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hallenges" sheetId="2" state="visible" r:id="rId2"/>
    <sheet xmlns:r="http://schemas.openxmlformats.org/officeDocument/2006/relationships" name="By Class" sheetId="3" state="visible" r:id="rId3"/>
    <sheet xmlns:r="http://schemas.openxmlformats.org/officeDocument/2006/relationships" name="By Day" sheetId="4" state="visible" r:id="rId4"/>
    <sheet xmlns:r="http://schemas.openxmlformats.org/officeDocument/2006/relationships" name="Students" sheetId="5" state="visible" r:id="rId5"/>
    <sheet xmlns:r="http://schemas.openxmlformats.org/officeDocument/2006/relationships" name="All Donations" sheetId="6" state="visible" r:id="rId6"/>
    <sheet xmlns:r="http://schemas.openxmlformats.org/officeDocument/2006/relationships" name="How To" sheetId="7" state="visible" r:id="rId7"/>
    <sheet xmlns:r="http://schemas.openxmlformats.org/officeDocument/2006/relationships" name="Settings" sheetId="8" state="visible" r:id="rId8"/>
    <sheet xmlns:r="http://schemas.openxmlformats.org/officeDocument/2006/relationships" name="Roster" sheetId="9" state="visible" r:id="rId9"/>
    <sheet xmlns:r="http://schemas.openxmlformats.org/officeDocument/2006/relationships" name="OneCause_Paste" sheetId="10" state="visible" r:id="rId10"/>
    <sheet xmlns:r="http://schemas.openxmlformats.org/officeDocument/2006/relationships" name="Cash_Check" sheetId="11" state="visible" r:id="rId11"/>
    <sheet xmlns:r="http://schemas.openxmlformats.org/officeDocument/2006/relationships" name="Calc" sheetId="12" state="hidden" r:id="rId12"/>
  </sheets>
  <definedNames>
    <definedName name="SchoolName">'Settings'!$B$3</definedName>
    <definedName name="CampaignName">'Settings'!$B$4</definedName>
    <definedName name="CampaignYear">'Settings'!$B$5</definedName>
    <definedName name="Goal">'Settings'!$B$6</definedName>
    <definedName name="Stretch">'Settings'!$B$7</definedName>
    <definedName name="StretchLabel">'Settings'!$B$8</definedName>
    <definedName name="StartDate">'Settings'!$B$9</definedName>
    <definedName name="EndDate">'Settings'!$B$10</definedName>
    <definedName name="OC_Date">'Settings'!$C$14</definedName>
    <definedName name="OC_Amt">'Settings'!$C$15</definedName>
    <definedName name="OC_Name">'Settings'!$C$16</definedName>
    <definedName name="OC_Donor">'Settings'!$C$17</definedName>
    <definedName name="OC_Txn">'Settings'!$C$18</definedName>
    <definedName name="OC_Pay">'Settings'!$C$19</definedName>
    <definedName name="GradeList">'Settings'!$J$3:$J$13</definedName>
    <definedName name="MethodList">'Settings'!$K$3:$K$5</definedName>
    <definedName name="AsOfDate">'Calc'!$B$2</definedName>
    <definedName name="Raised">'Calc'!$B$3</definedName>
    <definedName name="Remaining">'Calc'!$B$4</definedName>
    <definedName name="PctGoal">'Calc'!$B$5</definedName>
    <definedName name="StudentsN">'Calc'!$B$6</definedName>
    <definedName name="DonatedN">'Calc'!$B$7</definedName>
    <definedName name="PartPct">'Calc'!$B$8</definedName>
    <definedName name="Gifts">'Calc'!$B$9</definedName>
    <definedName name="DaysLeft">'Calc'!$B$10</definedName>
    <definedName name="RaisedToday">'Calc'!$B$11</definedName>
    <definedName name="ThermoCells">'Calc'!$B$12</definedName>
    <definedName name="StretchCell">'Calc'!$B$13</definedName>
    <definedName name="TodayIdx">'Calc'!$B$14</definedName>
    <definedName name="NextIdx">'Calc'!$B$15</definedName>
    <definedName name="ShowIdx">'Calc'!$B$16</definedName>
    <definedName name="ShowLabel">'Calc'!$B$17</definedName>
    <definedName name="ShowName">'Calc'!$B$18</definedName>
    <definedName name="ShowReward">'Calc'!$B$19</definedName>
    <definedName name="ShowResult">'Calc'!$B$20</definedName>
    <definedName name="Unmatched">'Calc'!$B$21</definedName>
    <definedName name="Problems">'Calc'!$B$22</definedName>
    <definedName name="Banner">'Calc'!$B$23</definedName>
    <definedName name="_xlnm.Print_Area" localSheetId="0">'Dashboard'!$A$1:$Q$30</definedName>
    <definedName name="_xlnm.Print_Titles" localSheetId="2">'By Class'!$4:$4</definedName>
    <definedName name="_xlnm._FilterDatabase" localSheetId="4" hidden="1">'Students'!$A$1:$H$701</definedName>
    <definedName name="_xlnm.Print_Titles" localSheetId="4">'Students'!$1:$1</definedName>
    <definedName name="_xlnm._FilterDatabase" localSheetId="5" hidden="1">'All Donations'!$A$1:$H$4001</definedName>
    <definedName name="_xlnm.Print_Titles" localSheetId="5">'All Donations'!$1:$1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$&quot;#,##0"/>
    <numFmt numFmtId="165" formatCode="yyyy-mm-dd"/>
    <numFmt numFmtId="166" formatCode="ddd m/d/yyyy"/>
    <numFmt numFmtId="167" formatCode="ddd m/d"/>
    <numFmt numFmtId="168" formatCode="yyyy-mm-dd h:mm:ss"/>
    <numFmt numFmtId="169" formatCode="m/d/yyyy"/>
    <numFmt numFmtId="170" formatCode="&quot;$&quot;#,##0.00"/>
    <numFmt numFmtId="171" formatCode="&quot;$&quot;#,##0;-&quot;$&quot;#,##0;&quot;&quot;"/>
    <numFmt numFmtId="172" formatCode="&quot;$&quot;#,##0.00;;&quot;—&quot;"/>
  </numFmts>
  <fonts count="29">
    <font>
      <name val="Calibri"/>
      <family val="2"/>
      <color theme="1"/>
      <sz val="11"/>
      <scheme val="minor"/>
    </font>
    <font>
      <name val="Arial Black"/>
      <color rgb="00FFFFFF"/>
      <sz val="16"/>
    </font>
    <font>
      <name val="Calibri"/>
      <i val="1"/>
      <color rgb="00555555"/>
      <sz val="10"/>
    </font>
    <font>
      <name val="Calibri"/>
      <b val="1"/>
      <color rgb="00222222"/>
      <sz val="11"/>
    </font>
    <font>
      <name val="Calibri"/>
      <b val="1"/>
      <color rgb="00FFFFFF"/>
      <sz val="11"/>
    </font>
    <font>
      <name val="Calibri"/>
      <i val="1"/>
      <color rgb="00222222"/>
      <sz val="10"/>
    </font>
    <font>
      <name val="Arial Black"/>
      <color rgb="00D7262B"/>
      <sz val="13"/>
    </font>
    <font>
      <name val="Arial Black"/>
      <color rgb="00D7262B"/>
      <sz val="12"/>
    </font>
    <font>
      <name val="Calibri"/>
      <b val="1"/>
      <color rgb="001F2F6B"/>
      <sz val="11"/>
    </font>
    <font>
      <name val="Arial Black"/>
      <color rgb="00D7262B"/>
      <sz val="36"/>
    </font>
    <font>
      <name val="Arial Black"/>
      <color rgb="001F2F6B"/>
      <sz val="14"/>
    </font>
    <font>
      <name val="Arial Black"/>
      <color rgb="00FFFFFF"/>
      <sz val="13"/>
    </font>
    <font>
      <name val="Calibri"/>
      <color rgb="00FFFBF0"/>
      <sz val="6"/>
    </font>
    <font>
      <name val="Calibri"/>
      <b val="1"/>
      <color rgb="001F2F6B"/>
      <sz val="10"/>
    </font>
    <font>
      <name val="Calibri"/>
      <b val="1"/>
      <color rgb="00D7262B"/>
      <sz val="11"/>
    </font>
    <font>
      <name val="Arial Black"/>
      <color rgb="00FFFFFF"/>
      <sz val="20"/>
    </font>
    <font>
      <name val="Calibri"/>
      <b val="1"/>
      <color rgb="00FFFFFF"/>
      <sz val="12"/>
    </font>
    <font>
      <name val="Arial Black"/>
      <color rgb="001F2F6B"/>
      <sz val="36"/>
    </font>
    <font>
      <name val="Calibri"/>
      <b val="1"/>
      <color rgb="001F2F6B"/>
      <sz val="12"/>
    </font>
    <font>
      <name val="Arial Black"/>
      <color rgb="002E7D32"/>
      <sz val="22"/>
    </font>
    <font>
      <name val="Arial Black"/>
      <color rgb="00D7262B"/>
      <sz val="22"/>
    </font>
    <font>
      <name val="Arial Black"/>
      <color rgb="001F2F6B"/>
      <sz val="22"/>
    </font>
    <font>
      <name val="Arial Black"/>
      <color rgb="00D7262B"/>
      <sz val="18"/>
    </font>
    <font>
      <name val="Calibri"/>
      <b val="1"/>
      <color rgb="001F2F6B"/>
      <sz val="13"/>
    </font>
    <font>
      <name val="Calibri"/>
      <b val="1"/>
      <color rgb="002E7D32"/>
      <sz val="13"/>
    </font>
    <font>
      <name val="Arial Black"/>
      <color rgb="001F2F6B"/>
      <sz val="11"/>
    </font>
    <font>
      <name val="Calibri"/>
      <b val="1"/>
      <color rgb="00222222"/>
      <sz val="12"/>
    </font>
    <font>
      <name val="Calibri"/>
      <color rgb="002E7D32"/>
      <sz val="11"/>
    </font>
    <font>
      <name val="Calibri"/>
      <i val="1"/>
      <color rgb="00777777"/>
      <sz val="10"/>
    </font>
  </fonts>
  <fills count="11">
    <fill>
      <patternFill/>
    </fill>
    <fill>
      <patternFill patternType="gray125"/>
    </fill>
    <fill>
      <patternFill patternType="solid">
        <fgColor rgb="001F2F6B"/>
        <bgColor rgb="001F2F6B"/>
      </patternFill>
    </fill>
    <fill>
      <patternFill patternType="solid">
        <fgColor rgb="00FFF4D6"/>
        <bgColor rgb="00FFF4D6"/>
      </patternFill>
    </fill>
    <fill>
      <patternFill patternType="solid">
        <fgColor rgb="00EEF1F6"/>
        <bgColor rgb="00EEF1F6"/>
      </patternFill>
    </fill>
    <fill>
      <patternFill patternType="solid">
        <fgColor rgb="00FFFBF0"/>
        <bgColor rgb="00FFFBF0"/>
      </patternFill>
    </fill>
    <fill>
      <patternFill patternType="solid">
        <fgColor rgb="002E7D32"/>
        <bgColor rgb="002E7D32"/>
      </patternFill>
    </fill>
    <fill>
      <patternFill patternType="solid">
        <fgColor rgb="00E8E8E8"/>
        <bgColor rgb="00E8E8E8"/>
      </patternFill>
    </fill>
    <fill>
      <patternFill patternType="solid">
        <fgColor rgb="00D7262B"/>
        <bgColor rgb="00D7262B"/>
      </patternFill>
    </fill>
    <fill>
      <patternFill patternType="solid">
        <fgColor rgb="00FFFFFF"/>
        <bgColor rgb="00FFFFFF"/>
      </patternFill>
    </fill>
    <fill>
      <patternFill patternType="solid">
        <fgColor rgb="00F6E7C1"/>
        <bgColor rgb="00F6E7C1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1F2F6B"/>
      </left>
      <right style="thick">
        <color rgb="001F2F6B"/>
      </right>
      <top style="thick">
        <color rgb="001F2F6B"/>
      </top>
    </border>
    <border>
      <left style="thick">
        <color rgb="001F2F6B"/>
      </left>
      <right style="thick">
        <color rgb="001F2F6B"/>
      </right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0" fillId="5" borderId="0" pivotButton="0" quotePrefix="0" xfId="0"/>
    <xf numFmtId="0" fontId="9" fillId="5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 wrapText="1"/>
    </xf>
    <xf numFmtId="0" fontId="12" fillId="5" borderId="0" pivotButton="0" quotePrefix="0" xfId="0"/>
    <xf numFmtId="0" fontId="13" fillId="5" borderId="0" applyAlignment="1" pivotButton="0" quotePrefix="0" xfId="0">
      <alignment horizontal="right" vertical="center"/>
    </xf>
    <xf numFmtId="0" fontId="0" fillId="7" borderId="2" pivotButton="0" quotePrefix="0" xfId="0"/>
    <xf numFmtId="0" fontId="14" fillId="5" borderId="0" pivotButton="0" quotePrefix="0" xfId="0"/>
    <xf numFmtId="0" fontId="16" fillId="8" borderId="0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center" vertical="center" wrapText="1"/>
    </xf>
    <xf numFmtId="0" fontId="0" fillId="7" borderId="3" pivotButton="0" quotePrefix="0" xfId="0"/>
    <xf numFmtId="164" fontId="9" fillId="9" borderId="0" applyAlignment="1" pivotButton="0" quotePrefix="0" xfId="0">
      <alignment horizontal="center" vertical="center" wrapText="1"/>
    </xf>
    <xf numFmtId="9" fontId="17" fillId="9" borderId="0" applyAlignment="1" pivotButton="0" quotePrefix="0" xfId="0">
      <alignment horizontal="center" vertical="center" wrapText="1"/>
    </xf>
    <xf numFmtId="0" fontId="25" fillId="5" borderId="0" applyAlignment="1" pivotButton="0" quotePrefix="0" xfId="0">
      <alignment horizontal="center" vertical="center" wrapText="1"/>
    </xf>
    <xf numFmtId="0" fontId="26" fillId="5" borderId="0" pivotButton="0" quotePrefix="0" xfId="0"/>
    <xf numFmtId="164" fontId="26" fillId="5" borderId="0" pivotButton="0" quotePrefix="0" xfId="0"/>
    <xf numFmtId="9" fontId="27" fillId="5" borderId="0" pivotButton="0" quotePrefix="0" xfId="0"/>
    <xf numFmtId="0" fontId="18" fillId="5" borderId="0" applyAlignment="1" pivotButton="0" quotePrefix="0" xfId="0">
      <alignment horizontal="center" vertical="center" wrapText="1"/>
    </xf>
    <xf numFmtId="0" fontId="16" fillId="6" borderId="0" applyAlignment="1" pivotButton="0" quotePrefix="0" xfId="0">
      <alignment horizontal="center" vertical="center" wrapText="1"/>
    </xf>
    <xf numFmtId="9" fontId="19" fillId="9" borderId="0" applyAlignment="1" pivotButton="0" quotePrefix="0" xfId="0">
      <alignment horizontal="center" vertical="center" wrapText="1"/>
    </xf>
    <xf numFmtId="164" fontId="20" fillId="9" borderId="0" applyAlignment="1" pivotButton="0" quotePrefix="0" xfId="0">
      <alignment horizontal="center" vertical="center" wrapText="1"/>
    </xf>
    <xf numFmtId="1" fontId="21" fillId="9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22" fillId="10" borderId="0" applyAlignment="1" pivotButton="0" quotePrefix="0" xfId="0">
      <alignment horizontal="center" vertical="center" wrapText="1"/>
    </xf>
    <xf numFmtId="0" fontId="3" fillId="5" borderId="0" pivotButton="0" quotePrefix="0" xfId="0"/>
    <xf numFmtId="0" fontId="23" fillId="10" borderId="0" applyAlignment="1" pivotButton="0" quotePrefix="0" xfId="0">
      <alignment horizontal="center" vertical="center" wrapText="1"/>
    </xf>
    <xf numFmtId="0" fontId="24" fillId="10" borderId="0" applyAlignment="1" pivotButton="0" quotePrefix="0" xfId="0">
      <alignment horizontal="center" vertical="center" wrapText="1"/>
    </xf>
    <xf numFmtId="0" fontId="15" fillId="8" borderId="0" applyAlignment="1" pivotButton="0" quotePrefix="0" xfId="0">
      <alignment horizontal="center" vertical="center" wrapText="1"/>
    </xf>
    <xf numFmtId="0" fontId="28" fillId="5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8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0" pivotButton="0" quotePrefix="0" xfId="0"/>
    <xf numFmtId="172" fontId="0" fillId="0" borderId="1" pivotButton="0" quotePrefix="0" xfId="0"/>
    <xf numFmtId="9" fontId="0" fillId="0" borderId="1" pivotButton="0" quotePrefix="0" xfId="0"/>
    <xf numFmtId="0" fontId="0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172" fontId="0" fillId="0" borderId="0" pivotButton="0" quotePrefix="0" xfId="0"/>
    <xf numFmtId="170" fontId="0" fillId="0" borderId="1" pivotButton="0" quotePrefix="0" xfId="0"/>
    <xf numFmtId="167" fontId="4" fillId="2" borderId="1" applyAlignment="1" pivotButton="0" quotePrefix="0" xfId="0">
      <alignment horizontal="center" vertical="center" wrapText="1"/>
    </xf>
    <xf numFmtId="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0" fontId="6" fillId="0" borderId="0" pivotButton="0" quotePrefix="0" xfId="0"/>
    <xf numFmtId="167" fontId="4" fillId="2" borderId="0" applyAlignment="1" pivotButton="0" quotePrefix="0" xfId="0">
      <alignment horizontal="center" vertical="center" wrapText="1"/>
    </xf>
    <xf numFmtId="49" fontId="0" fillId="0" borderId="1" pivotButton="0" quotePrefix="0" xfId="0"/>
    <xf numFmtId="1" fontId="0" fillId="0" borderId="1" pivotButton="0" quotePrefix="0" xfId="0"/>
    <xf numFmtId="171" fontId="0" fillId="0" borderId="1" pivotButton="0" quotePrefix="0" xfId="0"/>
    <xf numFmtId="1" fontId="3" fillId="0" borderId="1" pivotButton="0" quotePrefix="0" xfId="0"/>
    <xf numFmtId="9" fontId="3" fillId="0" borderId="1" pivotButton="0" quotePrefix="0" xfId="0"/>
    <xf numFmtId="170" fontId="3" fillId="0" borderId="1" pivotButton="0" quotePrefix="0" xfId="0"/>
    <xf numFmtId="171" fontId="3" fillId="0" borderId="1" pivotButton="0" quotePrefix="0" xfId="0"/>
    <xf numFmtId="167" fontId="0" fillId="0" borderId="0" pivotButton="0" quotePrefix="0" xfId="0"/>
    <xf numFmtId="0" fontId="3" fillId="0" borderId="0" pivotButton="0" quotePrefix="0" xfId="0"/>
    <xf numFmtId="170" fontId="3" fillId="0" borderId="0" pivotButton="0" quotePrefix="0" xfId="0"/>
    <xf numFmtId="169" fontId="0" fillId="0" borderId="0" pivotButton="0" quotePrefix="0" xfId="0"/>
    <xf numFmtId="0" fontId="1" fillId="8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left" vertical="center"/>
    </xf>
    <xf numFmtId="1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left" vertical="center"/>
    </xf>
    <xf numFmtId="166" fontId="0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167" fontId="0" fillId="3" borderId="1" pivotButton="0" quotePrefix="0" xfId="0"/>
    <xf numFmtId="0" fontId="5" fillId="4" borderId="1" pivotButton="0" quotePrefix="0" xfId="0"/>
    <xf numFmtId="0" fontId="0" fillId="4" borderId="0" pivotButton="0" quotePrefix="0" xfId="0"/>
    <xf numFmtId="0" fontId="0" fillId="3" borderId="0" pivotButton="0" quotePrefix="0" xfId="0"/>
    <xf numFmtId="49" fontId="0" fillId="3" borderId="0" pivotButton="0" quotePrefix="0" xfId="0"/>
    <xf numFmtId="168" fontId="0" fillId="0" borderId="0" pivotButton="0" quotePrefix="0" xfId="0"/>
    <xf numFmtId="169" fontId="0" fillId="3" borderId="0" pivotButton="0" quotePrefix="0" xfId="0"/>
    <xf numFmtId="170" fontId="0" fillId="3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D7262B"/>
          <bgColor rgb="00D7262B"/>
        </patternFill>
      </fill>
    </dxf>
    <dxf>
      <border>
        <left style="thin">
          <color rgb="00BFBFBF"/>
        </left>
        <right style="thin">
          <color rgb="00BFBFBF"/>
        </right>
        <top style="thin">
          <color rgb="00BFBFBF"/>
        </top>
        <bottom style="thin">
          <color rgb="00BFBFBF"/>
        </bottom>
      </border>
    </dxf>
    <dxf>
      <fill>
        <patternFill patternType="solid">
          <fgColor rgb="00F2B705"/>
          <bgColor rgb="00F2B705"/>
        </patternFill>
      </fill>
    </dxf>
    <dxf>
      <fill>
        <patternFill patternType="solid">
          <fgColor rgb="00D4EDDA"/>
          <bgColor rgb="00D4EDDA"/>
        </patternFill>
      </fill>
    </dxf>
    <dxf>
      <font>
        <name val="Calibri"/>
        <b val="1"/>
        <color rgb="00D7262B"/>
        <sz val="11"/>
      </font>
      <fill>
        <patternFill patternType="solid">
          <fgColor rgb="00F8D7DA"/>
          <b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2B705"/>
    <outlinePr summaryBelow="1" summaryRight="1"/>
    <pageSetUpPr fitToPage="1"/>
  </sheetPr>
  <dimension ref="A1:Q31"/>
  <sheetViews>
    <sheetView showGridLines="0" showRowColHeader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22" customWidth="1" min="4" max="4"/>
    <col width="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" customWidth="1" min="12" max="12"/>
    <col width="5" customWidth="1" min="13" max="13"/>
    <col width="30" customWidth="1" min="14" max="14"/>
    <col width="13" customWidth="1" min="15" max="15"/>
    <col width="9" customWidth="1" min="16" max="16"/>
    <col width="2" customWidth="1" min="17" max="1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50" customHeight="1">
      <c r="A2" s="1" t="n"/>
      <c r="B2" s="2">
        <f>UPPER(CampaignName)&amp;" "&amp;CampaignYear</f>
        <v/>
      </c>
      <c r="Q2" s="1" t="n"/>
    </row>
    <row r="3">
      <c r="A3" s="1" t="n"/>
      <c r="B3" s="3">
        <f>SchoolName&amp;"  •  "&amp;TEXT(StartDate,"mmm d")&amp;" – "&amp;TEXT(EndDate,"mmm d")</f>
        <v/>
      </c>
      <c r="Q3" s="1" t="n"/>
    </row>
    <row r="4" ht="24" customHeight="1">
      <c r="A4" s="1" t="n"/>
      <c r="B4" s="4">
        <f>Banner</f>
        <v/>
      </c>
      <c r="Q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20" customHeight="1">
      <c r="A6" s="5" t="n">
        <v>20</v>
      </c>
      <c r="B6" s="6">
        <f>IF(MOD(A6,4)=0,TEXT(Goal*A6/20,"$#,##0"),"")</f>
        <v/>
      </c>
      <c r="C6" s="7" t="n"/>
      <c r="D6" s="8">
        <f>IF(A6=20,"◄ GOAL",IF(A6=StretchCell,"◄ "&amp;TEXT(Stretch,"$#,##0")&amp;" SLIME!",""))</f>
        <v/>
      </c>
      <c r="E6" s="1" t="n"/>
      <c r="F6" s="9" t="inlineStr">
        <is>
          <t>RAISED SO FAR</t>
        </is>
      </c>
      <c r="I6" s="10" t="inlineStr">
        <is>
          <t>OF OUR GOAL</t>
        </is>
      </c>
      <c r="L6" s="1" t="n"/>
      <c r="M6" s="11" t="inlineStr">
        <is>
          <t>TOP 10 CLASSES</t>
        </is>
      </c>
      <c r="Q6" s="1" t="n"/>
    </row>
    <row r="7" ht="20" customHeight="1">
      <c r="A7" s="5" t="n">
        <v>19</v>
      </c>
      <c r="B7" s="6">
        <f>IF(MOD(A7,4)=0,TEXT(Goal*A7/20,"$#,##0"),"")</f>
        <v/>
      </c>
      <c r="C7" s="12" t="n"/>
      <c r="D7" s="8">
        <f>IF(A7=20,"◄ GOAL",IF(A7=StretchCell,"◄ "&amp;TEXT(Stretch,"$#,##0")&amp;" SLIME!",""))</f>
        <v/>
      </c>
      <c r="E7" s="1" t="n"/>
      <c r="F7" s="13">
        <f>Raised</f>
        <v/>
      </c>
      <c r="I7" s="14">
        <f>PctGoal</f>
        <v/>
      </c>
      <c r="L7" s="1" t="n"/>
      <c r="M7" s="15" t="n">
        <v>1</v>
      </c>
      <c r="N7" s="16">
        <f>IF(LARGE('By Class'!$AF$5:$AF$44,1)&lt;0.005,"",INDEX('By Class'!$A$5:$A$44,MATCH(LARGE('By Class'!$AF$5:$AF$44,1),'By Class'!$AF$5:$AF$44,0)))</f>
        <v/>
      </c>
      <c r="O7" s="17">
        <f>IF(LARGE('By Class'!$AF$5:$AF$44,1)&lt;0.005,"",INDEX('By Class'!$G$5:$G$44,MATCH(LARGE('By Class'!$AF$5:$AF$44,1),'By Class'!$AF$5:$AF$44,0)))</f>
        <v/>
      </c>
      <c r="P7" s="18">
        <f>IF(LARGE('By Class'!$AF$5:$AF$44,1)&lt;0.005,"",INDEX('By Class'!$F$5:$F$44,MATCH(LARGE('By Class'!$AF$5:$AF$44,1),'By Class'!$AF$5:$AF$44,0)))</f>
        <v/>
      </c>
      <c r="Q7" s="1" t="n"/>
    </row>
    <row r="8" ht="20" customHeight="1">
      <c r="A8" s="5" t="n">
        <v>18</v>
      </c>
      <c r="B8" s="6">
        <f>IF(MOD(A8,4)=0,TEXT(Goal*A8/20,"$#,##0"),"")</f>
        <v/>
      </c>
      <c r="C8" s="12" t="n"/>
      <c r="D8" s="8">
        <f>IF(A8=20,"◄ GOAL",IF(A8=StretchCell,"◄ "&amp;TEXT(Stretch,"$#,##0")&amp;" SLIME!",""))</f>
        <v/>
      </c>
      <c r="E8" s="1" t="n"/>
      <c r="L8" s="1" t="n"/>
      <c r="M8" s="15" t="n">
        <v>2</v>
      </c>
      <c r="N8" s="16">
        <f>IF(LARGE('By Class'!$AF$5:$AF$44,2)&lt;0.005,"",INDEX('By Class'!$A$5:$A$44,MATCH(LARGE('By Class'!$AF$5:$AF$44,2),'By Class'!$AF$5:$AF$44,0)))</f>
        <v/>
      </c>
      <c r="O8" s="17">
        <f>IF(LARGE('By Class'!$AF$5:$AF$44,2)&lt;0.005,"",INDEX('By Class'!$G$5:$G$44,MATCH(LARGE('By Class'!$AF$5:$AF$44,2),'By Class'!$AF$5:$AF$44,0)))</f>
        <v/>
      </c>
      <c r="P8" s="18">
        <f>IF(LARGE('By Class'!$AF$5:$AF$44,2)&lt;0.005,"",INDEX('By Class'!$F$5:$F$44,MATCH(LARGE('By Class'!$AF$5:$AF$44,2),'By Class'!$AF$5:$AF$44,0)))</f>
        <v/>
      </c>
      <c r="Q8" s="1" t="n"/>
    </row>
    <row r="9" ht="20" customHeight="1">
      <c r="A9" s="5" t="n">
        <v>17</v>
      </c>
      <c r="B9" s="6">
        <f>IF(MOD(A9,4)=0,TEXT(Goal*A9/20,"$#,##0"),"")</f>
        <v/>
      </c>
      <c r="C9" s="12" t="n"/>
      <c r="D9" s="8">
        <f>IF(A9=20,"◄ GOAL",IF(A9=StretchCell,"◄ "&amp;TEXT(Stretch,"$#,##0")&amp;" SLIME!",""))</f>
        <v/>
      </c>
      <c r="E9" s="1" t="n"/>
      <c r="L9" s="1" t="n"/>
      <c r="M9" s="15" t="n">
        <v>3</v>
      </c>
      <c r="N9" s="16">
        <f>IF(LARGE('By Class'!$AF$5:$AF$44,3)&lt;0.005,"",INDEX('By Class'!$A$5:$A$44,MATCH(LARGE('By Class'!$AF$5:$AF$44,3),'By Class'!$AF$5:$AF$44,0)))</f>
        <v/>
      </c>
      <c r="O9" s="17">
        <f>IF(LARGE('By Class'!$AF$5:$AF$44,3)&lt;0.005,"",INDEX('By Class'!$G$5:$G$44,MATCH(LARGE('By Class'!$AF$5:$AF$44,3),'By Class'!$AF$5:$AF$44,0)))</f>
        <v/>
      </c>
      <c r="P9" s="18">
        <f>IF(LARGE('By Class'!$AF$5:$AF$44,3)&lt;0.005,"",INDEX('By Class'!$F$5:$F$44,MATCH(LARGE('By Class'!$AF$5:$AF$44,3),'By Class'!$AF$5:$AF$44,0)))</f>
        <v/>
      </c>
      <c r="Q9" s="1" t="n"/>
    </row>
    <row r="10" ht="20" customHeight="1">
      <c r="A10" s="5" t="n">
        <v>16</v>
      </c>
      <c r="B10" s="6">
        <f>IF(MOD(A10,4)=0,TEXT(Goal*A10/20,"$#,##0"),"")</f>
        <v/>
      </c>
      <c r="C10" s="12" t="n"/>
      <c r="D10" s="8">
        <f>IF(A10=20,"◄ GOAL",IF(A10=StretchCell,"◄ "&amp;TEXT(Stretch,"$#,##0")&amp;" SLIME!",""))</f>
        <v/>
      </c>
      <c r="E10" s="1" t="n"/>
      <c r="L10" s="1" t="n"/>
      <c r="M10" s="15" t="n">
        <v>4</v>
      </c>
      <c r="N10" s="16">
        <f>IF(LARGE('By Class'!$AF$5:$AF$44,4)&lt;0.005,"",INDEX('By Class'!$A$5:$A$44,MATCH(LARGE('By Class'!$AF$5:$AF$44,4),'By Class'!$AF$5:$AF$44,0)))</f>
        <v/>
      </c>
      <c r="O10" s="17">
        <f>IF(LARGE('By Class'!$AF$5:$AF$44,4)&lt;0.005,"",INDEX('By Class'!$G$5:$G$44,MATCH(LARGE('By Class'!$AF$5:$AF$44,4),'By Class'!$AF$5:$AF$44,0)))</f>
        <v/>
      </c>
      <c r="P10" s="18">
        <f>IF(LARGE('By Class'!$AF$5:$AF$44,4)&lt;0.005,"",INDEX('By Class'!$F$5:$F$44,MATCH(LARGE('By Class'!$AF$5:$AF$44,4),'By Class'!$AF$5:$AF$44,0)))</f>
        <v/>
      </c>
      <c r="Q10" s="1" t="n"/>
    </row>
    <row r="11" ht="20" customHeight="1">
      <c r="A11" s="5" t="n">
        <v>15</v>
      </c>
      <c r="B11" s="6">
        <f>IF(MOD(A11,4)=0,TEXT(Goal*A11/20,"$#,##0"),"")</f>
        <v/>
      </c>
      <c r="C11" s="12" t="n"/>
      <c r="D11" s="8">
        <f>IF(A11=20,"◄ GOAL",IF(A11=StretchCell,"◄ "&amp;TEXT(Stretch,"$#,##0")&amp;" SLIME!",""))</f>
        <v/>
      </c>
      <c r="E11" s="1" t="n"/>
      <c r="F11" s="19">
        <f>"Goal "&amp;TEXT(Goal,"$#,##0")&amp;"   •   "&amp;TEXT(Remaining,"$#,##0")&amp;" to go"</f>
        <v/>
      </c>
      <c r="L11" s="1" t="n"/>
      <c r="M11" s="15" t="n">
        <v>5</v>
      </c>
      <c r="N11" s="16">
        <f>IF(LARGE('By Class'!$AF$5:$AF$44,5)&lt;0.005,"",INDEX('By Class'!$A$5:$A$44,MATCH(LARGE('By Class'!$AF$5:$AF$44,5),'By Class'!$AF$5:$AF$44,0)))</f>
        <v/>
      </c>
      <c r="O11" s="17">
        <f>IF(LARGE('By Class'!$AF$5:$AF$44,5)&lt;0.005,"",INDEX('By Class'!$G$5:$G$44,MATCH(LARGE('By Class'!$AF$5:$AF$44,5),'By Class'!$AF$5:$AF$44,0)))</f>
        <v/>
      </c>
      <c r="P11" s="18">
        <f>IF(LARGE('By Class'!$AF$5:$AF$44,5)&lt;0.005,"",INDEX('By Class'!$F$5:$F$44,MATCH(LARGE('By Class'!$AF$5:$AF$44,5),'By Class'!$AF$5:$AF$44,0)))</f>
        <v/>
      </c>
      <c r="Q11" s="1" t="n"/>
    </row>
    <row r="12" ht="20" customHeight="1">
      <c r="A12" s="5" t="n">
        <v>14</v>
      </c>
      <c r="B12" s="6">
        <f>IF(MOD(A12,4)=0,TEXT(Goal*A12/20,"$#,##0"),"")</f>
        <v/>
      </c>
      <c r="C12" s="12" t="n"/>
      <c r="D12" s="8">
        <f>IF(A12=20,"◄ GOAL",IF(A12=StretchCell,"◄ "&amp;TEXT(Stretch,"$#,##0")&amp;" SLIME!",""))</f>
        <v/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5" t="n">
        <v>6</v>
      </c>
      <c r="N12" s="16">
        <f>IF(LARGE('By Class'!$AF$5:$AF$44,6)&lt;0.005,"",INDEX('By Class'!$A$5:$A$44,MATCH(LARGE('By Class'!$AF$5:$AF$44,6),'By Class'!$AF$5:$AF$44,0)))</f>
        <v/>
      </c>
      <c r="O12" s="17">
        <f>IF(LARGE('By Class'!$AF$5:$AF$44,6)&lt;0.005,"",INDEX('By Class'!$G$5:$G$44,MATCH(LARGE('By Class'!$AF$5:$AF$44,6),'By Class'!$AF$5:$AF$44,0)))</f>
        <v/>
      </c>
      <c r="P12" s="18">
        <f>IF(LARGE('By Class'!$AF$5:$AF$44,6)&lt;0.005,"",INDEX('By Class'!$F$5:$F$44,MATCH(LARGE('By Class'!$AF$5:$AF$44,6),'By Class'!$AF$5:$AF$44,0)))</f>
        <v/>
      </c>
      <c r="Q12" s="1" t="n"/>
    </row>
    <row r="13" ht="20" customHeight="1">
      <c r="A13" s="5" t="n">
        <v>13</v>
      </c>
      <c r="B13" s="6">
        <f>IF(MOD(A13,4)=0,TEXT(Goal*A13/20,"$#,##0"),"")</f>
        <v/>
      </c>
      <c r="C13" s="12" t="n"/>
      <c r="D13" s="8">
        <f>IF(A13=20,"◄ GOAL",IF(A13=StretchCell,"◄ "&amp;TEXT(Stretch,"$#,##0")&amp;" SLIME!",""))</f>
        <v/>
      </c>
      <c r="E13" s="1" t="n"/>
      <c r="F13" s="20" t="inlineStr">
        <is>
          <t>STUDENTS DONATED</t>
        </is>
      </c>
      <c r="H13" s="9" t="inlineStr">
        <is>
          <t>RAISED TODAY</t>
        </is>
      </c>
      <c r="J13" s="10" t="inlineStr">
        <is>
          <t>DAYS LEFT</t>
        </is>
      </c>
      <c r="L13" s="1" t="n"/>
      <c r="M13" s="15" t="n">
        <v>7</v>
      </c>
      <c r="N13" s="16">
        <f>IF(LARGE('By Class'!$AF$5:$AF$44,7)&lt;0.005,"",INDEX('By Class'!$A$5:$A$44,MATCH(LARGE('By Class'!$AF$5:$AF$44,7),'By Class'!$AF$5:$AF$44,0)))</f>
        <v/>
      </c>
      <c r="O13" s="17">
        <f>IF(LARGE('By Class'!$AF$5:$AF$44,7)&lt;0.005,"",INDEX('By Class'!$G$5:$G$44,MATCH(LARGE('By Class'!$AF$5:$AF$44,7),'By Class'!$AF$5:$AF$44,0)))</f>
        <v/>
      </c>
      <c r="P13" s="18">
        <f>IF(LARGE('By Class'!$AF$5:$AF$44,7)&lt;0.005,"",INDEX('By Class'!$F$5:$F$44,MATCH(LARGE('By Class'!$AF$5:$AF$44,7),'By Class'!$AF$5:$AF$44,0)))</f>
        <v/>
      </c>
      <c r="Q13" s="1" t="n"/>
    </row>
    <row r="14" ht="20" customHeight="1">
      <c r="A14" s="5" t="n">
        <v>12</v>
      </c>
      <c r="B14" s="6">
        <f>IF(MOD(A14,4)=0,TEXT(Goal*A14/20,"$#,##0"),"")</f>
        <v/>
      </c>
      <c r="C14" s="12" t="n"/>
      <c r="D14" s="8">
        <f>IF(A14=20,"◄ GOAL",IF(A14=StretchCell,"◄ "&amp;TEXT(Stretch,"$#,##0")&amp;" SLIME!",""))</f>
        <v/>
      </c>
      <c r="E14" s="1" t="n"/>
      <c r="F14" s="21">
        <f>PartPct</f>
        <v/>
      </c>
      <c r="H14" s="22">
        <f>RaisedToday</f>
        <v/>
      </c>
      <c r="J14" s="23">
        <f>DaysLeft</f>
        <v/>
      </c>
      <c r="L14" s="1" t="n"/>
      <c r="M14" s="15" t="n">
        <v>8</v>
      </c>
      <c r="N14" s="16">
        <f>IF(LARGE('By Class'!$AF$5:$AF$44,8)&lt;0.005,"",INDEX('By Class'!$A$5:$A$44,MATCH(LARGE('By Class'!$AF$5:$AF$44,8),'By Class'!$AF$5:$AF$44,0)))</f>
        <v/>
      </c>
      <c r="O14" s="17">
        <f>IF(LARGE('By Class'!$AF$5:$AF$44,8)&lt;0.005,"",INDEX('By Class'!$G$5:$G$44,MATCH(LARGE('By Class'!$AF$5:$AF$44,8),'By Class'!$AF$5:$AF$44,0)))</f>
        <v/>
      </c>
      <c r="P14" s="18">
        <f>IF(LARGE('By Class'!$AF$5:$AF$44,8)&lt;0.005,"",INDEX('By Class'!$F$5:$F$44,MATCH(LARGE('By Class'!$AF$5:$AF$44,8),'By Class'!$AF$5:$AF$44,0)))</f>
        <v/>
      </c>
      <c r="Q14" s="1" t="n"/>
    </row>
    <row r="15" ht="20" customHeight="1">
      <c r="A15" s="5" t="n">
        <v>11</v>
      </c>
      <c r="B15" s="6">
        <f>IF(MOD(A15,4)=0,TEXT(Goal*A15/20,"$#,##0"),"")</f>
        <v/>
      </c>
      <c r="C15" s="12" t="n"/>
      <c r="D15" s="8">
        <f>IF(A15=20,"◄ GOAL",IF(A15=StretchCell,"◄ "&amp;TEXT(Stretch,"$#,##0")&amp;" SLIME!",""))</f>
        <v/>
      </c>
      <c r="E15" s="1" t="n"/>
      <c r="L15" s="1" t="n"/>
      <c r="M15" s="15" t="n">
        <v>9</v>
      </c>
      <c r="N15" s="16">
        <f>IF(LARGE('By Class'!$AF$5:$AF$44,9)&lt;0.005,"",INDEX('By Class'!$A$5:$A$44,MATCH(LARGE('By Class'!$AF$5:$AF$44,9),'By Class'!$AF$5:$AF$44,0)))</f>
        <v/>
      </c>
      <c r="O15" s="17">
        <f>IF(LARGE('By Class'!$AF$5:$AF$44,9)&lt;0.005,"",INDEX('By Class'!$G$5:$G$44,MATCH(LARGE('By Class'!$AF$5:$AF$44,9),'By Class'!$AF$5:$AF$44,0)))</f>
        <v/>
      </c>
      <c r="P15" s="18">
        <f>IF(LARGE('By Class'!$AF$5:$AF$44,9)&lt;0.005,"",INDEX('By Class'!$F$5:$F$44,MATCH(LARGE('By Class'!$AF$5:$AF$44,9),'By Class'!$AF$5:$AF$44,0)))</f>
        <v/>
      </c>
      <c r="Q15" s="1" t="n"/>
    </row>
    <row r="16" ht="20" customHeight="1">
      <c r="A16" s="5" t="n">
        <v>10</v>
      </c>
      <c r="B16" s="6">
        <f>IF(MOD(A16,4)=0,TEXT(Goal*A16/20,"$#,##0"),"")</f>
        <v/>
      </c>
      <c r="C16" s="12" t="n"/>
      <c r="D16" s="8">
        <f>IF(A16=20,"◄ GOAL",IF(A16=StretchCell,"◄ "&amp;TEXT(Stretch,"$#,##0")&amp;" SLIME!",""))</f>
        <v/>
      </c>
      <c r="E16" s="1" t="n"/>
      <c r="L16" s="1" t="n"/>
      <c r="M16" s="15" t="n">
        <v>10</v>
      </c>
      <c r="N16" s="16">
        <f>IF(LARGE('By Class'!$AF$5:$AF$44,10)&lt;0.005,"",INDEX('By Class'!$A$5:$A$44,MATCH(LARGE('By Class'!$AF$5:$AF$44,10),'By Class'!$AF$5:$AF$44,0)))</f>
        <v/>
      </c>
      <c r="O16" s="17">
        <f>IF(LARGE('By Class'!$AF$5:$AF$44,10)&lt;0.005,"",INDEX('By Class'!$G$5:$G$44,MATCH(LARGE('By Class'!$AF$5:$AF$44,10),'By Class'!$AF$5:$AF$44,0)))</f>
        <v/>
      </c>
      <c r="P16" s="18">
        <f>IF(LARGE('By Class'!$AF$5:$AF$44,10)&lt;0.005,"",INDEX('By Class'!$F$5:$F$44,MATCH(LARGE('By Class'!$AF$5:$AF$44,10),'By Class'!$AF$5:$AF$44,0)))</f>
        <v/>
      </c>
      <c r="Q16" s="1" t="n"/>
    </row>
    <row r="17" ht="20" customHeight="1">
      <c r="A17" s="5" t="n">
        <v>9</v>
      </c>
      <c r="B17" s="6">
        <f>IF(MOD(A17,4)=0,TEXT(Goal*A17/20,"$#,##0"),"")</f>
        <v/>
      </c>
      <c r="C17" s="12" t="n"/>
      <c r="D17" s="8">
        <f>IF(A17=20,"◄ GOAL",IF(A17=StretchCell,"◄ "&amp;TEXT(Stretch,"$#,##0")&amp;" SLIME!",""))</f>
        <v/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20" customHeight="1">
      <c r="A18" s="5" t="n">
        <v>8</v>
      </c>
      <c r="B18" s="6">
        <f>IF(MOD(A18,4)=0,TEXT(Goal*A18/20,"$#,##0"),"")</f>
        <v/>
      </c>
      <c r="C18" s="12" t="n"/>
      <c r="D18" s="8">
        <f>IF(A18=20,"◄ GOAL",IF(A18=StretchCell,"◄ "&amp;TEXT(Stretch,"$#,##0")&amp;" SLIME!",""))</f>
        <v/>
      </c>
      <c r="E18" s="1" t="n"/>
      <c r="F18" s="24">
        <f>ShowLabel</f>
        <v/>
      </c>
      <c r="L18" s="1" t="n"/>
      <c r="M18" s="24" t="inlineStr">
        <is>
          <t>TOP 5 FUNDRAISERS</t>
        </is>
      </c>
      <c r="Q18" s="1" t="n"/>
    </row>
    <row r="19" ht="20" customHeight="1">
      <c r="A19" s="5" t="n">
        <v>7</v>
      </c>
      <c r="B19" s="6">
        <f>IF(MOD(A19,4)=0,TEXT(Goal*A19/20,"$#,##0"),"")</f>
        <v/>
      </c>
      <c r="C19" s="12" t="n"/>
      <c r="D19" s="8">
        <f>IF(A19=20,"◄ GOAL",IF(A19=StretchCell,"◄ "&amp;TEXT(Stretch,"$#,##0")&amp;" SLIME!",""))</f>
        <v/>
      </c>
      <c r="E19" s="1" t="n"/>
      <c r="F19" s="25">
        <f>ShowName</f>
        <v/>
      </c>
      <c r="L19" s="1" t="n"/>
      <c r="M19" s="15" t="n">
        <v>1</v>
      </c>
      <c r="N19" s="26">
        <f>IF(LARGE('Students'!$AK$2:$AK$701,1)&lt;0.005,"",INDEX('Students'!$AL$2:$AL$701,MATCH(LARGE('Students'!$AK$2:$AK$701,1),'Students'!$AK$2:$AK$701,0))&amp;"  ("&amp;INDEX('Students'!$B$2:$B$701,MATCH(LARGE('Students'!$AK$2:$AK$701,1),'Students'!$AK$2:$AK$701,0))&amp;")")</f>
        <v/>
      </c>
      <c r="O19" s="17">
        <f>IF(LARGE('Students'!$AK$2:$AK$701,1)&lt;0.005,"",INDEX('Students'!$D$2:$D$701,MATCH(LARGE('Students'!$AK$2:$AK$701,1),'Students'!$AK$2:$AK$701,0)))</f>
        <v/>
      </c>
      <c r="Q19" s="1" t="n"/>
    </row>
    <row r="20" ht="20" customHeight="1">
      <c r="A20" s="5" t="n">
        <v>6</v>
      </c>
      <c r="B20" s="6">
        <f>IF(MOD(A20,4)=0,TEXT(Goal*A20/20,"$#,##0"),"")</f>
        <v/>
      </c>
      <c r="C20" s="12" t="n"/>
      <c r="D20" s="8">
        <f>IF(A20=20,"◄ GOAL",IF(A20=StretchCell,"◄ "&amp;TEXT(Stretch,"$#,##0")&amp;" SLIME!",""))</f>
        <v/>
      </c>
      <c r="E20" s="1" t="n"/>
      <c r="L20" s="1" t="n"/>
      <c r="M20" s="15" t="n">
        <v>2</v>
      </c>
      <c r="N20" s="26">
        <f>IF(LARGE('Students'!$AK$2:$AK$701,2)&lt;0.005,"",INDEX('Students'!$AL$2:$AL$701,MATCH(LARGE('Students'!$AK$2:$AK$701,2),'Students'!$AK$2:$AK$701,0))&amp;"  ("&amp;INDEX('Students'!$B$2:$B$701,MATCH(LARGE('Students'!$AK$2:$AK$701,2),'Students'!$AK$2:$AK$701,0))&amp;")")</f>
        <v/>
      </c>
      <c r="O20" s="17">
        <f>IF(LARGE('Students'!$AK$2:$AK$701,2)&lt;0.005,"",INDEX('Students'!$D$2:$D$701,MATCH(LARGE('Students'!$AK$2:$AK$701,2),'Students'!$AK$2:$AK$701,0)))</f>
        <v/>
      </c>
      <c r="Q20" s="1" t="n"/>
    </row>
    <row r="21" ht="20" customHeight="1">
      <c r="A21" s="5" t="n">
        <v>5</v>
      </c>
      <c r="B21" s="6">
        <f>IF(MOD(A21,4)=0,TEXT(Goal*A21/20,"$#,##0"),"")</f>
        <v/>
      </c>
      <c r="C21" s="12" t="n"/>
      <c r="D21" s="8">
        <f>IF(A21=20,"◄ GOAL",IF(A21=StretchCell,"◄ "&amp;TEXT(Stretch,"$#,##0")&amp;" SLIME!",""))</f>
        <v/>
      </c>
      <c r="E21" s="1" t="n"/>
      <c r="L21" s="1" t="n"/>
      <c r="M21" s="15" t="n">
        <v>3</v>
      </c>
      <c r="N21" s="26">
        <f>IF(LARGE('Students'!$AK$2:$AK$701,3)&lt;0.005,"",INDEX('Students'!$AL$2:$AL$701,MATCH(LARGE('Students'!$AK$2:$AK$701,3),'Students'!$AK$2:$AK$701,0))&amp;"  ("&amp;INDEX('Students'!$B$2:$B$701,MATCH(LARGE('Students'!$AK$2:$AK$701,3),'Students'!$AK$2:$AK$701,0))&amp;")")</f>
        <v/>
      </c>
      <c r="O21" s="17">
        <f>IF(LARGE('Students'!$AK$2:$AK$701,3)&lt;0.005,"",INDEX('Students'!$D$2:$D$701,MATCH(LARGE('Students'!$AK$2:$AK$701,3),'Students'!$AK$2:$AK$701,0)))</f>
        <v/>
      </c>
      <c r="Q21" s="1" t="n"/>
    </row>
    <row r="22" ht="20" customHeight="1">
      <c r="A22" s="5" t="n">
        <v>4</v>
      </c>
      <c r="B22" s="6">
        <f>IF(MOD(A22,4)=0,TEXT(Goal*A22/20,"$#,##0"),"")</f>
        <v/>
      </c>
      <c r="C22" s="12" t="n"/>
      <c r="D22" s="8">
        <f>IF(A22=20,"◄ GOAL",IF(A22=StretchCell,"◄ "&amp;TEXT(Stretch,"$#,##0")&amp;" SLIME!",""))</f>
        <v/>
      </c>
      <c r="E22" s="1" t="n"/>
      <c r="F22" s="27">
        <f>ShowReward</f>
        <v/>
      </c>
      <c r="L22" s="1" t="n"/>
      <c r="M22" s="15" t="n">
        <v>4</v>
      </c>
      <c r="N22" s="26">
        <f>IF(LARGE('Students'!$AK$2:$AK$701,4)&lt;0.005,"",INDEX('Students'!$AL$2:$AL$701,MATCH(LARGE('Students'!$AK$2:$AK$701,4),'Students'!$AK$2:$AK$701,0))&amp;"  ("&amp;INDEX('Students'!$B$2:$B$701,MATCH(LARGE('Students'!$AK$2:$AK$701,4),'Students'!$AK$2:$AK$701,0))&amp;")")</f>
        <v/>
      </c>
      <c r="O22" s="17">
        <f>IF(LARGE('Students'!$AK$2:$AK$701,4)&lt;0.005,"",INDEX('Students'!$D$2:$D$701,MATCH(LARGE('Students'!$AK$2:$AK$701,4),'Students'!$AK$2:$AK$701,0)))</f>
        <v/>
      </c>
      <c r="Q22" s="1" t="n"/>
    </row>
    <row r="23" ht="20" customHeight="1">
      <c r="A23" s="5" t="n">
        <v>3</v>
      </c>
      <c r="B23" s="6">
        <f>IF(MOD(A23,4)=0,TEXT(Goal*A23/20,"$#,##0"),"")</f>
        <v/>
      </c>
      <c r="C23" s="12" t="n"/>
      <c r="D23" s="8">
        <f>IF(A23=20,"◄ GOAL",IF(A23=StretchCell,"◄ "&amp;TEXT(Stretch,"$#,##0")&amp;" SLIME!",""))</f>
        <v/>
      </c>
      <c r="E23" s="1" t="n"/>
      <c r="L23" s="1" t="n"/>
      <c r="M23" s="15" t="n">
        <v>5</v>
      </c>
      <c r="N23" s="26">
        <f>IF(LARGE('Students'!$AK$2:$AK$701,5)&lt;0.005,"",INDEX('Students'!$AL$2:$AL$701,MATCH(LARGE('Students'!$AK$2:$AK$701,5),'Students'!$AK$2:$AK$701,0))&amp;"  ("&amp;INDEX('Students'!$B$2:$B$701,MATCH(LARGE('Students'!$AK$2:$AK$701,5),'Students'!$AK$2:$AK$701,0))&amp;")")</f>
        <v/>
      </c>
      <c r="O23" s="17">
        <f>IF(LARGE('Students'!$AK$2:$AK$701,5)&lt;0.005,"",INDEX('Students'!$D$2:$D$701,MATCH(LARGE('Students'!$AK$2:$AK$701,5),'Students'!$AK$2:$AK$701,0)))</f>
        <v/>
      </c>
      <c r="Q23" s="1" t="n"/>
    </row>
    <row r="24" ht="20" customHeight="1">
      <c r="A24" s="5" t="n">
        <v>2</v>
      </c>
      <c r="B24" s="6">
        <f>IF(MOD(A24,4)=0,TEXT(Goal*A24/20,"$#,##0"),"")</f>
        <v/>
      </c>
      <c r="C24" s="12" t="n"/>
      <c r="D24" s="8">
        <f>IF(A24=20,"◄ GOAL",IF(A24=StretchCell,"◄ "&amp;TEXT(Stretch,"$#,##0")&amp;" SLIME!",""))</f>
        <v/>
      </c>
      <c r="E24" s="1" t="n"/>
      <c r="F24" s="28">
        <f>ShowResult</f>
        <v/>
      </c>
      <c r="L24" s="1" t="n"/>
      <c r="M24" s="1" t="n"/>
      <c r="N24" s="1" t="n"/>
      <c r="O24" s="1" t="n"/>
      <c r="P24" s="1" t="n"/>
      <c r="Q24" s="1" t="n"/>
    </row>
    <row r="25" ht="20" customHeight="1">
      <c r="A25" s="5" t="n">
        <v>1</v>
      </c>
      <c r="B25" s="6">
        <f>IF(MOD(A25,4)=0,TEXT(Goal*A25/20,"$#,##0"),"")</f>
        <v/>
      </c>
      <c r="C25" s="12" t="n"/>
      <c r="D25" s="8">
        <f>IF(A25=20,"◄ GOAL",IF(A25=StretchCell,"◄ "&amp;TEXT(Stretch,"$#,##0")&amp;" SLIME!",""))</f>
        <v/>
      </c>
      <c r="E25" s="1" t="n"/>
      <c r="L25" s="1" t="n"/>
      <c r="M25" s="1" t="n"/>
      <c r="N25" s="1" t="n"/>
      <c r="O25" s="1" t="n"/>
      <c r="P25" s="1" t="n"/>
      <c r="Q25" s="1" t="n"/>
    </row>
    <row r="26">
      <c r="A26" s="1" t="n"/>
      <c r="B26" s="29">
        <f>TEXT(PctGoal,"0%")&amp;" of goal"</f>
        <v/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 s="1" t="n"/>
      <c r="B30" s="30">
        <f>"Updated "&amp;TEXT(AsOfDate,"dddd, mmmm d")&amp;IF(Problems&gt;0,"   •   "&amp;Problems&amp;" donation "&amp;"row(s) need attention on All Donations","")</f>
        <v/>
      </c>
      <c r="Q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7">
    <mergeCell ref="B2:P2"/>
    <mergeCell ref="O19:P19"/>
    <mergeCell ref="F18:K18"/>
    <mergeCell ref="H14:I16"/>
    <mergeCell ref="J14:K16"/>
    <mergeCell ref="J13:K13"/>
    <mergeCell ref="O20:P20"/>
    <mergeCell ref="F24:K25"/>
    <mergeCell ref="F7:H10"/>
    <mergeCell ref="O22:P22"/>
    <mergeCell ref="B30:P30"/>
    <mergeCell ref="I7:K10"/>
    <mergeCell ref="O21:P21"/>
    <mergeCell ref="B26:D28"/>
    <mergeCell ref="F13:G13"/>
    <mergeCell ref="B4:P4"/>
    <mergeCell ref="H13:I13"/>
    <mergeCell ref="F22:K23"/>
    <mergeCell ref="I6:K6"/>
    <mergeCell ref="F11:K11"/>
    <mergeCell ref="F6:H6"/>
    <mergeCell ref="F19:K21"/>
    <mergeCell ref="B3:P3"/>
    <mergeCell ref="O23:P23"/>
    <mergeCell ref="M6:P6"/>
    <mergeCell ref="F14:G16"/>
    <mergeCell ref="M18:P18"/>
  </mergeCells>
  <conditionalFormatting sqref="C6:C25">
    <cfRule type="expression" priority="1" dxfId="0">
      <formula>$A6&lt;=ThermoCells</formula>
    </cfRule>
  </conditionalFormatting>
  <pageMargins left="0.75" right="0.75" top="1" bottom="1" header="0.5" footer="0.5"/>
  <pageSetup orientation="landscape" fitToHeight="1" fitToWidth="1"/>
  <headerFooter>
    <oddHeader/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D7262B"/>
    <outlinePr summaryBelow="1" summaryRight="1"/>
    <pageSetUpPr fitToPage="1"/>
  </sheetPr>
  <dimension ref="A1:W3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18" customWidth="1" min="3" max="3"/>
    <col width="44" customWidth="1" min="4" max="4"/>
    <col width="10" customWidth="1" min="5" max="5"/>
    <col width="52" customWidth="1" min="6" max="6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30" customHeight="1">
      <c r="A1" s="31" t="inlineStr">
        <is>
          <t>DAILY CHALLENGES</t>
        </is>
      </c>
    </row>
    <row r="2">
      <c r="A2" s="32">
        <f>"Updates automatically   •   as of "&amp;TEXT(AsOfDate,"ddd m/d")</f>
        <v/>
      </c>
    </row>
    <row r="4" ht="30" customHeight="1">
      <c r="A4" s="33" t="inlineStr">
        <is>
          <t>Challenge</t>
        </is>
      </c>
      <c r="B4" s="33" t="inlineStr">
        <is>
          <t>Reward</t>
        </is>
      </c>
      <c r="C4" s="33" t="inlineStr">
        <is>
          <t>Dates</t>
        </is>
      </c>
      <c r="D4" s="33" t="inlineStr">
        <is>
          <t>Result</t>
        </is>
      </c>
      <c r="E4" s="33" t="inlineStr">
        <is>
          <t>Status</t>
        </is>
      </c>
      <c r="F4" s="33" t="inlineStr">
        <is>
          <t>How it's scored</t>
        </is>
      </c>
    </row>
    <row r="5">
      <c r="A5" s="34">
        <f>'Settings'!$B$23</f>
        <v/>
      </c>
      <c r="B5" s="35">
        <f>'Settings'!$E$23</f>
        <v/>
      </c>
      <c r="C5" s="35">
        <f>TEXT('Settings'!$C$23,"ddd m/d")&amp;IF('Settings'!$D$23&gt;'Settings'!$C$23," – "&amp;TEXT('Settings'!$D$23,"ddd m/d"),"")</f>
        <v/>
      </c>
      <c r="D5" s="36">
        <f>IF(COUNTIF(C20:C30,"&gt;0")=0,"No gifts yet",COUNTIF(C20:C30,"&gt;0")&amp;" grade winners (see below)")</f>
        <v/>
      </c>
      <c r="E5" s="37">
        <f>IF(AsOfDate&lt;'Settings'!$C$23,"Upcoming",IF(AsOfDate&lt;='Settings'!$D$23,"LIVE","Final"))</f>
        <v/>
      </c>
      <c r="F5" s="38">
        <f>'Settings'!$G$23</f>
        <v/>
      </c>
    </row>
    <row r="6">
      <c r="A6" s="34">
        <f>'Settings'!$B$24</f>
        <v/>
      </c>
      <c r="B6" s="35">
        <f>'Settings'!$E$24</f>
        <v/>
      </c>
      <c r="C6" s="35">
        <f>TEXT('Settings'!$C$24,"ddd m/d")&amp;IF('Settings'!$D$24&gt;'Settings'!$C$24," – "&amp;TEXT('Settings'!$D$24,"ddd m/d"),"")</f>
        <v/>
      </c>
      <c r="D6" s="36">
        <f>"—"</f>
        <v/>
      </c>
      <c r="E6" s="37">
        <f>IF(AsOfDate&lt;'Settings'!$C$24,"Upcoming",IF(AsOfDate&lt;='Settings'!$D$24,"LIVE","Final"))</f>
        <v/>
      </c>
      <c r="F6" s="38">
        <f>'Settings'!$G$24</f>
        <v/>
      </c>
    </row>
    <row r="7">
      <c r="A7" s="34">
        <f>'Settings'!$B$25</f>
        <v/>
      </c>
      <c r="B7" s="35">
        <f>'Settings'!$E$25</f>
        <v/>
      </c>
      <c r="C7" s="35">
        <f>TEXT('Settings'!$C$25,"ddd m/d")&amp;IF('Settings'!$D$25&gt;'Settings'!$C$25," – "&amp;TEXT('Settings'!$D$25,"ddd m/d"),"")</f>
        <v/>
      </c>
      <c r="D7" s="36">
        <f>IF(T7&lt;=0,"No gifts yet",IF(U7&gt;1,"TIE: "&amp;V7&amp;" / "&amp;W7&amp;IF(U7&gt;2," +"&amp;(U7-2)&amp;" more",""),V7)&amp;" — "&amp;TEXT(T7,"0%"))</f>
        <v/>
      </c>
      <c r="E7" s="37">
        <f>IF(AsOfDate&lt;'Settings'!$C$25,"Upcoming",IF(AsOfDate&lt;='Settings'!$D$25,"LIVE","Final"))</f>
        <v/>
      </c>
      <c r="F7" s="38">
        <f>'Settings'!$G$25</f>
        <v/>
      </c>
      <c r="T7">
        <f>MAX('By Class'!$AI$5:$AI$44)</f>
        <v/>
      </c>
      <c r="U7">
        <f>COUNTIF('By Class'!$AI$5:$AI$44,T7)</f>
        <v/>
      </c>
      <c r="V7">
        <f>IFERROR(INDEX('By Class'!$A$5:$A$44,MATCH(T7,'By Class'!$AI$5:$AI$44,0)),"")</f>
        <v/>
      </c>
      <c r="W7">
        <f t="array" ref="W7">IF(U7&lt;2,"",INDEX('By Class'!$A$5:$A$44,SMALL(IF('By Class'!$AI$5:$AI$44=T7,ROW('By Class'!$AI$5:$AI$44)-4,999),2)))</f>
        <v/>
      </c>
    </row>
    <row r="8">
      <c r="A8" s="34">
        <f>'Settings'!$B$26</f>
        <v/>
      </c>
      <c r="B8" s="35">
        <f>'Settings'!$E$26</f>
        <v/>
      </c>
      <c r="C8" s="35">
        <f>TEXT('Settings'!$C$26,"ddd m/d")&amp;IF('Settings'!$D$26&gt;'Settings'!$C$26," – "&amp;TEXT('Settings'!$D$26,"ddd m/d"),"")</f>
        <v/>
      </c>
      <c r="D8" s="36">
        <f>IF(COUNTIF('Students'!$AR$2:$AR$701,"&gt;0")=0,"No gifts yet",COUNTIF('Students'!$AR$2:$AR$701,"&gt;0")&amp;" students eligible — draw "&amp;N('Settings'!$F$26)&amp;" names (list below)")</f>
        <v/>
      </c>
      <c r="E8" s="37">
        <f>IF(AsOfDate&lt;'Settings'!$C$26,"Upcoming",IF(AsOfDate&lt;='Settings'!$D$26,"LIVE","Final"))</f>
        <v/>
      </c>
      <c r="F8" s="38">
        <f>'Settings'!$G$26</f>
        <v/>
      </c>
    </row>
    <row r="9">
      <c r="A9" s="34">
        <f>'Settings'!$B$27</f>
        <v/>
      </c>
      <c r="B9" s="35">
        <f>'Settings'!$E$27</f>
        <v/>
      </c>
      <c r="C9" s="35">
        <f>TEXT('Settings'!$C$27,"ddd m/d")&amp;IF('Settings'!$D$27&gt;'Settings'!$C$27," – "&amp;TEXT('Settings'!$D$27,"ddd m/d"),"")</f>
        <v/>
      </c>
      <c r="D9" s="36">
        <f>IF(T9&lt;=0,"No gifts yet",IF(U9&gt;1,"TIE: "&amp;V9&amp;" / "&amp;W9&amp;IF(U9&gt;2," +"&amp;(U9-2)&amp;" more",""),V9)&amp;" — "&amp;TEXT(T9,"0%"))</f>
        <v/>
      </c>
      <c r="E9" s="37">
        <f>IF(AsOfDate&lt;'Settings'!$C$27,"Upcoming",IF(AsOfDate&lt;='Settings'!$D$27,"LIVE","Final"))</f>
        <v/>
      </c>
      <c r="F9" s="38">
        <f>'Settings'!$G$27</f>
        <v/>
      </c>
      <c r="T9">
        <f>MAX('By Class'!$AK$5:$AK$44)</f>
        <v/>
      </c>
      <c r="U9">
        <f>COUNTIF('By Class'!$AK$5:$AK$44,T9)</f>
        <v/>
      </c>
      <c r="V9">
        <f>IFERROR(INDEX('By Class'!$A$5:$A$44,MATCH(T9,'By Class'!$AK$5:$AK$44,0)),"")</f>
        <v/>
      </c>
      <c r="W9">
        <f t="array" ref="W9">IF(U9&lt;2,"",INDEX('By Class'!$A$5:$A$44,SMALL(IF('By Class'!$AK$5:$AK$44=T9,ROW('By Class'!$AK$5:$AK$44)-4,999),2)))</f>
        <v/>
      </c>
    </row>
    <row r="10">
      <c r="A10" s="34">
        <f>'Settings'!$B$28</f>
        <v/>
      </c>
      <c r="B10" s="35">
        <f>'Settings'!$E$28</f>
        <v/>
      </c>
      <c r="C10" s="35">
        <f>TEXT('Settings'!$C$28,"ddd m/d")&amp;IF('Settings'!$D$28&gt;'Settings'!$C$28," – "&amp;TEXT('Settings'!$D$28,"ddd m/d"),"")</f>
        <v/>
      </c>
      <c r="D10" s="36">
        <f>IF(COUNTIF(C263:C302,"&gt;0")=0,"No gifts yet",COUNTIF(C263:C302,"&gt;0")&amp;" class winners (see below)")</f>
        <v/>
      </c>
      <c r="E10" s="37">
        <f>IF(AsOfDate&lt;'Settings'!$C$28,"Upcoming",IF(AsOfDate&lt;='Settings'!$D$28,"LIVE","Final"))</f>
        <v/>
      </c>
      <c r="F10" s="38">
        <f>'Settings'!$G$28</f>
        <v/>
      </c>
    </row>
    <row r="11">
      <c r="A11" s="34">
        <f>'Settings'!$B$29</f>
        <v/>
      </c>
      <c r="B11" s="35">
        <f>'Settings'!$E$29</f>
        <v/>
      </c>
      <c r="C11" s="35">
        <f>TEXT('Settings'!$C$29,"ddd m/d")&amp;IF('Settings'!$D$29&gt;'Settings'!$C$29," – "&amp;TEXT('Settings'!$D$29,"ddd m/d"),"")</f>
        <v/>
      </c>
      <c r="D11" s="36">
        <f>IF(B306&lt;=0,"No gifts yet",IF(B306=B307,"TIE: "&amp;A306&amp;" / "&amp;A307,A306)&amp;" — "&amp;TEXT(B306,"$#,##0"))</f>
        <v/>
      </c>
      <c r="E11" s="37">
        <f>IF(AsOfDate&lt;'Settings'!$C$29,"Upcoming",IF(AsOfDate&lt;='Settings'!$D$29,"LIVE","Final"))</f>
        <v/>
      </c>
      <c r="F11" s="38">
        <f>'Settings'!$G$29</f>
        <v/>
      </c>
    </row>
    <row r="12">
      <c r="A12" s="34">
        <f>'Settings'!$B$30</f>
        <v/>
      </c>
      <c r="B12" s="35">
        <f>'Settings'!$E$30</f>
        <v/>
      </c>
      <c r="C12" s="35">
        <f>TEXT('Settings'!$C$30,"ddd m/d")&amp;IF('Settings'!$D$30&gt;'Settings'!$C$30," – "&amp;TEXT('Settings'!$D$30,"ddd m/d"),"")</f>
        <v/>
      </c>
      <c r="D12" s="36">
        <f>IF(IF(StudentsN=0,0,COUNTIF('Students'!$AV$2:$AV$701,"&gt;0")/StudentsN)&gt;=N('Settings'!$F$30),"HIT ✔ ",IF(AsOfDate&gt;'Settings'!$D$30,"Missed: ","Not yet: "))&amp;TEXT(IF(StudentsN=0,0,COUNTIF('Students'!$AV$2:$AV$701,"&gt;0")/StudentsN),"0%")&amp;" of "&amp;TEXT(N('Settings'!$F$30),"0%")</f>
        <v/>
      </c>
      <c r="E12" s="37">
        <f>IF(AsOfDate&lt;'Settings'!$C$30,"Upcoming",IF(AsOfDate&lt;='Settings'!$D$30,"LIVE","Final"))</f>
        <v/>
      </c>
      <c r="F12" s="38">
        <f>'Settings'!$G$30</f>
        <v/>
      </c>
    </row>
    <row r="13">
      <c r="A13" s="34">
        <f>'Settings'!$B$31</f>
        <v/>
      </c>
      <c r="B13" s="35">
        <f>'Settings'!$E$31</f>
        <v/>
      </c>
      <c r="C13" s="35">
        <f>TEXT('Settings'!$C$31,"ddd m/d")&amp;IF('Settings'!$D$31&gt;'Settings'!$C$31," – "&amp;TEXT('Settings'!$D$31,"ddd m/d"),"")</f>
        <v/>
      </c>
      <c r="D13" s="36">
        <f>"—"</f>
        <v/>
      </c>
      <c r="E13" s="37">
        <f>IF(AsOfDate&lt;'Settings'!$C$31,"Upcoming",IF(AsOfDate&lt;='Settings'!$D$31,"LIVE","Final"))</f>
        <v/>
      </c>
      <c r="F13" s="38">
        <f>'Settings'!$G$31</f>
        <v/>
      </c>
    </row>
    <row r="14">
      <c r="A14" s="34">
        <f>'Settings'!$B$32</f>
        <v/>
      </c>
      <c r="B14" s="35">
        <f>'Settings'!$E$32</f>
        <v/>
      </c>
      <c r="C14" s="35">
        <f>TEXT('Settings'!$C$32,"ddd m/d")&amp;IF('Settings'!$D$32&gt;'Settings'!$C$32," – "&amp;TEXT('Settings'!$D$32,"ddd m/d"),"")</f>
        <v/>
      </c>
      <c r="D14" s="36">
        <f>"—"</f>
        <v/>
      </c>
      <c r="E14" s="37">
        <f>IF(AsOfDate&lt;'Settings'!$C$32,"Upcoming",IF(AsOfDate&lt;='Settings'!$D$32,"LIVE","Final"))</f>
        <v/>
      </c>
      <c r="F14" s="38">
        <f>'Settings'!$G$32</f>
        <v/>
      </c>
    </row>
    <row r="15">
      <c r="A15" s="34">
        <f>'Settings'!$B$33</f>
        <v/>
      </c>
      <c r="B15" s="35">
        <f>'Settings'!$E$33</f>
        <v/>
      </c>
      <c r="C15" s="35">
        <f>TEXT('Settings'!$C$33,"ddd m/d")&amp;IF('Settings'!$D$33&gt;'Settings'!$C$33," – "&amp;TEXT('Settings'!$D$33,"ddd m/d"),"")</f>
        <v/>
      </c>
      <c r="D15" s="36">
        <f>"—"</f>
        <v/>
      </c>
      <c r="E15" s="37">
        <f>IF(AsOfDate&lt;'Settings'!$C$33,"Upcoming",IF(AsOfDate&lt;='Settings'!$D$33,"LIVE","Final"))</f>
        <v/>
      </c>
      <c r="F15" s="38">
        <f>'Settings'!$G$33</f>
        <v/>
      </c>
    </row>
    <row r="16">
      <c r="A16" s="34">
        <f>'Settings'!$B$34</f>
        <v/>
      </c>
      <c r="B16" s="35">
        <f>'Settings'!$E$34</f>
        <v/>
      </c>
      <c r="C16" s="35">
        <f>TEXT('Settings'!$C$34,"ddd m/d")&amp;IF('Settings'!$D$34&gt;'Settings'!$C$34," – "&amp;TEXT('Settings'!$D$34,"ddd m/d"),"")</f>
        <v/>
      </c>
      <c r="D16" s="36">
        <f>IF(SUM('Students'!$AZ$2:$AZ$701)&gt;=N('Settings'!$F$34),"HIT ✔ ",IF(AsOfDate&gt;'Settings'!$D$34,"Missed: ","Not yet: "))&amp;TEXT(SUM('Students'!$AZ$2:$AZ$701),"$#,##0")&amp;" of "&amp;TEXT(N('Settings'!$F$34),"$#,##0")</f>
        <v/>
      </c>
      <c r="E16" s="37">
        <f>IF(AsOfDate&lt;'Settings'!$C$34,"Upcoming",IF(AsOfDate&lt;='Settings'!$D$34,"LIVE","Final"))</f>
        <v/>
      </c>
      <c r="F16" s="38">
        <f>'Settings'!$G$34</f>
        <v/>
      </c>
    </row>
    <row r="18">
      <c r="A18" s="39">
        <f>'Settings'!$B$23&amp;": top class in each grade"</f>
        <v/>
      </c>
    </row>
    <row r="19" ht="30" customHeight="1">
      <c r="A19" s="33" t="inlineStr">
        <is>
          <t>Grade</t>
        </is>
      </c>
      <c r="B19" s="33" t="inlineStr">
        <is>
          <t>Winning class</t>
        </is>
      </c>
      <c r="C19" s="33" t="inlineStr">
        <is>
          <t>Raised</t>
        </is>
      </c>
    </row>
    <row r="20">
      <c r="A20" s="35" t="inlineStr">
        <is>
          <t>Grade P3</t>
        </is>
      </c>
      <c r="B20" s="35">
        <f t="array" ref="B20">IF(C20&lt;=0,"—",IF(COUNTIFS('By Class'!$C$5:$C$44,$T20,'By Class'!$AG$5:$AG$44,C20)&gt;1,"TIE: ","")&amp;INDEX('By Class'!$A$5:$A$44,SMALL(IF(('By Class'!$C$5:$C$44=$T20)*('By Class'!$AG$5:$AG$44=C20),ROW('By Class'!$AG$5:$AG$44)-4,999),1))&amp;IF(COUNTIFS('By Class'!$C$5:$C$44,$T20,'By Class'!$AG$5:$AG$44,C20)&gt;1," / "&amp;INDEX('By Class'!$A$5:$A$44,SMALL(IF(('By Class'!$C$5:$C$44=$T20)*('By Class'!$AG$5:$AG$44=C20),ROW('By Class'!$AG$5:$AG$44)-4,999),2)),""))</f>
        <v/>
      </c>
      <c r="C20" s="40">
        <f t="array" ref="C20">MAX(IF('By Class'!$C$5:$C$44=$T20,'By Class'!$AG$5:$AG$44,-1))</f>
        <v/>
      </c>
      <c r="T20" t="inlineStr">
        <is>
          <t>P3</t>
        </is>
      </c>
    </row>
    <row r="21">
      <c r="A21" s="35" t="inlineStr">
        <is>
          <t>Grade P4</t>
        </is>
      </c>
      <c r="B21" s="35">
        <f t="array" ref="B21">IF(C21&lt;=0,"—",IF(COUNTIFS('By Class'!$C$5:$C$44,$T21,'By Class'!$AG$5:$AG$44,C21)&gt;1,"TIE: ","")&amp;INDEX('By Class'!$A$5:$A$44,SMALL(IF(('By Class'!$C$5:$C$44=$T21)*('By Class'!$AG$5:$AG$44=C21),ROW('By Class'!$AG$5:$AG$44)-4,999),1))&amp;IF(COUNTIFS('By Class'!$C$5:$C$44,$T21,'By Class'!$AG$5:$AG$44,C21)&gt;1," / "&amp;INDEX('By Class'!$A$5:$A$44,SMALL(IF(('By Class'!$C$5:$C$44=$T21)*('By Class'!$AG$5:$AG$44=C21),ROW('By Class'!$AG$5:$AG$44)-4,999),2)),""))</f>
        <v/>
      </c>
      <c r="C21" s="40">
        <f t="array" ref="C21">MAX(IF('By Class'!$C$5:$C$44=$T21,'By Class'!$AG$5:$AG$44,-1))</f>
        <v/>
      </c>
      <c r="T21" t="inlineStr">
        <is>
          <t>P4</t>
        </is>
      </c>
    </row>
    <row r="22">
      <c r="A22" s="35" t="inlineStr">
        <is>
          <t>Grade K</t>
        </is>
      </c>
      <c r="B22" s="35">
        <f t="array" ref="B22">IF(C22&lt;=0,"—",IF(COUNTIFS('By Class'!$C$5:$C$44,$T22,'By Class'!$AG$5:$AG$44,C22)&gt;1,"TIE: ","")&amp;INDEX('By Class'!$A$5:$A$44,SMALL(IF(('By Class'!$C$5:$C$44=$T22)*('By Class'!$AG$5:$AG$44=C22),ROW('By Class'!$AG$5:$AG$44)-4,999),1))&amp;IF(COUNTIFS('By Class'!$C$5:$C$44,$T22,'By Class'!$AG$5:$AG$44,C22)&gt;1," / "&amp;INDEX('By Class'!$A$5:$A$44,SMALL(IF(('By Class'!$C$5:$C$44=$T22)*('By Class'!$AG$5:$AG$44=C22),ROW('By Class'!$AG$5:$AG$44)-4,999),2)),""))</f>
        <v/>
      </c>
      <c r="C22" s="40">
        <f t="array" ref="C22">MAX(IF('By Class'!$C$5:$C$44=$T22,'By Class'!$AG$5:$AG$44,-1))</f>
        <v/>
      </c>
      <c r="T22" t="inlineStr">
        <is>
          <t>K</t>
        </is>
      </c>
    </row>
    <row r="23">
      <c r="A23" s="35" t="inlineStr">
        <is>
          <t>Grade 1</t>
        </is>
      </c>
      <c r="B23" s="35">
        <f t="array" ref="B23">IF(C23&lt;=0,"—",IF(COUNTIFS('By Class'!$C$5:$C$44,$T23,'By Class'!$AG$5:$AG$44,C23)&gt;1,"TIE: ","")&amp;INDEX('By Class'!$A$5:$A$44,SMALL(IF(('By Class'!$C$5:$C$44=$T23)*('By Class'!$AG$5:$AG$44=C23),ROW('By Class'!$AG$5:$AG$44)-4,999),1))&amp;IF(COUNTIFS('By Class'!$C$5:$C$44,$T23,'By Class'!$AG$5:$AG$44,C23)&gt;1," / "&amp;INDEX('By Class'!$A$5:$A$44,SMALL(IF(('By Class'!$C$5:$C$44=$T23)*('By Class'!$AG$5:$AG$44=C23),ROW('By Class'!$AG$5:$AG$44)-4,999),2)),""))</f>
        <v/>
      </c>
      <c r="C23" s="40">
        <f t="array" ref="C23">MAX(IF('By Class'!$C$5:$C$44=$T23,'By Class'!$AG$5:$AG$44,-1))</f>
        <v/>
      </c>
      <c r="T23" t="inlineStr">
        <is>
          <t>1</t>
        </is>
      </c>
    </row>
    <row r="24">
      <c r="A24" s="35" t="inlineStr">
        <is>
          <t>Grade 2</t>
        </is>
      </c>
      <c r="B24" s="35">
        <f t="array" ref="B24">IF(C24&lt;=0,"—",IF(COUNTIFS('By Class'!$C$5:$C$44,$T24,'By Class'!$AG$5:$AG$44,C24)&gt;1,"TIE: ","")&amp;INDEX('By Class'!$A$5:$A$44,SMALL(IF(('By Class'!$C$5:$C$44=$T24)*('By Class'!$AG$5:$AG$44=C24),ROW('By Class'!$AG$5:$AG$44)-4,999),1))&amp;IF(COUNTIFS('By Class'!$C$5:$C$44,$T24,'By Class'!$AG$5:$AG$44,C24)&gt;1," / "&amp;INDEX('By Class'!$A$5:$A$44,SMALL(IF(('By Class'!$C$5:$C$44=$T24)*('By Class'!$AG$5:$AG$44=C24),ROW('By Class'!$AG$5:$AG$44)-4,999),2)),""))</f>
        <v/>
      </c>
      <c r="C24" s="40">
        <f t="array" ref="C24">MAX(IF('By Class'!$C$5:$C$44=$T24,'By Class'!$AG$5:$AG$44,-1))</f>
        <v/>
      </c>
      <c r="T24" t="inlineStr">
        <is>
          <t>2</t>
        </is>
      </c>
    </row>
    <row r="25">
      <c r="A25" s="35" t="inlineStr">
        <is>
          <t>Grade 3</t>
        </is>
      </c>
      <c r="B25" s="35">
        <f t="array" ref="B25">IF(C25&lt;=0,"—",IF(COUNTIFS('By Class'!$C$5:$C$44,$T25,'By Class'!$AG$5:$AG$44,C25)&gt;1,"TIE: ","")&amp;INDEX('By Class'!$A$5:$A$44,SMALL(IF(('By Class'!$C$5:$C$44=$T25)*('By Class'!$AG$5:$AG$44=C25),ROW('By Class'!$AG$5:$AG$44)-4,999),1))&amp;IF(COUNTIFS('By Class'!$C$5:$C$44,$T25,'By Class'!$AG$5:$AG$44,C25)&gt;1," / "&amp;INDEX('By Class'!$A$5:$A$44,SMALL(IF(('By Class'!$C$5:$C$44=$T25)*('By Class'!$AG$5:$AG$44=C25),ROW('By Class'!$AG$5:$AG$44)-4,999),2)),""))</f>
        <v/>
      </c>
      <c r="C25" s="40">
        <f t="array" ref="C25">MAX(IF('By Class'!$C$5:$C$44=$T25,'By Class'!$AG$5:$AG$44,-1))</f>
        <v/>
      </c>
      <c r="T25" t="inlineStr">
        <is>
          <t>3</t>
        </is>
      </c>
    </row>
    <row r="26">
      <c r="A26" s="35" t="inlineStr">
        <is>
          <t>Grade 4</t>
        </is>
      </c>
      <c r="B26" s="35">
        <f t="array" ref="B26">IF(C26&lt;=0,"—",IF(COUNTIFS('By Class'!$C$5:$C$44,$T26,'By Class'!$AG$5:$AG$44,C26)&gt;1,"TIE: ","")&amp;INDEX('By Class'!$A$5:$A$44,SMALL(IF(('By Class'!$C$5:$C$44=$T26)*('By Class'!$AG$5:$AG$44=C26),ROW('By Class'!$AG$5:$AG$44)-4,999),1))&amp;IF(COUNTIFS('By Class'!$C$5:$C$44,$T26,'By Class'!$AG$5:$AG$44,C26)&gt;1," / "&amp;INDEX('By Class'!$A$5:$A$44,SMALL(IF(('By Class'!$C$5:$C$44=$T26)*('By Class'!$AG$5:$AG$44=C26),ROW('By Class'!$AG$5:$AG$44)-4,999),2)),""))</f>
        <v/>
      </c>
      <c r="C26" s="40">
        <f t="array" ref="C26">MAX(IF('By Class'!$C$5:$C$44=$T26,'By Class'!$AG$5:$AG$44,-1))</f>
        <v/>
      </c>
      <c r="T26" t="inlineStr">
        <is>
          <t>4</t>
        </is>
      </c>
    </row>
    <row r="27">
      <c r="A27" s="35" t="inlineStr">
        <is>
          <t>Grade 5</t>
        </is>
      </c>
      <c r="B27" s="35">
        <f t="array" ref="B27">IF(C27&lt;=0,"—",IF(COUNTIFS('By Class'!$C$5:$C$44,$T27,'By Class'!$AG$5:$AG$44,C27)&gt;1,"TIE: ","")&amp;INDEX('By Class'!$A$5:$A$44,SMALL(IF(('By Class'!$C$5:$C$44=$T27)*('By Class'!$AG$5:$AG$44=C27),ROW('By Class'!$AG$5:$AG$44)-4,999),1))&amp;IF(COUNTIFS('By Class'!$C$5:$C$44,$T27,'By Class'!$AG$5:$AG$44,C27)&gt;1," / "&amp;INDEX('By Class'!$A$5:$A$44,SMALL(IF(('By Class'!$C$5:$C$44=$T27)*('By Class'!$AG$5:$AG$44=C27),ROW('By Class'!$AG$5:$AG$44)-4,999),2)),""))</f>
        <v/>
      </c>
      <c r="C27" s="40">
        <f t="array" ref="C27">MAX(IF('By Class'!$C$5:$C$44=$T27,'By Class'!$AG$5:$AG$44,-1))</f>
        <v/>
      </c>
      <c r="T27" t="inlineStr">
        <is>
          <t>5</t>
        </is>
      </c>
    </row>
    <row r="28">
      <c r="A28" s="35" t="inlineStr">
        <is>
          <t>Grade 6</t>
        </is>
      </c>
      <c r="B28" s="35">
        <f t="array" ref="B28">IF(C28&lt;=0,"—",IF(COUNTIFS('By Class'!$C$5:$C$44,$T28,'By Class'!$AG$5:$AG$44,C28)&gt;1,"TIE: ","")&amp;INDEX('By Class'!$A$5:$A$44,SMALL(IF(('By Class'!$C$5:$C$44=$T28)*('By Class'!$AG$5:$AG$44=C28),ROW('By Class'!$AG$5:$AG$44)-4,999),1))&amp;IF(COUNTIFS('By Class'!$C$5:$C$44,$T28,'By Class'!$AG$5:$AG$44,C28)&gt;1," / "&amp;INDEX('By Class'!$A$5:$A$44,SMALL(IF(('By Class'!$C$5:$C$44=$T28)*('By Class'!$AG$5:$AG$44=C28),ROW('By Class'!$AG$5:$AG$44)-4,999),2)),""))</f>
        <v/>
      </c>
      <c r="C28" s="40">
        <f t="array" ref="C28">MAX(IF('By Class'!$C$5:$C$44=$T28,'By Class'!$AG$5:$AG$44,-1))</f>
        <v/>
      </c>
      <c r="T28" t="inlineStr">
        <is>
          <t>6</t>
        </is>
      </c>
    </row>
    <row r="29">
      <c r="A29" s="35" t="inlineStr">
        <is>
          <t>Grade 7</t>
        </is>
      </c>
      <c r="B29" s="35">
        <f t="array" ref="B29">IF(C29&lt;=0,"—",IF(COUNTIFS('By Class'!$C$5:$C$44,$T29,'By Class'!$AG$5:$AG$44,C29)&gt;1,"TIE: ","")&amp;INDEX('By Class'!$A$5:$A$44,SMALL(IF(('By Class'!$C$5:$C$44=$T29)*('By Class'!$AG$5:$AG$44=C29),ROW('By Class'!$AG$5:$AG$44)-4,999),1))&amp;IF(COUNTIFS('By Class'!$C$5:$C$44,$T29,'By Class'!$AG$5:$AG$44,C29)&gt;1," / "&amp;INDEX('By Class'!$A$5:$A$44,SMALL(IF(('By Class'!$C$5:$C$44=$T29)*('By Class'!$AG$5:$AG$44=C29),ROW('By Class'!$AG$5:$AG$44)-4,999),2)),""))</f>
        <v/>
      </c>
      <c r="C29" s="40">
        <f t="array" ref="C29">MAX(IF('By Class'!$C$5:$C$44=$T29,'By Class'!$AG$5:$AG$44,-1))</f>
        <v/>
      </c>
      <c r="T29" t="inlineStr">
        <is>
          <t>7</t>
        </is>
      </c>
    </row>
    <row r="30">
      <c r="A30" s="35" t="inlineStr">
        <is>
          <t>Grade 8</t>
        </is>
      </c>
      <c r="B30" s="35">
        <f t="array" ref="B30">IF(C30&lt;=0,"—",IF(COUNTIFS('By Class'!$C$5:$C$44,$T30,'By Class'!$AG$5:$AG$44,C30)&gt;1,"TIE: ","")&amp;INDEX('By Class'!$A$5:$A$44,SMALL(IF(('By Class'!$C$5:$C$44=$T30)*('By Class'!$AG$5:$AG$44=C30),ROW('By Class'!$AG$5:$AG$44)-4,999),1))&amp;IF(COUNTIFS('By Class'!$C$5:$C$44,$T30,'By Class'!$AG$5:$AG$44,C30)&gt;1," / "&amp;INDEX('By Class'!$A$5:$A$44,SMALL(IF(('By Class'!$C$5:$C$44=$T30)*('By Class'!$AG$5:$AG$44=C30),ROW('By Class'!$AG$5:$AG$44)-4,999),2)),""))</f>
        <v/>
      </c>
      <c r="C30" s="40">
        <f t="array" ref="C30">MAX(IF('By Class'!$C$5:$C$44=$T30,'By Class'!$AG$5:$AG$44,-1))</f>
        <v/>
      </c>
      <c r="T30" t="inlineStr">
        <is>
          <t>8</t>
        </is>
      </c>
    </row>
    <row r="32">
      <c r="A32" s="39">
        <f>'Settings'!$B$25&amp;": class participation (top 10)"</f>
        <v/>
      </c>
    </row>
    <row r="33" ht="30" customHeight="1">
      <c r="A33" s="33" t="inlineStr">
        <is>
          <t>Class</t>
        </is>
      </c>
      <c r="B33" s="33" t="inlineStr">
        <is>
          <t>Participation</t>
        </is>
      </c>
      <c r="C33" s="33" t="inlineStr">
        <is>
          <t>Rank</t>
        </is>
      </c>
    </row>
    <row r="34">
      <c r="A34" s="35">
        <f>IFERROR(IF(LARGE('By Class'!$AV$5:$AV$44,1)&lt;0,"",INDEX('By Class'!$A$5:$A$44,MATCH(LARGE('By Class'!$AV$5:$AV$44,1),'By Class'!$AV$5:$AV$44,0))),"")</f>
        <v/>
      </c>
      <c r="B34" s="41">
        <f>IFERROR(IF(LARGE('By Class'!$AV$5:$AV$44,1)&lt;0,"",INDEX('By Class'!$AI$5:$AI$44,MATCH(LARGE('By Class'!$AV$5:$AV$44,1),'By Class'!$AV$5:$AV$44,0))),"")</f>
        <v/>
      </c>
      <c r="C34" s="37">
        <f>IF(A34="","",1)</f>
        <v/>
      </c>
    </row>
    <row r="35">
      <c r="A35" s="35">
        <f>IFERROR(IF(LARGE('By Class'!$AV$5:$AV$44,2)&lt;0,"",INDEX('By Class'!$A$5:$A$44,MATCH(LARGE('By Class'!$AV$5:$AV$44,2),'By Class'!$AV$5:$AV$44,0))),"")</f>
        <v/>
      </c>
      <c r="B35" s="41">
        <f>IFERROR(IF(LARGE('By Class'!$AV$5:$AV$44,2)&lt;0,"",INDEX('By Class'!$AI$5:$AI$44,MATCH(LARGE('By Class'!$AV$5:$AV$44,2),'By Class'!$AV$5:$AV$44,0))),"")</f>
        <v/>
      </c>
      <c r="C35" s="37">
        <f>IF(A35="","",2)</f>
        <v/>
      </c>
    </row>
    <row r="36">
      <c r="A36" s="35">
        <f>IFERROR(IF(LARGE('By Class'!$AV$5:$AV$44,3)&lt;0,"",INDEX('By Class'!$A$5:$A$44,MATCH(LARGE('By Class'!$AV$5:$AV$44,3),'By Class'!$AV$5:$AV$44,0))),"")</f>
        <v/>
      </c>
      <c r="B36" s="41">
        <f>IFERROR(IF(LARGE('By Class'!$AV$5:$AV$44,3)&lt;0,"",INDEX('By Class'!$AI$5:$AI$44,MATCH(LARGE('By Class'!$AV$5:$AV$44,3),'By Class'!$AV$5:$AV$44,0))),"")</f>
        <v/>
      </c>
      <c r="C36" s="37">
        <f>IF(A36="","",3)</f>
        <v/>
      </c>
    </row>
    <row r="37">
      <c r="A37" s="35">
        <f>IFERROR(IF(LARGE('By Class'!$AV$5:$AV$44,4)&lt;0,"",INDEX('By Class'!$A$5:$A$44,MATCH(LARGE('By Class'!$AV$5:$AV$44,4),'By Class'!$AV$5:$AV$44,0))),"")</f>
        <v/>
      </c>
      <c r="B37" s="41">
        <f>IFERROR(IF(LARGE('By Class'!$AV$5:$AV$44,4)&lt;0,"",INDEX('By Class'!$AI$5:$AI$44,MATCH(LARGE('By Class'!$AV$5:$AV$44,4),'By Class'!$AV$5:$AV$44,0))),"")</f>
        <v/>
      </c>
      <c r="C37" s="37">
        <f>IF(A37="","",4)</f>
        <v/>
      </c>
    </row>
    <row r="38">
      <c r="A38" s="35">
        <f>IFERROR(IF(LARGE('By Class'!$AV$5:$AV$44,5)&lt;0,"",INDEX('By Class'!$A$5:$A$44,MATCH(LARGE('By Class'!$AV$5:$AV$44,5),'By Class'!$AV$5:$AV$44,0))),"")</f>
        <v/>
      </c>
      <c r="B38" s="41">
        <f>IFERROR(IF(LARGE('By Class'!$AV$5:$AV$44,5)&lt;0,"",INDEX('By Class'!$AI$5:$AI$44,MATCH(LARGE('By Class'!$AV$5:$AV$44,5),'By Class'!$AV$5:$AV$44,0))),"")</f>
        <v/>
      </c>
      <c r="C38" s="37">
        <f>IF(A38="","",5)</f>
        <v/>
      </c>
    </row>
    <row r="39">
      <c r="A39" s="35">
        <f>IFERROR(IF(LARGE('By Class'!$AV$5:$AV$44,6)&lt;0,"",INDEX('By Class'!$A$5:$A$44,MATCH(LARGE('By Class'!$AV$5:$AV$44,6),'By Class'!$AV$5:$AV$44,0))),"")</f>
        <v/>
      </c>
      <c r="B39" s="41">
        <f>IFERROR(IF(LARGE('By Class'!$AV$5:$AV$44,6)&lt;0,"",INDEX('By Class'!$AI$5:$AI$44,MATCH(LARGE('By Class'!$AV$5:$AV$44,6),'By Class'!$AV$5:$AV$44,0))),"")</f>
        <v/>
      </c>
      <c r="C39" s="37">
        <f>IF(A39="","",6)</f>
        <v/>
      </c>
    </row>
    <row r="40">
      <c r="A40" s="35">
        <f>IFERROR(IF(LARGE('By Class'!$AV$5:$AV$44,7)&lt;0,"",INDEX('By Class'!$A$5:$A$44,MATCH(LARGE('By Class'!$AV$5:$AV$44,7),'By Class'!$AV$5:$AV$44,0))),"")</f>
        <v/>
      </c>
      <c r="B40" s="41">
        <f>IFERROR(IF(LARGE('By Class'!$AV$5:$AV$44,7)&lt;0,"",INDEX('By Class'!$AI$5:$AI$44,MATCH(LARGE('By Class'!$AV$5:$AV$44,7),'By Class'!$AV$5:$AV$44,0))),"")</f>
        <v/>
      </c>
      <c r="C40" s="37">
        <f>IF(A40="","",7)</f>
        <v/>
      </c>
    </row>
    <row r="41">
      <c r="A41" s="35">
        <f>IFERROR(IF(LARGE('By Class'!$AV$5:$AV$44,8)&lt;0,"",INDEX('By Class'!$A$5:$A$44,MATCH(LARGE('By Class'!$AV$5:$AV$44,8),'By Class'!$AV$5:$AV$44,0))),"")</f>
        <v/>
      </c>
      <c r="B41" s="41">
        <f>IFERROR(IF(LARGE('By Class'!$AV$5:$AV$44,8)&lt;0,"",INDEX('By Class'!$AI$5:$AI$44,MATCH(LARGE('By Class'!$AV$5:$AV$44,8),'By Class'!$AV$5:$AV$44,0))),"")</f>
        <v/>
      </c>
      <c r="C41" s="37">
        <f>IF(A41="","",8)</f>
        <v/>
      </c>
    </row>
    <row r="42">
      <c r="A42" s="35">
        <f>IFERROR(IF(LARGE('By Class'!$AV$5:$AV$44,9)&lt;0,"",INDEX('By Class'!$A$5:$A$44,MATCH(LARGE('By Class'!$AV$5:$AV$44,9),'By Class'!$AV$5:$AV$44,0))),"")</f>
        <v/>
      </c>
      <c r="B42" s="41">
        <f>IFERROR(IF(LARGE('By Class'!$AV$5:$AV$44,9)&lt;0,"",INDEX('By Class'!$AI$5:$AI$44,MATCH(LARGE('By Class'!$AV$5:$AV$44,9),'By Class'!$AV$5:$AV$44,0))),"")</f>
        <v/>
      </c>
      <c r="C42" s="37">
        <f>IF(A42="","",9)</f>
        <v/>
      </c>
    </row>
    <row r="43">
      <c r="A43" s="35">
        <f>IFERROR(IF(LARGE('By Class'!$AV$5:$AV$44,10)&lt;0,"",INDEX('By Class'!$A$5:$A$44,MATCH(LARGE('By Class'!$AV$5:$AV$44,10),'By Class'!$AV$5:$AV$44,0))),"")</f>
        <v/>
      </c>
      <c r="B43" s="41">
        <f>IFERROR(IF(LARGE('By Class'!$AV$5:$AV$44,10)&lt;0,"",INDEX('By Class'!$AI$5:$AI$44,MATCH(LARGE('By Class'!$AV$5:$AV$44,10),'By Class'!$AV$5:$AV$44,0))),"")</f>
        <v/>
      </c>
      <c r="C43" s="37">
        <f>IF(A43="","",10)</f>
        <v/>
      </c>
    </row>
    <row r="45">
      <c r="A45" s="39">
        <f>'Settings'!$B$26&amp;": eligible students (gave that day)"</f>
        <v/>
      </c>
    </row>
    <row r="46" ht="30" customHeight="1">
      <c r="A46" s="33" t="inlineStr">
        <is>
          <t>Student</t>
        </is>
      </c>
      <c r="B46" s="33" t="inlineStr">
        <is>
          <t>Class</t>
        </is>
      </c>
      <c r="C46" s="33" t="inlineStr">
        <is>
          <t>#</t>
        </is>
      </c>
    </row>
    <row r="47">
      <c r="A47">
        <f>IF(T47=99999,"",INDEX('Students'!$A$2:$A$701,T47))</f>
        <v/>
      </c>
      <c r="B47">
        <f>IF(T47=99999,"",INDEX('Students'!$B$2:$B$701,T47))</f>
        <v/>
      </c>
      <c r="C47" s="42">
        <f>IF(A47="","",1)</f>
        <v/>
      </c>
      <c r="D47" s="43" t="inlineStr">
        <is>
          <t>Draw names from this list (pick random numbers from the # column).</t>
        </is>
      </c>
      <c r="T47">
        <f t="array" ref="T47">IFERROR(SMALL(IF('Students'!$AR$2:$AR$701&gt;0,ROW('Students'!$AR$2:$AR$701)-1,99999),1),99999)</f>
        <v/>
      </c>
    </row>
    <row r="48">
      <c r="A48">
        <f>IF(T48=99999,"",INDEX('Students'!$A$2:$A$701,T48))</f>
        <v/>
      </c>
      <c r="B48">
        <f>IF(T48=99999,"",INDEX('Students'!$B$2:$B$701,T48))</f>
        <v/>
      </c>
      <c r="C48" s="42">
        <f>IF(A48="","",2)</f>
        <v/>
      </c>
      <c r="T48">
        <f t="array" ref="T48">IFERROR(SMALL(IF('Students'!$AR$2:$AR$701&gt;0,ROW('Students'!$AR$2:$AR$701)-1,99999),2),99999)</f>
        <v/>
      </c>
    </row>
    <row r="49">
      <c r="A49">
        <f>IF(T49=99999,"",INDEX('Students'!$A$2:$A$701,T49))</f>
        <v/>
      </c>
      <c r="B49">
        <f>IF(T49=99999,"",INDEX('Students'!$B$2:$B$701,T49))</f>
        <v/>
      </c>
      <c r="C49" s="42">
        <f>IF(A49="","",3)</f>
        <v/>
      </c>
      <c r="T49">
        <f t="array" ref="T49">IFERROR(SMALL(IF('Students'!$AR$2:$AR$701&gt;0,ROW('Students'!$AR$2:$AR$701)-1,99999),3),99999)</f>
        <v/>
      </c>
    </row>
    <row r="50">
      <c r="A50">
        <f>IF(T50=99999,"",INDEX('Students'!$A$2:$A$701,T50))</f>
        <v/>
      </c>
      <c r="B50">
        <f>IF(T50=99999,"",INDEX('Students'!$B$2:$B$701,T50))</f>
        <v/>
      </c>
      <c r="C50" s="42">
        <f>IF(A50="","",4)</f>
        <v/>
      </c>
      <c r="T50">
        <f t="array" ref="T50">IFERROR(SMALL(IF('Students'!$AR$2:$AR$701&gt;0,ROW('Students'!$AR$2:$AR$701)-1,99999),4),99999)</f>
        <v/>
      </c>
    </row>
    <row r="51">
      <c r="A51">
        <f>IF(T51=99999,"",INDEX('Students'!$A$2:$A$701,T51))</f>
        <v/>
      </c>
      <c r="B51">
        <f>IF(T51=99999,"",INDEX('Students'!$B$2:$B$701,T51))</f>
        <v/>
      </c>
      <c r="C51" s="42">
        <f>IF(A51="","",5)</f>
        <v/>
      </c>
      <c r="T51">
        <f t="array" ref="T51">IFERROR(SMALL(IF('Students'!$AR$2:$AR$701&gt;0,ROW('Students'!$AR$2:$AR$701)-1,99999),5),99999)</f>
        <v/>
      </c>
    </row>
    <row r="52">
      <c r="A52">
        <f>IF(T52=99999,"",INDEX('Students'!$A$2:$A$701,T52))</f>
        <v/>
      </c>
      <c r="B52">
        <f>IF(T52=99999,"",INDEX('Students'!$B$2:$B$701,T52))</f>
        <v/>
      </c>
      <c r="C52" s="42">
        <f>IF(A52="","",6)</f>
        <v/>
      </c>
      <c r="T52">
        <f t="array" ref="T52">IFERROR(SMALL(IF('Students'!$AR$2:$AR$701&gt;0,ROW('Students'!$AR$2:$AR$701)-1,99999),6),99999)</f>
        <v/>
      </c>
    </row>
    <row r="53">
      <c r="A53">
        <f>IF(T53=99999,"",INDEX('Students'!$A$2:$A$701,T53))</f>
        <v/>
      </c>
      <c r="B53">
        <f>IF(T53=99999,"",INDEX('Students'!$B$2:$B$701,T53))</f>
        <v/>
      </c>
      <c r="C53" s="42">
        <f>IF(A53="","",7)</f>
        <v/>
      </c>
      <c r="T53">
        <f t="array" ref="T53">IFERROR(SMALL(IF('Students'!$AR$2:$AR$701&gt;0,ROW('Students'!$AR$2:$AR$701)-1,99999),7),99999)</f>
        <v/>
      </c>
    </row>
    <row r="54">
      <c r="A54">
        <f>IF(T54=99999,"",INDEX('Students'!$A$2:$A$701,T54))</f>
        <v/>
      </c>
      <c r="B54">
        <f>IF(T54=99999,"",INDEX('Students'!$B$2:$B$701,T54))</f>
        <v/>
      </c>
      <c r="C54" s="42">
        <f>IF(A54="","",8)</f>
        <v/>
      </c>
      <c r="T54">
        <f t="array" ref="T54">IFERROR(SMALL(IF('Students'!$AR$2:$AR$701&gt;0,ROW('Students'!$AR$2:$AR$701)-1,99999),8),99999)</f>
        <v/>
      </c>
    </row>
    <row r="55">
      <c r="A55">
        <f>IF(T55=99999,"",INDEX('Students'!$A$2:$A$701,T55))</f>
        <v/>
      </c>
      <c r="B55">
        <f>IF(T55=99999,"",INDEX('Students'!$B$2:$B$701,T55))</f>
        <v/>
      </c>
      <c r="C55" s="42">
        <f>IF(A55="","",9)</f>
        <v/>
      </c>
      <c r="T55">
        <f t="array" ref="T55">IFERROR(SMALL(IF('Students'!$AR$2:$AR$701&gt;0,ROW('Students'!$AR$2:$AR$701)-1,99999),9),99999)</f>
        <v/>
      </c>
    </row>
    <row r="56">
      <c r="A56">
        <f>IF(T56=99999,"",INDEX('Students'!$A$2:$A$701,T56))</f>
        <v/>
      </c>
      <c r="B56">
        <f>IF(T56=99999,"",INDEX('Students'!$B$2:$B$701,T56))</f>
        <v/>
      </c>
      <c r="C56" s="42">
        <f>IF(A56="","",10)</f>
        <v/>
      </c>
      <c r="T56">
        <f t="array" ref="T56">IFERROR(SMALL(IF('Students'!$AR$2:$AR$701&gt;0,ROW('Students'!$AR$2:$AR$701)-1,99999),10),99999)</f>
        <v/>
      </c>
    </row>
    <row r="57">
      <c r="A57">
        <f>IF(T57=99999,"",INDEX('Students'!$A$2:$A$701,T57))</f>
        <v/>
      </c>
      <c r="B57">
        <f>IF(T57=99999,"",INDEX('Students'!$B$2:$B$701,T57))</f>
        <v/>
      </c>
      <c r="C57" s="42">
        <f>IF(A57="","",11)</f>
        <v/>
      </c>
      <c r="T57">
        <f t="array" ref="T57">IFERROR(SMALL(IF('Students'!$AR$2:$AR$701&gt;0,ROW('Students'!$AR$2:$AR$701)-1,99999),11),99999)</f>
        <v/>
      </c>
    </row>
    <row r="58">
      <c r="A58">
        <f>IF(T58=99999,"",INDEX('Students'!$A$2:$A$701,T58))</f>
        <v/>
      </c>
      <c r="B58">
        <f>IF(T58=99999,"",INDEX('Students'!$B$2:$B$701,T58))</f>
        <v/>
      </c>
      <c r="C58" s="42">
        <f>IF(A58="","",12)</f>
        <v/>
      </c>
      <c r="T58">
        <f t="array" ref="T58">IFERROR(SMALL(IF('Students'!$AR$2:$AR$701&gt;0,ROW('Students'!$AR$2:$AR$701)-1,99999),12),99999)</f>
        <v/>
      </c>
    </row>
    <row r="59">
      <c r="A59">
        <f>IF(T59=99999,"",INDEX('Students'!$A$2:$A$701,T59))</f>
        <v/>
      </c>
      <c r="B59">
        <f>IF(T59=99999,"",INDEX('Students'!$B$2:$B$701,T59))</f>
        <v/>
      </c>
      <c r="C59" s="42">
        <f>IF(A59="","",13)</f>
        <v/>
      </c>
      <c r="T59">
        <f t="array" ref="T59">IFERROR(SMALL(IF('Students'!$AR$2:$AR$701&gt;0,ROW('Students'!$AR$2:$AR$701)-1,99999),13),99999)</f>
        <v/>
      </c>
    </row>
    <row r="60">
      <c r="A60">
        <f>IF(T60=99999,"",INDEX('Students'!$A$2:$A$701,T60))</f>
        <v/>
      </c>
      <c r="B60">
        <f>IF(T60=99999,"",INDEX('Students'!$B$2:$B$701,T60))</f>
        <v/>
      </c>
      <c r="C60" s="42">
        <f>IF(A60="","",14)</f>
        <v/>
      </c>
      <c r="T60">
        <f t="array" ref="T60">IFERROR(SMALL(IF('Students'!$AR$2:$AR$701&gt;0,ROW('Students'!$AR$2:$AR$701)-1,99999),14),99999)</f>
        <v/>
      </c>
    </row>
    <row r="61">
      <c r="A61">
        <f>IF(T61=99999,"",INDEX('Students'!$A$2:$A$701,T61))</f>
        <v/>
      </c>
      <c r="B61">
        <f>IF(T61=99999,"",INDEX('Students'!$B$2:$B$701,T61))</f>
        <v/>
      </c>
      <c r="C61" s="42">
        <f>IF(A61="","",15)</f>
        <v/>
      </c>
      <c r="T61">
        <f t="array" ref="T61">IFERROR(SMALL(IF('Students'!$AR$2:$AR$701&gt;0,ROW('Students'!$AR$2:$AR$701)-1,99999),15),99999)</f>
        <v/>
      </c>
    </row>
    <row r="62">
      <c r="A62">
        <f>IF(T62=99999,"",INDEX('Students'!$A$2:$A$701,T62))</f>
        <v/>
      </c>
      <c r="B62">
        <f>IF(T62=99999,"",INDEX('Students'!$B$2:$B$701,T62))</f>
        <v/>
      </c>
      <c r="C62" s="42">
        <f>IF(A62="","",16)</f>
        <v/>
      </c>
      <c r="T62">
        <f t="array" ref="T62">IFERROR(SMALL(IF('Students'!$AR$2:$AR$701&gt;0,ROW('Students'!$AR$2:$AR$701)-1,99999),16),99999)</f>
        <v/>
      </c>
    </row>
    <row r="63">
      <c r="A63">
        <f>IF(T63=99999,"",INDEX('Students'!$A$2:$A$701,T63))</f>
        <v/>
      </c>
      <c r="B63">
        <f>IF(T63=99999,"",INDEX('Students'!$B$2:$B$701,T63))</f>
        <v/>
      </c>
      <c r="C63" s="42">
        <f>IF(A63="","",17)</f>
        <v/>
      </c>
      <c r="T63">
        <f t="array" ref="T63">IFERROR(SMALL(IF('Students'!$AR$2:$AR$701&gt;0,ROW('Students'!$AR$2:$AR$701)-1,99999),17),99999)</f>
        <v/>
      </c>
    </row>
    <row r="64">
      <c r="A64">
        <f>IF(T64=99999,"",INDEX('Students'!$A$2:$A$701,T64))</f>
        <v/>
      </c>
      <c r="B64">
        <f>IF(T64=99999,"",INDEX('Students'!$B$2:$B$701,T64))</f>
        <v/>
      </c>
      <c r="C64" s="42">
        <f>IF(A64="","",18)</f>
        <v/>
      </c>
      <c r="T64">
        <f t="array" ref="T64">IFERROR(SMALL(IF('Students'!$AR$2:$AR$701&gt;0,ROW('Students'!$AR$2:$AR$701)-1,99999),18),99999)</f>
        <v/>
      </c>
    </row>
    <row r="65">
      <c r="A65">
        <f>IF(T65=99999,"",INDEX('Students'!$A$2:$A$701,T65))</f>
        <v/>
      </c>
      <c r="B65">
        <f>IF(T65=99999,"",INDEX('Students'!$B$2:$B$701,T65))</f>
        <v/>
      </c>
      <c r="C65" s="42">
        <f>IF(A65="","",19)</f>
        <v/>
      </c>
      <c r="T65">
        <f t="array" ref="T65">IFERROR(SMALL(IF('Students'!$AR$2:$AR$701&gt;0,ROW('Students'!$AR$2:$AR$701)-1,99999),19),99999)</f>
        <v/>
      </c>
    </row>
    <row r="66">
      <c r="A66">
        <f>IF(T66=99999,"",INDEX('Students'!$A$2:$A$701,T66))</f>
        <v/>
      </c>
      <c r="B66">
        <f>IF(T66=99999,"",INDEX('Students'!$B$2:$B$701,T66))</f>
        <v/>
      </c>
      <c r="C66" s="42">
        <f>IF(A66="","",20)</f>
        <v/>
      </c>
      <c r="T66">
        <f t="array" ref="T66">IFERROR(SMALL(IF('Students'!$AR$2:$AR$701&gt;0,ROW('Students'!$AR$2:$AR$701)-1,99999),20),99999)</f>
        <v/>
      </c>
    </row>
    <row r="67">
      <c r="A67">
        <f>IF(T67=99999,"",INDEX('Students'!$A$2:$A$701,T67))</f>
        <v/>
      </c>
      <c r="B67">
        <f>IF(T67=99999,"",INDEX('Students'!$B$2:$B$701,T67))</f>
        <v/>
      </c>
      <c r="C67" s="42">
        <f>IF(A67="","",21)</f>
        <v/>
      </c>
      <c r="T67">
        <f t="array" ref="T67">IFERROR(SMALL(IF('Students'!$AR$2:$AR$701&gt;0,ROW('Students'!$AR$2:$AR$701)-1,99999),21),99999)</f>
        <v/>
      </c>
    </row>
    <row r="68">
      <c r="A68">
        <f>IF(T68=99999,"",INDEX('Students'!$A$2:$A$701,T68))</f>
        <v/>
      </c>
      <c r="B68">
        <f>IF(T68=99999,"",INDEX('Students'!$B$2:$B$701,T68))</f>
        <v/>
      </c>
      <c r="C68" s="42">
        <f>IF(A68="","",22)</f>
        <v/>
      </c>
      <c r="T68">
        <f t="array" ref="T68">IFERROR(SMALL(IF('Students'!$AR$2:$AR$701&gt;0,ROW('Students'!$AR$2:$AR$701)-1,99999),22),99999)</f>
        <v/>
      </c>
    </row>
    <row r="69">
      <c r="A69">
        <f>IF(T69=99999,"",INDEX('Students'!$A$2:$A$701,T69))</f>
        <v/>
      </c>
      <c r="B69">
        <f>IF(T69=99999,"",INDEX('Students'!$B$2:$B$701,T69))</f>
        <v/>
      </c>
      <c r="C69" s="42">
        <f>IF(A69="","",23)</f>
        <v/>
      </c>
      <c r="T69">
        <f t="array" ref="T69">IFERROR(SMALL(IF('Students'!$AR$2:$AR$701&gt;0,ROW('Students'!$AR$2:$AR$701)-1,99999),23),99999)</f>
        <v/>
      </c>
    </row>
    <row r="70">
      <c r="A70">
        <f>IF(T70=99999,"",INDEX('Students'!$A$2:$A$701,T70))</f>
        <v/>
      </c>
      <c r="B70">
        <f>IF(T70=99999,"",INDEX('Students'!$B$2:$B$701,T70))</f>
        <v/>
      </c>
      <c r="C70" s="42">
        <f>IF(A70="","",24)</f>
        <v/>
      </c>
      <c r="T70">
        <f t="array" ref="T70">IFERROR(SMALL(IF('Students'!$AR$2:$AR$701&gt;0,ROW('Students'!$AR$2:$AR$701)-1,99999),24),99999)</f>
        <v/>
      </c>
    </row>
    <row r="71">
      <c r="A71">
        <f>IF(T71=99999,"",INDEX('Students'!$A$2:$A$701,T71))</f>
        <v/>
      </c>
      <c r="B71">
        <f>IF(T71=99999,"",INDEX('Students'!$B$2:$B$701,T71))</f>
        <v/>
      </c>
      <c r="C71" s="42">
        <f>IF(A71="","",25)</f>
        <v/>
      </c>
      <c r="T71">
        <f t="array" ref="T71">IFERROR(SMALL(IF('Students'!$AR$2:$AR$701&gt;0,ROW('Students'!$AR$2:$AR$701)-1,99999),25),99999)</f>
        <v/>
      </c>
    </row>
    <row r="72">
      <c r="A72">
        <f>IF(T72=99999,"",INDEX('Students'!$A$2:$A$701,T72))</f>
        <v/>
      </c>
      <c r="B72">
        <f>IF(T72=99999,"",INDEX('Students'!$B$2:$B$701,T72))</f>
        <v/>
      </c>
      <c r="C72" s="42">
        <f>IF(A72="","",26)</f>
        <v/>
      </c>
      <c r="T72">
        <f t="array" ref="T72">IFERROR(SMALL(IF('Students'!$AR$2:$AR$701&gt;0,ROW('Students'!$AR$2:$AR$701)-1,99999),26),99999)</f>
        <v/>
      </c>
    </row>
    <row r="73">
      <c r="A73">
        <f>IF(T73=99999,"",INDEX('Students'!$A$2:$A$701,T73))</f>
        <v/>
      </c>
      <c r="B73">
        <f>IF(T73=99999,"",INDEX('Students'!$B$2:$B$701,T73))</f>
        <v/>
      </c>
      <c r="C73" s="42">
        <f>IF(A73="","",27)</f>
        <v/>
      </c>
      <c r="T73">
        <f t="array" ref="T73">IFERROR(SMALL(IF('Students'!$AR$2:$AR$701&gt;0,ROW('Students'!$AR$2:$AR$701)-1,99999),27),99999)</f>
        <v/>
      </c>
    </row>
    <row r="74">
      <c r="A74">
        <f>IF(T74=99999,"",INDEX('Students'!$A$2:$A$701,T74))</f>
        <v/>
      </c>
      <c r="B74">
        <f>IF(T74=99999,"",INDEX('Students'!$B$2:$B$701,T74))</f>
        <v/>
      </c>
      <c r="C74" s="42">
        <f>IF(A74="","",28)</f>
        <v/>
      </c>
      <c r="T74">
        <f t="array" ref="T74">IFERROR(SMALL(IF('Students'!$AR$2:$AR$701&gt;0,ROW('Students'!$AR$2:$AR$701)-1,99999),28),99999)</f>
        <v/>
      </c>
    </row>
    <row r="75">
      <c r="A75">
        <f>IF(T75=99999,"",INDEX('Students'!$A$2:$A$701,T75))</f>
        <v/>
      </c>
      <c r="B75">
        <f>IF(T75=99999,"",INDEX('Students'!$B$2:$B$701,T75))</f>
        <v/>
      </c>
      <c r="C75" s="42">
        <f>IF(A75="","",29)</f>
        <v/>
      </c>
      <c r="T75">
        <f t="array" ref="T75">IFERROR(SMALL(IF('Students'!$AR$2:$AR$701&gt;0,ROW('Students'!$AR$2:$AR$701)-1,99999),29),99999)</f>
        <v/>
      </c>
    </row>
    <row r="76">
      <c r="A76">
        <f>IF(T76=99999,"",INDEX('Students'!$A$2:$A$701,T76))</f>
        <v/>
      </c>
      <c r="B76">
        <f>IF(T76=99999,"",INDEX('Students'!$B$2:$B$701,T76))</f>
        <v/>
      </c>
      <c r="C76" s="42">
        <f>IF(A76="","",30)</f>
        <v/>
      </c>
      <c r="T76">
        <f t="array" ref="T76">IFERROR(SMALL(IF('Students'!$AR$2:$AR$701&gt;0,ROW('Students'!$AR$2:$AR$701)-1,99999),30),99999)</f>
        <v/>
      </c>
    </row>
    <row r="77">
      <c r="A77">
        <f>IF(T77=99999,"",INDEX('Students'!$A$2:$A$701,T77))</f>
        <v/>
      </c>
      <c r="B77">
        <f>IF(T77=99999,"",INDEX('Students'!$B$2:$B$701,T77))</f>
        <v/>
      </c>
      <c r="C77" s="42">
        <f>IF(A77="","",31)</f>
        <v/>
      </c>
      <c r="T77">
        <f t="array" ref="T77">IFERROR(SMALL(IF('Students'!$AR$2:$AR$701&gt;0,ROW('Students'!$AR$2:$AR$701)-1,99999),31),99999)</f>
        <v/>
      </c>
    </row>
    <row r="78">
      <c r="A78">
        <f>IF(T78=99999,"",INDEX('Students'!$A$2:$A$701,T78))</f>
        <v/>
      </c>
      <c r="B78">
        <f>IF(T78=99999,"",INDEX('Students'!$B$2:$B$701,T78))</f>
        <v/>
      </c>
      <c r="C78" s="42">
        <f>IF(A78="","",32)</f>
        <v/>
      </c>
      <c r="T78">
        <f t="array" ref="T78">IFERROR(SMALL(IF('Students'!$AR$2:$AR$701&gt;0,ROW('Students'!$AR$2:$AR$701)-1,99999),32),99999)</f>
        <v/>
      </c>
    </row>
    <row r="79">
      <c r="A79">
        <f>IF(T79=99999,"",INDEX('Students'!$A$2:$A$701,T79))</f>
        <v/>
      </c>
      <c r="B79">
        <f>IF(T79=99999,"",INDEX('Students'!$B$2:$B$701,T79))</f>
        <v/>
      </c>
      <c r="C79" s="42">
        <f>IF(A79="","",33)</f>
        <v/>
      </c>
      <c r="T79">
        <f t="array" ref="T79">IFERROR(SMALL(IF('Students'!$AR$2:$AR$701&gt;0,ROW('Students'!$AR$2:$AR$701)-1,99999),33),99999)</f>
        <v/>
      </c>
    </row>
    <row r="80">
      <c r="A80">
        <f>IF(T80=99999,"",INDEX('Students'!$A$2:$A$701,T80))</f>
        <v/>
      </c>
      <c r="B80">
        <f>IF(T80=99999,"",INDEX('Students'!$B$2:$B$701,T80))</f>
        <v/>
      </c>
      <c r="C80" s="42">
        <f>IF(A80="","",34)</f>
        <v/>
      </c>
      <c r="T80">
        <f t="array" ref="T80">IFERROR(SMALL(IF('Students'!$AR$2:$AR$701&gt;0,ROW('Students'!$AR$2:$AR$701)-1,99999),34),99999)</f>
        <v/>
      </c>
    </row>
    <row r="81">
      <c r="A81">
        <f>IF(T81=99999,"",INDEX('Students'!$A$2:$A$701,T81))</f>
        <v/>
      </c>
      <c r="B81">
        <f>IF(T81=99999,"",INDEX('Students'!$B$2:$B$701,T81))</f>
        <v/>
      </c>
      <c r="C81" s="42">
        <f>IF(A81="","",35)</f>
        <v/>
      </c>
      <c r="T81">
        <f t="array" ref="T81">IFERROR(SMALL(IF('Students'!$AR$2:$AR$701&gt;0,ROW('Students'!$AR$2:$AR$701)-1,99999),35),99999)</f>
        <v/>
      </c>
    </row>
    <row r="82">
      <c r="A82">
        <f>IF(T82=99999,"",INDEX('Students'!$A$2:$A$701,T82))</f>
        <v/>
      </c>
      <c r="B82">
        <f>IF(T82=99999,"",INDEX('Students'!$B$2:$B$701,T82))</f>
        <v/>
      </c>
      <c r="C82" s="42">
        <f>IF(A82="","",36)</f>
        <v/>
      </c>
      <c r="T82">
        <f t="array" ref="T82">IFERROR(SMALL(IF('Students'!$AR$2:$AR$701&gt;0,ROW('Students'!$AR$2:$AR$701)-1,99999),36),99999)</f>
        <v/>
      </c>
    </row>
    <row r="83">
      <c r="A83">
        <f>IF(T83=99999,"",INDEX('Students'!$A$2:$A$701,T83))</f>
        <v/>
      </c>
      <c r="B83">
        <f>IF(T83=99999,"",INDEX('Students'!$B$2:$B$701,T83))</f>
        <v/>
      </c>
      <c r="C83" s="42">
        <f>IF(A83="","",37)</f>
        <v/>
      </c>
      <c r="T83">
        <f t="array" ref="T83">IFERROR(SMALL(IF('Students'!$AR$2:$AR$701&gt;0,ROW('Students'!$AR$2:$AR$701)-1,99999),37),99999)</f>
        <v/>
      </c>
    </row>
    <row r="84">
      <c r="A84">
        <f>IF(T84=99999,"",INDEX('Students'!$A$2:$A$701,T84))</f>
        <v/>
      </c>
      <c r="B84">
        <f>IF(T84=99999,"",INDEX('Students'!$B$2:$B$701,T84))</f>
        <v/>
      </c>
      <c r="C84" s="42">
        <f>IF(A84="","",38)</f>
        <v/>
      </c>
      <c r="T84">
        <f t="array" ref="T84">IFERROR(SMALL(IF('Students'!$AR$2:$AR$701&gt;0,ROW('Students'!$AR$2:$AR$701)-1,99999),38),99999)</f>
        <v/>
      </c>
    </row>
    <row r="85">
      <c r="A85">
        <f>IF(T85=99999,"",INDEX('Students'!$A$2:$A$701,T85))</f>
        <v/>
      </c>
      <c r="B85">
        <f>IF(T85=99999,"",INDEX('Students'!$B$2:$B$701,T85))</f>
        <v/>
      </c>
      <c r="C85" s="42">
        <f>IF(A85="","",39)</f>
        <v/>
      </c>
      <c r="T85">
        <f t="array" ref="T85">IFERROR(SMALL(IF('Students'!$AR$2:$AR$701&gt;0,ROW('Students'!$AR$2:$AR$701)-1,99999),39),99999)</f>
        <v/>
      </c>
    </row>
    <row r="86">
      <c r="A86">
        <f>IF(T86=99999,"",INDEX('Students'!$A$2:$A$701,T86))</f>
        <v/>
      </c>
      <c r="B86">
        <f>IF(T86=99999,"",INDEX('Students'!$B$2:$B$701,T86))</f>
        <v/>
      </c>
      <c r="C86" s="42">
        <f>IF(A86="","",40)</f>
        <v/>
      </c>
      <c r="T86">
        <f t="array" ref="T86">IFERROR(SMALL(IF('Students'!$AR$2:$AR$701&gt;0,ROW('Students'!$AR$2:$AR$701)-1,99999),40),99999)</f>
        <v/>
      </c>
    </row>
    <row r="87">
      <c r="A87">
        <f>IF(T87=99999,"",INDEX('Students'!$A$2:$A$701,T87))</f>
        <v/>
      </c>
      <c r="B87">
        <f>IF(T87=99999,"",INDEX('Students'!$B$2:$B$701,T87))</f>
        <v/>
      </c>
      <c r="C87" s="42">
        <f>IF(A87="","",41)</f>
        <v/>
      </c>
      <c r="T87">
        <f t="array" ref="T87">IFERROR(SMALL(IF('Students'!$AR$2:$AR$701&gt;0,ROW('Students'!$AR$2:$AR$701)-1,99999),41),99999)</f>
        <v/>
      </c>
    </row>
    <row r="88">
      <c r="A88">
        <f>IF(T88=99999,"",INDEX('Students'!$A$2:$A$701,T88))</f>
        <v/>
      </c>
      <c r="B88">
        <f>IF(T88=99999,"",INDEX('Students'!$B$2:$B$701,T88))</f>
        <v/>
      </c>
      <c r="C88" s="42">
        <f>IF(A88="","",42)</f>
        <v/>
      </c>
      <c r="T88">
        <f t="array" ref="T88">IFERROR(SMALL(IF('Students'!$AR$2:$AR$701&gt;0,ROW('Students'!$AR$2:$AR$701)-1,99999),42),99999)</f>
        <v/>
      </c>
    </row>
    <row r="89">
      <c r="A89">
        <f>IF(T89=99999,"",INDEX('Students'!$A$2:$A$701,T89))</f>
        <v/>
      </c>
      <c r="B89">
        <f>IF(T89=99999,"",INDEX('Students'!$B$2:$B$701,T89))</f>
        <v/>
      </c>
      <c r="C89" s="42">
        <f>IF(A89="","",43)</f>
        <v/>
      </c>
      <c r="T89">
        <f t="array" ref="T89">IFERROR(SMALL(IF('Students'!$AR$2:$AR$701&gt;0,ROW('Students'!$AR$2:$AR$701)-1,99999),43),99999)</f>
        <v/>
      </c>
    </row>
    <row r="90">
      <c r="A90">
        <f>IF(T90=99999,"",INDEX('Students'!$A$2:$A$701,T90))</f>
        <v/>
      </c>
      <c r="B90">
        <f>IF(T90=99999,"",INDEX('Students'!$B$2:$B$701,T90))</f>
        <v/>
      </c>
      <c r="C90" s="42">
        <f>IF(A90="","",44)</f>
        <v/>
      </c>
      <c r="T90">
        <f t="array" ref="T90">IFERROR(SMALL(IF('Students'!$AR$2:$AR$701&gt;0,ROW('Students'!$AR$2:$AR$701)-1,99999),44),99999)</f>
        <v/>
      </c>
    </row>
    <row r="91">
      <c r="A91">
        <f>IF(T91=99999,"",INDEX('Students'!$A$2:$A$701,T91))</f>
        <v/>
      </c>
      <c r="B91">
        <f>IF(T91=99999,"",INDEX('Students'!$B$2:$B$701,T91))</f>
        <v/>
      </c>
      <c r="C91" s="42">
        <f>IF(A91="","",45)</f>
        <v/>
      </c>
      <c r="T91">
        <f t="array" ref="T91">IFERROR(SMALL(IF('Students'!$AR$2:$AR$701&gt;0,ROW('Students'!$AR$2:$AR$701)-1,99999),45),99999)</f>
        <v/>
      </c>
    </row>
    <row r="92">
      <c r="A92">
        <f>IF(T92=99999,"",INDEX('Students'!$A$2:$A$701,T92))</f>
        <v/>
      </c>
      <c r="B92">
        <f>IF(T92=99999,"",INDEX('Students'!$B$2:$B$701,T92))</f>
        <v/>
      </c>
      <c r="C92" s="42">
        <f>IF(A92="","",46)</f>
        <v/>
      </c>
      <c r="T92">
        <f t="array" ref="T92">IFERROR(SMALL(IF('Students'!$AR$2:$AR$701&gt;0,ROW('Students'!$AR$2:$AR$701)-1,99999),46),99999)</f>
        <v/>
      </c>
    </row>
    <row r="93">
      <c r="A93">
        <f>IF(T93=99999,"",INDEX('Students'!$A$2:$A$701,T93))</f>
        <v/>
      </c>
      <c r="B93">
        <f>IF(T93=99999,"",INDEX('Students'!$B$2:$B$701,T93))</f>
        <v/>
      </c>
      <c r="C93" s="42">
        <f>IF(A93="","",47)</f>
        <v/>
      </c>
      <c r="T93">
        <f t="array" ref="T93">IFERROR(SMALL(IF('Students'!$AR$2:$AR$701&gt;0,ROW('Students'!$AR$2:$AR$701)-1,99999),47),99999)</f>
        <v/>
      </c>
    </row>
    <row r="94">
      <c r="A94">
        <f>IF(T94=99999,"",INDEX('Students'!$A$2:$A$701,T94))</f>
        <v/>
      </c>
      <c r="B94">
        <f>IF(T94=99999,"",INDEX('Students'!$B$2:$B$701,T94))</f>
        <v/>
      </c>
      <c r="C94" s="42">
        <f>IF(A94="","",48)</f>
        <v/>
      </c>
      <c r="T94">
        <f t="array" ref="T94">IFERROR(SMALL(IF('Students'!$AR$2:$AR$701&gt;0,ROW('Students'!$AR$2:$AR$701)-1,99999),48),99999)</f>
        <v/>
      </c>
    </row>
    <row r="95">
      <c r="A95">
        <f>IF(T95=99999,"",INDEX('Students'!$A$2:$A$701,T95))</f>
        <v/>
      </c>
      <c r="B95">
        <f>IF(T95=99999,"",INDEX('Students'!$B$2:$B$701,T95))</f>
        <v/>
      </c>
      <c r="C95" s="42">
        <f>IF(A95="","",49)</f>
        <v/>
      </c>
      <c r="T95">
        <f t="array" ref="T95">IFERROR(SMALL(IF('Students'!$AR$2:$AR$701&gt;0,ROW('Students'!$AR$2:$AR$701)-1,99999),49),99999)</f>
        <v/>
      </c>
    </row>
    <row r="96">
      <c r="A96">
        <f>IF(T96=99999,"",INDEX('Students'!$A$2:$A$701,T96))</f>
        <v/>
      </c>
      <c r="B96">
        <f>IF(T96=99999,"",INDEX('Students'!$B$2:$B$701,T96))</f>
        <v/>
      </c>
      <c r="C96" s="42">
        <f>IF(A96="","",50)</f>
        <v/>
      </c>
      <c r="T96">
        <f t="array" ref="T96">IFERROR(SMALL(IF('Students'!$AR$2:$AR$701&gt;0,ROW('Students'!$AR$2:$AR$701)-1,99999),50),99999)</f>
        <v/>
      </c>
    </row>
    <row r="97">
      <c r="A97">
        <f>IF(T97=99999,"",INDEX('Students'!$A$2:$A$701,T97))</f>
        <v/>
      </c>
      <c r="B97">
        <f>IF(T97=99999,"",INDEX('Students'!$B$2:$B$701,T97))</f>
        <v/>
      </c>
      <c r="C97" s="42">
        <f>IF(A97="","",51)</f>
        <v/>
      </c>
      <c r="T97">
        <f t="array" ref="T97">IFERROR(SMALL(IF('Students'!$AR$2:$AR$701&gt;0,ROW('Students'!$AR$2:$AR$701)-1,99999),51),99999)</f>
        <v/>
      </c>
    </row>
    <row r="98">
      <c r="A98">
        <f>IF(T98=99999,"",INDEX('Students'!$A$2:$A$701,T98))</f>
        <v/>
      </c>
      <c r="B98">
        <f>IF(T98=99999,"",INDEX('Students'!$B$2:$B$701,T98))</f>
        <v/>
      </c>
      <c r="C98" s="42">
        <f>IF(A98="","",52)</f>
        <v/>
      </c>
      <c r="T98">
        <f t="array" ref="T98">IFERROR(SMALL(IF('Students'!$AR$2:$AR$701&gt;0,ROW('Students'!$AR$2:$AR$701)-1,99999),52),99999)</f>
        <v/>
      </c>
    </row>
    <row r="99">
      <c r="A99">
        <f>IF(T99=99999,"",INDEX('Students'!$A$2:$A$701,T99))</f>
        <v/>
      </c>
      <c r="B99">
        <f>IF(T99=99999,"",INDEX('Students'!$B$2:$B$701,T99))</f>
        <v/>
      </c>
      <c r="C99" s="42">
        <f>IF(A99="","",53)</f>
        <v/>
      </c>
      <c r="T99">
        <f t="array" ref="T99">IFERROR(SMALL(IF('Students'!$AR$2:$AR$701&gt;0,ROW('Students'!$AR$2:$AR$701)-1,99999),53),99999)</f>
        <v/>
      </c>
    </row>
    <row r="100">
      <c r="A100">
        <f>IF(T100=99999,"",INDEX('Students'!$A$2:$A$701,T100))</f>
        <v/>
      </c>
      <c r="B100">
        <f>IF(T100=99999,"",INDEX('Students'!$B$2:$B$701,T100))</f>
        <v/>
      </c>
      <c r="C100" s="42">
        <f>IF(A100="","",54)</f>
        <v/>
      </c>
      <c r="T100">
        <f t="array" ref="T100">IFERROR(SMALL(IF('Students'!$AR$2:$AR$701&gt;0,ROW('Students'!$AR$2:$AR$701)-1,99999),54),99999)</f>
        <v/>
      </c>
    </row>
    <row r="101">
      <c r="A101">
        <f>IF(T101=99999,"",INDEX('Students'!$A$2:$A$701,T101))</f>
        <v/>
      </c>
      <c r="B101">
        <f>IF(T101=99999,"",INDEX('Students'!$B$2:$B$701,T101))</f>
        <v/>
      </c>
      <c r="C101" s="42">
        <f>IF(A101="","",55)</f>
        <v/>
      </c>
      <c r="T101">
        <f t="array" ref="T101">IFERROR(SMALL(IF('Students'!$AR$2:$AR$701&gt;0,ROW('Students'!$AR$2:$AR$701)-1,99999),55),99999)</f>
        <v/>
      </c>
    </row>
    <row r="102">
      <c r="A102">
        <f>IF(T102=99999,"",INDEX('Students'!$A$2:$A$701,T102))</f>
        <v/>
      </c>
      <c r="B102">
        <f>IF(T102=99999,"",INDEX('Students'!$B$2:$B$701,T102))</f>
        <v/>
      </c>
      <c r="C102" s="42">
        <f>IF(A102="","",56)</f>
        <v/>
      </c>
      <c r="T102">
        <f t="array" ref="T102">IFERROR(SMALL(IF('Students'!$AR$2:$AR$701&gt;0,ROW('Students'!$AR$2:$AR$701)-1,99999),56),99999)</f>
        <v/>
      </c>
    </row>
    <row r="103">
      <c r="A103">
        <f>IF(T103=99999,"",INDEX('Students'!$A$2:$A$701,T103))</f>
        <v/>
      </c>
      <c r="B103">
        <f>IF(T103=99999,"",INDEX('Students'!$B$2:$B$701,T103))</f>
        <v/>
      </c>
      <c r="C103" s="42">
        <f>IF(A103="","",57)</f>
        <v/>
      </c>
      <c r="T103">
        <f t="array" ref="T103">IFERROR(SMALL(IF('Students'!$AR$2:$AR$701&gt;0,ROW('Students'!$AR$2:$AR$701)-1,99999),57),99999)</f>
        <v/>
      </c>
    </row>
    <row r="104">
      <c r="A104">
        <f>IF(T104=99999,"",INDEX('Students'!$A$2:$A$701,T104))</f>
        <v/>
      </c>
      <c r="B104">
        <f>IF(T104=99999,"",INDEX('Students'!$B$2:$B$701,T104))</f>
        <v/>
      </c>
      <c r="C104" s="42">
        <f>IF(A104="","",58)</f>
        <v/>
      </c>
      <c r="T104">
        <f t="array" ref="T104">IFERROR(SMALL(IF('Students'!$AR$2:$AR$701&gt;0,ROW('Students'!$AR$2:$AR$701)-1,99999),58),99999)</f>
        <v/>
      </c>
    </row>
    <row r="105">
      <c r="A105">
        <f>IF(T105=99999,"",INDEX('Students'!$A$2:$A$701,T105))</f>
        <v/>
      </c>
      <c r="B105">
        <f>IF(T105=99999,"",INDEX('Students'!$B$2:$B$701,T105))</f>
        <v/>
      </c>
      <c r="C105" s="42">
        <f>IF(A105="","",59)</f>
        <v/>
      </c>
      <c r="T105">
        <f t="array" ref="T105">IFERROR(SMALL(IF('Students'!$AR$2:$AR$701&gt;0,ROW('Students'!$AR$2:$AR$701)-1,99999),59),99999)</f>
        <v/>
      </c>
    </row>
    <row r="106">
      <c r="A106">
        <f>IF(T106=99999,"",INDEX('Students'!$A$2:$A$701,T106))</f>
        <v/>
      </c>
      <c r="B106">
        <f>IF(T106=99999,"",INDEX('Students'!$B$2:$B$701,T106))</f>
        <v/>
      </c>
      <c r="C106" s="42">
        <f>IF(A106="","",60)</f>
        <v/>
      </c>
      <c r="T106">
        <f t="array" ref="T106">IFERROR(SMALL(IF('Students'!$AR$2:$AR$701&gt;0,ROW('Students'!$AR$2:$AR$701)-1,99999),60),99999)</f>
        <v/>
      </c>
    </row>
    <row r="107">
      <c r="A107">
        <f>IF(T107=99999,"",INDEX('Students'!$A$2:$A$701,T107))</f>
        <v/>
      </c>
      <c r="B107">
        <f>IF(T107=99999,"",INDEX('Students'!$B$2:$B$701,T107))</f>
        <v/>
      </c>
      <c r="C107" s="42">
        <f>IF(A107="","",61)</f>
        <v/>
      </c>
      <c r="T107">
        <f t="array" ref="T107">IFERROR(SMALL(IF('Students'!$AR$2:$AR$701&gt;0,ROW('Students'!$AR$2:$AR$701)-1,99999),61),99999)</f>
        <v/>
      </c>
    </row>
    <row r="108">
      <c r="A108">
        <f>IF(T108=99999,"",INDEX('Students'!$A$2:$A$701,T108))</f>
        <v/>
      </c>
      <c r="B108">
        <f>IF(T108=99999,"",INDEX('Students'!$B$2:$B$701,T108))</f>
        <v/>
      </c>
      <c r="C108" s="42">
        <f>IF(A108="","",62)</f>
        <v/>
      </c>
      <c r="T108">
        <f t="array" ref="T108">IFERROR(SMALL(IF('Students'!$AR$2:$AR$701&gt;0,ROW('Students'!$AR$2:$AR$701)-1,99999),62),99999)</f>
        <v/>
      </c>
    </row>
    <row r="109">
      <c r="A109">
        <f>IF(T109=99999,"",INDEX('Students'!$A$2:$A$701,T109))</f>
        <v/>
      </c>
      <c r="B109">
        <f>IF(T109=99999,"",INDEX('Students'!$B$2:$B$701,T109))</f>
        <v/>
      </c>
      <c r="C109" s="42">
        <f>IF(A109="","",63)</f>
        <v/>
      </c>
      <c r="T109">
        <f t="array" ref="T109">IFERROR(SMALL(IF('Students'!$AR$2:$AR$701&gt;0,ROW('Students'!$AR$2:$AR$701)-1,99999),63),99999)</f>
        <v/>
      </c>
    </row>
    <row r="110">
      <c r="A110">
        <f>IF(T110=99999,"",INDEX('Students'!$A$2:$A$701,T110))</f>
        <v/>
      </c>
      <c r="B110">
        <f>IF(T110=99999,"",INDEX('Students'!$B$2:$B$701,T110))</f>
        <v/>
      </c>
      <c r="C110" s="42">
        <f>IF(A110="","",64)</f>
        <v/>
      </c>
      <c r="T110">
        <f t="array" ref="T110">IFERROR(SMALL(IF('Students'!$AR$2:$AR$701&gt;0,ROW('Students'!$AR$2:$AR$701)-1,99999),64),99999)</f>
        <v/>
      </c>
    </row>
    <row r="111">
      <c r="A111">
        <f>IF(T111=99999,"",INDEX('Students'!$A$2:$A$701,T111))</f>
        <v/>
      </c>
      <c r="B111">
        <f>IF(T111=99999,"",INDEX('Students'!$B$2:$B$701,T111))</f>
        <v/>
      </c>
      <c r="C111" s="42">
        <f>IF(A111="","",65)</f>
        <v/>
      </c>
      <c r="T111">
        <f t="array" ref="T111">IFERROR(SMALL(IF('Students'!$AR$2:$AR$701&gt;0,ROW('Students'!$AR$2:$AR$701)-1,99999),65),99999)</f>
        <v/>
      </c>
    </row>
    <row r="112">
      <c r="A112">
        <f>IF(T112=99999,"",INDEX('Students'!$A$2:$A$701,T112))</f>
        <v/>
      </c>
      <c r="B112">
        <f>IF(T112=99999,"",INDEX('Students'!$B$2:$B$701,T112))</f>
        <v/>
      </c>
      <c r="C112" s="42">
        <f>IF(A112="","",66)</f>
        <v/>
      </c>
      <c r="T112">
        <f t="array" ref="T112">IFERROR(SMALL(IF('Students'!$AR$2:$AR$701&gt;0,ROW('Students'!$AR$2:$AR$701)-1,99999),66),99999)</f>
        <v/>
      </c>
    </row>
    <row r="113">
      <c r="A113">
        <f>IF(T113=99999,"",INDEX('Students'!$A$2:$A$701,T113))</f>
        <v/>
      </c>
      <c r="B113">
        <f>IF(T113=99999,"",INDEX('Students'!$B$2:$B$701,T113))</f>
        <v/>
      </c>
      <c r="C113" s="42">
        <f>IF(A113="","",67)</f>
        <v/>
      </c>
      <c r="T113">
        <f t="array" ref="T113">IFERROR(SMALL(IF('Students'!$AR$2:$AR$701&gt;0,ROW('Students'!$AR$2:$AR$701)-1,99999),67),99999)</f>
        <v/>
      </c>
    </row>
    <row r="114">
      <c r="A114">
        <f>IF(T114=99999,"",INDEX('Students'!$A$2:$A$701,T114))</f>
        <v/>
      </c>
      <c r="B114">
        <f>IF(T114=99999,"",INDEX('Students'!$B$2:$B$701,T114))</f>
        <v/>
      </c>
      <c r="C114" s="42">
        <f>IF(A114="","",68)</f>
        <v/>
      </c>
      <c r="T114">
        <f t="array" ref="T114">IFERROR(SMALL(IF('Students'!$AR$2:$AR$701&gt;0,ROW('Students'!$AR$2:$AR$701)-1,99999),68),99999)</f>
        <v/>
      </c>
    </row>
    <row r="115">
      <c r="A115">
        <f>IF(T115=99999,"",INDEX('Students'!$A$2:$A$701,T115))</f>
        <v/>
      </c>
      <c r="B115">
        <f>IF(T115=99999,"",INDEX('Students'!$B$2:$B$701,T115))</f>
        <v/>
      </c>
      <c r="C115" s="42">
        <f>IF(A115="","",69)</f>
        <v/>
      </c>
      <c r="T115">
        <f t="array" ref="T115">IFERROR(SMALL(IF('Students'!$AR$2:$AR$701&gt;0,ROW('Students'!$AR$2:$AR$701)-1,99999),69),99999)</f>
        <v/>
      </c>
    </row>
    <row r="116">
      <c r="A116">
        <f>IF(T116=99999,"",INDEX('Students'!$A$2:$A$701,T116))</f>
        <v/>
      </c>
      <c r="B116">
        <f>IF(T116=99999,"",INDEX('Students'!$B$2:$B$701,T116))</f>
        <v/>
      </c>
      <c r="C116" s="42">
        <f>IF(A116="","",70)</f>
        <v/>
      </c>
      <c r="T116">
        <f t="array" ref="T116">IFERROR(SMALL(IF('Students'!$AR$2:$AR$701&gt;0,ROW('Students'!$AR$2:$AR$701)-1,99999),70),99999)</f>
        <v/>
      </c>
    </row>
    <row r="117">
      <c r="A117">
        <f>IF(T117=99999,"",INDEX('Students'!$A$2:$A$701,T117))</f>
        <v/>
      </c>
      <c r="B117">
        <f>IF(T117=99999,"",INDEX('Students'!$B$2:$B$701,T117))</f>
        <v/>
      </c>
      <c r="C117" s="42">
        <f>IF(A117="","",71)</f>
        <v/>
      </c>
      <c r="T117">
        <f t="array" ref="T117">IFERROR(SMALL(IF('Students'!$AR$2:$AR$701&gt;0,ROW('Students'!$AR$2:$AR$701)-1,99999),71),99999)</f>
        <v/>
      </c>
    </row>
    <row r="118">
      <c r="A118">
        <f>IF(T118=99999,"",INDEX('Students'!$A$2:$A$701,T118))</f>
        <v/>
      </c>
      <c r="B118">
        <f>IF(T118=99999,"",INDEX('Students'!$B$2:$B$701,T118))</f>
        <v/>
      </c>
      <c r="C118" s="42">
        <f>IF(A118="","",72)</f>
        <v/>
      </c>
      <c r="T118">
        <f t="array" ref="T118">IFERROR(SMALL(IF('Students'!$AR$2:$AR$701&gt;0,ROW('Students'!$AR$2:$AR$701)-1,99999),72),99999)</f>
        <v/>
      </c>
    </row>
    <row r="119">
      <c r="A119">
        <f>IF(T119=99999,"",INDEX('Students'!$A$2:$A$701,T119))</f>
        <v/>
      </c>
      <c r="B119">
        <f>IF(T119=99999,"",INDEX('Students'!$B$2:$B$701,T119))</f>
        <v/>
      </c>
      <c r="C119" s="42">
        <f>IF(A119="","",73)</f>
        <v/>
      </c>
      <c r="T119">
        <f t="array" ref="T119">IFERROR(SMALL(IF('Students'!$AR$2:$AR$701&gt;0,ROW('Students'!$AR$2:$AR$701)-1,99999),73),99999)</f>
        <v/>
      </c>
    </row>
    <row r="120">
      <c r="A120">
        <f>IF(T120=99999,"",INDEX('Students'!$A$2:$A$701,T120))</f>
        <v/>
      </c>
      <c r="B120">
        <f>IF(T120=99999,"",INDEX('Students'!$B$2:$B$701,T120))</f>
        <v/>
      </c>
      <c r="C120" s="42">
        <f>IF(A120="","",74)</f>
        <v/>
      </c>
      <c r="T120">
        <f t="array" ref="T120">IFERROR(SMALL(IF('Students'!$AR$2:$AR$701&gt;0,ROW('Students'!$AR$2:$AR$701)-1,99999),74),99999)</f>
        <v/>
      </c>
    </row>
    <row r="121">
      <c r="A121">
        <f>IF(T121=99999,"",INDEX('Students'!$A$2:$A$701,T121))</f>
        <v/>
      </c>
      <c r="B121">
        <f>IF(T121=99999,"",INDEX('Students'!$B$2:$B$701,T121))</f>
        <v/>
      </c>
      <c r="C121" s="42">
        <f>IF(A121="","",75)</f>
        <v/>
      </c>
      <c r="T121">
        <f t="array" ref="T121">IFERROR(SMALL(IF('Students'!$AR$2:$AR$701&gt;0,ROW('Students'!$AR$2:$AR$701)-1,99999),75),99999)</f>
        <v/>
      </c>
    </row>
    <row r="122">
      <c r="A122">
        <f>IF(T122=99999,"",INDEX('Students'!$A$2:$A$701,T122))</f>
        <v/>
      </c>
      <c r="B122">
        <f>IF(T122=99999,"",INDEX('Students'!$B$2:$B$701,T122))</f>
        <v/>
      </c>
      <c r="C122" s="42">
        <f>IF(A122="","",76)</f>
        <v/>
      </c>
      <c r="T122">
        <f t="array" ref="T122">IFERROR(SMALL(IF('Students'!$AR$2:$AR$701&gt;0,ROW('Students'!$AR$2:$AR$701)-1,99999),76),99999)</f>
        <v/>
      </c>
    </row>
    <row r="123">
      <c r="A123">
        <f>IF(T123=99999,"",INDEX('Students'!$A$2:$A$701,T123))</f>
        <v/>
      </c>
      <c r="B123">
        <f>IF(T123=99999,"",INDEX('Students'!$B$2:$B$701,T123))</f>
        <v/>
      </c>
      <c r="C123" s="42">
        <f>IF(A123="","",77)</f>
        <v/>
      </c>
      <c r="T123">
        <f t="array" ref="T123">IFERROR(SMALL(IF('Students'!$AR$2:$AR$701&gt;0,ROW('Students'!$AR$2:$AR$701)-1,99999),77),99999)</f>
        <v/>
      </c>
    </row>
    <row r="124">
      <c r="A124">
        <f>IF(T124=99999,"",INDEX('Students'!$A$2:$A$701,T124))</f>
        <v/>
      </c>
      <c r="B124">
        <f>IF(T124=99999,"",INDEX('Students'!$B$2:$B$701,T124))</f>
        <v/>
      </c>
      <c r="C124" s="42">
        <f>IF(A124="","",78)</f>
        <v/>
      </c>
      <c r="T124">
        <f t="array" ref="T124">IFERROR(SMALL(IF('Students'!$AR$2:$AR$701&gt;0,ROW('Students'!$AR$2:$AR$701)-1,99999),78),99999)</f>
        <v/>
      </c>
    </row>
    <row r="125">
      <c r="A125">
        <f>IF(T125=99999,"",INDEX('Students'!$A$2:$A$701,T125))</f>
        <v/>
      </c>
      <c r="B125">
        <f>IF(T125=99999,"",INDEX('Students'!$B$2:$B$701,T125))</f>
        <v/>
      </c>
      <c r="C125" s="42">
        <f>IF(A125="","",79)</f>
        <v/>
      </c>
      <c r="T125">
        <f t="array" ref="T125">IFERROR(SMALL(IF('Students'!$AR$2:$AR$701&gt;0,ROW('Students'!$AR$2:$AR$701)-1,99999),79),99999)</f>
        <v/>
      </c>
    </row>
    <row r="126">
      <c r="A126">
        <f>IF(T126=99999,"",INDEX('Students'!$A$2:$A$701,T126))</f>
        <v/>
      </c>
      <c r="B126">
        <f>IF(T126=99999,"",INDEX('Students'!$B$2:$B$701,T126))</f>
        <v/>
      </c>
      <c r="C126" s="42">
        <f>IF(A126="","",80)</f>
        <v/>
      </c>
      <c r="T126">
        <f t="array" ref="T126">IFERROR(SMALL(IF('Students'!$AR$2:$AR$701&gt;0,ROW('Students'!$AR$2:$AR$701)-1,99999),80),99999)</f>
        <v/>
      </c>
    </row>
    <row r="127">
      <c r="A127">
        <f>IF(T127=99999,"",INDEX('Students'!$A$2:$A$701,T127))</f>
        <v/>
      </c>
      <c r="B127">
        <f>IF(T127=99999,"",INDEX('Students'!$B$2:$B$701,T127))</f>
        <v/>
      </c>
      <c r="C127" s="42">
        <f>IF(A127="","",81)</f>
        <v/>
      </c>
      <c r="T127">
        <f t="array" ref="T127">IFERROR(SMALL(IF('Students'!$AR$2:$AR$701&gt;0,ROW('Students'!$AR$2:$AR$701)-1,99999),81),99999)</f>
        <v/>
      </c>
    </row>
    <row r="128">
      <c r="A128">
        <f>IF(T128=99999,"",INDEX('Students'!$A$2:$A$701,T128))</f>
        <v/>
      </c>
      <c r="B128">
        <f>IF(T128=99999,"",INDEX('Students'!$B$2:$B$701,T128))</f>
        <v/>
      </c>
      <c r="C128" s="42">
        <f>IF(A128="","",82)</f>
        <v/>
      </c>
      <c r="T128">
        <f t="array" ref="T128">IFERROR(SMALL(IF('Students'!$AR$2:$AR$701&gt;0,ROW('Students'!$AR$2:$AR$701)-1,99999),82),99999)</f>
        <v/>
      </c>
    </row>
    <row r="129">
      <c r="A129">
        <f>IF(T129=99999,"",INDEX('Students'!$A$2:$A$701,T129))</f>
        <v/>
      </c>
      <c r="B129">
        <f>IF(T129=99999,"",INDEX('Students'!$B$2:$B$701,T129))</f>
        <v/>
      </c>
      <c r="C129" s="42">
        <f>IF(A129="","",83)</f>
        <v/>
      </c>
      <c r="T129">
        <f t="array" ref="T129">IFERROR(SMALL(IF('Students'!$AR$2:$AR$701&gt;0,ROW('Students'!$AR$2:$AR$701)-1,99999),83),99999)</f>
        <v/>
      </c>
    </row>
    <row r="130">
      <c r="A130">
        <f>IF(T130=99999,"",INDEX('Students'!$A$2:$A$701,T130))</f>
        <v/>
      </c>
      <c r="B130">
        <f>IF(T130=99999,"",INDEX('Students'!$B$2:$B$701,T130))</f>
        <v/>
      </c>
      <c r="C130" s="42">
        <f>IF(A130="","",84)</f>
        <v/>
      </c>
      <c r="T130">
        <f t="array" ref="T130">IFERROR(SMALL(IF('Students'!$AR$2:$AR$701&gt;0,ROW('Students'!$AR$2:$AR$701)-1,99999),84),99999)</f>
        <v/>
      </c>
    </row>
    <row r="131">
      <c r="A131">
        <f>IF(T131=99999,"",INDEX('Students'!$A$2:$A$701,T131))</f>
        <v/>
      </c>
      <c r="B131">
        <f>IF(T131=99999,"",INDEX('Students'!$B$2:$B$701,T131))</f>
        <v/>
      </c>
      <c r="C131" s="42">
        <f>IF(A131="","",85)</f>
        <v/>
      </c>
      <c r="T131">
        <f t="array" ref="T131">IFERROR(SMALL(IF('Students'!$AR$2:$AR$701&gt;0,ROW('Students'!$AR$2:$AR$701)-1,99999),85),99999)</f>
        <v/>
      </c>
    </row>
    <row r="132">
      <c r="A132">
        <f>IF(T132=99999,"",INDEX('Students'!$A$2:$A$701,T132))</f>
        <v/>
      </c>
      <c r="B132">
        <f>IF(T132=99999,"",INDEX('Students'!$B$2:$B$701,T132))</f>
        <v/>
      </c>
      <c r="C132" s="42">
        <f>IF(A132="","",86)</f>
        <v/>
      </c>
      <c r="T132">
        <f t="array" ref="T132">IFERROR(SMALL(IF('Students'!$AR$2:$AR$701&gt;0,ROW('Students'!$AR$2:$AR$701)-1,99999),86),99999)</f>
        <v/>
      </c>
    </row>
    <row r="133">
      <c r="A133">
        <f>IF(T133=99999,"",INDEX('Students'!$A$2:$A$701,T133))</f>
        <v/>
      </c>
      <c r="B133">
        <f>IF(T133=99999,"",INDEX('Students'!$B$2:$B$701,T133))</f>
        <v/>
      </c>
      <c r="C133" s="42">
        <f>IF(A133="","",87)</f>
        <v/>
      </c>
      <c r="T133">
        <f t="array" ref="T133">IFERROR(SMALL(IF('Students'!$AR$2:$AR$701&gt;0,ROW('Students'!$AR$2:$AR$701)-1,99999),87),99999)</f>
        <v/>
      </c>
    </row>
    <row r="134">
      <c r="A134">
        <f>IF(T134=99999,"",INDEX('Students'!$A$2:$A$701,T134))</f>
        <v/>
      </c>
      <c r="B134">
        <f>IF(T134=99999,"",INDEX('Students'!$B$2:$B$701,T134))</f>
        <v/>
      </c>
      <c r="C134" s="42">
        <f>IF(A134="","",88)</f>
        <v/>
      </c>
      <c r="T134">
        <f t="array" ref="T134">IFERROR(SMALL(IF('Students'!$AR$2:$AR$701&gt;0,ROW('Students'!$AR$2:$AR$701)-1,99999),88),99999)</f>
        <v/>
      </c>
    </row>
    <row r="135">
      <c r="A135">
        <f>IF(T135=99999,"",INDEX('Students'!$A$2:$A$701,T135))</f>
        <v/>
      </c>
      <c r="B135">
        <f>IF(T135=99999,"",INDEX('Students'!$B$2:$B$701,T135))</f>
        <v/>
      </c>
      <c r="C135" s="42">
        <f>IF(A135="","",89)</f>
        <v/>
      </c>
      <c r="T135">
        <f t="array" ref="T135">IFERROR(SMALL(IF('Students'!$AR$2:$AR$701&gt;0,ROW('Students'!$AR$2:$AR$701)-1,99999),89),99999)</f>
        <v/>
      </c>
    </row>
    <row r="136">
      <c r="A136">
        <f>IF(T136=99999,"",INDEX('Students'!$A$2:$A$701,T136))</f>
        <v/>
      </c>
      <c r="B136">
        <f>IF(T136=99999,"",INDEX('Students'!$B$2:$B$701,T136))</f>
        <v/>
      </c>
      <c r="C136" s="42">
        <f>IF(A136="","",90)</f>
        <v/>
      </c>
      <c r="T136">
        <f t="array" ref="T136">IFERROR(SMALL(IF('Students'!$AR$2:$AR$701&gt;0,ROW('Students'!$AR$2:$AR$701)-1,99999),90),99999)</f>
        <v/>
      </c>
    </row>
    <row r="137">
      <c r="A137">
        <f>IF(T137=99999,"",INDEX('Students'!$A$2:$A$701,T137))</f>
        <v/>
      </c>
      <c r="B137">
        <f>IF(T137=99999,"",INDEX('Students'!$B$2:$B$701,T137))</f>
        <v/>
      </c>
      <c r="C137" s="42">
        <f>IF(A137="","",91)</f>
        <v/>
      </c>
      <c r="T137">
        <f t="array" ref="T137">IFERROR(SMALL(IF('Students'!$AR$2:$AR$701&gt;0,ROW('Students'!$AR$2:$AR$701)-1,99999),91),99999)</f>
        <v/>
      </c>
    </row>
    <row r="138">
      <c r="A138">
        <f>IF(T138=99999,"",INDEX('Students'!$A$2:$A$701,T138))</f>
        <v/>
      </c>
      <c r="B138">
        <f>IF(T138=99999,"",INDEX('Students'!$B$2:$B$701,T138))</f>
        <v/>
      </c>
      <c r="C138" s="42">
        <f>IF(A138="","",92)</f>
        <v/>
      </c>
      <c r="T138">
        <f t="array" ref="T138">IFERROR(SMALL(IF('Students'!$AR$2:$AR$701&gt;0,ROW('Students'!$AR$2:$AR$701)-1,99999),92),99999)</f>
        <v/>
      </c>
    </row>
    <row r="139">
      <c r="A139">
        <f>IF(T139=99999,"",INDEX('Students'!$A$2:$A$701,T139))</f>
        <v/>
      </c>
      <c r="B139">
        <f>IF(T139=99999,"",INDEX('Students'!$B$2:$B$701,T139))</f>
        <v/>
      </c>
      <c r="C139" s="42">
        <f>IF(A139="","",93)</f>
        <v/>
      </c>
      <c r="T139">
        <f t="array" ref="T139">IFERROR(SMALL(IF('Students'!$AR$2:$AR$701&gt;0,ROW('Students'!$AR$2:$AR$701)-1,99999),93),99999)</f>
        <v/>
      </c>
    </row>
    <row r="140">
      <c r="A140">
        <f>IF(T140=99999,"",INDEX('Students'!$A$2:$A$701,T140))</f>
        <v/>
      </c>
      <c r="B140">
        <f>IF(T140=99999,"",INDEX('Students'!$B$2:$B$701,T140))</f>
        <v/>
      </c>
      <c r="C140" s="42">
        <f>IF(A140="","",94)</f>
        <v/>
      </c>
      <c r="T140">
        <f t="array" ref="T140">IFERROR(SMALL(IF('Students'!$AR$2:$AR$701&gt;0,ROW('Students'!$AR$2:$AR$701)-1,99999),94),99999)</f>
        <v/>
      </c>
    </row>
    <row r="141">
      <c r="A141">
        <f>IF(T141=99999,"",INDEX('Students'!$A$2:$A$701,T141))</f>
        <v/>
      </c>
      <c r="B141">
        <f>IF(T141=99999,"",INDEX('Students'!$B$2:$B$701,T141))</f>
        <v/>
      </c>
      <c r="C141" s="42">
        <f>IF(A141="","",95)</f>
        <v/>
      </c>
      <c r="T141">
        <f t="array" ref="T141">IFERROR(SMALL(IF('Students'!$AR$2:$AR$701&gt;0,ROW('Students'!$AR$2:$AR$701)-1,99999),95),99999)</f>
        <v/>
      </c>
    </row>
    <row r="142">
      <c r="A142">
        <f>IF(T142=99999,"",INDEX('Students'!$A$2:$A$701,T142))</f>
        <v/>
      </c>
      <c r="B142">
        <f>IF(T142=99999,"",INDEX('Students'!$B$2:$B$701,T142))</f>
        <v/>
      </c>
      <c r="C142" s="42">
        <f>IF(A142="","",96)</f>
        <v/>
      </c>
      <c r="T142">
        <f t="array" ref="T142">IFERROR(SMALL(IF('Students'!$AR$2:$AR$701&gt;0,ROW('Students'!$AR$2:$AR$701)-1,99999),96),99999)</f>
        <v/>
      </c>
    </row>
    <row r="143">
      <c r="A143">
        <f>IF(T143=99999,"",INDEX('Students'!$A$2:$A$701,T143))</f>
        <v/>
      </c>
      <c r="B143">
        <f>IF(T143=99999,"",INDEX('Students'!$B$2:$B$701,T143))</f>
        <v/>
      </c>
      <c r="C143" s="42">
        <f>IF(A143="","",97)</f>
        <v/>
      </c>
      <c r="T143">
        <f t="array" ref="T143">IFERROR(SMALL(IF('Students'!$AR$2:$AR$701&gt;0,ROW('Students'!$AR$2:$AR$701)-1,99999),97),99999)</f>
        <v/>
      </c>
    </row>
    <row r="144">
      <c r="A144">
        <f>IF(T144=99999,"",INDEX('Students'!$A$2:$A$701,T144))</f>
        <v/>
      </c>
      <c r="B144">
        <f>IF(T144=99999,"",INDEX('Students'!$B$2:$B$701,T144))</f>
        <v/>
      </c>
      <c r="C144" s="42">
        <f>IF(A144="","",98)</f>
        <v/>
      </c>
      <c r="T144">
        <f t="array" ref="T144">IFERROR(SMALL(IF('Students'!$AR$2:$AR$701&gt;0,ROW('Students'!$AR$2:$AR$701)-1,99999),98),99999)</f>
        <v/>
      </c>
    </row>
    <row r="145">
      <c r="A145">
        <f>IF(T145=99999,"",INDEX('Students'!$A$2:$A$701,T145))</f>
        <v/>
      </c>
      <c r="B145">
        <f>IF(T145=99999,"",INDEX('Students'!$B$2:$B$701,T145))</f>
        <v/>
      </c>
      <c r="C145" s="42">
        <f>IF(A145="","",99)</f>
        <v/>
      </c>
      <c r="T145">
        <f t="array" ref="T145">IFERROR(SMALL(IF('Students'!$AR$2:$AR$701&gt;0,ROW('Students'!$AR$2:$AR$701)-1,99999),99),99999)</f>
        <v/>
      </c>
    </row>
    <row r="146">
      <c r="A146">
        <f>IF(T146=99999,"",INDEX('Students'!$A$2:$A$701,T146))</f>
        <v/>
      </c>
      <c r="B146">
        <f>IF(T146=99999,"",INDEX('Students'!$B$2:$B$701,T146))</f>
        <v/>
      </c>
      <c r="C146" s="42">
        <f>IF(A146="","",100)</f>
        <v/>
      </c>
      <c r="T146">
        <f t="array" ref="T146">IFERROR(SMALL(IF('Students'!$AR$2:$AR$701&gt;0,ROW('Students'!$AR$2:$AR$701)-1,99999),100),99999)</f>
        <v/>
      </c>
    </row>
    <row r="147">
      <c r="A147">
        <f>IF(T147=99999,"",INDEX('Students'!$A$2:$A$701,T147))</f>
        <v/>
      </c>
      <c r="B147">
        <f>IF(T147=99999,"",INDEX('Students'!$B$2:$B$701,T147))</f>
        <v/>
      </c>
      <c r="C147" s="42">
        <f>IF(A147="","",101)</f>
        <v/>
      </c>
      <c r="T147">
        <f t="array" ref="T147">IFERROR(SMALL(IF('Students'!$AR$2:$AR$701&gt;0,ROW('Students'!$AR$2:$AR$701)-1,99999),101),99999)</f>
        <v/>
      </c>
    </row>
    <row r="148">
      <c r="A148">
        <f>IF(T148=99999,"",INDEX('Students'!$A$2:$A$701,T148))</f>
        <v/>
      </c>
      <c r="B148">
        <f>IF(T148=99999,"",INDEX('Students'!$B$2:$B$701,T148))</f>
        <v/>
      </c>
      <c r="C148" s="42">
        <f>IF(A148="","",102)</f>
        <v/>
      </c>
      <c r="T148">
        <f t="array" ref="T148">IFERROR(SMALL(IF('Students'!$AR$2:$AR$701&gt;0,ROW('Students'!$AR$2:$AR$701)-1,99999),102),99999)</f>
        <v/>
      </c>
    </row>
    <row r="149">
      <c r="A149">
        <f>IF(T149=99999,"",INDEX('Students'!$A$2:$A$701,T149))</f>
        <v/>
      </c>
      <c r="B149">
        <f>IF(T149=99999,"",INDEX('Students'!$B$2:$B$701,T149))</f>
        <v/>
      </c>
      <c r="C149" s="42">
        <f>IF(A149="","",103)</f>
        <v/>
      </c>
      <c r="T149">
        <f t="array" ref="T149">IFERROR(SMALL(IF('Students'!$AR$2:$AR$701&gt;0,ROW('Students'!$AR$2:$AR$701)-1,99999),103),99999)</f>
        <v/>
      </c>
    </row>
    <row r="150">
      <c r="A150">
        <f>IF(T150=99999,"",INDEX('Students'!$A$2:$A$701,T150))</f>
        <v/>
      </c>
      <c r="B150">
        <f>IF(T150=99999,"",INDEX('Students'!$B$2:$B$701,T150))</f>
        <v/>
      </c>
      <c r="C150" s="42">
        <f>IF(A150="","",104)</f>
        <v/>
      </c>
      <c r="T150">
        <f t="array" ref="T150">IFERROR(SMALL(IF('Students'!$AR$2:$AR$701&gt;0,ROW('Students'!$AR$2:$AR$701)-1,99999),104),99999)</f>
        <v/>
      </c>
    </row>
    <row r="151">
      <c r="A151">
        <f>IF(T151=99999,"",INDEX('Students'!$A$2:$A$701,T151))</f>
        <v/>
      </c>
      <c r="B151">
        <f>IF(T151=99999,"",INDEX('Students'!$B$2:$B$701,T151))</f>
        <v/>
      </c>
      <c r="C151" s="42">
        <f>IF(A151="","",105)</f>
        <v/>
      </c>
      <c r="T151">
        <f t="array" ref="T151">IFERROR(SMALL(IF('Students'!$AR$2:$AR$701&gt;0,ROW('Students'!$AR$2:$AR$701)-1,99999),105),99999)</f>
        <v/>
      </c>
    </row>
    <row r="152">
      <c r="A152">
        <f>IF(T152=99999,"",INDEX('Students'!$A$2:$A$701,T152))</f>
        <v/>
      </c>
      <c r="B152">
        <f>IF(T152=99999,"",INDEX('Students'!$B$2:$B$701,T152))</f>
        <v/>
      </c>
      <c r="C152" s="42">
        <f>IF(A152="","",106)</f>
        <v/>
      </c>
      <c r="T152">
        <f t="array" ref="T152">IFERROR(SMALL(IF('Students'!$AR$2:$AR$701&gt;0,ROW('Students'!$AR$2:$AR$701)-1,99999),106),99999)</f>
        <v/>
      </c>
    </row>
    <row r="153">
      <c r="A153">
        <f>IF(T153=99999,"",INDEX('Students'!$A$2:$A$701,T153))</f>
        <v/>
      </c>
      <c r="B153">
        <f>IF(T153=99999,"",INDEX('Students'!$B$2:$B$701,T153))</f>
        <v/>
      </c>
      <c r="C153" s="42">
        <f>IF(A153="","",107)</f>
        <v/>
      </c>
      <c r="T153">
        <f t="array" ref="T153">IFERROR(SMALL(IF('Students'!$AR$2:$AR$701&gt;0,ROW('Students'!$AR$2:$AR$701)-1,99999),107),99999)</f>
        <v/>
      </c>
    </row>
    <row r="154">
      <c r="A154">
        <f>IF(T154=99999,"",INDEX('Students'!$A$2:$A$701,T154))</f>
        <v/>
      </c>
      <c r="B154">
        <f>IF(T154=99999,"",INDEX('Students'!$B$2:$B$701,T154))</f>
        <v/>
      </c>
      <c r="C154" s="42">
        <f>IF(A154="","",108)</f>
        <v/>
      </c>
      <c r="T154">
        <f t="array" ref="T154">IFERROR(SMALL(IF('Students'!$AR$2:$AR$701&gt;0,ROW('Students'!$AR$2:$AR$701)-1,99999),108),99999)</f>
        <v/>
      </c>
    </row>
    <row r="155">
      <c r="A155">
        <f>IF(T155=99999,"",INDEX('Students'!$A$2:$A$701,T155))</f>
        <v/>
      </c>
      <c r="B155">
        <f>IF(T155=99999,"",INDEX('Students'!$B$2:$B$701,T155))</f>
        <v/>
      </c>
      <c r="C155" s="42">
        <f>IF(A155="","",109)</f>
        <v/>
      </c>
      <c r="T155">
        <f t="array" ref="T155">IFERROR(SMALL(IF('Students'!$AR$2:$AR$701&gt;0,ROW('Students'!$AR$2:$AR$701)-1,99999),109),99999)</f>
        <v/>
      </c>
    </row>
    <row r="156">
      <c r="A156">
        <f>IF(T156=99999,"",INDEX('Students'!$A$2:$A$701,T156))</f>
        <v/>
      </c>
      <c r="B156">
        <f>IF(T156=99999,"",INDEX('Students'!$B$2:$B$701,T156))</f>
        <v/>
      </c>
      <c r="C156" s="42">
        <f>IF(A156="","",110)</f>
        <v/>
      </c>
      <c r="T156">
        <f t="array" ref="T156">IFERROR(SMALL(IF('Students'!$AR$2:$AR$701&gt;0,ROW('Students'!$AR$2:$AR$701)-1,99999),110),99999)</f>
        <v/>
      </c>
    </row>
    <row r="157">
      <c r="A157">
        <f>IF(T157=99999,"",INDEX('Students'!$A$2:$A$701,T157))</f>
        <v/>
      </c>
      <c r="B157">
        <f>IF(T157=99999,"",INDEX('Students'!$B$2:$B$701,T157))</f>
        <v/>
      </c>
      <c r="C157" s="42">
        <f>IF(A157="","",111)</f>
        <v/>
      </c>
      <c r="T157">
        <f t="array" ref="T157">IFERROR(SMALL(IF('Students'!$AR$2:$AR$701&gt;0,ROW('Students'!$AR$2:$AR$701)-1,99999),111),99999)</f>
        <v/>
      </c>
    </row>
    <row r="158">
      <c r="A158">
        <f>IF(T158=99999,"",INDEX('Students'!$A$2:$A$701,T158))</f>
        <v/>
      </c>
      <c r="B158">
        <f>IF(T158=99999,"",INDEX('Students'!$B$2:$B$701,T158))</f>
        <v/>
      </c>
      <c r="C158" s="42">
        <f>IF(A158="","",112)</f>
        <v/>
      </c>
      <c r="T158">
        <f t="array" ref="T158">IFERROR(SMALL(IF('Students'!$AR$2:$AR$701&gt;0,ROW('Students'!$AR$2:$AR$701)-1,99999),112),99999)</f>
        <v/>
      </c>
    </row>
    <row r="159">
      <c r="A159">
        <f>IF(T159=99999,"",INDEX('Students'!$A$2:$A$701,T159))</f>
        <v/>
      </c>
      <c r="B159">
        <f>IF(T159=99999,"",INDEX('Students'!$B$2:$B$701,T159))</f>
        <v/>
      </c>
      <c r="C159" s="42">
        <f>IF(A159="","",113)</f>
        <v/>
      </c>
      <c r="T159">
        <f t="array" ref="T159">IFERROR(SMALL(IF('Students'!$AR$2:$AR$701&gt;0,ROW('Students'!$AR$2:$AR$701)-1,99999),113),99999)</f>
        <v/>
      </c>
    </row>
    <row r="160">
      <c r="A160">
        <f>IF(T160=99999,"",INDEX('Students'!$A$2:$A$701,T160))</f>
        <v/>
      </c>
      <c r="B160">
        <f>IF(T160=99999,"",INDEX('Students'!$B$2:$B$701,T160))</f>
        <v/>
      </c>
      <c r="C160" s="42">
        <f>IF(A160="","",114)</f>
        <v/>
      </c>
      <c r="T160">
        <f t="array" ref="T160">IFERROR(SMALL(IF('Students'!$AR$2:$AR$701&gt;0,ROW('Students'!$AR$2:$AR$701)-1,99999),114),99999)</f>
        <v/>
      </c>
    </row>
    <row r="161">
      <c r="A161">
        <f>IF(T161=99999,"",INDEX('Students'!$A$2:$A$701,T161))</f>
        <v/>
      </c>
      <c r="B161">
        <f>IF(T161=99999,"",INDEX('Students'!$B$2:$B$701,T161))</f>
        <v/>
      </c>
      <c r="C161" s="42">
        <f>IF(A161="","",115)</f>
        <v/>
      </c>
      <c r="T161">
        <f t="array" ref="T161">IFERROR(SMALL(IF('Students'!$AR$2:$AR$701&gt;0,ROW('Students'!$AR$2:$AR$701)-1,99999),115),99999)</f>
        <v/>
      </c>
    </row>
    <row r="162">
      <c r="A162">
        <f>IF(T162=99999,"",INDEX('Students'!$A$2:$A$701,T162))</f>
        <v/>
      </c>
      <c r="B162">
        <f>IF(T162=99999,"",INDEX('Students'!$B$2:$B$701,T162))</f>
        <v/>
      </c>
      <c r="C162" s="42">
        <f>IF(A162="","",116)</f>
        <v/>
      </c>
      <c r="T162">
        <f t="array" ref="T162">IFERROR(SMALL(IF('Students'!$AR$2:$AR$701&gt;0,ROW('Students'!$AR$2:$AR$701)-1,99999),116),99999)</f>
        <v/>
      </c>
    </row>
    <row r="163">
      <c r="A163">
        <f>IF(T163=99999,"",INDEX('Students'!$A$2:$A$701,T163))</f>
        <v/>
      </c>
      <c r="B163">
        <f>IF(T163=99999,"",INDEX('Students'!$B$2:$B$701,T163))</f>
        <v/>
      </c>
      <c r="C163" s="42">
        <f>IF(A163="","",117)</f>
        <v/>
      </c>
      <c r="T163">
        <f t="array" ref="T163">IFERROR(SMALL(IF('Students'!$AR$2:$AR$701&gt;0,ROW('Students'!$AR$2:$AR$701)-1,99999),117),99999)</f>
        <v/>
      </c>
    </row>
    <row r="164">
      <c r="A164">
        <f>IF(T164=99999,"",INDEX('Students'!$A$2:$A$701,T164))</f>
        <v/>
      </c>
      <c r="B164">
        <f>IF(T164=99999,"",INDEX('Students'!$B$2:$B$701,T164))</f>
        <v/>
      </c>
      <c r="C164" s="42">
        <f>IF(A164="","",118)</f>
        <v/>
      </c>
      <c r="T164">
        <f t="array" ref="T164">IFERROR(SMALL(IF('Students'!$AR$2:$AR$701&gt;0,ROW('Students'!$AR$2:$AR$701)-1,99999),118),99999)</f>
        <v/>
      </c>
    </row>
    <row r="165">
      <c r="A165">
        <f>IF(T165=99999,"",INDEX('Students'!$A$2:$A$701,T165))</f>
        <v/>
      </c>
      <c r="B165">
        <f>IF(T165=99999,"",INDEX('Students'!$B$2:$B$701,T165))</f>
        <v/>
      </c>
      <c r="C165" s="42">
        <f>IF(A165="","",119)</f>
        <v/>
      </c>
      <c r="T165">
        <f t="array" ref="T165">IFERROR(SMALL(IF('Students'!$AR$2:$AR$701&gt;0,ROW('Students'!$AR$2:$AR$701)-1,99999),119),99999)</f>
        <v/>
      </c>
    </row>
    <row r="166">
      <c r="A166">
        <f>IF(T166=99999,"",INDEX('Students'!$A$2:$A$701,T166))</f>
        <v/>
      </c>
      <c r="B166">
        <f>IF(T166=99999,"",INDEX('Students'!$B$2:$B$701,T166))</f>
        <v/>
      </c>
      <c r="C166" s="42">
        <f>IF(A166="","",120)</f>
        <v/>
      </c>
      <c r="T166">
        <f t="array" ref="T166">IFERROR(SMALL(IF('Students'!$AR$2:$AR$701&gt;0,ROW('Students'!$AR$2:$AR$701)-1,99999),120),99999)</f>
        <v/>
      </c>
    </row>
    <row r="167">
      <c r="A167">
        <f>IF(T167=99999,"",INDEX('Students'!$A$2:$A$701,T167))</f>
        <v/>
      </c>
      <c r="B167">
        <f>IF(T167=99999,"",INDEX('Students'!$B$2:$B$701,T167))</f>
        <v/>
      </c>
      <c r="C167" s="42">
        <f>IF(A167="","",121)</f>
        <v/>
      </c>
      <c r="T167">
        <f t="array" ref="T167">IFERROR(SMALL(IF('Students'!$AR$2:$AR$701&gt;0,ROW('Students'!$AR$2:$AR$701)-1,99999),121),99999)</f>
        <v/>
      </c>
    </row>
    <row r="168">
      <c r="A168">
        <f>IF(T168=99999,"",INDEX('Students'!$A$2:$A$701,T168))</f>
        <v/>
      </c>
      <c r="B168">
        <f>IF(T168=99999,"",INDEX('Students'!$B$2:$B$701,T168))</f>
        <v/>
      </c>
      <c r="C168" s="42">
        <f>IF(A168="","",122)</f>
        <v/>
      </c>
      <c r="T168">
        <f t="array" ref="T168">IFERROR(SMALL(IF('Students'!$AR$2:$AR$701&gt;0,ROW('Students'!$AR$2:$AR$701)-1,99999),122),99999)</f>
        <v/>
      </c>
    </row>
    <row r="169">
      <c r="A169">
        <f>IF(T169=99999,"",INDEX('Students'!$A$2:$A$701,T169))</f>
        <v/>
      </c>
      <c r="B169">
        <f>IF(T169=99999,"",INDEX('Students'!$B$2:$B$701,T169))</f>
        <v/>
      </c>
      <c r="C169" s="42">
        <f>IF(A169="","",123)</f>
        <v/>
      </c>
      <c r="T169">
        <f t="array" ref="T169">IFERROR(SMALL(IF('Students'!$AR$2:$AR$701&gt;0,ROW('Students'!$AR$2:$AR$701)-1,99999),123),99999)</f>
        <v/>
      </c>
    </row>
    <row r="170">
      <c r="A170">
        <f>IF(T170=99999,"",INDEX('Students'!$A$2:$A$701,T170))</f>
        <v/>
      </c>
      <c r="B170">
        <f>IF(T170=99999,"",INDEX('Students'!$B$2:$B$701,T170))</f>
        <v/>
      </c>
      <c r="C170" s="42">
        <f>IF(A170="","",124)</f>
        <v/>
      </c>
      <c r="T170">
        <f t="array" ref="T170">IFERROR(SMALL(IF('Students'!$AR$2:$AR$701&gt;0,ROW('Students'!$AR$2:$AR$701)-1,99999),124),99999)</f>
        <v/>
      </c>
    </row>
    <row r="171">
      <c r="A171">
        <f>IF(T171=99999,"",INDEX('Students'!$A$2:$A$701,T171))</f>
        <v/>
      </c>
      <c r="B171">
        <f>IF(T171=99999,"",INDEX('Students'!$B$2:$B$701,T171))</f>
        <v/>
      </c>
      <c r="C171" s="42">
        <f>IF(A171="","",125)</f>
        <v/>
      </c>
      <c r="T171">
        <f t="array" ref="T171">IFERROR(SMALL(IF('Students'!$AR$2:$AR$701&gt;0,ROW('Students'!$AR$2:$AR$701)-1,99999),125),99999)</f>
        <v/>
      </c>
    </row>
    <row r="172">
      <c r="A172">
        <f>IF(T172=99999,"",INDEX('Students'!$A$2:$A$701,T172))</f>
        <v/>
      </c>
      <c r="B172">
        <f>IF(T172=99999,"",INDEX('Students'!$B$2:$B$701,T172))</f>
        <v/>
      </c>
      <c r="C172" s="42">
        <f>IF(A172="","",126)</f>
        <v/>
      </c>
      <c r="T172">
        <f t="array" ref="T172">IFERROR(SMALL(IF('Students'!$AR$2:$AR$701&gt;0,ROW('Students'!$AR$2:$AR$701)-1,99999),126),99999)</f>
        <v/>
      </c>
    </row>
    <row r="173">
      <c r="A173">
        <f>IF(T173=99999,"",INDEX('Students'!$A$2:$A$701,T173))</f>
        <v/>
      </c>
      <c r="B173">
        <f>IF(T173=99999,"",INDEX('Students'!$B$2:$B$701,T173))</f>
        <v/>
      </c>
      <c r="C173" s="42">
        <f>IF(A173="","",127)</f>
        <v/>
      </c>
      <c r="T173">
        <f t="array" ref="T173">IFERROR(SMALL(IF('Students'!$AR$2:$AR$701&gt;0,ROW('Students'!$AR$2:$AR$701)-1,99999),127),99999)</f>
        <v/>
      </c>
    </row>
    <row r="174">
      <c r="A174">
        <f>IF(T174=99999,"",INDEX('Students'!$A$2:$A$701,T174))</f>
        <v/>
      </c>
      <c r="B174">
        <f>IF(T174=99999,"",INDEX('Students'!$B$2:$B$701,T174))</f>
        <v/>
      </c>
      <c r="C174" s="42">
        <f>IF(A174="","",128)</f>
        <v/>
      </c>
      <c r="T174">
        <f t="array" ref="T174">IFERROR(SMALL(IF('Students'!$AR$2:$AR$701&gt;0,ROW('Students'!$AR$2:$AR$701)-1,99999),128),99999)</f>
        <v/>
      </c>
    </row>
    <row r="175">
      <c r="A175">
        <f>IF(T175=99999,"",INDEX('Students'!$A$2:$A$701,T175))</f>
        <v/>
      </c>
      <c r="B175">
        <f>IF(T175=99999,"",INDEX('Students'!$B$2:$B$701,T175))</f>
        <v/>
      </c>
      <c r="C175" s="42">
        <f>IF(A175="","",129)</f>
        <v/>
      </c>
      <c r="T175">
        <f t="array" ref="T175">IFERROR(SMALL(IF('Students'!$AR$2:$AR$701&gt;0,ROW('Students'!$AR$2:$AR$701)-1,99999),129),99999)</f>
        <v/>
      </c>
    </row>
    <row r="176">
      <c r="A176">
        <f>IF(T176=99999,"",INDEX('Students'!$A$2:$A$701,T176))</f>
        <v/>
      </c>
      <c r="B176">
        <f>IF(T176=99999,"",INDEX('Students'!$B$2:$B$701,T176))</f>
        <v/>
      </c>
      <c r="C176" s="42">
        <f>IF(A176="","",130)</f>
        <v/>
      </c>
      <c r="T176">
        <f t="array" ref="T176">IFERROR(SMALL(IF('Students'!$AR$2:$AR$701&gt;0,ROW('Students'!$AR$2:$AR$701)-1,99999),130),99999)</f>
        <v/>
      </c>
    </row>
    <row r="177">
      <c r="A177">
        <f>IF(T177=99999,"",INDEX('Students'!$A$2:$A$701,T177))</f>
        <v/>
      </c>
      <c r="B177">
        <f>IF(T177=99999,"",INDEX('Students'!$B$2:$B$701,T177))</f>
        <v/>
      </c>
      <c r="C177" s="42">
        <f>IF(A177="","",131)</f>
        <v/>
      </c>
      <c r="T177">
        <f t="array" ref="T177">IFERROR(SMALL(IF('Students'!$AR$2:$AR$701&gt;0,ROW('Students'!$AR$2:$AR$701)-1,99999),131),99999)</f>
        <v/>
      </c>
    </row>
    <row r="178">
      <c r="A178">
        <f>IF(T178=99999,"",INDEX('Students'!$A$2:$A$701,T178))</f>
        <v/>
      </c>
      <c r="B178">
        <f>IF(T178=99999,"",INDEX('Students'!$B$2:$B$701,T178))</f>
        <v/>
      </c>
      <c r="C178" s="42">
        <f>IF(A178="","",132)</f>
        <v/>
      </c>
      <c r="T178">
        <f t="array" ref="T178">IFERROR(SMALL(IF('Students'!$AR$2:$AR$701&gt;0,ROW('Students'!$AR$2:$AR$701)-1,99999),132),99999)</f>
        <v/>
      </c>
    </row>
    <row r="179">
      <c r="A179">
        <f>IF(T179=99999,"",INDEX('Students'!$A$2:$A$701,T179))</f>
        <v/>
      </c>
      <c r="B179">
        <f>IF(T179=99999,"",INDEX('Students'!$B$2:$B$701,T179))</f>
        <v/>
      </c>
      <c r="C179" s="42">
        <f>IF(A179="","",133)</f>
        <v/>
      </c>
      <c r="T179">
        <f t="array" ref="T179">IFERROR(SMALL(IF('Students'!$AR$2:$AR$701&gt;0,ROW('Students'!$AR$2:$AR$701)-1,99999),133),99999)</f>
        <v/>
      </c>
    </row>
    <row r="180">
      <c r="A180">
        <f>IF(T180=99999,"",INDEX('Students'!$A$2:$A$701,T180))</f>
        <v/>
      </c>
      <c r="B180">
        <f>IF(T180=99999,"",INDEX('Students'!$B$2:$B$701,T180))</f>
        <v/>
      </c>
      <c r="C180" s="42">
        <f>IF(A180="","",134)</f>
        <v/>
      </c>
      <c r="T180">
        <f t="array" ref="T180">IFERROR(SMALL(IF('Students'!$AR$2:$AR$701&gt;0,ROW('Students'!$AR$2:$AR$701)-1,99999),134),99999)</f>
        <v/>
      </c>
    </row>
    <row r="181">
      <c r="A181">
        <f>IF(T181=99999,"",INDEX('Students'!$A$2:$A$701,T181))</f>
        <v/>
      </c>
      <c r="B181">
        <f>IF(T181=99999,"",INDEX('Students'!$B$2:$B$701,T181))</f>
        <v/>
      </c>
      <c r="C181" s="42">
        <f>IF(A181="","",135)</f>
        <v/>
      </c>
      <c r="T181">
        <f t="array" ref="T181">IFERROR(SMALL(IF('Students'!$AR$2:$AR$701&gt;0,ROW('Students'!$AR$2:$AR$701)-1,99999),135),99999)</f>
        <v/>
      </c>
    </row>
    <row r="182">
      <c r="A182">
        <f>IF(T182=99999,"",INDEX('Students'!$A$2:$A$701,T182))</f>
        <v/>
      </c>
      <c r="B182">
        <f>IF(T182=99999,"",INDEX('Students'!$B$2:$B$701,T182))</f>
        <v/>
      </c>
      <c r="C182" s="42">
        <f>IF(A182="","",136)</f>
        <v/>
      </c>
      <c r="T182">
        <f t="array" ref="T182">IFERROR(SMALL(IF('Students'!$AR$2:$AR$701&gt;0,ROW('Students'!$AR$2:$AR$701)-1,99999),136),99999)</f>
        <v/>
      </c>
    </row>
    <row r="183">
      <c r="A183">
        <f>IF(T183=99999,"",INDEX('Students'!$A$2:$A$701,T183))</f>
        <v/>
      </c>
      <c r="B183">
        <f>IF(T183=99999,"",INDEX('Students'!$B$2:$B$701,T183))</f>
        <v/>
      </c>
      <c r="C183" s="42">
        <f>IF(A183="","",137)</f>
        <v/>
      </c>
      <c r="T183">
        <f t="array" ref="T183">IFERROR(SMALL(IF('Students'!$AR$2:$AR$701&gt;0,ROW('Students'!$AR$2:$AR$701)-1,99999),137),99999)</f>
        <v/>
      </c>
    </row>
    <row r="184">
      <c r="A184">
        <f>IF(T184=99999,"",INDEX('Students'!$A$2:$A$701,T184))</f>
        <v/>
      </c>
      <c r="B184">
        <f>IF(T184=99999,"",INDEX('Students'!$B$2:$B$701,T184))</f>
        <v/>
      </c>
      <c r="C184" s="42">
        <f>IF(A184="","",138)</f>
        <v/>
      </c>
      <c r="T184">
        <f t="array" ref="T184">IFERROR(SMALL(IF('Students'!$AR$2:$AR$701&gt;0,ROW('Students'!$AR$2:$AR$701)-1,99999),138),99999)</f>
        <v/>
      </c>
    </row>
    <row r="185">
      <c r="A185">
        <f>IF(T185=99999,"",INDEX('Students'!$A$2:$A$701,T185))</f>
        <v/>
      </c>
      <c r="B185">
        <f>IF(T185=99999,"",INDEX('Students'!$B$2:$B$701,T185))</f>
        <v/>
      </c>
      <c r="C185" s="42">
        <f>IF(A185="","",139)</f>
        <v/>
      </c>
      <c r="T185">
        <f t="array" ref="T185">IFERROR(SMALL(IF('Students'!$AR$2:$AR$701&gt;0,ROW('Students'!$AR$2:$AR$701)-1,99999),139),99999)</f>
        <v/>
      </c>
    </row>
    <row r="186">
      <c r="A186">
        <f>IF(T186=99999,"",INDEX('Students'!$A$2:$A$701,T186))</f>
        <v/>
      </c>
      <c r="B186">
        <f>IF(T186=99999,"",INDEX('Students'!$B$2:$B$701,T186))</f>
        <v/>
      </c>
      <c r="C186" s="42">
        <f>IF(A186="","",140)</f>
        <v/>
      </c>
      <c r="T186">
        <f t="array" ref="T186">IFERROR(SMALL(IF('Students'!$AR$2:$AR$701&gt;0,ROW('Students'!$AR$2:$AR$701)-1,99999),140),99999)</f>
        <v/>
      </c>
    </row>
    <row r="187">
      <c r="A187">
        <f>IF(T187=99999,"",INDEX('Students'!$A$2:$A$701,T187))</f>
        <v/>
      </c>
      <c r="B187">
        <f>IF(T187=99999,"",INDEX('Students'!$B$2:$B$701,T187))</f>
        <v/>
      </c>
      <c r="C187" s="42">
        <f>IF(A187="","",141)</f>
        <v/>
      </c>
      <c r="T187">
        <f t="array" ref="T187">IFERROR(SMALL(IF('Students'!$AR$2:$AR$701&gt;0,ROW('Students'!$AR$2:$AR$701)-1,99999),141),99999)</f>
        <v/>
      </c>
    </row>
    <row r="188">
      <c r="A188">
        <f>IF(T188=99999,"",INDEX('Students'!$A$2:$A$701,T188))</f>
        <v/>
      </c>
      <c r="B188">
        <f>IF(T188=99999,"",INDEX('Students'!$B$2:$B$701,T188))</f>
        <v/>
      </c>
      <c r="C188" s="42">
        <f>IF(A188="","",142)</f>
        <v/>
      </c>
      <c r="T188">
        <f t="array" ref="T188">IFERROR(SMALL(IF('Students'!$AR$2:$AR$701&gt;0,ROW('Students'!$AR$2:$AR$701)-1,99999),142),99999)</f>
        <v/>
      </c>
    </row>
    <row r="189">
      <c r="A189">
        <f>IF(T189=99999,"",INDEX('Students'!$A$2:$A$701,T189))</f>
        <v/>
      </c>
      <c r="B189">
        <f>IF(T189=99999,"",INDEX('Students'!$B$2:$B$701,T189))</f>
        <v/>
      </c>
      <c r="C189" s="42">
        <f>IF(A189="","",143)</f>
        <v/>
      </c>
      <c r="T189">
        <f t="array" ref="T189">IFERROR(SMALL(IF('Students'!$AR$2:$AR$701&gt;0,ROW('Students'!$AR$2:$AR$701)-1,99999),143),99999)</f>
        <v/>
      </c>
    </row>
    <row r="190">
      <c r="A190">
        <f>IF(T190=99999,"",INDEX('Students'!$A$2:$A$701,T190))</f>
        <v/>
      </c>
      <c r="B190">
        <f>IF(T190=99999,"",INDEX('Students'!$B$2:$B$701,T190))</f>
        <v/>
      </c>
      <c r="C190" s="42">
        <f>IF(A190="","",144)</f>
        <v/>
      </c>
      <c r="T190">
        <f t="array" ref="T190">IFERROR(SMALL(IF('Students'!$AR$2:$AR$701&gt;0,ROW('Students'!$AR$2:$AR$701)-1,99999),144),99999)</f>
        <v/>
      </c>
    </row>
    <row r="191">
      <c r="A191">
        <f>IF(T191=99999,"",INDEX('Students'!$A$2:$A$701,T191))</f>
        <v/>
      </c>
      <c r="B191">
        <f>IF(T191=99999,"",INDEX('Students'!$B$2:$B$701,T191))</f>
        <v/>
      </c>
      <c r="C191" s="42">
        <f>IF(A191="","",145)</f>
        <v/>
      </c>
      <c r="T191">
        <f t="array" ref="T191">IFERROR(SMALL(IF('Students'!$AR$2:$AR$701&gt;0,ROW('Students'!$AR$2:$AR$701)-1,99999),145),99999)</f>
        <v/>
      </c>
    </row>
    <row r="192">
      <c r="A192">
        <f>IF(T192=99999,"",INDEX('Students'!$A$2:$A$701,T192))</f>
        <v/>
      </c>
      <c r="B192">
        <f>IF(T192=99999,"",INDEX('Students'!$B$2:$B$701,T192))</f>
        <v/>
      </c>
      <c r="C192" s="42">
        <f>IF(A192="","",146)</f>
        <v/>
      </c>
      <c r="T192">
        <f t="array" ref="T192">IFERROR(SMALL(IF('Students'!$AR$2:$AR$701&gt;0,ROW('Students'!$AR$2:$AR$701)-1,99999),146),99999)</f>
        <v/>
      </c>
    </row>
    <row r="193">
      <c r="A193">
        <f>IF(T193=99999,"",INDEX('Students'!$A$2:$A$701,T193))</f>
        <v/>
      </c>
      <c r="B193">
        <f>IF(T193=99999,"",INDEX('Students'!$B$2:$B$701,T193))</f>
        <v/>
      </c>
      <c r="C193" s="42">
        <f>IF(A193="","",147)</f>
        <v/>
      </c>
      <c r="T193">
        <f t="array" ref="T193">IFERROR(SMALL(IF('Students'!$AR$2:$AR$701&gt;0,ROW('Students'!$AR$2:$AR$701)-1,99999),147),99999)</f>
        <v/>
      </c>
    </row>
    <row r="194">
      <c r="A194">
        <f>IF(T194=99999,"",INDEX('Students'!$A$2:$A$701,T194))</f>
        <v/>
      </c>
      <c r="B194">
        <f>IF(T194=99999,"",INDEX('Students'!$B$2:$B$701,T194))</f>
        <v/>
      </c>
      <c r="C194" s="42">
        <f>IF(A194="","",148)</f>
        <v/>
      </c>
      <c r="T194">
        <f t="array" ref="T194">IFERROR(SMALL(IF('Students'!$AR$2:$AR$701&gt;0,ROW('Students'!$AR$2:$AR$701)-1,99999),148),99999)</f>
        <v/>
      </c>
    </row>
    <row r="195">
      <c r="A195">
        <f>IF(T195=99999,"",INDEX('Students'!$A$2:$A$701,T195))</f>
        <v/>
      </c>
      <c r="B195">
        <f>IF(T195=99999,"",INDEX('Students'!$B$2:$B$701,T195))</f>
        <v/>
      </c>
      <c r="C195" s="42">
        <f>IF(A195="","",149)</f>
        <v/>
      </c>
      <c r="T195">
        <f t="array" ref="T195">IFERROR(SMALL(IF('Students'!$AR$2:$AR$701&gt;0,ROW('Students'!$AR$2:$AR$701)-1,99999),149),99999)</f>
        <v/>
      </c>
    </row>
    <row r="196">
      <c r="A196">
        <f>IF(T196=99999,"",INDEX('Students'!$A$2:$A$701,T196))</f>
        <v/>
      </c>
      <c r="B196">
        <f>IF(T196=99999,"",INDEX('Students'!$B$2:$B$701,T196))</f>
        <v/>
      </c>
      <c r="C196" s="42">
        <f>IF(A196="","",150)</f>
        <v/>
      </c>
      <c r="T196">
        <f t="array" ref="T196">IFERROR(SMALL(IF('Students'!$AR$2:$AR$701&gt;0,ROW('Students'!$AR$2:$AR$701)-1,99999),150),99999)</f>
        <v/>
      </c>
    </row>
    <row r="197">
      <c r="A197">
        <f>IF(T197=99999,"",INDEX('Students'!$A$2:$A$701,T197))</f>
        <v/>
      </c>
      <c r="B197">
        <f>IF(T197=99999,"",INDEX('Students'!$B$2:$B$701,T197))</f>
        <v/>
      </c>
      <c r="C197" s="42">
        <f>IF(A197="","",151)</f>
        <v/>
      </c>
      <c r="T197">
        <f t="array" ref="T197">IFERROR(SMALL(IF('Students'!$AR$2:$AR$701&gt;0,ROW('Students'!$AR$2:$AR$701)-1,99999),151),99999)</f>
        <v/>
      </c>
    </row>
    <row r="198">
      <c r="A198">
        <f>IF(T198=99999,"",INDEX('Students'!$A$2:$A$701,T198))</f>
        <v/>
      </c>
      <c r="B198">
        <f>IF(T198=99999,"",INDEX('Students'!$B$2:$B$701,T198))</f>
        <v/>
      </c>
      <c r="C198" s="42">
        <f>IF(A198="","",152)</f>
        <v/>
      </c>
      <c r="T198">
        <f t="array" ref="T198">IFERROR(SMALL(IF('Students'!$AR$2:$AR$701&gt;0,ROW('Students'!$AR$2:$AR$701)-1,99999),152),99999)</f>
        <v/>
      </c>
    </row>
    <row r="199">
      <c r="A199">
        <f>IF(T199=99999,"",INDEX('Students'!$A$2:$A$701,T199))</f>
        <v/>
      </c>
      <c r="B199">
        <f>IF(T199=99999,"",INDEX('Students'!$B$2:$B$701,T199))</f>
        <v/>
      </c>
      <c r="C199" s="42">
        <f>IF(A199="","",153)</f>
        <v/>
      </c>
      <c r="T199">
        <f t="array" ref="T199">IFERROR(SMALL(IF('Students'!$AR$2:$AR$701&gt;0,ROW('Students'!$AR$2:$AR$701)-1,99999),153),99999)</f>
        <v/>
      </c>
    </row>
    <row r="200">
      <c r="A200">
        <f>IF(T200=99999,"",INDEX('Students'!$A$2:$A$701,T200))</f>
        <v/>
      </c>
      <c r="B200">
        <f>IF(T200=99999,"",INDEX('Students'!$B$2:$B$701,T200))</f>
        <v/>
      </c>
      <c r="C200" s="42">
        <f>IF(A200="","",154)</f>
        <v/>
      </c>
      <c r="T200">
        <f t="array" ref="T200">IFERROR(SMALL(IF('Students'!$AR$2:$AR$701&gt;0,ROW('Students'!$AR$2:$AR$701)-1,99999),154),99999)</f>
        <v/>
      </c>
    </row>
    <row r="201">
      <c r="A201">
        <f>IF(T201=99999,"",INDEX('Students'!$A$2:$A$701,T201))</f>
        <v/>
      </c>
      <c r="B201">
        <f>IF(T201=99999,"",INDEX('Students'!$B$2:$B$701,T201))</f>
        <v/>
      </c>
      <c r="C201" s="42">
        <f>IF(A201="","",155)</f>
        <v/>
      </c>
      <c r="T201">
        <f t="array" ref="T201">IFERROR(SMALL(IF('Students'!$AR$2:$AR$701&gt;0,ROW('Students'!$AR$2:$AR$701)-1,99999),155),99999)</f>
        <v/>
      </c>
    </row>
    <row r="202">
      <c r="A202">
        <f>IF(T202=99999,"",INDEX('Students'!$A$2:$A$701,T202))</f>
        <v/>
      </c>
      <c r="B202">
        <f>IF(T202=99999,"",INDEX('Students'!$B$2:$B$701,T202))</f>
        <v/>
      </c>
      <c r="C202" s="42">
        <f>IF(A202="","",156)</f>
        <v/>
      </c>
      <c r="T202">
        <f t="array" ref="T202">IFERROR(SMALL(IF('Students'!$AR$2:$AR$701&gt;0,ROW('Students'!$AR$2:$AR$701)-1,99999),156),99999)</f>
        <v/>
      </c>
    </row>
    <row r="203">
      <c r="A203">
        <f>IF(T203=99999,"",INDEX('Students'!$A$2:$A$701,T203))</f>
        <v/>
      </c>
      <c r="B203">
        <f>IF(T203=99999,"",INDEX('Students'!$B$2:$B$701,T203))</f>
        <v/>
      </c>
      <c r="C203" s="42">
        <f>IF(A203="","",157)</f>
        <v/>
      </c>
      <c r="T203">
        <f t="array" ref="T203">IFERROR(SMALL(IF('Students'!$AR$2:$AR$701&gt;0,ROW('Students'!$AR$2:$AR$701)-1,99999),157),99999)</f>
        <v/>
      </c>
    </row>
    <row r="204">
      <c r="A204">
        <f>IF(T204=99999,"",INDEX('Students'!$A$2:$A$701,T204))</f>
        <v/>
      </c>
      <c r="B204">
        <f>IF(T204=99999,"",INDEX('Students'!$B$2:$B$701,T204))</f>
        <v/>
      </c>
      <c r="C204" s="42">
        <f>IF(A204="","",158)</f>
        <v/>
      </c>
      <c r="T204">
        <f t="array" ref="T204">IFERROR(SMALL(IF('Students'!$AR$2:$AR$701&gt;0,ROW('Students'!$AR$2:$AR$701)-1,99999),158),99999)</f>
        <v/>
      </c>
    </row>
    <row r="205">
      <c r="A205">
        <f>IF(T205=99999,"",INDEX('Students'!$A$2:$A$701,T205))</f>
        <v/>
      </c>
      <c r="B205">
        <f>IF(T205=99999,"",INDEX('Students'!$B$2:$B$701,T205))</f>
        <v/>
      </c>
      <c r="C205" s="42">
        <f>IF(A205="","",159)</f>
        <v/>
      </c>
      <c r="T205">
        <f t="array" ref="T205">IFERROR(SMALL(IF('Students'!$AR$2:$AR$701&gt;0,ROW('Students'!$AR$2:$AR$701)-1,99999),159),99999)</f>
        <v/>
      </c>
    </row>
    <row r="206">
      <c r="A206">
        <f>IF(T206=99999,"",INDEX('Students'!$A$2:$A$701,T206))</f>
        <v/>
      </c>
      <c r="B206">
        <f>IF(T206=99999,"",INDEX('Students'!$B$2:$B$701,T206))</f>
        <v/>
      </c>
      <c r="C206" s="42">
        <f>IF(A206="","",160)</f>
        <v/>
      </c>
      <c r="T206">
        <f t="array" ref="T206">IFERROR(SMALL(IF('Students'!$AR$2:$AR$701&gt;0,ROW('Students'!$AR$2:$AR$701)-1,99999),160),99999)</f>
        <v/>
      </c>
    </row>
    <row r="207">
      <c r="A207">
        <f>IF(T207=99999,"",INDEX('Students'!$A$2:$A$701,T207))</f>
        <v/>
      </c>
      <c r="B207">
        <f>IF(T207=99999,"",INDEX('Students'!$B$2:$B$701,T207))</f>
        <v/>
      </c>
      <c r="C207" s="42">
        <f>IF(A207="","",161)</f>
        <v/>
      </c>
      <c r="T207">
        <f t="array" ref="T207">IFERROR(SMALL(IF('Students'!$AR$2:$AR$701&gt;0,ROW('Students'!$AR$2:$AR$701)-1,99999),161),99999)</f>
        <v/>
      </c>
    </row>
    <row r="208">
      <c r="A208">
        <f>IF(T208=99999,"",INDEX('Students'!$A$2:$A$701,T208))</f>
        <v/>
      </c>
      <c r="B208">
        <f>IF(T208=99999,"",INDEX('Students'!$B$2:$B$701,T208))</f>
        <v/>
      </c>
      <c r="C208" s="42">
        <f>IF(A208="","",162)</f>
        <v/>
      </c>
      <c r="T208">
        <f t="array" ref="T208">IFERROR(SMALL(IF('Students'!$AR$2:$AR$701&gt;0,ROW('Students'!$AR$2:$AR$701)-1,99999),162),99999)</f>
        <v/>
      </c>
    </row>
    <row r="209">
      <c r="A209">
        <f>IF(T209=99999,"",INDEX('Students'!$A$2:$A$701,T209))</f>
        <v/>
      </c>
      <c r="B209">
        <f>IF(T209=99999,"",INDEX('Students'!$B$2:$B$701,T209))</f>
        <v/>
      </c>
      <c r="C209" s="42">
        <f>IF(A209="","",163)</f>
        <v/>
      </c>
      <c r="T209">
        <f t="array" ref="T209">IFERROR(SMALL(IF('Students'!$AR$2:$AR$701&gt;0,ROW('Students'!$AR$2:$AR$701)-1,99999),163),99999)</f>
        <v/>
      </c>
    </row>
    <row r="210">
      <c r="A210">
        <f>IF(T210=99999,"",INDEX('Students'!$A$2:$A$701,T210))</f>
        <v/>
      </c>
      <c r="B210">
        <f>IF(T210=99999,"",INDEX('Students'!$B$2:$B$701,T210))</f>
        <v/>
      </c>
      <c r="C210" s="42">
        <f>IF(A210="","",164)</f>
        <v/>
      </c>
      <c r="T210">
        <f t="array" ref="T210">IFERROR(SMALL(IF('Students'!$AR$2:$AR$701&gt;0,ROW('Students'!$AR$2:$AR$701)-1,99999),164),99999)</f>
        <v/>
      </c>
    </row>
    <row r="211">
      <c r="A211">
        <f>IF(T211=99999,"",INDEX('Students'!$A$2:$A$701,T211))</f>
        <v/>
      </c>
      <c r="B211">
        <f>IF(T211=99999,"",INDEX('Students'!$B$2:$B$701,T211))</f>
        <v/>
      </c>
      <c r="C211" s="42">
        <f>IF(A211="","",165)</f>
        <v/>
      </c>
      <c r="T211">
        <f t="array" ref="T211">IFERROR(SMALL(IF('Students'!$AR$2:$AR$701&gt;0,ROW('Students'!$AR$2:$AR$701)-1,99999),165),99999)</f>
        <v/>
      </c>
    </row>
    <row r="212">
      <c r="A212">
        <f>IF(T212=99999,"",INDEX('Students'!$A$2:$A$701,T212))</f>
        <v/>
      </c>
      <c r="B212">
        <f>IF(T212=99999,"",INDEX('Students'!$B$2:$B$701,T212))</f>
        <v/>
      </c>
      <c r="C212" s="42">
        <f>IF(A212="","",166)</f>
        <v/>
      </c>
      <c r="T212">
        <f t="array" ref="T212">IFERROR(SMALL(IF('Students'!$AR$2:$AR$701&gt;0,ROW('Students'!$AR$2:$AR$701)-1,99999),166),99999)</f>
        <v/>
      </c>
    </row>
    <row r="213">
      <c r="A213">
        <f>IF(T213=99999,"",INDEX('Students'!$A$2:$A$701,T213))</f>
        <v/>
      </c>
      <c r="B213">
        <f>IF(T213=99999,"",INDEX('Students'!$B$2:$B$701,T213))</f>
        <v/>
      </c>
      <c r="C213" s="42">
        <f>IF(A213="","",167)</f>
        <v/>
      </c>
      <c r="T213">
        <f t="array" ref="T213">IFERROR(SMALL(IF('Students'!$AR$2:$AR$701&gt;0,ROW('Students'!$AR$2:$AR$701)-1,99999),167),99999)</f>
        <v/>
      </c>
    </row>
    <row r="214">
      <c r="A214">
        <f>IF(T214=99999,"",INDEX('Students'!$A$2:$A$701,T214))</f>
        <v/>
      </c>
      <c r="B214">
        <f>IF(T214=99999,"",INDEX('Students'!$B$2:$B$701,T214))</f>
        <v/>
      </c>
      <c r="C214" s="42">
        <f>IF(A214="","",168)</f>
        <v/>
      </c>
      <c r="T214">
        <f t="array" ref="T214">IFERROR(SMALL(IF('Students'!$AR$2:$AR$701&gt;0,ROW('Students'!$AR$2:$AR$701)-1,99999),168),99999)</f>
        <v/>
      </c>
    </row>
    <row r="215">
      <c r="A215">
        <f>IF(T215=99999,"",INDEX('Students'!$A$2:$A$701,T215))</f>
        <v/>
      </c>
      <c r="B215">
        <f>IF(T215=99999,"",INDEX('Students'!$B$2:$B$701,T215))</f>
        <v/>
      </c>
      <c r="C215" s="42">
        <f>IF(A215="","",169)</f>
        <v/>
      </c>
      <c r="T215">
        <f t="array" ref="T215">IFERROR(SMALL(IF('Students'!$AR$2:$AR$701&gt;0,ROW('Students'!$AR$2:$AR$701)-1,99999),169),99999)</f>
        <v/>
      </c>
    </row>
    <row r="216">
      <c r="A216">
        <f>IF(T216=99999,"",INDEX('Students'!$A$2:$A$701,T216))</f>
        <v/>
      </c>
      <c r="B216">
        <f>IF(T216=99999,"",INDEX('Students'!$B$2:$B$701,T216))</f>
        <v/>
      </c>
      <c r="C216" s="42">
        <f>IF(A216="","",170)</f>
        <v/>
      </c>
      <c r="T216">
        <f t="array" ref="T216">IFERROR(SMALL(IF('Students'!$AR$2:$AR$701&gt;0,ROW('Students'!$AR$2:$AR$701)-1,99999),170),99999)</f>
        <v/>
      </c>
    </row>
    <row r="217">
      <c r="A217">
        <f>IF(T217=99999,"",INDEX('Students'!$A$2:$A$701,T217))</f>
        <v/>
      </c>
      <c r="B217">
        <f>IF(T217=99999,"",INDEX('Students'!$B$2:$B$701,T217))</f>
        <v/>
      </c>
      <c r="C217" s="42">
        <f>IF(A217="","",171)</f>
        <v/>
      </c>
      <c r="T217">
        <f t="array" ref="T217">IFERROR(SMALL(IF('Students'!$AR$2:$AR$701&gt;0,ROW('Students'!$AR$2:$AR$701)-1,99999),171),99999)</f>
        <v/>
      </c>
    </row>
    <row r="218">
      <c r="A218">
        <f>IF(T218=99999,"",INDEX('Students'!$A$2:$A$701,T218))</f>
        <v/>
      </c>
      <c r="B218">
        <f>IF(T218=99999,"",INDEX('Students'!$B$2:$B$701,T218))</f>
        <v/>
      </c>
      <c r="C218" s="42">
        <f>IF(A218="","",172)</f>
        <v/>
      </c>
      <c r="T218">
        <f t="array" ref="T218">IFERROR(SMALL(IF('Students'!$AR$2:$AR$701&gt;0,ROW('Students'!$AR$2:$AR$701)-1,99999),172),99999)</f>
        <v/>
      </c>
    </row>
    <row r="219">
      <c r="A219">
        <f>IF(T219=99999,"",INDEX('Students'!$A$2:$A$701,T219))</f>
        <v/>
      </c>
      <c r="B219">
        <f>IF(T219=99999,"",INDEX('Students'!$B$2:$B$701,T219))</f>
        <v/>
      </c>
      <c r="C219" s="42">
        <f>IF(A219="","",173)</f>
        <v/>
      </c>
      <c r="T219">
        <f t="array" ref="T219">IFERROR(SMALL(IF('Students'!$AR$2:$AR$701&gt;0,ROW('Students'!$AR$2:$AR$701)-1,99999),173),99999)</f>
        <v/>
      </c>
    </row>
    <row r="220">
      <c r="A220">
        <f>IF(T220=99999,"",INDEX('Students'!$A$2:$A$701,T220))</f>
        <v/>
      </c>
      <c r="B220">
        <f>IF(T220=99999,"",INDEX('Students'!$B$2:$B$701,T220))</f>
        <v/>
      </c>
      <c r="C220" s="42">
        <f>IF(A220="","",174)</f>
        <v/>
      </c>
      <c r="T220">
        <f t="array" ref="T220">IFERROR(SMALL(IF('Students'!$AR$2:$AR$701&gt;0,ROW('Students'!$AR$2:$AR$701)-1,99999),174),99999)</f>
        <v/>
      </c>
    </row>
    <row r="221">
      <c r="A221">
        <f>IF(T221=99999,"",INDEX('Students'!$A$2:$A$701,T221))</f>
        <v/>
      </c>
      <c r="B221">
        <f>IF(T221=99999,"",INDEX('Students'!$B$2:$B$701,T221))</f>
        <v/>
      </c>
      <c r="C221" s="42">
        <f>IF(A221="","",175)</f>
        <v/>
      </c>
      <c r="T221">
        <f t="array" ref="T221">IFERROR(SMALL(IF('Students'!$AR$2:$AR$701&gt;0,ROW('Students'!$AR$2:$AR$701)-1,99999),175),99999)</f>
        <v/>
      </c>
    </row>
    <row r="222">
      <c r="A222">
        <f>IF(T222=99999,"",INDEX('Students'!$A$2:$A$701,T222))</f>
        <v/>
      </c>
      <c r="B222">
        <f>IF(T222=99999,"",INDEX('Students'!$B$2:$B$701,T222))</f>
        <v/>
      </c>
      <c r="C222" s="42">
        <f>IF(A222="","",176)</f>
        <v/>
      </c>
      <c r="T222">
        <f t="array" ref="T222">IFERROR(SMALL(IF('Students'!$AR$2:$AR$701&gt;0,ROW('Students'!$AR$2:$AR$701)-1,99999),176),99999)</f>
        <v/>
      </c>
    </row>
    <row r="223">
      <c r="A223">
        <f>IF(T223=99999,"",INDEX('Students'!$A$2:$A$701,T223))</f>
        <v/>
      </c>
      <c r="B223">
        <f>IF(T223=99999,"",INDEX('Students'!$B$2:$B$701,T223))</f>
        <v/>
      </c>
      <c r="C223" s="42">
        <f>IF(A223="","",177)</f>
        <v/>
      </c>
      <c r="T223">
        <f t="array" ref="T223">IFERROR(SMALL(IF('Students'!$AR$2:$AR$701&gt;0,ROW('Students'!$AR$2:$AR$701)-1,99999),177),99999)</f>
        <v/>
      </c>
    </row>
    <row r="224">
      <c r="A224">
        <f>IF(T224=99999,"",INDEX('Students'!$A$2:$A$701,T224))</f>
        <v/>
      </c>
      <c r="B224">
        <f>IF(T224=99999,"",INDEX('Students'!$B$2:$B$701,T224))</f>
        <v/>
      </c>
      <c r="C224" s="42">
        <f>IF(A224="","",178)</f>
        <v/>
      </c>
      <c r="T224">
        <f t="array" ref="T224">IFERROR(SMALL(IF('Students'!$AR$2:$AR$701&gt;0,ROW('Students'!$AR$2:$AR$701)-1,99999),178),99999)</f>
        <v/>
      </c>
    </row>
    <row r="225">
      <c r="A225">
        <f>IF(T225=99999,"",INDEX('Students'!$A$2:$A$701,T225))</f>
        <v/>
      </c>
      <c r="B225">
        <f>IF(T225=99999,"",INDEX('Students'!$B$2:$B$701,T225))</f>
        <v/>
      </c>
      <c r="C225" s="42">
        <f>IF(A225="","",179)</f>
        <v/>
      </c>
      <c r="T225">
        <f t="array" ref="T225">IFERROR(SMALL(IF('Students'!$AR$2:$AR$701&gt;0,ROW('Students'!$AR$2:$AR$701)-1,99999),179),99999)</f>
        <v/>
      </c>
    </row>
    <row r="226">
      <c r="A226">
        <f>IF(T226=99999,"",INDEX('Students'!$A$2:$A$701,T226))</f>
        <v/>
      </c>
      <c r="B226">
        <f>IF(T226=99999,"",INDEX('Students'!$B$2:$B$701,T226))</f>
        <v/>
      </c>
      <c r="C226" s="42">
        <f>IF(A226="","",180)</f>
        <v/>
      </c>
      <c r="T226">
        <f t="array" ref="T226">IFERROR(SMALL(IF('Students'!$AR$2:$AR$701&gt;0,ROW('Students'!$AR$2:$AR$701)-1,99999),180),99999)</f>
        <v/>
      </c>
    </row>
    <row r="227">
      <c r="A227">
        <f>IF(T227=99999,"",INDEX('Students'!$A$2:$A$701,T227))</f>
        <v/>
      </c>
      <c r="B227">
        <f>IF(T227=99999,"",INDEX('Students'!$B$2:$B$701,T227))</f>
        <v/>
      </c>
      <c r="C227" s="42">
        <f>IF(A227="","",181)</f>
        <v/>
      </c>
      <c r="T227">
        <f t="array" ref="T227">IFERROR(SMALL(IF('Students'!$AR$2:$AR$701&gt;0,ROW('Students'!$AR$2:$AR$701)-1,99999),181),99999)</f>
        <v/>
      </c>
    </row>
    <row r="228">
      <c r="A228">
        <f>IF(T228=99999,"",INDEX('Students'!$A$2:$A$701,T228))</f>
        <v/>
      </c>
      <c r="B228">
        <f>IF(T228=99999,"",INDEX('Students'!$B$2:$B$701,T228))</f>
        <v/>
      </c>
      <c r="C228" s="42">
        <f>IF(A228="","",182)</f>
        <v/>
      </c>
      <c r="T228">
        <f t="array" ref="T228">IFERROR(SMALL(IF('Students'!$AR$2:$AR$701&gt;0,ROW('Students'!$AR$2:$AR$701)-1,99999),182),99999)</f>
        <v/>
      </c>
    </row>
    <row r="229">
      <c r="A229">
        <f>IF(T229=99999,"",INDEX('Students'!$A$2:$A$701,T229))</f>
        <v/>
      </c>
      <c r="B229">
        <f>IF(T229=99999,"",INDEX('Students'!$B$2:$B$701,T229))</f>
        <v/>
      </c>
      <c r="C229" s="42">
        <f>IF(A229="","",183)</f>
        <v/>
      </c>
      <c r="T229">
        <f t="array" ref="T229">IFERROR(SMALL(IF('Students'!$AR$2:$AR$701&gt;0,ROW('Students'!$AR$2:$AR$701)-1,99999),183),99999)</f>
        <v/>
      </c>
    </row>
    <row r="230">
      <c r="A230">
        <f>IF(T230=99999,"",INDEX('Students'!$A$2:$A$701,T230))</f>
        <v/>
      </c>
      <c r="B230">
        <f>IF(T230=99999,"",INDEX('Students'!$B$2:$B$701,T230))</f>
        <v/>
      </c>
      <c r="C230" s="42">
        <f>IF(A230="","",184)</f>
        <v/>
      </c>
      <c r="T230">
        <f t="array" ref="T230">IFERROR(SMALL(IF('Students'!$AR$2:$AR$701&gt;0,ROW('Students'!$AR$2:$AR$701)-1,99999),184),99999)</f>
        <v/>
      </c>
    </row>
    <row r="231">
      <c r="A231">
        <f>IF(T231=99999,"",INDEX('Students'!$A$2:$A$701,T231))</f>
        <v/>
      </c>
      <c r="B231">
        <f>IF(T231=99999,"",INDEX('Students'!$B$2:$B$701,T231))</f>
        <v/>
      </c>
      <c r="C231" s="42">
        <f>IF(A231="","",185)</f>
        <v/>
      </c>
      <c r="T231">
        <f t="array" ref="T231">IFERROR(SMALL(IF('Students'!$AR$2:$AR$701&gt;0,ROW('Students'!$AR$2:$AR$701)-1,99999),185),99999)</f>
        <v/>
      </c>
    </row>
    <row r="232">
      <c r="A232">
        <f>IF(T232=99999,"",INDEX('Students'!$A$2:$A$701,T232))</f>
        <v/>
      </c>
      <c r="B232">
        <f>IF(T232=99999,"",INDEX('Students'!$B$2:$B$701,T232))</f>
        <v/>
      </c>
      <c r="C232" s="42">
        <f>IF(A232="","",186)</f>
        <v/>
      </c>
      <c r="T232">
        <f t="array" ref="T232">IFERROR(SMALL(IF('Students'!$AR$2:$AR$701&gt;0,ROW('Students'!$AR$2:$AR$701)-1,99999),186),99999)</f>
        <v/>
      </c>
    </row>
    <row r="233">
      <c r="A233">
        <f>IF(T233=99999,"",INDEX('Students'!$A$2:$A$701,T233))</f>
        <v/>
      </c>
      <c r="B233">
        <f>IF(T233=99999,"",INDEX('Students'!$B$2:$B$701,T233))</f>
        <v/>
      </c>
      <c r="C233" s="42">
        <f>IF(A233="","",187)</f>
        <v/>
      </c>
      <c r="T233">
        <f t="array" ref="T233">IFERROR(SMALL(IF('Students'!$AR$2:$AR$701&gt;0,ROW('Students'!$AR$2:$AR$701)-1,99999),187),99999)</f>
        <v/>
      </c>
    </row>
    <row r="234">
      <c r="A234">
        <f>IF(T234=99999,"",INDEX('Students'!$A$2:$A$701,T234))</f>
        <v/>
      </c>
      <c r="B234">
        <f>IF(T234=99999,"",INDEX('Students'!$B$2:$B$701,T234))</f>
        <v/>
      </c>
      <c r="C234" s="42">
        <f>IF(A234="","",188)</f>
        <v/>
      </c>
      <c r="T234">
        <f t="array" ref="T234">IFERROR(SMALL(IF('Students'!$AR$2:$AR$701&gt;0,ROW('Students'!$AR$2:$AR$701)-1,99999),188),99999)</f>
        <v/>
      </c>
    </row>
    <row r="235">
      <c r="A235">
        <f>IF(T235=99999,"",INDEX('Students'!$A$2:$A$701,T235))</f>
        <v/>
      </c>
      <c r="B235">
        <f>IF(T235=99999,"",INDEX('Students'!$B$2:$B$701,T235))</f>
        <v/>
      </c>
      <c r="C235" s="42">
        <f>IF(A235="","",189)</f>
        <v/>
      </c>
      <c r="T235">
        <f t="array" ref="T235">IFERROR(SMALL(IF('Students'!$AR$2:$AR$701&gt;0,ROW('Students'!$AR$2:$AR$701)-1,99999),189),99999)</f>
        <v/>
      </c>
    </row>
    <row r="236">
      <c r="A236">
        <f>IF(T236=99999,"",INDEX('Students'!$A$2:$A$701,T236))</f>
        <v/>
      </c>
      <c r="B236">
        <f>IF(T236=99999,"",INDEX('Students'!$B$2:$B$701,T236))</f>
        <v/>
      </c>
      <c r="C236" s="42">
        <f>IF(A236="","",190)</f>
        <v/>
      </c>
      <c r="T236">
        <f t="array" ref="T236">IFERROR(SMALL(IF('Students'!$AR$2:$AR$701&gt;0,ROW('Students'!$AR$2:$AR$701)-1,99999),190),99999)</f>
        <v/>
      </c>
    </row>
    <row r="237">
      <c r="A237">
        <f>IF(T237=99999,"",INDEX('Students'!$A$2:$A$701,T237))</f>
        <v/>
      </c>
      <c r="B237">
        <f>IF(T237=99999,"",INDEX('Students'!$B$2:$B$701,T237))</f>
        <v/>
      </c>
      <c r="C237" s="42">
        <f>IF(A237="","",191)</f>
        <v/>
      </c>
      <c r="T237">
        <f t="array" ref="T237">IFERROR(SMALL(IF('Students'!$AR$2:$AR$701&gt;0,ROW('Students'!$AR$2:$AR$701)-1,99999),191),99999)</f>
        <v/>
      </c>
    </row>
    <row r="238">
      <c r="A238">
        <f>IF(T238=99999,"",INDEX('Students'!$A$2:$A$701,T238))</f>
        <v/>
      </c>
      <c r="B238">
        <f>IF(T238=99999,"",INDEX('Students'!$B$2:$B$701,T238))</f>
        <v/>
      </c>
      <c r="C238" s="42">
        <f>IF(A238="","",192)</f>
        <v/>
      </c>
      <c r="T238">
        <f t="array" ref="T238">IFERROR(SMALL(IF('Students'!$AR$2:$AR$701&gt;0,ROW('Students'!$AR$2:$AR$701)-1,99999),192),99999)</f>
        <v/>
      </c>
    </row>
    <row r="239">
      <c r="A239">
        <f>IF(T239=99999,"",INDEX('Students'!$A$2:$A$701,T239))</f>
        <v/>
      </c>
      <c r="B239">
        <f>IF(T239=99999,"",INDEX('Students'!$B$2:$B$701,T239))</f>
        <v/>
      </c>
      <c r="C239" s="42">
        <f>IF(A239="","",193)</f>
        <v/>
      </c>
      <c r="T239">
        <f t="array" ref="T239">IFERROR(SMALL(IF('Students'!$AR$2:$AR$701&gt;0,ROW('Students'!$AR$2:$AR$701)-1,99999),193),99999)</f>
        <v/>
      </c>
    </row>
    <row r="240">
      <c r="A240">
        <f>IF(T240=99999,"",INDEX('Students'!$A$2:$A$701,T240))</f>
        <v/>
      </c>
      <c r="B240">
        <f>IF(T240=99999,"",INDEX('Students'!$B$2:$B$701,T240))</f>
        <v/>
      </c>
      <c r="C240" s="42">
        <f>IF(A240="","",194)</f>
        <v/>
      </c>
      <c r="T240">
        <f t="array" ref="T240">IFERROR(SMALL(IF('Students'!$AR$2:$AR$701&gt;0,ROW('Students'!$AR$2:$AR$701)-1,99999),194),99999)</f>
        <v/>
      </c>
    </row>
    <row r="241">
      <c r="A241">
        <f>IF(T241=99999,"",INDEX('Students'!$A$2:$A$701,T241))</f>
        <v/>
      </c>
      <c r="B241">
        <f>IF(T241=99999,"",INDEX('Students'!$B$2:$B$701,T241))</f>
        <v/>
      </c>
      <c r="C241" s="42">
        <f>IF(A241="","",195)</f>
        <v/>
      </c>
      <c r="T241">
        <f t="array" ref="T241">IFERROR(SMALL(IF('Students'!$AR$2:$AR$701&gt;0,ROW('Students'!$AR$2:$AR$701)-1,99999),195),99999)</f>
        <v/>
      </c>
    </row>
    <row r="242">
      <c r="A242">
        <f>IF(T242=99999,"",INDEX('Students'!$A$2:$A$701,T242))</f>
        <v/>
      </c>
      <c r="B242">
        <f>IF(T242=99999,"",INDEX('Students'!$B$2:$B$701,T242))</f>
        <v/>
      </c>
      <c r="C242" s="42">
        <f>IF(A242="","",196)</f>
        <v/>
      </c>
      <c r="T242">
        <f t="array" ref="T242">IFERROR(SMALL(IF('Students'!$AR$2:$AR$701&gt;0,ROW('Students'!$AR$2:$AR$701)-1,99999),196),99999)</f>
        <v/>
      </c>
    </row>
    <row r="243">
      <c r="A243">
        <f>IF(T243=99999,"",INDEX('Students'!$A$2:$A$701,T243))</f>
        <v/>
      </c>
      <c r="B243">
        <f>IF(T243=99999,"",INDEX('Students'!$B$2:$B$701,T243))</f>
        <v/>
      </c>
      <c r="C243" s="42">
        <f>IF(A243="","",197)</f>
        <v/>
      </c>
      <c r="T243">
        <f t="array" ref="T243">IFERROR(SMALL(IF('Students'!$AR$2:$AR$701&gt;0,ROW('Students'!$AR$2:$AR$701)-1,99999),197),99999)</f>
        <v/>
      </c>
    </row>
    <row r="244">
      <c r="A244">
        <f>IF(T244=99999,"",INDEX('Students'!$A$2:$A$701,T244))</f>
        <v/>
      </c>
      <c r="B244">
        <f>IF(T244=99999,"",INDEX('Students'!$B$2:$B$701,T244))</f>
        <v/>
      </c>
      <c r="C244" s="42">
        <f>IF(A244="","",198)</f>
        <v/>
      </c>
      <c r="T244">
        <f t="array" ref="T244">IFERROR(SMALL(IF('Students'!$AR$2:$AR$701&gt;0,ROW('Students'!$AR$2:$AR$701)-1,99999),198),99999)</f>
        <v/>
      </c>
    </row>
    <row r="245">
      <c r="A245">
        <f>IF(T245=99999,"",INDEX('Students'!$A$2:$A$701,T245))</f>
        <v/>
      </c>
      <c r="B245">
        <f>IF(T245=99999,"",INDEX('Students'!$B$2:$B$701,T245))</f>
        <v/>
      </c>
      <c r="C245" s="42">
        <f>IF(A245="","",199)</f>
        <v/>
      </c>
      <c r="T245">
        <f t="array" ref="T245">IFERROR(SMALL(IF('Students'!$AR$2:$AR$701&gt;0,ROW('Students'!$AR$2:$AR$701)-1,99999),199),99999)</f>
        <v/>
      </c>
    </row>
    <row r="246">
      <c r="A246">
        <f>IF(T246=99999,"",INDEX('Students'!$A$2:$A$701,T246))</f>
        <v/>
      </c>
      <c r="B246">
        <f>IF(T246=99999,"",INDEX('Students'!$B$2:$B$701,T246))</f>
        <v/>
      </c>
      <c r="C246" s="42">
        <f>IF(A246="","",200)</f>
        <v/>
      </c>
      <c r="T246">
        <f t="array" ref="T246">IFERROR(SMALL(IF('Students'!$AR$2:$AR$701&gt;0,ROW('Students'!$AR$2:$AR$701)-1,99999),200),99999)</f>
        <v/>
      </c>
    </row>
    <row r="248">
      <c r="A248" s="39">
        <f>'Settings'!$B$27&amp;": class participation (top 10)"</f>
        <v/>
      </c>
    </row>
    <row r="249" ht="30" customHeight="1">
      <c r="A249" s="33" t="inlineStr">
        <is>
          <t>Class</t>
        </is>
      </c>
      <c r="B249" s="33" t="inlineStr">
        <is>
          <t>Participation</t>
        </is>
      </c>
      <c r="C249" s="33" t="inlineStr">
        <is>
          <t>Rank</t>
        </is>
      </c>
    </row>
    <row r="250">
      <c r="A250" s="35">
        <f>IFERROR(IF(LARGE('By Class'!$AX$5:$AX$44,1)&lt;0,"",INDEX('By Class'!$A$5:$A$44,MATCH(LARGE('By Class'!$AX$5:$AX$44,1),'By Class'!$AX$5:$AX$44,0))),"")</f>
        <v/>
      </c>
      <c r="B250" s="41">
        <f>IFERROR(IF(LARGE('By Class'!$AX$5:$AX$44,1)&lt;0,"",INDEX('By Class'!$AK$5:$AK$44,MATCH(LARGE('By Class'!$AX$5:$AX$44,1),'By Class'!$AX$5:$AX$44,0))),"")</f>
        <v/>
      </c>
      <c r="C250" s="37">
        <f>IF(A250="","",1)</f>
        <v/>
      </c>
    </row>
    <row r="251">
      <c r="A251" s="35">
        <f>IFERROR(IF(LARGE('By Class'!$AX$5:$AX$44,2)&lt;0,"",INDEX('By Class'!$A$5:$A$44,MATCH(LARGE('By Class'!$AX$5:$AX$44,2),'By Class'!$AX$5:$AX$44,0))),"")</f>
        <v/>
      </c>
      <c r="B251" s="41">
        <f>IFERROR(IF(LARGE('By Class'!$AX$5:$AX$44,2)&lt;0,"",INDEX('By Class'!$AK$5:$AK$44,MATCH(LARGE('By Class'!$AX$5:$AX$44,2),'By Class'!$AX$5:$AX$44,0))),"")</f>
        <v/>
      </c>
      <c r="C251" s="37">
        <f>IF(A251="","",2)</f>
        <v/>
      </c>
    </row>
    <row r="252">
      <c r="A252" s="35">
        <f>IFERROR(IF(LARGE('By Class'!$AX$5:$AX$44,3)&lt;0,"",INDEX('By Class'!$A$5:$A$44,MATCH(LARGE('By Class'!$AX$5:$AX$44,3),'By Class'!$AX$5:$AX$44,0))),"")</f>
        <v/>
      </c>
      <c r="B252" s="41">
        <f>IFERROR(IF(LARGE('By Class'!$AX$5:$AX$44,3)&lt;0,"",INDEX('By Class'!$AK$5:$AK$44,MATCH(LARGE('By Class'!$AX$5:$AX$44,3),'By Class'!$AX$5:$AX$44,0))),"")</f>
        <v/>
      </c>
      <c r="C252" s="37">
        <f>IF(A252="","",3)</f>
        <v/>
      </c>
    </row>
    <row r="253">
      <c r="A253" s="35">
        <f>IFERROR(IF(LARGE('By Class'!$AX$5:$AX$44,4)&lt;0,"",INDEX('By Class'!$A$5:$A$44,MATCH(LARGE('By Class'!$AX$5:$AX$44,4),'By Class'!$AX$5:$AX$44,0))),"")</f>
        <v/>
      </c>
      <c r="B253" s="41">
        <f>IFERROR(IF(LARGE('By Class'!$AX$5:$AX$44,4)&lt;0,"",INDEX('By Class'!$AK$5:$AK$44,MATCH(LARGE('By Class'!$AX$5:$AX$44,4),'By Class'!$AX$5:$AX$44,0))),"")</f>
        <v/>
      </c>
      <c r="C253" s="37">
        <f>IF(A253="","",4)</f>
        <v/>
      </c>
    </row>
    <row r="254">
      <c r="A254" s="35">
        <f>IFERROR(IF(LARGE('By Class'!$AX$5:$AX$44,5)&lt;0,"",INDEX('By Class'!$A$5:$A$44,MATCH(LARGE('By Class'!$AX$5:$AX$44,5),'By Class'!$AX$5:$AX$44,0))),"")</f>
        <v/>
      </c>
      <c r="B254" s="41">
        <f>IFERROR(IF(LARGE('By Class'!$AX$5:$AX$44,5)&lt;0,"",INDEX('By Class'!$AK$5:$AK$44,MATCH(LARGE('By Class'!$AX$5:$AX$44,5),'By Class'!$AX$5:$AX$44,0))),"")</f>
        <v/>
      </c>
      <c r="C254" s="37">
        <f>IF(A254="","",5)</f>
        <v/>
      </c>
    </row>
    <row r="255">
      <c r="A255" s="35">
        <f>IFERROR(IF(LARGE('By Class'!$AX$5:$AX$44,6)&lt;0,"",INDEX('By Class'!$A$5:$A$44,MATCH(LARGE('By Class'!$AX$5:$AX$44,6),'By Class'!$AX$5:$AX$44,0))),"")</f>
        <v/>
      </c>
      <c r="B255" s="41">
        <f>IFERROR(IF(LARGE('By Class'!$AX$5:$AX$44,6)&lt;0,"",INDEX('By Class'!$AK$5:$AK$44,MATCH(LARGE('By Class'!$AX$5:$AX$44,6),'By Class'!$AX$5:$AX$44,0))),"")</f>
        <v/>
      </c>
      <c r="C255" s="37">
        <f>IF(A255="","",6)</f>
        <v/>
      </c>
    </row>
    <row r="256">
      <c r="A256" s="35">
        <f>IFERROR(IF(LARGE('By Class'!$AX$5:$AX$44,7)&lt;0,"",INDEX('By Class'!$A$5:$A$44,MATCH(LARGE('By Class'!$AX$5:$AX$44,7),'By Class'!$AX$5:$AX$44,0))),"")</f>
        <v/>
      </c>
      <c r="B256" s="41">
        <f>IFERROR(IF(LARGE('By Class'!$AX$5:$AX$44,7)&lt;0,"",INDEX('By Class'!$AK$5:$AK$44,MATCH(LARGE('By Class'!$AX$5:$AX$44,7),'By Class'!$AX$5:$AX$44,0))),"")</f>
        <v/>
      </c>
      <c r="C256" s="37">
        <f>IF(A256="","",7)</f>
        <v/>
      </c>
    </row>
    <row r="257">
      <c r="A257" s="35">
        <f>IFERROR(IF(LARGE('By Class'!$AX$5:$AX$44,8)&lt;0,"",INDEX('By Class'!$A$5:$A$44,MATCH(LARGE('By Class'!$AX$5:$AX$44,8),'By Class'!$AX$5:$AX$44,0))),"")</f>
        <v/>
      </c>
      <c r="B257" s="41">
        <f>IFERROR(IF(LARGE('By Class'!$AX$5:$AX$44,8)&lt;0,"",INDEX('By Class'!$AK$5:$AK$44,MATCH(LARGE('By Class'!$AX$5:$AX$44,8),'By Class'!$AX$5:$AX$44,0))),"")</f>
        <v/>
      </c>
      <c r="C257" s="37">
        <f>IF(A257="","",8)</f>
        <v/>
      </c>
    </row>
    <row r="258">
      <c r="A258" s="35">
        <f>IFERROR(IF(LARGE('By Class'!$AX$5:$AX$44,9)&lt;0,"",INDEX('By Class'!$A$5:$A$44,MATCH(LARGE('By Class'!$AX$5:$AX$44,9),'By Class'!$AX$5:$AX$44,0))),"")</f>
        <v/>
      </c>
      <c r="B258" s="41">
        <f>IFERROR(IF(LARGE('By Class'!$AX$5:$AX$44,9)&lt;0,"",INDEX('By Class'!$AK$5:$AK$44,MATCH(LARGE('By Class'!$AX$5:$AX$44,9),'By Class'!$AX$5:$AX$44,0))),"")</f>
        <v/>
      </c>
      <c r="C258" s="37">
        <f>IF(A258="","",9)</f>
        <v/>
      </c>
    </row>
    <row r="259">
      <c r="A259" s="35">
        <f>IFERROR(IF(LARGE('By Class'!$AX$5:$AX$44,10)&lt;0,"",INDEX('By Class'!$A$5:$A$44,MATCH(LARGE('By Class'!$AX$5:$AX$44,10),'By Class'!$AX$5:$AX$44,0))),"")</f>
        <v/>
      </c>
      <c r="B259" s="41">
        <f>IFERROR(IF(LARGE('By Class'!$AX$5:$AX$44,10)&lt;0,"",INDEX('By Class'!$AK$5:$AK$44,MATCH(LARGE('By Class'!$AX$5:$AX$44,10),'By Class'!$AX$5:$AX$44,0))),"")</f>
        <v/>
      </c>
      <c r="C259" s="37">
        <f>IF(A259="","",10)</f>
        <v/>
      </c>
    </row>
    <row r="261">
      <c r="A261" s="39">
        <f>'Settings'!$B$28&amp;": top student in each class"</f>
        <v/>
      </c>
    </row>
    <row r="262" ht="30" customHeight="1">
      <c r="A262" s="33" t="inlineStr">
        <is>
          <t>Class</t>
        </is>
      </c>
      <c r="B262" s="33" t="inlineStr">
        <is>
          <t>Top student</t>
        </is>
      </c>
      <c r="C262" s="33" t="inlineStr">
        <is>
          <t>Raised</t>
        </is>
      </c>
    </row>
    <row r="263">
      <c r="A263">
        <f>'By Class'!A5</f>
        <v/>
      </c>
      <c r="B263">
        <f t="array" ref="B263">IF(A263="","",IF(C263&lt;=0,"—",IF(COUNTIFS('Students'!$B$2:$B$701,A263,'Students'!$AT$2:$AT$701,C263)&gt;1,"TIE: ","")&amp;INDEX('Students'!$A$2:$A$701,SMALL(IF(('Students'!$B$2:$B$701=A263)*('Students'!$AT$2:$AT$701=C263),ROW('Students'!$AT$2:$AT$701)-1,99999),1))&amp;IF(COUNTIFS('Students'!$B$2:$B$701,A263,'Students'!$AT$2:$AT$701,C263)&gt;1," / "&amp;INDEX('Students'!$A$2:$A$701,SMALL(IF(('Students'!$B$2:$B$701=A263)*('Students'!$AT$2:$AT$701=C263),ROW('Students'!$AT$2:$AT$701)-1,99999),2)),"")))</f>
        <v/>
      </c>
      <c r="C263" s="44">
        <f t="array" ref="C263">IF(A263="","",MAX(IF('Students'!$B$2:$B$701=A263,'Students'!$AT$2:$AT$701,-1)))</f>
        <v/>
      </c>
    </row>
    <row r="264">
      <c r="A264">
        <f>'By Class'!A6</f>
        <v/>
      </c>
      <c r="B264">
        <f t="array" ref="B264">IF(A264="","",IF(C264&lt;=0,"—",IF(COUNTIFS('Students'!$B$2:$B$701,A264,'Students'!$AT$2:$AT$701,C264)&gt;1,"TIE: ","")&amp;INDEX('Students'!$A$2:$A$701,SMALL(IF(('Students'!$B$2:$B$701=A264)*('Students'!$AT$2:$AT$701=C264),ROW('Students'!$AT$2:$AT$701)-1,99999),1))&amp;IF(COUNTIFS('Students'!$B$2:$B$701,A264,'Students'!$AT$2:$AT$701,C264)&gt;1," / "&amp;INDEX('Students'!$A$2:$A$701,SMALL(IF(('Students'!$B$2:$B$701=A264)*('Students'!$AT$2:$AT$701=C264),ROW('Students'!$AT$2:$AT$701)-1,99999),2)),"")))</f>
        <v/>
      </c>
      <c r="C264" s="44">
        <f t="array" ref="C264">IF(A264="","",MAX(IF('Students'!$B$2:$B$701=A264,'Students'!$AT$2:$AT$701,-1)))</f>
        <v/>
      </c>
    </row>
    <row r="265">
      <c r="A265">
        <f>'By Class'!A7</f>
        <v/>
      </c>
      <c r="B265">
        <f t="array" ref="B265">IF(A265="","",IF(C265&lt;=0,"—",IF(COUNTIFS('Students'!$B$2:$B$701,A265,'Students'!$AT$2:$AT$701,C265)&gt;1,"TIE: ","")&amp;INDEX('Students'!$A$2:$A$701,SMALL(IF(('Students'!$B$2:$B$701=A265)*('Students'!$AT$2:$AT$701=C265),ROW('Students'!$AT$2:$AT$701)-1,99999),1))&amp;IF(COUNTIFS('Students'!$B$2:$B$701,A265,'Students'!$AT$2:$AT$701,C265)&gt;1," / "&amp;INDEX('Students'!$A$2:$A$701,SMALL(IF(('Students'!$B$2:$B$701=A265)*('Students'!$AT$2:$AT$701=C265),ROW('Students'!$AT$2:$AT$701)-1,99999),2)),"")))</f>
        <v/>
      </c>
      <c r="C265" s="44">
        <f t="array" ref="C265">IF(A265="","",MAX(IF('Students'!$B$2:$B$701=A265,'Students'!$AT$2:$AT$701,-1)))</f>
        <v/>
      </c>
    </row>
    <row r="266">
      <c r="A266">
        <f>'By Class'!A8</f>
        <v/>
      </c>
      <c r="B266">
        <f t="array" ref="B266">IF(A266="","",IF(C266&lt;=0,"—",IF(COUNTIFS('Students'!$B$2:$B$701,A266,'Students'!$AT$2:$AT$701,C266)&gt;1,"TIE: ","")&amp;INDEX('Students'!$A$2:$A$701,SMALL(IF(('Students'!$B$2:$B$701=A266)*('Students'!$AT$2:$AT$701=C266),ROW('Students'!$AT$2:$AT$701)-1,99999),1))&amp;IF(COUNTIFS('Students'!$B$2:$B$701,A266,'Students'!$AT$2:$AT$701,C266)&gt;1," / "&amp;INDEX('Students'!$A$2:$A$701,SMALL(IF(('Students'!$B$2:$B$701=A266)*('Students'!$AT$2:$AT$701=C266),ROW('Students'!$AT$2:$AT$701)-1,99999),2)),"")))</f>
        <v/>
      </c>
      <c r="C266" s="44">
        <f t="array" ref="C266">IF(A266="","",MAX(IF('Students'!$B$2:$B$701=A266,'Students'!$AT$2:$AT$701,-1)))</f>
        <v/>
      </c>
    </row>
    <row r="267">
      <c r="A267">
        <f>'By Class'!A9</f>
        <v/>
      </c>
      <c r="B267">
        <f t="array" ref="B267">IF(A267="","",IF(C267&lt;=0,"—",IF(COUNTIFS('Students'!$B$2:$B$701,A267,'Students'!$AT$2:$AT$701,C267)&gt;1,"TIE: ","")&amp;INDEX('Students'!$A$2:$A$701,SMALL(IF(('Students'!$B$2:$B$701=A267)*('Students'!$AT$2:$AT$701=C267),ROW('Students'!$AT$2:$AT$701)-1,99999),1))&amp;IF(COUNTIFS('Students'!$B$2:$B$701,A267,'Students'!$AT$2:$AT$701,C267)&gt;1," / "&amp;INDEX('Students'!$A$2:$A$701,SMALL(IF(('Students'!$B$2:$B$701=A267)*('Students'!$AT$2:$AT$701=C267),ROW('Students'!$AT$2:$AT$701)-1,99999),2)),"")))</f>
        <v/>
      </c>
      <c r="C267" s="44">
        <f t="array" ref="C267">IF(A267="","",MAX(IF('Students'!$B$2:$B$701=A267,'Students'!$AT$2:$AT$701,-1)))</f>
        <v/>
      </c>
    </row>
    <row r="268">
      <c r="A268">
        <f>'By Class'!A10</f>
        <v/>
      </c>
      <c r="B268">
        <f t="array" ref="B268">IF(A268="","",IF(C268&lt;=0,"—",IF(COUNTIFS('Students'!$B$2:$B$701,A268,'Students'!$AT$2:$AT$701,C268)&gt;1,"TIE: ","")&amp;INDEX('Students'!$A$2:$A$701,SMALL(IF(('Students'!$B$2:$B$701=A268)*('Students'!$AT$2:$AT$701=C268),ROW('Students'!$AT$2:$AT$701)-1,99999),1))&amp;IF(COUNTIFS('Students'!$B$2:$B$701,A268,'Students'!$AT$2:$AT$701,C268)&gt;1," / "&amp;INDEX('Students'!$A$2:$A$701,SMALL(IF(('Students'!$B$2:$B$701=A268)*('Students'!$AT$2:$AT$701=C268),ROW('Students'!$AT$2:$AT$701)-1,99999),2)),"")))</f>
        <v/>
      </c>
      <c r="C268" s="44">
        <f t="array" ref="C268">IF(A268="","",MAX(IF('Students'!$B$2:$B$701=A268,'Students'!$AT$2:$AT$701,-1)))</f>
        <v/>
      </c>
    </row>
    <row r="269">
      <c r="A269">
        <f>'By Class'!A11</f>
        <v/>
      </c>
      <c r="B269">
        <f t="array" ref="B269">IF(A269="","",IF(C269&lt;=0,"—",IF(COUNTIFS('Students'!$B$2:$B$701,A269,'Students'!$AT$2:$AT$701,C269)&gt;1,"TIE: ","")&amp;INDEX('Students'!$A$2:$A$701,SMALL(IF(('Students'!$B$2:$B$701=A269)*('Students'!$AT$2:$AT$701=C269),ROW('Students'!$AT$2:$AT$701)-1,99999),1))&amp;IF(COUNTIFS('Students'!$B$2:$B$701,A269,'Students'!$AT$2:$AT$701,C269)&gt;1," / "&amp;INDEX('Students'!$A$2:$A$701,SMALL(IF(('Students'!$B$2:$B$701=A269)*('Students'!$AT$2:$AT$701=C269),ROW('Students'!$AT$2:$AT$701)-1,99999),2)),"")))</f>
        <v/>
      </c>
      <c r="C269" s="44">
        <f t="array" ref="C269">IF(A269="","",MAX(IF('Students'!$B$2:$B$701=A269,'Students'!$AT$2:$AT$701,-1)))</f>
        <v/>
      </c>
    </row>
    <row r="270">
      <c r="A270">
        <f>'By Class'!A12</f>
        <v/>
      </c>
      <c r="B270">
        <f t="array" ref="B270">IF(A270="","",IF(C270&lt;=0,"—",IF(COUNTIFS('Students'!$B$2:$B$701,A270,'Students'!$AT$2:$AT$701,C270)&gt;1,"TIE: ","")&amp;INDEX('Students'!$A$2:$A$701,SMALL(IF(('Students'!$B$2:$B$701=A270)*('Students'!$AT$2:$AT$701=C270),ROW('Students'!$AT$2:$AT$701)-1,99999),1))&amp;IF(COUNTIFS('Students'!$B$2:$B$701,A270,'Students'!$AT$2:$AT$701,C270)&gt;1," / "&amp;INDEX('Students'!$A$2:$A$701,SMALL(IF(('Students'!$B$2:$B$701=A270)*('Students'!$AT$2:$AT$701=C270),ROW('Students'!$AT$2:$AT$701)-1,99999),2)),"")))</f>
        <v/>
      </c>
      <c r="C270" s="44">
        <f t="array" ref="C270">IF(A270="","",MAX(IF('Students'!$B$2:$B$701=A270,'Students'!$AT$2:$AT$701,-1)))</f>
        <v/>
      </c>
    </row>
    <row r="271">
      <c r="A271">
        <f>'By Class'!A13</f>
        <v/>
      </c>
      <c r="B271">
        <f t="array" ref="B271">IF(A271="","",IF(C271&lt;=0,"—",IF(COUNTIFS('Students'!$B$2:$B$701,A271,'Students'!$AT$2:$AT$701,C271)&gt;1,"TIE: ","")&amp;INDEX('Students'!$A$2:$A$701,SMALL(IF(('Students'!$B$2:$B$701=A271)*('Students'!$AT$2:$AT$701=C271),ROW('Students'!$AT$2:$AT$701)-1,99999),1))&amp;IF(COUNTIFS('Students'!$B$2:$B$701,A271,'Students'!$AT$2:$AT$701,C271)&gt;1," / "&amp;INDEX('Students'!$A$2:$A$701,SMALL(IF(('Students'!$B$2:$B$701=A271)*('Students'!$AT$2:$AT$701=C271),ROW('Students'!$AT$2:$AT$701)-1,99999),2)),"")))</f>
        <v/>
      </c>
      <c r="C271" s="44">
        <f t="array" ref="C271">IF(A271="","",MAX(IF('Students'!$B$2:$B$701=A271,'Students'!$AT$2:$AT$701,-1)))</f>
        <v/>
      </c>
    </row>
    <row r="272">
      <c r="A272">
        <f>'By Class'!A14</f>
        <v/>
      </c>
      <c r="B272">
        <f t="array" ref="B272">IF(A272="","",IF(C272&lt;=0,"—",IF(COUNTIFS('Students'!$B$2:$B$701,A272,'Students'!$AT$2:$AT$701,C272)&gt;1,"TIE: ","")&amp;INDEX('Students'!$A$2:$A$701,SMALL(IF(('Students'!$B$2:$B$701=A272)*('Students'!$AT$2:$AT$701=C272),ROW('Students'!$AT$2:$AT$701)-1,99999),1))&amp;IF(COUNTIFS('Students'!$B$2:$B$701,A272,'Students'!$AT$2:$AT$701,C272)&gt;1," / "&amp;INDEX('Students'!$A$2:$A$701,SMALL(IF(('Students'!$B$2:$B$701=A272)*('Students'!$AT$2:$AT$701=C272),ROW('Students'!$AT$2:$AT$701)-1,99999),2)),"")))</f>
        <v/>
      </c>
      <c r="C272" s="44">
        <f t="array" ref="C272">IF(A272="","",MAX(IF('Students'!$B$2:$B$701=A272,'Students'!$AT$2:$AT$701,-1)))</f>
        <v/>
      </c>
    </row>
    <row r="273">
      <c r="A273">
        <f>'By Class'!A15</f>
        <v/>
      </c>
      <c r="B273">
        <f t="array" ref="B273">IF(A273="","",IF(C273&lt;=0,"—",IF(COUNTIFS('Students'!$B$2:$B$701,A273,'Students'!$AT$2:$AT$701,C273)&gt;1,"TIE: ","")&amp;INDEX('Students'!$A$2:$A$701,SMALL(IF(('Students'!$B$2:$B$701=A273)*('Students'!$AT$2:$AT$701=C273),ROW('Students'!$AT$2:$AT$701)-1,99999),1))&amp;IF(COUNTIFS('Students'!$B$2:$B$701,A273,'Students'!$AT$2:$AT$701,C273)&gt;1," / "&amp;INDEX('Students'!$A$2:$A$701,SMALL(IF(('Students'!$B$2:$B$701=A273)*('Students'!$AT$2:$AT$701=C273),ROW('Students'!$AT$2:$AT$701)-1,99999),2)),"")))</f>
        <v/>
      </c>
      <c r="C273" s="44">
        <f t="array" ref="C273">IF(A273="","",MAX(IF('Students'!$B$2:$B$701=A273,'Students'!$AT$2:$AT$701,-1)))</f>
        <v/>
      </c>
    </row>
    <row r="274">
      <c r="A274">
        <f>'By Class'!A16</f>
        <v/>
      </c>
      <c r="B274">
        <f t="array" ref="B274">IF(A274="","",IF(C274&lt;=0,"—",IF(COUNTIFS('Students'!$B$2:$B$701,A274,'Students'!$AT$2:$AT$701,C274)&gt;1,"TIE: ","")&amp;INDEX('Students'!$A$2:$A$701,SMALL(IF(('Students'!$B$2:$B$701=A274)*('Students'!$AT$2:$AT$701=C274),ROW('Students'!$AT$2:$AT$701)-1,99999),1))&amp;IF(COUNTIFS('Students'!$B$2:$B$701,A274,'Students'!$AT$2:$AT$701,C274)&gt;1," / "&amp;INDEX('Students'!$A$2:$A$701,SMALL(IF(('Students'!$B$2:$B$701=A274)*('Students'!$AT$2:$AT$701=C274),ROW('Students'!$AT$2:$AT$701)-1,99999),2)),"")))</f>
        <v/>
      </c>
      <c r="C274" s="44">
        <f t="array" ref="C274">IF(A274="","",MAX(IF('Students'!$B$2:$B$701=A274,'Students'!$AT$2:$AT$701,-1)))</f>
        <v/>
      </c>
    </row>
    <row r="275">
      <c r="A275">
        <f>'By Class'!A17</f>
        <v/>
      </c>
      <c r="B275">
        <f t="array" ref="B275">IF(A275="","",IF(C275&lt;=0,"—",IF(COUNTIFS('Students'!$B$2:$B$701,A275,'Students'!$AT$2:$AT$701,C275)&gt;1,"TIE: ","")&amp;INDEX('Students'!$A$2:$A$701,SMALL(IF(('Students'!$B$2:$B$701=A275)*('Students'!$AT$2:$AT$701=C275),ROW('Students'!$AT$2:$AT$701)-1,99999),1))&amp;IF(COUNTIFS('Students'!$B$2:$B$701,A275,'Students'!$AT$2:$AT$701,C275)&gt;1," / "&amp;INDEX('Students'!$A$2:$A$701,SMALL(IF(('Students'!$B$2:$B$701=A275)*('Students'!$AT$2:$AT$701=C275),ROW('Students'!$AT$2:$AT$701)-1,99999),2)),"")))</f>
        <v/>
      </c>
      <c r="C275" s="44">
        <f t="array" ref="C275">IF(A275="","",MAX(IF('Students'!$B$2:$B$701=A275,'Students'!$AT$2:$AT$701,-1)))</f>
        <v/>
      </c>
    </row>
    <row r="276">
      <c r="A276">
        <f>'By Class'!A18</f>
        <v/>
      </c>
      <c r="B276">
        <f t="array" ref="B276">IF(A276="","",IF(C276&lt;=0,"—",IF(COUNTIFS('Students'!$B$2:$B$701,A276,'Students'!$AT$2:$AT$701,C276)&gt;1,"TIE: ","")&amp;INDEX('Students'!$A$2:$A$701,SMALL(IF(('Students'!$B$2:$B$701=A276)*('Students'!$AT$2:$AT$701=C276),ROW('Students'!$AT$2:$AT$701)-1,99999),1))&amp;IF(COUNTIFS('Students'!$B$2:$B$701,A276,'Students'!$AT$2:$AT$701,C276)&gt;1," / "&amp;INDEX('Students'!$A$2:$A$701,SMALL(IF(('Students'!$B$2:$B$701=A276)*('Students'!$AT$2:$AT$701=C276),ROW('Students'!$AT$2:$AT$701)-1,99999),2)),"")))</f>
        <v/>
      </c>
      <c r="C276" s="44">
        <f t="array" ref="C276">IF(A276="","",MAX(IF('Students'!$B$2:$B$701=A276,'Students'!$AT$2:$AT$701,-1)))</f>
        <v/>
      </c>
    </row>
    <row r="277">
      <c r="A277">
        <f>'By Class'!A19</f>
        <v/>
      </c>
      <c r="B277">
        <f t="array" ref="B277">IF(A277="","",IF(C277&lt;=0,"—",IF(COUNTIFS('Students'!$B$2:$B$701,A277,'Students'!$AT$2:$AT$701,C277)&gt;1,"TIE: ","")&amp;INDEX('Students'!$A$2:$A$701,SMALL(IF(('Students'!$B$2:$B$701=A277)*('Students'!$AT$2:$AT$701=C277),ROW('Students'!$AT$2:$AT$701)-1,99999),1))&amp;IF(COUNTIFS('Students'!$B$2:$B$701,A277,'Students'!$AT$2:$AT$701,C277)&gt;1," / "&amp;INDEX('Students'!$A$2:$A$701,SMALL(IF(('Students'!$B$2:$B$701=A277)*('Students'!$AT$2:$AT$701=C277),ROW('Students'!$AT$2:$AT$701)-1,99999),2)),"")))</f>
        <v/>
      </c>
      <c r="C277" s="44">
        <f t="array" ref="C277">IF(A277="","",MAX(IF('Students'!$B$2:$B$701=A277,'Students'!$AT$2:$AT$701,-1)))</f>
        <v/>
      </c>
    </row>
    <row r="278">
      <c r="A278">
        <f>'By Class'!A20</f>
        <v/>
      </c>
      <c r="B278">
        <f t="array" ref="B278">IF(A278="","",IF(C278&lt;=0,"—",IF(COUNTIFS('Students'!$B$2:$B$701,A278,'Students'!$AT$2:$AT$701,C278)&gt;1,"TIE: ","")&amp;INDEX('Students'!$A$2:$A$701,SMALL(IF(('Students'!$B$2:$B$701=A278)*('Students'!$AT$2:$AT$701=C278),ROW('Students'!$AT$2:$AT$701)-1,99999),1))&amp;IF(COUNTIFS('Students'!$B$2:$B$701,A278,'Students'!$AT$2:$AT$701,C278)&gt;1," / "&amp;INDEX('Students'!$A$2:$A$701,SMALL(IF(('Students'!$B$2:$B$701=A278)*('Students'!$AT$2:$AT$701=C278),ROW('Students'!$AT$2:$AT$701)-1,99999),2)),"")))</f>
        <v/>
      </c>
      <c r="C278" s="44">
        <f t="array" ref="C278">IF(A278="","",MAX(IF('Students'!$B$2:$B$701=A278,'Students'!$AT$2:$AT$701,-1)))</f>
        <v/>
      </c>
    </row>
    <row r="279">
      <c r="A279">
        <f>'By Class'!A21</f>
        <v/>
      </c>
      <c r="B279">
        <f t="array" ref="B279">IF(A279="","",IF(C279&lt;=0,"—",IF(COUNTIFS('Students'!$B$2:$B$701,A279,'Students'!$AT$2:$AT$701,C279)&gt;1,"TIE: ","")&amp;INDEX('Students'!$A$2:$A$701,SMALL(IF(('Students'!$B$2:$B$701=A279)*('Students'!$AT$2:$AT$701=C279),ROW('Students'!$AT$2:$AT$701)-1,99999),1))&amp;IF(COUNTIFS('Students'!$B$2:$B$701,A279,'Students'!$AT$2:$AT$701,C279)&gt;1," / "&amp;INDEX('Students'!$A$2:$A$701,SMALL(IF(('Students'!$B$2:$B$701=A279)*('Students'!$AT$2:$AT$701=C279),ROW('Students'!$AT$2:$AT$701)-1,99999),2)),"")))</f>
        <v/>
      </c>
      <c r="C279" s="44">
        <f t="array" ref="C279">IF(A279="","",MAX(IF('Students'!$B$2:$B$701=A279,'Students'!$AT$2:$AT$701,-1)))</f>
        <v/>
      </c>
    </row>
    <row r="280">
      <c r="A280">
        <f>'By Class'!A22</f>
        <v/>
      </c>
      <c r="B280">
        <f t="array" ref="B280">IF(A280="","",IF(C280&lt;=0,"—",IF(COUNTIFS('Students'!$B$2:$B$701,A280,'Students'!$AT$2:$AT$701,C280)&gt;1,"TIE: ","")&amp;INDEX('Students'!$A$2:$A$701,SMALL(IF(('Students'!$B$2:$B$701=A280)*('Students'!$AT$2:$AT$701=C280),ROW('Students'!$AT$2:$AT$701)-1,99999),1))&amp;IF(COUNTIFS('Students'!$B$2:$B$701,A280,'Students'!$AT$2:$AT$701,C280)&gt;1," / "&amp;INDEX('Students'!$A$2:$A$701,SMALL(IF(('Students'!$B$2:$B$701=A280)*('Students'!$AT$2:$AT$701=C280),ROW('Students'!$AT$2:$AT$701)-1,99999),2)),"")))</f>
        <v/>
      </c>
      <c r="C280" s="44">
        <f t="array" ref="C280">IF(A280="","",MAX(IF('Students'!$B$2:$B$701=A280,'Students'!$AT$2:$AT$701,-1)))</f>
        <v/>
      </c>
    </row>
    <row r="281">
      <c r="A281">
        <f>'By Class'!A23</f>
        <v/>
      </c>
      <c r="B281">
        <f t="array" ref="B281">IF(A281="","",IF(C281&lt;=0,"—",IF(COUNTIFS('Students'!$B$2:$B$701,A281,'Students'!$AT$2:$AT$701,C281)&gt;1,"TIE: ","")&amp;INDEX('Students'!$A$2:$A$701,SMALL(IF(('Students'!$B$2:$B$701=A281)*('Students'!$AT$2:$AT$701=C281),ROW('Students'!$AT$2:$AT$701)-1,99999),1))&amp;IF(COUNTIFS('Students'!$B$2:$B$701,A281,'Students'!$AT$2:$AT$701,C281)&gt;1," / "&amp;INDEX('Students'!$A$2:$A$701,SMALL(IF(('Students'!$B$2:$B$701=A281)*('Students'!$AT$2:$AT$701=C281),ROW('Students'!$AT$2:$AT$701)-1,99999),2)),"")))</f>
        <v/>
      </c>
      <c r="C281" s="44">
        <f t="array" ref="C281">IF(A281="","",MAX(IF('Students'!$B$2:$B$701=A281,'Students'!$AT$2:$AT$701,-1)))</f>
        <v/>
      </c>
    </row>
    <row r="282">
      <c r="A282">
        <f>'By Class'!A24</f>
        <v/>
      </c>
      <c r="B282">
        <f t="array" ref="B282">IF(A282="","",IF(C282&lt;=0,"—",IF(COUNTIFS('Students'!$B$2:$B$701,A282,'Students'!$AT$2:$AT$701,C282)&gt;1,"TIE: ","")&amp;INDEX('Students'!$A$2:$A$701,SMALL(IF(('Students'!$B$2:$B$701=A282)*('Students'!$AT$2:$AT$701=C282),ROW('Students'!$AT$2:$AT$701)-1,99999),1))&amp;IF(COUNTIFS('Students'!$B$2:$B$701,A282,'Students'!$AT$2:$AT$701,C282)&gt;1," / "&amp;INDEX('Students'!$A$2:$A$701,SMALL(IF(('Students'!$B$2:$B$701=A282)*('Students'!$AT$2:$AT$701=C282),ROW('Students'!$AT$2:$AT$701)-1,99999),2)),"")))</f>
        <v/>
      </c>
      <c r="C282" s="44">
        <f t="array" ref="C282">IF(A282="","",MAX(IF('Students'!$B$2:$B$701=A282,'Students'!$AT$2:$AT$701,-1)))</f>
        <v/>
      </c>
    </row>
    <row r="283">
      <c r="A283">
        <f>'By Class'!A25</f>
        <v/>
      </c>
      <c r="B283">
        <f t="array" ref="B283">IF(A283="","",IF(C283&lt;=0,"—",IF(COUNTIFS('Students'!$B$2:$B$701,A283,'Students'!$AT$2:$AT$701,C283)&gt;1,"TIE: ","")&amp;INDEX('Students'!$A$2:$A$701,SMALL(IF(('Students'!$B$2:$B$701=A283)*('Students'!$AT$2:$AT$701=C283),ROW('Students'!$AT$2:$AT$701)-1,99999),1))&amp;IF(COUNTIFS('Students'!$B$2:$B$701,A283,'Students'!$AT$2:$AT$701,C283)&gt;1," / "&amp;INDEX('Students'!$A$2:$A$701,SMALL(IF(('Students'!$B$2:$B$701=A283)*('Students'!$AT$2:$AT$701=C283),ROW('Students'!$AT$2:$AT$701)-1,99999),2)),"")))</f>
        <v/>
      </c>
      <c r="C283" s="44">
        <f t="array" ref="C283">IF(A283="","",MAX(IF('Students'!$B$2:$B$701=A283,'Students'!$AT$2:$AT$701,-1)))</f>
        <v/>
      </c>
    </row>
    <row r="284">
      <c r="A284">
        <f>'By Class'!A26</f>
        <v/>
      </c>
      <c r="B284">
        <f t="array" ref="B284">IF(A284="","",IF(C284&lt;=0,"—",IF(COUNTIFS('Students'!$B$2:$B$701,A284,'Students'!$AT$2:$AT$701,C284)&gt;1,"TIE: ","")&amp;INDEX('Students'!$A$2:$A$701,SMALL(IF(('Students'!$B$2:$B$701=A284)*('Students'!$AT$2:$AT$701=C284),ROW('Students'!$AT$2:$AT$701)-1,99999),1))&amp;IF(COUNTIFS('Students'!$B$2:$B$701,A284,'Students'!$AT$2:$AT$701,C284)&gt;1," / "&amp;INDEX('Students'!$A$2:$A$701,SMALL(IF(('Students'!$B$2:$B$701=A284)*('Students'!$AT$2:$AT$701=C284),ROW('Students'!$AT$2:$AT$701)-1,99999),2)),"")))</f>
        <v/>
      </c>
      <c r="C284" s="44">
        <f t="array" ref="C284">IF(A284="","",MAX(IF('Students'!$B$2:$B$701=A284,'Students'!$AT$2:$AT$701,-1)))</f>
        <v/>
      </c>
    </row>
    <row r="285">
      <c r="A285">
        <f>'By Class'!A27</f>
        <v/>
      </c>
      <c r="B285">
        <f t="array" ref="B285">IF(A285="","",IF(C285&lt;=0,"—",IF(COUNTIFS('Students'!$B$2:$B$701,A285,'Students'!$AT$2:$AT$701,C285)&gt;1,"TIE: ","")&amp;INDEX('Students'!$A$2:$A$701,SMALL(IF(('Students'!$B$2:$B$701=A285)*('Students'!$AT$2:$AT$701=C285),ROW('Students'!$AT$2:$AT$701)-1,99999),1))&amp;IF(COUNTIFS('Students'!$B$2:$B$701,A285,'Students'!$AT$2:$AT$701,C285)&gt;1," / "&amp;INDEX('Students'!$A$2:$A$701,SMALL(IF(('Students'!$B$2:$B$701=A285)*('Students'!$AT$2:$AT$701=C285),ROW('Students'!$AT$2:$AT$701)-1,99999),2)),"")))</f>
        <v/>
      </c>
      <c r="C285" s="44">
        <f t="array" ref="C285">IF(A285="","",MAX(IF('Students'!$B$2:$B$701=A285,'Students'!$AT$2:$AT$701,-1)))</f>
        <v/>
      </c>
    </row>
    <row r="286">
      <c r="A286">
        <f>'By Class'!A28</f>
        <v/>
      </c>
      <c r="B286">
        <f t="array" ref="B286">IF(A286="","",IF(C286&lt;=0,"—",IF(COUNTIFS('Students'!$B$2:$B$701,A286,'Students'!$AT$2:$AT$701,C286)&gt;1,"TIE: ","")&amp;INDEX('Students'!$A$2:$A$701,SMALL(IF(('Students'!$B$2:$B$701=A286)*('Students'!$AT$2:$AT$701=C286),ROW('Students'!$AT$2:$AT$701)-1,99999),1))&amp;IF(COUNTIFS('Students'!$B$2:$B$701,A286,'Students'!$AT$2:$AT$701,C286)&gt;1," / "&amp;INDEX('Students'!$A$2:$A$701,SMALL(IF(('Students'!$B$2:$B$701=A286)*('Students'!$AT$2:$AT$701=C286),ROW('Students'!$AT$2:$AT$701)-1,99999),2)),"")))</f>
        <v/>
      </c>
      <c r="C286" s="44">
        <f t="array" ref="C286">IF(A286="","",MAX(IF('Students'!$B$2:$B$701=A286,'Students'!$AT$2:$AT$701,-1)))</f>
        <v/>
      </c>
    </row>
    <row r="287">
      <c r="A287">
        <f>'By Class'!A29</f>
        <v/>
      </c>
      <c r="B287">
        <f t="array" ref="B287">IF(A287="","",IF(C287&lt;=0,"—",IF(COUNTIFS('Students'!$B$2:$B$701,A287,'Students'!$AT$2:$AT$701,C287)&gt;1,"TIE: ","")&amp;INDEX('Students'!$A$2:$A$701,SMALL(IF(('Students'!$B$2:$B$701=A287)*('Students'!$AT$2:$AT$701=C287),ROW('Students'!$AT$2:$AT$701)-1,99999),1))&amp;IF(COUNTIFS('Students'!$B$2:$B$701,A287,'Students'!$AT$2:$AT$701,C287)&gt;1," / "&amp;INDEX('Students'!$A$2:$A$701,SMALL(IF(('Students'!$B$2:$B$701=A287)*('Students'!$AT$2:$AT$701=C287),ROW('Students'!$AT$2:$AT$701)-1,99999),2)),"")))</f>
        <v/>
      </c>
      <c r="C287" s="44">
        <f t="array" ref="C287">IF(A287="","",MAX(IF('Students'!$B$2:$B$701=A287,'Students'!$AT$2:$AT$701,-1)))</f>
        <v/>
      </c>
    </row>
    <row r="288">
      <c r="A288">
        <f>'By Class'!A30</f>
        <v/>
      </c>
      <c r="B288">
        <f t="array" ref="B288">IF(A288="","",IF(C288&lt;=0,"—",IF(COUNTIFS('Students'!$B$2:$B$701,A288,'Students'!$AT$2:$AT$701,C288)&gt;1,"TIE: ","")&amp;INDEX('Students'!$A$2:$A$701,SMALL(IF(('Students'!$B$2:$B$701=A288)*('Students'!$AT$2:$AT$701=C288),ROW('Students'!$AT$2:$AT$701)-1,99999),1))&amp;IF(COUNTIFS('Students'!$B$2:$B$701,A288,'Students'!$AT$2:$AT$701,C288)&gt;1," / "&amp;INDEX('Students'!$A$2:$A$701,SMALL(IF(('Students'!$B$2:$B$701=A288)*('Students'!$AT$2:$AT$701=C288),ROW('Students'!$AT$2:$AT$701)-1,99999),2)),"")))</f>
        <v/>
      </c>
      <c r="C288" s="44">
        <f t="array" ref="C288">IF(A288="","",MAX(IF('Students'!$B$2:$B$701=A288,'Students'!$AT$2:$AT$701,-1)))</f>
        <v/>
      </c>
    </row>
    <row r="289">
      <c r="A289">
        <f>'By Class'!A31</f>
        <v/>
      </c>
      <c r="B289">
        <f t="array" ref="B289">IF(A289="","",IF(C289&lt;=0,"—",IF(COUNTIFS('Students'!$B$2:$B$701,A289,'Students'!$AT$2:$AT$701,C289)&gt;1,"TIE: ","")&amp;INDEX('Students'!$A$2:$A$701,SMALL(IF(('Students'!$B$2:$B$701=A289)*('Students'!$AT$2:$AT$701=C289),ROW('Students'!$AT$2:$AT$701)-1,99999),1))&amp;IF(COUNTIFS('Students'!$B$2:$B$701,A289,'Students'!$AT$2:$AT$701,C289)&gt;1," / "&amp;INDEX('Students'!$A$2:$A$701,SMALL(IF(('Students'!$B$2:$B$701=A289)*('Students'!$AT$2:$AT$701=C289),ROW('Students'!$AT$2:$AT$701)-1,99999),2)),"")))</f>
        <v/>
      </c>
      <c r="C289" s="44">
        <f t="array" ref="C289">IF(A289="","",MAX(IF('Students'!$B$2:$B$701=A289,'Students'!$AT$2:$AT$701,-1)))</f>
        <v/>
      </c>
    </row>
    <row r="290">
      <c r="A290">
        <f>'By Class'!A32</f>
        <v/>
      </c>
      <c r="B290">
        <f t="array" ref="B290">IF(A290="","",IF(C290&lt;=0,"—",IF(COUNTIFS('Students'!$B$2:$B$701,A290,'Students'!$AT$2:$AT$701,C290)&gt;1,"TIE: ","")&amp;INDEX('Students'!$A$2:$A$701,SMALL(IF(('Students'!$B$2:$B$701=A290)*('Students'!$AT$2:$AT$701=C290),ROW('Students'!$AT$2:$AT$701)-1,99999),1))&amp;IF(COUNTIFS('Students'!$B$2:$B$701,A290,'Students'!$AT$2:$AT$701,C290)&gt;1," / "&amp;INDEX('Students'!$A$2:$A$701,SMALL(IF(('Students'!$B$2:$B$701=A290)*('Students'!$AT$2:$AT$701=C290),ROW('Students'!$AT$2:$AT$701)-1,99999),2)),"")))</f>
        <v/>
      </c>
      <c r="C290" s="44">
        <f t="array" ref="C290">IF(A290="","",MAX(IF('Students'!$B$2:$B$701=A290,'Students'!$AT$2:$AT$701,-1)))</f>
        <v/>
      </c>
    </row>
    <row r="291">
      <c r="A291">
        <f>'By Class'!A33</f>
        <v/>
      </c>
      <c r="B291">
        <f t="array" ref="B291">IF(A291="","",IF(C291&lt;=0,"—",IF(COUNTIFS('Students'!$B$2:$B$701,A291,'Students'!$AT$2:$AT$701,C291)&gt;1,"TIE: ","")&amp;INDEX('Students'!$A$2:$A$701,SMALL(IF(('Students'!$B$2:$B$701=A291)*('Students'!$AT$2:$AT$701=C291),ROW('Students'!$AT$2:$AT$701)-1,99999),1))&amp;IF(COUNTIFS('Students'!$B$2:$B$701,A291,'Students'!$AT$2:$AT$701,C291)&gt;1," / "&amp;INDEX('Students'!$A$2:$A$701,SMALL(IF(('Students'!$B$2:$B$701=A291)*('Students'!$AT$2:$AT$701=C291),ROW('Students'!$AT$2:$AT$701)-1,99999),2)),"")))</f>
        <v/>
      </c>
      <c r="C291" s="44">
        <f t="array" ref="C291">IF(A291="","",MAX(IF('Students'!$B$2:$B$701=A291,'Students'!$AT$2:$AT$701,-1)))</f>
        <v/>
      </c>
    </row>
    <row r="292">
      <c r="A292">
        <f>'By Class'!A34</f>
        <v/>
      </c>
      <c r="B292">
        <f t="array" ref="B292">IF(A292="","",IF(C292&lt;=0,"—",IF(COUNTIFS('Students'!$B$2:$B$701,A292,'Students'!$AT$2:$AT$701,C292)&gt;1,"TIE: ","")&amp;INDEX('Students'!$A$2:$A$701,SMALL(IF(('Students'!$B$2:$B$701=A292)*('Students'!$AT$2:$AT$701=C292),ROW('Students'!$AT$2:$AT$701)-1,99999),1))&amp;IF(COUNTIFS('Students'!$B$2:$B$701,A292,'Students'!$AT$2:$AT$701,C292)&gt;1," / "&amp;INDEX('Students'!$A$2:$A$701,SMALL(IF(('Students'!$B$2:$B$701=A292)*('Students'!$AT$2:$AT$701=C292),ROW('Students'!$AT$2:$AT$701)-1,99999),2)),"")))</f>
        <v/>
      </c>
      <c r="C292" s="44">
        <f t="array" ref="C292">IF(A292="","",MAX(IF('Students'!$B$2:$B$701=A292,'Students'!$AT$2:$AT$701,-1)))</f>
        <v/>
      </c>
    </row>
    <row r="293">
      <c r="A293">
        <f>'By Class'!A35</f>
        <v/>
      </c>
      <c r="B293">
        <f t="array" ref="B293">IF(A293="","",IF(C293&lt;=0,"—",IF(COUNTIFS('Students'!$B$2:$B$701,A293,'Students'!$AT$2:$AT$701,C293)&gt;1,"TIE: ","")&amp;INDEX('Students'!$A$2:$A$701,SMALL(IF(('Students'!$B$2:$B$701=A293)*('Students'!$AT$2:$AT$701=C293),ROW('Students'!$AT$2:$AT$701)-1,99999),1))&amp;IF(COUNTIFS('Students'!$B$2:$B$701,A293,'Students'!$AT$2:$AT$701,C293)&gt;1," / "&amp;INDEX('Students'!$A$2:$A$701,SMALL(IF(('Students'!$B$2:$B$701=A293)*('Students'!$AT$2:$AT$701=C293),ROW('Students'!$AT$2:$AT$701)-1,99999),2)),"")))</f>
        <v/>
      </c>
      <c r="C293" s="44">
        <f t="array" ref="C293">IF(A293="","",MAX(IF('Students'!$B$2:$B$701=A293,'Students'!$AT$2:$AT$701,-1)))</f>
        <v/>
      </c>
    </row>
    <row r="294">
      <c r="A294">
        <f>'By Class'!A36</f>
        <v/>
      </c>
      <c r="B294">
        <f t="array" ref="B294">IF(A294="","",IF(C294&lt;=0,"—",IF(COUNTIFS('Students'!$B$2:$B$701,A294,'Students'!$AT$2:$AT$701,C294)&gt;1,"TIE: ","")&amp;INDEX('Students'!$A$2:$A$701,SMALL(IF(('Students'!$B$2:$B$701=A294)*('Students'!$AT$2:$AT$701=C294),ROW('Students'!$AT$2:$AT$701)-1,99999),1))&amp;IF(COUNTIFS('Students'!$B$2:$B$701,A294,'Students'!$AT$2:$AT$701,C294)&gt;1," / "&amp;INDEX('Students'!$A$2:$A$701,SMALL(IF(('Students'!$B$2:$B$701=A294)*('Students'!$AT$2:$AT$701=C294),ROW('Students'!$AT$2:$AT$701)-1,99999),2)),"")))</f>
        <v/>
      </c>
      <c r="C294" s="44">
        <f t="array" ref="C294">IF(A294="","",MAX(IF('Students'!$B$2:$B$701=A294,'Students'!$AT$2:$AT$701,-1)))</f>
        <v/>
      </c>
    </row>
    <row r="295">
      <c r="A295">
        <f>'By Class'!A37</f>
        <v/>
      </c>
      <c r="B295">
        <f t="array" ref="B295">IF(A295="","",IF(C295&lt;=0,"—",IF(COUNTIFS('Students'!$B$2:$B$701,A295,'Students'!$AT$2:$AT$701,C295)&gt;1,"TIE: ","")&amp;INDEX('Students'!$A$2:$A$701,SMALL(IF(('Students'!$B$2:$B$701=A295)*('Students'!$AT$2:$AT$701=C295),ROW('Students'!$AT$2:$AT$701)-1,99999),1))&amp;IF(COUNTIFS('Students'!$B$2:$B$701,A295,'Students'!$AT$2:$AT$701,C295)&gt;1," / "&amp;INDEX('Students'!$A$2:$A$701,SMALL(IF(('Students'!$B$2:$B$701=A295)*('Students'!$AT$2:$AT$701=C295),ROW('Students'!$AT$2:$AT$701)-1,99999),2)),"")))</f>
        <v/>
      </c>
      <c r="C295" s="44">
        <f t="array" ref="C295">IF(A295="","",MAX(IF('Students'!$B$2:$B$701=A295,'Students'!$AT$2:$AT$701,-1)))</f>
        <v/>
      </c>
    </row>
    <row r="296">
      <c r="A296">
        <f>'By Class'!A38</f>
        <v/>
      </c>
      <c r="B296">
        <f t="array" ref="B296">IF(A296="","",IF(C296&lt;=0,"—",IF(COUNTIFS('Students'!$B$2:$B$701,A296,'Students'!$AT$2:$AT$701,C296)&gt;1,"TIE: ","")&amp;INDEX('Students'!$A$2:$A$701,SMALL(IF(('Students'!$B$2:$B$701=A296)*('Students'!$AT$2:$AT$701=C296),ROW('Students'!$AT$2:$AT$701)-1,99999),1))&amp;IF(COUNTIFS('Students'!$B$2:$B$701,A296,'Students'!$AT$2:$AT$701,C296)&gt;1," / "&amp;INDEX('Students'!$A$2:$A$701,SMALL(IF(('Students'!$B$2:$B$701=A296)*('Students'!$AT$2:$AT$701=C296),ROW('Students'!$AT$2:$AT$701)-1,99999),2)),"")))</f>
        <v/>
      </c>
      <c r="C296" s="44">
        <f t="array" ref="C296">IF(A296="","",MAX(IF('Students'!$B$2:$B$701=A296,'Students'!$AT$2:$AT$701,-1)))</f>
        <v/>
      </c>
    </row>
    <row r="297">
      <c r="A297">
        <f>'By Class'!A39</f>
        <v/>
      </c>
      <c r="B297">
        <f t="array" ref="B297">IF(A297="","",IF(C297&lt;=0,"—",IF(COUNTIFS('Students'!$B$2:$B$701,A297,'Students'!$AT$2:$AT$701,C297)&gt;1,"TIE: ","")&amp;INDEX('Students'!$A$2:$A$701,SMALL(IF(('Students'!$B$2:$B$701=A297)*('Students'!$AT$2:$AT$701=C297),ROW('Students'!$AT$2:$AT$701)-1,99999),1))&amp;IF(COUNTIFS('Students'!$B$2:$B$701,A297,'Students'!$AT$2:$AT$701,C297)&gt;1," / "&amp;INDEX('Students'!$A$2:$A$701,SMALL(IF(('Students'!$B$2:$B$701=A297)*('Students'!$AT$2:$AT$701=C297),ROW('Students'!$AT$2:$AT$701)-1,99999),2)),"")))</f>
        <v/>
      </c>
      <c r="C297" s="44">
        <f t="array" ref="C297">IF(A297="","",MAX(IF('Students'!$B$2:$B$701=A297,'Students'!$AT$2:$AT$701,-1)))</f>
        <v/>
      </c>
    </row>
    <row r="298">
      <c r="A298">
        <f>'By Class'!A40</f>
        <v/>
      </c>
      <c r="B298">
        <f t="array" ref="B298">IF(A298="","",IF(C298&lt;=0,"—",IF(COUNTIFS('Students'!$B$2:$B$701,A298,'Students'!$AT$2:$AT$701,C298)&gt;1,"TIE: ","")&amp;INDEX('Students'!$A$2:$A$701,SMALL(IF(('Students'!$B$2:$B$701=A298)*('Students'!$AT$2:$AT$701=C298),ROW('Students'!$AT$2:$AT$701)-1,99999),1))&amp;IF(COUNTIFS('Students'!$B$2:$B$701,A298,'Students'!$AT$2:$AT$701,C298)&gt;1," / "&amp;INDEX('Students'!$A$2:$A$701,SMALL(IF(('Students'!$B$2:$B$701=A298)*('Students'!$AT$2:$AT$701=C298),ROW('Students'!$AT$2:$AT$701)-1,99999),2)),"")))</f>
        <v/>
      </c>
      <c r="C298" s="44">
        <f t="array" ref="C298">IF(A298="","",MAX(IF('Students'!$B$2:$B$701=A298,'Students'!$AT$2:$AT$701,-1)))</f>
        <v/>
      </c>
    </row>
    <row r="299">
      <c r="A299">
        <f>'By Class'!A41</f>
        <v/>
      </c>
      <c r="B299">
        <f t="array" ref="B299">IF(A299="","",IF(C299&lt;=0,"—",IF(COUNTIFS('Students'!$B$2:$B$701,A299,'Students'!$AT$2:$AT$701,C299)&gt;1,"TIE: ","")&amp;INDEX('Students'!$A$2:$A$701,SMALL(IF(('Students'!$B$2:$B$701=A299)*('Students'!$AT$2:$AT$701=C299),ROW('Students'!$AT$2:$AT$701)-1,99999),1))&amp;IF(COUNTIFS('Students'!$B$2:$B$701,A299,'Students'!$AT$2:$AT$701,C299)&gt;1," / "&amp;INDEX('Students'!$A$2:$A$701,SMALL(IF(('Students'!$B$2:$B$701=A299)*('Students'!$AT$2:$AT$701=C299),ROW('Students'!$AT$2:$AT$701)-1,99999),2)),"")))</f>
        <v/>
      </c>
      <c r="C299" s="44">
        <f t="array" ref="C299">IF(A299="","",MAX(IF('Students'!$B$2:$B$701=A299,'Students'!$AT$2:$AT$701,-1)))</f>
        <v/>
      </c>
    </row>
    <row r="300">
      <c r="A300">
        <f>'By Class'!A42</f>
        <v/>
      </c>
      <c r="B300">
        <f t="array" ref="B300">IF(A300="","",IF(C300&lt;=0,"—",IF(COUNTIFS('Students'!$B$2:$B$701,A300,'Students'!$AT$2:$AT$701,C300)&gt;1,"TIE: ","")&amp;INDEX('Students'!$A$2:$A$701,SMALL(IF(('Students'!$B$2:$B$701=A300)*('Students'!$AT$2:$AT$701=C300),ROW('Students'!$AT$2:$AT$701)-1,99999),1))&amp;IF(COUNTIFS('Students'!$B$2:$B$701,A300,'Students'!$AT$2:$AT$701,C300)&gt;1," / "&amp;INDEX('Students'!$A$2:$A$701,SMALL(IF(('Students'!$B$2:$B$701=A300)*('Students'!$AT$2:$AT$701=C300),ROW('Students'!$AT$2:$AT$701)-1,99999),2)),"")))</f>
        <v/>
      </c>
      <c r="C300" s="44">
        <f t="array" ref="C300">IF(A300="","",MAX(IF('Students'!$B$2:$B$701=A300,'Students'!$AT$2:$AT$701,-1)))</f>
        <v/>
      </c>
    </row>
    <row r="301">
      <c r="A301">
        <f>'By Class'!A43</f>
        <v/>
      </c>
      <c r="B301">
        <f t="array" ref="B301">IF(A301="","",IF(C301&lt;=0,"—",IF(COUNTIFS('Students'!$B$2:$B$701,A301,'Students'!$AT$2:$AT$701,C301)&gt;1,"TIE: ","")&amp;INDEX('Students'!$A$2:$A$701,SMALL(IF(('Students'!$B$2:$B$701=A301)*('Students'!$AT$2:$AT$701=C301),ROW('Students'!$AT$2:$AT$701)-1,99999),1))&amp;IF(COUNTIFS('Students'!$B$2:$B$701,A301,'Students'!$AT$2:$AT$701,C301)&gt;1," / "&amp;INDEX('Students'!$A$2:$A$701,SMALL(IF(('Students'!$B$2:$B$701=A301)*('Students'!$AT$2:$AT$701=C301),ROW('Students'!$AT$2:$AT$701)-1,99999),2)),"")))</f>
        <v/>
      </c>
      <c r="C301" s="44">
        <f t="array" ref="C301">IF(A301="","",MAX(IF('Students'!$B$2:$B$701=A301,'Students'!$AT$2:$AT$701,-1)))</f>
        <v/>
      </c>
    </row>
    <row r="302">
      <c r="A302">
        <f>'By Class'!A44</f>
        <v/>
      </c>
      <c r="B302">
        <f t="array" ref="B302">IF(A302="","",IF(C302&lt;=0,"—",IF(COUNTIFS('Students'!$B$2:$B$701,A302,'Students'!$AT$2:$AT$701,C302)&gt;1,"TIE: ","")&amp;INDEX('Students'!$A$2:$A$701,SMALL(IF(('Students'!$B$2:$B$701=A302)*('Students'!$AT$2:$AT$701=C302),ROW('Students'!$AT$2:$AT$701)-1,99999),1))&amp;IF(COUNTIFS('Students'!$B$2:$B$701,A302,'Students'!$AT$2:$AT$701,C302)&gt;1," / "&amp;INDEX('Students'!$A$2:$A$701,SMALL(IF(('Students'!$B$2:$B$701=A302)*('Students'!$AT$2:$AT$701=C302),ROW('Students'!$AT$2:$AT$701)-1,99999),2)),"")))</f>
        <v/>
      </c>
      <c r="C302" s="44">
        <f t="array" ref="C302">IF(A302="","",MAX(IF('Students'!$B$2:$B$701=A302,'Students'!$AT$2:$AT$701,-1)))</f>
        <v/>
      </c>
    </row>
    <row r="304">
      <c r="A304" s="39">
        <f>'Settings'!$B$29&amp;": grade ranking"</f>
        <v/>
      </c>
    </row>
    <row r="305" ht="30" customHeight="1">
      <c r="A305" s="33" t="inlineStr">
        <is>
          <t>Grade</t>
        </is>
      </c>
      <c r="B305" s="33" t="inlineStr">
        <is>
          <t>Raised</t>
        </is>
      </c>
      <c r="C305" s="33" t="inlineStr">
        <is>
          <t>Rank</t>
        </is>
      </c>
    </row>
    <row r="306">
      <c r="A306" s="35">
        <f>INDEX($V$306:$V$316,MATCH(LARGE($U$306:$U$316,1),$U$306:$U$316,0))</f>
        <v/>
      </c>
      <c r="B306" s="45">
        <f>INDEX($T$306:$T$316,MATCH(LARGE($U$306:$U$316,1),$U$306:$U$316,0))</f>
        <v/>
      </c>
      <c r="C306" s="37" t="n">
        <v>1</v>
      </c>
      <c r="T306">
        <f>ROUND(SUMIFS('Students'!$AU$2:$AU$701,'Students'!$C$2:$C$701,"P3"),2)</f>
        <v/>
      </c>
      <c r="U306">
        <f>T306+(100-ROW())/10^7</f>
        <v/>
      </c>
      <c r="V306" t="inlineStr">
        <is>
          <t>Grade P3</t>
        </is>
      </c>
    </row>
    <row r="307">
      <c r="A307" s="35">
        <f>INDEX($V$306:$V$316,MATCH(LARGE($U$306:$U$316,2),$U$306:$U$316,0))</f>
        <v/>
      </c>
      <c r="B307" s="45">
        <f>INDEX($T$306:$T$316,MATCH(LARGE($U$306:$U$316,2),$U$306:$U$316,0))</f>
        <v/>
      </c>
      <c r="C307" s="37" t="n">
        <v>2</v>
      </c>
      <c r="T307">
        <f>ROUND(SUMIFS('Students'!$AU$2:$AU$701,'Students'!$C$2:$C$701,"P4"),2)</f>
        <v/>
      </c>
      <c r="U307">
        <f>T307+(100-ROW())/10^7</f>
        <v/>
      </c>
      <c r="V307" t="inlineStr">
        <is>
          <t>Grade P4</t>
        </is>
      </c>
    </row>
    <row r="308">
      <c r="A308" s="35">
        <f>INDEX($V$306:$V$316,MATCH(LARGE($U$306:$U$316,3),$U$306:$U$316,0))</f>
        <v/>
      </c>
      <c r="B308" s="45">
        <f>INDEX($T$306:$T$316,MATCH(LARGE($U$306:$U$316,3),$U$306:$U$316,0))</f>
        <v/>
      </c>
      <c r="C308" s="37" t="n">
        <v>3</v>
      </c>
      <c r="T308">
        <f>ROUND(SUMIFS('Students'!$AU$2:$AU$701,'Students'!$C$2:$C$701,"K"),2)</f>
        <v/>
      </c>
      <c r="U308">
        <f>T308+(100-ROW())/10^7</f>
        <v/>
      </c>
      <c r="V308" t="inlineStr">
        <is>
          <t>Grade K</t>
        </is>
      </c>
    </row>
    <row r="309">
      <c r="A309" s="35">
        <f>INDEX($V$306:$V$316,MATCH(LARGE($U$306:$U$316,4),$U$306:$U$316,0))</f>
        <v/>
      </c>
      <c r="B309" s="45">
        <f>INDEX($T$306:$T$316,MATCH(LARGE($U$306:$U$316,4),$U$306:$U$316,0))</f>
        <v/>
      </c>
      <c r="C309" s="37" t="n">
        <v>4</v>
      </c>
      <c r="T309">
        <f>ROUND(SUMIFS('Students'!$AU$2:$AU$701,'Students'!$C$2:$C$701,"1"),2)</f>
        <v/>
      </c>
      <c r="U309">
        <f>T309+(100-ROW())/10^7</f>
        <v/>
      </c>
      <c r="V309" t="inlineStr">
        <is>
          <t>Grade 1</t>
        </is>
      </c>
    </row>
    <row r="310">
      <c r="A310" s="35">
        <f>INDEX($V$306:$V$316,MATCH(LARGE($U$306:$U$316,5),$U$306:$U$316,0))</f>
        <v/>
      </c>
      <c r="B310" s="45">
        <f>INDEX($T$306:$T$316,MATCH(LARGE($U$306:$U$316,5),$U$306:$U$316,0))</f>
        <v/>
      </c>
      <c r="C310" s="37" t="n">
        <v>5</v>
      </c>
      <c r="T310">
        <f>ROUND(SUMIFS('Students'!$AU$2:$AU$701,'Students'!$C$2:$C$701,"2"),2)</f>
        <v/>
      </c>
      <c r="U310">
        <f>T310+(100-ROW())/10^7</f>
        <v/>
      </c>
      <c r="V310" t="inlineStr">
        <is>
          <t>Grade 2</t>
        </is>
      </c>
    </row>
    <row r="311">
      <c r="A311" s="35">
        <f>INDEX($V$306:$V$316,MATCH(LARGE($U$306:$U$316,6),$U$306:$U$316,0))</f>
        <v/>
      </c>
      <c r="B311" s="45">
        <f>INDEX($T$306:$T$316,MATCH(LARGE($U$306:$U$316,6),$U$306:$U$316,0))</f>
        <v/>
      </c>
      <c r="C311" s="37" t="n">
        <v>6</v>
      </c>
      <c r="T311">
        <f>ROUND(SUMIFS('Students'!$AU$2:$AU$701,'Students'!$C$2:$C$701,"3"),2)</f>
        <v/>
      </c>
      <c r="U311">
        <f>T311+(100-ROW())/10^7</f>
        <v/>
      </c>
      <c r="V311" t="inlineStr">
        <is>
          <t>Grade 3</t>
        </is>
      </c>
    </row>
    <row r="312">
      <c r="A312" s="35">
        <f>INDEX($V$306:$V$316,MATCH(LARGE($U$306:$U$316,7),$U$306:$U$316,0))</f>
        <v/>
      </c>
      <c r="B312" s="45">
        <f>INDEX($T$306:$T$316,MATCH(LARGE($U$306:$U$316,7),$U$306:$U$316,0))</f>
        <v/>
      </c>
      <c r="C312" s="37" t="n">
        <v>7</v>
      </c>
      <c r="T312">
        <f>ROUND(SUMIFS('Students'!$AU$2:$AU$701,'Students'!$C$2:$C$701,"4"),2)</f>
        <v/>
      </c>
      <c r="U312">
        <f>T312+(100-ROW())/10^7</f>
        <v/>
      </c>
      <c r="V312" t="inlineStr">
        <is>
          <t>Grade 4</t>
        </is>
      </c>
    </row>
    <row r="313">
      <c r="A313" s="35">
        <f>INDEX($V$306:$V$316,MATCH(LARGE($U$306:$U$316,8),$U$306:$U$316,0))</f>
        <v/>
      </c>
      <c r="B313" s="45">
        <f>INDEX($T$306:$T$316,MATCH(LARGE($U$306:$U$316,8),$U$306:$U$316,0))</f>
        <v/>
      </c>
      <c r="C313" s="37" t="n">
        <v>8</v>
      </c>
      <c r="T313">
        <f>ROUND(SUMIFS('Students'!$AU$2:$AU$701,'Students'!$C$2:$C$701,"5"),2)</f>
        <v/>
      </c>
      <c r="U313">
        <f>T313+(100-ROW())/10^7</f>
        <v/>
      </c>
      <c r="V313" t="inlineStr">
        <is>
          <t>Grade 5</t>
        </is>
      </c>
    </row>
    <row r="314">
      <c r="A314" s="35">
        <f>INDEX($V$306:$V$316,MATCH(LARGE($U$306:$U$316,9),$U$306:$U$316,0))</f>
        <v/>
      </c>
      <c r="B314" s="45">
        <f>INDEX($T$306:$T$316,MATCH(LARGE($U$306:$U$316,9),$U$306:$U$316,0))</f>
        <v/>
      </c>
      <c r="C314" s="37" t="n">
        <v>9</v>
      </c>
      <c r="T314">
        <f>ROUND(SUMIFS('Students'!$AU$2:$AU$701,'Students'!$C$2:$C$701,"6"),2)</f>
        <v/>
      </c>
      <c r="U314">
        <f>T314+(100-ROW())/10^7</f>
        <v/>
      </c>
      <c r="V314" t="inlineStr">
        <is>
          <t>Grade 6</t>
        </is>
      </c>
    </row>
    <row r="315">
      <c r="A315" s="35">
        <f>INDEX($V$306:$V$316,MATCH(LARGE($U$306:$U$316,10),$U$306:$U$316,0))</f>
        <v/>
      </c>
      <c r="B315" s="45">
        <f>INDEX($T$306:$T$316,MATCH(LARGE($U$306:$U$316,10),$U$306:$U$316,0))</f>
        <v/>
      </c>
      <c r="C315" s="37" t="n">
        <v>10</v>
      </c>
      <c r="T315">
        <f>ROUND(SUMIFS('Students'!$AU$2:$AU$701,'Students'!$C$2:$C$701,"7"),2)</f>
        <v/>
      </c>
      <c r="U315">
        <f>T315+(100-ROW())/10^7</f>
        <v/>
      </c>
      <c r="V315" t="inlineStr">
        <is>
          <t>Grade 7</t>
        </is>
      </c>
    </row>
    <row r="316">
      <c r="A316" s="35">
        <f>INDEX($V$306:$V$316,MATCH(LARGE($U$306:$U$316,11),$U$306:$U$316,0))</f>
        <v/>
      </c>
      <c r="B316" s="45">
        <f>INDEX($T$306:$T$316,MATCH(LARGE($U$306:$U$316,11),$U$306:$U$316,0))</f>
        <v/>
      </c>
      <c r="C316" s="37" t="n">
        <v>11</v>
      </c>
      <c r="T316">
        <f>ROUND(SUMIFS('Students'!$AU$2:$AU$701,'Students'!$C$2:$C$701,"8"),2)</f>
        <v/>
      </c>
      <c r="U316">
        <f>T316+(100-ROW())/10^7</f>
        <v/>
      </c>
      <c r="V316" t="inlineStr">
        <is>
          <t>Grade 8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">
    <mergeCell ref="A1:F1"/>
  </mergeCells>
  <conditionalFormatting sqref="A47:C246">
    <cfRule type="expression" priority="1" dxfId="1">
      <formula>$A47&lt;&gt;""</formula>
    </cfRule>
  </conditionalFormatting>
  <conditionalFormatting sqref="A263:C302">
    <cfRule type="expression" priority="2" dxfId="1">
      <formula>$A263&lt;&gt;""</formula>
    </cfRule>
  </conditionalFormatting>
  <conditionalFormatting sqref="E5:E16">
    <cfRule type="expression" priority="3" dxfId="2">
      <formula>E5="LIVE"</formula>
    </cfRule>
  </conditionalFormatting>
  <conditionalFormatting sqref="D5:D16">
    <cfRule type="expression" priority="4" dxfId="3">
      <formula>LEFT(D5,3)="HIT"</formula>
    </cfRule>
  </conditionalFormatting>
  <pageMargins left="0.75" right="0.75" top="1" bottom="1" header="0.5" footer="0.5"/>
  <pageSetup orientation="landscape" fitToHeight="0" fitToWidth="1"/>
  <headerFooter>
    <oddHeader/>
    <oddFooter>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D7262B"/>
    <outlinePr summaryBelow="1" summaryRight="1"/>
    <pageSetUpPr fitToPage="1"/>
  </sheetPr>
  <dimension ref="A1:AX5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7" customWidth="1" min="3" max="3"/>
    <col width="9" customWidth="1" min="4" max="4"/>
    <col width="9" customWidth="1" min="5" max="5"/>
    <col width="12" customWidth="1" min="6" max="6"/>
    <col width="12" customWidth="1" min="7" max="7"/>
    <col width="12" customWidth="1" min="8" max="8"/>
    <col width="7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hidden="1" width="10" customWidth="1" min="25" max="25"/>
    <col hidden="1" width="10" customWidth="1" min="26" max="26"/>
    <col hidden="1" width="10" customWidth="1" min="27" max="27"/>
    <col hidden="1" width="10" customWidth="1" min="28" max="28"/>
    <col hidden="1" width="10" customWidth="1" min="29" max="29"/>
    <col hidden="1" width="10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</cols>
  <sheetData>
    <row r="1" ht="30" customHeight="1">
      <c r="A1" s="31" t="inlineStr">
        <is>
          <t>BY TEACHER / CLASS</t>
        </is>
      </c>
    </row>
    <row r="2">
      <c r="A2" s="32">
        <f>"As of "&amp;TEXT(AsOfDate,"ddd m/d")&amp;"   •   $ per day to the right   •   grade totals below"</f>
        <v/>
      </c>
    </row>
    <row r="4" ht="30" customHeight="1">
      <c r="A4" s="33" t="inlineStr">
        <is>
          <t>Class</t>
        </is>
      </c>
      <c r="B4" s="33" t="inlineStr">
        <is>
          <t>Teacher</t>
        </is>
      </c>
      <c r="C4" s="33" t="inlineStr">
        <is>
          <t>Grade</t>
        </is>
      </c>
      <c r="D4" s="33" t="inlineStr">
        <is>
          <t>Students</t>
        </is>
      </c>
      <c r="E4" s="33" t="inlineStr">
        <is>
          <t>Donated</t>
        </is>
      </c>
      <c r="F4" s="33" t="inlineStr">
        <is>
          <t>Participation</t>
        </is>
      </c>
      <c r="G4" s="33" t="inlineStr">
        <is>
          <t>Total $</t>
        </is>
      </c>
      <c r="H4" s="33" t="inlineStr">
        <is>
          <t>Avg / student</t>
        </is>
      </c>
      <c r="I4" s="33" t="inlineStr">
        <is>
          <t>Rank</t>
        </is>
      </c>
      <c r="J4" s="46">
        <f>'Students'!I1</f>
        <v/>
      </c>
      <c r="K4" s="46">
        <f>'Students'!J1</f>
        <v/>
      </c>
      <c r="L4" s="46">
        <f>'Students'!K1</f>
        <v/>
      </c>
      <c r="M4" s="46">
        <f>'Students'!L1</f>
        <v/>
      </c>
      <c r="N4" s="46">
        <f>'Students'!M1</f>
        <v/>
      </c>
      <c r="O4" s="46">
        <f>'Students'!N1</f>
        <v/>
      </c>
      <c r="P4" s="46">
        <f>'Students'!O1</f>
        <v/>
      </c>
      <c r="Q4" s="46">
        <f>'Students'!P1</f>
        <v/>
      </c>
      <c r="R4" s="46">
        <f>'Students'!Q1</f>
        <v/>
      </c>
      <c r="S4" s="46">
        <f>'Students'!R1</f>
        <v/>
      </c>
      <c r="T4" s="46">
        <f>'Students'!S1</f>
        <v/>
      </c>
      <c r="U4" s="46">
        <f>'Students'!T1</f>
        <v/>
      </c>
      <c r="V4" s="46">
        <f>'Students'!U1</f>
        <v/>
      </c>
      <c r="W4" s="46">
        <f>'Students'!V1</f>
        <v/>
      </c>
      <c r="X4" s="46">
        <f>'Students'!W1</f>
        <v/>
      </c>
      <c r="Y4" s="46">
        <f>'Students'!X1</f>
        <v/>
      </c>
      <c r="Z4" s="46">
        <f>'Students'!Y1</f>
        <v/>
      </c>
      <c r="AA4" s="46">
        <f>'Students'!Z1</f>
        <v/>
      </c>
      <c r="AB4" s="46">
        <f>'Students'!AA1</f>
        <v/>
      </c>
      <c r="AC4" s="46">
        <f>'Students'!AB1</f>
        <v/>
      </c>
      <c r="AD4" s="46">
        <f>'Students'!AC1</f>
        <v/>
      </c>
    </row>
    <row r="5">
      <c r="A5">
        <f>IF(AE5="","",INDEX('Students'!$B$2:$B$701,AE5))</f>
        <v/>
      </c>
      <c r="B5">
        <f>IF(AE5="","",INDEX('Students'!$AN$2:$AN$701,AE5))</f>
        <v/>
      </c>
      <c r="C5">
        <f>IF(AE5="","",INDEX('Students'!$C$2:$C$701,AE5))</f>
        <v/>
      </c>
      <c r="D5">
        <f>IF(A5="","",COUNTIFS('Students'!$B$2:$B$701,A5,'Students'!$AE$2:$AE$701,1))</f>
        <v/>
      </c>
      <c r="E5">
        <f>IF(A5="","",COUNTIFS('Students'!$B$2:$B$701,A5,'Students'!$D$2:$D$701,"&gt;0"))</f>
        <v/>
      </c>
      <c r="F5" s="47">
        <f>IF(A5="","",IF(D5&gt;0,E5/D5,0))</f>
        <v/>
      </c>
      <c r="G5" s="48">
        <f>IF(A5="","",ROUND(SUMIFS('Students'!$D$2:$D$701,'Students'!$B$2:$B$701,A5),2))</f>
        <v/>
      </c>
      <c r="H5" s="48">
        <f>IF(A5="","",IF(D5&gt;0,G5/D5,0))</f>
        <v/>
      </c>
      <c r="I5">
        <f>IF(A5="","",COUNTIF($G$5:$G$44,"&gt;"&amp;G5)+1)</f>
        <v/>
      </c>
      <c r="J5" s="49">
        <f>IF(OR($A5="",J$4=""),"",SUMIFS('Students'!I$2:I$701,'Students'!$B$2:$B$701,$A5))</f>
        <v/>
      </c>
      <c r="K5" s="49">
        <f>IF(OR($A5="",K$4=""),"",SUMIFS('Students'!J$2:J$701,'Students'!$B$2:$B$701,$A5))</f>
        <v/>
      </c>
      <c r="L5" s="49">
        <f>IF(OR($A5="",L$4=""),"",SUMIFS('Students'!K$2:K$701,'Students'!$B$2:$B$701,$A5))</f>
        <v/>
      </c>
      <c r="M5" s="49">
        <f>IF(OR($A5="",M$4=""),"",SUMIFS('Students'!L$2:L$701,'Students'!$B$2:$B$701,$A5))</f>
        <v/>
      </c>
      <c r="N5" s="49">
        <f>IF(OR($A5="",N$4=""),"",SUMIFS('Students'!M$2:M$701,'Students'!$B$2:$B$701,$A5))</f>
        <v/>
      </c>
      <c r="O5" s="49">
        <f>IF(OR($A5="",O$4=""),"",SUMIFS('Students'!N$2:N$701,'Students'!$B$2:$B$701,$A5))</f>
        <v/>
      </c>
      <c r="P5" s="49">
        <f>IF(OR($A5="",P$4=""),"",SUMIFS('Students'!O$2:O$701,'Students'!$B$2:$B$701,$A5))</f>
        <v/>
      </c>
      <c r="Q5" s="49">
        <f>IF(OR($A5="",Q$4=""),"",SUMIFS('Students'!P$2:P$701,'Students'!$B$2:$B$701,$A5))</f>
        <v/>
      </c>
      <c r="R5" s="49">
        <f>IF(OR($A5="",R$4=""),"",SUMIFS('Students'!Q$2:Q$701,'Students'!$B$2:$B$701,$A5))</f>
        <v/>
      </c>
      <c r="S5" s="49">
        <f>IF(OR($A5="",S$4=""),"",SUMIFS('Students'!R$2:R$701,'Students'!$B$2:$B$701,$A5))</f>
        <v/>
      </c>
      <c r="T5" s="49">
        <f>IF(OR($A5="",T$4=""),"",SUMIFS('Students'!S$2:S$701,'Students'!$B$2:$B$701,$A5))</f>
        <v/>
      </c>
      <c r="U5" s="49">
        <f>IF(OR($A5="",U$4=""),"",SUMIFS('Students'!T$2:T$701,'Students'!$B$2:$B$701,$A5))</f>
        <v/>
      </c>
      <c r="V5" s="49">
        <f>IF(OR($A5="",V$4=""),"",SUMIFS('Students'!U$2:U$701,'Students'!$B$2:$B$701,$A5))</f>
        <v/>
      </c>
      <c r="W5" s="49">
        <f>IF(OR($A5="",W$4=""),"",SUMIFS('Students'!V$2:V$701,'Students'!$B$2:$B$701,$A5))</f>
        <v/>
      </c>
      <c r="X5" s="49">
        <f>IF(OR($A5="",X$4=""),"",SUMIFS('Students'!W$2:W$701,'Students'!$B$2:$B$701,$A5))</f>
        <v/>
      </c>
      <c r="Y5" s="49">
        <f>IF(OR($A5="",Y$4=""),"",SUMIFS('Students'!X$2:X$701,'Students'!$B$2:$B$701,$A5))</f>
        <v/>
      </c>
      <c r="Z5" s="49">
        <f>IF(OR($A5="",Z$4=""),"",SUMIFS('Students'!Y$2:Y$701,'Students'!$B$2:$B$701,$A5))</f>
        <v/>
      </c>
      <c r="AA5" s="49">
        <f>IF(OR($A5="",AA$4=""),"",SUMIFS('Students'!Z$2:Z$701,'Students'!$B$2:$B$701,$A5))</f>
        <v/>
      </c>
      <c r="AB5" s="49">
        <f>IF(OR($A5="",AB$4=""),"",SUMIFS('Students'!AA$2:AA$701,'Students'!$B$2:$B$701,$A5))</f>
        <v/>
      </c>
      <c r="AC5" s="49">
        <f>IF(OR($A5="",AC$4=""),"",SUMIFS('Students'!AB$2:AB$701,'Students'!$B$2:$B$701,$A5))</f>
        <v/>
      </c>
      <c r="AD5" s="49">
        <f>IF(OR($A5="",AD$4=""),"",SUMIFS('Students'!AC$2:AC$701,'Students'!$B$2:$B$701,$A5))</f>
        <v/>
      </c>
      <c r="AE5">
        <f>IFERROR(MATCH(1,'Students'!$AJ$2:$AJ$701,0),"")</f>
        <v/>
      </c>
      <c r="AF5">
        <f>IF(A5="",-1,G5+(100-ROW())/10^7)</f>
        <v/>
      </c>
      <c r="AG5">
        <f>IF($A5="",-1,ROUND(SUMIFS('Students'!$AO$2:$AO$701,'Students'!$B$2:$B$701,$A5),2))</f>
        <v/>
      </c>
      <c r="AI5">
        <f>IF($A5="",-1,IF(N($D5)=0,0,ROUND(COUNTIFS('Students'!$B$2:$B$701,$A5,'Students'!$AQ$2:$AQ$701,"&gt;="&amp;MAX(N('Settings'!$F$25),0.01))/$D5,6)))</f>
        <v/>
      </c>
      <c r="AK5">
        <f>IF($A5="",-1,IF(N($D5)=0,0,ROUND(COUNTIFS('Students'!$B$2:$B$701,$A5,'Students'!$AS$2:$AS$701,"&gt;="&amp;0.01)/$D5,6)))</f>
        <v/>
      </c>
      <c r="AV5">
        <f>IF(AI5&lt;0,-1,AI5+N($G5)/10^9+(100-ROW())/10^13)</f>
        <v/>
      </c>
      <c r="AX5">
        <f>IF(AK5&lt;0,-1,AK5+N($G5)/10^9+(100-ROW())/10^13)</f>
        <v/>
      </c>
    </row>
    <row r="6">
      <c r="A6">
        <f>IF(AE6="","",INDEX('Students'!$B$2:$B$701,AE6))</f>
        <v/>
      </c>
      <c r="B6">
        <f>IF(AE6="","",INDEX('Students'!$AN$2:$AN$701,AE6))</f>
        <v/>
      </c>
      <c r="C6">
        <f>IF(AE6="","",INDEX('Students'!$C$2:$C$701,AE6))</f>
        <v/>
      </c>
      <c r="D6">
        <f>IF(A6="","",COUNTIFS('Students'!$B$2:$B$701,A6,'Students'!$AE$2:$AE$701,1))</f>
        <v/>
      </c>
      <c r="E6">
        <f>IF(A6="","",COUNTIFS('Students'!$B$2:$B$701,A6,'Students'!$D$2:$D$701,"&gt;0"))</f>
        <v/>
      </c>
      <c r="F6" s="47">
        <f>IF(A6="","",IF(D6&gt;0,E6/D6,0))</f>
        <v/>
      </c>
      <c r="G6" s="48">
        <f>IF(A6="","",ROUND(SUMIFS('Students'!$D$2:$D$701,'Students'!$B$2:$B$701,A6),2))</f>
        <v/>
      </c>
      <c r="H6" s="48">
        <f>IF(A6="","",IF(D6&gt;0,G6/D6,0))</f>
        <v/>
      </c>
      <c r="I6">
        <f>IF(A6="","",COUNTIF($G$5:$G$44,"&gt;"&amp;G6)+1)</f>
        <v/>
      </c>
      <c r="J6" s="49">
        <f>IF(OR($A6="",J$4=""),"",SUMIFS('Students'!I$2:I$701,'Students'!$B$2:$B$701,$A6))</f>
        <v/>
      </c>
      <c r="K6" s="49">
        <f>IF(OR($A6="",K$4=""),"",SUMIFS('Students'!J$2:J$701,'Students'!$B$2:$B$701,$A6))</f>
        <v/>
      </c>
      <c r="L6" s="49">
        <f>IF(OR($A6="",L$4=""),"",SUMIFS('Students'!K$2:K$701,'Students'!$B$2:$B$701,$A6))</f>
        <v/>
      </c>
      <c r="M6" s="49">
        <f>IF(OR($A6="",M$4=""),"",SUMIFS('Students'!L$2:L$701,'Students'!$B$2:$B$701,$A6))</f>
        <v/>
      </c>
      <c r="N6" s="49">
        <f>IF(OR($A6="",N$4=""),"",SUMIFS('Students'!M$2:M$701,'Students'!$B$2:$B$701,$A6))</f>
        <v/>
      </c>
      <c r="O6" s="49">
        <f>IF(OR($A6="",O$4=""),"",SUMIFS('Students'!N$2:N$701,'Students'!$B$2:$B$701,$A6))</f>
        <v/>
      </c>
      <c r="P6" s="49">
        <f>IF(OR($A6="",P$4=""),"",SUMIFS('Students'!O$2:O$701,'Students'!$B$2:$B$701,$A6))</f>
        <v/>
      </c>
      <c r="Q6" s="49">
        <f>IF(OR($A6="",Q$4=""),"",SUMIFS('Students'!P$2:P$701,'Students'!$B$2:$B$701,$A6))</f>
        <v/>
      </c>
      <c r="R6" s="49">
        <f>IF(OR($A6="",R$4=""),"",SUMIFS('Students'!Q$2:Q$701,'Students'!$B$2:$B$701,$A6))</f>
        <v/>
      </c>
      <c r="S6" s="49">
        <f>IF(OR($A6="",S$4=""),"",SUMIFS('Students'!R$2:R$701,'Students'!$B$2:$B$701,$A6))</f>
        <v/>
      </c>
      <c r="T6" s="49">
        <f>IF(OR($A6="",T$4=""),"",SUMIFS('Students'!S$2:S$701,'Students'!$B$2:$B$701,$A6))</f>
        <v/>
      </c>
      <c r="U6" s="49">
        <f>IF(OR($A6="",U$4=""),"",SUMIFS('Students'!T$2:T$701,'Students'!$B$2:$B$701,$A6))</f>
        <v/>
      </c>
      <c r="V6" s="49">
        <f>IF(OR($A6="",V$4=""),"",SUMIFS('Students'!U$2:U$701,'Students'!$B$2:$B$701,$A6))</f>
        <v/>
      </c>
      <c r="W6" s="49">
        <f>IF(OR($A6="",W$4=""),"",SUMIFS('Students'!V$2:V$701,'Students'!$B$2:$B$701,$A6))</f>
        <v/>
      </c>
      <c r="X6" s="49">
        <f>IF(OR($A6="",X$4=""),"",SUMIFS('Students'!W$2:W$701,'Students'!$B$2:$B$701,$A6))</f>
        <v/>
      </c>
      <c r="Y6" s="49">
        <f>IF(OR($A6="",Y$4=""),"",SUMIFS('Students'!X$2:X$701,'Students'!$B$2:$B$701,$A6))</f>
        <v/>
      </c>
      <c r="Z6" s="49">
        <f>IF(OR($A6="",Z$4=""),"",SUMIFS('Students'!Y$2:Y$701,'Students'!$B$2:$B$701,$A6))</f>
        <v/>
      </c>
      <c r="AA6" s="49">
        <f>IF(OR($A6="",AA$4=""),"",SUMIFS('Students'!Z$2:Z$701,'Students'!$B$2:$B$701,$A6))</f>
        <v/>
      </c>
      <c r="AB6" s="49">
        <f>IF(OR($A6="",AB$4=""),"",SUMIFS('Students'!AA$2:AA$701,'Students'!$B$2:$B$701,$A6))</f>
        <v/>
      </c>
      <c r="AC6" s="49">
        <f>IF(OR($A6="",AC$4=""),"",SUMIFS('Students'!AB$2:AB$701,'Students'!$B$2:$B$701,$A6))</f>
        <v/>
      </c>
      <c r="AD6" s="49">
        <f>IF(OR($A6="",AD$4=""),"",SUMIFS('Students'!AC$2:AC$701,'Students'!$B$2:$B$701,$A6))</f>
        <v/>
      </c>
      <c r="AE6">
        <f>IFERROR(MATCH(2,'Students'!$AJ$2:$AJ$701,0),"")</f>
        <v/>
      </c>
      <c r="AF6">
        <f>IF(A6="",-1,G6+(100-ROW())/10^7)</f>
        <v/>
      </c>
      <c r="AG6">
        <f>IF($A6="",-1,ROUND(SUMIFS('Students'!$AO$2:$AO$701,'Students'!$B$2:$B$701,$A6),2))</f>
        <v/>
      </c>
      <c r="AI6">
        <f>IF($A6="",-1,IF(N($D6)=0,0,ROUND(COUNTIFS('Students'!$B$2:$B$701,$A6,'Students'!$AQ$2:$AQ$701,"&gt;="&amp;MAX(N('Settings'!$F$25),0.01))/$D6,6)))</f>
        <v/>
      </c>
      <c r="AK6">
        <f>IF($A6="",-1,IF(N($D6)=0,0,ROUND(COUNTIFS('Students'!$B$2:$B$701,$A6,'Students'!$AS$2:$AS$701,"&gt;="&amp;0.01)/$D6,6)))</f>
        <v/>
      </c>
      <c r="AV6">
        <f>IF(AI6&lt;0,-1,AI6+N($G6)/10^9+(100-ROW())/10^13)</f>
        <v/>
      </c>
      <c r="AX6">
        <f>IF(AK6&lt;0,-1,AK6+N($G6)/10^9+(100-ROW())/10^13)</f>
        <v/>
      </c>
    </row>
    <row r="7">
      <c r="A7">
        <f>IF(AE7="","",INDEX('Students'!$B$2:$B$701,AE7))</f>
        <v/>
      </c>
      <c r="B7">
        <f>IF(AE7="","",INDEX('Students'!$AN$2:$AN$701,AE7))</f>
        <v/>
      </c>
      <c r="C7">
        <f>IF(AE7="","",INDEX('Students'!$C$2:$C$701,AE7))</f>
        <v/>
      </c>
      <c r="D7">
        <f>IF(A7="","",COUNTIFS('Students'!$B$2:$B$701,A7,'Students'!$AE$2:$AE$701,1))</f>
        <v/>
      </c>
      <c r="E7">
        <f>IF(A7="","",COUNTIFS('Students'!$B$2:$B$701,A7,'Students'!$D$2:$D$701,"&gt;0"))</f>
        <v/>
      </c>
      <c r="F7" s="47">
        <f>IF(A7="","",IF(D7&gt;0,E7/D7,0))</f>
        <v/>
      </c>
      <c r="G7" s="48">
        <f>IF(A7="","",ROUND(SUMIFS('Students'!$D$2:$D$701,'Students'!$B$2:$B$701,A7),2))</f>
        <v/>
      </c>
      <c r="H7" s="48">
        <f>IF(A7="","",IF(D7&gt;0,G7/D7,0))</f>
        <v/>
      </c>
      <c r="I7">
        <f>IF(A7="","",COUNTIF($G$5:$G$44,"&gt;"&amp;G7)+1)</f>
        <v/>
      </c>
      <c r="J7" s="49">
        <f>IF(OR($A7="",J$4=""),"",SUMIFS('Students'!I$2:I$701,'Students'!$B$2:$B$701,$A7))</f>
        <v/>
      </c>
      <c r="K7" s="49">
        <f>IF(OR($A7="",K$4=""),"",SUMIFS('Students'!J$2:J$701,'Students'!$B$2:$B$701,$A7))</f>
        <v/>
      </c>
      <c r="L7" s="49">
        <f>IF(OR($A7="",L$4=""),"",SUMIFS('Students'!K$2:K$701,'Students'!$B$2:$B$701,$A7))</f>
        <v/>
      </c>
      <c r="M7" s="49">
        <f>IF(OR($A7="",M$4=""),"",SUMIFS('Students'!L$2:L$701,'Students'!$B$2:$B$701,$A7))</f>
        <v/>
      </c>
      <c r="N7" s="49">
        <f>IF(OR($A7="",N$4=""),"",SUMIFS('Students'!M$2:M$701,'Students'!$B$2:$B$701,$A7))</f>
        <v/>
      </c>
      <c r="O7" s="49">
        <f>IF(OR($A7="",O$4=""),"",SUMIFS('Students'!N$2:N$701,'Students'!$B$2:$B$701,$A7))</f>
        <v/>
      </c>
      <c r="P7" s="49">
        <f>IF(OR($A7="",P$4=""),"",SUMIFS('Students'!O$2:O$701,'Students'!$B$2:$B$701,$A7))</f>
        <v/>
      </c>
      <c r="Q7" s="49">
        <f>IF(OR($A7="",Q$4=""),"",SUMIFS('Students'!P$2:P$701,'Students'!$B$2:$B$701,$A7))</f>
        <v/>
      </c>
      <c r="R7" s="49">
        <f>IF(OR($A7="",R$4=""),"",SUMIFS('Students'!Q$2:Q$701,'Students'!$B$2:$B$701,$A7))</f>
        <v/>
      </c>
      <c r="S7" s="49">
        <f>IF(OR($A7="",S$4=""),"",SUMIFS('Students'!R$2:R$701,'Students'!$B$2:$B$701,$A7))</f>
        <v/>
      </c>
      <c r="T7" s="49">
        <f>IF(OR($A7="",T$4=""),"",SUMIFS('Students'!S$2:S$701,'Students'!$B$2:$B$701,$A7))</f>
        <v/>
      </c>
      <c r="U7" s="49">
        <f>IF(OR($A7="",U$4=""),"",SUMIFS('Students'!T$2:T$701,'Students'!$B$2:$B$701,$A7))</f>
        <v/>
      </c>
      <c r="V7" s="49">
        <f>IF(OR($A7="",V$4=""),"",SUMIFS('Students'!U$2:U$701,'Students'!$B$2:$B$701,$A7))</f>
        <v/>
      </c>
      <c r="W7" s="49">
        <f>IF(OR($A7="",W$4=""),"",SUMIFS('Students'!V$2:V$701,'Students'!$B$2:$B$701,$A7))</f>
        <v/>
      </c>
      <c r="X7" s="49">
        <f>IF(OR($A7="",X$4=""),"",SUMIFS('Students'!W$2:W$701,'Students'!$B$2:$B$701,$A7))</f>
        <v/>
      </c>
      <c r="Y7" s="49">
        <f>IF(OR($A7="",Y$4=""),"",SUMIFS('Students'!X$2:X$701,'Students'!$B$2:$B$701,$A7))</f>
        <v/>
      </c>
      <c r="Z7" s="49">
        <f>IF(OR($A7="",Z$4=""),"",SUMIFS('Students'!Y$2:Y$701,'Students'!$B$2:$B$701,$A7))</f>
        <v/>
      </c>
      <c r="AA7" s="49">
        <f>IF(OR($A7="",AA$4=""),"",SUMIFS('Students'!Z$2:Z$701,'Students'!$B$2:$B$701,$A7))</f>
        <v/>
      </c>
      <c r="AB7" s="49">
        <f>IF(OR($A7="",AB$4=""),"",SUMIFS('Students'!AA$2:AA$701,'Students'!$B$2:$B$701,$A7))</f>
        <v/>
      </c>
      <c r="AC7" s="49">
        <f>IF(OR($A7="",AC$4=""),"",SUMIFS('Students'!AB$2:AB$701,'Students'!$B$2:$B$701,$A7))</f>
        <v/>
      </c>
      <c r="AD7" s="49">
        <f>IF(OR($A7="",AD$4=""),"",SUMIFS('Students'!AC$2:AC$701,'Students'!$B$2:$B$701,$A7))</f>
        <v/>
      </c>
      <c r="AE7">
        <f>IFERROR(MATCH(3,'Students'!$AJ$2:$AJ$701,0),"")</f>
        <v/>
      </c>
      <c r="AF7">
        <f>IF(A7="",-1,G7+(100-ROW())/10^7)</f>
        <v/>
      </c>
      <c r="AG7">
        <f>IF($A7="",-1,ROUND(SUMIFS('Students'!$AO$2:$AO$701,'Students'!$B$2:$B$701,$A7),2))</f>
        <v/>
      </c>
      <c r="AI7">
        <f>IF($A7="",-1,IF(N($D7)=0,0,ROUND(COUNTIFS('Students'!$B$2:$B$701,$A7,'Students'!$AQ$2:$AQ$701,"&gt;="&amp;MAX(N('Settings'!$F$25),0.01))/$D7,6)))</f>
        <v/>
      </c>
      <c r="AK7">
        <f>IF($A7="",-1,IF(N($D7)=0,0,ROUND(COUNTIFS('Students'!$B$2:$B$701,$A7,'Students'!$AS$2:$AS$701,"&gt;="&amp;0.01)/$D7,6)))</f>
        <v/>
      </c>
      <c r="AV7">
        <f>IF(AI7&lt;0,-1,AI7+N($G7)/10^9+(100-ROW())/10^13)</f>
        <v/>
      </c>
      <c r="AX7">
        <f>IF(AK7&lt;0,-1,AK7+N($G7)/10^9+(100-ROW())/10^13)</f>
        <v/>
      </c>
    </row>
    <row r="8">
      <c r="A8">
        <f>IF(AE8="","",INDEX('Students'!$B$2:$B$701,AE8))</f>
        <v/>
      </c>
      <c r="B8">
        <f>IF(AE8="","",INDEX('Students'!$AN$2:$AN$701,AE8))</f>
        <v/>
      </c>
      <c r="C8">
        <f>IF(AE8="","",INDEX('Students'!$C$2:$C$701,AE8))</f>
        <v/>
      </c>
      <c r="D8">
        <f>IF(A8="","",COUNTIFS('Students'!$B$2:$B$701,A8,'Students'!$AE$2:$AE$701,1))</f>
        <v/>
      </c>
      <c r="E8">
        <f>IF(A8="","",COUNTIFS('Students'!$B$2:$B$701,A8,'Students'!$D$2:$D$701,"&gt;0"))</f>
        <v/>
      </c>
      <c r="F8" s="47">
        <f>IF(A8="","",IF(D8&gt;0,E8/D8,0))</f>
        <v/>
      </c>
      <c r="G8" s="48">
        <f>IF(A8="","",ROUND(SUMIFS('Students'!$D$2:$D$701,'Students'!$B$2:$B$701,A8),2))</f>
        <v/>
      </c>
      <c r="H8" s="48">
        <f>IF(A8="","",IF(D8&gt;0,G8/D8,0))</f>
        <v/>
      </c>
      <c r="I8">
        <f>IF(A8="","",COUNTIF($G$5:$G$44,"&gt;"&amp;G8)+1)</f>
        <v/>
      </c>
      <c r="J8" s="49">
        <f>IF(OR($A8="",J$4=""),"",SUMIFS('Students'!I$2:I$701,'Students'!$B$2:$B$701,$A8))</f>
        <v/>
      </c>
      <c r="K8" s="49">
        <f>IF(OR($A8="",K$4=""),"",SUMIFS('Students'!J$2:J$701,'Students'!$B$2:$B$701,$A8))</f>
        <v/>
      </c>
      <c r="L8" s="49">
        <f>IF(OR($A8="",L$4=""),"",SUMIFS('Students'!K$2:K$701,'Students'!$B$2:$B$701,$A8))</f>
        <v/>
      </c>
      <c r="M8" s="49">
        <f>IF(OR($A8="",M$4=""),"",SUMIFS('Students'!L$2:L$701,'Students'!$B$2:$B$701,$A8))</f>
        <v/>
      </c>
      <c r="N8" s="49">
        <f>IF(OR($A8="",N$4=""),"",SUMIFS('Students'!M$2:M$701,'Students'!$B$2:$B$701,$A8))</f>
        <v/>
      </c>
      <c r="O8" s="49">
        <f>IF(OR($A8="",O$4=""),"",SUMIFS('Students'!N$2:N$701,'Students'!$B$2:$B$701,$A8))</f>
        <v/>
      </c>
      <c r="P8" s="49">
        <f>IF(OR($A8="",P$4=""),"",SUMIFS('Students'!O$2:O$701,'Students'!$B$2:$B$701,$A8))</f>
        <v/>
      </c>
      <c r="Q8" s="49">
        <f>IF(OR($A8="",Q$4=""),"",SUMIFS('Students'!P$2:P$701,'Students'!$B$2:$B$701,$A8))</f>
        <v/>
      </c>
      <c r="R8" s="49">
        <f>IF(OR($A8="",R$4=""),"",SUMIFS('Students'!Q$2:Q$701,'Students'!$B$2:$B$701,$A8))</f>
        <v/>
      </c>
      <c r="S8" s="49">
        <f>IF(OR($A8="",S$4=""),"",SUMIFS('Students'!R$2:R$701,'Students'!$B$2:$B$701,$A8))</f>
        <v/>
      </c>
      <c r="T8" s="49">
        <f>IF(OR($A8="",T$4=""),"",SUMIFS('Students'!S$2:S$701,'Students'!$B$2:$B$701,$A8))</f>
        <v/>
      </c>
      <c r="U8" s="49">
        <f>IF(OR($A8="",U$4=""),"",SUMIFS('Students'!T$2:T$701,'Students'!$B$2:$B$701,$A8))</f>
        <v/>
      </c>
      <c r="V8" s="49">
        <f>IF(OR($A8="",V$4=""),"",SUMIFS('Students'!U$2:U$701,'Students'!$B$2:$B$701,$A8))</f>
        <v/>
      </c>
      <c r="W8" s="49">
        <f>IF(OR($A8="",W$4=""),"",SUMIFS('Students'!V$2:V$701,'Students'!$B$2:$B$701,$A8))</f>
        <v/>
      </c>
      <c r="X8" s="49">
        <f>IF(OR($A8="",X$4=""),"",SUMIFS('Students'!W$2:W$701,'Students'!$B$2:$B$701,$A8))</f>
        <v/>
      </c>
      <c r="Y8" s="49">
        <f>IF(OR($A8="",Y$4=""),"",SUMIFS('Students'!X$2:X$701,'Students'!$B$2:$B$701,$A8))</f>
        <v/>
      </c>
      <c r="Z8" s="49">
        <f>IF(OR($A8="",Z$4=""),"",SUMIFS('Students'!Y$2:Y$701,'Students'!$B$2:$B$701,$A8))</f>
        <v/>
      </c>
      <c r="AA8" s="49">
        <f>IF(OR($A8="",AA$4=""),"",SUMIFS('Students'!Z$2:Z$701,'Students'!$B$2:$B$701,$A8))</f>
        <v/>
      </c>
      <c r="AB8" s="49">
        <f>IF(OR($A8="",AB$4=""),"",SUMIFS('Students'!AA$2:AA$701,'Students'!$B$2:$B$701,$A8))</f>
        <v/>
      </c>
      <c r="AC8" s="49">
        <f>IF(OR($A8="",AC$4=""),"",SUMIFS('Students'!AB$2:AB$701,'Students'!$B$2:$B$701,$A8))</f>
        <v/>
      </c>
      <c r="AD8" s="49">
        <f>IF(OR($A8="",AD$4=""),"",SUMIFS('Students'!AC$2:AC$701,'Students'!$B$2:$B$701,$A8))</f>
        <v/>
      </c>
      <c r="AE8">
        <f>IFERROR(MATCH(4,'Students'!$AJ$2:$AJ$701,0),"")</f>
        <v/>
      </c>
      <c r="AF8">
        <f>IF(A8="",-1,G8+(100-ROW())/10^7)</f>
        <v/>
      </c>
      <c r="AG8">
        <f>IF($A8="",-1,ROUND(SUMIFS('Students'!$AO$2:$AO$701,'Students'!$B$2:$B$701,$A8),2))</f>
        <v/>
      </c>
      <c r="AI8">
        <f>IF($A8="",-1,IF(N($D8)=0,0,ROUND(COUNTIFS('Students'!$B$2:$B$701,$A8,'Students'!$AQ$2:$AQ$701,"&gt;="&amp;MAX(N('Settings'!$F$25),0.01))/$D8,6)))</f>
        <v/>
      </c>
      <c r="AK8">
        <f>IF($A8="",-1,IF(N($D8)=0,0,ROUND(COUNTIFS('Students'!$B$2:$B$701,$A8,'Students'!$AS$2:$AS$701,"&gt;="&amp;0.01)/$D8,6)))</f>
        <v/>
      </c>
      <c r="AV8">
        <f>IF(AI8&lt;0,-1,AI8+N($G8)/10^9+(100-ROW())/10^13)</f>
        <v/>
      </c>
      <c r="AX8">
        <f>IF(AK8&lt;0,-1,AK8+N($G8)/10^9+(100-ROW())/10^13)</f>
        <v/>
      </c>
    </row>
    <row r="9">
      <c r="A9">
        <f>IF(AE9="","",INDEX('Students'!$B$2:$B$701,AE9))</f>
        <v/>
      </c>
      <c r="B9">
        <f>IF(AE9="","",INDEX('Students'!$AN$2:$AN$701,AE9))</f>
        <v/>
      </c>
      <c r="C9">
        <f>IF(AE9="","",INDEX('Students'!$C$2:$C$701,AE9))</f>
        <v/>
      </c>
      <c r="D9">
        <f>IF(A9="","",COUNTIFS('Students'!$B$2:$B$701,A9,'Students'!$AE$2:$AE$701,1))</f>
        <v/>
      </c>
      <c r="E9">
        <f>IF(A9="","",COUNTIFS('Students'!$B$2:$B$701,A9,'Students'!$D$2:$D$701,"&gt;0"))</f>
        <v/>
      </c>
      <c r="F9" s="47">
        <f>IF(A9="","",IF(D9&gt;0,E9/D9,0))</f>
        <v/>
      </c>
      <c r="G9" s="48">
        <f>IF(A9="","",ROUND(SUMIFS('Students'!$D$2:$D$701,'Students'!$B$2:$B$701,A9),2))</f>
        <v/>
      </c>
      <c r="H9" s="48">
        <f>IF(A9="","",IF(D9&gt;0,G9/D9,0))</f>
        <v/>
      </c>
      <c r="I9">
        <f>IF(A9="","",COUNTIF($G$5:$G$44,"&gt;"&amp;G9)+1)</f>
        <v/>
      </c>
      <c r="J9" s="49">
        <f>IF(OR($A9="",J$4=""),"",SUMIFS('Students'!I$2:I$701,'Students'!$B$2:$B$701,$A9))</f>
        <v/>
      </c>
      <c r="K9" s="49">
        <f>IF(OR($A9="",K$4=""),"",SUMIFS('Students'!J$2:J$701,'Students'!$B$2:$B$701,$A9))</f>
        <v/>
      </c>
      <c r="L9" s="49">
        <f>IF(OR($A9="",L$4=""),"",SUMIFS('Students'!K$2:K$701,'Students'!$B$2:$B$701,$A9))</f>
        <v/>
      </c>
      <c r="M9" s="49">
        <f>IF(OR($A9="",M$4=""),"",SUMIFS('Students'!L$2:L$701,'Students'!$B$2:$B$701,$A9))</f>
        <v/>
      </c>
      <c r="N9" s="49">
        <f>IF(OR($A9="",N$4=""),"",SUMIFS('Students'!M$2:M$701,'Students'!$B$2:$B$701,$A9))</f>
        <v/>
      </c>
      <c r="O9" s="49">
        <f>IF(OR($A9="",O$4=""),"",SUMIFS('Students'!N$2:N$701,'Students'!$B$2:$B$701,$A9))</f>
        <v/>
      </c>
      <c r="P9" s="49">
        <f>IF(OR($A9="",P$4=""),"",SUMIFS('Students'!O$2:O$701,'Students'!$B$2:$B$701,$A9))</f>
        <v/>
      </c>
      <c r="Q9" s="49">
        <f>IF(OR($A9="",Q$4=""),"",SUMIFS('Students'!P$2:P$701,'Students'!$B$2:$B$701,$A9))</f>
        <v/>
      </c>
      <c r="R9" s="49">
        <f>IF(OR($A9="",R$4=""),"",SUMIFS('Students'!Q$2:Q$701,'Students'!$B$2:$B$701,$A9))</f>
        <v/>
      </c>
      <c r="S9" s="49">
        <f>IF(OR($A9="",S$4=""),"",SUMIFS('Students'!R$2:R$701,'Students'!$B$2:$B$701,$A9))</f>
        <v/>
      </c>
      <c r="T9" s="49">
        <f>IF(OR($A9="",T$4=""),"",SUMIFS('Students'!S$2:S$701,'Students'!$B$2:$B$701,$A9))</f>
        <v/>
      </c>
      <c r="U9" s="49">
        <f>IF(OR($A9="",U$4=""),"",SUMIFS('Students'!T$2:T$701,'Students'!$B$2:$B$701,$A9))</f>
        <v/>
      </c>
      <c r="V9" s="49">
        <f>IF(OR($A9="",V$4=""),"",SUMIFS('Students'!U$2:U$701,'Students'!$B$2:$B$701,$A9))</f>
        <v/>
      </c>
      <c r="W9" s="49">
        <f>IF(OR($A9="",W$4=""),"",SUMIFS('Students'!V$2:V$701,'Students'!$B$2:$B$701,$A9))</f>
        <v/>
      </c>
      <c r="X9" s="49">
        <f>IF(OR($A9="",X$4=""),"",SUMIFS('Students'!W$2:W$701,'Students'!$B$2:$B$701,$A9))</f>
        <v/>
      </c>
      <c r="Y9" s="49">
        <f>IF(OR($A9="",Y$4=""),"",SUMIFS('Students'!X$2:X$701,'Students'!$B$2:$B$701,$A9))</f>
        <v/>
      </c>
      <c r="Z9" s="49">
        <f>IF(OR($A9="",Z$4=""),"",SUMIFS('Students'!Y$2:Y$701,'Students'!$B$2:$B$701,$A9))</f>
        <v/>
      </c>
      <c r="AA9" s="49">
        <f>IF(OR($A9="",AA$4=""),"",SUMIFS('Students'!Z$2:Z$701,'Students'!$B$2:$B$701,$A9))</f>
        <v/>
      </c>
      <c r="AB9" s="49">
        <f>IF(OR($A9="",AB$4=""),"",SUMIFS('Students'!AA$2:AA$701,'Students'!$B$2:$B$701,$A9))</f>
        <v/>
      </c>
      <c r="AC9" s="49">
        <f>IF(OR($A9="",AC$4=""),"",SUMIFS('Students'!AB$2:AB$701,'Students'!$B$2:$B$701,$A9))</f>
        <v/>
      </c>
      <c r="AD9" s="49">
        <f>IF(OR($A9="",AD$4=""),"",SUMIFS('Students'!AC$2:AC$701,'Students'!$B$2:$B$701,$A9))</f>
        <v/>
      </c>
      <c r="AE9">
        <f>IFERROR(MATCH(5,'Students'!$AJ$2:$AJ$701,0),"")</f>
        <v/>
      </c>
      <c r="AF9">
        <f>IF(A9="",-1,G9+(100-ROW())/10^7)</f>
        <v/>
      </c>
      <c r="AG9">
        <f>IF($A9="",-1,ROUND(SUMIFS('Students'!$AO$2:$AO$701,'Students'!$B$2:$B$701,$A9),2))</f>
        <v/>
      </c>
      <c r="AI9">
        <f>IF($A9="",-1,IF(N($D9)=0,0,ROUND(COUNTIFS('Students'!$B$2:$B$701,$A9,'Students'!$AQ$2:$AQ$701,"&gt;="&amp;MAX(N('Settings'!$F$25),0.01))/$D9,6)))</f>
        <v/>
      </c>
      <c r="AK9">
        <f>IF($A9="",-1,IF(N($D9)=0,0,ROUND(COUNTIFS('Students'!$B$2:$B$701,$A9,'Students'!$AS$2:$AS$701,"&gt;="&amp;0.01)/$D9,6)))</f>
        <v/>
      </c>
      <c r="AV9">
        <f>IF(AI9&lt;0,-1,AI9+N($G9)/10^9+(100-ROW())/10^13)</f>
        <v/>
      </c>
      <c r="AX9">
        <f>IF(AK9&lt;0,-1,AK9+N($G9)/10^9+(100-ROW())/10^13)</f>
        <v/>
      </c>
    </row>
    <row r="10">
      <c r="A10">
        <f>IF(AE10="","",INDEX('Students'!$B$2:$B$701,AE10))</f>
        <v/>
      </c>
      <c r="B10">
        <f>IF(AE10="","",INDEX('Students'!$AN$2:$AN$701,AE10))</f>
        <v/>
      </c>
      <c r="C10">
        <f>IF(AE10="","",INDEX('Students'!$C$2:$C$701,AE10))</f>
        <v/>
      </c>
      <c r="D10">
        <f>IF(A10="","",COUNTIFS('Students'!$B$2:$B$701,A10,'Students'!$AE$2:$AE$701,1))</f>
        <v/>
      </c>
      <c r="E10">
        <f>IF(A10="","",COUNTIFS('Students'!$B$2:$B$701,A10,'Students'!$D$2:$D$701,"&gt;0"))</f>
        <v/>
      </c>
      <c r="F10" s="47">
        <f>IF(A10="","",IF(D10&gt;0,E10/D10,0))</f>
        <v/>
      </c>
      <c r="G10" s="48">
        <f>IF(A10="","",ROUND(SUMIFS('Students'!$D$2:$D$701,'Students'!$B$2:$B$701,A10),2))</f>
        <v/>
      </c>
      <c r="H10" s="48">
        <f>IF(A10="","",IF(D10&gt;0,G10/D10,0))</f>
        <v/>
      </c>
      <c r="I10">
        <f>IF(A10="","",COUNTIF($G$5:$G$44,"&gt;"&amp;G10)+1)</f>
        <v/>
      </c>
      <c r="J10" s="49">
        <f>IF(OR($A10="",J$4=""),"",SUMIFS('Students'!I$2:I$701,'Students'!$B$2:$B$701,$A10))</f>
        <v/>
      </c>
      <c r="K10" s="49">
        <f>IF(OR($A10="",K$4=""),"",SUMIFS('Students'!J$2:J$701,'Students'!$B$2:$B$701,$A10))</f>
        <v/>
      </c>
      <c r="L10" s="49">
        <f>IF(OR($A10="",L$4=""),"",SUMIFS('Students'!K$2:K$701,'Students'!$B$2:$B$701,$A10))</f>
        <v/>
      </c>
      <c r="M10" s="49">
        <f>IF(OR($A10="",M$4=""),"",SUMIFS('Students'!L$2:L$701,'Students'!$B$2:$B$701,$A10))</f>
        <v/>
      </c>
      <c r="N10" s="49">
        <f>IF(OR($A10="",N$4=""),"",SUMIFS('Students'!M$2:M$701,'Students'!$B$2:$B$701,$A10))</f>
        <v/>
      </c>
      <c r="O10" s="49">
        <f>IF(OR($A10="",O$4=""),"",SUMIFS('Students'!N$2:N$701,'Students'!$B$2:$B$701,$A10))</f>
        <v/>
      </c>
      <c r="P10" s="49">
        <f>IF(OR($A10="",P$4=""),"",SUMIFS('Students'!O$2:O$701,'Students'!$B$2:$B$701,$A10))</f>
        <v/>
      </c>
      <c r="Q10" s="49">
        <f>IF(OR($A10="",Q$4=""),"",SUMIFS('Students'!P$2:P$701,'Students'!$B$2:$B$701,$A10))</f>
        <v/>
      </c>
      <c r="R10" s="49">
        <f>IF(OR($A10="",R$4=""),"",SUMIFS('Students'!Q$2:Q$701,'Students'!$B$2:$B$701,$A10))</f>
        <v/>
      </c>
      <c r="S10" s="49">
        <f>IF(OR($A10="",S$4=""),"",SUMIFS('Students'!R$2:R$701,'Students'!$B$2:$B$701,$A10))</f>
        <v/>
      </c>
      <c r="T10" s="49">
        <f>IF(OR($A10="",T$4=""),"",SUMIFS('Students'!S$2:S$701,'Students'!$B$2:$B$701,$A10))</f>
        <v/>
      </c>
      <c r="U10" s="49">
        <f>IF(OR($A10="",U$4=""),"",SUMIFS('Students'!T$2:T$701,'Students'!$B$2:$B$701,$A10))</f>
        <v/>
      </c>
      <c r="V10" s="49">
        <f>IF(OR($A10="",V$4=""),"",SUMIFS('Students'!U$2:U$701,'Students'!$B$2:$B$701,$A10))</f>
        <v/>
      </c>
      <c r="W10" s="49">
        <f>IF(OR($A10="",W$4=""),"",SUMIFS('Students'!V$2:V$701,'Students'!$B$2:$B$701,$A10))</f>
        <v/>
      </c>
      <c r="X10" s="49">
        <f>IF(OR($A10="",X$4=""),"",SUMIFS('Students'!W$2:W$701,'Students'!$B$2:$B$701,$A10))</f>
        <v/>
      </c>
      <c r="Y10" s="49">
        <f>IF(OR($A10="",Y$4=""),"",SUMIFS('Students'!X$2:X$701,'Students'!$B$2:$B$701,$A10))</f>
        <v/>
      </c>
      <c r="Z10" s="49">
        <f>IF(OR($A10="",Z$4=""),"",SUMIFS('Students'!Y$2:Y$701,'Students'!$B$2:$B$701,$A10))</f>
        <v/>
      </c>
      <c r="AA10" s="49">
        <f>IF(OR($A10="",AA$4=""),"",SUMIFS('Students'!Z$2:Z$701,'Students'!$B$2:$B$701,$A10))</f>
        <v/>
      </c>
      <c r="AB10" s="49">
        <f>IF(OR($A10="",AB$4=""),"",SUMIFS('Students'!AA$2:AA$701,'Students'!$B$2:$B$701,$A10))</f>
        <v/>
      </c>
      <c r="AC10" s="49">
        <f>IF(OR($A10="",AC$4=""),"",SUMIFS('Students'!AB$2:AB$701,'Students'!$B$2:$B$701,$A10))</f>
        <v/>
      </c>
      <c r="AD10" s="49">
        <f>IF(OR($A10="",AD$4=""),"",SUMIFS('Students'!AC$2:AC$701,'Students'!$B$2:$B$701,$A10))</f>
        <v/>
      </c>
      <c r="AE10">
        <f>IFERROR(MATCH(6,'Students'!$AJ$2:$AJ$701,0),"")</f>
        <v/>
      </c>
      <c r="AF10">
        <f>IF(A10="",-1,G10+(100-ROW())/10^7)</f>
        <v/>
      </c>
      <c r="AG10">
        <f>IF($A10="",-1,ROUND(SUMIFS('Students'!$AO$2:$AO$701,'Students'!$B$2:$B$701,$A10),2))</f>
        <v/>
      </c>
      <c r="AI10">
        <f>IF($A10="",-1,IF(N($D10)=0,0,ROUND(COUNTIFS('Students'!$B$2:$B$701,$A10,'Students'!$AQ$2:$AQ$701,"&gt;="&amp;MAX(N('Settings'!$F$25),0.01))/$D10,6)))</f>
        <v/>
      </c>
      <c r="AK10">
        <f>IF($A10="",-1,IF(N($D10)=0,0,ROUND(COUNTIFS('Students'!$B$2:$B$701,$A10,'Students'!$AS$2:$AS$701,"&gt;="&amp;0.01)/$D10,6)))</f>
        <v/>
      </c>
      <c r="AV10">
        <f>IF(AI10&lt;0,-1,AI10+N($G10)/10^9+(100-ROW())/10^13)</f>
        <v/>
      </c>
      <c r="AX10">
        <f>IF(AK10&lt;0,-1,AK10+N($G10)/10^9+(100-ROW())/10^13)</f>
        <v/>
      </c>
    </row>
    <row r="11">
      <c r="A11">
        <f>IF(AE11="","",INDEX('Students'!$B$2:$B$701,AE11))</f>
        <v/>
      </c>
      <c r="B11">
        <f>IF(AE11="","",INDEX('Students'!$AN$2:$AN$701,AE11))</f>
        <v/>
      </c>
      <c r="C11">
        <f>IF(AE11="","",INDEX('Students'!$C$2:$C$701,AE11))</f>
        <v/>
      </c>
      <c r="D11">
        <f>IF(A11="","",COUNTIFS('Students'!$B$2:$B$701,A11,'Students'!$AE$2:$AE$701,1))</f>
        <v/>
      </c>
      <c r="E11">
        <f>IF(A11="","",COUNTIFS('Students'!$B$2:$B$701,A11,'Students'!$D$2:$D$701,"&gt;0"))</f>
        <v/>
      </c>
      <c r="F11" s="47">
        <f>IF(A11="","",IF(D11&gt;0,E11/D11,0))</f>
        <v/>
      </c>
      <c r="G11" s="48">
        <f>IF(A11="","",ROUND(SUMIFS('Students'!$D$2:$D$701,'Students'!$B$2:$B$701,A11),2))</f>
        <v/>
      </c>
      <c r="H11" s="48">
        <f>IF(A11="","",IF(D11&gt;0,G11/D11,0))</f>
        <v/>
      </c>
      <c r="I11">
        <f>IF(A11="","",COUNTIF($G$5:$G$44,"&gt;"&amp;G11)+1)</f>
        <v/>
      </c>
      <c r="J11" s="49">
        <f>IF(OR($A11="",J$4=""),"",SUMIFS('Students'!I$2:I$701,'Students'!$B$2:$B$701,$A11))</f>
        <v/>
      </c>
      <c r="K11" s="49">
        <f>IF(OR($A11="",K$4=""),"",SUMIFS('Students'!J$2:J$701,'Students'!$B$2:$B$701,$A11))</f>
        <v/>
      </c>
      <c r="L11" s="49">
        <f>IF(OR($A11="",L$4=""),"",SUMIFS('Students'!K$2:K$701,'Students'!$B$2:$B$701,$A11))</f>
        <v/>
      </c>
      <c r="M11" s="49">
        <f>IF(OR($A11="",M$4=""),"",SUMIFS('Students'!L$2:L$701,'Students'!$B$2:$B$701,$A11))</f>
        <v/>
      </c>
      <c r="N11" s="49">
        <f>IF(OR($A11="",N$4=""),"",SUMIFS('Students'!M$2:M$701,'Students'!$B$2:$B$701,$A11))</f>
        <v/>
      </c>
      <c r="O11" s="49">
        <f>IF(OR($A11="",O$4=""),"",SUMIFS('Students'!N$2:N$701,'Students'!$B$2:$B$701,$A11))</f>
        <v/>
      </c>
      <c r="P11" s="49">
        <f>IF(OR($A11="",P$4=""),"",SUMIFS('Students'!O$2:O$701,'Students'!$B$2:$B$701,$A11))</f>
        <v/>
      </c>
      <c r="Q11" s="49">
        <f>IF(OR($A11="",Q$4=""),"",SUMIFS('Students'!P$2:P$701,'Students'!$B$2:$B$701,$A11))</f>
        <v/>
      </c>
      <c r="R11" s="49">
        <f>IF(OR($A11="",R$4=""),"",SUMIFS('Students'!Q$2:Q$701,'Students'!$B$2:$B$701,$A11))</f>
        <v/>
      </c>
      <c r="S11" s="49">
        <f>IF(OR($A11="",S$4=""),"",SUMIFS('Students'!R$2:R$701,'Students'!$B$2:$B$701,$A11))</f>
        <v/>
      </c>
      <c r="T11" s="49">
        <f>IF(OR($A11="",T$4=""),"",SUMIFS('Students'!S$2:S$701,'Students'!$B$2:$B$701,$A11))</f>
        <v/>
      </c>
      <c r="U11" s="49">
        <f>IF(OR($A11="",U$4=""),"",SUMIFS('Students'!T$2:T$701,'Students'!$B$2:$B$701,$A11))</f>
        <v/>
      </c>
      <c r="V11" s="49">
        <f>IF(OR($A11="",V$4=""),"",SUMIFS('Students'!U$2:U$701,'Students'!$B$2:$B$701,$A11))</f>
        <v/>
      </c>
      <c r="W11" s="49">
        <f>IF(OR($A11="",W$4=""),"",SUMIFS('Students'!V$2:V$701,'Students'!$B$2:$B$701,$A11))</f>
        <v/>
      </c>
      <c r="X11" s="49">
        <f>IF(OR($A11="",X$4=""),"",SUMIFS('Students'!W$2:W$701,'Students'!$B$2:$B$701,$A11))</f>
        <v/>
      </c>
      <c r="Y11" s="49">
        <f>IF(OR($A11="",Y$4=""),"",SUMIFS('Students'!X$2:X$701,'Students'!$B$2:$B$701,$A11))</f>
        <v/>
      </c>
      <c r="Z11" s="49">
        <f>IF(OR($A11="",Z$4=""),"",SUMIFS('Students'!Y$2:Y$701,'Students'!$B$2:$B$701,$A11))</f>
        <v/>
      </c>
      <c r="AA11" s="49">
        <f>IF(OR($A11="",AA$4=""),"",SUMIFS('Students'!Z$2:Z$701,'Students'!$B$2:$B$701,$A11))</f>
        <v/>
      </c>
      <c r="AB11" s="49">
        <f>IF(OR($A11="",AB$4=""),"",SUMIFS('Students'!AA$2:AA$701,'Students'!$B$2:$B$701,$A11))</f>
        <v/>
      </c>
      <c r="AC11" s="49">
        <f>IF(OR($A11="",AC$4=""),"",SUMIFS('Students'!AB$2:AB$701,'Students'!$B$2:$B$701,$A11))</f>
        <v/>
      </c>
      <c r="AD11" s="49">
        <f>IF(OR($A11="",AD$4=""),"",SUMIFS('Students'!AC$2:AC$701,'Students'!$B$2:$B$701,$A11))</f>
        <v/>
      </c>
      <c r="AE11">
        <f>IFERROR(MATCH(7,'Students'!$AJ$2:$AJ$701,0),"")</f>
        <v/>
      </c>
      <c r="AF11">
        <f>IF(A11="",-1,G11+(100-ROW())/10^7)</f>
        <v/>
      </c>
      <c r="AG11">
        <f>IF($A11="",-1,ROUND(SUMIFS('Students'!$AO$2:$AO$701,'Students'!$B$2:$B$701,$A11),2))</f>
        <v/>
      </c>
      <c r="AI11">
        <f>IF($A11="",-1,IF(N($D11)=0,0,ROUND(COUNTIFS('Students'!$B$2:$B$701,$A11,'Students'!$AQ$2:$AQ$701,"&gt;="&amp;MAX(N('Settings'!$F$25),0.01))/$D11,6)))</f>
        <v/>
      </c>
      <c r="AK11">
        <f>IF($A11="",-1,IF(N($D11)=0,0,ROUND(COUNTIFS('Students'!$B$2:$B$701,$A11,'Students'!$AS$2:$AS$701,"&gt;="&amp;0.01)/$D11,6)))</f>
        <v/>
      </c>
      <c r="AV11">
        <f>IF(AI11&lt;0,-1,AI11+N($G11)/10^9+(100-ROW())/10^13)</f>
        <v/>
      </c>
      <c r="AX11">
        <f>IF(AK11&lt;0,-1,AK11+N($G11)/10^9+(100-ROW())/10^13)</f>
        <v/>
      </c>
    </row>
    <row r="12">
      <c r="A12">
        <f>IF(AE12="","",INDEX('Students'!$B$2:$B$701,AE12))</f>
        <v/>
      </c>
      <c r="B12">
        <f>IF(AE12="","",INDEX('Students'!$AN$2:$AN$701,AE12))</f>
        <v/>
      </c>
      <c r="C12">
        <f>IF(AE12="","",INDEX('Students'!$C$2:$C$701,AE12))</f>
        <v/>
      </c>
      <c r="D12">
        <f>IF(A12="","",COUNTIFS('Students'!$B$2:$B$701,A12,'Students'!$AE$2:$AE$701,1))</f>
        <v/>
      </c>
      <c r="E12">
        <f>IF(A12="","",COUNTIFS('Students'!$B$2:$B$701,A12,'Students'!$D$2:$D$701,"&gt;0"))</f>
        <v/>
      </c>
      <c r="F12" s="47">
        <f>IF(A12="","",IF(D12&gt;0,E12/D12,0))</f>
        <v/>
      </c>
      <c r="G12" s="48">
        <f>IF(A12="","",ROUND(SUMIFS('Students'!$D$2:$D$701,'Students'!$B$2:$B$701,A12),2))</f>
        <v/>
      </c>
      <c r="H12" s="48">
        <f>IF(A12="","",IF(D12&gt;0,G12/D12,0))</f>
        <v/>
      </c>
      <c r="I12">
        <f>IF(A12="","",COUNTIF($G$5:$G$44,"&gt;"&amp;G12)+1)</f>
        <v/>
      </c>
      <c r="J12" s="49">
        <f>IF(OR($A12="",J$4=""),"",SUMIFS('Students'!I$2:I$701,'Students'!$B$2:$B$701,$A12))</f>
        <v/>
      </c>
      <c r="K12" s="49">
        <f>IF(OR($A12="",K$4=""),"",SUMIFS('Students'!J$2:J$701,'Students'!$B$2:$B$701,$A12))</f>
        <v/>
      </c>
      <c r="L12" s="49">
        <f>IF(OR($A12="",L$4=""),"",SUMIFS('Students'!K$2:K$701,'Students'!$B$2:$B$701,$A12))</f>
        <v/>
      </c>
      <c r="M12" s="49">
        <f>IF(OR($A12="",M$4=""),"",SUMIFS('Students'!L$2:L$701,'Students'!$B$2:$B$701,$A12))</f>
        <v/>
      </c>
      <c r="N12" s="49">
        <f>IF(OR($A12="",N$4=""),"",SUMIFS('Students'!M$2:M$701,'Students'!$B$2:$B$701,$A12))</f>
        <v/>
      </c>
      <c r="O12" s="49">
        <f>IF(OR($A12="",O$4=""),"",SUMIFS('Students'!N$2:N$701,'Students'!$B$2:$B$701,$A12))</f>
        <v/>
      </c>
      <c r="P12" s="49">
        <f>IF(OR($A12="",P$4=""),"",SUMIFS('Students'!O$2:O$701,'Students'!$B$2:$B$701,$A12))</f>
        <v/>
      </c>
      <c r="Q12" s="49">
        <f>IF(OR($A12="",Q$4=""),"",SUMIFS('Students'!P$2:P$701,'Students'!$B$2:$B$701,$A12))</f>
        <v/>
      </c>
      <c r="R12" s="49">
        <f>IF(OR($A12="",R$4=""),"",SUMIFS('Students'!Q$2:Q$701,'Students'!$B$2:$B$701,$A12))</f>
        <v/>
      </c>
      <c r="S12" s="49">
        <f>IF(OR($A12="",S$4=""),"",SUMIFS('Students'!R$2:R$701,'Students'!$B$2:$B$701,$A12))</f>
        <v/>
      </c>
      <c r="T12" s="49">
        <f>IF(OR($A12="",T$4=""),"",SUMIFS('Students'!S$2:S$701,'Students'!$B$2:$B$701,$A12))</f>
        <v/>
      </c>
      <c r="U12" s="49">
        <f>IF(OR($A12="",U$4=""),"",SUMIFS('Students'!T$2:T$701,'Students'!$B$2:$B$701,$A12))</f>
        <v/>
      </c>
      <c r="V12" s="49">
        <f>IF(OR($A12="",V$4=""),"",SUMIFS('Students'!U$2:U$701,'Students'!$B$2:$B$701,$A12))</f>
        <v/>
      </c>
      <c r="W12" s="49">
        <f>IF(OR($A12="",W$4=""),"",SUMIFS('Students'!V$2:V$701,'Students'!$B$2:$B$701,$A12))</f>
        <v/>
      </c>
      <c r="X12" s="49">
        <f>IF(OR($A12="",X$4=""),"",SUMIFS('Students'!W$2:W$701,'Students'!$B$2:$B$701,$A12))</f>
        <v/>
      </c>
      <c r="Y12" s="49">
        <f>IF(OR($A12="",Y$4=""),"",SUMIFS('Students'!X$2:X$701,'Students'!$B$2:$B$701,$A12))</f>
        <v/>
      </c>
      <c r="Z12" s="49">
        <f>IF(OR($A12="",Z$4=""),"",SUMIFS('Students'!Y$2:Y$701,'Students'!$B$2:$B$701,$A12))</f>
        <v/>
      </c>
      <c r="AA12" s="49">
        <f>IF(OR($A12="",AA$4=""),"",SUMIFS('Students'!Z$2:Z$701,'Students'!$B$2:$B$701,$A12))</f>
        <v/>
      </c>
      <c r="AB12" s="49">
        <f>IF(OR($A12="",AB$4=""),"",SUMIFS('Students'!AA$2:AA$701,'Students'!$B$2:$B$701,$A12))</f>
        <v/>
      </c>
      <c r="AC12" s="49">
        <f>IF(OR($A12="",AC$4=""),"",SUMIFS('Students'!AB$2:AB$701,'Students'!$B$2:$B$701,$A12))</f>
        <v/>
      </c>
      <c r="AD12" s="49">
        <f>IF(OR($A12="",AD$4=""),"",SUMIFS('Students'!AC$2:AC$701,'Students'!$B$2:$B$701,$A12))</f>
        <v/>
      </c>
      <c r="AE12">
        <f>IFERROR(MATCH(8,'Students'!$AJ$2:$AJ$701,0),"")</f>
        <v/>
      </c>
      <c r="AF12">
        <f>IF(A12="",-1,G12+(100-ROW())/10^7)</f>
        <v/>
      </c>
      <c r="AG12">
        <f>IF($A12="",-1,ROUND(SUMIFS('Students'!$AO$2:$AO$701,'Students'!$B$2:$B$701,$A12),2))</f>
        <v/>
      </c>
      <c r="AI12">
        <f>IF($A12="",-1,IF(N($D12)=0,0,ROUND(COUNTIFS('Students'!$B$2:$B$701,$A12,'Students'!$AQ$2:$AQ$701,"&gt;="&amp;MAX(N('Settings'!$F$25),0.01))/$D12,6)))</f>
        <v/>
      </c>
      <c r="AK12">
        <f>IF($A12="",-1,IF(N($D12)=0,0,ROUND(COUNTIFS('Students'!$B$2:$B$701,$A12,'Students'!$AS$2:$AS$701,"&gt;="&amp;0.01)/$D12,6)))</f>
        <v/>
      </c>
      <c r="AV12">
        <f>IF(AI12&lt;0,-1,AI12+N($G12)/10^9+(100-ROW())/10^13)</f>
        <v/>
      </c>
      <c r="AX12">
        <f>IF(AK12&lt;0,-1,AK12+N($G12)/10^9+(100-ROW())/10^13)</f>
        <v/>
      </c>
    </row>
    <row r="13">
      <c r="A13">
        <f>IF(AE13="","",INDEX('Students'!$B$2:$B$701,AE13))</f>
        <v/>
      </c>
      <c r="B13">
        <f>IF(AE13="","",INDEX('Students'!$AN$2:$AN$701,AE13))</f>
        <v/>
      </c>
      <c r="C13">
        <f>IF(AE13="","",INDEX('Students'!$C$2:$C$701,AE13))</f>
        <v/>
      </c>
      <c r="D13">
        <f>IF(A13="","",COUNTIFS('Students'!$B$2:$B$701,A13,'Students'!$AE$2:$AE$701,1))</f>
        <v/>
      </c>
      <c r="E13">
        <f>IF(A13="","",COUNTIFS('Students'!$B$2:$B$701,A13,'Students'!$D$2:$D$701,"&gt;0"))</f>
        <v/>
      </c>
      <c r="F13" s="47">
        <f>IF(A13="","",IF(D13&gt;0,E13/D13,0))</f>
        <v/>
      </c>
      <c r="G13" s="48">
        <f>IF(A13="","",ROUND(SUMIFS('Students'!$D$2:$D$701,'Students'!$B$2:$B$701,A13),2))</f>
        <v/>
      </c>
      <c r="H13" s="48">
        <f>IF(A13="","",IF(D13&gt;0,G13/D13,0))</f>
        <v/>
      </c>
      <c r="I13">
        <f>IF(A13="","",COUNTIF($G$5:$G$44,"&gt;"&amp;G13)+1)</f>
        <v/>
      </c>
      <c r="J13" s="49">
        <f>IF(OR($A13="",J$4=""),"",SUMIFS('Students'!I$2:I$701,'Students'!$B$2:$B$701,$A13))</f>
        <v/>
      </c>
      <c r="K13" s="49">
        <f>IF(OR($A13="",K$4=""),"",SUMIFS('Students'!J$2:J$701,'Students'!$B$2:$B$701,$A13))</f>
        <v/>
      </c>
      <c r="L13" s="49">
        <f>IF(OR($A13="",L$4=""),"",SUMIFS('Students'!K$2:K$701,'Students'!$B$2:$B$701,$A13))</f>
        <v/>
      </c>
      <c r="M13" s="49">
        <f>IF(OR($A13="",M$4=""),"",SUMIFS('Students'!L$2:L$701,'Students'!$B$2:$B$701,$A13))</f>
        <v/>
      </c>
      <c r="N13" s="49">
        <f>IF(OR($A13="",N$4=""),"",SUMIFS('Students'!M$2:M$701,'Students'!$B$2:$B$701,$A13))</f>
        <v/>
      </c>
      <c r="O13" s="49">
        <f>IF(OR($A13="",O$4=""),"",SUMIFS('Students'!N$2:N$701,'Students'!$B$2:$B$701,$A13))</f>
        <v/>
      </c>
      <c r="P13" s="49">
        <f>IF(OR($A13="",P$4=""),"",SUMIFS('Students'!O$2:O$701,'Students'!$B$2:$B$701,$A13))</f>
        <v/>
      </c>
      <c r="Q13" s="49">
        <f>IF(OR($A13="",Q$4=""),"",SUMIFS('Students'!P$2:P$701,'Students'!$B$2:$B$701,$A13))</f>
        <v/>
      </c>
      <c r="R13" s="49">
        <f>IF(OR($A13="",R$4=""),"",SUMIFS('Students'!Q$2:Q$701,'Students'!$B$2:$B$701,$A13))</f>
        <v/>
      </c>
      <c r="S13" s="49">
        <f>IF(OR($A13="",S$4=""),"",SUMIFS('Students'!R$2:R$701,'Students'!$B$2:$B$701,$A13))</f>
        <v/>
      </c>
      <c r="T13" s="49">
        <f>IF(OR($A13="",T$4=""),"",SUMIFS('Students'!S$2:S$701,'Students'!$B$2:$B$701,$A13))</f>
        <v/>
      </c>
      <c r="U13" s="49">
        <f>IF(OR($A13="",U$4=""),"",SUMIFS('Students'!T$2:T$701,'Students'!$B$2:$B$701,$A13))</f>
        <v/>
      </c>
      <c r="V13" s="49">
        <f>IF(OR($A13="",V$4=""),"",SUMIFS('Students'!U$2:U$701,'Students'!$B$2:$B$701,$A13))</f>
        <v/>
      </c>
      <c r="W13" s="49">
        <f>IF(OR($A13="",W$4=""),"",SUMIFS('Students'!V$2:V$701,'Students'!$B$2:$B$701,$A13))</f>
        <v/>
      </c>
      <c r="X13" s="49">
        <f>IF(OR($A13="",X$4=""),"",SUMIFS('Students'!W$2:W$701,'Students'!$B$2:$B$701,$A13))</f>
        <v/>
      </c>
      <c r="Y13" s="49">
        <f>IF(OR($A13="",Y$4=""),"",SUMIFS('Students'!X$2:X$701,'Students'!$B$2:$B$701,$A13))</f>
        <v/>
      </c>
      <c r="Z13" s="49">
        <f>IF(OR($A13="",Z$4=""),"",SUMIFS('Students'!Y$2:Y$701,'Students'!$B$2:$B$701,$A13))</f>
        <v/>
      </c>
      <c r="AA13" s="49">
        <f>IF(OR($A13="",AA$4=""),"",SUMIFS('Students'!Z$2:Z$701,'Students'!$B$2:$B$701,$A13))</f>
        <v/>
      </c>
      <c r="AB13" s="49">
        <f>IF(OR($A13="",AB$4=""),"",SUMIFS('Students'!AA$2:AA$701,'Students'!$B$2:$B$701,$A13))</f>
        <v/>
      </c>
      <c r="AC13" s="49">
        <f>IF(OR($A13="",AC$4=""),"",SUMIFS('Students'!AB$2:AB$701,'Students'!$B$2:$B$701,$A13))</f>
        <v/>
      </c>
      <c r="AD13" s="49">
        <f>IF(OR($A13="",AD$4=""),"",SUMIFS('Students'!AC$2:AC$701,'Students'!$B$2:$B$701,$A13))</f>
        <v/>
      </c>
      <c r="AE13">
        <f>IFERROR(MATCH(9,'Students'!$AJ$2:$AJ$701,0),"")</f>
        <v/>
      </c>
      <c r="AF13">
        <f>IF(A13="",-1,G13+(100-ROW())/10^7)</f>
        <v/>
      </c>
      <c r="AG13">
        <f>IF($A13="",-1,ROUND(SUMIFS('Students'!$AO$2:$AO$701,'Students'!$B$2:$B$701,$A13),2))</f>
        <v/>
      </c>
      <c r="AI13">
        <f>IF($A13="",-1,IF(N($D13)=0,0,ROUND(COUNTIFS('Students'!$B$2:$B$701,$A13,'Students'!$AQ$2:$AQ$701,"&gt;="&amp;MAX(N('Settings'!$F$25),0.01))/$D13,6)))</f>
        <v/>
      </c>
      <c r="AK13">
        <f>IF($A13="",-1,IF(N($D13)=0,0,ROUND(COUNTIFS('Students'!$B$2:$B$701,$A13,'Students'!$AS$2:$AS$701,"&gt;="&amp;0.01)/$D13,6)))</f>
        <v/>
      </c>
      <c r="AV13">
        <f>IF(AI13&lt;0,-1,AI13+N($G13)/10^9+(100-ROW())/10^13)</f>
        <v/>
      </c>
      <c r="AX13">
        <f>IF(AK13&lt;0,-1,AK13+N($G13)/10^9+(100-ROW())/10^13)</f>
        <v/>
      </c>
    </row>
    <row r="14">
      <c r="A14">
        <f>IF(AE14="","",INDEX('Students'!$B$2:$B$701,AE14))</f>
        <v/>
      </c>
      <c r="B14">
        <f>IF(AE14="","",INDEX('Students'!$AN$2:$AN$701,AE14))</f>
        <v/>
      </c>
      <c r="C14">
        <f>IF(AE14="","",INDEX('Students'!$C$2:$C$701,AE14))</f>
        <v/>
      </c>
      <c r="D14">
        <f>IF(A14="","",COUNTIFS('Students'!$B$2:$B$701,A14,'Students'!$AE$2:$AE$701,1))</f>
        <v/>
      </c>
      <c r="E14">
        <f>IF(A14="","",COUNTIFS('Students'!$B$2:$B$701,A14,'Students'!$D$2:$D$701,"&gt;0"))</f>
        <v/>
      </c>
      <c r="F14" s="47">
        <f>IF(A14="","",IF(D14&gt;0,E14/D14,0))</f>
        <v/>
      </c>
      <c r="G14" s="48">
        <f>IF(A14="","",ROUND(SUMIFS('Students'!$D$2:$D$701,'Students'!$B$2:$B$701,A14),2))</f>
        <v/>
      </c>
      <c r="H14" s="48">
        <f>IF(A14="","",IF(D14&gt;0,G14/D14,0))</f>
        <v/>
      </c>
      <c r="I14">
        <f>IF(A14="","",COUNTIF($G$5:$G$44,"&gt;"&amp;G14)+1)</f>
        <v/>
      </c>
      <c r="J14" s="49">
        <f>IF(OR($A14="",J$4=""),"",SUMIFS('Students'!I$2:I$701,'Students'!$B$2:$B$701,$A14))</f>
        <v/>
      </c>
      <c r="K14" s="49">
        <f>IF(OR($A14="",K$4=""),"",SUMIFS('Students'!J$2:J$701,'Students'!$B$2:$B$701,$A14))</f>
        <v/>
      </c>
      <c r="L14" s="49">
        <f>IF(OR($A14="",L$4=""),"",SUMIFS('Students'!K$2:K$701,'Students'!$B$2:$B$701,$A14))</f>
        <v/>
      </c>
      <c r="M14" s="49">
        <f>IF(OR($A14="",M$4=""),"",SUMIFS('Students'!L$2:L$701,'Students'!$B$2:$B$701,$A14))</f>
        <v/>
      </c>
      <c r="N14" s="49">
        <f>IF(OR($A14="",N$4=""),"",SUMIFS('Students'!M$2:M$701,'Students'!$B$2:$B$701,$A14))</f>
        <v/>
      </c>
      <c r="O14" s="49">
        <f>IF(OR($A14="",O$4=""),"",SUMIFS('Students'!N$2:N$701,'Students'!$B$2:$B$701,$A14))</f>
        <v/>
      </c>
      <c r="P14" s="49">
        <f>IF(OR($A14="",P$4=""),"",SUMIFS('Students'!O$2:O$701,'Students'!$B$2:$B$701,$A14))</f>
        <v/>
      </c>
      <c r="Q14" s="49">
        <f>IF(OR($A14="",Q$4=""),"",SUMIFS('Students'!P$2:P$701,'Students'!$B$2:$B$701,$A14))</f>
        <v/>
      </c>
      <c r="R14" s="49">
        <f>IF(OR($A14="",R$4=""),"",SUMIFS('Students'!Q$2:Q$701,'Students'!$B$2:$B$701,$A14))</f>
        <v/>
      </c>
      <c r="S14" s="49">
        <f>IF(OR($A14="",S$4=""),"",SUMIFS('Students'!R$2:R$701,'Students'!$B$2:$B$701,$A14))</f>
        <v/>
      </c>
      <c r="T14" s="49">
        <f>IF(OR($A14="",T$4=""),"",SUMIFS('Students'!S$2:S$701,'Students'!$B$2:$B$701,$A14))</f>
        <v/>
      </c>
      <c r="U14" s="49">
        <f>IF(OR($A14="",U$4=""),"",SUMIFS('Students'!T$2:T$701,'Students'!$B$2:$B$701,$A14))</f>
        <v/>
      </c>
      <c r="V14" s="49">
        <f>IF(OR($A14="",V$4=""),"",SUMIFS('Students'!U$2:U$701,'Students'!$B$2:$B$701,$A14))</f>
        <v/>
      </c>
      <c r="W14" s="49">
        <f>IF(OR($A14="",W$4=""),"",SUMIFS('Students'!V$2:V$701,'Students'!$B$2:$B$701,$A14))</f>
        <v/>
      </c>
      <c r="X14" s="49">
        <f>IF(OR($A14="",X$4=""),"",SUMIFS('Students'!W$2:W$701,'Students'!$B$2:$B$701,$A14))</f>
        <v/>
      </c>
      <c r="Y14" s="49">
        <f>IF(OR($A14="",Y$4=""),"",SUMIFS('Students'!X$2:X$701,'Students'!$B$2:$B$701,$A14))</f>
        <v/>
      </c>
      <c r="Z14" s="49">
        <f>IF(OR($A14="",Z$4=""),"",SUMIFS('Students'!Y$2:Y$701,'Students'!$B$2:$B$701,$A14))</f>
        <v/>
      </c>
      <c r="AA14" s="49">
        <f>IF(OR($A14="",AA$4=""),"",SUMIFS('Students'!Z$2:Z$701,'Students'!$B$2:$B$701,$A14))</f>
        <v/>
      </c>
      <c r="AB14" s="49">
        <f>IF(OR($A14="",AB$4=""),"",SUMIFS('Students'!AA$2:AA$701,'Students'!$B$2:$B$701,$A14))</f>
        <v/>
      </c>
      <c r="AC14" s="49">
        <f>IF(OR($A14="",AC$4=""),"",SUMIFS('Students'!AB$2:AB$701,'Students'!$B$2:$B$701,$A14))</f>
        <v/>
      </c>
      <c r="AD14" s="49">
        <f>IF(OR($A14="",AD$4=""),"",SUMIFS('Students'!AC$2:AC$701,'Students'!$B$2:$B$701,$A14))</f>
        <v/>
      </c>
      <c r="AE14">
        <f>IFERROR(MATCH(10,'Students'!$AJ$2:$AJ$701,0),"")</f>
        <v/>
      </c>
      <c r="AF14">
        <f>IF(A14="",-1,G14+(100-ROW())/10^7)</f>
        <v/>
      </c>
      <c r="AG14">
        <f>IF($A14="",-1,ROUND(SUMIFS('Students'!$AO$2:$AO$701,'Students'!$B$2:$B$701,$A14),2))</f>
        <v/>
      </c>
      <c r="AI14">
        <f>IF($A14="",-1,IF(N($D14)=0,0,ROUND(COUNTIFS('Students'!$B$2:$B$701,$A14,'Students'!$AQ$2:$AQ$701,"&gt;="&amp;MAX(N('Settings'!$F$25),0.01))/$D14,6)))</f>
        <v/>
      </c>
      <c r="AK14">
        <f>IF($A14="",-1,IF(N($D14)=0,0,ROUND(COUNTIFS('Students'!$B$2:$B$701,$A14,'Students'!$AS$2:$AS$701,"&gt;="&amp;0.01)/$D14,6)))</f>
        <v/>
      </c>
      <c r="AV14">
        <f>IF(AI14&lt;0,-1,AI14+N($G14)/10^9+(100-ROW())/10^13)</f>
        <v/>
      </c>
      <c r="AX14">
        <f>IF(AK14&lt;0,-1,AK14+N($G14)/10^9+(100-ROW())/10^13)</f>
        <v/>
      </c>
    </row>
    <row r="15">
      <c r="A15">
        <f>IF(AE15="","",INDEX('Students'!$B$2:$B$701,AE15))</f>
        <v/>
      </c>
      <c r="B15">
        <f>IF(AE15="","",INDEX('Students'!$AN$2:$AN$701,AE15))</f>
        <v/>
      </c>
      <c r="C15">
        <f>IF(AE15="","",INDEX('Students'!$C$2:$C$701,AE15))</f>
        <v/>
      </c>
      <c r="D15">
        <f>IF(A15="","",COUNTIFS('Students'!$B$2:$B$701,A15,'Students'!$AE$2:$AE$701,1))</f>
        <v/>
      </c>
      <c r="E15">
        <f>IF(A15="","",COUNTIFS('Students'!$B$2:$B$701,A15,'Students'!$D$2:$D$701,"&gt;0"))</f>
        <v/>
      </c>
      <c r="F15" s="47">
        <f>IF(A15="","",IF(D15&gt;0,E15/D15,0))</f>
        <v/>
      </c>
      <c r="G15" s="48">
        <f>IF(A15="","",ROUND(SUMIFS('Students'!$D$2:$D$701,'Students'!$B$2:$B$701,A15),2))</f>
        <v/>
      </c>
      <c r="H15" s="48">
        <f>IF(A15="","",IF(D15&gt;0,G15/D15,0))</f>
        <v/>
      </c>
      <c r="I15">
        <f>IF(A15="","",COUNTIF($G$5:$G$44,"&gt;"&amp;G15)+1)</f>
        <v/>
      </c>
      <c r="J15" s="49">
        <f>IF(OR($A15="",J$4=""),"",SUMIFS('Students'!I$2:I$701,'Students'!$B$2:$B$701,$A15))</f>
        <v/>
      </c>
      <c r="K15" s="49">
        <f>IF(OR($A15="",K$4=""),"",SUMIFS('Students'!J$2:J$701,'Students'!$B$2:$B$701,$A15))</f>
        <v/>
      </c>
      <c r="L15" s="49">
        <f>IF(OR($A15="",L$4=""),"",SUMIFS('Students'!K$2:K$701,'Students'!$B$2:$B$701,$A15))</f>
        <v/>
      </c>
      <c r="M15" s="49">
        <f>IF(OR($A15="",M$4=""),"",SUMIFS('Students'!L$2:L$701,'Students'!$B$2:$B$701,$A15))</f>
        <v/>
      </c>
      <c r="N15" s="49">
        <f>IF(OR($A15="",N$4=""),"",SUMIFS('Students'!M$2:M$701,'Students'!$B$2:$B$701,$A15))</f>
        <v/>
      </c>
      <c r="O15" s="49">
        <f>IF(OR($A15="",O$4=""),"",SUMIFS('Students'!N$2:N$701,'Students'!$B$2:$B$701,$A15))</f>
        <v/>
      </c>
      <c r="P15" s="49">
        <f>IF(OR($A15="",P$4=""),"",SUMIFS('Students'!O$2:O$701,'Students'!$B$2:$B$701,$A15))</f>
        <v/>
      </c>
      <c r="Q15" s="49">
        <f>IF(OR($A15="",Q$4=""),"",SUMIFS('Students'!P$2:P$701,'Students'!$B$2:$B$701,$A15))</f>
        <v/>
      </c>
      <c r="R15" s="49">
        <f>IF(OR($A15="",R$4=""),"",SUMIFS('Students'!Q$2:Q$701,'Students'!$B$2:$B$701,$A15))</f>
        <v/>
      </c>
      <c r="S15" s="49">
        <f>IF(OR($A15="",S$4=""),"",SUMIFS('Students'!R$2:R$701,'Students'!$B$2:$B$701,$A15))</f>
        <v/>
      </c>
      <c r="T15" s="49">
        <f>IF(OR($A15="",T$4=""),"",SUMIFS('Students'!S$2:S$701,'Students'!$B$2:$B$701,$A15))</f>
        <v/>
      </c>
      <c r="U15" s="49">
        <f>IF(OR($A15="",U$4=""),"",SUMIFS('Students'!T$2:T$701,'Students'!$B$2:$B$701,$A15))</f>
        <v/>
      </c>
      <c r="V15" s="49">
        <f>IF(OR($A15="",V$4=""),"",SUMIFS('Students'!U$2:U$701,'Students'!$B$2:$B$701,$A15))</f>
        <v/>
      </c>
      <c r="W15" s="49">
        <f>IF(OR($A15="",W$4=""),"",SUMIFS('Students'!V$2:V$701,'Students'!$B$2:$B$701,$A15))</f>
        <v/>
      </c>
      <c r="X15" s="49">
        <f>IF(OR($A15="",X$4=""),"",SUMIFS('Students'!W$2:W$701,'Students'!$B$2:$B$701,$A15))</f>
        <v/>
      </c>
      <c r="Y15" s="49">
        <f>IF(OR($A15="",Y$4=""),"",SUMIFS('Students'!X$2:X$701,'Students'!$B$2:$B$701,$A15))</f>
        <v/>
      </c>
      <c r="Z15" s="49">
        <f>IF(OR($A15="",Z$4=""),"",SUMIFS('Students'!Y$2:Y$701,'Students'!$B$2:$B$701,$A15))</f>
        <v/>
      </c>
      <c r="AA15" s="49">
        <f>IF(OR($A15="",AA$4=""),"",SUMIFS('Students'!Z$2:Z$701,'Students'!$B$2:$B$701,$A15))</f>
        <v/>
      </c>
      <c r="AB15" s="49">
        <f>IF(OR($A15="",AB$4=""),"",SUMIFS('Students'!AA$2:AA$701,'Students'!$B$2:$B$701,$A15))</f>
        <v/>
      </c>
      <c r="AC15" s="49">
        <f>IF(OR($A15="",AC$4=""),"",SUMIFS('Students'!AB$2:AB$701,'Students'!$B$2:$B$701,$A15))</f>
        <v/>
      </c>
      <c r="AD15" s="49">
        <f>IF(OR($A15="",AD$4=""),"",SUMIFS('Students'!AC$2:AC$701,'Students'!$B$2:$B$701,$A15))</f>
        <v/>
      </c>
      <c r="AE15">
        <f>IFERROR(MATCH(11,'Students'!$AJ$2:$AJ$701,0),"")</f>
        <v/>
      </c>
      <c r="AF15">
        <f>IF(A15="",-1,G15+(100-ROW())/10^7)</f>
        <v/>
      </c>
      <c r="AG15">
        <f>IF($A15="",-1,ROUND(SUMIFS('Students'!$AO$2:$AO$701,'Students'!$B$2:$B$701,$A15),2))</f>
        <v/>
      </c>
      <c r="AI15">
        <f>IF($A15="",-1,IF(N($D15)=0,0,ROUND(COUNTIFS('Students'!$B$2:$B$701,$A15,'Students'!$AQ$2:$AQ$701,"&gt;="&amp;MAX(N('Settings'!$F$25),0.01))/$D15,6)))</f>
        <v/>
      </c>
      <c r="AK15">
        <f>IF($A15="",-1,IF(N($D15)=0,0,ROUND(COUNTIFS('Students'!$B$2:$B$701,$A15,'Students'!$AS$2:$AS$701,"&gt;="&amp;0.01)/$D15,6)))</f>
        <v/>
      </c>
      <c r="AV15">
        <f>IF(AI15&lt;0,-1,AI15+N($G15)/10^9+(100-ROW())/10^13)</f>
        <v/>
      </c>
      <c r="AX15">
        <f>IF(AK15&lt;0,-1,AK15+N($G15)/10^9+(100-ROW())/10^13)</f>
        <v/>
      </c>
    </row>
    <row r="16">
      <c r="A16">
        <f>IF(AE16="","",INDEX('Students'!$B$2:$B$701,AE16))</f>
        <v/>
      </c>
      <c r="B16">
        <f>IF(AE16="","",INDEX('Students'!$AN$2:$AN$701,AE16))</f>
        <v/>
      </c>
      <c r="C16">
        <f>IF(AE16="","",INDEX('Students'!$C$2:$C$701,AE16))</f>
        <v/>
      </c>
      <c r="D16">
        <f>IF(A16="","",COUNTIFS('Students'!$B$2:$B$701,A16,'Students'!$AE$2:$AE$701,1))</f>
        <v/>
      </c>
      <c r="E16">
        <f>IF(A16="","",COUNTIFS('Students'!$B$2:$B$701,A16,'Students'!$D$2:$D$701,"&gt;0"))</f>
        <v/>
      </c>
      <c r="F16" s="47">
        <f>IF(A16="","",IF(D16&gt;0,E16/D16,0))</f>
        <v/>
      </c>
      <c r="G16" s="48">
        <f>IF(A16="","",ROUND(SUMIFS('Students'!$D$2:$D$701,'Students'!$B$2:$B$701,A16),2))</f>
        <v/>
      </c>
      <c r="H16" s="48">
        <f>IF(A16="","",IF(D16&gt;0,G16/D16,0))</f>
        <v/>
      </c>
      <c r="I16">
        <f>IF(A16="","",COUNTIF($G$5:$G$44,"&gt;"&amp;G16)+1)</f>
        <v/>
      </c>
      <c r="J16" s="49">
        <f>IF(OR($A16="",J$4=""),"",SUMIFS('Students'!I$2:I$701,'Students'!$B$2:$B$701,$A16))</f>
        <v/>
      </c>
      <c r="K16" s="49">
        <f>IF(OR($A16="",K$4=""),"",SUMIFS('Students'!J$2:J$701,'Students'!$B$2:$B$701,$A16))</f>
        <v/>
      </c>
      <c r="L16" s="49">
        <f>IF(OR($A16="",L$4=""),"",SUMIFS('Students'!K$2:K$701,'Students'!$B$2:$B$701,$A16))</f>
        <v/>
      </c>
      <c r="M16" s="49">
        <f>IF(OR($A16="",M$4=""),"",SUMIFS('Students'!L$2:L$701,'Students'!$B$2:$B$701,$A16))</f>
        <v/>
      </c>
      <c r="N16" s="49">
        <f>IF(OR($A16="",N$4=""),"",SUMIFS('Students'!M$2:M$701,'Students'!$B$2:$B$701,$A16))</f>
        <v/>
      </c>
      <c r="O16" s="49">
        <f>IF(OR($A16="",O$4=""),"",SUMIFS('Students'!N$2:N$701,'Students'!$B$2:$B$701,$A16))</f>
        <v/>
      </c>
      <c r="P16" s="49">
        <f>IF(OR($A16="",P$4=""),"",SUMIFS('Students'!O$2:O$701,'Students'!$B$2:$B$701,$A16))</f>
        <v/>
      </c>
      <c r="Q16" s="49">
        <f>IF(OR($A16="",Q$4=""),"",SUMIFS('Students'!P$2:P$701,'Students'!$B$2:$B$701,$A16))</f>
        <v/>
      </c>
      <c r="R16" s="49">
        <f>IF(OR($A16="",R$4=""),"",SUMIFS('Students'!Q$2:Q$701,'Students'!$B$2:$B$701,$A16))</f>
        <v/>
      </c>
      <c r="S16" s="49">
        <f>IF(OR($A16="",S$4=""),"",SUMIFS('Students'!R$2:R$701,'Students'!$B$2:$B$701,$A16))</f>
        <v/>
      </c>
      <c r="T16" s="49">
        <f>IF(OR($A16="",T$4=""),"",SUMIFS('Students'!S$2:S$701,'Students'!$B$2:$B$701,$A16))</f>
        <v/>
      </c>
      <c r="U16" s="49">
        <f>IF(OR($A16="",U$4=""),"",SUMIFS('Students'!T$2:T$701,'Students'!$B$2:$B$701,$A16))</f>
        <v/>
      </c>
      <c r="V16" s="49">
        <f>IF(OR($A16="",V$4=""),"",SUMIFS('Students'!U$2:U$701,'Students'!$B$2:$B$701,$A16))</f>
        <v/>
      </c>
      <c r="W16" s="49">
        <f>IF(OR($A16="",W$4=""),"",SUMIFS('Students'!V$2:V$701,'Students'!$B$2:$B$701,$A16))</f>
        <v/>
      </c>
      <c r="X16" s="49">
        <f>IF(OR($A16="",X$4=""),"",SUMIFS('Students'!W$2:W$701,'Students'!$B$2:$B$701,$A16))</f>
        <v/>
      </c>
      <c r="Y16" s="49">
        <f>IF(OR($A16="",Y$4=""),"",SUMIFS('Students'!X$2:X$701,'Students'!$B$2:$B$701,$A16))</f>
        <v/>
      </c>
      <c r="Z16" s="49">
        <f>IF(OR($A16="",Z$4=""),"",SUMIFS('Students'!Y$2:Y$701,'Students'!$B$2:$B$701,$A16))</f>
        <v/>
      </c>
      <c r="AA16" s="49">
        <f>IF(OR($A16="",AA$4=""),"",SUMIFS('Students'!Z$2:Z$701,'Students'!$B$2:$B$701,$A16))</f>
        <v/>
      </c>
      <c r="AB16" s="49">
        <f>IF(OR($A16="",AB$4=""),"",SUMIFS('Students'!AA$2:AA$701,'Students'!$B$2:$B$701,$A16))</f>
        <v/>
      </c>
      <c r="AC16" s="49">
        <f>IF(OR($A16="",AC$4=""),"",SUMIFS('Students'!AB$2:AB$701,'Students'!$B$2:$B$701,$A16))</f>
        <v/>
      </c>
      <c r="AD16" s="49">
        <f>IF(OR($A16="",AD$4=""),"",SUMIFS('Students'!AC$2:AC$701,'Students'!$B$2:$B$701,$A16))</f>
        <v/>
      </c>
      <c r="AE16">
        <f>IFERROR(MATCH(12,'Students'!$AJ$2:$AJ$701,0),"")</f>
        <v/>
      </c>
      <c r="AF16">
        <f>IF(A16="",-1,G16+(100-ROW())/10^7)</f>
        <v/>
      </c>
      <c r="AG16">
        <f>IF($A16="",-1,ROUND(SUMIFS('Students'!$AO$2:$AO$701,'Students'!$B$2:$B$701,$A16),2))</f>
        <v/>
      </c>
      <c r="AI16">
        <f>IF($A16="",-1,IF(N($D16)=0,0,ROUND(COUNTIFS('Students'!$B$2:$B$701,$A16,'Students'!$AQ$2:$AQ$701,"&gt;="&amp;MAX(N('Settings'!$F$25),0.01))/$D16,6)))</f>
        <v/>
      </c>
      <c r="AK16">
        <f>IF($A16="",-1,IF(N($D16)=0,0,ROUND(COUNTIFS('Students'!$B$2:$B$701,$A16,'Students'!$AS$2:$AS$701,"&gt;="&amp;0.01)/$D16,6)))</f>
        <v/>
      </c>
      <c r="AV16">
        <f>IF(AI16&lt;0,-1,AI16+N($G16)/10^9+(100-ROW())/10^13)</f>
        <v/>
      </c>
      <c r="AX16">
        <f>IF(AK16&lt;0,-1,AK16+N($G16)/10^9+(100-ROW())/10^13)</f>
        <v/>
      </c>
    </row>
    <row r="17">
      <c r="A17">
        <f>IF(AE17="","",INDEX('Students'!$B$2:$B$701,AE17))</f>
        <v/>
      </c>
      <c r="B17">
        <f>IF(AE17="","",INDEX('Students'!$AN$2:$AN$701,AE17))</f>
        <v/>
      </c>
      <c r="C17">
        <f>IF(AE17="","",INDEX('Students'!$C$2:$C$701,AE17))</f>
        <v/>
      </c>
      <c r="D17">
        <f>IF(A17="","",COUNTIFS('Students'!$B$2:$B$701,A17,'Students'!$AE$2:$AE$701,1))</f>
        <v/>
      </c>
      <c r="E17">
        <f>IF(A17="","",COUNTIFS('Students'!$B$2:$B$701,A17,'Students'!$D$2:$D$701,"&gt;0"))</f>
        <v/>
      </c>
      <c r="F17" s="47">
        <f>IF(A17="","",IF(D17&gt;0,E17/D17,0))</f>
        <v/>
      </c>
      <c r="G17" s="48">
        <f>IF(A17="","",ROUND(SUMIFS('Students'!$D$2:$D$701,'Students'!$B$2:$B$701,A17),2))</f>
        <v/>
      </c>
      <c r="H17" s="48">
        <f>IF(A17="","",IF(D17&gt;0,G17/D17,0))</f>
        <v/>
      </c>
      <c r="I17">
        <f>IF(A17="","",COUNTIF($G$5:$G$44,"&gt;"&amp;G17)+1)</f>
        <v/>
      </c>
      <c r="J17" s="49">
        <f>IF(OR($A17="",J$4=""),"",SUMIFS('Students'!I$2:I$701,'Students'!$B$2:$B$701,$A17))</f>
        <v/>
      </c>
      <c r="K17" s="49">
        <f>IF(OR($A17="",K$4=""),"",SUMIFS('Students'!J$2:J$701,'Students'!$B$2:$B$701,$A17))</f>
        <v/>
      </c>
      <c r="L17" s="49">
        <f>IF(OR($A17="",L$4=""),"",SUMIFS('Students'!K$2:K$701,'Students'!$B$2:$B$701,$A17))</f>
        <v/>
      </c>
      <c r="M17" s="49">
        <f>IF(OR($A17="",M$4=""),"",SUMIFS('Students'!L$2:L$701,'Students'!$B$2:$B$701,$A17))</f>
        <v/>
      </c>
      <c r="N17" s="49">
        <f>IF(OR($A17="",N$4=""),"",SUMIFS('Students'!M$2:M$701,'Students'!$B$2:$B$701,$A17))</f>
        <v/>
      </c>
      <c r="O17" s="49">
        <f>IF(OR($A17="",O$4=""),"",SUMIFS('Students'!N$2:N$701,'Students'!$B$2:$B$701,$A17))</f>
        <v/>
      </c>
      <c r="P17" s="49">
        <f>IF(OR($A17="",P$4=""),"",SUMIFS('Students'!O$2:O$701,'Students'!$B$2:$B$701,$A17))</f>
        <v/>
      </c>
      <c r="Q17" s="49">
        <f>IF(OR($A17="",Q$4=""),"",SUMIFS('Students'!P$2:P$701,'Students'!$B$2:$B$701,$A17))</f>
        <v/>
      </c>
      <c r="R17" s="49">
        <f>IF(OR($A17="",R$4=""),"",SUMIFS('Students'!Q$2:Q$701,'Students'!$B$2:$B$701,$A17))</f>
        <v/>
      </c>
      <c r="S17" s="49">
        <f>IF(OR($A17="",S$4=""),"",SUMIFS('Students'!R$2:R$701,'Students'!$B$2:$B$701,$A17))</f>
        <v/>
      </c>
      <c r="T17" s="49">
        <f>IF(OR($A17="",T$4=""),"",SUMIFS('Students'!S$2:S$701,'Students'!$B$2:$B$701,$A17))</f>
        <v/>
      </c>
      <c r="U17" s="49">
        <f>IF(OR($A17="",U$4=""),"",SUMIFS('Students'!T$2:T$701,'Students'!$B$2:$B$701,$A17))</f>
        <v/>
      </c>
      <c r="V17" s="49">
        <f>IF(OR($A17="",V$4=""),"",SUMIFS('Students'!U$2:U$701,'Students'!$B$2:$B$701,$A17))</f>
        <v/>
      </c>
      <c r="W17" s="49">
        <f>IF(OR($A17="",W$4=""),"",SUMIFS('Students'!V$2:V$701,'Students'!$B$2:$B$701,$A17))</f>
        <v/>
      </c>
      <c r="X17" s="49">
        <f>IF(OR($A17="",X$4=""),"",SUMIFS('Students'!W$2:W$701,'Students'!$B$2:$B$701,$A17))</f>
        <v/>
      </c>
      <c r="Y17" s="49">
        <f>IF(OR($A17="",Y$4=""),"",SUMIFS('Students'!X$2:X$701,'Students'!$B$2:$B$701,$A17))</f>
        <v/>
      </c>
      <c r="Z17" s="49">
        <f>IF(OR($A17="",Z$4=""),"",SUMIFS('Students'!Y$2:Y$701,'Students'!$B$2:$B$701,$A17))</f>
        <v/>
      </c>
      <c r="AA17" s="49">
        <f>IF(OR($A17="",AA$4=""),"",SUMIFS('Students'!Z$2:Z$701,'Students'!$B$2:$B$701,$A17))</f>
        <v/>
      </c>
      <c r="AB17" s="49">
        <f>IF(OR($A17="",AB$4=""),"",SUMIFS('Students'!AA$2:AA$701,'Students'!$B$2:$B$701,$A17))</f>
        <v/>
      </c>
      <c r="AC17" s="49">
        <f>IF(OR($A17="",AC$4=""),"",SUMIFS('Students'!AB$2:AB$701,'Students'!$B$2:$B$701,$A17))</f>
        <v/>
      </c>
      <c r="AD17" s="49">
        <f>IF(OR($A17="",AD$4=""),"",SUMIFS('Students'!AC$2:AC$701,'Students'!$B$2:$B$701,$A17))</f>
        <v/>
      </c>
      <c r="AE17">
        <f>IFERROR(MATCH(13,'Students'!$AJ$2:$AJ$701,0),"")</f>
        <v/>
      </c>
      <c r="AF17">
        <f>IF(A17="",-1,G17+(100-ROW())/10^7)</f>
        <v/>
      </c>
      <c r="AG17">
        <f>IF($A17="",-1,ROUND(SUMIFS('Students'!$AO$2:$AO$701,'Students'!$B$2:$B$701,$A17),2))</f>
        <v/>
      </c>
      <c r="AI17">
        <f>IF($A17="",-1,IF(N($D17)=0,0,ROUND(COUNTIFS('Students'!$B$2:$B$701,$A17,'Students'!$AQ$2:$AQ$701,"&gt;="&amp;MAX(N('Settings'!$F$25),0.01))/$D17,6)))</f>
        <v/>
      </c>
      <c r="AK17">
        <f>IF($A17="",-1,IF(N($D17)=0,0,ROUND(COUNTIFS('Students'!$B$2:$B$701,$A17,'Students'!$AS$2:$AS$701,"&gt;="&amp;0.01)/$D17,6)))</f>
        <v/>
      </c>
      <c r="AV17">
        <f>IF(AI17&lt;0,-1,AI17+N($G17)/10^9+(100-ROW())/10^13)</f>
        <v/>
      </c>
      <c r="AX17">
        <f>IF(AK17&lt;0,-1,AK17+N($G17)/10^9+(100-ROW())/10^13)</f>
        <v/>
      </c>
    </row>
    <row r="18">
      <c r="A18">
        <f>IF(AE18="","",INDEX('Students'!$B$2:$B$701,AE18))</f>
        <v/>
      </c>
      <c r="B18">
        <f>IF(AE18="","",INDEX('Students'!$AN$2:$AN$701,AE18))</f>
        <v/>
      </c>
      <c r="C18">
        <f>IF(AE18="","",INDEX('Students'!$C$2:$C$701,AE18))</f>
        <v/>
      </c>
      <c r="D18">
        <f>IF(A18="","",COUNTIFS('Students'!$B$2:$B$701,A18,'Students'!$AE$2:$AE$701,1))</f>
        <v/>
      </c>
      <c r="E18">
        <f>IF(A18="","",COUNTIFS('Students'!$B$2:$B$701,A18,'Students'!$D$2:$D$701,"&gt;0"))</f>
        <v/>
      </c>
      <c r="F18" s="47">
        <f>IF(A18="","",IF(D18&gt;0,E18/D18,0))</f>
        <v/>
      </c>
      <c r="G18" s="48">
        <f>IF(A18="","",ROUND(SUMIFS('Students'!$D$2:$D$701,'Students'!$B$2:$B$701,A18),2))</f>
        <v/>
      </c>
      <c r="H18" s="48">
        <f>IF(A18="","",IF(D18&gt;0,G18/D18,0))</f>
        <v/>
      </c>
      <c r="I18">
        <f>IF(A18="","",COUNTIF($G$5:$G$44,"&gt;"&amp;G18)+1)</f>
        <v/>
      </c>
      <c r="J18" s="49">
        <f>IF(OR($A18="",J$4=""),"",SUMIFS('Students'!I$2:I$701,'Students'!$B$2:$B$701,$A18))</f>
        <v/>
      </c>
      <c r="K18" s="49">
        <f>IF(OR($A18="",K$4=""),"",SUMIFS('Students'!J$2:J$701,'Students'!$B$2:$B$701,$A18))</f>
        <v/>
      </c>
      <c r="L18" s="49">
        <f>IF(OR($A18="",L$4=""),"",SUMIFS('Students'!K$2:K$701,'Students'!$B$2:$B$701,$A18))</f>
        <v/>
      </c>
      <c r="M18" s="49">
        <f>IF(OR($A18="",M$4=""),"",SUMIFS('Students'!L$2:L$701,'Students'!$B$2:$B$701,$A18))</f>
        <v/>
      </c>
      <c r="N18" s="49">
        <f>IF(OR($A18="",N$4=""),"",SUMIFS('Students'!M$2:M$701,'Students'!$B$2:$B$701,$A18))</f>
        <v/>
      </c>
      <c r="O18" s="49">
        <f>IF(OR($A18="",O$4=""),"",SUMIFS('Students'!N$2:N$701,'Students'!$B$2:$B$701,$A18))</f>
        <v/>
      </c>
      <c r="P18" s="49">
        <f>IF(OR($A18="",P$4=""),"",SUMIFS('Students'!O$2:O$701,'Students'!$B$2:$B$701,$A18))</f>
        <v/>
      </c>
      <c r="Q18" s="49">
        <f>IF(OR($A18="",Q$4=""),"",SUMIFS('Students'!P$2:P$701,'Students'!$B$2:$B$701,$A18))</f>
        <v/>
      </c>
      <c r="R18" s="49">
        <f>IF(OR($A18="",R$4=""),"",SUMIFS('Students'!Q$2:Q$701,'Students'!$B$2:$B$701,$A18))</f>
        <v/>
      </c>
      <c r="S18" s="49">
        <f>IF(OR($A18="",S$4=""),"",SUMIFS('Students'!R$2:R$701,'Students'!$B$2:$B$701,$A18))</f>
        <v/>
      </c>
      <c r="T18" s="49">
        <f>IF(OR($A18="",T$4=""),"",SUMIFS('Students'!S$2:S$701,'Students'!$B$2:$B$701,$A18))</f>
        <v/>
      </c>
      <c r="U18" s="49">
        <f>IF(OR($A18="",U$4=""),"",SUMIFS('Students'!T$2:T$701,'Students'!$B$2:$B$701,$A18))</f>
        <v/>
      </c>
      <c r="V18" s="49">
        <f>IF(OR($A18="",V$4=""),"",SUMIFS('Students'!U$2:U$701,'Students'!$B$2:$B$701,$A18))</f>
        <v/>
      </c>
      <c r="W18" s="49">
        <f>IF(OR($A18="",W$4=""),"",SUMIFS('Students'!V$2:V$701,'Students'!$B$2:$B$701,$A18))</f>
        <v/>
      </c>
      <c r="X18" s="49">
        <f>IF(OR($A18="",X$4=""),"",SUMIFS('Students'!W$2:W$701,'Students'!$B$2:$B$701,$A18))</f>
        <v/>
      </c>
      <c r="Y18" s="49">
        <f>IF(OR($A18="",Y$4=""),"",SUMIFS('Students'!X$2:X$701,'Students'!$B$2:$B$701,$A18))</f>
        <v/>
      </c>
      <c r="Z18" s="49">
        <f>IF(OR($A18="",Z$4=""),"",SUMIFS('Students'!Y$2:Y$701,'Students'!$B$2:$B$701,$A18))</f>
        <v/>
      </c>
      <c r="AA18" s="49">
        <f>IF(OR($A18="",AA$4=""),"",SUMIFS('Students'!Z$2:Z$701,'Students'!$B$2:$B$701,$A18))</f>
        <v/>
      </c>
      <c r="AB18" s="49">
        <f>IF(OR($A18="",AB$4=""),"",SUMIFS('Students'!AA$2:AA$701,'Students'!$B$2:$B$701,$A18))</f>
        <v/>
      </c>
      <c r="AC18" s="49">
        <f>IF(OR($A18="",AC$4=""),"",SUMIFS('Students'!AB$2:AB$701,'Students'!$B$2:$B$701,$A18))</f>
        <v/>
      </c>
      <c r="AD18" s="49">
        <f>IF(OR($A18="",AD$4=""),"",SUMIFS('Students'!AC$2:AC$701,'Students'!$B$2:$B$701,$A18))</f>
        <v/>
      </c>
      <c r="AE18">
        <f>IFERROR(MATCH(14,'Students'!$AJ$2:$AJ$701,0),"")</f>
        <v/>
      </c>
      <c r="AF18">
        <f>IF(A18="",-1,G18+(100-ROW())/10^7)</f>
        <v/>
      </c>
      <c r="AG18">
        <f>IF($A18="",-1,ROUND(SUMIFS('Students'!$AO$2:$AO$701,'Students'!$B$2:$B$701,$A18),2))</f>
        <v/>
      </c>
      <c r="AI18">
        <f>IF($A18="",-1,IF(N($D18)=0,0,ROUND(COUNTIFS('Students'!$B$2:$B$701,$A18,'Students'!$AQ$2:$AQ$701,"&gt;="&amp;MAX(N('Settings'!$F$25),0.01))/$D18,6)))</f>
        <v/>
      </c>
      <c r="AK18">
        <f>IF($A18="",-1,IF(N($D18)=0,0,ROUND(COUNTIFS('Students'!$B$2:$B$701,$A18,'Students'!$AS$2:$AS$701,"&gt;="&amp;0.01)/$D18,6)))</f>
        <v/>
      </c>
      <c r="AV18">
        <f>IF(AI18&lt;0,-1,AI18+N($G18)/10^9+(100-ROW())/10^13)</f>
        <v/>
      </c>
      <c r="AX18">
        <f>IF(AK18&lt;0,-1,AK18+N($G18)/10^9+(100-ROW())/10^13)</f>
        <v/>
      </c>
    </row>
    <row r="19">
      <c r="A19">
        <f>IF(AE19="","",INDEX('Students'!$B$2:$B$701,AE19))</f>
        <v/>
      </c>
      <c r="B19">
        <f>IF(AE19="","",INDEX('Students'!$AN$2:$AN$701,AE19))</f>
        <v/>
      </c>
      <c r="C19">
        <f>IF(AE19="","",INDEX('Students'!$C$2:$C$701,AE19))</f>
        <v/>
      </c>
      <c r="D19">
        <f>IF(A19="","",COUNTIFS('Students'!$B$2:$B$701,A19,'Students'!$AE$2:$AE$701,1))</f>
        <v/>
      </c>
      <c r="E19">
        <f>IF(A19="","",COUNTIFS('Students'!$B$2:$B$701,A19,'Students'!$D$2:$D$701,"&gt;0"))</f>
        <v/>
      </c>
      <c r="F19" s="47">
        <f>IF(A19="","",IF(D19&gt;0,E19/D19,0))</f>
        <v/>
      </c>
      <c r="G19" s="48">
        <f>IF(A19="","",ROUND(SUMIFS('Students'!$D$2:$D$701,'Students'!$B$2:$B$701,A19),2))</f>
        <v/>
      </c>
      <c r="H19" s="48">
        <f>IF(A19="","",IF(D19&gt;0,G19/D19,0))</f>
        <v/>
      </c>
      <c r="I19">
        <f>IF(A19="","",COUNTIF($G$5:$G$44,"&gt;"&amp;G19)+1)</f>
        <v/>
      </c>
      <c r="J19" s="49">
        <f>IF(OR($A19="",J$4=""),"",SUMIFS('Students'!I$2:I$701,'Students'!$B$2:$B$701,$A19))</f>
        <v/>
      </c>
      <c r="K19" s="49">
        <f>IF(OR($A19="",K$4=""),"",SUMIFS('Students'!J$2:J$701,'Students'!$B$2:$B$701,$A19))</f>
        <v/>
      </c>
      <c r="L19" s="49">
        <f>IF(OR($A19="",L$4=""),"",SUMIFS('Students'!K$2:K$701,'Students'!$B$2:$B$701,$A19))</f>
        <v/>
      </c>
      <c r="M19" s="49">
        <f>IF(OR($A19="",M$4=""),"",SUMIFS('Students'!L$2:L$701,'Students'!$B$2:$B$701,$A19))</f>
        <v/>
      </c>
      <c r="N19" s="49">
        <f>IF(OR($A19="",N$4=""),"",SUMIFS('Students'!M$2:M$701,'Students'!$B$2:$B$701,$A19))</f>
        <v/>
      </c>
      <c r="O19" s="49">
        <f>IF(OR($A19="",O$4=""),"",SUMIFS('Students'!N$2:N$701,'Students'!$B$2:$B$701,$A19))</f>
        <v/>
      </c>
      <c r="P19" s="49">
        <f>IF(OR($A19="",P$4=""),"",SUMIFS('Students'!O$2:O$701,'Students'!$B$2:$B$701,$A19))</f>
        <v/>
      </c>
      <c r="Q19" s="49">
        <f>IF(OR($A19="",Q$4=""),"",SUMIFS('Students'!P$2:P$701,'Students'!$B$2:$B$701,$A19))</f>
        <v/>
      </c>
      <c r="R19" s="49">
        <f>IF(OR($A19="",R$4=""),"",SUMIFS('Students'!Q$2:Q$701,'Students'!$B$2:$B$701,$A19))</f>
        <v/>
      </c>
      <c r="S19" s="49">
        <f>IF(OR($A19="",S$4=""),"",SUMIFS('Students'!R$2:R$701,'Students'!$B$2:$B$701,$A19))</f>
        <v/>
      </c>
      <c r="T19" s="49">
        <f>IF(OR($A19="",T$4=""),"",SUMIFS('Students'!S$2:S$701,'Students'!$B$2:$B$701,$A19))</f>
        <v/>
      </c>
      <c r="U19" s="49">
        <f>IF(OR($A19="",U$4=""),"",SUMIFS('Students'!T$2:T$701,'Students'!$B$2:$B$701,$A19))</f>
        <v/>
      </c>
      <c r="V19" s="49">
        <f>IF(OR($A19="",V$4=""),"",SUMIFS('Students'!U$2:U$701,'Students'!$B$2:$B$701,$A19))</f>
        <v/>
      </c>
      <c r="W19" s="49">
        <f>IF(OR($A19="",W$4=""),"",SUMIFS('Students'!V$2:V$701,'Students'!$B$2:$B$701,$A19))</f>
        <v/>
      </c>
      <c r="X19" s="49">
        <f>IF(OR($A19="",X$4=""),"",SUMIFS('Students'!W$2:W$701,'Students'!$B$2:$B$701,$A19))</f>
        <v/>
      </c>
      <c r="Y19" s="49">
        <f>IF(OR($A19="",Y$4=""),"",SUMIFS('Students'!X$2:X$701,'Students'!$B$2:$B$701,$A19))</f>
        <v/>
      </c>
      <c r="Z19" s="49">
        <f>IF(OR($A19="",Z$4=""),"",SUMIFS('Students'!Y$2:Y$701,'Students'!$B$2:$B$701,$A19))</f>
        <v/>
      </c>
      <c r="AA19" s="49">
        <f>IF(OR($A19="",AA$4=""),"",SUMIFS('Students'!Z$2:Z$701,'Students'!$B$2:$B$701,$A19))</f>
        <v/>
      </c>
      <c r="AB19" s="49">
        <f>IF(OR($A19="",AB$4=""),"",SUMIFS('Students'!AA$2:AA$701,'Students'!$B$2:$B$701,$A19))</f>
        <v/>
      </c>
      <c r="AC19" s="49">
        <f>IF(OR($A19="",AC$4=""),"",SUMIFS('Students'!AB$2:AB$701,'Students'!$B$2:$B$701,$A19))</f>
        <v/>
      </c>
      <c r="AD19" s="49">
        <f>IF(OR($A19="",AD$4=""),"",SUMIFS('Students'!AC$2:AC$701,'Students'!$B$2:$B$701,$A19))</f>
        <v/>
      </c>
      <c r="AE19">
        <f>IFERROR(MATCH(15,'Students'!$AJ$2:$AJ$701,0),"")</f>
        <v/>
      </c>
      <c r="AF19">
        <f>IF(A19="",-1,G19+(100-ROW())/10^7)</f>
        <v/>
      </c>
      <c r="AG19">
        <f>IF($A19="",-1,ROUND(SUMIFS('Students'!$AO$2:$AO$701,'Students'!$B$2:$B$701,$A19),2))</f>
        <v/>
      </c>
      <c r="AI19">
        <f>IF($A19="",-1,IF(N($D19)=0,0,ROUND(COUNTIFS('Students'!$B$2:$B$701,$A19,'Students'!$AQ$2:$AQ$701,"&gt;="&amp;MAX(N('Settings'!$F$25),0.01))/$D19,6)))</f>
        <v/>
      </c>
      <c r="AK19">
        <f>IF($A19="",-1,IF(N($D19)=0,0,ROUND(COUNTIFS('Students'!$B$2:$B$701,$A19,'Students'!$AS$2:$AS$701,"&gt;="&amp;0.01)/$D19,6)))</f>
        <v/>
      </c>
      <c r="AV19">
        <f>IF(AI19&lt;0,-1,AI19+N($G19)/10^9+(100-ROW())/10^13)</f>
        <v/>
      </c>
      <c r="AX19">
        <f>IF(AK19&lt;0,-1,AK19+N($G19)/10^9+(100-ROW())/10^13)</f>
        <v/>
      </c>
    </row>
    <row r="20">
      <c r="A20">
        <f>IF(AE20="","",INDEX('Students'!$B$2:$B$701,AE20))</f>
        <v/>
      </c>
      <c r="B20">
        <f>IF(AE20="","",INDEX('Students'!$AN$2:$AN$701,AE20))</f>
        <v/>
      </c>
      <c r="C20">
        <f>IF(AE20="","",INDEX('Students'!$C$2:$C$701,AE20))</f>
        <v/>
      </c>
      <c r="D20">
        <f>IF(A20="","",COUNTIFS('Students'!$B$2:$B$701,A20,'Students'!$AE$2:$AE$701,1))</f>
        <v/>
      </c>
      <c r="E20">
        <f>IF(A20="","",COUNTIFS('Students'!$B$2:$B$701,A20,'Students'!$D$2:$D$701,"&gt;0"))</f>
        <v/>
      </c>
      <c r="F20" s="47">
        <f>IF(A20="","",IF(D20&gt;0,E20/D20,0))</f>
        <v/>
      </c>
      <c r="G20" s="48">
        <f>IF(A20="","",ROUND(SUMIFS('Students'!$D$2:$D$701,'Students'!$B$2:$B$701,A20),2))</f>
        <v/>
      </c>
      <c r="H20" s="48">
        <f>IF(A20="","",IF(D20&gt;0,G20/D20,0))</f>
        <v/>
      </c>
      <c r="I20">
        <f>IF(A20="","",COUNTIF($G$5:$G$44,"&gt;"&amp;G20)+1)</f>
        <v/>
      </c>
      <c r="J20" s="49">
        <f>IF(OR($A20="",J$4=""),"",SUMIFS('Students'!I$2:I$701,'Students'!$B$2:$B$701,$A20))</f>
        <v/>
      </c>
      <c r="K20" s="49">
        <f>IF(OR($A20="",K$4=""),"",SUMIFS('Students'!J$2:J$701,'Students'!$B$2:$B$701,$A20))</f>
        <v/>
      </c>
      <c r="L20" s="49">
        <f>IF(OR($A20="",L$4=""),"",SUMIFS('Students'!K$2:K$701,'Students'!$B$2:$B$701,$A20))</f>
        <v/>
      </c>
      <c r="M20" s="49">
        <f>IF(OR($A20="",M$4=""),"",SUMIFS('Students'!L$2:L$701,'Students'!$B$2:$B$701,$A20))</f>
        <v/>
      </c>
      <c r="N20" s="49">
        <f>IF(OR($A20="",N$4=""),"",SUMIFS('Students'!M$2:M$701,'Students'!$B$2:$B$701,$A20))</f>
        <v/>
      </c>
      <c r="O20" s="49">
        <f>IF(OR($A20="",O$4=""),"",SUMIFS('Students'!N$2:N$701,'Students'!$B$2:$B$701,$A20))</f>
        <v/>
      </c>
      <c r="P20" s="49">
        <f>IF(OR($A20="",P$4=""),"",SUMIFS('Students'!O$2:O$701,'Students'!$B$2:$B$701,$A20))</f>
        <v/>
      </c>
      <c r="Q20" s="49">
        <f>IF(OR($A20="",Q$4=""),"",SUMIFS('Students'!P$2:P$701,'Students'!$B$2:$B$701,$A20))</f>
        <v/>
      </c>
      <c r="R20" s="49">
        <f>IF(OR($A20="",R$4=""),"",SUMIFS('Students'!Q$2:Q$701,'Students'!$B$2:$B$701,$A20))</f>
        <v/>
      </c>
      <c r="S20" s="49">
        <f>IF(OR($A20="",S$4=""),"",SUMIFS('Students'!R$2:R$701,'Students'!$B$2:$B$701,$A20))</f>
        <v/>
      </c>
      <c r="T20" s="49">
        <f>IF(OR($A20="",T$4=""),"",SUMIFS('Students'!S$2:S$701,'Students'!$B$2:$B$701,$A20))</f>
        <v/>
      </c>
      <c r="U20" s="49">
        <f>IF(OR($A20="",U$4=""),"",SUMIFS('Students'!T$2:T$701,'Students'!$B$2:$B$701,$A20))</f>
        <v/>
      </c>
      <c r="V20" s="49">
        <f>IF(OR($A20="",V$4=""),"",SUMIFS('Students'!U$2:U$701,'Students'!$B$2:$B$701,$A20))</f>
        <v/>
      </c>
      <c r="W20" s="49">
        <f>IF(OR($A20="",W$4=""),"",SUMIFS('Students'!V$2:V$701,'Students'!$B$2:$B$701,$A20))</f>
        <v/>
      </c>
      <c r="X20" s="49">
        <f>IF(OR($A20="",X$4=""),"",SUMIFS('Students'!W$2:W$701,'Students'!$B$2:$B$701,$A20))</f>
        <v/>
      </c>
      <c r="Y20" s="49">
        <f>IF(OR($A20="",Y$4=""),"",SUMIFS('Students'!X$2:X$701,'Students'!$B$2:$B$701,$A20))</f>
        <v/>
      </c>
      <c r="Z20" s="49">
        <f>IF(OR($A20="",Z$4=""),"",SUMIFS('Students'!Y$2:Y$701,'Students'!$B$2:$B$701,$A20))</f>
        <v/>
      </c>
      <c r="AA20" s="49">
        <f>IF(OR($A20="",AA$4=""),"",SUMIFS('Students'!Z$2:Z$701,'Students'!$B$2:$B$701,$A20))</f>
        <v/>
      </c>
      <c r="AB20" s="49">
        <f>IF(OR($A20="",AB$4=""),"",SUMIFS('Students'!AA$2:AA$701,'Students'!$B$2:$B$701,$A20))</f>
        <v/>
      </c>
      <c r="AC20" s="49">
        <f>IF(OR($A20="",AC$4=""),"",SUMIFS('Students'!AB$2:AB$701,'Students'!$B$2:$B$701,$A20))</f>
        <v/>
      </c>
      <c r="AD20" s="49">
        <f>IF(OR($A20="",AD$4=""),"",SUMIFS('Students'!AC$2:AC$701,'Students'!$B$2:$B$701,$A20))</f>
        <v/>
      </c>
      <c r="AE20">
        <f>IFERROR(MATCH(16,'Students'!$AJ$2:$AJ$701,0),"")</f>
        <v/>
      </c>
      <c r="AF20">
        <f>IF(A20="",-1,G20+(100-ROW())/10^7)</f>
        <v/>
      </c>
      <c r="AG20">
        <f>IF($A20="",-1,ROUND(SUMIFS('Students'!$AO$2:$AO$701,'Students'!$B$2:$B$701,$A20),2))</f>
        <v/>
      </c>
      <c r="AI20">
        <f>IF($A20="",-1,IF(N($D20)=0,0,ROUND(COUNTIFS('Students'!$B$2:$B$701,$A20,'Students'!$AQ$2:$AQ$701,"&gt;="&amp;MAX(N('Settings'!$F$25),0.01))/$D20,6)))</f>
        <v/>
      </c>
      <c r="AK20">
        <f>IF($A20="",-1,IF(N($D20)=0,0,ROUND(COUNTIFS('Students'!$B$2:$B$701,$A20,'Students'!$AS$2:$AS$701,"&gt;="&amp;0.01)/$D20,6)))</f>
        <v/>
      </c>
      <c r="AV20">
        <f>IF(AI20&lt;0,-1,AI20+N($G20)/10^9+(100-ROW())/10^13)</f>
        <v/>
      </c>
      <c r="AX20">
        <f>IF(AK20&lt;0,-1,AK20+N($G20)/10^9+(100-ROW())/10^13)</f>
        <v/>
      </c>
    </row>
    <row r="21">
      <c r="A21">
        <f>IF(AE21="","",INDEX('Students'!$B$2:$B$701,AE21))</f>
        <v/>
      </c>
      <c r="B21">
        <f>IF(AE21="","",INDEX('Students'!$AN$2:$AN$701,AE21))</f>
        <v/>
      </c>
      <c r="C21">
        <f>IF(AE21="","",INDEX('Students'!$C$2:$C$701,AE21))</f>
        <v/>
      </c>
      <c r="D21">
        <f>IF(A21="","",COUNTIFS('Students'!$B$2:$B$701,A21,'Students'!$AE$2:$AE$701,1))</f>
        <v/>
      </c>
      <c r="E21">
        <f>IF(A21="","",COUNTIFS('Students'!$B$2:$B$701,A21,'Students'!$D$2:$D$701,"&gt;0"))</f>
        <v/>
      </c>
      <c r="F21" s="47">
        <f>IF(A21="","",IF(D21&gt;0,E21/D21,0))</f>
        <v/>
      </c>
      <c r="G21" s="48">
        <f>IF(A21="","",ROUND(SUMIFS('Students'!$D$2:$D$701,'Students'!$B$2:$B$701,A21),2))</f>
        <v/>
      </c>
      <c r="H21" s="48">
        <f>IF(A21="","",IF(D21&gt;0,G21/D21,0))</f>
        <v/>
      </c>
      <c r="I21">
        <f>IF(A21="","",COUNTIF($G$5:$G$44,"&gt;"&amp;G21)+1)</f>
        <v/>
      </c>
      <c r="J21" s="49">
        <f>IF(OR($A21="",J$4=""),"",SUMIFS('Students'!I$2:I$701,'Students'!$B$2:$B$701,$A21))</f>
        <v/>
      </c>
      <c r="K21" s="49">
        <f>IF(OR($A21="",K$4=""),"",SUMIFS('Students'!J$2:J$701,'Students'!$B$2:$B$701,$A21))</f>
        <v/>
      </c>
      <c r="L21" s="49">
        <f>IF(OR($A21="",L$4=""),"",SUMIFS('Students'!K$2:K$701,'Students'!$B$2:$B$701,$A21))</f>
        <v/>
      </c>
      <c r="M21" s="49">
        <f>IF(OR($A21="",M$4=""),"",SUMIFS('Students'!L$2:L$701,'Students'!$B$2:$B$701,$A21))</f>
        <v/>
      </c>
      <c r="N21" s="49">
        <f>IF(OR($A21="",N$4=""),"",SUMIFS('Students'!M$2:M$701,'Students'!$B$2:$B$701,$A21))</f>
        <v/>
      </c>
      <c r="O21" s="49">
        <f>IF(OR($A21="",O$4=""),"",SUMIFS('Students'!N$2:N$701,'Students'!$B$2:$B$701,$A21))</f>
        <v/>
      </c>
      <c r="P21" s="49">
        <f>IF(OR($A21="",P$4=""),"",SUMIFS('Students'!O$2:O$701,'Students'!$B$2:$B$701,$A21))</f>
        <v/>
      </c>
      <c r="Q21" s="49">
        <f>IF(OR($A21="",Q$4=""),"",SUMIFS('Students'!P$2:P$701,'Students'!$B$2:$B$701,$A21))</f>
        <v/>
      </c>
      <c r="R21" s="49">
        <f>IF(OR($A21="",R$4=""),"",SUMIFS('Students'!Q$2:Q$701,'Students'!$B$2:$B$701,$A21))</f>
        <v/>
      </c>
      <c r="S21" s="49">
        <f>IF(OR($A21="",S$4=""),"",SUMIFS('Students'!R$2:R$701,'Students'!$B$2:$B$701,$A21))</f>
        <v/>
      </c>
      <c r="T21" s="49">
        <f>IF(OR($A21="",T$4=""),"",SUMIFS('Students'!S$2:S$701,'Students'!$B$2:$B$701,$A21))</f>
        <v/>
      </c>
      <c r="U21" s="49">
        <f>IF(OR($A21="",U$4=""),"",SUMIFS('Students'!T$2:T$701,'Students'!$B$2:$B$701,$A21))</f>
        <v/>
      </c>
      <c r="V21" s="49">
        <f>IF(OR($A21="",V$4=""),"",SUMIFS('Students'!U$2:U$701,'Students'!$B$2:$B$701,$A21))</f>
        <v/>
      </c>
      <c r="W21" s="49">
        <f>IF(OR($A21="",W$4=""),"",SUMIFS('Students'!V$2:V$701,'Students'!$B$2:$B$701,$A21))</f>
        <v/>
      </c>
      <c r="X21" s="49">
        <f>IF(OR($A21="",X$4=""),"",SUMIFS('Students'!W$2:W$701,'Students'!$B$2:$B$701,$A21))</f>
        <v/>
      </c>
      <c r="Y21" s="49">
        <f>IF(OR($A21="",Y$4=""),"",SUMIFS('Students'!X$2:X$701,'Students'!$B$2:$B$701,$A21))</f>
        <v/>
      </c>
      <c r="Z21" s="49">
        <f>IF(OR($A21="",Z$4=""),"",SUMIFS('Students'!Y$2:Y$701,'Students'!$B$2:$B$701,$A21))</f>
        <v/>
      </c>
      <c r="AA21" s="49">
        <f>IF(OR($A21="",AA$4=""),"",SUMIFS('Students'!Z$2:Z$701,'Students'!$B$2:$B$701,$A21))</f>
        <v/>
      </c>
      <c r="AB21" s="49">
        <f>IF(OR($A21="",AB$4=""),"",SUMIFS('Students'!AA$2:AA$701,'Students'!$B$2:$B$701,$A21))</f>
        <v/>
      </c>
      <c r="AC21" s="49">
        <f>IF(OR($A21="",AC$4=""),"",SUMIFS('Students'!AB$2:AB$701,'Students'!$B$2:$B$701,$A21))</f>
        <v/>
      </c>
      <c r="AD21" s="49">
        <f>IF(OR($A21="",AD$4=""),"",SUMIFS('Students'!AC$2:AC$701,'Students'!$B$2:$B$701,$A21))</f>
        <v/>
      </c>
      <c r="AE21">
        <f>IFERROR(MATCH(17,'Students'!$AJ$2:$AJ$701,0),"")</f>
        <v/>
      </c>
      <c r="AF21">
        <f>IF(A21="",-1,G21+(100-ROW())/10^7)</f>
        <v/>
      </c>
      <c r="AG21">
        <f>IF($A21="",-1,ROUND(SUMIFS('Students'!$AO$2:$AO$701,'Students'!$B$2:$B$701,$A21),2))</f>
        <v/>
      </c>
      <c r="AI21">
        <f>IF($A21="",-1,IF(N($D21)=0,0,ROUND(COUNTIFS('Students'!$B$2:$B$701,$A21,'Students'!$AQ$2:$AQ$701,"&gt;="&amp;MAX(N('Settings'!$F$25),0.01))/$D21,6)))</f>
        <v/>
      </c>
      <c r="AK21">
        <f>IF($A21="",-1,IF(N($D21)=0,0,ROUND(COUNTIFS('Students'!$B$2:$B$701,$A21,'Students'!$AS$2:$AS$701,"&gt;="&amp;0.01)/$D21,6)))</f>
        <v/>
      </c>
      <c r="AV21">
        <f>IF(AI21&lt;0,-1,AI21+N($G21)/10^9+(100-ROW())/10^13)</f>
        <v/>
      </c>
      <c r="AX21">
        <f>IF(AK21&lt;0,-1,AK21+N($G21)/10^9+(100-ROW())/10^13)</f>
        <v/>
      </c>
    </row>
    <row r="22">
      <c r="A22">
        <f>IF(AE22="","",INDEX('Students'!$B$2:$B$701,AE22))</f>
        <v/>
      </c>
      <c r="B22">
        <f>IF(AE22="","",INDEX('Students'!$AN$2:$AN$701,AE22))</f>
        <v/>
      </c>
      <c r="C22">
        <f>IF(AE22="","",INDEX('Students'!$C$2:$C$701,AE22))</f>
        <v/>
      </c>
      <c r="D22">
        <f>IF(A22="","",COUNTIFS('Students'!$B$2:$B$701,A22,'Students'!$AE$2:$AE$701,1))</f>
        <v/>
      </c>
      <c r="E22">
        <f>IF(A22="","",COUNTIFS('Students'!$B$2:$B$701,A22,'Students'!$D$2:$D$701,"&gt;0"))</f>
        <v/>
      </c>
      <c r="F22" s="47">
        <f>IF(A22="","",IF(D22&gt;0,E22/D22,0))</f>
        <v/>
      </c>
      <c r="G22" s="48">
        <f>IF(A22="","",ROUND(SUMIFS('Students'!$D$2:$D$701,'Students'!$B$2:$B$701,A22),2))</f>
        <v/>
      </c>
      <c r="H22" s="48">
        <f>IF(A22="","",IF(D22&gt;0,G22/D22,0))</f>
        <v/>
      </c>
      <c r="I22">
        <f>IF(A22="","",COUNTIF($G$5:$G$44,"&gt;"&amp;G22)+1)</f>
        <v/>
      </c>
      <c r="J22" s="49">
        <f>IF(OR($A22="",J$4=""),"",SUMIFS('Students'!I$2:I$701,'Students'!$B$2:$B$701,$A22))</f>
        <v/>
      </c>
      <c r="K22" s="49">
        <f>IF(OR($A22="",K$4=""),"",SUMIFS('Students'!J$2:J$701,'Students'!$B$2:$B$701,$A22))</f>
        <v/>
      </c>
      <c r="L22" s="49">
        <f>IF(OR($A22="",L$4=""),"",SUMIFS('Students'!K$2:K$701,'Students'!$B$2:$B$701,$A22))</f>
        <v/>
      </c>
      <c r="M22" s="49">
        <f>IF(OR($A22="",M$4=""),"",SUMIFS('Students'!L$2:L$701,'Students'!$B$2:$B$701,$A22))</f>
        <v/>
      </c>
      <c r="N22" s="49">
        <f>IF(OR($A22="",N$4=""),"",SUMIFS('Students'!M$2:M$701,'Students'!$B$2:$B$701,$A22))</f>
        <v/>
      </c>
      <c r="O22" s="49">
        <f>IF(OR($A22="",O$4=""),"",SUMIFS('Students'!N$2:N$701,'Students'!$B$2:$B$701,$A22))</f>
        <v/>
      </c>
      <c r="P22" s="49">
        <f>IF(OR($A22="",P$4=""),"",SUMIFS('Students'!O$2:O$701,'Students'!$B$2:$B$701,$A22))</f>
        <v/>
      </c>
      <c r="Q22" s="49">
        <f>IF(OR($A22="",Q$4=""),"",SUMIFS('Students'!P$2:P$701,'Students'!$B$2:$B$701,$A22))</f>
        <v/>
      </c>
      <c r="R22" s="49">
        <f>IF(OR($A22="",R$4=""),"",SUMIFS('Students'!Q$2:Q$701,'Students'!$B$2:$B$701,$A22))</f>
        <v/>
      </c>
      <c r="S22" s="49">
        <f>IF(OR($A22="",S$4=""),"",SUMIFS('Students'!R$2:R$701,'Students'!$B$2:$B$701,$A22))</f>
        <v/>
      </c>
      <c r="T22" s="49">
        <f>IF(OR($A22="",T$4=""),"",SUMIFS('Students'!S$2:S$701,'Students'!$B$2:$B$701,$A22))</f>
        <v/>
      </c>
      <c r="U22" s="49">
        <f>IF(OR($A22="",U$4=""),"",SUMIFS('Students'!T$2:T$701,'Students'!$B$2:$B$701,$A22))</f>
        <v/>
      </c>
      <c r="V22" s="49">
        <f>IF(OR($A22="",V$4=""),"",SUMIFS('Students'!U$2:U$701,'Students'!$B$2:$B$701,$A22))</f>
        <v/>
      </c>
      <c r="W22" s="49">
        <f>IF(OR($A22="",W$4=""),"",SUMIFS('Students'!V$2:V$701,'Students'!$B$2:$B$701,$A22))</f>
        <v/>
      </c>
      <c r="X22" s="49">
        <f>IF(OR($A22="",X$4=""),"",SUMIFS('Students'!W$2:W$701,'Students'!$B$2:$B$701,$A22))</f>
        <v/>
      </c>
      <c r="Y22" s="49">
        <f>IF(OR($A22="",Y$4=""),"",SUMIFS('Students'!X$2:X$701,'Students'!$B$2:$B$701,$A22))</f>
        <v/>
      </c>
      <c r="Z22" s="49">
        <f>IF(OR($A22="",Z$4=""),"",SUMIFS('Students'!Y$2:Y$701,'Students'!$B$2:$B$701,$A22))</f>
        <v/>
      </c>
      <c r="AA22" s="49">
        <f>IF(OR($A22="",AA$4=""),"",SUMIFS('Students'!Z$2:Z$701,'Students'!$B$2:$B$701,$A22))</f>
        <v/>
      </c>
      <c r="AB22" s="49">
        <f>IF(OR($A22="",AB$4=""),"",SUMIFS('Students'!AA$2:AA$701,'Students'!$B$2:$B$701,$A22))</f>
        <v/>
      </c>
      <c r="AC22" s="49">
        <f>IF(OR($A22="",AC$4=""),"",SUMIFS('Students'!AB$2:AB$701,'Students'!$B$2:$B$701,$A22))</f>
        <v/>
      </c>
      <c r="AD22" s="49">
        <f>IF(OR($A22="",AD$4=""),"",SUMIFS('Students'!AC$2:AC$701,'Students'!$B$2:$B$701,$A22))</f>
        <v/>
      </c>
      <c r="AE22">
        <f>IFERROR(MATCH(18,'Students'!$AJ$2:$AJ$701,0),"")</f>
        <v/>
      </c>
      <c r="AF22">
        <f>IF(A22="",-1,G22+(100-ROW())/10^7)</f>
        <v/>
      </c>
      <c r="AG22">
        <f>IF($A22="",-1,ROUND(SUMIFS('Students'!$AO$2:$AO$701,'Students'!$B$2:$B$701,$A22),2))</f>
        <v/>
      </c>
      <c r="AI22">
        <f>IF($A22="",-1,IF(N($D22)=0,0,ROUND(COUNTIFS('Students'!$B$2:$B$701,$A22,'Students'!$AQ$2:$AQ$701,"&gt;="&amp;MAX(N('Settings'!$F$25),0.01))/$D22,6)))</f>
        <v/>
      </c>
      <c r="AK22">
        <f>IF($A22="",-1,IF(N($D22)=0,0,ROUND(COUNTIFS('Students'!$B$2:$B$701,$A22,'Students'!$AS$2:$AS$701,"&gt;="&amp;0.01)/$D22,6)))</f>
        <v/>
      </c>
      <c r="AV22">
        <f>IF(AI22&lt;0,-1,AI22+N($G22)/10^9+(100-ROW())/10^13)</f>
        <v/>
      </c>
      <c r="AX22">
        <f>IF(AK22&lt;0,-1,AK22+N($G22)/10^9+(100-ROW())/10^13)</f>
        <v/>
      </c>
    </row>
    <row r="23">
      <c r="A23">
        <f>IF(AE23="","",INDEX('Students'!$B$2:$B$701,AE23))</f>
        <v/>
      </c>
      <c r="B23">
        <f>IF(AE23="","",INDEX('Students'!$AN$2:$AN$701,AE23))</f>
        <v/>
      </c>
      <c r="C23">
        <f>IF(AE23="","",INDEX('Students'!$C$2:$C$701,AE23))</f>
        <v/>
      </c>
      <c r="D23">
        <f>IF(A23="","",COUNTIFS('Students'!$B$2:$B$701,A23,'Students'!$AE$2:$AE$701,1))</f>
        <v/>
      </c>
      <c r="E23">
        <f>IF(A23="","",COUNTIFS('Students'!$B$2:$B$701,A23,'Students'!$D$2:$D$701,"&gt;0"))</f>
        <v/>
      </c>
      <c r="F23" s="47">
        <f>IF(A23="","",IF(D23&gt;0,E23/D23,0))</f>
        <v/>
      </c>
      <c r="G23" s="48">
        <f>IF(A23="","",ROUND(SUMIFS('Students'!$D$2:$D$701,'Students'!$B$2:$B$701,A23),2))</f>
        <v/>
      </c>
      <c r="H23" s="48">
        <f>IF(A23="","",IF(D23&gt;0,G23/D23,0))</f>
        <v/>
      </c>
      <c r="I23">
        <f>IF(A23="","",COUNTIF($G$5:$G$44,"&gt;"&amp;G23)+1)</f>
        <v/>
      </c>
      <c r="J23" s="49">
        <f>IF(OR($A23="",J$4=""),"",SUMIFS('Students'!I$2:I$701,'Students'!$B$2:$B$701,$A23))</f>
        <v/>
      </c>
      <c r="K23" s="49">
        <f>IF(OR($A23="",K$4=""),"",SUMIFS('Students'!J$2:J$701,'Students'!$B$2:$B$701,$A23))</f>
        <v/>
      </c>
      <c r="L23" s="49">
        <f>IF(OR($A23="",L$4=""),"",SUMIFS('Students'!K$2:K$701,'Students'!$B$2:$B$701,$A23))</f>
        <v/>
      </c>
      <c r="M23" s="49">
        <f>IF(OR($A23="",M$4=""),"",SUMIFS('Students'!L$2:L$701,'Students'!$B$2:$B$701,$A23))</f>
        <v/>
      </c>
      <c r="N23" s="49">
        <f>IF(OR($A23="",N$4=""),"",SUMIFS('Students'!M$2:M$701,'Students'!$B$2:$B$701,$A23))</f>
        <v/>
      </c>
      <c r="O23" s="49">
        <f>IF(OR($A23="",O$4=""),"",SUMIFS('Students'!N$2:N$701,'Students'!$B$2:$B$701,$A23))</f>
        <v/>
      </c>
      <c r="P23" s="49">
        <f>IF(OR($A23="",P$4=""),"",SUMIFS('Students'!O$2:O$701,'Students'!$B$2:$B$701,$A23))</f>
        <v/>
      </c>
      <c r="Q23" s="49">
        <f>IF(OR($A23="",Q$4=""),"",SUMIFS('Students'!P$2:P$701,'Students'!$B$2:$B$701,$A23))</f>
        <v/>
      </c>
      <c r="R23" s="49">
        <f>IF(OR($A23="",R$4=""),"",SUMIFS('Students'!Q$2:Q$701,'Students'!$B$2:$B$701,$A23))</f>
        <v/>
      </c>
      <c r="S23" s="49">
        <f>IF(OR($A23="",S$4=""),"",SUMIFS('Students'!R$2:R$701,'Students'!$B$2:$B$701,$A23))</f>
        <v/>
      </c>
      <c r="T23" s="49">
        <f>IF(OR($A23="",T$4=""),"",SUMIFS('Students'!S$2:S$701,'Students'!$B$2:$B$701,$A23))</f>
        <v/>
      </c>
      <c r="U23" s="49">
        <f>IF(OR($A23="",U$4=""),"",SUMIFS('Students'!T$2:T$701,'Students'!$B$2:$B$701,$A23))</f>
        <v/>
      </c>
      <c r="V23" s="49">
        <f>IF(OR($A23="",V$4=""),"",SUMIFS('Students'!U$2:U$701,'Students'!$B$2:$B$701,$A23))</f>
        <v/>
      </c>
      <c r="W23" s="49">
        <f>IF(OR($A23="",W$4=""),"",SUMIFS('Students'!V$2:V$701,'Students'!$B$2:$B$701,$A23))</f>
        <v/>
      </c>
      <c r="X23" s="49">
        <f>IF(OR($A23="",X$4=""),"",SUMIFS('Students'!W$2:W$701,'Students'!$B$2:$B$701,$A23))</f>
        <v/>
      </c>
      <c r="Y23" s="49">
        <f>IF(OR($A23="",Y$4=""),"",SUMIFS('Students'!X$2:X$701,'Students'!$B$2:$B$701,$A23))</f>
        <v/>
      </c>
      <c r="Z23" s="49">
        <f>IF(OR($A23="",Z$4=""),"",SUMIFS('Students'!Y$2:Y$701,'Students'!$B$2:$B$701,$A23))</f>
        <v/>
      </c>
      <c r="AA23" s="49">
        <f>IF(OR($A23="",AA$4=""),"",SUMIFS('Students'!Z$2:Z$701,'Students'!$B$2:$B$701,$A23))</f>
        <v/>
      </c>
      <c r="AB23" s="49">
        <f>IF(OR($A23="",AB$4=""),"",SUMIFS('Students'!AA$2:AA$701,'Students'!$B$2:$B$701,$A23))</f>
        <v/>
      </c>
      <c r="AC23" s="49">
        <f>IF(OR($A23="",AC$4=""),"",SUMIFS('Students'!AB$2:AB$701,'Students'!$B$2:$B$701,$A23))</f>
        <v/>
      </c>
      <c r="AD23" s="49">
        <f>IF(OR($A23="",AD$4=""),"",SUMIFS('Students'!AC$2:AC$701,'Students'!$B$2:$B$701,$A23))</f>
        <v/>
      </c>
      <c r="AE23">
        <f>IFERROR(MATCH(19,'Students'!$AJ$2:$AJ$701,0),"")</f>
        <v/>
      </c>
      <c r="AF23">
        <f>IF(A23="",-1,G23+(100-ROW())/10^7)</f>
        <v/>
      </c>
      <c r="AG23">
        <f>IF($A23="",-1,ROUND(SUMIFS('Students'!$AO$2:$AO$701,'Students'!$B$2:$B$701,$A23),2))</f>
        <v/>
      </c>
      <c r="AI23">
        <f>IF($A23="",-1,IF(N($D23)=0,0,ROUND(COUNTIFS('Students'!$B$2:$B$701,$A23,'Students'!$AQ$2:$AQ$701,"&gt;="&amp;MAX(N('Settings'!$F$25),0.01))/$D23,6)))</f>
        <v/>
      </c>
      <c r="AK23">
        <f>IF($A23="",-1,IF(N($D23)=0,0,ROUND(COUNTIFS('Students'!$B$2:$B$701,$A23,'Students'!$AS$2:$AS$701,"&gt;="&amp;0.01)/$D23,6)))</f>
        <v/>
      </c>
      <c r="AV23">
        <f>IF(AI23&lt;0,-1,AI23+N($G23)/10^9+(100-ROW())/10^13)</f>
        <v/>
      </c>
      <c r="AX23">
        <f>IF(AK23&lt;0,-1,AK23+N($G23)/10^9+(100-ROW())/10^13)</f>
        <v/>
      </c>
    </row>
    <row r="24">
      <c r="A24">
        <f>IF(AE24="","",INDEX('Students'!$B$2:$B$701,AE24))</f>
        <v/>
      </c>
      <c r="B24">
        <f>IF(AE24="","",INDEX('Students'!$AN$2:$AN$701,AE24))</f>
        <v/>
      </c>
      <c r="C24">
        <f>IF(AE24="","",INDEX('Students'!$C$2:$C$701,AE24))</f>
        <v/>
      </c>
      <c r="D24">
        <f>IF(A24="","",COUNTIFS('Students'!$B$2:$B$701,A24,'Students'!$AE$2:$AE$701,1))</f>
        <v/>
      </c>
      <c r="E24">
        <f>IF(A24="","",COUNTIFS('Students'!$B$2:$B$701,A24,'Students'!$D$2:$D$701,"&gt;0"))</f>
        <v/>
      </c>
      <c r="F24" s="47">
        <f>IF(A24="","",IF(D24&gt;0,E24/D24,0))</f>
        <v/>
      </c>
      <c r="G24" s="48">
        <f>IF(A24="","",ROUND(SUMIFS('Students'!$D$2:$D$701,'Students'!$B$2:$B$701,A24),2))</f>
        <v/>
      </c>
      <c r="H24" s="48">
        <f>IF(A24="","",IF(D24&gt;0,G24/D24,0))</f>
        <v/>
      </c>
      <c r="I24">
        <f>IF(A24="","",COUNTIF($G$5:$G$44,"&gt;"&amp;G24)+1)</f>
        <v/>
      </c>
      <c r="J24" s="49">
        <f>IF(OR($A24="",J$4=""),"",SUMIFS('Students'!I$2:I$701,'Students'!$B$2:$B$701,$A24))</f>
        <v/>
      </c>
      <c r="K24" s="49">
        <f>IF(OR($A24="",K$4=""),"",SUMIFS('Students'!J$2:J$701,'Students'!$B$2:$B$701,$A24))</f>
        <v/>
      </c>
      <c r="L24" s="49">
        <f>IF(OR($A24="",L$4=""),"",SUMIFS('Students'!K$2:K$701,'Students'!$B$2:$B$701,$A24))</f>
        <v/>
      </c>
      <c r="M24" s="49">
        <f>IF(OR($A24="",M$4=""),"",SUMIFS('Students'!L$2:L$701,'Students'!$B$2:$B$701,$A24))</f>
        <v/>
      </c>
      <c r="N24" s="49">
        <f>IF(OR($A24="",N$4=""),"",SUMIFS('Students'!M$2:M$701,'Students'!$B$2:$B$701,$A24))</f>
        <v/>
      </c>
      <c r="O24" s="49">
        <f>IF(OR($A24="",O$4=""),"",SUMIFS('Students'!N$2:N$701,'Students'!$B$2:$B$701,$A24))</f>
        <v/>
      </c>
      <c r="P24" s="49">
        <f>IF(OR($A24="",P$4=""),"",SUMIFS('Students'!O$2:O$701,'Students'!$B$2:$B$701,$A24))</f>
        <v/>
      </c>
      <c r="Q24" s="49">
        <f>IF(OR($A24="",Q$4=""),"",SUMIFS('Students'!P$2:P$701,'Students'!$B$2:$B$701,$A24))</f>
        <v/>
      </c>
      <c r="R24" s="49">
        <f>IF(OR($A24="",R$4=""),"",SUMIFS('Students'!Q$2:Q$701,'Students'!$B$2:$B$701,$A24))</f>
        <v/>
      </c>
      <c r="S24" s="49">
        <f>IF(OR($A24="",S$4=""),"",SUMIFS('Students'!R$2:R$701,'Students'!$B$2:$B$701,$A24))</f>
        <v/>
      </c>
      <c r="T24" s="49">
        <f>IF(OR($A24="",T$4=""),"",SUMIFS('Students'!S$2:S$701,'Students'!$B$2:$B$701,$A24))</f>
        <v/>
      </c>
      <c r="U24" s="49">
        <f>IF(OR($A24="",U$4=""),"",SUMIFS('Students'!T$2:T$701,'Students'!$B$2:$B$701,$A24))</f>
        <v/>
      </c>
      <c r="V24" s="49">
        <f>IF(OR($A24="",V$4=""),"",SUMIFS('Students'!U$2:U$701,'Students'!$B$2:$B$701,$A24))</f>
        <v/>
      </c>
      <c r="W24" s="49">
        <f>IF(OR($A24="",W$4=""),"",SUMIFS('Students'!V$2:V$701,'Students'!$B$2:$B$701,$A24))</f>
        <v/>
      </c>
      <c r="X24" s="49">
        <f>IF(OR($A24="",X$4=""),"",SUMIFS('Students'!W$2:W$701,'Students'!$B$2:$B$701,$A24))</f>
        <v/>
      </c>
      <c r="Y24" s="49">
        <f>IF(OR($A24="",Y$4=""),"",SUMIFS('Students'!X$2:X$701,'Students'!$B$2:$B$701,$A24))</f>
        <v/>
      </c>
      <c r="Z24" s="49">
        <f>IF(OR($A24="",Z$4=""),"",SUMIFS('Students'!Y$2:Y$701,'Students'!$B$2:$B$701,$A24))</f>
        <v/>
      </c>
      <c r="AA24" s="49">
        <f>IF(OR($A24="",AA$4=""),"",SUMIFS('Students'!Z$2:Z$701,'Students'!$B$2:$B$701,$A24))</f>
        <v/>
      </c>
      <c r="AB24" s="49">
        <f>IF(OR($A24="",AB$4=""),"",SUMIFS('Students'!AA$2:AA$701,'Students'!$B$2:$B$701,$A24))</f>
        <v/>
      </c>
      <c r="AC24" s="49">
        <f>IF(OR($A24="",AC$4=""),"",SUMIFS('Students'!AB$2:AB$701,'Students'!$B$2:$B$701,$A24))</f>
        <v/>
      </c>
      <c r="AD24" s="49">
        <f>IF(OR($A24="",AD$4=""),"",SUMIFS('Students'!AC$2:AC$701,'Students'!$B$2:$B$701,$A24))</f>
        <v/>
      </c>
      <c r="AE24">
        <f>IFERROR(MATCH(20,'Students'!$AJ$2:$AJ$701,0),"")</f>
        <v/>
      </c>
      <c r="AF24">
        <f>IF(A24="",-1,G24+(100-ROW())/10^7)</f>
        <v/>
      </c>
      <c r="AG24">
        <f>IF($A24="",-1,ROUND(SUMIFS('Students'!$AO$2:$AO$701,'Students'!$B$2:$B$701,$A24),2))</f>
        <v/>
      </c>
      <c r="AI24">
        <f>IF($A24="",-1,IF(N($D24)=0,0,ROUND(COUNTIFS('Students'!$B$2:$B$701,$A24,'Students'!$AQ$2:$AQ$701,"&gt;="&amp;MAX(N('Settings'!$F$25),0.01))/$D24,6)))</f>
        <v/>
      </c>
      <c r="AK24">
        <f>IF($A24="",-1,IF(N($D24)=0,0,ROUND(COUNTIFS('Students'!$B$2:$B$701,$A24,'Students'!$AS$2:$AS$701,"&gt;="&amp;0.01)/$D24,6)))</f>
        <v/>
      </c>
      <c r="AV24">
        <f>IF(AI24&lt;0,-1,AI24+N($G24)/10^9+(100-ROW())/10^13)</f>
        <v/>
      </c>
      <c r="AX24">
        <f>IF(AK24&lt;0,-1,AK24+N($G24)/10^9+(100-ROW())/10^13)</f>
        <v/>
      </c>
    </row>
    <row r="25">
      <c r="A25">
        <f>IF(AE25="","",INDEX('Students'!$B$2:$B$701,AE25))</f>
        <v/>
      </c>
      <c r="B25">
        <f>IF(AE25="","",INDEX('Students'!$AN$2:$AN$701,AE25))</f>
        <v/>
      </c>
      <c r="C25">
        <f>IF(AE25="","",INDEX('Students'!$C$2:$C$701,AE25))</f>
        <v/>
      </c>
      <c r="D25">
        <f>IF(A25="","",COUNTIFS('Students'!$B$2:$B$701,A25,'Students'!$AE$2:$AE$701,1))</f>
        <v/>
      </c>
      <c r="E25">
        <f>IF(A25="","",COUNTIFS('Students'!$B$2:$B$701,A25,'Students'!$D$2:$D$701,"&gt;0"))</f>
        <v/>
      </c>
      <c r="F25" s="47">
        <f>IF(A25="","",IF(D25&gt;0,E25/D25,0))</f>
        <v/>
      </c>
      <c r="G25" s="48">
        <f>IF(A25="","",ROUND(SUMIFS('Students'!$D$2:$D$701,'Students'!$B$2:$B$701,A25),2))</f>
        <v/>
      </c>
      <c r="H25" s="48">
        <f>IF(A25="","",IF(D25&gt;0,G25/D25,0))</f>
        <v/>
      </c>
      <c r="I25">
        <f>IF(A25="","",COUNTIF($G$5:$G$44,"&gt;"&amp;G25)+1)</f>
        <v/>
      </c>
      <c r="J25" s="49">
        <f>IF(OR($A25="",J$4=""),"",SUMIFS('Students'!I$2:I$701,'Students'!$B$2:$B$701,$A25))</f>
        <v/>
      </c>
      <c r="K25" s="49">
        <f>IF(OR($A25="",K$4=""),"",SUMIFS('Students'!J$2:J$701,'Students'!$B$2:$B$701,$A25))</f>
        <v/>
      </c>
      <c r="L25" s="49">
        <f>IF(OR($A25="",L$4=""),"",SUMIFS('Students'!K$2:K$701,'Students'!$B$2:$B$701,$A25))</f>
        <v/>
      </c>
      <c r="M25" s="49">
        <f>IF(OR($A25="",M$4=""),"",SUMIFS('Students'!L$2:L$701,'Students'!$B$2:$B$701,$A25))</f>
        <v/>
      </c>
      <c r="N25" s="49">
        <f>IF(OR($A25="",N$4=""),"",SUMIFS('Students'!M$2:M$701,'Students'!$B$2:$B$701,$A25))</f>
        <v/>
      </c>
      <c r="O25" s="49">
        <f>IF(OR($A25="",O$4=""),"",SUMIFS('Students'!N$2:N$701,'Students'!$B$2:$B$701,$A25))</f>
        <v/>
      </c>
      <c r="P25" s="49">
        <f>IF(OR($A25="",P$4=""),"",SUMIFS('Students'!O$2:O$701,'Students'!$B$2:$B$701,$A25))</f>
        <v/>
      </c>
      <c r="Q25" s="49">
        <f>IF(OR($A25="",Q$4=""),"",SUMIFS('Students'!P$2:P$701,'Students'!$B$2:$B$701,$A25))</f>
        <v/>
      </c>
      <c r="R25" s="49">
        <f>IF(OR($A25="",R$4=""),"",SUMIFS('Students'!Q$2:Q$701,'Students'!$B$2:$B$701,$A25))</f>
        <v/>
      </c>
      <c r="S25" s="49">
        <f>IF(OR($A25="",S$4=""),"",SUMIFS('Students'!R$2:R$701,'Students'!$B$2:$B$701,$A25))</f>
        <v/>
      </c>
      <c r="T25" s="49">
        <f>IF(OR($A25="",T$4=""),"",SUMIFS('Students'!S$2:S$701,'Students'!$B$2:$B$701,$A25))</f>
        <v/>
      </c>
      <c r="U25" s="49">
        <f>IF(OR($A25="",U$4=""),"",SUMIFS('Students'!T$2:T$701,'Students'!$B$2:$B$701,$A25))</f>
        <v/>
      </c>
      <c r="V25" s="49">
        <f>IF(OR($A25="",V$4=""),"",SUMIFS('Students'!U$2:U$701,'Students'!$B$2:$B$701,$A25))</f>
        <v/>
      </c>
      <c r="W25" s="49">
        <f>IF(OR($A25="",W$4=""),"",SUMIFS('Students'!V$2:V$701,'Students'!$B$2:$B$701,$A25))</f>
        <v/>
      </c>
      <c r="X25" s="49">
        <f>IF(OR($A25="",X$4=""),"",SUMIFS('Students'!W$2:W$701,'Students'!$B$2:$B$701,$A25))</f>
        <v/>
      </c>
      <c r="Y25" s="49">
        <f>IF(OR($A25="",Y$4=""),"",SUMIFS('Students'!X$2:X$701,'Students'!$B$2:$B$701,$A25))</f>
        <v/>
      </c>
      <c r="Z25" s="49">
        <f>IF(OR($A25="",Z$4=""),"",SUMIFS('Students'!Y$2:Y$701,'Students'!$B$2:$B$701,$A25))</f>
        <v/>
      </c>
      <c r="AA25" s="49">
        <f>IF(OR($A25="",AA$4=""),"",SUMIFS('Students'!Z$2:Z$701,'Students'!$B$2:$B$701,$A25))</f>
        <v/>
      </c>
      <c r="AB25" s="49">
        <f>IF(OR($A25="",AB$4=""),"",SUMIFS('Students'!AA$2:AA$701,'Students'!$B$2:$B$701,$A25))</f>
        <v/>
      </c>
      <c r="AC25" s="49">
        <f>IF(OR($A25="",AC$4=""),"",SUMIFS('Students'!AB$2:AB$701,'Students'!$B$2:$B$701,$A25))</f>
        <v/>
      </c>
      <c r="AD25" s="49">
        <f>IF(OR($A25="",AD$4=""),"",SUMIFS('Students'!AC$2:AC$701,'Students'!$B$2:$B$701,$A25))</f>
        <v/>
      </c>
      <c r="AE25">
        <f>IFERROR(MATCH(21,'Students'!$AJ$2:$AJ$701,0),"")</f>
        <v/>
      </c>
      <c r="AF25">
        <f>IF(A25="",-1,G25+(100-ROW())/10^7)</f>
        <v/>
      </c>
      <c r="AG25">
        <f>IF($A25="",-1,ROUND(SUMIFS('Students'!$AO$2:$AO$701,'Students'!$B$2:$B$701,$A25),2))</f>
        <v/>
      </c>
      <c r="AI25">
        <f>IF($A25="",-1,IF(N($D25)=0,0,ROUND(COUNTIFS('Students'!$B$2:$B$701,$A25,'Students'!$AQ$2:$AQ$701,"&gt;="&amp;MAX(N('Settings'!$F$25),0.01))/$D25,6)))</f>
        <v/>
      </c>
      <c r="AK25">
        <f>IF($A25="",-1,IF(N($D25)=0,0,ROUND(COUNTIFS('Students'!$B$2:$B$701,$A25,'Students'!$AS$2:$AS$701,"&gt;="&amp;0.01)/$D25,6)))</f>
        <v/>
      </c>
      <c r="AV25">
        <f>IF(AI25&lt;0,-1,AI25+N($G25)/10^9+(100-ROW())/10^13)</f>
        <v/>
      </c>
      <c r="AX25">
        <f>IF(AK25&lt;0,-1,AK25+N($G25)/10^9+(100-ROW())/10^13)</f>
        <v/>
      </c>
    </row>
    <row r="26">
      <c r="A26">
        <f>IF(AE26="","",INDEX('Students'!$B$2:$B$701,AE26))</f>
        <v/>
      </c>
      <c r="B26">
        <f>IF(AE26="","",INDEX('Students'!$AN$2:$AN$701,AE26))</f>
        <v/>
      </c>
      <c r="C26">
        <f>IF(AE26="","",INDEX('Students'!$C$2:$C$701,AE26))</f>
        <v/>
      </c>
      <c r="D26">
        <f>IF(A26="","",COUNTIFS('Students'!$B$2:$B$701,A26,'Students'!$AE$2:$AE$701,1))</f>
        <v/>
      </c>
      <c r="E26">
        <f>IF(A26="","",COUNTIFS('Students'!$B$2:$B$701,A26,'Students'!$D$2:$D$701,"&gt;0"))</f>
        <v/>
      </c>
      <c r="F26" s="47">
        <f>IF(A26="","",IF(D26&gt;0,E26/D26,0))</f>
        <v/>
      </c>
      <c r="G26" s="48">
        <f>IF(A26="","",ROUND(SUMIFS('Students'!$D$2:$D$701,'Students'!$B$2:$B$701,A26),2))</f>
        <v/>
      </c>
      <c r="H26" s="48">
        <f>IF(A26="","",IF(D26&gt;0,G26/D26,0))</f>
        <v/>
      </c>
      <c r="I26">
        <f>IF(A26="","",COUNTIF($G$5:$G$44,"&gt;"&amp;G26)+1)</f>
        <v/>
      </c>
      <c r="J26" s="49">
        <f>IF(OR($A26="",J$4=""),"",SUMIFS('Students'!I$2:I$701,'Students'!$B$2:$B$701,$A26))</f>
        <v/>
      </c>
      <c r="K26" s="49">
        <f>IF(OR($A26="",K$4=""),"",SUMIFS('Students'!J$2:J$701,'Students'!$B$2:$B$701,$A26))</f>
        <v/>
      </c>
      <c r="L26" s="49">
        <f>IF(OR($A26="",L$4=""),"",SUMIFS('Students'!K$2:K$701,'Students'!$B$2:$B$701,$A26))</f>
        <v/>
      </c>
      <c r="M26" s="49">
        <f>IF(OR($A26="",M$4=""),"",SUMIFS('Students'!L$2:L$701,'Students'!$B$2:$B$701,$A26))</f>
        <v/>
      </c>
      <c r="N26" s="49">
        <f>IF(OR($A26="",N$4=""),"",SUMIFS('Students'!M$2:M$701,'Students'!$B$2:$B$701,$A26))</f>
        <v/>
      </c>
      <c r="O26" s="49">
        <f>IF(OR($A26="",O$4=""),"",SUMIFS('Students'!N$2:N$701,'Students'!$B$2:$B$701,$A26))</f>
        <v/>
      </c>
      <c r="P26" s="49">
        <f>IF(OR($A26="",P$4=""),"",SUMIFS('Students'!O$2:O$701,'Students'!$B$2:$B$701,$A26))</f>
        <v/>
      </c>
      <c r="Q26" s="49">
        <f>IF(OR($A26="",Q$4=""),"",SUMIFS('Students'!P$2:P$701,'Students'!$B$2:$B$701,$A26))</f>
        <v/>
      </c>
      <c r="R26" s="49">
        <f>IF(OR($A26="",R$4=""),"",SUMIFS('Students'!Q$2:Q$701,'Students'!$B$2:$B$701,$A26))</f>
        <v/>
      </c>
      <c r="S26" s="49">
        <f>IF(OR($A26="",S$4=""),"",SUMIFS('Students'!R$2:R$701,'Students'!$B$2:$B$701,$A26))</f>
        <v/>
      </c>
      <c r="T26" s="49">
        <f>IF(OR($A26="",T$4=""),"",SUMIFS('Students'!S$2:S$701,'Students'!$B$2:$B$701,$A26))</f>
        <v/>
      </c>
      <c r="U26" s="49">
        <f>IF(OR($A26="",U$4=""),"",SUMIFS('Students'!T$2:T$701,'Students'!$B$2:$B$701,$A26))</f>
        <v/>
      </c>
      <c r="V26" s="49">
        <f>IF(OR($A26="",V$4=""),"",SUMIFS('Students'!U$2:U$701,'Students'!$B$2:$B$701,$A26))</f>
        <v/>
      </c>
      <c r="W26" s="49">
        <f>IF(OR($A26="",W$4=""),"",SUMIFS('Students'!V$2:V$701,'Students'!$B$2:$B$701,$A26))</f>
        <v/>
      </c>
      <c r="X26" s="49">
        <f>IF(OR($A26="",X$4=""),"",SUMIFS('Students'!W$2:W$701,'Students'!$B$2:$B$701,$A26))</f>
        <v/>
      </c>
      <c r="Y26" s="49">
        <f>IF(OR($A26="",Y$4=""),"",SUMIFS('Students'!X$2:X$701,'Students'!$B$2:$B$701,$A26))</f>
        <v/>
      </c>
      <c r="Z26" s="49">
        <f>IF(OR($A26="",Z$4=""),"",SUMIFS('Students'!Y$2:Y$701,'Students'!$B$2:$B$701,$A26))</f>
        <v/>
      </c>
      <c r="AA26" s="49">
        <f>IF(OR($A26="",AA$4=""),"",SUMIFS('Students'!Z$2:Z$701,'Students'!$B$2:$B$701,$A26))</f>
        <v/>
      </c>
      <c r="AB26" s="49">
        <f>IF(OR($A26="",AB$4=""),"",SUMIFS('Students'!AA$2:AA$701,'Students'!$B$2:$B$701,$A26))</f>
        <v/>
      </c>
      <c r="AC26" s="49">
        <f>IF(OR($A26="",AC$4=""),"",SUMIFS('Students'!AB$2:AB$701,'Students'!$B$2:$B$701,$A26))</f>
        <v/>
      </c>
      <c r="AD26" s="49">
        <f>IF(OR($A26="",AD$4=""),"",SUMIFS('Students'!AC$2:AC$701,'Students'!$B$2:$B$701,$A26))</f>
        <v/>
      </c>
      <c r="AE26">
        <f>IFERROR(MATCH(22,'Students'!$AJ$2:$AJ$701,0),"")</f>
        <v/>
      </c>
      <c r="AF26">
        <f>IF(A26="",-1,G26+(100-ROW())/10^7)</f>
        <v/>
      </c>
      <c r="AG26">
        <f>IF($A26="",-1,ROUND(SUMIFS('Students'!$AO$2:$AO$701,'Students'!$B$2:$B$701,$A26),2))</f>
        <v/>
      </c>
      <c r="AI26">
        <f>IF($A26="",-1,IF(N($D26)=0,0,ROUND(COUNTIFS('Students'!$B$2:$B$701,$A26,'Students'!$AQ$2:$AQ$701,"&gt;="&amp;MAX(N('Settings'!$F$25),0.01))/$D26,6)))</f>
        <v/>
      </c>
      <c r="AK26">
        <f>IF($A26="",-1,IF(N($D26)=0,0,ROUND(COUNTIFS('Students'!$B$2:$B$701,$A26,'Students'!$AS$2:$AS$701,"&gt;="&amp;0.01)/$D26,6)))</f>
        <v/>
      </c>
      <c r="AV26">
        <f>IF(AI26&lt;0,-1,AI26+N($G26)/10^9+(100-ROW())/10^13)</f>
        <v/>
      </c>
      <c r="AX26">
        <f>IF(AK26&lt;0,-1,AK26+N($G26)/10^9+(100-ROW())/10^13)</f>
        <v/>
      </c>
    </row>
    <row r="27">
      <c r="A27">
        <f>IF(AE27="","",INDEX('Students'!$B$2:$B$701,AE27))</f>
        <v/>
      </c>
      <c r="B27">
        <f>IF(AE27="","",INDEX('Students'!$AN$2:$AN$701,AE27))</f>
        <v/>
      </c>
      <c r="C27">
        <f>IF(AE27="","",INDEX('Students'!$C$2:$C$701,AE27))</f>
        <v/>
      </c>
      <c r="D27">
        <f>IF(A27="","",COUNTIFS('Students'!$B$2:$B$701,A27,'Students'!$AE$2:$AE$701,1))</f>
        <v/>
      </c>
      <c r="E27">
        <f>IF(A27="","",COUNTIFS('Students'!$B$2:$B$701,A27,'Students'!$D$2:$D$701,"&gt;0"))</f>
        <v/>
      </c>
      <c r="F27" s="47">
        <f>IF(A27="","",IF(D27&gt;0,E27/D27,0))</f>
        <v/>
      </c>
      <c r="G27" s="48">
        <f>IF(A27="","",ROUND(SUMIFS('Students'!$D$2:$D$701,'Students'!$B$2:$B$701,A27),2))</f>
        <v/>
      </c>
      <c r="H27" s="48">
        <f>IF(A27="","",IF(D27&gt;0,G27/D27,0))</f>
        <v/>
      </c>
      <c r="I27">
        <f>IF(A27="","",COUNTIF($G$5:$G$44,"&gt;"&amp;G27)+1)</f>
        <v/>
      </c>
      <c r="J27" s="49">
        <f>IF(OR($A27="",J$4=""),"",SUMIFS('Students'!I$2:I$701,'Students'!$B$2:$B$701,$A27))</f>
        <v/>
      </c>
      <c r="K27" s="49">
        <f>IF(OR($A27="",K$4=""),"",SUMIFS('Students'!J$2:J$701,'Students'!$B$2:$B$701,$A27))</f>
        <v/>
      </c>
      <c r="L27" s="49">
        <f>IF(OR($A27="",L$4=""),"",SUMIFS('Students'!K$2:K$701,'Students'!$B$2:$B$701,$A27))</f>
        <v/>
      </c>
      <c r="M27" s="49">
        <f>IF(OR($A27="",M$4=""),"",SUMIFS('Students'!L$2:L$701,'Students'!$B$2:$B$701,$A27))</f>
        <v/>
      </c>
      <c r="N27" s="49">
        <f>IF(OR($A27="",N$4=""),"",SUMIFS('Students'!M$2:M$701,'Students'!$B$2:$B$701,$A27))</f>
        <v/>
      </c>
      <c r="O27" s="49">
        <f>IF(OR($A27="",O$4=""),"",SUMIFS('Students'!N$2:N$701,'Students'!$B$2:$B$701,$A27))</f>
        <v/>
      </c>
      <c r="P27" s="49">
        <f>IF(OR($A27="",P$4=""),"",SUMIFS('Students'!O$2:O$701,'Students'!$B$2:$B$701,$A27))</f>
        <v/>
      </c>
      <c r="Q27" s="49">
        <f>IF(OR($A27="",Q$4=""),"",SUMIFS('Students'!P$2:P$701,'Students'!$B$2:$B$701,$A27))</f>
        <v/>
      </c>
      <c r="R27" s="49">
        <f>IF(OR($A27="",R$4=""),"",SUMIFS('Students'!Q$2:Q$701,'Students'!$B$2:$B$701,$A27))</f>
        <v/>
      </c>
      <c r="S27" s="49">
        <f>IF(OR($A27="",S$4=""),"",SUMIFS('Students'!R$2:R$701,'Students'!$B$2:$B$701,$A27))</f>
        <v/>
      </c>
      <c r="T27" s="49">
        <f>IF(OR($A27="",T$4=""),"",SUMIFS('Students'!S$2:S$701,'Students'!$B$2:$B$701,$A27))</f>
        <v/>
      </c>
      <c r="U27" s="49">
        <f>IF(OR($A27="",U$4=""),"",SUMIFS('Students'!T$2:T$701,'Students'!$B$2:$B$701,$A27))</f>
        <v/>
      </c>
      <c r="V27" s="49">
        <f>IF(OR($A27="",V$4=""),"",SUMIFS('Students'!U$2:U$701,'Students'!$B$2:$B$701,$A27))</f>
        <v/>
      </c>
      <c r="W27" s="49">
        <f>IF(OR($A27="",W$4=""),"",SUMIFS('Students'!V$2:V$701,'Students'!$B$2:$B$701,$A27))</f>
        <v/>
      </c>
      <c r="X27" s="49">
        <f>IF(OR($A27="",X$4=""),"",SUMIFS('Students'!W$2:W$701,'Students'!$B$2:$B$701,$A27))</f>
        <v/>
      </c>
      <c r="Y27" s="49">
        <f>IF(OR($A27="",Y$4=""),"",SUMIFS('Students'!X$2:X$701,'Students'!$B$2:$B$701,$A27))</f>
        <v/>
      </c>
      <c r="Z27" s="49">
        <f>IF(OR($A27="",Z$4=""),"",SUMIFS('Students'!Y$2:Y$701,'Students'!$B$2:$B$701,$A27))</f>
        <v/>
      </c>
      <c r="AA27" s="49">
        <f>IF(OR($A27="",AA$4=""),"",SUMIFS('Students'!Z$2:Z$701,'Students'!$B$2:$B$701,$A27))</f>
        <v/>
      </c>
      <c r="AB27" s="49">
        <f>IF(OR($A27="",AB$4=""),"",SUMIFS('Students'!AA$2:AA$701,'Students'!$B$2:$B$701,$A27))</f>
        <v/>
      </c>
      <c r="AC27" s="49">
        <f>IF(OR($A27="",AC$4=""),"",SUMIFS('Students'!AB$2:AB$701,'Students'!$B$2:$B$701,$A27))</f>
        <v/>
      </c>
      <c r="AD27" s="49">
        <f>IF(OR($A27="",AD$4=""),"",SUMIFS('Students'!AC$2:AC$701,'Students'!$B$2:$B$701,$A27))</f>
        <v/>
      </c>
      <c r="AE27">
        <f>IFERROR(MATCH(23,'Students'!$AJ$2:$AJ$701,0),"")</f>
        <v/>
      </c>
      <c r="AF27">
        <f>IF(A27="",-1,G27+(100-ROW())/10^7)</f>
        <v/>
      </c>
      <c r="AG27">
        <f>IF($A27="",-1,ROUND(SUMIFS('Students'!$AO$2:$AO$701,'Students'!$B$2:$B$701,$A27),2))</f>
        <v/>
      </c>
      <c r="AI27">
        <f>IF($A27="",-1,IF(N($D27)=0,0,ROUND(COUNTIFS('Students'!$B$2:$B$701,$A27,'Students'!$AQ$2:$AQ$701,"&gt;="&amp;MAX(N('Settings'!$F$25),0.01))/$D27,6)))</f>
        <v/>
      </c>
      <c r="AK27">
        <f>IF($A27="",-1,IF(N($D27)=0,0,ROUND(COUNTIFS('Students'!$B$2:$B$701,$A27,'Students'!$AS$2:$AS$701,"&gt;="&amp;0.01)/$D27,6)))</f>
        <v/>
      </c>
      <c r="AV27">
        <f>IF(AI27&lt;0,-1,AI27+N($G27)/10^9+(100-ROW())/10^13)</f>
        <v/>
      </c>
      <c r="AX27">
        <f>IF(AK27&lt;0,-1,AK27+N($G27)/10^9+(100-ROW())/10^13)</f>
        <v/>
      </c>
    </row>
    <row r="28">
      <c r="A28">
        <f>IF(AE28="","",INDEX('Students'!$B$2:$B$701,AE28))</f>
        <v/>
      </c>
      <c r="B28">
        <f>IF(AE28="","",INDEX('Students'!$AN$2:$AN$701,AE28))</f>
        <v/>
      </c>
      <c r="C28">
        <f>IF(AE28="","",INDEX('Students'!$C$2:$C$701,AE28))</f>
        <v/>
      </c>
      <c r="D28">
        <f>IF(A28="","",COUNTIFS('Students'!$B$2:$B$701,A28,'Students'!$AE$2:$AE$701,1))</f>
        <v/>
      </c>
      <c r="E28">
        <f>IF(A28="","",COUNTIFS('Students'!$B$2:$B$701,A28,'Students'!$D$2:$D$701,"&gt;0"))</f>
        <v/>
      </c>
      <c r="F28" s="47">
        <f>IF(A28="","",IF(D28&gt;0,E28/D28,0))</f>
        <v/>
      </c>
      <c r="G28" s="48">
        <f>IF(A28="","",ROUND(SUMIFS('Students'!$D$2:$D$701,'Students'!$B$2:$B$701,A28),2))</f>
        <v/>
      </c>
      <c r="H28" s="48">
        <f>IF(A28="","",IF(D28&gt;0,G28/D28,0))</f>
        <v/>
      </c>
      <c r="I28">
        <f>IF(A28="","",COUNTIF($G$5:$G$44,"&gt;"&amp;G28)+1)</f>
        <v/>
      </c>
      <c r="J28" s="49">
        <f>IF(OR($A28="",J$4=""),"",SUMIFS('Students'!I$2:I$701,'Students'!$B$2:$B$701,$A28))</f>
        <v/>
      </c>
      <c r="K28" s="49">
        <f>IF(OR($A28="",K$4=""),"",SUMIFS('Students'!J$2:J$701,'Students'!$B$2:$B$701,$A28))</f>
        <v/>
      </c>
      <c r="L28" s="49">
        <f>IF(OR($A28="",L$4=""),"",SUMIFS('Students'!K$2:K$701,'Students'!$B$2:$B$701,$A28))</f>
        <v/>
      </c>
      <c r="M28" s="49">
        <f>IF(OR($A28="",M$4=""),"",SUMIFS('Students'!L$2:L$701,'Students'!$B$2:$B$701,$A28))</f>
        <v/>
      </c>
      <c r="N28" s="49">
        <f>IF(OR($A28="",N$4=""),"",SUMIFS('Students'!M$2:M$701,'Students'!$B$2:$B$701,$A28))</f>
        <v/>
      </c>
      <c r="O28" s="49">
        <f>IF(OR($A28="",O$4=""),"",SUMIFS('Students'!N$2:N$701,'Students'!$B$2:$B$701,$A28))</f>
        <v/>
      </c>
      <c r="P28" s="49">
        <f>IF(OR($A28="",P$4=""),"",SUMIFS('Students'!O$2:O$701,'Students'!$B$2:$B$701,$A28))</f>
        <v/>
      </c>
      <c r="Q28" s="49">
        <f>IF(OR($A28="",Q$4=""),"",SUMIFS('Students'!P$2:P$701,'Students'!$B$2:$B$701,$A28))</f>
        <v/>
      </c>
      <c r="R28" s="49">
        <f>IF(OR($A28="",R$4=""),"",SUMIFS('Students'!Q$2:Q$701,'Students'!$B$2:$B$701,$A28))</f>
        <v/>
      </c>
      <c r="S28" s="49">
        <f>IF(OR($A28="",S$4=""),"",SUMIFS('Students'!R$2:R$701,'Students'!$B$2:$B$701,$A28))</f>
        <v/>
      </c>
      <c r="T28" s="49">
        <f>IF(OR($A28="",T$4=""),"",SUMIFS('Students'!S$2:S$701,'Students'!$B$2:$B$701,$A28))</f>
        <v/>
      </c>
      <c r="U28" s="49">
        <f>IF(OR($A28="",U$4=""),"",SUMIFS('Students'!T$2:T$701,'Students'!$B$2:$B$701,$A28))</f>
        <v/>
      </c>
      <c r="V28" s="49">
        <f>IF(OR($A28="",V$4=""),"",SUMIFS('Students'!U$2:U$701,'Students'!$B$2:$B$701,$A28))</f>
        <v/>
      </c>
      <c r="W28" s="49">
        <f>IF(OR($A28="",W$4=""),"",SUMIFS('Students'!V$2:V$701,'Students'!$B$2:$B$701,$A28))</f>
        <v/>
      </c>
      <c r="X28" s="49">
        <f>IF(OR($A28="",X$4=""),"",SUMIFS('Students'!W$2:W$701,'Students'!$B$2:$B$701,$A28))</f>
        <v/>
      </c>
      <c r="Y28" s="49">
        <f>IF(OR($A28="",Y$4=""),"",SUMIFS('Students'!X$2:X$701,'Students'!$B$2:$B$701,$A28))</f>
        <v/>
      </c>
      <c r="Z28" s="49">
        <f>IF(OR($A28="",Z$4=""),"",SUMIFS('Students'!Y$2:Y$701,'Students'!$B$2:$B$701,$A28))</f>
        <v/>
      </c>
      <c r="AA28" s="49">
        <f>IF(OR($A28="",AA$4=""),"",SUMIFS('Students'!Z$2:Z$701,'Students'!$B$2:$B$701,$A28))</f>
        <v/>
      </c>
      <c r="AB28" s="49">
        <f>IF(OR($A28="",AB$4=""),"",SUMIFS('Students'!AA$2:AA$701,'Students'!$B$2:$B$701,$A28))</f>
        <v/>
      </c>
      <c r="AC28" s="49">
        <f>IF(OR($A28="",AC$4=""),"",SUMIFS('Students'!AB$2:AB$701,'Students'!$B$2:$B$701,$A28))</f>
        <v/>
      </c>
      <c r="AD28" s="49">
        <f>IF(OR($A28="",AD$4=""),"",SUMIFS('Students'!AC$2:AC$701,'Students'!$B$2:$B$701,$A28))</f>
        <v/>
      </c>
      <c r="AE28">
        <f>IFERROR(MATCH(24,'Students'!$AJ$2:$AJ$701,0),"")</f>
        <v/>
      </c>
      <c r="AF28">
        <f>IF(A28="",-1,G28+(100-ROW())/10^7)</f>
        <v/>
      </c>
      <c r="AG28">
        <f>IF($A28="",-1,ROUND(SUMIFS('Students'!$AO$2:$AO$701,'Students'!$B$2:$B$701,$A28),2))</f>
        <v/>
      </c>
      <c r="AI28">
        <f>IF($A28="",-1,IF(N($D28)=0,0,ROUND(COUNTIFS('Students'!$B$2:$B$701,$A28,'Students'!$AQ$2:$AQ$701,"&gt;="&amp;MAX(N('Settings'!$F$25),0.01))/$D28,6)))</f>
        <v/>
      </c>
      <c r="AK28">
        <f>IF($A28="",-1,IF(N($D28)=0,0,ROUND(COUNTIFS('Students'!$B$2:$B$701,$A28,'Students'!$AS$2:$AS$701,"&gt;="&amp;0.01)/$D28,6)))</f>
        <v/>
      </c>
      <c r="AV28">
        <f>IF(AI28&lt;0,-1,AI28+N($G28)/10^9+(100-ROW())/10^13)</f>
        <v/>
      </c>
      <c r="AX28">
        <f>IF(AK28&lt;0,-1,AK28+N($G28)/10^9+(100-ROW())/10^13)</f>
        <v/>
      </c>
    </row>
    <row r="29">
      <c r="A29">
        <f>IF(AE29="","",INDEX('Students'!$B$2:$B$701,AE29))</f>
        <v/>
      </c>
      <c r="B29">
        <f>IF(AE29="","",INDEX('Students'!$AN$2:$AN$701,AE29))</f>
        <v/>
      </c>
      <c r="C29">
        <f>IF(AE29="","",INDEX('Students'!$C$2:$C$701,AE29))</f>
        <v/>
      </c>
      <c r="D29">
        <f>IF(A29="","",COUNTIFS('Students'!$B$2:$B$701,A29,'Students'!$AE$2:$AE$701,1))</f>
        <v/>
      </c>
      <c r="E29">
        <f>IF(A29="","",COUNTIFS('Students'!$B$2:$B$701,A29,'Students'!$D$2:$D$701,"&gt;0"))</f>
        <v/>
      </c>
      <c r="F29" s="47">
        <f>IF(A29="","",IF(D29&gt;0,E29/D29,0))</f>
        <v/>
      </c>
      <c r="G29" s="48">
        <f>IF(A29="","",ROUND(SUMIFS('Students'!$D$2:$D$701,'Students'!$B$2:$B$701,A29),2))</f>
        <v/>
      </c>
      <c r="H29" s="48">
        <f>IF(A29="","",IF(D29&gt;0,G29/D29,0))</f>
        <v/>
      </c>
      <c r="I29">
        <f>IF(A29="","",COUNTIF($G$5:$G$44,"&gt;"&amp;G29)+1)</f>
        <v/>
      </c>
      <c r="J29" s="49">
        <f>IF(OR($A29="",J$4=""),"",SUMIFS('Students'!I$2:I$701,'Students'!$B$2:$B$701,$A29))</f>
        <v/>
      </c>
      <c r="K29" s="49">
        <f>IF(OR($A29="",K$4=""),"",SUMIFS('Students'!J$2:J$701,'Students'!$B$2:$B$701,$A29))</f>
        <v/>
      </c>
      <c r="L29" s="49">
        <f>IF(OR($A29="",L$4=""),"",SUMIFS('Students'!K$2:K$701,'Students'!$B$2:$B$701,$A29))</f>
        <v/>
      </c>
      <c r="M29" s="49">
        <f>IF(OR($A29="",M$4=""),"",SUMIFS('Students'!L$2:L$701,'Students'!$B$2:$B$701,$A29))</f>
        <v/>
      </c>
      <c r="N29" s="49">
        <f>IF(OR($A29="",N$4=""),"",SUMIFS('Students'!M$2:M$701,'Students'!$B$2:$B$701,$A29))</f>
        <v/>
      </c>
      <c r="O29" s="49">
        <f>IF(OR($A29="",O$4=""),"",SUMIFS('Students'!N$2:N$701,'Students'!$B$2:$B$701,$A29))</f>
        <v/>
      </c>
      <c r="P29" s="49">
        <f>IF(OR($A29="",P$4=""),"",SUMIFS('Students'!O$2:O$701,'Students'!$B$2:$B$701,$A29))</f>
        <v/>
      </c>
      <c r="Q29" s="49">
        <f>IF(OR($A29="",Q$4=""),"",SUMIFS('Students'!P$2:P$701,'Students'!$B$2:$B$701,$A29))</f>
        <v/>
      </c>
      <c r="R29" s="49">
        <f>IF(OR($A29="",R$4=""),"",SUMIFS('Students'!Q$2:Q$701,'Students'!$B$2:$B$701,$A29))</f>
        <v/>
      </c>
      <c r="S29" s="49">
        <f>IF(OR($A29="",S$4=""),"",SUMIFS('Students'!R$2:R$701,'Students'!$B$2:$B$701,$A29))</f>
        <v/>
      </c>
      <c r="T29" s="49">
        <f>IF(OR($A29="",T$4=""),"",SUMIFS('Students'!S$2:S$701,'Students'!$B$2:$B$701,$A29))</f>
        <v/>
      </c>
      <c r="U29" s="49">
        <f>IF(OR($A29="",U$4=""),"",SUMIFS('Students'!T$2:T$701,'Students'!$B$2:$B$701,$A29))</f>
        <v/>
      </c>
      <c r="V29" s="49">
        <f>IF(OR($A29="",V$4=""),"",SUMIFS('Students'!U$2:U$701,'Students'!$B$2:$B$701,$A29))</f>
        <v/>
      </c>
      <c r="W29" s="49">
        <f>IF(OR($A29="",W$4=""),"",SUMIFS('Students'!V$2:V$701,'Students'!$B$2:$B$701,$A29))</f>
        <v/>
      </c>
      <c r="X29" s="49">
        <f>IF(OR($A29="",X$4=""),"",SUMIFS('Students'!W$2:W$701,'Students'!$B$2:$B$701,$A29))</f>
        <v/>
      </c>
      <c r="Y29" s="49">
        <f>IF(OR($A29="",Y$4=""),"",SUMIFS('Students'!X$2:X$701,'Students'!$B$2:$B$701,$A29))</f>
        <v/>
      </c>
      <c r="Z29" s="49">
        <f>IF(OR($A29="",Z$4=""),"",SUMIFS('Students'!Y$2:Y$701,'Students'!$B$2:$B$701,$A29))</f>
        <v/>
      </c>
      <c r="AA29" s="49">
        <f>IF(OR($A29="",AA$4=""),"",SUMIFS('Students'!Z$2:Z$701,'Students'!$B$2:$B$701,$A29))</f>
        <v/>
      </c>
      <c r="AB29" s="49">
        <f>IF(OR($A29="",AB$4=""),"",SUMIFS('Students'!AA$2:AA$701,'Students'!$B$2:$B$701,$A29))</f>
        <v/>
      </c>
      <c r="AC29" s="49">
        <f>IF(OR($A29="",AC$4=""),"",SUMIFS('Students'!AB$2:AB$701,'Students'!$B$2:$B$701,$A29))</f>
        <v/>
      </c>
      <c r="AD29" s="49">
        <f>IF(OR($A29="",AD$4=""),"",SUMIFS('Students'!AC$2:AC$701,'Students'!$B$2:$B$701,$A29))</f>
        <v/>
      </c>
      <c r="AE29">
        <f>IFERROR(MATCH(25,'Students'!$AJ$2:$AJ$701,0),"")</f>
        <v/>
      </c>
      <c r="AF29">
        <f>IF(A29="",-1,G29+(100-ROW())/10^7)</f>
        <v/>
      </c>
      <c r="AG29">
        <f>IF($A29="",-1,ROUND(SUMIFS('Students'!$AO$2:$AO$701,'Students'!$B$2:$B$701,$A29),2))</f>
        <v/>
      </c>
      <c r="AI29">
        <f>IF($A29="",-1,IF(N($D29)=0,0,ROUND(COUNTIFS('Students'!$B$2:$B$701,$A29,'Students'!$AQ$2:$AQ$701,"&gt;="&amp;MAX(N('Settings'!$F$25),0.01))/$D29,6)))</f>
        <v/>
      </c>
      <c r="AK29">
        <f>IF($A29="",-1,IF(N($D29)=0,0,ROUND(COUNTIFS('Students'!$B$2:$B$701,$A29,'Students'!$AS$2:$AS$701,"&gt;="&amp;0.01)/$D29,6)))</f>
        <v/>
      </c>
      <c r="AV29">
        <f>IF(AI29&lt;0,-1,AI29+N($G29)/10^9+(100-ROW())/10^13)</f>
        <v/>
      </c>
      <c r="AX29">
        <f>IF(AK29&lt;0,-1,AK29+N($G29)/10^9+(100-ROW())/10^13)</f>
        <v/>
      </c>
    </row>
    <row r="30">
      <c r="A30">
        <f>IF(AE30="","",INDEX('Students'!$B$2:$B$701,AE30))</f>
        <v/>
      </c>
      <c r="B30">
        <f>IF(AE30="","",INDEX('Students'!$AN$2:$AN$701,AE30))</f>
        <v/>
      </c>
      <c r="C30">
        <f>IF(AE30="","",INDEX('Students'!$C$2:$C$701,AE30))</f>
        <v/>
      </c>
      <c r="D30">
        <f>IF(A30="","",COUNTIFS('Students'!$B$2:$B$701,A30,'Students'!$AE$2:$AE$701,1))</f>
        <v/>
      </c>
      <c r="E30">
        <f>IF(A30="","",COUNTIFS('Students'!$B$2:$B$701,A30,'Students'!$D$2:$D$701,"&gt;0"))</f>
        <v/>
      </c>
      <c r="F30" s="47">
        <f>IF(A30="","",IF(D30&gt;0,E30/D30,0))</f>
        <v/>
      </c>
      <c r="G30" s="48">
        <f>IF(A30="","",ROUND(SUMIFS('Students'!$D$2:$D$701,'Students'!$B$2:$B$701,A30),2))</f>
        <v/>
      </c>
      <c r="H30" s="48">
        <f>IF(A30="","",IF(D30&gt;0,G30/D30,0))</f>
        <v/>
      </c>
      <c r="I30">
        <f>IF(A30="","",COUNTIF($G$5:$G$44,"&gt;"&amp;G30)+1)</f>
        <v/>
      </c>
      <c r="J30" s="49">
        <f>IF(OR($A30="",J$4=""),"",SUMIFS('Students'!I$2:I$701,'Students'!$B$2:$B$701,$A30))</f>
        <v/>
      </c>
      <c r="K30" s="49">
        <f>IF(OR($A30="",K$4=""),"",SUMIFS('Students'!J$2:J$701,'Students'!$B$2:$B$701,$A30))</f>
        <v/>
      </c>
      <c r="L30" s="49">
        <f>IF(OR($A30="",L$4=""),"",SUMIFS('Students'!K$2:K$701,'Students'!$B$2:$B$701,$A30))</f>
        <v/>
      </c>
      <c r="M30" s="49">
        <f>IF(OR($A30="",M$4=""),"",SUMIFS('Students'!L$2:L$701,'Students'!$B$2:$B$701,$A30))</f>
        <v/>
      </c>
      <c r="N30" s="49">
        <f>IF(OR($A30="",N$4=""),"",SUMIFS('Students'!M$2:M$701,'Students'!$B$2:$B$701,$A30))</f>
        <v/>
      </c>
      <c r="O30" s="49">
        <f>IF(OR($A30="",O$4=""),"",SUMIFS('Students'!N$2:N$701,'Students'!$B$2:$B$701,$A30))</f>
        <v/>
      </c>
      <c r="P30" s="49">
        <f>IF(OR($A30="",P$4=""),"",SUMIFS('Students'!O$2:O$701,'Students'!$B$2:$B$701,$A30))</f>
        <v/>
      </c>
      <c r="Q30" s="49">
        <f>IF(OR($A30="",Q$4=""),"",SUMIFS('Students'!P$2:P$701,'Students'!$B$2:$B$701,$A30))</f>
        <v/>
      </c>
      <c r="R30" s="49">
        <f>IF(OR($A30="",R$4=""),"",SUMIFS('Students'!Q$2:Q$701,'Students'!$B$2:$B$701,$A30))</f>
        <v/>
      </c>
      <c r="S30" s="49">
        <f>IF(OR($A30="",S$4=""),"",SUMIFS('Students'!R$2:R$701,'Students'!$B$2:$B$701,$A30))</f>
        <v/>
      </c>
      <c r="T30" s="49">
        <f>IF(OR($A30="",T$4=""),"",SUMIFS('Students'!S$2:S$701,'Students'!$B$2:$B$701,$A30))</f>
        <v/>
      </c>
      <c r="U30" s="49">
        <f>IF(OR($A30="",U$4=""),"",SUMIFS('Students'!T$2:T$701,'Students'!$B$2:$B$701,$A30))</f>
        <v/>
      </c>
      <c r="V30" s="49">
        <f>IF(OR($A30="",V$4=""),"",SUMIFS('Students'!U$2:U$701,'Students'!$B$2:$B$701,$A30))</f>
        <v/>
      </c>
      <c r="W30" s="49">
        <f>IF(OR($A30="",W$4=""),"",SUMIFS('Students'!V$2:V$701,'Students'!$B$2:$B$701,$A30))</f>
        <v/>
      </c>
      <c r="X30" s="49">
        <f>IF(OR($A30="",X$4=""),"",SUMIFS('Students'!W$2:W$701,'Students'!$B$2:$B$701,$A30))</f>
        <v/>
      </c>
      <c r="Y30" s="49">
        <f>IF(OR($A30="",Y$4=""),"",SUMIFS('Students'!X$2:X$701,'Students'!$B$2:$B$701,$A30))</f>
        <v/>
      </c>
      <c r="Z30" s="49">
        <f>IF(OR($A30="",Z$4=""),"",SUMIFS('Students'!Y$2:Y$701,'Students'!$B$2:$B$701,$A30))</f>
        <v/>
      </c>
      <c r="AA30" s="49">
        <f>IF(OR($A30="",AA$4=""),"",SUMIFS('Students'!Z$2:Z$701,'Students'!$B$2:$B$701,$A30))</f>
        <v/>
      </c>
      <c r="AB30" s="49">
        <f>IF(OR($A30="",AB$4=""),"",SUMIFS('Students'!AA$2:AA$701,'Students'!$B$2:$B$701,$A30))</f>
        <v/>
      </c>
      <c r="AC30" s="49">
        <f>IF(OR($A30="",AC$4=""),"",SUMIFS('Students'!AB$2:AB$701,'Students'!$B$2:$B$701,$A30))</f>
        <v/>
      </c>
      <c r="AD30" s="49">
        <f>IF(OR($A30="",AD$4=""),"",SUMIFS('Students'!AC$2:AC$701,'Students'!$B$2:$B$701,$A30))</f>
        <v/>
      </c>
      <c r="AE30">
        <f>IFERROR(MATCH(26,'Students'!$AJ$2:$AJ$701,0),"")</f>
        <v/>
      </c>
      <c r="AF30">
        <f>IF(A30="",-1,G30+(100-ROW())/10^7)</f>
        <v/>
      </c>
      <c r="AG30">
        <f>IF($A30="",-1,ROUND(SUMIFS('Students'!$AO$2:$AO$701,'Students'!$B$2:$B$701,$A30),2))</f>
        <v/>
      </c>
      <c r="AI30">
        <f>IF($A30="",-1,IF(N($D30)=0,0,ROUND(COUNTIFS('Students'!$B$2:$B$701,$A30,'Students'!$AQ$2:$AQ$701,"&gt;="&amp;MAX(N('Settings'!$F$25),0.01))/$D30,6)))</f>
        <v/>
      </c>
      <c r="AK30">
        <f>IF($A30="",-1,IF(N($D30)=0,0,ROUND(COUNTIFS('Students'!$B$2:$B$701,$A30,'Students'!$AS$2:$AS$701,"&gt;="&amp;0.01)/$D30,6)))</f>
        <v/>
      </c>
      <c r="AV30">
        <f>IF(AI30&lt;0,-1,AI30+N($G30)/10^9+(100-ROW())/10^13)</f>
        <v/>
      </c>
      <c r="AX30">
        <f>IF(AK30&lt;0,-1,AK30+N($G30)/10^9+(100-ROW())/10^13)</f>
        <v/>
      </c>
    </row>
    <row r="31">
      <c r="A31">
        <f>IF(AE31="","",INDEX('Students'!$B$2:$B$701,AE31))</f>
        <v/>
      </c>
      <c r="B31">
        <f>IF(AE31="","",INDEX('Students'!$AN$2:$AN$701,AE31))</f>
        <v/>
      </c>
      <c r="C31">
        <f>IF(AE31="","",INDEX('Students'!$C$2:$C$701,AE31))</f>
        <v/>
      </c>
      <c r="D31">
        <f>IF(A31="","",COUNTIFS('Students'!$B$2:$B$701,A31,'Students'!$AE$2:$AE$701,1))</f>
        <v/>
      </c>
      <c r="E31">
        <f>IF(A31="","",COUNTIFS('Students'!$B$2:$B$701,A31,'Students'!$D$2:$D$701,"&gt;0"))</f>
        <v/>
      </c>
      <c r="F31" s="47">
        <f>IF(A31="","",IF(D31&gt;0,E31/D31,0))</f>
        <v/>
      </c>
      <c r="G31" s="48">
        <f>IF(A31="","",ROUND(SUMIFS('Students'!$D$2:$D$701,'Students'!$B$2:$B$701,A31),2))</f>
        <v/>
      </c>
      <c r="H31" s="48">
        <f>IF(A31="","",IF(D31&gt;0,G31/D31,0))</f>
        <v/>
      </c>
      <c r="I31">
        <f>IF(A31="","",COUNTIF($G$5:$G$44,"&gt;"&amp;G31)+1)</f>
        <v/>
      </c>
      <c r="J31" s="49">
        <f>IF(OR($A31="",J$4=""),"",SUMIFS('Students'!I$2:I$701,'Students'!$B$2:$B$701,$A31))</f>
        <v/>
      </c>
      <c r="K31" s="49">
        <f>IF(OR($A31="",K$4=""),"",SUMIFS('Students'!J$2:J$701,'Students'!$B$2:$B$701,$A31))</f>
        <v/>
      </c>
      <c r="L31" s="49">
        <f>IF(OR($A31="",L$4=""),"",SUMIFS('Students'!K$2:K$701,'Students'!$B$2:$B$701,$A31))</f>
        <v/>
      </c>
      <c r="M31" s="49">
        <f>IF(OR($A31="",M$4=""),"",SUMIFS('Students'!L$2:L$701,'Students'!$B$2:$B$701,$A31))</f>
        <v/>
      </c>
      <c r="N31" s="49">
        <f>IF(OR($A31="",N$4=""),"",SUMIFS('Students'!M$2:M$701,'Students'!$B$2:$B$701,$A31))</f>
        <v/>
      </c>
      <c r="O31" s="49">
        <f>IF(OR($A31="",O$4=""),"",SUMIFS('Students'!N$2:N$701,'Students'!$B$2:$B$701,$A31))</f>
        <v/>
      </c>
      <c r="P31" s="49">
        <f>IF(OR($A31="",P$4=""),"",SUMIFS('Students'!O$2:O$701,'Students'!$B$2:$B$701,$A31))</f>
        <v/>
      </c>
      <c r="Q31" s="49">
        <f>IF(OR($A31="",Q$4=""),"",SUMIFS('Students'!P$2:P$701,'Students'!$B$2:$B$701,$A31))</f>
        <v/>
      </c>
      <c r="R31" s="49">
        <f>IF(OR($A31="",R$4=""),"",SUMIFS('Students'!Q$2:Q$701,'Students'!$B$2:$B$701,$A31))</f>
        <v/>
      </c>
      <c r="S31" s="49">
        <f>IF(OR($A31="",S$4=""),"",SUMIFS('Students'!R$2:R$701,'Students'!$B$2:$B$701,$A31))</f>
        <v/>
      </c>
      <c r="T31" s="49">
        <f>IF(OR($A31="",T$4=""),"",SUMIFS('Students'!S$2:S$701,'Students'!$B$2:$B$701,$A31))</f>
        <v/>
      </c>
      <c r="U31" s="49">
        <f>IF(OR($A31="",U$4=""),"",SUMIFS('Students'!T$2:T$701,'Students'!$B$2:$B$701,$A31))</f>
        <v/>
      </c>
      <c r="V31" s="49">
        <f>IF(OR($A31="",V$4=""),"",SUMIFS('Students'!U$2:U$701,'Students'!$B$2:$B$701,$A31))</f>
        <v/>
      </c>
      <c r="W31" s="49">
        <f>IF(OR($A31="",W$4=""),"",SUMIFS('Students'!V$2:V$701,'Students'!$B$2:$B$701,$A31))</f>
        <v/>
      </c>
      <c r="X31" s="49">
        <f>IF(OR($A31="",X$4=""),"",SUMIFS('Students'!W$2:W$701,'Students'!$B$2:$B$701,$A31))</f>
        <v/>
      </c>
      <c r="Y31" s="49">
        <f>IF(OR($A31="",Y$4=""),"",SUMIFS('Students'!X$2:X$701,'Students'!$B$2:$B$701,$A31))</f>
        <v/>
      </c>
      <c r="Z31" s="49">
        <f>IF(OR($A31="",Z$4=""),"",SUMIFS('Students'!Y$2:Y$701,'Students'!$B$2:$B$701,$A31))</f>
        <v/>
      </c>
      <c r="AA31" s="49">
        <f>IF(OR($A31="",AA$4=""),"",SUMIFS('Students'!Z$2:Z$701,'Students'!$B$2:$B$701,$A31))</f>
        <v/>
      </c>
      <c r="AB31" s="49">
        <f>IF(OR($A31="",AB$4=""),"",SUMIFS('Students'!AA$2:AA$701,'Students'!$B$2:$B$701,$A31))</f>
        <v/>
      </c>
      <c r="AC31" s="49">
        <f>IF(OR($A31="",AC$4=""),"",SUMIFS('Students'!AB$2:AB$701,'Students'!$B$2:$B$701,$A31))</f>
        <v/>
      </c>
      <c r="AD31" s="49">
        <f>IF(OR($A31="",AD$4=""),"",SUMIFS('Students'!AC$2:AC$701,'Students'!$B$2:$B$701,$A31))</f>
        <v/>
      </c>
      <c r="AE31">
        <f>IFERROR(MATCH(27,'Students'!$AJ$2:$AJ$701,0),"")</f>
        <v/>
      </c>
      <c r="AF31">
        <f>IF(A31="",-1,G31+(100-ROW())/10^7)</f>
        <v/>
      </c>
      <c r="AG31">
        <f>IF($A31="",-1,ROUND(SUMIFS('Students'!$AO$2:$AO$701,'Students'!$B$2:$B$701,$A31),2))</f>
        <v/>
      </c>
      <c r="AI31">
        <f>IF($A31="",-1,IF(N($D31)=0,0,ROUND(COUNTIFS('Students'!$B$2:$B$701,$A31,'Students'!$AQ$2:$AQ$701,"&gt;="&amp;MAX(N('Settings'!$F$25),0.01))/$D31,6)))</f>
        <v/>
      </c>
      <c r="AK31">
        <f>IF($A31="",-1,IF(N($D31)=0,0,ROUND(COUNTIFS('Students'!$B$2:$B$701,$A31,'Students'!$AS$2:$AS$701,"&gt;="&amp;0.01)/$D31,6)))</f>
        <v/>
      </c>
      <c r="AV31">
        <f>IF(AI31&lt;0,-1,AI31+N($G31)/10^9+(100-ROW())/10^13)</f>
        <v/>
      </c>
      <c r="AX31">
        <f>IF(AK31&lt;0,-1,AK31+N($G31)/10^9+(100-ROW())/10^13)</f>
        <v/>
      </c>
    </row>
    <row r="32">
      <c r="A32">
        <f>IF(AE32="","",INDEX('Students'!$B$2:$B$701,AE32))</f>
        <v/>
      </c>
      <c r="B32">
        <f>IF(AE32="","",INDEX('Students'!$AN$2:$AN$701,AE32))</f>
        <v/>
      </c>
      <c r="C32">
        <f>IF(AE32="","",INDEX('Students'!$C$2:$C$701,AE32))</f>
        <v/>
      </c>
      <c r="D32">
        <f>IF(A32="","",COUNTIFS('Students'!$B$2:$B$701,A32,'Students'!$AE$2:$AE$701,1))</f>
        <v/>
      </c>
      <c r="E32">
        <f>IF(A32="","",COUNTIFS('Students'!$B$2:$B$701,A32,'Students'!$D$2:$D$701,"&gt;0"))</f>
        <v/>
      </c>
      <c r="F32" s="47">
        <f>IF(A32="","",IF(D32&gt;0,E32/D32,0))</f>
        <v/>
      </c>
      <c r="G32" s="48">
        <f>IF(A32="","",ROUND(SUMIFS('Students'!$D$2:$D$701,'Students'!$B$2:$B$701,A32),2))</f>
        <v/>
      </c>
      <c r="H32" s="48">
        <f>IF(A32="","",IF(D32&gt;0,G32/D32,0))</f>
        <v/>
      </c>
      <c r="I32">
        <f>IF(A32="","",COUNTIF($G$5:$G$44,"&gt;"&amp;G32)+1)</f>
        <v/>
      </c>
      <c r="J32" s="49">
        <f>IF(OR($A32="",J$4=""),"",SUMIFS('Students'!I$2:I$701,'Students'!$B$2:$B$701,$A32))</f>
        <v/>
      </c>
      <c r="K32" s="49">
        <f>IF(OR($A32="",K$4=""),"",SUMIFS('Students'!J$2:J$701,'Students'!$B$2:$B$701,$A32))</f>
        <v/>
      </c>
      <c r="L32" s="49">
        <f>IF(OR($A32="",L$4=""),"",SUMIFS('Students'!K$2:K$701,'Students'!$B$2:$B$701,$A32))</f>
        <v/>
      </c>
      <c r="M32" s="49">
        <f>IF(OR($A32="",M$4=""),"",SUMIFS('Students'!L$2:L$701,'Students'!$B$2:$B$701,$A32))</f>
        <v/>
      </c>
      <c r="N32" s="49">
        <f>IF(OR($A32="",N$4=""),"",SUMIFS('Students'!M$2:M$701,'Students'!$B$2:$B$701,$A32))</f>
        <v/>
      </c>
      <c r="O32" s="49">
        <f>IF(OR($A32="",O$4=""),"",SUMIFS('Students'!N$2:N$701,'Students'!$B$2:$B$701,$A32))</f>
        <v/>
      </c>
      <c r="P32" s="49">
        <f>IF(OR($A32="",P$4=""),"",SUMIFS('Students'!O$2:O$701,'Students'!$B$2:$B$701,$A32))</f>
        <v/>
      </c>
      <c r="Q32" s="49">
        <f>IF(OR($A32="",Q$4=""),"",SUMIFS('Students'!P$2:P$701,'Students'!$B$2:$B$701,$A32))</f>
        <v/>
      </c>
      <c r="R32" s="49">
        <f>IF(OR($A32="",R$4=""),"",SUMIFS('Students'!Q$2:Q$701,'Students'!$B$2:$B$701,$A32))</f>
        <v/>
      </c>
      <c r="S32" s="49">
        <f>IF(OR($A32="",S$4=""),"",SUMIFS('Students'!R$2:R$701,'Students'!$B$2:$B$701,$A32))</f>
        <v/>
      </c>
      <c r="T32" s="49">
        <f>IF(OR($A32="",T$4=""),"",SUMIFS('Students'!S$2:S$701,'Students'!$B$2:$B$701,$A32))</f>
        <v/>
      </c>
      <c r="U32" s="49">
        <f>IF(OR($A32="",U$4=""),"",SUMIFS('Students'!T$2:T$701,'Students'!$B$2:$B$701,$A32))</f>
        <v/>
      </c>
      <c r="V32" s="49">
        <f>IF(OR($A32="",V$4=""),"",SUMIFS('Students'!U$2:U$701,'Students'!$B$2:$B$701,$A32))</f>
        <v/>
      </c>
      <c r="W32" s="49">
        <f>IF(OR($A32="",W$4=""),"",SUMIFS('Students'!V$2:V$701,'Students'!$B$2:$B$701,$A32))</f>
        <v/>
      </c>
      <c r="X32" s="49">
        <f>IF(OR($A32="",X$4=""),"",SUMIFS('Students'!W$2:W$701,'Students'!$B$2:$B$701,$A32))</f>
        <v/>
      </c>
      <c r="Y32" s="49">
        <f>IF(OR($A32="",Y$4=""),"",SUMIFS('Students'!X$2:X$701,'Students'!$B$2:$B$701,$A32))</f>
        <v/>
      </c>
      <c r="Z32" s="49">
        <f>IF(OR($A32="",Z$4=""),"",SUMIFS('Students'!Y$2:Y$701,'Students'!$B$2:$B$701,$A32))</f>
        <v/>
      </c>
      <c r="AA32" s="49">
        <f>IF(OR($A32="",AA$4=""),"",SUMIFS('Students'!Z$2:Z$701,'Students'!$B$2:$B$701,$A32))</f>
        <v/>
      </c>
      <c r="AB32" s="49">
        <f>IF(OR($A32="",AB$4=""),"",SUMIFS('Students'!AA$2:AA$701,'Students'!$B$2:$B$701,$A32))</f>
        <v/>
      </c>
      <c r="AC32" s="49">
        <f>IF(OR($A32="",AC$4=""),"",SUMIFS('Students'!AB$2:AB$701,'Students'!$B$2:$B$701,$A32))</f>
        <v/>
      </c>
      <c r="AD32" s="49">
        <f>IF(OR($A32="",AD$4=""),"",SUMIFS('Students'!AC$2:AC$701,'Students'!$B$2:$B$701,$A32))</f>
        <v/>
      </c>
      <c r="AE32">
        <f>IFERROR(MATCH(28,'Students'!$AJ$2:$AJ$701,0),"")</f>
        <v/>
      </c>
      <c r="AF32">
        <f>IF(A32="",-1,G32+(100-ROW())/10^7)</f>
        <v/>
      </c>
      <c r="AG32">
        <f>IF($A32="",-1,ROUND(SUMIFS('Students'!$AO$2:$AO$701,'Students'!$B$2:$B$701,$A32),2))</f>
        <v/>
      </c>
      <c r="AI32">
        <f>IF($A32="",-1,IF(N($D32)=0,0,ROUND(COUNTIFS('Students'!$B$2:$B$701,$A32,'Students'!$AQ$2:$AQ$701,"&gt;="&amp;MAX(N('Settings'!$F$25),0.01))/$D32,6)))</f>
        <v/>
      </c>
      <c r="AK32">
        <f>IF($A32="",-1,IF(N($D32)=0,0,ROUND(COUNTIFS('Students'!$B$2:$B$701,$A32,'Students'!$AS$2:$AS$701,"&gt;="&amp;0.01)/$D32,6)))</f>
        <v/>
      </c>
      <c r="AV32">
        <f>IF(AI32&lt;0,-1,AI32+N($G32)/10^9+(100-ROW())/10^13)</f>
        <v/>
      </c>
      <c r="AX32">
        <f>IF(AK32&lt;0,-1,AK32+N($G32)/10^9+(100-ROW())/10^13)</f>
        <v/>
      </c>
    </row>
    <row r="33">
      <c r="A33">
        <f>IF(AE33="","",INDEX('Students'!$B$2:$B$701,AE33))</f>
        <v/>
      </c>
      <c r="B33">
        <f>IF(AE33="","",INDEX('Students'!$AN$2:$AN$701,AE33))</f>
        <v/>
      </c>
      <c r="C33">
        <f>IF(AE33="","",INDEX('Students'!$C$2:$C$701,AE33))</f>
        <v/>
      </c>
      <c r="D33">
        <f>IF(A33="","",COUNTIFS('Students'!$B$2:$B$701,A33,'Students'!$AE$2:$AE$701,1))</f>
        <v/>
      </c>
      <c r="E33">
        <f>IF(A33="","",COUNTIFS('Students'!$B$2:$B$701,A33,'Students'!$D$2:$D$701,"&gt;0"))</f>
        <v/>
      </c>
      <c r="F33" s="47">
        <f>IF(A33="","",IF(D33&gt;0,E33/D33,0))</f>
        <v/>
      </c>
      <c r="G33" s="48">
        <f>IF(A33="","",ROUND(SUMIFS('Students'!$D$2:$D$701,'Students'!$B$2:$B$701,A33),2))</f>
        <v/>
      </c>
      <c r="H33" s="48">
        <f>IF(A33="","",IF(D33&gt;0,G33/D33,0))</f>
        <v/>
      </c>
      <c r="I33">
        <f>IF(A33="","",COUNTIF($G$5:$G$44,"&gt;"&amp;G33)+1)</f>
        <v/>
      </c>
      <c r="J33" s="49">
        <f>IF(OR($A33="",J$4=""),"",SUMIFS('Students'!I$2:I$701,'Students'!$B$2:$B$701,$A33))</f>
        <v/>
      </c>
      <c r="K33" s="49">
        <f>IF(OR($A33="",K$4=""),"",SUMIFS('Students'!J$2:J$701,'Students'!$B$2:$B$701,$A33))</f>
        <v/>
      </c>
      <c r="L33" s="49">
        <f>IF(OR($A33="",L$4=""),"",SUMIFS('Students'!K$2:K$701,'Students'!$B$2:$B$701,$A33))</f>
        <v/>
      </c>
      <c r="M33" s="49">
        <f>IF(OR($A33="",M$4=""),"",SUMIFS('Students'!L$2:L$701,'Students'!$B$2:$B$701,$A33))</f>
        <v/>
      </c>
      <c r="N33" s="49">
        <f>IF(OR($A33="",N$4=""),"",SUMIFS('Students'!M$2:M$701,'Students'!$B$2:$B$701,$A33))</f>
        <v/>
      </c>
      <c r="O33" s="49">
        <f>IF(OR($A33="",O$4=""),"",SUMIFS('Students'!N$2:N$701,'Students'!$B$2:$B$701,$A33))</f>
        <v/>
      </c>
      <c r="P33" s="49">
        <f>IF(OR($A33="",P$4=""),"",SUMIFS('Students'!O$2:O$701,'Students'!$B$2:$B$701,$A33))</f>
        <v/>
      </c>
      <c r="Q33" s="49">
        <f>IF(OR($A33="",Q$4=""),"",SUMIFS('Students'!P$2:P$701,'Students'!$B$2:$B$701,$A33))</f>
        <v/>
      </c>
      <c r="R33" s="49">
        <f>IF(OR($A33="",R$4=""),"",SUMIFS('Students'!Q$2:Q$701,'Students'!$B$2:$B$701,$A33))</f>
        <v/>
      </c>
      <c r="S33" s="49">
        <f>IF(OR($A33="",S$4=""),"",SUMIFS('Students'!R$2:R$701,'Students'!$B$2:$B$701,$A33))</f>
        <v/>
      </c>
      <c r="T33" s="49">
        <f>IF(OR($A33="",T$4=""),"",SUMIFS('Students'!S$2:S$701,'Students'!$B$2:$B$701,$A33))</f>
        <v/>
      </c>
      <c r="U33" s="49">
        <f>IF(OR($A33="",U$4=""),"",SUMIFS('Students'!T$2:T$701,'Students'!$B$2:$B$701,$A33))</f>
        <v/>
      </c>
      <c r="V33" s="49">
        <f>IF(OR($A33="",V$4=""),"",SUMIFS('Students'!U$2:U$701,'Students'!$B$2:$B$701,$A33))</f>
        <v/>
      </c>
      <c r="W33" s="49">
        <f>IF(OR($A33="",W$4=""),"",SUMIFS('Students'!V$2:V$701,'Students'!$B$2:$B$701,$A33))</f>
        <v/>
      </c>
      <c r="X33" s="49">
        <f>IF(OR($A33="",X$4=""),"",SUMIFS('Students'!W$2:W$701,'Students'!$B$2:$B$701,$A33))</f>
        <v/>
      </c>
      <c r="Y33" s="49">
        <f>IF(OR($A33="",Y$4=""),"",SUMIFS('Students'!X$2:X$701,'Students'!$B$2:$B$701,$A33))</f>
        <v/>
      </c>
      <c r="Z33" s="49">
        <f>IF(OR($A33="",Z$4=""),"",SUMIFS('Students'!Y$2:Y$701,'Students'!$B$2:$B$701,$A33))</f>
        <v/>
      </c>
      <c r="AA33" s="49">
        <f>IF(OR($A33="",AA$4=""),"",SUMIFS('Students'!Z$2:Z$701,'Students'!$B$2:$B$701,$A33))</f>
        <v/>
      </c>
      <c r="AB33" s="49">
        <f>IF(OR($A33="",AB$4=""),"",SUMIFS('Students'!AA$2:AA$701,'Students'!$B$2:$B$701,$A33))</f>
        <v/>
      </c>
      <c r="AC33" s="49">
        <f>IF(OR($A33="",AC$4=""),"",SUMIFS('Students'!AB$2:AB$701,'Students'!$B$2:$B$701,$A33))</f>
        <v/>
      </c>
      <c r="AD33" s="49">
        <f>IF(OR($A33="",AD$4=""),"",SUMIFS('Students'!AC$2:AC$701,'Students'!$B$2:$B$701,$A33))</f>
        <v/>
      </c>
      <c r="AE33">
        <f>IFERROR(MATCH(29,'Students'!$AJ$2:$AJ$701,0),"")</f>
        <v/>
      </c>
      <c r="AF33">
        <f>IF(A33="",-1,G33+(100-ROW())/10^7)</f>
        <v/>
      </c>
      <c r="AG33">
        <f>IF($A33="",-1,ROUND(SUMIFS('Students'!$AO$2:$AO$701,'Students'!$B$2:$B$701,$A33),2))</f>
        <v/>
      </c>
      <c r="AI33">
        <f>IF($A33="",-1,IF(N($D33)=0,0,ROUND(COUNTIFS('Students'!$B$2:$B$701,$A33,'Students'!$AQ$2:$AQ$701,"&gt;="&amp;MAX(N('Settings'!$F$25),0.01))/$D33,6)))</f>
        <v/>
      </c>
      <c r="AK33">
        <f>IF($A33="",-1,IF(N($D33)=0,0,ROUND(COUNTIFS('Students'!$B$2:$B$701,$A33,'Students'!$AS$2:$AS$701,"&gt;="&amp;0.01)/$D33,6)))</f>
        <v/>
      </c>
      <c r="AV33">
        <f>IF(AI33&lt;0,-1,AI33+N($G33)/10^9+(100-ROW())/10^13)</f>
        <v/>
      </c>
      <c r="AX33">
        <f>IF(AK33&lt;0,-1,AK33+N($G33)/10^9+(100-ROW())/10^13)</f>
        <v/>
      </c>
    </row>
    <row r="34">
      <c r="A34">
        <f>IF(AE34="","",INDEX('Students'!$B$2:$B$701,AE34))</f>
        <v/>
      </c>
      <c r="B34">
        <f>IF(AE34="","",INDEX('Students'!$AN$2:$AN$701,AE34))</f>
        <v/>
      </c>
      <c r="C34">
        <f>IF(AE34="","",INDEX('Students'!$C$2:$C$701,AE34))</f>
        <v/>
      </c>
      <c r="D34">
        <f>IF(A34="","",COUNTIFS('Students'!$B$2:$B$701,A34,'Students'!$AE$2:$AE$701,1))</f>
        <v/>
      </c>
      <c r="E34">
        <f>IF(A34="","",COUNTIFS('Students'!$B$2:$B$701,A34,'Students'!$D$2:$D$701,"&gt;0"))</f>
        <v/>
      </c>
      <c r="F34" s="47">
        <f>IF(A34="","",IF(D34&gt;0,E34/D34,0))</f>
        <v/>
      </c>
      <c r="G34" s="48">
        <f>IF(A34="","",ROUND(SUMIFS('Students'!$D$2:$D$701,'Students'!$B$2:$B$701,A34),2))</f>
        <v/>
      </c>
      <c r="H34" s="48">
        <f>IF(A34="","",IF(D34&gt;0,G34/D34,0))</f>
        <v/>
      </c>
      <c r="I34">
        <f>IF(A34="","",COUNTIF($G$5:$G$44,"&gt;"&amp;G34)+1)</f>
        <v/>
      </c>
      <c r="J34" s="49">
        <f>IF(OR($A34="",J$4=""),"",SUMIFS('Students'!I$2:I$701,'Students'!$B$2:$B$701,$A34))</f>
        <v/>
      </c>
      <c r="K34" s="49">
        <f>IF(OR($A34="",K$4=""),"",SUMIFS('Students'!J$2:J$701,'Students'!$B$2:$B$701,$A34))</f>
        <v/>
      </c>
      <c r="L34" s="49">
        <f>IF(OR($A34="",L$4=""),"",SUMIFS('Students'!K$2:K$701,'Students'!$B$2:$B$701,$A34))</f>
        <v/>
      </c>
      <c r="M34" s="49">
        <f>IF(OR($A34="",M$4=""),"",SUMIFS('Students'!L$2:L$701,'Students'!$B$2:$B$701,$A34))</f>
        <v/>
      </c>
      <c r="N34" s="49">
        <f>IF(OR($A34="",N$4=""),"",SUMIFS('Students'!M$2:M$701,'Students'!$B$2:$B$701,$A34))</f>
        <v/>
      </c>
      <c r="O34" s="49">
        <f>IF(OR($A34="",O$4=""),"",SUMIFS('Students'!N$2:N$701,'Students'!$B$2:$B$701,$A34))</f>
        <v/>
      </c>
      <c r="P34" s="49">
        <f>IF(OR($A34="",P$4=""),"",SUMIFS('Students'!O$2:O$701,'Students'!$B$2:$B$701,$A34))</f>
        <v/>
      </c>
      <c r="Q34" s="49">
        <f>IF(OR($A34="",Q$4=""),"",SUMIFS('Students'!P$2:P$701,'Students'!$B$2:$B$701,$A34))</f>
        <v/>
      </c>
      <c r="R34" s="49">
        <f>IF(OR($A34="",R$4=""),"",SUMIFS('Students'!Q$2:Q$701,'Students'!$B$2:$B$701,$A34))</f>
        <v/>
      </c>
      <c r="S34" s="49">
        <f>IF(OR($A34="",S$4=""),"",SUMIFS('Students'!R$2:R$701,'Students'!$B$2:$B$701,$A34))</f>
        <v/>
      </c>
      <c r="T34" s="49">
        <f>IF(OR($A34="",T$4=""),"",SUMIFS('Students'!S$2:S$701,'Students'!$B$2:$B$701,$A34))</f>
        <v/>
      </c>
      <c r="U34" s="49">
        <f>IF(OR($A34="",U$4=""),"",SUMIFS('Students'!T$2:T$701,'Students'!$B$2:$B$701,$A34))</f>
        <v/>
      </c>
      <c r="V34" s="49">
        <f>IF(OR($A34="",V$4=""),"",SUMIFS('Students'!U$2:U$701,'Students'!$B$2:$B$701,$A34))</f>
        <v/>
      </c>
      <c r="W34" s="49">
        <f>IF(OR($A34="",W$4=""),"",SUMIFS('Students'!V$2:V$701,'Students'!$B$2:$B$701,$A34))</f>
        <v/>
      </c>
      <c r="X34" s="49">
        <f>IF(OR($A34="",X$4=""),"",SUMIFS('Students'!W$2:W$701,'Students'!$B$2:$B$701,$A34))</f>
        <v/>
      </c>
      <c r="Y34" s="49">
        <f>IF(OR($A34="",Y$4=""),"",SUMIFS('Students'!X$2:X$701,'Students'!$B$2:$B$701,$A34))</f>
        <v/>
      </c>
      <c r="Z34" s="49">
        <f>IF(OR($A34="",Z$4=""),"",SUMIFS('Students'!Y$2:Y$701,'Students'!$B$2:$B$701,$A34))</f>
        <v/>
      </c>
      <c r="AA34" s="49">
        <f>IF(OR($A34="",AA$4=""),"",SUMIFS('Students'!Z$2:Z$701,'Students'!$B$2:$B$701,$A34))</f>
        <v/>
      </c>
      <c r="AB34" s="49">
        <f>IF(OR($A34="",AB$4=""),"",SUMIFS('Students'!AA$2:AA$701,'Students'!$B$2:$B$701,$A34))</f>
        <v/>
      </c>
      <c r="AC34" s="49">
        <f>IF(OR($A34="",AC$4=""),"",SUMIFS('Students'!AB$2:AB$701,'Students'!$B$2:$B$701,$A34))</f>
        <v/>
      </c>
      <c r="AD34" s="49">
        <f>IF(OR($A34="",AD$4=""),"",SUMIFS('Students'!AC$2:AC$701,'Students'!$B$2:$B$701,$A34))</f>
        <v/>
      </c>
      <c r="AE34">
        <f>IFERROR(MATCH(30,'Students'!$AJ$2:$AJ$701,0),"")</f>
        <v/>
      </c>
      <c r="AF34">
        <f>IF(A34="",-1,G34+(100-ROW())/10^7)</f>
        <v/>
      </c>
      <c r="AG34">
        <f>IF($A34="",-1,ROUND(SUMIFS('Students'!$AO$2:$AO$701,'Students'!$B$2:$B$701,$A34),2))</f>
        <v/>
      </c>
      <c r="AI34">
        <f>IF($A34="",-1,IF(N($D34)=0,0,ROUND(COUNTIFS('Students'!$B$2:$B$701,$A34,'Students'!$AQ$2:$AQ$701,"&gt;="&amp;MAX(N('Settings'!$F$25),0.01))/$D34,6)))</f>
        <v/>
      </c>
      <c r="AK34">
        <f>IF($A34="",-1,IF(N($D34)=0,0,ROUND(COUNTIFS('Students'!$B$2:$B$701,$A34,'Students'!$AS$2:$AS$701,"&gt;="&amp;0.01)/$D34,6)))</f>
        <v/>
      </c>
      <c r="AV34">
        <f>IF(AI34&lt;0,-1,AI34+N($G34)/10^9+(100-ROW())/10^13)</f>
        <v/>
      </c>
      <c r="AX34">
        <f>IF(AK34&lt;0,-1,AK34+N($G34)/10^9+(100-ROW())/10^13)</f>
        <v/>
      </c>
    </row>
    <row r="35">
      <c r="A35">
        <f>IF(AE35="","",INDEX('Students'!$B$2:$B$701,AE35))</f>
        <v/>
      </c>
      <c r="B35">
        <f>IF(AE35="","",INDEX('Students'!$AN$2:$AN$701,AE35))</f>
        <v/>
      </c>
      <c r="C35">
        <f>IF(AE35="","",INDEX('Students'!$C$2:$C$701,AE35))</f>
        <v/>
      </c>
      <c r="D35">
        <f>IF(A35="","",COUNTIFS('Students'!$B$2:$B$701,A35,'Students'!$AE$2:$AE$701,1))</f>
        <v/>
      </c>
      <c r="E35">
        <f>IF(A35="","",COUNTIFS('Students'!$B$2:$B$701,A35,'Students'!$D$2:$D$701,"&gt;0"))</f>
        <v/>
      </c>
      <c r="F35" s="47">
        <f>IF(A35="","",IF(D35&gt;0,E35/D35,0))</f>
        <v/>
      </c>
      <c r="G35" s="48">
        <f>IF(A35="","",ROUND(SUMIFS('Students'!$D$2:$D$701,'Students'!$B$2:$B$701,A35),2))</f>
        <v/>
      </c>
      <c r="H35" s="48">
        <f>IF(A35="","",IF(D35&gt;0,G35/D35,0))</f>
        <v/>
      </c>
      <c r="I35">
        <f>IF(A35="","",COUNTIF($G$5:$G$44,"&gt;"&amp;G35)+1)</f>
        <v/>
      </c>
      <c r="J35" s="49">
        <f>IF(OR($A35="",J$4=""),"",SUMIFS('Students'!I$2:I$701,'Students'!$B$2:$B$701,$A35))</f>
        <v/>
      </c>
      <c r="K35" s="49">
        <f>IF(OR($A35="",K$4=""),"",SUMIFS('Students'!J$2:J$701,'Students'!$B$2:$B$701,$A35))</f>
        <v/>
      </c>
      <c r="L35" s="49">
        <f>IF(OR($A35="",L$4=""),"",SUMIFS('Students'!K$2:K$701,'Students'!$B$2:$B$701,$A35))</f>
        <v/>
      </c>
      <c r="M35" s="49">
        <f>IF(OR($A35="",M$4=""),"",SUMIFS('Students'!L$2:L$701,'Students'!$B$2:$B$701,$A35))</f>
        <v/>
      </c>
      <c r="N35" s="49">
        <f>IF(OR($A35="",N$4=""),"",SUMIFS('Students'!M$2:M$701,'Students'!$B$2:$B$701,$A35))</f>
        <v/>
      </c>
      <c r="O35" s="49">
        <f>IF(OR($A35="",O$4=""),"",SUMIFS('Students'!N$2:N$701,'Students'!$B$2:$B$701,$A35))</f>
        <v/>
      </c>
      <c r="P35" s="49">
        <f>IF(OR($A35="",P$4=""),"",SUMIFS('Students'!O$2:O$701,'Students'!$B$2:$B$701,$A35))</f>
        <v/>
      </c>
      <c r="Q35" s="49">
        <f>IF(OR($A35="",Q$4=""),"",SUMIFS('Students'!P$2:P$701,'Students'!$B$2:$B$701,$A35))</f>
        <v/>
      </c>
      <c r="R35" s="49">
        <f>IF(OR($A35="",R$4=""),"",SUMIFS('Students'!Q$2:Q$701,'Students'!$B$2:$B$701,$A35))</f>
        <v/>
      </c>
      <c r="S35" s="49">
        <f>IF(OR($A35="",S$4=""),"",SUMIFS('Students'!R$2:R$701,'Students'!$B$2:$B$701,$A35))</f>
        <v/>
      </c>
      <c r="T35" s="49">
        <f>IF(OR($A35="",T$4=""),"",SUMIFS('Students'!S$2:S$701,'Students'!$B$2:$B$701,$A35))</f>
        <v/>
      </c>
      <c r="U35" s="49">
        <f>IF(OR($A35="",U$4=""),"",SUMIFS('Students'!T$2:T$701,'Students'!$B$2:$B$701,$A35))</f>
        <v/>
      </c>
      <c r="V35" s="49">
        <f>IF(OR($A35="",V$4=""),"",SUMIFS('Students'!U$2:U$701,'Students'!$B$2:$B$701,$A35))</f>
        <v/>
      </c>
      <c r="W35" s="49">
        <f>IF(OR($A35="",W$4=""),"",SUMIFS('Students'!V$2:V$701,'Students'!$B$2:$B$701,$A35))</f>
        <v/>
      </c>
      <c r="X35" s="49">
        <f>IF(OR($A35="",X$4=""),"",SUMIFS('Students'!W$2:W$701,'Students'!$B$2:$B$701,$A35))</f>
        <v/>
      </c>
      <c r="Y35" s="49">
        <f>IF(OR($A35="",Y$4=""),"",SUMIFS('Students'!X$2:X$701,'Students'!$B$2:$B$701,$A35))</f>
        <v/>
      </c>
      <c r="Z35" s="49">
        <f>IF(OR($A35="",Z$4=""),"",SUMIFS('Students'!Y$2:Y$701,'Students'!$B$2:$B$701,$A35))</f>
        <v/>
      </c>
      <c r="AA35" s="49">
        <f>IF(OR($A35="",AA$4=""),"",SUMIFS('Students'!Z$2:Z$701,'Students'!$B$2:$B$701,$A35))</f>
        <v/>
      </c>
      <c r="AB35" s="49">
        <f>IF(OR($A35="",AB$4=""),"",SUMIFS('Students'!AA$2:AA$701,'Students'!$B$2:$B$701,$A35))</f>
        <v/>
      </c>
      <c r="AC35" s="49">
        <f>IF(OR($A35="",AC$4=""),"",SUMIFS('Students'!AB$2:AB$701,'Students'!$B$2:$B$701,$A35))</f>
        <v/>
      </c>
      <c r="AD35" s="49">
        <f>IF(OR($A35="",AD$4=""),"",SUMIFS('Students'!AC$2:AC$701,'Students'!$B$2:$B$701,$A35))</f>
        <v/>
      </c>
      <c r="AE35">
        <f>IFERROR(MATCH(31,'Students'!$AJ$2:$AJ$701,0),"")</f>
        <v/>
      </c>
      <c r="AF35">
        <f>IF(A35="",-1,G35+(100-ROW())/10^7)</f>
        <v/>
      </c>
      <c r="AG35">
        <f>IF($A35="",-1,ROUND(SUMIFS('Students'!$AO$2:$AO$701,'Students'!$B$2:$B$701,$A35),2))</f>
        <v/>
      </c>
      <c r="AI35">
        <f>IF($A35="",-1,IF(N($D35)=0,0,ROUND(COUNTIFS('Students'!$B$2:$B$701,$A35,'Students'!$AQ$2:$AQ$701,"&gt;="&amp;MAX(N('Settings'!$F$25),0.01))/$D35,6)))</f>
        <v/>
      </c>
      <c r="AK35">
        <f>IF($A35="",-1,IF(N($D35)=0,0,ROUND(COUNTIFS('Students'!$B$2:$B$701,$A35,'Students'!$AS$2:$AS$701,"&gt;="&amp;0.01)/$D35,6)))</f>
        <v/>
      </c>
      <c r="AV35">
        <f>IF(AI35&lt;0,-1,AI35+N($G35)/10^9+(100-ROW())/10^13)</f>
        <v/>
      </c>
      <c r="AX35">
        <f>IF(AK35&lt;0,-1,AK35+N($G35)/10^9+(100-ROW())/10^13)</f>
        <v/>
      </c>
    </row>
    <row r="36">
      <c r="A36">
        <f>IF(AE36="","",INDEX('Students'!$B$2:$B$701,AE36))</f>
        <v/>
      </c>
      <c r="B36">
        <f>IF(AE36="","",INDEX('Students'!$AN$2:$AN$701,AE36))</f>
        <v/>
      </c>
      <c r="C36">
        <f>IF(AE36="","",INDEX('Students'!$C$2:$C$701,AE36))</f>
        <v/>
      </c>
      <c r="D36">
        <f>IF(A36="","",COUNTIFS('Students'!$B$2:$B$701,A36,'Students'!$AE$2:$AE$701,1))</f>
        <v/>
      </c>
      <c r="E36">
        <f>IF(A36="","",COUNTIFS('Students'!$B$2:$B$701,A36,'Students'!$D$2:$D$701,"&gt;0"))</f>
        <v/>
      </c>
      <c r="F36" s="47">
        <f>IF(A36="","",IF(D36&gt;0,E36/D36,0))</f>
        <v/>
      </c>
      <c r="G36" s="48">
        <f>IF(A36="","",ROUND(SUMIFS('Students'!$D$2:$D$701,'Students'!$B$2:$B$701,A36),2))</f>
        <v/>
      </c>
      <c r="H36" s="48">
        <f>IF(A36="","",IF(D36&gt;0,G36/D36,0))</f>
        <v/>
      </c>
      <c r="I36">
        <f>IF(A36="","",COUNTIF($G$5:$G$44,"&gt;"&amp;G36)+1)</f>
        <v/>
      </c>
      <c r="J36" s="49">
        <f>IF(OR($A36="",J$4=""),"",SUMIFS('Students'!I$2:I$701,'Students'!$B$2:$B$701,$A36))</f>
        <v/>
      </c>
      <c r="K36" s="49">
        <f>IF(OR($A36="",K$4=""),"",SUMIFS('Students'!J$2:J$701,'Students'!$B$2:$B$701,$A36))</f>
        <v/>
      </c>
      <c r="L36" s="49">
        <f>IF(OR($A36="",L$4=""),"",SUMIFS('Students'!K$2:K$701,'Students'!$B$2:$B$701,$A36))</f>
        <v/>
      </c>
      <c r="M36" s="49">
        <f>IF(OR($A36="",M$4=""),"",SUMIFS('Students'!L$2:L$701,'Students'!$B$2:$B$701,$A36))</f>
        <v/>
      </c>
      <c r="N36" s="49">
        <f>IF(OR($A36="",N$4=""),"",SUMIFS('Students'!M$2:M$701,'Students'!$B$2:$B$701,$A36))</f>
        <v/>
      </c>
      <c r="O36" s="49">
        <f>IF(OR($A36="",O$4=""),"",SUMIFS('Students'!N$2:N$701,'Students'!$B$2:$B$701,$A36))</f>
        <v/>
      </c>
      <c r="P36" s="49">
        <f>IF(OR($A36="",P$4=""),"",SUMIFS('Students'!O$2:O$701,'Students'!$B$2:$B$701,$A36))</f>
        <v/>
      </c>
      <c r="Q36" s="49">
        <f>IF(OR($A36="",Q$4=""),"",SUMIFS('Students'!P$2:P$701,'Students'!$B$2:$B$701,$A36))</f>
        <v/>
      </c>
      <c r="R36" s="49">
        <f>IF(OR($A36="",R$4=""),"",SUMIFS('Students'!Q$2:Q$701,'Students'!$B$2:$B$701,$A36))</f>
        <v/>
      </c>
      <c r="S36" s="49">
        <f>IF(OR($A36="",S$4=""),"",SUMIFS('Students'!R$2:R$701,'Students'!$B$2:$B$701,$A36))</f>
        <v/>
      </c>
      <c r="T36" s="49">
        <f>IF(OR($A36="",T$4=""),"",SUMIFS('Students'!S$2:S$701,'Students'!$B$2:$B$701,$A36))</f>
        <v/>
      </c>
      <c r="U36" s="49">
        <f>IF(OR($A36="",U$4=""),"",SUMIFS('Students'!T$2:T$701,'Students'!$B$2:$B$701,$A36))</f>
        <v/>
      </c>
      <c r="V36" s="49">
        <f>IF(OR($A36="",V$4=""),"",SUMIFS('Students'!U$2:U$701,'Students'!$B$2:$B$701,$A36))</f>
        <v/>
      </c>
      <c r="W36" s="49">
        <f>IF(OR($A36="",W$4=""),"",SUMIFS('Students'!V$2:V$701,'Students'!$B$2:$B$701,$A36))</f>
        <v/>
      </c>
      <c r="X36" s="49">
        <f>IF(OR($A36="",X$4=""),"",SUMIFS('Students'!W$2:W$701,'Students'!$B$2:$B$701,$A36))</f>
        <v/>
      </c>
      <c r="Y36" s="49">
        <f>IF(OR($A36="",Y$4=""),"",SUMIFS('Students'!X$2:X$701,'Students'!$B$2:$B$701,$A36))</f>
        <v/>
      </c>
      <c r="Z36" s="49">
        <f>IF(OR($A36="",Z$4=""),"",SUMIFS('Students'!Y$2:Y$701,'Students'!$B$2:$B$701,$A36))</f>
        <v/>
      </c>
      <c r="AA36" s="49">
        <f>IF(OR($A36="",AA$4=""),"",SUMIFS('Students'!Z$2:Z$701,'Students'!$B$2:$B$701,$A36))</f>
        <v/>
      </c>
      <c r="AB36" s="49">
        <f>IF(OR($A36="",AB$4=""),"",SUMIFS('Students'!AA$2:AA$701,'Students'!$B$2:$B$701,$A36))</f>
        <v/>
      </c>
      <c r="AC36" s="49">
        <f>IF(OR($A36="",AC$4=""),"",SUMIFS('Students'!AB$2:AB$701,'Students'!$B$2:$B$701,$A36))</f>
        <v/>
      </c>
      <c r="AD36" s="49">
        <f>IF(OR($A36="",AD$4=""),"",SUMIFS('Students'!AC$2:AC$701,'Students'!$B$2:$B$701,$A36))</f>
        <v/>
      </c>
      <c r="AE36">
        <f>IFERROR(MATCH(32,'Students'!$AJ$2:$AJ$701,0),"")</f>
        <v/>
      </c>
      <c r="AF36">
        <f>IF(A36="",-1,G36+(100-ROW())/10^7)</f>
        <v/>
      </c>
      <c r="AG36">
        <f>IF($A36="",-1,ROUND(SUMIFS('Students'!$AO$2:$AO$701,'Students'!$B$2:$B$701,$A36),2))</f>
        <v/>
      </c>
      <c r="AI36">
        <f>IF($A36="",-1,IF(N($D36)=0,0,ROUND(COUNTIFS('Students'!$B$2:$B$701,$A36,'Students'!$AQ$2:$AQ$701,"&gt;="&amp;MAX(N('Settings'!$F$25),0.01))/$D36,6)))</f>
        <v/>
      </c>
      <c r="AK36">
        <f>IF($A36="",-1,IF(N($D36)=0,0,ROUND(COUNTIFS('Students'!$B$2:$B$701,$A36,'Students'!$AS$2:$AS$701,"&gt;="&amp;0.01)/$D36,6)))</f>
        <v/>
      </c>
      <c r="AV36">
        <f>IF(AI36&lt;0,-1,AI36+N($G36)/10^9+(100-ROW())/10^13)</f>
        <v/>
      </c>
      <c r="AX36">
        <f>IF(AK36&lt;0,-1,AK36+N($G36)/10^9+(100-ROW())/10^13)</f>
        <v/>
      </c>
    </row>
    <row r="37">
      <c r="A37">
        <f>IF(AE37="","",INDEX('Students'!$B$2:$B$701,AE37))</f>
        <v/>
      </c>
      <c r="B37">
        <f>IF(AE37="","",INDEX('Students'!$AN$2:$AN$701,AE37))</f>
        <v/>
      </c>
      <c r="C37">
        <f>IF(AE37="","",INDEX('Students'!$C$2:$C$701,AE37))</f>
        <v/>
      </c>
      <c r="D37">
        <f>IF(A37="","",COUNTIFS('Students'!$B$2:$B$701,A37,'Students'!$AE$2:$AE$701,1))</f>
        <v/>
      </c>
      <c r="E37">
        <f>IF(A37="","",COUNTIFS('Students'!$B$2:$B$701,A37,'Students'!$D$2:$D$701,"&gt;0"))</f>
        <v/>
      </c>
      <c r="F37" s="47">
        <f>IF(A37="","",IF(D37&gt;0,E37/D37,0))</f>
        <v/>
      </c>
      <c r="G37" s="48">
        <f>IF(A37="","",ROUND(SUMIFS('Students'!$D$2:$D$701,'Students'!$B$2:$B$701,A37),2))</f>
        <v/>
      </c>
      <c r="H37" s="48">
        <f>IF(A37="","",IF(D37&gt;0,G37/D37,0))</f>
        <v/>
      </c>
      <c r="I37">
        <f>IF(A37="","",COUNTIF($G$5:$G$44,"&gt;"&amp;G37)+1)</f>
        <v/>
      </c>
      <c r="J37" s="49">
        <f>IF(OR($A37="",J$4=""),"",SUMIFS('Students'!I$2:I$701,'Students'!$B$2:$B$701,$A37))</f>
        <v/>
      </c>
      <c r="K37" s="49">
        <f>IF(OR($A37="",K$4=""),"",SUMIFS('Students'!J$2:J$701,'Students'!$B$2:$B$701,$A37))</f>
        <v/>
      </c>
      <c r="L37" s="49">
        <f>IF(OR($A37="",L$4=""),"",SUMIFS('Students'!K$2:K$701,'Students'!$B$2:$B$701,$A37))</f>
        <v/>
      </c>
      <c r="M37" s="49">
        <f>IF(OR($A37="",M$4=""),"",SUMIFS('Students'!L$2:L$701,'Students'!$B$2:$B$701,$A37))</f>
        <v/>
      </c>
      <c r="N37" s="49">
        <f>IF(OR($A37="",N$4=""),"",SUMIFS('Students'!M$2:M$701,'Students'!$B$2:$B$701,$A37))</f>
        <v/>
      </c>
      <c r="O37" s="49">
        <f>IF(OR($A37="",O$4=""),"",SUMIFS('Students'!N$2:N$701,'Students'!$B$2:$B$701,$A37))</f>
        <v/>
      </c>
      <c r="P37" s="49">
        <f>IF(OR($A37="",P$4=""),"",SUMIFS('Students'!O$2:O$701,'Students'!$B$2:$B$701,$A37))</f>
        <v/>
      </c>
      <c r="Q37" s="49">
        <f>IF(OR($A37="",Q$4=""),"",SUMIFS('Students'!P$2:P$701,'Students'!$B$2:$B$701,$A37))</f>
        <v/>
      </c>
      <c r="R37" s="49">
        <f>IF(OR($A37="",R$4=""),"",SUMIFS('Students'!Q$2:Q$701,'Students'!$B$2:$B$701,$A37))</f>
        <v/>
      </c>
      <c r="S37" s="49">
        <f>IF(OR($A37="",S$4=""),"",SUMIFS('Students'!R$2:R$701,'Students'!$B$2:$B$701,$A37))</f>
        <v/>
      </c>
      <c r="T37" s="49">
        <f>IF(OR($A37="",T$4=""),"",SUMIFS('Students'!S$2:S$701,'Students'!$B$2:$B$701,$A37))</f>
        <v/>
      </c>
      <c r="U37" s="49">
        <f>IF(OR($A37="",U$4=""),"",SUMIFS('Students'!T$2:T$701,'Students'!$B$2:$B$701,$A37))</f>
        <v/>
      </c>
      <c r="V37" s="49">
        <f>IF(OR($A37="",V$4=""),"",SUMIFS('Students'!U$2:U$701,'Students'!$B$2:$B$701,$A37))</f>
        <v/>
      </c>
      <c r="W37" s="49">
        <f>IF(OR($A37="",W$4=""),"",SUMIFS('Students'!V$2:V$701,'Students'!$B$2:$B$701,$A37))</f>
        <v/>
      </c>
      <c r="X37" s="49">
        <f>IF(OR($A37="",X$4=""),"",SUMIFS('Students'!W$2:W$701,'Students'!$B$2:$B$701,$A37))</f>
        <v/>
      </c>
      <c r="Y37" s="49">
        <f>IF(OR($A37="",Y$4=""),"",SUMIFS('Students'!X$2:X$701,'Students'!$B$2:$B$701,$A37))</f>
        <v/>
      </c>
      <c r="Z37" s="49">
        <f>IF(OR($A37="",Z$4=""),"",SUMIFS('Students'!Y$2:Y$701,'Students'!$B$2:$B$701,$A37))</f>
        <v/>
      </c>
      <c r="AA37" s="49">
        <f>IF(OR($A37="",AA$4=""),"",SUMIFS('Students'!Z$2:Z$701,'Students'!$B$2:$B$701,$A37))</f>
        <v/>
      </c>
      <c r="AB37" s="49">
        <f>IF(OR($A37="",AB$4=""),"",SUMIFS('Students'!AA$2:AA$701,'Students'!$B$2:$B$701,$A37))</f>
        <v/>
      </c>
      <c r="AC37" s="49">
        <f>IF(OR($A37="",AC$4=""),"",SUMIFS('Students'!AB$2:AB$701,'Students'!$B$2:$B$701,$A37))</f>
        <v/>
      </c>
      <c r="AD37" s="49">
        <f>IF(OR($A37="",AD$4=""),"",SUMIFS('Students'!AC$2:AC$701,'Students'!$B$2:$B$701,$A37))</f>
        <v/>
      </c>
      <c r="AE37">
        <f>IFERROR(MATCH(33,'Students'!$AJ$2:$AJ$701,0),"")</f>
        <v/>
      </c>
      <c r="AF37">
        <f>IF(A37="",-1,G37+(100-ROW())/10^7)</f>
        <v/>
      </c>
      <c r="AG37">
        <f>IF($A37="",-1,ROUND(SUMIFS('Students'!$AO$2:$AO$701,'Students'!$B$2:$B$701,$A37),2))</f>
        <v/>
      </c>
      <c r="AI37">
        <f>IF($A37="",-1,IF(N($D37)=0,0,ROUND(COUNTIFS('Students'!$B$2:$B$701,$A37,'Students'!$AQ$2:$AQ$701,"&gt;="&amp;MAX(N('Settings'!$F$25),0.01))/$D37,6)))</f>
        <v/>
      </c>
      <c r="AK37">
        <f>IF($A37="",-1,IF(N($D37)=0,0,ROUND(COUNTIFS('Students'!$B$2:$B$701,$A37,'Students'!$AS$2:$AS$701,"&gt;="&amp;0.01)/$D37,6)))</f>
        <v/>
      </c>
      <c r="AV37">
        <f>IF(AI37&lt;0,-1,AI37+N($G37)/10^9+(100-ROW())/10^13)</f>
        <v/>
      </c>
      <c r="AX37">
        <f>IF(AK37&lt;0,-1,AK37+N($G37)/10^9+(100-ROW())/10^13)</f>
        <v/>
      </c>
    </row>
    <row r="38">
      <c r="A38">
        <f>IF(AE38="","",INDEX('Students'!$B$2:$B$701,AE38))</f>
        <v/>
      </c>
      <c r="B38">
        <f>IF(AE38="","",INDEX('Students'!$AN$2:$AN$701,AE38))</f>
        <v/>
      </c>
      <c r="C38">
        <f>IF(AE38="","",INDEX('Students'!$C$2:$C$701,AE38))</f>
        <v/>
      </c>
      <c r="D38">
        <f>IF(A38="","",COUNTIFS('Students'!$B$2:$B$701,A38,'Students'!$AE$2:$AE$701,1))</f>
        <v/>
      </c>
      <c r="E38">
        <f>IF(A38="","",COUNTIFS('Students'!$B$2:$B$701,A38,'Students'!$D$2:$D$701,"&gt;0"))</f>
        <v/>
      </c>
      <c r="F38" s="47">
        <f>IF(A38="","",IF(D38&gt;0,E38/D38,0))</f>
        <v/>
      </c>
      <c r="G38" s="48">
        <f>IF(A38="","",ROUND(SUMIFS('Students'!$D$2:$D$701,'Students'!$B$2:$B$701,A38),2))</f>
        <v/>
      </c>
      <c r="H38" s="48">
        <f>IF(A38="","",IF(D38&gt;0,G38/D38,0))</f>
        <v/>
      </c>
      <c r="I38">
        <f>IF(A38="","",COUNTIF($G$5:$G$44,"&gt;"&amp;G38)+1)</f>
        <v/>
      </c>
      <c r="J38" s="49">
        <f>IF(OR($A38="",J$4=""),"",SUMIFS('Students'!I$2:I$701,'Students'!$B$2:$B$701,$A38))</f>
        <v/>
      </c>
      <c r="K38" s="49">
        <f>IF(OR($A38="",K$4=""),"",SUMIFS('Students'!J$2:J$701,'Students'!$B$2:$B$701,$A38))</f>
        <v/>
      </c>
      <c r="L38" s="49">
        <f>IF(OR($A38="",L$4=""),"",SUMIFS('Students'!K$2:K$701,'Students'!$B$2:$B$701,$A38))</f>
        <v/>
      </c>
      <c r="M38" s="49">
        <f>IF(OR($A38="",M$4=""),"",SUMIFS('Students'!L$2:L$701,'Students'!$B$2:$B$701,$A38))</f>
        <v/>
      </c>
      <c r="N38" s="49">
        <f>IF(OR($A38="",N$4=""),"",SUMIFS('Students'!M$2:M$701,'Students'!$B$2:$B$701,$A38))</f>
        <v/>
      </c>
      <c r="O38" s="49">
        <f>IF(OR($A38="",O$4=""),"",SUMIFS('Students'!N$2:N$701,'Students'!$B$2:$B$701,$A38))</f>
        <v/>
      </c>
      <c r="P38" s="49">
        <f>IF(OR($A38="",P$4=""),"",SUMIFS('Students'!O$2:O$701,'Students'!$B$2:$B$701,$A38))</f>
        <v/>
      </c>
      <c r="Q38" s="49">
        <f>IF(OR($A38="",Q$4=""),"",SUMIFS('Students'!P$2:P$701,'Students'!$B$2:$B$701,$A38))</f>
        <v/>
      </c>
      <c r="R38" s="49">
        <f>IF(OR($A38="",R$4=""),"",SUMIFS('Students'!Q$2:Q$701,'Students'!$B$2:$B$701,$A38))</f>
        <v/>
      </c>
      <c r="S38" s="49">
        <f>IF(OR($A38="",S$4=""),"",SUMIFS('Students'!R$2:R$701,'Students'!$B$2:$B$701,$A38))</f>
        <v/>
      </c>
      <c r="T38" s="49">
        <f>IF(OR($A38="",T$4=""),"",SUMIFS('Students'!S$2:S$701,'Students'!$B$2:$B$701,$A38))</f>
        <v/>
      </c>
      <c r="U38" s="49">
        <f>IF(OR($A38="",U$4=""),"",SUMIFS('Students'!T$2:T$701,'Students'!$B$2:$B$701,$A38))</f>
        <v/>
      </c>
      <c r="V38" s="49">
        <f>IF(OR($A38="",V$4=""),"",SUMIFS('Students'!U$2:U$701,'Students'!$B$2:$B$701,$A38))</f>
        <v/>
      </c>
      <c r="W38" s="49">
        <f>IF(OR($A38="",W$4=""),"",SUMIFS('Students'!V$2:V$701,'Students'!$B$2:$B$701,$A38))</f>
        <v/>
      </c>
      <c r="X38" s="49">
        <f>IF(OR($A38="",X$4=""),"",SUMIFS('Students'!W$2:W$701,'Students'!$B$2:$B$701,$A38))</f>
        <v/>
      </c>
      <c r="Y38" s="49">
        <f>IF(OR($A38="",Y$4=""),"",SUMIFS('Students'!X$2:X$701,'Students'!$B$2:$B$701,$A38))</f>
        <v/>
      </c>
      <c r="Z38" s="49">
        <f>IF(OR($A38="",Z$4=""),"",SUMIFS('Students'!Y$2:Y$701,'Students'!$B$2:$B$701,$A38))</f>
        <v/>
      </c>
      <c r="AA38" s="49">
        <f>IF(OR($A38="",AA$4=""),"",SUMIFS('Students'!Z$2:Z$701,'Students'!$B$2:$B$701,$A38))</f>
        <v/>
      </c>
      <c r="AB38" s="49">
        <f>IF(OR($A38="",AB$4=""),"",SUMIFS('Students'!AA$2:AA$701,'Students'!$B$2:$B$701,$A38))</f>
        <v/>
      </c>
      <c r="AC38" s="49">
        <f>IF(OR($A38="",AC$4=""),"",SUMIFS('Students'!AB$2:AB$701,'Students'!$B$2:$B$701,$A38))</f>
        <v/>
      </c>
      <c r="AD38" s="49">
        <f>IF(OR($A38="",AD$4=""),"",SUMIFS('Students'!AC$2:AC$701,'Students'!$B$2:$B$701,$A38))</f>
        <v/>
      </c>
      <c r="AE38">
        <f>IFERROR(MATCH(34,'Students'!$AJ$2:$AJ$701,0),"")</f>
        <v/>
      </c>
      <c r="AF38">
        <f>IF(A38="",-1,G38+(100-ROW())/10^7)</f>
        <v/>
      </c>
      <c r="AG38">
        <f>IF($A38="",-1,ROUND(SUMIFS('Students'!$AO$2:$AO$701,'Students'!$B$2:$B$701,$A38),2))</f>
        <v/>
      </c>
      <c r="AI38">
        <f>IF($A38="",-1,IF(N($D38)=0,0,ROUND(COUNTIFS('Students'!$B$2:$B$701,$A38,'Students'!$AQ$2:$AQ$701,"&gt;="&amp;MAX(N('Settings'!$F$25),0.01))/$D38,6)))</f>
        <v/>
      </c>
      <c r="AK38">
        <f>IF($A38="",-1,IF(N($D38)=0,0,ROUND(COUNTIFS('Students'!$B$2:$B$701,$A38,'Students'!$AS$2:$AS$701,"&gt;="&amp;0.01)/$D38,6)))</f>
        <v/>
      </c>
      <c r="AV38">
        <f>IF(AI38&lt;0,-1,AI38+N($G38)/10^9+(100-ROW())/10^13)</f>
        <v/>
      </c>
      <c r="AX38">
        <f>IF(AK38&lt;0,-1,AK38+N($G38)/10^9+(100-ROW())/10^13)</f>
        <v/>
      </c>
    </row>
    <row r="39">
      <c r="A39">
        <f>IF(AE39="","",INDEX('Students'!$B$2:$B$701,AE39))</f>
        <v/>
      </c>
      <c r="B39">
        <f>IF(AE39="","",INDEX('Students'!$AN$2:$AN$701,AE39))</f>
        <v/>
      </c>
      <c r="C39">
        <f>IF(AE39="","",INDEX('Students'!$C$2:$C$701,AE39))</f>
        <v/>
      </c>
      <c r="D39">
        <f>IF(A39="","",COUNTIFS('Students'!$B$2:$B$701,A39,'Students'!$AE$2:$AE$701,1))</f>
        <v/>
      </c>
      <c r="E39">
        <f>IF(A39="","",COUNTIFS('Students'!$B$2:$B$701,A39,'Students'!$D$2:$D$701,"&gt;0"))</f>
        <v/>
      </c>
      <c r="F39" s="47">
        <f>IF(A39="","",IF(D39&gt;0,E39/D39,0))</f>
        <v/>
      </c>
      <c r="G39" s="48">
        <f>IF(A39="","",ROUND(SUMIFS('Students'!$D$2:$D$701,'Students'!$B$2:$B$701,A39),2))</f>
        <v/>
      </c>
      <c r="H39" s="48">
        <f>IF(A39="","",IF(D39&gt;0,G39/D39,0))</f>
        <v/>
      </c>
      <c r="I39">
        <f>IF(A39="","",COUNTIF($G$5:$G$44,"&gt;"&amp;G39)+1)</f>
        <v/>
      </c>
      <c r="J39" s="49">
        <f>IF(OR($A39="",J$4=""),"",SUMIFS('Students'!I$2:I$701,'Students'!$B$2:$B$701,$A39))</f>
        <v/>
      </c>
      <c r="K39" s="49">
        <f>IF(OR($A39="",K$4=""),"",SUMIFS('Students'!J$2:J$701,'Students'!$B$2:$B$701,$A39))</f>
        <v/>
      </c>
      <c r="L39" s="49">
        <f>IF(OR($A39="",L$4=""),"",SUMIFS('Students'!K$2:K$701,'Students'!$B$2:$B$701,$A39))</f>
        <v/>
      </c>
      <c r="M39" s="49">
        <f>IF(OR($A39="",M$4=""),"",SUMIFS('Students'!L$2:L$701,'Students'!$B$2:$B$701,$A39))</f>
        <v/>
      </c>
      <c r="N39" s="49">
        <f>IF(OR($A39="",N$4=""),"",SUMIFS('Students'!M$2:M$701,'Students'!$B$2:$B$701,$A39))</f>
        <v/>
      </c>
      <c r="O39" s="49">
        <f>IF(OR($A39="",O$4=""),"",SUMIFS('Students'!N$2:N$701,'Students'!$B$2:$B$701,$A39))</f>
        <v/>
      </c>
      <c r="P39" s="49">
        <f>IF(OR($A39="",P$4=""),"",SUMIFS('Students'!O$2:O$701,'Students'!$B$2:$B$701,$A39))</f>
        <v/>
      </c>
      <c r="Q39" s="49">
        <f>IF(OR($A39="",Q$4=""),"",SUMIFS('Students'!P$2:P$701,'Students'!$B$2:$B$701,$A39))</f>
        <v/>
      </c>
      <c r="R39" s="49">
        <f>IF(OR($A39="",R$4=""),"",SUMIFS('Students'!Q$2:Q$701,'Students'!$B$2:$B$701,$A39))</f>
        <v/>
      </c>
      <c r="S39" s="49">
        <f>IF(OR($A39="",S$4=""),"",SUMIFS('Students'!R$2:R$701,'Students'!$B$2:$B$701,$A39))</f>
        <v/>
      </c>
      <c r="T39" s="49">
        <f>IF(OR($A39="",T$4=""),"",SUMIFS('Students'!S$2:S$701,'Students'!$B$2:$B$701,$A39))</f>
        <v/>
      </c>
      <c r="U39" s="49">
        <f>IF(OR($A39="",U$4=""),"",SUMIFS('Students'!T$2:T$701,'Students'!$B$2:$B$701,$A39))</f>
        <v/>
      </c>
      <c r="V39" s="49">
        <f>IF(OR($A39="",V$4=""),"",SUMIFS('Students'!U$2:U$701,'Students'!$B$2:$B$701,$A39))</f>
        <v/>
      </c>
      <c r="W39" s="49">
        <f>IF(OR($A39="",W$4=""),"",SUMIFS('Students'!V$2:V$701,'Students'!$B$2:$B$701,$A39))</f>
        <v/>
      </c>
      <c r="X39" s="49">
        <f>IF(OR($A39="",X$4=""),"",SUMIFS('Students'!W$2:W$701,'Students'!$B$2:$B$701,$A39))</f>
        <v/>
      </c>
      <c r="Y39" s="49">
        <f>IF(OR($A39="",Y$4=""),"",SUMIFS('Students'!X$2:X$701,'Students'!$B$2:$B$701,$A39))</f>
        <v/>
      </c>
      <c r="Z39" s="49">
        <f>IF(OR($A39="",Z$4=""),"",SUMIFS('Students'!Y$2:Y$701,'Students'!$B$2:$B$701,$A39))</f>
        <v/>
      </c>
      <c r="AA39" s="49">
        <f>IF(OR($A39="",AA$4=""),"",SUMIFS('Students'!Z$2:Z$701,'Students'!$B$2:$B$701,$A39))</f>
        <v/>
      </c>
      <c r="AB39" s="49">
        <f>IF(OR($A39="",AB$4=""),"",SUMIFS('Students'!AA$2:AA$701,'Students'!$B$2:$B$701,$A39))</f>
        <v/>
      </c>
      <c r="AC39" s="49">
        <f>IF(OR($A39="",AC$4=""),"",SUMIFS('Students'!AB$2:AB$701,'Students'!$B$2:$B$701,$A39))</f>
        <v/>
      </c>
      <c r="AD39" s="49">
        <f>IF(OR($A39="",AD$4=""),"",SUMIFS('Students'!AC$2:AC$701,'Students'!$B$2:$B$701,$A39))</f>
        <v/>
      </c>
      <c r="AE39">
        <f>IFERROR(MATCH(35,'Students'!$AJ$2:$AJ$701,0),"")</f>
        <v/>
      </c>
      <c r="AF39">
        <f>IF(A39="",-1,G39+(100-ROW())/10^7)</f>
        <v/>
      </c>
      <c r="AG39">
        <f>IF($A39="",-1,ROUND(SUMIFS('Students'!$AO$2:$AO$701,'Students'!$B$2:$B$701,$A39),2))</f>
        <v/>
      </c>
      <c r="AI39">
        <f>IF($A39="",-1,IF(N($D39)=0,0,ROUND(COUNTIFS('Students'!$B$2:$B$701,$A39,'Students'!$AQ$2:$AQ$701,"&gt;="&amp;MAX(N('Settings'!$F$25),0.01))/$D39,6)))</f>
        <v/>
      </c>
      <c r="AK39">
        <f>IF($A39="",-1,IF(N($D39)=0,0,ROUND(COUNTIFS('Students'!$B$2:$B$701,$A39,'Students'!$AS$2:$AS$701,"&gt;="&amp;0.01)/$D39,6)))</f>
        <v/>
      </c>
      <c r="AV39">
        <f>IF(AI39&lt;0,-1,AI39+N($G39)/10^9+(100-ROW())/10^13)</f>
        <v/>
      </c>
      <c r="AX39">
        <f>IF(AK39&lt;0,-1,AK39+N($G39)/10^9+(100-ROW())/10^13)</f>
        <v/>
      </c>
    </row>
    <row r="40">
      <c r="A40">
        <f>IF(AE40="","",INDEX('Students'!$B$2:$B$701,AE40))</f>
        <v/>
      </c>
      <c r="B40">
        <f>IF(AE40="","",INDEX('Students'!$AN$2:$AN$701,AE40))</f>
        <v/>
      </c>
      <c r="C40">
        <f>IF(AE40="","",INDEX('Students'!$C$2:$C$701,AE40))</f>
        <v/>
      </c>
      <c r="D40">
        <f>IF(A40="","",COUNTIFS('Students'!$B$2:$B$701,A40,'Students'!$AE$2:$AE$701,1))</f>
        <v/>
      </c>
      <c r="E40">
        <f>IF(A40="","",COUNTIFS('Students'!$B$2:$B$701,A40,'Students'!$D$2:$D$701,"&gt;0"))</f>
        <v/>
      </c>
      <c r="F40" s="47">
        <f>IF(A40="","",IF(D40&gt;0,E40/D40,0))</f>
        <v/>
      </c>
      <c r="G40" s="48">
        <f>IF(A40="","",ROUND(SUMIFS('Students'!$D$2:$D$701,'Students'!$B$2:$B$701,A40),2))</f>
        <v/>
      </c>
      <c r="H40" s="48">
        <f>IF(A40="","",IF(D40&gt;0,G40/D40,0))</f>
        <v/>
      </c>
      <c r="I40">
        <f>IF(A40="","",COUNTIF($G$5:$G$44,"&gt;"&amp;G40)+1)</f>
        <v/>
      </c>
      <c r="J40" s="49">
        <f>IF(OR($A40="",J$4=""),"",SUMIFS('Students'!I$2:I$701,'Students'!$B$2:$B$701,$A40))</f>
        <v/>
      </c>
      <c r="K40" s="49">
        <f>IF(OR($A40="",K$4=""),"",SUMIFS('Students'!J$2:J$701,'Students'!$B$2:$B$701,$A40))</f>
        <v/>
      </c>
      <c r="L40" s="49">
        <f>IF(OR($A40="",L$4=""),"",SUMIFS('Students'!K$2:K$701,'Students'!$B$2:$B$701,$A40))</f>
        <v/>
      </c>
      <c r="M40" s="49">
        <f>IF(OR($A40="",M$4=""),"",SUMIFS('Students'!L$2:L$701,'Students'!$B$2:$B$701,$A40))</f>
        <v/>
      </c>
      <c r="N40" s="49">
        <f>IF(OR($A40="",N$4=""),"",SUMIFS('Students'!M$2:M$701,'Students'!$B$2:$B$701,$A40))</f>
        <v/>
      </c>
      <c r="O40" s="49">
        <f>IF(OR($A40="",O$4=""),"",SUMIFS('Students'!N$2:N$701,'Students'!$B$2:$B$701,$A40))</f>
        <v/>
      </c>
      <c r="P40" s="49">
        <f>IF(OR($A40="",P$4=""),"",SUMIFS('Students'!O$2:O$701,'Students'!$B$2:$B$701,$A40))</f>
        <v/>
      </c>
      <c r="Q40" s="49">
        <f>IF(OR($A40="",Q$4=""),"",SUMIFS('Students'!P$2:P$701,'Students'!$B$2:$B$701,$A40))</f>
        <v/>
      </c>
      <c r="R40" s="49">
        <f>IF(OR($A40="",R$4=""),"",SUMIFS('Students'!Q$2:Q$701,'Students'!$B$2:$B$701,$A40))</f>
        <v/>
      </c>
      <c r="S40" s="49">
        <f>IF(OR($A40="",S$4=""),"",SUMIFS('Students'!R$2:R$701,'Students'!$B$2:$B$701,$A40))</f>
        <v/>
      </c>
      <c r="T40" s="49">
        <f>IF(OR($A40="",T$4=""),"",SUMIFS('Students'!S$2:S$701,'Students'!$B$2:$B$701,$A40))</f>
        <v/>
      </c>
      <c r="U40" s="49">
        <f>IF(OR($A40="",U$4=""),"",SUMIFS('Students'!T$2:T$701,'Students'!$B$2:$B$701,$A40))</f>
        <v/>
      </c>
      <c r="V40" s="49">
        <f>IF(OR($A40="",V$4=""),"",SUMIFS('Students'!U$2:U$701,'Students'!$B$2:$B$701,$A40))</f>
        <v/>
      </c>
      <c r="W40" s="49">
        <f>IF(OR($A40="",W$4=""),"",SUMIFS('Students'!V$2:V$701,'Students'!$B$2:$B$701,$A40))</f>
        <v/>
      </c>
      <c r="X40" s="49">
        <f>IF(OR($A40="",X$4=""),"",SUMIFS('Students'!W$2:W$701,'Students'!$B$2:$B$701,$A40))</f>
        <v/>
      </c>
      <c r="Y40" s="49">
        <f>IF(OR($A40="",Y$4=""),"",SUMIFS('Students'!X$2:X$701,'Students'!$B$2:$B$701,$A40))</f>
        <v/>
      </c>
      <c r="Z40" s="49">
        <f>IF(OR($A40="",Z$4=""),"",SUMIFS('Students'!Y$2:Y$701,'Students'!$B$2:$B$701,$A40))</f>
        <v/>
      </c>
      <c r="AA40" s="49">
        <f>IF(OR($A40="",AA$4=""),"",SUMIFS('Students'!Z$2:Z$701,'Students'!$B$2:$B$701,$A40))</f>
        <v/>
      </c>
      <c r="AB40" s="49">
        <f>IF(OR($A40="",AB$4=""),"",SUMIFS('Students'!AA$2:AA$701,'Students'!$B$2:$B$701,$A40))</f>
        <v/>
      </c>
      <c r="AC40" s="49">
        <f>IF(OR($A40="",AC$4=""),"",SUMIFS('Students'!AB$2:AB$701,'Students'!$B$2:$B$701,$A40))</f>
        <v/>
      </c>
      <c r="AD40" s="49">
        <f>IF(OR($A40="",AD$4=""),"",SUMIFS('Students'!AC$2:AC$701,'Students'!$B$2:$B$701,$A40))</f>
        <v/>
      </c>
      <c r="AE40">
        <f>IFERROR(MATCH(36,'Students'!$AJ$2:$AJ$701,0),"")</f>
        <v/>
      </c>
      <c r="AF40">
        <f>IF(A40="",-1,G40+(100-ROW())/10^7)</f>
        <v/>
      </c>
      <c r="AG40">
        <f>IF($A40="",-1,ROUND(SUMIFS('Students'!$AO$2:$AO$701,'Students'!$B$2:$B$701,$A40),2))</f>
        <v/>
      </c>
      <c r="AI40">
        <f>IF($A40="",-1,IF(N($D40)=0,0,ROUND(COUNTIFS('Students'!$B$2:$B$701,$A40,'Students'!$AQ$2:$AQ$701,"&gt;="&amp;MAX(N('Settings'!$F$25),0.01))/$D40,6)))</f>
        <v/>
      </c>
      <c r="AK40">
        <f>IF($A40="",-1,IF(N($D40)=0,0,ROUND(COUNTIFS('Students'!$B$2:$B$701,$A40,'Students'!$AS$2:$AS$701,"&gt;="&amp;0.01)/$D40,6)))</f>
        <v/>
      </c>
      <c r="AV40">
        <f>IF(AI40&lt;0,-1,AI40+N($G40)/10^9+(100-ROW())/10^13)</f>
        <v/>
      </c>
      <c r="AX40">
        <f>IF(AK40&lt;0,-1,AK40+N($G40)/10^9+(100-ROW())/10^13)</f>
        <v/>
      </c>
    </row>
    <row r="41">
      <c r="A41">
        <f>IF(AE41="","",INDEX('Students'!$B$2:$B$701,AE41))</f>
        <v/>
      </c>
      <c r="B41">
        <f>IF(AE41="","",INDEX('Students'!$AN$2:$AN$701,AE41))</f>
        <v/>
      </c>
      <c r="C41">
        <f>IF(AE41="","",INDEX('Students'!$C$2:$C$701,AE41))</f>
        <v/>
      </c>
      <c r="D41">
        <f>IF(A41="","",COUNTIFS('Students'!$B$2:$B$701,A41,'Students'!$AE$2:$AE$701,1))</f>
        <v/>
      </c>
      <c r="E41">
        <f>IF(A41="","",COUNTIFS('Students'!$B$2:$B$701,A41,'Students'!$D$2:$D$701,"&gt;0"))</f>
        <v/>
      </c>
      <c r="F41" s="47">
        <f>IF(A41="","",IF(D41&gt;0,E41/D41,0))</f>
        <v/>
      </c>
      <c r="G41" s="48">
        <f>IF(A41="","",ROUND(SUMIFS('Students'!$D$2:$D$701,'Students'!$B$2:$B$701,A41),2))</f>
        <v/>
      </c>
      <c r="H41" s="48">
        <f>IF(A41="","",IF(D41&gt;0,G41/D41,0))</f>
        <v/>
      </c>
      <c r="I41">
        <f>IF(A41="","",COUNTIF($G$5:$G$44,"&gt;"&amp;G41)+1)</f>
        <v/>
      </c>
      <c r="J41" s="49">
        <f>IF(OR($A41="",J$4=""),"",SUMIFS('Students'!I$2:I$701,'Students'!$B$2:$B$701,$A41))</f>
        <v/>
      </c>
      <c r="K41" s="49">
        <f>IF(OR($A41="",K$4=""),"",SUMIFS('Students'!J$2:J$701,'Students'!$B$2:$B$701,$A41))</f>
        <v/>
      </c>
      <c r="L41" s="49">
        <f>IF(OR($A41="",L$4=""),"",SUMIFS('Students'!K$2:K$701,'Students'!$B$2:$B$701,$A41))</f>
        <v/>
      </c>
      <c r="M41" s="49">
        <f>IF(OR($A41="",M$4=""),"",SUMIFS('Students'!L$2:L$701,'Students'!$B$2:$B$701,$A41))</f>
        <v/>
      </c>
      <c r="N41" s="49">
        <f>IF(OR($A41="",N$4=""),"",SUMIFS('Students'!M$2:M$701,'Students'!$B$2:$B$701,$A41))</f>
        <v/>
      </c>
      <c r="O41" s="49">
        <f>IF(OR($A41="",O$4=""),"",SUMIFS('Students'!N$2:N$701,'Students'!$B$2:$B$701,$A41))</f>
        <v/>
      </c>
      <c r="P41" s="49">
        <f>IF(OR($A41="",P$4=""),"",SUMIFS('Students'!O$2:O$701,'Students'!$B$2:$B$701,$A41))</f>
        <v/>
      </c>
      <c r="Q41" s="49">
        <f>IF(OR($A41="",Q$4=""),"",SUMIFS('Students'!P$2:P$701,'Students'!$B$2:$B$701,$A41))</f>
        <v/>
      </c>
      <c r="R41" s="49">
        <f>IF(OR($A41="",R$4=""),"",SUMIFS('Students'!Q$2:Q$701,'Students'!$B$2:$B$701,$A41))</f>
        <v/>
      </c>
      <c r="S41" s="49">
        <f>IF(OR($A41="",S$4=""),"",SUMIFS('Students'!R$2:R$701,'Students'!$B$2:$B$701,$A41))</f>
        <v/>
      </c>
      <c r="T41" s="49">
        <f>IF(OR($A41="",T$4=""),"",SUMIFS('Students'!S$2:S$701,'Students'!$B$2:$B$701,$A41))</f>
        <v/>
      </c>
      <c r="U41" s="49">
        <f>IF(OR($A41="",U$4=""),"",SUMIFS('Students'!T$2:T$701,'Students'!$B$2:$B$701,$A41))</f>
        <v/>
      </c>
      <c r="V41" s="49">
        <f>IF(OR($A41="",V$4=""),"",SUMIFS('Students'!U$2:U$701,'Students'!$B$2:$B$701,$A41))</f>
        <v/>
      </c>
      <c r="W41" s="49">
        <f>IF(OR($A41="",W$4=""),"",SUMIFS('Students'!V$2:V$701,'Students'!$B$2:$B$701,$A41))</f>
        <v/>
      </c>
      <c r="X41" s="49">
        <f>IF(OR($A41="",X$4=""),"",SUMIFS('Students'!W$2:W$701,'Students'!$B$2:$B$701,$A41))</f>
        <v/>
      </c>
      <c r="Y41" s="49">
        <f>IF(OR($A41="",Y$4=""),"",SUMIFS('Students'!X$2:X$701,'Students'!$B$2:$B$701,$A41))</f>
        <v/>
      </c>
      <c r="Z41" s="49">
        <f>IF(OR($A41="",Z$4=""),"",SUMIFS('Students'!Y$2:Y$701,'Students'!$B$2:$B$701,$A41))</f>
        <v/>
      </c>
      <c r="AA41" s="49">
        <f>IF(OR($A41="",AA$4=""),"",SUMIFS('Students'!Z$2:Z$701,'Students'!$B$2:$B$701,$A41))</f>
        <v/>
      </c>
      <c r="AB41" s="49">
        <f>IF(OR($A41="",AB$4=""),"",SUMIFS('Students'!AA$2:AA$701,'Students'!$B$2:$B$701,$A41))</f>
        <v/>
      </c>
      <c r="AC41" s="49">
        <f>IF(OR($A41="",AC$4=""),"",SUMIFS('Students'!AB$2:AB$701,'Students'!$B$2:$B$701,$A41))</f>
        <v/>
      </c>
      <c r="AD41" s="49">
        <f>IF(OR($A41="",AD$4=""),"",SUMIFS('Students'!AC$2:AC$701,'Students'!$B$2:$B$701,$A41))</f>
        <v/>
      </c>
      <c r="AE41">
        <f>IFERROR(MATCH(37,'Students'!$AJ$2:$AJ$701,0),"")</f>
        <v/>
      </c>
      <c r="AF41">
        <f>IF(A41="",-1,G41+(100-ROW())/10^7)</f>
        <v/>
      </c>
      <c r="AG41">
        <f>IF($A41="",-1,ROUND(SUMIFS('Students'!$AO$2:$AO$701,'Students'!$B$2:$B$701,$A41),2))</f>
        <v/>
      </c>
      <c r="AI41">
        <f>IF($A41="",-1,IF(N($D41)=0,0,ROUND(COUNTIFS('Students'!$B$2:$B$701,$A41,'Students'!$AQ$2:$AQ$701,"&gt;="&amp;MAX(N('Settings'!$F$25),0.01))/$D41,6)))</f>
        <v/>
      </c>
      <c r="AK41">
        <f>IF($A41="",-1,IF(N($D41)=0,0,ROUND(COUNTIFS('Students'!$B$2:$B$701,$A41,'Students'!$AS$2:$AS$701,"&gt;="&amp;0.01)/$D41,6)))</f>
        <v/>
      </c>
      <c r="AV41">
        <f>IF(AI41&lt;0,-1,AI41+N($G41)/10^9+(100-ROW())/10^13)</f>
        <v/>
      </c>
      <c r="AX41">
        <f>IF(AK41&lt;0,-1,AK41+N($G41)/10^9+(100-ROW())/10^13)</f>
        <v/>
      </c>
    </row>
    <row r="42">
      <c r="A42">
        <f>IF(AE42="","",INDEX('Students'!$B$2:$B$701,AE42))</f>
        <v/>
      </c>
      <c r="B42">
        <f>IF(AE42="","",INDEX('Students'!$AN$2:$AN$701,AE42))</f>
        <v/>
      </c>
      <c r="C42">
        <f>IF(AE42="","",INDEX('Students'!$C$2:$C$701,AE42))</f>
        <v/>
      </c>
      <c r="D42">
        <f>IF(A42="","",COUNTIFS('Students'!$B$2:$B$701,A42,'Students'!$AE$2:$AE$701,1))</f>
        <v/>
      </c>
      <c r="E42">
        <f>IF(A42="","",COUNTIFS('Students'!$B$2:$B$701,A42,'Students'!$D$2:$D$701,"&gt;0"))</f>
        <v/>
      </c>
      <c r="F42" s="47">
        <f>IF(A42="","",IF(D42&gt;0,E42/D42,0))</f>
        <v/>
      </c>
      <c r="G42" s="48">
        <f>IF(A42="","",ROUND(SUMIFS('Students'!$D$2:$D$701,'Students'!$B$2:$B$701,A42),2))</f>
        <v/>
      </c>
      <c r="H42" s="48">
        <f>IF(A42="","",IF(D42&gt;0,G42/D42,0))</f>
        <v/>
      </c>
      <c r="I42">
        <f>IF(A42="","",COUNTIF($G$5:$G$44,"&gt;"&amp;G42)+1)</f>
        <v/>
      </c>
      <c r="J42" s="49">
        <f>IF(OR($A42="",J$4=""),"",SUMIFS('Students'!I$2:I$701,'Students'!$B$2:$B$701,$A42))</f>
        <v/>
      </c>
      <c r="K42" s="49">
        <f>IF(OR($A42="",K$4=""),"",SUMIFS('Students'!J$2:J$701,'Students'!$B$2:$B$701,$A42))</f>
        <v/>
      </c>
      <c r="L42" s="49">
        <f>IF(OR($A42="",L$4=""),"",SUMIFS('Students'!K$2:K$701,'Students'!$B$2:$B$701,$A42))</f>
        <v/>
      </c>
      <c r="M42" s="49">
        <f>IF(OR($A42="",M$4=""),"",SUMIFS('Students'!L$2:L$701,'Students'!$B$2:$B$701,$A42))</f>
        <v/>
      </c>
      <c r="N42" s="49">
        <f>IF(OR($A42="",N$4=""),"",SUMIFS('Students'!M$2:M$701,'Students'!$B$2:$B$701,$A42))</f>
        <v/>
      </c>
      <c r="O42" s="49">
        <f>IF(OR($A42="",O$4=""),"",SUMIFS('Students'!N$2:N$701,'Students'!$B$2:$B$701,$A42))</f>
        <v/>
      </c>
      <c r="P42" s="49">
        <f>IF(OR($A42="",P$4=""),"",SUMIFS('Students'!O$2:O$701,'Students'!$B$2:$B$701,$A42))</f>
        <v/>
      </c>
      <c r="Q42" s="49">
        <f>IF(OR($A42="",Q$4=""),"",SUMIFS('Students'!P$2:P$701,'Students'!$B$2:$B$701,$A42))</f>
        <v/>
      </c>
      <c r="R42" s="49">
        <f>IF(OR($A42="",R$4=""),"",SUMIFS('Students'!Q$2:Q$701,'Students'!$B$2:$B$701,$A42))</f>
        <v/>
      </c>
      <c r="S42" s="49">
        <f>IF(OR($A42="",S$4=""),"",SUMIFS('Students'!R$2:R$701,'Students'!$B$2:$B$701,$A42))</f>
        <v/>
      </c>
      <c r="T42" s="49">
        <f>IF(OR($A42="",T$4=""),"",SUMIFS('Students'!S$2:S$701,'Students'!$B$2:$B$701,$A42))</f>
        <v/>
      </c>
      <c r="U42" s="49">
        <f>IF(OR($A42="",U$4=""),"",SUMIFS('Students'!T$2:T$701,'Students'!$B$2:$B$701,$A42))</f>
        <v/>
      </c>
      <c r="V42" s="49">
        <f>IF(OR($A42="",V$4=""),"",SUMIFS('Students'!U$2:U$701,'Students'!$B$2:$B$701,$A42))</f>
        <v/>
      </c>
      <c r="W42" s="49">
        <f>IF(OR($A42="",W$4=""),"",SUMIFS('Students'!V$2:V$701,'Students'!$B$2:$B$701,$A42))</f>
        <v/>
      </c>
      <c r="X42" s="49">
        <f>IF(OR($A42="",X$4=""),"",SUMIFS('Students'!W$2:W$701,'Students'!$B$2:$B$701,$A42))</f>
        <v/>
      </c>
      <c r="Y42" s="49">
        <f>IF(OR($A42="",Y$4=""),"",SUMIFS('Students'!X$2:X$701,'Students'!$B$2:$B$701,$A42))</f>
        <v/>
      </c>
      <c r="Z42" s="49">
        <f>IF(OR($A42="",Z$4=""),"",SUMIFS('Students'!Y$2:Y$701,'Students'!$B$2:$B$701,$A42))</f>
        <v/>
      </c>
      <c r="AA42" s="49">
        <f>IF(OR($A42="",AA$4=""),"",SUMIFS('Students'!Z$2:Z$701,'Students'!$B$2:$B$701,$A42))</f>
        <v/>
      </c>
      <c r="AB42" s="49">
        <f>IF(OR($A42="",AB$4=""),"",SUMIFS('Students'!AA$2:AA$701,'Students'!$B$2:$B$701,$A42))</f>
        <v/>
      </c>
      <c r="AC42" s="49">
        <f>IF(OR($A42="",AC$4=""),"",SUMIFS('Students'!AB$2:AB$701,'Students'!$B$2:$B$701,$A42))</f>
        <v/>
      </c>
      <c r="AD42" s="49">
        <f>IF(OR($A42="",AD$4=""),"",SUMIFS('Students'!AC$2:AC$701,'Students'!$B$2:$B$701,$A42))</f>
        <v/>
      </c>
      <c r="AE42">
        <f>IFERROR(MATCH(38,'Students'!$AJ$2:$AJ$701,0),"")</f>
        <v/>
      </c>
      <c r="AF42">
        <f>IF(A42="",-1,G42+(100-ROW())/10^7)</f>
        <v/>
      </c>
      <c r="AG42">
        <f>IF($A42="",-1,ROUND(SUMIFS('Students'!$AO$2:$AO$701,'Students'!$B$2:$B$701,$A42),2))</f>
        <v/>
      </c>
      <c r="AI42">
        <f>IF($A42="",-1,IF(N($D42)=0,0,ROUND(COUNTIFS('Students'!$B$2:$B$701,$A42,'Students'!$AQ$2:$AQ$701,"&gt;="&amp;MAX(N('Settings'!$F$25),0.01))/$D42,6)))</f>
        <v/>
      </c>
      <c r="AK42">
        <f>IF($A42="",-1,IF(N($D42)=0,0,ROUND(COUNTIFS('Students'!$B$2:$B$701,$A42,'Students'!$AS$2:$AS$701,"&gt;="&amp;0.01)/$D42,6)))</f>
        <v/>
      </c>
      <c r="AV42">
        <f>IF(AI42&lt;0,-1,AI42+N($G42)/10^9+(100-ROW())/10^13)</f>
        <v/>
      </c>
      <c r="AX42">
        <f>IF(AK42&lt;0,-1,AK42+N($G42)/10^9+(100-ROW())/10^13)</f>
        <v/>
      </c>
    </row>
    <row r="43">
      <c r="A43">
        <f>IF(AE43="","",INDEX('Students'!$B$2:$B$701,AE43))</f>
        <v/>
      </c>
      <c r="B43">
        <f>IF(AE43="","",INDEX('Students'!$AN$2:$AN$701,AE43))</f>
        <v/>
      </c>
      <c r="C43">
        <f>IF(AE43="","",INDEX('Students'!$C$2:$C$701,AE43))</f>
        <v/>
      </c>
      <c r="D43">
        <f>IF(A43="","",COUNTIFS('Students'!$B$2:$B$701,A43,'Students'!$AE$2:$AE$701,1))</f>
        <v/>
      </c>
      <c r="E43">
        <f>IF(A43="","",COUNTIFS('Students'!$B$2:$B$701,A43,'Students'!$D$2:$D$701,"&gt;0"))</f>
        <v/>
      </c>
      <c r="F43" s="47">
        <f>IF(A43="","",IF(D43&gt;0,E43/D43,0))</f>
        <v/>
      </c>
      <c r="G43" s="48">
        <f>IF(A43="","",ROUND(SUMIFS('Students'!$D$2:$D$701,'Students'!$B$2:$B$701,A43),2))</f>
        <v/>
      </c>
      <c r="H43" s="48">
        <f>IF(A43="","",IF(D43&gt;0,G43/D43,0))</f>
        <v/>
      </c>
      <c r="I43">
        <f>IF(A43="","",COUNTIF($G$5:$G$44,"&gt;"&amp;G43)+1)</f>
        <v/>
      </c>
      <c r="J43" s="49">
        <f>IF(OR($A43="",J$4=""),"",SUMIFS('Students'!I$2:I$701,'Students'!$B$2:$B$701,$A43))</f>
        <v/>
      </c>
      <c r="K43" s="49">
        <f>IF(OR($A43="",K$4=""),"",SUMIFS('Students'!J$2:J$701,'Students'!$B$2:$B$701,$A43))</f>
        <v/>
      </c>
      <c r="L43" s="49">
        <f>IF(OR($A43="",L$4=""),"",SUMIFS('Students'!K$2:K$701,'Students'!$B$2:$B$701,$A43))</f>
        <v/>
      </c>
      <c r="M43" s="49">
        <f>IF(OR($A43="",M$4=""),"",SUMIFS('Students'!L$2:L$701,'Students'!$B$2:$B$701,$A43))</f>
        <v/>
      </c>
      <c r="N43" s="49">
        <f>IF(OR($A43="",N$4=""),"",SUMIFS('Students'!M$2:M$701,'Students'!$B$2:$B$701,$A43))</f>
        <v/>
      </c>
      <c r="O43" s="49">
        <f>IF(OR($A43="",O$4=""),"",SUMIFS('Students'!N$2:N$701,'Students'!$B$2:$B$701,$A43))</f>
        <v/>
      </c>
      <c r="P43" s="49">
        <f>IF(OR($A43="",P$4=""),"",SUMIFS('Students'!O$2:O$701,'Students'!$B$2:$B$701,$A43))</f>
        <v/>
      </c>
      <c r="Q43" s="49">
        <f>IF(OR($A43="",Q$4=""),"",SUMIFS('Students'!P$2:P$701,'Students'!$B$2:$B$701,$A43))</f>
        <v/>
      </c>
      <c r="R43" s="49">
        <f>IF(OR($A43="",R$4=""),"",SUMIFS('Students'!Q$2:Q$701,'Students'!$B$2:$B$701,$A43))</f>
        <v/>
      </c>
      <c r="S43" s="49">
        <f>IF(OR($A43="",S$4=""),"",SUMIFS('Students'!R$2:R$701,'Students'!$B$2:$B$701,$A43))</f>
        <v/>
      </c>
      <c r="T43" s="49">
        <f>IF(OR($A43="",T$4=""),"",SUMIFS('Students'!S$2:S$701,'Students'!$B$2:$B$701,$A43))</f>
        <v/>
      </c>
      <c r="U43" s="49">
        <f>IF(OR($A43="",U$4=""),"",SUMIFS('Students'!T$2:T$701,'Students'!$B$2:$B$701,$A43))</f>
        <v/>
      </c>
      <c r="V43" s="49">
        <f>IF(OR($A43="",V$4=""),"",SUMIFS('Students'!U$2:U$701,'Students'!$B$2:$B$701,$A43))</f>
        <v/>
      </c>
      <c r="W43" s="49">
        <f>IF(OR($A43="",W$4=""),"",SUMIFS('Students'!V$2:V$701,'Students'!$B$2:$B$701,$A43))</f>
        <v/>
      </c>
      <c r="X43" s="49">
        <f>IF(OR($A43="",X$4=""),"",SUMIFS('Students'!W$2:W$701,'Students'!$B$2:$B$701,$A43))</f>
        <v/>
      </c>
      <c r="Y43" s="49">
        <f>IF(OR($A43="",Y$4=""),"",SUMIFS('Students'!X$2:X$701,'Students'!$B$2:$B$701,$A43))</f>
        <v/>
      </c>
      <c r="Z43" s="49">
        <f>IF(OR($A43="",Z$4=""),"",SUMIFS('Students'!Y$2:Y$701,'Students'!$B$2:$B$701,$A43))</f>
        <v/>
      </c>
      <c r="AA43" s="49">
        <f>IF(OR($A43="",AA$4=""),"",SUMIFS('Students'!Z$2:Z$701,'Students'!$B$2:$B$701,$A43))</f>
        <v/>
      </c>
      <c r="AB43" s="49">
        <f>IF(OR($A43="",AB$4=""),"",SUMIFS('Students'!AA$2:AA$701,'Students'!$B$2:$B$701,$A43))</f>
        <v/>
      </c>
      <c r="AC43" s="49">
        <f>IF(OR($A43="",AC$4=""),"",SUMIFS('Students'!AB$2:AB$701,'Students'!$B$2:$B$701,$A43))</f>
        <v/>
      </c>
      <c r="AD43" s="49">
        <f>IF(OR($A43="",AD$4=""),"",SUMIFS('Students'!AC$2:AC$701,'Students'!$B$2:$B$701,$A43))</f>
        <v/>
      </c>
      <c r="AE43">
        <f>IFERROR(MATCH(39,'Students'!$AJ$2:$AJ$701,0),"")</f>
        <v/>
      </c>
      <c r="AF43">
        <f>IF(A43="",-1,G43+(100-ROW())/10^7)</f>
        <v/>
      </c>
      <c r="AG43">
        <f>IF($A43="",-1,ROUND(SUMIFS('Students'!$AO$2:$AO$701,'Students'!$B$2:$B$701,$A43),2))</f>
        <v/>
      </c>
      <c r="AI43">
        <f>IF($A43="",-1,IF(N($D43)=0,0,ROUND(COUNTIFS('Students'!$B$2:$B$701,$A43,'Students'!$AQ$2:$AQ$701,"&gt;="&amp;MAX(N('Settings'!$F$25),0.01))/$D43,6)))</f>
        <v/>
      </c>
      <c r="AK43">
        <f>IF($A43="",-1,IF(N($D43)=0,0,ROUND(COUNTIFS('Students'!$B$2:$B$701,$A43,'Students'!$AS$2:$AS$701,"&gt;="&amp;0.01)/$D43,6)))</f>
        <v/>
      </c>
      <c r="AV43">
        <f>IF(AI43&lt;0,-1,AI43+N($G43)/10^9+(100-ROW())/10^13)</f>
        <v/>
      </c>
      <c r="AX43">
        <f>IF(AK43&lt;0,-1,AK43+N($G43)/10^9+(100-ROW())/10^13)</f>
        <v/>
      </c>
    </row>
    <row r="44">
      <c r="A44">
        <f>IF(AE44="","",INDEX('Students'!$B$2:$B$701,AE44))</f>
        <v/>
      </c>
      <c r="B44">
        <f>IF(AE44="","",INDEX('Students'!$AN$2:$AN$701,AE44))</f>
        <v/>
      </c>
      <c r="C44">
        <f>IF(AE44="","",INDEX('Students'!$C$2:$C$701,AE44))</f>
        <v/>
      </c>
      <c r="D44">
        <f>IF(A44="","",COUNTIFS('Students'!$B$2:$B$701,A44,'Students'!$AE$2:$AE$701,1))</f>
        <v/>
      </c>
      <c r="E44">
        <f>IF(A44="","",COUNTIFS('Students'!$B$2:$B$701,A44,'Students'!$D$2:$D$701,"&gt;0"))</f>
        <v/>
      </c>
      <c r="F44" s="47">
        <f>IF(A44="","",IF(D44&gt;0,E44/D44,0))</f>
        <v/>
      </c>
      <c r="G44" s="48">
        <f>IF(A44="","",ROUND(SUMIFS('Students'!$D$2:$D$701,'Students'!$B$2:$B$701,A44),2))</f>
        <v/>
      </c>
      <c r="H44" s="48">
        <f>IF(A44="","",IF(D44&gt;0,G44/D44,0))</f>
        <v/>
      </c>
      <c r="I44">
        <f>IF(A44="","",COUNTIF($G$5:$G$44,"&gt;"&amp;G44)+1)</f>
        <v/>
      </c>
      <c r="J44" s="49">
        <f>IF(OR($A44="",J$4=""),"",SUMIFS('Students'!I$2:I$701,'Students'!$B$2:$B$701,$A44))</f>
        <v/>
      </c>
      <c r="K44" s="49">
        <f>IF(OR($A44="",K$4=""),"",SUMIFS('Students'!J$2:J$701,'Students'!$B$2:$B$701,$A44))</f>
        <v/>
      </c>
      <c r="L44" s="49">
        <f>IF(OR($A44="",L$4=""),"",SUMIFS('Students'!K$2:K$701,'Students'!$B$2:$B$701,$A44))</f>
        <v/>
      </c>
      <c r="M44" s="49">
        <f>IF(OR($A44="",M$4=""),"",SUMIFS('Students'!L$2:L$701,'Students'!$B$2:$B$701,$A44))</f>
        <v/>
      </c>
      <c r="N44" s="49">
        <f>IF(OR($A44="",N$4=""),"",SUMIFS('Students'!M$2:M$701,'Students'!$B$2:$B$701,$A44))</f>
        <v/>
      </c>
      <c r="O44" s="49">
        <f>IF(OR($A44="",O$4=""),"",SUMIFS('Students'!N$2:N$701,'Students'!$B$2:$B$701,$A44))</f>
        <v/>
      </c>
      <c r="P44" s="49">
        <f>IF(OR($A44="",P$4=""),"",SUMIFS('Students'!O$2:O$701,'Students'!$B$2:$B$701,$A44))</f>
        <v/>
      </c>
      <c r="Q44" s="49">
        <f>IF(OR($A44="",Q$4=""),"",SUMIFS('Students'!P$2:P$701,'Students'!$B$2:$B$701,$A44))</f>
        <v/>
      </c>
      <c r="R44" s="49">
        <f>IF(OR($A44="",R$4=""),"",SUMIFS('Students'!Q$2:Q$701,'Students'!$B$2:$B$701,$A44))</f>
        <v/>
      </c>
      <c r="S44" s="49">
        <f>IF(OR($A44="",S$4=""),"",SUMIFS('Students'!R$2:R$701,'Students'!$B$2:$B$701,$A44))</f>
        <v/>
      </c>
      <c r="T44" s="49">
        <f>IF(OR($A44="",T$4=""),"",SUMIFS('Students'!S$2:S$701,'Students'!$B$2:$B$701,$A44))</f>
        <v/>
      </c>
      <c r="U44" s="49">
        <f>IF(OR($A44="",U$4=""),"",SUMIFS('Students'!T$2:T$701,'Students'!$B$2:$B$701,$A44))</f>
        <v/>
      </c>
      <c r="V44" s="49">
        <f>IF(OR($A44="",V$4=""),"",SUMIFS('Students'!U$2:U$701,'Students'!$B$2:$B$701,$A44))</f>
        <v/>
      </c>
      <c r="W44" s="49">
        <f>IF(OR($A44="",W$4=""),"",SUMIFS('Students'!V$2:V$701,'Students'!$B$2:$B$701,$A44))</f>
        <v/>
      </c>
      <c r="X44" s="49">
        <f>IF(OR($A44="",X$4=""),"",SUMIFS('Students'!W$2:W$701,'Students'!$B$2:$B$701,$A44))</f>
        <v/>
      </c>
      <c r="Y44" s="49">
        <f>IF(OR($A44="",Y$4=""),"",SUMIFS('Students'!X$2:X$701,'Students'!$B$2:$B$701,$A44))</f>
        <v/>
      </c>
      <c r="Z44" s="49">
        <f>IF(OR($A44="",Z$4=""),"",SUMIFS('Students'!Y$2:Y$701,'Students'!$B$2:$B$701,$A44))</f>
        <v/>
      </c>
      <c r="AA44" s="49">
        <f>IF(OR($A44="",AA$4=""),"",SUMIFS('Students'!Z$2:Z$701,'Students'!$B$2:$B$701,$A44))</f>
        <v/>
      </c>
      <c r="AB44" s="49">
        <f>IF(OR($A44="",AB$4=""),"",SUMIFS('Students'!AA$2:AA$701,'Students'!$B$2:$B$701,$A44))</f>
        <v/>
      </c>
      <c r="AC44" s="49">
        <f>IF(OR($A44="",AC$4=""),"",SUMIFS('Students'!AB$2:AB$701,'Students'!$B$2:$B$701,$A44))</f>
        <v/>
      </c>
      <c r="AD44" s="49">
        <f>IF(OR($A44="",AD$4=""),"",SUMIFS('Students'!AC$2:AC$701,'Students'!$B$2:$B$701,$A44))</f>
        <v/>
      </c>
      <c r="AE44">
        <f>IFERROR(MATCH(40,'Students'!$AJ$2:$AJ$701,0),"")</f>
        <v/>
      </c>
      <c r="AF44">
        <f>IF(A44="",-1,G44+(100-ROW())/10^7)</f>
        <v/>
      </c>
      <c r="AG44">
        <f>IF($A44="",-1,ROUND(SUMIFS('Students'!$AO$2:$AO$701,'Students'!$B$2:$B$701,$A44),2))</f>
        <v/>
      </c>
      <c r="AI44">
        <f>IF($A44="",-1,IF(N($D44)=0,0,ROUND(COUNTIFS('Students'!$B$2:$B$701,$A44,'Students'!$AQ$2:$AQ$701,"&gt;="&amp;MAX(N('Settings'!$F$25),0.01))/$D44,6)))</f>
        <v/>
      </c>
      <c r="AK44">
        <f>IF($A44="",-1,IF(N($D44)=0,0,ROUND(COUNTIFS('Students'!$B$2:$B$701,$A44,'Students'!$AS$2:$AS$701,"&gt;="&amp;0.01)/$D44,6)))</f>
        <v/>
      </c>
      <c r="AV44">
        <f>IF(AI44&lt;0,-1,AI44+N($G44)/10^9+(100-ROW())/10^13)</f>
        <v/>
      </c>
      <c r="AX44">
        <f>IF(AK44&lt;0,-1,AK44+N($G44)/10^9+(100-ROW())/10^13)</f>
        <v/>
      </c>
    </row>
    <row r="46">
      <c r="A46" s="50" t="inlineStr">
        <is>
          <t>BY GRADE</t>
        </is>
      </c>
    </row>
    <row r="47" ht="30" customHeight="1">
      <c r="A47" s="33" t="inlineStr">
        <is>
          <t>Grade</t>
        </is>
      </c>
      <c r="B47" s="33" t="inlineStr"/>
      <c r="C47" s="33" t="inlineStr">
        <is>
          <t>Code</t>
        </is>
      </c>
      <c r="D47" s="33" t="inlineStr">
        <is>
          <t>Students</t>
        </is>
      </c>
      <c r="E47" s="33" t="inlineStr">
        <is>
          <t>Donated</t>
        </is>
      </c>
      <c r="F47" s="33" t="inlineStr">
        <is>
          <t>Participation</t>
        </is>
      </c>
      <c r="G47" s="33" t="inlineStr">
        <is>
          <t>Total $</t>
        </is>
      </c>
      <c r="H47" s="33" t="inlineStr">
        <is>
          <t>Avg / student</t>
        </is>
      </c>
      <c r="I47" s="33" t="inlineStr">
        <is>
          <t>Rank</t>
        </is>
      </c>
      <c r="J47" s="51">
        <f>J$4</f>
        <v/>
      </c>
      <c r="K47" s="51">
        <f>K$4</f>
        <v/>
      </c>
      <c r="L47" s="51">
        <f>L$4</f>
        <v/>
      </c>
      <c r="M47" s="51">
        <f>M$4</f>
        <v/>
      </c>
      <c r="N47" s="51">
        <f>N$4</f>
        <v/>
      </c>
      <c r="O47" s="51">
        <f>O$4</f>
        <v/>
      </c>
      <c r="P47" s="51">
        <f>P$4</f>
        <v/>
      </c>
      <c r="Q47" s="51">
        <f>Q$4</f>
        <v/>
      </c>
      <c r="R47" s="51">
        <f>R$4</f>
        <v/>
      </c>
      <c r="S47" s="51">
        <f>S$4</f>
        <v/>
      </c>
      <c r="T47" s="51">
        <f>T$4</f>
        <v/>
      </c>
      <c r="U47" s="51">
        <f>U$4</f>
        <v/>
      </c>
      <c r="V47" s="51">
        <f>V$4</f>
        <v/>
      </c>
      <c r="W47" s="51">
        <f>W$4</f>
        <v/>
      </c>
      <c r="X47" s="51">
        <f>X$4</f>
        <v/>
      </c>
      <c r="Y47" s="51">
        <f>Y$4</f>
        <v/>
      </c>
      <c r="Z47" s="51">
        <f>Z$4</f>
        <v/>
      </c>
      <c r="AA47" s="51">
        <f>AA$4</f>
        <v/>
      </c>
      <c r="AB47" s="51">
        <f>AB$4</f>
        <v/>
      </c>
      <c r="AC47" s="51">
        <f>AC$4</f>
        <v/>
      </c>
      <c r="AD47" s="51">
        <f>AD$4</f>
        <v/>
      </c>
    </row>
    <row r="48">
      <c r="A48" s="34" t="inlineStr">
        <is>
          <t>Grade P3</t>
        </is>
      </c>
      <c r="C48" s="52" t="inlineStr">
        <is>
          <t>P3</t>
        </is>
      </c>
      <c r="D48" s="53">
        <f>COUNTIFS('Students'!$C$2:$C$701,C48,'Students'!$AE$2:$AE$701,1)</f>
        <v/>
      </c>
      <c r="E48" s="53">
        <f>COUNTIFS('Students'!$C$2:$C$701,C48,'Students'!$D$2:$D$701,"&gt;0")</f>
        <v/>
      </c>
      <c r="F48" s="41">
        <f>IF(D48&gt;0,E48/D48,0)</f>
        <v/>
      </c>
      <c r="G48" s="45">
        <f>ROUND(SUMIFS('Students'!$D$2:$D$701,'Students'!$C$2:$C$701,C48),2)</f>
        <v/>
      </c>
      <c r="H48" s="45">
        <f>IF(D48&gt;0,G48/D48,0)</f>
        <v/>
      </c>
      <c r="I48" s="53">
        <f>COUNTIF($G$48:$G$58,"&gt;"&amp;G48)+1</f>
        <v/>
      </c>
      <c r="J48" s="54">
        <f>IF(J$4="","",SUMIFS('Students'!I$2:I$701,'Students'!$C$2:$C$701,$C48))</f>
        <v/>
      </c>
      <c r="K48" s="54">
        <f>IF(K$4="","",SUMIFS('Students'!J$2:J$701,'Students'!$C$2:$C$701,$C48))</f>
        <v/>
      </c>
      <c r="L48" s="54">
        <f>IF(L$4="","",SUMIFS('Students'!K$2:K$701,'Students'!$C$2:$C$701,$C48))</f>
        <v/>
      </c>
      <c r="M48" s="54">
        <f>IF(M$4="","",SUMIFS('Students'!L$2:L$701,'Students'!$C$2:$C$701,$C48))</f>
        <v/>
      </c>
      <c r="N48" s="54">
        <f>IF(N$4="","",SUMIFS('Students'!M$2:M$701,'Students'!$C$2:$C$701,$C48))</f>
        <v/>
      </c>
      <c r="O48" s="54">
        <f>IF(O$4="","",SUMIFS('Students'!N$2:N$701,'Students'!$C$2:$C$701,$C48))</f>
        <v/>
      </c>
      <c r="P48" s="54">
        <f>IF(P$4="","",SUMIFS('Students'!O$2:O$701,'Students'!$C$2:$C$701,$C48))</f>
        <v/>
      </c>
      <c r="Q48" s="54">
        <f>IF(Q$4="","",SUMIFS('Students'!P$2:P$701,'Students'!$C$2:$C$701,$C48))</f>
        <v/>
      </c>
      <c r="R48" s="54">
        <f>IF(R$4="","",SUMIFS('Students'!Q$2:Q$701,'Students'!$C$2:$C$701,$C48))</f>
        <v/>
      </c>
      <c r="S48" s="54">
        <f>IF(S$4="","",SUMIFS('Students'!R$2:R$701,'Students'!$C$2:$C$701,$C48))</f>
        <v/>
      </c>
      <c r="T48" s="54">
        <f>IF(T$4="","",SUMIFS('Students'!S$2:S$701,'Students'!$C$2:$C$701,$C48))</f>
        <v/>
      </c>
      <c r="U48" s="54">
        <f>IF(U$4="","",SUMIFS('Students'!T$2:T$701,'Students'!$C$2:$C$701,$C48))</f>
        <v/>
      </c>
      <c r="V48" s="54">
        <f>IF(V$4="","",SUMIFS('Students'!U$2:U$701,'Students'!$C$2:$C$701,$C48))</f>
        <v/>
      </c>
      <c r="W48" s="54">
        <f>IF(W$4="","",SUMIFS('Students'!V$2:V$701,'Students'!$C$2:$C$701,$C48))</f>
        <v/>
      </c>
      <c r="X48" s="54">
        <f>IF(X$4="","",SUMIFS('Students'!W$2:W$701,'Students'!$C$2:$C$701,$C48))</f>
        <v/>
      </c>
      <c r="Y48" s="54">
        <f>IF(Y$4="","",SUMIFS('Students'!X$2:X$701,'Students'!$C$2:$C$701,$C48))</f>
        <v/>
      </c>
      <c r="Z48" s="54">
        <f>IF(Z$4="","",SUMIFS('Students'!Y$2:Y$701,'Students'!$C$2:$C$701,$C48))</f>
        <v/>
      </c>
      <c r="AA48" s="54">
        <f>IF(AA$4="","",SUMIFS('Students'!Z$2:Z$701,'Students'!$C$2:$C$701,$C48))</f>
        <v/>
      </c>
      <c r="AB48" s="54">
        <f>IF(AB$4="","",SUMIFS('Students'!AA$2:AA$701,'Students'!$C$2:$C$701,$C48))</f>
        <v/>
      </c>
      <c r="AC48" s="54">
        <f>IF(AC$4="","",SUMIFS('Students'!AB$2:AB$701,'Students'!$C$2:$C$701,$C48))</f>
        <v/>
      </c>
      <c r="AD48" s="54">
        <f>IF(AD$4="","",SUMIFS('Students'!AC$2:AC$701,'Students'!$C$2:$C$701,$C48))</f>
        <v/>
      </c>
    </row>
    <row r="49">
      <c r="A49" s="34" t="inlineStr">
        <is>
          <t>Grade P4</t>
        </is>
      </c>
      <c r="C49" s="52" t="inlineStr">
        <is>
          <t>P4</t>
        </is>
      </c>
      <c r="D49" s="53">
        <f>COUNTIFS('Students'!$C$2:$C$701,C49,'Students'!$AE$2:$AE$701,1)</f>
        <v/>
      </c>
      <c r="E49" s="53">
        <f>COUNTIFS('Students'!$C$2:$C$701,C49,'Students'!$D$2:$D$701,"&gt;0")</f>
        <v/>
      </c>
      <c r="F49" s="41">
        <f>IF(D49&gt;0,E49/D49,0)</f>
        <v/>
      </c>
      <c r="G49" s="45">
        <f>ROUND(SUMIFS('Students'!$D$2:$D$701,'Students'!$C$2:$C$701,C49),2)</f>
        <v/>
      </c>
      <c r="H49" s="45">
        <f>IF(D49&gt;0,G49/D49,0)</f>
        <v/>
      </c>
      <c r="I49" s="53">
        <f>COUNTIF($G$48:$G$58,"&gt;"&amp;G49)+1</f>
        <v/>
      </c>
      <c r="J49" s="54">
        <f>IF(J$4="","",SUMIFS('Students'!I$2:I$701,'Students'!$C$2:$C$701,$C49))</f>
        <v/>
      </c>
      <c r="K49" s="54">
        <f>IF(K$4="","",SUMIFS('Students'!J$2:J$701,'Students'!$C$2:$C$701,$C49))</f>
        <v/>
      </c>
      <c r="L49" s="54">
        <f>IF(L$4="","",SUMIFS('Students'!K$2:K$701,'Students'!$C$2:$C$701,$C49))</f>
        <v/>
      </c>
      <c r="M49" s="54">
        <f>IF(M$4="","",SUMIFS('Students'!L$2:L$701,'Students'!$C$2:$C$701,$C49))</f>
        <v/>
      </c>
      <c r="N49" s="54">
        <f>IF(N$4="","",SUMIFS('Students'!M$2:M$701,'Students'!$C$2:$C$701,$C49))</f>
        <v/>
      </c>
      <c r="O49" s="54">
        <f>IF(O$4="","",SUMIFS('Students'!N$2:N$701,'Students'!$C$2:$C$701,$C49))</f>
        <v/>
      </c>
      <c r="P49" s="54">
        <f>IF(P$4="","",SUMIFS('Students'!O$2:O$701,'Students'!$C$2:$C$701,$C49))</f>
        <v/>
      </c>
      <c r="Q49" s="54">
        <f>IF(Q$4="","",SUMIFS('Students'!P$2:P$701,'Students'!$C$2:$C$701,$C49))</f>
        <v/>
      </c>
      <c r="R49" s="54">
        <f>IF(R$4="","",SUMIFS('Students'!Q$2:Q$701,'Students'!$C$2:$C$701,$C49))</f>
        <v/>
      </c>
      <c r="S49" s="54">
        <f>IF(S$4="","",SUMIFS('Students'!R$2:R$701,'Students'!$C$2:$C$701,$C49))</f>
        <v/>
      </c>
      <c r="T49" s="54">
        <f>IF(T$4="","",SUMIFS('Students'!S$2:S$701,'Students'!$C$2:$C$701,$C49))</f>
        <v/>
      </c>
      <c r="U49" s="54">
        <f>IF(U$4="","",SUMIFS('Students'!T$2:T$701,'Students'!$C$2:$C$701,$C49))</f>
        <v/>
      </c>
      <c r="V49" s="54">
        <f>IF(V$4="","",SUMIFS('Students'!U$2:U$701,'Students'!$C$2:$C$701,$C49))</f>
        <v/>
      </c>
      <c r="W49" s="54">
        <f>IF(W$4="","",SUMIFS('Students'!V$2:V$701,'Students'!$C$2:$C$701,$C49))</f>
        <v/>
      </c>
      <c r="X49" s="54">
        <f>IF(X$4="","",SUMIFS('Students'!W$2:W$701,'Students'!$C$2:$C$701,$C49))</f>
        <v/>
      </c>
      <c r="Y49" s="54">
        <f>IF(Y$4="","",SUMIFS('Students'!X$2:X$701,'Students'!$C$2:$C$701,$C49))</f>
        <v/>
      </c>
      <c r="Z49" s="54">
        <f>IF(Z$4="","",SUMIFS('Students'!Y$2:Y$701,'Students'!$C$2:$C$701,$C49))</f>
        <v/>
      </c>
      <c r="AA49" s="54">
        <f>IF(AA$4="","",SUMIFS('Students'!Z$2:Z$701,'Students'!$C$2:$C$701,$C49))</f>
        <v/>
      </c>
      <c r="AB49" s="54">
        <f>IF(AB$4="","",SUMIFS('Students'!AA$2:AA$701,'Students'!$C$2:$C$701,$C49))</f>
        <v/>
      </c>
      <c r="AC49" s="54">
        <f>IF(AC$4="","",SUMIFS('Students'!AB$2:AB$701,'Students'!$C$2:$C$701,$C49))</f>
        <v/>
      </c>
      <c r="AD49" s="54">
        <f>IF(AD$4="","",SUMIFS('Students'!AC$2:AC$701,'Students'!$C$2:$C$701,$C49))</f>
        <v/>
      </c>
    </row>
    <row r="50">
      <c r="A50" s="34" t="inlineStr">
        <is>
          <t>Grade K</t>
        </is>
      </c>
      <c r="C50" s="52" t="inlineStr">
        <is>
          <t>K</t>
        </is>
      </c>
      <c r="D50" s="53">
        <f>COUNTIFS('Students'!$C$2:$C$701,C50,'Students'!$AE$2:$AE$701,1)</f>
        <v/>
      </c>
      <c r="E50" s="53">
        <f>COUNTIFS('Students'!$C$2:$C$701,C50,'Students'!$D$2:$D$701,"&gt;0")</f>
        <v/>
      </c>
      <c r="F50" s="41">
        <f>IF(D50&gt;0,E50/D50,0)</f>
        <v/>
      </c>
      <c r="G50" s="45">
        <f>ROUND(SUMIFS('Students'!$D$2:$D$701,'Students'!$C$2:$C$701,C50),2)</f>
        <v/>
      </c>
      <c r="H50" s="45">
        <f>IF(D50&gt;0,G50/D50,0)</f>
        <v/>
      </c>
      <c r="I50" s="53">
        <f>COUNTIF($G$48:$G$58,"&gt;"&amp;G50)+1</f>
        <v/>
      </c>
      <c r="J50" s="54">
        <f>IF(J$4="","",SUMIFS('Students'!I$2:I$701,'Students'!$C$2:$C$701,$C50))</f>
        <v/>
      </c>
      <c r="K50" s="54">
        <f>IF(K$4="","",SUMIFS('Students'!J$2:J$701,'Students'!$C$2:$C$701,$C50))</f>
        <v/>
      </c>
      <c r="L50" s="54">
        <f>IF(L$4="","",SUMIFS('Students'!K$2:K$701,'Students'!$C$2:$C$701,$C50))</f>
        <v/>
      </c>
      <c r="M50" s="54">
        <f>IF(M$4="","",SUMIFS('Students'!L$2:L$701,'Students'!$C$2:$C$701,$C50))</f>
        <v/>
      </c>
      <c r="N50" s="54">
        <f>IF(N$4="","",SUMIFS('Students'!M$2:M$701,'Students'!$C$2:$C$701,$C50))</f>
        <v/>
      </c>
      <c r="O50" s="54">
        <f>IF(O$4="","",SUMIFS('Students'!N$2:N$701,'Students'!$C$2:$C$701,$C50))</f>
        <v/>
      </c>
      <c r="P50" s="54">
        <f>IF(P$4="","",SUMIFS('Students'!O$2:O$701,'Students'!$C$2:$C$701,$C50))</f>
        <v/>
      </c>
      <c r="Q50" s="54">
        <f>IF(Q$4="","",SUMIFS('Students'!P$2:P$701,'Students'!$C$2:$C$701,$C50))</f>
        <v/>
      </c>
      <c r="R50" s="54">
        <f>IF(R$4="","",SUMIFS('Students'!Q$2:Q$701,'Students'!$C$2:$C$701,$C50))</f>
        <v/>
      </c>
      <c r="S50" s="54">
        <f>IF(S$4="","",SUMIFS('Students'!R$2:R$701,'Students'!$C$2:$C$701,$C50))</f>
        <v/>
      </c>
      <c r="T50" s="54">
        <f>IF(T$4="","",SUMIFS('Students'!S$2:S$701,'Students'!$C$2:$C$701,$C50))</f>
        <v/>
      </c>
      <c r="U50" s="54">
        <f>IF(U$4="","",SUMIFS('Students'!T$2:T$701,'Students'!$C$2:$C$701,$C50))</f>
        <v/>
      </c>
      <c r="V50" s="54">
        <f>IF(V$4="","",SUMIFS('Students'!U$2:U$701,'Students'!$C$2:$C$701,$C50))</f>
        <v/>
      </c>
      <c r="W50" s="54">
        <f>IF(W$4="","",SUMIFS('Students'!V$2:V$701,'Students'!$C$2:$C$701,$C50))</f>
        <v/>
      </c>
      <c r="X50" s="54">
        <f>IF(X$4="","",SUMIFS('Students'!W$2:W$701,'Students'!$C$2:$C$701,$C50))</f>
        <v/>
      </c>
      <c r="Y50" s="54">
        <f>IF(Y$4="","",SUMIFS('Students'!X$2:X$701,'Students'!$C$2:$C$701,$C50))</f>
        <v/>
      </c>
      <c r="Z50" s="54">
        <f>IF(Z$4="","",SUMIFS('Students'!Y$2:Y$701,'Students'!$C$2:$C$701,$C50))</f>
        <v/>
      </c>
      <c r="AA50" s="54">
        <f>IF(AA$4="","",SUMIFS('Students'!Z$2:Z$701,'Students'!$C$2:$C$701,$C50))</f>
        <v/>
      </c>
      <c r="AB50" s="54">
        <f>IF(AB$4="","",SUMIFS('Students'!AA$2:AA$701,'Students'!$C$2:$C$701,$C50))</f>
        <v/>
      </c>
      <c r="AC50" s="54">
        <f>IF(AC$4="","",SUMIFS('Students'!AB$2:AB$701,'Students'!$C$2:$C$701,$C50))</f>
        <v/>
      </c>
      <c r="AD50" s="54">
        <f>IF(AD$4="","",SUMIFS('Students'!AC$2:AC$701,'Students'!$C$2:$C$701,$C50))</f>
        <v/>
      </c>
    </row>
    <row r="51">
      <c r="A51" s="34" t="inlineStr">
        <is>
          <t>Grade 1</t>
        </is>
      </c>
      <c r="C51" s="52" t="inlineStr">
        <is>
          <t>1</t>
        </is>
      </c>
      <c r="D51" s="53">
        <f>COUNTIFS('Students'!$C$2:$C$701,C51,'Students'!$AE$2:$AE$701,1)</f>
        <v/>
      </c>
      <c r="E51" s="53">
        <f>COUNTIFS('Students'!$C$2:$C$701,C51,'Students'!$D$2:$D$701,"&gt;0")</f>
        <v/>
      </c>
      <c r="F51" s="41">
        <f>IF(D51&gt;0,E51/D51,0)</f>
        <v/>
      </c>
      <c r="G51" s="45">
        <f>ROUND(SUMIFS('Students'!$D$2:$D$701,'Students'!$C$2:$C$701,C51),2)</f>
        <v/>
      </c>
      <c r="H51" s="45">
        <f>IF(D51&gt;0,G51/D51,0)</f>
        <v/>
      </c>
      <c r="I51" s="53">
        <f>COUNTIF($G$48:$G$58,"&gt;"&amp;G51)+1</f>
        <v/>
      </c>
      <c r="J51" s="54">
        <f>IF(J$4="","",SUMIFS('Students'!I$2:I$701,'Students'!$C$2:$C$701,$C51))</f>
        <v/>
      </c>
      <c r="K51" s="54">
        <f>IF(K$4="","",SUMIFS('Students'!J$2:J$701,'Students'!$C$2:$C$701,$C51))</f>
        <v/>
      </c>
      <c r="L51" s="54">
        <f>IF(L$4="","",SUMIFS('Students'!K$2:K$701,'Students'!$C$2:$C$701,$C51))</f>
        <v/>
      </c>
      <c r="M51" s="54">
        <f>IF(M$4="","",SUMIFS('Students'!L$2:L$701,'Students'!$C$2:$C$701,$C51))</f>
        <v/>
      </c>
      <c r="N51" s="54">
        <f>IF(N$4="","",SUMIFS('Students'!M$2:M$701,'Students'!$C$2:$C$701,$C51))</f>
        <v/>
      </c>
      <c r="O51" s="54">
        <f>IF(O$4="","",SUMIFS('Students'!N$2:N$701,'Students'!$C$2:$C$701,$C51))</f>
        <v/>
      </c>
      <c r="P51" s="54">
        <f>IF(P$4="","",SUMIFS('Students'!O$2:O$701,'Students'!$C$2:$C$701,$C51))</f>
        <v/>
      </c>
      <c r="Q51" s="54">
        <f>IF(Q$4="","",SUMIFS('Students'!P$2:P$701,'Students'!$C$2:$C$701,$C51))</f>
        <v/>
      </c>
      <c r="R51" s="54">
        <f>IF(R$4="","",SUMIFS('Students'!Q$2:Q$701,'Students'!$C$2:$C$701,$C51))</f>
        <v/>
      </c>
      <c r="S51" s="54">
        <f>IF(S$4="","",SUMIFS('Students'!R$2:R$701,'Students'!$C$2:$C$701,$C51))</f>
        <v/>
      </c>
      <c r="T51" s="54">
        <f>IF(T$4="","",SUMIFS('Students'!S$2:S$701,'Students'!$C$2:$C$701,$C51))</f>
        <v/>
      </c>
      <c r="U51" s="54">
        <f>IF(U$4="","",SUMIFS('Students'!T$2:T$701,'Students'!$C$2:$C$701,$C51))</f>
        <v/>
      </c>
      <c r="V51" s="54">
        <f>IF(V$4="","",SUMIFS('Students'!U$2:U$701,'Students'!$C$2:$C$701,$C51))</f>
        <v/>
      </c>
      <c r="W51" s="54">
        <f>IF(W$4="","",SUMIFS('Students'!V$2:V$701,'Students'!$C$2:$C$701,$C51))</f>
        <v/>
      </c>
      <c r="X51" s="54">
        <f>IF(X$4="","",SUMIFS('Students'!W$2:W$701,'Students'!$C$2:$C$701,$C51))</f>
        <v/>
      </c>
      <c r="Y51" s="54">
        <f>IF(Y$4="","",SUMIFS('Students'!X$2:X$701,'Students'!$C$2:$C$701,$C51))</f>
        <v/>
      </c>
      <c r="Z51" s="54">
        <f>IF(Z$4="","",SUMIFS('Students'!Y$2:Y$701,'Students'!$C$2:$C$701,$C51))</f>
        <v/>
      </c>
      <c r="AA51" s="54">
        <f>IF(AA$4="","",SUMIFS('Students'!Z$2:Z$701,'Students'!$C$2:$C$701,$C51))</f>
        <v/>
      </c>
      <c r="AB51" s="54">
        <f>IF(AB$4="","",SUMIFS('Students'!AA$2:AA$701,'Students'!$C$2:$C$701,$C51))</f>
        <v/>
      </c>
      <c r="AC51" s="54">
        <f>IF(AC$4="","",SUMIFS('Students'!AB$2:AB$701,'Students'!$C$2:$C$701,$C51))</f>
        <v/>
      </c>
      <c r="AD51" s="54">
        <f>IF(AD$4="","",SUMIFS('Students'!AC$2:AC$701,'Students'!$C$2:$C$701,$C51))</f>
        <v/>
      </c>
    </row>
    <row r="52">
      <c r="A52" s="34" t="inlineStr">
        <is>
          <t>Grade 2</t>
        </is>
      </c>
      <c r="C52" s="52" t="inlineStr">
        <is>
          <t>2</t>
        </is>
      </c>
      <c r="D52" s="53">
        <f>COUNTIFS('Students'!$C$2:$C$701,C52,'Students'!$AE$2:$AE$701,1)</f>
        <v/>
      </c>
      <c r="E52" s="53">
        <f>COUNTIFS('Students'!$C$2:$C$701,C52,'Students'!$D$2:$D$701,"&gt;0")</f>
        <v/>
      </c>
      <c r="F52" s="41">
        <f>IF(D52&gt;0,E52/D52,0)</f>
        <v/>
      </c>
      <c r="G52" s="45">
        <f>ROUND(SUMIFS('Students'!$D$2:$D$701,'Students'!$C$2:$C$701,C52),2)</f>
        <v/>
      </c>
      <c r="H52" s="45">
        <f>IF(D52&gt;0,G52/D52,0)</f>
        <v/>
      </c>
      <c r="I52" s="53">
        <f>COUNTIF($G$48:$G$58,"&gt;"&amp;G52)+1</f>
        <v/>
      </c>
      <c r="J52" s="54">
        <f>IF(J$4="","",SUMIFS('Students'!I$2:I$701,'Students'!$C$2:$C$701,$C52))</f>
        <v/>
      </c>
      <c r="K52" s="54">
        <f>IF(K$4="","",SUMIFS('Students'!J$2:J$701,'Students'!$C$2:$C$701,$C52))</f>
        <v/>
      </c>
      <c r="L52" s="54">
        <f>IF(L$4="","",SUMIFS('Students'!K$2:K$701,'Students'!$C$2:$C$701,$C52))</f>
        <v/>
      </c>
      <c r="M52" s="54">
        <f>IF(M$4="","",SUMIFS('Students'!L$2:L$701,'Students'!$C$2:$C$701,$C52))</f>
        <v/>
      </c>
      <c r="N52" s="54">
        <f>IF(N$4="","",SUMIFS('Students'!M$2:M$701,'Students'!$C$2:$C$701,$C52))</f>
        <v/>
      </c>
      <c r="O52" s="54">
        <f>IF(O$4="","",SUMIFS('Students'!N$2:N$701,'Students'!$C$2:$C$701,$C52))</f>
        <v/>
      </c>
      <c r="P52" s="54">
        <f>IF(P$4="","",SUMIFS('Students'!O$2:O$701,'Students'!$C$2:$C$701,$C52))</f>
        <v/>
      </c>
      <c r="Q52" s="54">
        <f>IF(Q$4="","",SUMIFS('Students'!P$2:P$701,'Students'!$C$2:$C$701,$C52))</f>
        <v/>
      </c>
      <c r="R52" s="54">
        <f>IF(R$4="","",SUMIFS('Students'!Q$2:Q$701,'Students'!$C$2:$C$701,$C52))</f>
        <v/>
      </c>
      <c r="S52" s="54">
        <f>IF(S$4="","",SUMIFS('Students'!R$2:R$701,'Students'!$C$2:$C$701,$C52))</f>
        <v/>
      </c>
      <c r="T52" s="54">
        <f>IF(T$4="","",SUMIFS('Students'!S$2:S$701,'Students'!$C$2:$C$701,$C52))</f>
        <v/>
      </c>
      <c r="U52" s="54">
        <f>IF(U$4="","",SUMIFS('Students'!T$2:T$701,'Students'!$C$2:$C$701,$C52))</f>
        <v/>
      </c>
      <c r="V52" s="54">
        <f>IF(V$4="","",SUMIFS('Students'!U$2:U$701,'Students'!$C$2:$C$701,$C52))</f>
        <v/>
      </c>
      <c r="W52" s="54">
        <f>IF(W$4="","",SUMIFS('Students'!V$2:V$701,'Students'!$C$2:$C$701,$C52))</f>
        <v/>
      </c>
      <c r="X52" s="54">
        <f>IF(X$4="","",SUMIFS('Students'!W$2:W$701,'Students'!$C$2:$C$701,$C52))</f>
        <v/>
      </c>
      <c r="Y52" s="54">
        <f>IF(Y$4="","",SUMIFS('Students'!X$2:X$701,'Students'!$C$2:$C$701,$C52))</f>
        <v/>
      </c>
      <c r="Z52" s="54">
        <f>IF(Z$4="","",SUMIFS('Students'!Y$2:Y$701,'Students'!$C$2:$C$701,$C52))</f>
        <v/>
      </c>
      <c r="AA52" s="54">
        <f>IF(AA$4="","",SUMIFS('Students'!Z$2:Z$701,'Students'!$C$2:$C$701,$C52))</f>
        <v/>
      </c>
      <c r="AB52" s="54">
        <f>IF(AB$4="","",SUMIFS('Students'!AA$2:AA$701,'Students'!$C$2:$C$701,$C52))</f>
        <v/>
      </c>
      <c r="AC52" s="54">
        <f>IF(AC$4="","",SUMIFS('Students'!AB$2:AB$701,'Students'!$C$2:$C$701,$C52))</f>
        <v/>
      </c>
      <c r="AD52" s="54">
        <f>IF(AD$4="","",SUMIFS('Students'!AC$2:AC$701,'Students'!$C$2:$C$701,$C52))</f>
        <v/>
      </c>
    </row>
    <row r="53">
      <c r="A53" s="34" t="inlineStr">
        <is>
          <t>Grade 3</t>
        </is>
      </c>
      <c r="C53" s="52" t="inlineStr">
        <is>
          <t>3</t>
        </is>
      </c>
      <c r="D53" s="53">
        <f>COUNTIFS('Students'!$C$2:$C$701,C53,'Students'!$AE$2:$AE$701,1)</f>
        <v/>
      </c>
      <c r="E53" s="53">
        <f>COUNTIFS('Students'!$C$2:$C$701,C53,'Students'!$D$2:$D$701,"&gt;0")</f>
        <v/>
      </c>
      <c r="F53" s="41">
        <f>IF(D53&gt;0,E53/D53,0)</f>
        <v/>
      </c>
      <c r="G53" s="45">
        <f>ROUND(SUMIFS('Students'!$D$2:$D$701,'Students'!$C$2:$C$701,C53),2)</f>
        <v/>
      </c>
      <c r="H53" s="45">
        <f>IF(D53&gt;0,G53/D53,0)</f>
        <v/>
      </c>
      <c r="I53" s="53">
        <f>COUNTIF($G$48:$G$58,"&gt;"&amp;G53)+1</f>
        <v/>
      </c>
      <c r="J53" s="54">
        <f>IF(J$4="","",SUMIFS('Students'!I$2:I$701,'Students'!$C$2:$C$701,$C53))</f>
        <v/>
      </c>
      <c r="K53" s="54">
        <f>IF(K$4="","",SUMIFS('Students'!J$2:J$701,'Students'!$C$2:$C$701,$C53))</f>
        <v/>
      </c>
      <c r="L53" s="54">
        <f>IF(L$4="","",SUMIFS('Students'!K$2:K$701,'Students'!$C$2:$C$701,$C53))</f>
        <v/>
      </c>
      <c r="M53" s="54">
        <f>IF(M$4="","",SUMIFS('Students'!L$2:L$701,'Students'!$C$2:$C$701,$C53))</f>
        <v/>
      </c>
      <c r="N53" s="54">
        <f>IF(N$4="","",SUMIFS('Students'!M$2:M$701,'Students'!$C$2:$C$701,$C53))</f>
        <v/>
      </c>
      <c r="O53" s="54">
        <f>IF(O$4="","",SUMIFS('Students'!N$2:N$701,'Students'!$C$2:$C$701,$C53))</f>
        <v/>
      </c>
      <c r="P53" s="54">
        <f>IF(P$4="","",SUMIFS('Students'!O$2:O$701,'Students'!$C$2:$C$701,$C53))</f>
        <v/>
      </c>
      <c r="Q53" s="54">
        <f>IF(Q$4="","",SUMIFS('Students'!P$2:P$701,'Students'!$C$2:$C$701,$C53))</f>
        <v/>
      </c>
      <c r="R53" s="54">
        <f>IF(R$4="","",SUMIFS('Students'!Q$2:Q$701,'Students'!$C$2:$C$701,$C53))</f>
        <v/>
      </c>
      <c r="S53" s="54">
        <f>IF(S$4="","",SUMIFS('Students'!R$2:R$701,'Students'!$C$2:$C$701,$C53))</f>
        <v/>
      </c>
      <c r="T53" s="54">
        <f>IF(T$4="","",SUMIFS('Students'!S$2:S$701,'Students'!$C$2:$C$701,$C53))</f>
        <v/>
      </c>
      <c r="U53" s="54">
        <f>IF(U$4="","",SUMIFS('Students'!T$2:T$701,'Students'!$C$2:$C$701,$C53))</f>
        <v/>
      </c>
      <c r="V53" s="54">
        <f>IF(V$4="","",SUMIFS('Students'!U$2:U$701,'Students'!$C$2:$C$701,$C53))</f>
        <v/>
      </c>
      <c r="W53" s="54">
        <f>IF(W$4="","",SUMIFS('Students'!V$2:V$701,'Students'!$C$2:$C$701,$C53))</f>
        <v/>
      </c>
      <c r="X53" s="54">
        <f>IF(X$4="","",SUMIFS('Students'!W$2:W$701,'Students'!$C$2:$C$701,$C53))</f>
        <v/>
      </c>
      <c r="Y53" s="54">
        <f>IF(Y$4="","",SUMIFS('Students'!X$2:X$701,'Students'!$C$2:$C$701,$C53))</f>
        <v/>
      </c>
      <c r="Z53" s="54">
        <f>IF(Z$4="","",SUMIFS('Students'!Y$2:Y$701,'Students'!$C$2:$C$701,$C53))</f>
        <v/>
      </c>
      <c r="AA53" s="54">
        <f>IF(AA$4="","",SUMIFS('Students'!Z$2:Z$701,'Students'!$C$2:$C$701,$C53))</f>
        <v/>
      </c>
      <c r="AB53" s="54">
        <f>IF(AB$4="","",SUMIFS('Students'!AA$2:AA$701,'Students'!$C$2:$C$701,$C53))</f>
        <v/>
      </c>
      <c r="AC53" s="54">
        <f>IF(AC$4="","",SUMIFS('Students'!AB$2:AB$701,'Students'!$C$2:$C$701,$C53))</f>
        <v/>
      </c>
      <c r="AD53" s="54">
        <f>IF(AD$4="","",SUMIFS('Students'!AC$2:AC$701,'Students'!$C$2:$C$701,$C53))</f>
        <v/>
      </c>
    </row>
    <row r="54">
      <c r="A54" s="34" t="inlineStr">
        <is>
          <t>Grade 4</t>
        </is>
      </c>
      <c r="C54" s="52" t="inlineStr">
        <is>
          <t>4</t>
        </is>
      </c>
      <c r="D54" s="53">
        <f>COUNTIFS('Students'!$C$2:$C$701,C54,'Students'!$AE$2:$AE$701,1)</f>
        <v/>
      </c>
      <c r="E54" s="53">
        <f>COUNTIFS('Students'!$C$2:$C$701,C54,'Students'!$D$2:$D$701,"&gt;0")</f>
        <v/>
      </c>
      <c r="F54" s="41">
        <f>IF(D54&gt;0,E54/D54,0)</f>
        <v/>
      </c>
      <c r="G54" s="45">
        <f>ROUND(SUMIFS('Students'!$D$2:$D$701,'Students'!$C$2:$C$701,C54),2)</f>
        <v/>
      </c>
      <c r="H54" s="45">
        <f>IF(D54&gt;0,G54/D54,0)</f>
        <v/>
      </c>
      <c r="I54" s="53">
        <f>COUNTIF($G$48:$G$58,"&gt;"&amp;G54)+1</f>
        <v/>
      </c>
      <c r="J54" s="54">
        <f>IF(J$4="","",SUMIFS('Students'!I$2:I$701,'Students'!$C$2:$C$701,$C54))</f>
        <v/>
      </c>
      <c r="K54" s="54">
        <f>IF(K$4="","",SUMIFS('Students'!J$2:J$701,'Students'!$C$2:$C$701,$C54))</f>
        <v/>
      </c>
      <c r="L54" s="54">
        <f>IF(L$4="","",SUMIFS('Students'!K$2:K$701,'Students'!$C$2:$C$701,$C54))</f>
        <v/>
      </c>
      <c r="M54" s="54">
        <f>IF(M$4="","",SUMIFS('Students'!L$2:L$701,'Students'!$C$2:$C$701,$C54))</f>
        <v/>
      </c>
      <c r="N54" s="54">
        <f>IF(N$4="","",SUMIFS('Students'!M$2:M$701,'Students'!$C$2:$C$701,$C54))</f>
        <v/>
      </c>
      <c r="O54" s="54">
        <f>IF(O$4="","",SUMIFS('Students'!N$2:N$701,'Students'!$C$2:$C$701,$C54))</f>
        <v/>
      </c>
      <c r="P54" s="54">
        <f>IF(P$4="","",SUMIFS('Students'!O$2:O$701,'Students'!$C$2:$C$701,$C54))</f>
        <v/>
      </c>
      <c r="Q54" s="54">
        <f>IF(Q$4="","",SUMIFS('Students'!P$2:P$701,'Students'!$C$2:$C$701,$C54))</f>
        <v/>
      </c>
      <c r="R54" s="54">
        <f>IF(R$4="","",SUMIFS('Students'!Q$2:Q$701,'Students'!$C$2:$C$701,$C54))</f>
        <v/>
      </c>
      <c r="S54" s="54">
        <f>IF(S$4="","",SUMIFS('Students'!R$2:R$701,'Students'!$C$2:$C$701,$C54))</f>
        <v/>
      </c>
      <c r="T54" s="54">
        <f>IF(T$4="","",SUMIFS('Students'!S$2:S$701,'Students'!$C$2:$C$701,$C54))</f>
        <v/>
      </c>
      <c r="U54" s="54">
        <f>IF(U$4="","",SUMIFS('Students'!T$2:T$701,'Students'!$C$2:$C$701,$C54))</f>
        <v/>
      </c>
      <c r="V54" s="54">
        <f>IF(V$4="","",SUMIFS('Students'!U$2:U$701,'Students'!$C$2:$C$701,$C54))</f>
        <v/>
      </c>
      <c r="W54" s="54">
        <f>IF(W$4="","",SUMIFS('Students'!V$2:V$701,'Students'!$C$2:$C$701,$C54))</f>
        <v/>
      </c>
      <c r="X54" s="54">
        <f>IF(X$4="","",SUMIFS('Students'!W$2:W$701,'Students'!$C$2:$C$701,$C54))</f>
        <v/>
      </c>
      <c r="Y54" s="54">
        <f>IF(Y$4="","",SUMIFS('Students'!X$2:X$701,'Students'!$C$2:$C$701,$C54))</f>
        <v/>
      </c>
      <c r="Z54" s="54">
        <f>IF(Z$4="","",SUMIFS('Students'!Y$2:Y$701,'Students'!$C$2:$C$701,$C54))</f>
        <v/>
      </c>
      <c r="AA54" s="54">
        <f>IF(AA$4="","",SUMIFS('Students'!Z$2:Z$701,'Students'!$C$2:$C$701,$C54))</f>
        <v/>
      </c>
      <c r="AB54" s="54">
        <f>IF(AB$4="","",SUMIFS('Students'!AA$2:AA$701,'Students'!$C$2:$C$701,$C54))</f>
        <v/>
      </c>
      <c r="AC54" s="54">
        <f>IF(AC$4="","",SUMIFS('Students'!AB$2:AB$701,'Students'!$C$2:$C$701,$C54))</f>
        <v/>
      </c>
      <c r="AD54" s="54">
        <f>IF(AD$4="","",SUMIFS('Students'!AC$2:AC$701,'Students'!$C$2:$C$701,$C54))</f>
        <v/>
      </c>
    </row>
    <row r="55">
      <c r="A55" s="34" t="inlineStr">
        <is>
          <t>Grade 5</t>
        </is>
      </c>
      <c r="C55" s="52" t="inlineStr">
        <is>
          <t>5</t>
        </is>
      </c>
      <c r="D55" s="53">
        <f>COUNTIFS('Students'!$C$2:$C$701,C55,'Students'!$AE$2:$AE$701,1)</f>
        <v/>
      </c>
      <c r="E55" s="53">
        <f>COUNTIFS('Students'!$C$2:$C$701,C55,'Students'!$D$2:$D$701,"&gt;0")</f>
        <v/>
      </c>
      <c r="F55" s="41">
        <f>IF(D55&gt;0,E55/D55,0)</f>
        <v/>
      </c>
      <c r="G55" s="45">
        <f>ROUND(SUMIFS('Students'!$D$2:$D$701,'Students'!$C$2:$C$701,C55),2)</f>
        <v/>
      </c>
      <c r="H55" s="45">
        <f>IF(D55&gt;0,G55/D55,0)</f>
        <v/>
      </c>
      <c r="I55" s="53">
        <f>COUNTIF($G$48:$G$58,"&gt;"&amp;G55)+1</f>
        <v/>
      </c>
      <c r="J55" s="54">
        <f>IF(J$4="","",SUMIFS('Students'!I$2:I$701,'Students'!$C$2:$C$701,$C55))</f>
        <v/>
      </c>
      <c r="K55" s="54">
        <f>IF(K$4="","",SUMIFS('Students'!J$2:J$701,'Students'!$C$2:$C$701,$C55))</f>
        <v/>
      </c>
      <c r="L55" s="54">
        <f>IF(L$4="","",SUMIFS('Students'!K$2:K$701,'Students'!$C$2:$C$701,$C55))</f>
        <v/>
      </c>
      <c r="M55" s="54">
        <f>IF(M$4="","",SUMIFS('Students'!L$2:L$701,'Students'!$C$2:$C$701,$C55))</f>
        <v/>
      </c>
      <c r="N55" s="54">
        <f>IF(N$4="","",SUMIFS('Students'!M$2:M$701,'Students'!$C$2:$C$701,$C55))</f>
        <v/>
      </c>
      <c r="O55" s="54">
        <f>IF(O$4="","",SUMIFS('Students'!N$2:N$701,'Students'!$C$2:$C$701,$C55))</f>
        <v/>
      </c>
      <c r="P55" s="54">
        <f>IF(P$4="","",SUMIFS('Students'!O$2:O$701,'Students'!$C$2:$C$701,$C55))</f>
        <v/>
      </c>
      <c r="Q55" s="54">
        <f>IF(Q$4="","",SUMIFS('Students'!P$2:P$701,'Students'!$C$2:$C$701,$C55))</f>
        <v/>
      </c>
      <c r="R55" s="54">
        <f>IF(R$4="","",SUMIFS('Students'!Q$2:Q$701,'Students'!$C$2:$C$701,$C55))</f>
        <v/>
      </c>
      <c r="S55" s="54">
        <f>IF(S$4="","",SUMIFS('Students'!R$2:R$701,'Students'!$C$2:$C$701,$C55))</f>
        <v/>
      </c>
      <c r="T55" s="54">
        <f>IF(T$4="","",SUMIFS('Students'!S$2:S$701,'Students'!$C$2:$C$701,$C55))</f>
        <v/>
      </c>
      <c r="U55" s="54">
        <f>IF(U$4="","",SUMIFS('Students'!T$2:T$701,'Students'!$C$2:$C$701,$C55))</f>
        <v/>
      </c>
      <c r="V55" s="54">
        <f>IF(V$4="","",SUMIFS('Students'!U$2:U$701,'Students'!$C$2:$C$701,$C55))</f>
        <v/>
      </c>
      <c r="W55" s="54">
        <f>IF(W$4="","",SUMIFS('Students'!V$2:V$701,'Students'!$C$2:$C$701,$C55))</f>
        <v/>
      </c>
      <c r="X55" s="54">
        <f>IF(X$4="","",SUMIFS('Students'!W$2:W$701,'Students'!$C$2:$C$701,$C55))</f>
        <v/>
      </c>
      <c r="Y55" s="54">
        <f>IF(Y$4="","",SUMIFS('Students'!X$2:X$701,'Students'!$C$2:$C$701,$C55))</f>
        <v/>
      </c>
      <c r="Z55" s="54">
        <f>IF(Z$4="","",SUMIFS('Students'!Y$2:Y$701,'Students'!$C$2:$C$701,$C55))</f>
        <v/>
      </c>
      <c r="AA55" s="54">
        <f>IF(AA$4="","",SUMIFS('Students'!Z$2:Z$701,'Students'!$C$2:$C$701,$C55))</f>
        <v/>
      </c>
      <c r="AB55" s="54">
        <f>IF(AB$4="","",SUMIFS('Students'!AA$2:AA$701,'Students'!$C$2:$C$701,$C55))</f>
        <v/>
      </c>
      <c r="AC55" s="54">
        <f>IF(AC$4="","",SUMIFS('Students'!AB$2:AB$701,'Students'!$C$2:$C$701,$C55))</f>
        <v/>
      </c>
      <c r="AD55" s="54">
        <f>IF(AD$4="","",SUMIFS('Students'!AC$2:AC$701,'Students'!$C$2:$C$701,$C55))</f>
        <v/>
      </c>
    </row>
    <row r="56">
      <c r="A56" s="34" t="inlineStr">
        <is>
          <t>Grade 6</t>
        </is>
      </c>
      <c r="C56" s="52" t="inlineStr">
        <is>
          <t>6</t>
        </is>
      </c>
      <c r="D56" s="53">
        <f>COUNTIFS('Students'!$C$2:$C$701,C56,'Students'!$AE$2:$AE$701,1)</f>
        <v/>
      </c>
      <c r="E56" s="53">
        <f>COUNTIFS('Students'!$C$2:$C$701,C56,'Students'!$D$2:$D$701,"&gt;0")</f>
        <v/>
      </c>
      <c r="F56" s="41">
        <f>IF(D56&gt;0,E56/D56,0)</f>
        <v/>
      </c>
      <c r="G56" s="45">
        <f>ROUND(SUMIFS('Students'!$D$2:$D$701,'Students'!$C$2:$C$701,C56),2)</f>
        <v/>
      </c>
      <c r="H56" s="45">
        <f>IF(D56&gt;0,G56/D56,0)</f>
        <v/>
      </c>
      <c r="I56" s="53">
        <f>COUNTIF($G$48:$G$58,"&gt;"&amp;G56)+1</f>
        <v/>
      </c>
      <c r="J56" s="54">
        <f>IF(J$4="","",SUMIFS('Students'!I$2:I$701,'Students'!$C$2:$C$701,$C56))</f>
        <v/>
      </c>
      <c r="K56" s="54">
        <f>IF(K$4="","",SUMIFS('Students'!J$2:J$701,'Students'!$C$2:$C$701,$C56))</f>
        <v/>
      </c>
      <c r="L56" s="54">
        <f>IF(L$4="","",SUMIFS('Students'!K$2:K$701,'Students'!$C$2:$C$701,$C56))</f>
        <v/>
      </c>
      <c r="M56" s="54">
        <f>IF(M$4="","",SUMIFS('Students'!L$2:L$701,'Students'!$C$2:$C$701,$C56))</f>
        <v/>
      </c>
      <c r="N56" s="54">
        <f>IF(N$4="","",SUMIFS('Students'!M$2:M$701,'Students'!$C$2:$C$701,$C56))</f>
        <v/>
      </c>
      <c r="O56" s="54">
        <f>IF(O$4="","",SUMIFS('Students'!N$2:N$701,'Students'!$C$2:$C$701,$C56))</f>
        <v/>
      </c>
      <c r="P56" s="54">
        <f>IF(P$4="","",SUMIFS('Students'!O$2:O$701,'Students'!$C$2:$C$701,$C56))</f>
        <v/>
      </c>
      <c r="Q56" s="54">
        <f>IF(Q$4="","",SUMIFS('Students'!P$2:P$701,'Students'!$C$2:$C$701,$C56))</f>
        <v/>
      </c>
      <c r="R56" s="54">
        <f>IF(R$4="","",SUMIFS('Students'!Q$2:Q$701,'Students'!$C$2:$C$701,$C56))</f>
        <v/>
      </c>
      <c r="S56" s="54">
        <f>IF(S$4="","",SUMIFS('Students'!R$2:R$701,'Students'!$C$2:$C$701,$C56))</f>
        <v/>
      </c>
      <c r="T56" s="54">
        <f>IF(T$4="","",SUMIFS('Students'!S$2:S$701,'Students'!$C$2:$C$701,$C56))</f>
        <v/>
      </c>
      <c r="U56" s="54">
        <f>IF(U$4="","",SUMIFS('Students'!T$2:T$701,'Students'!$C$2:$C$701,$C56))</f>
        <v/>
      </c>
      <c r="V56" s="54">
        <f>IF(V$4="","",SUMIFS('Students'!U$2:U$701,'Students'!$C$2:$C$701,$C56))</f>
        <v/>
      </c>
      <c r="W56" s="54">
        <f>IF(W$4="","",SUMIFS('Students'!V$2:V$701,'Students'!$C$2:$C$701,$C56))</f>
        <v/>
      </c>
      <c r="X56" s="54">
        <f>IF(X$4="","",SUMIFS('Students'!W$2:W$701,'Students'!$C$2:$C$701,$C56))</f>
        <v/>
      </c>
      <c r="Y56" s="54">
        <f>IF(Y$4="","",SUMIFS('Students'!X$2:X$701,'Students'!$C$2:$C$701,$C56))</f>
        <v/>
      </c>
      <c r="Z56" s="54">
        <f>IF(Z$4="","",SUMIFS('Students'!Y$2:Y$701,'Students'!$C$2:$C$701,$C56))</f>
        <v/>
      </c>
      <c r="AA56" s="54">
        <f>IF(AA$4="","",SUMIFS('Students'!Z$2:Z$701,'Students'!$C$2:$C$701,$C56))</f>
        <v/>
      </c>
      <c r="AB56" s="54">
        <f>IF(AB$4="","",SUMIFS('Students'!AA$2:AA$701,'Students'!$C$2:$C$701,$C56))</f>
        <v/>
      </c>
      <c r="AC56" s="54">
        <f>IF(AC$4="","",SUMIFS('Students'!AB$2:AB$701,'Students'!$C$2:$C$701,$C56))</f>
        <v/>
      </c>
      <c r="AD56" s="54">
        <f>IF(AD$4="","",SUMIFS('Students'!AC$2:AC$701,'Students'!$C$2:$C$701,$C56))</f>
        <v/>
      </c>
    </row>
    <row r="57">
      <c r="A57" s="34" t="inlineStr">
        <is>
          <t>Grade 7</t>
        </is>
      </c>
      <c r="C57" s="52" t="inlineStr">
        <is>
          <t>7</t>
        </is>
      </c>
      <c r="D57" s="53">
        <f>COUNTIFS('Students'!$C$2:$C$701,C57,'Students'!$AE$2:$AE$701,1)</f>
        <v/>
      </c>
      <c r="E57" s="53">
        <f>COUNTIFS('Students'!$C$2:$C$701,C57,'Students'!$D$2:$D$701,"&gt;0")</f>
        <v/>
      </c>
      <c r="F57" s="41">
        <f>IF(D57&gt;0,E57/D57,0)</f>
        <v/>
      </c>
      <c r="G57" s="45">
        <f>ROUND(SUMIFS('Students'!$D$2:$D$701,'Students'!$C$2:$C$701,C57),2)</f>
        <v/>
      </c>
      <c r="H57" s="45">
        <f>IF(D57&gt;0,G57/D57,0)</f>
        <v/>
      </c>
      <c r="I57" s="53">
        <f>COUNTIF($G$48:$G$58,"&gt;"&amp;G57)+1</f>
        <v/>
      </c>
      <c r="J57" s="54">
        <f>IF(J$4="","",SUMIFS('Students'!I$2:I$701,'Students'!$C$2:$C$701,$C57))</f>
        <v/>
      </c>
      <c r="K57" s="54">
        <f>IF(K$4="","",SUMIFS('Students'!J$2:J$701,'Students'!$C$2:$C$701,$C57))</f>
        <v/>
      </c>
      <c r="L57" s="54">
        <f>IF(L$4="","",SUMIFS('Students'!K$2:K$701,'Students'!$C$2:$C$701,$C57))</f>
        <v/>
      </c>
      <c r="M57" s="54">
        <f>IF(M$4="","",SUMIFS('Students'!L$2:L$701,'Students'!$C$2:$C$701,$C57))</f>
        <v/>
      </c>
      <c r="N57" s="54">
        <f>IF(N$4="","",SUMIFS('Students'!M$2:M$701,'Students'!$C$2:$C$701,$C57))</f>
        <v/>
      </c>
      <c r="O57" s="54">
        <f>IF(O$4="","",SUMIFS('Students'!N$2:N$701,'Students'!$C$2:$C$701,$C57))</f>
        <v/>
      </c>
      <c r="P57" s="54">
        <f>IF(P$4="","",SUMIFS('Students'!O$2:O$701,'Students'!$C$2:$C$701,$C57))</f>
        <v/>
      </c>
      <c r="Q57" s="54">
        <f>IF(Q$4="","",SUMIFS('Students'!P$2:P$701,'Students'!$C$2:$C$701,$C57))</f>
        <v/>
      </c>
      <c r="R57" s="54">
        <f>IF(R$4="","",SUMIFS('Students'!Q$2:Q$701,'Students'!$C$2:$C$701,$C57))</f>
        <v/>
      </c>
      <c r="S57" s="54">
        <f>IF(S$4="","",SUMIFS('Students'!R$2:R$701,'Students'!$C$2:$C$701,$C57))</f>
        <v/>
      </c>
      <c r="T57" s="54">
        <f>IF(T$4="","",SUMIFS('Students'!S$2:S$701,'Students'!$C$2:$C$701,$C57))</f>
        <v/>
      </c>
      <c r="U57" s="54">
        <f>IF(U$4="","",SUMIFS('Students'!T$2:T$701,'Students'!$C$2:$C$701,$C57))</f>
        <v/>
      </c>
      <c r="V57" s="54">
        <f>IF(V$4="","",SUMIFS('Students'!U$2:U$701,'Students'!$C$2:$C$701,$C57))</f>
        <v/>
      </c>
      <c r="W57" s="54">
        <f>IF(W$4="","",SUMIFS('Students'!V$2:V$701,'Students'!$C$2:$C$701,$C57))</f>
        <v/>
      </c>
      <c r="X57" s="54">
        <f>IF(X$4="","",SUMIFS('Students'!W$2:W$701,'Students'!$C$2:$C$701,$C57))</f>
        <v/>
      </c>
      <c r="Y57" s="54">
        <f>IF(Y$4="","",SUMIFS('Students'!X$2:X$701,'Students'!$C$2:$C$701,$C57))</f>
        <v/>
      </c>
      <c r="Z57" s="54">
        <f>IF(Z$4="","",SUMIFS('Students'!Y$2:Y$701,'Students'!$C$2:$C$701,$C57))</f>
        <v/>
      </c>
      <c r="AA57" s="54">
        <f>IF(AA$4="","",SUMIFS('Students'!Z$2:Z$701,'Students'!$C$2:$C$701,$C57))</f>
        <v/>
      </c>
      <c r="AB57" s="54">
        <f>IF(AB$4="","",SUMIFS('Students'!AA$2:AA$701,'Students'!$C$2:$C$701,$C57))</f>
        <v/>
      </c>
      <c r="AC57" s="54">
        <f>IF(AC$4="","",SUMIFS('Students'!AB$2:AB$701,'Students'!$C$2:$C$701,$C57))</f>
        <v/>
      </c>
      <c r="AD57" s="54">
        <f>IF(AD$4="","",SUMIFS('Students'!AC$2:AC$701,'Students'!$C$2:$C$701,$C57))</f>
        <v/>
      </c>
    </row>
    <row r="58">
      <c r="A58" s="34" t="inlineStr">
        <is>
          <t>Grade 8</t>
        </is>
      </c>
      <c r="C58" s="52" t="inlineStr">
        <is>
          <t>8</t>
        </is>
      </c>
      <c r="D58" s="53">
        <f>COUNTIFS('Students'!$C$2:$C$701,C58,'Students'!$AE$2:$AE$701,1)</f>
        <v/>
      </c>
      <c r="E58" s="53">
        <f>COUNTIFS('Students'!$C$2:$C$701,C58,'Students'!$D$2:$D$701,"&gt;0")</f>
        <v/>
      </c>
      <c r="F58" s="41">
        <f>IF(D58&gt;0,E58/D58,0)</f>
        <v/>
      </c>
      <c r="G58" s="45">
        <f>ROUND(SUMIFS('Students'!$D$2:$D$701,'Students'!$C$2:$C$701,C58),2)</f>
        <v/>
      </c>
      <c r="H58" s="45">
        <f>IF(D58&gt;0,G58/D58,0)</f>
        <v/>
      </c>
      <c r="I58" s="53">
        <f>COUNTIF($G$48:$G$58,"&gt;"&amp;G58)+1</f>
        <v/>
      </c>
      <c r="J58" s="54">
        <f>IF(J$4="","",SUMIFS('Students'!I$2:I$701,'Students'!$C$2:$C$701,$C58))</f>
        <v/>
      </c>
      <c r="K58" s="54">
        <f>IF(K$4="","",SUMIFS('Students'!J$2:J$701,'Students'!$C$2:$C$701,$C58))</f>
        <v/>
      </c>
      <c r="L58" s="54">
        <f>IF(L$4="","",SUMIFS('Students'!K$2:K$701,'Students'!$C$2:$C$701,$C58))</f>
        <v/>
      </c>
      <c r="M58" s="54">
        <f>IF(M$4="","",SUMIFS('Students'!L$2:L$701,'Students'!$C$2:$C$701,$C58))</f>
        <v/>
      </c>
      <c r="N58" s="54">
        <f>IF(N$4="","",SUMIFS('Students'!M$2:M$701,'Students'!$C$2:$C$701,$C58))</f>
        <v/>
      </c>
      <c r="O58" s="54">
        <f>IF(O$4="","",SUMIFS('Students'!N$2:N$701,'Students'!$C$2:$C$701,$C58))</f>
        <v/>
      </c>
      <c r="P58" s="54">
        <f>IF(P$4="","",SUMIFS('Students'!O$2:O$701,'Students'!$C$2:$C$701,$C58))</f>
        <v/>
      </c>
      <c r="Q58" s="54">
        <f>IF(Q$4="","",SUMIFS('Students'!P$2:P$701,'Students'!$C$2:$C$701,$C58))</f>
        <v/>
      </c>
      <c r="R58" s="54">
        <f>IF(R$4="","",SUMIFS('Students'!Q$2:Q$701,'Students'!$C$2:$C$701,$C58))</f>
        <v/>
      </c>
      <c r="S58" s="54">
        <f>IF(S$4="","",SUMIFS('Students'!R$2:R$701,'Students'!$C$2:$C$701,$C58))</f>
        <v/>
      </c>
      <c r="T58" s="54">
        <f>IF(T$4="","",SUMIFS('Students'!S$2:S$701,'Students'!$C$2:$C$701,$C58))</f>
        <v/>
      </c>
      <c r="U58" s="54">
        <f>IF(U$4="","",SUMIFS('Students'!T$2:T$701,'Students'!$C$2:$C$701,$C58))</f>
        <v/>
      </c>
      <c r="V58" s="54">
        <f>IF(V$4="","",SUMIFS('Students'!U$2:U$701,'Students'!$C$2:$C$701,$C58))</f>
        <v/>
      </c>
      <c r="W58" s="54">
        <f>IF(W$4="","",SUMIFS('Students'!V$2:V$701,'Students'!$C$2:$C$701,$C58))</f>
        <v/>
      </c>
      <c r="X58" s="54">
        <f>IF(X$4="","",SUMIFS('Students'!W$2:W$701,'Students'!$C$2:$C$701,$C58))</f>
        <v/>
      </c>
      <c r="Y58" s="54">
        <f>IF(Y$4="","",SUMIFS('Students'!X$2:X$701,'Students'!$C$2:$C$701,$C58))</f>
        <v/>
      </c>
      <c r="Z58" s="54">
        <f>IF(Z$4="","",SUMIFS('Students'!Y$2:Y$701,'Students'!$C$2:$C$701,$C58))</f>
        <v/>
      </c>
      <c r="AA58" s="54">
        <f>IF(AA$4="","",SUMIFS('Students'!Z$2:Z$701,'Students'!$C$2:$C$701,$C58))</f>
        <v/>
      </c>
      <c r="AB58" s="54">
        <f>IF(AB$4="","",SUMIFS('Students'!AA$2:AA$701,'Students'!$C$2:$C$701,$C58))</f>
        <v/>
      </c>
      <c r="AC58" s="54">
        <f>IF(AC$4="","",SUMIFS('Students'!AB$2:AB$701,'Students'!$C$2:$C$701,$C58))</f>
        <v/>
      </c>
      <c r="AD58" s="54">
        <f>IF(AD$4="","",SUMIFS('Students'!AC$2:AC$701,'Students'!$C$2:$C$701,$C58))</f>
        <v/>
      </c>
    </row>
    <row r="59">
      <c r="A59" s="34" t="inlineStr">
        <is>
          <t>SCHOOL TOTAL</t>
        </is>
      </c>
      <c r="D59" s="55">
        <f>SUM(D48:D58)</f>
        <v/>
      </c>
      <c r="E59" s="55">
        <f>SUM(E48:E58)</f>
        <v/>
      </c>
      <c r="F59" s="56">
        <f>IF(D59&gt;0,E59/D59,0)</f>
        <v/>
      </c>
      <c r="G59" s="57">
        <f>SUM(G48:G58)</f>
        <v/>
      </c>
      <c r="H59" s="57">
        <f>IF(D59&gt;0,G59/D59,0)</f>
        <v/>
      </c>
      <c r="J59" s="58">
        <f>IF(J$4="","",SUM(J48:J58))</f>
        <v/>
      </c>
      <c r="K59" s="58">
        <f>IF(K$4="","",SUM(K48:K58))</f>
        <v/>
      </c>
      <c r="L59" s="58">
        <f>IF(L$4="","",SUM(L48:L58))</f>
        <v/>
      </c>
      <c r="M59" s="58">
        <f>IF(M$4="","",SUM(M48:M58))</f>
        <v/>
      </c>
      <c r="N59" s="58">
        <f>IF(N$4="","",SUM(N48:N58))</f>
        <v/>
      </c>
      <c r="O59" s="58">
        <f>IF(O$4="","",SUM(O48:O58))</f>
        <v/>
      </c>
      <c r="P59" s="58">
        <f>IF(P$4="","",SUM(P48:P58))</f>
        <v/>
      </c>
      <c r="Q59" s="58">
        <f>IF(Q$4="","",SUM(Q48:Q58))</f>
        <v/>
      </c>
      <c r="R59" s="58">
        <f>IF(R$4="","",SUM(R48:R58))</f>
        <v/>
      </c>
      <c r="S59" s="58">
        <f>IF(S$4="","",SUM(S48:S58))</f>
        <v/>
      </c>
      <c r="T59" s="58">
        <f>IF(T$4="","",SUM(T48:T58))</f>
        <v/>
      </c>
      <c r="U59" s="58">
        <f>IF(U$4="","",SUM(U48:U58))</f>
        <v/>
      </c>
      <c r="V59" s="58">
        <f>IF(V$4="","",SUM(V48:V58))</f>
        <v/>
      </c>
      <c r="W59" s="58">
        <f>IF(W$4="","",SUM(W48:W58))</f>
        <v/>
      </c>
      <c r="X59" s="58">
        <f>IF(X$4="","",SUM(X48:X58))</f>
        <v/>
      </c>
      <c r="Y59" s="58">
        <f>IF(Y$4="","",SUM(Y48:Y58))</f>
        <v/>
      </c>
      <c r="Z59" s="58">
        <f>IF(Z$4="","",SUM(Z48:Z58))</f>
        <v/>
      </c>
      <c r="AA59" s="58">
        <f>IF(AA$4="","",SUM(AA48:AA58))</f>
        <v/>
      </c>
      <c r="AB59" s="58">
        <f>IF(AB$4="","",SUM(AB48:AB58))</f>
        <v/>
      </c>
      <c r="AC59" s="58">
        <f>IF(AC$4="","",SUM(AC48:AC58))</f>
        <v/>
      </c>
      <c r="AD59" s="58">
        <f>IF(AD$4="","",SUM(AD48:AD58))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">
    <mergeCell ref="A1:I1"/>
  </mergeCells>
  <conditionalFormatting sqref="A5:AD44">
    <cfRule type="expression" priority="1" dxfId="1">
      <formula>$A5&lt;&gt;""</formula>
    </cfRule>
  </conditionalFormatting>
  <pageMargins left="0.75" right="0.75" top="1" bottom="1" header="0.5" footer="0.5"/>
  <pageSetup orientation="landscape" fitToHeight="0" fitToWidth="1"/>
  <headerFooter>
    <oddHeader/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D7262B"/>
    <outlinePr summaryBelow="1" summaryRight="1"/>
    <pageSetUpPr fitToPage="1"/>
  </sheetPr>
  <dimension ref="A1:G29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8" customWidth="1" min="5" max="5"/>
    <col width="15" customWidth="1" min="6" max="6"/>
    <col width="11" customWidth="1" min="7" max="7"/>
  </cols>
  <sheetData>
    <row r="1" ht="30" customHeight="1">
      <c r="A1" s="31" t="inlineStr">
        <is>
          <t>BY DAY</t>
        </is>
      </c>
    </row>
    <row r="4" ht="30" customHeight="1">
      <c r="A4" s="33" t="inlineStr">
        <is>
          <t>Date</t>
        </is>
      </c>
      <c r="B4" s="33" t="inlineStr">
        <is>
          <t>OneCause $</t>
        </is>
      </c>
      <c r="C4" s="33" t="inlineStr">
        <is>
          <t>Cash/check $</t>
        </is>
      </c>
      <c r="D4" s="33" t="inlineStr">
        <is>
          <t>Total $</t>
        </is>
      </c>
      <c r="E4" s="33" t="inlineStr">
        <is>
          <t>Gifts</t>
        </is>
      </c>
      <c r="F4" s="33" t="inlineStr">
        <is>
          <t>Running total</t>
        </is>
      </c>
      <c r="G4" s="33" t="inlineStr">
        <is>
          <t>% of goal</t>
        </is>
      </c>
    </row>
    <row r="5">
      <c r="A5" s="59">
        <f>'Students'!I$1</f>
        <v/>
      </c>
      <c r="B5" s="48">
        <f>IF(A5="","",ROUND(SUMIFS('All Donations'!$S$2:$S$4001,'All Donations'!$T$2:$T$4001,A5,'All Donations'!$G$2:$G$4001,"OneCause"),2))</f>
        <v/>
      </c>
      <c r="C5" s="48">
        <f>IF(A5="","",ROUND(SUMIFS('All Donations'!$S$2:$S$4001,'All Donations'!$T$2:$T$4001,A5),2)-B5)</f>
        <v/>
      </c>
      <c r="D5" s="48">
        <f>IF(A5="","",B5+C5)</f>
        <v/>
      </c>
      <c r="E5">
        <f>IF(A5="","",COUNTIFS('All Donations'!$T$2:$T$4001,A5))</f>
        <v/>
      </c>
      <c r="F5" s="48">
        <f>IF(A5="","",ROUND($D$27+SUM($D$5:D5),2))</f>
        <v/>
      </c>
      <c r="G5" s="47">
        <f>IF(A5="","",F5/Goal)</f>
        <v/>
      </c>
    </row>
    <row r="6">
      <c r="A6" s="59">
        <f>'Students'!J$1</f>
        <v/>
      </c>
      <c r="B6" s="48">
        <f>IF(A6="","",ROUND(SUMIFS('All Donations'!$S$2:$S$4001,'All Donations'!$T$2:$T$4001,A6,'All Donations'!$G$2:$G$4001,"OneCause"),2))</f>
        <v/>
      </c>
      <c r="C6" s="48">
        <f>IF(A6="","",ROUND(SUMIFS('All Donations'!$S$2:$S$4001,'All Donations'!$T$2:$T$4001,A6),2)-B6)</f>
        <v/>
      </c>
      <c r="D6" s="48">
        <f>IF(A6="","",B6+C6)</f>
        <v/>
      </c>
      <c r="E6">
        <f>IF(A6="","",COUNTIFS('All Donations'!$T$2:$T$4001,A6))</f>
        <v/>
      </c>
      <c r="F6" s="48">
        <f>IF(A6="","",ROUND($D$27+SUM($D$5:D6),2))</f>
        <v/>
      </c>
      <c r="G6" s="47">
        <f>IF(A6="","",F6/Goal)</f>
        <v/>
      </c>
    </row>
    <row r="7">
      <c r="A7" s="59">
        <f>'Students'!K$1</f>
        <v/>
      </c>
      <c r="B7" s="48">
        <f>IF(A7="","",ROUND(SUMIFS('All Donations'!$S$2:$S$4001,'All Donations'!$T$2:$T$4001,A7,'All Donations'!$G$2:$G$4001,"OneCause"),2))</f>
        <v/>
      </c>
      <c r="C7" s="48">
        <f>IF(A7="","",ROUND(SUMIFS('All Donations'!$S$2:$S$4001,'All Donations'!$T$2:$T$4001,A7),2)-B7)</f>
        <v/>
      </c>
      <c r="D7" s="48">
        <f>IF(A7="","",B7+C7)</f>
        <v/>
      </c>
      <c r="E7">
        <f>IF(A7="","",COUNTIFS('All Donations'!$T$2:$T$4001,A7))</f>
        <v/>
      </c>
      <c r="F7" s="48">
        <f>IF(A7="","",ROUND($D$27+SUM($D$5:D7),2))</f>
        <v/>
      </c>
      <c r="G7" s="47">
        <f>IF(A7="","",F7/Goal)</f>
        <v/>
      </c>
    </row>
    <row r="8">
      <c r="A8" s="59">
        <f>'Students'!L$1</f>
        <v/>
      </c>
      <c r="B8" s="48">
        <f>IF(A8="","",ROUND(SUMIFS('All Donations'!$S$2:$S$4001,'All Donations'!$T$2:$T$4001,A8,'All Donations'!$G$2:$G$4001,"OneCause"),2))</f>
        <v/>
      </c>
      <c r="C8" s="48">
        <f>IF(A8="","",ROUND(SUMIFS('All Donations'!$S$2:$S$4001,'All Donations'!$T$2:$T$4001,A8),2)-B8)</f>
        <v/>
      </c>
      <c r="D8" s="48">
        <f>IF(A8="","",B8+C8)</f>
        <v/>
      </c>
      <c r="E8">
        <f>IF(A8="","",COUNTIFS('All Donations'!$T$2:$T$4001,A8))</f>
        <v/>
      </c>
      <c r="F8" s="48">
        <f>IF(A8="","",ROUND($D$27+SUM($D$5:D8),2))</f>
        <v/>
      </c>
      <c r="G8" s="47">
        <f>IF(A8="","",F8/Goal)</f>
        <v/>
      </c>
    </row>
    <row r="9">
      <c r="A9" s="59">
        <f>'Students'!M$1</f>
        <v/>
      </c>
      <c r="B9" s="48">
        <f>IF(A9="","",ROUND(SUMIFS('All Donations'!$S$2:$S$4001,'All Donations'!$T$2:$T$4001,A9,'All Donations'!$G$2:$G$4001,"OneCause"),2))</f>
        <v/>
      </c>
      <c r="C9" s="48">
        <f>IF(A9="","",ROUND(SUMIFS('All Donations'!$S$2:$S$4001,'All Donations'!$T$2:$T$4001,A9),2)-B9)</f>
        <v/>
      </c>
      <c r="D9" s="48">
        <f>IF(A9="","",B9+C9)</f>
        <v/>
      </c>
      <c r="E9">
        <f>IF(A9="","",COUNTIFS('All Donations'!$T$2:$T$4001,A9))</f>
        <v/>
      </c>
      <c r="F9" s="48">
        <f>IF(A9="","",ROUND($D$27+SUM($D$5:D9),2))</f>
        <v/>
      </c>
      <c r="G9" s="47">
        <f>IF(A9="","",F9/Goal)</f>
        <v/>
      </c>
    </row>
    <row r="10">
      <c r="A10" s="59">
        <f>'Students'!N$1</f>
        <v/>
      </c>
      <c r="B10" s="48">
        <f>IF(A10="","",ROUND(SUMIFS('All Donations'!$S$2:$S$4001,'All Donations'!$T$2:$T$4001,A10,'All Donations'!$G$2:$G$4001,"OneCause"),2))</f>
        <v/>
      </c>
      <c r="C10" s="48">
        <f>IF(A10="","",ROUND(SUMIFS('All Donations'!$S$2:$S$4001,'All Donations'!$T$2:$T$4001,A10),2)-B10)</f>
        <v/>
      </c>
      <c r="D10" s="48">
        <f>IF(A10="","",B10+C10)</f>
        <v/>
      </c>
      <c r="E10">
        <f>IF(A10="","",COUNTIFS('All Donations'!$T$2:$T$4001,A10))</f>
        <v/>
      </c>
      <c r="F10" s="48">
        <f>IF(A10="","",ROUND($D$27+SUM($D$5:D10),2))</f>
        <v/>
      </c>
      <c r="G10" s="47">
        <f>IF(A10="","",F10/Goal)</f>
        <v/>
      </c>
    </row>
    <row r="11">
      <c r="A11" s="59">
        <f>'Students'!O$1</f>
        <v/>
      </c>
      <c r="B11" s="48">
        <f>IF(A11="","",ROUND(SUMIFS('All Donations'!$S$2:$S$4001,'All Donations'!$T$2:$T$4001,A11,'All Donations'!$G$2:$G$4001,"OneCause"),2))</f>
        <v/>
      </c>
      <c r="C11" s="48">
        <f>IF(A11="","",ROUND(SUMIFS('All Donations'!$S$2:$S$4001,'All Donations'!$T$2:$T$4001,A11),2)-B11)</f>
        <v/>
      </c>
      <c r="D11" s="48">
        <f>IF(A11="","",B11+C11)</f>
        <v/>
      </c>
      <c r="E11">
        <f>IF(A11="","",COUNTIFS('All Donations'!$T$2:$T$4001,A11))</f>
        <v/>
      </c>
      <c r="F11" s="48">
        <f>IF(A11="","",ROUND($D$27+SUM($D$5:D11),2))</f>
        <v/>
      </c>
      <c r="G11" s="47">
        <f>IF(A11="","",F11/Goal)</f>
        <v/>
      </c>
    </row>
    <row r="12">
      <c r="A12" s="59">
        <f>'Students'!P$1</f>
        <v/>
      </c>
      <c r="B12" s="48">
        <f>IF(A12="","",ROUND(SUMIFS('All Donations'!$S$2:$S$4001,'All Donations'!$T$2:$T$4001,A12,'All Donations'!$G$2:$G$4001,"OneCause"),2))</f>
        <v/>
      </c>
      <c r="C12" s="48">
        <f>IF(A12="","",ROUND(SUMIFS('All Donations'!$S$2:$S$4001,'All Donations'!$T$2:$T$4001,A12),2)-B12)</f>
        <v/>
      </c>
      <c r="D12" s="48">
        <f>IF(A12="","",B12+C12)</f>
        <v/>
      </c>
      <c r="E12">
        <f>IF(A12="","",COUNTIFS('All Donations'!$T$2:$T$4001,A12))</f>
        <v/>
      </c>
      <c r="F12" s="48">
        <f>IF(A12="","",ROUND($D$27+SUM($D$5:D12),2))</f>
        <v/>
      </c>
      <c r="G12" s="47">
        <f>IF(A12="","",F12/Goal)</f>
        <v/>
      </c>
    </row>
    <row r="13">
      <c r="A13" s="59">
        <f>'Students'!Q$1</f>
        <v/>
      </c>
      <c r="B13" s="48">
        <f>IF(A13="","",ROUND(SUMIFS('All Donations'!$S$2:$S$4001,'All Donations'!$T$2:$T$4001,A13,'All Donations'!$G$2:$G$4001,"OneCause"),2))</f>
        <v/>
      </c>
      <c r="C13" s="48">
        <f>IF(A13="","",ROUND(SUMIFS('All Donations'!$S$2:$S$4001,'All Donations'!$T$2:$T$4001,A13),2)-B13)</f>
        <v/>
      </c>
      <c r="D13" s="48">
        <f>IF(A13="","",B13+C13)</f>
        <v/>
      </c>
      <c r="E13">
        <f>IF(A13="","",COUNTIFS('All Donations'!$T$2:$T$4001,A13))</f>
        <v/>
      </c>
      <c r="F13" s="48">
        <f>IF(A13="","",ROUND($D$27+SUM($D$5:D13),2))</f>
        <v/>
      </c>
      <c r="G13" s="47">
        <f>IF(A13="","",F13/Goal)</f>
        <v/>
      </c>
    </row>
    <row r="14">
      <c r="A14" s="59">
        <f>'Students'!R$1</f>
        <v/>
      </c>
      <c r="B14" s="48">
        <f>IF(A14="","",ROUND(SUMIFS('All Donations'!$S$2:$S$4001,'All Donations'!$T$2:$T$4001,A14,'All Donations'!$G$2:$G$4001,"OneCause"),2))</f>
        <v/>
      </c>
      <c r="C14" s="48">
        <f>IF(A14="","",ROUND(SUMIFS('All Donations'!$S$2:$S$4001,'All Donations'!$T$2:$T$4001,A14),2)-B14)</f>
        <v/>
      </c>
      <c r="D14" s="48">
        <f>IF(A14="","",B14+C14)</f>
        <v/>
      </c>
      <c r="E14">
        <f>IF(A14="","",COUNTIFS('All Donations'!$T$2:$T$4001,A14))</f>
        <v/>
      </c>
      <c r="F14" s="48">
        <f>IF(A14="","",ROUND($D$27+SUM($D$5:D14),2))</f>
        <v/>
      </c>
      <c r="G14" s="47">
        <f>IF(A14="","",F14/Goal)</f>
        <v/>
      </c>
    </row>
    <row r="15">
      <c r="A15" s="59">
        <f>'Students'!S$1</f>
        <v/>
      </c>
      <c r="B15" s="48">
        <f>IF(A15="","",ROUND(SUMIFS('All Donations'!$S$2:$S$4001,'All Donations'!$T$2:$T$4001,A15,'All Donations'!$G$2:$G$4001,"OneCause"),2))</f>
        <v/>
      </c>
      <c r="C15" s="48">
        <f>IF(A15="","",ROUND(SUMIFS('All Donations'!$S$2:$S$4001,'All Donations'!$T$2:$T$4001,A15),2)-B15)</f>
        <v/>
      </c>
      <c r="D15" s="48">
        <f>IF(A15="","",B15+C15)</f>
        <v/>
      </c>
      <c r="E15">
        <f>IF(A15="","",COUNTIFS('All Donations'!$T$2:$T$4001,A15))</f>
        <v/>
      </c>
      <c r="F15" s="48">
        <f>IF(A15="","",ROUND($D$27+SUM($D$5:D15),2))</f>
        <v/>
      </c>
      <c r="G15" s="47">
        <f>IF(A15="","",F15/Goal)</f>
        <v/>
      </c>
    </row>
    <row r="16">
      <c r="A16" s="59">
        <f>'Students'!T$1</f>
        <v/>
      </c>
      <c r="B16" s="48">
        <f>IF(A16="","",ROUND(SUMIFS('All Donations'!$S$2:$S$4001,'All Donations'!$T$2:$T$4001,A16,'All Donations'!$G$2:$G$4001,"OneCause"),2))</f>
        <v/>
      </c>
      <c r="C16" s="48">
        <f>IF(A16="","",ROUND(SUMIFS('All Donations'!$S$2:$S$4001,'All Donations'!$T$2:$T$4001,A16),2)-B16)</f>
        <v/>
      </c>
      <c r="D16" s="48">
        <f>IF(A16="","",B16+C16)</f>
        <v/>
      </c>
      <c r="E16">
        <f>IF(A16="","",COUNTIFS('All Donations'!$T$2:$T$4001,A16))</f>
        <v/>
      </c>
      <c r="F16" s="48">
        <f>IF(A16="","",ROUND($D$27+SUM($D$5:D16),2))</f>
        <v/>
      </c>
      <c r="G16" s="47">
        <f>IF(A16="","",F16/Goal)</f>
        <v/>
      </c>
    </row>
    <row r="17">
      <c r="A17" s="59">
        <f>'Students'!U$1</f>
        <v/>
      </c>
      <c r="B17" s="48">
        <f>IF(A17="","",ROUND(SUMIFS('All Donations'!$S$2:$S$4001,'All Donations'!$T$2:$T$4001,A17,'All Donations'!$G$2:$G$4001,"OneCause"),2))</f>
        <v/>
      </c>
      <c r="C17" s="48">
        <f>IF(A17="","",ROUND(SUMIFS('All Donations'!$S$2:$S$4001,'All Donations'!$T$2:$T$4001,A17),2)-B17)</f>
        <v/>
      </c>
      <c r="D17" s="48">
        <f>IF(A17="","",B17+C17)</f>
        <v/>
      </c>
      <c r="E17">
        <f>IF(A17="","",COUNTIFS('All Donations'!$T$2:$T$4001,A17))</f>
        <v/>
      </c>
      <c r="F17" s="48">
        <f>IF(A17="","",ROUND($D$27+SUM($D$5:D17),2))</f>
        <v/>
      </c>
      <c r="G17" s="47">
        <f>IF(A17="","",F17/Goal)</f>
        <v/>
      </c>
    </row>
    <row r="18">
      <c r="A18" s="59">
        <f>'Students'!V$1</f>
        <v/>
      </c>
      <c r="B18" s="48">
        <f>IF(A18="","",ROUND(SUMIFS('All Donations'!$S$2:$S$4001,'All Donations'!$T$2:$T$4001,A18,'All Donations'!$G$2:$G$4001,"OneCause"),2))</f>
        <v/>
      </c>
      <c r="C18" s="48">
        <f>IF(A18="","",ROUND(SUMIFS('All Donations'!$S$2:$S$4001,'All Donations'!$T$2:$T$4001,A18),2)-B18)</f>
        <v/>
      </c>
      <c r="D18" s="48">
        <f>IF(A18="","",B18+C18)</f>
        <v/>
      </c>
      <c r="E18">
        <f>IF(A18="","",COUNTIFS('All Donations'!$T$2:$T$4001,A18))</f>
        <v/>
      </c>
      <c r="F18" s="48">
        <f>IF(A18="","",ROUND($D$27+SUM($D$5:D18),2))</f>
        <v/>
      </c>
      <c r="G18" s="47">
        <f>IF(A18="","",F18/Goal)</f>
        <v/>
      </c>
    </row>
    <row r="19">
      <c r="A19" s="59">
        <f>'Students'!W$1</f>
        <v/>
      </c>
      <c r="B19" s="48">
        <f>IF(A19="","",ROUND(SUMIFS('All Donations'!$S$2:$S$4001,'All Donations'!$T$2:$T$4001,A19,'All Donations'!$G$2:$G$4001,"OneCause"),2))</f>
        <v/>
      </c>
      <c r="C19" s="48">
        <f>IF(A19="","",ROUND(SUMIFS('All Donations'!$S$2:$S$4001,'All Donations'!$T$2:$T$4001,A19),2)-B19)</f>
        <v/>
      </c>
      <c r="D19" s="48">
        <f>IF(A19="","",B19+C19)</f>
        <v/>
      </c>
      <c r="E19">
        <f>IF(A19="","",COUNTIFS('All Donations'!$T$2:$T$4001,A19))</f>
        <v/>
      </c>
      <c r="F19" s="48">
        <f>IF(A19="","",ROUND($D$27+SUM($D$5:D19),2))</f>
        <v/>
      </c>
      <c r="G19" s="47">
        <f>IF(A19="","",F19/Goal)</f>
        <v/>
      </c>
    </row>
    <row r="20">
      <c r="A20" s="59">
        <f>'Students'!X$1</f>
        <v/>
      </c>
      <c r="B20" s="48">
        <f>IF(A20="","",ROUND(SUMIFS('All Donations'!$S$2:$S$4001,'All Donations'!$T$2:$T$4001,A20,'All Donations'!$G$2:$G$4001,"OneCause"),2))</f>
        <v/>
      </c>
      <c r="C20" s="48">
        <f>IF(A20="","",ROUND(SUMIFS('All Donations'!$S$2:$S$4001,'All Donations'!$T$2:$T$4001,A20),2)-B20)</f>
        <v/>
      </c>
      <c r="D20" s="48">
        <f>IF(A20="","",B20+C20)</f>
        <v/>
      </c>
      <c r="E20">
        <f>IF(A20="","",COUNTIFS('All Donations'!$T$2:$T$4001,A20))</f>
        <v/>
      </c>
      <c r="F20" s="48">
        <f>IF(A20="","",ROUND($D$27+SUM($D$5:D20),2))</f>
        <v/>
      </c>
      <c r="G20" s="47">
        <f>IF(A20="","",F20/Goal)</f>
        <v/>
      </c>
    </row>
    <row r="21">
      <c r="A21" s="59">
        <f>'Students'!Y$1</f>
        <v/>
      </c>
      <c r="B21" s="48">
        <f>IF(A21="","",ROUND(SUMIFS('All Donations'!$S$2:$S$4001,'All Donations'!$T$2:$T$4001,A21,'All Donations'!$G$2:$G$4001,"OneCause"),2))</f>
        <v/>
      </c>
      <c r="C21" s="48">
        <f>IF(A21="","",ROUND(SUMIFS('All Donations'!$S$2:$S$4001,'All Donations'!$T$2:$T$4001,A21),2)-B21)</f>
        <v/>
      </c>
      <c r="D21" s="48">
        <f>IF(A21="","",B21+C21)</f>
        <v/>
      </c>
      <c r="E21">
        <f>IF(A21="","",COUNTIFS('All Donations'!$T$2:$T$4001,A21))</f>
        <v/>
      </c>
      <c r="F21" s="48">
        <f>IF(A21="","",ROUND($D$27+SUM($D$5:D21),2))</f>
        <v/>
      </c>
      <c r="G21" s="47">
        <f>IF(A21="","",F21/Goal)</f>
        <v/>
      </c>
    </row>
    <row r="22">
      <c r="A22" s="59">
        <f>'Students'!Z$1</f>
        <v/>
      </c>
      <c r="B22" s="48">
        <f>IF(A22="","",ROUND(SUMIFS('All Donations'!$S$2:$S$4001,'All Donations'!$T$2:$T$4001,A22,'All Donations'!$G$2:$G$4001,"OneCause"),2))</f>
        <v/>
      </c>
      <c r="C22" s="48">
        <f>IF(A22="","",ROUND(SUMIFS('All Donations'!$S$2:$S$4001,'All Donations'!$T$2:$T$4001,A22),2)-B22)</f>
        <v/>
      </c>
      <c r="D22" s="48">
        <f>IF(A22="","",B22+C22)</f>
        <v/>
      </c>
      <c r="E22">
        <f>IF(A22="","",COUNTIFS('All Donations'!$T$2:$T$4001,A22))</f>
        <v/>
      </c>
      <c r="F22" s="48">
        <f>IF(A22="","",ROUND($D$27+SUM($D$5:D22),2))</f>
        <v/>
      </c>
      <c r="G22" s="47">
        <f>IF(A22="","",F22/Goal)</f>
        <v/>
      </c>
    </row>
    <row r="23">
      <c r="A23" s="59">
        <f>'Students'!AA$1</f>
        <v/>
      </c>
      <c r="B23" s="48">
        <f>IF(A23="","",ROUND(SUMIFS('All Donations'!$S$2:$S$4001,'All Donations'!$T$2:$T$4001,A23,'All Donations'!$G$2:$G$4001,"OneCause"),2))</f>
        <v/>
      </c>
      <c r="C23" s="48">
        <f>IF(A23="","",ROUND(SUMIFS('All Donations'!$S$2:$S$4001,'All Donations'!$T$2:$T$4001,A23),2)-B23)</f>
        <v/>
      </c>
      <c r="D23" s="48">
        <f>IF(A23="","",B23+C23)</f>
        <v/>
      </c>
      <c r="E23">
        <f>IF(A23="","",COUNTIFS('All Donations'!$T$2:$T$4001,A23))</f>
        <v/>
      </c>
      <c r="F23" s="48">
        <f>IF(A23="","",ROUND($D$27+SUM($D$5:D23),2))</f>
        <v/>
      </c>
      <c r="G23" s="47">
        <f>IF(A23="","",F23/Goal)</f>
        <v/>
      </c>
    </row>
    <row r="24">
      <c r="A24" s="59">
        <f>'Students'!AB$1</f>
        <v/>
      </c>
      <c r="B24" s="48">
        <f>IF(A24="","",ROUND(SUMIFS('All Donations'!$S$2:$S$4001,'All Donations'!$T$2:$T$4001,A24,'All Donations'!$G$2:$G$4001,"OneCause"),2))</f>
        <v/>
      </c>
      <c r="C24" s="48">
        <f>IF(A24="","",ROUND(SUMIFS('All Donations'!$S$2:$S$4001,'All Donations'!$T$2:$T$4001,A24),2)-B24)</f>
        <v/>
      </c>
      <c r="D24" s="48">
        <f>IF(A24="","",B24+C24)</f>
        <v/>
      </c>
      <c r="E24">
        <f>IF(A24="","",COUNTIFS('All Donations'!$T$2:$T$4001,A24))</f>
        <v/>
      </c>
      <c r="F24" s="48">
        <f>IF(A24="","",ROUND($D$27+SUM($D$5:D24),2))</f>
        <v/>
      </c>
      <c r="G24" s="47">
        <f>IF(A24="","",F24/Goal)</f>
        <v/>
      </c>
    </row>
    <row r="25">
      <c r="A25" s="59">
        <f>'Students'!AC$1</f>
        <v/>
      </c>
      <c r="B25" s="48">
        <f>IF(A25="","",ROUND(SUMIFS('All Donations'!$S$2:$S$4001,'All Donations'!$T$2:$T$4001,A25,'All Donations'!$G$2:$G$4001,"OneCause"),2))</f>
        <v/>
      </c>
      <c r="C25" s="48">
        <f>IF(A25="","",ROUND(SUMIFS('All Donations'!$S$2:$S$4001,'All Donations'!$T$2:$T$4001,A25),2)-B25)</f>
        <v/>
      </c>
      <c r="D25" s="48">
        <f>IF(A25="","",B25+C25)</f>
        <v/>
      </c>
      <c r="E25">
        <f>IF(A25="","",COUNTIFS('All Donations'!$T$2:$T$4001,A25))</f>
        <v/>
      </c>
      <c r="F25" s="48">
        <f>IF(A25="","",ROUND($D$27+SUM($D$5:D25),2))</f>
        <v/>
      </c>
      <c r="G25" s="47">
        <f>IF(A25="","",F25/Goal)</f>
        <v/>
      </c>
    </row>
    <row r="27">
      <c r="A27" s="43" t="inlineStr">
        <is>
          <t>Before first day</t>
        </is>
      </c>
      <c r="D27" s="48">
        <f>ROUND(SUMIFS('All Donations'!$S$2:$S$4001,'All Donations'!$T$2:$T$4001,"&lt;"&amp;StartDate),2)</f>
        <v/>
      </c>
    </row>
    <row r="28">
      <c r="A28" s="43" t="inlineStr">
        <is>
          <t>After last day</t>
        </is>
      </c>
      <c r="D28" s="48">
        <f>ROUND(SUMIFS('All Donations'!$S$2:$S$4001,'All Donations'!$T$2:$T$4001,"&gt;"&amp;EndDate),2)</f>
        <v/>
      </c>
    </row>
    <row r="29">
      <c r="A29" s="60" t="inlineStr">
        <is>
          <t>TOTAL</t>
        </is>
      </c>
      <c r="D29" s="61">
        <f>Raised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">
    <mergeCell ref="A1:G1"/>
  </mergeCells>
  <conditionalFormatting sqref="A5:G25">
    <cfRule type="expression" priority="1" dxfId="1">
      <formula>$A5&lt;&gt;""</formula>
    </cfRule>
  </conditionalFormatting>
  <pageMargins left="0.75" right="0.75" top="1" bottom="1" header="0.5" footer="0.5"/>
  <pageSetup orientation="landscape" fitToHeight="0" fitToWidth="1"/>
  <headerFooter>
    <oddHeader/>
    <oddFooter>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D7262B"/>
    <outlinePr summaryBelow="1" summaryRight="1"/>
    <pageSetUpPr fitToPage="1"/>
  </sheetPr>
  <dimension ref="A1:A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7" customWidth="1" min="3" max="3"/>
    <col width="11" customWidth="1" min="4" max="4"/>
    <col width="11" customWidth="1" min="5" max="5"/>
    <col width="11" customWidth="1" min="6" max="6"/>
    <col width="7" customWidth="1" min="7" max="7"/>
    <col width="9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hidden="1" width="10" customWidth="1" min="24" max="24"/>
    <col hidden="1" width="10" customWidth="1" min="25" max="25"/>
    <col hidden="1" width="10" customWidth="1" min="26" max="26"/>
    <col hidden="1" width="10" customWidth="1" min="27" max="27"/>
    <col hidden="1" width="10" customWidth="1" min="28" max="28"/>
    <col hidden="1"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</cols>
  <sheetData>
    <row r="1" ht="30" customHeight="1">
      <c r="A1" s="33" t="inlineStr">
        <is>
          <t>Student</t>
        </is>
      </c>
      <c r="B1" s="33" t="inlineStr">
        <is>
          <t>Class</t>
        </is>
      </c>
      <c r="C1" s="33" t="inlineStr">
        <is>
          <t>Grade</t>
        </is>
      </c>
      <c r="D1" s="33" t="inlineStr">
        <is>
          <t>Total</t>
        </is>
      </c>
      <c r="E1" s="33" t="inlineStr">
        <is>
          <t>OneCause</t>
        </is>
      </c>
      <c r="F1" s="33" t="inlineStr">
        <is>
          <t>Cash/check</t>
        </is>
      </c>
      <c r="G1" s="33" t="inlineStr">
        <is>
          <t>Gifts</t>
        </is>
      </c>
      <c r="H1" s="33" t="inlineStr">
        <is>
          <t>Donated?</t>
        </is>
      </c>
      <c r="I1" s="46">
        <f>IF(StartDate+0&lt;=EndDate,StartDate+0,"")</f>
        <v/>
      </c>
      <c r="J1" s="46">
        <f>IF(StartDate+1&lt;=EndDate,StartDate+1,"")</f>
        <v/>
      </c>
      <c r="K1" s="46">
        <f>IF(StartDate+2&lt;=EndDate,StartDate+2,"")</f>
        <v/>
      </c>
      <c r="L1" s="46">
        <f>IF(StartDate+3&lt;=EndDate,StartDate+3,"")</f>
        <v/>
      </c>
      <c r="M1" s="46">
        <f>IF(StartDate+4&lt;=EndDate,StartDate+4,"")</f>
        <v/>
      </c>
      <c r="N1" s="46">
        <f>IF(StartDate+5&lt;=EndDate,StartDate+5,"")</f>
        <v/>
      </c>
      <c r="O1" s="46">
        <f>IF(StartDate+6&lt;=EndDate,StartDate+6,"")</f>
        <v/>
      </c>
      <c r="P1" s="46">
        <f>IF(StartDate+7&lt;=EndDate,StartDate+7,"")</f>
        <v/>
      </c>
      <c r="Q1" s="46">
        <f>IF(StartDate+8&lt;=EndDate,StartDate+8,"")</f>
        <v/>
      </c>
      <c r="R1" s="46">
        <f>IF(StartDate+9&lt;=EndDate,StartDate+9,"")</f>
        <v/>
      </c>
      <c r="S1" s="46">
        <f>IF(StartDate+10&lt;=EndDate,StartDate+10,"")</f>
        <v/>
      </c>
      <c r="T1" s="46">
        <f>IF(StartDate+11&lt;=EndDate,StartDate+11,"")</f>
        <v/>
      </c>
      <c r="U1" s="46">
        <f>IF(StartDate+12&lt;=EndDate,StartDate+12,"")</f>
        <v/>
      </c>
      <c r="V1" s="46">
        <f>IF(StartDate+13&lt;=EndDate,StartDate+13,"")</f>
        <v/>
      </c>
      <c r="W1" s="46">
        <f>IF(StartDate+14&lt;=EndDate,StartDate+14,"")</f>
        <v/>
      </c>
      <c r="X1" s="46">
        <f>IF(StartDate+15&lt;=EndDate,StartDate+15,"")</f>
        <v/>
      </c>
      <c r="Y1" s="46">
        <f>IF(StartDate+16&lt;=EndDate,StartDate+16,"")</f>
        <v/>
      </c>
      <c r="Z1" s="46">
        <f>IF(StartDate+17&lt;=EndDate,StartDate+17,"")</f>
        <v/>
      </c>
      <c r="AA1" s="46">
        <f>IF(StartDate+18&lt;=EndDate,StartDate+18,"")</f>
        <v/>
      </c>
      <c r="AB1" s="46">
        <f>IF(StartDate+19&lt;=EndDate,StartDate+19,"")</f>
        <v/>
      </c>
      <c r="AC1" s="46">
        <f>IF(StartDate+20&lt;=EndDate,StartDate+20,"")</f>
        <v/>
      </c>
      <c r="AD1" t="inlineStr">
        <is>
          <t>ID</t>
        </is>
      </c>
      <c r="AE1" t="inlineStr">
        <is>
          <t>Valid</t>
        </is>
      </c>
      <c r="AF1" t="inlineStr">
        <is>
          <t>key first last</t>
        </is>
      </c>
      <c r="AG1" t="inlineStr">
        <is>
          <t>key last, first</t>
        </is>
      </c>
      <c r="AH1" t="inlineStr">
        <is>
          <t>key OneCause</t>
        </is>
      </c>
      <c r="AI1" t="inlineStr">
        <is>
          <t>class first</t>
        </is>
      </c>
      <c r="AJ1" t="inlineStr">
        <is>
          <t>class #</t>
        </is>
      </c>
      <c r="AK1" t="inlineStr">
        <is>
          <t>top key</t>
        </is>
      </c>
      <c r="AL1" t="inlineStr">
        <is>
          <t>display</t>
        </is>
      </c>
      <c r="AM1" t="inlineStr">
        <is>
          <t>pick label</t>
        </is>
      </c>
      <c r="AN1" t="inlineStr">
        <is>
          <t>teacher</t>
        </is>
      </c>
      <c r="AO1" t="inlineStr">
        <is>
          <t>ch1 Kickoff Weekend Challenge</t>
        </is>
      </c>
      <c r="AP1" t="inlineStr">
        <is>
          <t>ch2 Monday Blues</t>
        </is>
      </c>
      <c r="AQ1" t="inlineStr">
        <is>
          <t>ch3 $20 Tuesday</t>
        </is>
      </c>
      <c r="AR1" t="inlineStr">
        <is>
          <t>ch4 Wild Card Wednesday</t>
        </is>
      </c>
      <c r="AS1" t="inlineStr">
        <is>
          <t>ch5 Classroom Showdown</t>
        </is>
      </c>
      <c r="AT1" t="inlineStr">
        <is>
          <t>ch6 Weekend Challenge</t>
        </is>
      </c>
      <c r="AU1" t="inlineStr">
        <is>
          <t>ch7 Grade vs. Grade</t>
        </is>
      </c>
      <c r="AV1" t="inlineStr">
        <is>
          <t>ch8 50% Participation</t>
        </is>
      </c>
      <c r="AW1" t="inlineStr">
        <is>
          <t>ch9 Veterans Day (no school)</t>
        </is>
      </c>
      <c r="AX1" t="inlineStr">
        <is>
          <t>ch10 Mystery Day</t>
        </is>
      </c>
      <c r="AY1" t="inlineStr">
        <is>
          <t>ch11 Run Wild Fun Run!</t>
        </is>
      </c>
      <c r="AZ1" t="inlineStr">
        <is>
          <t>ch12 Ultimate Wild Goal</t>
        </is>
      </c>
    </row>
    <row r="2">
      <c r="A2">
        <f>IF(AE2=1,TRIM(TRIM('Roster'!B2)&amp;" "&amp;TRIM('Roster'!C2)),"")</f>
        <v/>
      </c>
      <c r="B2">
        <f>IF(AE2=1,IF(AN2="","(no teacher)",AN2&amp;" – "&amp;C2),"")</f>
        <v/>
      </c>
      <c r="C2">
        <f>IF(AE2=1,TRIM('Roster'!D2&amp;""),"")</f>
        <v/>
      </c>
      <c r="D2" s="48">
        <f>IF(AE2=1,ROUND(SUMIFS('All Donations'!$S$2:$S$4001,'All Donations'!$R$2:$R$4001,AD2),2),"")</f>
        <v/>
      </c>
      <c r="E2" s="48">
        <f>IF(AE2=1,ROUND(SUMIFS('All Donations'!$S$2:$S$4001,'All Donations'!$R$2:$R$4001,AD2,'All Donations'!$G$2:$G$4001,"OneCause"),2),"")</f>
        <v/>
      </c>
      <c r="F2" s="48">
        <f>IF(AE2=1,D2-E2,"")</f>
        <v/>
      </c>
      <c r="G2">
        <f>IF(AE2=1,COUNTIFS('All Donations'!$R$2:$R$4001,AD2,'All Donations'!$H$2:$H$4001,"OK"),"")</f>
        <v/>
      </c>
      <c r="H2">
        <f>IF(AE2&lt;&gt;1,"",IF(D2&gt;0,"Yes",""))</f>
        <v/>
      </c>
      <c r="I2" s="49">
        <f>IF(OR($AE2&lt;&gt;1,I$1=""),"",SUMIFS('All Donations'!$S$2:$S$4001,'All Donations'!$R$2:$R$4001,$AD2,'All Donations'!$T$2:$T$4001,I$1))</f>
        <v/>
      </c>
      <c r="J2" s="49">
        <f>IF(OR($AE2&lt;&gt;1,J$1=""),"",SUMIFS('All Donations'!$S$2:$S$4001,'All Donations'!$R$2:$R$4001,$AD2,'All Donations'!$T$2:$T$4001,J$1))</f>
        <v/>
      </c>
      <c r="K2" s="49">
        <f>IF(OR($AE2&lt;&gt;1,K$1=""),"",SUMIFS('All Donations'!$S$2:$S$4001,'All Donations'!$R$2:$R$4001,$AD2,'All Donations'!$T$2:$T$4001,K$1))</f>
        <v/>
      </c>
      <c r="L2" s="49">
        <f>IF(OR($AE2&lt;&gt;1,L$1=""),"",SUMIFS('All Donations'!$S$2:$S$4001,'All Donations'!$R$2:$R$4001,$AD2,'All Donations'!$T$2:$T$4001,L$1))</f>
        <v/>
      </c>
      <c r="M2" s="49">
        <f>IF(OR($AE2&lt;&gt;1,M$1=""),"",SUMIFS('All Donations'!$S$2:$S$4001,'All Donations'!$R$2:$R$4001,$AD2,'All Donations'!$T$2:$T$4001,M$1))</f>
        <v/>
      </c>
      <c r="N2" s="49">
        <f>IF(OR($AE2&lt;&gt;1,N$1=""),"",SUMIFS('All Donations'!$S$2:$S$4001,'All Donations'!$R$2:$R$4001,$AD2,'All Donations'!$T$2:$T$4001,N$1))</f>
        <v/>
      </c>
      <c r="O2" s="49">
        <f>IF(OR($AE2&lt;&gt;1,O$1=""),"",SUMIFS('All Donations'!$S$2:$S$4001,'All Donations'!$R$2:$R$4001,$AD2,'All Donations'!$T$2:$T$4001,O$1))</f>
        <v/>
      </c>
      <c r="P2" s="49">
        <f>IF(OR($AE2&lt;&gt;1,P$1=""),"",SUMIFS('All Donations'!$S$2:$S$4001,'All Donations'!$R$2:$R$4001,$AD2,'All Donations'!$T$2:$T$4001,P$1))</f>
        <v/>
      </c>
      <c r="Q2" s="49">
        <f>IF(OR($AE2&lt;&gt;1,Q$1=""),"",SUMIFS('All Donations'!$S$2:$S$4001,'All Donations'!$R$2:$R$4001,$AD2,'All Donations'!$T$2:$T$4001,Q$1))</f>
        <v/>
      </c>
      <c r="R2" s="49">
        <f>IF(OR($AE2&lt;&gt;1,R$1=""),"",SUMIFS('All Donations'!$S$2:$S$4001,'All Donations'!$R$2:$R$4001,$AD2,'All Donations'!$T$2:$T$4001,R$1))</f>
        <v/>
      </c>
      <c r="S2" s="49">
        <f>IF(OR($AE2&lt;&gt;1,S$1=""),"",SUMIFS('All Donations'!$S$2:$S$4001,'All Donations'!$R$2:$R$4001,$AD2,'All Donations'!$T$2:$T$4001,S$1))</f>
        <v/>
      </c>
      <c r="T2" s="49">
        <f>IF(OR($AE2&lt;&gt;1,T$1=""),"",SUMIFS('All Donations'!$S$2:$S$4001,'All Donations'!$R$2:$R$4001,$AD2,'All Donations'!$T$2:$T$4001,T$1))</f>
        <v/>
      </c>
      <c r="U2" s="49">
        <f>IF(OR($AE2&lt;&gt;1,U$1=""),"",SUMIFS('All Donations'!$S$2:$S$4001,'All Donations'!$R$2:$R$4001,$AD2,'All Donations'!$T$2:$T$4001,U$1))</f>
        <v/>
      </c>
      <c r="V2" s="49">
        <f>IF(OR($AE2&lt;&gt;1,V$1=""),"",SUMIFS('All Donations'!$S$2:$S$4001,'All Donations'!$R$2:$R$4001,$AD2,'All Donations'!$T$2:$T$4001,V$1))</f>
        <v/>
      </c>
      <c r="W2" s="49">
        <f>IF(OR($AE2&lt;&gt;1,W$1=""),"",SUMIFS('All Donations'!$S$2:$S$4001,'All Donations'!$R$2:$R$4001,$AD2,'All Donations'!$T$2:$T$4001,W$1))</f>
        <v/>
      </c>
      <c r="X2" s="49">
        <f>IF(OR($AE2&lt;&gt;1,X$1=""),"",SUMIFS('All Donations'!$S$2:$S$4001,'All Donations'!$R$2:$R$4001,$AD2,'All Donations'!$T$2:$T$4001,X$1))</f>
        <v/>
      </c>
      <c r="Y2" s="49">
        <f>IF(OR($AE2&lt;&gt;1,Y$1=""),"",SUMIFS('All Donations'!$S$2:$S$4001,'All Donations'!$R$2:$R$4001,$AD2,'All Donations'!$T$2:$T$4001,Y$1))</f>
        <v/>
      </c>
      <c r="Z2" s="49">
        <f>IF(OR($AE2&lt;&gt;1,Z$1=""),"",SUMIFS('All Donations'!$S$2:$S$4001,'All Donations'!$R$2:$R$4001,$AD2,'All Donations'!$T$2:$T$4001,Z$1))</f>
        <v/>
      </c>
      <c r="AA2" s="49">
        <f>IF(OR($AE2&lt;&gt;1,AA$1=""),"",SUMIFS('All Donations'!$S$2:$S$4001,'All Donations'!$R$2:$R$4001,$AD2,'All Donations'!$T$2:$T$4001,AA$1))</f>
        <v/>
      </c>
      <c r="AB2" s="49">
        <f>IF(OR($AE2&lt;&gt;1,AB$1=""),"",SUMIFS('All Donations'!$S$2:$S$4001,'All Donations'!$R$2:$R$4001,$AD2,'All Donations'!$T$2:$T$4001,AB$1))</f>
        <v/>
      </c>
      <c r="AC2" s="49">
        <f>IF(OR($AE2&lt;&gt;1,AC$1=""),"",SUMIFS('All Donations'!$S$2:$S$4001,'All Donations'!$R$2:$R$4001,$AD2,'All Donations'!$T$2:$T$4001,AC$1))</f>
        <v/>
      </c>
      <c r="AD2">
        <f>IF(AE2=1,'Roster'!A2,"")</f>
        <v/>
      </c>
      <c r="AE2">
        <f>IF(TRIM('Roster'!B2&amp;'Roster'!C2)&lt;&gt;"",1,0)</f>
        <v/>
      </c>
      <c r="AF2">
        <f>IF(AE2=1,LOWER(A2),"#")</f>
        <v/>
      </c>
      <c r="AG2">
        <f>IF(AE2=1,LOWER(TRIM(TRIM('Roster'!C2)&amp;", "&amp;TRIM('Roster'!B2))),"#")</f>
        <v/>
      </c>
      <c r="AH2">
        <f>IF(AND(AE2=1,TRIM('Roster'!F2)&lt;&gt;""),LOWER(TRIM('Roster'!F2)),"#")</f>
        <v/>
      </c>
      <c r="AI2">
        <f>IF(AE2=1,IF(MATCH(B2,$B$2:$B$701,0)=ROW()-1,1,0),0)</f>
        <v/>
      </c>
      <c r="AJ2">
        <f>AI2</f>
        <v/>
      </c>
      <c r="AK2">
        <f>IF(AE2=1,D2+(1000-ROW())/10^7,-1)</f>
        <v/>
      </c>
      <c r="AL2">
        <f>IF(AE2=1,TRIM('Roster'!B2)&amp;" "&amp;LEFT(TRIM('Roster'!C2),1)&amp;".","")</f>
        <v/>
      </c>
      <c r="AM2">
        <f>IF(AE2=1,TRIM('Roster'!C2)&amp;", "&amp;TRIM('Roster'!B2)&amp;" ("&amp;B2&amp;") #"&amp;AD2,"")</f>
        <v/>
      </c>
      <c r="AN2">
        <f>IF(AE2=1,TRIM('Roster'!E2),"")</f>
        <v/>
      </c>
      <c r="AO2">
        <f>IF(AE2=1,ROUND(SUMIFS('All Donations'!$S$2:$S$4001,'All Donations'!$R$2:$R$4001,AD2,'All Donations'!$T$2:$T$4001,"&gt;="&amp;'Settings'!$C$23,'All Donations'!$T$2:$T$4001,"&lt;="&amp;'Settings'!$D$23),2),0)</f>
        <v/>
      </c>
      <c r="AQ2">
        <f>IF(AE2=1,ROUND(SUMIFS('All Donations'!$S$2:$S$4001,'All Donations'!$R$2:$R$4001,AD2,'All Donations'!$T$2:$T$4001,"&gt;="&amp;'Settings'!$C$25,'All Donations'!$T$2:$T$4001,"&lt;="&amp;'Settings'!$D$25),2),0)</f>
        <v/>
      </c>
      <c r="AR2">
        <f>IF(AE2=1,ROUND(SUMIFS('All Donations'!$S$2:$S$4001,'All Donations'!$R$2:$R$4001,AD2,'All Donations'!$T$2:$T$4001,"&gt;="&amp;'Settings'!$C$26,'All Donations'!$T$2:$T$4001,"&lt;="&amp;'Settings'!$D$26),2),0)</f>
        <v/>
      </c>
      <c r="AS2">
        <f>IF(AE2=1,ROUND(SUMIFS('All Donations'!$S$2:$S$4001,'All Donations'!$R$2:$R$4001,AD2,'All Donations'!$T$2:$T$4001,"&lt;="&amp;'Settings'!$D$27),2),0)</f>
        <v/>
      </c>
      <c r="AT2">
        <f>IF(AE2=1,ROUND(SUMIFS('All Donations'!$S$2:$S$4001,'All Donations'!$R$2:$R$4001,AD2,'All Donations'!$T$2:$T$4001,"&gt;="&amp;'Settings'!$C$28,'All Donations'!$T$2:$T$4001,"&lt;="&amp;'Settings'!$D$28),2),0)</f>
        <v/>
      </c>
      <c r="AU2">
        <f>IF(AE2=1,ROUND(SUMIFS('All Donations'!$S$2:$S$4001,'All Donations'!$R$2:$R$4001,AD2,'All Donations'!$T$2:$T$4001,"&gt;="&amp;'Settings'!$C$29,'All Donations'!$T$2:$T$4001,"&lt;="&amp;'Settings'!$D$29),2),0)</f>
        <v/>
      </c>
      <c r="AV2">
        <f>IF(AE2=1,ROUND(SUMIFS('All Donations'!$S$2:$S$4001,'All Donations'!$R$2:$R$4001,AD2,'All Donations'!$T$2:$T$4001,"&lt;="&amp;'Settings'!$D$30),2),0)</f>
        <v/>
      </c>
      <c r="AZ2">
        <f>IF(AE2=1,ROUND(SUMIFS('All Donations'!$S$2:$S$4001,'All Donations'!$R$2:$R$4001,AD2,'All Donations'!$T$2:$T$4001,"&lt;="&amp;'Settings'!$D$34),2),0)</f>
        <v/>
      </c>
    </row>
    <row r="3">
      <c r="A3">
        <f>IF(AE3=1,TRIM(TRIM('Roster'!B3)&amp;" "&amp;TRIM('Roster'!C3)),"")</f>
        <v/>
      </c>
      <c r="B3">
        <f>IF(AE3=1,IF(AN3="","(no teacher)",AN3&amp;" – "&amp;C3),"")</f>
        <v/>
      </c>
      <c r="C3">
        <f>IF(AE3=1,TRIM('Roster'!D3&amp;""),"")</f>
        <v/>
      </c>
      <c r="D3" s="48">
        <f>IF(AE3=1,ROUND(SUMIFS('All Donations'!$S$2:$S$4001,'All Donations'!$R$2:$R$4001,AD3),2),"")</f>
        <v/>
      </c>
      <c r="E3" s="48">
        <f>IF(AE3=1,ROUND(SUMIFS('All Donations'!$S$2:$S$4001,'All Donations'!$R$2:$R$4001,AD3,'All Donations'!$G$2:$G$4001,"OneCause"),2),"")</f>
        <v/>
      </c>
      <c r="F3" s="48">
        <f>IF(AE3=1,D3-E3,"")</f>
        <v/>
      </c>
      <c r="G3">
        <f>IF(AE3=1,COUNTIFS('All Donations'!$R$2:$R$4001,AD3,'All Donations'!$H$2:$H$4001,"OK"),"")</f>
        <v/>
      </c>
      <c r="H3">
        <f>IF(AE3&lt;&gt;1,"",IF(D3&gt;0,"Yes",""))</f>
        <v/>
      </c>
      <c r="I3" s="49">
        <f>IF(OR($AE3&lt;&gt;1,I$1=""),"",SUMIFS('All Donations'!$S$2:$S$4001,'All Donations'!$R$2:$R$4001,$AD3,'All Donations'!$T$2:$T$4001,I$1))</f>
        <v/>
      </c>
      <c r="J3" s="49">
        <f>IF(OR($AE3&lt;&gt;1,J$1=""),"",SUMIFS('All Donations'!$S$2:$S$4001,'All Donations'!$R$2:$R$4001,$AD3,'All Donations'!$T$2:$T$4001,J$1))</f>
        <v/>
      </c>
      <c r="K3" s="49">
        <f>IF(OR($AE3&lt;&gt;1,K$1=""),"",SUMIFS('All Donations'!$S$2:$S$4001,'All Donations'!$R$2:$R$4001,$AD3,'All Donations'!$T$2:$T$4001,K$1))</f>
        <v/>
      </c>
      <c r="L3" s="49">
        <f>IF(OR($AE3&lt;&gt;1,L$1=""),"",SUMIFS('All Donations'!$S$2:$S$4001,'All Donations'!$R$2:$R$4001,$AD3,'All Donations'!$T$2:$T$4001,L$1))</f>
        <v/>
      </c>
      <c r="M3" s="49">
        <f>IF(OR($AE3&lt;&gt;1,M$1=""),"",SUMIFS('All Donations'!$S$2:$S$4001,'All Donations'!$R$2:$R$4001,$AD3,'All Donations'!$T$2:$T$4001,M$1))</f>
        <v/>
      </c>
      <c r="N3" s="49">
        <f>IF(OR($AE3&lt;&gt;1,N$1=""),"",SUMIFS('All Donations'!$S$2:$S$4001,'All Donations'!$R$2:$R$4001,$AD3,'All Donations'!$T$2:$T$4001,N$1))</f>
        <v/>
      </c>
      <c r="O3" s="49">
        <f>IF(OR($AE3&lt;&gt;1,O$1=""),"",SUMIFS('All Donations'!$S$2:$S$4001,'All Donations'!$R$2:$R$4001,$AD3,'All Donations'!$T$2:$T$4001,O$1))</f>
        <v/>
      </c>
      <c r="P3" s="49">
        <f>IF(OR($AE3&lt;&gt;1,P$1=""),"",SUMIFS('All Donations'!$S$2:$S$4001,'All Donations'!$R$2:$R$4001,$AD3,'All Donations'!$T$2:$T$4001,P$1))</f>
        <v/>
      </c>
      <c r="Q3" s="49">
        <f>IF(OR($AE3&lt;&gt;1,Q$1=""),"",SUMIFS('All Donations'!$S$2:$S$4001,'All Donations'!$R$2:$R$4001,$AD3,'All Donations'!$T$2:$T$4001,Q$1))</f>
        <v/>
      </c>
      <c r="R3" s="49">
        <f>IF(OR($AE3&lt;&gt;1,R$1=""),"",SUMIFS('All Donations'!$S$2:$S$4001,'All Donations'!$R$2:$R$4001,$AD3,'All Donations'!$T$2:$T$4001,R$1))</f>
        <v/>
      </c>
      <c r="S3" s="49">
        <f>IF(OR($AE3&lt;&gt;1,S$1=""),"",SUMIFS('All Donations'!$S$2:$S$4001,'All Donations'!$R$2:$R$4001,$AD3,'All Donations'!$T$2:$T$4001,S$1))</f>
        <v/>
      </c>
      <c r="T3" s="49">
        <f>IF(OR($AE3&lt;&gt;1,T$1=""),"",SUMIFS('All Donations'!$S$2:$S$4001,'All Donations'!$R$2:$R$4001,$AD3,'All Donations'!$T$2:$T$4001,T$1))</f>
        <v/>
      </c>
      <c r="U3" s="49">
        <f>IF(OR($AE3&lt;&gt;1,U$1=""),"",SUMIFS('All Donations'!$S$2:$S$4001,'All Donations'!$R$2:$R$4001,$AD3,'All Donations'!$T$2:$T$4001,U$1))</f>
        <v/>
      </c>
      <c r="V3" s="49">
        <f>IF(OR($AE3&lt;&gt;1,V$1=""),"",SUMIFS('All Donations'!$S$2:$S$4001,'All Donations'!$R$2:$R$4001,$AD3,'All Donations'!$T$2:$T$4001,V$1))</f>
        <v/>
      </c>
      <c r="W3" s="49">
        <f>IF(OR($AE3&lt;&gt;1,W$1=""),"",SUMIFS('All Donations'!$S$2:$S$4001,'All Donations'!$R$2:$R$4001,$AD3,'All Donations'!$T$2:$T$4001,W$1))</f>
        <v/>
      </c>
      <c r="X3" s="49">
        <f>IF(OR($AE3&lt;&gt;1,X$1=""),"",SUMIFS('All Donations'!$S$2:$S$4001,'All Donations'!$R$2:$R$4001,$AD3,'All Donations'!$T$2:$T$4001,X$1))</f>
        <v/>
      </c>
      <c r="Y3" s="49">
        <f>IF(OR($AE3&lt;&gt;1,Y$1=""),"",SUMIFS('All Donations'!$S$2:$S$4001,'All Donations'!$R$2:$R$4001,$AD3,'All Donations'!$T$2:$T$4001,Y$1))</f>
        <v/>
      </c>
      <c r="Z3" s="49">
        <f>IF(OR($AE3&lt;&gt;1,Z$1=""),"",SUMIFS('All Donations'!$S$2:$S$4001,'All Donations'!$R$2:$R$4001,$AD3,'All Donations'!$T$2:$T$4001,Z$1))</f>
        <v/>
      </c>
      <c r="AA3" s="49">
        <f>IF(OR($AE3&lt;&gt;1,AA$1=""),"",SUMIFS('All Donations'!$S$2:$S$4001,'All Donations'!$R$2:$R$4001,$AD3,'All Donations'!$T$2:$T$4001,AA$1))</f>
        <v/>
      </c>
      <c r="AB3" s="49">
        <f>IF(OR($AE3&lt;&gt;1,AB$1=""),"",SUMIFS('All Donations'!$S$2:$S$4001,'All Donations'!$R$2:$R$4001,$AD3,'All Donations'!$T$2:$T$4001,AB$1))</f>
        <v/>
      </c>
      <c r="AC3" s="49">
        <f>IF(OR($AE3&lt;&gt;1,AC$1=""),"",SUMIFS('All Donations'!$S$2:$S$4001,'All Donations'!$R$2:$R$4001,$AD3,'All Donations'!$T$2:$T$4001,AC$1))</f>
        <v/>
      </c>
      <c r="AD3">
        <f>IF(AE3=1,'Roster'!A3,"")</f>
        <v/>
      </c>
      <c r="AE3">
        <f>IF(TRIM('Roster'!B3&amp;'Roster'!C3)&lt;&gt;"",1,0)</f>
        <v/>
      </c>
      <c r="AF3">
        <f>IF(AE3=1,LOWER(A3),"#")</f>
        <v/>
      </c>
      <c r="AG3">
        <f>IF(AE3=1,LOWER(TRIM(TRIM('Roster'!C3)&amp;", "&amp;TRIM('Roster'!B3))),"#")</f>
        <v/>
      </c>
      <c r="AH3">
        <f>IF(AND(AE3=1,TRIM('Roster'!F3)&lt;&gt;""),LOWER(TRIM('Roster'!F3)),"#")</f>
        <v/>
      </c>
      <c r="AI3">
        <f>IF(AE3=1,IF(MATCH(B3,$B$2:$B$701,0)=ROW()-1,1,0),0)</f>
        <v/>
      </c>
      <c r="AJ3">
        <f>AJ2+AI3</f>
        <v/>
      </c>
      <c r="AK3">
        <f>IF(AE3=1,D3+(1000-ROW())/10^7,-1)</f>
        <v/>
      </c>
      <c r="AL3">
        <f>IF(AE3=1,TRIM('Roster'!B3)&amp;" "&amp;LEFT(TRIM('Roster'!C3),1)&amp;".","")</f>
        <v/>
      </c>
      <c r="AM3">
        <f>IF(AE3=1,TRIM('Roster'!C3)&amp;", "&amp;TRIM('Roster'!B3)&amp;" ("&amp;B3&amp;") #"&amp;AD3,"")</f>
        <v/>
      </c>
      <c r="AN3">
        <f>IF(AE3=1,TRIM('Roster'!E3),"")</f>
        <v/>
      </c>
      <c r="AO3">
        <f>IF(AE3=1,ROUND(SUMIFS('All Donations'!$S$2:$S$4001,'All Donations'!$R$2:$R$4001,AD3,'All Donations'!$T$2:$T$4001,"&gt;="&amp;'Settings'!$C$23,'All Donations'!$T$2:$T$4001,"&lt;="&amp;'Settings'!$D$23),2),0)</f>
        <v/>
      </c>
      <c r="AQ3">
        <f>IF(AE3=1,ROUND(SUMIFS('All Donations'!$S$2:$S$4001,'All Donations'!$R$2:$R$4001,AD3,'All Donations'!$T$2:$T$4001,"&gt;="&amp;'Settings'!$C$25,'All Donations'!$T$2:$T$4001,"&lt;="&amp;'Settings'!$D$25),2),0)</f>
        <v/>
      </c>
      <c r="AR3">
        <f>IF(AE3=1,ROUND(SUMIFS('All Donations'!$S$2:$S$4001,'All Donations'!$R$2:$R$4001,AD3,'All Donations'!$T$2:$T$4001,"&gt;="&amp;'Settings'!$C$26,'All Donations'!$T$2:$T$4001,"&lt;="&amp;'Settings'!$D$26),2),0)</f>
        <v/>
      </c>
      <c r="AS3">
        <f>IF(AE3=1,ROUND(SUMIFS('All Donations'!$S$2:$S$4001,'All Donations'!$R$2:$R$4001,AD3,'All Donations'!$T$2:$T$4001,"&lt;="&amp;'Settings'!$D$27),2),0)</f>
        <v/>
      </c>
      <c r="AT3">
        <f>IF(AE3=1,ROUND(SUMIFS('All Donations'!$S$2:$S$4001,'All Donations'!$R$2:$R$4001,AD3,'All Donations'!$T$2:$T$4001,"&gt;="&amp;'Settings'!$C$28,'All Donations'!$T$2:$T$4001,"&lt;="&amp;'Settings'!$D$28),2),0)</f>
        <v/>
      </c>
      <c r="AU3">
        <f>IF(AE3=1,ROUND(SUMIFS('All Donations'!$S$2:$S$4001,'All Donations'!$R$2:$R$4001,AD3,'All Donations'!$T$2:$T$4001,"&gt;="&amp;'Settings'!$C$29,'All Donations'!$T$2:$T$4001,"&lt;="&amp;'Settings'!$D$29),2),0)</f>
        <v/>
      </c>
      <c r="AV3">
        <f>IF(AE3=1,ROUND(SUMIFS('All Donations'!$S$2:$S$4001,'All Donations'!$R$2:$R$4001,AD3,'All Donations'!$T$2:$T$4001,"&lt;="&amp;'Settings'!$D$30),2),0)</f>
        <v/>
      </c>
      <c r="AZ3">
        <f>IF(AE3=1,ROUND(SUMIFS('All Donations'!$S$2:$S$4001,'All Donations'!$R$2:$R$4001,AD3,'All Donations'!$T$2:$T$4001,"&lt;="&amp;'Settings'!$D$34),2),0)</f>
        <v/>
      </c>
    </row>
    <row r="4">
      <c r="A4">
        <f>IF(AE4=1,TRIM(TRIM('Roster'!B4)&amp;" "&amp;TRIM('Roster'!C4)),"")</f>
        <v/>
      </c>
      <c r="B4">
        <f>IF(AE4=1,IF(AN4="","(no teacher)",AN4&amp;" – "&amp;C4),"")</f>
        <v/>
      </c>
      <c r="C4">
        <f>IF(AE4=1,TRIM('Roster'!D4&amp;""),"")</f>
        <v/>
      </c>
      <c r="D4" s="48">
        <f>IF(AE4=1,ROUND(SUMIFS('All Donations'!$S$2:$S$4001,'All Donations'!$R$2:$R$4001,AD4),2),"")</f>
        <v/>
      </c>
      <c r="E4" s="48">
        <f>IF(AE4=1,ROUND(SUMIFS('All Donations'!$S$2:$S$4001,'All Donations'!$R$2:$R$4001,AD4,'All Donations'!$G$2:$G$4001,"OneCause"),2),"")</f>
        <v/>
      </c>
      <c r="F4" s="48">
        <f>IF(AE4=1,D4-E4,"")</f>
        <v/>
      </c>
      <c r="G4">
        <f>IF(AE4=1,COUNTIFS('All Donations'!$R$2:$R$4001,AD4,'All Donations'!$H$2:$H$4001,"OK"),"")</f>
        <v/>
      </c>
      <c r="H4">
        <f>IF(AE4&lt;&gt;1,"",IF(D4&gt;0,"Yes",""))</f>
        <v/>
      </c>
      <c r="I4" s="49">
        <f>IF(OR($AE4&lt;&gt;1,I$1=""),"",SUMIFS('All Donations'!$S$2:$S$4001,'All Donations'!$R$2:$R$4001,$AD4,'All Donations'!$T$2:$T$4001,I$1))</f>
        <v/>
      </c>
      <c r="J4" s="49">
        <f>IF(OR($AE4&lt;&gt;1,J$1=""),"",SUMIFS('All Donations'!$S$2:$S$4001,'All Donations'!$R$2:$R$4001,$AD4,'All Donations'!$T$2:$T$4001,J$1))</f>
        <v/>
      </c>
      <c r="K4" s="49">
        <f>IF(OR($AE4&lt;&gt;1,K$1=""),"",SUMIFS('All Donations'!$S$2:$S$4001,'All Donations'!$R$2:$R$4001,$AD4,'All Donations'!$T$2:$T$4001,K$1))</f>
        <v/>
      </c>
      <c r="L4" s="49">
        <f>IF(OR($AE4&lt;&gt;1,L$1=""),"",SUMIFS('All Donations'!$S$2:$S$4001,'All Donations'!$R$2:$R$4001,$AD4,'All Donations'!$T$2:$T$4001,L$1))</f>
        <v/>
      </c>
      <c r="M4" s="49">
        <f>IF(OR($AE4&lt;&gt;1,M$1=""),"",SUMIFS('All Donations'!$S$2:$S$4001,'All Donations'!$R$2:$R$4001,$AD4,'All Donations'!$T$2:$T$4001,M$1))</f>
        <v/>
      </c>
      <c r="N4" s="49">
        <f>IF(OR($AE4&lt;&gt;1,N$1=""),"",SUMIFS('All Donations'!$S$2:$S$4001,'All Donations'!$R$2:$R$4001,$AD4,'All Donations'!$T$2:$T$4001,N$1))</f>
        <v/>
      </c>
      <c r="O4" s="49">
        <f>IF(OR($AE4&lt;&gt;1,O$1=""),"",SUMIFS('All Donations'!$S$2:$S$4001,'All Donations'!$R$2:$R$4001,$AD4,'All Donations'!$T$2:$T$4001,O$1))</f>
        <v/>
      </c>
      <c r="P4" s="49">
        <f>IF(OR($AE4&lt;&gt;1,P$1=""),"",SUMIFS('All Donations'!$S$2:$S$4001,'All Donations'!$R$2:$R$4001,$AD4,'All Donations'!$T$2:$T$4001,P$1))</f>
        <v/>
      </c>
      <c r="Q4" s="49">
        <f>IF(OR($AE4&lt;&gt;1,Q$1=""),"",SUMIFS('All Donations'!$S$2:$S$4001,'All Donations'!$R$2:$R$4001,$AD4,'All Donations'!$T$2:$T$4001,Q$1))</f>
        <v/>
      </c>
      <c r="R4" s="49">
        <f>IF(OR($AE4&lt;&gt;1,R$1=""),"",SUMIFS('All Donations'!$S$2:$S$4001,'All Donations'!$R$2:$R$4001,$AD4,'All Donations'!$T$2:$T$4001,R$1))</f>
        <v/>
      </c>
      <c r="S4" s="49">
        <f>IF(OR($AE4&lt;&gt;1,S$1=""),"",SUMIFS('All Donations'!$S$2:$S$4001,'All Donations'!$R$2:$R$4001,$AD4,'All Donations'!$T$2:$T$4001,S$1))</f>
        <v/>
      </c>
      <c r="T4" s="49">
        <f>IF(OR($AE4&lt;&gt;1,T$1=""),"",SUMIFS('All Donations'!$S$2:$S$4001,'All Donations'!$R$2:$R$4001,$AD4,'All Donations'!$T$2:$T$4001,T$1))</f>
        <v/>
      </c>
      <c r="U4" s="49">
        <f>IF(OR($AE4&lt;&gt;1,U$1=""),"",SUMIFS('All Donations'!$S$2:$S$4001,'All Donations'!$R$2:$R$4001,$AD4,'All Donations'!$T$2:$T$4001,U$1))</f>
        <v/>
      </c>
      <c r="V4" s="49">
        <f>IF(OR($AE4&lt;&gt;1,V$1=""),"",SUMIFS('All Donations'!$S$2:$S$4001,'All Donations'!$R$2:$R$4001,$AD4,'All Donations'!$T$2:$T$4001,V$1))</f>
        <v/>
      </c>
      <c r="W4" s="49">
        <f>IF(OR($AE4&lt;&gt;1,W$1=""),"",SUMIFS('All Donations'!$S$2:$S$4001,'All Donations'!$R$2:$R$4001,$AD4,'All Donations'!$T$2:$T$4001,W$1))</f>
        <v/>
      </c>
      <c r="X4" s="49">
        <f>IF(OR($AE4&lt;&gt;1,X$1=""),"",SUMIFS('All Donations'!$S$2:$S$4001,'All Donations'!$R$2:$R$4001,$AD4,'All Donations'!$T$2:$T$4001,X$1))</f>
        <v/>
      </c>
      <c r="Y4" s="49">
        <f>IF(OR($AE4&lt;&gt;1,Y$1=""),"",SUMIFS('All Donations'!$S$2:$S$4001,'All Donations'!$R$2:$R$4001,$AD4,'All Donations'!$T$2:$T$4001,Y$1))</f>
        <v/>
      </c>
      <c r="Z4" s="49">
        <f>IF(OR($AE4&lt;&gt;1,Z$1=""),"",SUMIFS('All Donations'!$S$2:$S$4001,'All Donations'!$R$2:$R$4001,$AD4,'All Donations'!$T$2:$T$4001,Z$1))</f>
        <v/>
      </c>
      <c r="AA4" s="49">
        <f>IF(OR($AE4&lt;&gt;1,AA$1=""),"",SUMIFS('All Donations'!$S$2:$S$4001,'All Donations'!$R$2:$R$4001,$AD4,'All Donations'!$T$2:$T$4001,AA$1))</f>
        <v/>
      </c>
      <c r="AB4" s="49">
        <f>IF(OR($AE4&lt;&gt;1,AB$1=""),"",SUMIFS('All Donations'!$S$2:$S$4001,'All Donations'!$R$2:$R$4001,$AD4,'All Donations'!$T$2:$T$4001,AB$1))</f>
        <v/>
      </c>
      <c r="AC4" s="49">
        <f>IF(OR($AE4&lt;&gt;1,AC$1=""),"",SUMIFS('All Donations'!$S$2:$S$4001,'All Donations'!$R$2:$R$4001,$AD4,'All Donations'!$T$2:$T$4001,AC$1))</f>
        <v/>
      </c>
      <c r="AD4">
        <f>IF(AE4=1,'Roster'!A4,"")</f>
        <v/>
      </c>
      <c r="AE4">
        <f>IF(TRIM('Roster'!B4&amp;'Roster'!C4)&lt;&gt;"",1,0)</f>
        <v/>
      </c>
      <c r="AF4">
        <f>IF(AE4=1,LOWER(A4),"#")</f>
        <v/>
      </c>
      <c r="AG4">
        <f>IF(AE4=1,LOWER(TRIM(TRIM('Roster'!C4)&amp;", "&amp;TRIM('Roster'!B4))),"#")</f>
        <v/>
      </c>
      <c r="AH4">
        <f>IF(AND(AE4=1,TRIM('Roster'!F4)&lt;&gt;""),LOWER(TRIM('Roster'!F4)),"#")</f>
        <v/>
      </c>
      <c r="AI4">
        <f>IF(AE4=1,IF(MATCH(B4,$B$2:$B$701,0)=ROW()-1,1,0),0)</f>
        <v/>
      </c>
      <c r="AJ4">
        <f>AJ3+AI4</f>
        <v/>
      </c>
      <c r="AK4">
        <f>IF(AE4=1,D4+(1000-ROW())/10^7,-1)</f>
        <v/>
      </c>
      <c r="AL4">
        <f>IF(AE4=1,TRIM('Roster'!B4)&amp;" "&amp;LEFT(TRIM('Roster'!C4),1)&amp;".","")</f>
        <v/>
      </c>
      <c r="AM4">
        <f>IF(AE4=1,TRIM('Roster'!C4)&amp;", "&amp;TRIM('Roster'!B4)&amp;" ("&amp;B4&amp;") #"&amp;AD4,"")</f>
        <v/>
      </c>
      <c r="AN4">
        <f>IF(AE4=1,TRIM('Roster'!E4),"")</f>
        <v/>
      </c>
      <c r="AO4">
        <f>IF(AE4=1,ROUND(SUMIFS('All Donations'!$S$2:$S$4001,'All Donations'!$R$2:$R$4001,AD4,'All Donations'!$T$2:$T$4001,"&gt;="&amp;'Settings'!$C$23,'All Donations'!$T$2:$T$4001,"&lt;="&amp;'Settings'!$D$23),2),0)</f>
        <v/>
      </c>
      <c r="AQ4">
        <f>IF(AE4=1,ROUND(SUMIFS('All Donations'!$S$2:$S$4001,'All Donations'!$R$2:$R$4001,AD4,'All Donations'!$T$2:$T$4001,"&gt;="&amp;'Settings'!$C$25,'All Donations'!$T$2:$T$4001,"&lt;="&amp;'Settings'!$D$25),2),0)</f>
        <v/>
      </c>
      <c r="AR4">
        <f>IF(AE4=1,ROUND(SUMIFS('All Donations'!$S$2:$S$4001,'All Donations'!$R$2:$R$4001,AD4,'All Donations'!$T$2:$T$4001,"&gt;="&amp;'Settings'!$C$26,'All Donations'!$T$2:$T$4001,"&lt;="&amp;'Settings'!$D$26),2),0)</f>
        <v/>
      </c>
      <c r="AS4">
        <f>IF(AE4=1,ROUND(SUMIFS('All Donations'!$S$2:$S$4001,'All Donations'!$R$2:$R$4001,AD4,'All Donations'!$T$2:$T$4001,"&lt;="&amp;'Settings'!$D$27),2),0)</f>
        <v/>
      </c>
      <c r="AT4">
        <f>IF(AE4=1,ROUND(SUMIFS('All Donations'!$S$2:$S$4001,'All Donations'!$R$2:$R$4001,AD4,'All Donations'!$T$2:$T$4001,"&gt;="&amp;'Settings'!$C$28,'All Donations'!$T$2:$T$4001,"&lt;="&amp;'Settings'!$D$28),2),0)</f>
        <v/>
      </c>
      <c r="AU4">
        <f>IF(AE4=1,ROUND(SUMIFS('All Donations'!$S$2:$S$4001,'All Donations'!$R$2:$R$4001,AD4,'All Donations'!$T$2:$T$4001,"&gt;="&amp;'Settings'!$C$29,'All Donations'!$T$2:$T$4001,"&lt;="&amp;'Settings'!$D$29),2),0)</f>
        <v/>
      </c>
      <c r="AV4">
        <f>IF(AE4=1,ROUND(SUMIFS('All Donations'!$S$2:$S$4001,'All Donations'!$R$2:$R$4001,AD4,'All Donations'!$T$2:$T$4001,"&lt;="&amp;'Settings'!$D$30),2),0)</f>
        <v/>
      </c>
      <c r="AZ4">
        <f>IF(AE4=1,ROUND(SUMIFS('All Donations'!$S$2:$S$4001,'All Donations'!$R$2:$R$4001,AD4,'All Donations'!$T$2:$T$4001,"&lt;="&amp;'Settings'!$D$34),2),0)</f>
        <v/>
      </c>
    </row>
    <row r="5">
      <c r="A5">
        <f>IF(AE5=1,TRIM(TRIM('Roster'!B5)&amp;" "&amp;TRIM('Roster'!C5)),"")</f>
        <v/>
      </c>
      <c r="B5">
        <f>IF(AE5=1,IF(AN5="","(no teacher)",AN5&amp;" – "&amp;C5),"")</f>
        <v/>
      </c>
      <c r="C5">
        <f>IF(AE5=1,TRIM('Roster'!D5&amp;""),"")</f>
        <v/>
      </c>
      <c r="D5" s="48">
        <f>IF(AE5=1,ROUND(SUMIFS('All Donations'!$S$2:$S$4001,'All Donations'!$R$2:$R$4001,AD5),2),"")</f>
        <v/>
      </c>
      <c r="E5" s="48">
        <f>IF(AE5=1,ROUND(SUMIFS('All Donations'!$S$2:$S$4001,'All Donations'!$R$2:$R$4001,AD5,'All Donations'!$G$2:$G$4001,"OneCause"),2),"")</f>
        <v/>
      </c>
      <c r="F5" s="48">
        <f>IF(AE5=1,D5-E5,"")</f>
        <v/>
      </c>
      <c r="G5">
        <f>IF(AE5=1,COUNTIFS('All Donations'!$R$2:$R$4001,AD5,'All Donations'!$H$2:$H$4001,"OK"),"")</f>
        <v/>
      </c>
      <c r="H5">
        <f>IF(AE5&lt;&gt;1,"",IF(D5&gt;0,"Yes",""))</f>
        <v/>
      </c>
      <c r="I5" s="49">
        <f>IF(OR($AE5&lt;&gt;1,I$1=""),"",SUMIFS('All Donations'!$S$2:$S$4001,'All Donations'!$R$2:$R$4001,$AD5,'All Donations'!$T$2:$T$4001,I$1))</f>
        <v/>
      </c>
      <c r="J5" s="49">
        <f>IF(OR($AE5&lt;&gt;1,J$1=""),"",SUMIFS('All Donations'!$S$2:$S$4001,'All Donations'!$R$2:$R$4001,$AD5,'All Donations'!$T$2:$T$4001,J$1))</f>
        <v/>
      </c>
      <c r="K5" s="49">
        <f>IF(OR($AE5&lt;&gt;1,K$1=""),"",SUMIFS('All Donations'!$S$2:$S$4001,'All Donations'!$R$2:$R$4001,$AD5,'All Donations'!$T$2:$T$4001,K$1))</f>
        <v/>
      </c>
      <c r="L5" s="49">
        <f>IF(OR($AE5&lt;&gt;1,L$1=""),"",SUMIFS('All Donations'!$S$2:$S$4001,'All Donations'!$R$2:$R$4001,$AD5,'All Donations'!$T$2:$T$4001,L$1))</f>
        <v/>
      </c>
      <c r="M5" s="49">
        <f>IF(OR($AE5&lt;&gt;1,M$1=""),"",SUMIFS('All Donations'!$S$2:$S$4001,'All Donations'!$R$2:$R$4001,$AD5,'All Donations'!$T$2:$T$4001,M$1))</f>
        <v/>
      </c>
      <c r="N5" s="49">
        <f>IF(OR($AE5&lt;&gt;1,N$1=""),"",SUMIFS('All Donations'!$S$2:$S$4001,'All Donations'!$R$2:$R$4001,$AD5,'All Donations'!$T$2:$T$4001,N$1))</f>
        <v/>
      </c>
      <c r="O5" s="49">
        <f>IF(OR($AE5&lt;&gt;1,O$1=""),"",SUMIFS('All Donations'!$S$2:$S$4001,'All Donations'!$R$2:$R$4001,$AD5,'All Donations'!$T$2:$T$4001,O$1))</f>
        <v/>
      </c>
      <c r="P5" s="49">
        <f>IF(OR($AE5&lt;&gt;1,P$1=""),"",SUMIFS('All Donations'!$S$2:$S$4001,'All Donations'!$R$2:$R$4001,$AD5,'All Donations'!$T$2:$T$4001,P$1))</f>
        <v/>
      </c>
      <c r="Q5" s="49">
        <f>IF(OR($AE5&lt;&gt;1,Q$1=""),"",SUMIFS('All Donations'!$S$2:$S$4001,'All Donations'!$R$2:$R$4001,$AD5,'All Donations'!$T$2:$T$4001,Q$1))</f>
        <v/>
      </c>
      <c r="R5" s="49">
        <f>IF(OR($AE5&lt;&gt;1,R$1=""),"",SUMIFS('All Donations'!$S$2:$S$4001,'All Donations'!$R$2:$R$4001,$AD5,'All Donations'!$T$2:$T$4001,R$1))</f>
        <v/>
      </c>
      <c r="S5" s="49">
        <f>IF(OR($AE5&lt;&gt;1,S$1=""),"",SUMIFS('All Donations'!$S$2:$S$4001,'All Donations'!$R$2:$R$4001,$AD5,'All Donations'!$T$2:$T$4001,S$1))</f>
        <v/>
      </c>
      <c r="T5" s="49">
        <f>IF(OR($AE5&lt;&gt;1,T$1=""),"",SUMIFS('All Donations'!$S$2:$S$4001,'All Donations'!$R$2:$R$4001,$AD5,'All Donations'!$T$2:$T$4001,T$1))</f>
        <v/>
      </c>
      <c r="U5" s="49">
        <f>IF(OR($AE5&lt;&gt;1,U$1=""),"",SUMIFS('All Donations'!$S$2:$S$4001,'All Donations'!$R$2:$R$4001,$AD5,'All Donations'!$T$2:$T$4001,U$1))</f>
        <v/>
      </c>
      <c r="V5" s="49">
        <f>IF(OR($AE5&lt;&gt;1,V$1=""),"",SUMIFS('All Donations'!$S$2:$S$4001,'All Donations'!$R$2:$R$4001,$AD5,'All Donations'!$T$2:$T$4001,V$1))</f>
        <v/>
      </c>
      <c r="W5" s="49">
        <f>IF(OR($AE5&lt;&gt;1,W$1=""),"",SUMIFS('All Donations'!$S$2:$S$4001,'All Donations'!$R$2:$R$4001,$AD5,'All Donations'!$T$2:$T$4001,W$1))</f>
        <v/>
      </c>
      <c r="X5" s="49">
        <f>IF(OR($AE5&lt;&gt;1,X$1=""),"",SUMIFS('All Donations'!$S$2:$S$4001,'All Donations'!$R$2:$R$4001,$AD5,'All Donations'!$T$2:$T$4001,X$1))</f>
        <v/>
      </c>
      <c r="Y5" s="49">
        <f>IF(OR($AE5&lt;&gt;1,Y$1=""),"",SUMIFS('All Donations'!$S$2:$S$4001,'All Donations'!$R$2:$R$4001,$AD5,'All Donations'!$T$2:$T$4001,Y$1))</f>
        <v/>
      </c>
      <c r="Z5" s="49">
        <f>IF(OR($AE5&lt;&gt;1,Z$1=""),"",SUMIFS('All Donations'!$S$2:$S$4001,'All Donations'!$R$2:$R$4001,$AD5,'All Donations'!$T$2:$T$4001,Z$1))</f>
        <v/>
      </c>
      <c r="AA5" s="49">
        <f>IF(OR($AE5&lt;&gt;1,AA$1=""),"",SUMIFS('All Donations'!$S$2:$S$4001,'All Donations'!$R$2:$R$4001,$AD5,'All Donations'!$T$2:$T$4001,AA$1))</f>
        <v/>
      </c>
      <c r="AB5" s="49">
        <f>IF(OR($AE5&lt;&gt;1,AB$1=""),"",SUMIFS('All Donations'!$S$2:$S$4001,'All Donations'!$R$2:$R$4001,$AD5,'All Donations'!$T$2:$T$4001,AB$1))</f>
        <v/>
      </c>
      <c r="AC5" s="49">
        <f>IF(OR($AE5&lt;&gt;1,AC$1=""),"",SUMIFS('All Donations'!$S$2:$S$4001,'All Donations'!$R$2:$R$4001,$AD5,'All Donations'!$T$2:$T$4001,AC$1))</f>
        <v/>
      </c>
      <c r="AD5">
        <f>IF(AE5=1,'Roster'!A5,"")</f>
        <v/>
      </c>
      <c r="AE5">
        <f>IF(TRIM('Roster'!B5&amp;'Roster'!C5)&lt;&gt;"",1,0)</f>
        <v/>
      </c>
      <c r="AF5">
        <f>IF(AE5=1,LOWER(A5),"#")</f>
        <v/>
      </c>
      <c r="AG5">
        <f>IF(AE5=1,LOWER(TRIM(TRIM('Roster'!C5)&amp;", "&amp;TRIM('Roster'!B5))),"#")</f>
        <v/>
      </c>
      <c r="AH5">
        <f>IF(AND(AE5=1,TRIM('Roster'!F5)&lt;&gt;""),LOWER(TRIM('Roster'!F5)),"#")</f>
        <v/>
      </c>
      <c r="AI5">
        <f>IF(AE5=1,IF(MATCH(B5,$B$2:$B$701,0)=ROW()-1,1,0),0)</f>
        <v/>
      </c>
      <c r="AJ5">
        <f>AJ4+AI5</f>
        <v/>
      </c>
      <c r="AK5">
        <f>IF(AE5=1,D5+(1000-ROW())/10^7,-1)</f>
        <v/>
      </c>
      <c r="AL5">
        <f>IF(AE5=1,TRIM('Roster'!B5)&amp;" "&amp;LEFT(TRIM('Roster'!C5),1)&amp;".","")</f>
        <v/>
      </c>
      <c r="AM5">
        <f>IF(AE5=1,TRIM('Roster'!C5)&amp;", "&amp;TRIM('Roster'!B5)&amp;" ("&amp;B5&amp;") #"&amp;AD5,"")</f>
        <v/>
      </c>
      <c r="AN5">
        <f>IF(AE5=1,TRIM('Roster'!E5),"")</f>
        <v/>
      </c>
      <c r="AO5">
        <f>IF(AE5=1,ROUND(SUMIFS('All Donations'!$S$2:$S$4001,'All Donations'!$R$2:$R$4001,AD5,'All Donations'!$T$2:$T$4001,"&gt;="&amp;'Settings'!$C$23,'All Donations'!$T$2:$T$4001,"&lt;="&amp;'Settings'!$D$23),2),0)</f>
        <v/>
      </c>
      <c r="AQ5">
        <f>IF(AE5=1,ROUND(SUMIFS('All Donations'!$S$2:$S$4001,'All Donations'!$R$2:$R$4001,AD5,'All Donations'!$T$2:$T$4001,"&gt;="&amp;'Settings'!$C$25,'All Donations'!$T$2:$T$4001,"&lt;="&amp;'Settings'!$D$25),2),0)</f>
        <v/>
      </c>
      <c r="AR5">
        <f>IF(AE5=1,ROUND(SUMIFS('All Donations'!$S$2:$S$4001,'All Donations'!$R$2:$R$4001,AD5,'All Donations'!$T$2:$T$4001,"&gt;="&amp;'Settings'!$C$26,'All Donations'!$T$2:$T$4001,"&lt;="&amp;'Settings'!$D$26),2),0)</f>
        <v/>
      </c>
      <c r="AS5">
        <f>IF(AE5=1,ROUND(SUMIFS('All Donations'!$S$2:$S$4001,'All Donations'!$R$2:$R$4001,AD5,'All Donations'!$T$2:$T$4001,"&lt;="&amp;'Settings'!$D$27),2),0)</f>
        <v/>
      </c>
      <c r="AT5">
        <f>IF(AE5=1,ROUND(SUMIFS('All Donations'!$S$2:$S$4001,'All Donations'!$R$2:$R$4001,AD5,'All Donations'!$T$2:$T$4001,"&gt;="&amp;'Settings'!$C$28,'All Donations'!$T$2:$T$4001,"&lt;="&amp;'Settings'!$D$28),2),0)</f>
        <v/>
      </c>
      <c r="AU5">
        <f>IF(AE5=1,ROUND(SUMIFS('All Donations'!$S$2:$S$4001,'All Donations'!$R$2:$R$4001,AD5,'All Donations'!$T$2:$T$4001,"&gt;="&amp;'Settings'!$C$29,'All Donations'!$T$2:$T$4001,"&lt;="&amp;'Settings'!$D$29),2),0)</f>
        <v/>
      </c>
      <c r="AV5">
        <f>IF(AE5=1,ROUND(SUMIFS('All Donations'!$S$2:$S$4001,'All Donations'!$R$2:$R$4001,AD5,'All Donations'!$T$2:$T$4001,"&lt;="&amp;'Settings'!$D$30),2),0)</f>
        <v/>
      </c>
      <c r="AZ5">
        <f>IF(AE5=1,ROUND(SUMIFS('All Donations'!$S$2:$S$4001,'All Donations'!$R$2:$R$4001,AD5,'All Donations'!$T$2:$T$4001,"&lt;="&amp;'Settings'!$D$34),2),0)</f>
        <v/>
      </c>
    </row>
    <row r="6">
      <c r="A6">
        <f>IF(AE6=1,TRIM(TRIM('Roster'!B6)&amp;" "&amp;TRIM('Roster'!C6)),"")</f>
        <v/>
      </c>
      <c r="B6">
        <f>IF(AE6=1,IF(AN6="","(no teacher)",AN6&amp;" – "&amp;C6),"")</f>
        <v/>
      </c>
      <c r="C6">
        <f>IF(AE6=1,TRIM('Roster'!D6&amp;""),"")</f>
        <v/>
      </c>
      <c r="D6" s="48">
        <f>IF(AE6=1,ROUND(SUMIFS('All Donations'!$S$2:$S$4001,'All Donations'!$R$2:$R$4001,AD6),2),"")</f>
        <v/>
      </c>
      <c r="E6" s="48">
        <f>IF(AE6=1,ROUND(SUMIFS('All Donations'!$S$2:$S$4001,'All Donations'!$R$2:$R$4001,AD6,'All Donations'!$G$2:$G$4001,"OneCause"),2),"")</f>
        <v/>
      </c>
      <c r="F6" s="48">
        <f>IF(AE6=1,D6-E6,"")</f>
        <v/>
      </c>
      <c r="G6">
        <f>IF(AE6=1,COUNTIFS('All Donations'!$R$2:$R$4001,AD6,'All Donations'!$H$2:$H$4001,"OK"),"")</f>
        <v/>
      </c>
      <c r="H6">
        <f>IF(AE6&lt;&gt;1,"",IF(D6&gt;0,"Yes",""))</f>
        <v/>
      </c>
      <c r="I6" s="49">
        <f>IF(OR($AE6&lt;&gt;1,I$1=""),"",SUMIFS('All Donations'!$S$2:$S$4001,'All Donations'!$R$2:$R$4001,$AD6,'All Donations'!$T$2:$T$4001,I$1))</f>
        <v/>
      </c>
      <c r="J6" s="49">
        <f>IF(OR($AE6&lt;&gt;1,J$1=""),"",SUMIFS('All Donations'!$S$2:$S$4001,'All Donations'!$R$2:$R$4001,$AD6,'All Donations'!$T$2:$T$4001,J$1))</f>
        <v/>
      </c>
      <c r="K6" s="49">
        <f>IF(OR($AE6&lt;&gt;1,K$1=""),"",SUMIFS('All Donations'!$S$2:$S$4001,'All Donations'!$R$2:$R$4001,$AD6,'All Donations'!$T$2:$T$4001,K$1))</f>
        <v/>
      </c>
      <c r="L6" s="49">
        <f>IF(OR($AE6&lt;&gt;1,L$1=""),"",SUMIFS('All Donations'!$S$2:$S$4001,'All Donations'!$R$2:$R$4001,$AD6,'All Donations'!$T$2:$T$4001,L$1))</f>
        <v/>
      </c>
      <c r="M6" s="49">
        <f>IF(OR($AE6&lt;&gt;1,M$1=""),"",SUMIFS('All Donations'!$S$2:$S$4001,'All Donations'!$R$2:$R$4001,$AD6,'All Donations'!$T$2:$T$4001,M$1))</f>
        <v/>
      </c>
      <c r="N6" s="49">
        <f>IF(OR($AE6&lt;&gt;1,N$1=""),"",SUMIFS('All Donations'!$S$2:$S$4001,'All Donations'!$R$2:$R$4001,$AD6,'All Donations'!$T$2:$T$4001,N$1))</f>
        <v/>
      </c>
      <c r="O6" s="49">
        <f>IF(OR($AE6&lt;&gt;1,O$1=""),"",SUMIFS('All Donations'!$S$2:$S$4001,'All Donations'!$R$2:$R$4001,$AD6,'All Donations'!$T$2:$T$4001,O$1))</f>
        <v/>
      </c>
      <c r="P6" s="49">
        <f>IF(OR($AE6&lt;&gt;1,P$1=""),"",SUMIFS('All Donations'!$S$2:$S$4001,'All Donations'!$R$2:$R$4001,$AD6,'All Donations'!$T$2:$T$4001,P$1))</f>
        <v/>
      </c>
      <c r="Q6" s="49">
        <f>IF(OR($AE6&lt;&gt;1,Q$1=""),"",SUMIFS('All Donations'!$S$2:$S$4001,'All Donations'!$R$2:$R$4001,$AD6,'All Donations'!$T$2:$T$4001,Q$1))</f>
        <v/>
      </c>
      <c r="R6" s="49">
        <f>IF(OR($AE6&lt;&gt;1,R$1=""),"",SUMIFS('All Donations'!$S$2:$S$4001,'All Donations'!$R$2:$R$4001,$AD6,'All Donations'!$T$2:$T$4001,R$1))</f>
        <v/>
      </c>
      <c r="S6" s="49">
        <f>IF(OR($AE6&lt;&gt;1,S$1=""),"",SUMIFS('All Donations'!$S$2:$S$4001,'All Donations'!$R$2:$R$4001,$AD6,'All Donations'!$T$2:$T$4001,S$1))</f>
        <v/>
      </c>
      <c r="T6" s="49">
        <f>IF(OR($AE6&lt;&gt;1,T$1=""),"",SUMIFS('All Donations'!$S$2:$S$4001,'All Donations'!$R$2:$R$4001,$AD6,'All Donations'!$T$2:$T$4001,T$1))</f>
        <v/>
      </c>
      <c r="U6" s="49">
        <f>IF(OR($AE6&lt;&gt;1,U$1=""),"",SUMIFS('All Donations'!$S$2:$S$4001,'All Donations'!$R$2:$R$4001,$AD6,'All Donations'!$T$2:$T$4001,U$1))</f>
        <v/>
      </c>
      <c r="V6" s="49">
        <f>IF(OR($AE6&lt;&gt;1,V$1=""),"",SUMIFS('All Donations'!$S$2:$S$4001,'All Donations'!$R$2:$R$4001,$AD6,'All Donations'!$T$2:$T$4001,V$1))</f>
        <v/>
      </c>
      <c r="W6" s="49">
        <f>IF(OR($AE6&lt;&gt;1,W$1=""),"",SUMIFS('All Donations'!$S$2:$S$4001,'All Donations'!$R$2:$R$4001,$AD6,'All Donations'!$T$2:$T$4001,W$1))</f>
        <v/>
      </c>
      <c r="X6" s="49">
        <f>IF(OR($AE6&lt;&gt;1,X$1=""),"",SUMIFS('All Donations'!$S$2:$S$4001,'All Donations'!$R$2:$R$4001,$AD6,'All Donations'!$T$2:$T$4001,X$1))</f>
        <v/>
      </c>
      <c r="Y6" s="49">
        <f>IF(OR($AE6&lt;&gt;1,Y$1=""),"",SUMIFS('All Donations'!$S$2:$S$4001,'All Donations'!$R$2:$R$4001,$AD6,'All Donations'!$T$2:$T$4001,Y$1))</f>
        <v/>
      </c>
      <c r="Z6" s="49">
        <f>IF(OR($AE6&lt;&gt;1,Z$1=""),"",SUMIFS('All Donations'!$S$2:$S$4001,'All Donations'!$R$2:$R$4001,$AD6,'All Donations'!$T$2:$T$4001,Z$1))</f>
        <v/>
      </c>
      <c r="AA6" s="49">
        <f>IF(OR($AE6&lt;&gt;1,AA$1=""),"",SUMIFS('All Donations'!$S$2:$S$4001,'All Donations'!$R$2:$R$4001,$AD6,'All Donations'!$T$2:$T$4001,AA$1))</f>
        <v/>
      </c>
      <c r="AB6" s="49">
        <f>IF(OR($AE6&lt;&gt;1,AB$1=""),"",SUMIFS('All Donations'!$S$2:$S$4001,'All Donations'!$R$2:$R$4001,$AD6,'All Donations'!$T$2:$T$4001,AB$1))</f>
        <v/>
      </c>
      <c r="AC6" s="49">
        <f>IF(OR($AE6&lt;&gt;1,AC$1=""),"",SUMIFS('All Donations'!$S$2:$S$4001,'All Donations'!$R$2:$R$4001,$AD6,'All Donations'!$T$2:$T$4001,AC$1))</f>
        <v/>
      </c>
      <c r="AD6">
        <f>IF(AE6=1,'Roster'!A6,"")</f>
        <v/>
      </c>
      <c r="AE6">
        <f>IF(TRIM('Roster'!B6&amp;'Roster'!C6)&lt;&gt;"",1,0)</f>
        <v/>
      </c>
      <c r="AF6">
        <f>IF(AE6=1,LOWER(A6),"#")</f>
        <v/>
      </c>
      <c r="AG6">
        <f>IF(AE6=1,LOWER(TRIM(TRIM('Roster'!C6)&amp;", "&amp;TRIM('Roster'!B6))),"#")</f>
        <v/>
      </c>
      <c r="AH6">
        <f>IF(AND(AE6=1,TRIM('Roster'!F6)&lt;&gt;""),LOWER(TRIM('Roster'!F6)),"#")</f>
        <v/>
      </c>
      <c r="AI6">
        <f>IF(AE6=1,IF(MATCH(B6,$B$2:$B$701,0)=ROW()-1,1,0),0)</f>
        <v/>
      </c>
      <c r="AJ6">
        <f>AJ5+AI6</f>
        <v/>
      </c>
      <c r="AK6">
        <f>IF(AE6=1,D6+(1000-ROW())/10^7,-1)</f>
        <v/>
      </c>
      <c r="AL6">
        <f>IF(AE6=1,TRIM('Roster'!B6)&amp;" "&amp;LEFT(TRIM('Roster'!C6),1)&amp;".","")</f>
        <v/>
      </c>
      <c r="AM6">
        <f>IF(AE6=1,TRIM('Roster'!C6)&amp;", "&amp;TRIM('Roster'!B6)&amp;" ("&amp;B6&amp;") #"&amp;AD6,"")</f>
        <v/>
      </c>
      <c r="AN6">
        <f>IF(AE6=1,TRIM('Roster'!E6),"")</f>
        <v/>
      </c>
      <c r="AO6">
        <f>IF(AE6=1,ROUND(SUMIFS('All Donations'!$S$2:$S$4001,'All Donations'!$R$2:$R$4001,AD6,'All Donations'!$T$2:$T$4001,"&gt;="&amp;'Settings'!$C$23,'All Donations'!$T$2:$T$4001,"&lt;="&amp;'Settings'!$D$23),2),0)</f>
        <v/>
      </c>
      <c r="AQ6">
        <f>IF(AE6=1,ROUND(SUMIFS('All Donations'!$S$2:$S$4001,'All Donations'!$R$2:$R$4001,AD6,'All Donations'!$T$2:$T$4001,"&gt;="&amp;'Settings'!$C$25,'All Donations'!$T$2:$T$4001,"&lt;="&amp;'Settings'!$D$25),2),0)</f>
        <v/>
      </c>
      <c r="AR6">
        <f>IF(AE6=1,ROUND(SUMIFS('All Donations'!$S$2:$S$4001,'All Donations'!$R$2:$R$4001,AD6,'All Donations'!$T$2:$T$4001,"&gt;="&amp;'Settings'!$C$26,'All Donations'!$T$2:$T$4001,"&lt;="&amp;'Settings'!$D$26),2),0)</f>
        <v/>
      </c>
      <c r="AS6">
        <f>IF(AE6=1,ROUND(SUMIFS('All Donations'!$S$2:$S$4001,'All Donations'!$R$2:$R$4001,AD6,'All Donations'!$T$2:$T$4001,"&lt;="&amp;'Settings'!$D$27),2),0)</f>
        <v/>
      </c>
      <c r="AT6">
        <f>IF(AE6=1,ROUND(SUMIFS('All Donations'!$S$2:$S$4001,'All Donations'!$R$2:$R$4001,AD6,'All Donations'!$T$2:$T$4001,"&gt;="&amp;'Settings'!$C$28,'All Donations'!$T$2:$T$4001,"&lt;="&amp;'Settings'!$D$28),2),0)</f>
        <v/>
      </c>
      <c r="AU6">
        <f>IF(AE6=1,ROUND(SUMIFS('All Donations'!$S$2:$S$4001,'All Donations'!$R$2:$R$4001,AD6,'All Donations'!$T$2:$T$4001,"&gt;="&amp;'Settings'!$C$29,'All Donations'!$T$2:$T$4001,"&lt;="&amp;'Settings'!$D$29),2),0)</f>
        <v/>
      </c>
      <c r="AV6">
        <f>IF(AE6=1,ROUND(SUMIFS('All Donations'!$S$2:$S$4001,'All Donations'!$R$2:$R$4001,AD6,'All Donations'!$T$2:$T$4001,"&lt;="&amp;'Settings'!$D$30),2),0)</f>
        <v/>
      </c>
      <c r="AZ6">
        <f>IF(AE6=1,ROUND(SUMIFS('All Donations'!$S$2:$S$4001,'All Donations'!$R$2:$R$4001,AD6,'All Donations'!$T$2:$T$4001,"&lt;="&amp;'Settings'!$D$34),2),0)</f>
        <v/>
      </c>
    </row>
    <row r="7">
      <c r="A7">
        <f>IF(AE7=1,TRIM(TRIM('Roster'!B7)&amp;" "&amp;TRIM('Roster'!C7)),"")</f>
        <v/>
      </c>
      <c r="B7">
        <f>IF(AE7=1,IF(AN7="","(no teacher)",AN7&amp;" – "&amp;C7),"")</f>
        <v/>
      </c>
      <c r="C7">
        <f>IF(AE7=1,TRIM('Roster'!D7&amp;""),"")</f>
        <v/>
      </c>
      <c r="D7" s="48">
        <f>IF(AE7=1,ROUND(SUMIFS('All Donations'!$S$2:$S$4001,'All Donations'!$R$2:$R$4001,AD7),2),"")</f>
        <v/>
      </c>
      <c r="E7" s="48">
        <f>IF(AE7=1,ROUND(SUMIFS('All Donations'!$S$2:$S$4001,'All Donations'!$R$2:$R$4001,AD7,'All Donations'!$G$2:$G$4001,"OneCause"),2),"")</f>
        <v/>
      </c>
      <c r="F7" s="48">
        <f>IF(AE7=1,D7-E7,"")</f>
        <v/>
      </c>
      <c r="G7">
        <f>IF(AE7=1,COUNTIFS('All Donations'!$R$2:$R$4001,AD7,'All Donations'!$H$2:$H$4001,"OK"),"")</f>
        <v/>
      </c>
      <c r="H7">
        <f>IF(AE7&lt;&gt;1,"",IF(D7&gt;0,"Yes",""))</f>
        <v/>
      </c>
      <c r="I7" s="49">
        <f>IF(OR($AE7&lt;&gt;1,I$1=""),"",SUMIFS('All Donations'!$S$2:$S$4001,'All Donations'!$R$2:$R$4001,$AD7,'All Donations'!$T$2:$T$4001,I$1))</f>
        <v/>
      </c>
      <c r="J7" s="49">
        <f>IF(OR($AE7&lt;&gt;1,J$1=""),"",SUMIFS('All Donations'!$S$2:$S$4001,'All Donations'!$R$2:$R$4001,$AD7,'All Donations'!$T$2:$T$4001,J$1))</f>
        <v/>
      </c>
      <c r="K7" s="49">
        <f>IF(OR($AE7&lt;&gt;1,K$1=""),"",SUMIFS('All Donations'!$S$2:$S$4001,'All Donations'!$R$2:$R$4001,$AD7,'All Donations'!$T$2:$T$4001,K$1))</f>
        <v/>
      </c>
      <c r="L7" s="49">
        <f>IF(OR($AE7&lt;&gt;1,L$1=""),"",SUMIFS('All Donations'!$S$2:$S$4001,'All Donations'!$R$2:$R$4001,$AD7,'All Donations'!$T$2:$T$4001,L$1))</f>
        <v/>
      </c>
      <c r="M7" s="49">
        <f>IF(OR($AE7&lt;&gt;1,M$1=""),"",SUMIFS('All Donations'!$S$2:$S$4001,'All Donations'!$R$2:$R$4001,$AD7,'All Donations'!$T$2:$T$4001,M$1))</f>
        <v/>
      </c>
      <c r="N7" s="49">
        <f>IF(OR($AE7&lt;&gt;1,N$1=""),"",SUMIFS('All Donations'!$S$2:$S$4001,'All Donations'!$R$2:$R$4001,$AD7,'All Donations'!$T$2:$T$4001,N$1))</f>
        <v/>
      </c>
      <c r="O7" s="49">
        <f>IF(OR($AE7&lt;&gt;1,O$1=""),"",SUMIFS('All Donations'!$S$2:$S$4001,'All Donations'!$R$2:$R$4001,$AD7,'All Donations'!$T$2:$T$4001,O$1))</f>
        <v/>
      </c>
      <c r="P7" s="49">
        <f>IF(OR($AE7&lt;&gt;1,P$1=""),"",SUMIFS('All Donations'!$S$2:$S$4001,'All Donations'!$R$2:$R$4001,$AD7,'All Donations'!$T$2:$T$4001,P$1))</f>
        <v/>
      </c>
      <c r="Q7" s="49">
        <f>IF(OR($AE7&lt;&gt;1,Q$1=""),"",SUMIFS('All Donations'!$S$2:$S$4001,'All Donations'!$R$2:$R$4001,$AD7,'All Donations'!$T$2:$T$4001,Q$1))</f>
        <v/>
      </c>
      <c r="R7" s="49">
        <f>IF(OR($AE7&lt;&gt;1,R$1=""),"",SUMIFS('All Donations'!$S$2:$S$4001,'All Donations'!$R$2:$R$4001,$AD7,'All Donations'!$T$2:$T$4001,R$1))</f>
        <v/>
      </c>
      <c r="S7" s="49">
        <f>IF(OR($AE7&lt;&gt;1,S$1=""),"",SUMIFS('All Donations'!$S$2:$S$4001,'All Donations'!$R$2:$R$4001,$AD7,'All Donations'!$T$2:$T$4001,S$1))</f>
        <v/>
      </c>
      <c r="T7" s="49">
        <f>IF(OR($AE7&lt;&gt;1,T$1=""),"",SUMIFS('All Donations'!$S$2:$S$4001,'All Donations'!$R$2:$R$4001,$AD7,'All Donations'!$T$2:$T$4001,T$1))</f>
        <v/>
      </c>
      <c r="U7" s="49">
        <f>IF(OR($AE7&lt;&gt;1,U$1=""),"",SUMIFS('All Donations'!$S$2:$S$4001,'All Donations'!$R$2:$R$4001,$AD7,'All Donations'!$T$2:$T$4001,U$1))</f>
        <v/>
      </c>
      <c r="V7" s="49">
        <f>IF(OR($AE7&lt;&gt;1,V$1=""),"",SUMIFS('All Donations'!$S$2:$S$4001,'All Donations'!$R$2:$R$4001,$AD7,'All Donations'!$T$2:$T$4001,V$1))</f>
        <v/>
      </c>
      <c r="W7" s="49">
        <f>IF(OR($AE7&lt;&gt;1,W$1=""),"",SUMIFS('All Donations'!$S$2:$S$4001,'All Donations'!$R$2:$R$4001,$AD7,'All Donations'!$T$2:$T$4001,W$1))</f>
        <v/>
      </c>
      <c r="X7" s="49">
        <f>IF(OR($AE7&lt;&gt;1,X$1=""),"",SUMIFS('All Donations'!$S$2:$S$4001,'All Donations'!$R$2:$R$4001,$AD7,'All Donations'!$T$2:$T$4001,X$1))</f>
        <v/>
      </c>
      <c r="Y7" s="49">
        <f>IF(OR($AE7&lt;&gt;1,Y$1=""),"",SUMIFS('All Donations'!$S$2:$S$4001,'All Donations'!$R$2:$R$4001,$AD7,'All Donations'!$T$2:$T$4001,Y$1))</f>
        <v/>
      </c>
      <c r="Z7" s="49">
        <f>IF(OR($AE7&lt;&gt;1,Z$1=""),"",SUMIFS('All Donations'!$S$2:$S$4001,'All Donations'!$R$2:$R$4001,$AD7,'All Donations'!$T$2:$T$4001,Z$1))</f>
        <v/>
      </c>
      <c r="AA7" s="49">
        <f>IF(OR($AE7&lt;&gt;1,AA$1=""),"",SUMIFS('All Donations'!$S$2:$S$4001,'All Donations'!$R$2:$R$4001,$AD7,'All Donations'!$T$2:$T$4001,AA$1))</f>
        <v/>
      </c>
      <c r="AB7" s="49">
        <f>IF(OR($AE7&lt;&gt;1,AB$1=""),"",SUMIFS('All Donations'!$S$2:$S$4001,'All Donations'!$R$2:$R$4001,$AD7,'All Donations'!$T$2:$T$4001,AB$1))</f>
        <v/>
      </c>
      <c r="AC7" s="49">
        <f>IF(OR($AE7&lt;&gt;1,AC$1=""),"",SUMIFS('All Donations'!$S$2:$S$4001,'All Donations'!$R$2:$R$4001,$AD7,'All Donations'!$T$2:$T$4001,AC$1))</f>
        <v/>
      </c>
      <c r="AD7">
        <f>IF(AE7=1,'Roster'!A7,"")</f>
        <v/>
      </c>
      <c r="AE7">
        <f>IF(TRIM('Roster'!B7&amp;'Roster'!C7)&lt;&gt;"",1,0)</f>
        <v/>
      </c>
      <c r="AF7">
        <f>IF(AE7=1,LOWER(A7),"#")</f>
        <v/>
      </c>
      <c r="AG7">
        <f>IF(AE7=1,LOWER(TRIM(TRIM('Roster'!C7)&amp;", "&amp;TRIM('Roster'!B7))),"#")</f>
        <v/>
      </c>
      <c r="AH7">
        <f>IF(AND(AE7=1,TRIM('Roster'!F7)&lt;&gt;""),LOWER(TRIM('Roster'!F7)),"#")</f>
        <v/>
      </c>
      <c r="AI7">
        <f>IF(AE7=1,IF(MATCH(B7,$B$2:$B$701,0)=ROW()-1,1,0),0)</f>
        <v/>
      </c>
      <c r="AJ7">
        <f>AJ6+AI7</f>
        <v/>
      </c>
      <c r="AK7">
        <f>IF(AE7=1,D7+(1000-ROW())/10^7,-1)</f>
        <v/>
      </c>
      <c r="AL7">
        <f>IF(AE7=1,TRIM('Roster'!B7)&amp;" "&amp;LEFT(TRIM('Roster'!C7),1)&amp;".","")</f>
        <v/>
      </c>
      <c r="AM7">
        <f>IF(AE7=1,TRIM('Roster'!C7)&amp;", "&amp;TRIM('Roster'!B7)&amp;" ("&amp;B7&amp;") #"&amp;AD7,"")</f>
        <v/>
      </c>
      <c r="AN7">
        <f>IF(AE7=1,TRIM('Roster'!E7),"")</f>
        <v/>
      </c>
      <c r="AO7">
        <f>IF(AE7=1,ROUND(SUMIFS('All Donations'!$S$2:$S$4001,'All Donations'!$R$2:$R$4001,AD7,'All Donations'!$T$2:$T$4001,"&gt;="&amp;'Settings'!$C$23,'All Donations'!$T$2:$T$4001,"&lt;="&amp;'Settings'!$D$23),2),0)</f>
        <v/>
      </c>
      <c r="AQ7">
        <f>IF(AE7=1,ROUND(SUMIFS('All Donations'!$S$2:$S$4001,'All Donations'!$R$2:$R$4001,AD7,'All Donations'!$T$2:$T$4001,"&gt;="&amp;'Settings'!$C$25,'All Donations'!$T$2:$T$4001,"&lt;="&amp;'Settings'!$D$25),2),0)</f>
        <v/>
      </c>
      <c r="AR7">
        <f>IF(AE7=1,ROUND(SUMIFS('All Donations'!$S$2:$S$4001,'All Donations'!$R$2:$R$4001,AD7,'All Donations'!$T$2:$T$4001,"&gt;="&amp;'Settings'!$C$26,'All Donations'!$T$2:$T$4001,"&lt;="&amp;'Settings'!$D$26),2),0)</f>
        <v/>
      </c>
      <c r="AS7">
        <f>IF(AE7=1,ROUND(SUMIFS('All Donations'!$S$2:$S$4001,'All Donations'!$R$2:$R$4001,AD7,'All Donations'!$T$2:$T$4001,"&lt;="&amp;'Settings'!$D$27),2),0)</f>
        <v/>
      </c>
      <c r="AT7">
        <f>IF(AE7=1,ROUND(SUMIFS('All Donations'!$S$2:$S$4001,'All Donations'!$R$2:$R$4001,AD7,'All Donations'!$T$2:$T$4001,"&gt;="&amp;'Settings'!$C$28,'All Donations'!$T$2:$T$4001,"&lt;="&amp;'Settings'!$D$28),2),0)</f>
        <v/>
      </c>
      <c r="AU7">
        <f>IF(AE7=1,ROUND(SUMIFS('All Donations'!$S$2:$S$4001,'All Donations'!$R$2:$R$4001,AD7,'All Donations'!$T$2:$T$4001,"&gt;="&amp;'Settings'!$C$29,'All Donations'!$T$2:$T$4001,"&lt;="&amp;'Settings'!$D$29),2),0)</f>
        <v/>
      </c>
      <c r="AV7">
        <f>IF(AE7=1,ROUND(SUMIFS('All Donations'!$S$2:$S$4001,'All Donations'!$R$2:$R$4001,AD7,'All Donations'!$T$2:$T$4001,"&lt;="&amp;'Settings'!$D$30),2),0)</f>
        <v/>
      </c>
      <c r="AZ7">
        <f>IF(AE7=1,ROUND(SUMIFS('All Donations'!$S$2:$S$4001,'All Donations'!$R$2:$R$4001,AD7,'All Donations'!$T$2:$T$4001,"&lt;="&amp;'Settings'!$D$34),2),0)</f>
        <v/>
      </c>
    </row>
    <row r="8">
      <c r="A8">
        <f>IF(AE8=1,TRIM(TRIM('Roster'!B8)&amp;" "&amp;TRIM('Roster'!C8)),"")</f>
        <v/>
      </c>
      <c r="B8">
        <f>IF(AE8=1,IF(AN8="","(no teacher)",AN8&amp;" – "&amp;C8),"")</f>
        <v/>
      </c>
      <c r="C8">
        <f>IF(AE8=1,TRIM('Roster'!D8&amp;""),"")</f>
        <v/>
      </c>
      <c r="D8" s="48">
        <f>IF(AE8=1,ROUND(SUMIFS('All Donations'!$S$2:$S$4001,'All Donations'!$R$2:$R$4001,AD8),2),"")</f>
        <v/>
      </c>
      <c r="E8" s="48">
        <f>IF(AE8=1,ROUND(SUMIFS('All Donations'!$S$2:$S$4001,'All Donations'!$R$2:$R$4001,AD8,'All Donations'!$G$2:$G$4001,"OneCause"),2),"")</f>
        <v/>
      </c>
      <c r="F8" s="48">
        <f>IF(AE8=1,D8-E8,"")</f>
        <v/>
      </c>
      <c r="G8">
        <f>IF(AE8=1,COUNTIFS('All Donations'!$R$2:$R$4001,AD8,'All Donations'!$H$2:$H$4001,"OK"),"")</f>
        <v/>
      </c>
      <c r="H8">
        <f>IF(AE8&lt;&gt;1,"",IF(D8&gt;0,"Yes",""))</f>
        <v/>
      </c>
      <c r="I8" s="49">
        <f>IF(OR($AE8&lt;&gt;1,I$1=""),"",SUMIFS('All Donations'!$S$2:$S$4001,'All Donations'!$R$2:$R$4001,$AD8,'All Donations'!$T$2:$T$4001,I$1))</f>
        <v/>
      </c>
      <c r="J8" s="49">
        <f>IF(OR($AE8&lt;&gt;1,J$1=""),"",SUMIFS('All Donations'!$S$2:$S$4001,'All Donations'!$R$2:$R$4001,$AD8,'All Donations'!$T$2:$T$4001,J$1))</f>
        <v/>
      </c>
      <c r="K8" s="49">
        <f>IF(OR($AE8&lt;&gt;1,K$1=""),"",SUMIFS('All Donations'!$S$2:$S$4001,'All Donations'!$R$2:$R$4001,$AD8,'All Donations'!$T$2:$T$4001,K$1))</f>
        <v/>
      </c>
      <c r="L8" s="49">
        <f>IF(OR($AE8&lt;&gt;1,L$1=""),"",SUMIFS('All Donations'!$S$2:$S$4001,'All Donations'!$R$2:$R$4001,$AD8,'All Donations'!$T$2:$T$4001,L$1))</f>
        <v/>
      </c>
      <c r="M8" s="49">
        <f>IF(OR($AE8&lt;&gt;1,M$1=""),"",SUMIFS('All Donations'!$S$2:$S$4001,'All Donations'!$R$2:$R$4001,$AD8,'All Donations'!$T$2:$T$4001,M$1))</f>
        <v/>
      </c>
      <c r="N8" s="49">
        <f>IF(OR($AE8&lt;&gt;1,N$1=""),"",SUMIFS('All Donations'!$S$2:$S$4001,'All Donations'!$R$2:$R$4001,$AD8,'All Donations'!$T$2:$T$4001,N$1))</f>
        <v/>
      </c>
      <c r="O8" s="49">
        <f>IF(OR($AE8&lt;&gt;1,O$1=""),"",SUMIFS('All Donations'!$S$2:$S$4001,'All Donations'!$R$2:$R$4001,$AD8,'All Donations'!$T$2:$T$4001,O$1))</f>
        <v/>
      </c>
      <c r="P8" s="49">
        <f>IF(OR($AE8&lt;&gt;1,P$1=""),"",SUMIFS('All Donations'!$S$2:$S$4001,'All Donations'!$R$2:$R$4001,$AD8,'All Donations'!$T$2:$T$4001,P$1))</f>
        <v/>
      </c>
      <c r="Q8" s="49">
        <f>IF(OR($AE8&lt;&gt;1,Q$1=""),"",SUMIFS('All Donations'!$S$2:$S$4001,'All Donations'!$R$2:$R$4001,$AD8,'All Donations'!$T$2:$T$4001,Q$1))</f>
        <v/>
      </c>
      <c r="R8" s="49">
        <f>IF(OR($AE8&lt;&gt;1,R$1=""),"",SUMIFS('All Donations'!$S$2:$S$4001,'All Donations'!$R$2:$R$4001,$AD8,'All Donations'!$T$2:$T$4001,R$1))</f>
        <v/>
      </c>
      <c r="S8" s="49">
        <f>IF(OR($AE8&lt;&gt;1,S$1=""),"",SUMIFS('All Donations'!$S$2:$S$4001,'All Donations'!$R$2:$R$4001,$AD8,'All Donations'!$T$2:$T$4001,S$1))</f>
        <v/>
      </c>
      <c r="T8" s="49">
        <f>IF(OR($AE8&lt;&gt;1,T$1=""),"",SUMIFS('All Donations'!$S$2:$S$4001,'All Donations'!$R$2:$R$4001,$AD8,'All Donations'!$T$2:$T$4001,T$1))</f>
        <v/>
      </c>
      <c r="U8" s="49">
        <f>IF(OR($AE8&lt;&gt;1,U$1=""),"",SUMIFS('All Donations'!$S$2:$S$4001,'All Donations'!$R$2:$R$4001,$AD8,'All Donations'!$T$2:$T$4001,U$1))</f>
        <v/>
      </c>
      <c r="V8" s="49">
        <f>IF(OR($AE8&lt;&gt;1,V$1=""),"",SUMIFS('All Donations'!$S$2:$S$4001,'All Donations'!$R$2:$R$4001,$AD8,'All Donations'!$T$2:$T$4001,V$1))</f>
        <v/>
      </c>
      <c r="W8" s="49">
        <f>IF(OR($AE8&lt;&gt;1,W$1=""),"",SUMIFS('All Donations'!$S$2:$S$4001,'All Donations'!$R$2:$R$4001,$AD8,'All Donations'!$T$2:$T$4001,W$1))</f>
        <v/>
      </c>
      <c r="X8" s="49">
        <f>IF(OR($AE8&lt;&gt;1,X$1=""),"",SUMIFS('All Donations'!$S$2:$S$4001,'All Donations'!$R$2:$R$4001,$AD8,'All Donations'!$T$2:$T$4001,X$1))</f>
        <v/>
      </c>
      <c r="Y8" s="49">
        <f>IF(OR($AE8&lt;&gt;1,Y$1=""),"",SUMIFS('All Donations'!$S$2:$S$4001,'All Donations'!$R$2:$R$4001,$AD8,'All Donations'!$T$2:$T$4001,Y$1))</f>
        <v/>
      </c>
      <c r="Z8" s="49">
        <f>IF(OR($AE8&lt;&gt;1,Z$1=""),"",SUMIFS('All Donations'!$S$2:$S$4001,'All Donations'!$R$2:$R$4001,$AD8,'All Donations'!$T$2:$T$4001,Z$1))</f>
        <v/>
      </c>
      <c r="AA8" s="49">
        <f>IF(OR($AE8&lt;&gt;1,AA$1=""),"",SUMIFS('All Donations'!$S$2:$S$4001,'All Donations'!$R$2:$R$4001,$AD8,'All Donations'!$T$2:$T$4001,AA$1))</f>
        <v/>
      </c>
      <c r="AB8" s="49">
        <f>IF(OR($AE8&lt;&gt;1,AB$1=""),"",SUMIFS('All Donations'!$S$2:$S$4001,'All Donations'!$R$2:$R$4001,$AD8,'All Donations'!$T$2:$T$4001,AB$1))</f>
        <v/>
      </c>
      <c r="AC8" s="49">
        <f>IF(OR($AE8&lt;&gt;1,AC$1=""),"",SUMIFS('All Donations'!$S$2:$S$4001,'All Donations'!$R$2:$R$4001,$AD8,'All Donations'!$T$2:$T$4001,AC$1))</f>
        <v/>
      </c>
      <c r="AD8">
        <f>IF(AE8=1,'Roster'!A8,"")</f>
        <v/>
      </c>
      <c r="AE8">
        <f>IF(TRIM('Roster'!B8&amp;'Roster'!C8)&lt;&gt;"",1,0)</f>
        <v/>
      </c>
      <c r="AF8">
        <f>IF(AE8=1,LOWER(A8),"#")</f>
        <v/>
      </c>
      <c r="AG8">
        <f>IF(AE8=1,LOWER(TRIM(TRIM('Roster'!C8)&amp;", "&amp;TRIM('Roster'!B8))),"#")</f>
        <v/>
      </c>
      <c r="AH8">
        <f>IF(AND(AE8=1,TRIM('Roster'!F8)&lt;&gt;""),LOWER(TRIM('Roster'!F8)),"#")</f>
        <v/>
      </c>
      <c r="AI8">
        <f>IF(AE8=1,IF(MATCH(B8,$B$2:$B$701,0)=ROW()-1,1,0),0)</f>
        <v/>
      </c>
      <c r="AJ8">
        <f>AJ7+AI8</f>
        <v/>
      </c>
      <c r="AK8">
        <f>IF(AE8=1,D8+(1000-ROW())/10^7,-1)</f>
        <v/>
      </c>
      <c r="AL8">
        <f>IF(AE8=1,TRIM('Roster'!B8)&amp;" "&amp;LEFT(TRIM('Roster'!C8),1)&amp;".","")</f>
        <v/>
      </c>
      <c r="AM8">
        <f>IF(AE8=1,TRIM('Roster'!C8)&amp;", "&amp;TRIM('Roster'!B8)&amp;" ("&amp;B8&amp;") #"&amp;AD8,"")</f>
        <v/>
      </c>
      <c r="AN8">
        <f>IF(AE8=1,TRIM('Roster'!E8),"")</f>
        <v/>
      </c>
      <c r="AO8">
        <f>IF(AE8=1,ROUND(SUMIFS('All Donations'!$S$2:$S$4001,'All Donations'!$R$2:$R$4001,AD8,'All Donations'!$T$2:$T$4001,"&gt;="&amp;'Settings'!$C$23,'All Donations'!$T$2:$T$4001,"&lt;="&amp;'Settings'!$D$23),2),0)</f>
        <v/>
      </c>
      <c r="AQ8">
        <f>IF(AE8=1,ROUND(SUMIFS('All Donations'!$S$2:$S$4001,'All Donations'!$R$2:$R$4001,AD8,'All Donations'!$T$2:$T$4001,"&gt;="&amp;'Settings'!$C$25,'All Donations'!$T$2:$T$4001,"&lt;="&amp;'Settings'!$D$25),2),0)</f>
        <v/>
      </c>
      <c r="AR8">
        <f>IF(AE8=1,ROUND(SUMIFS('All Donations'!$S$2:$S$4001,'All Donations'!$R$2:$R$4001,AD8,'All Donations'!$T$2:$T$4001,"&gt;="&amp;'Settings'!$C$26,'All Donations'!$T$2:$T$4001,"&lt;="&amp;'Settings'!$D$26),2),0)</f>
        <v/>
      </c>
      <c r="AS8">
        <f>IF(AE8=1,ROUND(SUMIFS('All Donations'!$S$2:$S$4001,'All Donations'!$R$2:$R$4001,AD8,'All Donations'!$T$2:$T$4001,"&lt;="&amp;'Settings'!$D$27),2),0)</f>
        <v/>
      </c>
      <c r="AT8">
        <f>IF(AE8=1,ROUND(SUMIFS('All Donations'!$S$2:$S$4001,'All Donations'!$R$2:$R$4001,AD8,'All Donations'!$T$2:$T$4001,"&gt;="&amp;'Settings'!$C$28,'All Donations'!$T$2:$T$4001,"&lt;="&amp;'Settings'!$D$28),2),0)</f>
        <v/>
      </c>
      <c r="AU8">
        <f>IF(AE8=1,ROUND(SUMIFS('All Donations'!$S$2:$S$4001,'All Donations'!$R$2:$R$4001,AD8,'All Donations'!$T$2:$T$4001,"&gt;="&amp;'Settings'!$C$29,'All Donations'!$T$2:$T$4001,"&lt;="&amp;'Settings'!$D$29),2),0)</f>
        <v/>
      </c>
      <c r="AV8">
        <f>IF(AE8=1,ROUND(SUMIFS('All Donations'!$S$2:$S$4001,'All Donations'!$R$2:$R$4001,AD8,'All Donations'!$T$2:$T$4001,"&lt;="&amp;'Settings'!$D$30),2),0)</f>
        <v/>
      </c>
      <c r="AZ8">
        <f>IF(AE8=1,ROUND(SUMIFS('All Donations'!$S$2:$S$4001,'All Donations'!$R$2:$R$4001,AD8,'All Donations'!$T$2:$T$4001,"&lt;="&amp;'Settings'!$D$34),2),0)</f>
        <v/>
      </c>
    </row>
    <row r="9">
      <c r="A9">
        <f>IF(AE9=1,TRIM(TRIM('Roster'!B9)&amp;" "&amp;TRIM('Roster'!C9)),"")</f>
        <v/>
      </c>
      <c r="B9">
        <f>IF(AE9=1,IF(AN9="","(no teacher)",AN9&amp;" – "&amp;C9),"")</f>
        <v/>
      </c>
      <c r="C9">
        <f>IF(AE9=1,TRIM('Roster'!D9&amp;""),"")</f>
        <v/>
      </c>
      <c r="D9" s="48">
        <f>IF(AE9=1,ROUND(SUMIFS('All Donations'!$S$2:$S$4001,'All Donations'!$R$2:$R$4001,AD9),2),"")</f>
        <v/>
      </c>
      <c r="E9" s="48">
        <f>IF(AE9=1,ROUND(SUMIFS('All Donations'!$S$2:$S$4001,'All Donations'!$R$2:$R$4001,AD9,'All Donations'!$G$2:$G$4001,"OneCause"),2),"")</f>
        <v/>
      </c>
      <c r="F9" s="48">
        <f>IF(AE9=1,D9-E9,"")</f>
        <v/>
      </c>
      <c r="G9">
        <f>IF(AE9=1,COUNTIFS('All Donations'!$R$2:$R$4001,AD9,'All Donations'!$H$2:$H$4001,"OK"),"")</f>
        <v/>
      </c>
      <c r="H9">
        <f>IF(AE9&lt;&gt;1,"",IF(D9&gt;0,"Yes",""))</f>
        <v/>
      </c>
      <c r="I9" s="49">
        <f>IF(OR($AE9&lt;&gt;1,I$1=""),"",SUMIFS('All Donations'!$S$2:$S$4001,'All Donations'!$R$2:$R$4001,$AD9,'All Donations'!$T$2:$T$4001,I$1))</f>
        <v/>
      </c>
      <c r="J9" s="49">
        <f>IF(OR($AE9&lt;&gt;1,J$1=""),"",SUMIFS('All Donations'!$S$2:$S$4001,'All Donations'!$R$2:$R$4001,$AD9,'All Donations'!$T$2:$T$4001,J$1))</f>
        <v/>
      </c>
      <c r="K9" s="49">
        <f>IF(OR($AE9&lt;&gt;1,K$1=""),"",SUMIFS('All Donations'!$S$2:$S$4001,'All Donations'!$R$2:$R$4001,$AD9,'All Donations'!$T$2:$T$4001,K$1))</f>
        <v/>
      </c>
      <c r="L9" s="49">
        <f>IF(OR($AE9&lt;&gt;1,L$1=""),"",SUMIFS('All Donations'!$S$2:$S$4001,'All Donations'!$R$2:$R$4001,$AD9,'All Donations'!$T$2:$T$4001,L$1))</f>
        <v/>
      </c>
      <c r="M9" s="49">
        <f>IF(OR($AE9&lt;&gt;1,M$1=""),"",SUMIFS('All Donations'!$S$2:$S$4001,'All Donations'!$R$2:$R$4001,$AD9,'All Donations'!$T$2:$T$4001,M$1))</f>
        <v/>
      </c>
      <c r="N9" s="49">
        <f>IF(OR($AE9&lt;&gt;1,N$1=""),"",SUMIFS('All Donations'!$S$2:$S$4001,'All Donations'!$R$2:$R$4001,$AD9,'All Donations'!$T$2:$T$4001,N$1))</f>
        <v/>
      </c>
      <c r="O9" s="49">
        <f>IF(OR($AE9&lt;&gt;1,O$1=""),"",SUMIFS('All Donations'!$S$2:$S$4001,'All Donations'!$R$2:$R$4001,$AD9,'All Donations'!$T$2:$T$4001,O$1))</f>
        <v/>
      </c>
      <c r="P9" s="49">
        <f>IF(OR($AE9&lt;&gt;1,P$1=""),"",SUMIFS('All Donations'!$S$2:$S$4001,'All Donations'!$R$2:$R$4001,$AD9,'All Donations'!$T$2:$T$4001,P$1))</f>
        <v/>
      </c>
      <c r="Q9" s="49">
        <f>IF(OR($AE9&lt;&gt;1,Q$1=""),"",SUMIFS('All Donations'!$S$2:$S$4001,'All Donations'!$R$2:$R$4001,$AD9,'All Donations'!$T$2:$T$4001,Q$1))</f>
        <v/>
      </c>
      <c r="R9" s="49">
        <f>IF(OR($AE9&lt;&gt;1,R$1=""),"",SUMIFS('All Donations'!$S$2:$S$4001,'All Donations'!$R$2:$R$4001,$AD9,'All Donations'!$T$2:$T$4001,R$1))</f>
        <v/>
      </c>
      <c r="S9" s="49">
        <f>IF(OR($AE9&lt;&gt;1,S$1=""),"",SUMIFS('All Donations'!$S$2:$S$4001,'All Donations'!$R$2:$R$4001,$AD9,'All Donations'!$T$2:$T$4001,S$1))</f>
        <v/>
      </c>
      <c r="T9" s="49">
        <f>IF(OR($AE9&lt;&gt;1,T$1=""),"",SUMIFS('All Donations'!$S$2:$S$4001,'All Donations'!$R$2:$R$4001,$AD9,'All Donations'!$T$2:$T$4001,T$1))</f>
        <v/>
      </c>
      <c r="U9" s="49">
        <f>IF(OR($AE9&lt;&gt;1,U$1=""),"",SUMIFS('All Donations'!$S$2:$S$4001,'All Donations'!$R$2:$R$4001,$AD9,'All Donations'!$T$2:$T$4001,U$1))</f>
        <v/>
      </c>
      <c r="V9" s="49">
        <f>IF(OR($AE9&lt;&gt;1,V$1=""),"",SUMIFS('All Donations'!$S$2:$S$4001,'All Donations'!$R$2:$R$4001,$AD9,'All Donations'!$T$2:$T$4001,V$1))</f>
        <v/>
      </c>
      <c r="W9" s="49">
        <f>IF(OR($AE9&lt;&gt;1,W$1=""),"",SUMIFS('All Donations'!$S$2:$S$4001,'All Donations'!$R$2:$R$4001,$AD9,'All Donations'!$T$2:$T$4001,W$1))</f>
        <v/>
      </c>
      <c r="X9" s="49">
        <f>IF(OR($AE9&lt;&gt;1,X$1=""),"",SUMIFS('All Donations'!$S$2:$S$4001,'All Donations'!$R$2:$R$4001,$AD9,'All Donations'!$T$2:$T$4001,X$1))</f>
        <v/>
      </c>
      <c r="Y9" s="49">
        <f>IF(OR($AE9&lt;&gt;1,Y$1=""),"",SUMIFS('All Donations'!$S$2:$S$4001,'All Donations'!$R$2:$R$4001,$AD9,'All Donations'!$T$2:$T$4001,Y$1))</f>
        <v/>
      </c>
      <c r="Z9" s="49">
        <f>IF(OR($AE9&lt;&gt;1,Z$1=""),"",SUMIFS('All Donations'!$S$2:$S$4001,'All Donations'!$R$2:$R$4001,$AD9,'All Donations'!$T$2:$T$4001,Z$1))</f>
        <v/>
      </c>
      <c r="AA9" s="49">
        <f>IF(OR($AE9&lt;&gt;1,AA$1=""),"",SUMIFS('All Donations'!$S$2:$S$4001,'All Donations'!$R$2:$R$4001,$AD9,'All Donations'!$T$2:$T$4001,AA$1))</f>
        <v/>
      </c>
      <c r="AB9" s="49">
        <f>IF(OR($AE9&lt;&gt;1,AB$1=""),"",SUMIFS('All Donations'!$S$2:$S$4001,'All Donations'!$R$2:$R$4001,$AD9,'All Donations'!$T$2:$T$4001,AB$1))</f>
        <v/>
      </c>
      <c r="AC9" s="49">
        <f>IF(OR($AE9&lt;&gt;1,AC$1=""),"",SUMIFS('All Donations'!$S$2:$S$4001,'All Donations'!$R$2:$R$4001,$AD9,'All Donations'!$T$2:$T$4001,AC$1))</f>
        <v/>
      </c>
      <c r="AD9">
        <f>IF(AE9=1,'Roster'!A9,"")</f>
        <v/>
      </c>
      <c r="AE9">
        <f>IF(TRIM('Roster'!B9&amp;'Roster'!C9)&lt;&gt;"",1,0)</f>
        <v/>
      </c>
      <c r="AF9">
        <f>IF(AE9=1,LOWER(A9),"#")</f>
        <v/>
      </c>
      <c r="AG9">
        <f>IF(AE9=1,LOWER(TRIM(TRIM('Roster'!C9)&amp;", "&amp;TRIM('Roster'!B9))),"#")</f>
        <v/>
      </c>
      <c r="AH9">
        <f>IF(AND(AE9=1,TRIM('Roster'!F9)&lt;&gt;""),LOWER(TRIM('Roster'!F9)),"#")</f>
        <v/>
      </c>
      <c r="AI9">
        <f>IF(AE9=1,IF(MATCH(B9,$B$2:$B$701,0)=ROW()-1,1,0),0)</f>
        <v/>
      </c>
      <c r="AJ9">
        <f>AJ8+AI9</f>
        <v/>
      </c>
      <c r="AK9">
        <f>IF(AE9=1,D9+(1000-ROW())/10^7,-1)</f>
        <v/>
      </c>
      <c r="AL9">
        <f>IF(AE9=1,TRIM('Roster'!B9)&amp;" "&amp;LEFT(TRIM('Roster'!C9),1)&amp;".","")</f>
        <v/>
      </c>
      <c r="AM9">
        <f>IF(AE9=1,TRIM('Roster'!C9)&amp;", "&amp;TRIM('Roster'!B9)&amp;" ("&amp;B9&amp;") #"&amp;AD9,"")</f>
        <v/>
      </c>
      <c r="AN9">
        <f>IF(AE9=1,TRIM('Roster'!E9),"")</f>
        <v/>
      </c>
      <c r="AO9">
        <f>IF(AE9=1,ROUND(SUMIFS('All Donations'!$S$2:$S$4001,'All Donations'!$R$2:$R$4001,AD9,'All Donations'!$T$2:$T$4001,"&gt;="&amp;'Settings'!$C$23,'All Donations'!$T$2:$T$4001,"&lt;="&amp;'Settings'!$D$23),2),0)</f>
        <v/>
      </c>
      <c r="AQ9">
        <f>IF(AE9=1,ROUND(SUMIFS('All Donations'!$S$2:$S$4001,'All Donations'!$R$2:$R$4001,AD9,'All Donations'!$T$2:$T$4001,"&gt;="&amp;'Settings'!$C$25,'All Donations'!$T$2:$T$4001,"&lt;="&amp;'Settings'!$D$25),2),0)</f>
        <v/>
      </c>
      <c r="AR9">
        <f>IF(AE9=1,ROUND(SUMIFS('All Donations'!$S$2:$S$4001,'All Donations'!$R$2:$R$4001,AD9,'All Donations'!$T$2:$T$4001,"&gt;="&amp;'Settings'!$C$26,'All Donations'!$T$2:$T$4001,"&lt;="&amp;'Settings'!$D$26),2),0)</f>
        <v/>
      </c>
      <c r="AS9">
        <f>IF(AE9=1,ROUND(SUMIFS('All Donations'!$S$2:$S$4001,'All Donations'!$R$2:$R$4001,AD9,'All Donations'!$T$2:$T$4001,"&lt;="&amp;'Settings'!$D$27),2),0)</f>
        <v/>
      </c>
      <c r="AT9">
        <f>IF(AE9=1,ROUND(SUMIFS('All Donations'!$S$2:$S$4001,'All Donations'!$R$2:$R$4001,AD9,'All Donations'!$T$2:$T$4001,"&gt;="&amp;'Settings'!$C$28,'All Donations'!$T$2:$T$4001,"&lt;="&amp;'Settings'!$D$28),2),0)</f>
        <v/>
      </c>
      <c r="AU9">
        <f>IF(AE9=1,ROUND(SUMIFS('All Donations'!$S$2:$S$4001,'All Donations'!$R$2:$R$4001,AD9,'All Donations'!$T$2:$T$4001,"&gt;="&amp;'Settings'!$C$29,'All Donations'!$T$2:$T$4001,"&lt;="&amp;'Settings'!$D$29),2),0)</f>
        <v/>
      </c>
      <c r="AV9">
        <f>IF(AE9=1,ROUND(SUMIFS('All Donations'!$S$2:$S$4001,'All Donations'!$R$2:$R$4001,AD9,'All Donations'!$T$2:$T$4001,"&lt;="&amp;'Settings'!$D$30),2),0)</f>
        <v/>
      </c>
      <c r="AZ9">
        <f>IF(AE9=1,ROUND(SUMIFS('All Donations'!$S$2:$S$4001,'All Donations'!$R$2:$R$4001,AD9,'All Donations'!$T$2:$T$4001,"&lt;="&amp;'Settings'!$D$34),2),0)</f>
        <v/>
      </c>
    </row>
    <row r="10">
      <c r="A10">
        <f>IF(AE10=1,TRIM(TRIM('Roster'!B10)&amp;" "&amp;TRIM('Roster'!C10)),"")</f>
        <v/>
      </c>
      <c r="B10">
        <f>IF(AE10=1,IF(AN10="","(no teacher)",AN10&amp;" – "&amp;C10),"")</f>
        <v/>
      </c>
      <c r="C10">
        <f>IF(AE10=1,TRIM('Roster'!D10&amp;""),"")</f>
        <v/>
      </c>
      <c r="D10" s="48">
        <f>IF(AE10=1,ROUND(SUMIFS('All Donations'!$S$2:$S$4001,'All Donations'!$R$2:$R$4001,AD10),2),"")</f>
        <v/>
      </c>
      <c r="E10" s="48">
        <f>IF(AE10=1,ROUND(SUMIFS('All Donations'!$S$2:$S$4001,'All Donations'!$R$2:$R$4001,AD10,'All Donations'!$G$2:$G$4001,"OneCause"),2),"")</f>
        <v/>
      </c>
      <c r="F10" s="48">
        <f>IF(AE10=1,D10-E10,"")</f>
        <v/>
      </c>
      <c r="G10">
        <f>IF(AE10=1,COUNTIFS('All Donations'!$R$2:$R$4001,AD10,'All Donations'!$H$2:$H$4001,"OK"),"")</f>
        <v/>
      </c>
      <c r="H10">
        <f>IF(AE10&lt;&gt;1,"",IF(D10&gt;0,"Yes",""))</f>
        <v/>
      </c>
      <c r="I10" s="49">
        <f>IF(OR($AE10&lt;&gt;1,I$1=""),"",SUMIFS('All Donations'!$S$2:$S$4001,'All Donations'!$R$2:$R$4001,$AD10,'All Donations'!$T$2:$T$4001,I$1))</f>
        <v/>
      </c>
      <c r="J10" s="49">
        <f>IF(OR($AE10&lt;&gt;1,J$1=""),"",SUMIFS('All Donations'!$S$2:$S$4001,'All Donations'!$R$2:$R$4001,$AD10,'All Donations'!$T$2:$T$4001,J$1))</f>
        <v/>
      </c>
      <c r="K10" s="49">
        <f>IF(OR($AE10&lt;&gt;1,K$1=""),"",SUMIFS('All Donations'!$S$2:$S$4001,'All Donations'!$R$2:$R$4001,$AD10,'All Donations'!$T$2:$T$4001,K$1))</f>
        <v/>
      </c>
      <c r="L10" s="49">
        <f>IF(OR($AE10&lt;&gt;1,L$1=""),"",SUMIFS('All Donations'!$S$2:$S$4001,'All Donations'!$R$2:$R$4001,$AD10,'All Donations'!$T$2:$T$4001,L$1))</f>
        <v/>
      </c>
      <c r="M10" s="49">
        <f>IF(OR($AE10&lt;&gt;1,M$1=""),"",SUMIFS('All Donations'!$S$2:$S$4001,'All Donations'!$R$2:$R$4001,$AD10,'All Donations'!$T$2:$T$4001,M$1))</f>
        <v/>
      </c>
      <c r="N10" s="49">
        <f>IF(OR($AE10&lt;&gt;1,N$1=""),"",SUMIFS('All Donations'!$S$2:$S$4001,'All Donations'!$R$2:$R$4001,$AD10,'All Donations'!$T$2:$T$4001,N$1))</f>
        <v/>
      </c>
      <c r="O10" s="49">
        <f>IF(OR($AE10&lt;&gt;1,O$1=""),"",SUMIFS('All Donations'!$S$2:$S$4001,'All Donations'!$R$2:$R$4001,$AD10,'All Donations'!$T$2:$T$4001,O$1))</f>
        <v/>
      </c>
      <c r="P10" s="49">
        <f>IF(OR($AE10&lt;&gt;1,P$1=""),"",SUMIFS('All Donations'!$S$2:$S$4001,'All Donations'!$R$2:$R$4001,$AD10,'All Donations'!$T$2:$T$4001,P$1))</f>
        <v/>
      </c>
      <c r="Q10" s="49">
        <f>IF(OR($AE10&lt;&gt;1,Q$1=""),"",SUMIFS('All Donations'!$S$2:$S$4001,'All Donations'!$R$2:$R$4001,$AD10,'All Donations'!$T$2:$T$4001,Q$1))</f>
        <v/>
      </c>
      <c r="R10" s="49">
        <f>IF(OR($AE10&lt;&gt;1,R$1=""),"",SUMIFS('All Donations'!$S$2:$S$4001,'All Donations'!$R$2:$R$4001,$AD10,'All Donations'!$T$2:$T$4001,R$1))</f>
        <v/>
      </c>
      <c r="S10" s="49">
        <f>IF(OR($AE10&lt;&gt;1,S$1=""),"",SUMIFS('All Donations'!$S$2:$S$4001,'All Donations'!$R$2:$R$4001,$AD10,'All Donations'!$T$2:$T$4001,S$1))</f>
        <v/>
      </c>
      <c r="T10" s="49">
        <f>IF(OR($AE10&lt;&gt;1,T$1=""),"",SUMIFS('All Donations'!$S$2:$S$4001,'All Donations'!$R$2:$R$4001,$AD10,'All Donations'!$T$2:$T$4001,T$1))</f>
        <v/>
      </c>
      <c r="U10" s="49">
        <f>IF(OR($AE10&lt;&gt;1,U$1=""),"",SUMIFS('All Donations'!$S$2:$S$4001,'All Donations'!$R$2:$R$4001,$AD10,'All Donations'!$T$2:$T$4001,U$1))</f>
        <v/>
      </c>
      <c r="V10" s="49">
        <f>IF(OR($AE10&lt;&gt;1,V$1=""),"",SUMIFS('All Donations'!$S$2:$S$4001,'All Donations'!$R$2:$R$4001,$AD10,'All Donations'!$T$2:$T$4001,V$1))</f>
        <v/>
      </c>
      <c r="W10" s="49">
        <f>IF(OR($AE10&lt;&gt;1,W$1=""),"",SUMIFS('All Donations'!$S$2:$S$4001,'All Donations'!$R$2:$R$4001,$AD10,'All Donations'!$T$2:$T$4001,W$1))</f>
        <v/>
      </c>
      <c r="X10" s="49">
        <f>IF(OR($AE10&lt;&gt;1,X$1=""),"",SUMIFS('All Donations'!$S$2:$S$4001,'All Donations'!$R$2:$R$4001,$AD10,'All Donations'!$T$2:$T$4001,X$1))</f>
        <v/>
      </c>
      <c r="Y10" s="49">
        <f>IF(OR($AE10&lt;&gt;1,Y$1=""),"",SUMIFS('All Donations'!$S$2:$S$4001,'All Donations'!$R$2:$R$4001,$AD10,'All Donations'!$T$2:$T$4001,Y$1))</f>
        <v/>
      </c>
      <c r="Z10" s="49">
        <f>IF(OR($AE10&lt;&gt;1,Z$1=""),"",SUMIFS('All Donations'!$S$2:$S$4001,'All Donations'!$R$2:$R$4001,$AD10,'All Donations'!$T$2:$T$4001,Z$1))</f>
        <v/>
      </c>
      <c r="AA10" s="49">
        <f>IF(OR($AE10&lt;&gt;1,AA$1=""),"",SUMIFS('All Donations'!$S$2:$S$4001,'All Donations'!$R$2:$R$4001,$AD10,'All Donations'!$T$2:$T$4001,AA$1))</f>
        <v/>
      </c>
      <c r="AB10" s="49">
        <f>IF(OR($AE10&lt;&gt;1,AB$1=""),"",SUMIFS('All Donations'!$S$2:$S$4001,'All Donations'!$R$2:$R$4001,$AD10,'All Donations'!$T$2:$T$4001,AB$1))</f>
        <v/>
      </c>
      <c r="AC10" s="49">
        <f>IF(OR($AE10&lt;&gt;1,AC$1=""),"",SUMIFS('All Donations'!$S$2:$S$4001,'All Donations'!$R$2:$R$4001,$AD10,'All Donations'!$T$2:$T$4001,AC$1))</f>
        <v/>
      </c>
      <c r="AD10">
        <f>IF(AE10=1,'Roster'!A10,"")</f>
        <v/>
      </c>
      <c r="AE10">
        <f>IF(TRIM('Roster'!B10&amp;'Roster'!C10)&lt;&gt;"",1,0)</f>
        <v/>
      </c>
      <c r="AF10">
        <f>IF(AE10=1,LOWER(A10),"#")</f>
        <v/>
      </c>
      <c r="AG10">
        <f>IF(AE10=1,LOWER(TRIM(TRIM('Roster'!C10)&amp;", "&amp;TRIM('Roster'!B10))),"#")</f>
        <v/>
      </c>
      <c r="AH10">
        <f>IF(AND(AE10=1,TRIM('Roster'!F10)&lt;&gt;""),LOWER(TRIM('Roster'!F10)),"#")</f>
        <v/>
      </c>
      <c r="AI10">
        <f>IF(AE10=1,IF(MATCH(B10,$B$2:$B$701,0)=ROW()-1,1,0),0)</f>
        <v/>
      </c>
      <c r="AJ10">
        <f>AJ9+AI10</f>
        <v/>
      </c>
      <c r="AK10">
        <f>IF(AE10=1,D10+(1000-ROW())/10^7,-1)</f>
        <v/>
      </c>
      <c r="AL10">
        <f>IF(AE10=1,TRIM('Roster'!B10)&amp;" "&amp;LEFT(TRIM('Roster'!C10),1)&amp;".","")</f>
        <v/>
      </c>
      <c r="AM10">
        <f>IF(AE10=1,TRIM('Roster'!C10)&amp;", "&amp;TRIM('Roster'!B10)&amp;" ("&amp;B10&amp;") #"&amp;AD10,"")</f>
        <v/>
      </c>
      <c r="AN10">
        <f>IF(AE10=1,TRIM('Roster'!E10),"")</f>
        <v/>
      </c>
      <c r="AO10">
        <f>IF(AE10=1,ROUND(SUMIFS('All Donations'!$S$2:$S$4001,'All Donations'!$R$2:$R$4001,AD10,'All Donations'!$T$2:$T$4001,"&gt;="&amp;'Settings'!$C$23,'All Donations'!$T$2:$T$4001,"&lt;="&amp;'Settings'!$D$23),2),0)</f>
        <v/>
      </c>
      <c r="AQ10">
        <f>IF(AE10=1,ROUND(SUMIFS('All Donations'!$S$2:$S$4001,'All Donations'!$R$2:$R$4001,AD10,'All Donations'!$T$2:$T$4001,"&gt;="&amp;'Settings'!$C$25,'All Donations'!$T$2:$T$4001,"&lt;="&amp;'Settings'!$D$25),2),0)</f>
        <v/>
      </c>
      <c r="AR10">
        <f>IF(AE10=1,ROUND(SUMIFS('All Donations'!$S$2:$S$4001,'All Donations'!$R$2:$R$4001,AD10,'All Donations'!$T$2:$T$4001,"&gt;="&amp;'Settings'!$C$26,'All Donations'!$T$2:$T$4001,"&lt;="&amp;'Settings'!$D$26),2),0)</f>
        <v/>
      </c>
      <c r="AS10">
        <f>IF(AE10=1,ROUND(SUMIFS('All Donations'!$S$2:$S$4001,'All Donations'!$R$2:$R$4001,AD10,'All Donations'!$T$2:$T$4001,"&lt;="&amp;'Settings'!$D$27),2),0)</f>
        <v/>
      </c>
      <c r="AT10">
        <f>IF(AE10=1,ROUND(SUMIFS('All Donations'!$S$2:$S$4001,'All Donations'!$R$2:$R$4001,AD10,'All Donations'!$T$2:$T$4001,"&gt;="&amp;'Settings'!$C$28,'All Donations'!$T$2:$T$4001,"&lt;="&amp;'Settings'!$D$28),2),0)</f>
        <v/>
      </c>
      <c r="AU10">
        <f>IF(AE10=1,ROUND(SUMIFS('All Donations'!$S$2:$S$4001,'All Donations'!$R$2:$R$4001,AD10,'All Donations'!$T$2:$T$4001,"&gt;="&amp;'Settings'!$C$29,'All Donations'!$T$2:$T$4001,"&lt;="&amp;'Settings'!$D$29),2),0)</f>
        <v/>
      </c>
      <c r="AV10">
        <f>IF(AE10=1,ROUND(SUMIFS('All Donations'!$S$2:$S$4001,'All Donations'!$R$2:$R$4001,AD10,'All Donations'!$T$2:$T$4001,"&lt;="&amp;'Settings'!$D$30),2),0)</f>
        <v/>
      </c>
      <c r="AZ10">
        <f>IF(AE10=1,ROUND(SUMIFS('All Donations'!$S$2:$S$4001,'All Donations'!$R$2:$R$4001,AD10,'All Donations'!$T$2:$T$4001,"&lt;="&amp;'Settings'!$D$34),2),0)</f>
        <v/>
      </c>
    </row>
    <row r="11">
      <c r="A11">
        <f>IF(AE11=1,TRIM(TRIM('Roster'!B11)&amp;" "&amp;TRIM('Roster'!C11)),"")</f>
        <v/>
      </c>
      <c r="B11">
        <f>IF(AE11=1,IF(AN11="","(no teacher)",AN11&amp;" – "&amp;C11),"")</f>
        <v/>
      </c>
      <c r="C11">
        <f>IF(AE11=1,TRIM('Roster'!D11&amp;""),"")</f>
        <v/>
      </c>
      <c r="D11" s="48">
        <f>IF(AE11=1,ROUND(SUMIFS('All Donations'!$S$2:$S$4001,'All Donations'!$R$2:$R$4001,AD11),2),"")</f>
        <v/>
      </c>
      <c r="E11" s="48">
        <f>IF(AE11=1,ROUND(SUMIFS('All Donations'!$S$2:$S$4001,'All Donations'!$R$2:$R$4001,AD11,'All Donations'!$G$2:$G$4001,"OneCause"),2),"")</f>
        <v/>
      </c>
      <c r="F11" s="48">
        <f>IF(AE11=1,D11-E11,"")</f>
        <v/>
      </c>
      <c r="G11">
        <f>IF(AE11=1,COUNTIFS('All Donations'!$R$2:$R$4001,AD11,'All Donations'!$H$2:$H$4001,"OK"),"")</f>
        <v/>
      </c>
      <c r="H11">
        <f>IF(AE11&lt;&gt;1,"",IF(D11&gt;0,"Yes",""))</f>
        <v/>
      </c>
      <c r="I11" s="49">
        <f>IF(OR($AE11&lt;&gt;1,I$1=""),"",SUMIFS('All Donations'!$S$2:$S$4001,'All Donations'!$R$2:$R$4001,$AD11,'All Donations'!$T$2:$T$4001,I$1))</f>
        <v/>
      </c>
      <c r="J11" s="49">
        <f>IF(OR($AE11&lt;&gt;1,J$1=""),"",SUMIFS('All Donations'!$S$2:$S$4001,'All Donations'!$R$2:$R$4001,$AD11,'All Donations'!$T$2:$T$4001,J$1))</f>
        <v/>
      </c>
      <c r="K11" s="49">
        <f>IF(OR($AE11&lt;&gt;1,K$1=""),"",SUMIFS('All Donations'!$S$2:$S$4001,'All Donations'!$R$2:$R$4001,$AD11,'All Donations'!$T$2:$T$4001,K$1))</f>
        <v/>
      </c>
      <c r="L11" s="49">
        <f>IF(OR($AE11&lt;&gt;1,L$1=""),"",SUMIFS('All Donations'!$S$2:$S$4001,'All Donations'!$R$2:$R$4001,$AD11,'All Donations'!$T$2:$T$4001,L$1))</f>
        <v/>
      </c>
      <c r="M11" s="49">
        <f>IF(OR($AE11&lt;&gt;1,M$1=""),"",SUMIFS('All Donations'!$S$2:$S$4001,'All Donations'!$R$2:$R$4001,$AD11,'All Donations'!$T$2:$T$4001,M$1))</f>
        <v/>
      </c>
      <c r="N11" s="49">
        <f>IF(OR($AE11&lt;&gt;1,N$1=""),"",SUMIFS('All Donations'!$S$2:$S$4001,'All Donations'!$R$2:$R$4001,$AD11,'All Donations'!$T$2:$T$4001,N$1))</f>
        <v/>
      </c>
      <c r="O11" s="49">
        <f>IF(OR($AE11&lt;&gt;1,O$1=""),"",SUMIFS('All Donations'!$S$2:$S$4001,'All Donations'!$R$2:$R$4001,$AD11,'All Donations'!$T$2:$T$4001,O$1))</f>
        <v/>
      </c>
      <c r="P11" s="49">
        <f>IF(OR($AE11&lt;&gt;1,P$1=""),"",SUMIFS('All Donations'!$S$2:$S$4001,'All Donations'!$R$2:$R$4001,$AD11,'All Donations'!$T$2:$T$4001,P$1))</f>
        <v/>
      </c>
      <c r="Q11" s="49">
        <f>IF(OR($AE11&lt;&gt;1,Q$1=""),"",SUMIFS('All Donations'!$S$2:$S$4001,'All Donations'!$R$2:$R$4001,$AD11,'All Donations'!$T$2:$T$4001,Q$1))</f>
        <v/>
      </c>
      <c r="R11" s="49">
        <f>IF(OR($AE11&lt;&gt;1,R$1=""),"",SUMIFS('All Donations'!$S$2:$S$4001,'All Donations'!$R$2:$R$4001,$AD11,'All Donations'!$T$2:$T$4001,R$1))</f>
        <v/>
      </c>
      <c r="S11" s="49">
        <f>IF(OR($AE11&lt;&gt;1,S$1=""),"",SUMIFS('All Donations'!$S$2:$S$4001,'All Donations'!$R$2:$R$4001,$AD11,'All Donations'!$T$2:$T$4001,S$1))</f>
        <v/>
      </c>
      <c r="T11" s="49">
        <f>IF(OR($AE11&lt;&gt;1,T$1=""),"",SUMIFS('All Donations'!$S$2:$S$4001,'All Donations'!$R$2:$R$4001,$AD11,'All Donations'!$T$2:$T$4001,T$1))</f>
        <v/>
      </c>
      <c r="U11" s="49">
        <f>IF(OR($AE11&lt;&gt;1,U$1=""),"",SUMIFS('All Donations'!$S$2:$S$4001,'All Donations'!$R$2:$R$4001,$AD11,'All Donations'!$T$2:$T$4001,U$1))</f>
        <v/>
      </c>
      <c r="V11" s="49">
        <f>IF(OR($AE11&lt;&gt;1,V$1=""),"",SUMIFS('All Donations'!$S$2:$S$4001,'All Donations'!$R$2:$R$4001,$AD11,'All Donations'!$T$2:$T$4001,V$1))</f>
        <v/>
      </c>
      <c r="W11" s="49">
        <f>IF(OR($AE11&lt;&gt;1,W$1=""),"",SUMIFS('All Donations'!$S$2:$S$4001,'All Donations'!$R$2:$R$4001,$AD11,'All Donations'!$T$2:$T$4001,W$1))</f>
        <v/>
      </c>
      <c r="X11" s="49">
        <f>IF(OR($AE11&lt;&gt;1,X$1=""),"",SUMIFS('All Donations'!$S$2:$S$4001,'All Donations'!$R$2:$R$4001,$AD11,'All Donations'!$T$2:$T$4001,X$1))</f>
        <v/>
      </c>
      <c r="Y11" s="49">
        <f>IF(OR($AE11&lt;&gt;1,Y$1=""),"",SUMIFS('All Donations'!$S$2:$S$4001,'All Donations'!$R$2:$R$4001,$AD11,'All Donations'!$T$2:$T$4001,Y$1))</f>
        <v/>
      </c>
      <c r="Z11" s="49">
        <f>IF(OR($AE11&lt;&gt;1,Z$1=""),"",SUMIFS('All Donations'!$S$2:$S$4001,'All Donations'!$R$2:$R$4001,$AD11,'All Donations'!$T$2:$T$4001,Z$1))</f>
        <v/>
      </c>
      <c r="AA11" s="49">
        <f>IF(OR($AE11&lt;&gt;1,AA$1=""),"",SUMIFS('All Donations'!$S$2:$S$4001,'All Donations'!$R$2:$R$4001,$AD11,'All Donations'!$T$2:$T$4001,AA$1))</f>
        <v/>
      </c>
      <c r="AB11" s="49">
        <f>IF(OR($AE11&lt;&gt;1,AB$1=""),"",SUMIFS('All Donations'!$S$2:$S$4001,'All Donations'!$R$2:$R$4001,$AD11,'All Donations'!$T$2:$T$4001,AB$1))</f>
        <v/>
      </c>
      <c r="AC11" s="49">
        <f>IF(OR($AE11&lt;&gt;1,AC$1=""),"",SUMIFS('All Donations'!$S$2:$S$4001,'All Donations'!$R$2:$R$4001,$AD11,'All Donations'!$T$2:$T$4001,AC$1))</f>
        <v/>
      </c>
      <c r="AD11">
        <f>IF(AE11=1,'Roster'!A11,"")</f>
        <v/>
      </c>
      <c r="AE11">
        <f>IF(TRIM('Roster'!B11&amp;'Roster'!C11)&lt;&gt;"",1,0)</f>
        <v/>
      </c>
      <c r="AF11">
        <f>IF(AE11=1,LOWER(A11),"#")</f>
        <v/>
      </c>
      <c r="AG11">
        <f>IF(AE11=1,LOWER(TRIM(TRIM('Roster'!C11)&amp;", "&amp;TRIM('Roster'!B11))),"#")</f>
        <v/>
      </c>
      <c r="AH11">
        <f>IF(AND(AE11=1,TRIM('Roster'!F11)&lt;&gt;""),LOWER(TRIM('Roster'!F11)),"#")</f>
        <v/>
      </c>
      <c r="AI11">
        <f>IF(AE11=1,IF(MATCH(B11,$B$2:$B$701,0)=ROW()-1,1,0),0)</f>
        <v/>
      </c>
      <c r="AJ11">
        <f>AJ10+AI11</f>
        <v/>
      </c>
      <c r="AK11">
        <f>IF(AE11=1,D11+(1000-ROW())/10^7,-1)</f>
        <v/>
      </c>
      <c r="AL11">
        <f>IF(AE11=1,TRIM('Roster'!B11)&amp;" "&amp;LEFT(TRIM('Roster'!C11),1)&amp;".","")</f>
        <v/>
      </c>
      <c r="AM11">
        <f>IF(AE11=1,TRIM('Roster'!C11)&amp;", "&amp;TRIM('Roster'!B11)&amp;" ("&amp;B11&amp;") #"&amp;AD11,"")</f>
        <v/>
      </c>
      <c r="AN11">
        <f>IF(AE11=1,TRIM('Roster'!E11),"")</f>
        <v/>
      </c>
      <c r="AO11">
        <f>IF(AE11=1,ROUND(SUMIFS('All Donations'!$S$2:$S$4001,'All Donations'!$R$2:$R$4001,AD11,'All Donations'!$T$2:$T$4001,"&gt;="&amp;'Settings'!$C$23,'All Donations'!$T$2:$T$4001,"&lt;="&amp;'Settings'!$D$23),2),0)</f>
        <v/>
      </c>
      <c r="AQ11">
        <f>IF(AE11=1,ROUND(SUMIFS('All Donations'!$S$2:$S$4001,'All Donations'!$R$2:$R$4001,AD11,'All Donations'!$T$2:$T$4001,"&gt;="&amp;'Settings'!$C$25,'All Donations'!$T$2:$T$4001,"&lt;="&amp;'Settings'!$D$25),2),0)</f>
        <v/>
      </c>
      <c r="AR11">
        <f>IF(AE11=1,ROUND(SUMIFS('All Donations'!$S$2:$S$4001,'All Donations'!$R$2:$R$4001,AD11,'All Donations'!$T$2:$T$4001,"&gt;="&amp;'Settings'!$C$26,'All Donations'!$T$2:$T$4001,"&lt;="&amp;'Settings'!$D$26),2),0)</f>
        <v/>
      </c>
      <c r="AS11">
        <f>IF(AE11=1,ROUND(SUMIFS('All Donations'!$S$2:$S$4001,'All Donations'!$R$2:$R$4001,AD11,'All Donations'!$T$2:$T$4001,"&lt;="&amp;'Settings'!$D$27),2),0)</f>
        <v/>
      </c>
      <c r="AT11">
        <f>IF(AE11=1,ROUND(SUMIFS('All Donations'!$S$2:$S$4001,'All Donations'!$R$2:$R$4001,AD11,'All Donations'!$T$2:$T$4001,"&gt;="&amp;'Settings'!$C$28,'All Donations'!$T$2:$T$4001,"&lt;="&amp;'Settings'!$D$28),2),0)</f>
        <v/>
      </c>
      <c r="AU11">
        <f>IF(AE11=1,ROUND(SUMIFS('All Donations'!$S$2:$S$4001,'All Donations'!$R$2:$R$4001,AD11,'All Donations'!$T$2:$T$4001,"&gt;="&amp;'Settings'!$C$29,'All Donations'!$T$2:$T$4001,"&lt;="&amp;'Settings'!$D$29),2),0)</f>
        <v/>
      </c>
      <c r="AV11">
        <f>IF(AE11=1,ROUND(SUMIFS('All Donations'!$S$2:$S$4001,'All Donations'!$R$2:$R$4001,AD11,'All Donations'!$T$2:$T$4001,"&lt;="&amp;'Settings'!$D$30),2),0)</f>
        <v/>
      </c>
      <c r="AZ11">
        <f>IF(AE11=1,ROUND(SUMIFS('All Donations'!$S$2:$S$4001,'All Donations'!$R$2:$R$4001,AD11,'All Donations'!$T$2:$T$4001,"&lt;="&amp;'Settings'!$D$34),2),0)</f>
        <v/>
      </c>
    </row>
    <row r="12">
      <c r="A12">
        <f>IF(AE12=1,TRIM(TRIM('Roster'!B12)&amp;" "&amp;TRIM('Roster'!C12)),"")</f>
        <v/>
      </c>
      <c r="B12">
        <f>IF(AE12=1,IF(AN12="","(no teacher)",AN12&amp;" – "&amp;C12),"")</f>
        <v/>
      </c>
      <c r="C12">
        <f>IF(AE12=1,TRIM('Roster'!D12&amp;""),"")</f>
        <v/>
      </c>
      <c r="D12" s="48">
        <f>IF(AE12=1,ROUND(SUMIFS('All Donations'!$S$2:$S$4001,'All Donations'!$R$2:$R$4001,AD12),2),"")</f>
        <v/>
      </c>
      <c r="E12" s="48">
        <f>IF(AE12=1,ROUND(SUMIFS('All Donations'!$S$2:$S$4001,'All Donations'!$R$2:$R$4001,AD12,'All Donations'!$G$2:$G$4001,"OneCause"),2),"")</f>
        <v/>
      </c>
      <c r="F12" s="48">
        <f>IF(AE12=1,D12-E12,"")</f>
        <v/>
      </c>
      <c r="G12">
        <f>IF(AE12=1,COUNTIFS('All Donations'!$R$2:$R$4001,AD12,'All Donations'!$H$2:$H$4001,"OK"),"")</f>
        <v/>
      </c>
      <c r="H12">
        <f>IF(AE12&lt;&gt;1,"",IF(D12&gt;0,"Yes",""))</f>
        <v/>
      </c>
      <c r="I12" s="49">
        <f>IF(OR($AE12&lt;&gt;1,I$1=""),"",SUMIFS('All Donations'!$S$2:$S$4001,'All Donations'!$R$2:$R$4001,$AD12,'All Donations'!$T$2:$T$4001,I$1))</f>
        <v/>
      </c>
      <c r="J12" s="49">
        <f>IF(OR($AE12&lt;&gt;1,J$1=""),"",SUMIFS('All Donations'!$S$2:$S$4001,'All Donations'!$R$2:$R$4001,$AD12,'All Donations'!$T$2:$T$4001,J$1))</f>
        <v/>
      </c>
      <c r="K12" s="49">
        <f>IF(OR($AE12&lt;&gt;1,K$1=""),"",SUMIFS('All Donations'!$S$2:$S$4001,'All Donations'!$R$2:$R$4001,$AD12,'All Donations'!$T$2:$T$4001,K$1))</f>
        <v/>
      </c>
      <c r="L12" s="49">
        <f>IF(OR($AE12&lt;&gt;1,L$1=""),"",SUMIFS('All Donations'!$S$2:$S$4001,'All Donations'!$R$2:$R$4001,$AD12,'All Donations'!$T$2:$T$4001,L$1))</f>
        <v/>
      </c>
      <c r="M12" s="49">
        <f>IF(OR($AE12&lt;&gt;1,M$1=""),"",SUMIFS('All Donations'!$S$2:$S$4001,'All Donations'!$R$2:$R$4001,$AD12,'All Donations'!$T$2:$T$4001,M$1))</f>
        <v/>
      </c>
      <c r="N12" s="49">
        <f>IF(OR($AE12&lt;&gt;1,N$1=""),"",SUMIFS('All Donations'!$S$2:$S$4001,'All Donations'!$R$2:$R$4001,$AD12,'All Donations'!$T$2:$T$4001,N$1))</f>
        <v/>
      </c>
      <c r="O12" s="49">
        <f>IF(OR($AE12&lt;&gt;1,O$1=""),"",SUMIFS('All Donations'!$S$2:$S$4001,'All Donations'!$R$2:$R$4001,$AD12,'All Donations'!$T$2:$T$4001,O$1))</f>
        <v/>
      </c>
      <c r="P12" s="49">
        <f>IF(OR($AE12&lt;&gt;1,P$1=""),"",SUMIFS('All Donations'!$S$2:$S$4001,'All Donations'!$R$2:$R$4001,$AD12,'All Donations'!$T$2:$T$4001,P$1))</f>
        <v/>
      </c>
      <c r="Q12" s="49">
        <f>IF(OR($AE12&lt;&gt;1,Q$1=""),"",SUMIFS('All Donations'!$S$2:$S$4001,'All Donations'!$R$2:$R$4001,$AD12,'All Donations'!$T$2:$T$4001,Q$1))</f>
        <v/>
      </c>
      <c r="R12" s="49">
        <f>IF(OR($AE12&lt;&gt;1,R$1=""),"",SUMIFS('All Donations'!$S$2:$S$4001,'All Donations'!$R$2:$R$4001,$AD12,'All Donations'!$T$2:$T$4001,R$1))</f>
        <v/>
      </c>
      <c r="S12" s="49">
        <f>IF(OR($AE12&lt;&gt;1,S$1=""),"",SUMIFS('All Donations'!$S$2:$S$4001,'All Donations'!$R$2:$R$4001,$AD12,'All Donations'!$T$2:$T$4001,S$1))</f>
        <v/>
      </c>
      <c r="T12" s="49">
        <f>IF(OR($AE12&lt;&gt;1,T$1=""),"",SUMIFS('All Donations'!$S$2:$S$4001,'All Donations'!$R$2:$R$4001,$AD12,'All Donations'!$T$2:$T$4001,T$1))</f>
        <v/>
      </c>
      <c r="U12" s="49">
        <f>IF(OR($AE12&lt;&gt;1,U$1=""),"",SUMIFS('All Donations'!$S$2:$S$4001,'All Donations'!$R$2:$R$4001,$AD12,'All Donations'!$T$2:$T$4001,U$1))</f>
        <v/>
      </c>
      <c r="V12" s="49">
        <f>IF(OR($AE12&lt;&gt;1,V$1=""),"",SUMIFS('All Donations'!$S$2:$S$4001,'All Donations'!$R$2:$R$4001,$AD12,'All Donations'!$T$2:$T$4001,V$1))</f>
        <v/>
      </c>
      <c r="W12" s="49">
        <f>IF(OR($AE12&lt;&gt;1,W$1=""),"",SUMIFS('All Donations'!$S$2:$S$4001,'All Donations'!$R$2:$R$4001,$AD12,'All Donations'!$T$2:$T$4001,W$1))</f>
        <v/>
      </c>
      <c r="X12" s="49">
        <f>IF(OR($AE12&lt;&gt;1,X$1=""),"",SUMIFS('All Donations'!$S$2:$S$4001,'All Donations'!$R$2:$R$4001,$AD12,'All Donations'!$T$2:$T$4001,X$1))</f>
        <v/>
      </c>
      <c r="Y12" s="49">
        <f>IF(OR($AE12&lt;&gt;1,Y$1=""),"",SUMIFS('All Donations'!$S$2:$S$4001,'All Donations'!$R$2:$R$4001,$AD12,'All Donations'!$T$2:$T$4001,Y$1))</f>
        <v/>
      </c>
      <c r="Z12" s="49">
        <f>IF(OR($AE12&lt;&gt;1,Z$1=""),"",SUMIFS('All Donations'!$S$2:$S$4001,'All Donations'!$R$2:$R$4001,$AD12,'All Donations'!$T$2:$T$4001,Z$1))</f>
        <v/>
      </c>
      <c r="AA12" s="49">
        <f>IF(OR($AE12&lt;&gt;1,AA$1=""),"",SUMIFS('All Donations'!$S$2:$S$4001,'All Donations'!$R$2:$R$4001,$AD12,'All Donations'!$T$2:$T$4001,AA$1))</f>
        <v/>
      </c>
      <c r="AB12" s="49">
        <f>IF(OR($AE12&lt;&gt;1,AB$1=""),"",SUMIFS('All Donations'!$S$2:$S$4001,'All Donations'!$R$2:$R$4001,$AD12,'All Donations'!$T$2:$T$4001,AB$1))</f>
        <v/>
      </c>
      <c r="AC12" s="49">
        <f>IF(OR($AE12&lt;&gt;1,AC$1=""),"",SUMIFS('All Donations'!$S$2:$S$4001,'All Donations'!$R$2:$R$4001,$AD12,'All Donations'!$T$2:$T$4001,AC$1))</f>
        <v/>
      </c>
      <c r="AD12">
        <f>IF(AE12=1,'Roster'!A12,"")</f>
        <v/>
      </c>
      <c r="AE12">
        <f>IF(TRIM('Roster'!B12&amp;'Roster'!C12)&lt;&gt;"",1,0)</f>
        <v/>
      </c>
      <c r="AF12">
        <f>IF(AE12=1,LOWER(A12),"#")</f>
        <v/>
      </c>
      <c r="AG12">
        <f>IF(AE12=1,LOWER(TRIM(TRIM('Roster'!C12)&amp;", "&amp;TRIM('Roster'!B12))),"#")</f>
        <v/>
      </c>
      <c r="AH12">
        <f>IF(AND(AE12=1,TRIM('Roster'!F12)&lt;&gt;""),LOWER(TRIM('Roster'!F12)),"#")</f>
        <v/>
      </c>
      <c r="AI12">
        <f>IF(AE12=1,IF(MATCH(B12,$B$2:$B$701,0)=ROW()-1,1,0),0)</f>
        <v/>
      </c>
      <c r="AJ12">
        <f>AJ11+AI12</f>
        <v/>
      </c>
      <c r="AK12">
        <f>IF(AE12=1,D12+(1000-ROW())/10^7,-1)</f>
        <v/>
      </c>
      <c r="AL12">
        <f>IF(AE12=1,TRIM('Roster'!B12)&amp;" "&amp;LEFT(TRIM('Roster'!C12),1)&amp;".","")</f>
        <v/>
      </c>
      <c r="AM12">
        <f>IF(AE12=1,TRIM('Roster'!C12)&amp;", "&amp;TRIM('Roster'!B12)&amp;" ("&amp;B12&amp;") #"&amp;AD12,"")</f>
        <v/>
      </c>
      <c r="AN12">
        <f>IF(AE12=1,TRIM('Roster'!E12),"")</f>
        <v/>
      </c>
      <c r="AO12">
        <f>IF(AE12=1,ROUND(SUMIFS('All Donations'!$S$2:$S$4001,'All Donations'!$R$2:$R$4001,AD12,'All Donations'!$T$2:$T$4001,"&gt;="&amp;'Settings'!$C$23,'All Donations'!$T$2:$T$4001,"&lt;="&amp;'Settings'!$D$23),2),0)</f>
        <v/>
      </c>
      <c r="AQ12">
        <f>IF(AE12=1,ROUND(SUMIFS('All Donations'!$S$2:$S$4001,'All Donations'!$R$2:$R$4001,AD12,'All Donations'!$T$2:$T$4001,"&gt;="&amp;'Settings'!$C$25,'All Donations'!$T$2:$T$4001,"&lt;="&amp;'Settings'!$D$25),2),0)</f>
        <v/>
      </c>
      <c r="AR12">
        <f>IF(AE12=1,ROUND(SUMIFS('All Donations'!$S$2:$S$4001,'All Donations'!$R$2:$R$4001,AD12,'All Donations'!$T$2:$T$4001,"&gt;="&amp;'Settings'!$C$26,'All Donations'!$T$2:$T$4001,"&lt;="&amp;'Settings'!$D$26),2),0)</f>
        <v/>
      </c>
      <c r="AS12">
        <f>IF(AE12=1,ROUND(SUMIFS('All Donations'!$S$2:$S$4001,'All Donations'!$R$2:$R$4001,AD12,'All Donations'!$T$2:$T$4001,"&lt;="&amp;'Settings'!$D$27),2),0)</f>
        <v/>
      </c>
      <c r="AT12">
        <f>IF(AE12=1,ROUND(SUMIFS('All Donations'!$S$2:$S$4001,'All Donations'!$R$2:$R$4001,AD12,'All Donations'!$T$2:$T$4001,"&gt;="&amp;'Settings'!$C$28,'All Donations'!$T$2:$T$4001,"&lt;="&amp;'Settings'!$D$28),2),0)</f>
        <v/>
      </c>
      <c r="AU12">
        <f>IF(AE12=1,ROUND(SUMIFS('All Donations'!$S$2:$S$4001,'All Donations'!$R$2:$R$4001,AD12,'All Donations'!$T$2:$T$4001,"&gt;="&amp;'Settings'!$C$29,'All Donations'!$T$2:$T$4001,"&lt;="&amp;'Settings'!$D$29),2),0)</f>
        <v/>
      </c>
      <c r="AV12">
        <f>IF(AE12=1,ROUND(SUMIFS('All Donations'!$S$2:$S$4001,'All Donations'!$R$2:$R$4001,AD12,'All Donations'!$T$2:$T$4001,"&lt;="&amp;'Settings'!$D$30),2),0)</f>
        <v/>
      </c>
      <c r="AZ12">
        <f>IF(AE12=1,ROUND(SUMIFS('All Donations'!$S$2:$S$4001,'All Donations'!$R$2:$R$4001,AD12,'All Donations'!$T$2:$T$4001,"&lt;="&amp;'Settings'!$D$34),2),0)</f>
        <v/>
      </c>
    </row>
    <row r="13">
      <c r="A13">
        <f>IF(AE13=1,TRIM(TRIM('Roster'!B13)&amp;" "&amp;TRIM('Roster'!C13)),"")</f>
        <v/>
      </c>
      <c r="B13">
        <f>IF(AE13=1,IF(AN13="","(no teacher)",AN13&amp;" – "&amp;C13),"")</f>
        <v/>
      </c>
      <c r="C13">
        <f>IF(AE13=1,TRIM('Roster'!D13&amp;""),"")</f>
        <v/>
      </c>
      <c r="D13" s="48">
        <f>IF(AE13=1,ROUND(SUMIFS('All Donations'!$S$2:$S$4001,'All Donations'!$R$2:$R$4001,AD13),2),"")</f>
        <v/>
      </c>
      <c r="E13" s="48">
        <f>IF(AE13=1,ROUND(SUMIFS('All Donations'!$S$2:$S$4001,'All Donations'!$R$2:$R$4001,AD13,'All Donations'!$G$2:$G$4001,"OneCause"),2),"")</f>
        <v/>
      </c>
      <c r="F13" s="48">
        <f>IF(AE13=1,D13-E13,"")</f>
        <v/>
      </c>
      <c r="G13">
        <f>IF(AE13=1,COUNTIFS('All Donations'!$R$2:$R$4001,AD13,'All Donations'!$H$2:$H$4001,"OK"),"")</f>
        <v/>
      </c>
      <c r="H13">
        <f>IF(AE13&lt;&gt;1,"",IF(D13&gt;0,"Yes",""))</f>
        <v/>
      </c>
      <c r="I13" s="49">
        <f>IF(OR($AE13&lt;&gt;1,I$1=""),"",SUMIFS('All Donations'!$S$2:$S$4001,'All Donations'!$R$2:$R$4001,$AD13,'All Donations'!$T$2:$T$4001,I$1))</f>
        <v/>
      </c>
      <c r="J13" s="49">
        <f>IF(OR($AE13&lt;&gt;1,J$1=""),"",SUMIFS('All Donations'!$S$2:$S$4001,'All Donations'!$R$2:$R$4001,$AD13,'All Donations'!$T$2:$T$4001,J$1))</f>
        <v/>
      </c>
      <c r="K13" s="49">
        <f>IF(OR($AE13&lt;&gt;1,K$1=""),"",SUMIFS('All Donations'!$S$2:$S$4001,'All Donations'!$R$2:$R$4001,$AD13,'All Donations'!$T$2:$T$4001,K$1))</f>
        <v/>
      </c>
      <c r="L13" s="49">
        <f>IF(OR($AE13&lt;&gt;1,L$1=""),"",SUMIFS('All Donations'!$S$2:$S$4001,'All Donations'!$R$2:$R$4001,$AD13,'All Donations'!$T$2:$T$4001,L$1))</f>
        <v/>
      </c>
      <c r="M13" s="49">
        <f>IF(OR($AE13&lt;&gt;1,M$1=""),"",SUMIFS('All Donations'!$S$2:$S$4001,'All Donations'!$R$2:$R$4001,$AD13,'All Donations'!$T$2:$T$4001,M$1))</f>
        <v/>
      </c>
      <c r="N13" s="49">
        <f>IF(OR($AE13&lt;&gt;1,N$1=""),"",SUMIFS('All Donations'!$S$2:$S$4001,'All Donations'!$R$2:$R$4001,$AD13,'All Donations'!$T$2:$T$4001,N$1))</f>
        <v/>
      </c>
      <c r="O13" s="49">
        <f>IF(OR($AE13&lt;&gt;1,O$1=""),"",SUMIFS('All Donations'!$S$2:$S$4001,'All Donations'!$R$2:$R$4001,$AD13,'All Donations'!$T$2:$T$4001,O$1))</f>
        <v/>
      </c>
      <c r="P13" s="49">
        <f>IF(OR($AE13&lt;&gt;1,P$1=""),"",SUMIFS('All Donations'!$S$2:$S$4001,'All Donations'!$R$2:$R$4001,$AD13,'All Donations'!$T$2:$T$4001,P$1))</f>
        <v/>
      </c>
      <c r="Q13" s="49">
        <f>IF(OR($AE13&lt;&gt;1,Q$1=""),"",SUMIFS('All Donations'!$S$2:$S$4001,'All Donations'!$R$2:$R$4001,$AD13,'All Donations'!$T$2:$T$4001,Q$1))</f>
        <v/>
      </c>
      <c r="R13" s="49">
        <f>IF(OR($AE13&lt;&gt;1,R$1=""),"",SUMIFS('All Donations'!$S$2:$S$4001,'All Donations'!$R$2:$R$4001,$AD13,'All Donations'!$T$2:$T$4001,R$1))</f>
        <v/>
      </c>
      <c r="S13" s="49">
        <f>IF(OR($AE13&lt;&gt;1,S$1=""),"",SUMIFS('All Donations'!$S$2:$S$4001,'All Donations'!$R$2:$R$4001,$AD13,'All Donations'!$T$2:$T$4001,S$1))</f>
        <v/>
      </c>
      <c r="T13" s="49">
        <f>IF(OR($AE13&lt;&gt;1,T$1=""),"",SUMIFS('All Donations'!$S$2:$S$4001,'All Donations'!$R$2:$R$4001,$AD13,'All Donations'!$T$2:$T$4001,T$1))</f>
        <v/>
      </c>
      <c r="U13" s="49">
        <f>IF(OR($AE13&lt;&gt;1,U$1=""),"",SUMIFS('All Donations'!$S$2:$S$4001,'All Donations'!$R$2:$R$4001,$AD13,'All Donations'!$T$2:$T$4001,U$1))</f>
        <v/>
      </c>
      <c r="V13" s="49">
        <f>IF(OR($AE13&lt;&gt;1,V$1=""),"",SUMIFS('All Donations'!$S$2:$S$4001,'All Donations'!$R$2:$R$4001,$AD13,'All Donations'!$T$2:$T$4001,V$1))</f>
        <v/>
      </c>
      <c r="W13" s="49">
        <f>IF(OR($AE13&lt;&gt;1,W$1=""),"",SUMIFS('All Donations'!$S$2:$S$4001,'All Donations'!$R$2:$R$4001,$AD13,'All Donations'!$T$2:$T$4001,W$1))</f>
        <v/>
      </c>
      <c r="X13" s="49">
        <f>IF(OR($AE13&lt;&gt;1,X$1=""),"",SUMIFS('All Donations'!$S$2:$S$4001,'All Donations'!$R$2:$R$4001,$AD13,'All Donations'!$T$2:$T$4001,X$1))</f>
        <v/>
      </c>
      <c r="Y13" s="49">
        <f>IF(OR($AE13&lt;&gt;1,Y$1=""),"",SUMIFS('All Donations'!$S$2:$S$4001,'All Donations'!$R$2:$R$4001,$AD13,'All Donations'!$T$2:$T$4001,Y$1))</f>
        <v/>
      </c>
      <c r="Z13" s="49">
        <f>IF(OR($AE13&lt;&gt;1,Z$1=""),"",SUMIFS('All Donations'!$S$2:$S$4001,'All Donations'!$R$2:$R$4001,$AD13,'All Donations'!$T$2:$T$4001,Z$1))</f>
        <v/>
      </c>
      <c r="AA13" s="49">
        <f>IF(OR($AE13&lt;&gt;1,AA$1=""),"",SUMIFS('All Donations'!$S$2:$S$4001,'All Donations'!$R$2:$R$4001,$AD13,'All Donations'!$T$2:$T$4001,AA$1))</f>
        <v/>
      </c>
      <c r="AB13" s="49">
        <f>IF(OR($AE13&lt;&gt;1,AB$1=""),"",SUMIFS('All Donations'!$S$2:$S$4001,'All Donations'!$R$2:$R$4001,$AD13,'All Donations'!$T$2:$T$4001,AB$1))</f>
        <v/>
      </c>
      <c r="AC13" s="49">
        <f>IF(OR($AE13&lt;&gt;1,AC$1=""),"",SUMIFS('All Donations'!$S$2:$S$4001,'All Donations'!$R$2:$R$4001,$AD13,'All Donations'!$T$2:$T$4001,AC$1))</f>
        <v/>
      </c>
      <c r="AD13">
        <f>IF(AE13=1,'Roster'!A13,"")</f>
        <v/>
      </c>
      <c r="AE13">
        <f>IF(TRIM('Roster'!B13&amp;'Roster'!C13)&lt;&gt;"",1,0)</f>
        <v/>
      </c>
      <c r="AF13">
        <f>IF(AE13=1,LOWER(A13),"#")</f>
        <v/>
      </c>
      <c r="AG13">
        <f>IF(AE13=1,LOWER(TRIM(TRIM('Roster'!C13)&amp;", "&amp;TRIM('Roster'!B13))),"#")</f>
        <v/>
      </c>
      <c r="AH13">
        <f>IF(AND(AE13=1,TRIM('Roster'!F13)&lt;&gt;""),LOWER(TRIM('Roster'!F13)),"#")</f>
        <v/>
      </c>
      <c r="AI13">
        <f>IF(AE13=1,IF(MATCH(B13,$B$2:$B$701,0)=ROW()-1,1,0),0)</f>
        <v/>
      </c>
      <c r="AJ13">
        <f>AJ12+AI13</f>
        <v/>
      </c>
      <c r="AK13">
        <f>IF(AE13=1,D13+(1000-ROW())/10^7,-1)</f>
        <v/>
      </c>
      <c r="AL13">
        <f>IF(AE13=1,TRIM('Roster'!B13)&amp;" "&amp;LEFT(TRIM('Roster'!C13),1)&amp;".","")</f>
        <v/>
      </c>
      <c r="AM13">
        <f>IF(AE13=1,TRIM('Roster'!C13)&amp;", "&amp;TRIM('Roster'!B13)&amp;" ("&amp;B13&amp;") #"&amp;AD13,"")</f>
        <v/>
      </c>
      <c r="AN13">
        <f>IF(AE13=1,TRIM('Roster'!E13),"")</f>
        <v/>
      </c>
      <c r="AO13">
        <f>IF(AE13=1,ROUND(SUMIFS('All Donations'!$S$2:$S$4001,'All Donations'!$R$2:$R$4001,AD13,'All Donations'!$T$2:$T$4001,"&gt;="&amp;'Settings'!$C$23,'All Donations'!$T$2:$T$4001,"&lt;="&amp;'Settings'!$D$23),2),0)</f>
        <v/>
      </c>
      <c r="AQ13">
        <f>IF(AE13=1,ROUND(SUMIFS('All Donations'!$S$2:$S$4001,'All Donations'!$R$2:$R$4001,AD13,'All Donations'!$T$2:$T$4001,"&gt;="&amp;'Settings'!$C$25,'All Donations'!$T$2:$T$4001,"&lt;="&amp;'Settings'!$D$25),2),0)</f>
        <v/>
      </c>
      <c r="AR13">
        <f>IF(AE13=1,ROUND(SUMIFS('All Donations'!$S$2:$S$4001,'All Donations'!$R$2:$R$4001,AD13,'All Donations'!$T$2:$T$4001,"&gt;="&amp;'Settings'!$C$26,'All Donations'!$T$2:$T$4001,"&lt;="&amp;'Settings'!$D$26),2),0)</f>
        <v/>
      </c>
      <c r="AS13">
        <f>IF(AE13=1,ROUND(SUMIFS('All Donations'!$S$2:$S$4001,'All Donations'!$R$2:$R$4001,AD13,'All Donations'!$T$2:$T$4001,"&lt;="&amp;'Settings'!$D$27),2),0)</f>
        <v/>
      </c>
      <c r="AT13">
        <f>IF(AE13=1,ROUND(SUMIFS('All Donations'!$S$2:$S$4001,'All Donations'!$R$2:$R$4001,AD13,'All Donations'!$T$2:$T$4001,"&gt;="&amp;'Settings'!$C$28,'All Donations'!$T$2:$T$4001,"&lt;="&amp;'Settings'!$D$28),2),0)</f>
        <v/>
      </c>
      <c r="AU13">
        <f>IF(AE13=1,ROUND(SUMIFS('All Donations'!$S$2:$S$4001,'All Donations'!$R$2:$R$4001,AD13,'All Donations'!$T$2:$T$4001,"&gt;="&amp;'Settings'!$C$29,'All Donations'!$T$2:$T$4001,"&lt;="&amp;'Settings'!$D$29),2),0)</f>
        <v/>
      </c>
      <c r="AV13">
        <f>IF(AE13=1,ROUND(SUMIFS('All Donations'!$S$2:$S$4001,'All Donations'!$R$2:$R$4001,AD13,'All Donations'!$T$2:$T$4001,"&lt;="&amp;'Settings'!$D$30),2),0)</f>
        <v/>
      </c>
      <c r="AZ13">
        <f>IF(AE13=1,ROUND(SUMIFS('All Donations'!$S$2:$S$4001,'All Donations'!$R$2:$R$4001,AD13,'All Donations'!$T$2:$T$4001,"&lt;="&amp;'Settings'!$D$34),2),0)</f>
        <v/>
      </c>
    </row>
    <row r="14">
      <c r="A14">
        <f>IF(AE14=1,TRIM(TRIM('Roster'!B14)&amp;" "&amp;TRIM('Roster'!C14)),"")</f>
        <v/>
      </c>
      <c r="B14">
        <f>IF(AE14=1,IF(AN14="","(no teacher)",AN14&amp;" – "&amp;C14),"")</f>
        <v/>
      </c>
      <c r="C14">
        <f>IF(AE14=1,TRIM('Roster'!D14&amp;""),"")</f>
        <v/>
      </c>
      <c r="D14" s="48">
        <f>IF(AE14=1,ROUND(SUMIFS('All Donations'!$S$2:$S$4001,'All Donations'!$R$2:$R$4001,AD14),2),"")</f>
        <v/>
      </c>
      <c r="E14" s="48">
        <f>IF(AE14=1,ROUND(SUMIFS('All Donations'!$S$2:$S$4001,'All Donations'!$R$2:$R$4001,AD14,'All Donations'!$G$2:$G$4001,"OneCause"),2),"")</f>
        <v/>
      </c>
      <c r="F14" s="48">
        <f>IF(AE14=1,D14-E14,"")</f>
        <v/>
      </c>
      <c r="G14">
        <f>IF(AE14=1,COUNTIFS('All Donations'!$R$2:$R$4001,AD14,'All Donations'!$H$2:$H$4001,"OK"),"")</f>
        <v/>
      </c>
      <c r="H14">
        <f>IF(AE14&lt;&gt;1,"",IF(D14&gt;0,"Yes",""))</f>
        <v/>
      </c>
      <c r="I14" s="49">
        <f>IF(OR($AE14&lt;&gt;1,I$1=""),"",SUMIFS('All Donations'!$S$2:$S$4001,'All Donations'!$R$2:$R$4001,$AD14,'All Donations'!$T$2:$T$4001,I$1))</f>
        <v/>
      </c>
      <c r="J14" s="49">
        <f>IF(OR($AE14&lt;&gt;1,J$1=""),"",SUMIFS('All Donations'!$S$2:$S$4001,'All Donations'!$R$2:$R$4001,$AD14,'All Donations'!$T$2:$T$4001,J$1))</f>
        <v/>
      </c>
      <c r="K14" s="49">
        <f>IF(OR($AE14&lt;&gt;1,K$1=""),"",SUMIFS('All Donations'!$S$2:$S$4001,'All Donations'!$R$2:$R$4001,$AD14,'All Donations'!$T$2:$T$4001,K$1))</f>
        <v/>
      </c>
      <c r="L14" s="49">
        <f>IF(OR($AE14&lt;&gt;1,L$1=""),"",SUMIFS('All Donations'!$S$2:$S$4001,'All Donations'!$R$2:$R$4001,$AD14,'All Donations'!$T$2:$T$4001,L$1))</f>
        <v/>
      </c>
      <c r="M14" s="49">
        <f>IF(OR($AE14&lt;&gt;1,M$1=""),"",SUMIFS('All Donations'!$S$2:$S$4001,'All Donations'!$R$2:$R$4001,$AD14,'All Donations'!$T$2:$T$4001,M$1))</f>
        <v/>
      </c>
      <c r="N14" s="49">
        <f>IF(OR($AE14&lt;&gt;1,N$1=""),"",SUMIFS('All Donations'!$S$2:$S$4001,'All Donations'!$R$2:$R$4001,$AD14,'All Donations'!$T$2:$T$4001,N$1))</f>
        <v/>
      </c>
      <c r="O14" s="49">
        <f>IF(OR($AE14&lt;&gt;1,O$1=""),"",SUMIFS('All Donations'!$S$2:$S$4001,'All Donations'!$R$2:$R$4001,$AD14,'All Donations'!$T$2:$T$4001,O$1))</f>
        <v/>
      </c>
      <c r="P14" s="49">
        <f>IF(OR($AE14&lt;&gt;1,P$1=""),"",SUMIFS('All Donations'!$S$2:$S$4001,'All Donations'!$R$2:$R$4001,$AD14,'All Donations'!$T$2:$T$4001,P$1))</f>
        <v/>
      </c>
      <c r="Q14" s="49">
        <f>IF(OR($AE14&lt;&gt;1,Q$1=""),"",SUMIFS('All Donations'!$S$2:$S$4001,'All Donations'!$R$2:$R$4001,$AD14,'All Donations'!$T$2:$T$4001,Q$1))</f>
        <v/>
      </c>
      <c r="R14" s="49">
        <f>IF(OR($AE14&lt;&gt;1,R$1=""),"",SUMIFS('All Donations'!$S$2:$S$4001,'All Donations'!$R$2:$R$4001,$AD14,'All Donations'!$T$2:$T$4001,R$1))</f>
        <v/>
      </c>
      <c r="S14" s="49">
        <f>IF(OR($AE14&lt;&gt;1,S$1=""),"",SUMIFS('All Donations'!$S$2:$S$4001,'All Donations'!$R$2:$R$4001,$AD14,'All Donations'!$T$2:$T$4001,S$1))</f>
        <v/>
      </c>
      <c r="T14" s="49">
        <f>IF(OR($AE14&lt;&gt;1,T$1=""),"",SUMIFS('All Donations'!$S$2:$S$4001,'All Donations'!$R$2:$R$4001,$AD14,'All Donations'!$T$2:$T$4001,T$1))</f>
        <v/>
      </c>
      <c r="U14" s="49">
        <f>IF(OR($AE14&lt;&gt;1,U$1=""),"",SUMIFS('All Donations'!$S$2:$S$4001,'All Donations'!$R$2:$R$4001,$AD14,'All Donations'!$T$2:$T$4001,U$1))</f>
        <v/>
      </c>
      <c r="V14" s="49">
        <f>IF(OR($AE14&lt;&gt;1,V$1=""),"",SUMIFS('All Donations'!$S$2:$S$4001,'All Donations'!$R$2:$R$4001,$AD14,'All Donations'!$T$2:$T$4001,V$1))</f>
        <v/>
      </c>
      <c r="W14" s="49">
        <f>IF(OR($AE14&lt;&gt;1,W$1=""),"",SUMIFS('All Donations'!$S$2:$S$4001,'All Donations'!$R$2:$R$4001,$AD14,'All Donations'!$T$2:$T$4001,W$1))</f>
        <v/>
      </c>
      <c r="X14" s="49">
        <f>IF(OR($AE14&lt;&gt;1,X$1=""),"",SUMIFS('All Donations'!$S$2:$S$4001,'All Donations'!$R$2:$R$4001,$AD14,'All Donations'!$T$2:$T$4001,X$1))</f>
        <v/>
      </c>
      <c r="Y14" s="49">
        <f>IF(OR($AE14&lt;&gt;1,Y$1=""),"",SUMIFS('All Donations'!$S$2:$S$4001,'All Donations'!$R$2:$R$4001,$AD14,'All Donations'!$T$2:$T$4001,Y$1))</f>
        <v/>
      </c>
      <c r="Z14" s="49">
        <f>IF(OR($AE14&lt;&gt;1,Z$1=""),"",SUMIFS('All Donations'!$S$2:$S$4001,'All Donations'!$R$2:$R$4001,$AD14,'All Donations'!$T$2:$T$4001,Z$1))</f>
        <v/>
      </c>
      <c r="AA14" s="49">
        <f>IF(OR($AE14&lt;&gt;1,AA$1=""),"",SUMIFS('All Donations'!$S$2:$S$4001,'All Donations'!$R$2:$R$4001,$AD14,'All Donations'!$T$2:$T$4001,AA$1))</f>
        <v/>
      </c>
      <c r="AB14" s="49">
        <f>IF(OR($AE14&lt;&gt;1,AB$1=""),"",SUMIFS('All Donations'!$S$2:$S$4001,'All Donations'!$R$2:$R$4001,$AD14,'All Donations'!$T$2:$T$4001,AB$1))</f>
        <v/>
      </c>
      <c r="AC14" s="49">
        <f>IF(OR($AE14&lt;&gt;1,AC$1=""),"",SUMIFS('All Donations'!$S$2:$S$4001,'All Donations'!$R$2:$R$4001,$AD14,'All Donations'!$T$2:$T$4001,AC$1))</f>
        <v/>
      </c>
      <c r="AD14">
        <f>IF(AE14=1,'Roster'!A14,"")</f>
        <v/>
      </c>
      <c r="AE14">
        <f>IF(TRIM('Roster'!B14&amp;'Roster'!C14)&lt;&gt;"",1,0)</f>
        <v/>
      </c>
      <c r="AF14">
        <f>IF(AE14=1,LOWER(A14),"#")</f>
        <v/>
      </c>
      <c r="AG14">
        <f>IF(AE14=1,LOWER(TRIM(TRIM('Roster'!C14)&amp;", "&amp;TRIM('Roster'!B14))),"#")</f>
        <v/>
      </c>
      <c r="AH14">
        <f>IF(AND(AE14=1,TRIM('Roster'!F14)&lt;&gt;""),LOWER(TRIM('Roster'!F14)),"#")</f>
        <v/>
      </c>
      <c r="AI14">
        <f>IF(AE14=1,IF(MATCH(B14,$B$2:$B$701,0)=ROW()-1,1,0),0)</f>
        <v/>
      </c>
      <c r="AJ14">
        <f>AJ13+AI14</f>
        <v/>
      </c>
      <c r="AK14">
        <f>IF(AE14=1,D14+(1000-ROW())/10^7,-1)</f>
        <v/>
      </c>
      <c r="AL14">
        <f>IF(AE14=1,TRIM('Roster'!B14)&amp;" "&amp;LEFT(TRIM('Roster'!C14),1)&amp;".","")</f>
        <v/>
      </c>
      <c r="AM14">
        <f>IF(AE14=1,TRIM('Roster'!C14)&amp;", "&amp;TRIM('Roster'!B14)&amp;" ("&amp;B14&amp;") #"&amp;AD14,"")</f>
        <v/>
      </c>
      <c r="AN14">
        <f>IF(AE14=1,TRIM('Roster'!E14),"")</f>
        <v/>
      </c>
      <c r="AO14">
        <f>IF(AE14=1,ROUND(SUMIFS('All Donations'!$S$2:$S$4001,'All Donations'!$R$2:$R$4001,AD14,'All Donations'!$T$2:$T$4001,"&gt;="&amp;'Settings'!$C$23,'All Donations'!$T$2:$T$4001,"&lt;="&amp;'Settings'!$D$23),2),0)</f>
        <v/>
      </c>
      <c r="AQ14">
        <f>IF(AE14=1,ROUND(SUMIFS('All Donations'!$S$2:$S$4001,'All Donations'!$R$2:$R$4001,AD14,'All Donations'!$T$2:$T$4001,"&gt;="&amp;'Settings'!$C$25,'All Donations'!$T$2:$T$4001,"&lt;="&amp;'Settings'!$D$25),2),0)</f>
        <v/>
      </c>
      <c r="AR14">
        <f>IF(AE14=1,ROUND(SUMIFS('All Donations'!$S$2:$S$4001,'All Donations'!$R$2:$R$4001,AD14,'All Donations'!$T$2:$T$4001,"&gt;="&amp;'Settings'!$C$26,'All Donations'!$T$2:$T$4001,"&lt;="&amp;'Settings'!$D$26),2),0)</f>
        <v/>
      </c>
      <c r="AS14">
        <f>IF(AE14=1,ROUND(SUMIFS('All Donations'!$S$2:$S$4001,'All Donations'!$R$2:$R$4001,AD14,'All Donations'!$T$2:$T$4001,"&lt;="&amp;'Settings'!$D$27),2),0)</f>
        <v/>
      </c>
      <c r="AT14">
        <f>IF(AE14=1,ROUND(SUMIFS('All Donations'!$S$2:$S$4001,'All Donations'!$R$2:$R$4001,AD14,'All Donations'!$T$2:$T$4001,"&gt;="&amp;'Settings'!$C$28,'All Donations'!$T$2:$T$4001,"&lt;="&amp;'Settings'!$D$28),2),0)</f>
        <v/>
      </c>
      <c r="AU14">
        <f>IF(AE14=1,ROUND(SUMIFS('All Donations'!$S$2:$S$4001,'All Donations'!$R$2:$R$4001,AD14,'All Donations'!$T$2:$T$4001,"&gt;="&amp;'Settings'!$C$29,'All Donations'!$T$2:$T$4001,"&lt;="&amp;'Settings'!$D$29),2),0)</f>
        <v/>
      </c>
      <c r="AV14">
        <f>IF(AE14=1,ROUND(SUMIFS('All Donations'!$S$2:$S$4001,'All Donations'!$R$2:$R$4001,AD14,'All Donations'!$T$2:$T$4001,"&lt;="&amp;'Settings'!$D$30),2),0)</f>
        <v/>
      </c>
      <c r="AZ14">
        <f>IF(AE14=1,ROUND(SUMIFS('All Donations'!$S$2:$S$4001,'All Donations'!$R$2:$R$4001,AD14,'All Donations'!$T$2:$T$4001,"&lt;="&amp;'Settings'!$D$34),2),0)</f>
        <v/>
      </c>
    </row>
    <row r="15">
      <c r="A15">
        <f>IF(AE15=1,TRIM(TRIM('Roster'!B15)&amp;" "&amp;TRIM('Roster'!C15)),"")</f>
        <v/>
      </c>
      <c r="B15">
        <f>IF(AE15=1,IF(AN15="","(no teacher)",AN15&amp;" – "&amp;C15),"")</f>
        <v/>
      </c>
      <c r="C15">
        <f>IF(AE15=1,TRIM('Roster'!D15&amp;""),"")</f>
        <v/>
      </c>
      <c r="D15" s="48">
        <f>IF(AE15=1,ROUND(SUMIFS('All Donations'!$S$2:$S$4001,'All Donations'!$R$2:$R$4001,AD15),2),"")</f>
        <v/>
      </c>
      <c r="E15" s="48">
        <f>IF(AE15=1,ROUND(SUMIFS('All Donations'!$S$2:$S$4001,'All Donations'!$R$2:$R$4001,AD15,'All Donations'!$G$2:$G$4001,"OneCause"),2),"")</f>
        <v/>
      </c>
      <c r="F15" s="48">
        <f>IF(AE15=1,D15-E15,"")</f>
        <v/>
      </c>
      <c r="G15">
        <f>IF(AE15=1,COUNTIFS('All Donations'!$R$2:$R$4001,AD15,'All Donations'!$H$2:$H$4001,"OK"),"")</f>
        <v/>
      </c>
      <c r="H15">
        <f>IF(AE15&lt;&gt;1,"",IF(D15&gt;0,"Yes",""))</f>
        <v/>
      </c>
      <c r="I15" s="49">
        <f>IF(OR($AE15&lt;&gt;1,I$1=""),"",SUMIFS('All Donations'!$S$2:$S$4001,'All Donations'!$R$2:$R$4001,$AD15,'All Donations'!$T$2:$T$4001,I$1))</f>
        <v/>
      </c>
      <c r="J15" s="49">
        <f>IF(OR($AE15&lt;&gt;1,J$1=""),"",SUMIFS('All Donations'!$S$2:$S$4001,'All Donations'!$R$2:$R$4001,$AD15,'All Donations'!$T$2:$T$4001,J$1))</f>
        <v/>
      </c>
      <c r="K15" s="49">
        <f>IF(OR($AE15&lt;&gt;1,K$1=""),"",SUMIFS('All Donations'!$S$2:$S$4001,'All Donations'!$R$2:$R$4001,$AD15,'All Donations'!$T$2:$T$4001,K$1))</f>
        <v/>
      </c>
      <c r="L15" s="49">
        <f>IF(OR($AE15&lt;&gt;1,L$1=""),"",SUMIFS('All Donations'!$S$2:$S$4001,'All Donations'!$R$2:$R$4001,$AD15,'All Donations'!$T$2:$T$4001,L$1))</f>
        <v/>
      </c>
      <c r="M15" s="49">
        <f>IF(OR($AE15&lt;&gt;1,M$1=""),"",SUMIFS('All Donations'!$S$2:$S$4001,'All Donations'!$R$2:$R$4001,$AD15,'All Donations'!$T$2:$T$4001,M$1))</f>
        <v/>
      </c>
      <c r="N15" s="49">
        <f>IF(OR($AE15&lt;&gt;1,N$1=""),"",SUMIFS('All Donations'!$S$2:$S$4001,'All Donations'!$R$2:$R$4001,$AD15,'All Donations'!$T$2:$T$4001,N$1))</f>
        <v/>
      </c>
      <c r="O15" s="49">
        <f>IF(OR($AE15&lt;&gt;1,O$1=""),"",SUMIFS('All Donations'!$S$2:$S$4001,'All Donations'!$R$2:$R$4001,$AD15,'All Donations'!$T$2:$T$4001,O$1))</f>
        <v/>
      </c>
      <c r="P15" s="49">
        <f>IF(OR($AE15&lt;&gt;1,P$1=""),"",SUMIFS('All Donations'!$S$2:$S$4001,'All Donations'!$R$2:$R$4001,$AD15,'All Donations'!$T$2:$T$4001,P$1))</f>
        <v/>
      </c>
      <c r="Q15" s="49">
        <f>IF(OR($AE15&lt;&gt;1,Q$1=""),"",SUMIFS('All Donations'!$S$2:$S$4001,'All Donations'!$R$2:$R$4001,$AD15,'All Donations'!$T$2:$T$4001,Q$1))</f>
        <v/>
      </c>
      <c r="R15" s="49">
        <f>IF(OR($AE15&lt;&gt;1,R$1=""),"",SUMIFS('All Donations'!$S$2:$S$4001,'All Donations'!$R$2:$R$4001,$AD15,'All Donations'!$T$2:$T$4001,R$1))</f>
        <v/>
      </c>
      <c r="S15" s="49">
        <f>IF(OR($AE15&lt;&gt;1,S$1=""),"",SUMIFS('All Donations'!$S$2:$S$4001,'All Donations'!$R$2:$R$4001,$AD15,'All Donations'!$T$2:$T$4001,S$1))</f>
        <v/>
      </c>
      <c r="T15" s="49">
        <f>IF(OR($AE15&lt;&gt;1,T$1=""),"",SUMIFS('All Donations'!$S$2:$S$4001,'All Donations'!$R$2:$R$4001,$AD15,'All Donations'!$T$2:$T$4001,T$1))</f>
        <v/>
      </c>
      <c r="U15" s="49">
        <f>IF(OR($AE15&lt;&gt;1,U$1=""),"",SUMIFS('All Donations'!$S$2:$S$4001,'All Donations'!$R$2:$R$4001,$AD15,'All Donations'!$T$2:$T$4001,U$1))</f>
        <v/>
      </c>
      <c r="V15" s="49">
        <f>IF(OR($AE15&lt;&gt;1,V$1=""),"",SUMIFS('All Donations'!$S$2:$S$4001,'All Donations'!$R$2:$R$4001,$AD15,'All Donations'!$T$2:$T$4001,V$1))</f>
        <v/>
      </c>
      <c r="W15" s="49">
        <f>IF(OR($AE15&lt;&gt;1,W$1=""),"",SUMIFS('All Donations'!$S$2:$S$4001,'All Donations'!$R$2:$R$4001,$AD15,'All Donations'!$T$2:$T$4001,W$1))</f>
        <v/>
      </c>
      <c r="X15" s="49">
        <f>IF(OR($AE15&lt;&gt;1,X$1=""),"",SUMIFS('All Donations'!$S$2:$S$4001,'All Donations'!$R$2:$R$4001,$AD15,'All Donations'!$T$2:$T$4001,X$1))</f>
        <v/>
      </c>
      <c r="Y15" s="49">
        <f>IF(OR($AE15&lt;&gt;1,Y$1=""),"",SUMIFS('All Donations'!$S$2:$S$4001,'All Donations'!$R$2:$R$4001,$AD15,'All Donations'!$T$2:$T$4001,Y$1))</f>
        <v/>
      </c>
      <c r="Z15" s="49">
        <f>IF(OR($AE15&lt;&gt;1,Z$1=""),"",SUMIFS('All Donations'!$S$2:$S$4001,'All Donations'!$R$2:$R$4001,$AD15,'All Donations'!$T$2:$T$4001,Z$1))</f>
        <v/>
      </c>
      <c r="AA15" s="49">
        <f>IF(OR($AE15&lt;&gt;1,AA$1=""),"",SUMIFS('All Donations'!$S$2:$S$4001,'All Donations'!$R$2:$R$4001,$AD15,'All Donations'!$T$2:$T$4001,AA$1))</f>
        <v/>
      </c>
      <c r="AB15" s="49">
        <f>IF(OR($AE15&lt;&gt;1,AB$1=""),"",SUMIFS('All Donations'!$S$2:$S$4001,'All Donations'!$R$2:$R$4001,$AD15,'All Donations'!$T$2:$T$4001,AB$1))</f>
        <v/>
      </c>
      <c r="AC15" s="49">
        <f>IF(OR($AE15&lt;&gt;1,AC$1=""),"",SUMIFS('All Donations'!$S$2:$S$4001,'All Donations'!$R$2:$R$4001,$AD15,'All Donations'!$T$2:$T$4001,AC$1))</f>
        <v/>
      </c>
      <c r="AD15">
        <f>IF(AE15=1,'Roster'!A15,"")</f>
        <v/>
      </c>
      <c r="AE15">
        <f>IF(TRIM('Roster'!B15&amp;'Roster'!C15)&lt;&gt;"",1,0)</f>
        <v/>
      </c>
      <c r="AF15">
        <f>IF(AE15=1,LOWER(A15),"#")</f>
        <v/>
      </c>
      <c r="AG15">
        <f>IF(AE15=1,LOWER(TRIM(TRIM('Roster'!C15)&amp;", "&amp;TRIM('Roster'!B15))),"#")</f>
        <v/>
      </c>
      <c r="AH15">
        <f>IF(AND(AE15=1,TRIM('Roster'!F15)&lt;&gt;""),LOWER(TRIM('Roster'!F15)),"#")</f>
        <v/>
      </c>
      <c r="AI15">
        <f>IF(AE15=1,IF(MATCH(B15,$B$2:$B$701,0)=ROW()-1,1,0),0)</f>
        <v/>
      </c>
      <c r="AJ15">
        <f>AJ14+AI15</f>
        <v/>
      </c>
      <c r="AK15">
        <f>IF(AE15=1,D15+(1000-ROW())/10^7,-1)</f>
        <v/>
      </c>
      <c r="AL15">
        <f>IF(AE15=1,TRIM('Roster'!B15)&amp;" "&amp;LEFT(TRIM('Roster'!C15),1)&amp;".","")</f>
        <v/>
      </c>
      <c r="AM15">
        <f>IF(AE15=1,TRIM('Roster'!C15)&amp;", "&amp;TRIM('Roster'!B15)&amp;" ("&amp;B15&amp;") #"&amp;AD15,"")</f>
        <v/>
      </c>
      <c r="AN15">
        <f>IF(AE15=1,TRIM('Roster'!E15),"")</f>
        <v/>
      </c>
      <c r="AO15">
        <f>IF(AE15=1,ROUND(SUMIFS('All Donations'!$S$2:$S$4001,'All Donations'!$R$2:$R$4001,AD15,'All Donations'!$T$2:$T$4001,"&gt;="&amp;'Settings'!$C$23,'All Donations'!$T$2:$T$4001,"&lt;="&amp;'Settings'!$D$23),2),0)</f>
        <v/>
      </c>
      <c r="AQ15">
        <f>IF(AE15=1,ROUND(SUMIFS('All Donations'!$S$2:$S$4001,'All Donations'!$R$2:$R$4001,AD15,'All Donations'!$T$2:$T$4001,"&gt;="&amp;'Settings'!$C$25,'All Donations'!$T$2:$T$4001,"&lt;="&amp;'Settings'!$D$25),2),0)</f>
        <v/>
      </c>
      <c r="AR15">
        <f>IF(AE15=1,ROUND(SUMIFS('All Donations'!$S$2:$S$4001,'All Donations'!$R$2:$R$4001,AD15,'All Donations'!$T$2:$T$4001,"&gt;="&amp;'Settings'!$C$26,'All Donations'!$T$2:$T$4001,"&lt;="&amp;'Settings'!$D$26),2),0)</f>
        <v/>
      </c>
      <c r="AS15">
        <f>IF(AE15=1,ROUND(SUMIFS('All Donations'!$S$2:$S$4001,'All Donations'!$R$2:$R$4001,AD15,'All Donations'!$T$2:$T$4001,"&lt;="&amp;'Settings'!$D$27),2),0)</f>
        <v/>
      </c>
      <c r="AT15">
        <f>IF(AE15=1,ROUND(SUMIFS('All Donations'!$S$2:$S$4001,'All Donations'!$R$2:$R$4001,AD15,'All Donations'!$T$2:$T$4001,"&gt;="&amp;'Settings'!$C$28,'All Donations'!$T$2:$T$4001,"&lt;="&amp;'Settings'!$D$28),2),0)</f>
        <v/>
      </c>
      <c r="AU15">
        <f>IF(AE15=1,ROUND(SUMIFS('All Donations'!$S$2:$S$4001,'All Donations'!$R$2:$R$4001,AD15,'All Donations'!$T$2:$T$4001,"&gt;="&amp;'Settings'!$C$29,'All Donations'!$T$2:$T$4001,"&lt;="&amp;'Settings'!$D$29),2),0)</f>
        <v/>
      </c>
      <c r="AV15">
        <f>IF(AE15=1,ROUND(SUMIFS('All Donations'!$S$2:$S$4001,'All Donations'!$R$2:$R$4001,AD15,'All Donations'!$T$2:$T$4001,"&lt;="&amp;'Settings'!$D$30),2),0)</f>
        <v/>
      </c>
      <c r="AZ15">
        <f>IF(AE15=1,ROUND(SUMIFS('All Donations'!$S$2:$S$4001,'All Donations'!$R$2:$R$4001,AD15,'All Donations'!$T$2:$T$4001,"&lt;="&amp;'Settings'!$D$34),2),0)</f>
        <v/>
      </c>
    </row>
    <row r="16">
      <c r="A16">
        <f>IF(AE16=1,TRIM(TRIM('Roster'!B16)&amp;" "&amp;TRIM('Roster'!C16)),"")</f>
        <v/>
      </c>
      <c r="B16">
        <f>IF(AE16=1,IF(AN16="","(no teacher)",AN16&amp;" – "&amp;C16),"")</f>
        <v/>
      </c>
      <c r="C16">
        <f>IF(AE16=1,TRIM('Roster'!D16&amp;""),"")</f>
        <v/>
      </c>
      <c r="D16" s="48">
        <f>IF(AE16=1,ROUND(SUMIFS('All Donations'!$S$2:$S$4001,'All Donations'!$R$2:$R$4001,AD16),2),"")</f>
        <v/>
      </c>
      <c r="E16" s="48">
        <f>IF(AE16=1,ROUND(SUMIFS('All Donations'!$S$2:$S$4001,'All Donations'!$R$2:$R$4001,AD16,'All Donations'!$G$2:$G$4001,"OneCause"),2),"")</f>
        <v/>
      </c>
      <c r="F16" s="48">
        <f>IF(AE16=1,D16-E16,"")</f>
        <v/>
      </c>
      <c r="G16">
        <f>IF(AE16=1,COUNTIFS('All Donations'!$R$2:$R$4001,AD16,'All Donations'!$H$2:$H$4001,"OK"),"")</f>
        <v/>
      </c>
      <c r="H16">
        <f>IF(AE16&lt;&gt;1,"",IF(D16&gt;0,"Yes",""))</f>
        <v/>
      </c>
      <c r="I16" s="49">
        <f>IF(OR($AE16&lt;&gt;1,I$1=""),"",SUMIFS('All Donations'!$S$2:$S$4001,'All Donations'!$R$2:$R$4001,$AD16,'All Donations'!$T$2:$T$4001,I$1))</f>
        <v/>
      </c>
      <c r="J16" s="49">
        <f>IF(OR($AE16&lt;&gt;1,J$1=""),"",SUMIFS('All Donations'!$S$2:$S$4001,'All Donations'!$R$2:$R$4001,$AD16,'All Donations'!$T$2:$T$4001,J$1))</f>
        <v/>
      </c>
      <c r="K16" s="49">
        <f>IF(OR($AE16&lt;&gt;1,K$1=""),"",SUMIFS('All Donations'!$S$2:$S$4001,'All Donations'!$R$2:$R$4001,$AD16,'All Donations'!$T$2:$T$4001,K$1))</f>
        <v/>
      </c>
      <c r="L16" s="49">
        <f>IF(OR($AE16&lt;&gt;1,L$1=""),"",SUMIFS('All Donations'!$S$2:$S$4001,'All Donations'!$R$2:$R$4001,$AD16,'All Donations'!$T$2:$T$4001,L$1))</f>
        <v/>
      </c>
      <c r="M16" s="49">
        <f>IF(OR($AE16&lt;&gt;1,M$1=""),"",SUMIFS('All Donations'!$S$2:$S$4001,'All Donations'!$R$2:$R$4001,$AD16,'All Donations'!$T$2:$T$4001,M$1))</f>
        <v/>
      </c>
      <c r="N16" s="49">
        <f>IF(OR($AE16&lt;&gt;1,N$1=""),"",SUMIFS('All Donations'!$S$2:$S$4001,'All Donations'!$R$2:$R$4001,$AD16,'All Donations'!$T$2:$T$4001,N$1))</f>
        <v/>
      </c>
      <c r="O16" s="49">
        <f>IF(OR($AE16&lt;&gt;1,O$1=""),"",SUMIFS('All Donations'!$S$2:$S$4001,'All Donations'!$R$2:$R$4001,$AD16,'All Donations'!$T$2:$T$4001,O$1))</f>
        <v/>
      </c>
      <c r="P16" s="49">
        <f>IF(OR($AE16&lt;&gt;1,P$1=""),"",SUMIFS('All Donations'!$S$2:$S$4001,'All Donations'!$R$2:$R$4001,$AD16,'All Donations'!$T$2:$T$4001,P$1))</f>
        <v/>
      </c>
      <c r="Q16" s="49">
        <f>IF(OR($AE16&lt;&gt;1,Q$1=""),"",SUMIFS('All Donations'!$S$2:$S$4001,'All Donations'!$R$2:$R$4001,$AD16,'All Donations'!$T$2:$T$4001,Q$1))</f>
        <v/>
      </c>
      <c r="R16" s="49">
        <f>IF(OR($AE16&lt;&gt;1,R$1=""),"",SUMIFS('All Donations'!$S$2:$S$4001,'All Donations'!$R$2:$R$4001,$AD16,'All Donations'!$T$2:$T$4001,R$1))</f>
        <v/>
      </c>
      <c r="S16" s="49">
        <f>IF(OR($AE16&lt;&gt;1,S$1=""),"",SUMIFS('All Donations'!$S$2:$S$4001,'All Donations'!$R$2:$R$4001,$AD16,'All Donations'!$T$2:$T$4001,S$1))</f>
        <v/>
      </c>
      <c r="T16" s="49">
        <f>IF(OR($AE16&lt;&gt;1,T$1=""),"",SUMIFS('All Donations'!$S$2:$S$4001,'All Donations'!$R$2:$R$4001,$AD16,'All Donations'!$T$2:$T$4001,T$1))</f>
        <v/>
      </c>
      <c r="U16" s="49">
        <f>IF(OR($AE16&lt;&gt;1,U$1=""),"",SUMIFS('All Donations'!$S$2:$S$4001,'All Donations'!$R$2:$R$4001,$AD16,'All Donations'!$T$2:$T$4001,U$1))</f>
        <v/>
      </c>
      <c r="V16" s="49">
        <f>IF(OR($AE16&lt;&gt;1,V$1=""),"",SUMIFS('All Donations'!$S$2:$S$4001,'All Donations'!$R$2:$R$4001,$AD16,'All Donations'!$T$2:$T$4001,V$1))</f>
        <v/>
      </c>
      <c r="W16" s="49">
        <f>IF(OR($AE16&lt;&gt;1,W$1=""),"",SUMIFS('All Donations'!$S$2:$S$4001,'All Donations'!$R$2:$R$4001,$AD16,'All Donations'!$T$2:$T$4001,W$1))</f>
        <v/>
      </c>
      <c r="X16" s="49">
        <f>IF(OR($AE16&lt;&gt;1,X$1=""),"",SUMIFS('All Donations'!$S$2:$S$4001,'All Donations'!$R$2:$R$4001,$AD16,'All Donations'!$T$2:$T$4001,X$1))</f>
        <v/>
      </c>
      <c r="Y16" s="49">
        <f>IF(OR($AE16&lt;&gt;1,Y$1=""),"",SUMIFS('All Donations'!$S$2:$S$4001,'All Donations'!$R$2:$R$4001,$AD16,'All Donations'!$T$2:$T$4001,Y$1))</f>
        <v/>
      </c>
      <c r="Z16" s="49">
        <f>IF(OR($AE16&lt;&gt;1,Z$1=""),"",SUMIFS('All Donations'!$S$2:$S$4001,'All Donations'!$R$2:$R$4001,$AD16,'All Donations'!$T$2:$T$4001,Z$1))</f>
        <v/>
      </c>
      <c r="AA16" s="49">
        <f>IF(OR($AE16&lt;&gt;1,AA$1=""),"",SUMIFS('All Donations'!$S$2:$S$4001,'All Donations'!$R$2:$R$4001,$AD16,'All Donations'!$T$2:$T$4001,AA$1))</f>
        <v/>
      </c>
      <c r="AB16" s="49">
        <f>IF(OR($AE16&lt;&gt;1,AB$1=""),"",SUMIFS('All Donations'!$S$2:$S$4001,'All Donations'!$R$2:$R$4001,$AD16,'All Donations'!$T$2:$T$4001,AB$1))</f>
        <v/>
      </c>
      <c r="AC16" s="49">
        <f>IF(OR($AE16&lt;&gt;1,AC$1=""),"",SUMIFS('All Donations'!$S$2:$S$4001,'All Donations'!$R$2:$R$4001,$AD16,'All Donations'!$T$2:$T$4001,AC$1))</f>
        <v/>
      </c>
      <c r="AD16">
        <f>IF(AE16=1,'Roster'!A16,"")</f>
        <v/>
      </c>
      <c r="AE16">
        <f>IF(TRIM('Roster'!B16&amp;'Roster'!C16)&lt;&gt;"",1,0)</f>
        <v/>
      </c>
      <c r="AF16">
        <f>IF(AE16=1,LOWER(A16),"#")</f>
        <v/>
      </c>
      <c r="AG16">
        <f>IF(AE16=1,LOWER(TRIM(TRIM('Roster'!C16)&amp;", "&amp;TRIM('Roster'!B16))),"#")</f>
        <v/>
      </c>
      <c r="AH16">
        <f>IF(AND(AE16=1,TRIM('Roster'!F16)&lt;&gt;""),LOWER(TRIM('Roster'!F16)),"#")</f>
        <v/>
      </c>
      <c r="AI16">
        <f>IF(AE16=1,IF(MATCH(B16,$B$2:$B$701,0)=ROW()-1,1,0),0)</f>
        <v/>
      </c>
      <c r="AJ16">
        <f>AJ15+AI16</f>
        <v/>
      </c>
      <c r="AK16">
        <f>IF(AE16=1,D16+(1000-ROW())/10^7,-1)</f>
        <v/>
      </c>
      <c r="AL16">
        <f>IF(AE16=1,TRIM('Roster'!B16)&amp;" "&amp;LEFT(TRIM('Roster'!C16),1)&amp;".","")</f>
        <v/>
      </c>
      <c r="AM16">
        <f>IF(AE16=1,TRIM('Roster'!C16)&amp;", "&amp;TRIM('Roster'!B16)&amp;" ("&amp;B16&amp;") #"&amp;AD16,"")</f>
        <v/>
      </c>
      <c r="AN16">
        <f>IF(AE16=1,TRIM('Roster'!E16),"")</f>
        <v/>
      </c>
      <c r="AO16">
        <f>IF(AE16=1,ROUND(SUMIFS('All Donations'!$S$2:$S$4001,'All Donations'!$R$2:$R$4001,AD16,'All Donations'!$T$2:$T$4001,"&gt;="&amp;'Settings'!$C$23,'All Donations'!$T$2:$T$4001,"&lt;="&amp;'Settings'!$D$23),2),0)</f>
        <v/>
      </c>
      <c r="AQ16">
        <f>IF(AE16=1,ROUND(SUMIFS('All Donations'!$S$2:$S$4001,'All Donations'!$R$2:$R$4001,AD16,'All Donations'!$T$2:$T$4001,"&gt;="&amp;'Settings'!$C$25,'All Donations'!$T$2:$T$4001,"&lt;="&amp;'Settings'!$D$25),2),0)</f>
        <v/>
      </c>
      <c r="AR16">
        <f>IF(AE16=1,ROUND(SUMIFS('All Donations'!$S$2:$S$4001,'All Donations'!$R$2:$R$4001,AD16,'All Donations'!$T$2:$T$4001,"&gt;="&amp;'Settings'!$C$26,'All Donations'!$T$2:$T$4001,"&lt;="&amp;'Settings'!$D$26),2),0)</f>
        <v/>
      </c>
      <c r="AS16">
        <f>IF(AE16=1,ROUND(SUMIFS('All Donations'!$S$2:$S$4001,'All Donations'!$R$2:$R$4001,AD16,'All Donations'!$T$2:$T$4001,"&lt;="&amp;'Settings'!$D$27),2),0)</f>
        <v/>
      </c>
      <c r="AT16">
        <f>IF(AE16=1,ROUND(SUMIFS('All Donations'!$S$2:$S$4001,'All Donations'!$R$2:$R$4001,AD16,'All Donations'!$T$2:$T$4001,"&gt;="&amp;'Settings'!$C$28,'All Donations'!$T$2:$T$4001,"&lt;="&amp;'Settings'!$D$28),2),0)</f>
        <v/>
      </c>
      <c r="AU16">
        <f>IF(AE16=1,ROUND(SUMIFS('All Donations'!$S$2:$S$4001,'All Donations'!$R$2:$R$4001,AD16,'All Donations'!$T$2:$T$4001,"&gt;="&amp;'Settings'!$C$29,'All Donations'!$T$2:$T$4001,"&lt;="&amp;'Settings'!$D$29),2),0)</f>
        <v/>
      </c>
      <c r="AV16">
        <f>IF(AE16=1,ROUND(SUMIFS('All Donations'!$S$2:$S$4001,'All Donations'!$R$2:$R$4001,AD16,'All Donations'!$T$2:$T$4001,"&lt;="&amp;'Settings'!$D$30),2),0)</f>
        <v/>
      </c>
      <c r="AZ16">
        <f>IF(AE16=1,ROUND(SUMIFS('All Donations'!$S$2:$S$4001,'All Donations'!$R$2:$R$4001,AD16,'All Donations'!$T$2:$T$4001,"&lt;="&amp;'Settings'!$D$34),2),0)</f>
        <v/>
      </c>
    </row>
    <row r="17">
      <c r="A17">
        <f>IF(AE17=1,TRIM(TRIM('Roster'!B17)&amp;" "&amp;TRIM('Roster'!C17)),"")</f>
        <v/>
      </c>
      <c r="B17">
        <f>IF(AE17=1,IF(AN17="","(no teacher)",AN17&amp;" – "&amp;C17),"")</f>
        <v/>
      </c>
      <c r="C17">
        <f>IF(AE17=1,TRIM('Roster'!D17&amp;""),"")</f>
        <v/>
      </c>
      <c r="D17" s="48">
        <f>IF(AE17=1,ROUND(SUMIFS('All Donations'!$S$2:$S$4001,'All Donations'!$R$2:$R$4001,AD17),2),"")</f>
        <v/>
      </c>
      <c r="E17" s="48">
        <f>IF(AE17=1,ROUND(SUMIFS('All Donations'!$S$2:$S$4001,'All Donations'!$R$2:$R$4001,AD17,'All Donations'!$G$2:$G$4001,"OneCause"),2),"")</f>
        <v/>
      </c>
      <c r="F17" s="48">
        <f>IF(AE17=1,D17-E17,"")</f>
        <v/>
      </c>
      <c r="G17">
        <f>IF(AE17=1,COUNTIFS('All Donations'!$R$2:$R$4001,AD17,'All Donations'!$H$2:$H$4001,"OK"),"")</f>
        <v/>
      </c>
      <c r="H17">
        <f>IF(AE17&lt;&gt;1,"",IF(D17&gt;0,"Yes",""))</f>
        <v/>
      </c>
      <c r="I17" s="49">
        <f>IF(OR($AE17&lt;&gt;1,I$1=""),"",SUMIFS('All Donations'!$S$2:$S$4001,'All Donations'!$R$2:$R$4001,$AD17,'All Donations'!$T$2:$T$4001,I$1))</f>
        <v/>
      </c>
      <c r="J17" s="49">
        <f>IF(OR($AE17&lt;&gt;1,J$1=""),"",SUMIFS('All Donations'!$S$2:$S$4001,'All Donations'!$R$2:$R$4001,$AD17,'All Donations'!$T$2:$T$4001,J$1))</f>
        <v/>
      </c>
      <c r="K17" s="49">
        <f>IF(OR($AE17&lt;&gt;1,K$1=""),"",SUMIFS('All Donations'!$S$2:$S$4001,'All Donations'!$R$2:$R$4001,$AD17,'All Donations'!$T$2:$T$4001,K$1))</f>
        <v/>
      </c>
      <c r="L17" s="49">
        <f>IF(OR($AE17&lt;&gt;1,L$1=""),"",SUMIFS('All Donations'!$S$2:$S$4001,'All Donations'!$R$2:$R$4001,$AD17,'All Donations'!$T$2:$T$4001,L$1))</f>
        <v/>
      </c>
      <c r="M17" s="49">
        <f>IF(OR($AE17&lt;&gt;1,M$1=""),"",SUMIFS('All Donations'!$S$2:$S$4001,'All Donations'!$R$2:$R$4001,$AD17,'All Donations'!$T$2:$T$4001,M$1))</f>
        <v/>
      </c>
      <c r="N17" s="49">
        <f>IF(OR($AE17&lt;&gt;1,N$1=""),"",SUMIFS('All Donations'!$S$2:$S$4001,'All Donations'!$R$2:$R$4001,$AD17,'All Donations'!$T$2:$T$4001,N$1))</f>
        <v/>
      </c>
      <c r="O17" s="49">
        <f>IF(OR($AE17&lt;&gt;1,O$1=""),"",SUMIFS('All Donations'!$S$2:$S$4001,'All Donations'!$R$2:$R$4001,$AD17,'All Donations'!$T$2:$T$4001,O$1))</f>
        <v/>
      </c>
      <c r="P17" s="49">
        <f>IF(OR($AE17&lt;&gt;1,P$1=""),"",SUMIFS('All Donations'!$S$2:$S$4001,'All Donations'!$R$2:$R$4001,$AD17,'All Donations'!$T$2:$T$4001,P$1))</f>
        <v/>
      </c>
      <c r="Q17" s="49">
        <f>IF(OR($AE17&lt;&gt;1,Q$1=""),"",SUMIFS('All Donations'!$S$2:$S$4001,'All Donations'!$R$2:$R$4001,$AD17,'All Donations'!$T$2:$T$4001,Q$1))</f>
        <v/>
      </c>
      <c r="R17" s="49">
        <f>IF(OR($AE17&lt;&gt;1,R$1=""),"",SUMIFS('All Donations'!$S$2:$S$4001,'All Donations'!$R$2:$R$4001,$AD17,'All Donations'!$T$2:$T$4001,R$1))</f>
        <v/>
      </c>
      <c r="S17" s="49">
        <f>IF(OR($AE17&lt;&gt;1,S$1=""),"",SUMIFS('All Donations'!$S$2:$S$4001,'All Donations'!$R$2:$R$4001,$AD17,'All Donations'!$T$2:$T$4001,S$1))</f>
        <v/>
      </c>
      <c r="T17" s="49">
        <f>IF(OR($AE17&lt;&gt;1,T$1=""),"",SUMIFS('All Donations'!$S$2:$S$4001,'All Donations'!$R$2:$R$4001,$AD17,'All Donations'!$T$2:$T$4001,T$1))</f>
        <v/>
      </c>
      <c r="U17" s="49">
        <f>IF(OR($AE17&lt;&gt;1,U$1=""),"",SUMIFS('All Donations'!$S$2:$S$4001,'All Donations'!$R$2:$R$4001,$AD17,'All Donations'!$T$2:$T$4001,U$1))</f>
        <v/>
      </c>
      <c r="V17" s="49">
        <f>IF(OR($AE17&lt;&gt;1,V$1=""),"",SUMIFS('All Donations'!$S$2:$S$4001,'All Donations'!$R$2:$R$4001,$AD17,'All Donations'!$T$2:$T$4001,V$1))</f>
        <v/>
      </c>
      <c r="W17" s="49">
        <f>IF(OR($AE17&lt;&gt;1,W$1=""),"",SUMIFS('All Donations'!$S$2:$S$4001,'All Donations'!$R$2:$R$4001,$AD17,'All Donations'!$T$2:$T$4001,W$1))</f>
        <v/>
      </c>
      <c r="X17" s="49">
        <f>IF(OR($AE17&lt;&gt;1,X$1=""),"",SUMIFS('All Donations'!$S$2:$S$4001,'All Donations'!$R$2:$R$4001,$AD17,'All Donations'!$T$2:$T$4001,X$1))</f>
        <v/>
      </c>
      <c r="Y17" s="49">
        <f>IF(OR($AE17&lt;&gt;1,Y$1=""),"",SUMIFS('All Donations'!$S$2:$S$4001,'All Donations'!$R$2:$R$4001,$AD17,'All Donations'!$T$2:$T$4001,Y$1))</f>
        <v/>
      </c>
      <c r="Z17" s="49">
        <f>IF(OR($AE17&lt;&gt;1,Z$1=""),"",SUMIFS('All Donations'!$S$2:$S$4001,'All Donations'!$R$2:$R$4001,$AD17,'All Donations'!$T$2:$T$4001,Z$1))</f>
        <v/>
      </c>
      <c r="AA17" s="49">
        <f>IF(OR($AE17&lt;&gt;1,AA$1=""),"",SUMIFS('All Donations'!$S$2:$S$4001,'All Donations'!$R$2:$R$4001,$AD17,'All Donations'!$T$2:$T$4001,AA$1))</f>
        <v/>
      </c>
      <c r="AB17" s="49">
        <f>IF(OR($AE17&lt;&gt;1,AB$1=""),"",SUMIFS('All Donations'!$S$2:$S$4001,'All Donations'!$R$2:$R$4001,$AD17,'All Donations'!$T$2:$T$4001,AB$1))</f>
        <v/>
      </c>
      <c r="AC17" s="49">
        <f>IF(OR($AE17&lt;&gt;1,AC$1=""),"",SUMIFS('All Donations'!$S$2:$S$4001,'All Donations'!$R$2:$R$4001,$AD17,'All Donations'!$T$2:$T$4001,AC$1))</f>
        <v/>
      </c>
      <c r="AD17">
        <f>IF(AE17=1,'Roster'!A17,"")</f>
        <v/>
      </c>
      <c r="AE17">
        <f>IF(TRIM('Roster'!B17&amp;'Roster'!C17)&lt;&gt;"",1,0)</f>
        <v/>
      </c>
      <c r="AF17">
        <f>IF(AE17=1,LOWER(A17),"#")</f>
        <v/>
      </c>
      <c r="AG17">
        <f>IF(AE17=1,LOWER(TRIM(TRIM('Roster'!C17)&amp;", "&amp;TRIM('Roster'!B17))),"#")</f>
        <v/>
      </c>
      <c r="AH17">
        <f>IF(AND(AE17=1,TRIM('Roster'!F17)&lt;&gt;""),LOWER(TRIM('Roster'!F17)),"#")</f>
        <v/>
      </c>
      <c r="AI17">
        <f>IF(AE17=1,IF(MATCH(B17,$B$2:$B$701,0)=ROW()-1,1,0),0)</f>
        <v/>
      </c>
      <c r="AJ17">
        <f>AJ16+AI17</f>
        <v/>
      </c>
      <c r="AK17">
        <f>IF(AE17=1,D17+(1000-ROW())/10^7,-1)</f>
        <v/>
      </c>
      <c r="AL17">
        <f>IF(AE17=1,TRIM('Roster'!B17)&amp;" "&amp;LEFT(TRIM('Roster'!C17),1)&amp;".","")</f>
        <v/>
      </c>
      <c r="AM17">
        <f>IF(AE17=1,TRIM('Roster'!C17)&amp;", "&amp;TRIM('Roster'!B17)&amp;" ("&amp;B17&amp;") #"&amp;AD17,"")</f>
        <v/>
      </c>
      <c r="AN17">
        <f>IF(AE17=1,TRIM('Roster'!E17),"")</f>
        <v/>
      </c>
      <c r="AO17">
        <f>IF(AE17=1,ROUND(SUMIFS('All Donations'!$S$2:$S$4001,'All Donations'!$R$2:$R$4001,AD17,'All Donations'!$T$2:$T$4001,"&gt;="&amp;'Settings'!$C$23,'All Donations'!$T$2:$T$4001,"&lt;="&amp;'Settings'!$D$23),2),0)</f>
        <v/>
      </c>
      <c r="AQ17">
        <f>IF(AE17=1,ROUND(SUMIFS('All Donations'!$S$2:$S$4001,'All Donations'!$R$2:$R$4001,AD17,'All Donations'!$T$2:$T$4001,"&gt;="&amp;'Settings'!$C$25,'All Donations'!$T$2:$T$4001,"&lt;="&amp;'Settings'!$D$25),2),0)</f>
        <v/>
      </c>
      <c r="AR17">
        <f>IF(AE17=1,ROUND(SUMIFS('All Donations'!$S$2:$S$4001,'All Donations'!$R$2:$R$4001,AD17,'All Donations'!$T$2:$T$4001,"&gt;="&amp;'Settings'!$C$26,'All Donations'!$T$2:$T$4001,"&lt;="&amp;'Settings'!$D$26),2),0)</f>
        <v/>
      </c>
      <c r="AS17">
        <f>IF(AE17=1,ROUND(SUMIFS('All Donations'!$S$2:$S$4001,'All Donations'!$R$2:$R$4001,AD17,'All Donations'!$T$2:$T$4001,"&lt;="&amp;'Settings'!$D$27),2),0)</f>
        <v/>
      </c>
      <c r="AT17">
        <f>IF(AE17=1,ROUND(SUMIFS('All Donations'!$S$2:$S$4001,'All Donations'!$R$2:$R$4001,AD17,'All Donations'!$T$2:$T$4001,"&gt;="&amp;'Settings'!$C$28,'All Donations'!$T$2:$T$4001,"&lt;="&amp;'Settings'!$D$28),2),0)</f>
        <v/>
      </c>
      <c r="AU17">
        <f>IF(AE17=1,ROUND(SUMIFS('All Donations'!$S$2:$S$4001,'All Donations'!$R$2:$R$4001,AD17,'All Donations'!$T$2:$T$4001,"&gt;="&amp;'Settings'!$C$29,'All Donations'!$T$2:$T$4001,"&lt;="&amp;'Settings'!$D$29),2),0)</f>
        <v/>
      </c>
      <c r="AV17">
        <f>IF(AE17=1,ROUND(SUMIFS('All Donations'!$S$2:$S$4001,'All Donations'!$R$2:$R$4001,AD17,'All Donations'!$T$2:$T$4001,"&lt;="&amp;'Settings'!$D$30),2),0)</f>
        <v/>
      </c>
      <c r="AZ17">
        <f>IF(AE17=1,ROUND(SUMIFS('All Donations'!$S$2:$S$4001,'All Donations'!$R$2:$R$4001,AD17,'All Donations'!$T$2:$T$4001,"&lt;="&amp;'Settings'!$D$34),2),0)</f>
        <v/>
      </c>
    </row>
    <row r="18">
      <c r="A18">
        <f>IF(AE18=1,TRIM(TRIM('Roster'!B18)&amp;" "&amp;TRIM('Roster'!C18)),"")</f>
        <v/>
      </c>
      <c r="B18">
        <f>IF(AE18=1,IF(AN18="","(no teacher)",AN18&amp;" – "&amp;C18),"")</f>
        <v/>
      </c>
      <c r="C18">
        <f>IF(AE18=1,TRIM('Roster'!D18&amp;""),"")</f>
        <v/>
      </c>
      <c r="D18" s="48">
        <f>IF(AE18=1,ROUND(SUMIFS('All Donations'!$S$2:$S$4001,'All Donations'!$R$2:$R$4001,AD18),2),"")</f>
        <v/>
      </c>
      <c r="E18" s="48">
        <f>IF(AE18=1,ROUND(SUMIFS('All Donations'!$S$2:$S$4001,'All Donations'!$R$2:$R$4001,AD18,'All Donations'!$G$2:$G$4001,"OneCause"),2),"")</f>
        <v/>
      </c>
      <c r="F18" s="48">
        <f>IF(AE18=1,D18-E18,"")</f>
        <v/>
      </c>
      <c r="G18">
        <f>IF(AE18=1,COUNTIFS('All Donations'!$R$2:$R$4001,AD18,'All Donations'!$H$2:$H$4001,"OK"),"")</f>
        <v/>
      </c>
      <c r="H18">
        <f>IF(AE18&lt;&gt;1,"",IF(D18&gt;0,"Yes",""))</f>
        <v/>
      </c>
      <c r="I18" s="49">
        <f>IF(OR($AE18&lt;&gt;1,I$1=""),"",SUMIFS('All Donations'!$S$2:$S$4001,'All Donations'!$R$2:$R$4001,$AD18,'All Donations'!$T$2:$T$4001,I$1))</f>
        <v/>
      </c>
      <c r="J18" s="49">
        <f>IF(OR($AE18&lt;&gt;1,J$1=""),"",SUMIFS('All Donations'!$S$2:$S$4001,'All Donations'!$R$2:$R$4001,$AD18,'All Donations'!$T$2:$T$4001,J$1))</f>
        <v/>
      </c>
      <c r="K18" s="49">
        <f>IF(OR($AE18&lt;&gt;1,K$1=""),"",SUMIFS('All Donations'!$S$2:$S$4001,'All Donations'!$R$2:$R$4001,$AD18,'All Donations'!$T$2:$T$4001,K$1))</f>
        <v/>
      </c>
      <c r="L18" s="49">
        <f>IF(OR($AE18&lt;&gt;1,L$1=""),"",SUMIFS('All Donations'!$S$2:$S$4001,'All Donations'!$R$2:$R$4001,$AD18,'All Donations'!$T$2:$T$4001,L$1))</f>
        <v/>
      </c>
      <c r="M18" s="49">
        <f>IF(OR($AE18&lt;&gt;1,M$1=""),"",SUMIFS('All Donations'!$S$2:$S$4001,'All Donations'!$R$2:$R$4001,$AD18,'All Donations'!$T$2:$T$4001,M$1))</f>
        <v/>
      </c>
      <c r="N18" s="49">
        <f>IF(OR($AE18&lt;&gt;1,N$1=""),"",SUMIFS('All Donations'!$S$2:$S$4001,'All Donations'!$R$2:$R$4001,$AD18,'All Donations'!$T$2:$T$4001,N$1))</f>
        <v/>
      </c>
      <c r="O18" s="49">
        <f>IF(OR($AE18&lt;&gt;1,O$1=""),"",SUMIFS('All Donations'!$S$2:$S$4001,'All Donations'!$R$2:$R$4001,$AD18,'All Donations'!$T$2:$T$4001,O$1))</f>
        <v/>
      </c>
      <c r="P18" s="49">
        <f>IF(OR($AE18&lt;&gt;1,P$1=""),"",SUMIFS('All Donations'!$S$2:$S$4001,'All Donations'!$R$2:$R$4001,$AD18,'All Donations'!$T$2:$T$4001,P$1))</f>
        <v/>
      </c>
      <c r="Q18" s="49">
        <f>IF(OR($AE18&lt;&gt;1,Q$1=""),"",SUMIFS('All Donations'!$S$2:$S$4001,'All Donations'!$R$2:$R$4001,$AD18,'All Donations'!$T$2:$T$4001,Q$1))</f>
        <v/>
      </c>
      <c r="R18" s="49">
        <f>IF(OR($AE18&lt;&gt;1,R$1=""),"",SUMIFS('All Donations'!$S$2:$S$4001,'All Donations'!$R$2:$R$4001,$AD18,'All Donations'!$T$2:$T$4001,R$1))</f>
        <v/>
      </c>
      <c r="S18" s="49">
        <f>IF(OR($AE18&lt;&gt;1,S$1=""),"",SUMIFS('All Donations'!$S$2:$S$4001,'All Donations'!$R$2:$R$4001,$AD18,'All Donations'!$T$2:$T$4001,S$1))</f>
        <v/>
      </c>
      <c r="T18" s="49">
        <f>IF(OR($AE18&lt;&gt;1,T$1=""),"",SUMIFS('All Donations'!$S$2:$S$4001,'All Donations'!$R$2:$R$4001,$AD18,'All Donations'!$T$2:$T$4001,T$1))</f>
        <v/>
      </c>
      <c r="U18" s="49">
        <f>IF(OR($AE18&lt;&gt;1,U$1=""),"",SUMIFS('All Donations'!$S$2:$S$4001,'All Donations'!$R$2:$R$4001,$AD18,'All Donations'!$T$2:$T$4001,U$1))</f>
        <v/>
      </c>
      <c r="V18" s="49">
        <f>IF(OR($AE18&lt;&gt;1,V$1=""),"",SUMIFS('All Donations'!$S$2:$S$4001,'All Donations'!$R$2:$R$4001,$AD18,'All Donations'!$T$2:$T$4001,V$1))</f>
        <v/>
      </c>
      <c r="W18" s="49">
        <f>IF(OR($AE18&lt;&gt;1,W$1=""),"",SUMIFS('All Donations'!$S$2:$S$4001,'All Donations'!$R$2:$R$4001,$AD18,'All Donations'!$T$2:$T$4001,W$1))</f>
        <v/>
      </c>
      <c r="X18" s="49">
        <f>IF(OR($AE18&lt;&gt;1,X$1=""),"",SUMIFS('All Donations'!$S$2:$S$4001,'All Donations'!$R$2:$R$4001,$AD18,'All Donations'!$T$2:$T$4001,X$1))</f>
        <v/>
      </c>
      <c r="Y18" s="49">
        <f>IF(OR($AE18&lt;&gt;1,Y$1=""),"",SUMIFS('All Donations'!$S$2:$S$4001,'All Donations'!$R$2:$R$4001,$AD18,'All Donations'!$T$2:$T$4001,Y$1))</f>
        <v/>
      </c>
      <c r="Z18" s="49">
        <f>IF(OR($AE18&lt;&gt;1,Z$1=""),"",SUMIFS('All Donations'!$S$2:$S$4001,'All Donations'!$R$2:$R$4001,$AD18,'All Donations'!$T$2:$T$4001,Z$1))</f>
        <v/>
      </c>
      <c r="AA18" s="49">
        <f>IF(OR($AE18&lt;&gt;1,AA$1=""),"",SUMIFS('All Donations'!$S$2:$S$4001,'All Donations'!$R$2:$R$4001,$AD18,'All Donations'!$T$2:$T$4001,AA$1))</f>
        <v/>
      </c>
      <c r="AB18" s="49">
        <f>IF(OR($AE18&lt;&gt;1,AB$1=""),"",SUMIFS('All Donations'!$S$2:$S$4001,'All Donations'!$R$2:$R$4001,$AD18,'All Donations'!$T$2:$T$4001,AB$1))</f>
        <v/>
      </c>
      <c r="AC18" s="49">
        <f>IF(OR($AE18&lt;&gt;1,AC$1=""),"",SUMIFS('All Donations'!$S$2:$S$4001,'All Donations'!$R$2:$R$4001,$AD18,'All Donations'!$T$2:$T$4001,AC$1))</f>
        <v/>
      </c>
      <c r="AD18">
        <f>IF(AE18=1,'Roster'!A18,"")</f>
        <v/>
      </c>
      <c r="AE18">
        <f>IF(TRIM('Roster'!B18&amp;'Roster'!C18)&lt;&gt;"",1,0)</f>
        <v/>
      </c>
      <c r="AF18">
        <f>IF(AE18=1,LOWER(A18),"#")</f>
        <v/>
      </c>
      <c r="AG18">
        <f>IF(AE18=1,LOWER(TRIM(TRIM('Roster'!C18)&amp;", "&amp;TRIM('Roster'!B18))),"#")</f>
        <v/>
      </c>
      <c r="AH18">
        <f>IF(AND(AE18=1,TRIM('Roster'!F18)&lt;&gt;""),LOWER(TRIM('Roster'!F18)),"#")</f>
        <v/>
      </c>
      <c r="AI18">
        <f>IF(AE18=1,IF(MATCH(B18,$B$2:$B$701,0)=ROW()-1,1,0),0)</f>
        <v/>
      </c>
      <c r="AJ18">
        <f>AJ17+AI18</f>
        <v/>
      </c>
      <c r="AK18">
        <f>IF(AE18=1,D18+(1000-ROW())/10^7,-1)</f>
        <v/>
      </c>
      <c r="AL18">
        <f>IF(AE18=1,TRIM('Roster'!B18)&amp;" "&amp;LEFT(TRIM('Roster'!C18),1)&amp;".","")</f>
        <v/>
      </c>
      <c r="AM18">
        <f>IF(AE18=1,TRIM('Roster'!C18)&amp;", "&amp;TRIM('Roster'!B18)&amp;" ("&amp;B18&amp;") #"&amp;AD18,"")</f>
        <v/>
      </c>
      <c r="AN18">
        <f>IF(AE18=1,TRIM('Roster'!E18),"")</f>
        <v/>
      </c>
      <c r="AO18">
        <f>IF(AE18=1,ROUND(SUMIFS('All Donations'!$S$2:$S$4001,'All Donations'!$R$2:$R$4001,AD18,'All Donations'!$T$2:$T$4001,"&gt;="&amp;'Settings'!$C$23,'All Donations'!$T$2:$T$4001,"&lt;="&amp;'Settings'!$D$23),2),0)</f>
        <v/>
      </c>
      <c r="AQ18">
        <f>IF(AE18=1,ROUND(SUMIFS('All Donations'!$S$2:$S$4001,'All Donations'!$R$2:$R$4001,AD18,'All Donations'!$T$2:$T$4001,"&gt;="&amp;'Settings'!$C$25,'All Donations'!$T$2:$T$4001,"&lt;="&amp;'Settings'!$D$25),2),0)</f>
        <v/>
      </c>
      <c r="AR18">
        <f>IF(AE18=1,ROUND(SUMIFS('All Donations'!$S$2:$S$4001,'All Donations'!$R$2:$R$4001,AD18,'All Donations'!$T$2:$T$4001,"&gt;="&amp;'Settings'!$C$26,'All Donations'!$T$2:$T$4001,"&lt;="&amp;'Settings'!$D$26),2),0)</f>
        <v/>
      </c>
      <c r="AS18">
        <f>IF(AE18=1,ROUND(SUMIFS('All Donations'!$S$2:$S$4001,'All Donations'!$R$2:$R$4001,AD18,'All Donations'!$T$2:$T$4001,"&lt;="&amp;'Settings'!$D$27),2),0)</f>
        <v/>
      </c>
      <c r="AT18">
        <f>IF(AE18=1,ROUND(SUMIFS('All Donations'!$S$2:$S$4001,'All Donations'!$R$2:$R$4001,AD18,'All Donations'!$T$2:$T$4001,"&gt;="&amp;'Settings'!$C$28,'All Donations'!$T$2:$T$4001,"&lt;="&amp;'Settings'!$D$28),2),0)</f>
        <v/>
      </c>
      <c r="AU18">
        <f>IF(AE18=1,ROUND(SUMIFS('All Donations'!$S$2:$S$4001,'All Donations'!$R$2:$R$4001,AD18,'All Donations'!$T$2:$T$4001,"&gt;="&amp;'Settings'!$C$29,'All Donations'!$T$2:$T$4001,"&lt;="&amp;'Settings'!$D$29),2),0)</f>
        <v/>
      </c>
      <c r="AV18">
        <f>IF(AE18=1,ROUND(SUMIFS('All Donations'!$S$2:$S$4001,'All Donations'!$R$2:$R$4001,AD18,'All Donations'!$T$2:$T$4001,"&lt;="&amp;'Settings'!$D$30),2),0)</f>
        <v/>
      </c>
      <c r="AZ18">
        <f>IF(AE18=1,ROUND(SUMIFS('All Donations'!$S$2:$S$4001,'All Donations'!$R$2:$R$4001,AD18,'All Donations'!$T$2:$T$4001,"&lt;="&amp;'Settings'!$D$34),2),0)</f>
        <v/>
      </c>
    </row>
    <row r="19">
      <c r="A19">
        <f>IF(AE19=1,TRIM(TRIM('Roster'!B19)&amp;" "&amp;TRIM('Roster'!C19)),"")</f>
        <v/>
      </c>
      <c r="B19">
        <f>IF(AE19=1,IF(AN19="","(no teacher)",AN19&amp;" – "&amp;C19),"")</f>
        <v/>
      </c>
      <c r="C19">
        <f>IF(AE19=1,TRIM('Roster'!D19&amp;""),"")</f>
        <v/>
      </c>
      <c r="D19" s="48">
        <f>IF(AE19=1,ROUND(SUMIFS('All Donations'!$S$2:$S$4001,'All Donations'!$R$2:$R$4001,AD19),2),"")</f>
        <v/>
      </c>
      <c r="E19" s="48">
        <f>IF(AE19=1,ROUND(SUMIFS('All Donations'!$S$2:$S$4001,'All Donations'!$R$2:$R$4001,AD19,'All Donations'!$G$2:$G$4001,"OneCause"),2),"")</f>
        <v/>
      </c>
      <c r="F19" s="48">
        <f>IF(AE19=1,D19-E19,"")</f>
        <v/>
      </c>
      <c r="G19">
        <f>IF(AE19=1,COUNTIFS('All Donations'!$R$2:$R$4001,AD19,'All Donations'!$H$2:$H$4001,"OK"),"")</f>
        <v/>
      </c>
      <c r="H19">
        <f>IF(AE19&lt;&gt;1,"",IF(D19&gt;0,"Yes",""))</f>
        <v/>
      </c>
      <c r="I19" s="49">
        <f>IF(OR($AE19&lt;&gt;1,I$1=""),"",SUMIFS('All Donations'!$S$2:$S$4001,'All Donations'!$R$2:$R$4001,$AD19,'All Donations'!$T$2:$T$4001,I$1))</f>
        <v/>
      </c>
      <c r="J19" s="49">
        <f>IF(OR($AE19&lt;&gt;1,J$1=""),"",SUMIFS('All Donations'!$S$2:$S$4001,'All Donations'!$R$2:$R$4001,$AD19,'All Donations'!$T$2:$T$4001,J$1))</f>
        <v/>
      </c>
      <c r="K19" s="49">
        <f>IF(OR($AE19&lt;&gt;1,K$1=""),"",SUMIFS('All Donations'!$S$2:$S$4001,'All Donations'!$R$2:$R$4001,$AD19,'All Donations'!$T$2:$T$4001,K$1))</f>
        <v/>
      </c>
      <c r="L19" s="49">
        <f>IF(OR($AE19&lt;&gt;1,L$1=""),"",SUMIFS('All Donations'!$S$2:$S$4001,'All Donations'!$R$2:$R$4001,$AD19,'All Donations'!$T$2:$T$4001,L$1))</f>
        <v/>
      </c>
      <c r="M19" s="49">
        <f>IF(OR($AE19&lt;&gt;1,M$1=""),"",SUMIFS('All Donations'!$S$2:$S$4001,'All Donations'!$R$2:$R$4001,$AD19,'All Donations'!$T$2:$T$4001,M$1))</f>
        <v/>
      </c>
      <c r="N19" s="49">
        <f>IF(OR($AE19&lt;&gt;1,N$1=""),"",SUMIFS('All Donations'!$S$2:$S$4001,'All Donations'!$R$2:$R$4001,$AD19,'All Donations'!$T$2:$T$4001,N$1))</f>
        <v/>
      </c>
      <c r="O19" s="49">
        <f>IF(OR($AE19&lt;&gt;1,O$1=""),"",SUMIFS('All Donations'!$S$2:$S$4001,'All Donations'!$R$2:$R$4001,$AD19,'All Donations'!$T$2:$T$4001,O$1))</f>
        <v/>
      </c>
      <c r="P19" s="49">
        <f>IF(OR($AE19&lt;&gt;1,P$1=""),"",SUMIFS('All Donations'!$S$2:$S$4001,'All Donations'!$R$2:$R$4001,$AD19,'All Donations'!$T$2:$T$4001,P$1))</f>
        <v/>
      </c>
      <c r="Q19" s="49">
        <f>IF(OR($AE19&lt;&gt;1,Q$1=""),"",SUMIFS('All Donations'!$S$2:$S$4001,'All Donations'!$R$2:$R$4001,$AD19,'All Donations'!$T$2:$T$4001,Q$1))</f>
        <v/>
      </c>
      <c r="R19" s="49">
        <f>IF(OR($AE19&lt;&gt;1,R$1=""),"",SUMIFS('All Donations'!$S$2:$S$4001,'All Donations'!$R$2:$R$4001,$AD19,'All Donations'!$T$2:$T$4001,R$1))</f>
        <v/>
      </c>
      <c r="S19" s="49">
        <f>IF(OR($AE19&lt;&gt;1,S$1=""),"",SUMIFS('All Donations'!$S$2:$S$4001,'All Donations'!$R$2:$R$4001,$AD19,'All Donations'!$T$2:$T$4001,S$1))</f>
        <v/>
      </c>
      <c r="T19" s="49">
        <f>IF(OR($AE19&lt;&gt;1,T$1=""),"",SUMIFS('All Donations'!$S$2:$S$4001,'All Donations'!$R$2:$R$4001,$AD19,'All Donations'!$T$2:$T$4001,T$1))</f>
        <v/>
      </c>
      <c r="U19" s="49">
        <f>IF(OR($AE19&lt;&gt;1,U$1=""),"",SUMIFS('All Donations'!$S$2:$S$4001,'All Donations'!$R$2:$R$4001,$AD19,'All Donations'!$T$2:$T$4001,U$1))</f>
        <v/>
      </c>
      <c r="V19" s="49">
        <f>IF(OR($AE19&lt;&gt;1,V$1=""),"",SUMIFS('All Donations'!$S$2:$S$4001,'All Donations'!$R$2:$R$4001,$AD19,'All Donations'!$T$2:$T$4001,V$1))</f>
        <v/>
      </c>
      <c r="W19" s="49">
        <f>IF(OR($AE19&lt;&gt;1,W$1=""),"",SUMIFS('All Donations'!$S$2:$S$4001,'All Donations'!$R$2:$R$4001,$AD19,'All Donations'!$T$2:$T$4001,W$1))</f>
        <v/>
      </c>
      <c r="X19" s="49">
        <f>IF(OR($AE19&lt;&gt;1,X$1=""),"",SUMIFS('All Donations'!$S$2:$S$4001,'All Donations'!$R$2:$R$4001,$AD19,'All Donations'!$T$2:$T$4001,X$1))</f>
        <v/>
      </c>
      <c r="Y19" s="49">
        <f>IF(OR($AE19&lt;&gt;1,Y$1=""),"",SUMIFS('All Donations'!$S$2:$S$4001,'All Donations'!$R$2:$R$4001,$AD19,'All Donations'!$T$2:$T$4001,Y$1))</f>
        <v/>
      </c>
      <c r="Z19" s="49">
        <f>IF(OR($AE19&lt;&gt;1,Z$1=""),"",SUMIFS('All Donations'!$S$2:$S$4001,'All Donations'!$R$2:$R$4001,$AD19,'All Donations'!$T$2:$T$4001,Z$1))</f>
        <v/>
      </c>
      <c r="AA19" s="49">
        <f>IF(OR($AE19&lt;&gt;1,AA$1=""),"",SUMIFS('All Donations'!$S$2:$S$4001,'All Donations'!$R$2:$R$4001,$AD19,'All Donations'!$T$2:$T$4001,AA$1))</f>
        <v/>
      </c>
      <c r="AB19" s="49">
        <f>IF(OR($AE19&lt;&gt;1,AB$1=""),"",SUMIFS('All Donations'!$S$2:$S$4001,'All Donations'!$R$2:$R$4001,$AD19,'All Donations'!$T$2:$T$4001,AB$1))</f>
        <v/>
      </c>
      <c r="AC19" s="49">
        <f>IF(OR($AE19&lt;&gt;1,AC$1=""),"",SUMIFS('All Donations'!$S$2:$S$4001,'All Donations'!$R$2:$R$4001,$AD19,'All Donations'!$T$2:$T$4001,AC$1))</f>
        <v/>
      </c>
      <c r="AD19">
        <f>IF(AE19=1,'Roster'!A19,"")</f>
        <v/>
      </c>
      <c r="AE19">
        <f>IF(TRIM('Roster'!B19&amp;'Roster'!C19)&lt;&gt;"",1,0)</f>
        <v/>
      </c>
      <c r="AF19">
        <f>IF(AE19=1,LOWER(A19),"#")</f>
        <v/>
      </c>
      <c r="AG19">
        <f>IF(AE19=1,LOWER(TRIM(TRIM('Roster'!C19)&amp;", "&amp;TRIM('Roster'!B19))),"#")</f>
        <v/>
      </c>
      <c r="AH19">
        <f>IF(AND(AE19=1,TRIM('Roster'!F19)&lt;&gt;""),LOWER(TRIM('Roster'!F19)),"#")</f>
        <v/>
      </c>
      <c r="AI19">
        <f>IF(AE19=1,IF(MATCH(B19,$B$2:$B$701,0)=ROW()-1,1,0),0)</f>
        <v/>
      </c>
      <c r="AJ19">
        <f>AJ18+AI19</f>
        <v/>
      </c>
      <c r="AK19">
        <f>IF(AE19=1,D19+(1000-ROW())/10^7,-1)</f>
        <v/>
      </c>
      <c r="AL19">
        <f>IF(AE19=1,TRIM('Roster'!B19)&amp;" "&amp;LEFT(TRIM('Roster'!C19),1)&amp;".","")</f>
        <v/>
      </c>
      <c r="AM19">
        <f>IF(AE19=1,TRIM('Roster'!C19)&amp;", "&amp;TRIM('Roster'!B19)&amp;" ("&amp;B19&amp;") #"&amp;AD19,"")</f>
        <v/>
      </c>
      <c r="AN19">
        <f>IF(AE19=1,TRIM('Roster'!E19),"")</f>
        <v/>
      </c>
      <c r="AO19">
        <f>IF(AE19=1,ROUND(SUMIFS('All Donations'!$S$2:$S$4001,'All Donations'!$R$2:$R$4001,AD19,'All Donations'!$T$2:$T$4001,"&gt;="&amp;'Settings'!$C$23,'All Donations'!$T$2:$T$4001,"&lt;="&amp;'Settings'!$D$23),2),0)</f>
        <v/>
      </c>
      <c r="AQ19">
        <f>IF(AE19=1,ROUND(SUMIFS('All Donations'!$S$2:$S$4001,'All Donations'!$R$2:$R$4001,AD19,'All Donations'!$T$2:$T$4001,"&gt;="&amp;'Settings'!$C$25,'All Donations'!$T$2:$T$4001,"&lt;="&amp;'Settings'!$D$25),2),0)</f>
        <v/>
      </c>
      <c r="AR19">
        <f>IF(AE19=1,ROUND(SUMIFS('All Donations'!$S$2:$S$4001,'All Donations'!$R$2:$R$4001,AD19,'All Donations'!$T$2:$T$4001,"&gt;="&amp;'Settings'!$C$26,'All Donations'!$T$2:$T$4001,"&lt;="&amp;'Settings'!$D$26),2),0)</f>
        <v/>
      </c>
      <c r="AS19">
        <f>IF(AE19=1,ROUND(SUMIFS('All Donations'!$S$2:$S$4001,'All Donations'!$R$2:$R$4001,AD19,'All Donations'!$T$2:$T$4001,"&lt;="&amp;'Settings'!$D$27),2),0)</f>
        <v/>
      </c>
      <c r="AT19">
        <f>IF(AE19=1,ROUND(SUMIFS('All Donations'!$S$2:$S$4001,'All Donations'!$R$2:$R$4001,AD19,'All Donations'!$T$2:$T$4001,"&gt;="&amp;'Settings'!$C$28,'All Donations'!$T$2:$T$4001,"&lt;="&amp;'Settings'!$D$28),2),0)</f>
        <v/>
      </c>
      <c r="AU19">
        <f>IF(AE19=1,ROUND(SUMIFS('All Donations'!$S$2:$S$4001,'All Donations'!$R$2:$R$4001,AD19,'All Donations'!$T$2:$T$4001,"&gt;="&amp;'Settings'!$C$29,'All Donations'!$T$2:$T$4001,"&lt;="&amp;'Settings'!$D$29),2),0)</f>
        <v/>
      </c>
      <c r="AV19">
        <f>IF(AE19=1,ROUND(SUMIFS('All Donations'!$S$2:$S$4001,'All Donations'!$R$2:$R$4001,AD19,'All Donations'!$T$2:$T$4001,"&lt;="&amp;'Settings'!$D$30),2),0)</f>
        <v/>
      </c>
      <c r="AZ19">
        <f>IF(AE19=1,ROUND(SUMIFS('All Donations'!$S$2:$S$4001,'All Donations'!$R$2:$R$4001,AD19,'All Donations'!$T$2:$T$4001,"&lt;="&amp;'Settings'!$D$34),2),0)</f>
        <v/>
      </c>
    </row>
    <row r="20">
      <c r="A20">
        <f>IF(AE20=1,TRIM(TRIM('Roster'!B20)&amp;" "&amp;TRIM('Roster'!C20)),"")</f>
        <v/>
      </c>
      <c r="B20">
        <f>IF(AE20=1,IF(AN20="","(no teacher)",AN20&amp;" – "&amp;C20),"")</f>
        <v/>
      </c>
      <c r="C20">
        <f>IF(AE20=1,TRIM('Roster'!D20&amp;""),"")</f>
        <v/>
      </c>
      <c r="D20" s="48">
        <f>IF(AE20=1,ROUND(SUMIFS('All Donations'!$S$2:$S$4001,'All Donations'!$R$2:$R$4001,AD20),2),"")</f>
        <v/>
      </c>
      <c r="E20" s="48">
        <f>IF(AE20=1,ROUND(SUMIFS('All Donations'!$S$2:$S$4001,'All Donations'!$R$2:$R$4001,AD20,'All Donations'!$G$2:$G$4001,"OneCause"),2),"")</f>
        <v/>
      </c>
      <c r="F20" s="48">
        <f>IF(AE20=1,D20-E20,"")</f>
        <v/>
      </c>
      <c r="G20">
        <f>IF(AE20=1,COUNTIFS('All Donations'!$R$2:$R$4001,AD20,'All Donations'!$H$2:$H$4001,"OK"),"")</f>
        <v/>
      </c>
      <c r="H20">
        <f>IF(AE20&lt;&gt;1,"",IF(D20&gt;0,"Yes",""))</f>
        <v/>
      </c>
      <c r="I20" s="49">
        <f>IF(OR($AE20&lt;&gt;1,I$1=""),"",SUMIFS('All Donations'!$S$2:$S$4001,'All Donations'!$R$2:$R$4001,$AD20,'All Donations'!$T$2:$T$4001,I$1))</f>
        <v/>
      </c>
      <c r="J20" s="49">
        <f>IF(OR($AE20&lt;&gt;1,J$1=""),"",SUMIFS('All Donations'!$S$2:$S$4001,'All Donations'!$R$2:$R$4001,$AD20,'All Donations'!$T$2:$T$4001,J$1))</f>
        <v/>
      </c>
      <c r="K20" s="49">
        <f>IF(OR($AE20&lt;&gt;1,K$1=""),"",SUMIFS('All Donations'!$S$2:$S$4001,'All Donations'!$R$2:$R$4001,$AD20,'All Donations'!$T$2:$T$4001,K$1))</f>
        <v/>
      </c>
      <c r="L20" s="49">
        <f>IF(OR($AE20&lt;&gt;1,L$1=""),"",SUMIFS('All Donations'!$S$2:$S$4001,'All Donations'!$R$2:$R$4001,$AD20,'All Donations'!$T$2:$T$4001,L$1))</f>
        <v/>
      </c>
      <c r="M20" s="49">
        <f>IF(OR($AE20&lt;&gt;1,M$1=""),"",SUMIFS('All Donations'!$S$2:$S$4001,'All Donations'!$R$2:$R$4001,$AD20,'All Donations'!$T$2:$T$4001,M$1))</f>
        <v/>
      </c>
      <c r="N20" s="49">
        <f>IF(OR($AE20&lt;&gt;1,N$1=""),"",SUMIFS('All Donations'!$S$2:$S$4001,'All Donations'!$R$2:$R$4001,$AD20,'All Donations'!$T$2:$T$4001,N$1))</f>
        <v/>
      </c>
      <c r="O20" s="49">
        <f>IF(OR($AE20&lt;&gt;1,O$1=""),"",SUMIFS('All Donations'!$S$2:$S$4001,'All Donations'!$R$2:$R$4001,$AD20,'All Donations'!$T$2:$T$4001,O$1))</f>
        <v/>
      </c>
      <c r="P20" s="49">
        <f>IF(OR($AE20&lt;&gt;1,P$1=""),"",SUMIFS('All Donations'!$S$2:$S$4001,'All Donations'!$R$2:$R$4001,$AD20,'All Donations'!$T$2:$T$4001,P$1))</f>
        <v/>
      </c>
      <c r="Q20" s="49">
        <f>IF(OR($AE20&lt;&gt;1,Q$1=""),"",SUMIFS('All Donations'!$S$2:$S$4001,'All Donations'!$R$2:$R$4001,$AD20,'All Donations'!$T$2:$T$4001,Q$1))</f>
        <v/>
      </c>
      <c r="R20" s="49">
        <f>IF(OR($AE20&lt;&gt;1,R$1=""),"",SUMIFS('All Donations'!$S$2:$S$4001,'All Donations'!$R$2:$R$4001,$AD20,'All Donations'!$T$2:$T$4001,R$1))</f>
        <v/>
      </c>
      <c r="S20" s="49">
        <f>IF(OR($AE20&lt;&gt;1,S$1=""),"",SUMIFS('All Donations'!$S$2:$S$4001,'All Donations'!$R$2:$R$4001,$AD20,'All Donations'!$T$2:$T$4001,S$1))</f>
        <v/>
      </c>
      <c r="T20" s="49">
        <f>IF(OR($AE20&lt;&gt;1,T$1=""),"",SUMIFS('All Donations'!$S$2:$S$4001,'All Donations'!$R$2:$R$4001,$AD20,'All Donations'!$T$2:$T$4001,T$1))</f>
        <v/>
      </c>
      <c r="U20" s="49">
        <f>IF(OR($AE20&lt;&gt;1,U$1=""),"",SUMIFS('All Donations'!$S$2:$S$4001,'All Donations'!$R$2:$R$4001,$AD20,'All Donations'!$T$2:$T$4001,U$1))</f>
        <v/>
      </c>
      <c r="V20" s="49">
        <f>IF(OR($AE20&lt;&gt;1,V$1=""),"",SUMIFS('All Donations'!$S$2:$S$4001,'All Donations'!$R$2:$R$4001,$AD20,'All Donations'!$T$2:$T$4001,V$1))</f>
        <v/>
      </c>
      <c r="W20" s="49">
        <f>IF(OR($AE20&lt;&gt;1,W$1=""),"",SUMIFS('All Donations'!$S$2:$S$4001,'All Donations'!$R$2:$R$4001,$AD20,'All Donations'!$T$2:$T$4001,W$1))</f>
        <v/>
      </c>
      <c r="X20" s="49">
        <f>IF(OR($AE20&lt;&gt;1,X$1=""),"",SUMIFS('All Donations'!$S$2:$S$4001,'All Donations'!$R$2:$R$4001,$AD20,'All Donations'!$T$2:$T$4001,X$1))</f>
        <v/>
      </c>
      <c r="Y20" s="49">
        <f>IF(OR($AE20&lt;&gt;1,Y$1=""),"",SUMIFS('All Donations'!$S$2:$S$4001,'All Donations'!$R$2:$R$4001,$AD20,'All Donations'!$T$2:$T$4001,Y$1))</f>
        <v/>
      </c>
      <c r="Z20" s="49">
        <f>IF(OR($AE20&lt;&gt;1,Z$1=""),"",SUMIFS('All Donations'!$S$2:$S$4001,'All Donations'!$R$2:$R$4001,$AD20,'All Donations'!$T$2:$T$4001,Z$1))</f>
        <v/>
      </c>
      <c r="AA20" s="49">
        <f>IF(OR($AE20&lt;&gt;1,AA$1=""),"",SUMIFS('All Donations'!$S$2:$S$4001,'All Donations'!$R$2:$R$4001,$AD20,'All Donations'!$T$2:$T$4001,AA$1))</f>
        <v/>
      </c>
      <c r="AB20" s="49">
        <f>IF(OR($AE20&lt;&gt;1,AB$1=""),"",SUMIFS('All Donations'!$S$2:$S$4001,'All Donations'!$R$2:$R$4001,$AD20,'All Donations'!$T$2:$T$4001,AB$1))</f>
        <v/>
      </c>
      <c r="AC20" s="49">
        <f>IF(OR($AE20&lt;&gt;1,AC$1=""),"",SUMIFS('All Donations'!$S$2:$S$4001,'All Donations'!$R$2:$R$4001,$AD20,'All Donations'!$T$2:$T$4001,AC$1))</f>
        <v/>
      </c>
      <c r="AD20">
        <f>IF(AE20=1,'Roster'!A20,"")</f>
        <v/>
      </c>
      <c r="AE20">
        <f>IF(TRIM('Roster'!B20&amp;'Roster'!C20)&lt;&gt;"",1,0)</f>
        <v/>
      </c>
      <c r="AF20">
        <f>IF(AE20=1,LOWER(A20),"#")</f>
        <v/>
      </c>
      <c r="AG20">
        <f>IF(AE20=1,LOWER(TRIM(TRIM('Roster'!C20)&amp;", "&amp;TRIM('Roster'!B20))),"#")</f>
        <v/>
      </c>
      <c r="AH20">
        <f>IF(AND(AE20=1,TRIM('Roster'!F20)&lt;&gt;""),LOWER(TRIM('Roster'!F20)),"#")</f>
        <v/>
      </c>
      <c r="AI20">
        <f>IF(AE20=1,IF(MATCH(B20,$B$2:$B$701,0)=ROW()-1,1,0),0)</f>
        <v/>
      </c>
      <c r="AJ20">
        <f>AJ19+AI20</f>
        <v/>
      </c>
      <c r="AK20">
        <f>IF(AE20=1,D20+(1000-ROW())/10^7,-1)</f>
        <v/>
      </c>
      <c r="AL20">
        <f>IF(AE20=1,TRIM('Roster'!B20)&amp;" "&amp;LEFT(TRIM('Roster'!C20),1)&amp;".","")</f>
        <v/>
      </c>
      <c r="AM20">
        <f>IF(AE20=1,TRIM('Roster'!C20)&amp;", "&amp;TRIM('Roster'!B20)&amp;" ("&amp;B20&amp;") #"&amp;AD20,"")</f>
        <v/>
      </c>
      <c r="AN20">
        <f>IF(AE20=1,TRIM('Roster'!E20),"")</f>
        <v/>
      </c>
      <c r="AO20">
        <f>IF(AE20=1,ROUND(SUMIFS('All Donations'!$S$2:$S$4001,'All Donations'!$R$2:$R$4001,AD20,'All Donations'!$T$2:$T$4001,"&gt;="&amp;'Settings'!$C$23,'All Donations'!$T$2:$T$4001,"&lt;="&amp;'Settings'!$D$23),2),0)</f>
        <v/>
      </c>
      <c r="AQ20">
        <f>IF(AE20=1,ROUND(SUMIFS('All Donations'!$S$2:$S$4001,'All Donations'!$R$2:$R$4001,AD20,'All Donations'!$T$2:$T$4001,"&gt;="&amp;'Settings'!$C$25,'All Donations'!$T$2:$T$4001,"&lt;="&amp;'Settings'!$D$25),2),0)</f>
        <v/>
      </c>
      <c r="AR20">
        <f>IF(AE20=1,ROUND(SUMIFS('All Donations'!$S$2:$S$4001,'All Donations'!$R$2:$R$4001,AD20,'All Donations'!$T$2:$T$4001,"&gt;="&amp;'Settings'!$C$26,'All Donations'!$T$2:$T$4001,"&lt;="&amp;'Settings'!$D$26),2),0)</f>
        <v/>
      </c>
      <c r="AS20">
        <f>IF(AE20=1,ROUND(SUMIFS('All Donations'!$S$2:$S$4001,'All Donations'!$R$2:$R$4001,AD20,'All Donations'!$T$2:$T$4001,"&lt;="&amp;'Settings'!$D$27),2),0)</f>
        <v/>
      </c>
      <c r="AT20">
        <f>IF(AE20=1,ROUND(SUMIFS('All Donations'!$S$2:$S$4001,'All Donations'!$R$2:$R$4001,AD20,'All Donations'!$T$2:$T$4001,"&gt;="&amp;'Settings'!$C$28,'All Donations'!$T$2:$T$4001,"&lt;="&amp;'Settings'!$D$28),2),0)</f>
        <v/>
      </c>
      <c r="AU20">
        <f>IF(AE20=1,ROUND(SUMIFS('All Donations'!$S$2:$S$4001,'All Donations'!$R$2:$R$4001,AD20,'All Donations'!$T$2:$T$4001,"&gt;="&amp;'Settings'!$C$29,'All Donations'!$T$2:$T$4001,"&lt;="&amp;'Settings'!$D$29),2),0)</f>
        <v/>
      </c>
      <c r="AV20">
        <f>IF(AE20=1,ROUND(SUMIFS('All Donations'!$S$2:$S$4001,'All Donations'!$R$2:$R$4001,AD20,'All Donations'!$T$2:$T$4001,"&lt;="&amp;'Settings'!$D$30),2),0)</f>
        <v/>
      </c>
      <c r="AZ20">
        <f>IF(AE20=1,ROUND(SUMIFS('All Donations'!$S$2:$S$4001,'All Donations'!$R$2:$R$4001,AD20,'All Donations'!$T$2:$T$4001,"&lt;="&amp;'Settings'!$D$34),2),0)</f>
        <v/>
      </c>
    </row>
    <row r="21">
      <c r="A21">
        <f>IF(AE21=1,TRIM(TRIM('Roster'!B21)&amp;" "&amp;TRIM('Roster'!C21)),"")</f>
        <v/>
      </c>
      <c r="B21">
        <f>IF(AE21=1,IF(AN21="","(no teacher)",AN21&amp;" – "&amp;C21),"")</f>
        <v/>
      </c>
      <c r="C21">
        <f>IF(AE21=1,TRIM('Roster'!D21&amp;""),"")</f>
        <v/>
      </c>
      <c r="D21" s="48">
        <f>IF(AE21=1,ROUND(SUMIFS('All Donations'!$S$2:$S$4001,'All Donations'!$R$2:$R$4001,AD21),2),"")</f>
        <v/>
      </c>
      <c r="E21" s="48">
        <f>IF(AE21=1,ROUND(SUMIFS('All Donations'!$S$2:$S$4001,'All Donations'!$R$2:$R$4001,AD21,'All Donations'!$G$2:$G$4001,"OneCause"),2),"")</f>
        <v/>
      </c>
      <c r="F21" s="48">
        <f>IF(AE21=1,D21-E21,"")</f>
        <v/>
      </c>
      <c r="G21">
        <f>IF(AE21=1,COUNTIFS('All Donations'!$R$2:$R$4001,AD21,'All Donations'!$H$2:$H$4001,"OK"),"")</f>
        <v/>
      </c>
      <c r="H21">
        <f>IF(AE21&lt;&gt;1,"",IF(D21&gt;0,"Yes",""))</f>
        <v/>
      </c>
      <c r="I21" s="49">
        <f>IF(OR($AE21&lt;&gt;1,I$1=""),"",SUMIFS('All Donations'!$S$2:$S$4001,'All Donations'!$R$2:$R$4001,$AD21,'All Donations'!$T$2:$T$4001,I$1))</f>
        <v/>
      </c>
      <c r="J21" s="49">
        <f>IF(OR($AE21&lt;&gt;1,J$1=""),"",SUMIFS('All Donations'!$S$2:$S$4001,'All Donations'!$R$2:$R$4001,$AD21,'All Donations'!$T$2:$T$4001,J$1))</f>
        <v/>
      </c>
      <c r="K21" s="49">
        <f>IF(OR($AE21&lt;&gt;1,K$1=""),"",SUMIFS('All Donations'!$S$2:$S$4001,'All Donations'!$R$2:$R$4001,$AD21,'All Donations'!$T$2:$T$4001,K$1))</f>
        <v/>
      </c>
      <c r="L21" s="49">
        <f>IF(OR($AE21&lt;&gt;1,L$1=""),"",SUMIFS('All Donations'!$S$2:$S$4001,'All Donations'!$R$2:$R$4001,$AD21,'All Donations'!$T$2:$T$4001,L$1))</f>
        <v/>
      </c>
      <c r="M21" s="49">
        <f>IF(OR($AE21&lt;&gt;1,M$1=""),"",SUMIFS('All Donations'!$S$2:$S$4001,'All Donations'!$R$2:$R$4001,$AD21,'All Donations'!$T$2:$T$4001,M$1))</f>
        <v/>
      </c>
      <c r="N21" s="49">
        <f>IF(OR($AE21&lt;&gt;1,N$1=""),"",SUMIFS('All Donations'!$S$2:$S$4001,'All Donations'!$R$2:$R$4001,$AD21,'All Donations'!$T$2:$T$4001,N$1))</f>
        <v/>
      </c>
      <c r="O21" s="49">
        <f>IF(OR($AE21&lt;&gt;1,O$1=""),"",SUMIFS('All Donations'!$S$2:$S$4001,'All Donations'!$R$2:$R$4001,$AD21,'All Donations'!$T$2:$T$4001,O$1))</f>
        <v/>
      </c>
      <c r="P21" s="49">
        <f>IF(OR($AE21&lt;&gt;1,P$1=""),"",SUMIFS('All Donations'!$S$2:$S$4001,'All Donations'!$R$2:$R$4001,$AD21,'All Donations'!$T$2:$T$4001,P$1))</f>
        <v/>
      </c>
      <c r="Q21" s="49">
        <f>IF(OR($AE21&lt;&gt;1,Q$1=""),"",SUMIFS('All Donations'!$S$2:$S$4001,'All Donations'!$R$2:$R$4001,$AD21,'All Donations'!$T$2:$T$4001,Q$1))</f>
        <v/>
      </c>
      <c r="R21" s="49">
        <f>IF(OR($AE21&lt;&gt;1,R$1=""),"",SUMIFS('All Donations'!$S$2:$S$4001,'All Donations'!$R$2:$R$4001,$AD21,'All Donations'!$T$2:$T$4001,R$1))</f>
        <v/>
      </c>
      <c r="S21" s="49">
        <f>IF(OR($AE21&lt;&gt;1,S$1=""),"",SUMIFS('All Donations'!$S$2:$S$4001,'All Donations'!$R$2:$R$4001,$AD21,'All Donations'!$T$2:$T$4001,S$1))</f>
        <v/>
      </c>
      <c r="T21" s="49">
        <f>IF(OR($AE21&lt;&gt;1,T$1=""),"",SUMIFS('All Donations'!$S$2:$S$4001,'All Donations'!$R$2:$R$4001,$AD21,'All Donations'!$T$2:$T$4001,T$1))</f>
        <v/>
      </c>
      <c r="U21" s="49">
        <f>IF(OR($AE21&lt;&gt;1,U$1=""),"",SUMIFS('All Donations'!$S$2:$S$4001,'All Donations'!$R$2:$R$4001,$AD21,'All Donations'!$T$2:$T$4001,U$1))</f>
        <v/>
      </c>
      <c r="V21" s="49">
        <f>IF(OR($AE21&lt;&gt;1,V$1=""),"",SUMIFS('All Donations'!$S$2:$S$4001,'All Donations'!$R$2:$R$4001,$AD21,'All Donations'!$T$2:$T$4001,V$1))</f>
        <v/>
      </c>
      <c r="W21" s="49">
        <f>IF(OR($AE21&lt;&gt;1,W$1=""),"",SUMIFS('All Donations'!$S$2:$S$4001,'All Donations'!$R$2:$R$4001,$AD21,'All Donations'!$T$2:$T$4001,W$1))</f>
        <v/>
      </c>
      <c r="X21" s="49">
        <f>IF(OR($AE21&lt;&gt;1,X$1=""),"",SUMIFS('All Donations'!$S$2:$S$4001,'All Donations'!$R$2:$R$4001,$AD21,'All Donations'!$T$2:$T$4001,X$1))</f>
        <v/>
      </c>
      <c r="Y21" s="49">
        <f>IF(OR($AE21&lt;&gt;1,Y$1=""),"",SUMIFS('All Donations'!$S$2:$S$4001,'All Donations'!$R$2:$R$4001,$AD21,'All Donations'!$T$2:$T$4001,Y$1))</f>
        <v/>
      </c>
      <c r="Z21" s="49">
        <f>IF(OR($AE21&lt;&gt;1,Z$1=""),"",SUMIFS('All Donations'!$S$2:$S$4001,'All Donations'!$R$2:$R$4001,$AD21,'All Donations'!$T$2:$T$4001,Z$1))</f>
        <v/>
      </c>
      <c r="AA21" s="49">
        <f>IF(OR($AE21&lt;&gt;1,AA$1=""),"",SUMIFS('All Donations'!$S$2:$S$4001,'All Donations'!$R$2:$R$4001,$AD21,'All Donations'!$T$2:$T$4001,AA$1))</f>
        <v/>
      </c>
      <c r="AB21" s="49">
        <f>IF(OR($AE21&lt;&gt;1,AB$1=""),"",SUMIFS('All Donations'!$S$2:$S$4001,'All Donations'!$R$2:$R$4001,$AD21,'All Donations'!$T$2:$T$4001,AB$1))</f>
        <v/>
      </c>
      <c r="AC21" s="49">
        <f>IF(OR($AE21&lt;&gt;1,AC$1=""),"",SUMIFS('All Donations'!$S$2:$S$4001,'All Donations'!$R$2:$R$4001,$AD21,'All Donations'!$T$2:$T$4001,AC$1))</f>
        <v/>
      </c>
      <c r="AD21">
        <f>IF(AE21=1,'Roster'!A21,"")</f>
        <v/>
      </c>
      <c r="AE21">
        <f>IF(TRIM('Roster'!B21&amp;'Roster'!C21)&lt;&gt;"",1,0)</f>
        <v/>
      </c>
      <c r="AF21">
        <f>IF(AE21=1,LOWER(A21),"#")</f>
        <v/>
      </c>
      <c r="AG21">
        <f>IF(AE21=1,LOWER(TRIM(TRIM('Roster'!C21)&amp;", "&amp;TRIM('Roster'!B21))),"#")</f>
        <v/>
      </c>
      <c r="AH21">
        <f>IF(AND(AE21=1,TRIM('Roster'!F21)&lt;&gt;""),LOWER(TRIM('Roster'!F21)),"#")</f>
        <v/>
      </c>
      <c r="AI21">
        <f>IF(AE21=1,IF(MATCH(B21,$B$2:$B$701,0)=ROW()-1,1,0),0)</f>
        <v/>
      </c>
      <c r="AJ21">
        <f>AJ20+AI21</f>
        <v/>
      </c>
      <c r="AK21">
        <f>IF(AE21=1,D21+(1000-ROW())/10^7,-1)</f>
        <v/>
      </c>
      <c r="AL21">
        <f>IF(AE21=1,TRIM('Roster'!B21)&amp;" "&amp;LEFT(TRIM('Roster'!C21),1)&amp;".","")</f>
        <v/>
      </c>
      <c r="AM21">
        <f>IF(AE21=1,TRIM('Roster'!C21)&amp;", "&amp;TRIM('Roster'!B21)&amp;" ("&amp;B21&amp;") #"&amp;AD21,"")</f>
        <v/>
      </c>
      <c r="AN21">
        <f>IF(AE21=1,TRIM('Roster'!E21),"")</f>
        <v/>
      </c>
      <c r="AO21">
        <f>IF(AE21=1,ROUND(SUMIFS('All Donations'!$S$2:$S$4001,'All Donations'!$R$2:$R$4001,AD21,'All Donations'!$T$2:$T$4001,"&gt;="&amp;'Settings'!$C$23,'All Donations'!$T$2:$T$4001,"&lt;="&amp;'Settings'!$D$23),2),0)</f>
        <v/>
      </c>
      <c r="AQ21">
        <f>IF(AE21=1,ROUND(SUMIFS('All Donations'!$S$2:$S$4001,'All Donations'!$R$2:$R$4001,AD21,'All Donations'!$T$2:$T$4001,"&gt;="&amp;'Settings'!$C$25,'All Donations'!$T$2:$T$4001,"&lt;="&amp;'Settings'!$D$25),2),0)</f>
        <v/>
      </c>
      <c r="AR21">
        <f>IF(AE21=1,ROUND(SUMIFS('All Donations'!$S$2:$S$4001,'All Donations'!$R$2:$R$4001,AD21,'All Donations'!$T$2:$T$4001,"&gt;="&amp;'Settings'!$C$26,'All Donations'!$T$2:$T$4001,"&lt;="&amp;'Settings'!$D$26),2),0)</f>
        <v/>
      </c>
      <c r="AS21">
        <f>IF(AE21=1,ROUND(SUMIFS('All Donations'!$S$2:$S$4001,'All Donations'!$R$2:$R$4001,AD21,'All Donations'!$T$2:$T$4001,"&lt;="&amp;'Settings'!$D$27),2),0)</f>
        <v/>
      </c>
      <c r="AT21">
        <f>IF(AE21=1,ROUND(SUMIFS('All Donations'!$S$2:$S$4001,'All Donations'!$R$2:$R$4001,AD21,'All Donations'!$T$2:$T$4001,"&gt;="&amp;'Settings'!$C$28,'All Donations'!$T$2:$T$4001,"&lt;="&amp;'Settings'!$D$28),2),0)</f>
        <v/>
      </c>
      <c r="AU21">
        <f>IF(AE21=1,ROUND(SUMIFS('All Donations'!$S$2:$S$4001,'All Donations'!$R$2:$R$4001,AD21,'All Donations'!$T$2:$T$4001,"&gt;="&amp;'Settings'!$C$29,'All Donations'!$T$2:$T$4001,"&lt;="&amp;'Settings'!$D$29),2),0)</f>
        <v/>
      </c>
      <c r="AV21">
        <f>IF(AE21=1,ROUND(SUMIFS('All Donations'!$S$2:$S$4001,'All Donations'!$R$2:$R$4001,AD21,'All Donations'!$T$2:$T$4001,"&lt;="&amp;'Settings'!$D$30),2),0)</f>
        <v/>
      </c>
      <c r="AZ21">
        <f>IF(AE21=1,ROUND(SUMIFS('All Donations'!$S$2:$S$4001,'All Donations'!$R$2:$R$4001,AD21,'All Donations'!$T$2:$T$4001,"&lt;="&amp;'Settings'!$D$34),2),0)</f>
        <v/>
      </c>
    </row>
    <row r="22">
      <c r="A22">
        <f>IF(AE22=1,TRIM(TRIM('Roster'!B22)&amp;" "&amp;TRIM('Roster'!C22)),"")</f>
        <v/>
      </c>
      <c r="B22">
        <f>IF(AE22=1,IF(AN22="","(no teacher)",AN22&amp;" – "&amp;C22),"")</f>
        <v/>
      </c>
      <c r="C22">
        <f>IF(AE22=1,TRIM('Roster'!D22&amp;""),"")</f>
        <v/>
      </c>
      <c r="D22" s="48">
        <f>IF(AE22=1,ROUND(SUMIFS('All Donations'!$S$2:$S$4001,'All Donations'!$R$2:$R$4001,AD22),2),"")</f>
        <v/>
      </c>
      <c r="E22" s="48">
        <f>IF(AE22=1,ROUND(SUMIFS('All Donations'!$S$2:$S$4001,'All Donations'!$R$2:$R$4001,AD22,'All Donations'!$G$2:$G$4001,"OneCause"),2),"")</f>
        <v/>
      </c>
      <c r="F22" s="48">
        <f>IF(AE22=1,D22-E22,"")</f>
        <v/>
      </c>
      <c r="G22">
        <f>IF(AE22=1,COUNTIFS('All Donations'!$R$2:$R$4001,AD22,'All Donations'!$H$2:$H$4001,"OK"),"")</f>
        <v/>
      </c>
      <c r="H22">
        <f>IF(AE22&lt;&gt;1,"",IF(D22&gt;0,"Yes",""))</f>
        <v/>
      </c>
      <c r="I22" s="49">
        <f>IF(OR($AE22&lt;&gt;1,I$1=""),"",SUMIFS('All Donations'!$S$2:$S$4001,'All Donations'!$R$2:$R$4001,$AD22,'All Donations'!$T$2:$T$4001,I$1))</f>
        <v/>
      </c>
      <c r="J22" s="49">
        <f>IF(OR($AE22&lt;&gt;1,J$1=""),"",SUMIFS('All Donations'!$S$2:$S$4001,'All Donations'!$R$2:$R$4001,$AD22,'All Donations'!$T$2:$T$4001,J$1))</f>
        <v/>
      </c>
      <c r="K22" s="49">
        <f>IF(OR($AE22&lt;&gt;1,K$1=""),"",SUMIFS('All Donations'!$S$2:$S$4001,'All Donations'!$R$2:$R$4001,$AD22,'All Donations'!$T$2:$T$4001,K$1))</f>
        <v/>
      </c>
      <c r="L22" s="49">
        <f>IF(OR($AE22&lt;&gt;1,L$1=""),"",SUMIFS('All Donations'!$S$2:$S$4001,'All Donations'!$R$2:$R$4001,$AD22,'All Donations'!$T$2:$T$4001,L$1))</f>
        <v/>
      </c>
      <c r="M22" s="49">
        <f>IF(OR($AE22&lt;&gt;1,M$1=""),"",SUMIFS('All Donations'!$S$2:$S$4001,'All Donations'!$R$2:$R$4001,$AD22,'All Donations'!$T$2:$T$4001,M$1))</f>
        <v/>
      </c>
      <c r="N22" s="49">
        <f>IF(OR($AE22&lt;&gt;1,N$1=""),"",SUMIFS('All Donations'!$S$2:$S$4001,'All Donations'!$R$2:$R$4001,$AD22,'All Donations'!$T$2:$T$4001,N$1))</f>
        <v/>
      </c>
      <c r="O22" s="49">
        <f>IF(OR($AE22&lt;&gt;1,O$1=""),"",SUMIFS('All Donations'!$S$2:$S$4001,'All Donations'!$R$2:$R$4001,$AD22,'All Donations'!$T$2:$T$4001,O$1))</f>
        <v/>
      </c>
      <c r="P22" s="49">
        <f>IF(OR($AE22&lt;&gt;1,P$1=""),"",SUMIFS('All Donations'!$S$2:$S$4001,'All Donations'!$R$2:$R$4001,$AD22,'All Donations'!$T$2:$T$4001,P$1))</f>
        <v/>
      </c>
      <c r="Q22" s="49">
        <f>IF(OR($AE22&lt;&gt;1,Q$1=""),"",SUMIFS('All Donations'!$S$2:$S$4001,'All Donations'!$R$2:$R$4001,$AD22,'All Donations'!$T$2:$T$4001,Q$1))</f>
        <v/>
      </c>
      <c r="R22" s="49">
        <f>IF(OR($AE22&lt;&gt;1,R$1=""),"",SUMIFS('All Donations'!$S$2:$S$4001,'All Donations'!$R$2:$R$4001,$AD22,'All Donations'!$T$2:$T$4001,R$1))</f>
        <v/>
      </c>
      <c r="S22" s="49">
        <f>IF(OR($AE22&lt;&gt;1,S$1=""),"",SUMIFS('All Donations'!$S$2:$S$4001,'All Donations'!$R$2:$R$4001,$AD22,'All Donations'!$T$2:$T$4001,S$1))</f>
        <v/>
      </c>
      <c r="T22" s="49">
        <f>IF(OR($AE22&lt;&gt;1,T$1=""),"",SUMIFS('All Donations'!$S$2:$S$4001,'All Donations'!$R$2:$R$4001,$AD22,'All Donations'!$T$2:$T$4001,T$1))</f>
        <v/>
      </c>
      <c r="U22" s="49">
        <f>IF(OR($AE22&lt;&gt;1,U$1=""),"",SUMIFS('All Donations'!$S$2:$S$4001,'All Donations'!$R$2:$R$4001,$AD22,'All Donations'!$T$2:$T$4001,U$1))</f>
        <v/>
      </c>
      <c r="V22" s="49">
        <f>IF(OR($AE22&lt;&gt;1,V$1=""),"",SUMIFS('All Donations'!$S$2:$S$4001,'All Donations'!$R$2:$R$4001,$AD22,'All Donations'!$T$2:$T$4001,V$1))</f>
        <v/>
      </c>
      <c r="W22" s="49">
        <f>IF(OR($AE22&lt;&gt;1,W$1=""),"",SUMIFS('All Donations'!$S$2:$S$4001,'All Donations'!$R$2:$R$4001,$AD22,'All Donations'!$T$2:$T$4001,W$1))</f>
        <v/>
      </c>
      <c r="X22" s="49">
        <f>IF(OR($AE22&lt;&gt;1,X$1=""),"",SUMIFS('All Donations'!$S$2:$S$4001,'All Donations'!$R$2:$R$4001,$AD22,'All Donations'!$T$2:$T$4001,X$1))</f>
        <v/>
      </c>
      <c r="Y22" s="49">
        <f>IF(OR($AE22&lt;&gt;1,Y$1=""),"",SUMIFS('All Donations'!$S$2:$S$4001,'All Donations'!$R$2:$R$4001,$AD22,'All Donations'!$T$2:$T$4001,Y$1))</f>
        <v/>
      </c>
      <c r="Z22" s="49">
        <f>IF(OR($AE22&lt;&gt;1,Z$1=""),"",SUMIFS('All Donations'!$S$2:$S$4001,'All Donations'!$R$2:$R$4001,$AD22,'All Donations'!$T$2:$T$4001,Z$1))</f>
        <v/>
      </c>
      <c r="AA22" s="49">
        <f>IF(OR($AE22&lt;&gt;1,AA$1=""),"",SUMIFS('All Donations'!$S$2:$S$4001,'All Donations'!$R$2:$R$4001,$AD22,'All Donations'!$T$2:$T$4001,AA$1))</f>
        <v/>
      </c>
      <c r="AB22" s="49">
        <f>IF(OR($AE22&lt;&gt;1,AB$1=""),"",SUMIFS('All Donations'!$S$2:$S$4001,'All Donations'!$R$2:$R$4001,$AD22,'All Donations'!$T$2:$T$4001,AB$1))</f>
        <v/>
      </c>
      <c r="AC22" s="49">
        <f>IF(OR($AE22&lt;&gt;1,AC$1=""),"",SUMIFS('All Donations'!$S$2:$S$4001,'All Donations'!$R$2:$R$4001,$AD22,'All Donations'!$T$2:$T$4001,AC$1))</f>
        <v/>
      </c>
      <c r="AD22">
        <f>IF(AE22=1,'Roster'!A22,"")</f>
        <v/>
      </c>
      <c r="AE22">
        <f>IF(TRIM('Roster'!B22&amp;'Roster'!C22)&lt;&gt;"",1,0)</f>
        <v/>
      </c>
      <c r="AF22">
        <f>IF(AE22=1,LOWER(A22),"#")</f>
        <v/>
      </c>
      <c r="AG22">
        <f>IF(AE22=1,LOWER(TRIM(TRIM('Roster'!C22)&amp;", "&amp;TRIM('Roster'!B22))),"#")</f>
        <v/>
      </c>
      <c r="AH22">
        <f>IF(AND(AE22=1,TRIM('Roster'!F22)&lt;&gt;""),LOWER(TRIM('Roster'!F22)),"#")</f>
        <v/>
      </c>
      <c r="AI22">
        <f>IF(AE22=1,IF(MATCH(B22,$B$2:$B$701,0)=ROW()-1,1,0),0)</f>
        <v/>
      </c>
      <c r="AJ22">
        <f>AJ21+AI22</f>
        <v/>
      </c>
      <c r="AK22">
        <f>IF(AE22=1,D22+(1000-ROW())/10^7,-1)</f>
        <v/>
      </c>
      <c r="AL22">
        <f>IF(AE22=1,TRIM('Roster'!B22)&amp;" "&amp;LEFT(TRIM('Roster'!C22),1)&amp;".","")</f>
        <v/>
      </c>
      <c r="AM22">
        <f>IF(AE22=1,TRIM('Roster'!C22)&amp;", "&amp;TRIM('Roster'!B22)&amp;" ("&amp;B22&amp;") #"&amp;AD22,"")</f>
        <v/>
      </c>
      <c r="AN22">
        <f>IF(AE22=1,TRIM('Roster'!E22),"")</f>
        <v/>
      </c>
      <c r="AO22">
        <f>IF(AE22=1,ROUND(SUMIFS('All Donations'!$S$2:$S$4001,'All Donations'!$R$2:$R$4001,AD22,'All Donations'!$T$2:$T$4001,"&gt;="&amp;'Settings'!$C$23,'All Donations'!$T$2:$T$4001,"&lt;="&amp;'Settings'!$D$23),2),0)</f>
        <v/>
      </c>
      <c r="AQ22">
        <f>IF(AE22=1,ROUND(SUMIFS('All Donations'!$S$2:$S$4001,'All Donations'!$R$2:$R$4001,AD22,'All Donations'!$T$2:$T$4001,"&gt;="&amp;'Settings'!$C$25,'All Donations'!$T$2:$T$4001,"&lt;="&amp;'Settings'!$D$25),2),0)</f>
        <v/>
      </c>
      <c r="AR22">
        <f>IF(AE22=1,ROUND(SUMIFS('All Donations'!$S$2:$S$4001,'All Donations'!$R$2:$R$4001,AD22,'All Donations'!$T$2:$T$4001,"&gt;="&amp;'Settings'!$C$26,'All Donations'!$T$2:$T$4001,"&lt;="&amp;'Settings'!$D$26),2),0)</f>
        <v/>
      </c>
      <c r="AS22">
        <f>IF(AE22=1,ROUND(SUMIFS('All Donations'!$S$2:$S$4001,'All Donations'!$R$2:$R$4001,AD22,'All Donations'!$T$2:$T$4001,"&lt;="&amp;'Settings'!$D$27),2),0)</f>
        <v/>
      </c>
      <c r="AT22">
        <f>IF(AE22=1,ROUND(SUMIFS('All Donations'!$S$2:$S$4001,'All Donations'!$R$2:$R$4001,AD22,'All Donations'!$T$2:$T$4001,"&gt;="&amp;'Settings'!$C$28,'All Donations'!$T$2:$T$4001,"&lt;="&amp;'Settings'!$D$28),2),0)</f>
        <v/>
      </c>
      <c r="AU22">
        <f>IF(AE22=1,ROUND(SUMIFS('All Donations'!$S$2:$S$4001,'All Donations'!$R$2:$R$4001,AD22,'All Donations'!$T$2:$T$4001,"&gt;="&amp;'Settings'!$C$29,'All Donations'!$T$2:$T$4001,"&lt;="&amp;'Settings'!$D$29),2),0)</f>
        <v/>
      </c>
      <c r="AV22">
        <f>IF(AE22=1,ROUND(SUMIFS('All Donations'!$S$2:$S$4001,'All Donations'!$R$2:$R$4001,AD22,'All Donations'!$T$2:$T$4001,"&lt;="&amp;'Settings'!$D$30),2),0)</f>
        <v/>
      </c>
      <c r="AZ22">
        <f>IF(AE22=1,ROUND(SUMIFS('All Donations'!$S$2:$S$4001,'All Donations'!$R$2:$R$4001,AD22,'All Donations'!$T$2:$T$4001,"&lt;="&amp;'Settings'!$D$34),2),0)</f>
        <v/>
      </c>
    </row>
    <row r="23">
      <c r="A23">
        <f>IF(AE23=1,TRIM(TRIM('Roster'!B23)&amp;" "&amp;TRIM('Roster'!C23)),"")</f>
        <v/>
      </c>
      <c r="B23">
        <f>IF(AE23=1,IF(AN23="","(no teacher)",AN23&amp;" – "&amp;C23),"")</f>
        <v/>
      </c>
      <c r="C23">
        <f>IF(AE23=1,TRIM('Roster'!D23&amp;""),"")</f>
        <v/>
      </c>
      <c r="D23" s="48">
        <f>IF(AE23=1,ROUND(SUMIFS('All Donations'!$S$2:$S$4001,'All Donations'!$R$2:$R$4001,AD23),2),"")</f>
        <v/>
      </c>
      <c r="E23" s="48">
        <f>IF(AE23=1,ROUND(SUMIFS('All Donations'!$S$2:$S$4001,'All Donations'!$R$2:$R$4001,AD23,'All Donations'!$G$2:$G$4001,"OneCause"),2),"")</f>
        <v/>
      </c>
      <c r="F23" s="48">
        <f>IF(AE23=1,D23-E23,"")</f>
        <v/>
      </c>
      <c r="G23">
        <f>IF(AE23=1,COUNTIFS('All Donations'!$R$2:$R$4001,AD23,'All Donations'!$H$2:$H$4001,"OK"),"")</f>
        <v/>
      </c>
      <c r="H23">
        <f>IF(AE23&lt;&gt;1,"",IF(D23&gt;0,"Yes",""))</f>
        <v/>
      </c>
      <c r="I23" s="49">
        <f>IF(OR($AE23&lt;&gt;1,I$1=""),"",SUMIFS('All Donations'!$S$2:$S$4001,'All Donations'!$R$2:$R$4001,$AD23,'All Donations'!$T$2:$T$4001,I$1))</f>
        <v/>
      </c>
      <c r="J23" s="49">
        <f>IF(OR($AE23&lt;&gt;1,J$1=""),"",SUMIFS('All Donations'!$S$2:$S$4001,'All Donations'!$R$2:$R$4001,$AD23,'All Donations'!$T$2:$T$4001,J$1))</f>
        <v/>
      </c>
      <c r="K23" s="49">
        <f>IF(OR($AE23&lt;&gt;1,K$1=""),"",SUMIFS('All Donations'!$S$2:$S$4001,'All Donations'!$R$2:$R$4001,$AD23,'All Donations'!$T$2:$T$4001,K$1))</f>
        <v/>
      </c>
      <c r="L23" s="49">
        <f>IF(OR($AE23&lt;&gt;1,L$1=""),"",SUMIFS('All Donations'!$S$2:$S$4001,'All Donations'!$R$2:$R$4001,$AD23,'All Donations'!$T$2:$T$4001,L$1))</f>
        <v/>
      </c>
      <c r="M23" s="49">
        <f>IF(OR($AE23&lt;&gt;1,M$1=""),"",SUMIFS('All Donations'!$S$2:$S$4001,'All Donations'!$R$2:$R$4001,$AD23,'All Donations'!$T$2:$T$4001,M$1))</f>
        <v/>
      </c>
      <c r="N23" s="49">
        <f>IF(OR($AE23&lt;&gt;1,N$1=""),"",SUMIFS('All Donations'!$S$2:$S$4001,'All Donations'!$R$2:$R$4001,$AD23,'All Donations'!$T$2:$T$4001,N$1))</f>
        <v/>
      </c>
      <c r="O23" s="49">
        <f>IF(OR($AE23&lt;&gt;1,O$1=""),"",SUMIFS('All Donations'!$S$2:$S$4001,'All Donations'!$R$2:$R$4001,$AD23,'All Donations'!$T$2:$T$4001,O$1))</f>
        <v/>
      </c>
      <c r="P23" s="49">
        <f>IF(OR($AE23&lt;&gt;1,P$1=""),"",SUMIFS('All Donations'!$S$2:$S$4001,'All Donations'!$R$2:$R$4001,$AD23,'All Donations'!$T$2:$T$4001,P$1))</f>
        <v/>
      </c>
      <c r="Q23" s="49">
        <f>IF(OR($AE23&lt;&gt;1,Q$1=""),"",SUMIFS('All Donations'!$S$2:$S$4001,'All Donations'!$R$2:$R$4001,$AD23,'All Donations'!$T$2:$T$4001,Q$1))</f>
        <v/>
      </c>
      <c r="R23" s="49">
        <f>IF(OR($AE23&lt;&gt;1,R$1=""),"",SUMIFS('All Donations'!$S$2:$S$4001,'All Donations'!$R$2:$R$4001,$AD23,'All Donations'!$T$2:$T$4001,R$1))</f>
        <v/>
      </c>
      <c r="S23" s="49">
        <f>IF(OR($AE23&lt;&gt;1,S$1=""),"",SUMIFS('All Donations'!$S$2:$S$4001,'All Donations'!$R$2:$R$4001,$AD23,'All Donations'!$T$2:$T$4001,S$1))</f>
        <v/>
      </c>
      <c r="T23" s="49">
        <f>IF(OR($AE23&lt;&gt;1,T$1=""),"",SUMIFS('All Donations'!$S$2:$S$4001,'All Donations'!$R$2:$R$4001,$AD23,'All Donations'!$T$2:$T$4001,T$1))</f>
        <v/>
      </c>
      <c r="U23" s="49">
        <f>IF(OR($AE23&lt;&gt;1,U$1=""),"",SUMIFS('All Donations'!$S$2:$S$4001,'All Donations'!$R$2:$R$4001,$AD23,'All Donations'!$T$2:$T$4001,U$1))</f>
        <v/>
      </c>
      <c r="V23" s="49">
        <f>IF(OR($AE23&lt;&gt;1,V$1=""),"",SUMIFS('All Donations'!$S$2:$S$4001,'All Donations'!$R$2:$R$4001,$AD23,'All Donations'!$T$2:$T$4001,V$1))</f>
        <v/>
      </c>
      <c r="W23" s="49">
        <f>IF(OR($AE23&lt;&gt;1,W$1=""),"",SUMIFS('All Donations'!$S$2:$S$4001,'All Donations'!$R$2:$R$4001,$AD23,'All Donations'!$T$2:$T$4001,W$1))</f>
        <v/>
      </c>
      <c r="X23" s="49">
        <f>IF(OR($AE23&lt;&gt;1,X$1=""),"",SUMIFS('All Donations'!$S$2:$S$4001,'All Donations'!$R$2:$R$4001,$AD23,'All Donations'!$T$2:$T$4001,X$1))</f>
        <v/>
      </c>
      <c r="Y23" s="49">
        <f>IF(OR($AE23&lt;&gt;1,Y$1=""),"",SUMIFS('All Donations'!$S$2:$S$4001,'All Donations'!$R$2:$R$4001,$AD23,'All Donations'!$T$2:$T$4001,Y$1))</f>
        <v/>
      </c>
      <c r="Z23" s="49">
        <f>IF(OR($AE23&lt;&gt;1,Z$1=""),"",SUMIFS('All Donations'!$S$2:$S$4001,'All Donations'!$R$2:$R$4001,$AD23,'All Donations'!$T$2:$T$4001,Z$1))</f>
        <v/>
      </c>
      <c r="AA23" s="49">
        <f>IF(OR($AE23&lt;&gt;1,AA$1=""),"",SUMIFS('All Donations'!$S$2:$S$4001,'All Donations'!$R$2:$R$4001,$AD23,'All Donations'!$T$2:$T$4001,AA$1))</f>
        <v/>
      </c>
      <c r="AB23" s="49">
        <f>IF(OR($AE23&lt;&gt;1,AB$1=""),"",SUMIFS('All Donations'!$S$2:$S$4001,'All Donations'!$R$2:$R$4001,$AD23,'All Donations'!$T$2:$T$4001,AB$1))</f>
        <v/>
      </c>
      <c r="AC23" s="49">
        <f>IF(OR($AE23&lt;&gt;1,AC$1=""),"",SUMIFS('All Donations'!$S$2:$S$4001,'All Donations'!$R$2:$R$4001,$AD23,'All Donations'!$T$2:$T$4001,AC$1))</f>
        <v/>
      </c>
      <c r="AD23">
        <f>IF(AE23=1,'Roster'!A23,"")</f>
        <v/>
      </c>
      <c r="AE23">
        <f>IF(TRIM('Roster'!B23&amp;'Roster'!C23)&lt;&gt;"",1,0)</f>
        <v/>
      </c>
      <c r="AF23">
        <f>IF(AE23=1,LOWER(A23),"#")</f>
        <v/>
      </c>
      <c r="AG23">
        <f>IF(AE23=1,LOWER(TRIM(TRIM('Roster'!C23)&amp;", "&amp;TRIM('Roster'!B23))),"#")</f>
        <v/>
      </c>
      <c r="AH23">
        <f>IF(AND(AE23=1,TRIM('Roster'!F23)&lt;&gt;""),LOWER(TRIM('Roster'!F23)),"#")</f>
        <v/>
      </c>
      <c r="AI23">
        <f>IF(AE23=1,IF(MATCH(B23,$B$2:$B$701,0)=ROW()-1,1,0),0)</f>
        <v/>
      </c>
      <c r="AJ23">
        <f>AJ22+AI23</f>
        <v/>
      </c>
      <c r="AK23">
        <f>IF(AE23=1,D23+(1000-ROW())/10^7,-1)</f>
        <v/>
      </c>
      <c r="AL23">
        <f>IF(AE23=1,TRIM('Roster'!B23)&amp;" "&amp;LEFT(TRIM('Roster'!C23),1)&amp;".","")</f>
        <v/>
      </c>
      <c r="AM23">
        <f>IF(AE23=1,TRIM('Roster'!C23)&amp;", "&amp;TRIM('Roster'!B23)&amp;" ("&amp;B23&amp;") #"&amp;AD23,"")</f>
        <v/>
      </c>
      <c r="AN23">
        <f>IF(AE23=1,TRIM('Roster'!E23),"")</f>
        <v/>
      </c>
      <c r="AO23">
        <f>IF(AE23=1,ROUND(SUMIFS('All Donations'!$S$2:$S$4001,'All Donations'!$R$2:$R$4001,AD23,'All Donations'!$T$2:$T$4001,"&gt;="&amp;'Settings'!$C$23,'All Donations'!$T$2:$T$4001,"&lt;="&amp;'Settings'!$D$23),2),0)</f>
        <v/>
      </c>
      <c r="AQ23">
        <f>IF(AE23=1,ROUND(SUMIFS('All Donations'!$S$2:$S$4001,'All Donations'!$R$2:$R$4001,AD23,'All Donations'!$T$2:$T$4001,"&gt;="&amp;'Settings'!$C$25,'All Donations'!$T$2:$T$4001,"&lt;="&amp;'Settings'!$D$25),2),0)</f>
        <v/>
      </c>
      <c r="AR23">
        <f>IF(AE23=1,ROUND(SUMIFS('All Donations'!$S$2:$S$4001,'All Donations'!$R$2:$R$4001,AD23,'All Donations'!$T$2:$T$4001,"&gt;="&amp;'Settings'!$C$26,'All Donations'!$T$2:$T$4001,"&lt;="&amp;'Settings'!$D$26),2),0)</f>
        <v/>
      </c>
      <c r="AS23">
        <f>IF(AE23=1,ROUND(SUMIFS('All Donations'!$S$2:$S$4001,'All Donations'!$R$2:$R$4001,AD23,'All Donations'!$T$2:$T$4001,"&lt;="&amp;'Settings'!$D$27),2),0)</f>
        <v/>
      </c>
      <c r="AT23">
        <f>IF(AE23=1,ROUND(SUMIFS('All Donations'!$S$2:$S$4001,'All Donations'!$R$2:$R$4001,AD23,'All Donations'!$T$2:$T$4001,"&gt;="&amp;'Settings'!$C$28,'All Donations'!$T$2:$T$4001,"&lt;="&amp;'Settings'!$D$28),2),0)</f>
        <v/>
      </c>
      <c r="AU23">
        <f>IF(AE23=1,ROUND(SUMIFS('All Donations'!$S$2:$S$4001,'All Donations'!$R$2:$R$4001,AD23,'All Donations'!$T$2:$T$4001,"&gt;="&amp;'Settings'!$C$29,'All Donations'!$T$2:$T$4001,"&lt;="&amp;'Settings'!$D$29),2),0)</f>
        <v/>
      </c>
      <c r="AV23">
        <f>IF(AE23=1,ROUND(SUMIFS('All Donations'!$S$2:$S$4001,'All Donations'!$R$2:$R$4001,AD23,'All Donations'!$T$2:$T$4001,"&lt;="&amp;'Settings'!$D$30),2),0)</f>
        <v/>
      </c>
      <c r="AZ23">
        <f>IF(AE23=1,ROUND(SUMIFS('All Donations'!$S$2:$S$4001,'All Donations'!$R$2:$R$4001,AD23,'All Donations'!$T$2:$T$4001,"&lt;="&amp;'Settings'!$D$34),2),0)</f>
        <v/>
      </c>
    </row>
    <row r="24">
      <c r="A24">
        <f>IF(AE24=1,TRIM(TRIM('Roster'!B24)&amp;" "&amp;TRIM('Roster'!C24)),"")</f>
        <v/>
      </c>
      <c r="B24">
        <f>IF(AE24=1,IF(AN24="","(no teacher)",AN24&amp;" – "&amp;C24),"")</f>
        <v/>
      </c>
      <c r="C24">
        <f>IF(AE24=1,TRIM('Roster'!D24&amp;""),"")</f>
        <v/>
      </c>
      <c r="D24" s="48">
        <f>IF(AE24=1,ROUND(SUMIFS('All Donations'!$S$2:$S$4001,'All Donations'!$R$2:$R$4001,AD24),2),"")</f>
        <v/>
      </c>
      <c r="E24" s="48">
        <f>IF(AE24=1,ROUND(SUMIFS('All Donations'!$S$2:$S$4001,'All Donations'!$R$2:$R$4001,AD24,'All Donations'!$G$2:$G$4001,"OneCause"),2),"")</f>
        <v/>
      </c>
      <c r="F24" s="48">
        <f>IF(AE24=1,D24-E24,"")</f>
        <v/>
      </c>
      <c r="G24">
        <f>IF(AE24=1,COUNTIFS('All Donations'!$R$2:$R$4001,AD24,'All Donations'!$H$2:$H$4001,"OK"),"")</f>
        <v/>
      </c>
      <c r="H24">
        <f>IF(AE24&lt;&gt;1,"",IF(D24&gt;0,"Yes",""))</f>
        <v/>
      </c>
      <c r="I24" s="49">
        <f>IF(OR($AE24&lt;&gt;1,I$1=""),"",SUMIFS('All Donations'!$S$2:$S$4001,'All Donations'!$R$2:$R$4001,$AD24,'All Donations'!$T$2:$T$4001,I$1))</f>
        <v/>
      </c>
      <c r="J24" s="49">
        <f>IF(OR($AE24&lt;&gt;1,J$1=""),"",SUMIFS('All Donations'!$S$2:$S$4001,'All Donations'!$R$2:$R$4001,$AD24,'All Donations'!$T$2:$T$4001,J$1))</f>
        <v/>
      </c>
      <c r="K24" s="49">
        <f>IF(OR($AE24&lt;&gt;1,K$1=""),"",SUMIFS('All Donations'!$S$2:$S$4001,'All Donations'!$R$2:$R$4001,$AD24,'All Donations'!$T$2:$T$4001,K$1))</f>
        <v/>
      </c>
      <c r="L24" s="49">
        <f>IF(OR($AE24&lt;&gt;1,L$1=""),"",SUMIFS('All Donations'!$S$2:$S$4001,'All Donations'!$R$2:$R$4001,$AD24,'All Donations'!$T$2:$T$4001,L$1))</f>
        <v/>
      </c>
      <c r="M24" s="49">
        <f>IF(OR($AE24&lt;&gt;1,M$1=""),"",SUMIFS('All Donations'!$S$2:$S$4001,'All Donations'!$R$2:$R$4001,$AD24,'All Donations'!$T$2:$T$4001,M$1))</f>
        <v/>
      </c>
      <c r="N24" s="49">
        <f>IF(OR($AE24&lt;&gt;1,N$1=""),"",SUMIFS('All Donations'!$S$2:$S$4001,'All Donations'!$R$2:$R$4001,$AD24,'All Donations'!$T$2:$T$4001,N$1))</f>
        <v/>
      </c>
      <c r="O24" s="49">
        <f>IF(OR($AE24&lt;&gt;1,O$1=""),"",SUMIFS('All Donations'!$S$2:$S$4001,'All Donations'!$R$2:$R$4001,$AD24,'All Donations'!$T$2:$T$4001,O$1))</f>
        <v/>
      </c>
      <c r="P24" s="49">
        <f>IF(OR($AE24&lt;&gt;1,P$1=""),"",SUMIFS('All Donations'!$S$2:$S$4001,'All Donations'!$R$2:$R$4001,$AD24,'All Donations'!$T$2:$T$4001,P$1))</f>
        <v/>
      </c>
      <c r="Q24" s="49">
        <f>IF(OR($AE24&lt;&gt;1,Q$1=""),"",SUMIFS('All Donations'!$S$2:$S$4001,'All Donations'!$R$2:$R$4001,$AD24,'All Donations'!$T$2:$T$4001,Q$1))</f>
        <v/>
      </c>
      <c r="R24" s="49">
        <f>IF(OR($AE24&lt;&gt;1,R$1=""),"",SUMIFS('All Donations'!$S$2:$S$4001,'All Donations'!$R$2:$R$4001,$AD24,'All Donations'!$T$2:$T$4001,R$1))</f>
        <v/>
      </c>
      <c r="S24" s="49">
        <f>IF(OR($AE24&lt;&gt;1,S$1=""),"",SUMIFS('All Donations'!$S$2:$S$4001,'All Donations'!$R$2:$R$4001,$AD24,'All Donations'!$T$2:$T$4001,S$1))</f>
        <v/>
      </c>
      <c r="T24" s="49">
        <f>IF(OR($AE24&lt;&gt;1,T$1=""),"",SUMIFS('All Donations'!$S$2:$S$4001,'All Donations'!$R$2:$R$4001,$AD24,'All Donations'!$T$2:$T$4001,T$1))</f>
        <v/>
      </c>
      <c r="U24" s="49">
        <f>IF(OR($AE24&lt;&gt;1,U$1=""),"",SUMIFS('All Donations'!$S$2:$S$4001,'All Donations'!$R$2:$R$4001,$AD24,'All Donations'!$T$2:$T$4001,U$1))</f>
        <v/>
      </c>
      <c r="V24" s="49">
        <f>IF(OR($AE24&lt;&gt;1,V$1=""),"",SUMIFS('All Donations'!$S$2:$S$4001,'All Donations'!$R$2:$R$4001,$AD24,'All Donations'!$T$2:$T$4001,V$1))</f>
        <v/>
      </c>
      <c r="W24" s="49">
        <f>IF(OR($AE24&lt;&gt;1,W$1=""),"",SUMIFS('All Donations'!$S$2:$S$4001,'All Donations'!$R$2:$R$4001,$AD24,'All Donations'!$T$2:$T$4001,W$1))</f>
        <v/>
      </c>
      <c r="X24" s="49">
        <f>IF(OR($AE24&lt;&gt;1,X$1=""),"",SUMIFS('All Donations'!$S$2:$S$4001,'All Donations'!$R$2:$R$4001,$AD24,'All Donations'!$T$2:$T$4001,X$1))</f>
        <v/>
      </c>
      <c r="Y24" s="49">
        <f>IF(OR($AE24&lt;&gt;1,Y$1=""),"",SUMIFS('All Donations'!$S$2:$S$4001,'All Donations'!$R$2:$R$4001,$AD24,'All Donations'!$T$2:$T$4001,Y$1))</f>
        <v/>
      </c>
      <c r="Z24" s="49">
        <f>IF(OR($AE24&lt;&gt;1,Z$1=""),"",SUMIFS('All Donations'!$S$2:$S$4001,'All Donations'!$R$2:$R$4001,$AD24,'All Donations'!$T$2:$T$4001,Z$1))</f>
        <v/>
      </c>
      <c r="AA24" s="49">
        <f>IF(OR($AE24&lt;&gt;1,AA$1=""),"",SUMIFS('All Donations'!$S$2:$S$4001,'All Donations'!$R$2:$R$4001,$AD24,'All Donations'!$T$2:$T$4001,AA$1))</f>
        <v/>
      </c>
      <c r="AB24" s="49">
        <f>IF(OR($AE24&lt;&gt;1,AB$1=""),"",SUMIFS('All Donations'!$S$2:$S$4001,'All Donations'!$R$2:$R$4001,$AD24,'All Donations'!$T$2:$T$4001,AB$1))</f>
        <v/>
      </c>
      <c r="AC24" s="49">
        <f>IF(OR($AE24&lt;&gt;1,AC$1=""),"",SUMIFS('All Donations'!$S$2:$S$4001,'All Donations'!$R$2:$R$4001,$AD24,'All Donations'!$T$2:$T$4001,AC$1))</f>
        <v/>
      </c>
      <c r="AD24">
        <f>IF(AE24=1,'Roster'!A24,"")</f>
        <v/>
      </c>
      <c r="AE24">
        <f>IF(TRIM('Roster'!B24&amp;'Roster'!C24)&lt;&gt;"",1,0)</f>
        <v/>
      </c>
      <c r="AF24">
        <f>IF(AE24=1,LOWER(A24),"#")</f>
        <v/>
      </c>
      <c r="AG24">
        <f>IF(AE24=1,LOWER(TRIM(TRIM('Roster'!C24)&amp;", "&amp;TRIM('Roster'!B24))),"#")</f>
        <v/>
      </c>
      <c r="AH24">
        <f>IF(AND(AE24=1,TRIM('Roster'!F24)&lt;&gt;""),LOWER(TRIM('Roster'!F24)),"#")</f>
        <v/>
      </c>
      <c r="AI24">
        <f>IF(AE24=1,IF(MATCH(B24,$B$2:$B$701,0)=ROW()-1,1,0),0)</f>
        <v/>
      </c>
      <c r="AJ24">
        <f>AJ23+AI24</f>
        <v/>
      </c>
      <c r="AK24">
        <f>IF(AE24=1,D24+(1000-ROW())/10^7,-1)</f>
        <v/>
      </c>
      <c r="AL24">
        <f>IF(AE24=1,TRIM('Roster'!B24)&amp;" "&amp;LEFT(TRIM('Roster'!C24),1)&amp;".","")</f>
        <v/>
      </c>
      <c r="AM24">
        <f>IF(AE24=1,TRIM('Roster'!C24)&amp;", "&amp;TRIM('Roster'!B24)&amp;" ("&amp;B24&amp;") #"&amp;AD24,"")</f>
        <v/>
      </c>
      <c r="AN24">
        <f>IF(AE24=1,TRIM('Roster'!E24),"")</f>
        <v/>
      </c>
      <c r="AO24">
        <f>IF(AE24=1,ROUND(SUMIFS('All Donations'!$S$2:$S$4001,'All Donations'!$R$2:$R$4001,AD24,'All Donations'!$T$2:$T$4001,"&gt;="&amp;'Settings'!$C$23,'All Donations'!$T$2:$T$4001,"&lt;="&amp;'Settings'!$D$23),2),0)</f>
        <v/>
      </c>
      <c r="AQ24">
        <f>IF(AE24=1,ROUND(SUMIFS('All Donations'!$S$2:$S$4001,'All Donations'!$R$2:$R$4001,AD24,'All Donations'!$T$2:$T$4001,"&gt;="&amp;'Settings'!$C$25,'All Donations'!$T$2:$T$4001,"&lt;="&amp;'Settings'!$D$25),2),0)</f>
        <v/>
      </c>
      <c r="AR24">
        <f>IF(AE24=1,ROUND(SUMIFS('All Donations'!$S$2:$S$4001,'All Donations'!$R$2:$R$4001,AD24,'All Donations'!$T$2:$T$4001,"&gt;="&amp;'Settings'!$C$26,'All Donations'!$T$2:$T$4001,"&lt;="&amp;'Settings'!$D$26),2),0)</f>
        <v/>
      </c>
      <c r="AS24">
        <f>IF(AE24=1,ROUND(SUMIFS('All Donations'!$S$2:$S$4001,'All Donations'!$R$2:$R$4001,AD24,'All Donations'!$T$2:$T$4001,"&lt;="&amp;'Settings'!$D$27),2),0)</f>
        <v/>
      </c>
      <c r="AT24">
        <f>IF(AE24=1,ROUND(SUMIFS('All Donations'!$S$2:$S$4001,'All Donations'!$R$2:$R$4001,AD24,'All Donations'!$T$2:$T$4001,"&gt;="&amp;'Settings'!$C$28,'All Donations'!$T$2:$T$4001,"&lt;="&amp;'Settings'!$D$28),2),0)</f>
        <v/>
      </c>
      <c r="AU24">
        <f>IF(AE24=1,ROUND(SUMIFS('All Donations'!$S$2:$S$4001,'All Donations'!$R$2:$R$4001,AD24,'All Donations'!$T$2:$T$4001,"&gt;="&amp;'Settings'!$C$29,'All Donations'!$T$2:$T$4001,"&lt;="&amp;'Settings'!$D$29),2),0)</f>
        <v/>
      </c>
      <c r="AV24">
        <f>IF(AE24=1,ROUND(SUMIFS('All Donations'!$S$2:$S$4001,'All Donations'!$R$2:$R$4001,AD24,'All Donations'!$T$2:$T$4001,"&lt;="&amp;'Settings'!$D$30),2),0)</f>
        <v/>
      </c>
      <c r="AZ24">
        <f>IF(AE24=1,ROUND(SUMIFS('All Donations'!$S$2:$S$4001,'All Donations'!$R$2:$R$4001,AD24,'All Donations'!$T$2:$T$4001,"&lt;="&amp;'Settings'!$D$34),2),0)</f>
        <v/>
      </c>
    </row>
    <row r="25">
      <c r="A25">
        <f>IF(AE25=1,TRIM(TRIM('Roster'!B25)&amp;" "&amp;TRIM('Roster'!C25)),"")</f>
        <v/>
      </c>
      <c r="B25">
        <f>IF(AE25=1,IF(AN25="","(no teacher)",AN25&amp;" – "&amp;C25),"")</f>
        <v/>
      </c>
      <c r="C25">
        <f>IF(AE25=1,TRIM('Roster'!D25&amp;""),"")</f>
        <v/>
      </c>
      <c r="D25" s="48">
        <f>IF(AE25=1,ROUND(SUMIFS('All Donations'!$S$2:$S$4001,'All Donations'!$R$2:$R$4001,AD25),2),"")</f>
        <v/>
      </c>
      <c r="E25" s="48">
        <f>IF(AE25=1,ROUND(SUMIFS('All Donations'!$S$2:$S$4001,'All Donations'!$R$2:$R$4001,AD25,'All Donations'!$G$2:$G$4001,"OneCause"),2),"")</f>
        <v/>
      </c>
      <c r="F25" s="48">
        <f>IF(AE25=1,D25-E25,"")</f>
        <v/>
      </c>
      <c r="G25">
        <f>IF(AE25=1,COUNTIFS('All Donations'!$R$2:$R$4001,AD25,'All Donations'!$H$2:$H$4001,"OK"),"")</f>
        <v/>
      </c>
      <c r="H25">
        <f>IF(AE25&lt;&gt;1,"",IF(D25&gt;0,"Yes",""))</f>
        <v/>
      </c>
      <c r="I25" s="49">
        <f>IF(OR($AE25&lt;&gt;1,I$1=""),"",SUMIFS('All Donations'!$S$2:$S$4001,'All Donations'!$R$2:$R$4001,$AD25,'All Donations'!$T$2:$T$4001,I$1))</f>
        <v/>
      </c>
      <c r="J25" s="49">
        <f>IF(OR($AE25&lt;&gt;1,J$1=""),"",SUMIFS('All Donations'!$S$2:$S$4001,'All Donations'!$R$2:$R$4001,$AD25,'All Donations'!$T$2:$T$4001,J$1))</f>
        <v/>
      </c>
      <c r="K25" s="49">
        <f>IF(OR($AE25&lt;&gt;1,K$1=""),"",SUMIFS('All Donations'!$S$2:$S$4001,'All Donations'!$R$2:$R$4001,$AD25,'All Donations'!$T$2:$T$4001,K$1))</f>
        <v/>
      </c>
      <c r="L25" s="49">
        <f>IF(OR($AE25&lt;&gt;1,L$1=""),"",SUMIFS('All Donations'!$S$2:$S$4001,'All Donations'!$R$2:$R$4001,$AD25,'All Donations'!$T$2:$T$4001,L$1))</f>
        <v/>
      </c>
      <c r="M25" s="49">
        <f>IF(OR($AE25&lt;&gt;1,M$1=""),"",SUMIFS('All Donations'!$S$2:$S$4001,'All Donations'!$R$2:$R$4001,$AD25,'All Donations'!$T$2:$T$4001,M$1))</f>
        <v/>
      </c>
      <c r="N25" s="49">
        <f>IF(OR($AE25&lt;&gt;1,N$1=""),"",SUMIFS('All Donations'!$S$2:$S$4001,'All Donations'!$R$2:$R$4001,$AD25,'All Donations'!$T$2:$T$4001,N$1))</f>
        <v/>
      </c>
      <c r="O25" s="49">
        <f>IF(OR($AE25&lt;&gt;1,O$1=""),"",SUMIFS('All Donations'!$S$2:$S$4001,'All Donations'!$R$2:$R$4001,$AD25,'All Donations'!$T$2:$T$4001,O$1))</f>
        <v/>
      </c>
      <c r="P25" s="49">
        <f>IF(OR($AE25&lt;&gt;1,P$1=""),"",SUMIFS('All Donations'!$S$2:$S$4001,'All Donations'!$R$2:$R$4001,$AD25,'All Donations'!$T$2:$T$4001,P$1))</f>
        <v/>
      </c>
      <c r="Q25" s="49">
        <f>IF(OR($AE25&lt;&gt;1,Q$1=""),"",SUMIFS('All Donations'!$S$2:$S$4001,'All Donations'!$R$2:$R$4001,$AD25,'All Donations'!$T$2:$T$4001,Q$1))</f>
        <v/>
      </c>
      <c r="R25" s="49">
        <f>IF(OR($AE25&lt;&gt;1,R$1=""),"",SUMIFS('All Donations'!$S$2:$S$4001,'All Donations'!$R$2:$R$4001,$AD25,'All Donations'!$T$2:$T$4001,R$1))</f>
        <v/>
      </c>
      <c r="S25" s="49">
        <f>IF(OR($AE25&lt;&gt;1,S$1=""),"",SUMIFS('All Donations'!$S$2:$S$4001,'All Donations'!$R$2:$R$4001,$AD25,'All Donations'!$T$2:$T$4001,S$1))</f>
        <v/>
      </c>
      <c r="T25" s="49">
        <f>IF(OR($AE25&lt;&gt;1,T$1=""),"",SUMIFS('All Donations'!$S$2:$S$4001,'All Donations'!$R$2:$R$4001,$AD25,'All Donations'!$T$2:$T$4001,T$1))</f>
        <v/>
      </c>
      <c r="U25" s="49">
        <f>IF(OR($AE25&lt;&gt;1,U$1=""),"",SUMIFS('All Donations'!$S$2:$S$4001,'All Donations'!$R$2:$R$4001,$AD25,'All Donations'!$T$2:$T$4001,U$1))</f>
        <v/>
      </c>
      <c r="V25" s="49">
        <f>IF(OR($AE25&lt;&gt;1,V$1=""),"",SUMIFS('All Donations'!$S$2:$S$4001,'All Donations'!$R$2:$R$4001,$AD25,'All Donations'!$T$2:$T$4001,V$1))</f>
        <v/>
      </c>
      <c r="W25" s="49">
        <f>IF(OR($AE25&lt;&gt;1,W$1=""),"",SUMIFS('All Donations'!$S$2:$S$4001,'All Donations'!$R$2:$R$4001,$AD25,'All Donations'!$T$2:$T$4001,W$1))</f>
        <v/>
      </c>
      <c r="X25" s="49">
        <f>IF(OR($AE25&lt;&gt;1,X$1=""),"",SUMIFS('All Donations'!$S$2:$S$4001,'All Donations'!$R$2:$R$4001,$AD25,'All Donations'!$T$2:$T$4001,X$1))</f>
        <v/>
      </c>
      <c r="Y25" s="49">
        <f>IF(OR($AE25&lt;&gt;1,Y$1=""),"",SUMIFS('All Donations'!$S$2:$S$4001,'All Donations'!$R$2:$R$4001,$AD25,'All Donations'!$T$2:$T$4001,Y$1))</f>
        <v/>
      </c>
      <c r="Z25" s="49">
        <f>IF(OR($AE25&lt;&gt;1,Z$1=""),"",SUMIFS('All Donations'!$S$2:$S$4001,'All Donations'!$R$2:$R$4001,$AD25,'All Donations'!$T$2:$T$4001,Z$1))</f>
        <v/>
      </c>
      <c r="AA25" s="49">
        <f>IF(OR($AE25&lt;&gt;1,AA$1=""),"",SUMIFS('All Donations'!$S$2:$S$4001,'All Donations'!$R$2:$R$4001,$AD25,'All Donations'!$T$2:$T$4001,AA$1))</f>
        <v/>
      </c>
      <c r="AB25" s="49">
        <f>IF(OR($AE25&lt;&gt;1,AB$1=""),"",SUMIFS('All Donations'!$S$2:$S$4001,'All Donations'!$R$2:$R$4001,$AD25,'All Donations'!$T$2:$T$4001,AB$1))</f>
        <v/>
      </c>
      <c r="AC25" s="49">
        <f>IF(OR($AE25&lt;&gt;1,AC$1=""),"",SUMIFS('All Donations'!$S$2:$S$4001,'All Donations'!$R$2:$R$4001,$AD25,'All Donations'!$T$2:$T$4001,AC$1))</f>
        <v/>
      </c>
      <c r="AD25">
        <f>IF(AE25=1,'Roster'!A25,"")</f>
        <v/>
      </c>
      <c r="AE25">
        <f>IF(TRIM('Roster'!B25&amp;'Roster'!C25)&lt;&gt;"",1,0)</f>
        <v/>
      </c>
      <c r="AF25">
        <f>IF(AE25=1,LOWER(A25),"#")</f>
        <v/>
      </c>
      <c r="AG25">
        <f>IF(AE25=1,LOWER(TRIM(TRIM('Roster'!C25)&amp;", "&amp;TRIM('Roster'!B25))),"#")</f>
        <v/>
      </c>
      <c r="AH25">
        <f>IF(AND(AE25=1,TRIM('Roster'!F25)&lt;&gt;""),LOWER(TRIM('Roster'!F25)),"#")</f>
        <v/>
      </c>
      <c r="AI25">
        <f>IF(AE25=1,IF(MATCH(B25,$B$2:$B$701,0)=ROW()-1,1,0),0)</f>
        <v/>
      </c>
      <c r="AJ25">
        <f>AJ24+AI25</f>
        <v/>
      </c>
      <c r="AK25">
        <f>IF(AE25=1,D25+(1000-ROW())/10^7,-1)</f>
        <v/>
      </c>
      <c r="AL25">
        <f>IF(AE25=1,TRIM('Roster'!B25)&amp;" "&amp;LEFT(TRIM('Roster'!C25),1)&amp;".","")</f>
        <v/>
      </c>
      <c r="AM25">
        <f>IF(AE25=1,TRIM('Roster'!C25)&amp;", "&amp;TRIM('Roster'!B25)&amp;" ("&amp;B25&amp;") #"&amp;AD25,"")</f>
        <v/>
      </c>
      <c r="AN25">
        <f>IF(AE25=1,TRIM('Roster'!E25),"")</f>
        <v/>
      </c>
      <c r="AO25">
        <f>IF(AE25=1,ROUND(SUMIFS('All Donations'!$S$2:$S$4001,'All Donations'!$R$2:$R$4001,AD25,'All Donations'!$T$2:$T$4001,"&gt;="&amp;'Settings'!$C$23,'All Donations'!$T$2:$T$4001,"&lt;="&amp;'Settings'!$D$23),2),0)</f>
        <v/>
      </c>
      <c r="AQ25">
        <f>IF(AE25=1,ROUND(SUMIFS('All Donations'!$S$2:$S$4001,'All Donations'!$R$2:$R$4001,AD25,'All Donations'!$T$2:$T$4001,"&gt;="&amp;'Settings'!$C$25,'All Donations'!$T$2:$T$4001,"&lt;="&amp;'Settings'!$D$25),2),0)</f>
        <v/>
      </c>
      <c r="AR25">
        <f>IF(AE25=1,ROUND(SUMIFS('All Donations'!$S$2:$S$4001,'All Donations'!$R$2:$R$4001,AD25,'All Donations'!$T$2:$T$4001,"&gt;="&amp;'Settings'!$C$26,'All Donations'!$T$2:$T$4001,"&lt;="&amp;'Settings'!$D$26),2),0)</f>
        <v/>
      </c>
      <c r="AS25">
        <f>IF(AE25=1,ROUND(SUMIFS('All Donations'!$S$2:$S$4001,'All Donations'!$R$2:$R$4001,AD25,'All Donations'!$T$2:$T$4001,"&lt;="&amp;'Settings'!$D$27),2),0)</f>
        <v/>
      </c>
      <c r="AT25">
        <f>IF(AE25=1,ROUND(SUMIFS('All Donations'!$S$2:$S$4001,'All Donations'!$R$2:$R$4001,AD25,'All Donations'!$T$2:$T$4001,"&gt;="&amp;'Settings'!$C$28,'All Donations'!$T$2:$T$4001,"&lt;="&amp;'Settings'!$D$28),2),0)</f>
        <v/>
      </c>
      <c r="AU25">
        <f>IF(AE25=1,ROUND(SUMIFS('All Donations'!$S$2:$S$4001,'All Donations'!$R$2:$R$4001,AD25,'All Donations'!$T$2:$T$4001,"&gt;="&amp;'Settings'!$C$29,'All Donations'!$T$2:$T$4001,"&lt;="&amp;'Settings'!$D$29),2),0)</f>
        <v/>
      </c>
      <c r="AV25">
        <f>IF(AE25=1,ROUND(SUMIFS('All Donations'!$S$2:$S$4001,'All Donations'!$R$2:$R$4001,AD25,'All Donations'!$T$2:$T$4001,"&lt;="&amp;'Settings'!$D$30),2),0)</f>
        <v/>
      </c>
      <c r="AZ25">
        <f>IF(AE25=1,ROUND(SUMIFS('All Donations'!$S$2:$S$4001,'All Donations'!$R$2:$R$4001,AD25,'All Donations'!$T$2:$T$4001,"&lt;="&amp;'Settings'!$D$34),2),0)</f>
        <v/>
      </c>
    </row>
    <row r="26">
      <c r="A26">
        <f>IF(AE26=1,TRIM(TRIM('Roster'!B26)&amp;" "&amp;TRIM('Roster'!C26)),"")</f>
        <v/>
      </c>
      <c r="B26">
        <f>IF(AE26=1,IF(AN26="","(no teacher)",AN26&amp;" – "&amp;C26),"")</f>
        <v/>
      </c>
      <c r="C26">
        <f>IF(AE26=1,TRIM('Roster'!D26&amp;""),"")</f>
        <v/>
      </c>
      <c r="D26" s="48">
        <f>IF(AE26=1,ROUND(SUMIFS('All Donations'!$S$2:$S$4001,'All Donations'!$R$2:$R$4001,AD26),2),"")</f>
        <v/>
      </c>
      <c r="E26" s="48">
        <f>IF(AE26=1,ROUND(SUMIFS('All Donations'!$S$2:$S$4001,'All Donations'!$R$2:$R$4001,AD26,'All Donations'!$G$2:$G$4001,"OneCause"),2),"")</f>
        <v/>
      </c>
      <c r="F26" s="48">
        <f>IF(AE26=1,D26-E26,"")</f>
        <v/>
      </c>
      <c r="G26">
        <f>IF(AE26=1,COUNTIFS('All Donations'!$R$2:$R$4001,AD26,'All Donations'!$H$2:$H$4001,"OK"),"")</f>
        <v/>
      </c>
      <c r="H26">
        <f>IF(AE26&lt;&gt;1,"",IF(D26&gt;0,"Yes",""))</f>
        <v/>
      </c>
      <c r="I26" s="49">
        <f>IF(OR($AE26&lt;&gt;1,I$1=""),"",SUMIFS('All Donations'!$S$2:$S$4001,'All Donations'!$R$2:$R$4001,$AD26,'All Donations'!$T$2:$T$4001,I$1))</f>
        <v/>
      </c>
      <c r="J26" s="49">
        <f>IF(OR($AE26&lt;&gt;1,J$1=""),"",SUMIFS('All Donations'!$S$2:$S$4001,'All Donations'!$R$2:$R$4001,$AD26,'All Donations'!$T$2:$T$4001,J$1))</f>
        <v/>
      </c>
      <c r="K26" s="49">
        <f>IF(OR($AE26&lt;&gt;1,K$1=""),"",SUMIFS('All Donations'!$S$2:$S$4001,'All Donations'!$R$2:$R$4001,$AD26,'All Donations'!$T$2:$T$4001,K$1))</f>
        <v/>
      </c>
      <c r="L26" s="49">
        <f>IF(OR($AE26&lt;&gt;1,L$1=""),"",SUMIFS('All Donations'!$S$2:$S$4001,'All Donations'!$R$2:$R$4001,$AD26,'All Donations'!$T$2:$T$4001,L$1))</f>
        <v/>
      </c>
      <c r="M26" s="49">
        <f>IF(OR($AE26&lt;&gt;1,M$1=""),"",SUMIFS('All Donations'!$S$2:$S$4001,'All Donations'!$R$2:$R$4001,$AD26,'All Donations'!$T$2:$T$4001,M$1))</f>
        <v/>
      </c>
      <c r="N26" s="49">
        <f>IF(OR($AE26&lt;&gt;1,N$1=""),"",SUMIFS('All Donations'!$S$2:$S$4001,'All Donations'!$R$2:$R$4001,$AD26,'All Donations'!$T$2:$T$4001,N$1))</f>
        <v/>
      </c>
      <c r="O26" s="49">
        <f>IF(OR($AE26&lt;&gt;1,O$1=""),"",SUMIFS('All Donations'!$S$2:$S$4001,'All Donations'!$R$2:$R$4001,$AD26,'All Donations'!$T$2:$T$4001,O$1))</f>
        <v/>
      </c>
      <c r="P26" s="49">
        <f>IF(OR($AE26&lt;&gt;1,P$1=""),"",SUMIFS('All Donations'!$S$2:$S$4001,'All Donations'!$R$2:$R$4001,$AD26,'All Donations'!$T$2:$T$4001,P$1))</f>
        <v/>
      </c>
      <c r="Q26" s="49">
        <f>IF(OR($AE26&lt;&gt;1,Q$1=""),"",SUMIFS('All Donations'!$S$2:$S$4001,'All Donations'!$R$2:$R$4001,$AD26,'All Donations'!$T$2:$T$4001,Q$1))</f>
        <v/>
      </c>
      <c r="R26" s="49">
        <f>IF(OR($AE26&lt;&gt;1,R$1=""),"",SUMIFS('All Donations'!$S$2:$S$4001,'All Donations'!$R$2:$R$4001,$AD26,'All Donations'!$T$2:$T$4001,R$1))</f>
        <v/>
      </c>
      <c r="S26" s="49">
        <f>IF(OR($AE26&lt;&gt;1,S$1=""),"",SUMIFS('All Donations'!$S$2:$S$4001,'All Donations'!$R$2:$R$4001,$AD26,'All Donations'!$T$2:$T$4001,S$1))</f>
        <v/>
      </c>
      <c r="T26" s="49">
        <f>IF(OR($AE26&lt;&gt;1,T$1=""),"",SUMIFS('All Donations'!$S$2:$S$4001,'All Donations'!$R$2:$R$4001,$AD26,'All Donations'!$T$2:$T$4001,T$1))</f>
        <v/>
      </c>
      <c r="U26" s="49">
        <f>IF(OR($AE26&lt;&gt;1,U$1=""),"",SUMIFS('All Donations'!$S$2:$S$4001,'All Donations'!$R$2:$R$4001,$AD26,'All Donations'!$T$2:$T$4001,U$1))</f>
        <v/>
      </c>
      <c r="V26" s="49">
        <f>IF(OR($AE26&lt;&gt;1,V$1=""),"",SUMIFS('All Donations'!$S$2:$S$4001,'All Donations'!$R$2:$R$4001,$AD26,'All Donations'!$T$2:$T$4001,V$1))</f>
        <v/>
      </c>
      <c r="W26" s="49">
        <f>IF(OR($AE26&lt;&gt;1,W$1=""),"",SUMIFS('All Donations'!$S$2:$S$4001,'All Donations'!$R$2:$R$4001,$AD26,'All Donations'!$T$2:$T$4001,W$1))</f>
        <v/>
      </c>
      <c r="X26" s="49">
        <f>IF(OR($AE26&lt;&gt;1,X$1=""),"",SUMIFS('All Donations'!$S$2:$S$4001,'All Donations'!$R$2:$R$4001,$AD26,'All Donations'!$T$2:$T$4001,X$1))</f>
        <v/>
      </c>
      <c r="Y26" s="49">
        <f>IF(OR($AE26&lt;&gt;1,Y$1=""),"",SUMIFS('All Donations'!$S$2:$S$4001,'All Donations'!$R$2:$R$4001,$AD26,'All Donations'!$T$2:$T$4001,Y$1))</f>
        <v/>
      </c>
      <c r="Z26" s="49">
        <f>IF(OR($AE26&lt;&gt;1,Z$1=""),"",SUMIFS('All Donations'!$S$2:$S$4001,'All Donations'!$R$2:$R$4001,$AD26,'All Donations'!$T$2:$T$4001,Z$1))</f>
        <v/>
      </c>
      <c r="AA26" s="49">
        <f>IF(OR($AE26&lt;&gt;1,AA$1=""),"",SUMIFS('All Donations'!$S$2:$S$4001,'All Donations'!$R$2:$R$4001,$AD26,'All Donations'!$T$2:$T$4001,AA$1))</f>
        <v/>
      </c>
      <c r="AB26" s="49">
        <f>IF(OR($AE26&lt;&gt;1,AB$1=""),"",SUMIFS('All Donations'!$S$2:$S$4001,'All Donations'!$R$2:$R$4001,$AD26,'All Donations'!$T$2:$T$4001,AB$1))</f>
        <v/>
      </c>
      <c r="AC26" s="49">
        <f>IF(OR($AE26&lt;&gt;1,AC$1=""),"",SUMIFS('All Donations'!$S$2:$S$4001,'All Donations'!$R$2:$R$4001,$AD26,'All Donations'!$T$2:$T$4001,AC$1))</f>
        <v/>
      </c>
      <c r="AD26">
        <f>IF(AE26=1,'Roster'!A26,"")</f>
        <v/>
      </c>
      <c r="AE26">
        <f>IF(TRIM('Roster'!B26&amp;'Roster'!C26)&lt;&gt;"",1,0)</f>
        <v/>
      </c>
      <c r="AF26">
        <f>IF(AE26=1,LOWER(A26),"#")</f>
        <v/>
      </c>
      <c r="AG26">
        <f>IF(AE26=1,LOWER(TRIM(TRIM('Roster'!C26)&amp;", "&amp;TRIM('Roster'!B26))),"#")</f>
        <v/>
      </c>
      <c r="AH26">
        <f>IF(AND(AE26=1,TRIM('Roster'!F26)&lt;&gt;""),LOWER(TRIM('Roster'!F26)),"#")</f>
        <v/>
      </c>
      <c r="AI26">
        <f>IF(AE26=1,IF(MATCH(B26,$B$2:$B$701,0)=ROW()-1,1,0),0)</f>
        <v/>
      </c>
      <c r="AJ26">
        <f>AJ25+AI26</f>
        <v/>
      </c>
      <c r="AK26">
        <f>IF(AE26=1,D26+(1000-ROW())/10^7,-1)</f>
        <v/>
      </c>
      <c r="AL26">
        <f>IF(AE26=1,TRIM('Roster'!B26)&amp;" "&amp;LEFT(TRIM('Roster'!C26),1)&amp;".","")</f>
        <v/>
      </c>
      <c r="AM26">
        <f>IF(AE26=1,TRIM('Roster'!C26)&amp;", "&amp;TRIM('Roster'!B26)&amp;" ("&amp;B26&amp;") #"&amp;AD26,"")</f>
        <v/>
      </c>
      <c r="AN26">
        <f>IF(AE26=1,TRIM('Roster'!E26),"")</f>
        <v/>
      </c>
      <c r="AO26">
        <f>IF(AE26=1,ROUND(SUMIFS('All Donations'!$S$2:$S$4001,'All Donations'!$R$2:$R$4001,AD26,'All Donations'!$T$2:$T$4001,"&gt;="&amp;'Settings'!$C$23,'All Donations'!$T$2:$T$4001,"&lt;="&amp;'Settings'!$D$23),2),0)</f>
        <v/>
      </c>
      <c r="AQ26">
        <f>IF(AE26=1,ROUND(SUMIFS('All Donations'!$S$2:$S$4001,'All Donations'!$R$2:$R$4001,AD26,'All Donations'!$T$2:$T$4001,"&gt;="&amp;'Settings'!$C$25,'All Donations'!$T$2:$T$4001,"&lt;="&amp;'Settings'!$D$25),2),0)</f>
        <v/>
      </c>
      <c r="AR26">
        <f>IF(AE26=1,ROUND(SUMIFS('All Donations'!$S$2:$S$4001,'All Donations'!$R$2:$R$4001,AD26,'All Donations'!$T$2:$T$4001,"&gt;="&amp;'Settings'!$C$26,'All Donations'!$T$2:$T$4001,"&lt;="&amp;'Settings'!$D$26),2),0)</f>
        <v/>
      </c>
      <c r="AS26">
        <f>IF(AE26=1,ROUND(SUMIFS('All Donations'!$S$2:$S$4001,'All Donations'!$R$2:$R$4001,AD26,'All Donations'!$T$2:$T$4001,"&lt;="&amp;'Settings'!$D$27),2),0)</f>
        <v/>
      </c>
      <c r="AT26">
        <f>IF(AE26=1,ROUND(SUMIFS('All Donations'!$S$2:$S$4001,'All Donations'!$R$2:$R$4001,AD26,'All Donations'!$T$2:$T$4001,"&gt;="&amp;'Settings'!$C$28,'All Donations'!$T$2:$T$4001,"&lt;="&amp;'Settings'!$D$28),2),0)</f>
        <v/>
      </c>
      <c r="AU26">
        <f>IF(AE26=1,ROUND(SUMIFS('All Donations'!$S$2:$S$4001,'All Donations'!$R$2:$R$4001,AD26,'All Donations'!$T$2:$T$4001,"&gt;="&amp;'Settings'!$C$29,'All Donations'!$T$2:$T$4001,"&lt;="&amp;'Settings'!$D$29),2),0)</f>
        <v/>
      </c>
      <c r="AV26">
        <f>IF(AE26=1,ROUND(SUMIFS('All Donations'!$S$2:$S$4001,'All Donations'!$R$2:$R$4001,AD26,'All Donations'!$T$2:$T$4001,"&lt;="&amp;'Settings'!$D$30),2),0)</f>
        <v/>
      </c>
      <c r="AZ26">
        <f>IF(AE26=1,ROUND(SUMIFS('All Donations'!$S$2:$S$4001,'All Donations'!$R$2:$R$4001,AD26,'All Donations'!$T$2:$T$4001,"&lt;="&amp;'Settings'!$D$34),2),0)</f>
        <v/>
      </c>
    </row>
    <row r="27">
      <c r="A27">
        <f>IF(AE27=1,TRIM(TRIM('Roster'!B27)&amp;" "&amp;TRIM('Roster'!C27)),"")</f>
        <v/>
      </c>
      <c r="B27">
        <f>IF(AE27=1,IF(AN27="","(no teacher)",AN27&amp;" – "&amp;C27),"")</f>
        <v/>
      </c>
      <c r="C27">
        <f>IF(AE27=1,TRIM('Roster'!D27&amp;""),"")</f>
        <v/>
      </c>
      <c r="D27" s="48">
        <f>IF(AE27=1,ROUND(SUMIFS('All Donations'!$S$2:$S$4001,'All Donations'!$R$2:$R$4001,AD27),2),"")</f>
        <v/>
      </c>
      <c r="E27" s="48">
        <f>IF(AE27=1,ROUND(SUMIFS('All Donations'!$S$2:$S$4001,'All Donations'!$R$2:$R$4001,AD27,'All Donations'!$G$2:$G$4001,"OneCause"),2),"")</f>
        <v/>
      </c>
      <c r="F27" s="48">
        <f>IF(AE27=1,D27-E27,"")</f>
        <v/>
      </c>
      <c r="G27">
        <f>IF(AE27=1,COUNTIFS('All Donations'!$R$2:$R$4001,AD27,'All Donations'!$H$2:$H$4001,"OK"),"")</f>
        <v/>
      </c>
      <c r="H27">
        <f>IF(AE27&lt;&gt;1,"",IF(D27&gt;0,"Yes",""))</f>
        <v/>
      </c>
      <c r="I27" s="49">
        <f>IF(OR($AE27&lt;&gt;1,I$1=""),"",SUMIFS('All Donations'!$S$2:$S$4001,'All Donations'!$R$2:$R$4001,$AD27,'All Donations'!$T$2:$T$4001,I$1))</f>
        <v/>
      </c>
      <c r="J27" s="49">
        <f>IF(OR($AE27&lt;&gt;1,J$1=""),"",SUMIFS('All Donations'!$S$2:$S$4001,'All Donations'!$R$2:$R$4001,$AD27,'All Donations'!$T$2:$T$4001,J$1))</f>
        <v/>
      </c>
      <c r="K27" s="49">
        <f>IF(OR($AE27&lt;&gt;1,K$1=""),"",SUMIFS('All Donations'!$S$2:$S$4001,'All Donations'!$R$2:$R$4001,$AD27,'All Donations'!$T$2:$T$4001,K$1))</f>
        <v/>
      </c>
      <c r="L27" s="49">
        <f>IF(OR($AE27&lt;&gt;1,L$1=""),"",SUMIFS('All Donations'!$S$2:$S$4001,'All Donations'!$R$2:$R$4001,$AD27,'All Donations'!$T$2:$T$4001,L$1))</f>
        <v/>
      </c>
      <c r="M27" s="49">
        <f>IF(OR($AE27&lt;&gt;1,M$1=""),"",SUMIFS('All Donations'!$S$2:$S$4001,'All Donations'!$R$2:$R$4001,$AD27,'All Donations'!$T$2:$T$4001,M$1))</f>
        <v/>
      </c>
      <c r="N27" s="49">
        <f>IF(OR($AE27&lt;&gt;1,N$1=""),"",SUMIFS('All Donations'!$S$2:$S$4001,'All Donations'!$R$2:$R$4001,$AD27,'All Donations'!$T$2:$T$4001,N$1))</f>
        <v/>
      </c>
      <c r="O27" s="49">
        <f>IF(OR($AE27&lt;&gt;1,O$1=""),"",SUMIFS('All Donations'!$S$2:$S$4001,'All Donations'!$R$2:$R$4001,$AD27,'All Donations'!$T$2:$T$4001,O$1))</f>
        <v/>
      </c>
      <c r="P27" s="49">
        <f>IF(OR($AE27&lt;&gt;1,P$1=""),"",SUMIFS('All Donations'!$S$2:$S$4001,'All Donations'!$R$2:$R$4001,$AD27,'All Donations'!$T$2:$T$4001,P$1))</f>
        <v/>
      </c>
      <c r="Q27" s="49">
        <f>IF(OR($AE27&lt;&gt;1,Q$1=""),"",SUMIFS('All Donations'!$S$2:$S$4001,'All Donations'!$R$2:$R$4001,$AD27,'All Donations'!$T$2:$T$4001,Q$1))</f>
        <v/>
      </c>
      <c r="R27" s="49">
        <f>IF(OR($AE27&lt;&gt;1,R$1=""),"",SUMIFS('All Donations'!$S$2:$S$4001,'All Donations'!$R$2:$R$4001,$AD27,'All Donations'!$T$2:$T$4001,R$1))</f>
        <v/>
      </c>
      <c r="S27" s="49">
        <f>IF(OR($AE27&lt;&gt;1,S$1=""),"",SUMIFS('All Donations'!$S$2:$S$4001,'All Donations'!$R$2:$R$4001,$AD27,'All Donations'!$T$2:$T$4001,S$1))</f>
        <v/>
      </c>
      <c r="T27" s="49">
        <f>IF(OR($AE27&lt;&gt;1,T$1=""),"",SUMIFS('All Donations'!$S$2:$S$4001,'All Donations'!$R$2:$R$4001,$AD27,'All Donations'!$T$2:$T$4001,T$1))</f>
        <v/>
      </c>
      <c r="U27" s="49">
        <f>IF(OR($AE27&lt;&gt;1,U$1=""),"",SUMIFS('All Donations'!$S$2:$S$4001,'All Donations'!$R$2:$R$4001,$AD27,'All Donations'!$T$2:$T$4001,U$1))</f>
        <v/>
      </c>
      <c r="V27" s="49">
        <f>IF(OR($AE27&lt;&gt;1,V$1=""),"",SUMIFS('All Donations'!$S$2:$S$4001,'All Donations'!$R$2:$R$4001,$AD27,'All Donations'!$T$2:$T$4001,V$1))</f>
        <v/>
      </c>
      <c r="W27" s="49">
        <f>IF(OR($AE27&lt;&gt;1,W$1=""),"",SUMIFS('All Donations'!$S$2:$S$4001,'All Donations'!$R$2:$R$4001,$AD27,'All Donations'!$T$2:$T$4001,W$1))</f>
        <v/>
      </c>
      <c r="X27" s="49">
        <f>IF(OR($AE27&lt;&gt;1,X$1=""),"",SUMIFS('All Donations'!$S$2:$S$4001,'All Donations'!$R$2:$R$4001,$AD27,'All Donations'!$T$2:$T$4001,X$1))</f>
        <v/>
      </c>
      <c r="Y27" s="49">
        <f>IF(OR($AE27&lt;&gt;1,Y$1=""),"",SUMIFS('All Donations'!$S$2:$S$4001,'All Donations'!$R$2:$R$4001,$AD27,'All Donations'!$T$2:$T$4001,Y$1))</f>
        <v/>
      </c>
      <c r="Z27" s="49">
        <f>IF(OR($AE27&lt;&gt;1,Z$1=""),"",SUMIFS('All Donations'!$S$2:$S$4001,'All Donations'!$R$2:$R$4001,$AD27,'All Donations'!$T$2:$T$4001,Z$1))</f>
        <v/>
      </c>
      <c r="AA27" s="49">
        <f>IF(OR($AE27&lt;&gt;1,AA$1=""),"",SUMIFS('All Donations'!$S$2:$S$4001,'All Donations'!$R$2:$R$4001,$AD27,'All Donations'!$T$2:$T$4001,AA$1))</f>
        <v/>
      </c>
      <c r="AB27" s="49">
        <f>IF(OR($AE27&lt;&gt;1,AB$1=""),"",SUMIFS('All Donations'!$S$2:$S$4001,'All Donations'!$R$2:$R$4001,$AD27,'All Donations'!$T$2:$T$4001,AB$1))</f>
        <v/>
      </c>
      <c r="AC27" s="49">
        <f>IF(OR($AE27&lt;&gt;1,AC$1=""),"",SUMIFS('All Donations'!$S$2:$S$4001,'All Donations'!$R$2:$R$4001,$AD27,'All Donations'!$T$2:$T$4001,AC$1))</f>
        <v/>
      </c>
      <c r="AD27">
        <f>IF(AE27=1,'Roster'!A27,"")</f>
        <v/>
      </c>
      <c r="AE27">
        <f>IF(TRIM('Roster'!B27&amp;'Roster'!C27)&lt;&gt;"",1,0)</f>
        <v/>
      </c>
      <c r="AF27">
        <f>IF(AE27=1,LOWER(A27),"#")</f>
        <v/>
      </c>
      <c r="AG27">
        <f>IF(AE27=1,LOWER(TRIM(TRIM('Roster'!C27)&amp;", "&amp;TRIM('Roster'!B27))),"#")</f>
        <v/>
      </c>
      <c r="AH27">
        <f>IF(AND(AE27=1,TRIM('Roster'!F27)&lt;&gt;""),LOWER(TRIM('Roster'!F27)),"#")</f>
        <v/>
      </c>
      <c r="AI27">
        <f>IF(AE27=1,IF(MATCH(B27,$B$2:$B$701,0)=ROW()-1,1,0),0)</f>
        <v/>
      </c>
      <c r="AJ27">
        <f>AJ26+AI27</f>
        <v/>
      </c>
      <c r="AK27">
        <f>IF(AE27=1,D27+(1000-ROW())/10^7,-1)</f>
        <v/>
      </c>
      <c r="AL27">
        <f>IF(AE27=1,TRIM('Roster'!B27)&amp;" "&amp;LEFT(TRIM('Roster'!C27),1)&amp;".","")</f>
        <v/>
      </c>
      <c r="AM27">
        <f>IF(AE27=1,TRIM('Roster'!C27)&amp;", "&amp;TRIM('Roster'!B27)&amp;" ("&amp;B27&amp;") #"&amp;AD27,"")</f>
        <v/>
      </c>
      <c r="AN27">
        <f>IF(AE27=1,TRIM('Roster'!E27),"")</f>
        <v/>
      </c>
      <c r="AO27">
        <f>IF(AE27=1,ROUND(SUMIFS('All Donations'!$S$2:$S$4001,'All Donations'!$R$2:$R$4001,AD27,'All Donations'!$T$2:$T$4001,"&gt;="&amp;'Settings'!$C$23,'All Donations'!$T$2:$T$4001,"&lt;="&amp;'Settings'!$D$23),2),0)</f>
        <v/>
      </c>
      <c r="AQ27">
        <f>IF(AE27=1,ROUND(SUMIFS('All Donations'!$S$2:$S$4001,'All Donations'!$R$2:$R$4001,AD27,'All Donations'!$T$2:$T$4001,"&gt;="&amp;'Settings'!$C$25,'All Donations'!$T$2:$T$4001,"&lt;="&amp;'Settings'!$D$25),2),0)</f>
        <v/>
      </c>
      <c r="AR27">
        <f>IF(AE27=1,ROUND(SUMIFS('All Donations'!$S$2:$S$4001,'All Donations'!$R$2:$R$4001,AD27,'All Donations'!$T$2:$T$4001,"&gt;="&amp;'Settings'!$C$26,'All Donations'!$T$2:$T$4001,"&lt;="&amp;'Settings'!$D$26),2),0)</f>
        <v/>
      </c>
      <c r="AS27">
        <f>IF(AE27=1,ROUND(SUMIFS('All Donations'!$S$2:$S$4001,'All Donations'!$R$2:$R$4001,AD27,'All Donations'!$T$2:$T$4001,"&lt;="&amp;'Settings'!$D$27),2),0)</f>
        <v/>
      </c>
      <c r="AT27">
        <f>IF(AE27=1,ROUND(SUMIFS('All Donations'!$S$2:$S$4001,'All Donations'!$R$2:$R$4001,AD27,'All Donations'!$T$2:$T$4001,"&gt;="&amp;'Settings'!$C$28,'All Donations'!$T$2:$T$4001,"&lt;="&amp;'Settings'!$D$28),2),0)</f>
        <v/>
      </c>
      <c r="AU27">
        <f>IF(AE27=1,ROUND(SUMIFS('All Donations'!$S$2:$S$4001,'All Donations'!$R$2:$R$4001,AD27,'All Donations'!$T$2:$T$4001,"&gt;="&amp;'Settings'!$C$29,'All Donations'!$T$2:$T$4001,"&lt;="&amp;'Settings'!$D$29),2),0)</f>
        <v/>
      </c>
      <c r="AV27">
        <f>IF(AE27=1,ROUND(SUMIFS('All Donations'!$S$2:$S$4001,'All Donations'!$R$2:$R$4001,AD27,'All Donations'!$T$2:$T$4001,"&lt;="&amp;'Settings'!$D$30),2),0)</f>
        <v/>
      </c>
      <c r="AZ27">
        <f>IF(AE27=1,ROUND(SUMIFS('All Donations'!$S$2:$S$4001,'All Donations'!$R$2:$R$4001,AD27,'All Donations'!$T$2:$T$4001,"&lt;="&amp;'Settings'!$D$34),2),0)</f>
        <v/>
      </c>
    </row>
    <row r="28">
      <c r="A28">
        <f>IF(AE28=1,TRIM(TRIM('Roster'!B28)&amp;" "&amp;TRIM('Roster'!C28)),"")</f>
        <v/>
      </c>
      <c r="B28">
        <f>IF(AE28=1,IF(AN28="","(no teacher)",AN28&amp;" – "&amp;C28),"")</f>
        <v/>
      </c>
      <c r="C28">
        <f>IF(AE28=1,TRIM('Roster'!D28&amp;""),"")</f>
        <v/>
      </c>
      <c r="D28" s="48">
        <f>IF(AE28=1,ROUND(SUMIFS('All Donations'!$S$2:$S$4001,'All Donations'!$R$2:$R$4001,AD28),2),"")</f>
        <v/>
      </c>
      <c r="E28" s="48">
        <f>IF(AE28=1,ROUND(SUMIFS('All Donations'!$S$2:$S$4001,'All Donations'!$R$2:$R$4001,AD28,'All Donations'!$G$2:$G$4001,"OneCause"),2),"")</f>
        <v/>
      </c>
      <c r="F28" s="48">
        <f>IF(AE28=1,D28-E28,"")</f>
        <v/>
      </c>
      <c r="G28">
        <f>IF(AE28=1,COUNTIFS('All Donations'!$R$2:$R$4001,AD28,'All Donations'!$H$2:$H$4001,"OK"),"")</f>
        <v/>
      </c>
      <c r="H28">
        <f>IF(AE28&lt;&gt;1,"",IF(D28&gt;0,"Yes",""))</f>
        <v/>
      </c>
      <c r="I28" s="49">
        <f>IF(OR($AE28&lt;&gt;1,I$1=""),"",SUMIFS('All Donations'!$S$2:$S$4001,'All Donations'!$R$2:$R$4001,$AD28,'All Donations'!$T$2:$T$4001,I$1))</f>
        <v/>
      </c>
      <c r="J28" s="49">
        <f>IF(OR($AE28&lt;&gt;1,J$1=""),"",SUMIFS('All Donations'!$S$2:$S$4001,'All Donations'!$R$2:$R$4001,$AD28,'All Donations'!$T$2:$T$4001,J$1))</f>
        <v/>
      </c>
      <c r="K28" s="49">
        <f>IF(OR($AE28&lt;&gt;1,K$1=""),"",SUMIFS('All Donations'!$S$2:$S$4001,'All Donations'!$R$2:$R$4001,$AD28,'All Donations'!$T$2:$T$4001,K$1))</f>
        <v/>
      </c>
      <c r="L28" s="49">
        <f>IF(OR($AE28&lt;&gt;1,L$1=""),"",SUMIFS('All Donations'!$S$2:$S$4001,'All Donations'!$R$2:$R$4001,$AD28,'All Donations'!$T$2:$T$4001,L$1))</f>
        <v/>
      </c>
      <c r="M28" s="49">
        <f>IF(OR($AE28&lt;&gt;1,M$1=""),"",SUMIFS('All Donations'!$S$2:$S$4001,'All Donations'!$R$2:$R$4001,$AD28,'All Donations'!$T$2:$T$4001,M$1))</f>
        <v/>
      </c>
      <c r="N28" s="49">
        <f>IF(OR($AE28&lt;&gt;1,N$1=""),"",SUMIFS('All Donations'!$S$2:$S$4001,'All Donations'!$R$2:$R$4001,$AD28,'All Donations'!$T$2:$T$4001,N$1))</f>
        <v/>
      </c>
      <c r="O28" s="49">
        <f>IF(OR($AE28&lt;&gt;1,O$1=""),"",SUMIFS('All Donations'!$S$2:$S$4001,'All Donations'!$R$2:$R$4001,$AD28,'All Donations'!$T$2:$T$4001,O$1))</f>
        <v/>
      </c>
      <c r="P28" s="49">
        <f>IF(OR($AE28&lt;&gt;1,P$1=""),"",SUMIFS('All Donations'!$S$2:$S$4001,'All Donations'!$R$2:$R$4001,$AD28,'All Donations'!$T$2:$T$4001,P$1))</f>
        <v/>
      </c>
      <c r="Q28" s="49">
        <f>IF(OR($AE28&lt;&gt;1,Q$1=""),"",SUMIFS('All Donations'!$S$2:$S$4001,'All Donations'!$R$2:$R$4001,$AD28,'All Donations'!$T$2:$T$4001,Q$1))</f>
        <v/>
      </c>
      <c r="R28" s="49">
        <f>IF(OR($AE28&lt;&gt;1,R$1=""),"",SUMIFS('All Donations'!$S$2:$S$4001,'All Donations'!$R$2:$R$4001,$AD28,'All Donations'!$T$2:$T$4001,R$1))</f>
        <v/>
      </c>
      <c r="S28" s="49">
        <f>IF(OR($AE28&lt;&gt;1,S$1=""),"",SUMIFS('All Donations'!$S$2:$S$4001,'All Donations'!$R$2:$R$4001,$AD28,'All Donations'!$T$2:$T$4001,S$1))</f>
        <v/>
      </c>
      <c r="T28" s="49">
        <f>IF(OR($AE28&lt;&gt;1,T$1=""),"",SUMIFS('All Donations'!$S$2:$S$4001,'All Donations'!$R$2:$R$4001,$AD28,'All Donations'!$T$2:$T$4001,T$1))</f>
        <v/>
      </c>
      <c r="U28" s="49">
        <f>IF(OR($AE28&lt;&gt;1,U$1=""),"",SUMIFS('All Donations'!$S$2:$S$4001,'All Donations'!$R$2:$R$4001,$AD28,'All Donations'!$T$2:$T$4001,U$1))</f>
        <v/>
      </c>
      <c r="V28" s="49">
        <f>IF(OR($AE28&lt;&gt;1,V$1=""),"",SUMIFS('All Donations'!$S$2:$S$4001,'All Donations'!$R$2:$R$4001,$AD28,'All Donations'!$T$2:$T$4001,V$1))</f>
        <v/>
      </c>
      <c r="W28" s="49">
        <f>IF(OR($AE28&lt;&gt;1,W$1=""),"",SUMIFS('All Donations'!$S$2:$S$4001,'All Donations'!$R$2:$R$4001,$AD28,'All Donations'!$T$2:$T$4001,W$1))</f>
        <v/>
      </c>
      <c r="X28" s="49">
        <f>IF(OR($AE28&lt;&gt;1,X$1=""),"",SUMIFS('All Donations'!$S$2:$S$4001,'All Donations'!$R$2:$R$4001,$AD28,'All Donations'!$T$2:$T$4001,X$1))</f>
        <v/>
      </c>
      <c r="Y28" s="49">
        <f>IF(OR($AE28&lt;&gt;1,Y$1=""),"",SUMIFS('All Donations'!$S$2:$S$4001,'All Donations'!$R$2:$R$4001,$AD28,'All Donations'!$T$2:$T$4001,Y$1))</f>
        <v/>
      </c>
      <c r="Z28" s="49">
        <f>IF(OR($AE28&lt;&gt;1,Z$1=""),"",SUMIFS('All Donations'!$S$2:$S$4001,'All Donations'!$R$2:$R$4001,$AD28,'All Donations'!$T$2:$T$4001,Z$1))</f>
        <v/>
      </c>
      <c r="AA28" s="49">
        <f>IF(OR($AE28&lt;&gt;1,AA$1=""),"",SUMIFS('All Donations'!$S$2:$S$4001,'All Donations'!$R$2:$R$4001,$AD28,'All Donations'!$T$2:$T$4001,AA$1))</f>
        <v/>
      </c>
      <c r="AB28" s="49">
        <f>IF(OR($AE28&lt;&gt;1,AB$1=""),"",SUMIFS('All Donations'!$S$2:$S$4001,'All Donations'!$R$2:$R$4001,$AD28,'All Donations'!$T$2:$T$4001,AB$1))</f>
        <v/>
      </c>
      <c r="AC28" s="49">
        <f>IF(OR($AE28&lt;&gt;1,AC$1=""),"",SUMIFS('All Donations'!$S$2:$S$4001,'All Donations'!$R$2:$R$4001,$AD28,'All Donations'!$T$2:$T$4001,AC$1))</f>
        <v/>
      </c>
      <c r="AD28">
        <f>IF(AE28=1,'Roster'!A28,"")</f>
        <v/>
      </c>
      <c r="AE28">
        <f>IF(TRIM('Roster'!B28&amp;'Roster'!C28)&lt;&gt;"",1,0)</f>
        <v/>
      </c>
      <c r="AF28">
        <f>IF(AE28=1,LOWER(A28),"#")</f>
        <v/>
      </c>
      <c r="AG28">
        <f>IF(AE28=1,LOWER(TRIM(TRIM('Roster'!C28)&amp;", "&amp;TRIM('Roster'!B28))),"#")</f>
        <v/>
      </c>
      <c r="AH28">
        <f>IF(AND(AE28=1,TRIM('Roster'!F28)&lt;&gt;""),LOWER(TRIM('Roster'!F28)),"#")</f>
        <v/>
      </c>
      <c r="AI28">
        <f>IF(AE28=1,IF(MATCH(B28,$B$2:$B$701,0)=ROW()-1,1,0),0)</f>
        <v/>
      </c>
      <c r="AJ28">
        <f>AJ27+AI28</f>
        <v/>
      </c>
      <c r="AK28">
        <f>IF(AE28=1,D28+(1000-ROW())/10^7,-1)</f>
        <v/>
      </c>
      <c r="AL28">
        <f>IF(AE28=1,TRIM('Roster'!B28)&amp;" "&amp;LEFT(TRIM('Roster'!C28),1)&amp;".","")</f>
        <v/>
      </c>
      <c r="AM28">
        <f>IF(AE28=1,TRIM('Roster'!C28)&amp;", "&amp;TRIM('Roster'!B28)&amp;" ("&amp;B28&amp;") #"&amp;AD28,"")</f>
        <v/>
      </c>
      <c r="AN28">
        <f>IF(AE28=1,TRIM('Roster'!E28),"")</f>
        <v/>
      </c>
      <c r="AO28">
        <f>IF(AE28=1,ROUND(SUMIFS('All Donations'!$S$2:$S$4001,'All Donations'!$R$2:$R$4001,AD28,'All Donations'!$T$2:$T$4001,"&gt;="&amp;'Settings'!$C$23,'All Donations'!$T$2:$T$4001,"&lt;="&amp;'Settings'!$D$23),2),0)</f>
        <v/>
      </c>
      <c r="AQ28">
        <f>IF(AE28=1,ROUND(SUMIFS('All Donations'!$S$2:$S$4001,'All Donations'!$R$2:$R$4001,AD28,'All Donations'!$T$2:$T$4001,"&gt;="&amp;'Settings'!$C$25,'All Donations'!$T$2:$T$4001,"&lt;="&amp;'Settings'!$D$25),2),0)</f>
        <v/>
      </c>
      <c r="AR28">
        <f>IF(AE28=1,ROUND(SUMIFS('All Donations'!$S$2:$S$4001,'All Donations'!$R$2:$R$4001,AD28,'All Donations'!$T$2:$T$4001,"&gt;="&amp;'Settings'!$C$26,'All Donations'!$T$2:$T$4001,"&lt;="&amp;'Settings'!$D$26),2),0)</f>
        <v/>
      </c>
      <c r="AS28">
        <f>IF(AE28=1,ROUND(SUMIFS('All Donations'!$S$2:$S$4001,'All Donations'!$R$2:$R$4001,AD28,'All Donations'!$T$2:$T$4001,"&lt;="&amp;'Settings'!$D$27),2),0)</f>
        <v/>
      </c>
      <c r="AT28">
        <f>IF(AE28=1,ROUND(SUMIFS('All Donations'!$S$2:$S$4001,'All Donations'!$R$2:$R$4001,AD28,'All Donations'!$T$2:$T$4001,"&gt;="&amp;'Settings'!$C$28,'All Donations'!$T$2:$T$4001,"&lt;="&amp;'Settings'!$D$28),2),0)</f>
        <v/>
      </c>
      <c r="AU28">
        <f>IF(AE28=1,ROUND(SUMIFS('All Donations'!$S$2:$S$4001,'All Donations'!$R$2:$R$4001,AD28,'All Donations'!$T$2:$T$4001,"&gt;="&amp;'Settings'!$C$29,'All Donations'!$T$2:$T$4001,"&lt;="&amp;'Settings'!$D$29),2),0)</f>
        <v/>
      </c>
      <c r="AV28">
        <f>IF(AE28=1,ROUND(SUMIFS('All Donations'!$S$2:$S$4001,'All Donations'!$R$2:$R$4001,AD28,'All Donations'!$T$2:$T$4001,"&lt;="&amp;'Settings'!$D$30),2),0)</f>
        <v/>
      </c>
      <c r="AZ28">
        <f>IF(AE28=1,ROUND(SUMIFS('All Donations'!$S$2:$S$4001,'All Donations'!$R$2:$R$4001,AD28,'All Donations'!$T$2:$T$4001,"&lt;="&amp;'Settings'!$D$34),2),0)</f>
        <v/>
      </c>
    </row>
    <row r="29">
      <c r="A29">
        <f>IF(AE29=1,TRIM(TRIM('Roster'!B29)&amp;" "&amp;TRIM('Roster'!C29)),"")</f>
        <v/>
      </c>
      <c r="B29">
        <f>IF(AE29=1,IF(AN29="","(no teacher)",AN29&amp;" – "&amp;C29),"")</f>
        <v/>
      </c>
      <c r="C29">
        <f>IF(AE29=1,TRIM('Roster'!D29&amp;""),"")</f>
        <v/>
      </c>
      <c r="D29" s="48">
        <f>IF(AE29=1,ROUND(SUMIFS('All Donations'!$S$2:$S$4001,'All Donations'!$R$2:$R$4001,AD29),2),"")</f>
        <v/>
      </c>
      <c r="E29" s="48">
        <f>IF(AE29=1,ROUND(SUMIFS('All Donations'!$S$2:$S$4001,'All Donations'!$R$2:$R$4001,AD29,'All Donations'!$G$2:$G$4001,"OneCause"),2),"")</f>
        <v/>
      </c>
      <c r="F29" s="48">
        <f>IF(AE29=1,D29-E29,"")</f>
        <v/>
      </c>
      <c r="G29">
        <f>IF(AE29=1,COUNTIFS('All Donations'!$R$2:$R$4001,AD29,'All Donations'!$H$2:$H$4001,"OK"),"")</f>
        <v/>
      </c>
      <c r="H29">
        <f>IF(AE29&lt;&gt;1,"",IF(D29&gt;0,"Yes",""))</f>
        <v/>
      </c>
      <c r="I29" s="49">
        <f>IF(OR($AE29&lt;&gt;1,I$1=""),"",SUMIFS('All Donations'!$S$2:$S$4001,'All Donations'!$R$2:$R$4001,$AD29,'All Donations'!$T$2:$T$4001,I$1))</f>
        <v/>
      </c>
      <c r="J29" s="49">
        <f>IF(OR($AE29&lt;&gt;1,J$1=""),"",SUMIFS('All Donations'!$S$2:$S$4001,'All Donations'!$R$2:$R$4001,$AD29,'All Donations'!$T$2:$T$4001,J$1))</f>
        <v/>
      </c>
      <c r="K29" s="49">
        <f>IF(OR($AE29&lt;&gt;1,K$1=""),"",SUMIFS('All Donations'!$S$2:$S$4001,'All Donations'!$R$2:$R$4001,$AD29,'All Donations'!$T$2:$T$4001,K$1))</f>
        <v/>
      </c>
      <c r="L29" s="49">
        <f>IF(OR($AE29&lt;&gt;1,L$1=""),"",SUMIFS('All Donations'!$S$2:$S$4001,'All Donations'!$R$2:$R$4001,$AD29,'All Donations'!$T$2:$T$4001,L$1))</f>
        <v/>
      </c>
      <c r="M29" s="49">
        <f>IF(OR($AE29&lt;&gt;1,M$1=""),"",SUMIFS('All Donations'!$S$2:$S$4001,'All Donations'!$R$2:$R$4001,$AD29,'All Donations'!$T$2:$T$4001,M$1))</f>
        <v/>
      </c>
      <c r="N29" s="49">
        <f>IF(OR($AE29&lt;&gt;1,N$1=""),"",SUMIFS('All Donations'!$S$2:$S$4001,'All Donations'!$R$2:$R$4001,$AD29,'All Donations'!$T$2:$T$4001,N$1))</f>
        <v/>
      </c>
      <c r="O29" s="49">
        <f>IF(OR($AE29&lt;&gt;1,O$1=""),"",SUMIFS('All Donations'!$S$2:$S$4001,'All Donations'!$R$2:$R$4001,$AD29,'All Donations'!$T$2:$T$4001,O$1))</f>
        <v/>
      </c>
      <c r="P29" s="49">
        <f>IF(OR($AE29&lt;&gt;1,P$1=""),"",SUMIFS('All Donations'!$S$2:$S$4001,'All Donations'!$R$2:$R$4001,$AD29,'All Donations'!$T$2:$T$4001,P$1))</f>
        <v/>
      </c>
      <c r="Q29" s="49">
        <f>IF(OR($AE29&lt;&gt;1,Q$1=""),"",SUMIFS('All Donations'!$S$2:$S$4001,'All Donations'!$R$2:$R$4001,$AD29,'All Donations'!$T$2:$T$4001,Q$1))</f>
        <v/>
      </c>
      <c r="R29" s="49">
        <f>IF(OR($AE29&lt;&gt;1,R$1=""),"",SUMIFS('All Donations'!$S$2:$S$4001,'All Donations'!$R$2:$R$4001,$AD29,'All Donations'!$T$2:$T$4001,R$1))</f>
        <v/>
      </c>
      <c r="S29" s="49">
        <f>IF(OR($AE29&lt;&gt;1,S$1=""),"",SUMIFS('All Donations'!$S$2:$S$4001,'All Donations'!$R$2:$R$4001,$AD29,'All Donations'!$T$2:$T$4001,S$1))</f>
        <v/>
      </c>
      <c r="T29" s="49">
        <f>IF(OR($AE29&lt;&gt;1,T$1=""),"",SUMIFS('All Donations'!$S$2:$S$4001,'All Donations'!$R$2:$R$4001,$AD29,'All Donations'!$T$2:$T$4001,T$1))</f>
        <v/>
      </c>
      <c r="U29" s="49">
        <f>IF(OR($AE29&lt;&gt;1,U$1=""),"",SUMIFS('All Donations'!$S$2:$S$4001,'All Donations'!$R$2:$R$4001,$AD29,'All Donations'!$T$2:$T$4001,U$1))</f>
        <v/>
      </c>
      <c r="V29" s="49">
        <f>IF(OR($AE29&lt;&gt;1,V$1=""),"",SUMIFS('All Donations'!$S$2:$S$4001,'All Donations'!$R$2:$R$4001,$AD29,'All Donations'!$T$2:$T$4001,V$1))</f>
        <v/>
      </c>
      <c r="W29" s="49">
        <f>IF(OR($AE29&lt;&gt;1,W$1=""),"",SUMIFS('All Donations'!$S$2:$S$4001,'All Donations'!$R$2:$R$4001,$AD29,'All Donations'!$T$2:$T$4001,W$1))</f>
        <v/>
      </c>
      <c r="X29" s="49">
        <f>IF(OR($AE29&lt;&gt;1,X$1=""),"",SUMIFS('All Donations'!$S$2:$S$4001,'All Donations'!$R$2:$R$4001,$AD29,'All Donations'!$T$2:$T$4001,X$1))</f>
        <v/>
      </c>
      <c r="Y29" s="49">
        <f>IF(OR($AE29&lt;&gt;1,Y$1=""),"",SUMIFS('All Donations'!$S$2:$S$4001,'All Donations'!$R$2:$R$4001,$AD29,'All Donations'!$T$2:$T$4001,Y$1))</f>
        <v/>
      </c>
      <c r="Z29" s="49">
        <f>IF(OR($AE29&lt;&gt;1,Z$1=""),"",SUMIFS('All Donations'!$S$2:$S$4001,'All Donations'!$R$2:$R$4001,$AD29,'All Donations'!$T$2:$T$4001,Z$1))</f>
        <v/>
      </c>
      <c r="AA29" s="49">
        <f>IF(OR($AE29&lt;&gt;1,AA$1=""),"",SUMIFS('All Donations'!$S$2:$S$4001,'All Donations'!$R$2:$R$4001,$AD29,'All Donations'!$T$2:$T$4001,AA$1))</f>
        <v/>
      </c>
      <c r="AB29" s="49">
        <f>IF(OR($AE29&lt;&gt;1,AB$1=""),"",SUMIFS('All Donations'!$S$2:$S$4001,'All Donations'!$R$2:$R$4001,$AD29,'All Donations'!$T$2:$T$4001,AB$1))</f>
        <v/>
      </c>
      <c r="AC29" s="49">
        <f>IF(OR($AE29&lt;&gt;1,AC$1=""),"",SUMIFS('All Donations'!$S$2:$S$4001,'All Donations'!$R$2:$R$4001,$AD29,'All Donations'!$T$2:$T$4001,AC$1))</f>
        <v/>
      </c>
      <c r="AD29">
        <f>IF(AE29=1,'Roster'!A29,"")</f>
        <v/>
      </c>
      <c r="AE29">
        <f>IF(TRIM('Roster'!B29&amp;'Roster'!C29)&lt;&gt;"",1,0)</f>
        <v/>
      </c>
      <c r="AF29">
        <f>IF(AE29=1,LOWER(A29),"#")</f>
        <v/>
      </c>
      <c r="AG29">
        <f>IF(AE29=1,LOWER(TRIM(TRIM('Roster'!C29)&amp;", "&amp;TRIM('Roster'!B29))),"#")</f>
        <v/>
      </c>
      <c r="AH29">
        <f>IF(AND(AE29=1,TRIM('Roster'!F29)&lt;&gt;""),LOWER(TRIM('Roster'!F29)),"#")</f>
        <v/>
      </c>
      <c r="AI29">
        <f>IF(AE29=1,IF(MATCH(B29,$B$2:$B$701,0)=ROW()-1,1,0),0)</f>
        <v/>
      </c>
      <c r="AJ29">
        <f>AJ28+AI29</f>
        <v/>
      </c>
      <c r="AK29">
        <f>IF(AE29=1,D29+(1000-ROW())/10^7,-1)</f>
        <v/>
      </c>
      <c r="AL29">
        <f>IF(AE29=1,TRIM('Roster'!B29)&amp;" "&amp;LEFT(TRIM('Roster'!C29),1)&amp;".","")</f>
        <v/>
      </c>
      <c r="AM29">
        <f>IF(AE29=1,TRIM('Roster'!C29)&amp;", "&amp;TRIM('Roster'!B29)&amp;" ("&amp;B29&amp;") #"&amp;AD29,"")</f>
        <v/>
      </c>
      <c r="AN29">
        <f>IF(AE29=1,TRIM('Roster'!E29),"")</f>
        <v/>
      </c>
      <c r="AO29">
        <f>IF(AE29=1,ROUND(SUMIFS('All Donations'!$S$2:$S$4001,'All Donations'!$R$2:$R$4001,AD29,'All Donations'!$T$2:$T$4001,"&gt;="&amp;'Settings'!$C$23,'All Donations'!$T$2:$T$4001,"&lt;="&amp;'Settings'!$D$23),2),0)</f>
        <v/>
      </c>
      <c r="AQ29">
        <f>IF(AE29=1,ROUND(SUMIFS('All Donations'!$S$2:$S$4001,'All Donations'!$R$2:$R$4001,AD29,'All Donations'!$T$2:$T$4001,"&gt;="&amp;'Settings'!$C$25,'All Donations'!$T$2:$T$4001,"&lt;="&amp;'Settings'!$D$25),2),0)</f>
        <v/>
      </c>
      <c r="AR29">
        <f>IF(AE29=1,ROUND(SUMIFS('All Donations'!$S$2:$S$4001,'All Donations'!$R$2:$R$4001,AD29,'All Donations'!$T$2:$T$4001,"&gt;="&amp;'Settings'!$C$26,'All Donations'!$T$2:$T$4001,"&lt;="&amp;'Settings'!$D$26),2),0)</f>
        <v/>
      </c>
      <c r="AS29">
        <f>IF(AE29=1,ROUND(SUMIFS('All Donations'!$S$2:$S$4001,'All Donations'!$R$2:$R$4001,AD29,'All Donations'!$T$2:$T$4001,"&lt;="&amp;'Settings'!$D$27),2),0)</f>
        <v/>
      </c>
      <c r="AT29">
        <f>IF(AE29=1,ROUND(SUMIFS('All Donations'!$S$2:$S$4001,'All Donations'!$R$2:$R$4001,AD29,'All Donations'!$T$2:$T$4001,"&gt;="&amp;'Settings'!$C$28,'All Donations'!$T$2:$T$4001,"&lt;="&amp;'Settings'!$D$28),2),0)</f>
        <v/>
      </c>
      <c r="AU29">
        <f>IF(AE29=1,ROUND(SUMIFS('All Donations'!$S$2:$S$4001,'All Donations'!$R$2:$R$4001,AD29,'All Donations'!$T$2:$T$4001,"&gt;="&amp;'Settings'!$C$29,'All Donations'!$T$2:$T$4001,"&lt;="&amp;'Settings'!$D$29),2),0)</f>
        <v/>
      </c>
      <c r="AV29">
        <f>IF(AE29=1,ROUND(SUMIFS('All Donations'!$S$2:$S$4001,'All Donations'!$R$2:$R$4001,AD29,'All Donations'!$T$2:$T$4001,"&lt;="&amp;'Settings'!$D$30),2),0)</f>
        <v/>
      </c>
      <c r="AZ29">
        <f>IF(AE29=1,ROUND(SUMIFS('All Donations'!$S$2:$S$4001,'All Donations'!$R$2:$R$4001,AD29,'All Donations'!$T$2:$T$4001,"&lt;="&amp;'Settings'!$D$34),2),0)</f>
        <v/>
      </c>
    </row>
    <row r="30">
      <c r="A30">
        <f>IF(AE30=1,TRIM(TRIM('Roster'!B30)&amp;" "&amp;TRIM('Roster'!C30)),"")</f>
        <v/>
      </c>
      <c r="B30">
        <f>IF(AE30=1,IF(AN30="","(no teacher)",AN30&amp;" – "&amp;C30),"")</f>
        <v/>
      </c>
      <c r="C30">
        <f>IF(AE30=1,TRIM('Roster'!D30&amp;""),"")</f>
        <v/>
      </c>
      <c r="D30" s="48">
        <f>IF(AE30=1,ROUND(SUMIFS('All Donations'!$S$2:$S$4001,'All Donations'!$R$2:$R$4001,AD30),2),"")</f>
        <v/>
      </c>
      <c r="E30" s="48">
        <f>IF(AE30=1,ROUND(SUMIFS('All Donations'!$S$2:$S$4001,'All Donations'!$R$2:$R$4001,AD30,'All Donations'!$G$2:$G$4001,"OneCause"),2),"")</f>
        <v/>
      </c>
      <c r="F30" s="48">
        <f>IF(AE30=1,D30-E30,"")</f>
        <v/>
      </c>
      <c r="G30">
        <f>IF(AE30=1,COUNTIFS('All Donations'!$R$2:$R$4001,AD30,'All Donations'!$H$2:$H$4001,"OK"),"")</f>
        <v/>
      </c>
      <c r="H30">
        <f>IF(AE30&lt;&gt;1,"",IF(D30&gt;0,"Yes",""))</f>
        <v/>
      </c>
      <c r="I30" s="49">
        <f>IF(OR($AE30&lt;&gt;1,I$1=""),"",SUMIFS('All Donations'!$S$2:$S$4001,'All Donations'!$R$2:$R$4001,$AD30,'All Donations'!$T$2:$T$4001,I$1))</f>
        <v/>
      </c>
      <c r="J30" s="49">
        <f>IF(OR($AE30&lt;&gt;1,J$1=""),"",SUMIFS('All Donations'!$S$2:$S$4001,'All Donations'!$R$2:$R$4001,$AD30,'All Donations'!$T$2:$T$4001,J$1))</f>
        <v/>
      </c>
      <c r="K30" s="49">
        <f>IF(OR($AE30&lt;&gt;1,K$1=""),"",SUMIFS('All Donations'!$S$2:$S$4001,'All Donations'!$R$2:$R$4001,$AD30,'All Donations'!$T$2:$T$4001,K$1))</f>
        <v/>
      </c>
      <c r="L30" s="49">
        <f>IF(OR($AE30&lt;&gt;1,L$1=""),"",SUMIFS('All Donations'!$S$2:$S$4001,'All Donations'!$R$2:$R$4001,$AD30,'All Donations'!$T$2:$T$4001,L$1))</f>
        <v/>
      </c>
      <c r="M30" s="49">
        <f>IF(OR($AE30&lt;&gt;1,M$1=""),"",SUMIFS('All Donations'!$S$2:$S$4001,'All Donations'!$R$2:$R$4001,$AD30,'All Donations'!$T$2:$T$4001,M$1))</f>
        <v/>
      </c>
      <c r="N30" s="49">
        <f>IF(OR($AE30&lt;&gt;1,N$1=""),"",SUMIFS('All Donations'!$S$2:$S$4001,'All Donations'!$R$2:$R$4001,$AD30,'All Donations'!$T$2:$T$4001,N$1))</f>
        <v/>
      </c>
      <c r="O30" s="49">
        <f>IF(OR($AE30&lt;&gt;1,O$1=""),"",SUMIFS('All Donations'!$S$2:$S$4001,'All Donations'!$R$2:$R$4001,$AD30,'All Donations'!$T$2:$T$4001,O$1))</f>
        <v/>
      </c>
      <c r="P30" s="49">
        <f>IF(OR($AE30&lt;&gt;1,P$1=""),"",SUMIFS('All Donations'!$S$2:$S$4001,'All Donations'!$R$2:$R$4001,$AD30,'All Donations'!$T$2:$T$4001,P$1))</f>
        <v/>
      </c>
      <c r="Q30" s="49">
        <f>IF(OR($AE30&lt;&gt;1,Q$1=""),"",SUMIFS('All Donations'!$S$2:$S$4001,'All Donations'!$R$2:$R$4001,$AD30,'All Donations'!$T$2:$T$4001,Q$1))</f>
        <v/>
      </c>
      <c r="R30" s="49">
        <f>IF(OR($AE30&lt;&gt;1,R$1=""),"",SUMIFS('All Donations'!$S$2:$S$4001,'All Donations'!$R$2:$R$4001,$AD30,'All Donations'!$T$2:$T$4001,R$1))</f>
        <v/>
      </c>
      <c r="S30" s="49">
        <f>IF(OR($AE30&lt;&gt;1,S$1=""),"",SUMIFS('All Donations'!$S$2:$S$4001,'All Donations'!$R$2:$R$4001,$AD30,'All Donations'!$T$2:$T$4001,S$1))</f>
        <v/>
      </c>
      <c r="T30" s="49">
        <f>IF(OR($AE30&lt;&gt;1,T$1=""),"",SUMIFS('All Donations'!$S$2:$S$4001,'All Donations'!$R$2:$R$4001,$AD30,'All Donations'!$T$2:$T$4001,T$1))</f>
        <v/>
      </c>
      <c r="U30" s="49">
        <f>IF(OR($AE30&lt;&gt;1,U$1=""),"",SUMIFS('All Donations'!$S$2:$S$4001,'All Donations'!$R$2:$R$4001,$AD30,'All Donations'!$T$2:$T$4001,U$1))</f>
        <v/>
      </c>
      <c r="V30" s="49">
        <f>IF(OR($AE30&lt;&gt;1,V$1=""),"",SUMIFS('All Donations'!$S$2:$S$4001,'All Donations'!$R$2:$R$4001,$AD30,'All Donations'!$T$2:$T$4001,V$1))</f>
        <v/>
      </c>
      <c r="W30" s="49">
        <f>IF(OR($AE30&lt;&gt;1,W$1=""),"",SUMIFS('All Donations'!$S$2:$S$4001,'All Donations'!$R$2:$R$4001,$AD30,'All Donations'!$T$2:$T$4001,W$1))</f>
        <v/>
      </c>
      <c r="X30" s="49">
        <f>IF(OR($AE30&lt;&gt;1,X$1=""),"",SUMIFS('All Donations'!$S$2:$S$4001,'All Donations'!$R$2:$R$4001,$AD30,'All Donations'!$T$2:$T$4001,X$1))</f>
        <v/>
      </c>
      <c r="Y30" s="49">
        <f>IF(OR($AE30&lt;&gt;1,Y$1=""),"",SUMIFS('All Donations'!$S$2:$S$4001,'All Donations'!$R$2:$R$4001,$AD30,'All Donations'!$T$2:$T$4001,Y$1))</f>
        <v/>
      </c>
      <c r="Z30" s="49">
        <f>IF(OR($AE30&lt;&gt;1,Z$1=""),"",SUMIFS('All Donations'!$S$2:$S$4001,'All Donations'!$R$2:$R$4001,$AD30,'All Donations'!$T$2:$T$4001,Z$1))</f>
        <v/>
      </c>
      <c r="AA30" s="49">
        <f>IF(OR($AE30&lt;&gt;1,AA$1=""),"",SUMIFS('All Donations'!$S$2:$S$4001,'All Donations'!$R$2:$R$4001,$AD30,'All Donations'!$T$2:$T$4001,AA$1))</f>
        <v/>
      </c>
      <c r="AB30" s="49">
        <f>IF(OR($AE30&lt;&gt;1,AB$1=""),"",SUMIFS('All Donations'!$S$2:$S$4001,'All Donations'!$R$2:$R$4001,$AD30,'All Donations'!$T$2:$T$4001,AB$1))</f>
        <v/>
      </c>
      <c r="AC30" s="49">
        <f>IF(OR($AE30&lt;&gt;1,AC$1=""),"",SUMIFS('All Donations'!$S$2:$S$4001,'All Donations'!$R$2:$R$4001,$AD30,'All Donations'!$T$2:$T$4001,AC$1))</f>
        <v/>
      </c>
      <c r="AD30">
        <f>IF(AE30=1,'Roster'!A30,"")</f>
        <v/>
      </c>
      <c r="AE30">
        <f>IF(TRIM('Roster'!B30&amp;'Roster'!C30)&lt;&gt;"",1,0)</f>
        <v/>
      </c>
      <c r="AF30">
        <f>IF(AE30=1,LOWER(A30),"#")</f>
        <v/>
      </c>
      <c r="AG30">
        <f>IF(AE30=1,LOWER(TRIM(TRIM('Roster'!C30)&amp;", "&amp;TRIM('Roster'!B30))),"#")</f>
        <v/>
      </c>
      <c r="AH30">
        <f>IF(AND(AE30=1,TRIM('Roster'!F30)&lt;&gt;""),LOWER(TRIM('Roster'!F30)),"#")</f>
        <v/>
      </c>
      <c r="AI30">
        <f>IF(AE30=1,IF(MATCH(B30,$B$2:$B$701,0)=ROW()-1,1,0),0)</f>
        <v/>
      </c>
      <c r="AJ30">
        <f>AJ29+AI30</f>
        <v/>
      </c>
      <c r="AK30">
        <f>IF(AE30=1,D30+(1000-ROW())/10^7,-1)</f>
        <v/>
      </c>
      <c r="AL30">
        <f>IF(AE30=1,TRIM('Roster'!B30)&amp;" "&amp;LEFT(TRIM('Roster'!C30),1)&amp;".","")</f>
        <v/>
      </c>
      <c r="AM30">
        <f>IF(AE30=1,TRIM('Roster'!C30)&amp;", "&amp;TRIM('Roster'!B30)&amp;" ("&amp;B30&amp;") #"&amp;AD30,"")</f>
        <v/>
      </c>
      <c r="AN30">
        <f>IF(AE30=1,TRIM('Roster'!E30),"")</f>
        <v/>
      </c>
      <c r="AO30">
        <f>IF(AE30=1,ROUND(SUMIFS('All Donations'!$S$2:$S$4001,'All Donations'!$R$2:$R$4001,AD30,'All Donations'!$T$2:$T$4001,"&gt;="&amp;'Settings'!$C$23,'All Donations'!$T$2:$T$4001,"&lt;="&amp;'Settings'!$D$23),2),0)</f>
        <v/>
      </c>
      <c r="AQ30">
        <f>IF(AE30=1,ROUND(SUMIFS('All Donations'!$S$2:$S$4001,'All Donations'!$R$2:$R$4001,AD30,'All Donations'!$T$2:$T$4001,"&gt;="&amp;'Settings'!$C$25,'All Donations'!$T$2:$T$4001,"&lt;="&amp;'Settings'!$D$25),2),0)</f>
        <v/>
      </c>
      <c r="AR30">
        <f>IF(AE30=1,ROUND(SUMIFS('All Donations'!$S$2:$S$4001,'All Donations'!$R$2:$R$4001,AD30,'All Donations'!$T$2:$T$4001,"&gt;="&amp;'Settings'!$C$26,'All Donations'!$T$2:$T$4001,"&lt;="&amp;'Settings'!$D$26),2),0)</f>
        <v/>
      </c>
      <c r="AS30">
        <f>IF(AE30=1,ROUND(SUMIFS('All Donations'!$S$2:$S$4001,'All Donations'!$R$2:$R$4001,AD30,'All Donations'!$T$2:$T$4001,"&lt;="&amp;'Settings'!$D$27),2),0)</f>
        <v/>
      </c>
      <c r="AT30">
        <f>IF(AE30=1,ROUND(SUMIFS('All Donations'!$S$2:$S$4001,'All Donations'!$R$2:$R$4001,AD30,'All Donations'!$T$2:$T$4001,"&gt;="&amp;'Settings'!$C$28,'All Donations'!$T$2:$T$4001,"&lt;="&amp;'Settings'!$D$28),2),0)</f>
        <v/>
      </c>
      <c r="AU30">
        <f>IF(AE30=1,ROUND(SUMIFS('All Donations'!$S$2:$S$4001,'All Donations'!$R$2:$R$4001,AD30,'All Donations'!$T$2:$T$4001,"&gt;="&amp;'Settings'!$C$29,'All Donations'!$T$2:$T$4001,"&lt;="&amp;'Settings'!$D$29),2),0)</f>
        <v/>
      </c>
      <c r="AV30">
        <f>IF(AE30=1,ROUND(SUMIFS('All Donations'!$S$2:$S$4001,'All Donations'!$R$2:$R$4001,AD30,'All Donations'!$T$2:$T$4001,"&lt;="&amp;'Settings'!$D$30),2),0)</f>
        <v/>
      </c>
      <c r="AZ30">
        <f>IF(AE30=1,ROUND(SUMIFS('All Donations'!$S$2:$S$4001,'All Donations'!$R$2:$R$4001,AD30,'All Donations'!$T$2:$T$4001,"&lt;="&amp;'Settings'!$D$34),2),0)</f>
        <v/>
      </c>
    </row>
    <row r="31">
      <c r="A31">
        <f>IF(AE31=1,TRIM(TRIM('Roster'!B31)&amp;" "&amp;TRIM('Roster'!C31)),"")</f>
        <v/>
      </c>
      <c r="B31">
        <f>IF(AE31=1,IF(AN31="","(no teacher)",AN31&amp;" – "&amp;C31),"")</f>
        <v/>
      </c>
      <c r="C31">
        <f>IF(AE31=1,TRIM('Roster'!D31&amp;""),"")</f>
        <v/>
      </c>
      <c r="D31" s="48">
        <f>IF(AE31=1,ROUND(SUMIFS('All Donations'!$S$2:$S$4001,'All Donations'!$R$2:$R$4001,AD31),2),"")</f>
        <v/>
      </c>
      <c r="E31" s="48">
        <f>IF(AE31=1,ROUND(SUMIFS('All Donations'!$S$2:$S$4001,'All Donations'!$R$2:$R$4001,AD31,'All Donations'!$G$2:$G$4001,"OneCause"),2),"")</f>
        <v/>
      </c>
      <c r="F31" s="48">
        <f>IF(AE31=1,D31-E31,"")</f>
        <v/>
      </c>
      <c r="G31">
        <f>IF(AE31=1,COUNTIFS('All Donations'!$R$2:$R$4001,AD31,'All Donations'!$H$2:$H$4001,"OK"),"")</f>
        <v/>
      </c>
      <c r="H31">
        <f>IF(AE31&lt;&gt;1,"",IF(D31&gt;0,"Yes",""))</f>
        <v/>
      </c>
      <c r="I31" s="49">
        <f>IF(OR($AE31&lt;&gt;1,I$1=""),"",SUMIFS('All Donations'!$S$2:$S$4001,'All Donations'!$R$2:$R$4001,$AD31,'All Donations'!$T$2:$T$4001,I$1))</f>
        <v/>
      </c>
      <c r="J31" s="49">
        <f>IF(OR($AE31&lt;&gt;1,J$1=""),"",SUMIFS('All Donations'!$S$2:$S$4001,'All Donations'!$R$2:$R$4001,$AD31,'All Donations'!$T$2:$T$4001,J$1))</f>
        <v/>
      </c>
      <c r="K31" s="49">
        <f>IF(OR($AE31&lt;&gt;1,K$1=""),"",SUMIFS('All Donations'!$S$2:$S$4001,'All Donations'!$R$2:$R$4001,$AD31,'All Donations'!$T$2:$T$4001,K$1))</f>
        <v/>
      </c>
      <c r="L31" s="49">
        <f>IF(OR($AE31&lt;&gt;1,L$1=""),"",SUMIFS('All Donations'!$S$2:$S$4001,'All Donations'!$R$2:$R$4001,$AD31,'All Donations'!$T$2:$T$4001,L$1))</f>
        <v/>
      </c>
      <c r="M31" s="49">
        <f>IF(OR($AE31&lt;&gt;1,M$1=""),"",SUMIFS('All Donations'!$S$2:$S$4001,'All Donations'!$R$2:$R$4001,$AD31,'All Donations'!$T$2:$T$4001,M$1))</f>
        <v/>
      </c>
      <c r="N31" s="49">
        <f>IF(OR($AE31&lt;&gt;1,N$1=""),"",SUMIFS('All Donations'!$S$2:$S$4001,'All Donations'!$R$2:$R$4001,$AD31,'All Donations'!$T$2:$T$4001,N$1))</f>
        <v/>
      </c>
      <c r="O31" s="49">
        <f>IF(OR($AE31&lt;&gt;1,O$1=""),"",SUMIFS('All Donations'!$S$2:$S$4001,'All Donations'!$R$2:$R$4001,$AD31,'All Donations'!$T$2:$T$4001,O$1))</f>
        <v/>
      </c>
      <c r="P31" s="49">
        <f>IF(OR($AE31&lt;&gt;1,P$1=""),"",SUMIFS('All Donations'!$S$2:$S$4001,'All Donations'!$R$2:$R$4001,$AD31,'All Donations'!$T$2:$T$4001,P$1))</f>
        <v/>
      </c>
      <c r="Q31" s="49">
        <f>IF(OR($AE31&lt;&gt;1,Q$1=""),"",SUMIFS('All Donations'!$S$2:$S$4001,'All Donations'!$R$2:$R$4001,$AD31,'All Donations'!$T$2:$T$4001,Q$1))</f>
        <v/>
      </c>
      <c r="R31" s="49">
        <f>IF(OR($AE31&lt;&gt;1,R$1=""),"",SUMIFS('All Donations'!$S$2:$S$4001,'All Donations'!$R$2:$R$4001,$AD31,'All Donations'!$T$2:$T$4001,R$1))</f>
        <v/>
      </c>
      <c r="S31" s="49">
        <f>IF(OR($AE31&lt;&gt;1,S$1=""),"",SUMIFS('All Donations'!$S$2:$S$4001,'All Donations'!$R$2:$R$4001,$AD31,'All Donations'!$T$2:$T$4001,S$1))</f>
        <v/>
      </c>
      <c r="T31" s="49">
        <f>IF(OR($AE31&lt;&gt;1,T$1=""),"",SUMIFS('All Donations'!$S$2:$S$4001,'All Donations'!$R$2:$R$4001,$AD31,'All Donations'!$T$2:$T$4001,T$1))</f>
        <v/>
      </c>
      <c r="U31" s="49">
        <f>IF(OR($AE31&lt;&gt;1,U$1=""),"",SUMIFS('All Donations'!$S$2:$S$4001,'All Donations'!$R$2:$R$4001,$AD31,'All Donations'!$T$2:$T$4001,U$1))</f>
        <v/>
      </c>
      <c r="V31" s="49">
        <f>IF(OR($AE31&lt;&gt;1,V$1=""),"",SUMIFS('All Donations'!$S$2:$S$4001,'All Donations'!$R$2:$R$4001,$AD31,'All Donations'!$T$2:$T$4001,V$1))</f>
        <v/>
      </c>
      <c r="W31" s="49">
        <f>IF(OR($AE31&lt;&gt;1,W$1=""),"",SUMIFS('All Donations'!$S$2:$S$4001,'All Donations'!$R$2:$R$4001,$AD31,'All Donations'!$T$2:$T$4001,W$1))</f>
        <v/>
      </c>
      <c r="X31" s="49">
        <f>IF(OR($AE31&lt;&gt;1,X$1=""),"",SUMIFS('All Donations'!$S$2:$S$4001,'All Donations'!$R$2:$R$4001,$AD31,'All Donations'!$T$2:$T$4001,X$1))</f>
        <v/>
      </c>
      <c r="Y31" s="49">
        <f>IF(OR($AE31&lt;&gt;1,Y$1=""),"",SUMIFS('All Donations'!$S$2:$S$4001,'All Donations'!$R$2:$R$4001,$AD31,'All Donations'!$T$2:$T$4001,Y$1))</f>
        <v/>
      </c>
      <c r="Z31" s="49">
        <f>IF(OR($AE31&lt;&gt;1,Z$1=""),"",SUMIFS('All Donations'!$S$2:$S$4001,'All Donations'!$R$2:$R$4001,$AD31,'All Donations'!$T$2:$T$4001,Z$1))</f>
        <v/>
      </c>
      <c r="AA31" s="49">
        <f>IF(OR($AE31&lt;&gt;1,AA$1=""),"",SUMIFS('All Donations'!$S$2:$S$4001,'All Donations'!$R$2:$R$4001,$AD31,'All Donations'!$T$2:$T$4001,AA$1))</f>
        <v/>
      </c>
      <c r="AB31" s="49">
        <f>IF(OR($AE31&lt;&gt;1,AB$1=""),"",SUMIFS('All Donations'!$S$2:$S$4001,'All Donations'!$R$2:$R$4001,$AD31,'All Donations'!$T$2:$T$4001,AB$1))</f>
        <v/>
      </c>
      <c r="AC31" s="49">
        <f>IF(OR($AE31&lt;&gt;1,AC$1=""),"",SUMIFS('All Donations'!$S$2:$S$4001,'All Donations'!$R$2:$R$4001,$AD31,'All Donations'!$T$2:$T$4001,AC$1))</f>
        <v/>
      </c>
      <c r="AD31">
        <f>IF(AE31=1,'Roster'!A31,"")</f>
        <v/>
      </c>
      <c r="AE31">
        <f>IF(TRIM('Roster'!B31&amp;'Roster'!C31)&lt;&gt;"",1,0)</f>
        <v/>
      </c>
      <c r="AF31">
        <f>IF(AE31=1,LOWER(A31),"#")</f>
        <v/>
      </c>
      <c r="AG31">
        <f>IF(AE31=1,LOWER(TRIM(TRIM('Roster'!C31)&amp;", "&amp;TRIM('Roster'!B31))),"#")</f>
        <v/>
      </c>
      <c r="AH31">
        <f>IF(AND(AE31=1,TRIM('Roster'!F31)&lt;&gt;""),LOWER(TRIM('Roster'!F31)),"#")</f>
        <v/>
      </c>
      <c r="AI31">
        <f>IF(AE31=1,IF(MATCH(B31,$B$2:$B$701,0)=ROW()-1,1,0),0)</f>
        <v/>
      </c>
      <c r="AJ31">
        <f>AJ30+AI31</f>
        <v/>
      </c>
      <c r="AK31">
        <f>IF(AE31=1,D31+(1000-ROW())/10^7,-1)</f>
        <v/>
      </c>
      <c r="AL31">
        <f>IF(AE31=1,TRIM('Roster'!B31)&amp;" "&amp;LEFT(TRIM('Roster'!C31),1)&amp;".","")</f>
        <v/>
      </c>
      <c r="AM31">
        <f>IF(AE31=1,TRIM('Roster'!C31)&amp;", "&amp;TRIM('Roster'!B31)&amp;" ("&amp;B31&amp;") #"&amp;AD31,"")</f>
        <v/>
      </c>
      <c r="AN31">
        <f>IF(AE31=1,TRIM('Roster'!E31),"")</f>
        <v/>
      </c>
      <c r="AO31">
        <f>IF(AE31=1,ROUND(SUMIFS('All Donations'!$S$2:$S$4001,'All Donations'!$R$2:$R$4001,AD31,'All Donations'!$T$2:$T$4001,"&gt;="&amp;'Settings'!$C$23,'All Donations'!$T$2:$T$4001,"&lt;="&amp;'Settings'!$D$23),2),0)</f>
        <v/>
      </c>
      <c r="AQ31">
        <f>IF(AE31=1,ROUND(SUMIFS('All Donations'!$S$2:$S$4001,'All Donations'!$R$2:$R$4001,AD31,'All Donations'!$T$2:$T$4001,"&gt;="&amp;'Settings'!$C$25,'All Donations'!$T$2:$T$4001,"&lt;="&amp;'Settings'!$D$25),2),0)</f>
        <v/>
      </c>
      <c r="AR31">
        <f>IF(AE31=1,ROUND(SUMIFS('All Donations'!$S$2:$S$4001,'All Donations'!$R$2:$R$4001,AD31,'All Donations'!$T$2:$T$4001,"&gt;="&amp;'Settings'!$C$26,'All Donations'!$T$2:$T$4001,"&lt;="&amp;'Settings'!$D$26),2),0)</f>
        <v/>
      </c>
      <c r="AS31">
        <f>IF(AE31=1,ROUND(SUMIFS('All Donations'!$S$2:$S$4001,'All Donations'!$R$2:$R$4001,AD31,'All Donations'!$T$2:$T$4001,"&lt;="&amp;'Settings'!$D$27),2),0)</f>
        <v/>
      </c>
      <c r="AT31">
        <f>IF(AE31=1,ROUND(SUMIFS('All Donations'!$S$2:$S$4001,'All Donations'!$R$2:$R$4001,AD31,'All Donations'!$T$2:$T$4001,"&gt;="&amp;'Settings'!$C$28,'All Donations'!$T$2:$T$4001,"&lt;="&amp;'Settings'!$D$28),2),0)</f>
        <v/>
      </c>
      <c r="AU31">
        <f>IF(AE31=1,ROUND(SUMIFS('All Donations'!$S$2:$S$4001,'All Donations'!$R$2:$R$4001,AD31,'All Donations'!$T$2:$T$4001,"&gt;="&amp;'Settings'!$C$29,'All Donations'!$T$2:$T$4001,"&lt;="&amp;'Settings'!$D$29),2),0)</f>
        <v/>
      </c>
      <c r="AV31">
        <f>IF(AE31=1,ROUND(SUMIFS('All Donations'!$S$2:$S$4001,'All Donations'!$R$2:$R$4001,AD31,'All Donations'!$T$2:$T$4001,"&lt;="&amp;'Settings'!$D$30),2),0)</f>
        <v/>
      </c>
      <c r="AZ31">
        <f>IF(AE31=1,ROUND(SUMIFS('All Donations'!$S$2:$S$4001,'All Donations'!$R$2:$R$4001,AD31,'All Donations'!$T$2:$T$4001,"&lt;="&amp;'Settings'!$D$34),2),0)</f>
        <v/>
      </c>
    </row>
    <row r="32">
      <c r="A32">
        <f>IF(AE32=1,TRIM(TRIM('Roster'!B32)&amp;" "&amp;TRIM('Roster'!C32)),"")</f>
        <v/>
      </c>
      <c r="B32">
        <f>IF(AE32=1,IF(AN32="","(no teacher)",AN32&amp;" – "&amp;C32),"")</f>
        <v/>
      </c>
      <c r="C32">
        <f>IF(AE32=1,TRIM('Roster'!D32&amp;""),"")</f>
        <v/>
      </c>
      <c r="D32" s="48">
        <f>IF(AE32=1,ROUND(SUMIFS('All Donations'!$S$2:$S$4001,'All Donations'!$R$2:$R$4001,AD32),2),"")</f>
        <v/>
      </c>
      <c r="E32" s="48">
        <f>IF(AE32=1,ROUND(SUMIFS('All Donations'!$S$2:$S$4001,'All Donations'!$R$2:$R$4001,AD32,'All Donations'!$G$2:$G$4001,"OneCause"),2),"")</f>
        <v/>
      </c>
      <c r="F32" s="48">
        <f>IF(AE32=1,D32-E32,"")</f>
        <v/>
      </c>
      <c r="G32">
        <f>IF(AE32=1,COUNTIFS('All Donations'!$R$2:$R$4001,AD32,'All Donations'!$H$2:$H$4001,"OK"),"")</f>
        <v/>
      </c>
      <c r="H32">
        <f>IF(AE32&lt;&gt;1,"",IF(D32&gt;0,"Yes",""))</f>
        <v/>
      </c>
      <c r="I32" s="49">
        <f>IF(OR($AE32&lt;&gt;1,I$1=""),"",SUMIFS('All Donations'!$S$2:$S$4001,'All Donations'!$R$2:$R$4001,$AD32,'All Donations'!$T$2:$T$4001,I$1))</f>
        <v/>
      </c>
      <c r="J32" s="49">
        <f>IF(OR($AE32&lt;&gt;1,J$1=""),"",SUMIFS('All Donations'!$S$2:$S$4001,'All Donations'!$R$2:$R$4001,$AD32,'All Donations'!$T$2:$T$4001,J$1))</f>
        <v/>
      </c>
      <c r="K32" s="49">
        <f>IF(OR($AE32&lt;&gt;1,K$1=""),"",SUMIFS('All Donations'!$S$2:$S$4001,'All Donations'!$R$2:$R$4001,$AD32,'All Donations'!$T$2:$T$4001,K$1))</f>
        <v/>
      </c>
      <c r="L32" s="49">
        <f>IF(OR($AE32&lt;&gt;1,L$1=""),"",SUMIFS('All Donations'!$S$2:$S$4001,'All Donations'!$R$2:$R$4001,$AD32,'All Donations'!$T$2:$T$4001,L$1))</f>
        <v/>
      </c>
      <c r="M32" s="49">
        <f>IF(OR($AE32&lt;&gt;1,M$1=""),"",SUMIFS('All Donations'!$S$2:$S$4001,'All Donations'!$R$2:$R$4001,$AD32,'All Donations'!$T$2:$T$4001,M$1))</f>
        <v/>
      </c>
      <c r="N32" s="49">
        <f>IF(OR($AE32&lt;&gt;1,N$1=""),"",SUMIFS('All Donations'!$S$2:$S$4001,'All Donations'!$R$2:$R$4001,$AD32,'All Donations'!$T$2:$T$4001,N$1))</f>
        <v/>
      </c>
      <c r="O32" s="49">
        <f>IF(OR($AE32&lt;&gt;1,O$1=""),"",SUMIFS('All Donations'!$S$2:$S$4001,'All Donations'!$R$2:$R$4001,$AD32,'All Donations'!$T$2:$T$4001,O$1))</f>
        <v/>
      </c>
      <c r="P32" s="49">
        <f>IF(OR($AE32&lt;&gt;1,P$1=""),"",SUMIFS('All Donations'!$S$2:$S$4001,'All Donations'!$R$2:$R$4001,$AD32,'All Donations'!$T$2:$T$4001,P$1))</f>
        <v/>
      </c>
      <c r="Q32" s="49">
        <f>IF(OR($AE32&lt;&gt;1,Q$1=""),"",SUMIFS('All Donations'!$S$2:$S$4001,'All Donations'!$R$2:$R$4001,$AD32,'All Donations'!$T$2:$T$4001,Q$1))</f>
        <v/>
      </c>
      <c r="R32" s="49">
        <f>IF(OR($AE32&lt;&gt;1,R$1=""),"",SUMIFS('All Donations'!$S$2:$S$4001,'All Donations'!$R$2:$R$4001,$AD32,'All Donations'!$T$2:$T$4001,R$1))</f>
        <v/>
      </c>
      <c r="S32" s="49">
        <f>IF(OR($AE32&lt;&gt;1,S$1=""),"",SUMIFS('All Donations'!$S$2:$S$4001,'All Donations'!$R$2:$R$4001,$AD32,'All Donations'!$T$2:$T$4001,S$1))</f>
        <v/>
      </c>
      <c r="T32" s="49">
        <f>IF(OR($AE32&lt;&gt;1,T$1=""),"",SUMIFS('All Donations'!$S$2:$S$4001,'All Donations'!$R$2:$R$4001,$AD32,'All Donations'!$T$2:$T$4001,T$1))</f>
        <v/>
      </c>
      <c r="U32" s="49">
        <f>IF(OR($AE32&lt;&gt;1,U$1=""),"",SUMIFS('All Donations'!$S$2:$S$4001,'All Donations'!$R$2:$R$4001,$AD32,'All Donations'!$T$2:$T$4001,U$1))</f>
        <v/>
      </c>
      <c r="V32" s="49">
        <f>IF(OR($AE32&lt;&gt;1,V$1=""),"",SUMIFS('All Donations'!$S$2:$S$4001,'All Donations'!$R$2:$R$4001,$AD32,'All Donations'!$T$2:$T$4001,V$1))</f>
        <v/>
      </c>
      <c r="W32" s="49">
        <f>IF(OR($AE32&lt;&gt;1,W$1=""),"",SUMIFS('All Donations'!$S$2:$S$4001,'All Donations'!$R$2:$R$4001,$AD32,'All Donations'!$T$2:$T$4001,W$1))</f>
        <v/>
      </c>
      <c r="X32" s="49">
        <f>IF(OR($AE32&lt;&gt;1,X$1=""),"",SUMIFS('All Donations'!$S$2:$S$4001,'All Donations'!$R$2:$R$4001,$AD32,'All Donations'!$T$2:$T$4001,X$1))</f>
        <v/>
      </c>
      <c r="Y32" s="49">
        <f>IF(OR($AE32&lt;&gt;1,Y$1=""),"",SUMIFS('All Donations'!$S$2:$S$4001,'All Donations'!$R$2:$R$4001,$AD32,'All Donations'!$T$2:$T$4001,Y$1))</f>
        <v/>
      </c>
      <c r="Z32" s="49">
        <f>IF(OR($AE32&lt;&gt;1,Z$1=""),"",SUMIFS('All Donations'!$S$2:$S$4001,'All Donations'!$R$2:$R$4001,$AD32,'All Donations'!$T$2:$T$4001,Z$1))</f>
        <v/>
      </c>
      <c r="AA32" s="49">
        <f>IF(OR($AE32&lt;&gt;1,AA$1=""),"",SUMIFS('All Donations'!$S$2:$S$4001,'All Donations'!$R$2:$R$4001,$AD32,'All Donations'!$T$2:$T$4001,AA$1))</f>
        <v/>
      </c>
      <c r="AB32" s="49">
        <f>IF(OR($AE32&lt;&gt;1,AB$1=""),"",SUMIFS('All Donations'!$S$2:$S$4001,'All Donations'!$R$2:$R$4001,$AD32,'All Donations'!$T$2:$T$4001,AB$1))</f>
        <v/>
      </c>
      <c r="AC32" s="49">
        <f>IF(OR($AE32&lt;&gt;1,AC$1=""),"",SUMIFS('All Donations'!$S$2:$S$4001,'All Donations'!$R$2:$R$4001,$AD32,'All Donations'!$T$2:$T$4001,AC$1))</f>
        <v/>
      </c>
      <c r="AD32">
        <f>IF(AE32=1,'Roster'!A32,"")</f>
        <v/>
      </c>
      <c r="AE32">
        <f>IF(TRIM('Roster'!B32&amp;'Roster'!C32)&lt;&gt;"",1,0)</f>
        <v/>
      </c>
      <c r="AF32">
        <f>IF(AE32=1,LOWER(A32),"#")</f>
        <v/>
      </c>
      <c r="AG32">
        <f>IF(AE32=1,LOWER(TRIM(TRIM('Roster'!C32)&amp;", "&amp;TRIM('Roster'!B32))),"#")</f>
        <v/>
      </c>
      <c r="AH32">
        <f>IF(AND(AE32=1,TRIM('Roster'!F32)&lt;&gt;""),LOWER(TRIM('Roster'!F32)),"#")</f>
        <v/>
      </c>
      <c r="AI32">
        <f>IF(AE32=1,IF(MATCH(B32,$B$2:$B$701,0)=ROW()-1,1,0),0)</f>
        <v/>
      </c>
      <c r="AJ32">
        <f>AJ31+AI32</f>
        <v/>
      </c>
      <c r="AK32">
        <f>IF(AE32=1,D32+(1000-ROW())/10^7,-1)</f>
        <v/>
      </c>
      <c r="AL32">
        <f>IF(AE32=1,TRIM('Roster'!B32)&amp;" "&amp;LEFT(TRIM('Roster'!C32),1)&amp;".","")</f>
        <v/>
      </c>
      <c r="AM32">
        <f>IF(AE32=1,TRIM('Roster'!C32)&amp;", "&amp;TRIM('Roster'!B32)&amp;" ("&amp;B32&amp;") #"&amp;AD32,"")</f>
        <v/>
      </c>
      <c r="AN32">
        <f>IF(AE32=1,TRIM('Roster'!E32),"")</f>
        <v/>
      </c>
      <c r="AO32">
        <f>IF(AE32=1,ROUND(SUMIFS('All Donations'!$S$2:$S$4001,'All Donations'!$R$2:$R$4001,AD32,'All Donations'!$T$2:$T$4001,"&gt;="&amp;'Settings'!$C$23,'All Donations'!$T$2:$T$4001,"&lt;="&amp;'Settings'!$D$23),2),0)</f>
        <v/>
      </c>
      <c r="AQ32">
        <f>IF(AE32=1,ROUND(SUMIFS('All Donations'!$S$2:$S$4001,'All Donations'!$R$2:$R$4001,AD32,'All Donations'!$T$2:$T$4001,"&gt;="&amp;'Settings'!$C$25,'All Donations'!$T$2:$T$4001,"&lt;="&amp;'Settings'!$D$25),2),0)</f>
        <v/>
      </c>
      <c r="AR32">
        <f>IF(AE32=1,ROUND(SUMIFS('All Donations'!$S$2:$S$4001,'All Donations'!$R$2:$R$4001,AD32,'All Donations'!$T$2:$T$4001,"&gt;="&amp;'Settings'!$C$26,'All Donations'!$T$2:$T$4001,"&lt;="&amp;'Settings'!$D$26),2),0)</f>
        <v/>
      </c>
      <c r="AS32">
        <f>IF(AE32=1,ROUND(SUMIFS('All Donations'!$S$2:$S$4001,'All Donations'!$R$2:$R$4001,AD32,'All Donations'!$T$2:$T$4001,"&lt;="&amp;'Settings'!$D$27),2),0)</f>
        <v/>
      </c>
      <c r="AT32">
        <f>IF(AE32=1,ROUND(SUMIFS('All Donations'!$S$2:$S$4001,'All Donations'!$R$2:$R$4001,AD32,'All Donations'!$T$2:$T$4001,"&gt;="&amp;'Settings'!$C$28,'All Donations'!$T$2:$T$4001,"&lt;="&amp;'Settings'!$D$28),2),0)</f>
        <v/>
      </c>
      <c r="AU32">
        <f>IF(AE32=1,ROUND(SUMIFS('All Donations'!$S$2:$S$4001,'All Donations'!$R$2:$R$4001,AD32,'All Donations'!$T$2:$T$4001,"&gt;="&amp;'Settings'!$C$29,'All Donations'!$T$2:$T$4001,"&lt;="&amp;'Settings'!$D$29),2),0)</f>
        <v/>
      </c>
      <c r="AV32">
        <f>IF(AE32=1,ROUND(SUMIFS('All Donations'!$S$2:$S$4001,'All Donations'!$R$2:$R$4001,AD32,'All Donations'!$T$2:$T$4001,"&lt;="&amp;'Settings'!$D$30),2),0)</f>
        <v/>
      </c>
      <c r="AZ32">
        <f>IF(AE32=1,ROUND(SUMIFS('All Donations'!$S$2:$S$4001,'All Donations'!$R$2:$R$4001,AD32,'All Donations'!$T$2:$T$4001,"&lt;="&amp;'Settings'!$D$34),2),0)</f>
        <v/>
      </c>
    </row>
    <row r="33">
      <c r="A33">
        <f>IF(AE33=1,TRIM(TRIM('Roster'!B33)&amp;" "&amp;TRIM('Roster'!C33)),"")</f>
        <v/>
      </c>
      <c r="B33">
        <f>IF(AE33=1,IF(AN33="","(no teacher)",AN33&amp;" – "&amp;C33),"")</f>
        <v/>
      </c>
      <c r="C33">
        <f>IF(AE33=1,TRIM('Roster'!D33&amp;""),"")</f>
        <v/>
      </c>
      <c r="D33" s="48">
        <f>IF(AE33=1,ROUND(SUMIFS('All Donations'!$S$2:$S$4001,'All Donations'!$R$2:$R$4001,AD33),2),"")</f>
        <v/>
      </c>
      <c r="E33" s="48">
        <f>IF(AE33=1,ROUND(SUMIFS('All Donations'!$S$2:$S$4001,'All Donations'!$R$2:$R$4001,AD33,'All Donations'!$G$2:$G$4001,"OneCause"),2),"")</f>
        <v/>
      </c>
      <c r="F33" s="48">
        <f>IF(AE33=1,D33-E33,"")</f>
        <v/>
      </c>
      <c r="G33">
        <f>IF(AE33=1,COUNTIFS('All Donations'!$R$2:$R$4001,AD33,'All Donations'!$H$2:$H$4001,"OK"),"")</f>
        <v/>
      </c>
      <c r="H33">
        <f>IF(AE33&lt;&gt;1,"",IF(D33&gt;0,"Yes",""))</f>
        <v/>
      </c>
      <c r="I33" s="49">
        <f>IF(OR($AE33&lt;&gt;1,I$1=""),"",SUMIFS('All Donations'!$S$2:$S$4001,'All Donations'!$R$2:$R$4001,$AD33,'All Donations'!$T$2:$T$4001,I$1))</f>
        <v/>
      </c>
      <c r="J33" s="49">
        <f>IF(OR($AE33&lt;&gt;1,J$1=""),"",SUMIFS('All Donations'!$S$2:$S$4001,'All Donations'!$R$2:$R$4001,$AD33,'All Donations'!$T$2:$T$4001,J$1))</f>
        <v/>
      </c>
      <c r="K33" s="49">
        <f>IF(OR($AE33&lt;&gt;1,K$1=""),"",SUMIFS('All Donations'!$S$2:$S$4001,'All Donations'!$R$2:$R$4001,$AD33,'All Donations'!$T$2:$T$4001,K$1))</f>
        <v/>
      </c>
      <c r="L33" s="49">
        <f>IF(OR($AE33&lt;&gt;1,L$1=""),"",SUMIFS('All Donations'!$S$2:$S$4001,'All Donations'!$R$2:$R$4001,$AD33,'All Donations'!$T$2:$T$4001,L$1))</f>
        <v/>
      </c>
      <c r="M33" s="49">
        <f>IF(OR($AE33&lt;&gt;1,M$1=""),"",SUMIFS('All Donations'!$S$2:$S$4001,'All Donations'!$R$2:$R$4001,$AD33,'All Donations'!$T$2:$T$4001,M$1))</f>
        <v/>
      </c>
      <c r="N33" s="49">
        <f>IF(OR($AE33&lt;&gt;1,N$1=""),"",SUMIFS('All Donations'!$S$2:$S$4001,'All Donations'!$R$2:$R$4001,$AD33,'All Donations'!$T$2:$T$4001,N$1))</f>
        <v/>
      </c>
      <c r="O33" s="49">
        <f>IF(OR($AE33&lt;&gt;1,O$1=""),"",SUMIFS('All Donations'!$S$2:$S$4001,'All Donations'!$R$2:$R$4001,$AD33,'All Donations'!$T$2:$T$4001,O$1))</f>
        <v/>
      </c>
      <c r="P33" s="49">
        <f>IF(OR($AE33&lt;&gt;1,P$1=""),"",SUMIFS('All Donations'!$S$2:$S$4001,'All Donations'!$R$2:$R$4001,$AD33,'All Donations'!$T$2:$T$4001,P$1))</f>
        <v/>
      </c>
      <c r="Q33" s="49">
        <f>IF(OR($AE33&lt;&gt;1,Q$1=""),"",SUMIFS('All Donations'!$S$2:$S$4001,'All Donations'!$R$2:$R$4001,$AD33,'All Donations'!$T$2:$T$4001,Q$1))</f>
        <v/>
      </c>
      <c r="R33" s="49">
        <f>IF(OR($AE33&lt;&gt;1,R$1=""),"",SUMIFS('All Donations'!$S$2:$S$4001,'All Donations'!$R$2:$R$4001,$AD33,'All Donations'!$T$2:$T$4001,R$1))</f>
        <v/>
      </c>
      <c r="S33" s="49">
        <f>IF(OR($AE33&lt;&gt;1,S$1=""),"",SUMIFS('All Donations'!$S$2:$S$4001,'All Donations'!$R$2:$R$4001,$AD33,'All Donations'!$T$2:$T$4001,S$1))</f>
        <v/>
      </c>
      <c r="T33" s="49">
        <f>IF(OR($AE33&lt;&gt;1,T$1=""),"",SUMIFS('All Donations'!$S$2:$S$4001,'All Donations'!$R$2:$R$4001,$AD33,'All Donations'!$T$2:$T$4001,T$1))</f>
        <v/>
      </c>
      <c r="U33" s="49">
        <f>IF(OR($AE33&lt;&gt;1,U$1=""),"",SUMIFS('All Donations'!$S$2:$S$4001,'All Donations'!$R$2:$R$4001,$AD33,'All Donations'!$T$2:$T$4001,U$1))</f>
        <v/>
      </c>
      <c r="V33" s="49">
        <f>IF(OR($AE33&lt;&gt;1,V$1=""),"",SUMIFS('All Donations'!$S$2:$S$4001,'All Donations'!$R$2:$R$4001,$AD33,'All Donations'!$T$2:$T$4001,V$1))</f>
        <v/>
      </c>
      <c r="W33" s="49">
        <f>IF(OR($AE33&lt;&gt;1,W$1=""),"",SUMIFS('All Donations'!$S$2:$S$4001,'All Donations'!$R$2:$R$4001,$AD33,'All Donations'!$T$2:$T$4001,W$1))</f>
        <v/>
      </c>
      <c r="X33" s="49">
        <f>IF(OR($AE33&lt;&gt;1,X$1=""),"",SUMIFS('All Donations'!$S$2:$S$4001,'All Donations'!$R$2:$R$4001,$AD33,'All Donations'!$T$2:$T$4001,X$1))</f>
        <v/>
      </c>
      <c r="Y33" s="49">
        <f>IF(OR($AE33&lt;&gt;1,Y$1=""),"",SUMIFS('All Donations'!$S$2:$S$4001,'All Donations'!$R$2:$R$4001,$AD33,'All Donations'!$T$2:$T$4001,Y$1))</f>
        <v/>
      </c>
      <c r="Z33" s="49">
        <f>IF(OR($AE33&lt;&gt;1,Z$1=""),"",SUMIFS('All Donations'!$S$2:$S$4001,'All Donations'!$R$2:$R$4001,$AD33,'All Donations'!$T$2:$T$4001,Z$1))</f>
        <v/>
      </c>
      <c r="AA33" s="49">
        <f>IF(OR($AE33&lt;&gt;1,AA$1=""),"",SUMIFS('All Donations'!$S$2:$S$4001,'All Donations'!$R$2:$R$4001,$AD33,'All Donations'!$T$2:$T$4001,AA$1))</f>
        <v/>
      </c>
      <c r="AB33" s="49">
        <f>IF(OR($AE33&lt;&gt;1,AB$1=""),"",SUMIFS('All Donations'!$S$2:$S$4001,'All Donations'!$R$2:$R$4001,$AD33,'All Donations'!$T$2:$T$4001,AB$1))</f>
        <v/>
      </c>
      <c r="AC33" s="49">
        <f>IF(OR($AE33&lt;&gt;1,AC$1=""),"",SUMIFS('All Donations'!$S$2:$S$4001,'All Donations'!$R$2:$R$4001,$AD33,'All Donations'!$T$2:$T$4001,AC$1))</f>
        <v/>
      </c>
      <c r="AD33">
        <f>IF(AE33=1,'Roster'!A33,"")</f>
        <v/>
      </c>
      <c r="AE33">
        <f>IF(TRIM('Roster'!B33&amp;'Roster'!C33)&lt;&gt;"",1,0)</f>
        <v/>
      </c>
      <c r="AF33">
        <f>IF(AE33=1,LOWER(A33),"#")</f>
        <v/>
      </c>
      <c r="AG33">
        <f>IF(AE33=1,LOWER(TRIM(TRIM('Roster'!C33)&amp;", "&amp;TRIM('Roster'!B33))),"#")</f>
        <v/>
      </c>
      <c r="AH33">
        <f>IF(AND(AE33=1,TRIM('Roster'!F33)&lt;&gt;""),LOWER(TRIM('Roster'!F33)),"#")</f>
        <v/>
      </c>
      <c r="AI33">
        <f>IF(AE33=1,IF(MATCH(B33,$B$2:$B$701,0)=ROW()-1,1,0),0)</f>
        <v/>
      </c>
      <c r="AJ33">
        <f>AJ32+AI33</f>
        <v/>
      </c>
      <c r="AK33">
        <f>IF(AE33=1,D33+(1000-ROW())/10^7,-1)</f>
        <v/>
      </c>
      <c r="AL33">
        <f>IF(AE33=1,TRIM('Roster'!B33)&amp;" "&amp;LEFT(TRIM('Roster'!C33),1)&amp;".","")</f>
        <v/>
      </c>
      <c r="AM33">
        <f>IF(AE33=1,TRIM('Roster'!C33)&amp;", "&amp;TRIM('Roster'!B33)&amp;" ("&amp;B33&amp;") #"&amp;AD33,"")</f>
        <v/>
      </c>
      <c r="AN33">
        <f>IF(AE33=1,TRIM('Roster'!E33),"")</f>
        <v/>
      </c>
      <c r="AO33">
        <f>IF(AE33=1,ROUND(SUMIFS('All Donations'!$S$2:$S$4001,'All Donations'!$R$2:$R$4001,AD33,'All Donations'!$T$2:$T$4001,"&gt;="&amp;'Settings'!$C$23,'All Donations'!$T$2:$T$4001,"&lt;="&amp;'Settings'!$D$23),2),0)</f>
        <v/>
      </c>
      <c r="AQ33">
        <f>IF(AE33=1,ROUND(SUMIFS('All Donations'!$S$2:$S$4001,'All Donations'!$R$2:$R$4001,AD33,'All Donations'!$T$2:$T$4001,"&gt;="&amp;'Settings'!$C$25,'All Donations'!$T$2:$T$4001,"&lt;="&amp;'Settings'!$D$25),2),0)</f>
        <v/>
      </c>
      <c r="AR33">
        <f>IF(AE33=1,ROUND(SUMIFS('All Donations'!$S$2:$S$4001,'All Donations'!$R$2:$R$4001,AD33,'All Donations'!$T$2:$T$4001,"&gt;="&amp;'Settings'!$C$26,'All Donations'!$T$2:$T$4001,"&lt;="&amp;'Settings'!$D$26),2),0)</f>
        <v/>
      </c>
      <c r="AS33">
        <f>IF(AE33=1,ROUND(SUMIFS('All Donations'!$S$2:$S$4001,'All Donations'!$R$2:$R$4001,AD33,'All Donations'!$T$2:$T$4001,"&lt;="&amp;'Settings'!$D$27),2),0)</f>
        <v/>
      </c>
      <c r="AT33">
        <f>IF(AE33=1,ROUND(SUMIFS('All Donations'!$S$2:$S$4001,'All Donations'!$R$2:$R$4001,AD33,'All Donations'!$T$2:$T$4001,"&gt;="&amp;'Settings'!$C$28,'All Donations'!$T$2:$T$4001,"&lt;="&amp;'Settings'!$D$28),2),0)</f>
        <v/>
      </c>
      <c r="AU33">
        <f>IF(AE33=1,ROUND(SUMIFS('All Donations'!$S$2:$S$4001,'All Donations'!$R$2:$R$4001,AD33,'All Donations'!$T$2:$T$4001,"&gt;="&amp;'Settings'!$C$29,'All Donations'!$T$2:$T$4001,"&lt;="&amp;'Settings'!$D$29),2),0)</f>
        <v/>
      </c>
      <c r="AV33">
        <f>IF(AE33=1,ROUND(SUMIFS('All Donations'!$S$2:$S$4001,'All Donations'!$R$2:$R$4001,AD33,'All Donations'!$T$2:$T$4001,"&lt;="&amp;'Settings'!$D$30),2),0)</f>
        <v/>
      </c>
      <c r="AZ33">
        <f>IF(AE33=1,ROUND(SUMIFS('All Donations'!$S$2:$S$4001,'All Donations'!$R$2:$R$4001,AD33,'All Donations'!$T$2:$T$4001,"&lt;="&amp;'Settings'!$D$34),2),0)</f>
        <v/>
      </c>
    </row>
    <row r="34">
      <c r="A34">
        <f>IF(AE34=1,TRIM(TRIM('Roster'!B34)&amp;" "&amp;TRIM('Roster'!C34)),"")</f>
        <v/>
      </c>
      <c r="B34">
        <f>IF(AE34=1,IF(AN34="","(no teacher)",AN34&amp;" – "&amp;C34),"")</f>
        <v/>
      </c>
      <c r="C34">
        <f>IF(AE34=1,TRIM('Roster'!D34&amp;""),"")</f>
        <v/>
      </c>
      <c r="D34" s="48">
        <f>IF(AE34=1,ROUND(SUMIFS('All Donations'!$S$2:$S$4001,'All Donations'!$R$2:$R$4001,AD34),2),"")</f>
        <v/>
      </c>
      <c r="E34" s="48">
        <f>IF(AE34=1,ROUND(SUMIFS('All Donations'!$S$2:$S$4001,'All Donations'!$R$2:$R$4001,AD34,'All Donations'!$G$2:$G$4001,"OneCause"),2),"")</f>
        <v/>
      </c>
      <c r="F34" s="48">
        <f>IF(AE34=1,D34-E34,"")</f>
        <v/>
      </c>
      <c r="G34">
        <f>IF(AE34=1,COUNTIFS('All Donations'!$R$2:$R$4001,AD34,'All Donations'!$H$2:$H$4001,"OK"),"")</f>
        <v/>
      </c>
      <c r="H34">
        <f>IF(AE34&lt;&gt;1,"",IF(D34&gt;0,"Yes",""))</f>
        <v/>
      </c>
      <c r="I34" s="49">
        <f>IF(OR($AE34&lt;&gt;1,I$1=""),"",SUMIFS('All Donations'!$S$2:$S$4001,'All Donations'!$R$2:$R$4001,$AD34,'All Donations'!$T$2:$T$4001,I$1))</f>
        <v/>
      </c>
      <c r="J34" s="49">
        <f>IF(OR($AE34&lt;&gt;1,J$1=""),"",SUMIFS('All Donations'!$S$2:$S$4001,'All Donations'!$R$2:$R$4001,$AD34,'All Donations'!$T$2:$T$4001,J$1))</f>
        <v/>
      </c>
      <c r="K34" s="49">
        <f>IF(OR($AE34&lt;&gt;1,K$1=""),"",SUMIFS('All Donations'!$S$2:$S$4001,'All Donations'!$R$2:$R$4001,$AD34,'All Donations'!$T$2:$T$4001,K$1))</f>
        <v/>
      </c>
      <c r="L34" s="49">
        <f>IF(OR($AE34&lt;&gt;1,L$1=""),"",SUMIFS('All Donations'!$S$2:$S$4001,'All Donations'!$R$2:$R$4001,$AD34,'All Donations'!$T$2:$T$4001,L$1))</f>
        <v/>
      </c>
      <c r="M34" s="49">
        <f>IF(OR($AE34&lt;&gt;1,M$1=""),"",SUMIFS('All Donations'!$S$2:$S$4001,'All Donations'!$R$2:$R$4001,$AD34,'All Donations'!$T$2:$T$4001,M$1))</f>
        <v/>
      </c>
      <c r="N34" s="49">
        <f>IF(OR($AE34&lt;&gt;1,N$1=""),"",SUMIFS('All Donations'!$S$2:$S$4001,'All Donations'!$R$2:$R$4001,$AD34,'All Donations'!$T$2:$T$4001,N$1))</f>
        <v/>
      </c>
      <c r="O34" s="49">
        <f>IF(OR($AE34&lt;&gt;1,O$1=""),"",SUMIFS('All Donations'!$S$2:$S$4001,'All Donations'!$R$2:$R$4001,$AD34,'All Donations'!$T$2:$T$4001,O$1))</f>
        <v/>
      </c>
      <c r="P34" s="49">
        <f>IF(OR($AE34&lt;&gt;1,P$1=""),"",SUMIFS('All Donations'!$S$2:$S$4001,'All Donations'!$R$2:$R$4001,$AD34,'All Donations'!$T$2:$T$4001,P$1))</f>
        <v/>
      </c>
      <c r="Q34" s="49">
        <f>IF(OR($AE34&lt;&gt;1,Q$1=""),"",SUMIFS('All Donations'!$S$2:$S$4001,'All Donations'!$R$2:$R$4001,$AD34,'All Donations'!$T$2:$T$4001,Q$1))</f>
        <v/>
      </c>
      <c r="R34" s="49">
        <f>IF(OR($AE34&lt;&gt;1,R$1=""),"",SUMIFS('All Donations'!$S$2:$S$4001,'All Donations'!$R$2:$R$4001,$AD34,'All Donations'!$T$2:$T$4001,R$1))</f>
        <v/>
      </c>
      <c r="S34" s="49">
        <f>IF(OR($AE34&lt;&gt;1,S$1=""),"",SUMIFS('All Donations'!$S$2:$S$4001,'All Donations'!$R$2:$R$4001,$AD34,'All Donations'!$T$2:$T$4001,S$1))</f>
        <v/>
      </c>
      <c r="T34" s="49">
        <f>IF(OR($AE34&lt;&gt;1,T$1=""),"",SUMIFS('All Donations'!$S$2:$S$4001,'All Donations'!$R$2:$R$4001,$AD34,'All Donations'!$T$2:$T$4001,T$1))</f>
        <v/>
      </c>
      <c r="U34" s="49">
        <f>IF(OR($AE34&lt;&gt;1,U$1=""),"",SUMIFS('All Donations'!$S$2:$S$4001,'All Donations'!$R$2:$R$4001,$AD34,'All Donations'!$T$2:$T$4001,U$1))</f>
        <v/>
      </c>
      <c r="V34" s="49">
        <f>IF(OR($AE34&lt;&gt;1,V$1=""),"",SUMIFS('All Donations'!$S$2:$S$4001,'All Donations'!$R$2:$R$4001,$AD34,'All Donations'!$T$2:$T$4001,V$1))</f>
        <v/>
      </c>
      <c r="W34" s="49">
        <f>IF(OR($AE34&lt;&gt;1,W$1=""),"",SUMIFS('All Donations'!$S$2:$S$4001,'All Donations'!$R$2:$R$4001,$AD34,'All Donations'!$T$2:$T$4001,W$1))</f>
        <v/>
      </c>
      <c r="X34" s="49">
        <f>IF(OR($AE34&lt;&gt;1,X$1=""),"",SUMIFS('All Donations'!$S$2:$S$4001,'All Donations'!$R$2:$R$4001,$AD34,'All Donations'!$T$2:$T$4001,X$1))</f>
        <v/>
      </c>
      <c r="Y34" s="49">
        <f>IF(OR($AE34&lt;&gt;1,Y$1=""),"",SUMIFS('All Donations'!$S$2:$S$4001,'All Donations'!$R$2:$R$4001,$AD34,'All Donations'!$T$2:$T$4001,Y$1))</f>
        <v/>
      </c>
      <c r="Z34" s="49">
        <f>IF(OR($AE34&lt;&gt;1,Z$1=""),"",SUMIFS('All Donations'!$S$2:$S$4001,'All Donations'!$R$2:$R$4001,$AD34,'All Donations'!$T$2:$T$4001,Z$1))</f>
        <v/>
      </c>
      <c r="AA34" s="49">
        <f>IF(OR($AE34&lt;&gt;1,AA$1=""),"",SUMIFS('All Donations'!$S$2:$S$4001,'All Donations'!$R$2:$R$4001,$AD34,'All Donations'!$T$2:$T$4001,AA$1))</f>
        <v/>
      </c>
      <c r="AB34" s="49">
        <f>IF(OR($AE34&lt;&gt;1,AB$1=""),"",SUMIFS('All Donations'!$S$2:$S$4001,'All Donations'!$R$2:$R$4001,$AD34,'All Donations'!$T$2:$T$4001,AB$1))</f>
        <v/>
      </c>
      <c r="AC34" s="49">
        <f>IF(OR($AE34&lt;&gt;1,AC$1=""),"",SUMIFS('All Donations'!$S$2:$S$4001,'All Donations'!$R$2:$R$4001,$AD34,'All Donations'!$T$2:$T$4001,AC$1))</f>
        <v/>
      </c>
      <c r="AD34">
        <f>IF(AE34=1,'Roster'!A34,"")</f>
        <v/>
      </c>
      <c r="AE34">
        <f>IF(TRIM('Roster'!B34&amp;'Roster'!C34)&lt;&gt;"",1,0)</f>
        <v/>
      </c>
      <c r="AF34">
        <f>IF(AE34=1,LOWER(A34),"#")</f>
        <v/>
      </c>
      <c r="AG34">
        <f>IF(AE34=1,LOWER(TRIM(TRIM('Roster'!C34)&amp;", "&amp;TRIM('Roster'!B34))),"#")</f>
        <v/>
      </c>
      <c r="AH34">
        <f>IF(AND(AE34=1,TRIM('Roster'!F34)&lt;&gt;""),LOWER(TRIM('Roster'!F34)),"#")</f>
        <v/>
      </c>
      <c r="AI34">
        <f>IF(AE34=1,IF(MATCH(B34,$B$2:$B$701,0)=ROW()-1,1,0),0)</f>
        <v/>
      </c>
      <c r="AJ34">
        <f>AJ33+AI34</f>
        <v/>
      </c>
      <c r="AK34">
        <f>IF(AE34=1,D34+(1000-ROW())/10^7,-1)</f>
        <v/>
      </c>
      <c r="AL34">
        <f>IF(AE34=1,TRIM('Roster'!B34)&amp;" "&amp;LEFT(TRIM('Roster'!C34),1)&amp;".","")</f>
        <v/>
      </c>
      <c r="AM34">
        <f>IF(AE34=1,TRIM('Roster'!C34)&amp;", "&amp;TRIM('Roster'!B34)&amp;" ("&amp;B34&amp;") #"&amp;AD34,"")</f>
        <v/>
      </c>
      <c r="AN34">
        <f>IF(AE34=1,TRIM('Roster'!E34),"")</f>
        <v/>
      </c>
      <c r="AO34">
        <f>IF(AE34=1,ROUND(SUMIFS('All Donations'!$S$2:$S$4001,'All Donations'!$R$2:$R$4001,AD34,'All Donations'!$T$2:$T$4001,"&gt;="&amp;'Settings'!$C$23,'All Donations'!$T$2:$T$4001,"&lt;="&amp;'Settings'!$D$23),2),0)</f>
        <v/>
      </c>
      <c r="AQ34">
        <f>IF(AE34=1,ROUND(SUMIFS('All Donations'!$S$2:$S$4001,'All Donations'!$R$2:$R$4001,AD34,'All Donations'!$T$2:$T$4001,"&gt;="&amp;'Settings'!$C$25,'All Donations'!$T$2:$T$4001,"&lt;="&amp;'Settings'!$D$25),2),0)</f>
        <v/>
      </c>
      <c r="AR34">
        <f>IF(AE34=1,ROUND(SUMIFS('All Donations'!$S$2:$S$4001,'All Donations'!$R$2:$R$4001,AD34,'All Donations'!$T$2:$T$4001,"&gt;="&amp;'Settings'!$C$26,'All Donations'!$T$2:$T$4001,"&lt;="&amp;'Settings'!$D$26),2),0)</f>
        <v/>
      </c>
      <c r="AS34">
        <f>IF(AE34=1,ROUND(SUMIFS('All Donations'!$S$2:$S$4001,'All Donations'!$R$2:$R$4001,AD34,'All Donations'!$T$2:$T$4001,"&lt;="&amp;'Settings'!$D$27),2),0)</f>
        <v/>
      </c>
      <c r="AT34">
        <f>IF(AE34=1,ROUND(SUMIFS('All Donations'!$S$2:$S$4001,'All Donations'!$R$2:$R$4001,AD34,'All Donations'!$T$2:$T$4001,"&gt;="&amp;'Settings'!$C$28,'All Donations'!$T$2:$T$4001,"&lt;="&amp;'Settings'!$D$28),2),0)</f>
        <v/>
      </c>
      <c r="AU34">
        <f>IF(AE34=1,ROUND(SUMIFS('All Donations'!$S$2:$S$4001,'All Donations'!$R$2:$R$4001,AD34,'All Donations'!$T$2:$T$4001,"&gt;="&amp;'Settings'!$C$29,'All Donations'!$T$2:$T$4001,"&lt;="&amp;'Settings'!$D$29),2),0)</f>
        <v/>
      </c>
      <c r="AV34">
        <f>IF(AE34=1,ROUND(SUMIFS('All Donations'!$S$2:$S$4001,'All Donations'!$R$2:$R$4001,AD34,'All Donations'!$T$2:$T$4001,"&lt;="&amp;'Settings'!$D$30),2),0)</f>
        <v/>
      </c>
      <c r="AZ34">
        <f>IF(AE34=1,ROUND(SUMIFS('All Donations'!$S$2:$S$4001,'All Donations'!$R$2:$R$4001,AD34,'All Donations'!$T$2:$T$4001,"&lt;="&amp;'Settings'!$D$34),2),0)</f>
        <v/>
      </c>
    </row>
    <row r="35">
      <c r="A35">
        <f>IF(AE35=1,TRIM(TRIM('Roster'!B35)&amp;" "&amp;TRIM('Roster'!C35)),"")</f>
        <v/>
      </c>
      <c r="B35">
        <f>IF(AE35=1,IF(AN35="","(no teacher)",AN35&amp;" – "&amp;C35),"")</f>
        <v/>
      </c>
      <c r="C35">
        <f>IF(AE35=1,TRIM('Roster'!D35&amp;""),"")</f>
        <v/>
      </c>
      <c r="D35" s="48">
        <f>IF(AE35=1,ROUND(SUMIFS('All Donations'!$S$2:$S$4001,'All Donations'!$R$2:$R$4001,AD35),2),"")</f>
        <v/>
      </c>
      <c r="E35" s="48">
        <f>IF(AE35=1,ROUND(SUMIFS('All Donations'!$S$2:$S$4001,'All Donations'!$R$2:$R$4001,AD35,'All Donations'!$G$2:$G$4001,"OneCause"),2),"")</f>
        <v/>
      </c>
      <c r="F35" s="48">
        <f>IF(AE35=1,D35-E35,"")</f>
        <v/>
      </c>
      <c r="G35">
        <f>IF(AE35=1,COUNTIFS('All Donations'!$R$2:$R$4001,AD35,'All Donations'!$H$2:$H$4001,"OK"),"")</f>
        <v/>
      </c>
      <c r="H35">
        <f>IF(AE35&lt;&gt;1,"",IF(D35&gt;0,"Yes",""))</f>
        <v/>
      </c>
      <c r="I35" s="49">
        <f>IF(OR($AE35&lt;&gt;1,I$1=""),"",SUMIFS('All Donations'!$S$2:$S$4001,'All Donations'!$R$2:$R$4001,$AD35,'All Donations'!$T$2:$T$4001,I$1))</f>
        <v/>
      </c>
      <c r="J35" s="49">
        <f>IF(OR($AE35&lt;&gt;1,J$1=""),"",SUMIFS('All Donations'!$S$2:$S$4001,'All Donations'!$R$2:$R$4001,$AD35,'All Donations'!$T$2:$T$4001,J$1))</f>
        <v/>
      </c>
      <c r="K35" s="49">
        <f>IF(OR($AE35&lt;&gt;1,K$1=""),"",SUMIFS('All Donations'!$S$2:$S$4001,'All Donations'!$R$2:$R$4001,$AD35,'All Donations'!$T$2:$T$4001,K$1))</f>
        <v/>
      </c>
      <c r="L35" s="49">
        <f>IF(OR($AE35&lt;&gt;1,L$1=""),"",SUMIFS('All Donations'!$S$2:$S$4001,'All Donations'!$R$2:$R$4001,$AD35,'All Donations'!$T$2:$T$4001,L$1))</f>
        <v/>
      </c>
      <c r="M35" s="49">
        <f>IF(OR($AE35&lt;&gt;1,M$1=""),"",SUMIFS('All Donations'!$S$2:$S$4001,'All Donations'!$R$2:$R$4001,$AD35,'All Donations'!$T$2:$T$4001,M$1))</f>
        <v/>
      </c>
      <c r="N35" s="49">
        <f>IF(OR($AE35&lt;&gt;1,N$1=""),"",SUMIFS('All Donations'!$S$2:$S$4001,'All Donations'!$R$2:$R$4001,$AD35,'All Donations'!$T$2:$T$4001,N$1))</f>
        <v/>
      </c>
      <c r="O35" s="49">
        <f>IF(OR($AE35&lt;&gt;1,O$1=""),"",SUMIFS('All Donations'!$S$2:$S$4001,'All Donations'!$R$2:$R$4001,$AD35,'All Donations'!$T$2:$T$4001,O$1))</f>
        <v/>
      </c>
      <c r="P35" s="49">
        <f>IF(OR($AE35&lt;&gt;1,P$1=""),"",SUMIFS('All Donations'!$S$2:$S$4001,'All Donations'!$R$2:$R$4001,$AD35,'All Donations'!$T$2:$T$4001,P$1))</f>
        <v/>
      </c>
      <c r="Q35" s="49">
        <f>IF(OR($AE35&lt;&gt;1,Q$1=""),"",SUMIFS('All Donations'!$S$2:$S$4001,'All Donations'!$R$2:$R$4001,$AD35,'All Donations'!$T$2:$T$4001,Q$1))</f>
        <v/>
      </c>
      <c r="R35" s="49">
        <f>IF(OR($AE35&lt;&gt;1,R$1=""),"",SUMIFS('All Donations'!$S$2:$S$4001,'All Donations'!$R$2:$R$4001,$AD35,'All Donations'!$T$2:$T$4001,R$1))</f>
        <v/>
      </c>
      <c r="S35" s="49">
        <f>IF(OR($AE35&lt;&gt;1,S$1=""),"",SUMIFS('All Donations'!$S$2:$S$4001,'All Donations'!$R$2:$R$4001,$AD35,'All Donations'!$T$2:$T$4001,S$1))</f>
        <v/>
      </c>
      <c r="T35" s="49">
        <f>IF(OR($AE35&lt;&gt;1,T$1=""),"",SUMIFS('All Donations'!$S$2:$S$4001,'All Donations'!$R$2:$R$4001,$AD35,'All Donations'!$T$2:$T$4001,T$1))</f>
        <v/>
      </c>
      <c r="U35" s="49">
        <f>IF(OR($AE35&lt;&gt;1,U$1=""),"",SUMIFS('All Donations'!$S$2:$S$4001,'All Donations'!$R$2:$R$4001,$AD35,'All Donations'!$T$2:$T$4001,U$1))</f>
        <v/>
      </c>
      <c r="V35" s="49">
        <f>IF(OR($AE35&lt;&gt;1,V$1=""),"",SUMIFS('All Donations'!$S$2:$S$4001,'All Donations'!$R$2:$R$4001,$AD35,'All Donations'!$T$2:$T$4001,V$1))</f>
        <v/>
      </c>
      <c r="W35" s="49">
        <f>IF(OR($AE35&lt;&gt;1,W$1=""),"",SUMIFS('All Donations'!$S$2:$S$4001,'All Donations'!$R$2:$R$4001,$AD35,'All Donations'!$T$2:$T$4001,W$1))</f>
        <v/>
      </c>
      <c r="X35" s="49">
        <f>IF(OR($AE35&lt;&gt;1,X$1=""),"",SUMIFS('All Donations'!$S$2:$S$4001,'All Donations'!$R$2:$R$4001,$AD35,'All Donations'!$T$2:$T$4001,X$1))</f>
        <v/>
      </c>
      <c r="Y35" s="49">
        <f>IF(OR($AE35&lt;&gt;1,Y$1=""),"",SUMIFS('All Donations'!$S$2:$S$4001,'All Donations'!$R$2:$R$4001,$AD35,'All Donations'!$T$2:$T$4001,Y$1))</f>
        <v/>
      </c>
      <c r="Z35" s="49">
        <f>IF(OR($AE35&lt;&gt;1,Z$1=""),"",SUMIFS('All Donations'!$S$2:$S$4001,'All Donations'!$R$2:$R$4001,$AD35,'All Donations'!$T$2:$T$4001,Z$1))</f>
        <v/>
      </c>
      <c r="AA35" s="49">
        <f>IF(OR($AE35&lt;&gt;1,AA$1=""),"",SUMIFS('All Donations'!$S$2:$S$4001,'All Donations'!$R$2:$R$4001,$AD35,'All Donations'!$T$2:$T$4001,AA$1))</f>
        <v/>
      </c>
      <c r="AB35" s="49">
        <f>IF(OR($AE35&lt;&gt;1,AB$1=""),"",SUMIFS('All Donations'!$S$2:$S$4001,'All Donations'!$R$2:$R$4001,$AD35,'All Donations'!$T$2:$T$4001,AB$1))</f>
        <v/>
      </c>
      <c r="AC35" s="49">
        <f>IF(OR($AE35&lt;&gt;1,AC$1=""),"",SUMIFS('All Donations'!$S$2:$S$4001,'All Donations'!$R$2:$R$4001,$AD35,'All Donations'!$T$2:$T$4001,AC$1))</f>
        <v/>
      </c>
      <c r="AD35">
        <f>IF(AE35=1,'Roster'!A35,"")</f>
        <v/>
      </c>
      <c r="AE35">
        <f>IF(TRIM('Roster'!B35&amp;'Roster'!C35)&lt;&gt;"",1,0)</f>
        <v/>
      </c>
      <c r="AF35">
        <f>IF(AE35=1,LOWER(A35),"#")</f>
        <v/>
      </c>
      <c r="AG35">
        <f>IF(AE35=1,LOWER(TRIM(TRIM('Roster'!C35)&amp;", "&amp;TRIM('Roster'!B35))),"#")</f>
        <v/>
      </c>
      <c r="AH35">
        <f>IF(AND(AE35=1,TRIM('Roster'!F35)&lt;&gt;""),LOWER(TRIM('Roster'!F35)),"#")</f>
        <v/>
      </c>
      <c r="AI35">
        <f>IF(AE35=1,IF(MATCH(B35,$B$2:$B$701,0)=ROW()-1,1,0),0)</f>
        <v/>
      </c>
      <c r="AJ35">
        <f>AJ34+AI35</f>
        <v/>
      </c>
      <c r="AK35">
        <f>IF(AE35=1,D35+(1000-ROW())/10^7,-1)</f>
        <v/>
      </c>
      <c r="AL35">
        <f>IF(AE35=1,TRIM('Roster'!B35)&amp;" "&amp;LEFT(TRIM('Roster'!C35),1)&amp;".","")</f>
        <v/>
      </c>
      <c r="AM35">
        <f>IF(AE35=1,TRIM('Roster'!C35)&amp;", "&amp;TRIM('Roster'!B35)&amp;" ("&amp;B35&amp;") #"&amp;AD35,"")</f>
        <v/>
      </c>
      <c r="AN35">
        <f>IF(AE35=1,TRIM('Roster'!E35),"")</f>
        <v/>
      </c>
      <c r="AO35">
        <f>IF(AE35=1,ROUND(SUMIFS('All Donations'!$S$2:$S$4001,'All Donations'!$R$2:$R$4001,AD35,'All Donations'!$T$2:$T$4001,"&gt;="&amp;'Settings'!$C$23,'All Donations'!$T$2:$T$4001,"&lt;="&amp;'Settings'!$D$23),2),0)</f>
        <v/>
      </c>
      <c r="AQ35">
        <f>IF(AE35=1,ROUND(SUMIFS('All Donations'!$S$2:$S$4001,'All Donations'!$R$2:$R$4001,AD35,'All Donations'!$T$2:$T$4001,"&gt;="&amp;'Settings'!$C$25,'All Donations'!$T$2:$T$4001,"&lt;="&amp;'Settings'!$D$25),2),0)</f>
        <v/>
      </c>
      <c r="AR35">
        <f>IF(AE35=1,ROUND(SUMIFS('All Donations'!$S$2:$S$4001,'All Donations'!$R$2:$R$4001,AD35,'All Donations'!$T$2:$T$4001,"&gt;="&amp;'Settings'!$C$26,'All Donations'!$T$2:$T$4001,"&lt;="&amp;'Settings'!$D$26),2),0)</f>
        <v/>
      </c>
      <c r="AS35">
        <f>IF(AE35=1,ROUND(SUMIFS('All Donations'!$S$2:$S$4001,'All Donations'!$R$2:$R$4001,AD35,'All Donations'!$T$2:$T$4001,"&lt;="&amp;'Settings'!$D$27),2),0)</f>
        <v/>
      </c>
      <c r="AT35">
        <f>IF(AE35=1,ROUND(SUMIFS('All Donations'!$S$2:$S$4001,'All Donations'!$R$2:$R$4001,AD35,'All Donations'!$T$2:$T$4001,"&gt;="&amp;'Settings'!$C$28,'All Donations'!$T$2:$T$4001,"&lt;="&amp;'Settings'!$D$28),2),0)</f>
        <v/>
      </c>
      <c r="AU35">
        <f>IF(AE35=1,ROUND(SUMIFS('All Donations'!$S$2:$S$4001,'All Donations'!$R$2:$R$4001,AD35,'All Donations'!$T$2:$T$4001,"&gt;="&amp;'Settings'!$C$29,'All Donations'!$T$2:$T$4001,"&lt;="&amp;'Settings'!$D$29),2),0)</f>
        <v/>
      </c>
      <c r="AV35">
        <f>IF(AE35=1,ROUND(SUMIFS('All Donations'!$S$2:$S$4001,'All Donations'!$R$2:$R$4001,AD35,'All Donations'!$T$2:$T$4001,"&lt;="&amp;'Settings'!$D$30),2),0)</f>
        <v/>
      </c>
      <c r="AZ35">
        <f>IF(AE35=1,ROUND(SUMIFS('All Donations'!$S$2:$S$4001,'All Donations'!$R$2:$R$4001,AD35,'All Donations'!$T$2:$T$4001,"&lt;="&amp;'Settings'!$D$34),2),0)</f>
        <v/>
      </c>
    </row>
    <row r="36">
      <c r="A36">
        <f>IF(AE36=1,TRIM(TRIM('Roster'!B36)&amp;" "&amp;TRIM('Roster'!C36)),"")</f>
        <v/>
      </c>
      <c r="B36">
        <f>IF(AE36=1,IF(AN36="","(no teacher)",AN36&amp;" – "&amp;C36),"")</f>
        <v/>
      </c>
      <c r="C36">
        <f>IF(AE36=1,TRIM('Roster'!D36&amp;""),"")</f>
        <v/>
      </c>
      <c r="D36" s="48">
        <f>IF(AE36=1,ROUND(SUMIFS('All Donations'!$S$2:$S$4001,'All Donations'!$R$2:$R$4001,AD36),2),"")</f>
        <v/>
      </c>
      <c r="E36" s="48">
        <f>IF(AE36=1,ROUND(SUMIFS('All Donations'!$S$2:$S$4001,'All Donations'!$R$2:$R$4001,AD36,'All Donations'!$G$2:$G$4001,"OneCause"),2),"")</f>
        <v/>
      </c>
      <c r="F36" s="48">
        <f>IF(AE36=1,D36-E36,"")</f>
        <v/>
      </c>
      <c r="G36">
        <f>IF(AE36=1,COUNTIFS('All Donations'!$R$2:$R$4001,AD36,'All Donations'!$H$2:$H$4001,"OK"),"")</f>
        <v/>
      </c>
      <c r="H36">
        <f>IF(AE36&lt;&gt;1,"",IF(D36&gt;0,"Yes",""))</f>
        <v/>
      </c>
      <c r="I36" s="49">
        <f>IF(OR($AE36&lt;&gt;1,I$1=""),"",SUMIFS('All Donations'!$S$2:$S$4001,'All Donations'!$R$2:$R$4001,$AD36,'All Donations'!$T$2:$T$4001,I$1))</f>
        <v/>
      </c>
      <c r="J36" s="49">
        <f>IF(OR($AE36&lt;&gt;1,J$1=""),"",SUMIFS('All Donations'!$S$2:$S$4001,'All Donations'!$R$2:$R$4001,$AD36,'All Donations'!$T$2:$T$4001,J$1))</f>
        <v/>
      </c>
      <c r="K36" s="49">
        <f>IF(OR($AE36&lt;&gt;1,K$1=""),"",SUMIFS('All Donations'!$S$2:$S$4001,'All Donations'!$R$2:$R$4001,$AD36,'All Donations'!$T$2:$T$4001,K$1))</f>
        <v/>
      </c>
      <c r="L36" s="49">
        <f>IF(OR($AE36&lt;&gt;1,L$1=""),"",SUMIFS('All Donations'!$S$2:$S$4001,'All Donations'!$R$2:$R$4001,$AD36,'All Donations'!$T$2:$T$4001,L$1))</f>
        <v/>
      </c>
      <c r="M36" s="49">
        <f>IF(OR($AE36&lt;&gt;1,M$1=""),"",SUMIFS('All Donations'!$S$2:$S$4001,'All Donations'!$R$2:$R$4001,$AD36,'All Donations'!$T$2:$T$4001,M$1))</f>
        <v/>
      </c>
      <c r="N36" s="49">
        <f>IF(OR($AE36&lt;&gt;1,N$1=""),"",SUMIFS('All Donations'!$S$2:$S$4001,'All Donations'!$R$2:$R$4001,$AD36,'All Donations'!$T$2:$T$4001,N$1))</f>
        <v/>
      </c>
      <c r="O36" s="49">
        <f>IF(OR($AE36&lt;&gt;1,O$1=""),"",SUMIFS('All Donations'!$S$2:$S$4001,'All Donations'!$R$2:$R$4001,$AD36,'All Donations'!$T$2:$T$4001,O$1))</f>
        <v/>
      </c>
      <c r="P36" s="49">
        <f>IF(OR($AE36&lt;&gt;1,P$1=""),"",SUMIFS('All Donations'!$S$2:$S$4001,'All Donations'!$R$2:$R$4001,$AD36,'All Donations'!$T$2:$T$4001,P$1))</f>
        <v/>
      </c>
      <c r="Q36" s="49">
        <f>IF(OR($AE36&lt;&gt;1,Q$1=""),"",SUMIFS('All Donations'!$S$2:$S$4001,'All Donations'!$R$2:$R$4001,$AD36,'All Donations'!$T$2:$T$4001,Q$1))</f>
        <v/>
      </c>
      <c r="R36" s="49">
        <f>IF(OR($AE36&lt;&gt;1,R$1=""),"",SUMIFS('All Donations'!$S$2:$S$4001,'All Donations'!$R$2:$R$4001,$AD36,'All Donations'!$T$2:$T$4001,R$1))</f>
        <v/>
      </c>
      <c r="S36" s="49">
        <f>IF(OR($AE36&lt;&gt;1,S$1=""),"",SUMIFS('All Donations'!$S$2:$S$4001,'All Donations'!$R$2:$R$4001,$AD36,'All Donations'!$T$2:$T$4001,S$1))</f>
        <v/>
      </c>
      <c r="T36" s="49">
        <f>IF(OR($AE36&lt;&gt;1,T$1=""),"",SUMIFS('All Donations'!$S$2:$S$4001,'All Donations'!$R$2:$R$4001,$AD36,'All Donations'!$T$2:$T$4001,T$1))</f>
        <v/>
      </c>
      <c r="U36" s="49">
        <f>IF(OR($AE36&lt;&gt;1,U$1=""),"",SUMIFS('All Donations'!$S$2:$S$4001,'All Donations'!$R$2:$R$4001,$AD36,'All Donations'!$T$2:$T$4001,U$1))</f>
        <v/>
      </c>
      <c r="V36" s="49">
        <f>IF(OR($AE36&lt;&gt;1,V$1=""),"",SUMIFS('All Donations'!$S$2:$S$4001,'All Donations'!$R$2:$R$4001,$AD36,'All Donations'!$T$2:$T$4001,V$1))</f>
        <v/>
      </c>
      <c r="W36" s="49">
        <f>IF(OR($AE36&lt;&gt;1,W$1=""),"",SUMIFS('All Donations'!$S$2:$S$4001,'All Donations'!$R$2:$R$4001,$AD36,'All Donations'!$T$2:$T$4001,W$1))</f>
        <v/>
      </c>
      <c r="X36" s="49">
        <f>IF(OR($AE36&lt;&gt;1,X$1=""),"",SUMIFS('All Donations'!$S$2:$S$4001,'All Donations'!$R$2:$R$4001,$AD36,'All Donations'!$T$2:$T$4001,X$1))</f>
        <v/>
      </c>
      <c r="Y36" s="49">
        <f>IF(OR($AE36&lt;&gt;1,Y$1=""),"",SUMIFS('All Donations'!$S$2:$S$4001,'All Donations'!$R$2:$R$4001,$AD36,'All Donations'!$T$2:$T$4001,Y$1))</f>
        <v/>
      </c>
      <c r="Z36" s="49">
        <f>IF(OR($AE36&lt;&gt;1,Z$1=""),"",SUMIFS('All Donations'!$S$2:$S$4001,'All Donations'!$R$2:$R$4001,$AD36,'All Donations'!$T$2:$T$4001,Z$1))</f>
        <v/>
      </c>
      <c r="AA36" s="49">
        <f>IF(OR($AE36&lt;&gt;1,AA$1=""),"",SUMIFS('All Donations'!$S$2:$S$4001,'All Donations'!$R$2:$R$4001,$AD36,'All Donations'!$T$2:$T$4001,AA$1))</f>
        <v/>
      </c>
      <c r="AB36" s="49">
        <f>IF(OR($AE36&lt;&gt;1,AB$1=""),"",SUMIFS('All Donations'!$S$2:$S$4001,'All Donations'!$R$2:$R$4001,$AD36,'All Donations'!$T$2:$T$4001,AB$1))</f>
        <v/>
      </c>
      <c r="AC36" s="49">
        <f>IF(OR($AE36&lt;&gt;1,AC$1=""),"",SUMIFS('All Donations'!$S$2:$S$4001,'All Donations'!$R$2:$R$4001,$AD36,'All Donations'!$T$2:$T$4001,AC$1))</f>
        <v/>
      </c>
      <c r="AD36">
        <f>IF(AE36=1,'Roster'!A36,"")</f>
        <v/>
      </c>
      <c r="AE36">
        <f>IF(TRIM('Roster'!B36&amp;'Roster'!C36)&lt;&gt;"",1,0)</f>
        <v/>
      </c>
      <c r="AF36">
        <f>IF(AE36=1,LOWER(A36),"#")</f>
        <v/>
      </c>
      <c r="AG36">
        <f>IF(AE36=1,LOWER(TRIM(TRIM('Roster'!C36)&amp;", "&amp;TRIM('Roster'!B36))),"#")</f>
        <v/>
      </c>
      <c r="AH36">
        <f>IF(AND(AE36=1,TRIM('Roster'!F36)&lt;&gt;""),LOWER(TRIM('Roster'!F36)),"#")</f>
        <v/>
      </c>
      <c r="AI36">
        <f>IF(AE36=1,IF(MATCH(B36,$B$2:$B$701,0)=ROW()-1,1,0),0)</f>
        <v/>
      </c>
      <c r="AJ36">
        <f>AJ35+AI36</f>
        <v/>
      </c>
      <c r="AK36">
        <f>IF(AE36=1,D36+(1000-ROW())/10^7,-1)</f>
        <v/>
      </c>
      <c r="AL36">
        <f>IF(AE36=1,TRIM('Roster'!B36)&amp;" "&amp;LEFT(TRIM('Roster'!C36),1)&amp;".","")</f>
        <v/>
      </c>
      <c r="AM36">
        <f>IF(AE36=1,TRIM('Roster'!C36)&amp;", "&amp;TRIM('Roster'!B36)&amp;" ("&amp;B36&amp;") #"&amp;AD36,"")</f>
        <v/>
      </c>
      <c r="AN36">
        <f>IF(AE36=1,TRIM('Roster'!E36),"")</f>
        <v/>
      </c>
      <c r="AO36">
        <f>IF(AE36=1,ROUND(SUMIFS('All Donations'!$S$2:$S$4001,'All Donations'!$R$2:$R$4001,AD36,'All Donations'!$T$2:$T$4001,"&gt;="&amp;'Settings'!$C$23,'All Donations'!$T$2:$T$4001,"&lt;="&amp;'Settings'!$D$23),2),0)</f>
        <v/>
      </c>
      <c r="AQ36">
        <f>IF(AE36=1,ROUND(SUMIFS('All Donations'!$S$2:$S$4001,'All Donations'!$R$2:$R$4001,AD36,'All Donations'!$T$2:$T$4001,"&gt;="&amp;'Settings'!$C$25,'All Donations'!$T$2:$T$4001,"&lt;="&amp;'Settings'!$D$25),2),0)</f>
        <v/>
      </c>
      <c r="AR36">
        <f>IF(AE36=1,ROUND(SUMIFS('All Donations'!$S$2:$S$4001,'All Donations'!$R$2:$R$4001,AD36,'All Donations'!$T$2:$T$4001,"&gt;="&amp;'Settings'!$C$26,'All Donations'!$T$2:$T$4001,"&lt;="&amp;'Settings'!$D$26),2),0)</f>
        <v/>
      </c>
      <c r="AS36">
        <f>IF(AE36=1,ROUND(SUMIFS('All Donations'!$S$2:$S$4001,'All Donations'!$R$2:$R$4001,AD36,'All Donations'!$T$2:$T$4001,"&lt;="&amp;'Settings'!$D$27),2),0)</f>
        <v/>
      </c>
      <c r="AT36">
        <f>IF(AE36=1,ROUND(SUMIFS('All Donations'!$S$2:$S$4001,'All Donations'!$R$2:$R$4001,AD36,'All Donations'!$T$2:$T$4001,"&gt;="&amp;'Settings'!$C$28,'All Donations'!$T$2:$T$4001,"&lt;="&amp;'Settings'!$D$28),2),0)</f>
        <v/>
      </c>
      <c r="AU36">
        <f>IF(AE36=1,ROUND(SUMIFS('All Donations'!$S$2:$S$4001,'All Donations'!$R$2:$R$4001,AD36,'All Donations'!$T$2:$T$4001,"&gt;="&amp;'Settings'!$C$29,'All Donations'!$T$2:$T$4001,"&lt;="&amp;'Settings'!$D$29),2),0)</f>
        <v/>
      </c>
      <c r="AV36">
        <f>IF(AE36=1,ROUND(SUMIFS('All Donations'!$S$2:$S$4001,'All Donations'!$R$2:$R$4001,AD36,'All Donations'!$T$2:$T$4001,"&lt;="&amp;'Settings'!$D$30),2),0)</f>
        <v/>
      </c>
      <c r="AZ36">
        <f>IF(AE36=1,ROUND(SUMIFS('All Donations'!$S$2:$S$4001,'All Donations'!$R$2:$R$4001,AD36,'All Donations'!$T$2:$T$4001,"&lt;="&amp;'Settings'!$D$34),2),0)</f>
        <v/>
      </c>
    </row>
    <row r="37">
      <c r="A37">
        <f>IF(AE37=1,TRIM(TRIM('Roster'!B37)&amp;" "&amp;TRIM('Roster'!C37)),"")</f>
        <v/>
      </c>
      <c r="B37">
        <f>IF(AE37=1,IF(AN37="","(no teacher)",AN37&amp;" – "&amp;C37),"")</f>
        <v/>
      </c>
      <c r="C37">
        <f>IF(AE37=1,TRIM('Roster'!D37&amp;""),"")</f>
        <v/>
      </c>
      <c r="D37" s="48">
        <f>IF(AE37=1,ROUND(SUMIFS('All Donations'!$S$2:$S$4001,'All Donations'!$R$2:$R$4001,AD37),2),"")</f>
        <v/>
      </c>
      <c r="E37" s="48">
        <f>IF(AE37=1,ROUND(SUMIFS('All Donations'!$S$2:$S$4001,'All Donations'!$R$2:$R$4001,AD37,'All Donations'!$G$2:$G$4001,"OneCause"),2),"")</f>
        <v/>
      </c>
      <c r="F37" s="48">
        <f>IF(AE37=1,D37-E37,"")</f>
        <v/>
      </c>
      <c r="G37">
        <f>IF(AE37=1,COUNTIFS('All Donations'!$R$2:$R$4001,AD37,'All Donations'!$H$2:$H$4001,"OK"),"")</f>
        <v/>
      </c>
      <c r="H37">
        <f>IF(AE37&lt;&gt;1,"",IF(D37&gt;0,"Yes",""))</f>
        <v/>
      </c>
      <c r="I37" s="49">
        <f>IF(OR($AE37&lt;&gt;1,I$1=""),"",SUMIFS('All Donations'!$S$2:$S$4001,'All Donations'!$R$2:$R$4001,$AD37,'All Donations'!$T$2:$T$4001,I$1))</f>
        <v/>
      </c>
      <c r="J37" s="49">
        <f>IF(OR($AE37&lt;&gt;1,J$1=""),"",SUMIFS('All Donations'!$S$2:$S$4001,'All Donations'!$R$2:$R$4001,$AD37,'All Donations'!$T$2:$T$4001,J$1))</f>
        <v/>
      </c>
      <c r="K37" s="49">
        <f>IF(OR($AE37&lt;&gt;1,K$1=""),"",SUMIFS('All Donations'!$S$2:$S$4001,'All Donations'!$R$2:$R$4001,$AD37,'All Donations'!$T$2:$T$4001,K$1))</f>
        <v/>
      </c>
      <c r="L37" s="49">
        <f>IF(OR($AE37&lt;&gt;1,L$1=""),"",SUMIFS('All Donations'!$S$2:$S$4001,'All Donations'!$R$2:$R$4001,$AD37,'All Donations'!$T$2:$T$4001,L$1))</f>
        <v/>
      </c>
      <c r="M37" s="49">
        <f>IF(OR($AE37&lt;&gt;1,M$1=""),"",SUMIFS('All Donations'!$S$2:$S$4001,'All Donations'!$R$2:$R$4001,$AD37,'All Donations'!$T$2:$T$4001,M$1))</f>
        <v/>
      </c>
      <c r="N37" s="49">
        <f>IF(OR($AE37&lt;&gt;1,N$1=""),"",SUMIFS('All Donations'!$S$2:$S$4001,'All Donations'!$R$2:$R$4001,$AD37,'All Donations'!$T$2:$T$4001,N$1))</f>
        <v/>
      </c>
      <c r="O37" s="49">
        <f>IF(OR($AE37&lt;&gt;1,O$1=""),"",SUMIFS('All Donations'!$S$2:$S$4001,'All Donations'!$R$2:$R$4001,$AD37,'All Donations'!$T$2:$T$4001,O$1))</f>
        <v/>
      </c>
      <c r="P37" s="49">
        <f>IF(OR($AE37&lt;&gt;1,P$1=""),"",SUMIFS('All Donations'!$S$2:$S$4001,'All Donations'!$R$2:$R$4001,$AD37,'All Donations'!$T$2:$T$4001,P$1))</f>
        <v/>
      </c>
      <c r="Q37" s="49">
        <f>IF(OR($AE37&lt;&gt;1,Q$1=""),"",SUMIFS('All Donations'!$S$2:$S$4001,'All Donations'!$R$2:$R$4001,$AD37,'All Donations'!$T$2:$T$4001,Q$1))</f>
        <v/>
      </c>
      <c r="R37" s="49">
        <f>IF(OR($AE37&lt;&gt;1,R$1=""),"",SUMIFS('All Donations'!$S$2:$S$4001,'All Donations'!$R$2:$R$4001,$AD37,'All Donations'!$T$2:$T$4001,R$1))</f>
        <v/>
      </c>
      <c r="S37" s="49">
        <f>IF(OR($AE37&lt;&gt;1,S$1=""),"",SUMIFS('All Donations'!$S$2:$S$4001,'All Donations'!$R$2:$R$4001,$AD37,'All Donations'!$T$2:$T$4001,S$1))</f>
        <v/>
      </c>
      <c r="T37" s="49">
        <f>IF(OR($AE37&lt;&gt;1,T$1=""),"",SUMIFS('All Donations'!$S$2:$S$4001,'All Donations'!$R$2:$R$4001,$AD37,'All Donations'!$T$2:$T$4001,T$1))</f>
        <v/>
      </c>
      <c r="U37" s="49">
        <f>IF(OR($AE37&lt;&gt;1,U$1=""),"",SUMIFS('All Donations'!$S$2:$S$4001,'All Donations'!$R$2:$R$4001,$AD37,'All Donations'!$T$2:$T$4001,U$1))</f>
        <v/>
      </c>
      <c r="V37" s="49">
        <f>IF(OR($AE37&lt;&gt;1,V$1=""),"",SUMIFS('All Donations'!$S$2:$S$4001,'All Donations'!$R$2:$R$4001,$AD37,'All Donations'!$T$2:$T$4001,V$1))</f>
        <v/>
      </c>
      <c r="W37" s="49">
        <f>IF(OR($AE37&lt;&gt;1,W$1=""),"",SUMIFS('All Donations'!$S$2:$S$4001,'All Donations'!$R$2:$R$4001,$AD37,'All Donations'!$T$2:$T$4001,W$1))</f>
        <v/>
      </c>
      <c r="X37" s="49">
        <f>IF(OR($AE37&lt;&gt;1,X$1=""),"",SUMIFS('All Donations'!$S$2:$S$4001,'All Donations'!$R$2:$R$4001,$AD37,'All Donations'!$T$2:$T$4001,X$1))</f>
        <v/>
      </c>
      <c r="Y37" s="49">
        <f>IF(OR($AE37&lt;&gt;1,Y$1=""),"",SUMIFS('All Donations'!$S$2:$S$4001,'All Donations'!$R$2:$R$4001,$AD37,'All Donations'!$T$2:$T$4001,Y$1))</f>
        <v/>
      </c>
      <c r="Z37" s="49">
        <f>IF(OR($AE37&lt;&gt;1,Z$1=""),"",SUMIFS('All Donations'!$S$2:$S$4001,'All Donations'!$R$2:$R$4001,$AD37,'All Donations'!$T$2:$T$4001,Z$1))</f>
        <v/>
      </c>
      <c r="AA37" s="49">
        <f>IF(OR($AE37&lt;&gt;1,AA$1=""),"",SUMIFS('All Donations'!$S$2:$S$4001,'All Donations'!$R$2:$R$4001,$AD37,'All Donations'!$T$2:$T$4001,AA$1))</f>
        <v/>
      </c>
      <c r="AB37" s="49">
        <f>IF(OR($AE37&lt;&gt;1,AB$1=""),"",SUMIFS('All Donations'!$S$2:$S$4001,'All Donations'!$R$2:$R$4001,$AD37,'All Donations'!$T$2:$T$4001,AB$1))</f>
        <v/>
      </c>
      <c r="AC37" s="49">
        <f>IF(OR($AE37&lt;&gt;1,AC$1=""),"",SUMIFS('All Donations'!$S$2:$S$4001,'All Donations'!$R$2:$R$4001,$AD37,'All Donations'!$T$2:$T$4001,AC$1))</f>
        <v/>
      </c>
      <c r="AD37">
        <f>IF(AE37=1,'Roster'!A37,"")</f>
        <v/>
      </c>
      <c r="AE37">
        <f>IF(TRIM('Roster'!B37&amp;'Roster'!C37)&lt;&gt;"",1,0)</f>
        <v/>
      </c>
      <c r="AF37">
        <f>IF(AE37=1,LOWER(A37),"#")</f>
        <v/>
      </c>
      <c r="AG37">
        <f>IF(AE37=1,LOWER(TRIM(TRIM('Roster'!C37)&amp;", "&amp;TRIM('Roster'!B37))),"#")</f>
        <v/>
      </c>
      <c r="AH37">
        <f>IF(AND(AE37=1,TRIM('Roster'!F37)&lt;&gt;""),LOWER(TRIM('Roster'!F37)),"#")</f>
        <v/>
      </c>
      <c r="AI37">
        <f>IF(AE37=1,IF(MATCH(B37,$B$2:$B$701,0)=ROW()-1,1,0),0)</f>
        <v/>
      </c>
      <c r="AJ37">
        <f>AJ36+AI37</f>
        <v/>
      </c>
      <c r="AK37">
        <f>IF(AE37=1,D37+(1000-ROW())/10^7,-1)</f>
        <v/>
      </c>
      <c r="AL37">
        <f>IF(AE37=1,TRIM('Roster'!B37)&amp;" "&amp;LEFT(TRIM('Roster'!C37),1)&amp;".","")</f>
        <v/>
      </c>
      <c r="AM37">
        <f>IF(AE37=1,TRIM('Roster'!C37)&amp;", "&amp;TRIM('Roster'!B37)&amp;" ("&amp;B37&amp;") #"&amp;AD37,"")</f>
        <v/>
      </c>
      <c r="AN37">
        <f>IF(AE37=1,TRIM('Roster'!E37),"")</f>
        <v/>
      </c>
      <c r="AO37">
        <f>IF(AE37=1,ROUND(SUMIFS('All Donations'!$S$2:$S$4001,'All Donations'!$R$2:$R$4001,AD37,'All Donations'!$T$2:$T$4001,"&gt;="&amp;'Settings'!$C$23,'All Donations'!$T$2:$T$4001,"&lt;="&amp;'Settings'!$D$23),2),0)</f>
        <v/>
      </c>
      <c r="AQ37">
        <f>IF(AE37=1,ROUND(SUMIFS('All Donations'!$S$2:$S$4001,'All Donations'!$R$2:$R$4001,AD37,'All Donations'!$T$2:$T$4001,"&gt;="&amp;'Settings'!$C$25,'All Donations'!$T$2:$T$4001,"&lt;="&amp;'Settings'!$D$25),2),0)</f>
        <v/>
      </c>
      <c r="AR37">
        <f>IF(AE37=1,ROUND(SUMIFS('All Donations'!$S$2:$S$4001,'All Donations'!$R$2:$R$4001,AD37,'All Donations'!$T$2:$T$4001,"&gt;="&amp;'Settings'!$C$26,'All Donations'!$T$2:$T$4001,"&lt;="&amp;'Settings'!$D$26),2),0)</f>
        <v/>
      </c>
      <c r="AS37">
        <f>IF(AE37=1,ROUND(SUMIFS('All Donations'!$S$2:$S$4001,'All Donations'!$R$2:$R$4001,AD37,'All Donations'!$T$2:$T$4001,"&lt;="&amp;'Settings'!$D$27),2),0)</f>
        <v/>
      </c>
      <c r="AT37">
        <f>IF(AE37=1,ROUND(SUMIFS('All Donations'!$S$2:$S$4001,'All Donations'!$R$2:$R$4001,AD37,'All Donations'!$T$2:$T$4001,"&gt;="&amp;'Settings'!$C$28,'All Donations'!$T$2:$T$4001,"&lt;="&amp;'Settings'!$D$28),2),0)</f>
        <v/>
      </c>
      <c r="AU37">
        <f>IF(AE37=1,ROUND(SUMIFS('All Donations'!$S$2:$S$4001,'All Donations'!$R$2:$R$4001,AD37,'All Donations'!$T$2:$T$4001,"&gt;="&amp;'Settings'!$C$29,'All Donations'!$T$2:$T$4001,"&lt;="&amp;'Settings'!$D$29),2),0)</f>
        <v/>
      </c>
      <c r="AV37">
        <f>IF(AE37=1,ROUND(SUMIFS('All Donations'!$S$2:$S$4001,'All Donations'!$R$2:$R$4001,AD37,'All Donations'!$T$2:$T$4001,"&lt;="&amp;'Settings'!$D$30),2),0)</f>
        <v/>
      </c>
      <c r="AZ37">
        <f>IF(AE37=1,ROUND(SUMIFS('All Donations'!$S$2:$S$4001,'All Donations'!$R$2:$R$4001,AD37,'All Donations'!$T$2:$T$4001,"&lt;="&amp;'Settings'!$D$34),2),0)</f>
        <v/>
      </c>
    </row>
    <row r="38">
      <c r="A38">
        <f>IF(AE38=1,TRIM(TRIM('Roster'!B38)&amp;" "&amp;TRIM('Roster'!C38)),"")</f>
        <v/>
      </c>
      <c r="B38">
        <f>IF(AE38=1,IF(AN38="","(no teacher)",AN38&amp;" – "&amp;C38),"")</f>
        <v/>
      </c>
      <c r="C38">
        <f>IF(AE38=1,TRIM('Roster'!D38&amp;""),"")</f>
        <v/>
      </c>
      <c r="D38" s="48">
        <f>IF(AE38=1,ROUND(SUMIFS('All Donations'!$S$2:$S$4001,'All Donations'!$R$2:$R$4001,AD38),2),"")</f>
        <v/>
      </c>
      <c r="E38" s="48">
        <f>IF(AE38=1,ROUND(SUMIFS('All Donations'!$S$2:$S$4001,'All Donations'!$R$2:$R$4001,AD38,'All Donations'!$G$2:$G$4001,"OneCause"),2),"")</f>
        <v/>
      </c>
      <c r="F38" s="48">
        <f>IF(AE38=1,D38-E38,"")</f>
        <v/>
      </c>
      <c r="G38">
        <f>IF(AE38=1,COUNTIFS('All Donations'!$R$2:$R$4001,AD38,'All Donations'!$H$2:$H$4001,"OK"),"")</f>
        <v/>
      </c>
      <c r="H38">
        <f>IF(AE38&lt;&gt;1,"",IF(D38&gt;0,"Yes",""))</f>
        <v/>
      </c>
      <c r="I38" s="49">
        <f>IF(OR($AE38&lt;&gt;1,I$1=""),"",SUMIFS('All Donations'!$S$2:$S$4001,'All Donations'!$R$2:$R$4001,$AD38,'All Donations'!$T$2:$T$4001,I$1))</f>
        <v/>
      </c>
      <c r="J38" s="49">
        <f>IF(OR($AE38&lt;&gt;1,J$1=""),"",SUMIFS('All Donations'!$S$2:$S$4001,'All Donations'!$R$2:$R$4001,$AD38,'All Donations'!$T$2:$T$4001,J$1))</f>
        <v/>
      </c>
      <c r="K38" s="49">
        <f>IF(OR($AE38&lt;&gt;1,K$1=""),"",SUMIFS('All Donations'!$S$2:$S$4001,'All Donations'!$R$2:$R$4001,$AD38,'All Donations'!$T$2:$T$4001,K$1))</f>
        <v/>
      </c>
      <c r="L38" s="49">
        <f>IF(OR($AE38&lt;&gt;1,L$1=""),"",SUMIFS('All Donations'!$S$2:$S$4001,'All Donations'!$R$2:$R$4001,$AD38,'All Donations'!$T$2:$T$4001,L$1))</f>
        <v/>
      </c>
      <c r="M38" s="49">
        <f>IF(OR($AE38&lt;&gt;1,M$1=""),"",SUMIFS('All Donations'!$S$2:$S$4001,'All Donations'!$R$2:$R$4001,$AD38,'All Donations'!$T$2:$T$4001,M$1))</f>
        <v/>
      </c>
      <c r="N38" s="49">
        <f>IF(OR($AE38&lt;&gt;1,N$1=""),"",SUMIFS('All Donations'!$S$2:$S$4001,'All Donations'!$R$2:$R$4001,$AD38,'All Donations'!$T$2:$T$4001,N$1))</f>
        <v/>
      </c>
      <c r="O38" s="49">
        <f>IF(OR($AE38&lt;&gt;1,O$1=""),"",SUMIFS('All Donations'!$S$2:$S$4001,'All Donations'!$R$2:$R$4001,$AD38,'All Donations'!$T$2:$T$4001,O$1))</f>
        <v/>
      </c>
      <c r="P38" s="49">
        <f>IF(OR($AE38&lt;&gt;1,P$1=""),"",SUMIFS('All Donations'!$S$2:$S$4001,'All Donations'!$R$2:$R$4001,$AD38,'All Donations'!$T$2:$T$4001,P$1))</f>
        <v/>
      </c>
      <c r="Q38" s="49">
        <f>IF(OR($AE38&lt;&gt;1,Q$1=""),"",SUMIFS('All Donations'!$S$2:$S$4001,'All Donations'!$R$2:$R$4001,$AD38,'All Donations'!$T$2:$T$4001,Q$1))</f>
        <v/>
      </c>
      <c r="R38" s="49">
        <f>IF(OR($AE38&lt;&gt;1,R$1=""),"",SUMIFS('All Donations'!$S$2:$S$4001,'All Donations'!$R$2:$R$4001,$AD38,'All Donations'!$T$2:$T$4001,R$1))</f>
        <v/>
      </c>
      <c r="S38" s="49">
        <f>IF(OR($AE38&lt;&gt;1,S$1=""),"",SUMIFS('All Donations'!$S$2:$S$4001,'All Donations'!$R$2:$R$4001,$AD38,'All Donations'!$T$2:$T$4001,S$1))</f>
        <v/>
      </c>
      <c r="T38" s="49">
        <f>IF(OR($AE38&lt;&gt;1,T$1=""),"",SUMIFS('All Donations'!$S$2:$S$4001,'All Donations'!$R$2:$R$4001,$AD38,'All Donations'!$T$2:$T$4001,T$1))</f>
        <v/>
      </c>
      <c r="U38" s="49">
        <f>IF(OR($AE38&lt;&gt;1,U$1=""),"",SUMIFS('All Donations'!$S$2:$S$4001,'All Donations'!$R$2:$R$4001,$AD38,'All Donations'!$T$2:$T$4001,U$1))</f>
        <v/>
      </c>
      <c r="V38" s="49">
        <f>IF(OR($AE38&lt;&gt;1,V$1=""),"",SUMIFS('All Donations'!$S$2:$S$4001,'All Donations'!$R$2:$R$4001,$AD38,'All Donations'!$T$2:$T$4001,V$1))</f>
        <v/>
      </c>
      <c r="W38" s="49">
        <f>IF(OR($AE38&lt;&gt;1,W$1=""),"",SUMIFS('All Donations'!$S$2:$S$4001,'All Donations'!$R$2:$R$4001,$AD38,'All Donations'!$T$2:$T$4001,W$1))</f>
        <v/>
      </c>
      <c r="X38" s="49">
        <f>IF(OR($AE38&lt;&gt;1,X$1=""),"",SUMIFS('All Donations'!$S$2:$S$4001,'All Donations'!$R$2:$R$4001,$AD38,'All Donations'!$T$2:$T$4001,X$1))</f>
        <v/>
      </c>
      <c r="Y38" s="49">
        <f>IF(OR($AE38&lt;&gt;1,Y$1=""),"",SUMIFS('All Donations'!$S$2:$S$4001,'All Donations'!$R$2:$R$4001,$AD38,'All Donations'!$T$2:$T$4001,Y$1))</f>
        <v/>
      </c>
      <c r="Z38" s="49">
        <f>IF(OR($AE38&lt;&gt;1,Z$1=""),"",SUMIFS('All Donations'!$S$2:$S$4001,'All Donations'!$R$2:$R$4001,$AD38,'All Donations'!$T$2:$T$4001,Z$1))</f>
        <v/>
      </c>
      <c r="AA38" s="49">
        <f>IF(OR($AE38&lt;&gt;1,AA$1=""),"",SUMIFS('All Donations'!$S$2:$S$4001,'All Donations'!$R$2:$R$4001,$AD38,'All Donations'!$T$2:$T$4001,AA$1))</f>
        <v/>
      </c>
      <c r="AB38" s="49">
        <f>IF(OR($AE38&lt;&gt;1,AB$1=""),"",SUMIFS('All Donations'!$S$2:$S$4001,'All Donations'!$R$2:$R$4001,$AD38,'All Donations'!$T$2:$T$4001,AB$1))</f>
        <v/>
      </c>
      <c r="AC38" s="49">
        <f>IF(OR($AE38&lt;&gt;1,AC$1=""),"",SUMIFS('All Donations'!$S$2:$S$4001,'All Donations'!$R$2:$R$4001,$AD38,'All Donations'!$T$2:$T$4001,AC$1))</f>
        <v/>
      </c>
      <c r="AD38">
        <f>IF(AE38=1,'Roster'!A38,"")</f>
        <v/>
      </c>
      <c r="AE38">
        <f>IF(TRIM('Roster'!B38&amp;'Roster'!C38)&lt;&gt;"",1,0)</f>
        <v/>
      </c>
      <c r="AF38">
        <f>IF(AE38=1,LOWER(A38),"#")</f>
        <v/>
      </c>
      <c r="AG38">
        <f>IF(AE38=1,LOWER(TRIM(TRIM('Roster'!C38)&amp;", "&amp;TRIM('Roster'!B38))),"#")</f>
        <v/>
      </c>
      <c r="AH38">
        <f>IF(AND(AE38=1,TRIM('Roster'!F38)&lt;&gt;""),LOWER(TRIM('Roster'!F38)),"#")</f>
        <v/>
      </c>
      <c r="AI38">
        <f>IF(AE38=1,IF(MATCH(B38,$B$2:$B$701,0)=ROW()-1,1,0),0)</f>
        <v/>
      </c>
      <c r="AJ38">
        <f>AJ37+AI38</f>
        <v/>
      </c>
      <c r="AK38">
        <f>IF(AE38=1,D38+(1000-ROW())/10^7,-1)</f>
        <v/>
      </c>
      <c r="AL38">
        <f>IF(AE38=1,TRIM('Roster'!B38)&amp;" "&amp;LEFT(TRIM('Roster'!C38),1)&amp;".","")</f>
        <v/>
      </c>
      <c r="AM38">
        <f>IF(AE38=1,TRIM('Roster'!C38)&amp;", "&amp;TRIM('Roster'!B38)&amp;" ("&amp;B38&amp;") #"&amp;AD38,"")</f>
        <v/>
      </c>
      <c r="AN38">
        <f>IF(AE38=1,TRIM('Roster'!E38),"")</f>
        <v/>
      </c>
      <c r="AO38">
        <f>IF(AE38=1,ROUND(SUMIFS('All Donations'!$S$2:$S$4001,'All Donations'!$R$2:$R$4001,AD38,'All Donations'!$T$2:$T$4001,"&gt;="&amp;'Settings'!$C$23,'All Donations'!$T$2:$T$4001,"&lt;="&amp;'Settings'!$D$23),2),0)</f>
        <v/>
      </c>
      <c r="AQ38">
        <f>IF(AE38=1,ROUND(SUMIFS('All Donations'!$S$2:$S$4001,'All Donations'!$R$2:$R$4001,AD38,'All Donations'!$T$2:$T$4001,"&gt;="&amp;'Settings'!$C$25,'All Donations'!$T$2:$T$4001,"&lt;="&amp;'Settings'!$D$25),2),0)</f>
        <v/>
      </c>
      <c r="AR38">
        <f>IF(AE38=1,ROUND(SUMIFS('All Donations'!$S$2:$S$4001,'All Donations'!$R$2:$R$4001,AD38,'All Donations'!$T$2:$T$4001,"&gt;="&amp;'Settings'!$C$26,'All Donations'!$T$2:$T$4001,"&lt;="&amp;'Settings'!$D$26),2),0)</f>
        <v/>
      </c>
      <c r="AS38">
        <f>IF(AE38=1,ROUND(SUMIFS('All Donations'!$S$2:$S$4001,'All Donations'!$R$2:$R$4001,AD38,'All Donations'!$T$2:$T$4001,"&lt;="&amp;'Settings'!$D$27),2),0)</f>
        <v/>
      </c>
      <c r="AT38">
        <f>IF(AE38=1,ROUND(SUMIFS('All Donations'!$S$2:$S$4001,'All Donations'!$R$2:$R$4001,AD38,'All Donations'!$T$2:$T$4001,"&gt;="&amp;'Settings'!$C$28,'All Donations'!$T$2:$T$4001,"&lt;="&amp;'Settings'!$D$28),2),0)</f>
        <v/>
      </c>
      <c r="AU38">
        <f>IF(AE38=1,ROUND(SUMIFS('All Donations'!$S$2:$S$4001,'All Donations'!$R$2:$R$4001,AD38,'All Donations'!$T$2:$T$4001,"&gt;="&amp;'Settings'!$C$29,'All Donations'!$T$2:$T$4001,"&lt;="&amp;'Settings'!$D$29),2),0)</f>
        <v/>
      </c>
      <c r="AV38">
        <f>IF(AE38=1,ROUND(SUMIFS('All Donations'!$S$2:$S$4001,'All Donations'!$R$2:$R$4001,AD38,'All Donations'!$T$2:$T$4001,"&lt;="&amp;'Settings'!$D$30),2),0)</f>
        <v/>
      </c>
      <c r="AZ38">
        <f>IF(AE38=1,ROUND(SUMIFS('All Donations'!$S$2:$S$4001,'All Donations'!$R$2:$R$4001,AD38,'All Donations'!$T$2:$T$4001,"&lt;="&amp;'Settings'!$D$34),2),0)</f>
        <v/>
      </c>
    </row>
    <row r="39">
      <c r="A39">
        <f>IF(AE39=1,TRIM(TRIM('Roster'!B39)&amp;" "&amp;TRIM('Roster'!C39)),"")</f>
        <v/>
      </c>
      <c r="B39">
        <f>IF(AE39=1,IF(AN39="","(no teacher)",AN39&amp;" – "&amp;C39),"")</f>
        <v/>
      </c>
      <c r="C39">
        <f>IF(AE39=1,TRIM('Roster'!D39&amp;""),"")</f>
        <v/>
      </c>
      <c r="D39" s="48">
        <f>IF(AE39=1,ROUND(SUMIFS('All Donations'!$S$2:$S$4001,'All Donations'!$R$2:$R$4001,AD39),2),"")</f>
        <v/>
      </c>
      <c r="E39" s="48">
        <f>IF(AE39=1,ROUND(SUMIFS('All Donations'!$S$2:$S$4001,'All Donations'!$R$2:$R$4001,AD39,'All Donations'!$G$2:$G$4001,"OneCause"),2),"")</f>
        <v/>
      </c>
      <c r="F39" s="48">
        <f>IF(AE39=1,D39-E39,"")</f>
        <v/>
      </c>
      <c r="G39">
        <f>IF(AE39=1,COUNTIFS('All Donations'!$R$2:$R$4001,AD39,'All Donations'!$H$2:$H$4001,"OK"),"")</f>
        <v/>
      </c>
      <c r="H39">
        <f>IF(AE39&lt;&gt;1,"",IF(D39&gt;0,"Yes",""))</f>
        <v/>
      </c>
      <c r="I39" s="49">
        <f>IF(OR($AE39&lt;&gt;1,I$1=""),"",SUMIFS('All Donations'!$S$2:$S$4001,'All Donations'!$R$2:$R$4001,$AD39,'All Donations'!$T$2:$T$4001,I$1))</f>
        <v/>
      </c>
      <c r="J39" s="49">
        <f>IF(OR($AE39&lt;&gt;1,J$1=""),"",SUMIFS('All Donations'!$S$2:$S$4001,'All Donations'!$R$2:$R$4001,$AD39,'All Donations'!$T$2:$T$4001,J$1))</f>
        <v/>
      </c>
      <c r="K39" s="49">
        <f>IF(OR($AE39&lt;&gt;1,K$1=""),"",SUMIFS('All Donations'!$S$2:$S$4001,'All Donations'!$R$2:$R$4001,$AD39,'All Donations'!$T$2:$T$4001,K$1))</f>
        <v/>
      </c>
      <c r="L39" s="49">
        <f>IF(OR($AE39&lt;&gt;1,L$1=""),"",SUMIFS('All Donations'!$S$2:$S$4001,'All Donations'!$R$2:$R$4001,$AD39,'All Donations'!$T$2:$T$4001,L$1))</f>
        <v/>
      </c>
      <c r="M39" s="49">
        <f>IF(OR($AE39&lt;&gt;1,M$1=""),"",SUMIFS('All Donations'!$S$2:$S$4001,'All Donations'!$R$2:$R$4001,$AD39,'All Donations'!$T$2:$T$4001,M$1))</f>
        <v/>
      </c>
      <c r="N39" s="49">
        <f>IF(OR($AE39&lt;&gt;1,N$1=""),"",SUMIFS('All Donations'!$S$2:$S$4001,'All Donations'!$R$2:$R$4001,$AD39,'All Donations'!$T$2:$T$4001,N$1))</f>
        <v/>
      </c>
      <c r="O39" s="49">
        <f>IF(OR($AE39&lt;&gt;1,O$1=""),"",SUMIFS('All Donations'!$S$2:$S$4001,'All Donations'!$R$2:$R$4001,$AD39,'All Donations'!$T$2:$T$4001,O$1))</f>
        <v/>
      </c>
      <c r="P39" s="49">
        <f>IF(OR($AE39&lt;&gt;1,P$1=""),"",SUMIFS('All Donations'!$S$2:$S$4001,'All Donations'!$R$2:$R$4001,$AD39,'All Donations'!$T$2:$T$4001,P$1))</f>
        <v/>
      </c>
      <c r="Q39" s="49">
        <f>IF(OR($AE39&lt;&gt;1,Q$1=""),"",SUMIFS('All Donations'!$S$2:$S$4001,'All Donations'!$R$2:$R$4001,$AD39,'All Donations'!$T$2:$T$4001,Q$1))</f>
        <v/>
      </c>
      <c r="R39" s="49">
        <f>IF(OR($AE39&lt;&gt;1,R$1=""),"",SUMIFS('All Donations'!$S$2:$S$4001,'All Donations'!$R$2:$R$4001,$AD39,'All Donations'!$T$2:$T$4001,R$1))</f>
        <v/>
      </c>
      <c r="S39" s="49">
        <f>IF(OR($AE39&lt;&gt;1,S$1=""),"",SUMIFS('All Donations'!$S$2:$S$4001,'All Donations'!$R$2:$R$4001,$AD39,'All Donations'!$T$2:$T$4001,S$1))</f>
        <v/>
      </c>
      <c r="T39" s="49">
        <f>IF(OR($AE39&lt;&gt;1,T$1=""),"",SUMIFS('All Donations'!$S$2:$S$4001,'All Donations'!$R$2:$R$4001,$AD39,'All Donations'!$T$2:$T$4001,T$1))</f>
        <v/>
      </c>
      <c r="U39" s="49">
        <f>IF(OR($AE39&lt;&gt;1,U$1=""),"",SUMIFS('All Donations'!$S$2:$S$4001,'All Donations'!$R$2:$R$4001,$AD39,'All Donations'!$T$2:$T$4001,U$1))</f>
        <v/>
      </c>
      <c r="V39" s="49">
        <f>IF(OR($AE39&lt;&gt;1,V$1=""),"",SUMIFS('All Donations'!$S$2:$S$4001,'All Donations'!$R$2:$R$4001,$AD39,'All Donations'!$T$2:$T$4001,V$1))</f>
        <v/>
      </c>
      <c r="W39" s="49">
        <f>IF(OR($AE39&lt;&gt;1,W$1=""),"",SUMIFS('All Donations'!$S$2:$S$4001,'All Donations'!$R$2:$R$4001,$AD39,'All Donations'!$T$2:$T$4001,W$1))</f>
        <v/>
      </c>
      <c r="X39" s="49">
        <f>IF(OR($AE39&lt;&gt;1,X$1=""),"",SUMIFS('All Donations'!$S$2:$S$4001,'All Donations'!$R$2:$R$4001,$AD39,'All Donations'!$T$2:$T$4001,X$1))</f>
        <v/>
      </c>
      <c r="Y39" s="49">
        <f>IF(OR($AE39&lt;&gt;1,Y$1=""),"",SUMIFS('All Donations'!$S$2:$S$4001,'All Donations'!$R$2:$R$4001,$AD39,'All Donations'!$T$2:$T$4001,Y$1))</f>
        <v/>
      </c>
      <c r="Z39" s="49">
        <f>IF(OR($AE39&lt;&gt;1,Z$1=""),"",SUMIFS('All Donations'!$S$2:$S$4001,'All Donations'!$R$2:$R$4001,$AD39,'All Donations'!$T$2:$T$4001,Z$1))</f>
        <v/>
      </c>
      <c r="AA39" s="49">
        <f>IF(OR($AE39&lt;&gt;1,AA$1=""),"",SUMIFS('All Donations'!$S$2:$S$4001,'All Donations'!$R$2:$R$4001,$AD39,'All Donations'!$T$2:$T$4001,AA$1))</f>
        <v/>
      </c>
      <c r="AB39" s="49">
        <f>IF(OR($AE39&lt;&gt;1,AB$1=""),"",SUMIFS('All Donations'!$S$2:$S$4001,'All Donations'!$R$2:$R$4001,$AD39,'All Donations'!$T$2:$T$4001,AB$1))</f>
        <v/>
      </c>
      <c r="AC39" s="49">
        <f>IF(OR($AE39&lt;&gt;1,AC$1=""),"",SUMIFS('All Donations'!$S$2:$S$4001,'All Donations'!$R$2:$R$4001,$AD39,'All Donations'!$T$2:$T$4001,AC$1))</f>
        <v/>
      </c>
      <c r="AD39">
        <f>IF(AE39=1,'Roster'!A39,"")</f>
        <v/>
      </c>
      <c r="AE39">
        <f>IF(TRIM('Roster'!B39&amp;'Roster'!C39)&lt;&gt;"",1,0)</f>
        <v/>
      </c>
      <c r="AF39">
        <f>IF(AE39=1,LOWER(A39),"#")</f>
        <v/>
      </c>
      <c r="AG39">
        <f>IF(AE39=1,LOWER(TRIM(TRIM('Roster'!C39)&amp;", "&amp;TRIM('Roster'!B39))),"#")</f>
        <v/>
      </c>
      <c r="AH39">
        <f>IF(AND(AE39=1,TRIM('Roster'!F39)&lt;&gt;""),LOWER(TRIM('Roster'!F39)),"#")</f>
        <v/>
      </c>
      <c r="AI39">
        <f>IF(AE39=1,IF(MATCH(B39,$B$2:$B$701,0)=ROW()-1,1,0),0)</f>
        <v/>
      </c>
      <c r="AJ39">
        <f>AJ38+AI39</f>
        <v/>
      </c>
      <c r="AK39">
        <f>IF(AE39=1,D39+(1000-ROW())/10^7,-1)</f>
        <v/>
      </c>
      <c r="AL39">
        <f>IF(AE39=1,TRIM('Roster'!B39)&amp;" "&amp;LEFT(TRIM('Roster'!C39),1)&amp;".","")</f>
        <v/>
      </c>
      <c r="AM39">
        <f>IF(AE39=1,TRIM('Roster'!C39)&amp;", "&amp;TRIM('Roster'!B39)&amp;" ("&amp;B39&amp;") #"&amp;AD39,"")</f>
        <v/>
      </c>
      <c r="AN39">
        <f>IF(AE39=1,TRIM('Roster'!E39),"")</f>
        <v/>
      </c>
      <c r="AO39">
        <f>IF(AE39=1,ROUND(SUMIFS('All Donations'!$S$2:$S$4001,'All Donations'!$R$2:$R$4001,AD39,'All Donations'!$T$2:$T$4001,"&gt;="&amp;'Settings'!$C$23,'All Donations'!$T$2:$T$4001,"&lt;="&amp;'Settings'!$D$23),2),0)</f>
        <v/>
      </c>
      <c r="AQ39">
        <f>IF(AE39=1,ROUND(SUMIFS('All Donations'!$S$2:$S$4001,'All Donations'!$R$2:$R$4001,AD39,'All Donations'!$T$2:$T$4001,"&gt;="&amp;'Settings'!$C$25,'All Donations'!$T$2:$T$4001,"&lt;="&amp;'Settings'!$D$25),2),0)</f>
        <v/>
      </c>
      <c r="AR39">
        <f>IF(AE39=1,ROUND(SUMIFS('All Donations'!$S$2:$S$4001,'All Donations'!$R$2:$R$4001,AD39,'All Donations'!$T$2:$T$4001,"&gt;="&amp;'Settings'!$C$26,'All Donations'!$T$2:$T$4001,"&lt;="&amp;'Settings'!$D$26),2),0)</f>
        <v/>
      </c>
      <c r="AS39">
        <f>IF(AE39=1,ROUND(SUMIFS('All Donations'!$S$2:$S$4001,'All Donations'!$R$2:$R$4001,AD39,'All Donations'!$T$2:$T$4001,"&lt;="&amp;'Settings'!$D$27),2),0)</f>
        <v/>
      </c>
      <c r="AT39">
        <f>IF(AE39=1,ROUND(SUMIFS('All Donations'!$S$2:$S$4001,'All Donations'!$R$2:$R$4001,AD39,'All Donations'!$T$2:$T$4001,"&gt;="&amp;'Settings'!$C$28,'All Donations'!$T$2:$T$4001,"&lt;="&amp;'Settings'!$D$28),2),0)</f>
        <v/>
      </c>
      <c r="AU39">
        <f>IF(AE39=1,ROUND(SUMIFS('All Donations'!$S$2:$S$4001,'All Donations'!$R$2:$R$4001,AD39,'All Donations'!$T$2:$T$4001,"&gt;="&amp;'Settings'!$C$29,'All Donations'!$T$2:$T$4001,"&lt;="&amp;'Settings'!$D$29),2),0)</f>
        <v/>
      </c>
      <c r="AV39">
        <f>IF(AE39=1,ROUND(SUMIFS('All Donations'!$S$2:$S$4001,'All Donations'!$R$2:$R$4001,AD39,'All Donations'!$T$2:$T$4001,"&lt;="&amp;'Settings'!$D$30),2),0)</f>
        <v/>
      </c>
      <c r="AZ39">
        <f>IF(AE39=1,ROUND(SUMIFS('All Donations'!$S$2:$S$4001,'All Donations'!$R$2:$R$4001,AD39,'All Donations'!$T$2:$T$4001,"&lt;="&amp;'Settings'!$D$34),2),0)</f>
        <v/>
      </c>
    </row>
    <row r="40">
      <c r="A40">
        <f>IF(AE40=1,TRIM(TRIM('Roster'!B40)&amp;" "&amp;TRIM('Roster'!C40)),"")</f>
        <v/>
      </c>
      <c r="B40">
        <f>IF(AE40=1,IF(AN40="","(no teacher)",AN40&amp;" – "&amp;C40),"")</f>
        <v/>
      </c>
      <c r="C40">
        <f>IF(AE40=1,TRIM('Roster'!D40&amp;""),"")</f>
        <v/>
      </c>
      <c r="D40" s="48">
        <f>IF(AE40=1,ROUND(SUMIFS('All Donations'!$S$2:$S$4001,'All Donations'!$R$2:$R$4001,AD40),2),"")</f>
        <v/>
      </c>
      <c r="E40" s="48">
        <f>IF(AE40=1,ROUND(SUMIFS('All Donations'!$S$2:$S$4001,'All Donations'!$R$2:$R$4001,AD40,'All Donations'!$G$2:$G$4001,"OneCause"),2),"")</f>
        <v/>
      </c>
      <c r="F40" s="48">
        <f>IF(AE40=1,D40-E40,"")</f>
        <v/>
      </c>
      <c r="G40">
        <f>IF(AE40=1,COUNTIFS('All Donations'!$R$2:$R$4001,AD40,'All Donations'!$H$2:$H$4001,"OK"),"")</f>
        <v/>
      </c>
      <c r="H40">
        <f>IF(AE40&lt;&gt;1,"",IF(D40&gt;0,"Yes",""))</f>
        <v/>
      </c>
      <c r="I40" s="49">
        <f>IF(OR($AE40&lt;&gt;1,I$1=""),"",SUMIFS('All Donations'!$S$2:$S$4001,'All Donations'!$R$2:$R$4001,$AD40,'All Donations'!$T$2:$T$4001,I$1))</f>
        <v/>
      </c>
      <c r="J40" s="49">
        <f>IF(OR($AE40&lt;&gt;1,J$1=""),"",SUMIFS('All Donations'!$S$2:$S$4001,'All Donations'!$R$2:$R$4001,$AD40,'All Donations'!$T$2:$T$4001,J$1))</f>
        <v/>
      </c>
      <c r="K40" s="49">
        <f>IF(OR($AE40&lt;&gt;1,K$1=""),"",SUMIFS('All Donations'!$S$2:$S$4001,'All Donations'!$R$2:$R$4001,$AD40,'All Donations'!$T$2:$T$4001,K$1))</f>
        <v/>
      </c>
      <c r="L40" s="49">
        <f>IF(OR($AE40&lt;&gt;1,L$1=""),"",SUMIFS('All Donations'!$S$2:$S$4001,'All Donations'!$R$2:$R$4001,$AD40,'All Donations'!$T$2:$T$4001,L$1))</f>
        <v/>
      </c>
      <c r="M40" s="49">
        <f>IF(OR($AE40&lt;&gt;1,M$1=""),"",SUMIFS('All Donations'!$S$2:$S$4001,'All Donations'!$R$2:$R$4001,$AD40,'All Donations'!$T$2:$T$4001,M$1))</f>
        <v/>
      </c>
      <c r="N40" s="49">
        <f>IF(OR($AE40&lt;&gt;1,N$1=""),"",SUMIFS('All Donations'!$S$2:$S$4001,'All Donations'!$R$2:$R$4001,$AD40,'All Donations'!$T$2:$T$4001,N$1))</f>
        <v/>
      </c>
      <c r="O40" s="49">
        <f>IF(OR($AE40&lt;&gt;1,O$1=""),"",SUMIFS('All Donations'!$S$2:$S$4001,'All Donations'!$R$2:$R$4001,$AD40,'All Donations'!$T$2:$T$4001,O$1))</f>
        <v/>
      </c>
      <c r="P40" s="49">
        <f>IF(OR($AE40&lt;&gt;1,P$1=""),"",SUMIFS('All Donations'!$S$2:$S$4001,'All Donations'!$R$2:$R$4001,$AD40,'All Donations'!$T$2:$T$4001,P$1))</f>
        <v/>
      </c>
      <c r="Q40" s="49">
        <f>IF(OR($AE40&lt;&gt;1,Q$1=""),"",SUMIFS('All Donations'!$S$2:$S$4001,'All Donations'!$R$2:$R$4001,$AD40,'All Donations'!$T$2:$T$4001,Q$1))</f>
        <v/>
      </c>
      <c r="R40" s="49">
        <f>IF(OR($AE40&lt;&gt;1,R$1=""),"",SUMIFS('All Donations'!$S$2:$S$4001,'All Donations'!$R$2:$R$4001,$AD40,'All Donations'!$T$2:$T$4001,R$1))</f>
        <v/>
      </c>
      <c r="S40" s="49">
        <f>IF(OR($AE40&lt;&gt;1,S$1=""),"",SUMIFS('All Donations'!$S$2:$S$4001,'All Donations'!$R$2:$R$4001,$AD40,'All Donations'!$T$2:$T$4001,S$1))</f>
        <v/>
      </c>
      <c r="T40" s="49">
        <f>IF(OR($AE40&lt;&gt;1,T$1=""),"",SUMIFS('All Donations'!$S$2:$S$4001,'All Donations'!$R$2:$R$4001,$AD40,'All Donations'!$T$2:$T$4001,T$1))</f>
        <v/>
      </c>
      <c r="U40" s="49">
        <f>IF(OR($AE40&lt;&gt;1,U$1=""),"",SUMIFS('All Donations'!$S$2:$S$4001,'All Donations'!$R$2:$R$4001,$AD40,'All Donations'!$T$2:$T$4001,U$1))</f>
        <v/>
      </c>
      <c r="V40" s="49">
        <f>IF(OR($AE40&lt;&gt;1,V$1=""),"",SUMIFS('All Donations'!$S$2:$S$4001,'All Donations'!$R$2:$R$4001,$AD40,'All Donations'!$T$2:$T$4001,V$1))</f>
        <v/>
      </c>
      <c r="W40" s="49">
        <f>IF(OR($AE40&lt;&gt;1,W$1=""),"",SUMIFS('All Donations'!$S$2:$S$4001,'All Donations'!$R$2:$R$4001,$AD40,'All Donations'!$T$2:$T$4001,W$1))</f>
        <v/>
      </c>
      <c r="X40" s="49">
        <f>IF(OR($AE40&lt;&gt;1,X$1=""),"",SUMIFS('All Donations'!$S$2:$S$4001,'All Donations'!$R$2:$R$4001,$AD40,'All Donations'!$T$2:$T$4001,X$1))</f>
        <v/>
      </c>
      <c r="Y40" s="49">
        <f>IF(OR($AE40&lt;&gt;1,Y$1=""),"",SUMIFS('All Donations'!$S$2:$S$4001,'All Donations'!$R$2:$R$4001,$AD40,'All Donations'!$T$2:$T$4001,Y$1))</f>
        <v/>
      </c>
      <c r="Z40" s="49">
        <f>IF(OR($AE40&lt;&gt;1,Z$1=""),"",SUMIFS('All Donations'!$S$2:$S$4001,'All Donations'!$R$2:$R$4001,$AD40,'All Donations'!$T$2:$T$4001,Z$1))</f>
        <v/>
      </c>
      <c r="AA40" s="49">
        <f>IF(OR($AE40&lt;&gt;1,AA$1=""),"",SUMIFS('All Donations'!$S$2:$S$4001,'All Donations'!$R$2:$R$4001,$AD40,'All Donations'!$T$2:$T$4001,AA$1))</f>
        <v/>
      </c>
      <c r="AB40" s="49">
        <f>IF(OR($AE40&lt;&gt;1,AB$1=""),"",SUMIFS('All Donations'!$S$2:$S$4001,'All Donations'!$R$2:$R$4001,$AD40,'All Donations'!$T$2:$T$4001,AB$1))</f>
        <v/>
      </c>
      <c r="AC40" s="49">
        <f>IF(OR($AE40&lt;&gt;1,AC$1=""),"",SUMIFS('All Donations'!$S$2:$S$4001,'All Donations'!$R$2:$R$4001,$AD40,'All Donations'!$T$2:$T$4001,AC$1))</f>
        <v/>
      </c>
      <c r="AD40">
        <f>IF(AE40=1,'Roster'!A40,"")</f>
        <v/>
      </c>
      <c r="AE40">
        <f>IF(TRIM('Roster'!B40&amp;'Roster'!C40)&lt;&gt;"",1,0)</f>
        <v/>
      </c>
      <c r="AF40">
        <f>IF(AE40=1,LOWER(A40),"#")</f>
        <v/>
      </c>
      <c r="AG40">
        <f>IF(AE40=1,LOWER(TRIM(TRIM('Roster'!C40)&amp;", "&amp;TRIM('Roster'!B40))),"#")</f>
        <v/>
      </c>
      <c r="AH40">
        <f>IF(AND(AE40=1,TRIM('Roster'!F40)&lt;&gt;""),LOWER(TRIM('Roster'!F40)),"#")</f>
        <v/>
      </c>
      <c r="AI40">
        <f>IF(AE40=1,IF(MATCH(B40,$B$2:$B$701,0)=ROW()-1,1,0),0)</f>
        <v/>
      </c>
      <c r="AJ40">
        <f>AJ39+AI40</f>
        <v/>
      </c>
      <c r="AK40">
        <f>IF(AE40=1,D40+(1000-ROW())/10^7,-1)</f>
        <v/>
      </c>
      <c r="AL40">
        <f>IF(AE40=1,TRIM('Roster'!B40)&amp;" "&amp;LEFT(TRIM('Roster'!C40),1)&amp;".","")</f>
        <v/>
      </c>
      <c r="AM40">
        <f>IF(AE40=1,TRIM('Roster'!C40)&amp;", "&amp;TRIM('Roster'!B40)&amp;" ("&amp;B40&amp;") #"&amp;AD40,"")</f>
        <v/>
      </c>
      <c r="AN40">
        <f>IF(AE40=1,TRIM('Roster'!E40),"")</f>
        <v/>
      </c>
      <c r="AO40">
        <f>IF(AE40=1,ROUND(SUMIFS('All Donations'!$S$2:$S$4001,'All Donations'!$R$2:$R$4001,AD40,'All Donations'!$T$2:$T$4001,"&gt;="&amp;'Settings'!$C$23,'All Donations'!$T$2:$T$4001,"&lt;="&amp;'Settings'!$D$23),2),0)</f>
        <v/>
      </c>
      <c r="AQ40">
        <f>IF(AE40=1,ROUND(SUMIFS('All Donations'!$S$2:$S$4001,'All Donations'!$R$2:$R$4001,AD40,'All Donations'!$T$2:$T$4001,"&gt;="&amp;'Settings'!$C$25,'All Donations'!$T$2:$T$4001,"&lt;="&amp;'Settings'!$D$25),2),0)</f>
        <v/>
      </c>
      <c r="AR40">
        <f>IF(AE40=1,ROUND(SUMIFS('All Donations'!$S$2:$S$4001,'All Donations'!$R$2:$R$4001,AD40,'All Donations'!$T$2:$T$4001,"&gt;="&amp;'Settings'!$C$26,'All Donations'!$T$2:$T$4001,"&lt;="&amp;'Settings'!$D$26),2),0)</f>
        <v/>
      </c>
      <c r="AS40">
        <f>IF(AE40=1,ROUND(SUMIFS('All Donations'!$S$2:$S$4001,'All Donations'!$R$2:$R$4001,AD40,'All Donations'!$T$2:$T$4001,"&lt;="&amp;'Settings'!$D$27),2),0)</f>
        <v/>
      </c>
      <c r="AT40">
        <f>IF(AE40=1,ROUND(SUMIFS('All Donations'!$S$2:$S$4001,'All Donations'!$R$2:$R$4001,AD40,'All Donations'!$T$2:$T$4001,"&gt;="&amp;'Settings'!$C$28,'All Donations'!$T$2:$T$4001,"&lt;="&amp;'Settings'!$D$28),2),0)</f>
        <v/>
      </c>
      <c r="AU40">
        <f>IF(AE40=1,ROUND(SUMIFS('All Donations'!$S$2:$S$4001,'All Donations'!$R$2:$R$4001,AD40,'All Donations'!$T$2:$T$4001,"&gt;="&amp;'Settings'!$C$29,'All Donations'!$T$2:$T$4001,"&lt;="&amp;'Settings'!$D$29),2),0)</f>
        <v/>
      </c>
      <c r="AV40">
        <f>IF(AE40=1,ROUND(SUMIFS('All Donations'!$S$2:$S$4001,'All Donations'!$R$2:$R$4001,AD40,'All Donations'!$T$2:$T$4001,"&lt;="&amp;'Settings'!$D$30),2),0)</f>
        <v/>
      </c>
      <c r="AZ40">
        <f>IF(AE40=1,ROUND(SUMIFS('All Donations'!$S$2:$S$4001,'All Donations'!$R$2:$R$4001,AD40,'All Donations'!$T$2:$T$4001,"&lt;="&amp;'Settings'!$D$34),2),0)</f>
        <v/>
      </c>
    </row>
    <row r="41">
      <c r="A41">
        <f>IF(AE41=1,TRIM(TRIM('Roster'!B41)&amp;" "&amp;TRIM('Roster'!C41)),"")</f>
        <v/>
      </c>
      <c r="B41">
        <f>IF(AE41=1,IF(AN41="","(no teacher)",AN41&amp;" – "&amp;C41),"")</f>
        <v/>
      </c>
      <c r="C41">
        <f>IF(AE41=1,TRIM('Roster'!D41&amp;""),"")</f>
        <v/>
      </c>
      <c r="D41" s="48">
        <f>IF(AE41=1,ROUND(SUMIFS('All Donations'!$S$2:$S$4001,'All Donations'!$R$2:$R$4001,AD41),2),"")</f>
        <v/>
      </c>
      <c r="E41" s="48">
        <f>IF(AE41=1,ROUND(SUMIFS('All Donations'!$S$2:$S$4001,'All Donations'!$R$2:$R$4001,AD41,'All Donations'!$G$2:$G$4001,"OneCause"),2),"")</f>
        <v/>
      </c>
      <c r="F41" s="48">
        <f>IF(AE41=1,D41-E41,"")</f>
        <v/>
      </c>
      <c r="G41">
        <f>IF(AE41=1,COUNTIFS('All Donations'!$R$2:$R$4001,AD41,'All Donations'!$H$2:$H$4001,"OK"),"")</f>
        <v/>
      </c>
      <c r="H41">
        <f>IF(AE41&lt;&gt;1,"",IF(D41&gt;0,"Yes",""))</f>
        <v/>
      </c>
      <c r="I41" s="49">
        <f>IF(OR($AE41&lt;&gt;1,I$1=""),"",SUMIFS('All Donations'!$S$2:$S$4001,'All Donations'!$R$2:$R$4001,$AD41,'All Donations'!$T$2:$T$4001,I$1))</f>
        <v/>
      </c>
      <c r="J41" s="49">
        <f>IF(OR($AE41&lt;&gt;1,J$1=""),"",SUMIFS('All Donations'!$S$2:$S$4001,'All Donations'!$R$2:$R$4001,$AD41,'All Donations'!$T$2:$T$4001,J$1))</f>
        <v/>
      </c>
      <c r="K41" s="49">
        <f>IF(OR($AE41&lt;&gt;1,K$1=""),"",SUMIFS('All Donations'!$S$2:$S$4001,'All Donations'!$R$2:$R$4001,$AD41,'All Donations'!$T$2:$T$4001,K$1))</f>
        <v/>
      </c>
      <c r="L41" s="49">
        <f>IF(OR($AE41&lt;&gt;1,L$1=""),"",SUMIFS('All Donations'!$S$2:$S$4001,'All Donations'!$R$2:$R$4001,$AD41,'All Donations'!$T$2:$T$4001,L$1))</f>
        <v/>
      </c>
      <c r="M41" s="49">
        <f>IF(OR($AE41&lt;&gt;1,M$1=""),"",SUMIFS('All Donations'!$S$2:$S$4001,'All Donations'!$R$2:$R$4001,$AD41,'All Donations'!$T$2:$T$4001,M$1))</f>
        <v/>
      </c>
      <c r="N41" s="49">
        <f>IF(OR($AE41&lt;&gt;1,N$1=""),"",SUMIFS('All Donations'!$S$2:$S$4001,'All Donations'!$R$2:$R$4001,$AD41,'All Donations'!$T$2:$T$4001,N$1))</f>
        <v/>
      </c>
      <c r="O41" s="49">
        <f>IF(OR($AE41&lt;&gt;1,O$1=""),"",SUMIFS('All Donations'!$S$2:$S$4001,'All Donations'!$R$2:$R$4001,$AD41,'All Donations'!$T$2:$T$4001,O$1))</f>
        <v/>
      </c>
      <c r="P41" s="49">
        <f>IF(OR($AE41&lt;&gt;1,P$1=""),"",SUMIFS('All Donations'!$S$2:$S$4001,'All Donations'!$R$2:$R$4001,$AD41,'All Donations'!$T$2:$T$4001,P$1))</f>
        <v/>
      </c>
      <c r="Q41" s="49">
        <f>IF(OR($AE41&lt;&gt;1,Q$1=""),"",SUMIFS('All Donations'!$S$2:$S$4001,'All Donations'!$R$2:$R$4001,$AD41,'All Donations'!$T$2:$T$4001,Q$1))</f>
        <v/>
      </c>
      <c r="R41" s="49">
        <f>IF(OR($AE41&lt;&gt;1,R$1=""),"",SUMIFS('All Donations'!$S$2:$S$4001,'All Donations'!$R$2:$R$4001,$AD41,'All Donations'!$T$2:$T$4001,R$1))</f>
        <v/>
      </c>
      <c r="S41" s="49">
        <f>IF(OR($AE41&lt;&gt;1,S$1=""),"",SUMIFS('All Donations'!$S$2:$S$4001,'All Donations'!$R$2:$R$4001,$AD41,'All Donations'!$T$2:$T$4001,S$1))</f>
        <v/>
      </c>
      <c r="T41" s="49">
        <f>IF(OR($AE41&lt;&gt;1,T$1=""),"",SUMIFS('All Donations'!$S$2:$S$4001,'All Donations'!$R$2:$R$4001,$AD41,'All Donations'!$T$2:$T$4001,T$1))</f>
        <v/>
      </c>
      <c r="U41" s="49">
        <f>IF(OR($AE41&lt;&gt;1,U$1=""),"",SUMIFS('All Donations'!$S$2:$S$4001,'All Donations'!$R$2:$R$4001,$AD41,'All Donations'!$T$2:$T$4001,U$1))</f>
        <v/>
      </c>
      <c r="V41" s="49">
        <f>IF(OR($AE41&lt;&gt;1,V$1=""),"",SUMIFS('All Donations'!$S$2:$S$4001,'All Donations'!$R$2:$R$4001,$AD41,'All Donations'!$T$2:$T$4001,V$1))</f>
        <v/>
      </c>
      <c r="W41" s="49">
        <f>IF(OR($AE41&lt;&gt;1,W$1=""),"",SUMIFS('All Donations'!$S$2:$S$4001,'All Donations'!$R$2:$R$4001,$AD41,'All Donations'!$T$2:$T$4001,W$1))</f>
        <v/>
      </c>
      <c r="X41" s="49">
        <f>IF(OR($AE41&lt;&gt;1,X$1=""),"",SUMIFS('All Donations'!$S$2:$S$4001,'All Donations'!$R$2:$R$4001,$AD41,'All Donations'!$T$2:$T$4001,X$1))</f>
        <v/>
      </c>
      <c r="Y41" s="49">
        <f>IF(OR($AE41&lt;&gt;1,Y$1=""),"",SUMIFS('All Donations'!$S$2:$S$4001,'All Donations'!$R$2:$R$4001,$AD41,'All Donations'!$T$2:$T$4001,Y$1))</f>
        <v/>
      </c>
      <c r="Z41" s="49">
        <f>IF(OR($AE41&lt;&gt;1,Z$1=""),"",SUMIFS('All Donations'!$S$2:$S$4001,'All Donations'!$R$2:$R$4001,$AD41,'All Donations'!$T$2:$T$4001,Z$1))</f>
        <v/>
      </c>
      <c r="AA41" s="49">
        <f>IF(OR($AE41&lt;&gt;1,AA$1=""),"",SUMIFS('All Donations'!$S$2:$S$4001,'All Donations'!$R$2:$R$4001,$AD41,'All Donations'!$T$2:$T$4001,AA$1))</f>
        <v/>
      </c>
      <c r="AB41" s="49">
        <f>IF(OR($AE41&lt;&gt;1,AB$1=""),"",SUMIFS('All Donations'!$S$2:$S$4001,'All Donations'!$R$2:$R$4001,$AD41,'All Donations'!$T$2:$T$4001,AB$1))</f>
        <v/>
      </c>
      <c r="AC41" s="49">
        <f>IF(OR($AE41&lt;&gt;1,AC$1=""),"",SUMIFS('All Donations'!$S$2:$S$4001,'All Donations'!$R$2:$R$4001,$AD41,'All Donations'!$T$2:$T$4001,AC$1))</f>
        <v/>
      </c>
      <c r="AD41">
        <f>IF(AE41=1,'Roster'!A41,"")</f>
        <v/>
      </c>
      <c r="AE41">
        <f>IF(TRIM('Roster'!B41&amp;'Roster'!C41)&lt;&gt;"",1,0)</f>
        <v/>
      </c>
      <c r="AF41">
        <f>IF(AE41=1,LOWER(A41),"#")</f>
        <v/>
      </c>
      <c r="AG41">
        <f>IF(AE41=1,LOWER(TRIM(TRIM('Roster'!C41)&amp;", "&amp;TRIM('Roster'!B41))),"#")</f>
        <v/>
      </c>
      <c r="AH41">
        <f>IF(AND(AE41=1,TRIM('Roster'!F41)&lt;&gt;""),LOWER(TRIM('Roster'!F41)),"#")</f>
        <v/>
      </c>
      <c r="AI41">
        <f>IF(AE41=1,IF(MATCH(B41,$B$2:$B$701,0)=ROW()-1,1,0),0)</f>
        <v/>
      </c>
      <c r="AJ41">
        <f>AJ40+AI41</f>
        <v/>
      </c>
      <c r="AK41">
        <f>IF(AE41=1,D41+(1000-ROW())/10^7,-1)</f>
        <v/>
      </c>
      <c r="AL41">
        <f>IF(AE41=1,TRIM('Roster'!B41)&amp;" "&amp;LEFT(TRIM('Roster'!C41),1)&amp;".","")</f>
        <v/>
      </c>
      <c r="AM41">
        <f>IF(AE41=1,TRIM('Roster'!C41)&amp;", "&amp;TRIM('Roster'!B41)&amp;" ("&amp;B41&amp;") #"&amp;AD41,"")</f>
        <v/>
      </c>
      <c r="AN41">
        <f>IF(AE41=1,TRIM('Roster'!E41),"")</f>
        <v/>
      </c>
      <c r="AO41">
        <f>IF(AE41=1,ROUND(SUMIFS('All Donations'!$S$2:$S$4001,'All Donations'!$R$2:$R$4001,AD41,'All Donations'!$T$2:$T$4001,"&gt;="&amp;'Settings'!$C$23,'All Donations'!$T$2:$T$4001,"&lt;="&amp;'Settings'!$D$23),2),0)</f>
        <v/>
      </c>
      <c r="AQ41">
        <f>IF(AE41=1,ROUND(SUMIFS('All Donations'!$S$2:$S$4001,'All Donations'!$R$2:$R$4001,AD41,'All Donations'!$T$2:$T$4001,"&gt;="&amp;'Settings'!$C$25,'All Donations'!$T$2:$T$4001,"&lt;="&amp;'Settings'!$D$25),2),0)</f>
        <v/>
      </c>
      <c r="AR41">
        <f>IF(AE41=1,ROUND(SUMIFS('All Donations'!$S$2:$S$4001,'All Donations'!$R$2:$R$4001,AD41,'All Donations'!$T$2:$T$4001,"&gt;="&amp;'Settings'!$C$26,'All Donations'!$T$2:$T$4001,"&lt;="&amp;'Settings'!$D$26),2),0)</f>
        <v/>
      </c>
      <c r="AS41">
        <f>IF(AE41=1,ROUND(SUMIFS('All Donations'!$S$2:$S$4001,'All Donations'!$R$2:$R$4001,AD41,'All Donations'!$T$2:$T$4001,"&lt;="&amp;'Settings'!$D$27),2),0)</f>
        <v/>
      </c>
      <c r="AT41">
        <f>IF(AE41=1,ROUND(SUMIFS('All Donations'!$S$2:$S$4001,'All Donations'!$R$2:$R$4001,AD41,'All Donations'!$T$2:$T$4001,"&gt;="&amp;'Settings'!$C$28,'All Donations'!$T$2:$T$4001,"&lt;="&amp;'Settings'!$D$28),2),0)</f>
        <v/>
      </c>
      <c r="AU41">
        <f>IF(AE41=1,ROUND(SUMIFS('All Donations'!$S$2:$S$4001,'All Donations'!$R$2:$R$4001,AD41,'All Donations'!$T$2:$T$4001,"&gt;="&amp;'Settings'!$C$29,'All Donations'!$T$2:$T$4001,"&lt;="&amp;'Settings'!$D$29),2),0)</f>
        <v/>
      </c>
      <c r="AV41">
        <f>IF(AE41=1,ROUND(SUMIFS('All Donations'!$S$2:$S$4001,'All Donations'!$R$2:$R$4001,AD41,'All Donations'!$T$2:$T$4001,"&lt;="&amp;'Settings'!$D$30),2),0)</f>
        <v/>
      </c>
      <c r="AZ41">
        <f>IF(AE41=1,ROUND(SUMIFS('All Donations'!$S$2:$S$4001,'All Donations'!$R$2:$R$4001,AD41,'All Donations'!$T$2:$T$4001,"&lt;="&amp;'Settings'!$D$34),2),0)</f>
        <v/>
      </c>
    </row>
    <row r="42">
      <c r="A42">
        <f>IF(AE42=1,TRIM(TRIM('Roster'!B42)&amp;" "&amp;TRIM('Roster'!C42)),"")</f>
        <v/>
      </c>
      <c r="B42">
        <f>IF(AE42=1,IF(AN42="","(no teacher)",AN42&amp;" – "&amp;C42),"")</f>
        <v/>
      </c>
      <c r="C42">
        <f>IF(AE42=1,TRIM('Roster'!D42&amp;""),"")</f>
        <v/>
      </c>
      <c r="D42" s="48">
        <f>IF(AE42=1,ROUND(SUMIFS('All Donations'!$S$2:$S$4001,'All Donations'!$R$2:$R$4001,AD42),2),"")</f>
        <v/>
      </c>
      <c r="E42" s="48">
        <f>IF(AE42=1,ROUND(SUMIFS('All Donations'!$S$2:$S$4001,'All Donations'!$R$2:$R$4001,AD42,'All Donations'!$G$2:$G$4001,"OneCause"),2),"")</f>
        <v/>
      </c>
      <c r="F42" s="48">
        <f>IF(AE42=1,D42-E42,"")</f>
        <v/>
      </c>
      <c r="G42">
        <f>IF(AE42=1,COUNTIFS('All Donations'!$R$2:$R$4001,AD42,'All Donations'!$H$2:$H$4001,"OK"),"")</f>
        <v/>
      </c>
      <c r="H42">
        <f>IF(AE42&lt;&gt;1,"",IF(D42&gt;0,"Yes",""))</f>
        <v/>
      </c>
      <c r="I42" s="49">
        <f>IF(OR($AE42&lt;&gt;1,I$1=""),"",SUMIFS('All Donations'!$S$2:$S$4001,'All Donations'!$R$2:$R$4001,$AD42,'All Donations'!$T$2:$T$4001,I$1))</f>
        <v/>
      </c>
      <c r="J42" s="49">
        <f>IF(OR($AE42&lt;&gt;1,J$1=""),"",SUMIFS('All Donations'!$S$2:$S$4001,'All Donations'!$R$2:$R$4001,$AD42,'All Donations'!$T$2:$T$4001,J$1))</f>
        <v/>
      </c>
      <c r="K42" s="49">
        <f>IF(OR($AE42&lt;&gt;1,K$1=""),"",SUMIFS('All Donations'!$S$2:$S$4001,'All Donations'!$R$2:$R$4001,$AD42,'All Donations'!$T$2:$T$4001,K$1))</f>
        <v/>
      </c>
      <c r="L42" s="49">
        <f>IF(OR($AE42&lt;&gt;1,L$1=""),"",SUMIFS('All Donations'!$S$2:$S$4001,'All Donations'!$R$2:$R$4001,$AD42,'All Donations'!$T$2:$T$4001,L$1))</f>
        <v/>
      </c>
      <c r="M42" s="49">
        <f>IF(OR($AE42&lt;&gt;1,M$1=""),"",SUMIFS('All Donations'!$S$2:$S$4001,'All Donations'!$R$2:$R$4001,$AD42,'All Donations'!$T$2:$T$4001,M$1))</f>
        <v/>
      </c>
      <c r="N42" s="49">
        <f>IF(OR($AE42&lt;&gt;1,N$1=""),"",SUMIFS('All Donations'!$S$2:$S$4001,'All Donations'!$R$2:$R$4001,$AD42,'All Donations'!$T$2:$T$4001,N$1))</f>
        <v/>
      </c>
      <c r="O42" s="49">
        <f>IF(OR($AE42&lt;&gt;1,O$1=""),"",SUMIFS('All Donations'!$S$2:$S$4001,'All Donations'!$R$2:$R$4001,$AD42,'All Donations'!$T$2:$T$4001,O$1))</f>
        <v/>
      </c>
      <c r="P42" s="49">
        <f>IF(OR($AE42&lt;&gt;1,P$1=""),"",SUMIFS('All Donations'!$S$2:$S$4001,'All Donations'!$R$2:$R$4001,$AD42,'All Donations'!$T$2:$T$4001,P$1))</f>
        <v/>
      </c>
      <c r="Q42" s="49">
        <f>IF(OR($AE42&lt;&gt;1,Q$1=""),"",SUMIFS('All Donations'!$S$2:$S$4001,'All Donations'!$R$2:$R$4001,$AD42,'All Donations'!$T$2:$T$4001,Q$1))</f>
        <v/>
      </c>
      <c r="R42" s="49">
        <f>IF(OR($AE42&lt;&gt;1,R$1=""),"",SUMIFS('All Donations'!$S$2:$S$4001,'All Donations'!$R$2:$R$4001,$AD42,'All Donations'!$T$2:$T$4001,R$1))</f>
        <v/>
      </c>
      <c r="S42" s="49">
        <f>IF(OR($AE42&lt;&gt;1,S$1=""),"",SUMIFS('All Donations'!$S$2:$S$4001,'All Donations'!$R$2:$R$4001,$AD42,'All Donations'!$T$2:$T$4001,S$1))</f>
        <v/>
      </c>
      <c r="T42" s="49">
        <f>IF(OR($AE42&lt;&gt;1,T$1=""),"",SUMIFS('All Donations'!$S$2:$S$4001,'All Donations'!$R$2:$R$4001,$AD42,'All Donations'!$T$2:$T$4001,T$1))</f>
        <v/>
      </c>
      <c r="U42" s="49">
        <f>IF(OR($AE42&lt;&gt;1,U$1=""),"",SUMIFS('All Donations'!$S$2:$S$4001,'All Donations'!$R$2:$R$4001,$AD42,'All Donations'!$T$2:$T$4001,U$1))</f>
        <v/>
      </c>
      <c r="V42" s="49">
        <f>IF(OR($AE42&lt;&gt;1,V$1=""),"",SUMIFS('All Donations'!$S$2:$S$4001,'All Donations'!$R$2:$R$4001,$AD42,'All Donations'!$T$2:$T$4001,V$1))</f>
        <v/>
      </c>
      <c r="W42" s="49">
        <f>IF(OR($AE42&lt;&gt;1,W$1=""),"",SUMIFS('All Donations'!$S$2:$S$4001,'All Donations'!$R$2:$R$4001,$AD42,'All Donations'!$T$2:$T$4001,W$1))</f>
        <v/>
      </c>
      <c r="X42" s="49">
        <f>IF(OR($AE42&lt;&gt;1,X$1=""),"",SUMIFS('All Donations'!$S$2:$S$4001,'All Donations'!$R$2:$R$4001,$AD42,'All Donations'!$T$2:$T$4001,X$1))</f>
        <v/>
      </c>
      <c r="Y42" s="49">
        <f>IF(OR($AE42&lt;&gt;1,Y$1=""),"",SUMIFS('All Donations'!$S$2:$S$4001,'All Donations'!$R$2:$R$4001,$AD42,'All Donations'!$T$2:$T$4001,Y$1))</f>
        <v/>
      </c>
      <c r="Z42" s="49">
        <f>IF(OR($AE42&lt;&gt;1,Z$1=""),"",SUMIFS('All Donations'!$S$2:$S$4001,'All Donations'!$R$2:$R$4001,$AD42,'All Donations'!$T$2:$T$4001,Z$1))</f>
        <v/>
      </c>
      <c r="AA42" s="49">
        <f>IF(OR($AE42&lt;&gt;1,AA$1=""),"",SUMIFS('All Donations'!$S$2:$S$4001,'All Donations'!$R$2:$R$4001,$AD42,'All Donations'!$T$2:$T$4001,AA$1))</f>
        <v/>
      </c>
      <c r="AB42" s="49">
        <f>IF(OR($AE42&lt;&gt;1,AB$1=""),"",SUMIFS('All Donations'!$S$2:$S$4001,'All Donations'!$R$2:$R$4001,$AD42,'All Donations'!$T$2:$T$4001,AB$1))</f>
        <v/>
      </c>
      <c r="AC42" s="49">
        <f>IF(OR($AE42&lt;&gt;1,AC$1=""),"",SUMIFS('All Donations'!$S$2:$S$4001,'All Donations'!$R$2:$R$4001,$AD42,'All Donations'!$T$2:$T$4001,AC$1))</f>
        <v/>
      </c>
      <c r="AD42">
        <f>IF(AE42=1,'Roster'!A42,"")</f>
        <v/>
      </c>
      <c r="AE42">
        <f>IF(TRIM('Roster'!B42&amp;'Roster'!C42)&lt;&gt;"",1,0)</f>
        <v/>
      </c>
      <c r="AF42">
        <f>IF(AE42=1,LOWER(A42),"#")</f>
        <v/>
      </c>
      <c r="AG42">
        <f>IF(AE42=1,LOWER(TRIM(TRIM('Roster'!C42)&amp;", "&amp;TRIM('Roster'!B42))),"#")</f>
        <v/>
      </c>
      <c r="AH42">
        <f>IF(AND(AE42=1,TRIM('Roster'!F42)&lt;&gt;""),LOWER(TRIM('Roster'!F42)),"#")</f>
        <v/>
      </c>
      <c r="AI42">
        <f>IF(AE42=1,IF(MATCH(B42,$B$2:$B$701,0)=ROW()-1,1,0),0)</f>
        <v/>
      </c>
      <c r="AJ42">
        <f>AJ41+AI42</f>
        <v/>
      </c>
      <c r="AK42">
        <f>IF(AE42=1,D42+(1000-ROW())/10^7,-1)</f>
        <v/>
      </c>
      <c r="AL42">
        <f>IF(AE42=1,TRIM('Roster'!B42)&amp;" "&amp;LEFT(TRIM('Roster'!C42),1)&amp;".","")</f>
        <v/>
      </c>
      <c r="AM42">
        <f>IF(AE42=1,TRIM('Roster'!C42)&amp;", "&amp;TRIM('Roster'!B42)&amp;" ("&amp;B42&amp;") #"&amp;AD42,"")</f>
        <v/>
      </c>
      <c r="AN42">
        <f>IF(AE42=1,TRIM('Roster'!E42),"")</f>
        <v/>
      </c>
      <c r="AO42">
        <f>IF(AE42=1,ROUND(SUMIFS('All Donations'!$S$2:$S$4001,'All Donations'!$R$2:$R$4001,AD42,'All Donations'!$T$2:$T$4001,"&gt;="&amp;'Settings'!$C$23,'All Donations'!$T$2:$T$4001,"&lt;="&amp;'Settings'!$D$23),2),0)</f>
        <v/>
      </c>
      <c r="AQ42">
        <f>IF(AE42=1,ROUND(SUMIFS('All Donations'!$S$2:$S$4001,'All Donations'!$R$2:$R$4001,AD42,'All Donations'!$T$2:$T$4001,"&gt;="&amp;'Settings'!$C$25,'All Donations'!$T$2:$T$4001,"&lt;="&amp;'Settings'!$D$25),2),0)</f>
        <v/>
      </c>
      <c r="AR42">
        <f>IF(AE42=1,ROUND(SUMIFS('All Donations'!$S$2:$S$4001,'All Donations'!$R$2:$R$4001,AD42,'All Donations'!$T$2:$T$4001,"&gt;="&amp;'Settings'!$C$26,'All Donations'!$T$2:$T$4001,"&lt;="&amp;'Settings'!$D$26),2),0)</f>
        <v/>
      </c>
      <c r="AS42">
        <f>IF(AE42=1,ROUND(SUMIFS('All Donations'!$S$2:$S$4001,'All Donations'!$R$2:$R$4001,AD42,'All Donations'!$T$2:$T$4001,"&lt;="&amp;'Settings'!$D$27),2),0)</f>
        <v/>
      </c>
      <c r="AT42">
        <f>IF(AE42=1,ROUND(SUMIFS('All Donations'!$S$2:$S$4001,'All Donations'!$R$2:$R$4001,AD42,'All Donations'!$T$2:$T$4001,"&gt;="&amp;'Settings'!$C$28,'All Donations'!$T$2:$T$4001,"&lt;="&amp;'Settings'!$D$28),2),0)</f>
        <v/>
      </c>
      <c r="AU42">
        <f>IF(AE42=1,ROUND(SUMIFS('All Donations'!$S$2:$S$4001,'All Donations'!$R$2:$R$4001,AD42,'All Donations'!$T$2:$T$4001,"&gt;="&amp;'Settings'!$C$29,'All Donations'!$T$2:$T$4001,"&lt;="&amp;'Settings'!$D$29),2),0)</f>
        <v/>
      </c>
      <c r="AV42">
        <f>IF(AE42=1,ROUND(SUMIFS('All Donations'!$S$2:$S$4001,'All Donations'!$R$2:$R$4001,AD42,'All Donations'!$T$2:$T$4001,"&lt;="&amp;'Settings'!$D$30),2),0)</f>
        <v/>
      </c>
      <c r="AZ42">
        <f>IF(AE42=1,ROUND(SUMIFS('All Donations'!$S$2:$S$4001,'All Donations'!$R$2:$R$4001,AD42,'All Donations'!$T$2:$T$4001,"&lt;="&amp;'Settings'!$D$34),2),0)</f>
        <v/>
      </c>
    </row>
    <row r="43">
      <c r="A43">
        <f>IF(AE43=1,TRIM(TRIM('Roster'!B43)&amp;" "&amp;TRIM('Roster'!C43)),"")</f>
        <v/>
      </c>
      <c r="B43">
        <f>IF(AE43=1,IF(AN43="","(no teacher)",AN43&amp;" – "&amp;C43),"")</f>
        <v/>
      </c>
      <c r="C43">
        <f>IF(AE43=1,TRIM('Roster'!D43&amp;""),"")</f>
        <v/>
      </c>
      <c r="D43" s="48">
        <f>IF(AE43=1,ROUND(SUMIFS('All Donations'!$S$2:$S$4001,'All Donations'!$R$2:$R$4001,AD43),2),"")</f>
        <v/>
      </c>
      <c r="E43" s="48">
        <f>IF(AE43=1,ROUND(SUMIFS('All Donations'!$S$2:$S$4001,'All Donations'!$R$2:$R$4001,AD43,'All Donations'!$G$2:$G$4001,"OneCause"),2),"")</f>
        <v/>
      </c>
      <c r="F43" s="48">
        <f>IF(AE43=1,D43-E43,"")</f>
        <v/>
      </c>
      <c r="G43">
        <f>IF(AE43=1,COUNTIFS('All Donations'!$R$2:$R$4001,AD43,'All Donations'!$H$2:$H$4001,"OK"),"")</f>
        <v/>
      </c>
      <c r="H43">
        <f>IF(AE43&lt;&gt;1,"",IF(D43&gt;0,"Yes",""))</f>
        <v/>
      </c>
      <c r="I43" s="49">
        <f>IF(OR($AE43&lt;&gt;1,I$1=""),"",SUMIFS('All Donations'!$S$2:$S$4001,'All Donations'!$R$2:$R$4001,$AD43,'All Donations'!$T$2:$T$4001,I$1))</f>
        <v/>
      </c>
      <c r="J43" s="49">
        <f>IF(OR($AE43&lt;&gt;1,J$1=""),"",SUMIFS('All Donations'!$S$2:$S$4001,'All Donations'!$R$2:$R$4001,$AD43,'All Donations'!$T$2:$T$4001,J$1))</f>
        <v/>
      </c>
      <c r="K43" s="49">
        <f>IF(OR($AE43&lt;&gt;1,K$1=""),"",SUMIFS('All Donations'!$S$2:$S$4001,'All Donations'!$R$2:$R$4001,$AD43,'All Donations'!$T$2:$T$4001,K$1))</f>
        <v/>
      </c>
      <c r="L43" s="49">
        <f>IF(OR($AE43&lt;&gt;1,L$1=""),"",SUMIFS('All Donations'!$S$2:$S$4001,'All Donations'!$R$2:$R$4001,$AD43,'All Donations'!$T$2:$T$4001,L$1))</f>
        <v/>
      </c>
      <c r="M43" s="49">
        <f>IF(OR($AE43&lt;&gt;1,M$1=""),"",SUMIFS('All Donations'!$S$2:$S$4001,'All Donations'!$R$2:$R$4001,$AD43,'All Donations'!$T$2:$T$4001,M$1))</f>
        <v/>
      </c>
      <c r="N43" s="49">
        <f>IF(OR($AE43&lt;&gt;1,N$1=""),"",SUMIFS('All Donations'!$S$2:$S$4001,'All Donations'!$R$2:$R$4001,$AD43,'All Donations'!$T$2:$T$4001,N$1))</f>
        <v/>
      </c>
      <c r="O43" s="49">
        <f>IF(OR($AE43&lt;&gt;1,O$1=""),"",SUMIFS('All Donations'!$S$2:$S$4001,'All Donations'!$R$2:$R$4001,$AD43,'All Donations'!$T$2:$T$4001,O$1))</f>
        <v/>
      </c>
      <c r="P43" s="49">
        <f>IF(OR($AE43&lt;&gt;1,P$1=""),"",SUMIFS('All Donations'!$S$2:$S$4001,'All Donations'!$R$2:$R$4001,$AD43,'All Donations'!$T$2:$T$4001,P$1))</f>
        <v/>
      </c>
      <c r="Q43" s="49">
        <f>IF(OR($AE43&lt;&gt;1,Q$1=""),"",SUMIFS('All Donations'!$S$2:$S$4001,'All Donations'!$R$2:$R$4001,$AD43,'All Donations'!$T$2:$T$4001,Q$1))</f>
        <v/>
      </c>
      <c r="R43" s="49">
        <f>IF(OR($AE43&lt;&gt;1,R$1=""),"",SUMIFS('All Donations'!$S$2:$S$4001,'All Donations'!$R$2:$R$4001,$AD43,'All Donations'!$T$2:$T$4001,R$1))</f>
        <v/>
      </c>
      <c r="S43" s="49">
        <f>IF(OR($AE43&lt;&gt;1,S$1=""),"",SUMIFS('All Donations'!$S$2:$S$4001,'All Donations'!$R$2:$R$4001,$AD43,'All Donations'!$T$2:$T$4001,S$1))</f>
        <v/>
      </c>
      <c r="T43" s="49">
        <f>IF(OR($AE43&lt;&gt;1,T$1=""),"",SUMIFS('All Donations'!$S$2:$S$4001,'All Donations'!$R$2:$R$4001,$AD43,'All Donations'!$T$2:$T$4001,T$1))</f>
        <v/>
      </c>
      <c r="U43" s="49">
        <f>IF(OR($AE43&lt;&gt;1,U$1=""),"",SUMIFS('All Donations'!$S$2:$S$4001,'All Donations'!$R$2:$R$4001,$AD43,'All Donations'!$T$2:$T$4001,U$1))</f>
        <v/>
      </c>
      <c r="V43" s="49">
        <f>IF(OR($AE43&lt;&gt;1,V$1=""),"",SUMIFS('All Donations'!$S$2:$S$4001,'All Donations'!$R$2:$R$4001,$AD43,'All Donations'!$T$2:$T$4001,V$1))</f>
        <v/>
      </c>
      <c r="W43" s="49">
        <f>IF(OR($AE43&lt;&gt;1,W$1=""),"",SUMIFS('All Donations'!$S$2:$S$4001,'All Donations'!$R$2:$R$4001,$AD43,'All Donations'!$T$2:$T$4001,W$1))</f>
        <v/>
      </c>
      <c r="X43" s="49">
        <f>IF(OR($AE43&lt;&gt;1,X$1=""),"",SUMIFS('All Donations'!$S$2:$S$4001,'All Donations'!$R$2:$R$4001,$AD43,'All Donations'!$T$2:$T$4001,X$1))</f>
        <v/>
      </c>
      <c r="Y43" s="49">
        <f>IF(OR($AE43&lt;&gt;1,Y$1=""),"",SUMIFS('All Donations'!$S$2:$S$4001,'All Donations'!$R$2:$R$4001,$AD43,'All Donations'!$T$2:$T$4001,Y$1))</f>
        <v/>
      </c>
      <c r="Z43" s="49">
        <f>IF(OR($AE43&lt;&gt;1,Z$1=""),"",SUMIFS('All Donations'!$S$2:$S$4001,'All Donations'!$R$2:$R$4001,$AD43,'All Donations'!$T$2:$T$4001,Z$1))</f>
        <v/>
      </c>
      <c r="AA43" s="49">
        <f>IF(OR($AE43&lt;&gt;1,AA$1=""),"",SUMIFS('All Donations'!$S$2:$S$4001,'All Donations'!$R$2:$R$4001,$AD43,'All Donations'!$T$2:$T$4001,AA$1))</f>
        <v/>
      </c>
      <c r="AB43" s="49">
        <f>IF(OR($AE43&lt;&gt;1,AB$1=""),"",SUMIFS('All Donations'!$S$2:$S$4001,'All Donations'!$R$2:$R$4001,$AD43,'All Donations'!$T$2:$T$4001,AB$1))</f>
        <v/>
      </c>
      <c r="AC43" s="49">
        <f>IF(OR($AE43&lt;&gt;1,AC$1=""),"",SUMIFS('All Donations'!$S$2:$S$4001,'All Donations'!$R$2:$R$4001,$AD43,'All Donations'!$T$2:$T$4001,AC$1))</f>
        <v/>
      </c>
      <c r="AD43">
        <f>IF(AE43=1,'Roster'!A43,"")</f>
        <v/>
      </c>
      <c r="AE43">
        <f>IF(TRIM('Roster'!B43&amp;'Roster'!C43)&lt;&gt;"",1,0)</f>
        <v/>
      </c>
      <c r="AF43">
        <f>IF(AE43=1,LOWER(A43),"#")</f>
        <v/>
      </c>
      <c r="AG43">
        <f>IF(AE43=1,LOWER(TRIM(TRIM('Roster'!C43)&amp;", "&amp;TRIM('Roster'!B43))),"#")</f>
        <v/>
      </c>
      <c r="AH43">
        <f>IF(AND(AE43=1,TRIM('Roster'!F43)&lt;&gt;""),LOWER(TRIM('Roster'!F43)),"#")</f>
        <v/>
      </c>
      <c r="AI43">
        <f>IF(AE43=1,IF(MATCH(B43,$B$2:$B$701,0)=ROW()-1,1,0),0)</f>
        <v/>
      </c>
      <c r="AJ43">
        <f>AJ42+AI43</f>
        <v/>
      </c>
      <c r="AK43">
        <f>IF(AE43=1,D43+(1000-ROW())/10^7,-1)</f>
        <v/>
      </c>
      <c r="AL43">
        <f>IF(AE43=1,TRIM('Roster'!B43)&amp;" "&amp;LEFT(TRIM('Roster'!C43),1)&amp;".","")</f>
        <v/>
      </c>
      <c r="AM43">
        <f>IF(AE43=1,TRIM('Roster'!C43)&amp;", "&amp;TRIM('Roster'!B43)&amp;" ("&amp;B43&amp;") #"&amp;AD43,"")</f>
        <v/>
      </c>
      <c r="AN43">
        <f>IF(AE43=1,TRIM('Roster'!E43),"")</f>
        <v/>
      </c>
      <c r="AO43">
        <f>IF(AE43=1,ROUND(SUMIFS('All Donations'!$S$2:$S$4001,'All Donations'!$R$2:$R$4001,AD43,'All Donations'!$T$2:$T$4001,"&gt;="&amp;'Settings'!$C$23,'All Donations'!$T$2:$T$4001,"&lt;="&amp;'Settings'!$D$23),2),0)</f>
        <v/>
      </c>
      <c r="AQ43">
        <f>IF(AE43=1,ROUND(SUMIFS('All Donations'!$S$2:$S$4001,'All Donations'!$R$2:$R$4001,AD43,'All Donations'!$T$2:$T$4001,"&gt;="&amp;'Settings'!$C$25,'All Donations'!$T$2:$T$4001,"&lt;="&amp;'Settings'!$D$25),2),0)</f>
        <v/>
      </c>
      <c r="AR43">
        <f>IF(AE43=1,ROUND(SUMIFS('All Donations'!$S$2:$S$4001,'All Donations'!$R$2:$R$4001,AD43,'All Donations'!$T$2:$T$4001,"&gt;="&amp;'Settings'!$C$26,'All Donations'!$T$2:$T$4001,"&lt;="&amp;'Settings'!$D$26),2),0)</f>
        <v/>
      </c>
      <c r="AS43">
        <f>IF(AE43=1,ROUND(SUMIFS('All Donations'!$S$2:$S$4001,'All Donations'!$R$2:$R$4001,AD43,'All Donations'!$T$2:$T$4001,"&lt;="&amp;'Settings'!$D$27),2),0)</f>
        <v/>
      </c>
      <c r="AT43">
        <f>IF(AE43=1,ROUND(SUMIFS('All Donations'!$S$2:$S$4001,'All Donations'!$R$2:$R$4001,AD43,'All Donations'!$T$2:$T$4001,"&gt;="&amp;'Settings'!$C$28,'All Donations'!$T$2:$T$4001,"&lt;="&amp;'Settings'!$D$28),2),0)</f>
        <v/>
      </c>
      <c r="AU43">
        <f>IF(AE43=1,ROUND(SUMIFS('All Donations'!$S$2:$S$4001,'All Donations'!$R$2:$R$4001,AD43,'All Donations'!$T$2:$T$4001,"&gt;="&amp;'Settings'!$C$29,'All Donations'!$T$2:$T$4001,"&lt;="&amp;'Settings'!$D$29),2),0)</f>
        <v/>
      </c>
      <c r="AV43">
        <f>IF(AE43=1,ROUND(SUMIFS('All Donations'!$S$2:$S$4001,'All Donations'!$R$2:$R$4001,AD43,'All Donations'!$T$2:$T$4001,"&lt;="&amp;'Settings'!$D$30),2),0)</f>
        <v/>
      </c>
      <c r="AZ43">
        <f>IF(AE43=1,ROUND(SUMIFS('All Donations'!$S$2:$S$4001,'All Donations'!$R$2:$R$4001,AD43,'All Donations'!$T$2:$T$4001,"&lt;="&amp;'Settings'!$D$34),2),0)</f>
        <v/>
      </c>
    </row>
    <row r="44">
      <c r="A44">
        <f>IF(AE44=1,TRIM(TRIM('Roster'!B44)&amp;" "&amp;TRIM('Roster'!C44)),"")</f>
        <v/>
      </c>
      <c r="B44">
        <f>IF(AE44=1,IF(AN44="","(no teacher)",AN44&amp;" – "&amp;C44),"")</f>
        <v/>
      </c>
      <c r="C44">
        <f>IF(AE44=1,TRIM('Roster'!D44&amp;""),"")</f>
        <v/>
      </c>
      <c r="D44" s="48">
        <f>IF(AE44=1,ROUND(SUMIFS('All Donations'!$S$2:$S$4001,'All Donations'!$R$2:$R$4001,AD44),2),"")</f>
        <v/>
      </c>
      <c r="E44" s="48">
        <f>IF(AE44=1,ROUND(SUMIFS('All Donations'!$S$2:$S$4001,'All Donations'!$R$2:$R$4001,AD44,'All Donations'!$G$2:$G$4001,"OneCause"),2),"")</f>
        <v/>
      </c>
      <c r="F44" s="48">
        <f>IF(AE44=1,D44-E44,"")</f>
        <v/>
      </c>
      <c r="G44">
        <f>IF(AE44=1,COUNTIFS('All Donations'!$R$2:$R$4001,AD44,'All Donations'!$H$2:$H$4001,"OK"),"")</f>
        <v/>
      </c>
      <c r="H44">
        <f>IF(AE44&lt;&gt;1,"",IF(D44&gt;0,"Yes",""))</f>
        <v/>
      </c>
      <c r="I44" s="49">
        <f>IF(OR($AE44&lt;&gt;1,I$1=""),"",SUMIFS('All Donations'!$S$2:$S$4001,'All Donations'!$R$2:$R$4001,$AD44,'All Donations'!$T$2:$T$4001,I$1))</f>
        <v/>
      </c>
      <c r="J44" s="49">
        <f>IF(OR($AE44&lt;&gt;1,J$1=""),"",SUMIFS('All Donations'!$S$2:$S$4001,'All Donations'!$R$2:$R$4001,$AD44,'All Donations'!$T$2:$T$4001,J$1))</f>
        <v/>
      </c>
      <c r="K44" s="49">
        <f>IF(OR($AE44&lt;&gt;1,K$1=""),"",SUMIFS('All Donations'!$S$2:$S$4001,'All Donations'!$R$2:$R$4001,$AD44,'All Donations'!$T$2:$T$4001,K$1))</f>
        <v/>
      </c>
      <c r="L44" s="49">
        <f>IF(OR($AE44&lt;&gt;1,L$1=""),"",SUMIFS('All Donations'!$S$2:$S$4001,'All Donations'!$R$2:$R$4001,$AD44,'All Donations'!$T$2:$T$4001,L$1))</f>
        <v/>
      </c>
      <c r="M44" s="49">
        <f>IF(OR($AE44&lt;&gt;1,M$1=""),"",SUMIFS('All Donations'!$S$2:$S$4001,'All Donations'!$R$2:$R$4001,$AD44,'All Donations'!$T$2:$T$4001,M$1))</f>
        <v/>
      </c>
      <c r="N44" s="49">
        <f>IF(OR($AE44&lt;&gt;1,N$1=""),"",SUMIFS('All Donations'!$S$2:$S$4001,'All Donations'!$R$2:$R$4001,$AD44,'All Donations'!$T$2:$T$4001,N$1))</f>
        <v/>
      </c>
      <c r="O44" s="49">
        <f>IF(OR($AE44&lt;&gt;1,O$1=""),"",SUMIFS('All Donations'!$S$2:$S$4001,'All Donations'!$R$2:$R$4001,$AD44,'All Donations'!$T$2:$T$4001,O$1))</f>
        <v/>
      </c>
      <c r="P44" s="49">
        <f>IF(OR($AE44&lt;&gt;1,P$1=""),"",SUMIFS('All Donations'!$S$2:$S$4001,'All Donations'!$R$2:$R$4001,$AD44,'All Donations'!$T$2:$T$4001,P$1))</f>
        <v/>
      </c>
      <c r="Q44" s="49">
        <f>IF(OR($AE44&lt;&gt;1,Q$1=""),"",SUMIFS('All Donations'!$S$2:$S$4001,'All Donations'!$R$2:$R$4001,$AD44,'All Donations'!$T$2:$T$4001,Q$1))</f>
        <v/>
      </c>
      <c r="R44" s="49">
        <f>IF(OR($AE44&lt;&gt;1,R$1=""),"",SUMIFS('All Donations'!$S$2:$S$4001,'All Donations'!$R$2:$R$4001,$AD44,'All Donations'!$T$2:$T$4001,R$1))</f>
        <v/>
      </c>
      <c r="S44" s="49">
        <f>IF(OR($AE44&lt;&gt;1,S$1=""),"",SUMIFS('All Donations'!$S$2:$S$4001,'All Donations'!$R$2:$R$4001,$AD44,'All Donations'!$T$2:$T$4001,S$1))</f>
        <v/>
      </c>
      <c r="T44" s="49">
        <f>IF(OR($AE44&lt;&gt;1,T$1=""),"",SUMIFS('All Donations'!$S$2:$S$4001,'All Donations'!$R$2:$R$4001,$AD44,'All Donations'!$T$2:$T$4001,T$1))</f>
        <v/>
      </c>
      <c r="U44" s="49">
        <f>IF(OR($AE44&lt;&gt;1,U$1=""),"",SUMIFS('All Donations'!$S$2:$S$4001,'All Donations'!$R$2:$R$4001,$AD44,'All Donations'!$T$2:$T$4001,U$1))</f>
        <v/>
      </c>
      <c r="V44" s="49">
        <f>IF(OR($AE44&lt;&gt;1,V$1=""),"",SUMIFS('All Donations'!$S$2:$S$4001,'All Donations'!$R$2:$R$4001,$AD44,'All Donations'!$T$2:$T$4001,V$1))</f>
        <v/>
      </c>
      <c r="W44" s="49">
        <f>IF(OR($AE44&lt;&gt;1,W$1=""),"",SUMIFS('All Donations'!$S$2:$S$4001,'All Donations'!$R$2:$R$4001,$AD44,'All Donations'!$T$2:$T$4001,W$1))</f>
        <v/>
      </c>
      <c r="X44" s="49">
        <f>IF(OR($AE44&lt;&gt;1,X$1=""),"",SUMIFS('All Donations'!$S$2:$S$4001,'All Donations'!$R$2:$R$4001,$AD44,'All Donations'!$T$2:$T$4001,X$1))</f>
        <v/>
      </c>
      <c r="Y44" s="49">
        <f>IF(OR($AE44&lt;&gt;1,Y$1=""),"",SUMIFS('All Donations'!$S$2:$S$4001,'All Donations'!$R$2:$R$4001,$AD44,'All Donations'!$T$2:$T$4001,Y$1))</f>
        <v/>
      </c>
      <c r="Z44" s="49">
        <f>IF(OR($AE44&lt;&gt;1,Z$1=""),"",SUMIFS('All Donations'!$S$2:$S$4001,'All Donations'!$R$2:$R$4001,$AD44,'All Donations'!$T$2:$T$4001,Z$1))</f>
        <v/>
      </c>
      <c r="AA44" s="49">
        <f>IF(OR($AE44&lt;&gt;1,AA$1=""),"",SUMIFS('All Donations'!$S$2:$S$4001,'All Donations'!$R$2:$R$4001,$AD44,'All Donations'!$T$2:$T$4001,AA$1))</f>
        <v/>
      </c>
      <c r="AB44" s="49">
        <f>IF(OR($AE44&lt;&gt;1,AB$1=""),"",SUMIFS('All Donations'!$S$2:$S$4001,'All Donations'!$R$2:$R$4001,$AD44,'All Donations'!$T$2:$T$4001,AB$1))</f>
        <v/>
      </c>
      <c r="AC44" s="49">
        <f>IF(OR($AE44&lt;&gt;1,AC$1=""),"",SUMIFS('All Donations'!$S$2:$S$4001,'All Donations'!$R$2:$R$4001,$AD44,'All Donations'!$T$2:$T$4001,AC$1))</f>
        <v/>
      </c>
      <c r="AD44">
        <f>IF(AE44=1,'Roster'!A44,"")</f>
        <v/>
      </c>
      <c r="AE44">
        <f>IF(TRIM('Roster'!B44&amp;'Roster'!C44)&lt;&gt;"",1,0)</f>
        <v/>
      </c>
      <c r="AF44">
        <f>IF(AE44=1,LOWER(A44),"#")</f>
        <v/>
      </c>
      <c r="AG44">
        <f>IF(AE44=1,LOWER(TRIM(TRIM('Roster'!C44)&amp;", "&amp;TRIM('Roster'!B44))),"#")</f>
        <v/>
      </c>
      <c r="AH44">
        <f>IF(AND(AE44=1,TRIM('Roster'!F44)&lt;&gt;""),LOWER(TRIM('Roster'!F44)),"#")</f>
        <v/>
      </c>
      <c r="AI44">
        <f>IF(AE44=1,IF(MATCH(B44,$B$2:$B$701,0)=ROW()-1,1,0),0)</f>
        <v/>
      </c>
      <c r="AJ44">
        <f>AJ43+AI44</f>
        <v/>
      </c>
      <c r="AK44">
        <f>IF(AE44=1,D44+(1000-ROW())/10^7,-1)</f>
        <v/>
      </c>
      <c r="AL44">
        <f>IF(AE44=1,TRIM('Roster'!B44)&amp;" "&amp;LEFT(TRIM('Roster'!C44),1)&amp;".","")</f>
        <v/>
      </c>
      <c r="AM44">
        <f>IF(AE44=1,TRIM('Roster'!C44)&amp;", "&amp;TRIM('Roster'!B44)&amp;" ("&amp;B44&amp;") #"&amp;AD44,"")</f>
        <v/>
      </c>
      <c r="AN44">
        <f>IF(AE44=1,TRIM('Roster'!E44),"")</f>
        <v/>
      </c>
      <c r="AO44">
        <f>IF(AE44=1,ROUND(SUMIFS('All Donations'!$S$2:$S$4001,'All Donations'!$R$2:$R$4001,AD44,'All Donations'!$T$2:$T$4001,"&gt;="&amp;'Settings'!$C$23,'All Donations'!$T$2:$T$4001,"&lt;="&amp;'Settings'!$D$23),2),0)</f>
        <v/>
      </c>
      <c r="AQ44">
        <f>IF(AE44=1,ROUND(SUMIFS('All Donations'!$S$2:$S$4001,'All Donations'!$R$2:$R$4001,AD44,'All Donations'!$T$2:$T$4001,"&gt;="&amp;'Settings'!$C$25,'All Donations'!$T$2:$T$4001,"&lt;="&amp;'Settings'!$D$25),2),0)</f>
        <v/>
      </c>
      <c r="AR44">
        <f>IF(AE44=1,ROUND(SUMIFS('All Donations'!$S$2:$S$4001,'All Donations'!$R$2:$R$4001,AD44,'All Donations'!$T$2:$T$4001,"&gt;="&amp;'Settings'!$C$26,'All Donations'!$T$2:$T$4001,"&lt;="&amp;'Settings'!$D$26),2),0)</f>
        <v/>
      </c>
      <c r="AS44">
        <f>IF(AE44=1,ROUND(SUMIFS('All Donations'!$S$2:$S$4001,'All Donations'!$R$2:$R$4001,AD44,'All Donations'!$T$2:$T$4001,"&lt;="&amp;'Settings'!$D$27),2),0)</f>
        <v/>
      </c>
      <c r="AT44">
        <f>IF(AE44=1,ROUND(SUMIFS('All Donations'!$S$2:$S$4001,'All Donations'!$R$2:$R$4001,AD44,'All Donations'!$T$2:$T$4001,"&gt;="&amp;'Settings'!$C$28,'All Donations'!$T$2:$T$4001,"&lt;="&amp;'Settings'!$D$28),2),0)</f>
        <v/>
      </c>
      <c r="AU44">
        <f>IF(AE44=1,ROUND(SUMIFS('All Donations'!$S$2:$S$4001,'All Donations'!$R$2:$R$4001,AD44,'All Donations'!$T$2:$T$4001,"&gt;="&amp;'Settings'!$C$29,'All Donations'!$T$2:$T$4001,"&lt;="&amp;'Settings'!$D$29),2),0)</f>
        <v/>
      </c>
      <c r="AV44">
        <f>IF(AE44=1,ROUND(SUMIFS('All Donations'!$S$2:$S$4001,'All Donations'!$R$2:$R$4001,AD44,'All Donations'!$T$2:$T$4001,"&lt;="&amp;'Settings'!$D$30),2),0)</f>
        <v/>
      </c>
      <c r="AZ44">
        <f>IF(AE44=1,ROUND(SUMIFS('All Donations'!$S$2:$S$4001,'All Donations'!$R$2:$R$4001,AD44,'All Donations'!$T$2:$T$4001,"&lt;="&amp;'Settings'!$D$34),2),0)</f>
        <v/>
      </c>
    </row>
    <row r="45">
      <c r="A45">
        <f>IF(AE45=1,TRIM(TRIM('Roster'!B45)&amp;" "&amp;TRIM('Roster'!C45)),"")</f>
        <v/>
      </c>
      <c r="B45">
        <f>IF(AE45=1,IF(AN45="","(no teacher)",AN45&amp;" – "&amp;C45),"")</f>
        <v/>
      </c>
      <c r="C45">
        <f>IF(AE45=1,TRIM('Roster'!D45&amp;""),"")</f>
        <v/>
      </c>
      <c r="D45" s="48">
        <f>IF(AE45=1,ROUND(SUMIFS('All Donations'!$S$2:$S$4001,'All Donations'!$R$2:$R$4001,AD45),2),"")</f>
        <v/>
      </c>
      <c r="E45" s="48">
        <f>IF(AE45=1,ROUND(SUMIFS('All Donations'!$S$2:$S$4001,'All Donations'!$R$2:$R$4001,AD45,'All Donations'!$G$2:$G$4001,"OneCause"),2),"")</f>
        <v/>
      </c>
      <c r="F45" s="48">
        <f>IF(AE45=1,D45-E45,"")</f>
        <v/>
      </c>
      <c r="G45">
        <f>IF(AE45=1,COUNTIFS('All Donations'!$R$2:$R$4001,AD45,'All Donations'!$H$2:$H$4001,"OK"),"")</f>
        <v/>
      </c>
      <c r="H45">
        <f>IF(AE45&lt;&gt;1,"",IF(D45&gt;0,"Yes",""))</f>
        <v/>
      </c>
      <c r="I45" s="49">
        <f>IF(OR($AE45&lt;&gt;1,I$1=""),"",SUMIFS('All Donations'!$S$2:$S$4001,'All Donations'!$R$2:$R$4001,$AD45,'All Donations'!$T$2:$T$4001,I$1))</f>
        <v/>
      </c>
      <c r="J45" s="49">
        <f>IF(OR($AE45&lt;&gt;1,J$1=""),"",SUMIFS('All Donations'!$S$2:$S$4001,'All Donations'!$R$2:$R$4001,$AD45,'All Donations'!$T$2:$T$4001,J$1))</f>
        <v/>
      </c>
      <c r="K45" s="49">
        <f>IF(OR($AE45&lt;&gt;1,K$1=""),"",SUMIFS('All Donations'!$S$2:$S$4001,'All Donations'!$R$2:$R$4001,$AD45,'All Donations'!$T$2:$T$4001,K$1))</f>
        <v/>
      </c>
      <c r="L45" s="49">
        <f>IF(OR($AE45&lt;&gt;1,L$1=""),"",SUMIFS('All Donations'!$S$2:$S$4001,'All Donations'!$R$2:$R$4001,$AD45,'All Donations'!$T$2:$T$4001,L$1))</f>
        <v/>
      </c>
      <c r="M45" s="49">
        <f>IF(OR($AE45&lt;&gt;1,M$1=""),"",SUMIFS('All Donations'!$S$2:$S$4001,'All Donations'!$R$2:$R$4001,$AD45,'All Donations'!$T$2:$T$4001,M$1))</f>
        <v/>
      </c>
      <c r="N45" s="49">
        <f>IF(OR($AE45&lt;&gt;1,N$1=""),"",SUMIFS('All Donations'!$S$2:$S$4001,'All Donations'!$R$2:$R$4001,$AD45,'All Donations'!$T$2:$T$4001,N$1))</f>
        <v/>
      </c>
      <c r="O45" s="49">
        <f>IF(OR($AE45&lt;&gt;1,O$1=""),"",SUMIFS('All Donations'!$S$2:$S$4001,'All Donations'!$R$2:$R$4001,$AD45,'All Donations'!$T$2:$T$4001,O$1))</f>
        <v/>
      </c>
      <c r="P45" s="49">
        <f>IF(OR($AE45&lt;&gt;1,P$1=""),"",SUMIFS('All Donations'!$S$2:$S$4001,'All Donations'!$R$2:$R$4001,$AD45,'All Donations'!$T$2:$T$4001,P$1))</f>
        <v/>
      </c>
      <c r="Q45" s="49">
        <f>IF(OR($AE45&lt;&gt;1,Q$1=""),"",SUMIFS('All Donations'!$S$2:$S$4001,'All Donations'!$R$2:$R$4001,$AD45,'All Donations'!$T$2:$T$4001,Q$1))</f>
        <v/>
      </c>
      <c r="R45" s="49">
        <f>IF(OR($AE45&lt;&gt;1,R$1=""),"",SUMIFS('All Donations'!$S$2:$S$4001,'All Donations'!$R$2:$R$4001,$AD45,'All Donations'!$T$2:$T$4001,R$1))</f>
        <v/>
      </c>
      <c r="S45" s="49">
        <f>IF(OR($AE45&lt;&gt;1,S$1=""),"",SUMIFS('All Donations'!$S$2:$S$4001,'All Donations'!$R$2:$R$4001,$AD45,'All Donations'!$T$2:$T$4001,S$1))</f>
        <v/>
      </c>
      <c r="T45" s="49">
        <f>IF(OR($AE45&lt;&gt;1,T$1=""),"",SUMIFS('All Donations'!$S$2:$S$4001,'All Donations'!$R$2:$R$4001,$AD45,'All Donations'!$T$2:$T$4001,T$1))</f>
        <v/>
      </c>
      <c r="U45" s="49">
        <f>IF(OR($AE45&lt;&gt;1,U$1=""),"",SUMIFS('All Donations'!$S$2:$S$4001,'All Donations'!$R$2:$R$4001,$AD45,'All Donations'!$T$2:$T$4001,U$1))</f>
        <v/>
      </c>
      <c r="V45" s="49">
        <f>IF(OR($AE45&lt;&gt;1,V$1=""),"",SUMIFS('All Donations'!$S$2:$S$4001,'All Donations'!$R$2:$R$4001,$AD45,'All Donations'!$T$2:$T$4001,V$1))</f>
        <v/>
      </c>
      <c r="W45" s="49">
        <f>IF(OR($AE45&lt;&gt;1,W$1=""),"",SUMIFS('All Donations'!$S$2:$S$4001,'All Donations'!$R$2:$R$4001,$AD45,'All Donations'!$T$2:$T$4001,W$1))</f>
        <v/>
      </c>
      <c r="X45" s="49">
        <f>IF(OR($AE45&lt;&gt;1,X$1=""),"",SUMIFS('All Donations'!$S$2:$S$4001,'All Donations'!$R$2:$R$4001,$AD45,'All Donations'!$T$2:$T$4001,X$1))</f>
        <v/>
      </c>
      <c r="Y45" s="49">
        <f>IF(OR($AE45&lt;&gt;1,Y$1=""),"",SUMIFS('All Donations'!$S$2:$S$4001,'All Donations'!$R$2:$R$4001,$AD45,'All Donations'!$T$2:$T$4001,Y$1))</f>
        <v/>
      </c>
      <c r="Z45" s="49">
        <f>IF(OR($AE45&lt;&gt;1,Z$1=""),"",SUMIFS('All Donations'!$S$2:$S$4001,'All Donations'!$R$2:$R$4001,$AD45,'All Donations'!$T$2:$T$4001,Z$1))</f>
        <v/>
      </c>
      <c r="AA45" s="49">
        <f>IF(OR($AE45&lt;&gt;1,AA$1=""),"",SUMIFS('All Donations'!$S$2:$S$4001,'All Donations'!$R$2:$R$4001,$AD45,'All Donations'!$T$2:$T$4001,AA$1))</f>
        <v/>
      </c>
      <c r="AB45" s="49">
        <f>IF(OR($AE45&lt;&gt;1,AB$1=""),"",SUMIFS('All Donations'!$S$2:$S$4001,'All Donations'!$R$2:$R$4001,$AD45,'All Donations'!$T$2:$T$4001,AB$1))</f>
        <v/>
      </c>
      <c r="AC45" s="49">
        <f>IF(OR($AE45&lt;&gt;1,AC$1=""),"",SUMIFS('All Donations'!$S$2:$S$4001,'All Donations'!$R$2:$R$4001,$AD45,'All Donations'!$T$2:$T$4001,AC$1))</f>
        <v/>
      </c>
      <c r="AD45">
        <f>IF(AE45=1,'Roster'!A45,"")</f>
        <v/>
      </c>
      <c r="AE45">
        <f>IF(TRIM('Roster'!B45&amp;'Roster'!C45)&lt;&gt;"",1,0)</f>
        <v/>
      </c>
      <c r="AF45">
        <f>IF(AE45=1,LOWER(A45),"#")</f>
        <v/>
      </c>
      <c r="AG45">
        <f>IF(AE45=1,LOWER(TRIM(TRIM('Roster'!C45)&amp;", "&amp;TRIM('Roster'!B45))),"#")</f>
        <v/>
      </c>
      <c r="AH45">
        <f>IF(AND(AE45=1,TRIM('Roster'!F45)&lt;&gt;""),LOWER(TRIM('Roster'!F45)),"#")</f>
        <v/>
      </c>
      <c r="AI45">
        <f>IF(AE45=1,IF(MATCH(B45,$B$2:$B$701,0)=ROW()-1,1,0),0)</f>
        <v/>
      </c>
      <c r="AJ45">
        <f>AJ44+AI45</f>
        <v/>
      </c>
      <c r="AK45">
        <f>IF(AE45=1,D45+(1000-ROW())/10^7,-1)</f>
        <v/>
      </c>
      <c r="AL45">
        <f>IF(AE45=1,TRIM('Roster'!B45)&amp;" "&amp;LEFT(TRIM('Roster'!C45),1)&amp;".","")</f>
        <v/>
      </c>
      <c r="AM45">
        <f>IF(AE45=1,TRIM('Roster'!C45)&amp;", "&amp;TRIM('Roster'!B45)&amp;" ("&amp;B45&amp;") #"&amp;AD45,"")</f>
        <v/>
      </c>
      <c r="AN45">
        <f>IF(AE45=1,TRIM('Roster'!E45),"")</f>
        <v/>
      </c>
      <c r="AO45">
        <f>IF(AE45=1,ROUND(SUMIFS('All Donations'!$S$2:$S$4001,'All Donations'!$R$2:$R$4001,AD45,'All Donations'!$T$2:$T$4001,"&gt;="&amp;'Settings'!$C$23,'All Donations'!$T$2:$T$4001,"&lt;="&amp;'Settings'!$D$23),2),0)</f>
        <v/>
      </c>
      <c r="AQ45">
        <f>IF(AE45=1,ROUND(SUMIFS('All Donations'!$S$2:$S$4001,'All Donations'!$R$2:$R$4001,AD45,'All Donations'!$T$2:$T$4001,"&gt;="&amp;'Settings'!$C$25,'All Donations'!$T$2:$T$4001,"&lt;="&amp;'Settings'!$D$25),2),0)</f>
        <v/>
      </c>
      <c r="AR45">
        <f>IF(AE45=1,ROUND(SUMIFS('All Donations'!$S$2:$S$4001,'All Donations'!$R$2:$R$4001,AD45,'All Donations'!$T$2:$T$4001,"&gt;="&amp;'Settings'!$C$26,'All Donations'!$T$2:$T$4001,"&lt;="&amp;'Settings'!$D$26),2),0)</f>
        <v/>
      </c>
      <c r="AS45">
        <f>IF(AE45=1,ROUND(SUMIFS('All Donations'!$S$2:$S$4001,'All Donations'!$R$2:$R$4001,AD45,'All Donations'!$T$2:$T$4001,"&lt;="&amp;'Settings'!$D$27),2),0)</f>
        <v/>
      </c>
      <c r="AT45">
        <f>IF(AE45=1,ROUND(SUMIFS('All Donations'!$S$2:$S$4001,'All Donations'!$R$2:$R$4001,AD45,'All Donations'!$T$2:$T$4001,"&gt;="&amp;'Settings'!$C$28,'All Donations'!$T$2:$T$4001,"&lt;="&amp;'Settings'!$D$28),2),0)</f>
        <v/>
      </c>
      <c r="AU45">
        <f>IF(AE45=1,ROUND(SUMIFS('All Donations'!$S$2:$S$4001,'All Donations'!$R$2:$R$4001,AD45,'All Donations'!$T$2:$T$4001,"&gt;="&amp;'Settings'!$C$29,'All Donations'!$T$2:$T$4001,"&lt;="&amp;'Settings'!$D$29),2),0)</f>
        <v/>
      </c>
      <c r="AV45">
        <f>IF(AE45=1,ROUND(SUMIFS('All Donations'!$S$2:$S$4001,'All Donations'!$R$2:$R$4001,AD45,'All Donations'!$T$2:$T$4001,"&lt;="&amp;'Settings'!$D$30),2),0)</f>
        <v/>
      </c>
      <c r="AZ45">
        <f>IF(AE45=1,ROUND(SUMIFS('All Donations'!$S$2:$S$4001,'All Donations'!$R$2:$R$4001,AD45,'All Donations'!$T$2:$T$4001,"&lt;="&amp;'Settings'!$D$34),2),0)</f>
        <v/>
      </c>
    </row>
    <row r="46">
      <c r="A46">
        <f>IF(AE46=1,TRIM(TRIM('Roster'!B46)&amp;" "&amp;TRIM('Roster'!C46)),"")</f>
        <v/>
      </c>
      <c r="B46">
        <f>IF(AE46=1,IF(AN46="","(no teacher)",AN46&amp;" – "&amp;C46),"")</f>
        <v/>
      </c>
      <c r="C46">
        <f>IF(AE46=1,TRIM('Roster'!D46&amp;""),"")</f>
        <v/>
      </c>
      <c r="D46" s="48">
        <f>IF(AE46=1,ROUND(SUMIFS('All Donations'!$S$2:$S$4001,'All Donations'!$R$2:$R$4001,AD46),2),"")</f>
        <v/>
      </c>
      <c r="E46" s="48">
        <f>IF(AE46=1,ROUND(SUMIFS('All Donations'!$S$2:$S$4001,'All Donations'!$R$2:$R$4001,AD46,'All Donations'!$G$2:$G$4001,"OneCause"),2),"")</f>
        <v/>
      </c>
      <c r="F46" s="48">
        <f>IF(AE46=1,D46-E46,"")</f>
        <v/>
      </c>
      <c r="G46">
        <f>IF(AE46=1,COUNTIFS('All Donations'!$R$2:$R$4001,AD46,'All Donations'!$H$2:$H$4001,"OK"),"")</f>
        <v/>
      </c>
      <c r="H46">
        <f>IF(AE46&lt;&gt;1,"",IF(D46&gt;0,"Yes",""))</f>
        <v/>
      </c>
      <c r="I46" s="49">
        <f>IF(OR($AE46&lt;&gt;1,I$1=""),"",SUMIFS('All Donations'!$S$2:$S$4001,'All Donations'!$R$2:$R$4001,$AD46,'All Donations'!$T$2:$T$4001,I$1))</f>
        <v/>
      </c>
      <c r="J46" s="49">
        <f>IF(OR($AE46&lt;&gt;1,J$1=""),"",SUMIFS('All Donations'!$S$2:$S$4001,'All Donations'!$R$2:$R$4001,$AD46,'All Donations'!$T$2:$T$4001,J$1))</f>
        <v/>
      </c>
      <c r="K46" s="49">
        <f>IF(OR($AE46&lt;&gt;1,K$1=""),"",SUMIFS('All Donations'!$S$2:$S$4001,'All Donations'!$R$2:$R$4001,$AD46,'All Donations'!$T$2:$T$4001,K$1))</f>
        <v/>
      </c>
      <c r="L46" s="49">
        <f>IF(OR($AE46&lt;&gt;1,L$1=""),"",SUMIFS('All Donations'!$S$2:$S$4001,'All Donations'!$R$2:$R$4001,$AD46,'All Donations'!$T$2:$T$4001,L$1))</f>
        <v/>
      </c>
      <c r="M46" s="49">
        <f>IF(OR($AE46&lt;&gt;1,M$1=""),"",SUMIFS('All Donations'!$S$2:$S$4001,'All Donations'!$R$2:$R$4001,$AD46,'All Donations'!$T$2:$T$4001,M$1))</f>
        <v/>
      </c>
      <c r="N46" s="49">
        <f>IF(OR($AE46&lt;&gt;1,N$1=""),"",SUMIFS('All Donations'!$S$2:$S$4001,'All Donations'!$R$2:$R$4001,$AD46,'All Donations'!$T$2:$T$4001,N$1))</f>
        <v/>
      </c>
      <c r="O46" s="49">
        <f>IF(OR($AE46&lt;&gt;1,O$1=""),"",SUMIFS('All Donations'!$S$2:$S$4001,'All Donations'!$R$2:$R$4001,$AD46,'All Donations'!$T$2:$T$4001,O$1))</f>
        <v/>
      </c>
      <c r="P46" s="49">
        <f>IF(OR($AE46&lt;&gt;1,P$1=""),"",SUMIFS('All Donations'!$S$2:$S$4001,'All Donations'!$R$2:$R$4001,$AD46,'All Donations'!$T$2:$T$4001,P$1))</f>
        <v/>
      </c>
      <c r="Q46" s="49">
        <f>IF(OR($AE46&lt;&gt;1,Q$1=""),"",SUMIFS('All Donations'!$S$2:$S$4001,'All Donations'!$R$2:$R$4001,$AD46,'All Donations'!$T$2:$T$4001,Q$1))</f>
        <v/>
      </c>
      <c r="R46" s="49">
        <f>IF(OR($AE46&lt;&gt;1,R$1=""),"",SUMIFS('All Donations'!$S$2:$S$4001,'All Donations'!$R$2:$R$4001,$AD46,'All Donations'!$T$2:$T$4001,R$1))</f>
        <v/>
      </c>
      <c r="S46" s="49">
        <f>IF(OR($AE46&lt;&gt;1,S$1=""),"",SUMIFS('All Donations'!$S$2:$S$4001,'All Donations'!$R$2:$R$4001,$AD46,'All Donations'!$T$2:$T$4001,S$1))</f>
        <v/>
      </c>
      <c r="T46" s="49">
        <f>IF(OR($AE46&lt;&gt;1,T$1=""),"",SUMIFS('All Donations'!$S$2:$S$4001,'All Donations'!$R$2:$R$4001,$AD46,'All Donations'!$T$2:$T$4001,T$1))</f>
        <v/>
      </c>
      <c r="U46" s="49">
        <f>IF(OR($AE46&lt;&gt;1,U$1=""),"",SUMIFS('All Donations'!$S$2:$S$4001,'All Donations'!$R$2:$R$4001,$AD46,'All Donations'!$T$2:$T$4001,U$1))</f>
        <v/>
      </c>
      <c r="V46" s="49">
        <f>IF(OR($AE46&lt;&gt;1,V$1=""),"",SUMIFS('All Donations'!$S$2:$S$4001,'All Donations'!$R$2:$R$4001,$AD46,'All Donations'!$T$2:$T$4001,V$1))</f>
        <v/>
      </c>
      <c r="W46" s="49">
        <f>IF(OR($AE46&lt;&gt;1,W$1=""),"",SUMIFS('All Donations'!$S$2:$S$4001,'All Donations'!$R$2:$R$4001,$AD46,'All Donations'!$T$2:$T$4001,W$1))</f>
        <v/>
      </c>
      <c r="X46" s="49">
        <f>IF(OR($AE46&lt;&gt;1,X$1=""),"",SUMIFS('All Donations'!$S$2:$S$4001,'All Donations'!$R$2:$R$4001,$AD46,'All Donations'!$T$2:$T$4001,X$1))</f>
        <v/>
      </c>
      <c r="Y46" s="49">
        <f>IF(OR($AE46&lt;&gt;1,Y$1=""),"",SUMIFS('All Donations'!$S$2:$S$4001,'All Donations'!$R$2:$R$4001,$AD46,'All Donations'!$T$2:$T$4001,Y$1))</f>
        <v/>
      </c>
      <c r="Z46" s="49">
        <f>IF(OR($AE46&lt;&gt;1,Z$1=""),"",SUMIFS('All Donations'!$S$2:$S$4001,'All Donations'!$R$2:$R$4001,$AD46,'All Donations'!$T$2:$T$4001,Z$1))</f>
        <v/>
      </c>
      <c r="AA46" s="49">
        <f>IF(OR($AE46&lt;&gt;1,AA$1=""),"",SUMIFS('All Donations'!$S$2:$S$4001,'All Donations'!$R$2:$R$4001,$AD46,'All Donations'!$T$2:$T$4001,AA$1))</f>
        <v/>
      </c>
      <c r="AB46" s="49">
        <f>IF(OR($AE46&lt;&gt;1,AB$1=""),"",SUMIFS('All Donations'!$S$2:$S$4001,'All Donations'!$R$2:$R$4001,$AD46,'All Donations'!$T$2:$T$4001,AB$1))</f>
        <v/>
      </c>
      <c r="AC46" s="49">
        <f>IF(OR($AE46&lt;&gt;1,AC$1=""),"",SUMIFS('All Donations'!$S$2:$S$4001,'All Donations'!$R$2:$R$4001,$AD46,'All Donations'!$T$2:$T$4001,AC$1))</f>
        <v/>
      </c>
      <c r="AD46">
        <f>IF(AE46=1,'Roster'!A46,"")</f>
        <v/>
      </c>
      <c r="AE46">
        <f>IF(TRIM('Roster'!B46&amp;'Roster'!C46)&lt;&gt;"",1,0)</f>
        <v/>
      </c>
      <c r="AF46">
        <f>IF(AE46=1,LOWER(A46),"#")</f>
        <v/>
      </c>
      <c r="AG46">
        <f>IF(AE46=1,LOWER(TRIM(TRIM('Roster'!C46)&amp;", "&amp;TRIM('Roster'!B46))),"#")</f>
        <v/>
      </c>
      <c r="AH46">
        <f>IF(AND(AE46=1,TRIM('Roster'!F46)&lt;&gt;""),LOWER(TRIM('Roster'!F46)),"#")</f>
        <v/>
      </c>
      <c r="AI46">
        <f>IF(AE46=1,IF(MATCH(B46,$B$2:$B$701,0)=ROW()-1,1,0),0)</f>
        <v/>
      </c>
      <c r="AJ46">
        <f>AJ45+AI46</f>
        <v/>
      </c>
      <c r="AK46">
        <f>IF(AE46=1,D46+(1000-ROW())/10^7,-1)</f>
        <v/>
      </c>
      <c r="AL46">
        <f>IF(AE46=1,TRIM('Roster'!B46)&amp;" "&amp;LEFT(TRIM('Roster'!C46),1)&amp;".","")</f>
        <v/>
      </c>
      <c r="AM46">
        <f>IF(AE46=1,TRIM('Roster'!C46)&amp;", "&amp;TRIM('Roster'!B46)&amp;" ("&amp;B46&amp;") #"&amp;AD46,"")</f>
        <v/>
      </c>
      <c r="AN46">
        <f>IF(AE46=1,TRIM('Roster'!E46),"")</f>
        <v/>
      </c>
      <c r="AO46">
        <f>IF(AE46=1,ROUND(SUMIFS('All Donations'!$S$2:$S$4001,'All Donations'!$R$2:$R$4001,AD46,'All Donations'!$T$2:$T$4001,"&gt;="&amp;'Settings'!$C$23,'All Donations'!$T$2:$T$4001,"&lt;="&amp;'Settings'!$D$23),2),0)</f>
        <v/>
      </c>
      <c r="AQ46">
        <f>IF(AE46=1,ROUND(SUMIFS('All Donations'!$S$2:$S$4001,'All Donations'!$R$2:$R$4001,AD46,'All Donations'!$T$2:$T$4001,"&gt;="&amp;'Settings'!$C$25,'All Donations'!$T$2:$T$4001,"&lt;="&amp;'Settings'!$D$25),2),0)</f>
        <v/>
      </c>
      <c r="AR46">
        <f>IF(AE46=1,ROUND(SUMIFS('All Donations'!$S$2:$S$4001,'All Donations'!$R$2:$R$4001,AD46,'All Donations'!$T$2:$T$4001,"&gt;="&amp;'Settings'!$C$26,'All Donations'!$T$2:$T$4001,"&lt;="&amp;'Settings'!$D$26),2),0)</f>
        <v/>
      </c>
      <c r="AS46">
        <f>IF(AE46=1,ROUND(SUMIFS('All Donations'!$S$2:$S$4001,'All Donations'!$R$2:$R$4001,AD46,'All Donations'!$T$2:$T$4001,"&lt;="&amp;'Settings'!$D$27),2),0)</f>
        <v/>
      </c>
      <c r="AT46">
        <f>IF(AE46=1,ROUND(SUMIFS('All Donations'!$S$2:$S$4001,'All Donations'!$R$2:$R$4001,AD46,'All Donations'!$T$2:$T$4001,"&gt;="&amp;'Settings'!$C$28,'All Donations'!$T$2:$T$4001,"&lt;="&amp;'Settings'!$D$28),2),0)</f>
        <v/>
      </c>
      <c r="AU46">
        <f>IF(AE46=1,ROUND(SUMIFS('All Donations'!$S$2:$S$4001,'All Donations'!$R$2:$R$4001,AD46,'All Donations'!$T$2:$T$4001,"&gt;="&amp;'Settings'!$C$29,'All Donations'!$T$2:$T$4001,"&lt;="&amp;'Settings'!$D$29),2),0)</f>
        <v/>
      </c>
      <c r="AV46">
        <f>IF(AE46=1,ROUND(SUMIFS('All Donations'!$S$2:$S$4001,'All Donations'!$R$2:$R$4001,AD46,'All Donations'!$T$2:$T$4001,"&lt;="&amp;'Settings'!$D$30),2),0)</f>
        <v/>
      </c>
      <c r="AZ46">
        <f>IF(AE46=1,ROUND(SUMIFS('All Donations'!$S$2:$S$4001,'All Donations'!$R$2:$R$4001,AD46,'All Donations'!$T$2:$T$4001,"&lt;="&amp;'Settings'!$D$34),2),0)</f>
        <v/>
      </c>
    </row>
    <row r="47">
      <c r="A47">
        <f>IF(AE47=1,TRIM(TRIM('Roster'!B47)&amp;" "&amp;TRIM('Roster'!C47)),"")</f>
        <v/>
      </c>
      <c r="B47">
        <f>IF(AE47=1,IF(AN47="","(no teacher)",AN47&amp;" – "&amp;C47),"")</f>
        <v/>
      </c>
      <c r="C47">
        <f>IF(AE47=1,TRIM('Roster'!D47&amp;""),"")</f>
        <v/>
      </c>
      <c r="D47" s="48">
        <f>IF(AE47=1,ROUND(SUMIFS('All Donations'!$S$2:$S$4001,'All Donations'!$R$2:$R$4001,AD47),2),"")</f>
        <v/>
      </c>
      <c r="E47" s="48">
        <f>IF(AE47=1,ROUND(SUMIFS('All Donations'!$S$2:$S$4001,'All Donations'!$R$2:$R$4001,AD47,'All Donations'!$G$2:$G$4001,"OneCause"),2),"")</f>
        <v/>
      </c>
      <c r="F47" s="48">
        <f>IF(AE47=1,D47-E47,"")</f>
        <v/>
      </c>
      <c r="G47">
        <f>IF(AE47=1,COUNTIFS('All Donations'!$R$2:$R$4001,AD47,'All Donations'!$H$2:$H$4001,"OK"),"")</f>
        <v/>
      </c>
      <c r="H47">
        <f>IF(AE47&lt;&gt;1,"",IF(D47&gt;0,"Yes",""))</f>
        <v/>
      </c>
      <c r="I47" s="49">
        <f>IF(OR($AE47&lt;&gt;1,I$1=""),"",SUMIFS('All Donations'!$S$2:$S$4001,'All Donations'!$R$2:$R$4001,$AD47,'All Donations'!$T$2:$T$4001,I$1))</f>
        <v/>
      </c>
      <c r="J47" s="49">
        <f>IF(OR($AE47&lt;&gt;1,J$1=""),"",SUMIFS('All Donations'!$S$2:$S$4001,'All Donations'!$R$2:$R$4001,$AD47,'All Donations'!$T$2:$T$4001,J$1))</f>
        <v/>
      </c>
      <c r="K47" s="49">
        <f>IF(OR($AE47&lt;&gt;1,K$1=""),"",SUMIFS('All Donations'!$S$2:$S$4001,'All Donations'!$R$2:$R$4001,$AD47,'All Donations'!$T$2:$T$4001,K$1))</f>
        <v/>
      </c>
      <c r="L47" s="49">
        <f>IF(OR($AE47&lt;&gt;1,L$1=""),"",SUMIFS('All Donations'!$S$2:$S$4001,'All Donations'!$R$2:$R$4001,$AD47,'All Donations'!$T$2:$T$4001,L$1))</f>
        <v/>
      </c>
      <c r="M47" s="49">
        <f>IF(OR($AE47&lt;&gt;1,M$1=""),"",SUMIFS('All Donations'!$S$2:$S$4001,'All Donations'!$R$2:$R$4001,$AD47,'All Donations'!$T$2:$T$4001,M$1))</f>
        <v/>
      </c>
      <c r="N47" s="49">
        <f>IF(OR($AE47&lt;&gt;1,N$1=""),"",SUMIFS('All Donations'!$S$2:$S$4001,'All Donations'!$R$2:$R$4001,$AD47,'All Donations'!$T$2:$T$4001,N$1))</f>
        <v/>
      </c>
      <c r="O47" s="49">
        <f>IF(OR($AE47&lt;&gt;1,O$1=""),"",SUMIFS('All Donations'!$S$2:$S$4001,'All Donations'!$R$2:$R$4001,$AD47,'All Donations'!$T$2:$T$4001,O$1))</f>
        <v/>
      </c>
      <c r="P47" s="49">
        <f>IF(OR($AE47&lt;&gt;1,P$1=""),"",SUMIFS('All Donations'!$S$2:$S$4001,'All Donations'!$R$2:$R$4001,$AD47,'All Donations'!$T$2:$T$4001,P$1))</f>
        <v/>
      </c>
      <c r="Q47" s="49">
        <f>IF(OR($AE47&lt;&gt;1,Q$1=""),"",SUMIFS('All Donations'!$S$2:$S$4001,'All Donations'!$R$2:$R$4001,$AD47,'All Donations'!$T$2:$T$4001,Q$1))</f>
        <v/>
      </c>
      <c r="R47" s="49">
        <f>IF(OR($AE47&lt;&gt;1,R$1=""),"",SUMIFS('All Donations'!$S$2:$S$4001,'All Donations'!$R$2:$R$4001,$AD47,'All Donations'!$T$2:$T$4001,R$1))</f>
        <v/>
      </c>
      <c r="S47" s="49">
        <f>IF(OR($AE47&lt;&gt;1,S$1=""),"",SUMIFS('All Donations'!$S$2:$S$4001,'All Donations'!$R$2:$R$4001,$AD47,'All Donations'!$T$2:$T$4001,S$1))</f>
        <v/>
      </c>
      <c r="T47" s="49">
        <f>IF(OR($AE47&lt;&gt;1,T$1=""),"",SUMIFS('All Donations'!$S$2:$S$4001,'All Donations'!$R$2:$R$4001,$AD47,'All Donations'!$T$2:$T$4001,T$1))</f>
        <v/>
      </c>
      <c r="U47" s="49">
        <f>IF(OR($AE47&lt;&gt;1,U$1=""),"",SUMIFS('All Donations'!$S$2:$S$4001,'All Donations'!$R$2:$R$4001,$AD47,'All Donations'!$T$2:$T$4001,U$1))</f>
        <v/>
      </c>
      <c r="V47" s="49">
        <f>IF(OR($AE47&lt;&gt;1,V$1=""),"",SUMIFS('All Donations'!$S$2:$S$4001,'All Donations'!$R$2:$R$4001,$AD47,'All Donations'!$T$2:$T$4001,V$1))</f>
        <v/>
      </c>
      <c r="W47" s="49">
        <f>IF(OR($AE47&lt;&gt;1,W$1=""),"",SUMIFS('All Donations'!$S$2:$S$4001,'All Donations'!$R$2:$R$4001,$AD47,'All Donations'!$T$2:$T$4001,W$1))</f>
        <v/>
      </c>
      <c r="X47" s="49">
        <f>IF(OR($AE47&lt;&gt;1,X$1=""),"",SUMIFS('All Donations'!$S$2:$S$4001,'All Donations'!$R$2:$R$4001,$AD47,'All Donations'!$T$2:$T$4001,X$1))</f>
        <v/>
      </c>
      <c r="Y47" s="49">
        <f>IF(OR($AE47&lt;&gt;1,Y$1=""),"",SUMIFS('All Donations'!$S$2:$S$4001,'All Donations'!$R$2:$R$4001,$AD47,'All Donations'!$T$2:$T$4001,Y$1))</f>
        <v/>
      </c>
      <c r="Z47" s="49">
        <f>IF(OR($AE47&lt;&gt;1,Z$1=""),"",SUMIFS('All Donations'!$S$2:$S$4001,'All Donations'!$R$2:$R$4001,$AD47,'All Donations'!$T$2:$T$4001,Z$1))</f>
        <v/>
      </c>
      <c r="AA47" s="49">
        <f>IF(OR($AE47&lt;&gt;1,AA$1=""),"",SUMIFS('All Donations'!$S$2:$S$4001,'All Donations'!$R$2:$R$4001,$AD47,'All Donations'!$T$2:$T$4001,AA$1))</f>
        <v/>
      </c>
      <c r="AB47" s="49">
        <f>IF(OR($AE47&lt;&gt;1,AB$1=""),"",SUMIFS('All Donations'!$S$2:$S$4001,'All Donations'!$R$2:$R$4001,$AD47,'All Donations'!$T$2:$T$4001,AB$1))</f>
        <v/>
      </c>
      <c r="AC47" s="49">
        <f>IF(OR($AE47&lt;&gt;1,AC$1=""),"",SUMIFS('All Donations'!$S$2:$S$4001,'All Donations'!$R$2:$R$4001,$AD47,'All Donations'!$T$2:$T$4001,AC$1))</f>
        <v/>
      </c>
      <c r="AD47">
        <f>IF(AE47=1,'Roster'!A47,"")</f>
        <v/>
      </c>
      <c r="AE47">
        <f>IF(TRIM('Roster'!B47&amp;'Roster'!C47)&lt;&gt;"",1,0)</f>
        <v/>
      </c>
      <c r="AF47">
        <f>IF(AE47=1,LOWER(A47),"#")</f>
        <v/>
      </c>
      <c r="AG47">
        <f>IF(AE47=1,LOWER(TRIM(TRIM('Roster'!C47)&amp;", "&amp;TRIM('Roster'!B47))),"#")</f>
        <v/>
      </c>
      <c r="AH47">
        <f>IF(AND(AE47=1,TRIM('Roster'!F47)&lt;&gt;""),LOWER(TRIM('Roster'!F47)),"#")</f>
        <v/>
      </c>
      <c r="AI47">
        <f>IF(AE47=1,IF(MATCH(B47,$B$2:$B$701,0)=ROW()-1,1,0),0)</f>
        <v/>
      </c>
      <c r="AJ47">
        <f>AJ46+AI47</f>
        <v/>
      </c>
      <c r="AK47">
        <f>IF(AE47=1,D47+(1000-ROW())/10^7,-1)</f>
        <v/>
      </c>
      <c r="AL47">
        <f>IF(AE47=1,TRIM('Roster'!B47)&amp;" "&amp;LEFT(TRIM('Roster'!C47),1)&amp;".","")</f>
        <v/>
      </c>
      <c r="AM47">
        <f>IF(AE47=1,TRIM('Roster'!C47)&amp;", "&amp;TRIM('Roster'!B47)&amp;" ("&amp;B47&amp;") #"&amp;AD47,"")</f>
        <v/>
      </c>
      <c r="AN47">
        <f>IF(AE47=1,TRIM('Roster'!E47),"")</f>
        <v/>
      </c>
      <c r="AO47">
        <f>IF(AE47=1,ROUND(SUMIFS('All Donations'!$S$2:$S$4001,'All Donations'!$R$2:$R$4001,AD47,'All Donations'!$T$2:$T$4001,"&gt;="&amp;'Settings'!$C$23,'All Donations'!$T$2:$T$4001,"&lt;="&amp;'Settings'!$D$23),2),0)</f>
        <v/>
      </c>
      <c r="AQ47">
        <f>IF(AE47=1,ROUND(SUMIFS('All Donations'!$S$2:$S$4001,'All Donations'!$R$2:$R$4001,AD47,'All Donations'!$T$2:$T$4001,"&gt;="&amp;'Settings'!$C$25,'All Donations'!$T$2:$T$4001,"&lt;="&amp;'Settings'!$D$25),2),0)</f>
        <v/>
      </c>
      <c r="AR47">
        <f>IF(AE47=1,ROUND(SUMIFS('All Donations'!$S$2:$S$4001,'All Donations'!$R$2:$R$4001,AD47,'All Donations'!$T$2:$T$4001,"&gt;="&amp;'Settings'!$C$26,'All Donations'!$T$2:$T$4001,"&lt;="&amp;'Settings'!$D$26),2),0)</f>
        <v/>
      </c>
      <c r="AS47">
        <f>IF(AE47=1,ROUND(SUMIFS('All Donations'!$S$2:$S$4001,'All Donations'!$R$2:$R$4001,AD47,'All Donations'!$T$2:$T$4001,"&lt;="&amp;'Settings'!$D$27),2),0)</f>
        <v/>
      </c>
      <c r="AT47">
        <f>IF(AE47=1,ROUND(SUMIFS('All Donations'!$S$2:$S$4001,'All Donations'!$R$2:$R$4001,AD47,'All Donations'!$T$2:$T$4001,"&gt;="&amp;'Settings'!$C$28,'All Donations'!$T$2:$T$4001,"&lt;="&amp;'Settings'!$D$28),2),0)</f>
        <v/>
      </c>
      <c r="AU47">
        <f>IF(AE47=1,ROUND(SUMIFS('All Donations'!$S$2:$S$4001,'All Donations'!$R$2:$R$4001,AD47,'All Donations'!$T$2:$T$4001,"&gt;="&amp;'Settings'!$C$29,'All Donations'!$T$2:$T$4001,"&lt;="&amp;'Settings'!$D$29),2),0)</f>
        <v/>
      </c>
      <c r="AV47">
        <f>IF(AE47=1,ROUND(SUMIFS('All Donations'!$S$2:$S$4001,'All Donations'!$R$2:$R$4001,AD47,'All Donations'!$T$2:$T$4001,"&lt;="&amp;'Settings'!$D$30),2),0)</f>
        <v/>
      </c>
      <c r="AZ47">
        <f>IF(AE47=1,ROUND(SUMIFS('All Donations'!$S$2:$S$4001,'All Donations'!$R$2:$R$4001,AD47,'All Donations'!$T$2:$T$4001,"&lt;="&amp;'Settings'!$D$34),2),0)</f>
        <v/>
      </c>
    </row>
    <row r="48">
      <c r="A48">
        <f>IF(AE48=1,TRIM(TRIM('Roster'!B48)&amp;" "&amp;TRIM('Roster'!C48)),"")</f>
        <v/>
      </c>
      <c r="B48">
        <f>IF(AE48=1,IF(AN48="","(no teacher)",AN48&amp;" – "&amp;C48),"")</f>
        <v/>
      </c>
      <c r="C48">
        <f>IF(AE48=1,TRIM('Roster'!D48&amp;""),"")</f>
        <v/>
      </c>
      <c r="D48" s="48">
        <f>IF(AE48=1,ROUND(SUMIFS('All Donations'!$S$2:$S$4001,'All Donations'!$R$2:$R$4001,AD48),2),"")</f>
        <v/>
      </c>
      <c r="E48" s="48">
        <f>IF(AE48=1,ROUND(SUMIFS('All Donations'!$S$2:$S$4001,'All Donations'!$R$2:$R$4001,AD48,'All Donations'!$G$2:$G$4001,"OneCause"),2),"")</f>
        <v/>
      </c>
      <c r="F48" s="48">
        <f>IF(AE48=1,D48-E48,"")</f>
        <v/>
      </c>
      <c r="G48">
        <f>IF(AE48=1,COUNTIFS('All Donations'!$R$2:$R$4001,AD48,'All Donations'!$H$2:$H$4001,"OK"),"")</f>
        <v/>
      </c>
      <c r="H48">
        <f>IF(AE48&lt;&gt;1,"",IF(D48&gt;0,"Yes",""))</f>
        <v/>
      </c>
      <c r="I48" s="49">
        <f>IF(OR($AE48&lt;&gt;1,I$1=""),"",SUMIFS('All Donations'!$S$2:$S$4001,'All Donations'!$R$2:$R$4001,$AD48,'All Donations'!$T$2:$T$4001,I$1))</f>
        <v/>
      </c>
      <c r="J48" s="49">
        <f>IF(OR($AE48&lt;&gt;1,J$1=""),"",SUMIFS('All Donations'!$S$2:$S$4001,'All Donations'!$R$2:$R$4001,$AD48,'All Donations'!$T$2:$T$4001,J$1))</f>
        <v/>
      </c>
      <c r="K48" s="49">
        <f>IF(OR($AE48&lt;&gt;1,K$1=""),"",SUMIFS('All Donations'!$S$2:$S$4001,'All Donations'!$R$2:$R$4001,$AD48,'All Donations'!$T$2:$T$4001,K$1))</f>
        <v/>
      </c>
      <c r="L48" s="49">
        <f>IF(OR($AE48&lt;&gt;1,L$1=""),"",SUMIFS('All Donations'!$S$2:$S$4001,'All Donations'!$R$2:$R$4001,$AD48,'All Donations'!$T$2:$T$4001,L$1))</f>
        <v/>
      </c>
      <c r="M48" s="49">
        <f>IF(OR($AE48&lt;&gt;1,M$1=""),"",SUMIFS('All Donations'!$S$2:$S$4001,'All Donations'!$R$2:$R$4001,$AD48,'All Donations'!$T$2:$T$4001,M$1))</f>
        <v/>
      </c>
      <c r="N48" s="49">
        <f>IF(OR($AE48&lt;&gt;1,N$1=""),"",SUMIFS('All Donations'!$S$2:$S$4001,'All Donations'!$R$2:$R$4001,$AD48,'All Donations'!$T$2:$T$4001,N$1))</f>
        <v/>
      </c>
      <c r="O48" s="49">
        <f>IF(OR($AE48&lt;&gt;1,O$1=""),"",SUMIFS('All Donations'!$S$2:$S$4001,'All Donations'!$R$2:$R$4001,$AD48,'All Donations'!$T$2:$T$4001,O$1))</f>
        <v/>
      </c>
      <c r="P48" s="49">
        <f>IF(OR($AE48&lt;&gt;1,P$1=""),"",SUMIFS('All Donations'!$S$2:$S$4001,'All Donations'!$R$2:$R$4001,$AD48,'All Donations'!$T$2:$T$4001,P$1))</f>
        <v/>
      </c>
      <c r="Q48" s="49">
        <f>IF(OR($AE48&lt;&gt;1,Q$1=""),"",SUMIFS('All Donations'!$S$2:$S$4001,'All Donations'!$R$2:$R$4001,$AD48,'All Donations'!$T$2:$T$4001,Q$1))</f>
        <v/>
      </c>
      <c r="R48" s="49">
        <f>IF(OR($AE48&lt;&gt;1,R$1=""),"",SUMIFS('All Donations'!$S$2:$S$4001,'All Donations'!$R$2:$R$4001,$AD48,'All Donations'!$T$2:$T$4001,R$1))</f>
        <v/>
      </c>
      <c r="S48" s="49">
        <f>IF(OR($AE48&lt;&gt;1,S$1=""),"",SUMIFS('All Donations'!$S$2:$S$4001,'All Donations'!$R$2:$R$4001,$AD48,'All Donations'!$T$2:$T$4001,S$1))</f>
        <v/>
      </c>
      <c r="T48" s="49">
        <f>IF(OR($AE48&lt;&gt;1,T$1=""),"",SUMIFS('All Donations'!$S$2:$S$4001,'All Donations'!$R$2:$R$4001,$AD48,'All Donations'!$T$2:$T$4001,T$1))</f>
        <v/>
      </c>
      <c r="U48" s="49">
        <f>IF(OR($AE48&lt;&gt;1,U$1=""),"",SUMIFS('All Donations'!$S$2:$S$4001,'All Donations'!$R$2:$R$4001,$AD48,'All Donations'!$T$2:$T$4001,U$1))</f>
        <v/>
      </c>
      <c r="V48" s="49">
        <f>IF(OR($AE48&lt;&gt;1,V$1=""),"",SUMIFS('All Donations'!$S$2:$S$4001,'All Donations'!$R$2:$R$4001,$AD48,'All Donations'!$T$2:$T$4001,V$1))</f>
        <v/>
      </c>
      <c r="W48" s="49">
        <f>IF(OR($AE48&lt;&gt;1,W$1=""),"",SUMIFS('All Donations'!$S$2:$S$4001,'All Donations'!$R$2:$R$4001,$AD48,'All Donations'!$T$2:$T$4001,W$1))</f>
        <v/>
      </c>
      <c r="X48" s="49">
        <f>IF(OR($AE48&lt;&gt;1,X$1=""),"",SUMIFS('All Donations'!$S$2:$S$4001,'All Donations'!$R$2:$R$4001,$AD48,'All Donations'!$T$2:$T$4001,X$1))</f>
        <v/>
      </c>
      <c r="Y48" s="49">
        <f>IF(OR($AE48&lt;&gt;1,Y$1=""),"",SUMIFS('All Donations'!$S$2:$S$4001,'All Donations'!$R$2:$R$4001,$AD48,'All Donations'!$T$2:$T$4001,Y$1))</f>
        <v/>
      </c>
      <c r="Z48" s="49">
        <f>IF(OR($AE48&lt;&gt;1,Z$1=""),"",SUMIFS('All Donations'!$S$2:$S$4001,'All Donations'!$R$2:$R$4001,$AD48,'All Donations'!$T$2:$T$4001,Z$1))</f>
        <v/>
      </c>
      <c r="AA48" s="49">
        <f>IF(OR($AE48&lt;&gt;1,AA$1=""),"",SUMIFS('All Donations'!$S$2:$S$4001,'All Donations'!$R$2:$R$4001,$AD48,'All Donations'!$T$2:$T$4001,AA$1))</f>
        <v/>
      </c>
      <c r="AB48" s="49">
        <f>IF(OR($AE48&lt;&gt;1,AB$1=""),"",SUMIFS('All Donations'!$S$2:$S$4001,'All Donations'!$R$2:$R$4001,$AD48,'All Donations'!$T$2:$T$4001,AB$1))</f>
        <v/>
      </c>
      <c r="AC48" s="49">
        <f>IF(OR($AE48&lt;&gt;1,AC$1=""),"",SUMIFS('All Donations'!$S$2:$S$4001,'All Donations'!$R$2:$R$4001,$AD48,'All Donations'!$T$2:$T$4001,AC$1))</f>
        <v/>
      </c>
      <c r="AD48">
        <f>IF(AE48=1,'Roster'!A48,"")</f>
        <v/>
      </c>
      <c r="AE48">
        <f>IF(TRIM('Roster'!B48&amp;'Roster'!C48)&lt;&gt;"",1,0)</f>
        <v/>
      </c>
      <c r="AF48">
        <f>IF(AE48=1,LOWER(A48),"#")</f>
        <v/>
      </c>
      <c r="AG48">
        <f>IF(AE48=1,LOWER(TRIM(TRIM('Roster'!C48)&amp;", "&amp;TRIM('Roster'!B48))),"#")</f>
        <v/>
      </c>
      <c r="AH48">
        <f>IF(AND(AE48=1,TRIM('Roster'!F48)&lt;&gt;""),LOWER(TRIM('Roster'!F48)),"#")</f>
        <v/>
      </c>
      <c r="AI48">
        <f>IF(AE48=1,IF(MATCH(B48,$B$2:$B$701,0)=ROW()-1,1,0),0)</f>
        <v/>
      </c>
      <c r="AJ48">
        <f>AJ47+AI48</f>
        <v/>
      </c>
      <c r="AK48">
        <f>IF(AE48=1,D48+(1000-ROW())/10^7,-1)</f>
        <v/>
      </c>
      <c r="AL48">
        <f>IF(AE48=1,TRIM('Roster'!B48)&amp;" "&amp;LEFT(TRIM('Roster'!C48),1)&amp;".","")</f>
        <v/>
      </c>
      <c r="AM48">
        <f>IF(AE48=1,TRIM('Roster'!C48)&amp;", "&amp;TRIM('Roster'!B48)&amp;" ("&amp;B48&amp;") #"&amp;AD48,"")</f>
        <v/>
      </c>
      <c r="AN48">
        <f>IF(AE48=1,TRIM('Roster'!E48),"")</f>
        <v/>
      </c>
      <c r="AO48">
        <f>IF(AE48=1,ROUND(SUMIFS('All Donations'!$S$2:$S$4001,'All Donations'!$R$2:$R$4001,AD48,'All Donations'!$T$2:$T$4001,"&gt;="&amp;'Settings'!$C$23,'All Donations'!$T$2:$T$4001,"&lt;="&amp;'Settings'!$D$23),2),0)</f>
        <v/>
      </c>
      <c r="AQ48">
        <f>IF(AE48=1,ROUND(SUMIFS('All Donations'!$S$2:$S$4001,'All Donations'!$R$2:$R$4001,AD48,'All Donations'!$T$2:$T$4001,"&gt;="&amp;'Settings'!$C$25,'All Donations'!$T$2:$T$4001,"&lt;="&amp;'Settings'!$D$25),2),0)</f>
        <v/>
      </c>
      <c r="AR48">
        <f>IF(AE48=1,ROUND(SUMIFS('All Donations'!$S$2:$S$4001,'All Donations'!$R$2:$R$4001,AD48,'All Donations'!$T$2:$T$4001,"&gt;="&amp;'Settings'!$C$26,'All Donations'!$T$2:$T$4001,"&lt;="&amp;'Settings'!$D$26),2),0)</f>
        <v/>
      </c>
      <c r="AS48">
        <f>IF(AE48=1,ROUND(SUMIFS('All Donations'!$S$2:$S$4001,'All Donations'!$R$2:$R$4001,AD48,'All Donations'!$T$2:$T$4001,"&lt;="&amp;'Settings'!$D$27),2),0)</f>
        <v/>
      </c>
      <c r="AT48">
        <f>IF(AE48=1,ROUND(SUMIFS('All Donations'!$S$2:$S$4001,'All Donations'!$R$2:$R$4001,AD48,'All Donations'!$T$2:$T$4001,"&gt;="&amp;'Settings'!$C$28,'All Donations'!$T$2:$T$4001,"&lt;="&amp;'Settings'!$D$28),2),0)</f>
        <v/>
      </c>
      <c r="AU48">
        <f>IF(AE48=1,ROUND(SUMIFS('All Donations'!$S$2:$S$4001,'All Donations'!$R$2:$R$4001,AD48,'All Donations'!$T$2:$T$4001,"&gt;="&amp;'Settings'!$C$29,'All Donations'!$T$2:$T$4001,"&lt;="&amp;'Settings'!$D$29),2),0)</f>
        <v/>
      </c>
      <c r="AV48">
        <f>IF(AE48=1,ROUND(SUMIFS('All Donations'!$S$2:$S$4001,'All Donations'!$R$2:$R$4001,AD48,'All Donations'!$T$2:$T$4001,"&lt;="&amp;'Settings'!$D$30),2),0)</f>
        <v/>
      </c>
      <c r="AZ48">
        <f>IF(AE48=1,ROUND(SUMIFS('All Donations'!$S$2:$S$4001,'All Donations'!$R$2:$R$4001,AD48,'All Donations'!$T$2:$T$4001,"&lt;="&amp;'Settings'!$D$34),2),0)</f>
        <v/>
      </c>
    </row>
    <row r="49">
      <c r="A49">
        <f>IF(AE49=1,TRIM(TRIM('Roster'!B49)&amp;" "&amp;TRIM('Roster'!C49)),"")</f>
        <v/>
      </c>
      <c r="B49">
        <f>IF(AE49=1,IF(AN49="","(no teacher)",AN49&amp;" – "&amp;C49),"")</f>
        <v/>
      </c>
      <c r="C49">
        <f>IF(AE49=1,TRIM('Roster'!D49&amp;""),"")</f>
        <v/>
      </c>
      <c r="D49" s="48">
        <f>IF(AE49=1,ROUND(SUMIFS('All Donations'!$S$2:$S$4001,'All Donations'!$R$2:$R$4001,AD49),2),"")</f>
        <v/>
      </c>
      <c r="E49" s="48">
        <f>IF(AE49=1,ROUND(SUMIFS('All Donations'!$S$2:$S$4001,'All Donations'!$R$2:$R$4001,AD49,'All Donations'!$G$2:$G$4001,"OneCause"),2),"")</f>
        <v/>
      </c>
      <c r="F49" s="48">
        <f>IF(AE49=1,D49-E49,"")</f>
        <v/>
      </c>
      <c r="G49">
        <f>IF(AE49=1,COUNTIFS('All Donations'!$R$2:$R$4001,AD49,'All Donations'!$H$2:$H$4001,"OK"),"")</f>
        <v/>
      </c>
      <c r="H49">
        <f>IF(AE49&lt;&gt;1,"",IF(D49&gt;0,"Yes",""))</f>
        <v/>
      </c>
      <c r="I49" s="49">
        <f>IF(OR($AE49&lt;&gt;1,I$1=""),"",SUMIFS('All Donations'!$S$2:$S$4001,'All Donations'!$R$2:$R$4001,$AD49,'All Donations'!$T$2:$T$4001,I$1))</f>
        <v/>
      </c>
      <c r="J49" s="49">
        <f>IF(OR($AE49&lt;&gt;1,J$1=""),"",SUMIFS('All Donations'!$S$2:$S$4001,'All Donations'!$R$2:$R$4001,$AD49,'All Donations'!$T$2:$T$4001,J$1))</f>
        <v/>
      </c>
      <c r="K49" s="49">
        <f>IF(OR($AE49&lt;&gt;1,K$1=""),"",SUMIFS('All Donations'!$S$2:$S$4001,'All Donations'!$R$2:$R$4001,$AD49,'All Donations'!$T$2:$T$4001,K$1))</f>
        <v/>
      </c>
      <c r="L49" s="49">
        <f>IF(OR($AE49&lt;&gt;1,L$1=""),"",SUMIFS('All Donations'!$S$2:$S$4001,'All Donations'!$R$2:$R$4001,$AD49,'All Donations'!$T$2:$T$4001,L$1))</f>
        <v/>
      </c>
      <c r="M49" s="49">
        <f>IF(OR($AE49&lt;&gt;1,M$1=""),"",SUMIFS('All Donations'!$S$2:$S$4001,'All Donations'!$R$2:$R$4001,$AD49,'All Donations'!$T$2:$T$4001,M$1))</f>
        <v/>
      </c>
      <c r="N49" s="49">
        <f>IF(OR($AE49&lt;&gt;1,N$1=""),"",SUMIFS('All Donations'!$S$2:$S$4001,'All Donations'!$R$2:$R$4001,$AD49,'All Donations'!$T$2:$T$4001,N$1))</f>
        <v/>
      </c>
      <c r="O49" s="49">
        <f>IF(OR($AE49&lt;&gt;1,O$1=""),"",SUMIFS('All Donations'!$S$2:$S$4001,'All Donations'!$R$2:$R$4001,$AD49,'All Donations'!$T$2:$T$4001,O$1))</f>
        <v/>
      </c>
      <c r="P49" s="49">
        <f>IF(OR($AE49&lt;&gt;1,P$1=""),"",SUMIFS('All Donations'!$S$2:$S$4001,'All Donations'!$R$2:$R$4001,$AD49,'All Donations'!$T$2:$T$4001,P$1))</f>
        <v/>
      </c>
      <c r="Q49" s="49">
        <f>IF(OR($AE49&lt;&gt;1,Q$1=""),"",SUMIFS('All Donations'!$S$2:$S$4001,'All Donations'!$R$2:$R$4001,$AD49,'All Donations'!$T$2:$T$4001,Q$1))</f>
        <v/>
      </c>
      <c r="R49" s="49">
        <f>IF(OR($AE49&lt;&gt;1,R$1=""),"",SUMIFS('All Donations'!$S$2:$S$4001,'All Donations'!$R$2:$R$4001,$AD49,'All Donations'!$T$2:$T$4001,R$1))</f>
        <v/>
      </c>
      <c r="S49" s="49">
        <f>IF(OR($AE49&lt;&gt;1,S$1=""),"",SUMIFS('All Donations'!$S$2:$S$4001,'All Donations'!$R$2:$R$4001,$AD49,'All Donations'!$T$2:$T$4001,S$1))</f>
        <v/>
      </c>
      <c r="T49" s="49">
        <f>IF(OR($AE49&lt;&gt;1,T$1=""),"",SUMIFS('All Donations'!$S$2:$S$4001,'All Donations'!$R$2:$R$4001,$AD49,'All Donations'!$T$2:$T$4001,T$1))</f>
        <v/>
      </c>
      <c r="U49" s="49">
        <f>IF(OR($AE49&lt;&gt;1,U$1=""),"",SUMIFS('All Donations'!$S$2:$S$4001,'All Donations'!$R$2:$R$4001,$AD49,'All Donations'!$T$2:$T$4001,U$1))</f>
        <v/>
      </c>
      <c r="V49" s="49">
        <f>IF(OR($AE49&lt;&gt;1,V$1=""),"",SUMIFS('All Donations'!$S$2:$S$4001,'All Donations'!$R$2:$R$4001,$AD49,'All Donations'!$T$2:$T$4001,V$1))</f>
        <v/>
      </c>
      <c r="W49" s="49">
        <f>IF(OR($AE49&lt;&gt;1,W$1=""),"",SUMIFS('All Donations'!$S$2:$S$4001,'All Donations'!$R$2:$R$4001,$AD49,'All Donations'!$T$2:$T$4001,W$1))</f>
        <v/>
      </c>
      <c r="X49" s="49">
        <f>IF(OR($AE49&lt;&gt;1,X$1=""),"",SUMIFS('All Donations'!$S$2:$S$4001,'All Donations'!$R$2:$R$4001,$AD49,'All Donations'!$T$2:$T$4001,X$1))</f>
        <v/>
      </c>
      <c r="Y49" s="49">
        <f>IF(OR($AE49&lt;&gt;1,Y$1=""),"",SUMIFS('All Donations'!$S$2:$S$4001,'All Donations'!$R$2:$R$4001,$AD49,'All Donations'!$T$2:$T$4001,Y$1))</f>
        <v/>
      </c>
      <c r="Z49" s="49">
        <f>IF(OR($AE49&lt;&gt;1,Z$1=""),"",SUMIFS('All Donations'!$S$2:$S$4001,'All Donations'!$R$2:$R$4001,$AD49,'All Donations'!$T$2:$T$4001,Z$1))</f>
        <v/>
      </c>
      <c r="AA49" s="49">
        <f>IF(OR($AE49&lt;&gt;1,AA$1=""),"",SUMIFS('All Donations'!$S$2:$S$4001,'All Donations'!$R$2:$R$4001,$AD49,'All Donations'!$T$2:$T$4001,AA$1))</f>
        <v/>
      </c>
      <c r="AB49" s="49">
        <f>IF(OR($AE49&lt;&gt;1,AB$1=""),"",SUMIFS('All Donations'!$S$2:$S$4001,'All Donations'!$R$2:$R$4001,$AD49,'All Donations'!$T$2:$T$4001,AB$1))</f>
        <v/>
      </c>
      <c r="AC49" s="49">
        <f>IF(OR($AE49&lt;&gt;1,AC$1=""),"",SUMIFS('All Donations'!$S$2:$S$4001,'All Donations'!$R$2:$R$4001,$AD49,'All Donations'!$T$2:$T$4001,AC$1))</f>
        <v/>
      </c>
      <c r="AD49">
        <f>IF(AE49=1,'Roster'!A49,"")</f>
        <v/>
      </c>
      <c r="AE49">
        <f>IF(TRIM('Roster'!B49&amp;'Roster'!C49)&lt;&gt;"",1,0)</f>
        <v/>
      </c>
      <c r="AF49">
        <f>IF(AE49=1,LOWER(A49),"#")</f>
        <v/>
      </c>
      <c r="AG49">
        <f>IF(AE49=1,LOWER(TRIM(TRIM('Roster'!C49)&amp;", "&amp;TRIM('Roster'!B49))),"#")</f>
        <v/>
      </c>
      <c r="AH49">
        <f>IF(AND(AE49=1,TRIM('Roster'!F49)&lt;&gt;""),LOWER(TRIM('Roster'!F49)),"#")</f>
        <v/>
      </c>
      <c r="AI49">
        <f>IF(AE49=1,IF(MATCH(B49,$B$2:$B$701,0)=ROW()-1,1,0),0)</f>
        <v/>
      </c>
      <c r="AJ49">
        <f>AJ48+AI49</f>
        <v/>
      </c>
      <c r="AK49">
        <f>IF(AE49=1,D49+(1000-ROW())/10^7,-1)</f>
        <v/>
      </c>
      <c r="AL49">
        <f>IF(AE49=1,TRIM('Roster'!B49)&amp;" "&amp;LEFT(TRIM('Roster'!C49),1)&amp;".","")</f>
        <v/>
      </c>
      <c r="AM49">
        <f>IF(AE49=1,TRIM('Roster'!C49)&amp;", "&amp;TRIM('Roster'!B49)&amp;" ("&amp;B49&amp;") #"&amp;AD49,"")</f>
        <v/>
      </c>
      <c r="AN49">
        <f>IF(AE49=1,TRIM('Roster'!E49),"")</f>
        <v/>
      </c>
      <c r="AO49">
        <f>IF(AE49=1,ROUND(SUMIFS('All Donations'!$S$2:$S$4001,'All Donations'!$R$2:$R$4001,AD49,'All Donations'!$T$2:$T$4001,"&gt;="&amp;'Settings'!$C$23,'All Donations'!$T$2:$T$4001,"&lt;="&amp;'Settings'!$D$23),2),0)</f>
        <v/>
      </c>
      <c r="AQ49">
        <f>IF(AE49=1,ROUND(SUMIFS('All Donations'!$S$2:$S$4001,'All Donations'!$R$2:$R$4001,AD49,'All Donations'!$T$2:$T$4001,"&gt;="&amp;'Settings'!$C$25,'All Donations'!$T$2:$T$4001,"&lt;="&amp;'Settings'!$D$25),2),0)</f>
        <v/>
      </c>
      <c r="AR49">
        <f>IF(AE49=1,ROUND(SUMIFS('All Donations'!$S$2:$S$4001,'All Donations'!$R$2:$R$4001,AD49,'All Donations'!$T$2:$T$4001,"&gt;="&amp;'Settings'!$C$26,'All Donations'!$T$2:$T$4001,"&lt;="&amp;'Settings'!$D$26),2),0)</f>
        <v/>
      </c>
      <c r="AS49">
        <f>IF(AE49=1,ROUND(SUMIFS('All Donations'!$S$2:$S$4001,'All Donations'!$R$2:$R$4001,AD49,'All Donations'!$T$2:$T$4001,"&lt;="&amp;'Settings'!$D$27),2),0)</f>
        <v/>
      </c>
      <c r="AT49">
        <f>IF(AE49=1,ROUND(SUMIFS('All Donations'!$S$2:$S$4001,'All Donations'!$R$2:$R$4001,AD49,'All Donations'!$T$2:$T$4001,"&gt;="&amp;'Settings'!$C$28,'All Donations'!$T$2:$T$4001,"&lt;="&amp;'Settings'!$D$28),2),0)</f>
        <v/>
      </c>
      <c r="AU49">
        <f>IF(AE49=1,ROUND(SUMIFS('All Donations'!$S$2:$S$4001,'All Donations'!$R$2:$R$4001,AD49,'All Donations'!$T$2:$T$4001,"&gt;="&amp;'Settings'!$C$29,'All Donations'!$T$2:$T$4001,"&lt;="&amp;'Settings'!$D$29),2),0)</f>
        <v/>
      </c>
      <c r="AV49">
        <f>IF(AE49=1,ROUND(SUMIFS('All Donations'!$S$2:$S$4001,'All Donations'!$R$2:$R$4001,AD49,'All Donations'!$T$2:$T$4001,"&lt;="&amp;'Settings'!$D$30),2),0)</f>
        <v/>
      </c>
      <c r="AZ49">
        <f>IF(AE49=1,ROUND(SUMIFS('All Donations'!$S$2:$S$4001,'All Donations'!$R$2:$R$4001,AD49,'All Donations'!$T$2:$T$4001,"&lt;="&amp;'Settings'!$D$34),2),0)</f>
        <v/>
      </c>
    </row>
    <row r="50">
      <c r="A50">
        <f>IF(AE50=1,TRIM(TRIM('Roster'!B50)&amp;" "&amp;TRIM('Roster'!C50)),"")</f>
        <v/>
      </c>
      <c r="B50">
        <f>IF(AE50=1,IF(AN50="","(no teacher)",AN50&amp;" – "&amp;C50),"")</f>
        <v/>
      </c>
      <c r="C50">
        <f>IF(AE50=1,TRIM('Roster'!D50&amp;""),"")</f>
        <v/>
      </c>
      <c r="D50" s="48">
        <f>IF(AE50=1,ROUND(SUMIFS('All Donations'!$S$2:$S$4001,'All Donations'!$R$2:$R$4001,AD50),2),"")</f>
        <v/>
      </c>
      <c r="E50" s="48">
        <f>IF(AE50=1,ROUND(SUMIFS('All Donations'!$S$2:$S$4001,'All Donations'!$R$2:$R$4001,AD50,'All Donations'!$G$2:$G$4001,"OneCause"),2),"")</f>
        <v/>
      </c>
      <c r="F50" s="48">
        <f>IF(AE50=1,D50-E50,"")</f>
        <v/>
      </c>
      <c r="G50">
        <f>IF(AE50=1,COUNTIFS('All Donations'!$R$2:$R$4001,AD50,'All Donations'!$H$2:$H$4001,"OK"),"")</f>
        <v/>
      </c>
      <c r="H50">
        <f>IF(AE50&lt;&gt;1,"",IF(D50&gt;0,"Yes",""))</f>
        <v/>
      </c>
      <c r="I50" s="49">
        <f>IF(OR($AE50&lt;&gt;1,I$1=""),"",SUMIFS('All Donations'!$S$2:$S$4001,'All Donations'!$R$2:$R$4001,$AD50,'All Donations'!$T$2:$T$4001,I$1))</f>
        <v/>
      </c>
      <c r="J50" s="49">
        <f>IF(OR($AE50&lt;&gt;1,J$1=""),"",SUMIFS('All Donations'!$S$2:$S$4001,'All Donations'!$R$2:$R$4001,$AD50,'All Donations'!$T$2:$T$4001,J$1))</f>
        <v/>
      </c>
      <c r="K50" s="49">
        <f>IF(OR($AE50&lt;&gt;1,K$1=""),"",SUMIFS('All Donations'!$S$2:$S$4001,'All Donations'!$R$2:$R$4001,$AD50,'All Donations'!$T$2:$T$4001,K$1))</f>
        <v/>
      </c>
      <c r="L50" s="49">
        <f>IF(OR($AE50&lt;&gt;1,L$1=""),"",SUMIFS('All Donations'!$S$2:$S$4001,'All Donations'!$R$2:$R$4001,$AD50,'All Donations'!$T$2:$T$4001,L$1))</f>
        <v/>
      </c>
      <c r="M50" s="49">
        <f>IF(OR($AE50&lt;&gt;1,M$1=""),"",SUMIFS('All Donations'!$S$2:$S$4001,'All Donations'!$R$2:$R$4001,$AD50,'All Donations'!$T$2:$T$4001,M$1))</f>
        <v/>
      </c>
      <c r="N50" s="49">
        <f>IF(OR($AE50&lt;&gt;1,N$1=""),"",SUMIFS('All Donations'!$S$2:$S$4001,'All Donations'!$R$2:$R$4001,$AD50,'All Donations'!$T$2:$T$4001,N$1))</f>
        <v/>
      </c>
      <c r="O50" s="49">
        <f>IF(OR($AE50&lt;&gt;1,O$1=""),"",SUMIFS('All Donations'!$S$2:$S$4001,'All Donations'!$R$2:$R$4001,$AD50,'All Donations'!$T$2:$T$4001,O$1))</f>
        <v/>
      </c>
      <c r="P50" s="49">
        <f>IF(OR($AE50&lt;&gt;1,P$1=""),"",SUMIFS('All Donations'!$S$2:$S$4001,'All Donations'!$R$2:$R$4001,$AD50,'All Donations'!$T$2:$T$4001,P$1))</f>
        <v/>
      </c>
      <c r="Q50" s="49">
        <f>IF(OR($AE50&lt;&gt;1,Q$1=""),"",SUMIFS('All Donations'!$S$2:$S$4001,'All Donations'!$R$2:$R$4001,$AD50,'All Donations'!$T$2:$T$4001,Q$1))</f>
        <v/>
      </c>
      <c r="R50" s="49">
        <f>IF(OR($AE50&lt;&gt;1,R$1=""),"",SUMIFS('All Donations'!$S$2:$S$4001,'All Donations'!$R$2:$R$4001,$AD50,'All Donations'!$T$2:$T$4001,R$1))</f>
        <v/>
      </c>
      <c r="S50" s="49">
        <f>IF(OR($AE50&lt;&gt;1,S$1=""),"",SUMIFS('All Donations'!$S$2:$S$4001,'All Donations'!$R$2:$R$4001,$AD50,'All Donations'!$T$2:$T$4001,S$1))</f>
        <v/>
      </c>
      <c r="T50" s="49">
        <f>IF(OR($AE50&lt;&gt;1,T$1=""),"",SUMIFS('All Donations'!$S$2:$S$4001,'All Donations'!$R$2:$R$4001,$AD50,'All Donations'!$T$2:$T$4001,T$1))</f>
        <v/>
      </c>
      <c r="U50" s="49">
        <f>IF(OR($AE50&lt;&gt;1,U$1=""),"",SUMIFS('All Donations'!$S$2:$S$4001,'All Donations'!$R$2:$R$4001,$AD50,'All Donations'!$T$2:$T$4001,U$1))</f>
        <v/>
      </c>
      <c r="V50" s="49">
        <f>IF(OR($AE50&lt;&gt;1,V$1=""),"",SUMIFS('All Donations'!$S$2:$S$4001,'All Donations'!$R$2:$R$4001,$AD50,'All Donations'!$T$2:$T$4001,V$1))</f>
        <v/>
      </c>
      <c r="W50" s="49">
        <f>IF(OR($AE50&lt;&gt;1,W$1=""),"",SUMIFS('All Donations'!$S$2:$S$4001,'All Donations'!$R$2:$R$4001,$AD50,'All Donations'!$T$2:$T$4001,W$1))</f>
        <v/>
      </c>
      <c r="X50" s="49">
        <f>IF(OR($AE50&lt;&gt;1,X$1=""),"",SUMIFS('All Donations'!$S$2:$S$4001,'All Donations'!$R$2:$R$4001,$AD50,'All Donations'!$T$2:$T$4001,X$1))</f>
        <v/>
      </c>
      <c r="Y50" s="49">
        <f>IF(OR($AE50&lt;&gt;1,Y$1=""),"",SUMIFS('All Donations'!$S$2:$S$4001,'All Donations'!$R$2:$R$4001,$AD50,'All Donations'!$T$2:$T$4001,Y$1))</f>
        <v/>
      </c>
      <c r="Z50" s="49">
        <f>IF(OR($AE50&lt;&gt;1,Z$1=""),"",SUMIFS('All Donations'!$S$2:$S$4001,'All Donations'!$R$2:$R$4001,$AD50,'All Donations'!$T$2:$T$4001,Z$1))</f>
        <v/>
      </c>
      <c r="AA50" s="49">
        <f>IF(OR($AE50&lt;&gt;1,AA$1=""),"",SUMIFS('All Donations'!$S$2:$S$4001,'All Donations'!$R$2:$R$4001,$AD50,'All Donations'!$T$2:$T$4001,AA$1))</f>
        <v/>
      </c>
      <c r="AB50" s="49">
        <f>IF(OR($AE50&lt;&gt;1,AB$1=""),"",SUMIFS('All Donations'!$S$2:$S$4001,'All Donations'!$R$2:$R$4001,$AD50,'All Donations'!$T$2:$T$4001,AB$1))</f>
        <v/>
      </c>
      <c r="AC50" s="49">
        <f>IF(OR($AE50&lt;&gt;1,AC$1=""),"",SUMIFS('All Donations'!$S$2:$S$4001,'All Donations'!$R$2:$R$4001,$AD50,'All Donations'!$T$2:$T$4001,AC$1))</f>
        <v/>
      </c>
      <c r="AD50">
        <f>IF(AE50=1,'Roster'!A50,"")</f>
        <v/>
      </c>
      <c r="AE50">
        <f>IF(TRIM('Roster'!B50&amp;'Roster'!C50)&lt;&gt;"",1,0)</f>
        <v/>
      </c>
      <c r="AF50">
        <f>IF(AE50=1,LOWER(A50),"#")</f>
        <v/>
      </c>
      <c r="AG50">
        <f>IF(AE50=1,LOWER(TRIM(TRIM('Roster'!C50)&amp;", "&amp;TRIM('Roster'!B50))),"#")</f>
        <v/>
      </c>
      <c r="AH50">
        <f>IF(AND(AE50=1,TRIM('Roster'!F50)&lt;&gt;""),LOWER(TRIM('Roster'!F50)),"#")</f>
        <v/>
      </c>
      <c r="AI50">
        <f>IF(AE50=1,IF(MATCH(B50,$B$2:$B$701,0)=ROW()-1,1,0),0)</f>
        <v/>
      </c>
      <c r="AJ50">
        <f>AJ49+AI50</f>
        <v/>
      </c>
      <c r="AK50">
        <f>IF(AE50=1,D50+(1000-ROW())/10^7,-1)</f>
        <v/>
      </c>
      <c r="AL50">
        <f>IF(AE50=1,TRIM('Roster'!B50)&amp;" "&amp;LEFT(TRIM('Roster'!C50),1)&amp;".","")</f>
        <v/>
      </c>
      <c r="AM50">
        <f>IF(AE50=1,TRIM('Roster'!C50)&amp;", "&amp;TRIM('Roster'!B50)&amp;" ("&amp;B50&amp;") #"&amp;AD50,"")</f>
        <v/>
      </c>
      <c r="AN50">
        <f>IF(AE50=1,TRIM('Roster'!E50),"")</f>
        <v/>
      </c>
      <c r="AO50">
        <f>IF(AE50=1,ROUND(SUMIFS('All Donations'!$S$2:$S$4001,'All Donations'!$R$2:$R$4001,AD50,'All Donations'!$T$2:$T$4001,"&gt;="&amp;'Settings'!$C$23,'All Donations'!$T$2:$T$4001,"&lt;="&amp;'Settings'!$D$23),2),0)</f>
        <v/>
      </c>
      <c r="AQ50">
        <f>IF(AE50=1,ROUND(SUMIFS('All Donations'!$S$2:$S$4001,'All Donations'!$R$2:$R$4001,AD50,'All Donations'!$T$2:$T$4001,"&gt;="&amp;'Settings'!$C$25,'All Donations'!$T$2:$T$4001,"&lt;="&amp;'Settings'!$D$25),2),0)</f>
        <v/>
      </c>
      <c r="AR50">
        <f>IF(AE50=1,ROUND(SUMIFS('All Donations'!$S$2:$S$4001,'All Donations'!$R$2:$R$4001,AD50,'All Donations'!$T$2:$T$4001,"&gt;="&amp;'Settings'!$C$26,'All Donations'!$T$2:$T$4001,"&lt;="&amp;'Settings'!$D$26),2),0)</f>
        <v/>
      </c>
      <c r="AS50">
        <f>IF(AE50=1,ROUND(SUMIFS('All Donations'!$S$2:$S$4001,'All Donations'!$R$2:$R$4001,AD50,'All Donations'!$T$2:$T$4001,"&lt;="&amp;'Settings'!$D$27),2),0)</f>
        <v/>
      </c>
      <c r="AT50">
        <f>IF(AE50=1,ROUND(SUMIFS('All Donations'!$S$2:$S$4001,'All Donations'!$R$2:$R$4001,AD50,'All Donations'!$T$2:$T$4001,"&gt;="&amp;'Settings'!$C$28,'All Donations'!$T$2:$T$4001,"&lt;="&amp;'Settings'!$D$28),2),0)</f>
        <v/>
      </c>
      <c r="AU50">
        <f>IF(AE50=1,ROUND(SUMIFS('All Donations'!$S$2:$S$4001,'All Donations'!$R$2:$R$4001,AD50,'All Donations'!$T$2:$T$4001,"&gt;="&amp;'Settings'!$C$29,'All Donations'!$T$2:$T$4001,"&lt;="&amp;'Settings'!$D$29),2),0)</f>
        <v/>
      </c>
      <c r="AV50">
        <f>IF(AE50=1,ROUND(SUMIFS('All Donations'!$S$2:$S$4001,'All Donations'!$R$2:$R$4001,AD50,'All Donations'!$T$2:$T$4001,"&lt;="&amp;'Settings'!$D$30),2),0)</f>
        <v/>
      </c>
      <c r="AZ50">
        <f>IF(AE50=1,ROUND(SUMIFS('All Donations'!$S$2:$S$4001,'All Donations'!$R$2:$R$4001,AD50,'All Donations'!$T$2:$T$4001,"&lt;="&amp;'Settings'!$D$34),2),0)</f>
        <v/>
      </c>
    </row>
    <row r="51">
      <c r="A51">
        <f>IF(AE51=1,TRIM(TRIM('Roster'!B51)&amp;" "&amp;TRIM('Roster'!C51)),"")</f>
        <v/>
      </c>
      <c r="B51">
        <f>IF(AE51=1,IF(AN51="","(no teacher)",AN51&amp;" – "&amp;C51),"")</f>
        <v/>
      </c>
      <c r="C51">
        <f>IF(AE51=1,TRIM('Roster'!D51&amp;""),"")</f>
        <v/>
      </c>
      <c r="D51" s="48">
        <f>IF(AE51=1,ROUND(SUMIFS('All Donations'!$S$2:$S$4001,'All Donations'!$R$2:$R$4001,AD51),2),"")</f>
        <v/>
      </c>
      <c r="E51" s="48">
        <f>IF(AE51=1,ROUND(SUMIFS('All Donations'!$S$2:$S$4001,'All Donations'!$R$2:$R$4001,AD51,'All Donations'!$G$2:$G$4001,"OneCause"),2),"")</f>
        <v/>
      </c>
      <c r="F51" s="48">
        <f>IF(AE51=1,D51-E51,"")</f>
        <v/>
      </c>
      <c r="G51">
        <f>IF(AE51=1,COUNTIFS('All Donations'!$R$2:$R$4001,AD51,'All Donations'!$H$2:$H$4001,"OK"),"")</f>
        <v/>
      </c>
      <c r="H51">
        <f>IF(AE51&lt;&gt;1,"",IF(D51&gt;0,"Yes",""))</f>
        <v/>
      </c>
      <c r="I51" s="49">
        <f>IF(OR($AE51&lt;&gt;1,I$1=""),"",SUMIFS('All Donations'!$S$2:$S$4001,'All Donations'!$R$2:$R$4001,$AD51,'All Donations'!$T$2:$T$4001,I$1))</f>
        <v/>
      </c>
      <c r="J51" s="49">
        <f>IF(OR($AE51&lt;&gt;1,J$1=""),"",SUMIFS('All Donations'!$S$2:$S$4001,'All Donations'!$R$2:$R$4001,$AD51,'All Donations'!$T$2:$T$4001,J$1))</f>
        <v/>
      </c>
      <c r="K51" s="49">
        <f>IF(OR($AE51&lt;&gt;1,K$1=""),"",SUMIFS('All Donations'!$S$2:$S$4001,'All Donations'!$R$2:$R$4001,$AD51,'All Donations'!$T$2:$T$4001,K$1))</f>
        <v/>
      </c>
      <c r="L51" s="49">
        <f>IF(OR($AE51&lt;&gt;1,L$1=""),"",SUMIFS('All Donations'!$S$2:$S$4001,'All Donations'!$R$2:$R$4001,$AD51,'All Donations'!$T$2:$T$4001,L$1))</f>
        <v/>
      </c>
      <c r="M51" s="49">
        <f>IF(OR($AE51&lt;&gt;1,M$1=""),"",SUMIFS('All Donations'!$S$2:$S$4001,'All Donations'!$R$2:$R$4001,$AD51,'All Donations'!$T$2:$T$4001,M$1))</f>
        <v/>
      </c>
      <c r="N51" s="49">
        <f>IF(OR($AE51&lt;&gt;1,N$1=""),"",SUMIFS('All Donations'!$S$2:$S$4001,'All Donations'!$R$2:$R$4001,$AD51,'All Donations'!$T$2:$T$4001,N$1))</f>
        <v/>
      </c>
      <c r="O51" s="49">
        <f>IF(OR($AE51&lt;&gt;1,O$1=""),"",SUMIFS('All Donations'!$S$2:$S$4001,'All Donations'!$R$2:$R$4001,$AD51,'All Donations'!$T$2:$T$4001,O$1))</f>
        <v/>
      </c>
      <c r="P51" s="49">
        <f>IF(OR($AE51&lt;&gt;1,P$1=""),"",SUMIFS('All Donations'!$S$2:$S$4001,'All Donations'!$R$2:$R$4001,$AD51,'All Donations'!$T$2:$T$4001,P$1))</f>
        <v/>
      </c>
      <c r="Q51" s="49">
        <f>IF(OR($AE51&lt;&gt;1,Q$1=""),"",SUMIFS('All Donations'!$S$2:$S$4001,'All Donations'!$R$2:$R$4001,$AD51,'All Donations'!$T$2:$T$4001,Q$1))</f>
        <v/>
      </c>
      <c r="R51" s="49">
        <f>IF(OR($AE51&lt;&gt;1,R$1=""),"",SUMIFS('All Donations'!$S$2:$S$4001,'All Donations'!$R$2:$R$4001,$AD51,'All Donations'!$T$2:$T$4001,R$1))</f>
        <v/>
      </c>
      <c r="S51" s="49">
        <f>IF(OR($AE51&lt;&gt;1,S$1=""),"",SUMIFS('All Donations'!$S$2:$S$4001,'All Donations'!$R$2:$R$4001,$AD51,'All Donations'!$T$2:$T$4001,S$1))</f>
        <v/>
      </c>
      <c r="T51" s="49">
        <f>IF(OR($AE51&lt;&gt;1,T$1=""),"",SUMIFS('All Donations'!$S$2:$S$4001,'All Donations'!$R$2:$R$4001,$AD51,'All Donations'!$T$2:$T$4001,T$1))</f>
        <v/>
      </c>
      <c r="U51" s="49">
        <f>IF(OR($AE51&lt;&gt;1,U$1=""),"",SUMIFS('All Donations'!$S$2:$S$4001,'All Donations'!$R$2:$R$4001,$AD51,'All Donations'!$T$2:$T$4001,U$1))</f>
        <v/>
      </c>
      <c r="V51" s="49">
        <f>IF(OR($AE51&lt;&gt;1,V$1=""),"",SUMIFS('All Donations'!$S$2:$S$4001,'All Donations'!$R$2:$R$4001,$AD51,'All Donations'!$T$2:$T$4001,V$1))</f>
        <v/>
      </c>
      <c r="W51" s="49">
        <f>IF(OR($AE51&lt;&gt;1,W$1=""),"",SUMIFS('All Donations'!$S$2:$S$4001,'All Donations'!$R$2:$R$4001,$AD51,'All Donations'!$T$2:$T$4001,W$1))</f>
        <v/>
      </c>
      <c r="X51" s="49">
        <f>IF(OR($AE51&lt;&gt;1,X$1=""),"",SUMIFS('All Donations'!$S$2:$S$4001,'All Donations'!$R$2:$R$4001,$AD51,'All Donations'!$T$2:$T$4001,X$1))</f>
        <v/>
      </c>
      <c r="Y51" s="49">
        <f>IF(OR($AE51&lt;&gt;1,Y$1=""),"",SUMIFS('All Donations'!$S$2:$S$4001,'All Donations'!$R$2:$R$4001,$AD51,'All Donations'!$T$2:$T$4001,Y$1))</f>
        <v/>
      </c>
      <c r="Z51" s="49">
        <f>IF(OR($AE51&lt;&gt;1,Z$1=""),"",SUMIFS('All Donations'!$S$2:$S$4001,'All Donations'!$R$2:$R$4001,$AD51,'All Donations'!$T$2:$T$4001,Z$1))</f>
        <v/>
      </c>
      <c r="AA51" s="49">
        <f>IF(OR($AE51&lt;&gt;1,AA$1=""),"",SUMIFS('All Donations'!$S$2:$S$4001,'All Donations'!$R$2:$R$4001,$AD51,'All Donations'!$T$2:$T$4001,AA$1))</f>
        <v/>
      </c>
      <c r="AB51" s="49">
        <f>IF(OR($AE51&lt;&gt;1,AB$1=""),"",SUMIFS('All Donations'!$S$2:$S$4001,'All Donations'!$R$2:$R$4001,$AD51,'All Donations'!$T$2:$T$4001,AB$1))</f>
        <v/>
      </c>
      <c r="AC51" s="49">
        <f>IF(OR($AE51&lt;&gt;1,AC$1=""),"",SUMIFS('All Donations'!$S$2:$S$4001,'All Donations'!$R$2:$R$4001,$AD51,'All Donations'!$T$2:$T$4001,AC$1))</f>
        <v/>
      </c>
      <c r="AD51">
        <f>IF(AE51=1,'Roster'!A51,"")</f>
        <v/>
      </c>
      <c r="AE51">
        <f>IF(TRIM('Roster'!B51&amp;'Roster'!C51)&lt;&gt;"",1,0)</f>
        <v/>
      </c>
      <c r="AF51">
        <f>IF(AE51=1,LOWER(A51),"#")</f>
        <v/>
      </c>
      <c r="AG51">
        <f>IF(AE51=1,LOWER(TRIM(TRIM('Roster'!C51)&amp;", "&amp;TRIM('Roster'!B51))),"#")</f>
        <v/>
      </c>
      <c r="AH51">
        <f>IF(AND(AE51=1,TRIM('Roster'!F51)&lt;&gt;""),LOWER(TRIM('Roster'!F51)),"#")</f>
        <v/>
      </c>
      <c r="AI51">
        <f>IF(AE51=1,IF(MATCH(B51,$B$2:$B$701,0)=ROW()-1,1,0),0)</f>
        <v/>
      </c>
      <c r="AJ51">
        <f>AJ50+AI51</f>
        <v/>
      </c>
      <c r="AK51">
        <f>IF(AE51=1,D51+(1000-ROW())/10^7,-1)</f>
        <v/>
      </c>
      <c r="AL51">
        <f>IF(AE51=1,TRIM('Roster'!B51)&amp;" "&amp;LEFT(TRIM('Roster'!C51),1)&amp;".","")</f>
        <v/>
      </c>
      <c r="AM51">
        <f>IF(AE51=1,TRIM('Roster'!C51)&amp;", "&amp;TRIM('Roster'!B51)&amp;" ("&amp;B51&amp;") #"&amp;AD51,"")</f>
        <v/>
      </c>
      <c r="AN51">
        <f>IF(AE51=1,TRIM('Roster'!E51),"")</f>
        <v/>
      </c>
      <c r="AO51">
        <f>IF(AE51=1,ROUND(SUMIFS('All Donations'!$S$2:$S$4001,'All Donations'!$R$2:$R$4001,AD51,'All Donations'!$T$2:$T$4001,"&gt;="&amp;'Settings'!$C$23,'All Donations'!$T$2:$T$4001,"&lt;="&amp;'Settings'!$D$23),2),0)</f>
        <v/>
      </c>
      <c r="AQ51">
        <f>IF(AE51=1,ROUND(SUMIFS('All Donations'!$S$2:$S$4001,'All Donations'!$R$2:$R$4001,AD51,'All Donations'!$T$2:$T$4001,"&gt;="&amp;'Settings'!$C$25,'All Donations'!$T$2:$T$4001,"&lt;="&amp;'Settings'!$D$25),2),0)</f>
        <v/>
      </c>
      <c r="AR51">
        <f>IF(AE51=1,ROUND(SUMIFS('All Donations'!$S$2:$S$4001,'All Donations'!$R$2:$R$4001,AD51,'All Donations'!$T$2:$T$4001,"&gt;="&amp;'Settings'!$C$26,'All Donations'!$T$2:$T$4001,"&lt;="&amp;'Settings'!$D$26),2),0)</f>
        <v/>
      </c>
      <c r="AS51">
        <f>IF(AE51=1,ROUND(SUMIFS('All Donations'!$S$2:$S$4001,'All Donations'!$R$2:$R$4001,AD51,'All Donations'!$T$2:$T$4001,"&lt;="&amp;'Settings'!$D$27),2),0)</f>
        <v/>
      </c>
      <c r="AT51">
        <f>IF(AE51=1,ROUND(SUMIFS('All Donations'!$S$2:$S$4001,'All Donations'!$R$2:$R$4001,AD51,'All Donations'!$T$2:$T$4001,"&gt;="&amp;'Settings'!$C$28,'All Donations'!$T$2:$T$4001,"&lt;="&amp;'Settings'!$D$28),2),0)</f>
        <v/>
      </c>
      <c r="AU51">
        <f>IF(AE51=1,ROUND(SUMIFS('All Donations'!$S$2:$S$4001,'All Donations'!$R$2:$R$4001,AD51,'All Donations'!$T$2:$T$4001,"&gt;="&amp;'Settings'!$C$29,'All Donations'!$T$2:$T$4001,"&lt;="&amp;'Settings'!$D$29),2),0)</f>
        <v/>
      </c>
      <c r="AV51">
        <f>IF(AE51=1,ROUND(SUMIFS('All Donations'!$S$2:$S$4001,'All Donations'!$R$2:$R$4001,AD51,'All Donations'!$T$2:$T$4001,"&lt;="&amp;'Settings'!$D$30),2),0)</f>
        <v/>
      </c>
      <c r="AZ51">
        <f>IF(AE51=1,ROUND(SUMIFS('All Donations'!$S$2:$S$4001,'All Donations'!$R$2:$R$4001,AD51,'All Donations'!$T$2:$T$4001,"&lt;="&amp;'Settings'!$D$34),2),0)</f>
        <v/>
      </c>
    </row>
    <row r="52">
      <c r="A52">
        <f>IF(AE52=1,TRIM(TRIM('Roster'!B52)&amp;" "&amp;TRIM('Roster'!C52)),"")</f>
        <v/>
      </c>
      <c r="B52">
        <f>IF(AE52=1,IF(AN52="","(no teacher)",AN52&amp;" – "&amp;C52),"")</f>
        <v/>
      </c>
      <c r="C52">
        <f>IF(AE52=1,TRIM('Roster'!D52&amp;""),"")</f>
        <v/>
      </c>
      <c r="D52" s="48">
        <f>IF(AE52=1,ROUND(SUMIFS('All Donations'!$S$2:$S$4001,'All Donations'!$R$2:$R$4001,AD52),2),"")</f>
        <v/>
      </c>
      <c r="E52" s="48">
        <f>IF(AE52=1,ROUND(SUMIFS('All Donations'!$S$2:$S$4001,'All Donations'!$R$2:$R$4001,AD52,'All Donations'!$G$2:$G$4001,"OneCause"),2),"")</f>
        <v/>
      </c>
      <c r="F52" s="48">
        <f>IF(AE52=1,D52-E52,"")</f>
        <v/>
      </c>
      <c r="G52">
        <f>IF(AE52=1,COUNTIFS('All Donations'!$R$2:$R$4001,AD52,'All Donations'!$H$2:$H$4001,"OK"),"")</f>
        <v/>
      </c>
      <c r="H52">
        <f>IF(AE52&lt;&gt;1,"",IF(D52&gt;0,"Yes",""))</f>
        <v/>
      </c>
      <c r="I52" s="49">
        <f>IF(OR($AE52&lt;&gt;1,I$1=""),"",SUMIFS('All Donations'!$S$2:$S$4001,'All Donations'!$R$2:$R$4001,$AD52,'All Donations'!$T$2:$T$4001,I$1))</f>
        <v/>
      </c>
      <c r="J52" s="49">
        <f>IF(OR($AE52&lt;&gt;1,J$1=""),"",SUMIFS('All Donations'!$S$2:$S$4001,'All Donations'!$R$2:$R$4001,$AD52,'All Donations'!$T$2:$T$4001,J$1))</f>
        <v/>
      </c>
      <c r="K52" s="49">
        <f>IF(OR($AE52&lt;&gt;1,K$1=""),"",SUMIFS('All Donations'!$S$2:$S$4001,'All Donations'!$R$2:$R$4001,$AD52,'All Donations'!$T$2:$T$4001,K$1))</f>
        <v/>
      </c>
      <c r="L52" s="49">
        <f>IF(OR($AE52&lt;&gt;1,L$1=""),"",SUMIFS('All Donations'!$S$2:$S$4001,'All Donations'!$R$2:$R$4001,$AD52,'All Donations'!$T$2:$T$4001,L$1))</f>
        <v/>
      </c>
      <c r="M52" s="49">
        <f>IF(OR($AE52&lt;&gt;1,M$1=""),"",SUMIFS('All Donations'!$S$2:$S$4001,'All Donations'!$R$2:$R$4001,$AD52,'All Donations'!$T$2:$T$4001,M$1))</f>
        <v/>
      </c>
      <c r="N52" s="49">
        <f>IF(OR($AE52&lt;&gt;1,N$1=""),"",SUMIFS('All Donations'!$S$2:$S$4001,'All Donations'!$R$2:$R$4001,$AD52,'All Donations'!$T$2:$T$4001,N$1))</f>
        <v/>
      </c>
      <c r="O52" s="49">
        <f>IF(OR($AE52&lt;&gt;1,O$1=""),"",SUMIFS('All Donations'!$S$2:$S$4001,'All Donations'!$R$2:$R$4001,$AD52,'All Donations'!$T$2:$T$4001,O$1))</f>
        <v/>
      </c>
      <c r="P52" s="49">
        <f>IF(OR($AE52&lt;&gt;1,P$1=""),"",SUMIFS('All Donations'!$S$2:$S$4001,'All Donations'!$R$2:$R$4001,$AD52,'All Donations'!$T$2:$T$4001,P$1))</f>
        <v/>
      </c>
      <c r="Q52" s="49">
        <f>IF(OR($AE52&lt;&gt;1,Q$1=""),"",SUMIFS('All Donations'!$S$2:$S$4001,'All Donations'!$R$2:$R$4001,$AD52,'All Donations'!$T$2:$T$4001,Q$1))</f>
        <v/>
      </c>
      <c r="R52" s="49">
        <f>IF(OR($AE52&lt;&gt;1,R$1=""),"",SUMIFS('All Donations'!$S$2:$S$4001,'All Donations'!$R$2:$R$4001,$AD52,'All Donations'!$T$2:$T$4001,R$1))</f>
        <v/>
      </c>
      <c r="S52" s="49">
        <f>IF(OR($AE52&lt;&gt;1,S$1=""),"",SUMIFS('All Donations'!$S$2:$S$4001,'All Donations'!$R$2:$R$4001,$AD52,'All Donations'!$T$2:$T$4001,S$1))</f>
        <v/>
      </c>
      <c r="T52" s="49">
        <f>IF(OR($AE52&lt;&gt;1,T$1=""),"",SUMIFS('All Donations'!$S$2:$S$4001,'All Donations'!$R$2:$R$4001,$AD52,'All Donations'!$T$2:$T$4001,T$1))</f>
        <v/>
      </c>
      <c r="U52" s="49">
        <f>IF(OR($AE52&lt;&gt;1,U$1=""),"",SUMIFS('All Donations'!$S$2:$S$4001,'All Donations'!$R$2:$R$4001,$AD52,'All Donations'!$T$2:$T$4001,U$1))</f>
        <v/>
      </c>
      <c r="V52" s="49">
        <f>IF(OR($AE52&lt;&gt;1,V$1=""),"",SUMIFS('All Donations'!$S$2:$S$4001,'All Donations'!$R$2:$R$4001,$AD52,'All Donations'!$T$2:$T$4001,V$1))</f>
        <v/>
      </c>
      <c r="W52" s="49">
        <f>IF(OR($AE52&lt;&gt;1,W$1=""),"",SUMIFS('All Donations'!$S$2:$S$4001,'All Donations'!$R$2:$R$4001,$AD52,'All Donations'!$T$2:$T$4001,W$1))</f>
        <v/>
      </c>
      <c r="X52" s="49">
        <f>IF(OR($AE52&lt;&gt;1,X$1=""),"",SUMIFS('All Donations'!$S$2:$S$4001,'All Donations'!$R$2:$R$4001,$AD52,'All Donations'!$T$2:$T$4001,X$1))</f>
        <v/>
      </c>
      <c r="Y52" s="49">
        <f>IF(OR($AE52&lt;&gt;1,Y$1=""),"",SUMIFS('All Donations'!$S$2:$S$4001,'All Donations'!$R$2:$R$4001,$AD52,'All Donations'!$T$2:$T$4001,Y$1))</f>
        <v/>
      </c>
      <c r="Z52" s="49">
        <f>IF(OR($AE52&lt;&gt;1,Z$1=""),"",SUMIFS('All Donations'!$S$2:$S$4001,'All Donations'!$R$2:$R$4001,$AD52,'All Donations'!$T$2:$T$4001,Z$1))</f>
        <v/>
      </c>
      <c r="AA52" s="49">
        <f>IF(OR($AE52&lt;&gt;1,AA$1=""),"",SUMIFS('All Donations'!$S$2:$S$4001,'All Donations'!$R$2:$R$4001,$AD52,'All Donations'!$T$2:$T$4001,AA$1))</f>
        <v/>
      </c>
      <c r="AB52" s="49">
        <f>IF(OR($AE52&lt;&gt;1,AB$1=""),"",SUMIFS('All Donations'!$S$2:$S$4001,'All Donations'!$R$2:$R$4001,$AD52,'All Donations'!$T$2:$T$4001,AB$1))</f>
        <v/>
      </c>
      <c r="AC52" s="49">
        <f>IF(OR($AE52&lt;&gt;1,AC$1=""),"",SUMIFS('All Donations'!$S$2:$S$4001,'All Donations'!$R$2:$R$4001,$AD52,'All Donations'!$T$2:$T$4001,AC$1))</f>
        <v/>
      </c>
      <c r="AD52">
        <f>IF(AE52=1,'Roster'!A52,"")</f>
        <v/>
      </c>
      <c r="AE52">
        <f>IF(TRIM('Roster'!B52&amp;'Roster'!C52)&lt;&gt;"",1,0)</f>
        <v/>
      </c>
      <c r="AF52">
        <f>IF(AE52=1,LOWER(A52),"#")</f>
        <v/>
      </c>
      <c r="AG52">
        <f>IF(AE52=1,LOWER(TRIM(TRIM('Roster'!C52)&amp;", "&amp;TRIM('Roster'!B52))),"#")</f>
        <v/>
      </c>
      <c r="AH52">
        <f>IF(AND(AE52=1,TRIM('Roster'!F52)&lt;&gt;""),LOWER(TRIM('Roster'!F52)),"#")</f>
        <v/>
      </c>
      <c r="AI52">
        <f>IF(AE52=1,IF(MATCH(B52,$B$2:$B$701,0)=ROW()-1,1,0),0)</f>
        <v/>
      </c>
      <c r="AJ52">
        <f>AJ51+AI52</f>
        <v/>
      </c>
      <c r="AK52">
        <f>IF(AE52=1,D52+(1000-ROW())/10^7,-1)</f>
        <v/>
      </c>
      <c r="AL52">
        <f>IF(AE52=1,TRIM('Roster'!B52)&amp;" "&amp;LEFT(TRIM('Roster'!C52),1)&amp;".","")</f>
        <v/>
      </c>
      <c r="AM52">
        <f>IF(AE52=1,TRIM('Roster'!C52)&amp;", "&amp;TRIM('Roster'!B52)&amp;" ("&amp;B52&amp;") #"&amp;AD52,"")</f>
        <v/>
      </c>
      <c r="AN52">
        <f>IF(AE52=1,TRIM('Roster'!E52),"")</f>
        <v/>
      </c>
      <c r="AO52">
        <f>IF(AE52=1,ROUND(SUMIFS('All Donations'!$S$2:$S$4001,'All Donations'!$R$2:$R$4001,AD52,'All Donations'!$T$2:$T$4001,"&gt;="&amp;'Settings'!$C$23,'All Donations'!$T$2:$T$4001,"&lt;="&amp;'Settings'!$D$23),2),0)</f>
        <v/>
      </c>
      <c r="AQ52">
        <f>IF(AE52=1,ROUND(SUMIFS('All Donations'!$S$2:$S$4001,'All Donations'!$R$2:$R$4001,AD52,'All Donations'!$T$2:$T$4001,"&gt;="&amp;'Settings'!$C$25,'All Donations'!$T$2:$T$4001,"&lt;="&amp;'Settings'!$D$25),2),0)</f>
        <v/>
      </c>
      <c r="AR52">
        <f>IF(AE52=1,ROUND(SUMIFS('All Donations'!$S$2:$S$4001,'All Donations'!$R$2:$R$4001,AD52,'All Donations'!$T$2:$T$4001,"&gt;="&amp;'Settings'!$C$26,'All Donations'!$T$2:$T$4001,"&lt;="&amp;'Settings'!$D$26),2),0)</f>
        <v/>
      </c>
      <c r="AS52">
        <f>IF(AE52=1,ROUND(SUMIFS('All Donations'!$S$2:$S$4001,'All Donations'!$R$2:$R$4001,AD52,'All Donations'!$T$2:$T$4001,"&lt;="&amp;'Settings'!$D$27),2),0)</f>
        <v/>
      </c>
      <c r="AT52">
        <f>IF(AE52=1,ROUND(SUMIFS('All Donations'!$S$2:$S$4001,'All Donations'!$R$2:$R$4001,AD52,'All Donations'!$T$2:$T$4001,"&gt;="&amp;'Settings'!$C$28,'All Donations'!$T$2:$T$4001,"&lt;="&amp;'Settings'!$D$28),2),0)</f>
        <v/>
      </c>
      <c r="AU52">
        <f>IF(AE52=1,ROUND(SUMIFS('All Donations'!$S$2:$S$4001,'All Donations'!$R$2:$R$4001,AD52,'All Donations'!$T$2:$T$4001,"&gt;="&amp;'Settings'!$C$29,'All Donations'!$T$2:$T$4001,"&lt;="&amp;'Settings'!$D$29),2),0)</f>
        <v/>
      </c>
      <c r="AV52">
        <f>IF(AE52=1,ROUND(SUMIFS('All Donations'!$S$2:$S$4001,'All Donations'!$R$2:$R$4001,AD52,'All Donations'!$T$2:$T$4001,"&lt;="&amp;'Settings'!$D$30),2),0)</f>
        <v/>
      </c>
      <c r="AZ52">
        <f>IF(AE52=1,ROUND(SUMIFS('All Donations'!$S$2:$S$4001,'All Donations'!$R$2:$R$4001,AD52,'All Donations'!$T$2:$T$4001,"&lt;="&amp;'Settings'!$D$34),2),0)</f>
        <v/>
      </c>
    </row>
    <row r="53">
      <c r="A53">
        <f>IF(AE53=1,TRIM(TRIM('Roster'!B53)&amp;" "&amp;TRIM('Roster'!C53)),"")</f>
        <v/>
      </c>
      <c r="B53">
        <f>IF(AE53=1,IF(AN53="","(no teacher)",AN53&amp;" – "&amp;C53),"")</f>
        <v/>
      </c>
      <c r="C53">
        <f>IF(AE53=1,TRIM('Roster'!D53&amp;""),"")</f>
        <v/>
      </c>
      <c r="D53" s="48">
        <f>IF(AE53=1,ROUND(SUMIFS('All Donations'!$S$2:$S$4001,'All Donations'!$R$2:$R$4001,AD53),2),"")</f>
        <v/>
      </c>
      <c r="E53" s="48">
        <f>IF(AE53=1,ROUND(SUMIFS('All Donations'!$S$2:$S$4001,'All Donations'!$R$2:$R$4001,AD53,'All Donations'!$G$2:$G$4001,"OneCause"),2),"")</f>
        <v/>
      </c>
      <c r="F53" s="48">
        <f>IF(AE53=1,D53-E53,"")</f>
        <v/>
      </c>
      <c r="G53">
        <f>IF(AE53=1,COUNTIFS('All Donations'!$R$2:$R$4001,AD53,'All Donations'!$H$2:$H$4001,"OK"),"")</f>
        <v/>
      </c>
      <c r="H53">
        <f>IF(AE53&lt;&gt;1,"",IF(D53&gt;0,"Yes",""))</f>
        <v/>
      </c>
      <c r="I53" s="49">
        <f>IF(OR($AE53&lt;&gt;1,I$1=""),"",SUMIFS('All Donations'!$S$2:$S$4001,'All Donations'!$R$2:$R$4001,$AD53,'All Donations'!$T$2:$T$4001,I$1))</f>
        <v/>
      </c>
      <c r="J53" s="49">
        <f>IF(OR($AE53&lt;&gt;1,J$1=""),"",SUMIFS('All Donations'!$S$2:$S$4001,'All Donations'!$R$2:$R$4001,$AD53,'All Donations'!$T$2:$T$4001,J$1))</f>
        <v/>
      </c>
      <c r="K53" s="49">
        <f>IF(OR($AE53&lt;&gt;1,K$1=""),"",SUMIFS('All Donations'!$S$2:$S$4001,'All Donations'!$R$2:$R$4001,$AD53,'All Donations'!$T$2:$T$4001,K$1))</f>
        <v/>
      </c>
      <c r="L53" s="49">
        <f>IF(OR($AE53&lt;&gt;1,L$1=""),"",SUMIFS('All Donations'!$S$2:$S$4001,'All Donations'!$R$2:$R$4001,$AD53,'All Donations'!$T$2:$T$4001,L$1))</f>
        <v/>
      </c>
      <c r="M53" s="49">
        <f>IF(OR($AE53&lt;&gt;1,M$1=""),"",SUMIFS('All Donations'!$S$2:$S$4001,'All Donations'!$R$2:$R$4001,$AD53,'All Donations'!$T$2:$T$4001,M$1))</f>
        <v/>
      </c>
      <c r="N53" s="49">
        <f>IF(OR($AE53&lt;&gt;1,N$1=""),"",SUMIFS('All Donations'!$S$2:$S$4001,'All Donations'!$R$2:$R$4001,$AD53,'All Donations'!$T$2:$T$4001,N$1))</f>
        <v/>
      </c>
      <c r="O53" s="49">
        <f>IF(OR($AE53&lt;&gt;1,O$1=""),"",SUMIFS('All Donations'!$S$2:$S$4001,'All Donations'!$R$2:$R$4001,$AD53,'All Donations'!$T$2:$T$4001,O$1))</f>
        <v/>
      </c>
      <c r="P53" s="49">
        <f>IF(OR($AE53&lt;&gt;1,P$1=""),"",SUMIFS('All Donations'!$S$2:$S$4001,'All Donations'!$R$2:$R$4001,$AD53,'All Donations'!$T$2:$T$4001,P$1))</f>
        <v/>
      </c>
      <c r="Q53" s="49">
        <f>IF(OR($AE53&lt;&gt;1,Q$1=""),"",SUMIFS('All Donations'!$S$2:$S$4001,'All Donations'!$R$2:$R$4001,$AD53,'All Donations'!$T$2:$T$4001,Q$1))</f>
        <v/>
      </c>
      <c r="R53" s="49">
        <f>IF(OR($AE53&lt;&gt;1,R$1=""),"",SUMIFS('All Donations'!$S$2:$S$4001,'All Donations'!$R$2:$R$4001,$AD53,'All Donations'!$T$2:$T$4001,R$1))</f>
        <v/>
      </c>
      <c r="S53" s="49">
        <f>IF(OR($AE53&lt;&gt;1,S$1=""),"",SUMIFS('All Donations'!$S$2:$S$4001,'All Donations'!$R$2:$R$4001,$AD53,'All Donations'!$T$2:$T$4001,S$1))</f>
        <v/>
      </c>
      <c r="T53" s="49">
        <f>IF(OR($AE53&lt;&gt;1,T$1=""),"",SUMIFS('All Donations'!$S$2:$S$4001,'All Donations'!$R$2:$R$4001,$AD53,'All Donations'!$T$2:$T$4001,T$1))</f>
        <v/>
      </c>
      <c r="U53" s="49">
        <f>IF(OR($AE53&lt;&gt;1,U$1=""),"",SUMIFS('All Donations'!$S$2:$S$4001,'All Donations'!$R$2:$R$4001,$AD53,'All Donations'!$T$2:$T$4001,U$1))</f>
        <v/>
      </c>
      <c r="V53" s="49">
        <f>IF(OR($AE53&lt;&gt;1,V$1=""),"",SUMIFS('All Donations'!$S$2:$S$4001,'All Donations'!$R$2:$R$4001,$AD53,'All Donations'!$T$2:$T$4001,V$1))</f>
        <v/>
      </c>
      <c r="W53" s="49">
        <f>IF(OR($AE53&lt;&gt;1,W$1=""),"",SUMIFS('All Donations'!$S$2:$S$4001,'All Donations'!$R$2:$R$4001,$AD53,'All Donations'!$T$2:$T$4001,W$1))</f>
        <v/>
      </c>
      <c r="X53" s="49">
        <f>IF(OR($AE53&lt;&gt;1,X$1=""),"",SUMIFS('All Donations'!$S$2:$S$4001,'All Donations'!$R$2:$R$4001,$AD53,'All Donations'!$T$2:$T$4001,X$1))</f>
        <v/>
      </c>
      <c r="Y53" s="49">
        <f>IF(OR($AE53&lt;&gt;1,Y$1=""),"",SUMIFS('All Donations'!$S$2:$S$4001,'All Donations'!$R$2:$R$4001,$AD53,'All Donations'!$T$2:$T$4001,Y$1))</f>
        <v/>
      </c>
      <c r="Z53" s="49">
        <f>IF(OR($AE53&lt;&gt;1,Z$1=""),"",SUMIFS('All Donations'!$S$2:$S$4001,'All Donations'!$R$2:$R$4001,$AD53,'All Donations'!$T$2:$T$4001,Z$1))</f>
        <v/>
      </c>
      <c r="AA53" s="49">
        <f>IF(OR($AE53&lt;&gt;1,AA$1=""),"",SUMIFS('All Donations'!$S$2:$S$4001,'All Donations'!$R$2:$R$4001,$AD53,'All Donations'!$T$2:$T$4001,AA$1))</f>
        <v/>
      </c>
      <c r="AB53" s="49">
        <f>IF(OR($AE53&lt;&gt;1,AB$1=""),"",SUMIFS('All Donations'!$S$2:$S$4001,'All Donations'!$R$2:$R$4001,$AD53,'All Donations'!$T$2:$T$4001,AB$1))</f>
        <v/>
      </c>
      <c r="AC53" s="49">
        <f>IF(OR($AE53&lt;&gt;1,AC$1=""),"",SUMIFS('All Donations'!$S$2:$S$4001,'All Donations'!$R$2:$R$4001,$AD53,'All Donations'!$T$2:$T$4001,AC$1))</f>
        <v/>
      </c>
      <c r="AD53">
        <f>IF(AE53=1,'Roster'!A53,"")</f>
        <v/>
      </c>
      <c r="AE53">
        <f>IF(TRIM('Roster'!B53&amp;'Roster'!C53)&lt;&gt;"",1,0)</f>
        <v/>
      </c>
      <c r="AF53">
        <f>IF(AE53=1,LOWER(A53),"#")</f>
        <v/>
      </c>
      <c r="AG53">
        <f>IF(AE53=1,LOWER(TRIM(TRIM('Roster'!C53)&amp;", "&amp;TRIM('Roster'!B53))),"#")</f>
        <v/>
      </c>
      <c r="AH53">
        <f>IF(AND(AE53=1,TRIM('Roster'!F53)&lt;&gt;""),LOWER(TRIM('Roster'!F53)),"#")</f>
        <v/>
      </c>
      <c r="AI53">
        <f>IF(AE53=1,IF(MATCH(B53,$B$2:$B$701,0)=ROW()-1,1,0),0)</f>
        <v/>
      </c>
      <c r="AJ53">
        <f>AJ52+AI53</f>
        <v/>
      </c>
      <c r="AK53">
        <f>IF(AE53=1,D53+(1000-ROW())/10^7,-1)</f>
        <v/>
      </c>
      <c r="AL53">
        <f>IF(AE53=1,TRIM('Roster'!B53)&amp;" "&amp;LEFT(TRIM('Roster'!C53),1)&amp;".","")</f>
        <v/>
      </c>
      <c r="AM53">
        <f>IF(AE53=1,TRIM('Roster'!C53)&amp;", "&amp;TRIM('Roster'!B53)&amp;" ("&amp;B53&amp;") #"&amp;AD53,"")</f>
        <v/>
      </c>
      <c r="AN53">
        <f>IF(AE53=1,TRIM('Roster'!E53),"")</f>
        <v/>
      </c>
      <c r="AO53">
        <f>IF(AE53=1,ROUND(SUMIFS('All Donations'!$S$2:$S$4001,'All Donations'!$R$2:$R$4001,AD53,'All Donations'!$T$2:$T$4001,"&gt;="&amp;'Settings'!$C$23,'All Donations'!$T$2:$T$4001,"&lt;="&amp;'Settings'!$D$23),2),0)</f>
        <v/>
      </c>
      <c r="AQ53">
        <f>IF(AE53=1,ROUND(SUMIFS('All Donations'!$S$2:$S$4001,'All Donations'!$R$2:$R$4001,AD53,'All Donations'!$T$2:$T$4001,"&gt;="&amp;'Settings'!$C$25,'All Donations'!$T$2:$T$4001,"&lt;="&amp;'Settings'!$D$25),2),0)</f>
        <v/>
      </c>
      <c r="AR53">
        <f>IF(AE53=1,ROUND(SUMIFS('All Donations'!$S$2:$S$4001,'All Donations'!$R$2:$R$4001,AD53,'All Donations'!$T$2:$T$4001,"&gt;="&amp;'Settings'!$C$26,'All Donations'!$T$2:$T$4001,"&lt;="&amp;'Settings'!$D$26),2),0)</f>
        <v/>
      </c>
      <c r="AS53">
        <f>IF(AE53=1,ROUND(SUMIFS('All Donations'!$S$2:$S$4001,'All Donations'!$R$2:$R$4001,AD53,'All Donations'!$T$2:$T$4001,"&lt;="&amp;'Settings'!$D$27),2),0)</f>
        <v/>
      </c>
      <c r="AT53">
        <f>IF(AE53=1,ROUND(SUMIFS('All Donations'!$S$2:$S$4001,'All Donations'!$R$2:$R$4001,AD53,'All Donations'!$T$2:$T$4001,"&gt;="&amp;'Settings'!$C$28,'All Donations'!$T$2:$T$4001,"&lt;="&amp;'Settings'!$D$28),2),0)</f>
        <v/>
      </c>
      <c r="AU53">
        <f>IF(AE53=1,ROUND(SUMIFS('All Donations'!$S$2:$S$4001,'All Donations'!$R$2:$R$4001,AD53,'All Donations'!$T$2:$T$4001,"&gt;="&amp;'Settings'!$C$29,'All Donations'!$T$2:$T$4001,"&lt;="&amp;'Settings'!$D$29),2),0)</f>
        <v/>
      </c>
      <c r="AV53">
        <f>IF(AE53=1,ROUND(SUMIFS('All Donations'!$S$2:$S$4001,'All Donations'!$R$2:$R$4001,AD53,'All Donations'!$T$2:$T$4001,"&lt;="&amp;'Settings'!$D$30),2),0)</f>
        <v/>
      </c>
      <c r="AZ53">
        <f>IF(AE53=1,ROUND(SUMIFS('All Donations'!$S$2:$S$4001,'All Donations'!$R$2:$R$4001,AD53,'All Donations'!$T$2:$T$4001,"&lt;="&amp;'Settings'!$D$34),2),0)</f>
        <v/>
      </c>
    </row>
    <row r="54">
      <c r="A54">
        <f>IF(AE54=1,TRIM(TRIM('Roster'!B54)&amp;" "&amp;TRIM('Roster'!C54)),"")</f>
        <v/>
      </c>
      <c r="B54">
        <f>IF(AE54=1,IF(AN54="","(no teacher)",AN54&amp;" – "&amp;C54),"")</f>
        <v/>
      </c>
      <c r="C54">
        <f>IF(AE54=1,TRIM('Roster'!D54&amp;""),"")</f>
        <v/>
      </c>
      <c r="D54" s="48">
        <f>IF(AE54=1,ROUND(SUMIFS('All Donations'!$S$2:$S$4001,'All Donations'!$R$2:$R$4001,AD54),2),"")</f>
        <v/>
      </c>
      <c r="E54" s="48">
        <f>IF(AE54=1,ROUND(SUMIFS('All Donations'!$S$2:$S$4001,'All Donations'!$R$2:$R$4001,AD54,'All Donations'!$G$2:$G$4001,"OneCause"),2),"")</f>
        <v/>
      </c>
      <c r="F54" s="48">
        <f>IF(AE54=1,D54-E54,"")</f>
        <v/>
      </c>
      <c r="G54">
        <f>IF(AE54=1,COUNTIFS('All Donations'!$R$2:$R$4001,AD54,'All Donations'!$H$2:$H$4001,"OK"),"")</f>
        <v/>
      </c>
      <c r="H54">
        <f>IF(AE54&lt;&gt;1,"",IF(D54&gt;0,"Yes",""))</f>
        <v/>
      </c>
      <c r="I54" s="49">
        <f>IF(OR($AE54&lt;&gt;1,I$1=""),"",SUMIFS('All Donations'!$S$2:$S$4001,'All Donations'!$R$2:$R$4001,$AD54,'All Donations'!$T$2:$T$4001,I$1))</f>
        <v/>
      </c>
      <c r="J54" s="49">
        <f>IF(OR($AE54&lt;&gt;1,J$1=""),"",SUMIFS('All Donations'!$S$2:$S$4001,'All Donations'!$R$2:$R$4001,$AD54,'All Donations'!$T$2:$T$4001,J$1))</f>
        <v/>
      </c>
      <c r="K54" s="49">
        <f>IF(OR($AE54&lt;&gt;1,K$1=""),"",SUMIFS('All Donations'!$S$2:$S$4001,'All Donations'!$R$2:$R$4001,$AD54,'All Donations'!$T$2:$T$4001,K$1))</f>
        <v/>
      </c>
      <c r="L54" s="49">
        <f>IF(OR($AE54&lt;&gt;1,L$1=""),"",SUMIFS('All Donations'!$S$2:$S$4001,'All Donations'!$R$2:$R$4001,$AD54,'All Donations'!$T$2:$T$4001,L$1))</f>
        <v/>
      </c>
      <c r="M54" s="49">
        <f>IF(OR($AE54&lt;&gt;1,M$1=""),"",SUMIFS('All Donations'!$S$2:$S$4001,'All Donations'!$R$2:$R$4001,$AD54,'All Donations'!$T$2:$T$4001,M$1))</f>
        <v/>
      </c>
      <c r="N54" s="49">
        <f>IF(OR($AE54&lt;&gt;1,N$1=""),"",SUMIFS('All Donations'!$S$2:$S$4001,'All Donations'!$R$2:$R$4001,$AD54,'All Donations'!$T$2:$T$4001,N$1))</f>
        <v/>
      </c>
      <c r="O54" s="49">
        <f>IF(OR($AE54&lt;&gt;1,O$1=""),"",SUMIFS('All Donations'!$S$2:$S$4001,'All Donations'!$R$2:$R$4001,$AD54,'All Donations'!$T$2:$T$4001,O$1))</f>
        <v/>
      </c>
      <c r="P54" s="49">
        <f>IF(OR($AE54&lt;&gt;1,P$1=""),"",SUMIFS('All Donations'!$S$2:$S$4001,'All Donations'!$R$2:$R$4001,$AD54,'All Donations'!$T$2:$T$4001,P$1))</f>
        <v/>
      </c>
      <c r="Q54" s="49">
        <f>IF(OR($AE54&lt;&gt;1,Q$1=""),"",SUMIFS('All Donations'!$S$2:$S$4001,'All Donations'!$R$2:$R$4001,$AD54,'All Donations'!$T$2:$T$4001,Q$1))</f>
        <v/>
      </c>
      <c r="R54" s="49">
        <f>IF(OR($AE54&lt;&gt;1,R$1=""),"",SUMIFS('All Donations'!$S$2:$S$4001,'All Donations'!$R$2:$R$4001,$AD54,'All Donations'!$T$2:$T$4001,R$1))</f>
        <v/>
      </c>
      <c r="S54" s="49">
        <f>IF(OR($AE54&lt;&gt;1,S$1=""),"",SUMIFS('All Donations'!$S$2:$S$4001,'All Donations'!$R$2:$R$4001,$AD54,'All Donations'!$T$2:$T$4001,S$1))</f>
        <v/>
      </c>
      <c r="T54" s="49">
        <f>IF(OR($AE54&lt;&gt;1,T$1=""),"",SUMIFS('All Donations'!$S$2:$S$4001,'All Donations'!$R$2:$R$4001,$AD54,'All Donations'!$T$2:$T$4001,T$1))</f>
        <v/>
      </c>
      <c r="U54" s="49">
        <f>IF(OR($AE54&lt;&gt;1,U$1=""),"",SUMIFS('All Donations'!$S$2:$S$4001,'All Donations'!$R$2:$R$4001,$AD54,'All Donations'!$T$2:$T$4001,U$1))</f>
        <v/>
      </c>
      <c r="V54" s="49">
        <f>IF(OR($AE54&lt;&gt;1,V$1=""),"",SUMIFS('All Donations'!$S$2:$S$4001,'All Donations'!$R$2:$R$4001,$AD54,'All Donations'!$T$2:$T$4001,V$1))</f>
        <v/>
      </c>
      <c r="W54" s="49">
        <f>IF(OR($AE54&lt;&gt;1,W$1=""),"",SUMIFS('All Donations'!$S$2:$S$4001,'All Donations'!$R$2:$R$4001,$AD54,'All Donations'!$T$2:$T$4001,W$1))</f>
        <v/>
      </c>
      <c r="X54" s="49">
        <f>IF(OR($AE54&lt;&gt;1,X$1=""),"",SUMIFS('All Donations'!$S$2:$S$4001,'All Donations'!$R$2:$R$4001,$AD54,'All Donations'!$T$2:$T$4001,X$1))</f>
        <v/>
      </c>
      <c r="Y54" s="49">
        <f>IF(OR($AE54&lt;&gt;1,Y$1=""),"",SUMIFS('All Donations'!$S$2:$S$4001,'All Donations'!$R$2:$R$4001,$AD54,'All Donations'!$T$2:$T$4001,Y$1))</f>
        <v/>
      </c>
      <c r="Z54" s="49">
        <f>IF(OR($AE54&lt;&gt;1,Z$1=""),"",SUMIFS('All Donations'!$S$2:$S$4001,'All Donations'!$R$2:$R$4001,$AD54,'All Donations'!$T$2:$T$4001,Z$1))</f>
        <v/>
      </c>
      <c r="AA54" s="49">
        <f>IF(OR($AE54&lt;&gt;1,AA$1=""),"",SUMIFS('All Donations'!$S$2:$S$4001,'All Donations'!$R$2:$R$4001,$AD54,'All Donations'!$T$2:$T$4001,AA$1))</f>
        <v/>
      </c>
      <c r="AB54" s="49">
        <f>IF(OR($AE54&lt;&gt;1,AB$1=""),"",SUMIFS('All Donations'!$S$2:$S$4001,'All Donations'!$R$2:$R$4001,$AD54,'All Donations'!$T$2:$T$4001,AB$1))</f>
        <v/>
      </c>
      <c r="AC54" s="49">
        <f>IF(OR($AE54&lt;&gt;1,AC$1=""),"",SUMIFS('All Donations'!$S$2:$S$4001,'All Donations'!$R$2:$R$4001,$AD54,'All Donations'!$T$2:$T$4001,AC$1))</f>
        <v/>
      </c>
      <c r="AD54">
        <f>IF(AE54=1,'Roster'!A54,"")</f>
        <v/>
      </c>
      <c r="AE54">
        <f>IF(TRIM('Roster'!B54&amp;'Roster'!C54)&lt;&gt;"",1,0)</f>
        <v/>
      </c>
      <c r="AF54">
        <f>IF(AE54=1,LOWER(A54),"#")</f>
        <v/>
      </c>
      <c r="AG54">
        <f>IF(AE54=1,LOWER(TRIM(TRIM('Roster'!C54)&amp;", "&amp;TRIM('Roster'!B54))),"#")</f>
        <v/>
      </c>
      <c r="AH54">
        <f>IF(AND(AE54=1,TRIM('Roster'!F54)&lt;&gt;""),LOWER(TRIM('Roster'!F54)),"#")</f>
        <v/>
      </c>
      <c r="AI54">
        <f>IF(AE54=1,IF(MATCH(B54,$B$2:$B$701,0)=ROW()-1,1,0),0)</f>
        <v/>
      </c>
      <c r="AJ54">
        <f>AJ53+AI54</f>
        <v/>
      </c>
      <c r="AK54">
        <f>IF(AE54=1,D54+(1000-ROW())/10^7,-1)</f>
        <v/>
      </c>
      <c r="AL54">
        <f>IF(AE54=1,TRIM('Roster'!B54)&amp;" "&amp;LEFT(TRIM('Roster'!C54),1)&amp;".","")</f>
        <v/>
      </c>
      <c r="AM54">
        <f>IF(AE54=1,TRIM('Roster'!C54)&amp;", "&amp;TRIM('Roster'!B54)&amp;" ("&amp;B54&amp;") #"&amp;AD54,"")</f>
        <v/>
      </c>
      <c r="AN54">
        <f>IF(AE54=1,TRIM('Roster'!E54),"")</f>
        <v/>
      </c>
      <c r="AO54">
        <f>IF(AE54=1,ROUND(SUMIFS('All Donations'!$S$2:$S$4001,'All Donations'!$R$2:$R$4001,AD54,'All Donations'!$T$2:$T$4001,"&gt;="&amp;'Settings'!$C$23,'All Donations'!$T$2:$T$4001,"&lt;="&amp;'Settings'!$D$23),2),0)</f>
        <v/>
      </c>
      <c r="AQ54">
        <f>IF(AE54=1,ROUND(SUMIFS('All Donations'!$S$2:$S$4001,'All Donations'!$R$2:$R$4001,AD54,'All Donations'!$T$2:$T$4001,"&gt;="&amp;'Settings'!$C$25,'All Donations'!$T$2:$T$4001,"&lt;="&amp;'Settings'!$D$25),2),0)</f>
        <v/>
      </c>
      <c r="AR54">
        <f>IF(AE54=1,ROUND(SUMIFS('All Donations'!$S$2:$S$4001,'All Donations'!$R$2:$R$4001,AD54,'All Donations'!$T$2:$T$4001,"&gt;="&amp;'Settings'!$C$26,'All Donations'!$T$2:$T$4001,"&lt;="&amp;'Settings'!$D$26),2),0)</f>
        <v/>
      </c>
      <c r="AS54">
        <f>IF(AE54=1,ROUND(SUMIFS('All Donations'!$S$2:$S$4001,'All Donations'!$R$2:$R$4001,AD54,'All Donations'!$T$2:$T$4001,"&lt;="&amp;'Settings'!$D$27),2),0)</f>
        <v/>
      </c>
      <c r="AT54">
        <f>IF(AE54=1,ROUND(SUMIFS('All Donations'!$S$2:$S$4001,'All Donations'!$R$2:$R$4001,AD54,'All Donations'!$T$2:$T$4001,"&gt;="&amp;'Settings'!$C$28,'All Donations'!$T$2:$T$4001,"&lt;="&amp;'Settings'!$D$28),2),0)</f>
        <v/>
      </c>
      <c r="AU54">
        <f>IF(AE54=1,ROUND(SUMIFS('All Donations'!$S$2:$S$4001,'All Donations'!$R$2:$R$4001,AD54,'All Donations'!$T$2:$T$4001,"&gt;="&amp;'Settings'!$C$29,'All Donations'!$T$2:$T$4001,"&lt;="&amp;'Settings'!$D$29),2),0)</f>
        <v/>
      </c>
      <c r="AV54">
        <f>IF(AE54=1,ROUND(SUMIFS('All Donations'!$S$2:$S$4001,'All Donations'!$R$2:$R$4001,AD54,'All Donations'!$T$2:$T$4001,"&lt;="&amp;'Settings'!$D$30),2),0)</f>
        <v/>
      </c>
      <c r="AZ54">
        <f>IF(AE54=1,ROUND(SUMIFS('All Donations'!$S$2:$S$4001,'All Donations'!$R$2:$R$4001,AD54,'All Donations'!$T$2:$T$4001,"&lt;="&amp;'Settings'!$D$34),2),0)</f>
        <v/>
      </c>
    </row>
    <row r="55">
      <c r="A55">
        <f>IF(AE55=1,TRIM(TRIM('Roster'!B55)&amp;" "&amp;TRIM('Roster'!C55)),"")</f>
        <v/>
      </c>
      <c r="B55">
        <f>IF(AE55=1,IF(AN55="","(no teacher)",AN55&amp;" – "&amp;C55),"")</f>
        <v/>
      </c>
      <c r="C55">
        <f>IF(AE55=1,TRIM('Roster'!D55&amp;""),"")</f>
        <v/>
      </c>
      <c r="D55" s="48">
        <f>IF(AE55=1,ROUND(SUMIFS('All Donations'!$S$2:$S$4001,'All Donations'!$R$2:$R$4001,AD55),2),"")</f>
        <v/>
      </c>
      <c r="E55" s="48">
        <f>IF(AE55=1,ROUND(SUMIFS('All Donations'!$S$2:$S$4001,'All Donations'!$R$2:$R$4001,AD55,'All Donations'!$G$2:$G$4001,"OneCause"),2),"")</f>
        <v/>
      </c>
      <c r="F55" s="48">
        <f>IF(AE55=1,D55-E55,"")</f>
        <v/>
      </c>
      <c r="G55">
        <f>IF(AE55=1,COUNTIFS('All Donations'!$R$2:$R$4001,AD55,'All Donations'!$H$2:$H$4001,"OK"),"")</f>
        <v/>
      </c>
      <c r="H55">
        <f>IF(AE55&lt;&gt;1,"",IF(D55&gt;0,"Yes",""))</f>
        <v/>
      </c>
      <c r="I55" s="49">
        <f>IF(OR($AE55&lt;&gt;1,I$1=""),"",SUMIFS('All Donations'!$S$2:$S$4001,'All Donations'!$R$2:$R$4001,$AD55,'All Donations'!$T$2:$T$4001,I$1))</f>
        <v/>
      </c>
      <c r="J55" s="49">
        <f>IF(OR($AE55&lt;&gt;1,J$1=""),"",SUMIFS('All Donations'!$S$2:$S$4001,'All Donations'!$R$2:$R$4001,$AD55,'All Donations'!$T$2:$T$4001,J$1))</f>
        <v/>
      </c>
      <c r="K55" s="49">
        <f>IF(OR($AE55&lt;&gt;1,K$1=""),"",SUMIFS('All Donations'!$S$2:$S$4001,'All Donations'!$R$2:$R$4001,$AD55,'All Donations'!$T$2:$T$4001,K$1))</f>
        <v/>
      </c>
      <c r="L55" s="49">
        <f>IF(OR($AE55&lt;&gt;1,L$1=""),"",SUMIFS('All Donations'!$S$2:$S$4001,'All Donations'!$R$2:$R$4001,$AD55,'All Donations'!$T$2:$T$4001,L$1))</f>
        <v/>
      </c>
      <c r="M55" s="49">
        <f>IF(OR($AE55&lt;&gt;1,M$1=""),"",SUMIFS('All Donations'!$S$2:$S$4001,'All Donations'!$R$2:$R$4001,$AD55,'All Donations'!$T$2:$T$4001,M$1))</f>
        <v/>
      </c>
      <c r="N55" s="49">
        <f>IF(OR($AE55&lt;&gt;1,N$1=""),"",SUMIFS('All Donations'!$S$2:$S$4001,'All Donations'!$R$2:$R$4001,$AD55,'All Donations'!$T$2:$T$4001,N$1))</f>
        <v/>
      </c>
      <c r="O55" s="49">
        <f>IF(OR($AE55&lt;&gt;1,O$1=""),"",SUMIFS('All Donations'!$S$2:$S$4001,'All Donations'!$R$2:$R$4001,$AD55,'All Donations'!$T$2:$T$4001,O$1))</f>
        <v/>
      </c>
      <c r="P55" s="49">
        <f>IF(OR($AE55&lt;&gt;1,P$1=""),"",SUMIFS('All Donations'!$S$2:$S$4001,'All Donations'!$R$2:$R$4001,$AD55,'All Donations'!$T$2:$T$4001,P$1))</f>
        <v/>
      </c>
      <c r="Q55" s="49">
        <f>IF(OR($AE55&lt;&gt;1,Q$1=""),"",SUMIFS('All Donations'!$S$2:$S$4001,'All Donations'!$R$2:$R$4001,$AD55,'All Donations'!$T$2:$T$4001,Q$1))</f>
        <v/>
      </c>
      <c r="R55" s="49">
        <f>IF(OR($AE55&lt;&gt;1,R$1=""),"",SUMIFS('All Donations'!$S$2:$S$4001,'All Donations'!$R$2:$R$4001,$AD55,'All Donations'!$T$2:$T$4001,R$1))</f>
        <v/>
      </c>
      <c r="S55" s="49">
        <f>IF(OR($AE55&lt;&gt;1,S$1=""),"",SUMIFS('All Donations'!$S$2:$S$4001,'All Donations'!$R$2:$R$4001,$AD55,'All Donations'!$T$2:$T$4001,S$1))</f>
        <v/>
      </c>
      <c r="T55" s="49">
        <f>IF(OR($AE55&lt;&gt;1,T$1=""),"",SUMIFS('All Donations'!$S$2:$S$4001,'All Donations'!$R$2:$R$4001,$AD55,'All Donations'!$T$2:$T$4001,T$1))</f>
        <v/>
      </c>
      <c r="U55" s="49">
        <f>IF(OR($AE55&lt;&gt;1,U$1=""),"",SUMIFS('All Donations'!$S$2:$S$4001,'All Donations'!$R$2:$R$4001,$AD55,'All Donations'!$T$2:$T$4001,U$1))</f>
        <v/>
      </c>
      <c r="V55" s="49">
        <f>IF(OR($AE55&lt;&gt;1,V$1=""),"",SUMIFS('All Donations'!$S$2:$S$4001,'All Donations'!$R$2:$R$4001,$AD55,'All Donations'!$T$2:$T$4001,V$1))</f>
        <v/>
      </c>
      <c r="W55" s="49">
        <f>IF(OR($AE55&lt;&gt;1,W$1=""),"",SUMIFS('All Donations'!$S$2:$S$4001,'All Donations'!$R$2:$R$4001,$AD55,'All Donations'!$T$2:$T$4001,W$1))</f>
        <v/>
      </c>
      <c r="X55" s="49">
        <f>IF(OR($AE55&lt;&gt;1,X$1=""),"",SUMIFS('All Donations'!$S$2:$S$4001,'All Donations'!$R$2:$R$4001,$AD55,'All Donations'!$T$2:$T$4001,X$1))</f>
        <v/>
      </c>
      <c r="Y55" s="49">
        <f>IF(OR($AE55&lt;&gt;1,Y$1=""),"",SUMIFS('All Donations'!$S$2:$S$4001,'All Donations'!$R$2:$R$4001,$AD55,'All Donations'!$T$2:$T$4001,Y$1))</f>
        <v/>
      </c>
      <c r="Z55" s="49">
        <f>IF(OR($AE55&lt;&gt;1,Z$1=""),"",SUMIFS('All Donations'!$S$2:$S$4001,'All Donations'!$R$2:$R$4001,$AD55,'All Donations'!$T$2:$T$4001,Z$1))</f>
        <v/>
      </c>
      <c r="AA55" s="49">
        <f>IF(OR($AE55&lt;&gt;1,AA$1=""),"",SUMIFS('All Donations'!$S$2:$S$4001,'All Donations'!$R$2:$R$4001,$AD55,'All Donations'!$T$2:$T$4001,AA$1))</f>
        <v/>
      </c>
      <c r="AB55" s="49">
        <f>IF(OR($AE55&lt;&gt;1,AB$1=""),"",SUMIFS('All Donations'!$S$2:$S$4001,'All Donations'!$R$2:$R$4001,$AD55,'All Donations'!$T$2:$T$4001,AB$1))</f>
        <v/>
      </c>
      <c r="AC55" s="49">
        <f>IF(OR($AE55&lt;&gt;1,AC$1=""),"",SUMIFS('All Donations'!$S$2:$S$4001,'All Donations'!$R$2:$R$4001,$AD55,'All Donations'!$T$2:$T$4001,AC$1))</f>
        <v/>
      </c>
      <c r="AD55">
        <f>IF(AE55=1,'Roster'!A55,"")</f>
        <v/>
      </c>
      <c r="AE55">
        <f>IF(TRIM('Roster'!B55&amp;'Roster'!C55)&lt;&gt;"",1,0)</f>
        <v/>
      </c>
      <c r="AF55">
        <f>IF(AE55=1,LOWER(A55),"#")</f>
        <v/>
      </c>
      <c r="AG55">
        <f>IF(AE55=1,LOWER(TRIM(TRIM('Roster'!C55)&amp;", "&amp;TRIM('Roster'!B55))),"#")</f>
        <v/>
      </c>
      <c r="AH55">
        <f>IF(AND(AE55=1,TRIM('Roster'!F55)&lt;&gt;""),LOWER(TRIM('Roster'!F55)),"#")</f>
        <v/>
      </c>
      <c r="AI55">
        <f>IF(AE55=1,IF(MATCH(B55,$B$2:$B$701,0)=ROW()-1,1,0),0)</f>
        <v/>
      </c>
      <c r="AJ55">
        <f>AJ54+AI55</f>
        <v/>
      </c>
      <c r="AK55">
        <f>IF(AE55=1,D55+(1000-ROW())/10^7,-1)</f>
        <v/>
      </c>
      <c r="AL55">
        <f>IF(AE55=1,TRIM('Roster'!B55)&amp;" "&amp;LEFT(TRIM('Roster'!C55),1)&amp;".","")</f>
        <v/>
      </c>
      <c r="AM55">
        <f>IF(AE55=1,TRIM('Roster'!C55)&amp;", "&amp;TRIM('Roster'!B55)&amp;" ("&amp;B55&amp;") #"&amp;AD55,"")</f>
        <v/>
      </c>
      <c r="AN55">
        <f>IF(AE55=1,TRIM('Roster'!E55),"")</f>
        <v/>
      </c>
      <c r="AO55">
        <f>IF(AE55=1,ROUND(SUMIFS('All Donations'!$S$2:$S$4001,'All Donations'!$R$2:$R$4001,AD55,'All Donations'!$T$2:$T$4001,"&gt;="&amp;'Settings'!$C$23,'All Donations'!$T$2:$T$4001,"&lt;="&amp;'Settings'!$D$23),2),0)</f>
        <v/>
      </c>
      <c r="AQ55">
        <f>IF(AE55=1,ROUND(SUMIFS('All Donations'!$S$2:$S$4001,'All Donations'!$R$2:$R$4001,AD55,'All Donations'!$T$2:$T$4001,"&gt;="&amp;'Settings'!$C$25,'All Donations'!$T$2:$T$4001,"&lt;="&amp;'Settings'!$D$25),2),0)</f>
        <v/>
      </c>
      <c r="AR55">
        <f>IF(AE55=1,ROUND(SUMIFS('All Donations'!$S$2:$S$4001,'All Donations'!$R$2:$R$4001,AD55,'All Donations'!$T$2:$T$4001,"&gt;="&amp;'Settings'!$C$26,'All Donations'!$T$2:$T$4001,"&lt;="&amp;'Settings'!$D$26),2),0)</f>
        <v/>
      </c>
      <c r="AS55">
        <f>IF(AE55=1,ROUND(SUMIFS('All Donations'!$S$2:$S$4001,'All Donations'!$R$2:$R$4001,AD55,'All Donations'!$T$2:$T$4001,"&lt;="&amp;'Settings'!$D$27),2),0)</f>
        <v/>
      </c>
      <c r="AT55">
        <f>IF(AE55=1,ROUND(SUMIFS('All Donations'!$S$2:$S$4001,'All Donations'!$R$2:$R$4001,AD55,'All Donations'!$T$2:$T$4001,"&gt;="&amp;'Settings'!$C$28,'All Donations'!$T$2:$T$4001,"&lt;="&amp;'Settings'!$D$28),2),0)</f>
        <v/>
      </c>
      <c r="AU55">
        <f>IF(AE55=1,ROUND(SUMIFS('All Donations'!$S$2:$S$4001,'All Donations'!$R$2:$R$4001,AD55,'All Donations'!$T$2:$T$4001,"&gt;="&amp;'Settings'!$C$29,'All Donations'!$T$2:$T$4001,"&lt;="&amp;'Settings'!$D$29),2),0)</f>
        <v/>
      </c>
      <c r="AV55">
        <f>IF(AE55=1,ROUND(SUMIFS('All Donations'!$S$2:$S$4001,'All Donations'!$R$2:$R$4001,AD55,'All Donations'!$T$2:$T$4001,"&lt;="&amp;'Settings'!$D$30),2),0)</f>
        <v/>
      </c>
      <c r="AZ55">
        <f>IF(AE55=1,ROUND(SUMIFS('All Donations'!$S$2:$S$4001,'All Donations'!$R$2:$R$4001,AD55,'All Donations'!$T$2:$T$4001,"&lt;="&amp;'Settings'!$D$34),2),0)</f>
        <v/>
      </c>
    </row>
    <row r="56">
      <c r="A56">
        <f>IF(AE56=1,TRIM(TRIM('Roster'!B56)&amp;" "&amp;TRIM('Roster'!C56)),"")</f>
        <v/>
      </c>
      <c r="B56">
        <f>IF(AE56=1,IF(AN56="","(no teacher)",AN56&amp;" – "&amp;C56),"")</f>
        <v/>
      </c>
      <c r="C56">
        <f>IF(AE56=1,TRIM('Roster'!D56&amp;""),"")</f>
        <v/>
      </c>
      <c r="D56" s="48">
        <f>IF(AE56=1,ROUND(SUMIFS('All Donations'!$S$2:$S$4001,'All Donations'!$R$2:$R$4001,AD56),2),"")</f>
        <v/>
      </c>
      <c r="E56" s="48">
        <f>IF(AE56=1,ROUND(SUMIFS('All Donations'!$S$2:$S$4001,'All Donations'!$R$2:$R$4001,AD56,'All Donations'!$G$2:$G$4001,"OneCause"),2),"")</f>
        <v/>
      </c>
      <c r="F56" s="48">
        <f>IF(AE56=1,D56-E56,"")</f>
        <v/>
      </c>
      <c r="G56">
        <f>IF(AE56=1,COUNTIFS('All Donations'!$R$2:$R$4001,AD56,'All Donations'!$H$2:$H$4001,"OK"),"")</f>
        <v/>
      </c>
      <c r="H56">
        <f>IF(AE56&lt;&gt;1,"",IF(D56&gt;0,"Yes",""))</f>
        <v/>
      </c>
      <c r="I56" s="49">
        <f>IF(OR($AE56&lt;&gt;1,I$1=""),"",SUMIFS('All Donations'!$S$2:$S$4001,'All Donations'!$R$2:$R$4001,$AD56,'All Donations'!$T$2:$T$4001,I$1))</f>
        <v/>
      </c>
      <c r="J56" s="49">
        <f>IF(OR($AE56&lt;&gt;1,J$1=""),"",SUMIFS('All Donations'!$S$2:$S$4001,'All Donations'!$R$2:$R$4001,$AD56,'All Donations'!$T$2:$T$4001,J$1))</f>
        <v/>
      </c>
      <c r="K56" s="49">
        <f>IF(OR($AE56&lt;&gt;1,K$1=""),"",SUMIFS('All Donations'!$S$2:$S$4001,'All Donations'!$R$2:$R$4001,$AD56,'All Donations'!$T$2:$T$4001,K$1))</f>
        <v/>
      </c>
      <c r="L56" s="49">
        <f>IF(OR($AE56&lt;&gt;1,L$1=""),"",SUMIFS('All Donations'!$S$2:$S$4001,'All Donations'!$R$2:$R$4001,$AD56,'All Donations'!$T$2:$T$4001,L$1))</f>
        <v/>
      </c>
      <c r="M56" s="49">
        <f>IF(OR($AE56&lt;&gt;1,M$1=""),"",SUMIFS('All Donations'!$S$2:$S$4001,'All Donations'!$R$2:$R$4001,$AD56,'All Donations'!$T$2:$T$4001,M$1))</f>
        <v/>
      </c>
      <c r="N56" s="49">
        <f>IF(OR($AE56&lt;&gt;1,N$1=""),"",SUMIFS('All Donations'!$S$2:$S$4001,'All Donations'!$R$2:$R$4001,$AD56,'All Donations'!$T$2:$T$4001,N$1))</f>
        <v/>
      </c>
      <c r="O56" s="49">
        <f>IF(OR($AE56&lt;&gt;1,O$1=""),"",SUMIFS('All Donations'!$S$2:$S$4001,'All Donations'!$R$2:$R$4001,$AD56,'All Donations'!$T$2:$T$4001,O$1))</f>
        <v/>
      </c>
      <c r="P56" s="49">
        <f>IF(OR($AE56&lt;&gt;1,P$1=""),"",SUMIFS('All Donations'!$S$2:$S$4001,'All Donations'!$R$2:$R$4001,$AD56,'All Donations'!$T$2:$T$4001,P$1))</f>
        <v/>
      </c>
      <c r="Q56" s="49">
        <f>IF(OR($AE56&lt;&gt;1,Q$1=""),"",SUMIFS('All Donations'!$S$2:$S$4001,'All Donations'!$R$2:$R$4001,$AD56,'All Donations'!$T$2:$T$4001,Q$1))</f>
        <v/>
      </c>
      <c r="R56" s="49">
        <f>IF(OR($AE56&lt;&gt;1,R$1=""),"",SUMIFS('All Donations'!$S$2:$S$4001,'All Donations'!$R$2:$R$4001,$AD56,'All Donations'!$T$2:$T$4001,R$1))</f>
        <v/>
      </c>
      <c r="S56" s="49">
        <f>IF(OR($AE56&lt;&gt;1,S$1=""),"",SUMIFS('All Donations'!$S$2:$S$4001,'All Donations'!$R$2:$R$4001,$AD56,'All Donations'!$T$2:$T$4001,S$1))</f>
        <v/>
      </c>
      <c r="T56" s="49">
        <f>IF(OR($AE56&lt;&gt;1,T$1=""),"",SUMIFS('All Donations'!$S$2:$S$4001,'All Donations'!$R$2:$R$4001,$AD56,'All Donations'!$T$2:$T$4001,T$1))</f>
        <v/>
      </c>
      <c r="U56" s="49">
        <f>IF(OR($AE56&lt;&gt;1,U$1=""),"",SUMIFS('All Donations'!$S$2:$S$4001,'All Donations'!$R$2:$R$4001,$AD56,'All Donations'!$T$2:$T$4001,U$1))</f>
        <v/>
      </c>
      <c r="V56" s="49">
        <f>IF(OR($AE56&lt;&gt;1,V$1=""),"",SUMIFS('All Donations'!$S$2:$S$4001,'All Donations'!$R$2:$R$4001,$AD56,'All Donations'!$T$2:$T$4001,V$1))</f>
        <v/>
      </c>
      <c r="W56" s="49">
        <f>IF(OR($AE56&lt;&gt;1,W$1=""),"",SUMIFS('All Donations'!$S$2:$S$4001,'All Donations'!$R$2:$R$4001,$AD56,'All Donations'!$T$2:$T$4001,W$1))</f>
        <v/>
      </c>
      <c r="X56" s="49">
        <f>IF(OR($AE56&lt;&gt;1,X$1=""),"",SUMIFS('All Donations'!$S$2:$S$4001,'All Donations'!$R$2:$R$4001,$AD56,'All Donations'!$T$2:$T$4001,X$1))</f>
        <v/>
      </c>
      <c r="Y56" s="49">
        <f>IF(OR($AE56&lt;&gt;1,Y$1=""),"",SUMIFS('All Donations'!$S$2:$S$4001,'All Donations'!$R$2:$R$4001,$AD56,'All Donations'!$T$2:$T$4001,Y$1))</f>
        <v/>
      </c>
      <c r="Z56" s="49">
        <f>IF(OR($AE56&lt;&gt;1,Z$1=""),"",SUMIFS('All Donations'!$S$2:$S$4001,'All Donations'!$R$2:$R$4001,$AD56,'All Donations'!$T$2:$T$4001,Z$1))</f>
        <v/>
      </c>
      <c r="AA56" s="49">
        <f>IF(OR($AE56&lt;&gt;1,AA$1=""),"",SUMIFS('All Donations'!$S$2:$S$4001,'All Donations'!$R$2:$R$4001,$AD56,'All Donations'!$T$2:$T$4001,AA$1))</f>
        <v/>
      </c>
      <c r="AB56" s="49">
        <f>IF(OR($AE56&lt;&gt;1,AB$1=""),"",SUMIFS('All Donations'!$S$2:$S$4001,'All Donations'!$R$2:$R$4001,$AD56,'All Donations'!$T$2:$T$4001,AB$1))</f>
        <v/>
      </c>
      <c r="AC56" s="49">
        <f>IF(OR($AE56&lt;&gt;1,AC$1=""),"",SUMIFS('All Donations'!$S$2:$S$4001,'All Donations'!$R$2:$R$4001,$AD56,'All Donations'!$T$2:$T$4001,AC$1))</f>
        <v/>
      </c>
      <c r="AD56">
        <f>IF(AE56=1,'Roster'!A56,"")</f>
        <v/>
      </c>
      <c r="AE56">
        <f>IF(TRIM('Roster'!B56&amp;'Roster'!C56)&lt;&gt;"",1,0)</f>
        <v/>
      </c>
      <c r="AF56">
        <f>IF(AE56=1,LOWER(A56),"#")</f>
        <v/>
      </c>
      <c r="AG56">
        <f>IF(AE56=1,LOWER(TRIM(TRIM('Roster'!C56)&amp;", "&amp;TRIM('Roster'!B56))),"#")</f>
        <v/>
      </c>
      <c r="AH56">
        <f>IF(AND(AE56=1,TRIM('Roster'!F56)&lt;&gt;""),LOWER(TRIM('Roster'!F56)),"#")</f>
        <v/>
      </c>
      <c r="AI56">
        <f>IF(AE56=1,IF(MATCH(B56,$B$2:$B$701,0)=ROW()-1,1,0),0)</f>
        <v/>
      </c>
      <c r="AJ56">
        <f>AJ55+AI56</f>
        <v/>
      </c>
      <c r="AK56">
        <f>IF(AE56=1,D56+(1000-ROW())/10^7,-1)</f>
        <v/>
      </c>
      <c r="AL56">
        <f>IF(AE56=1,TRIM('Roster'!B56)&amp;" "&amp;LEFT(TRIM('Roster'!C56),1)&amp;".","")</f>
        <v/>
      </c>
      <c r="AM56">
        <f>IF(AE56=1,TRIM('Roster'!C56)&amp;", "&amp;TRIM('Roster'!B56)&amp;" ("&amp;B56&amp;") #"&amp;AD56,"")</f>
        <v/>
      </c>
      <c r="AN56">
        <f>IF(AE56=1,TRIM('Roster'!E56),"")</f>
        <v/>
      </c>
      <c r="AO56">
        <f>IF(AE56=1,ROUND(SUMIFS('All Donations'!$S$2:$S$4001,'All Donations'!$R$2:$R$4001,AD56,'All Donations'!$T$2:$T$4001,"&gt;="&amp;'Settings'!$C$23,'All Donations'!$T$2:$T$4001,"&lt;="&amp;'Settings'!$D$23),2),0)</f>
        <v/>
      </c>
      <c r="AQ56">
        <f>IF(AE56=1,ROUND(SUMIFS('All Donations'!$S$2:$S$4001,'All Donations'!$R$2:$R$4001,AD56,'All Donations'!$T$2:$T$4001,"&gt;="&amp;'Settings'!$C$25,'All Donations'!$T$2:$T$4001,"&lt;="&amp;'Settings'!$D$25),2),0)</f>
        <v/>
      </c>
      <c r="AR56">
        <f>IF(AE56=1,ROUND(SUMIFS('All Donations'!$S$2:$S$4001,'All Donations'!$R$2:$R$4001,AD56,'All Donations'!$T$2:$T$4001,"&gt;="&amp;'Settings'!$C$26,'All Donations'!$T$2:$T$4001,"&lt;="&amp;'Settings'!$D$26),2),0)</f>
        <v/>
      </c>
      <c r="AS56">
        <f>IF(AE56=1,ROUND(SUMIFS('All Donations'!$S$2:$S$4001,'All Donations'!$R$2:$R$4001,AD56,'All Donations'!$T$2:$T$4001,"&lt;="&amp;'Settings'!$D$27),2),0)</f>
        <v/>
      </c>
      <c r="AT56">
        <f>IF(AE56=1,ROUND(SUMIFS('All Donations'!$S$2:$S$4001,'All Donations'!$R$2:$R$4001,AD56,'All Donations'!$T$2:$T$4001,"&gt;="&amp;'Settings'!$C$28,'All Donations'!$T$2:$T$4001,"&lt;="&amp;'Settings'!$D$28),2),0)</f>
        <v/>
      </c>
      <c r="AU56">
        <f>IF(AE56=1,ROUND(SUMIFS('All Donations'!$S$2:$S$4001,'All Donations'!$R$2:$R$4001,AD56,'All Donations'!$T$2:$T$4001,"&gt;="&amp;'Settings'!$C$29,'All Donations'!$T$2:$T$4001,"&lt;="&amp;'Settings'!$D$29),2),0)</f>
        <v/>
      </c>
      <c r="AV56">
        <f>IF(AE56=1,ROUND(SUMIFS('All Donations'!$S$2:$S$4001,'All Donations'!$R$2:$R$4001,AD56,'All Donations'!$T$2:$T$4001,"&lt;="&amp;'Settings'!$D$30),2),0)</f>
        <v/>
      </c>
      <c r="AZ56">
        <f>IF(AE56=1,ROUND(SUMIFS('All Donations'!$S$2:$S$4001,'All Donations'!$R$2:$R$4001,AD56,'All Donations'!$T$2:$T$4001,"&lt;="&amp;'Settings'!$D$34),2),0)</f>
        <v/>
      </c>
    </row>
    <row r="57">
      <c r="A57">
        <f>IF(AE57=1,TRIM(TRIM('Roster'!B57)&amp;" "&amp;TRIM('Roster'!C57)),"")</f>
        <v/>
      </c>
      <c r="B57">
        <f>IF(AE57=1,IF(AN57="","(no teacher)",AN57&amp;" – "&amp;C57),"")</f>
        <v/>
      </c>
      <c r="C57">
        <f>IF(AE57=1,TRIM('Roster'!D57&amp;""),"")</f>
        <v/>
      </c>
      <c r="D57" s="48">
        <f>IF(AE57=1,ROUND(SUMIFS('All Donations'!$S$2:$S$4001,'All Donations'!$R$2:$R$4001,AD57),2),"")</f>
        <v/>
      </c>
      <c r="E57" s="48">
        <f>IF(AE57=1,ROUND(SUMIFS('All Donations'!$S$2:$S$4001,'All Donations'!$R$2:$R$4001,AD57,'All Donations'!$G$2:$G$4001,"OneCause"),2),"")</f>
        <v/>
      </c>
      <c r="F57" s="48">
        <f>IF(AE57=1,D57-E57,"")</f>
        <v/>
      </c>
      <c r="G57">
        <f>IF(AE57=1,COUNTIFS('All Donations'!$R$2:$R$4001,AD57,'All Donations'!$H$2:$H$4001,"OK"),"")</f>
        <v/>
      </c>
      <c r="H57">
        <f>IF(AE57&lt;&gt;1,"",IF(D57&gt;0,"Yes",""))</f>
        <v/>
      </c>
      <c r="I57" s="49">
        <f>IF(OR($AE57&lt;&gt;1,I$1=""),"",SUMIFS('All Donations'!$S$2:$S$4001,'All Donations'!$R$2:$R$4001,$AD57,'All Donations'!$T$2:$T$4001,I$1))</f>
        <v/>
      </c>
      <c r="J57" s="49">
        <f>IF(OR($AE57&lt;&gt;1,J$1=""),"",SUMIFS('All Donations'!$S$2:$S$4001,'All Donations'!$R$2:$R$4001,$AD57,'All Donations'!$T$2:$T$4001,J$1))</f>
        <v/>
      </c>
      <c r="K57" s="49">
        <f>IF(OR($AE57&lt;&gt;1,K$1=""),"",SUMIFS('All Donations'!$S$2:$S$4001,'All Donations'!$R$2:$R$4001,$AD57,'All Donations'!$T$2:$T$4001,K$1))</f>
        <v/>
      </c>
      <c r="L57" s="49">
        <f>IF(OR($AE57&lt;&gt;1,L$1=""),"",SUMIFS('All Donations'!$S$2:$S$4001,'All Donations'!$R$2:$R$4001,$AD57,'All Donations'!$T$2:$T$4001,L$1))</f>
        <v/>
      </c>
      <c r="M57" s="49">
        <f>IF(OR($AE57&lt;&gt;1,M$1=""),"",SUMIFS('All Donations'!$S$2:$S$4001,'All Donations'!$R$2:$R$4001,$AD57,'All Donations'!$T$2:$T$4001,M$1))</f>
        <v/>
      </c>
      <c r="N57" s="49">
        <f>IF(OR($AE57&lt;&gt;1,N$1=""),"",SUMIFS('All Donations'!$S$2:$S$4001,'All Donations'!$R$2:$R$4001,$AD57,'All Donations'!$T$2:$T$4001,N$1))</f>
        <v/>
      </c>
      <c r="O57" s="49">
        <f>IF(OR($AE57&lt;&gt;1,O$1=""),"",SUMIFS('All Donations'!$S$2:$S$4001,'All Donations'!$R$2:$R$4001,$AD57,'All Donations'!$T$2:$T$4001,O$1))</f>
        <v/>
      </c>
      <c r="P57" s="49">
        <f>IF(OR($AE57&lt;&gt;1,P$1=""),"",SUMIFS('All Donations'!$S$2:$S$4001,'All Donations'!$R$2:$R$4001,$AD57,'All Donations'!$T$2:$T$4001,P$1))</f>
        <v/>
      </c>
      <c r="Q57" s="49">
        <f>IF(OR($AE57&lt;&gt;1,Q$1=""),"",SUMIFS('All Donations'!$S$2:$S$4001,'All Donations'!$R$2:$R$4001,$AD57,'All Donations'!$T$2:$T$4001,Q$1))</f>
        <v/>
      </c>
      <c r="R57" s="49">
        <f>IF(OR($AE57&lt;&gt;1,R$1=""),"",SUMIFS('All Donations'!$S$2:$S$4001,'All Donations'!$R$2:$R$4001,$AD57,'All Donations'!$T$2:$T$4001,R$1))</f>
        <v/>
      </c>
      <c r="S57" s="49">
        <f>IF(OR($AE57&lt;&gt;1,S$1=""),"",SUMIFS('All Donations'!$S$2:$S$4001,'All Donations'!$R$2:$R$4001,$AD57,'All Donations'!$T$2:$T$4001,S$1))</f>
        <v/>
      </c>
      <c r="T57" s="49">
        <f>IF(OR($AE57&lt;&gt;1,T$1=""),"",SUMIFS('All Donations'!$S$2:$S$4001,'All Donations'!$R$2:$R$4001,$AD57,'All Donations'!$T$2:$T$4001,T$1))</f>
        <v/>
      </c>
      <c r="U57" s="49">
        <f>IF(OR($AE57&lt;&gt;1,U$1=""),"",SUMIFS('All Donations'!$S$2:$S$4001,'All Donations'!$R$2:$R$4001,$AD57,'All Donations'!$T$2:$T$4001,U$1))</f>
        <v/>
      </c>
      <c r="V57" s="49">
        <f>IF(OR($AE57&lt;&gt;1,V$1=""),"",SUMIFS('All Donations'!$S$2:$S$4001,'All Donations'!$R$2:$R$4001,$AD57,'All Donations'!$T$2:$T$4001,V$1))</f>
        <v/>
      </c>
      <c r="W57" s="49">
        <f>IF(OR($AE57&lt;&gt;1,W$1=""),"",SUMIFS('All Donations'!$S$2:$S$4001,'All Donations'!$R$2:$R$4001,$AD57,'All Donations'!$T$2:$T$4001,W$1))</f>
        <v/>
      </c>
      <c r="X57" s="49">
        <f>IF(OR($AE57&lt;&gt;1,X$1=""),"",SUMIFS('All Donations'!$S$2:$S$4001,'All Donations'!$R$2:$R$4001,$AD57,'All Donations'!$T$2:$T$4001,X$1))</f>
        <v/>
      </c>
      <c r="Y57" s="49">
        <f>IF(OR($AE57&lt;&gt;1,Y$1=""),"",SUMIFS('All Donations'!$S$2:$S$4001,'All Donations'!$R$2:$R$4001,$AD57,'All Donations'!$T$2:$T$4001,Y$1))</f>
        <v/>
      </c>
      <c r="Z57" s="49">
        <f>IF(OR($AE57&lt;&gt;1,Z$1=""),"",SUMIFS('All Donations'!$S$2:$S$4001,'All Donations'!$R$2:$R$4001,$AD57,'All Donations'!$T$2:$T$4001,Z$1))</f>
        <v/>
      </c>
      <c r="AA57" s="49">
        <f>IF(OR($AE57&lt;&gt;1,AA$1=""),"",SUMIFS('All Donations'!$S$2:$S$4001,'All Donations'!$R$2:$R$4001,$AD57,'All Donations'!$T$2:$T$4001,AA$1))</f>
        <v/>
      </c>
      <c r="AB57" s="49">
        <f>IF(OR($AE57&lt;&gt;1,AB$1=""),"",SUMIFS('All Donations'!$S$2:$S$4001,'All Donations'!$R$2:$R$4001,$AD57,'All Donations'!$T$2:$T$4001,AB$1))</f>
        <v/>
      </c>
      <c r="AC57" s="49">
        <f>IF(OR($AE57&lt;&gt;1,AC$1=""),"",SUMIFS('All Donations'!$S$2:$S$4001,'All Donations'!$R$2:$R$4001,$AD57,'All Donations'!$T$2:$T$4001,AC$1))</f>
        <v/>
      </c>
      <c r="AD57">
        <f>IF(AE57=1,'Roster'!A57,"")</f>
        <v/>
      </c>
      <c r="AE57">
        <f>IF(TRIM('Roster'!B57&amp;'Roster'!C57)&lt;&gt;"",1,0)</f>
        <v/>
      </c>
      <c r="AF57">
        <f>IF(AE57=1,LOWER(A57),"#")</f>
        <v/>
      </c>
      <c r="AG57">
        <f>IF(AE57=1,LOWER(TRIM(TRIM('Roster'!C57)&amp;", "&amp;TRIM('Roster'!B57))),"#")</f>
        <v/>
      </c>
      <c r="AH57">
        <f>IF(AND(AE57=1,TRIM('Roster'!F57)&lt;&gt;""),LOWER(TRIM('Roster'!F57)),"#")</f>
        <v/>
      </c>
      <c r="AI57">
        <f>IF(AE57=1,IF(MATCH(B57,$B$2:$B$701,0)=ROW()-1,1,0),0)</f>
        <v/>
      </c>
      <c r="AJ57">
        <f>AJ56+AI57</f>
        <v/>
      </c>
      <c r="AK57">
        <f>IF(AE57=1,D57+(1000-ROW())/10^7,-1)</f>
        <v/>
      </c>
      <c r="AL57">
        <f>IF(AE57=1,TRIM('Roster'!B57)&amp;" "&amp;LEFT(TRIM('Roster'!C57),1)&amp;".","")</f>
        <v/>
      </c>
      <c r="AM57">
        <f>IF(AE57=1,TRIM('Roster'!C57)&amp;", "&amp;TRIM('Roster'!B57)&amp;" ("&amp;B57&amp;") #"&amp;AD57,"")</f>
        <v/>
      </c>
      <c r="AN57">
        <f>IF(AE57=1,TRIM('Roster'!E57),"")</f>
        <v/>
      </c>
      <c r="AO57">
        <f>IF(AE57=1,ROUND(SUMIFS('All Donations'!$S$2:$S$4001,'All Donations'!$R$2:$R$4001,AD57,'All Donations'!$T$2:$T$4001,"&gt;="&amp;'Settings'!$C$23,'All Donations'!$T$2:$T$4001,"&lt;="&amp;'Settings'!$D$23),2),0)</f>
        <v/>
      </c>
      <c r="AQ57">
        <f>IF(AE57=1,ROUND(SUMIFS('All Donations'!$S$2:$S$4001,'All Donations'!$R$2:$R$4001,AD57,'All Donations'!$T$2:$T$4001,"&gt;="&amp;'Settings'!$C$25,'All Donations'!$T$2:$T$4001,"&lt;="&amp;'Settings'!$D$25),2),0)</f>
        <v/>
      </c>
      <c r="AR57">
        <f>IF(AE57=1,ROUND(SUMIFS('All Donations'!$S$2:$S$4001,'All Donations'!$R$2:$R$4001,AD57,'All Donations'!$T$2:$T$4001,"&gt;="&amp;'Settings'!$C$26,'All Donations'!$T$2:$T$4001,"&lt;="&amp;'Settings'!$D$26),2),0)</f>
        <v/>
      </c>
      <c r="AS57">
        <f>IF(AE57=1,ROUND(SUMIFS('All Donations'!$S$2:$S$4001,'All Donations'!$R$2:$R$4001,AD57,'All Donations'!$T$2:$T$4001,"&lt;="&amp;'Settings'!$D$27),2),0)</f>
        <v/>
      </c>
      <c r="AT57">
        <f>IF(AE57=1,ROUND(SUMIFS('All Donations'!$S$2:$S$4001,'All Donations'!$R$2:$R$4001,AD57,'All Donations'!$T$2:$T$4001,"&gt;="&amp;'Settings'!$C$28,'All Donations'!$T$2:$T$4001,"&lt;="&amp;'Settings'!$D$28),2),0)</f>
        <v/>
      </c>
      <c r="AU57">
        <f>IF(AE57=1,ROUND(SUMIFS('All Donations'!$S$2:$S$4001,'All Donations'!$R$2:$R$4001,AD57,'All Donations'!$T$2:$T$4001,"&gt;="&amp;'Settings'!$C$29,'All Donations'!$T$2:$T$4001,"&lt;="&amp;'Settings'!$D$29),2),0)</f>
        <v/>
      </c>
      <c r="AV57">
        <f>IF(AE57=1,ROUND(SUMIFS('All Donations'!$S$2:$S$4001,'All Donations'!$R$2:$R$4001,AD57,'All Donations'!$T$2:$T$4001,"&lt;="&amp;'Settings'!$D$30),2),0)</f>
        <v/>
      </c>
      <c r="AZ57">
        <f>IF(AE57=1,ROUND(SUMIFS('All Donations'!$S$2:$S$4001,'All Donations'!$R$2:$R$4001,AD57,'All Donations'!$T$2:$T$4001,"&lt;="&amp;'Settings'!$D$34),2),0)</f>
        <v/>
      </c>
    </row>
    <row r="58">
      <c r="A58">
        <f>IF(AE58=1,TRIM(TRIM('Roster'!B58)&amp;" "&amp;TRIM('Roster'!C58)),"")</f>
        <v/>
      </c>
      <c r="B58">
        <f>IF(AE58=1,IF(AN58="","(no teacher)",AN58&amp;" – "&amp;C58),"")</f>
        <v/>
      </c>
      <c r="C58">
        <f>IF(AE58=1,TRIM('Roster'!D58&amp;""),"")</f>
        <v/>
      </c>
      <c r="D58" s="48">
        <f>IF(AE58=1,ROUND(SUMIFS('All Donations'!$S$2:$S$4001,'All Donations'!$R$2:$R$4001,AD58),2),"")</f>
        <v/>
      </c>
      <c r="E58" s="48">
        <f>IF(AE58=1,ROUND(SUMIFS('All Donations'!$S$2:$S$4001,'All Donations'!$R$2:$R$4001,AD58,'All Donations'!$G$2:$G$4001,"OneCause"),2),"")</f>
        <v/>
      </c>
      <c r="F58" s="48">
        <f>IF(AE58=1,D58-E58,"")</f>
        <v/>
      </c>
      <c r="G58">
        <f>IF(AE58=1,COUNTIFS('All Donations'!$R$2:$R$4001,AD58,'All Donations'!$H$2:$H$4001,"OK"),"")</f>
        <v/>
      </c>
      <c r="H58">
        <f>IF(AE58&lt;&gt;1,"",IF(D58&gt;0,"Yes",""))</f>
        <v/>
      </c>
      <c r="I58" s="49">
        <f>IF(OR($AE58&lt;&gt;1,I$1=""),"",SUMIFS('All Donations'!$S$2:$S$4001,'All Donations'!$R$2:$R$4001,$AD58,'All Donations'!$T$2:$T$4001,I$1))</f>
        <v/>
      </c>
      <c r="J58" s="49">
        <f>IF(OR($AE58&lt;&gt;1,J$1=""),"",SUMIFS('All Donations'!$S$2:$S$4001,'All Donations'!$R$2:$R$4001,$AD58,'All Donations'!$T$2:$T$4001,J$1))</f>
        <v/>
      </c>
      <c r="K58" s="49">
        <f>IF(OR($AE58&lt;&gt;1,K$1=""),"",SUMIFS('All Donations'!$S$2:$S$4001,'All Donations'!$R$2:$R$4001,$AD58,'All Donations'!$T$2:$T$4001,K$1))</f>
        <v/>
      </c>
      <c r="L58" s="49">
        <f>IF(OR($AE58&lt;&gt;1,L$1=""),"",SUMIFS('All Donations'!$S$2:$S$4001,'All Donations'!$R$2:$R$4001,$AD58,'All Donations'!$T$2:$T$4001,L$1))</f>
        <v/>
      </c>
      <c r="M58" s="49">
        <f>IF(OR($AE58&lt;&gt;1,M$1=""),"",SUMIFS('All Donations'!$S$2:$S$4001,'All Donations'!$R$2:$R$4001,$AD58,'All Donations'!$T$2:$T$4001,M$1))</f>
        <v/>
      </c>
      <c r="N58" s="49">
        <f>IF(OR($AE58&lt;&gt;1,N$1=""),"",SUMIFS('All Donations'!$S$2:$S$4001,'All Donations'!$R$2:$R$4001,$AD58,'All Donations'!$T$2:$T$4001,N$1))</f>
        <v/>
      </c>
      <c r="O58" s="49">
        <f>IF(OR($AE58&lt;&gt;1,O$1=""),"",SUMIFS('All Donations'!$S$2:$S$4001,'All Donations'!$R$2:$R$4001,$AD58,'All Donations'!$T$2:$T$4001,O$1))</f>
        <v/>
      </c>
      <c r="P58" s="49">
        <f>IF(OR($AE58&lt;&gt;1,P$1=""),"",SUMIFS('All Donations'!$S$2:$S$4001,'All Donations'!$R$2:$R$4001,$AD58,'All Donations'!$T$2:$T$4001,P$1))</f>
        <v/>
      </c>
      <c r="Q58" s="49">
        <f>IF(OR($AE58&lt;&gt;1,Q$1=""),"",SUMIFS('All Donations'!$S$2:$S$4001,'All Donations'!$R$2:$R$4001,$AD58,'All Donations'!$T$2:$T$4001,Q$1))</f>
        <v/>
      </c>
      <c r="R58" s="49">
        <f>IF(OR($AE58&lt;&gt;1,R$1=""),"",SUMIFS('All Donations'!$S$2:$S$4001,'All Donations'!$R$2:$R$4001,$AD58,'All Donations'!$T$2:$T$4001,R$1))</f>
        <v/>
      </c>
      <c r="S58" s="49">
        <f>IF(OR($AE58&lt;&gt;1,S$1=""),"",SUMIFS('All Donations'!$S$2:$S$4001,'All Donations'!$R$2:$R$4001,$AD58,'All Donations'!$T$2:$T$4001,S$1))</f>
        <v/>
      </c>
      <c r="T58" s="49">
        <f>IF(OR($AE58&lt;&gt;1,T$1=""),"",SUMIFS('All Donations'!$S$2:$S$4001,'All Donations'!$R$2:$R$4001,$AD58,'All Donations'!$T$2:$T$4001,T$1))</f>
        <v/>
      </c>
      <c r="U58" s="49">
        <f>IF(OR($AE58&lt;&gt;1,U$1=""),"",SUMIFS('All Donations'!$S$2:$S$4001,'All Donations'!$R$2:$R$4001,$AD58,'All Donations'!$T$2:$T$4001,U$1))</f>
        <v/>
      </c>
      <c r="V58" s="49">
        <f>IF(OR($AE58&lt;&gt;1,V$1=""),"",SUMIFS('All Donations'!$S$2:$S$4001,'All Donations'!$R$2:$R$4001,$AD58,'All Donations'!$T$2:$T$4001,V$1))</f>
        <v/>
      </c>
      <c r="W58" s="49">
        <f>IF(OR($AE58&lt;&gt;1,W$1=""),"",SUMIFS('All Donations'!$S$2:$S$4001,'All Donations'!$R$2:$R$4001,$AD58,'All Donations'!$T$2:$T$4001,W$1))</f>
        <v/>
      </c>
      <c r="X58" s="49">
        <f>IF(OR($AE58&lt;&gt;1,X$1=""),"",SUMIFS('All Donations'!$S$2:$S$4001,'All Donations'!$R$2:$R$4001,$AD58,'All Donations'!$T$2:$T$4001,X$1))</f>
        <v/>
      </c>
      <c r="Y58" s="49">
        <f>IF(OR($AE58&lt;&gt;1,Y$1=""),"",SUMIFS('All Donations'!$S$2:$S$4001,'All Donations'!$R$2:$R$4001,$AD58,'All Donations'!$T$2:$T$4001,Y$1))</f>
        <v/>
      </c>
      <c r="Z58" s="49">
        <f>IF(OR($AE58&lt;&gt;1,Z$1=""),"",SUMIFS('All Donations'!$S$2:$S$4001,'All Donations'!$R$2:$R$4001,$AD58,'All Donations'!$T$2:$T$4001,Z$1))</f>
        <v/>
      </c>
      <c r="AA58" s="49">
        <f>IF(OR($AE58&lt;&gt;1,AA$1=""),"",SUMIFS('All Donations'!$S$2:$S$4001,'All Donations'!$R$2:$R$4001,$AD58,'All Donations'!$T$2:$T$4001,AA$1))</f>
        <v/>
      </c>
      <c r="AB58" s="49">
        <f>IF(OR($AE58&lt;&gt;1,AB$1=""),"",SUMIFS('All Donations'!$S$2:$S$4001,'All Donations'!$R$2:$R$4001,$AD58,'All Donations'!$T$2:$T$4001,AB$1))</f>
        <v/>
      </c>
      <c r="AC58" s="49">
        <f>IF(OR($AE58&lt;&gt;1,AC$1=""),"",SUMIFS('All Donations'!$S$2:$S$4001,'All Donations'!$R$2:$R$4001,$AD58,'All Donations'!$T$2:$T$4001,AC$1))</f>
        <v/>
      </c>
      <c r="AD58">
        <f>IF(AE58=1,'Roster'!A58,"")</f>
        <v/>
      </c>
      <c r="AE58">
        <f>IF(TRIM('Roster'!B58&amp;'Roster'!C58)&lt;&gt;"",1,0)</f>
        <v/>
      </c>
      <c r="AF58">
        <f>IF(AE58=1,LOWER(A58),"#")</f>
        <v/>
      </c>
      <c r="AG58">
        <f>IF(AE58=1,LOWER(TRIM(TRIM('Roster'!C58)&amp;", "&amp;TRIM('Roster'!B58))),"#")</f>
        <v/>
      </c>
      <c r="AH58">
        <f>IF(AND(AE58=1,TRIM('Roster'!F58)&lt;&gt;""),LOWER(TRIM('Roster'!F58)),"#")</f>
        <v/>
      </c>
      <c r="AI58">
        <f>IF(AE58=1,IF(MATCH(B58,$B$2:$B$701,0)=ROW()-1,1,0),0)</f>
        <v/>
      </c>
      <c r="AJ58">
        <f>AJ57+AI58</f>
        <v/>
      </c>
      <c r="AK58">
        <f>IF(AE58=1,D58+(1000-ROW())/10^7,-1)</f>
        <v/>
      </c>
      <c r="AL58">
        <f>IF(AE58=1,TRIM('Roster'!B58)&amp;" "&amp;LEFT(TRIM('Roster'!C58),1)&amp;".","")</f>
        <v/>
      </c>
      <c r="AM58">
        <f>IF(AE58=1,TRIM('Roster'!C58)&amp;", "&amp;TRIM('Roster'!B58)&amp;" ("&amp;B58&amp;") #"&amp;AD58,"")</f>
        <v/>
      </c>
      <c r="AN58">
        <f>IF(AE58=1,TRIM('Roster'!E58),"")</f>
        <v/>
      </c>
      <c r="AO58">
        <f>IF(AE58=1,ROUND(SUMIFS('All Donations'!$S$2:$S$4001,'All Donations'!$R$2:$R$4001,AD58,'All Donations'!$T$2:$T$4001,"&gt;="&amp;'Settings'!$C$23,'All Donations'!$T$2:$T$4001,"&lt;="&amp;'Settings'!$D$23),2),0)</f>
        <v/>
      </c>
      <c r="AQ58">
        <f>IF(AE58=1,ROUND(SUMIFS('All Donations'!$S$2:$S$4001,'All Donations'!$R$2:$R$4001,AD58,'All Donations'!$T$2:$T$4001,"&gt;="&amp;'Settings'!$C$25,'All Donations'!$T$2:$T$4001,"&lt;="&amp;'Settings'!$D$25),2),0)</f>
        <v/>
      </c>
      <c r="AR58">
        <f>IF(AE58=1,ROUND(SUMIFS('All Donations'!$S$2:$S$4001,'All Donations'!$R$2:$R$4001,AD58,'All Donations'!$T$2:$T$4001,"&gt;="&amp;'Settings'!$C$26,'All Donations'!$T$2:$T$4001,"&lt;="&amp;'Settings'!$D$26),2),0)</f>
        <v/>
      </c>
      <c r="AS58">
        <f>IF(AE58=1,ROUND(SUMIFS('All Donations'!$S$2:$S$4001,'All Donations'!$R$2:$R$4001,AD58,'All Donations'!$T$2:$T$4001,"&lt;="&amp;'Settings'!$D$27),2),0)</f>
        <v/>
      </c>
      <c r="AT58">
        <f>IF(AE58=1,ROUND(SUMIFS('All Donations'!$S$2:$S$4001,'All Donations'!$R$2:$R$4001,AD58,'All Donations'!$T$2:$T$4001,"&gt;="&amp;'Settings'!$C$28,'All Donations'!$T$2:$T$4001,"&lt;="&amp;'Settings'!$D$28),2),0)</f>
        <v/>
      </c>
      <c r="AU58">
        <f>IF(AE58=1,ROUND(SUMIFS('All Donations'!$S$2:$S$4001,'All Donations'!$R$2:$R$4001,AD58,'All Donations'!$T$2:$T$4001,"&gt;="&amp;'Settings'!$C$29,'All Donations'!$T$2:$T$4001,"&lt;="&amp;'Settings'!$D$29),2),0)</f>
        <v/>
      </c>
      <c r="AV58">
        <f>IF(AE58=1,ROUND(SUMIFS('All Donations'!$S$2:$S$4001,'All Donations'!$R$2:$R$4001,AD58,'All Donations'!$T$2:$T$4001,"&lt;="&amp;'Settings'!$D$30),2),0)</f>
        <v/>
      </c>
      <c r="AZ58">
        <f>IF(AE58=1,ROUND(SUMIFS('All Donations'!$S$2:$S$4001,'All Donations'!$R$2:$R$4001,AD58,'All Donations'!$T$2:$T$4001,"&lt;="&amp;'Settings'!$D$34),2),0)</f>
        <v/>
      </c>
    </row>
    <row r="59">
      <c r="A59">
        <f>IF(AE59=1,TRIM(TRIM('Roster'!B59)&amp;" "&amp;TRIM('Roster'!C59)),"")</f>
        <v/>
      </c>
      <c r="B59">
        <f>IF(AE59=1,IF(AN59="","(no teacher)",AN59&amp;" – "&amp;C59),"")</f>
        <v/>
      </c>
      <c r="C59">
        <f>IF(AE59=1,TRIM('Roster'!D59&amp;""),"")</f>
        <v/>
      </c>
      <c r="D59" s="48">
        <f>IF(AE59=1,ROUND(SUMIFS('All Donations'!$S$2:$S$4001,'All Donations'!$R$2:$R$4001,AD59),2),"")</f>
        <v/>
      </c>
      <c r="E59" s="48">
        <f>IF(AE59=1,ROUND(SUMIFS('All Donations'!$S$2:$S$4001,'All Donations'!$R$2:$R$4001,AD59,'All Donations'!$G$2:$G$4001,"OneCause"),2),"")</f>
        <v/>
      </c>
      <c r="F59" s="48">
        <f>IF(AE59=1,D59-E59,"")</f>
        <v/>
      </c>
      <c r="G59">
        <f>IF(AE59=1,COUNTIFS('All Donations'!$R$2:$R$4001,AD59,'All Donations'!$H$2:$H$4001,"OK"),"")</f>
        <v/>
      </c>
      <c r="H59">
        <f>IF(AE59&lt;&gt;1,"",IF(D59&gt;0,"Yes",""))</f>
        <v/>
      </c>
      <c r="I59" s="49">
        <f>IF(OR($AE59&lt;&gt;1,I$1=""),"",SUMIFS('All Donations'!$S$2:$S$4001,'All Donations'!$R$2:$R$4001,$AD59,'All Donations'!$T$2:$T$4001,I$1))</f>
        <v/>
      </c>
      <c r="J59" s="49">
        <f>IF(OR($AE59&lt;&gt;1,J$1=""),"",SUMIFS('All Donations'!$S$2:$S$4001,'All Donations'!$R$2:$R$4001,$AD59,'All Donations'!$T$2:$T$4001,J$1))</f>
        <v/>
      </c>
      <c r="K59" s="49">
        <f>IF(OR($AE59&lt;&gt;1,K$1=""),"",SUMIFS('All Donations'!$S$2:$S$4001,'All Donations'!$R$2:$R$4001,$AD59,'All Donations'!$T$2:$T$4001,K$1))</f>
        <v/>
      </c>
      <c r="L59" s="49">
        <f>IF(OR($AE59&lt;&gt;1,L$1=""),"",SUMIFS('All Donations'!$S$2:$S$4001,'All Donations'!$R$2:$R$4001,$AD59,'All Donations'!$T$2:$T$4001,L$1))</f>
        <v/>
      </c>
      <c r="M59" s="49">
        <f>IF(OR($AE59&lt;&gt;1,M$1=""),"",SUMIFS('All Donations'!$S$2:$S$4001,'All Donations'!$R$2:$R$4001,$AD59,'All Donations'!$T$2:$T$4001,M$1))</f>
        <v/>
      </c>
      <c r="N59" s="49">
        <f>IF(OR($AE59&lt;&gt;1,N$1=""),"",SUMIFS('All Donations'!$S$2:$S$4001,'All Donations'!$R$2:$R$4001,$AD59,'All Donations'!$T$2:$T$4001,N$1))</f>
        <v/>
      </c>
      <c r="O59" s="49">
        <f>IF(OR($AE59&lt;&gt;1,O$1=""),"",SUMIFS('All Donations'!$S$2:$S$4001,'All Donations'!$R$2:$R$4001,$AD59,'All Donations'!$T$2:$T$4001,O$1))</f>
        <v/>
      </c>
      <c r="P59" s="49">
        <f>IF(OR($AE59&lt;&gt;1,P$1=""),"",SUMIFS('All Donations'!$S$2:$S$4001,'All Donations'!$R$2:$R$4001,$AD59,'All Donations'!$T$2:$T$4001,P$1))</f>
        <v/>
      </c>
      <c r="Q59" s="49">
        <f>IF(OR($AE59&lt;&gt;1,Q$1=""),"",SUMIFS('All Donations'!$S$2:$S$4001,'All Donations'!$R$2:$R$4001,$AD59,'All Donations'!$T$2:$T$4001,Q$1))</f>
        <v/>
      </c>
      <c r="R59" s="49">
        <f>IF(OR($AE59&lt;&gt;1,R$1=""),"",SUMIFS('All Donations'!$S$2:$S$4001,'All Donations'!$R$2:$R$4001,$AD59,'All Donations'!$T$2:$T$4001,R$1))</f>
        <v/>
      </c>
      <c r="S59" s="49">
        <f>IF(OR($AE59&lt;&gt;1,S$1=""),"",SUMIFS('All Donations'!$S$2:$S$4001,'All Donations'!$R$2:$R$4001,$AD59,'All Donations'!$T$2:$T$4001,S$1))</f>
        <v/>
      </c>
      <c r="T59" s="49">
        <f>IF(OR($AE59&lt;&gt;1,T$1=""),"",SUMIFS('All Donations'!$S$2:$S$4001,'All Donations'!$R$2:$R$4001,$AD59,'All Donations'!$T$2:$T$4001,T$1))</f>
        <v/>
      </c>
      <c r="U59" s="49">
        <f>IF(OR($AE59&lt;&gt;1,U$1=""),"",SUMIFS('All Donations'!$S$2:$S$4001,'All Donations'!$R$2:$R$4001,$AD59,'All Donations'!$T$2:$T$4001,U$1))</f>
        <v/>
      </c>
      <c r="V59" s="49">
        <f>IF(OR($AE59&lt;&gt;1,V$1=""),"",SUMIFS('All Donations'!$S$2:$S$4001,'All Donations'!$R$2:$R$4001,$AD59,'All Donations'!$T$2:$T$4001,V$1))</f>
        <v/>
      </c>
      <c r="W59" s="49">
        <f>IF(OR($AE59&lt;&gt;1,W$1=""),"",SUMIFS('All Donations'!$S$2:$S$4001,'All Donations'!$R$2:$R$4001,$AD59,'All Donations'!$T$2:$T$4001,W$1))</f>
        <v/>
      </c>
      <c r="X59" s="49">
        <f>IF(OR($AE59&lt;&gt;1,X$1=""),"",SUMIFS('All Donations'!$S$2:$S$4001,'All Donations'!$R$2:$R$4001,$AD59,'All Donations'!$T$2:$T$4001,X$1))</f>
        <v/>
      </c>
      <c r="Y59" s="49">
        <f>IF(OR($AE59&lt;&gt;1,Y$1=""),"",SUMIFS('All Donations'!$S$2:$S$4001,'All Donations'!$R$2:$R$4001,$AD59,'All Donations'!$T$2:$T$4001,Y$1))</f>
        <v/>
      </c>
      <c r="Z59" s="49">
        <f>IF(OR($AE59&lt;&gt;1,Z$1=""),"",SUMIFS('All Donations'!$S$2:$S$4001,'All Donations'!$R$2:$R$4001,$AD59,'All Donations'!$T$2:$T$4001,Z$1))</f>
        <v/>
      </c>
      <c r="AA59" s="49">
        <f>IF(OR($AE59&lt;&gt;1,AA$1=""),"",SUMIFS('All Donations'!$S$2:$S$4001,'All Donations'!$R$2:$R$4001,$AD59,'All Donations'!$T$2:$T$4001,AA$1))</f>
        <v/>
      </c>
      <c r="AB59" s="49">
        <f>IF(OR($AE59&lt;&gt;1,AB$1=""),"",SUMIFS('All Donations'!$S$2:$S$4001,'All Donations'!$R$2:$R$4001,$AD59,'All Donations'!$T$2:$T$4001,AB$1))</f>
        <v/>
      </c>
      <c r="AC59" s="49">
        <f>IF(OR($AE59&lt;&gt;1,AC$1=""),"",SUMIFS('All Donations'!$S$2:$S$4001,'All Donations'!$R$2:$R$4001,$AD59,'All Donations'!$T$2:$T$4001,AC$1))</f>
        <v/>
      </c>
      <c r="AD59">
        <f>IF(AE59=1,'Roster'!A59,"")</f>
        <v/>
      </c>
      <c r="AE59">
        <f>IF(TRIM('Roster'!B59&amp;'Roster'!C59)&lt;&gt;"",1,0)</f>
        <v/>
      </c>
      <c r="AF59">
        <f>IF(AE59=1,LOWER(A59),"#")</f>
        <v/>
      </c>
      <c r="AG59">
        <f>IF(AE59=1,LOWER(TRIM(TRIM('Roster'!C59)&amp;", "&amp;TRIM('Roster'!B59))),"#")</f>
        <v/>
      </c>
      <c r="AH59">
        <f>IF(AND(AE59=1,TRIM('Roster'!F59)&lt;&gt;""),LOWER(TRIM('Roster'!F59)),"#")</f>
        <v/>
      </c>
      <c r="AI59">
        <f>IF(AE59=1,IF(MATCH(B59,$B$2:$B$701,0)=ROW()-1,1,0),0)</f>
        <v/>
      </c>
      <c r="AJ59">
        <f>AJ58+AI59</f>
        <v/>
      </c>
      <c r="AK59">
        <f>IF(AE59=1,D59+(1000-ROW())/10^7,-1)</f>
        <v/>
      </c>
      <c r="AL59">
        <f>IF(AE59=1,TRIM('Roster'!B59)&amp;" "&amp;LEFT(TRIM('Roster'!C59),1)&amp;".","")</f>
        <v/>
      </c>
      <c r="AM59">
        <f>IF(AE59=1,TRIM('Roster'!C59)&amp;", "&amp;TRIM('Roster'!B59)&amp;" ("&amp;B59&amp;") #"&amp;AD59,"")</f>
        <v/>
      </c>
      <c r="AN59">
        <f>IF(AE59=1,TRIM('Roster'!E59),"")</f>
        <v/>
      </c>
      <c r="AO59">
        <f>IF(AE59=1,ROUND(SUMIFS('All Donations'!$S$2:$S$4001,'All Donations'!$R$2:$R$4001,AD59,'All Donations'!$T$2:$T$4001,"&gt;="&amp;'Settings'!$C$23,'All Donations'!$T$2:$T$4001,"&lt;="&amp;'Settings'!$D$23),2),0)</f>
        <v/>
      </c>
      <c r="AQ59">
        <f>IF(AE59=1,ROUND(SUMIFS('All Donations'!$S$2:$S$4001,'All Donations'!$R$2:$R$4001,AD59,'All Donations'!$T$2:$T$4001,"&gt;="&amp;'Settings'!$C$25,'All Donations'!$T$2:$T$4001,"&lt;="&amp;'Settings'!$D$25),2),0)</f>
        <v/>
      </c>
      <c r="AR59">
        <f>IF(AE59=1,ROUND(SUMIFS('All Donations'!$S$2:$S$4001,'All Donations'!$R$2:$R$4001,AD59,'All Donations'!$T$2:$T$4001,"&gt;="&amp;'Settings'!$C$26,'All Donations'!$T$2:$T$4001,"&lt;="&amp;'Settings'!$D$26),2),0)</f>
        <v/>
      </c>
      <c r="AS59">
        <f>IF(AE59=1,ROUND(SUMIFS('All Donations'!$S$2:$S$4001,'All Donations'!$R$2:$R$4001,AD59,'All Donations'!$T$2:$T$4001,"&lt;="&amp;'Settings'!$D$27),2),0)</f>
        <v/>
      </c>
      <c r="AT59">
        <f>IF(AE59=1,ROUND(SUMIFS('All Donations'!$S$2:$S$4001,'All Donations'!$R$2:$R$4001,AD59,'All Donations'!$T$2:$T$4001,"&gt;="&amp;'Settings'!$C$28,'All Donations'!$T$2:$T$4001,"&lt;="&amp;'Settings'!$D$28),2),0)</f>
        <v/>
      </c>
      <c r="AU59">
        <f>IF(AE59=1,ROUND(SUMIFS('All Donations'!$S$2:$S$4001,'All Donations'!$R$2:$R$4001,AD59,'All Donations'!$T$2:$T$4001,"&gt;="&amp;'Settings'!$C$29,'All Donations'!$T$2:$T$4001,"&lt;="&amp;'Settings'!$D$29),2),0)</f>
        <v/>
      </c>
      <c r="AV59">
        <f>IF(AE59=1,ROUND(SUMIFS('All Donations'!$S$2:$S$4001,'All Donations'!$R$2:$R$4001,AD59,'All Donations'!$T$2:$T$4001,"&lt;="&amp;'Settings'!$D$30),2),0)</f>
        <v/>
      </c>
      <c r="AZ59">
        <f>IF(AE59=1,ROUND(SUMIFS('All Donations'!$S$2:$S$4001,'All Donations'!$R$2:$R$4001,AD59,'All Donations'!$T$2:$T$4001,"&lt;="&amp;'Settings'!$D$34),2),0)</f>
        <v/>
      </c>
    </row>
    <row r="60">
      <c r="A60">
        <f>IF(AE60=1,TRIM(TRIM('Roster'!B60)&amp;" "&amp;TRIM('Roster'!C60)),"")</f>
        <v/>
      </c>
      <c r="B60">
        <f>IF(AE60=1,IF(AN60="","(no teacher)",AN60&amp;" – "&amp;C60),"")</f>
        <v/>
      </c>
      <c r="C60">
        <f>IF(AE60=1,TRIM('Roster'!D60&amp;""),"")</f>
        <v/>
      </c>
      <c r="D60" s="48">
        <f>IF(AE60=1,ROUND(SUMIFS('All Donations'!$S$2:$S$4001,'All Donations'!$R$2:$R$4001,AD60),2),"")</f>
        <v/>
      </c>
      <c r="E60" s="48">
        <f>IF(AE60=1,ROUND(SUMIFS('All Donations'!$S$2:$S$4001,'All Donations'!$R$2:$R$4001,AD60,'All Donations'!$G$2:$G$4001,"OneCause"),2),"")</f>
        <v/>
      </c>
      <c r="F60" s="48">
        <f>IF(AE60=1,D60-E60,"")</f>
        <v/>
      </c>
      <c r="G60">
        <f>IF(AE60=1,COUNTIFS('All Donations'!$R$2:$R$4001,AD60,'All Donations'!$H$2:$H$4001,"OK"),"")</f>
        <v/>
      </c>
      <c r="H60">
        <f>IF(AE60&lt;&gt;1,"",IF(D60&gt;0,"Yes",""))</f>
        <v/>
      </c>
      <c r="I60" s="49">
        <f>IF(OR($AE60&lt;&gt;1,I$1=""),"",SUMIFS('All Donations'!$S$2:$S$4001,'All Donations'!$R$2:$R$4001,$AD60,'All Donations'!$T$2:$T$4001,I$1))</f>
        <v/>
      </c>
      <c r="J60" s="49">
        <f>IF(OR($AE60&lt;&gt;1,J$1=""),"",SUMIFS('All Donations'!$S$2:$S$4001,'All Donations'!$R$2:$R$4001,$AD60,'All Donations'!$T$2:$T$4001,J$1))</f>
        <v/>
      </c>
      <c r="K60" s="49">
        <f>IF(OR($AE60&lt;&gt;1,K$1=""),"",SUMIFS('All Donations'!$S$2:$S$4001,'All Donations'!$R$2:$R$4001,$AD60,'All Donations'!$T$2:$T$4001,K$1))</f>
        <v/>
      </c>
      <c r="L60" s="49">
        <f>IF(OR($AE60&lt;&gt;1,L$1=""),"",SUMIFS('All Donations'!$S$2:$S$4001,'All Donations'!$R$2:$R$4001,$AD60,'All Donations'!$T$2:$T$4001,L$1))</f>
        <v/>
      </c>
      <c r="M60" s="49">
        <f>IF(OR($AE60&lt;&gt;1,M$1=""),"",SUMIFS('All Donations'!$S$2:$S$4001,'All Donations'!$R$2:$R$4001,$AD60,'All Donations'!$T$2:$T$4001,M$1))</f>
        <v/>
      </c>
      <c r="N60" s="49">
        <f>IF(OR($AE60&lt;&gt;1,N$1=""),"",SUMIFS('All Donations'!$S$2:$S$4001,'All Donations'!$R$2:$R$4001,$AD60,'All Donations'!$T$2:$T$4001,N$1))</f>
        <v/>
      </c>
      <c r="O60" s="49">
        <f>IF(OR($AE60&lt;&gt;1,O$1=""),"",SUMIFS('All Donations'!$S$2:$S$4001,'All Donations'!$R$2:$R$4001,$AD60,'All Donations'!$T$2:$T$4001,O$1))</f>
        <v/>
      </c>
      <c r="P60" s="49">
        <f>IF(OR($AE60&lt;&gt;1,P$1=""),"",SUMIFS('All Donations'!$S$2:$S$4001,'All Donations'!$R$2:$R$4001,$AD60,'All Donations'!$T$2:$T$4001,P$1))</f>
        <v/>
      </c>
      <c r="Q60" s="49">
        <f>IF(OR($AE60&lt;&gt;1,Q$1=""),"",SUMIFS('All Donations'!$S$2:$S$4001,'All Donations'!$R$2:$R$4001,$AD60,'All Donations'!$T$2:$T$4001,Q$1))</f>
        <v/>
      </c>
      <c r="R60" s="49">
        <f>IF(OR($AE60&lt;&gt;1,R$1=""),"",SUMIFS('All Donations'!$S$2:$S$4001,'All Donations'!$R$2:$R$4001,$AD60,'All Donations'!$T$2:$T$4001,R$1))</f>
        <v/>
      </c>
      <c r="S60" s="49">
        <f>IF(OR($AE60&lt;&gt;1,S$1=""),"",SUMIFS('All Donations'!$S$2:$S$4001,'All Donations'!$R$2:$R$4001,$AD60,'All Donations'!$T$2:$T$4001,S$1))</f>
        <v/>
      </c>
      <c r="T60" s="49">
        <f>IF(OR($AE60&lt;&gt;1,T$1=""),"",SUMIFS('All Donations'!$S$2:$S$4001,'All Donations'!$R$2:$R$4001,$AD60,'All Donations'!$T$2:$T$4001,T$1))</f>
        <v/>
      </c>
      <c r="U60" s="49">
        <f>IF(OR($AE60&lt;&gt;1,U$1=""),"",SUMIFS('All Donations'!$S$2:$S$4001,'All Donations'!$R$2:$R$4001,$AD60,'All Donations'!$T$2:$T$4001,U$1))</f>
        <v/>
      </c>
      <c r="V60" s="49">
        <f>IF(OR($AE60&lt;&gt;1,V$1=""),"",SUMIFS('All Donations'!$S$2:$S$4001,'All Donations'!$R$2:$R$4001,$AD60,'All Donations'!$T$2:$T$4001,V$1))</f>
        <v/>
      </c>
      <c r="W60" s="49">
        <f>IF(OR($AE60&lt;&gt;1,W$1=""),"",SUMIFS('All Donations'!$S$2:$S$4001,'All Donations'!$R$2:$R$4001,$AD60,'All Donations'!$T$2:$T$4001,W$1))</f>
        <v/>
      </c>
      <c r="X60" s="49">
        <f>IF(OR($AE60&lt;&gt;1,X$1=""),"",SUMIFS('All Donations'!$S$2:$S$4001,'All Donations'!$R$2:$R$4001,$AD60,'All Donations'!$T$2:$T$4001,X$1))</f>
        <v/>
      </c>
      <c r="Y60" s="49">
        <f>IF(OR($AE60&lt;&gt;1,Y$1=""),"",SUMIFS('All Donations'!$S$2:$S$4001,'All Donations'!$R$2:$R$4001,$AD60,'All Donations'!$T$2:$T$4001,Y$1))</f>
        <v/>
      </c>
      <c r="Z60" s="49">
        <f>IF(OR($AE60&lt;&gt;1,Z$1=""),"",SUMIFS('All Donations'!$S$2:$S$4001,'All Donations'!$R$2:$R$4001,$AD60,'All Donations'!$T$2:$T$4001,Z$1))</f>
        <v/>
      </c>
      <c r="AA60" s="49">
        <f>IF(OR($AE60&lt;&gt;1,AA$1=""),"",SUMIFS('All Donations'!$S$2:$S$4001,'All Donations'!$R$2:$R$4001,$AD60,'All Donations'!$T$2:$T$4001,AA$1))</f>
        <v/>
      </c>
      <c r="AB60" s="49">
        <f>IF(OR($AE60&lt;&gt;1,AB$1=""),"",SUMIFS('All Donations'!$S$2:$S$4001,'All Donations'!$R$2:$R$4001,$AD60,'All Donations'!$T$2:$T$4001,AB$1))</f>
        <v/>
      </c>
      <c r="AC60" s="49">
        <f>IF(OR($AE60&lt;&gt;1,AC$1=""),"",SUMIFS('All Donations'!$S$2:$S$4001,'All Donations'!$R$2:$R$4001,$AD60,'All Donations'!$T$2:$T$4001,AC$1))</f>
        <v/>
      </c>
      <c r="AD60">
        <f>IF(AE60=1,'Roster'!A60,"")</f>
        <v/>
      </c>
      <c r="AE60">
        <f>IF(TRIM('Roster'!B60&amp;'Roster'!C60)&lt;&gt;"",1,0)</f>
        <v/>
      </c>
      <c r="AF60">
        <f>IF(AE60=1,LOWER(A60),"#")</f>
        <v/>
      </c>
      <c r="AG60">
        <f>IF(AE60=1,LOWER(TRIM(TRIM('Roster'!C60)&amp;", "&amp;TRIM('Roster'!B60))),"#")</f>
        <v/>
      </c>
      <c r="AH60">
        <f>IF(AND(AE60=1,TRIM('Roster'!F60)&lt;&gt;""),LOWER(TRIM('Roster'!F60)),"#")</f>
        <v/>
      </c>
      <c r="AI60">
        <f>IF(AE60=1,IF(MATCH(B60,$B$2:$B$701,0)=ROW()-1,1,0),0)</f>
        <v/>
      </c>
      <c r="AJ60">
        <f>AJ59+AI60</f>
        <v/>
      </c>
      <c r="AK60">
        <f>IF(AE60=1,D60+(1000-ROW())/10^7,-1)</f>
        <v/>
      </c>
      <c r="AL60">
        <f>IF(AE60=1,TRIM('Roster'!B60)&amp;" "&amp;LEFT(TRIM('Roster'!C60),1)&amp;".","")</f>
        <v/>
      </c>
      <c r="AM60">
        <f>IF(AE60=1,TRIM('Roster'!C60)&amp;", "&amp;TRIM('Roster'!B60)&amp;" ("&amp;B60&amp;") #"&amp;AD60,"")</f>
        <v/>
      </c>
      <c r="AN60">
        <f>IF(AE60=1,TRIM('Roster'!E60),"")</f>
        <v/>
      </c>
      <c r="AO60">
        <f>IF(AE60=1,ROUND(SUMIFS('All Donations'!$S$2:$S$4001,'All Donations'!$R$2:$R$4001,AD60,'All Donations'!$T$2:$T$4001,"&gt;="&amp;'Settings'!$C$23,'All Donations'!$T$2:$T$4001,"&lt;="&amp;'Settings'!$D$23),2),0)</f>
        <v/>
      </c>
      <c r="AQ60">
        <f>IF(AE60=1,ROUND(SUMIFS('All Donations'!$S$2:$S$4001,'All Donations'!$R$2:$R$4001,AD60,'All Donations'!$T$2:$T$4001,"&gt;="&amp;'Settings'!$C$25,'All Donations'!$T$2:$T$4001,"&lt;="&amp;'Settings'!$D$25),2),0)</f>
        <v/>
      </c>
      <c r="AR60">
        <f>IF(AE60=1,ROUND(SUMIFS('All Donations'!$S$2:$S$4001,'All Donations'!$R$2:$R$4001,AD60,'All Donations'!$T$2:$T$4001,"&gt;="&amp;'Settings'!$C$26,'All Donations'!$T$2:$T$4001,"&lt;="&amp;'Settings'!$D$26),2),0)</f>
        <v/>
      </c>
      <c r="AS60">
        <f>IF(AE60=1,ROUND(SUMIFS('All Donations'!$S$2:$S$4001,'All Donations'!$R$2:$R$4001,AD60,'All Donations'!$T$2:$T$4001,"&lt;="&amp;'Settings'!$D$27),2),0)</f>
        <v/>
      </c>
      <c r="AT60">
        <f>IF(AE60=1,ROUND(SUMIFS('All Donations'!$S$2:$S$4001,'All Donations'!$R$2:$R$4001,AD60,'All Donations'!$T$2:$T$4001,"&gt;="&amp;'Settings'!$C$28,'All Donations'!$T$2:$T$4001,"&lt;="&amp;'Settings'!$D$28),2),0)</f>
        <v/>
      </c>
      <c r="AU60">
        <f>IF(AE60=1,ROUND(SUMIFS('All Donations'!$S$2:$S$4001,'All Donations'!$R$2:$R$4001,AD60,'All Donations'!$T$2:$T$4001,"&gt;="&amp;'Settings'!$C$29,'All Donations'!$T$2:$T$4001,"&lt;="&amp;'Settings'!$D$29),2),0)</f>
        <v/>
      </c>
      <c r="AV60">
        <f>IF(AE60=1,ROUND(SUMIFS('All Donations'!$S$2:$S$4001,'All Donations'!$R$2:$R$4001,AD60,'All Donations'!$T$2:$T$4001,"&lt;="&amp;'Settings'!$D$30),2),0)</f>
        <v/>
      </c>
      <c r="AZ60">
        <f>IF(AE60=1,ROUND(SUMIFS('All Donations'!$S$2:$S$4001,'All Donations'!$R$2:$R$4001,AD60,'All Donations'!$T$2:$T$4001,"&lt;="&amp;'Settings'!$D$34),2),0)</f>
        <v/>
      </c>
    </row>
    <row r="61">
      <c r="A61">
        <f>IF(AE61=1,TRIM(TRIM('Roster'!B61)&amp;" "&amp;TRIM('Roster'!C61)),"")</f>
        <v/>
      </c>
      <c r="B61">
        <f>IF(AE61=1,IF(AN61="","(no teacher)",AN61&amp;" – "&amp;C61),"")</f>
        <v/>
      </c>
      <c r="C61">
        <f>IF(AE61=1,TRIM('Roster'!D61&amp;""),"")</f>
        <v/>
      </c>
      <c r="D61" s="48">
        <f>IF(AE61=1,ROUND(SUMIFS('All Donations'!$S$2:$S$4001,'All Donations'!$R$2:$R$4001,AD61),2),"")</f>
        <v/>
      </c>
      <c r="E61" s="48">
        <f>IF(AE61=1,ROUND(SUMIFS('All Donations'!$S$2:$S$4001,'All Donations'!$R$2:$R$4001,AD61,'All Donations'!$G$2:$G$4001,"OneCause"),2),"")</f>
        <v/>
      </c>
      <c r="F61" s="48">
        <f>IF(AE61=1,D61-E61,"")</f>
        <v/>
      </c>
      <c r="G61">
        <f>IF(AE61=1,COUNTIFS('All Donations'!$R$2:$R$4001,AD61,'All Donations'!$H$2:$H$4001,"OK"),"")</f>
        <v/>
      </c>
      <c r="H61">
        <f>IF(AE61&lt;&gt;1,"",IF(D61&gt;0,"Yes",""))</f>
        <v/>
      </c>
      <c r="I61" s="49">
        <f>IF(OR($AE61&lt;&gt;1,I$1=""),"",SUMIFS('All Donations'!$S$2:$S$4001,'All Donations'!$R$2:$R$4001,$AD61,'All Donations'!$T$2:$T$4001,I$1))</f>
        <v/>
      </c>
      <c r="J61" s="49">
        <f>IF(OR($AE61&lt;&gt;1,J$1=""),"",SUMIFS('All Donations'!$S$2:$S$4001,'All Donations'!$R$2:$R$4001,$AD61,'All Donations'!$T$2:$T$4001,J$1))</f>
        <v/>
      </c>
      <c r="K61" s="49">
        <f>IF(OR($AE61&lt;&gt;1,K$1=""),"",SUMIFS('All Donations'!$S$2:$S$4001,'All Donations'!$R$2:$R$4001,$AD61,'All Donations'!$T$2:$T$4001,K$1))</f>
        <v/>
      </c>
      <c r="L61" s="49">
        <f>IF(OR($AE61&lt;&gt;1,L$1=""),"",SUMIFS('All Donations'!$S$2:$S$4001,'All Donations'!$R$2:$R$4001,$AD61,'All Donations'!$T$2:$T$4001,L$1))</f>
        <v/>
      </c>
      <c r="M61" s="49">
        <f>IF(OR($AE61&lt;&gt;1,M$1=""),"",SUMIFS('All Donations'!$S$2:$S$4001,'All Donations'!$R$2:$R$4001,$AD61,'All Donations'!$T$2:$T$4001,M$1))</f>
        <v/>
      </c>
      <c r="N61" s="49">
        <f>IF(OR($AE61&lt;&gt;1,N$1=""),"",SUMIFS('All Donations'!$S$2:$S$4001,'All Donations'!$R$2:$R$4001,$AD61,'All Donations'!$T$2:$T$4001,N$1))</f>
        <v/>
      </c>
      <c r="O61" s="49">
        <f>IF(OR($AE61&lt;&gt;1,O$1=""),"",SUMIFS('All Donations'!$S$2:$S$4001,'All Donations'!$R$2:$R$4001,$AD61,'All Donations'!$T$2:$T$4001,O$1))</f>
        <v/>
      </c>
      <c r="P61" s="49">
        <f>IF(OR($AE61&lt;&gt;1,P$1=""),"",SUMIFS('All Donations'!$S$2:$S$4001,'All Donations'!$R$2:$R$4001,$AD61,'All Donations'!$T$2:$T$4001,P$1))</f>
        <v/>
      </c>
      <c r="Q61" s="49">
        <f>IF(OR($AE61&lt;&gt;1,Q$1=""),"",SUMIFS('All Donations'!$S$2:$S$4001,'All Donations'!$R$2:$R$4001,$AD61,'All Donations'!$T$2:$T$4001,Q$1))</f>
        <v/>
      </c>
      <c r="R61" s="49">
        <f>IF(OR($AE61&lt;&gt;1,R$1=""),"",SUMIFS('All Donations'!$S$2:$S$4001,'All Donations'!$R$2:$R$4001,$AD61,'All Donations'!$T$2:$T$4001,R$1))</f>
        <v/>
      </c>
      <c r="S61" s="49">
        <f>IF(OR($AE61&lt;&gt;1,S$1=""),"",SUMIFS('All Donations'!$S$2:$S$4001,'All Donations'!$R$2:$R$4001,$AD61,'All Donations'!$T$2:$T$4001,S$1))</f>
        <v/>
      </c>
      <c r="T61" s="49">
        <f>IF(OR($AE61&lt;&gt;1,T$1=""),"",SUMIFS('All Donations'!$S$2:$S$4001,'All Donations'!$R$2:$R$4001,$AD61,'All Donations'!$T$2:$T$4001,T$1))</f>
        <v/>
      </c>
      <c r="U61" s="49">
        <f>IF(OR($AE61&lt;&gt;1,U$1=""),"",SUMIFS('All Donations'!$S$2:$S$4001,'All Donations'!$R$2:$R$4001,$AD61,'All Donations'!$T$2:$T$4001,U$1))</f>
        <v/>
      </c>
      <c r="V61" s="49">
        <f>IF(OR($AE61&lt;&gt;1,V$1=""),"",SUMIFS('All Donations'!$S$2:$S$4001,'All Donations'!$R$2:$R$4001,$AD61,'All Donations'!$T$2:$T$4001,V$1))</f>
        <v/>
      </c>
      <c r="W61" s="49">
        <f>IF(OR($AE61&lt;&gt;1,W$1=""),"",SUMIFS('All Donations'!$S$2:$S$4001,'All Donations'!$R$2:$R$4001,$AD61,'All Donations'!$T$2:$T$4001,W$1))</f>
        <v/>
      </c>
      <c r="X61" s="49">
        <f>IF(OR($AE61&lt;&gt;1,X$1=""),"",SUMIFS('All Donations'!$S$2:$S$4001,'All Donations'!$R$2:$R$4001,$AD61,'All Donations'!$T$2:$T$4001,X$1))</f>
        <v/>
      </c>
      <c r="Y61" s="49">
        <f>IF(OR($AE61&lt;&gt;1,Y$1=""),"",SUMIFS('All Donations'!$S$2:$S$4001,'All Donations'!$R$2:$R$4001,$AD61,'All Donations'!$T$2:$T$4001,Y$1))</f>
        <v/>
      </c>
      <c r="Z61" s="49">
        <f>IF(OR($AE61&lt;&gt;1,Z$1=""),"",SUMIFS('All Donations'!$S$2:$S$4001,'All Donations'!$R$2:$R$4001,$AD61,'All Donations'!$T$2:$T$4001,Z$1))</f>
        <v/>
      </c>
      <c r="AA61" s="49">
        <f>IF(OR($AE61&lt;&gt;1,AA$1=""),"",SUMIFS('All Donations'!$S$2:$S$4001,'All Donations'!$R$2:$R$4001,$AD61,'All Donations'!$T$2:$T$4001,AA$1))</f>
        <v/>
      </c>
      <c r="AB61" s="49">
        <f>IF(OR($AE61&lt;&gt;1,AB$1=""),"",SUMIFS('All Donations'!$S$2:$S$4001,'All Donations'!$R$2:$R$4001,$AD61,'All Donations'!$T$2:$T$4001,AB$1))</f>
        <v/>
      </c>
      <c r="AC61" s="49">
        <f>IF(OR($AE61&lt;&gt;1,AC$1=""),"",SUMIFS('All Donations'!$S$2:$S$4001,'All Donations'!$R$2:$R$4001,$AD61,'All Donations'!$T$2:$T$4001,AC$1))</f>
        <v/>
      </c>
      <c r="AD61">
        <f>IF(AE61=1,'Roster'!A61,"")</f>
        <v/>
      </c>
      <c r="AE61">
        <f>IF(TRIM('Roster'!B61&amp;'Roster'!C61)&lt;&gt;"",1,0)</f>
        <v/>
      </c>
      <c r="AF61">
        <f>IF(AE61=1,LOWER(A61),"#")</f>
        <v/>
      </c>
      <c r="AG61">
        <f>IF(AE61=1,LOWER(TRIM(TRIM('Roster'!C61)&amp;", "&amp;TRIM('Roster'!B61))),"#")</f>
        <v/>
      </c>
      <c r="AH61">
        <f>IF(AND(AE61=1,TRIM('Roster'!F61)&lt;&gt;""),LOWER(TRIM('Roster'!F61)),"#")</f>
        <v/>
      </c>
      <c r="AI61">
        <f>IF(AE61=1,IF(MATCH(B61,$B$2:$B$701,0)=ROW()-1,1,0),0)</f>
        <v/>
      </c>
      <c r="AJ61">
        <f>AJ60+AI61</f>
        <v/>
      </c>
      <c r="AK61">
        <f>IF(AE61=1,D61+(1000-ROW())/10^7,-1)</f>
        <v/>
      </c>
      <c r="AL61">
        <f>IF(AE61=1,TRIM('Roster'!B61)&amp;" "&amp;LEFT(TRIM('Roster'!C61),1)&amp;".","")</f>
        <v/>
      </c>
      <c r="AM61">
        <f>IF(AE61=1,TRIM('Roster'!C61)&amp;", "&amp;TRIM('Roster'!B61)&amp;" ("&amp;B61&amp;") #"&amp;AD61,"")</f>
        <v/>
      </c>
      <c r="AN61">
        <f>IF(AE61=1,TRIM('Roster'!E61),"")</f>
        <v/>
      </c>
      <c r="AO61">
        <f>IF(AE61=1,ROUND(SUMIFS('All Donations'!$S$2:$S$4001,'All Donations'!$R$2:$R$4001,AD61,'All Donations'!$T$2:$T$4001,"&gt;="&amp;'Settings'!$C$23,'All Donations'!$T$2:$T$4001,"&lt;="&amp;'Settings'!$D$23),2),0)</f>
        <v/>
      </c>
      <c r="AQ61">
        <f>IF(AE61=1,ROUND(SUMIFS('All Donations'!$S$2:$S$4001,'All Donations'!$R$2:$R$4001,AD61,'All Donations'!$T$2:$T$4001,"&gt;="&amp;'Settings'!$C$25,'All Donations'!$T$2:$T$4001,"&lt;="&amp;'Settings'!$D$25),2),0)</f>
        <v/>
      </c>
      <c r="AR61">
        <f>IF(AE61=1,ROUND(SUMIFS('All Donations'!$S$2:$S$4001,'All Donations'!$R$2:$R$4001,AD61,'All Donations'!$T$2:$T$4001,"&gt;="&amp;'Settings'!$C$26,'All Donations'!$T$2:$T$4001,"&lt;="&amp;'Settings'!$D$26),2),0)</f>
        <v/>
      </c>
      <c r="AS61">
        <f>IF(AE61=1,ROUND(SUMIFS('All Donations'!$S$2:$S$4001,'All Donations'!$R$2:$R$4001,AD61,'All Donations'!$T$2:$T$4001,"&lt;="&amp;'Settings'!$D$27),2),0)</f>
        <v/>
      </c>
      <c r="AT61">
        <f>IF(AE61=1,ROUND(SUMIFS('All Donations'!$S$2:$S$4001,'All Donations'!$R$2:$R$4001,AD61,'All Donations'!$T$2:$T$4001,"&gt;="&amp;'Settings'!$C$28,'All Donations'!$T$2:$T$4001,"&lt;="&amp;'Settings'!$D$28),2),0)</f>
        <v/>
      </c>
      <c r="AU61">
        <f>IF(AE61=1,ROUND(SUMIFS('All Donations'!$S$2:$S$4001,'All Donations'!$R$2:$R$4001,AD61,'All Donations'!$T$2:$T$4001,"&gt;="&amp;'Settings'!$C$29,'All Donations'!$T$2:$T$4001,"&lt;="&amp;'Settings'!$D$29),2),0)</f>
        <v/>
      </c>
      <c r="AV61">
        <f>IF(AE61=1,ROUND(SUMIFS('All Donations'!$S$2:$S$4001,'All Donations'!$R$2:$R$4001,AD61,'All Donations'!$T$2:$T$4001,"&lt;="&amp;'Settings'!$D$30),2),0)</f>
        <v/>
      </c>
      <c r="AZ61">
        <f>IF(AE61=1,ROUND(SUMIFS('All Donations'!$S$2:$S$4001,'All Donations'!$R$2:$R$4001,AD61,'All Donations'!$T$2:$T$4001,"&lt;="&amp;'Settings'!$D$34),2),0)</f>
        <v/>
      </c>
    </row>
    <row r="62">
      <c r="A62">
        <f>IF(AE62=1,TRIM(TRIM('Roster'!B62)&amp;" "&amp;TRIM('Roster'!C62)),"")</f>
        <v/>
      </c>
      <c r="B62">
        <f>IF(AE62=1,IF(AN62="","(no teacher)",AN62&amp;" – "&amp;C62),"")</f>
        <v/>
      </c>
      <c r="C62">
        <f>IF(AE62=1,TRIM('Roster'!D62&amp;""),"")</f>
        <v/>
      </c>
      <c r="D62" s="48">
        <f>IF(AE62=1,ROUND(SUMIFS('All Donations'!$S$2:$S$4001,'All Donations'!$R$2:$R$4001,AD62),2),"")</f>
        <v/>
      </c>
      <c r="E62" s="48">
        <f>IF(AE62=1,ROUND(SUMIFS('All Donations'!$S$2:$S$4001,'All Donations'!$R$2:$R$4001,AD62,'All Donations'!$G$2:$G$4001,"OneCause"),2),"")</f>
        <v/>
      </c>
      <c r="F62" s="48">
        <f>IF(AE62=1,D62-E62,"")</f>
        <v/>
      </c>
      <c r="G62">
        <f>IF(AE62=1,COUNTIFS('All Donations'!$R$2:$R$4001,AD62,'All Donations'!$H$2:$H$4001,"OK"),"")</f>
        <v/>
      </c>
      <c r="H62">
        <f>IF(AE62&lt;&gt;1,"",IF(D62&gt;0,"Yes",""))</f>
        <v/>
      </c>
      <c r="I62" s="49">
        <f>IF(OR($AE62&lt;&gt;1,I$1=""),"",SUMIFS('All Donations'!$S$2:$S$4001,'All Donations'!$R$2:$R$4001,$AD62,'All Donations'!$T$2:$T$4001,I$1))</f>
        <v/>
      </c>
      <c r="J62" s="49">
        <f>IF(OR($AE62&lt;&gt;1,J$1=""),"",SUMIFS('All Donations'!$S$2:$S$4001,'All Donations'!$R$2:$R$4001,$AD62,'All Donations'!$T$2:$T$4001,J$1))</f>
        <v/>
      </c>
      <c r="K62" s="49">
        <f>IF(OR($AE62&lt;&gt;1,K$1=""),"",SUMIFS('All Donations'!$S$2:$S$4001,'All Donations'!$R$2:$R$4001,$AD62,'All Donations'!$T$2:$T$4001,K$1))</f>
        <v/>
      </c>
      <c r="L62" s="49">
        <f>IF(OR($AE62&lt;&gt;1,L$1=""),"",SUMIFS('All Donations'!$S$2:$S$4001,'All Donations'!$R$2:$R$4001,$AD62,'All Donations'!$T$2:$T$4001,L$1))</f>
        <v/>
      </c>
      <c r="M62" s="49">
        <f>IF(OR($AE62&lt;&gt;1,M$1=""),"",SUMIFS('All Donations'!$S$2:$S$4001,'All Donations'!$R$2:$R$4001,$AD62,'All Donations'!$T$2:$T$4001,M$1))</f>
        <v/>
      </c>
      <c r="N62" s="49">
        <f>IF(OR($AE62&lt;&gt;1,N$1=""),"",SUMIFS('All Donations'!$S$2:$S$4001,'All Donations'!$R$2:$R$4001,$AD62,'All Donations'!$T$2:$T$4001,N$1))</f>
        <v/>
      </c>
      <c r="O62" s="49">
        <f>IF(OR($AE62&lt;&gt;1,O$1=""),"",SUMIFS('All Donations'!$S$2:$S$4001,'All Donations'!$R$2:$R$4001,$AD62,'All Donations'!$T$2:$T$4001,O$1))</f>
        <v/>
      </c>
      <c r="P62" s="49">
        <f>IF(OR($AE62&lt;&gt;1,P$1=""),"",SUMIFS('All Donations'!$S$2:$S$4001,'All Donations'!$R$2:$R$4001,$AD62,'All Donations'!$T$2:$T$4001,P$1))</f>
        <v/>
      </c>
      <c r="Q62" s="49">
        <f>IF(OR($AE62&lt;&gt;1,Q$1=""),"",SUMIFS('All Donations'!$S$2:$S$4001,'All Donations'!$R$2:$R$4001,$AD62,'All Donations'!$T$2:$T$4001,Q$1))</f>
        <v/>
      </c>
      <c r="R62" s="49">
        <f>IF(OR($AE62&lt;&gt;1,R$1=""),"",SUMIFS('All Donations'!$S$2:$S$4001,'All Donations'!$R$2:$R$4001,$AD62,'All Donations'!$T$2:$T$4001,R$1))</f>
        <v/>
      </c>
      <c r="S62" s="49">
        <f>IF(OR($AE62&lt;&gt;1,S$1=""),"",SUMIFS('All Donations'!$S$2:$S$4001,'All Donations'!$R$2:$R$4001,$AD62,'All Donations'!$T$2:$T$4001,S$1))</f>
        <v/>
      </c>
      <c r="T62" s="49">
        <f>IF(OR($AE62&lt;&gt;1,T$1=""),"",SUMIFS('All Donations'!$S$2:$S$4001,'All Donations'!$R$2:$R$4001,$AD62,'All Donations'!$T$2:$T$4001,T$1))</f>
        <v/>
      </c>
      <c r="U62" s="49">
        <f>IF(OR($AE62&lt;&gt;1,U$1=""),"",SUMIFS('All Donations'!$S$2:$S$4001,'All Donations'!$R$2:$R$4001,$AD62,'All Donations'!$T$2:$T$4001,U$1))</f>
        <v/>
      </c>
      <c r="V62" s="49">
        <f>IF(OR($AE62&lt;&gt;1,V$1=""),"",SUMIFS('All Donations'!$S$2:$S$4001,'All Donations'!$R$2:$R$4001,$AD62,'All Donations'!$T$2:$T$4001,V$1))</f>
        <v/>
      </c>
      <c r="W62" s="49">
        <f>IF(OR($AE62&lt;&gt;1,W$1=""),"",SUMIFS('All Donations'!$S$2:$S$4001,'All Donations'!$R$2:$R$4001,$AD62,'All Donations'!$T$2:$T$4001,W$1))</f>
        <v/>
      </c>
      <c r="X62" s="49">
        <f>IF(OR($AE62&lt;&gt;1,X$1=""),"",SUMIFS('All Donations'!$S$2:$S$4001,'All Donations'!$R$2:$R$4001,$AD62,'All Donations'!$T$2:$T$4001,X$1))</f>
        <v/>
      </c>
      <c r="Y62" s="49">
        <f>IF(OR($AE62&lt;&gt;1,Y$1=""),"",SUMIFS('All Donations'!$S$2:$S$4001,'All Donations'!$R$2:$R$4001,$AD62,'All Donations'!$T$2:$T$4001,Y$1))</f>
        <v/>
      </c>
      <c r="Z62" s="49">
        <f>IF(OR($AE62&lt;&gt;1,Z$1=""),"",SUMIFS('All Donations'!$S$2:$S$4001,'All Donations'!$R$2:$R$4001,$AD62,'All Donations'!$T$2:$T$4001,Z$1))</f>
        <v/>
      </c>
      <c r="AA62" s="49">
        <f>IF(OR($AE62&lt;&gt;1,AA$1=""),"",SUMIFS('All Donations'!$S$2:$S$4001,'All Donations'!$R$2:$R$4001,$AD62,'All Donations'!$T$2:$T$4001,AA$1))</f>
        <v/>
      </c>
      <c r="AB62" s="49">
        <f>IF(OR($AE62&lt;&gt;1,AB$1=""),"",SUMIFS('All Donations'!$S$2:$S$4001,'All Donations'!$R$2:$R$4001,$AD62,'All Donations'!$T$2:$T$4001,AB$1))</f>
        <v/>
      </c>
      <c r="AC62" s="49">
        <f>IF(OR($AE62&lt;&gt;1,AC$1=""),"",SUMIFS('All Donations'!$S$2:$S$4001,'All Donations'!$R$2:$R$4001,$AD62,'All Donations'!$T$2:$T$4001,AC$1))</f>
        <v/>
      </c>
      <c r="AD62">
        <f>IF(AE62=1,'Roster'!A62,"")</f>
        <v/>
      </c>
      <c r="AE62">
        <f>IF(TRIM('Roster'!B62&amp;'Roster'!C62)&lt;&gt;"",1,0)</f>
        <v/>
      </c>
      <c r="AF62">
        <f>IF(AE62=1,LOWER(A62),"#")</f>
        <v/>
      </c>
      <c r="AG62">
        <f>IF(AE62=1,LOWER(TRIM(TRIM('Roster'!C62)&amp;", "&amp;TRIM('Roster'!B62))),"#")</f>
        <v/>
      </c>
      <c r="AH62">
        <f>IF(AND(AE62=1,TRIM('Roster'!F62)&lt;&gt;""),LOWER(TRIM('Roster'!F62)),"#")</f>
        <v/>
      </c>
      <c r="AI62">
        <f>IF(AE62=1,IF(MATCH(B62,$B$2:$B$701,0)=ROW()-1,1,0),0)</f>
        <v/>
      </c>
      <c r="AJ62">
        <f>AJ61+AI62</f>
        <v/>
      </c>
      <c r="AK62">
        <f>IF(AE62=1,D62+(1000-ROW())/10^7,-1)</f>
        <v/>
      </c>
      <c r="AL62">
        <f>IF(AE62=1,TRIM('Roster'!B62)&amp;" "&amp;LEFT(TRIM('Roster'!C62),1)&amp;".","")</f>
        <v/>
      </c>
      <c r="AM62">
        <f>IF(AE62=1,TRIM('Roster'!C62)&amp;", "&amp;TRIM('Roster'!B62)&amp;" ("&amp;B62&amp;") #"&amp;AD62,"")</f>
        <v/>
      </c>
      <c r="AN62">
        <f>IF(AE62=1,TRIM('Roster'!E62),"")</f>
        <v/>
      </c>
      <c r="AO62">
        <f>IF(AE62=1,ROUND(SUMIFS('All Donations'!$S$2:$S$4001,'All Donations'!$R$2:$R$4001,AD62,'All Donations'!$T$2:$T$4001,"&gt;="&amp;'Settings'!$C$23,'All Donations'!$T$2:$T$4001,"&lt;="&amp;'Settings'!$D$23),2),0)</f>
        <v/>
      </c>
      <c r="AQ62">
        <f>IF(AE62=1,ROUND(SUMIFS('All Donations'!$S$2:$S$4001,'All Donations'!$R$2:$R$4001,AD62,'All Donations'!$T$2:$T$4001,"&gt;="&amp;'Settings'!$C$25,'All Donations'!$T$2:$T$4001,"&lt;="&amp;'Settings'!$D$25),2),0)</f>
        <v/>
      </c>
      <c r="AR62">
        <f>IF(AE62=1,ROUND(SUMIFS('All Donations'!$S$2:$S$4001,'All Donations'!$R$2:$R$4001,AD62,'All Donations'!$T$2:$T$4001,"&gt;="&amp;'Settings'!$C$26,'All Donations'!$T$2:$T$4001,"&lt;="&amp;'Settings'!$D$26),2),0)</f>
        <v/>
      </c>
      <c r="AS62">
        <f>IF(AE62=1,ROUND(SUMIFS('All Donations'!$S$2:$S$4001,'All Donations'!$R$2:$R$4001,AD62,'All Donations'!$T$2:$T$4001,"&lt;="&amp;'Settings'!$D$27),2),0)</f>
        <v/>
      </c>
      <c r="AT62">
        <f>IF(AE62=1,ROUND(SUMIFS('All Donations'!$S$2:$S$4001,'All Donations'!$R$2:$R$4001,AD62,'All Donations'!$T$2:$T$4001,"&gt;="&amp;'Settings'!$C$28,'All Donations'!$T$2:$T$4001,"&lt;="&amp;'Settings'!$D$28),2),0)</f>
        <v/>
      </c>
      <c r="AU62">
        <f>IF(AE62=1,ROUND(SUMIFS('All Donations'!$S$2:$S$4001,'All Donations'!$R$2:$R$4001,AD62,'All Donations'!$T$2:$T$4001,"&gt;="&amp;'Settings'!$C$29,'All Donations'!$T$2:$T$4001,"&lt;="&amp;'Settings'!$D$29),2),0)</f>
        <v/>
      </c>
      <c r="AV62">
        <f>IF(AE62=1,ROUND(SUMIFS('All Donations'!$S$2:$S$4001,'All Donations'!$R$2:$R$4001,AD62,'All Donations'!$T$2:$T$4001,"&lt;="&amp;'Settings'!$D$30),2),0)</f>
        <v/>
      </c>
      <c r="AZ62">
        <f>IF(AE62=1,ROUND(SUMIFS('All Donations'!$S$2:$S$4001,'All Donations'!$R$2:$R$4001,AD62,'All Donations'!$T$2:$T$4001,"&lt;="&amp;'Settings'!$D$34),2),0)</f>
        <v/>
      </c>
    </row>
    <row r="63">
      <c r="A63">
        <f>IF(AE63=1,TRIM(TRIM('Roster'!B63)&amp;" "&amp;TRIM('Roster'!C63)),"")</f>
        <v/>
      </c>
      <c r="B63">
        <f>IF(AE63=1,IF(AN63="","(no teacher)",AN63&amp;" – "&amp;C63),"")</f>
        <v/>
      </c>
      <c r="C63">
        <f>IF(AE63=1,TRIM('Roster'!D63&amp;""),"")</f>
        <v/>
      </c>
      <c r="D63" s="48">
        <f>IF(AE63=1,ROUND(SUMIFS('All Donations'!$S$2:$S$4001,'All Donations'!$R$2:$R$4001,AD63),2),"")</f>
        <v/>
      </c>
      <c r="E63" s="48">
        <f>IF(AE63=1,ROUND(SUMIFS('All Donations'!$S$2:$S$4001,'All Donations'!$R$2:$R$4001,AD63,'All Donations'!$G$2:$G$4001,"OneCause"),2),"")</f>
        <v/>
      </c>
      <c r="F63" s="48">
        <f>IF(AE63=1,D63-E63,"")</f>
        <v/>
      </c>
      <c r="G63">
        <f>IF(AE63=1,COUNTIFS('All Donations'!$R$2:$R$4001,AD63,'All Donations'!$H$2:$H$4001,"OK"),"")</f>
        <v/>
      </c>
      <c r="H63">
        <f>IF(AE63&lt;&gt;1,"",IF(D63&gt;0,"Yes",""))</f>
        <v/>
      </c>
      <c r="I63" s="49">
        <f>IF(OR($AE63&lt;&gt;1,I$1=""),"",SUMIFS('All Donations'!$S$2:$S$4001,'All Donations'!$R$2:$R$4001,$AD63,'All Donations'!$T$2:$T$4001,I$1))</f>
        <v/>
      </c>
      <c r="J63" s="49">
        <f>IF(OR($AE63&lt;&gt;1,J$1=""),"",SUMIFS('All Donations'!$S$2:$S$4001,'All Donations'!$R$2:$R$4001,$AD63,'All Donations'!$T$2:$T$4001,J$1))</f>
        <v/>
      </c>
      <c r="K63" s="49">
        <f>IF(OR($AE63&lt;&gt;1,K$1=""),"",SUMIFS('All Donations'!$S$2:$S$4001,'All Donations'!$R$2:$R$4001,$AD63,'All Donations'!$T$2:$T$4001,K$1))</f>
        <v/>
      </c>
      <c r="L63" s="49">
        <f>IF(OR($AE63&lt;&gt;1,L$1=""),"",SUMIFS('All Donations'!$S$2:$S$4001,'All Donations'!$R$2:$R$4001,$AD63,'All Donations'!$T$2:$T$4001,L$1))</f>
        <v/>
      </c>
      <c r="M63" s="49">
        <f>IF(OR($AE63&lt;&gt;1,M$1=""),"",SUMIFS('All Donations'!$S$2:$S$4001,'All Donations'!$R$2:$R$4001,$AD63,'All Donations'!$T$2:$T$4001,M$1))</f>
        <v/>
      </c>
      <c r="N63" s="49">
        <f>IF(OR($AE63&lt;&gt;1,N$1=""),"",SUMIFS('All Donations'!$S$2:$S$4001,'All Donations'!$R$2:$R$4001,$AD63,'All Donations'!$T$2:$T$4001,N$1))</f>
        <v/>
      </c>
      <c r="O63" s="49">
        <f>IF(OR($AE63&lt;&gt;1,O$1=""),"",SUMIFS('All Donations'!$S$2:$S$4001,'All Donations'!$R$2:$R$4001,$AD63,'All Donations'!$T$2:$T$4001,O$1))</f>
        <v/>
      </c>
      <c r="P63" s="49">
        <f>IF(OR($AE63&lt;&gt;1,P$1=""),"",SUMIFS('All Donations'!$S$2:$S$4001,'All Donations'!$R$2:$R$4001,$AD63,'All Donations'!$T$2:$T$4001,P$1))</f>
        <v/>
      </c>
      <c r="Q63" s="49">
        <f>IF(OR($AE63&lt;&gt;1,Q$1=""),"",SUMIFS('All Donations'!$S$2:$S$4001,'All Donations'!$R$2:$R$4001,$AD63,'All Donations'!$T$2:$T$4001,Q$1))</f>
        <v/>
      </c>
      <c r="R63" s="49">
        <f>IF(OR($AE63&lt;&gt;1,R$1=""),"",SUMIFS('All Donations'!$S$2:$S$4001,'All Donations'!$R$2:$R$4001,$AD63,'All Donations'!$T$2:$T$4001,R$1))</f>
        <v/>
      </c>
      <c r="S63" s="49">
        <f>IF(OR($AE63&lt;&gt;1,S$1=""),"",SUMIFS('All Donations'!$S$2:$S$4001,'All Donations'!$R$2:$R$4001,$AD63,'All Donations'!$T$2:$T$4001,S$1))</f>
        <v/>
      </c>
      <c r="T63" s="49">
        <f>IF(OR($AE63&lt;&gt;1,T$1=""),"",SUMIFS('All Donations'!$S$2:$S$4001,'All Donations'!$R$2:$R$4001,$AD63,'All Donations'!$T$2:$T$4001,T$1))</f>
        <v/>
      </c>
      <c r="U63" s="49">
        <f>IF(OR($AE63&lt;&gt;1,U$1=""),"",SUMIFS('All Donations'!$S$2:$S$4001,'All Donations'!$R$2:$R$4001,$AD63,'All Donations'!$T$2:$T$4001,U$1))</f>
        <v/>
      </c>
      <c r="V63" s="49">
        <f>IF(OR($AE63&lt;&gt;1,V$1=""),"",SUMIFS('All Donations'!$S$2:$S$4001,'All Donations'!$R$2:$R$4001,$AD63,'All Donations'!$T$2:$T$4001,V$1))</f>
        <v/>
      </c>
      <c r="W63" s="49">
        <f>IF(OR($AE63&lt;&gt;1,W$1=""),"",SUMIFS('All Donations'!$S$2:$S$4001,'All Donations'!$R$2:$R$4001,$AD63,'All Donations'!$T$2:$T$4001,W$1))</f>
        <v/>
      </c>
      <c r="X63" s="49">
        <f>IF(OR($AE63&lt;&gt;1,X$1=""),"",SUMIFS('All Donations'!$S$2:$S$4001,'All Donations'!$R$2:$R$4001,$AD63,'All Donations'!$T$2:$T$4001,X$1))</f>
        <v/>
      </c>
      <c r="Y63" s="49">
        <f>IF(OR($AE63&lt;&gt;1,Y$1=""),"",SUMIFS('All Donations'!$S$2:$S$4001,'All Donations'!$R$2:$R$4001,$AD63,'All Donations'!$T$2:$T$4001,Y$1))</f>
        <v/>
      </c>
      <c r="Z63" s="49">
        <f>IF(OR($AE63&lt;&gt;1,Z$1=""),"",SUMIFS('All Donations'!$S$2:$S$4001,'All Donations'!$R$2:$R$4001,$AD63,'All Donations'!$T$2:$T$4001,Z$1))</f>
        <v/>
      </c>
      <c r="AA63" s="49">
        <f>IF(OR($AE63&lt;&gt;1,AA$1=""),"",SUMIFS('All Donations'!$S$2:$S$4001,'All Donations'!$R$2:$R$4001,$AD63,'All Donations'!$T$2:$T$4001,AA$1))</f>
        <v/>
      </c>
      <c r="AB63" s="49">
        <f>IF(OR($AE63&lt;&gt;1,AB$1=""),"",SUMIFS('All Donations'!$S$2:$S$4001,'All Donations'!$R$2:$R$4001,$AD63,'All Donations'!$T$2:$T$4001,AB$1))</f>
        <v/>
      </c>
      <c r="AC63" s="49">
        <f>IF(OR($AE63&lt;&gt;1,AC$1=""),"",SUMIFS('All Donations'!$S$2:$S$4001,'All Donations'!$R$2:$R$4001,$AD63,'All Donations'!$T$2:$T$4001,AC$1))</f>
        <v/>
      </c>
      <c r="AD63">
        <f>IF(AE63=1,'Roster'!A63,"")</f>
        <v/>
      </c>
      <c r="AE63">
        <f>IF(TRIM('Roster'!B63&amp;'Roster'!C63)&lt;&gt;"",1,0)</f>
        <v/>
      </c>
      <c r="AF63">
        <f>IF(AE63=1,LOWER(A63),"#")</f>
        <v/>
      </c>
      <c r="AG63">
        <f>IF(AE63=1,LOWER(TRIM(TRIM('Roster'!C63)&amp;", "&amp;TRIM('Roster'!B63))),"#")</f>
        <v/>
      </c>
      <c r="AH63">
        <f>IF(AND(AE63=1,TRIM('Roster'!F63)&lt;&gt;""),LOWER(TRIM('Roster'!F63)),"#")</f>
        <v/>
      </c>
      <c r="AI63">
        <f>IF(AE63=1,IF(MATCH(B63,$B$2:$B$701,0)=ROW()-1,1,0),0)</f>
        <v/>
      </c>
      <c r="AJ63">
        <f>AJ62+AI63</f>
        <v/>
      </c>
      <c r="AK63">
        <f>IF(AE63=1,D63+(1000-ROW())/10^7,-1)</f>
        <v/>
      </c>
      <c r="AL63">
        <f>IF(AE63=1,TRIM('Roster'!B63)&amp;" "&amp;LEFT(TRIM('Roster'!C63),1)&amp;".","")</f>
        <v/>
      </c>
      <c r="AM63">
        <f>IF(AE63=1,TRIM('Roster'!C63)&amp;", "&amp;TRIM('Roster'!B63)&amp;" ("&amp;B63&amp;") #"&amp;AD63,"")</f>
        <v/>
      </c>
      <c r="AN63">
        <f>IF(AE63=1,TRIM('Roster'!E63),"")</f>
        <v/>
      </c>
      <c r="AO63">
        <f>IF(AE63=1,ROUND(SUMIFS('All Donations'!$S$2:$S$4001,'All Donations'!$R$2:$R$4001,AD63,'All Donations'!$T$2:$T$4001,"&gt;="&amp;'Settings'!$C$23,'All Donations'!$T$2:$T$4001,"&lt;="&amp;'Settings'!$D$23),2),0)</f>
        <v/>
      </c>
      <c r="AQ63">
        <f>IF(AE63=1,ROUND(SUMIFS('All Donations'!$S$2:$S$4001,'All Donations'!$R$2:$R$4001,AD63,'All Donations'!$T$2:$T$4001,"&gt;="&amp;'Settings'!$C$25,'All Donations'!$T$2:$T$4001,"&lt;="&amp;'Settings'!$D$25),2),0)</f>
        <v/>
      </c>
      <c r="AR63">
        <f>IF(AE63=1,ROUND(SUMIFS('All Donations'!$S$2:$S$4001,'All Donations'!$R$2:$R$4001,AD63,'All Donations'!$T$2:$T$4001,"&gt;="&amp;'Settings'!$C$26,'All Donations'!$T$2:$T$4001,"&lt;="&amp;'Settings'!$D$26),2),0)</f>
        <v/>
      </c>
      <c r="AS63">
        <f>IF(AE63=1,ROUND(SUMIFS('All Donations'!$S$2:$S$4001,'All Donations'!$R$2:$R$4001,AD63,'All Donations'!$T$2:$T$4001,"&lt;="&amp;'Settings'!$D$27),2),0)</f>
        <v/>
      </c>
      <c r="AT63">
        <f>IF(AE63=1,ROUND(SUMIFS('All Donations'!$S$2:$S$4001,'All Donations'!$R$2:$R$4001,AD63,'All Donations'!$T$2:$T$4001,"&gt;="&amp;'Settings'!$C$28,'All Donations'!$T$2:$T$4001,"&lt;="&amp;'Settings'!$D$28),2),0)</f>
        <v/>
      </c>
      <c r="AU63">
        <f>IF(AE63=1,ROUND(SUMIFS('All Donations'!$S$2:$S$4001,'All Donations'!$R$2:$R$4001,AD63,'All Donations'!$T$2:$T$4001,"&gt;="&amp;'Settings'!$C$29,'All Donations'!$T$2:$T$4001,"&lt;="&amp;'Settings'!$D$29),2),0)</f>
        <v/>
      </c>
      <c r="AV63">
        <f>IF(AE63=1,ROUND(SUMIFS('All Donations'!$S$2:$S$4001,'All Donations'!$R$2:$R$4001,AD63,'All Donations'!$T$2:$T$4001,"&lt;="&amp;'Settings'!$D$30),2),0)</f>
        <v/>
      </c>
      <c r="AZ63">
        <f>IF(AE63=1,ROUND(SUMIFS('All Donations'!$S$2:$S$4001,'All Donations'!$R$2:$R$4001,AD63,'All Donations'!$T$2:$T$4001,"&lt;="&amp;'Settings'!$D$34),2),0)</f>
        <v/>
      </c>
    </row>
    <row r="64">
      <c r="A64">
        <f>IF(AE64=1,TRIM(TRIM('Roster'!B64)&amp;" "&amp;TRIM('Roster'!C64)),"")</f>
        <v/>
      </c>
      <c r="B64">
        <f>IF(AE64=1,IF(AN64="","(no teacher)",AN64&amp;" – "&amp;C64),"")</f>
        <v/>
      </c>
      <c r="C64">
        <f>IF(AE64=1,TRIM('Roster'!D64&amp;""),"")</f>
        <v/>
      </c>
      <c r="D64" s="48">
        <f>IF(AE64=1,ROUND(SUMIFS('All Donations'!$S$2:$S$4001,'All Donations'!$R$2:$R$4001,AD64),2),"")</f>
        <v/>
      </c>
      <c r="E64" s="48">
        <f>IF(AE64=1,ROUND(SUMIFS('All Donations'!$S$2:$S$4001,'All Donations'!$R$2:$R$4001,AD64,'All Donations'!$G$2:$G$4001,"OneCause"),2),"")</f>
        <v/>
      </c>
      <c r="F64" s="48">
        <f>IF(AE64=1,D64-E64,"")</f>
        <v/>
      </c>
      <c r="G64">
        <f>IF(AE64=1,COUNTIFS('All Donations'!$R$2:$R$4001,AD64,'All Donations'!$H$2:$H$4001,"OK"),"")</f>
        <v/>
      </c>
      <c r="H64">
        <f>IF(AE64&lt;&gt;1,"",IF(D64&gt;0,"Yes",""))</f>
        <v/>
      </c>
      <c r="I64" s="49">
        <f>IF(OR($AE64&lt;&gt;1,I$1=""),"",SUMIFS('All Donations'!$S$2:$S$4001,'All Donations'!$R$2:$R$4001,$AD64,'All Donations'!$T$2:$T$4001,I$1))</f>
        <v/>
      </c>
      <c r="J64" s="49">
        <f>IF(OR($AE64&lt;&gt;1,J$1=""),"",SUMIFS('All Donations'!$S$2:$S$4001,'All Donations'!$R$2:$R$4001,$AD64,'All Donations'!$T$2:$T$4001,J$1))</f>
        <v/>
      </c>
      <c r="K64" s="49">
        <f>IF(OR($AE64&lt;&gt;1,K$1=""),"",SUMIFS('All Donations'!$S$2:$S$4001,'All Donations'!$R$2:$R$4001,$AD64,'All Donations'!$T$2:$T$4001,K$1))</f>
        <v/>
      </c>
      <c r="L64" s="49">
        <f>IF(OR($AE64&lt;&gt;1,L$1=""),"",SUMIFS('All Donations'!$S$2:$S$4001,'All Donations'!$R$2:$R$4001,$AD64,'All Donations'!$T$2:$T$4001,L$1))</f>
        <v/>
      </c>
      <c r="M64" s="49">
        <f>IF(OR($AE64&lt;&gt;1,M$1=""),"",SUMIFS('All Donations'!$S$2:$S$4001,'All Donations'!$R$2:$R$4001,$AD64,'All Donations'!$T$2:$T$4001,M$1))</f>
        <v/>
      </c>
      <c r="N64" s="49">
        <f>IF(OR($AE64&lt;&gt;1,N$1=""),"",SUMIFS('All Donations'!$S$2:$S$4001,'All Donations'!$R$2:$R$4001,$AD64,'All Donations'!$T$2:$T$4001,N$1))</f>
        <v/>
      </c>
      <c r="O64" s="49">
        <f>IF(OR($AE64&lt;&gt;1,O$1=""),"",SUMIFS('All Donations'!$S$2:$S$4001,'All Donations'!$R$2:$R$4001,$AD64,'All Donations'!$T$2:$T$4001,O$1))</f>
        <v/>
      </c>
      <c r="P64" s="49">
        <f>IF(OR($AE64&lt;&gt;1,P$1=""),"",SUMIFS('All Donations'!$S$2:$S$4001,'All Donations'!$R$2:$R$4001,$AD64,'All Donations'!$T$2:$T$4001,P$1))</f>
        <v/>
      </c>
      <c r="Q64" s="49">
        <f>IF(OR($AE64&lt;&gt;1,Q$1=""),"",SUMIFS('All Donations'!$S$2:$S$4001,'All Donations'!$R$2:$R$4001,$AD64,'All Donations'!$T$2:$T$4001,Q$1))</f>
        <v/>
      </c>
      <c r="R64" s="49">
        <f>IF(OR($AE64&lt;&gt;1,R$1=""),"",SUMIFS('All Donations'!$S$2:$S$4001,'All Donations'!$R$2:$R$4001,$AD64,'All Donations'!$T$2:$T$4001,R$1))</f>
        <v/>
      </c>
      <c r="S64" s="49">
        <f>IF(OR($AE64&lt;&gt;1,S$1=""),"",SUMIFS('All Donations'!$S$2:$S$4001,'All Donations'!$R$2:$R$4001,$AD64,'All Donations'!$T$2:$T$4001,S$1))</f>
        <v/>
      </c>
      <c r="T64" s="49">
        <f>IF(OR($AE64&lt;&gt;1,T$1=""),"",SUMIFS('All Donations'!$S$2:$S$4001,'All Donations'!$R$2:$R$4001,$AD64,'All Donations'!$T$2:$T$4001,T$1))</f>
        <v/>
      </c>
      <c r="U64" s="49">
        <f>IF(OR($AE64&lt;&gt;1,U$1=""),"",SUMIFS('All Donations'!$S$2:$S$4001,'All Donations'!$R$2:$R$4001,$AD64,'All Donations'!$T$2:$T$4001,U$1))</f>
        <v/>
      </c>
      <c r="V64" s="49">
        <f>IF(OR($AE64&lt;&gt;1,V$1=""),"",SUMIFS('All Donations'!$S$2:$S$4001,'All Donations'!$R$2:$R$4001,$AD64,'All Donations'!$T$2:$T$4001,V$1))</f>
        <v/>
      </c>
      <c r="W64" s="49">
        <f>IF(OR($AE64&lt;&gt;1,W$1=""),"",SUMIFS('All Donations'!$S$2:$S$4001,'All Donations'!$R$2:$R$4001,$AD64,'All Donations'!$T$2:$T$4001,W$1))</f>
        <v/>
      </c>
      <c r="X64" s="49">
        <f>IF(OR($AE64&lt;&gt;1,X$1=""),"",SUMIFS('All Donations'!$S$2:$S$4001,'All Donations'!$R$2:$R$4001,$AD64,'All Donations'!$T$2:$T$4001,X$1))</f>
        <v/>
      </c>
      <c r="Y64" s="49">
        <f>IF(OR($AE64&lt;&gt;1,Y$1=""),"",SUMIFS('All Donations'!$S$2:$S$4001,'All Donations'!$R$2:$R$4001,$AD64,'All Donations'!$T$2:$T$4001,Y$1))</f>
        <v/>
      </c>
      <c r="Z64" s="49">
        <f>IF(OR($AE64&lt;&gt;1,Z$1=""),"",SUMIFS('All Donations'!$S$2:$S$4001,'All Donations'!$R$2:$R$4001,$AD64,'All Donations'!$T$2:$T$4001,Z$1))</f>
        <v/>
      </c>
      <c r="AA64" s="49">
        <f>IF(OR($AE64&lt;&gt;1,AA$1=""),"",SUMIFS('All Donations'!$S$2:$S$4001,'All Donations'!$R$2:$R$4001,$AD64,'All Donations'!$T$2:$T$4001,AA$1))</f>
        <v/>
      </c>
      <c r="AB64" s="49">
        <f>IF(OR($AE64&lt;&gt;1,AB$1=""),"",SUMIFS('All Donations'!$S$2:$S$4001,'All Donations'!$R$2:$R$4001,$AD64,'All Donations'!$T$2:$T$4001,AB$1))</f>
        <v/>
      </c>
      <c r="AC64" s="49">
        <f>IF(OR($AE64&lt;&gt;1,AC$1=""),"",SUMIFS('All Donations'!$S$2:$S$4001,'All Donations'!$R$2:$R$4001,$AD64,'All Donations'!$T$2:$T$4001,AC$1))</f>
        <v/>
      </c>
      <c r="AD64">
        <f>IF(AE64=1,'Roster'!A64,"")</f>
        <v/>
      </c>
      <c r="AE64">
        <f>IF(TRIM('Roster'!B64&amp;'Roster'!C64)&lt;&gt;"",1,0)</f>
        <v/>
      </c>
      <c r="AF64">
        <f>IF(AE64=1,LOWER(A64),"#")</f>
        <v/>
      </c>
      <c r="AG64">
        <f>IF(AE64=1,LOWER(TRIM(TRIM('Roster'!C64)&amp;", "&amp;TRIM('Roster'!B64))),"#")</f>
        <v/>
      </c>
      <c r="AH64">
        <f>IF(AND(AE64=1,TRIM('Roster'!F64)&lt;&gt;""),LOWER(TRIM('Roster'!F64)),"#")</f>
        <v/>
      </c>
      <c r="AI64">
        <f>IF(AE64=1,IF(MATCH(B64,$B$2:$B$701,0)=ROW()-1,1,0),0)</f>
        <v/>
      </c>
      <c r="AJ64">
        <f>AJ63+AI64</f>
        <v/>
      </c>
      <c r="AK64">
        <f>IF(AE64=1,D64+(1000-ROW())/10^7,-1)</f>
        <v/>
      </c>
      <c r="AL64">
        <f>IF(AE64=1,TRIM('Roster'!B64)&amp;" "&amp;LEFT(TRIM('Roster'!C64),1)&amp;".","")</f>
        <v/>
      </c>
      <c r="AM64">
        <f>IF(AE64=1,TRIM('Roster'!C64)&amp;", "&amp;TRIM('Roster'!B64)&amp;" ("&amp;B64&amp;") #"&amp;AD64,"")</f>
        <v/>
      </c>
      <c r="AN64">
        <f>IF(AE64=1,TRIM('Roster'!E64),"")</f>
        <v/>
      </c>
      <c r="AO64">
        <f>IF(AE64=1,ROUND(SUMIFS('All Donations'!$S$2:$S$4001,'All Donations'!$R$2:$R$4001,AD64,'All Donations'!$T$2:$T$4001,"&gt;="&amp;'Settings'!$C$23,'All Donations'!$T$2:$T$4001,"&lt;="&amp;'Settings'!$D$23),2),0)</f>
        <v/>
      </c>
      <c r="AQ64">
        <f>IF(AE64=1,ROUND(SUMIFS('All Donations'!$S$2:$S$4001,'All Donations'!$R$2:$R$4001,AD64,'All Donations'!$T$2:$T$4001,"&gt;="&amp;'Settings'!$C$25,'All Donations'!$T$2:$T$4001,"&lt;="&amp;'Settings'!$D$25),2),0)</f>
        <v/>
      </c>
      <c r="AR64">
        <f>IF(AE64=1,ROUND(SUMIFS('All Donations'!$S$2:$S$4001,'All Donations'!$R$2:$R$4001,AD64,'All Donations'!$T$2:$T$4001,"&gt;="&amp;'Settings'!$C$26,'All Donations'!$T$2:$T$4001,"&lt;="&amp;'Settings'!$D$26),2),0)</f>
        <v/>
      </c>
      <c r="AS64">
        <f>IF(AE64=1,ROUND(SUMIFS('All Donations'!$S$2:$S$4001,'All Donations'!$R$2:$R$4001,AD64,'All Donations'!$T$2:$T$4001,"&lt;="&amp;'Settings'!$D$27),2),0)</f>
        <v/>
      </c>
      <c r="AT64">
        <f>IF(AE64=1,ROUND(SUMIFS('All Donations'!$S$2:$S$4001,'All Donations'!$R$2:$R$4001,AD64,'All Donations'!$T$2:$T$4001,"&gt;="&amp;'Settings'!$C$28,'All Donations'!$T$2:$T$4001,"&lt;="&amp;'Settings'!$D$28),2),0)</f>
        <v/>
      </c>
      <c r="AU64">
        <f>IF(AE64=1,ROUND(SUMIFS('All Donations'!$S$2:$S$4001,'All Donations'!$R$2:$R$4001,AD64,'All Donations'!$T$2:$T$4001,"&gt;="&amp;'Settings'!$C$29,'All Donations'!$T$2:$T$4001,"&lt;="&amp;'Settings'!$D$29),2),0)</f>
        <v/>
      </c>
      <c r="AV64">
        <f>IF(AE64=1,ROUND(SUMIFS('All Donations'!$S$2:$S$4001,'All Donations'!$R$2:$R$4001,AD64,'All Donations'!$T$2:$T$4001,"&lt;="&amp;'Settings'!$D$30),2),0)</f>
        <v/>
      </c>
      <c r="AZ64">
        <f>IF(AE64=1,ROUND(SUMIFS('All Donations'!$S$2:$S$4001,'All Donations'!$R$2:$R$4001,AD64,'All Donations'!$T$2:$T$4001,"&lt;="&amp;'Settings'!$D$34),2),0)</f>
        <v/>
      </c>
    </row>
    <row r="65">
      <c r="A65">
        <f>IF(AE65=1,TRIM(TRIM('Roster'!B65)&amp;" "&amp;TRIM('Roster'!C65)),"")</f>
        <v/>
      </c>
      <c r="B65">
        <f>IF(AE65=1,IF(AN65="","(no teacher)",AN65&amp;" – "&amp;C65),"")</f>
        <v/>
      </c>
      <c r="C65">
        <f>IF(AE65=1,TRIM('Roster'!D65&amp;""),"")</f>
        <v/>
      </c>
      <c r="D65" s="48">
        <f>IF(AE65=1,ROUND(SUMIFS('All Donations'!$S$2:$S$4001,'All Donations'!$R$2:$R$4001,AD65),2),"")</f>
        <v/>
      </c>
      <c r="E65" s="48">
        <f>IF(AE65=1,ROUND(SUMIFS('All Donations'!$S$2:$S$4001,'All Donations'!$R$2:$R$4001,AD65,'All Donations'!$G$2:$G$4001,"OneCause"),2),"")</f>
        <v/>
      </c>
      <c r="F65" s="48">
        <f>IF(AE65=1,D65-E65,"")</f>
        <v/>
      </c>
      <c r="G65">
        <f>IF(AE65=1,COUNTIFS('All Donations'!$R$2:$R$4001,AD65,'All Donations'!$H$2:$H$4001,"OK"),"")</f>
        <v/>
      </c>
      <c r="H65">
        <f>IF(AE65&lt;&gt;1,"",IF(D65&gt;0,"Yes",""))</f>
        <v/>
      </c>
      <c r="I65" s="49">
        <f>IF(OR($AE65&lt;&gt;1,I$1=""),"",SUMIFS('All Donations'!$S$2:$S$4001,'All Donations'!$R$2:$R$4001,$AD65,'All Donations'!$T$2:$T$4001,I$1))</f>
        <v/>
      </c>
      <c r="J65" s="49">
        <f>IF(OR($AE65&lt;&gt;1,J$1=""),"",SUMIFS('All Donations'!$S$2:$S$4001,'All Donations'!$R$2:$R$4001,$AD65,'All Donations'!$T$2:$T$4001,J$1))</f>
        <v/>
      </c>
      <c r="K65" s="49">
        <f>IF(OR($AE65&lt;&gt;1,K$1=""),"",SUMIFS('All Donations'!$S$2:$S$4001,'All Donations'!$R$2:$R$4001,$AD65,'All Donations'!$T$2:$T$4001,K$1))</f>
        <v/>
      </c>
      <c r="L65" s="49">
        <f>IF(OR($AE65&lt;&gt;1,L$1=""),"",SUMIFS('All Donations'!$S$2:$S$4001,'All Donations'!$R$2:$R$4001,$AD65,'All Donations'!$T$2:$T$4001,L$1))</f>
        <v/>
      </c>
      <c r="M65" s="49">
        <f>IF(OR($AE65&lt;&gt;1,M$1=""),"",SUMIFS('All Donations'!$S$2:$S$4001,'All Donations'!$R$2:$R$4001,$AD65,'All Donations'!$T$2:$T$4001,M$1))</f>
        <v/>
      </c>
      <c r="N65" s="49">
        <f>IF(OR($AE65&lt;&gt;1,N$1=""),"",SUMIFS('All Donations'!$S$2:$S$4001,'All Donations'!$R$2:$R$4001,$AD65,'All Donations'!$T$2:$T$4001,N$1))</f>
        <v/>
      </c>
      <c r="O65" s="49">
        <f>IF(OR($AE65&lt;&gt;1,O$1=""),"",SUMIFS('All Donations'!$S$2:$S$4001,'All Donations'!$R$2:$R$4001,$AD65,'All Donations'!$T$2:$T$4001,O$1))</f>
        <v/>
      </c>
      <c r="P65" s="49">
        <f>IF(OR($AE65&lt;&gt;1,P$1=""),"",SUMIFS('All Donations'!$S$2:$S$4001,'All Donations'!$R$2:$R$4001,$AD65,'All Donations'!$T$2:$T$4001,P$1))</f>
        <v/>
      </c>
      <c r="Q65" s="49">
        <f>IF(OR($AE65&lt;&gt;1,Q$1=""),"",SUMIFS('All Donations'!$S$2:$S$4001,'All Donations'!$R$2:$R$4001,$AD65,'All Donations'!$T$2:$T$4001,Q$1))</f>
        <v/>
      </c>
      <c r="R65" s="49">
        <f>IF(OR($AE65&lt;&gt;1,R$1=""),"",SUMIFS('All Donations'!$S$2:$S$4001,'All Donations'!$R$2:$R$4001,$AD65,'All Donations'!$T$2:$T$4001,R$1))</f>
        <v/>
      </c>
      <c r="S65" s="49">
        <f>IF(OR($AE65&lt;&gt;1,S$1=""),"",SUMIFS('All Donations'!$S$2:$S$4001,'All Donations'!$R$2:$R$4001,$AD65,'All Donations'!$T$2:$T$4001,S$1))</f>
        <v/>
      </c>
      <c r="T65" s="49">
        <f>IF(OR($AE65&lt;&gt;1,T$1=""),"",SUMIFS('All Donations'!$S$2:$S$4001,'All Donations'!$R$2:$R$4001,$AD65,'All Donations'!$T$2:$T$4001,T$1))</f>
        <v/>
      </c>
      <c r="U65" s="49">
        <f>IF(OR($AE65&lt;&gt;1,U$1=""),"",SUMIFS('All Donations'!$S$2:$S$4001,'All Donations'!$R$2:$R$4001,$AD65,'All Donations'!$T$2:$T$4001,U$1))</f>
        <v/>
      </c>
      <c r="V65" s="49">
        <f>IF(OR($AE65&lt;&gt;1,V$1=""),"",SUMIFS('All Donations'!$S$2:$S$4001,'All Donations'!$R$2:$R$4001,$AD65,'All Donations'!$T$2:$T$4001,V$1))</f>
        <v/>
      </c>
      <c r="W65" s="49">
        <f>IF(OR($AE65&lt;&gt;1,W$1=""),"",SUMIFS('All Donations'!$S$2:$S$4001,'All Donations'!$R$2:$R$4001,$AD65,'All Donations'!$T$2:$T$4001,W$1))</f>
        <v/>
      </c>
      <c r="X65" s="49">
        <f>IF(OR($AE65&lt;&gt;1,X$1=""),"",SUMIFS('All Donations'!$S$2:$S$4001,'All Donations'!$R$2:$R$4001,$AD65,'All Donations'!$T$2:$T$4001,X$1))</f>
        <v/>
      </c>
      <c r="Y65" s="49">
        <f>IF(OR($AE65&lt;&gt;1,Y$1=""),"",SUMIFS('All Donations'!$S$2:$S$4001,'All Donations'!$R$2:$R$4001,$AD65,'All Donations'!$T$2:$T$4001,Y$1))</f>
        <v/>
      </c>
      <c r="Z65" s="49">
        <f>IF(OR($AE65&lt;&gt;1,Z$1=""),"",SUMIFS('All Donations'!$S$2:$S$4001,'All Donations'!$R$2:$R$4001,$AD65,'All Donations'!$T$2:$T$4001,Z$1))</f>
        <v/>
      </c>
      <c r="AA65" s="49">
        <f>IF(OR($AE65&lt;&gt;1,AA$1=""),"",SUMIFS('All Donations'!$S$2:$S$4001,'All Donations'!$R$2:$R$4001,$AD65,'All Donations'!$T$2:$T$4001,AA$1))</f>
        <v/>
      </c>
      <c r="AB65" s="49">
        <f>IF(OR($AE65&lt;&gt;1,AB$1=""),"",SUMIFS('All Donations'!$S$2:$S$4001,'All Donations'!$R$2:$R$4001,$AD65,'All Donations'!$T$2:$T$4001,AB$1))</f>
        <v/>
      </c>
      <c r="AC65" s="49">
        <f>IF(OR($AE65&lt;&gt;1,AC$1=""),"",SUMIFS('All Donations'!$S$2:$S$4001,'All Donations'!$R$2:$R$4001,$AD65,'All Donations'!$T$2:$T$4001,AC$1))</f>
        <v/>
      </c>
      <c r="AD65">
        <f>IF(AE65=1,'Roster'!A65,"")</f>
        <v/>
      </c>
      <c r="AE65">
        <f>IF(TRIM('Roster'!B65&amp;'Roster'!C65)&lt;&gt;"",1,0)</f>
        <v/>
      </c>
      <c r="AF65">
        <f>IF(AE65=1,LOWER(A65),"#")</f>
        <v/>
      </c>
      <c r="AG65">
        <f>IF(AE65=1,LOWER(TRIM(TRIM('Roster'!C65)&amp;", "&amp;TRIM('Roster'!B65))),"#")</f>
        <v/>
      </c>
      <c r="AH65">
        <f>IF(AND(AE65=1,TRIM('Roster'!F65)&lt;&gt;""),LOWER(TRIM('Roster'!F65)),"#")</f>
        <v/>
      </c>
      <c r="AI65">
        <f>IF(AE65=1,IF(MATCH(B65,$B$2:$B$701,0)=ROW()-1,1,0),0)</f>
        <v/>
      </c>
      <c r="AJ65">
        <f>AJ64+AI65</f>
        <v/>
      </c>
      <c r="AK65">
        <f>IF(AE65=1,D65+(1000-ROW())/10^7,-1)</f>
        <v/>
      </c>
      <c r="AL65">
        <f>IF(AE65=1,TRIM('Roster'!B65)&amp;" "&amp;LEFT(TRIM('Roster'!C65),1)&amp;".","")</f>
        <v/>
      </c>
      <c r="AM65">
        <f>IF(AE65=1,TRIM('Roster'!C65)&amp;", "&amp;TRIM('Roster'!B65)&amp;" ("&amp;B65&amp;") #"&amp;AD65,"")</f>
        <v/>
      </c>
      <c r="AN65">
        <f>IF(AE65=1,TRIM('Roster'!E65),"")</f>
        <v/>
      </c>
      <c r="AO65">
        <f>IF(AE65=1,ROUND(SUMIFS('All Donations'!$S$2:$S$4001,'All Donations'!$R$2:$R$4001,AD65,'All Donations'!$T$2:$T$4001,"&gt;="&amp;'Settings'!$C$23,'All Donations'!$T$2:$T$4001,"&lt;="&amp;'Settings'!$D$23),2),0)</f>
        <v/>
      </c>
      <c r="AQ65">
        <f>IF(AE65=1,ROUND(SUMIFS('All Donations'!$S$2:$S$4001,'All Donations'!$R$2:$R$4001,AD65,'All Donations'!$T$2:$T$4001,"&gt;="&amp;'Settings'!$C$25,'All Donations'!$T$2:$T$4001,"&lt;="&amp;'Settings'!$D$25),2),0)</f>
        <v/>
      </c>
      <c r="AR65">
        <f>IF(AE65=1,ROUND(SUMIFS('All Donations'!$S$2:$S$4001,'All Donations'!$R$2:$R$4001,AD65,'All Donations'!$T$2:$T$4001,"&gt;="&amp;'Settings'!$C$26,'All Donations'!$T$2:$T$4001,"&lt;="&amp;'Settings'!$D$26),2),0)</f>
        <v/>
      </c>
      <c r="AS65">
        <f>IF(AE65=1,ROUND(SUMIFS('All Donations'!$S$2:$S$4001,'All Donations'!$R$2:$R$4001,AD65,'All Donations'!$T$2:$T$4001,"&lt;="&amp;'Settings'!$D$27),2),0)</f>
        <v/>
      </c>
      <c r="AT65">
        <f>IF(AE65=1,ROUND(SUMIFS('All Donations'!$S$2:$S$4001,'All Donations'!$R$2:$R$4001,AD65,'All Donations'!$T$2:$T$4001,"&gt;="&amp;'Settings'!$C$28,'All Donations'!$T$2:$T$4001,"&lt;="&amp;'Settings'!$D$28),2),0)</f>
        <v/>
      </c>
      <c r="AU65">
        <f>IF(AE65=1,ROUND(SUMIFS('All Donations'!$S$2:$S$4001,'All Donations'!$R$2:$R$4001,AD65,'All Donations'!$T$2:$T$4001,"&gt;="&amp;'Settings'!$C$29,'All Donations'!$T$2:$T$4001,"&lt;="&amp;'Settings'!$D$29),2),0)</f>
        <v/>
      </c>
      <c r="AV65">
        <f>IF(AE65=1,ROUND(SUMIFS('All Donations'!$S$2:$S$4001,'All Donations'!$R$2:$R$4001,AD65,'All Donations'!$T$2:$T$4001,"&lt;="&amp;'Settings'!$D$30),2),0)</f>
        <v/>
      </c>
      <c r="AZ65">
        <f>IF(AE65=1,ROUND(SUMIFS('All Donations'!$S$2:$S$4001,'All Donations'!$R$2:$R$4001,AD65,'All Donations'!$T$2:$T$4001,"&lt;="&amp;'Settings'!$D$34),2),0)</f>
        <v/>
      </c>
    </row>
    <row r="66">
      <c r="A66">
        <f>IF(AE66=1,TRIM(TRIM('Roster'!B66)&amp;" "&amp;TRIM('Roster'!C66)),"")</f>
        <v/>
      </c>
      <c r="B66">
        <f>IF(AE66=1,IF(AN66="","(no teacher)",AN66&amp;" – "&amp;C66),"")</f>
        <v/>
      </c>
      <c r="C66">
        <f>IF(AE66=1,TRIM('Roster'!D66&amp;""),"")</f>
        <v/>
      </c>
      <c r="D66" s="48">
        <f>IF(AE66=1,ROUND(SUMIFS('All Donations'!$S$2:$S$4001,'All Donations'!$R$2:$R$4001,AD66),2),"")</f>
        <v/>
      </c>
      <c r="E66" s="48">
        <f>IF(AE66=1,ROUND(SUMIFS('All Donations'!$S$2:$S$4001,'All Donations'!$R$2:$R$4001,AD66,'All Donations'!$G$2:$G$4001,"OneCause"),2),"")</f>
        <v/>
      </c>
      <c r="F66" s="48">
        <f>IF(AE66=1,D66-E66,"")</f>
        <v/>
      </c>
      <c r="G66">
        <f>IF(AE66=1,COUNTIFS('All Donations'!$R$2:$R$4001,AD66,'All Donations'!$H$2:$H$4001,"OK"),"")</f>
        <v/>
      </c>
      <c r="H66">
        <f>IF(AE66&lt;&gt;1,"",IF(D66&gt;0,"Yes",""))</f>
        <v/>
      </c>
      <c r="I66" s="49">
        <f>IF(OR($AE66&lt;&gt;1,I$1=""),"",SUMIFS('All Donations'!$S$2:$S$4001,'All Donations'!$R$2:$R$4001,$AD66,'All Donations'!$T$2:$T$4001,I$1))</f>
        <v/>
      </c>
      <c r="J66" s="49">
        <f>IF(OR($AE66&lt;&gt;1,J$1=""),"",SUMIFS('All Donations'!$S$2:$S$4001,'All Donations'!$R$2:$R$4001,$AD66,'All Donations'!$T$2:$T$4001,J$1))</f>
        <v/>
      </c>
      <c r="K66" s="49">
        <f>IF(OR($AE66&lt;&gt;1,K$1=""),"",SUMIFS('All Donations'!$S$2:$S$4001,'All Donations'!$R$2:$R$4001,$AD66,'All Donations'!$T$2:$T$4001,K$1))</f>
        <v/>
      </c>
      <c r="L66" s="49">
        <f>IF(OR($AE66&lt;&gt;1,L$1=""),"",SUMIFS('All Donations'!$S$2:$S$4001,'All Donations'!$R$2:$R$4001,$AD66,'All Donations'!$T$2:$T$4001,L$1))</f>
        <v/>
      </c>
      <c r="M66" s="49">
        <f>IF(OR($AE66&lt;&gt;1,M$1=""),"",SUMIFS('All Donations'!$S$2:$S$4001,'All Donations'!$R$2:$R$4001,$AD66,'All Donations'!$T$2:$T$4001,M$1))</f>
        <v/>
      </c>
      <c r="N66" s="49">
        <f>IF(OR($AE66&lt;&gt;1,N$1=""),"",SUMIFS('All Donations'!$S$2:$S$4001,'All Donations'!$R$2:$R$4001,$AD66,'All Donations'!$T$2:$T$4001,N$1))</f>
        <v/>
      </c>
      <c r="O66" s="49">
        <f>IF(OR($AE66&lt;&gt;1,O$1=""),"",SUMIFS('All Donations'!$S$2:$S$4001,'All Donations'!$R$2:$R$4001,$AD66,'All Donations'!$T$2:$T$4001,O$1))</f>
        <v/>
      </c>
      <c r="P66" s="49">
        <f>IF(OR($AE66&lt;&gt;1,P$1=""),"",SUMIFS('All Donations'!$S$2:$S$4001,'All Donations'!$R$2:$R$4001,$AD66,'All Donations'!$T$2:$T$4001,P$1))</f>
        <v/>
      </c>
      <c r="Q66" s="49">
        <f>IF(OR($AE66&lt;&gt;1,Q$1=""),"",SUMIFS('All Donations'!$S$2:$S$4001,'All Donations'!$R$2:$R$4001,$AD66,'All Donations'!$T$2:$T$4001,Q$1))</f>
        <v/>
      </c>
      <c r="R66" s="49">
        <f>IF(OR($AE66&lt;&gt;1,R$1=""),"",SUMIFS('All Donations'!$S$2:$S$4001,'All Donations'!$R$2:$R$4001,$AD66,'All Donations'!$T$2:$T$4001,R$1))</f>
        <v/>
      </c>
      <c r="S66" s="49">
        <f>IF(OR($AE66&lt;&gt;1,S$1=""),"",SUMIFS('All Donations'!$S$2:$S$4001,'All Donations'!$R$2:$R$4001,$AD66,'All Donations'!$T$2:$T$4001,S$1))</f>
        <v/>
      </c>
      <c r="T66" s="49">
        <f>IF(OR($AE66&lt;&gt;1,T$1=""),"",SUMIFS('All Donations'!$S$2:$S$4001,'All Donations'!$R$2:$R$4001,$AD66,'All Donations'!$T$2:$T$4001,T$1))</f>
        <v/>
      </c>
      <c r="U66" s="49">
        <f>IF(OR($AE66&lt;&gt;1,U$1=""),"",SUMIFS('All Donations'!$S$2:$S$4001,'All Donations'!$R$2:$R$4001,$AD66,'All Donations'!$T$2:$T$4001,U$1))</f>
        <v/>
      </c>
      <c r="V66" s="49">
        <f>IF(OR($AE66&lt;&gt;1,V$1=""),"",SUMIFS('All Donations'!$S$2:$S$4001,'All Donations'!$R$2:$R$4001,$AD66,'All Donations'!$T$2:$T$4001,V$1))</f>
        <v/>
      </c>
      <c r="W66" s="49">
        <f>IF(OR($AE66&lt;&gt;1,W$1=""),"",SUMIFS('All Donations'!$S$2:$S$4001,'All Donations'!$R$2:$R$4001,$AD66,'All Donations'!$T$2:$T$4001,W$1))</f>
        <v/>
      </c>
      <c r="X66" s="49">
        <f>IF(OR($AE66&lt;&gt;1,X$1=""),"",SUMIFS('All Donations'!$S$2:$S$4001,'All Donations'!$R$2:$R$4001,$AD66,'All Donations'!$T$2:$T$4001,X$1))</f>
        <v/>
      </c>
      <c r="Y66" s="49">
        <f>IF(OR($AE66&lt;&gt;1,Y$1=""),"",SUMIFS('All Donations'!$S$2:$S$4001,'All Donations'!$R$2:$R$4001,$AD66,'All Donations'!$T$2:$T$4001,Y$1))</f>
        <v/>
      </c>
      <c r="Z66" s="49">
        <f>IF(OR($AE66&lt;&gt;1,Z$1=""),"",SUMIFS('All Donations'!$S$2:$S$4001,'All Donations'!$R$2:$R$4001,$AD66,'All Donations'!$T$2:$T$4001,Z$1))</f>
        <v/>
      </c>
      <c r="AA66" s="49">
        <f>IF(OR($AE66&lt;&gt;1,AA$1=""),"",SUMIFS('All Donations'!$S$2:$S$4001,'All Donations'!$R$2:$R$4001,$AD66,'All Donations'!$T$2:$T$4001,AA$1))</f>
        <v/>
      </c>
      <c r="AB66" s="49">
        <f>IF(OR($AE66&lt;&gt;1,AB$1=""),"",SUMIFS('All Donations'!$S$2:$S$4001,'All Donations'!$R$2:$R$4001,$AD66,'All Donations'!$T$2:$T$4001,AB$1))</f>
        <v/>
      </c>
      <c r="AC66" s="49">
        <f>IF(OR($AE66&lt;&gt;1,AC$1=""),"",SUMIFS('All Donations'!$S$2:$S$4001,'All Donations'!$R$2:$R$4001,$AD66,'All Donations'!$T$2:$T$4001,AC$1))</f>
        <v/>
      </c>
      <c r="AD66">
        <f>IF(AE66=1,'Roster'!A66,"")</f>
        <v/>
      </c>
      <c r="AE66">
        <f>IF(TRIM('Roster'!B66&amp;'Roster'!C66)&lt;&gt;"",1,0)</f>
        <v/>
      </c>
      <c r="AF66">
        <f>IF(AE66=1,LOWER(A66),"#")</f>
        <v/>
      </c>
      <c r="AG66">
        <f>IF(AE66=1,LOWER(TRIM(TRIM('Roster'!C66)&amp;", "&amp;TRIM('Roster'!B66))),"#")</f>
        <v/>
      </c>
      <c r="AH66">
        <f>IF(AND(AE66=1,TRIM('Roster'!F66)&lt;&gt;""),LOWER(TRIM('Roster'!F66)),"#")</f>
        <v/>
      </c>
      <c r="AI66">
        <f>IF(AE66=1,IF(MATCH(B66,$B$2:$B$701,0)=ROW()-1,1,0),0)</f>
        <v/>
      </c>
      <c r="AJ66">
        <f>AJ65+AI66</f>
        <v/>
      </c>
      <c r="AK66">
        <f>IF(AE66=1,D66+(1000-ROW())/10^7,-1)</f>
        <v/>
      </c>
      <c r="AL66">
        <f>IF(AE66=1,TRIM('Roster'!B66)&amp;" "&amp;LEFT(TRIM('Roster'!C66),1)&amp;".","")</f>
        <v/>
      </c>
      <c r="AM66">
        <f>IF(AE66=1,TRIM('Roster'!C66)&amp;", "&amp;TRIM('Roster'!B66)&amp;" ("&amp;B66&amp;") #"&amp;AD66,"")</f>
        <v/>
      </c>
      <c r="AN66">
        <f>IF(AE66=1,TRIM('Roster'!E66),"")</f>
        <v/>
      </c>
      <c r="AO66">
        <f>IF(AE66=1,ROUND(SUMIFS('All Donations'!$S$2:$S$4001,'All Donations'!$R$2:$R$4001,AD66,'All Donations'!$T$2:$T$4001,"&gt;="&amp;'Settings'!$C$23,'All Donations'!$T$2:$T$4001,"&lt;="&amp;'Settings'!$D$23),2),0)</f>
        <v/>
      </c>
      <c r="AQ66">
        <f>IF(AE66=1,ROUND(SUMIFS('All Donations'!$S$2:$S$4001,'All Donations'!$R$2:$R$4001,AD66,'All Donations'!$T$2:$T$4001,"&gt;="&amp;'Settings'!$C$25,'All Donations'!$T$2:$T$4001,"&lt;="&amp;'Settings'!$D$25),2),0)</f>
        <v/>
      </c>
      <c r="AR66">
        <f>IF(AE66=1,ROUND(SUMIFS('All Donations'!$S$2:$S$4001,'All Donations'!$R$2:$R$4001,AD66,'All Donations'!$T$2:$T$4001,"&gt;="&amp;'Settings'!$C$26,'All Donations'!$T$2:$T$4001,"&lt;="&amp;'Settings'!$D$26),2),0)</f>
        <v/>
      </c>
      <c r="AS66">
        <f>IF(AE66=1,ROUND(SUMIFS('All Donations'!$S$2:$S$4001,'All Donations'!$R$2:$R$4001,AD66,'All Donations'!$T$2:$T$4001,"&lt;="&amp;'Settings'!$D$27),2),0)</f>
        <v/>
      </c>
      <c r="AT66">
        <f>IF(AE66=1,ROUND(SUMIFS('All Donations'!$S$2:$S$4001,'All Donations'!$R$2:$R$4001,AD66,'All Donations'!$T$2:$T$4001,"&gt;="&amp;'Settings'!$C$28,'All Donations'!$T$2:$T$4001,"&lt;="&amp;'Settings'!$D$28),2),0)</f>
        <v/>
      </c>
      <c r="AU66">
        <f>IF(AE66=1,ROUND(SUMIFS('All Donations'!$S$2:$S$4001,'All Donations'!$R$2:$R$4001,AD66,'All Donations'!$T$2:$T$4001,"&gt;="&amp;'Settings'!$C$29,'All Donations'!$T$2:$T$4001,"&lt;="&amp;'Settings'!$D$29),2),0)</f>
        <v/>
      </c>
      <c r="AV66">
        <f>IF(AE66=1,ROUND(SUMIFS('All Donations'!$S$2:$S$4001,'All Donations'!$R$2:$R$4001,AD66,'All Donations'!$T$2:$T$4001,"&lt;="&amp;'Settings'!$D$30),2),0)</f>
        <v/>
      </c>
      <c r="AZ66">
        <f>IF(AE66=1,ROUND(SUMIFS('All Donations'!$S$2:$S$4001,'All Donations'!$R$2:$R$4001,AD66,'All Donations'!$T$2:$T$4001,"&lt;="&amp;'Settings'!$D$34),2),0)</f>
        <v/>
      </c>
    </row>
    <row r="67">
      <c r="A67">
        <f>IF(AE67=1,TRIM(TRIM('Roster'!B67)&amp;" "&amp;TRIM('Roster'!C67)),"")</f>
        <v/>
      </c>
      <c r="B67">
        <f>IF(AE67=1,IF(AN67="","(no teacher)",AN67&amp;" – "&amp;C67),"")</f>
        <v/>
      </c>
      <c r="C67">
        <f>IF(AE67=1,TRIM('Roster'!D67&amp;""),"")</f>
        <v/>
      </c>
      <c r="D67" s="48">
        <f>IF(AE67=1,ROUND(SUMIFS('All Donations'!$S$2:$S$4001,'All Donations'!$R$2:$R$4001,AD67),2),"")</f>
        <v/>
      </c>
      <c r="E67" s="48">
        <f>IF(AE67=1,ROUND(SUMIFS('All Donations'!$S$2:$S$4001,'All Donations'!$R$2:$R$4001,AD67,'All Donations'!$G$2:$G$4001,"OneCause"),2),"")</f>
        <v/>
      </c>
      <c r="F67" s="48">
        <f>IF(AE67=1,D67-E67,"")</f>
        <v/>
      </c>
      <c r="G67">
        <f>IF(AE67=1,COUNTIFS('All Donations'!$R$2:$R$4001,AD67,'All Donations'!$H$2:$H$4001,"OK"),"")</f>
        <v/>
      </c>
      <c r="H67">
        <f>IF(AE67&lt;&gt;1,"",IF(D67&gt;0,"Yes",""))</f>
        <v/>
      </c>
      <c r="I67" s="49">
        <f>IF(OR($AE67&lt;&gt;1,I$1=""),"",SUMIFS('All Donations'!$S$2:$S$4001,'All Donations'!$R$2:$R$4001,$AD67,'All Donations'!$T$2:$T$4001,I$1))</f>
        <v/>
      </c>
      <c r="J67" s="49">
        <f>IF(OR($AE67&lt;&gt;1,J$1=""),"",SUMIFS('All Donations'!$S$2:$S$4001,'All Donations'!$R$2:$R$4001,$AD67,'All Donations'!$T$2:$T$4001,J$1))</f>
        <v/>
      </c>
      <c r="K67" s="49">
        <f>IF(OR($AE67&lt;&gt;1,K$1=""),"",SUMIFS('All Donations'!$S$2:$S$4001,'All Donations'!$R$2:$R$4001,$AD67,'All Donations'!$T$2:$T$4001,K$1))</f>
        <v/>
      </c>
      <c r="L67" s="49">
        <f>IF(OR($AE67&lt;&gt;1,L$1=""),"",SUMIFS('All Donations'!$S$2:$S$4001,'All Donations'!$R$2:$R$4001,$AD67,'All Donations'!$T$2:$T$4001,L$1))</f>
        <v/>
      </c>
      <c r="M67" s="49">
        <f>IF(OR($AE67&lt;&gt;1,M$1=""),"",SUMIFS('All Donations'!$S$2:$S$4001,'All Donations'!$R$2:$R$4001,$AD67,'All Donations'!$T$2:$T$4001,M$1))</f>
        <v/>
      </c>
      <c r="N67" s="49">
        <f>IF(OR($AE67&lt;&gt;1,N$1=""),"",SUMIFS('All Donations'!$S$2:$S$4001,'All Donations'!$R$2:$R$4001,$AD67,'All Donations'!$T$2:$T$4001,N$1))</f>
        <v/>
      </c>
      <c r="O67" s="49">
        <f>IF(OR($AE67&lt;&gt;1,O$1=""),"",SUMIFS('All Donations'!$S$2:$S$4001,'All Donations'!$R$2:$R$4001,$AD67,'All Donations'!$T$2:$T$4001,O$1))</f>
        <v/>
      </c>
      <c r="P67" s="49">
        <f>IF(OR($AE67&lt;&gt;1,P$1=""),"",SUMIFS('All Donations'!$S$2:$S$4001,'All Donations'!$R$2:$R$4001,$AD67,'All Donations'!$T$2:$T$4001,P$1))</f>
        <v/>
      </c>
      <c r="Q67" s="49">
        <f>IF(OR($AE67&lt;&gt;1,Q$1=""),"",SUMIFS('All Donations'!$S$2:$S$4001,'All Donations'!$R$2:$R$4001,$AD67,'All Donations'!$T$2:$T$4001,Q$1))</f>
        <v/>
      </c>
      <c r="R67" s="49">
        <f>IF(OR($AE67&lt;&gt;1,R$1=""),"",SUMIFS('All Donations'!$S$2:$S$4001,'All Donations'!$R$2:$R$4001,$AD67,'All Donations'!$T$2:$T$4001,R$1))</f>
        <v/>
      </c>
      <c r="S67" s="49">
        <f>IF(OR($AE67&lt;&gt;1,S$1=""),"",SUMIFS('All Donations'!$S$2:$S$4001,'All Donations'!$R$2:$R$4001,$AD67,'All Donations'!$T$2:$T$4001,S$1))</f>
        <v/>
      </c>
      <c r="T67" s="49">
        <f>IF(OR($AE67&lt;&gt;1,T$1=""),"",SUMIFS('All Donations'!$S$2:$S$4001,'All Donations'!$R$2:$R$4001,$AD67,'All Donations'!$T$2:$T$4001,T$1))</f>
        <v/>
      </c>
      <c r="U67" s="49">
        <f>IF(OR($AE67&lt;&gt;1,U$1=""),"",SUMIFS('All Donations'!$S$2:$S$4001,'All Donations'!$R$2:$R$4001,$AD67,'All Donations'!$T$2:$T$4001,U$1))</f>
        <v/>
      </c>
      <c r="V67" s="49">
        <f>IF(OR($AE67&lt;&gt;1,V$1=""),"",SUMIFS('All Donations'!$S$2:$S$4001,'All Donations'!$R$2:$R$4001,$AD67,'All Donations'!$T$2:$T$4001,V$1))</f>
        <v/>
      </c>
      <c r="W67" s="49">
        <f>IF(OR($AE67&lt;&gt;1,W$1=""),"",SUMIFS('All Donations'!$S$2:$S$4001,'All Donations'!$R$2:$R$4001,$AD67,'All Donations'!$T$2:$T$4001,W$1))</f>
        <v/>
      </c>
      <c r="X67" s="49">
        <f>IF(OR($AE67&lt;&gt;1,X$1=""),"",SUMIFS('All Donations'!$S$2:$S$4001,'All Donations'!$R$2:$R$4001,$AD67,'All Donations'!$T$2:$T$4001,X$1))</f>
        <v/>
      </c>
      <c r="Y67" s="49">
        <f>IF(OR($AE67&lt;&gt;1,Y$1=""),"",SUMIFS('All Donations'!$S$2:$S$4001,'All Donations'!$R$2:$R$4001,$AD67,'All Donations'!$T$2:$T$4001,Y$1))</f>
        <v/>
      </c>
      <c r="Z67" s="49">
        <f>IF(OR($AE67&lt;&gt;1,Z$1=""),"",SUMIFS('All Donations'!$S$2:$S$4001,'All Donations'!$R$2:$R$4001,$AD67,'All Donations'!$T$2:$T$4001,Z$1))</f>
        <v/>
      </c>
      <c r="AA67" s="49">
        <f>IF(OR($AE67&lt;&gt;1,AA$1=""),"",SUMIFS('All Donations'!$S$2:$S$4001,'All Donations'!$R$2:$R$4001,$AD67,'All Donations'!$T$2:$T$4001,AA$1))</f>
        <v/>
      </c>
      <c r="AB67" s="49">
        <f>IF(OR($AE67&lt;&gt;1,AB$1=""),"",SUMIFS('All Donations'!$S$2:$S$4001,'All Donations'!$R$2:$R$4001,$AD67,'All Donations'!$T$2:$T$4001,AB$1))</f>
        <v/>
      </c>
      <c r="AC67" s="49">
        <f>IF(OR($AE67&lt;&gt;1,AC$1=""),"",SUMIFS('All Donations'!$S$2:$S$4001,'All Donations'!$R$2:$R$4001,$AD67,'All Donations'!$T$2:$T$4001,AC$1))</f>
        <v/>
      </c>
      <c r="AD67">
        <f>IF(AE67=1,'Roster'!A67,"")</f>
        <v/>
      </c>
      <c r="AE67">
        <f>IF(TRIM('Roster'!B67&amp;'Roster'!C67)&lt;&gt;"",1,0)</f>
        <v/>
      </c>
      <c r="AF67">
        <f>IF(AE67=1,LOWER(A67),"#")</f>
        <v/>
      </c>
      <c r="AG67">
        <f>IF(AE67=1,LOWER(TRIM(TRIM('Roster'!C67)&amp;", "&amp;TRIM('Roster'!B67))),"#")</f>
        <v/>
      </c>
      <c r="AH67">
        <f>IF(AND(AE67=1,TRIM('Roster'!F67)&lt;&gt;""),LOWER(TRIM('Roster'!F67)),"#")</f>
        <v/>
      </c>
      <c r="AI67">
        <f>IF(AE67=1,IF(MATCH(B67,$B$2:$B$701,0)=ROW()-1,1,0),0)</f>
        <v/>
      </c>
      <c r="AJ67">
        <f>AJ66+AI67</f>
        <v/>
      </c>
      <c r="AK67">
        <f>IF(AE67=1,D67+(1000-ROW())/10^7,-1)</f>
        <v/>
      </c>
      <c r="AL67">
        <f>IF(AE67=1,TRIM('Roster'!B67)&amp;" "&amp;LEFT(TRIM('Roster'!C67),1)&amp;".","")</f>
        <v/>
      </c>
      <c r="AM67">
        <f>IF(AE67=1,TRIM('Roster'!C67)&amp;", "&amp;TRIM('Roster'!B67)&amp;" ("&amp;B67&amp;") #"&amp;AD67,"")</f>
        <v/>
      </c>
      <c r="AN67">
        <f>IF(AE67=1,TRIM('Roster'!E67),"")</f>
        <v/>
      </c>
      <c r="AO67">
        <f>IF(AE67=1,ROUND(SUMIFS('All Donations'!$S$2:$S$4001,'All Donations'!$R$2:$R$4001,AD67,'All Donations'!$T$2:$T$4001,"&gt;="&amp;'Settings'!$C$23,'All Donations'!$T$2:$T$4001,"&lt;="&amp;'Settings'!$D$23),2),0)</f>
        <v/>
      </c>
      <c r="AQ67">
        <f>IF(AE67=1,ROUND(SUMIFS('All Donations'!$S$2:$S$4001,'All Donations'!$R$2:$R$4001,AD67,'All Donations'!$T$2:$T$4001,"&gt;="&amp;'Settings'!$C$25,'All Donations'!$T$2:$T$4001,"&lt;="&amp;'Settings'!$D$25),2),0)</f>
        <v/>
      </c>
      <c r="AR67">
        <f>IF(AE67=1,ROUND(SUMIFS('All Donations'!$S$2:$S$4001,'All Donations'!$R$2:$R$4001,AD67,'All Donations'!$T$2:$T$4001,"&gt;="&amp;'Settings'!$C$26,'All Donations'!$T$2:$T$4001,"&lt;="&amp;'Settings'!$D$26),2),0)</f>
        <v/>
      </c>
      <c r="AS67">
        <f>IF(AE67=1,ROUND(SUMIFS('All Donations'!$S$2:$S$4001,'All Donations'!$R$2:$R$4001,AD67,'All Donations'!$T$2:$T$4001,"&lt;="&amp;'Settings'!$D$27),2),0)</f>
        <v/>
      </c>
      <c r="AT67">
        <f>IF(AE67=1,ROUND(SUMIFS('All Donations'!$S$2:$S$4001,'All Donations'!$R$2:$R$4001,AD67,'All Donations'!$T$2:$T$4001,"&gt;="&amp;'Settings'!$C$28,'All Donations'!$T$2:$T$4001,"&lt;="&amp;'Settings'!$D$28),2),0)</f>
        <v/>
      </c>
      <c r="AU67">
        <f>IF(AE67=1,ROUND(SUMIFS('All Donations'!$S$2:$S$4001,'All Donations'!$R$2:$R$4001,AD67,'All Donations'!$T$2:$T$4001,"&gt;="&amp;'Settings'!$C$29,'All Donations'!$T$2:$T$4001,"&lt;="&amp;'Settings'!$D$29),2),0)</f>
        <v/>
      </c>
      <c r="AV67">
        <f>IF(AE67=1,ROUND(SUMIFS('All Donations'!$S$2:$S$4001,'All Donations'!$R$2:$R$4001,AD67,'All Donations'!$T$2:$T$4001,"&lt;="&amp;'Settings'!$D$30),2),0)</f>
        <v/>
      </c>
      <c r="AZ67">
        <f>IF(AE67=1,ROUND(SUMIFS('All Donations'!$S$2:$S$4001,'All Donations'!$R$2:$R$4001,AD67,'All Donations'!$T$2:$T$4001,"&lt;="&amp;'Settings'!$D$34),2),0)</f>
        <v/>
      </c>
    </row>
    <row r="68">
      <c r="A68">
        <f>IF(AE68=1,TRIM(TRIM('Roster'!B68)&amp;" "&amp;TRIM('Roster'!C68)),"")</f>
        <v/>
      </c>
      <c r="B68">
        <f>IF(AE68=1,IF(AN68="","(no teacher)",AN68&amp;" – "&amp;C68),"")</f>
        <v/>
      </c>
      <c r="C68">
        <f>IF(AE68=1,TRIM('Roster'!D68&amp;""),"")</f>
        <v/>
      </c>
      <c r="D68" s="48">
        <f>IF(AE68=1,ROUND(SUMIFS('All Donations'!$S$2:$S$4001,'All Donations'!$R$2:$R$4001,AD68),2),"")</f>
        <v/>
      </c>
      <c r="E68" s="48">
        <f>IF(AE68=1,ROUND(SUMIFS('All Donations'!$S$2:$S$4001,'All Donations'!$R$2:$R$4001,AD68,'All Donations'!$G$2:$G$4001,"OneCause"),2),"")</f>
        <v/>
      </c>
      <c r="F68" s="48">
        <f>IF(AE68=1,D68-E68,"")</f>
        <v/>
      </c>
      <c r="G68">
        <f>IF(AE68=1,COUNTIFS('All Donations'!$R$2:$R$4001,AD68,'All Donations'!$H$2:$H$4001,"OK"),"")</f>
        <v/>
      </c>
      <c r="H68">
        <f>IF(AE68&lt;&gt;1,"",IF(D68&gt;0,"Yes",""))</f>
        <v/>
      </c>
      <c r="I68" s="49">
        <f>IF(OR($AE68&lt;&gt;1,I$1=""),"",SUMIFS('All Donations'!$S$2:$S$4001,'All Donations'!$R$2:$R$4001,$AD68,'All Donations'!$T$2:$T$4001,I$1))</f>
        <v/>
      </c>
      <c r="J68" s="49">
        <f>IF(OR($AE68&lt;&gt;1,J$1=""),"",SUMIFS('All Donations'!$S$2:$S$4001,'All Donations'!$R$2:$R$4001,$AD68,'All Donations'!$T$2:$T$4001,J$1))</f>
        <v/>
      </c>
      <c r="K68" s="49">
        <f>IF(OR($AE68&lt;&gt;1,K$1=""),"",SUMIFS('All Donations'!$S$2:$S$4001,'All Donations'!$R$2:$R$4001,$AD68,'All Donations'!$T$2:$T$4001,K$1))</f>
        <v/>
      </c>
      <c r="L68" s="49">
        <f>IF(OR($AE68&lt;&gt;1,L$1=""),"",SUMIFS('All Donations'!$S$2:$S$4001,'All Donations'!$R$2:$R$4001,$AD68,'All Donations'!$T$2:$T$4001,L$1))</f>
        <v/>
      </c>
      <c r="M68" s="49">
        <f>IF(OR($AE68&lt;&gt;1,M$1=""),"",SUMIFS('All Donations'!$S$2:$S$4001,'All Donations'!$R$2:$R$4001,$AD68,'All Donations'!$T$2:$T$4001,M$1))</f>
        <v/>
      </c>
      <c r="N68" s="49">
        <f>IF(OR($AE68&lt;&gt;1,N$1=""),"",SUMIFS('All Donations'!$S$2:$S$4001,'All Donations'!$R$2:$R$4001,$AD68,'All Donations'!$T$2:$T$4001,N$1))</f>
        <v/>
      </c>
      <c r="O68" s="49">
        <f>IF(OR($AE68&lt;&gt;1,O$1=""),"",SUMIFS('All Donations'!$S$2:$S$4001,'All Donations'!$R$2:$R$4001,$AD68,'All Donations'!$T$2:$T$4001,O$1))</f>
        <v/>
      </c>
      <c r="P68" s="49">
        <f>IF(OR($AE68&lt;&gt;1,P$1=""),"",SUMIFS('All Donations'!$S$2:$S$4001,'All Donations'!$R$2:$R$4001,$AD68,'All Donations'!$T$2:$T$4001,P$1))</f>
        <v/>
      </c>
      <c r="Q68" s="49">
        <f>IF(OR($AE68&lt;&gt;1,Q$1=""),"",SUMIFS('All Donations'!$S$2:$S$4001,'All Donations'!$R$2:$R$4001,$AD68,'All Donations'!$T$2:$T$4001,Q$1))</f>
        <v/>
      </c>
      <c r="R68" s="49">
        <f>IF(OR($AE68&lt;&gt;1,R$1=""),"",SUMIFS('All Donations'!$S$2:$S$4001,'All Donations'!$R$2:$R$4001,$AD68,'All Donations'!$T$2:$T$4001,R$1))</f>
        <v/>
      </c>
      <c r="S68" s="49">
        <f>IF(OR($AE68&lt;&gt;1,S$1=""),"",SUMIFS('All Donations'!$S$2:$S$4001,'All Donations'!$R$2:$R$4001,$AD68,'All Donations'!$T$2:$T$4001,S$1))</f>
        <v/>
      </c>
      <c r="T68" s="49">
        <f>IF(OR($AE68&lt;&gt;1,T$1=""),"",SUMIFS('All Donations'!$S$2:$S$4001,'All Donations'!$R$2:$R$4001,$AD68,'All Donations'!$T$2:$T$4001,T$1))</f>
        <v/>
      </c>
      <c r="U68" s="49">
        <f>IF(OR($AE68&lt;&gt;1,U$1=""),"",SUMIFS('All Donations'!$S$2:$S$4001,'All Donations'!$R$2:$R$4001,$AD68,'All Donations'!$T$2:$T$4001,U$1))</f>
        <v/>
      </c>
      <c r="V68" s="49">
        <f>IF(OR($AE68&lt;&gt;1,V$1=""),"",SUMIFS('All Donations'!$S$2:$S$4001,'All Donations'!$R$2:$R$4001,$AD68,'All Donations'!$T$2:$T$4001,V$1))</f>
        <v/>
      </c>
      <c r="W68" s="49">
        <f>IF(OR($AE68&lt;&gt;1,W$1=""),"",SUMIFS('All Donations'!$S$2:$S$4001,'All Donations'!$R$2:$R$4001,$AD68,'All Donations'!$T$2:$T$4001,W$1))</f>
        <v/>
      </c>
      <c r="X68" s="49">
        <f>IF(OR($AE68&lt;&gt;1,X$1=""),"",SUMIFS('All Donations'!$S$2:$S$4001,'All Donations'!$R$2:$R$4001,$AD68,'All Donations'!$T$2:$T$4001,X$1))</f>
        <v/>
      </c>
      <c r="Y68" s="49">
        <f>IF(OR($AE68&lt;&gt;1,Y$1=""),"",SUMIFS('All Donations'!$S$2:$S$4001,'All Donations'!$R$2:$R$4001,$AD68,'All Donations'!$T$2:$T$4001,Y$1))</f>
        <v/>
      </c>
      <c r="Z68" s="49">
        <f>IF(OR($AE68&lt;&gt;1,Z$1=""),"",SUMIFS('All Donations'!$S$2:$S$4001,'All Donations'!$R$2:$R$4001,$AD68,'All Donations'!$T$2:$T$4001,Z$1))</f>
        <v/>
      </c>
      <c r="AA68" s="49">
        <f>IF(OR($AE68&lt;&gt;1,AA$1=""),"",SUMIFS('All Donations'!$S$2:$S$4001,'All Donations'!$R$2:$R$4001,$AD68,'All Donations'!$T$2:$T$4001,AA$1))</f>
        <v/>
      </c>
      <c r="AB68" s="49">
        <f>IF(OR($AE68&lt;&gt;1,AB$1=""),"",SUMIFS('All Donations'!$S$2:$S$4001,'All Donations'!$R$2:$R$4001,$AD68,'All Donations'!$T$2:$T$4001,AB$1))</f>
        <v/>
      </c>
      <c r="AC68" s="49">
        <f>IF(OR($AE68&lt;&gt;1,AC$1=""),"",SUMIFS('All Donations'!$S$2:$S$4001,'All Donations'!$R$2:$R$4001,$AD68,'All Donations'!$T$2:$T$4001,AC$1))</f>
        <v/>
      </c>
      <c r="AD68">
        <f>IF(AE68=1,'Roster'!A68,"")</f>
        <v/>
      </c>
      <c r="AE68">
        <f>IF(TRIM('Roster'!B68&amp;'Roster'!C68)&lt;&gt;"",1,0)</f>
        <v/>
      </c>
      <c r="AF68">
        <f>IF(AE68=1,LOWER(A68),"#")</f>
        <v/>
      </c>
      <c r="AG68">
        <f>IF(AE68=1,LOWER(TRIM(TRIM('Roster'!C68)&amp;", "&amp;TRIM('Roster'!B68))),"#")</f>
        <v/>
      </c>
      <c r="AH68">
        <f>IF(AND(AE68=1,TRIM('Roster'!F68)&lt;&gt;""),LOWER(TRIM('Roster'!F68)),"#")</f>
        <v/>
      </c>
      <c r="AI68">
        <f>IF(AE68=1,IF(MATCH(B68,$B$2:$B$701,0)=ROW()-1,1,0),0)</f>
        <v/>
      </c>
      <c r="AJ68">
        <f>AJ67+AI68</f>
        <v/>
      </c>
      <c r="AK68">
        <f>IF(AE68=1,D68+(1000-ROW())/10^7,-1)</f>
        <v/>
      </c>
      <c r="AL68">
        <f>IF(AE68=1,TRIM('Roster'!B68)&amp;" "&amp;LEFT(TRIM('Roster'!C68),1)&amp;".","")</f>
        <v/>
      </c>
      <c r="AM68">
        <f>IF(AE68=1,TRIM('Roster'!C68)&amp;", "&amp;TRIM('Roster'!B68)&amp;" ("&amp;B68&amp;") #"&amp;AD68,"")</f>
        <v/>
      </c>
      <c r="AN68">
        <f>IF(AE68=1,TRIM('Roster'!E68),"")</f>
        <v/>
      </c>
      <c r="AO68">
        <f>IF(AE68=1,ROUND(SUMIFS('All Donations'!$S$2:$S$4001,'All Donations'!$R$2:$R$4001,AD68,'All Donations'!$T$2:$T$4001,"&gt;="&amp;'Settings'!$C$23,'All Donations'!$T$2:$T$4001,"&lt;="&amp;'Settings'!$D$23),2),0)</f>
        <v/>
      </c>
      <c r="AQ68">
        <f>IF(AE68=1,ROUND(SUMIFS('All Donations'!$S$2:$S$4001,'All Donations'!$R$2:$R$4001,AD68,'All Donations'!$T$2:$T$4001,"&gt;="&amp;'Settings'!$C$25,'All Donations'!$T$2:$T$4001,"&lt;="&amp;'Settings'!$D$25),2),0)</f>
        <v/>
      </c>
      <c r="AR68">
        <f>IF(AE68=1,ROUND(SUMIFS('All Donations'!$S$2:$S$4001,'All Donations'!$R$2:$R$4001,AD68,'All Donations'!$T$2:$T$4001,"&gt;="&amp;'Settings'!$C$26,'All Donations'!$T$2:$T$4001,"&lt;="&amp;'Settings'!$D$26),2),0)</f>
        <v/>
      </c>
      <c r="AS68">
        <f>IF(AE68=1,ROUND(SUMIFS('All Donations'!$S$2:$S$4001,'All Donations'!$R$2:$R$4001,AD68,'All Donations'!$T$2:$T$4001,"&lt;="&amp;'Settings'!$D$27),2),0)</f>
        <v/>
      </c>
      <c r="AT68">
        <f>IF(AE68=1,ROUND(SUMIFS('All Donations'!$S$2:$S$4001,'All Donations'!$R$2:$R$4001,AD68,'All Donations'!$T$2:$T$4001,"&gt;="&amp;'Settings'!$C$28,'All Donations'!$T$2:$T$4001,"&lt;="&amp;'Settings'!$D$28),2),0)</f>
        <v/>
      </c>
      <c r="AU68">
        <f>IF(AE68=1,ROUND(SUMIFS('All Donations'!$S$2:$S$4001,'All Donations'!$R$2:$R$4001,AD68,'All Donations'!$T$2:$T$4001,"&gt;="&amp;'Settings'!$C$29,'All Donations'!$T$2:$T$4001,"&lt;="&amp;'Settings'!$D$29),2),0)</f>
        <v/>
      </c>
      <c r="AV68">
        <f>IF(AE68=1,ROUND(SUMIFS('All Donations'!$S$2:$S$4001,'All Donations'!$R$2:$R$4001,AD68,'All Donations'!$T$2:$T$4001,"&lt;="&amp;'Settings'!$D$30),2),0)</f>
        <v/>
      </c>
      <c r="AZ68">
        <f>IF(AE68=1,ROUND(SUMIFS('All Donations'!$S$2:$S$4001,'All Donations'!$R$2:$R$4001,AD68,'All Donations'!$T$2:$T$4001,"&lt;="&amp;'Settings'!$D$34),2),0)</f>
        <v/>
      </c>
    </row>
    <row r="69">
      <c r="A69">
        <f>IF(AE69=1,TRIM(TRIM('Roster'!B69)&amp;" "&amp;TRIM('Roster'!C69)),"")</f>
        <v/>
      </c>
      <c r="B69">
        <f>IF(AE69=1,IF(AN69="","(no teacher)",AN69&amp;" – "&amp;C69),"")</f>
        <v/>
      </c>
      <c r="C69">
        <f>IF(AE69=1,TRIM('Roster'!D69&amp;""),"")</f>
        <v/>
      </c>
      <c r="D69" s="48">
        <f>IF(AE69=1,ROUND(SUMIFS('All Donations'!$S$2:$S$4001,'All Donations'!$R$2:$R$4001,AD69),2),"")</f>
        <v/>
      </c>
      <c r="E69" s="48">
        <f>IF(AE69=1,ROUND(SUMIFS('All Donations'!$S$2:$S$4001,'All Donations'!$R$2:$R$4001,AD69,'All Donations'!$G$2:$G$4001,"OneCause"),2),"")</f>
        <v/>
      </c>
      <c r="F69" s="48">
        <f>IF(AE69=1,D69-E69,"")</f>
        <v/>
      </c>
      <c r="G69">
        <f>IF(AE69=1,COUNTIFS('All Donations'!$R$2:$R$4001,AD69,'All Donations'!$H$2:$H$4001,"OK"),"")</f>
        <v/>
      </c>
      <c r="H69">
        <f>IF(AE69&lt;&gt;1,"",IF(D69&gt;0,"Yes",""))</f>
        <v/>
      </c>
      <c r="I69" s="49">
        <f>IF(OR($AE69&lt;&gt;1,I$1=""),"",SUMIFS('All Donations'!$S$2:$S$4001,'All Donations'!$R$2:$R$4001,$AD69,'All Donations'!$T$2:$T$4001,I$1))</f>
        <v/>
      </c>
      <c r="J69" s="49">
        <f>IF(OR($AE69&lt;&gt;1,J$1=""),"",SUMIFS('All Donations'!$S$2:$S$4001,'All Donations'!$R$2:$R$4001,$AD69,'All Donations'!$T$2:$T$4001,J$1))</f>
        <v/>
      </c>
      <c r="K69" s="49">
        <f>IF(OR($AE69&lt;&gt;1,K$1=""),"",SUMIFS('All Donations'!$S$2:$S$4001,'All Donations'!$R$2:$R$4001,$AD69,'All Donations'!$T$2:$T$4001,K$1))</f>
        <v/>
      </c>
      <c r="L69" s="49">
        <f>IF(OR($AE69&lt;&gt;1,L$1=""),"",SUMIFS('All Donations'!$S$2:$S$4001,'All Donations'!$R$2:$R$4001,$AD69,'All Donations'!$T$2:$T$4001,L$1))</f>
        <v/>
      </c>
      <c r="M69" s="49">
        <f>IF(OR($AE69&lt;&gt;1,M$1=""),"",SUMIFS('All Donations'!$S$2:$S$4001,'All Donations'!$R$2:$R$4001,$AD69,'All Donations'!$T$2:$T$4001,M$1))</f>
        <v/>
      </c>
      <c r="N69" s="49">
        <f>IF(OR($AE69&lt;&gt;1,N$1=""),"",SUMIFS('All Donations'!$S$2:$S$4001,'All Donations'!$R$2:$R$4001,$AD69,'All Donations'!$T$2:$T$4001,N$1))</f>
        <v/>
      </c>
      <c r="O69" s="49">
        <f>IF(OR($AE69&lt;&gt;1,O$1=""),"",SUMIFS('All Donations'!$S$2:$S$4001,'All Donations'!$R$2:$R$4001,$AD69,'All Donations'!$T$2:$T$4001,O$1))</f>
        <v/>
      </c>
      <c r="P69" s="49">
        <f>IF(OR($AE69&lt;&gt;1,P$1=""),"",SUMIFS('All Donations'!$S$2:$S$4001,'All Donations'!$R$2:$R$4001,$AD69,'All Donations'!$T$2:$T$4001,P$1))</f>
        <v/>
      </c>
      <c r="Q69" s="49">
        <f>IF(OR($AE69&lt;&gt;1,Q$1=""),"",SUMIFS('All Donations'!$S$2:$S$4001,'All Donations'!$R$2:$R$4001,$AD69,'All Donations'!$T$2:$T$4001,Q$1))</f>
        <v/>
      </c>
      <c r="R69" s="49">
        <f>IF(OR($AE69&lt;&gt;1,R$1=""),"",SUMIFS('All Donations'!$S$2:$S$4001,'All Donations'!$R$2:$R$4001,$AD69,'All Donations'!$T$2:$T$4001,R$1))</f>
        <v/>
      </c>
      <c r="S69" s="49">
        <f>IF(OR($AE69&lt;&gt;1,S$1=""),"",SUMIFS('All Donations'!$S$2:$S$4001,'All Donations'!$R$2:$R$4001,$AD69,'All Donations'!$T$2:$T$4001,S$1))</f>
        <v/>
      </c>
      <c r="T69" s="49">
        <f>IF(OR($AE69&lt;&gt;1,T$1=""),"",SUMIFS('All Donations'!$S$2:$S$4001,'All Donations'!$R$2:$R$4001,$AD69,'All Donations'!$T$2:$T$4001,T$1))</f>
        <v/>
      </c>
      <c r="U69" s="49">
        <f>IF(OR($AE69&lt;&gt;1,U$1=""),"",SUMIFS('All Donations'!$S$2:$S$4001,'All Donations'!$R$2:$R$4001,$AD69,'All Donations'!$T$2:$T$4001,U$1))</f>
        <v/>
      </c>
      <c r="V69" s="49">
        <f>IF(OR($AE69&lt;&gt;1,V$1=""),"",SUMIFS('All Donations'!$S$2:$S$4001,'All Donations'!$R$2:$R$4001,$AD69,'All Donations'!$T$2:$T$4001,V$1))</f>
        <v/>
      </c>
      <c r="W69" s="49">
        <f>IF(OR($AE69&lt;&gt;1,W$1=""),"",SUMIFS('All Donations'!$S$2:$S$4001,'All Donations'!$R$2:$R$4001,$AD69,'All Donations'!$T$2:$T$4001,W$1))</f>
        <v/>
      </c>
      <c r="X69" s="49">
        <f>IF(OR($AE69&lt;&gt;1,X$1=""),"",SUMIFS('All Donations'!$S$2:$S$4001,'All Donations'!$R$2:$R$4001,$AD69,'All Donations'!$T$2:$T$4001,X$1))</f>
        <v/>
      </c>
      <c r="Y69" s="49">
        <f>IF(OR($AE69&lt;&gt;1,Y$1=""),"",SUMIFS('All Donations'!$S$2:$S$4001,'All Donations'!$R$2:$R$4001,$AD69,'All Donations'!$T$2:$T$4001,Y$1))</f>
        <v/>
      </c>
      <c r="Z69" s="49">
        <f>IF(OR($AE69&lt;&gt;1,Z$1=""),"",SUMIFS('All Donations'!$S$2:$S$4001,'All Donations'!$R$2:$R$4001,$AD69,'All Donations'!$T$2:$T$4001,Z$1))</f>
        <v/>
      </c>
      <c r="AA69" s="49">
        <f>IF(OR($AE69&lt;&gt;1,AA$1=""),"",SUMIFS('All Donations'!$S$2:$S$4001,'All Donations'!$R$2:$R$4001,$AD69,'All Donations'!$T$2:$T$4001,AA$1))</f>
        <v/>
      </c>
      <c r="AB69" s="49">
        <f>IF(OR($AE69&lt;&gt;1,AB$1=""),"",SUMIFS('All Donations'!$S$2:$S$4001,'All Donations'!$R$2:$R$4001,$AD69,'All Donations'!$T$2:$T$4001,AB$1))</f>
        <v/>
      </c>
      <c r="AC69" s="49">
        <f>IF(OR($AE69&lt;&gt;1,AC$1=""),"",SUMIFS('All Donations'!$S$2:$S$4001,'All Donations'!$R$2:$R$4001,$AD69,'All Donations'!$T$2:$T$4001,AC$1))</f>
        <v/>
      </c>
      <c r="AD69">
        <f>IF(AE69=1,'Roster'!A69,"")</f>
        <v/>
      </c>
      <c r="AE69">
        <f>IF(TRIM('Roster'!B69&amp;'Roster'!C69)&lt;&gt;"",1,0)</f>
        <v/>
      </c>
      <c r="AF69">
        <f>IF(AE69=1,LOWER(A69),"#")</f>
        <v/>
      </c>
      <c r="AG69">
        <f>IF(AE69=1,LOWER(TRIM(TRIM('Roster'!C69)&amp;", "&amp;TRIM('Roster'!B69))),"#")</f>
        <v/>
      </c>
      <c r="AH69">
        <f>IF(AND(AE69=1,TRIM('Roster'!F69)&lt;&gt;""),LOWER(TRIM('Roster'!F69)),"#")</f>
        <v/>
      </c>
      <c r="AI69">
        <f>IF(AE69=1,IF(MATCH(B69,$B$2:$B$701,0)=ROW()-1,1,0),0)</f>
        <v/>
      </c>
      <c r="AJ69">
        <f>AJ68+AI69</f>
        <v/>
      </c>
      <c r="AK69">
        <f>IF(AE69=1,D69+(1000-ROW())/10^7,-1)</f>
        <v/>
      </c>
      <c r="AL69">
        <f>IF(AE69=1,TRIM('Roster'!B69)&amp;" "&amp;LEFT(TRIM('Roster'!C69),1)&amp;".","")</f>
        <v/>
      </c>
      <c r="AM69">
        <f>IF(AE69=1,TRIM('Roster'!C69)&amp;", "&amp;TRIM('Roster'!B69)&amp;" ("&amp;B69&amp;") #"&amp;AD69,"")</f>
        <v/>
      </c>
      <c r="AN69">
        <f>IF(AE69=1,TRIM('Roster'!E69),"")</f>
        <v/>
      </c>
      <c r="AO69">
        <f>IF(AE69=1,ROUND(SUMIFS('All Donations'!$S$2:$S$4001,'All Donations'!$R$2:$R$4001,AD69,'All Donations'!$T$2:$T$4001,"&gt;="&amp;'Settings'!$C$23,'All Donations'!$T$2:$T$4001,"&lt;="&amp;'Settings'!$D$23),2),0)</f>
        <v/>
      </c>
      <c r="AQ69">
        <f>IF(AE69=1,ROUND(SUMIFS('All Donations'!$S$2:$S$4001,'All Donations'!$R$2:$R$4001,AD69,'All Donations'!$T$2:$T$4001,"&gt;="&amp;'Settings'!$C$25,'All Donations'!$T$2:$T$4001,"&lt;="&amp;'Settings'!$D$25),2),0)</f>
        <v/>
      </c>
      <c r="AR69">
        <f>IF(AE69=1,ROUND(SUMIFS('All Donations'!$S$2:$S$4001,'All Donations'!$R$2:$R$4001,AD69,'All Donations'!$T$2:$T$4001,"&gt;="&amp;'Settings'!$C$26,'All Donations'!$T$2:$T$4001,"&lt;="&amp;'Settings'!$D$26),2),0)</f>
        <v/>
      </c>
      <c r="AS69">
        <f>IF(AE69=1,ROUND(SUMIFS('All Donations'!$S$2:$S$4001,'All Donations'!$R$2:$R$4001,AD69,'All Donations'!$T$2:$T$4001,"&lt;="&amp;'Settings'!$D$27),2),0)</f>
        <v/>
      </c>
      <c r="AT69">
        <f>IF(AE69=1,ROUND(SUMIFS('All Donations'!$S$2:$S$4001,'All Donations'!$R$2:$R$4001,AD69,'All Donations'!$T$2:$T$4001,"&gt;="&amp;'Settings'!$C$28,'All Donations'!$T$2:$T$4001,"&lt;="&amp;'Settings'!$D$28),2),0)</f>
        <v/>
      </c>
      <c r="AU69">
        <f>IF(AE69=1,ROUND(SUMIFS('All Donations'!$S$2:$S$4001,'All Donations'!$R$2:$R$4001,AD69,'All Donations'!$T$2:$T$4001,"&gt;="&amp;'Settings'!$C$29,'All Donations'!$T$2:$T$4001,"&lt;="&amp;'Settings'!$D$29),2),0)</f>
        <v/>
      </c>
      <c r="AV69">
        <f>IF(AE69=1,ROUND(SUMIFS('All Donations'!$S$2:$S$4001,'All Donations'!$R$2:$R$4001,AD69,'All Donations'!$T$2:$T$4001,"&lt;="&amp;'Settings'!$D$30),2),0)</f>
        <v/>
      </c>
      <c r="AZ69">
        <f>IF(AE69=1,ROUND(SUMIFS('All Donations'!$S$2:$S$4001,'All Donations'!$R$2:$R$4001,AD69,'All Donations'!$T$2:$T$4001,"&lt;="&amp;'Settings'!$D$34),2),0)</f>
        <v/>
      </c>
    </row>
    <row r="70">
      <c r="A70">
        <f>IF(AE70=1,TRIM(TRIM('Roster'!B70)&amp;" "&amp;TRIM('Roster'!C70)),"")</f>
        <v/>
      </c>
      <c r="B70">
        <f>IF(AE70=1,IF(AN70="","(no teacher)",AN70&amp;" – "&amp;C70),"")</f>
        <v/>
      </c>
      <c r="C70">
        <f>IF(AE70=1,TRIM('Roster'!D70&amp;""),"")</f>
        <v/>
      </c>
      <c r="D70" s="48">
        <f>IF(AE70=1,ROUND(SUMIFS('All Donations'!$S$2:$S$4001,'All Donations'!$R$2:$R$4001,AD70),2),"")</f>
        <v/>
      </c>
      <c r="E70" s="48">
        <f>IF(AE70=1,ROUND(SUMIFS('All Donations'!$S$2:$S$4001,'All Donations'!$R$2:$R$4001,AD70,'All Donations'!$G$2:$G$4001,"OneCause"),2),"")</f>
        <v/>
      </c>
      <c r="F70" s="48">
        <f>IF(AE70=1,D70-E70,"")</f>
        <v/>
      </c>
      <c r="G70">
        <f>IF(AE70=1,COUNTIFS('All Donations'!$R$2:$R$4001,AD70,'All Donations'!$H$2:$H$4001,"OK"),"")</f>
        <v/>
      </c>
      <c r="H70">
        <f>IF(AE70&lt;&gt;1,"",IF(D70&gt;0,"Yes",""))</f>
        <v/>
      </c>
      <c r="I70" s="49">
        <f>IF(OR($AE70&lt;&gt;1,I$1=""),"",SUMIFS('All Donations'!$S$2:$S$4001,'All Donations'!$R$2:$R$4001,$AD70,'All Donations'!$T$2:$T$4001,I$1))</f>
        <v/>
      </c>
      <c r="J70" s="49">
        <f>IF(OR($AE70&lt;&gt;1,J$1=""),"",SUMIFS('All Donations'!$S$2:$S$4001,'All Donations'!$R$2:$R$4001,$AD70,'All Donations'!$T$2:$T$4001,J$1))</f>
        <v/>
      </c>
      <c r="K70" s="49">
        <f>IF(OR($AE70&lt;&gt;1,K$1=""),"",SUMIFS('All Donations'!$S$2:$S$4001,'All Donations'!$R$2:$R$4001,$AD70,'All Donations'!$T$2:$T$4001,K$1))</f>
        <v/>
      </c>
      <c r="L70" s="49">
        <f>IF(OR($AE70&lt;&gt;1,L$1=""),"",SUMIFS('All Donations'!$S$2:$S$4001,'All Donations'!$R$2:$R$4001,$AD70,'All Donations'!$T$2:$T$4001,L$1))</f>
        <v/>
      </c>
      <c r="M70" s="49">
        <f>IF(OR($AE70&lt;&gt;1,M$1=""),"",SUMIFS('All Donations'!$S$2:$S$4001,'All Donations'!$R$2:$R$4001,$AD70,'All Donations'!$T$2:$T$4001,M$1))</f>
        <v/>
      </c>
      <c r="N70" s="49">
        <f>IF(OR($AE70&lt;&gt;1,N$1=""),"",SUMIFS('All Donations'!$S$2:$S$4001,'All Donations'!$R$2:$R$4001,$AD70,'All Donations'!$T$2:$T$4001,N$1))</f>
        <v/>
      </c>
      <c r="O70" s="49">
        <f>IF(OR($AE70&lt;&gt;1,O$1=""),"",SUMIFS('All Donations'!$S$2:$S$4001,'All Donations'!$R$2:$R$4001,$AD70,'All Donations'!$T$2:$T$4001,O$1))</f>
        <v/>
      </c>
      <c r="P70" s="49">
        <f>IF(OR($AE70&lt;&gt;1,P$1=""),"",SUMIFS('All Donations'!$S$2:$S$4001,'All Donations'!$R$2:$R$4001,$AD70,'All Donations'!$T$2:$T$4001,P$1))</f>
        <v/>
      </c>
      <c r="Q70" s="49">
        <f>IF(OR($AE70&lt;&gt;1,Q$1=""),"",SUMIFS('All Donations'!$S$2:$S$4001,'All Donations'!$R$2:$R$4001,$AD70,'All Donations'!$T$2:$T$4001,Q$1))</f>
        <v/>
      </c>
      <c r="R70" s="49">
        <f>IF(OR($AE70&lt;&gt;1,R$1=""),"",SUMIFS('All Donations'!$S$2:$S$4001,'All Donations'!$R$2:$R$4001,$AD70,'All Donations'!$T$2:$T$4001,R$1))</f>
        <v/>
      </c>
      <c r="S70" s="49">
        <f>IF(OR($AE70&lt;&gt;1,S$1=""),"",SUMIFS('All Donations'!$S$2:$S$4001,'All Donations'!$R$2:$R$4001,$AD70,'All Donations'!$T$2:$T$4001,S$1))</f>
        <v/>
      </c>
      <c r="T70" s="49">
        <f>IF(OR($AE70&lt;&gt;1,T$1=""),"",SUMIFS('All Donations'!$S$2:$S$4001,'All Donations'!$R$2:$R$4001,$AD70,'All Donations'!$T$2:$T$4001,T$1))</f>
        <v/>
      </c>
      <c r="U70" s="49">
        <f>IF(OR($AE70&lt;&gt;1,U$1=""),"",SUMIFS('All Donations'!$S$2:$S$4001,'All Donations'!$R$2:$R$4001,$AD70,'All Donations'!$T$2:$T$4001,U$1))</f>
        <v/>
      </c>
      <c r="V70" s="49">
        <f>IF(OR($AE70&lt;&gt;1,V$1=""),"",SUMIFS('All Donations'!$S$2:$S$4001,'All Donations'!$R$2:$R$4001,$AD70,'All Donations'!$T$2:$T$4001,V$1))</f>
        <v/>
      </c>
      <c r="W70" s="49">
        <f>IF(OR($AE70&lt;&gt;1,W$1=""),"",SUMIFS('All Donations'!$S$2:$S$4001,'All Donations'!$R$2:$R$4001,$AD70,'All Donations'!$T$2:$T$4001,W$1))</f>
        <v/>
      </c>
      <c r="X70" s="49">
        <f>IF(OR($AE70&lt;&gt;1,X$1=""),"",SUMIFS('All Donations'!$S$2:$S$4001,'All Donations'!$R$2:$R$4001,$AD70,'All Donations'!$T$2:$T$4001,X$1))</f>
        <v/>
      </c>
      <c r="Y70" s="49">
        <f>IF(OR($AE70&lt;&gt;1,Y$1=""),"",SUMIFS('All Donations'!$S$2:$S$4001,'All Donations'!$R$2:$R$4001,$AD70,'All Donations'!$T$2:$T$4001,Y$1))</f>
        <v/>
      </c>
      <c r="Z70" s="49">
        <f>IF(OR($AE70&lt;&gt;1,Z$1=""),"",SUMIFS('All Donations'!$S$2:$S$4001,'All Donations'!$R$2:$R$4001,$AD70,'All Donations'!$T$2:$T$4001,Z$1))</f>
        <v/>
      </c>
      <c r="AA70" s="49">
        <f>IF(OR($AE70&lt;&gt;1,AA$1=""),"",SUMIFS('All Donations'!$S$2:$S$4001,'All Donations'!$R$2:$R$4001,$AD70,'All Donations'!$T$2:$T$4001,AA$1))</f>
        <v/>
      </c>
      <c r="AB70" s="49">
        <f>IF(OR($AE70&lt;&gt;1,AB$1=""),"",SUMIFS('All Donations'!$S$2:$S$4001,'All Donations'!$R$2:$R$4001,$AD70,'All Donations'!$T$2:$T$4001,AB$1))</f>
        <v/>
      </c>
      <c r="AC70" s="49">
        <f>IF(OR($AE70&lt;&gt;1,AC$1=""),"",SUMIFS('All Donations'!$S$2:$S$4001,'All Donations'!$R$2:$R$4001,$AD70,'All Donations'!$T$2:$T$4001,AC$1))</f>
        <v/>
      </c>
      <c r="AD70">
        <f>IF(AE70=1,'Roster'!A70,"")</f>
        <v/>
      </c>
      <c r="AE70">
        <f>IF(TRIM('Roster'!B70&amp;'Roster'!C70)&lt;&gt;"",1,0)</f>
        <v/>
      </c>
      <c r="AF70">
        <f>IF(AE70=1,LOWER(A70),"#")</f>
        <v/>
      </c>
      <c r="AG70">
        <f>IF(AE70=1,LOWER(TRIM(TRIM('Roster'!C70)&amp;", "&amp;TRIM('Roster'!B70))),"#")</f>
        <v/>
      </c>
      <c r="AH70">
        <f>IF(AND(AE70=1,TRIM('Roster'!F70)&lt;&gt;""),LOWER(TRIM('Roster'!F70)),"#")</f>
        <v/>
      </c>
      <c r="AI70">
        <f>IF(AE70=1,IF(MATCH(B70,$B$2:$B$701,0)=ROW()-1,1,0),0)</f>
        <v/>
      </c>
      <c r="AJ70">
        <f>AJ69+AI70</f>
        <v/>
      </c>
      <c r="AK70">
        <f>IF(AE70=1,D70+(1000-ROW())/10^7,-1)</f>
        <v/>
      </c>
      <c r="AL70">
        <f>IF(AE70=1,TRIM('Roster'!B70)&amp;" "&amp;LEFT(TRIM('Roster'!C70),1)&amp;".","")</f>
        <v/>
      </c>
      <c r="AM70">
        <f>IF(AE70=1,TRIM('Roster'!C70)&amp;", "&amp;TRIM('Roster'!B70)&amp;" ("&amp;B70&amp;") #"&amp;AD70,"")</f>
        <v/>
      </c>
      <c r="AN70">
        <f>IF(AE70=1,TRIM('Roster'!E70),"")</f>
        <v/>
      </c>
      <c r="AO70">
        <f>IF(AE70=1,ROUND(SUMIFS('All Donations'!$S$2:$S$4001,'All Donations'!$R$2:$R$4001,AD70,'All Donations'!$T$2:$T$4001,"&gt;="&amp;'Settings'!$C$23,'All Donations'!$T$2:$T$4001,"&lt;="&amp;'Settings'!$D$23),2),0)</f>
        <v/>
      </c>
      <c r="AQ70">
        <f>IF(AE70=1,ROUND(SUMIFS('All Donations'!$S$2:$S$4001,'All Donations'!$R$2:$R$4001,AD70,'All Donations'!$T$2:$T$4001,"&gt;="&amp;'Settings'!$C$25,'All Donations'!$T$2:$T$4001,"&lt;="&amp;'Settings'!$D$25),2),0)</f>
        <v/>
      </c>
      <c r="AR70">
        <f>IF(AE70=1,ROUND(SUMIFS('All Donations'!$S$2:$S$4001,'All Donations'!$R$2:$R$4001,AD70,'All Donations'!$T$2:$T$4001,"&gt;="&amp;'Settings'!$C$26,'All Donations'!$T$2:$T$4001,"&lt;="&amp;'Settings'!$D$26),2),0)</f>
        <v/>
      </c>
      <c r="AS70">
        <f>IF(AE70=1,ROUND(SUMIFS('All Donations'!$S$2:$S$4001,'All Donations'!$R$2:$R$4001,AD70,'All Donations'!$T$2:$T$4001,"&lt;="&amp;'Settings'!$D$27),2),0)</f>
        <v/>
      </c>
      <c r="AT70">
        <f>IF(AE70=1,ROUND(SUMIFS('All Donations'!$S$2:$S$4001,'All Donations'!$R$2:$R$4001,AD70,'All Donations'!$T$2:$T$4001,"&gt;="&amp;'Settings'!$C$28,'All Donations'!$T$2:$T$4001,"&lt;="&amp;'Settings'!$D$28),2),0)</f>
        <v/>
      </c>
      <c r="AU70">
        <f>IF(AE70=1,ROUND(SUMIFS('All Donations'!$S$2:$S$4001,'All Donations'!$R$2:$R$4001,AD70,'All Donations'!$T$2:$T$4001,"&gt;="&amp;'Settings'!$C$29,'All Donations'!$T$2:$T$4001,"&lt;="&amp;'Settings'!$D$29),2),0)</f>
        <v/>
      </c>
      <c r="AV70">
        <f>IF(AE70=1,ROUND(SUMIFS('All Donations'!$S$2:$S$4001,'All Donations'!$R$2:$R$4001,AD70,'All Donations'!$T$2:$T$4001,"&lt;="&amp;'Settings'!$D$30),2),0)</f>
        <v/>
      </c>
      <c r="AZ70">
        <f>IF(AE70=1,ROUND(SUMIFS('All Donations'!$S$2:$S$4001,'All Donations'!$R$2:$R$4001,AD70,'All Donations'!$T$2:$T$4001,"&lt;="&amp;'Settings'!$D$34),2),0)</f>
        <v/>
      </c>
    </row>
    <row r="71">
      <c r="A71">
        <f>IF(AE71=1,TRIM(TRIM('Roster'!B71)&amp;" "&amp;TRIM('Roster'!C71)),"")</f>
        <v/>
      </c>
      <c r="B71">
        <f>IF(AE71=1,IF(AN71="","(no teacher)",AN71&amp;" – "&amp;C71),"")</f>
        <v/>
      </c>
      <c r="C71">
        <f>IF(AE71=1,TRIM('Roster'!D71&amp;""),"")</f>
        <v/>
      </c>
      <c r="D71" s="48">
        <f>IF(AE71=1,ROUND(SUMIFS('All Donations'!$S$2:$S$4001,'All Donations'!$R$2:$R$4001,AD71),2),"")</f>
        <v/>
      </c>
      <c r="E71" s="48">
        <f>IF(AE71=1,ROUND(SUMIFS('All Donations'!$S$2:$S$4001,'All Donations'!$R$2:$R$4001,AD71,'All Donations'!$G$2:$G$4001,"OneCause"),2),"")</f>
        <v/>
      </c>
      <c r="F71" s="48">
        <f>IF(AE71=1,D71-E71,"")</f>
        <v/>
      </c>
      <c r="G71">
        <f>IF(AE71=1,COUNTIFS('All Donations'!$R$2:$R$4001,AD71,'All Donations'!$H$2:$H$4001,"OK"),"")</f>
        <v/>
      </c>
      <c r="H71">
        <f>IF(AE71&lt;&gt;1,"",IF(D71&gt;0,"Yes",""))</f>
        <v/>
      </c>
      <c r="I71" s="49">
        <f>IF(OR($AE71&lt;&gt;1,I$1=""),"",SUMIFS('All Donations'!$S$2:$S$4001,'All Donations'!$R$2:$R$4001,$AD71,'All Donations'!$T$2:$T$4001,I$1))</f>
        <v/>
      </c>
      <c r="J71" s="49">
        <f>IF(OR($AE71&lt;&gt;1,J$1=""),"",SUMIFS('All Donations'!$S$2:$S$4001,'All Donations'!$R$2:$R$4001,$AD71,'All Donations'!$T$2:$T$4001,J$1))</f>
        <v/>
      </c>
      <c r="K71" s="49">
        <f>IF(OR($AE71&lt;&gt;1,K$1=""),"",SUMIFS('All Donations'!$S$2:$S$4001,'All Donations'!$R$2:$R$4001,$AD71,'All Donations'!$T$2:$T$4001,K$1))</f>
        <v/>
      </c>
      <c r="L71" s="49">
        <f>IF(OR($AE71&lt;&gt;1,L$1=""),"",SUMIFS('All Donations'!$S$2:$S$4001,'All Donations'!$R$2:$R$4001,$AD71,'All Donations'!$T$2:$T$4001,L$1))</f>
        <v/>
      </c>
      <c r="M71" s="49">
        <f>IF(OR($AE71&lt;&gt;1,M$1=""),"",SUMIFS('All Donations'!$S$2:$S$4001,'All Donations'!$R$2:$R$4001,$AD71,'All Donations'!$T$2:$T$4001,M$1))</f>
        <v/>
      </c>
      <c r="N71" s="49">
        <f>IF(OR($AE71&lt;&gt;1,N$1=""),"",SUMIFS('All Donations'!$S$2:$S$4001,'All Donations'!$R$2:$R$4001,$AD71,'All Donations'!$T$2:$T$4001,N$1))</f>
        <v/>
      </c>
      <c r="O71" s="49">
        <f>IF(OR($AE71&lt;&gt;1,O$1=""),"",SUMIFS('All Donations'!$S$2:$S$4001,'All Donations'!$R$2:$R$4001,$AD71,'All Donations'!$T$2:$T$4001,O$1))</f>
        <v/>
      </c>
      <c r="P71" s="49">
        <f>IF(OR($AE71&lt;&gt;1,P$1=""),"",SUMIFS('All Donations'!$S$2:$S$4001,'All Donations'!$R$2:$R$4001,$AD71,'All Donations'!$T$2:$T$4001,P$1))</f>
        <v/>
      </c>
      <c r="Q71" s="49">
        <f>IF(OR($AE71&lt;&gt;1,Q$1=""),"",SUMIFS('All Donations'!$S$2:$S$4001,'All Donations'!$R$2:$R$4001,$AD71,'All Donations'!$T$2:$T$4001,Q$1))</f>
        <v/>
      </c>
      <c r="R71" s="49">
        <f>IF(OR($AE71&lt;&gt;1,R$1=""),"",SUMIFS('All Donations'!$S$2:$S$4001,'All Donations'!$R$2:$R$4001,$AD71,'All Donations'!$T$2:$T$4001,R$1))</f>
        <v/>
      </c>
      <c r="S71" s="49">
        <f>IF(OR($AE71&lt;&gt;1,S$1=""),"",SUMIFS('All Donations'!$S$2:$S$4001,'All Donations'!$R$2:$R$4001,$AD71,'All Donations'!$T$2:$T$4001,S$1))</f>
        <v/>
      </c>
      <c r="T71" s="49">
        <f>IF(OR($AE71&lt;&gt;1,T$1=""),"",SUMIFS('All Donations'!$S$2:$S$4001,'All Donations'!$R$2:$R$4001,$AD71,'All Donations'!$T$2:$T$4001,T$1))</f>
        <v/>
      </c>
      <c r="U71" s="49">
        <f>IF(OR($AE71&lt;&gt;1,U$1=""),"",SUMIFS('All Donations'!$S$2:$S$4001,'All Donations'!$R$2:$R$4001,$AD71,'All Donations'!$T$2:$T$4001,U$1))</f>
        <v/>
      </c>
      <c r="V71" s="49">
        <f>IF(OR($AE71&lt;&gt;1,V$1=""),"",SUMIFS('All Donations'!$S$2:$S$4001,'All Donations'!$R$2:$R$4001,$AD71,'All Donations'!$T$2:$T$4001,V$1))</f>
        <v/>
      </c>
      <c r="W71" s="49">
        <f>IF(OR($AE71&lt;&gt;1,W$1=""),"",SUMIFS('All Donations'!$S$2:$S$4001,'All Donations'!$R$2:$R$4001,$AD71,'All Donations'!$T$2:$T$4001,W$1))</f>
        <v/>
      </c>
      <c r="X71" s="49">
        <f>IF(OR($AE71&lt;&gt;1,X$1=""),"",SUMIFS('All Donations'!$S$2:$S$4001,'All Donations'!$R$2:$R$4001,$AD71,'All Donations'!$T$2:$T$4001,X$1))</f>
        <v/>
      </c>
      <c r="Y71" s="49">
        <f>IF(OR($AE71&lt;&gt;1,Y$1=""),"",SUMIFS('All Donations'!$S$2:$S$4001,'All Donations'!$R$2:$R$4001,$AD71,'All Donations'!$T$2:$T$4001,Y$1))</f>
        <v/>
      </c>
      <c r="Z71" s="49">
        <f>IF(OR($AE71&lt;&gt;1,Z$1=""),"",SUMIFS('All Donations'!$S$2:$S$4001,'All Donations'!$R$2:$R$4001,$AD71,'All Donations'!$T$2:$T$4001,Z$1))</f>
        <v/>
      </c>
      <c r="AA71" s="49">
        <f>IF(OR($AE71&lt;&gt;1,AA$1=""),"",SUMIFS('All Donations'!$S$2:$S$4001,'All Donations'!$R$2:$R$4001,$AD71,'All Donations'!$T$2:$T$4001,AA$1))</f>
        <v/>
      </c>
      <c r="AB71" s="49">
        <f>IF(OR($AE71&lt;&gt;1,AB$1=""),"",SUMIFS('All Donations'!$S$2:$S$4001,'All Donations'!$R$2:$R$4001,$AD71,'All Donations'!$T$2:$T$4001,AB$1))</f>
        <v/>
      </c>
      <c r="AC71" s="49">
        <f>IF(OR($AE71&lt;&gt;1,AC$1=""),"",SUMIFS('All Donations'!$S$2:$S$4001,'All Donations'!$R$2:$R$4001,$AD71,'All Donations'!$T$2:$T$4001,AC$1))</f>
        <v/>
      </c>
      <c r="AD71">
        <f>IF(AE71=1,'Roster'!A71,"")</f>
        <v/>
      </c>
      <c r="AE71">
        <f>IF(TRIM('Roster'!B71&amp;'Roster'!C71)&lt;&gt;"",1,0)</f>
        <v/>
      </c>
      <c r="AF71">
        <f>IF(AE71=1,LOWER(A71),"#")</f>
        <v/>
      </c>
      <c r="AG71">
        <f>IF(AE71=1,LOWER(TRIM(TRIM('Roster'!C71)&amp;", "&amp;TRIM('Roster'!B71))),"#")</f>
        <v/>
      </c>
      <c r="AH71">
        <f>IF(AND(AE71=1,TRIM('Roster'!F71)&lt;&gt;""),LOWER(TRIM('Roster'!F71)),"#")</f>
        <v/>
      </c>
      <c r="AI71">
        <f>IF(AE71=1,IF(MATCH(B71,$B$2:$B$701,0)=ROW()-1,1,0),0)</f>
        <v/>
      </c>
      <c r="AJ71">
        <f>AJ70+AI71</f>
        <v/>
      </c>
      <c r="AK71">
        <f>IF(AE71=1,D71+(1000-ROW())/10^7,-1)</f>
        <v/>
      </c>
      <c r="AL71">
        <f>IF(AE71=1,TRIM('Roster'!B71)&amp;" "&amp;LEFT(TRIM('Roster'!C71),1)&amp;".","")</f>
        <v/>
      </c>
      <c r="AM71">
        <f>IF(AE71=1,TRIM('Roster'!C71)&amp;", "&amp;TRIM('Roster'!B71)&amp;" ("&amp;B71&amp;") #"&amp;AD71,"")</f>
        <v/>
      </c>
      <c r="AN71">
        <f>IF(AE71=1,TRIM('Roster'!E71),"")</f>
        <v/>
      </c>
      <c r="AO71">
        <f>IF(AE71=1,ROUND(SUMIFS('All Donations'!$S$2:$S$4001,'All Donations'!$R$2:$R$4001,AD71,'All Donations'!$T$2:$T$4001,"&gt;="&amp;'Settings'!$C$23,'All Donations'!$T$2:$T$4001,"&lt;="&amp;'Settings'!$D$23),2),0)</f>
        <v/>
      </c>
      <c r="AQ71">
        <f>IF(AE71=1,ROUND(SUMIFS('All Donations'!$S$2:$S$4001,'All Donations'!$R$2:$R$4001,AD71,'All Donations'!$T$2:$T$4001,"&gt;="&amp;'Settings'!$C$25,'All Donations'!$T$2:$T$4001,"&lt;="&amp;'Settings'!$D$25),2),0)</f>
        <v/>
      </c>
      <c r="AR71">
        <f>IF(AE71=1,ROUND(SUMIFS('All Donations'!$S$2:$S$4001,'All Donations'!$R$2:$R$4001,AD71,'All Donations'!$T$2:$T$4001,"&gt;="&amp;'Settings'!$C$26,'All Donations'!$T$2:$T$4001,"&lt;="&amp;'Settings'!$D$26),2),0)</f>
        <v/>
      </c>
      <c r="AS71">
        <f>IF(AE71=1,ROUND(SUMIFS('All Donations'!$S$2:$S$4001,'All Donations'!$R$2:$R$4001,AD71,'All Donations'!$T$2:$T$4001,"&lt;="&amp;'Settings'!$D$27),2),0)</f>
        <v/>
      </c>
      <c r="AT71">
        <f>IF(AE71=1,ROUND(SUMIFS('All Donations'!$S$2:$S$4001,'All Donations'!$R$2:$R$4001,AD71,'All Donations'!$T$2:$T$4001,"&gt;="&amp;'Settings'!$C$28,'All Donations'!$T$2:$T$4001,"&lt;="&amp;'Settings'!$D$28),2),0)</f>
        <v/>
      </c>
      <c r="AU71">
        <f>IF(AE71=1,ROUND(SUMIFS('All Donations'!$S$2:$S$4001,'All Donations'!$R$2:$R$4001,AD71,'All Donations'!$T$2:$T$4001,"&gt;="&amp;'Settings'!$C$29,'All Donations'!$T$2:$T$4001,"&lt;="&amp;'Settings'!$D$29),2),0)</f>
        <v/>
      </c>
      <c r="AV71">
        <f>IF(AE71=1,ROUND(SUMIFS('All Donations'!$S$2:$S$4001,'All Donations'!$R$2:$R$4001,AD71,'All Donations'!$T$2:$T$4001,"&lt;="&amp;'Settings'!$D$30),2),0)</f>
        <v/>
      </c>
      <c r="AZ71">
        <f>IF(AE71=1,ROUND(SUMIFS('All Donations'!$S$2:$S$4001,'All Donations'!$R$2:$R$4001,AD71,'All Donations'!$T$2:$T$4001,"&lt;="&amp;'Settings'!$D$34),2),0)</f>
        <v/>
      </c>
    </row>
    <row r="72">
      <c r="A72">
        <f>IF(AE72=1,TRIM(TRIM('Roster'!B72)&amp;" "&amp;TRIM('Roster'!C72)),"")</f>
        <v/>
      </c>
      <c r="B72">
        <f>IF(AE72=1,IF(AN72="","(no teacher)",AN72&amp;" – "&amp;C72),"")</f>
        <v/>
      </c>
      <c r="C72">
        <f>IF(AE72=1,TRIM('Roster'!D72&amp;""),"")</f>
        <v/>
      </c>
      <c r="D72" s="48">
        <f>IF(AE72=1,ROUND(SUMIFS('All Donations'!$S$2:$S$4001,'All Donations'!$R$2:$R$4001,AD72),2),"")</f>
        <v/>
      </c>
      <c r="E72" s="48">
        <f>IF(AE72=1,ROUND(SUMIFS('All Donations'!$S$2:$S$4001,'All Donations'!$R$2:$R$4001,AD72,'All Donations'!$G$2:$G$4001,"OneCause"),2),"")</f>
        <v/>
      </c>
      <c r="F72" s="48">
        <f>IF(AE72=1,D72-E72,"")</f>
        <v/>
      </c>
      <c r="G72">
        <f>IF(AE72=1,COUNTIFS('All Donations'!$R$2:$R$4001,AD72,'All Donations'!$H$2:$H$4001,"OK"),"")</f>
        <v/>
      </c>
      <c r="H72">
        <f>IF(AE72&lt;&gt;1,"",IF(D72&gt;0,"Yes",""))</f>
        <v/>
      </c>
      <c r="I72" s="49">
        <f>IF(OR($AE72&lt;&gt;1,I$1=""),"",SUMIFS('All Donations'!$S$2:$S$4001,'All Donations'!$R$2:$R$4001,$AD72,'All Donations'!$T$2:$T$4001,I$1))</f>
        <v/>
      </c>
      <c r="J72" s="49">
        <f>IF(OR($AE72&lt;&gt;1,J$1=""),"",SUMIFS('All Donations'!$S$2:$S$4001,'All Donations'!$R$2:$R$4001,$AD72,'All Donations'!$T$2:$T$4001,J$1))</f>
        <v/>
      </c>
      <c r="K72" s="49">
        <f>IF(OR($AE72&lt;&gt;1,K$1=""),"",SUMIFS('All Donations'!$S$2:$S$4001,'All Donations'!$R$2:$R$4001,$AD72,'All Donations'!$T$2:$T$4001,K$1))</f>
        <v/>
      </c>
      <c r="L72" s="49">
        <f>IF(OR($AE72&lt;&gt;1,L$1=""),"",SUMIFS('All Donations'!$S$2:$S$4001,'All Donations'!$R$2:$R$4001,$AD72,'All Donations'!$T$2:$T$4001,L$1))</f>
        <v/>
      </c>
      <c r="M72" s="49">
        <f>IF(OR($AE72&lt;&gt;1,M$1=""),"",SUMIFS('All Donations'!$S$2:$S$4001,'All Donations'!$R$2:$R$4001,$AD72,'All Donations'!$T$2:$T$4001,M$1))</f>
        <v/>
      </c>
      <c r="N72" s="49">
        <f>IF(OR($AE72&lt;&gt;1,N$1=""),"",SUMIFS('All Donations'!$S$2:$S$4001,'All Donations'!$R$2:$R$4001,$AD72,'All Donations'!$T$2:$T$4001,N$1))</f>
        <v/>
      </c>
      <c r="O72" s="49">
        <f>IF(OR($AE72&lt;&gt;1,O$1=""),"",SUMIFS('All Donations'!$S$2:$S$4001,'All Donations'!$R$2:$R$4001,$AD72,'All Donations'!$T$2:$T$4001,O$1))</f>
        <v/>
      </c>
      <c r="P72" s="49">
        <f>IF(OR($AE72&lt;&gt;1,P$1=""),"",SUMIFS('All Donations'!$S$2:$S$4001,'All Donations'!$R$2:$R$4001,$AD72,'All Donations'!$T$2:$T$4001,P$1))</f>
        <v/>
      </c>
      <c r="Q72" s="49">
        <f>IF(OR($AE72&lt;&gt;1,Q$1=""),"",SUMIFS('All Donations'!$S$2:$S$4001,'All Donations'!$R$2:$R$4001,$AD72,'All Donations'!$T$2:$T$4001,Q$1))</f>
        <v/>
      </c>
      <c r="R72" s="49">
        <f>IF(OR($AE72&lt;&gt;1,R$1=""),"",SUMIFS('All Donations'!$S$2:$S$4001,'All Donations'!$R$2:$R$4001,$AD72,'All Donations'!$T$2:$T$4001,R$1))</f>
        <v/>
      </c>
      <c r="S72" s="49">
        <f>IF(OR($AE72&lt;&gt;1,S$1=""),"",SUMIFS('All Donations'!$S$2:$S$4001,'All Donations'!$R$2:$R$4001,$AD72,'All Donations'!$T$2:$T$4001,S$1))</f>
        <v/>
      </c>
      <c r="T72" s="49">
        <f>IF(OR($AE72&lt;&gt;1,T$1=""),"",SUMIFS('All Donations'!$S$2:$S$4001,'All Donations'!$R$2:$R$4001,$AD72,'All Donations'!$T$2:$T$4001,T$1))</f>
        <v/>
      </c>
      <c r="U72" s="49">
        <f>IF(OR($AE72&lt;&gt;1,U$1=""),"",SUMIFS('All Donations'!$S$2:$S$4001,'All Donations'!$R$2:$R$4001,$AD72,'All Donations'!$T$2:$T$4001,U$1))</f>
        <v/>
      </c>
      <c r="V72" s="49">
        <f>IF(OR($AE72&lt;&gt;1,V$1=""),"",SUMIFS('All Donations'!$S$2:$S$4001,'All Donations'!$R$2:$R$4001,$AD72,'All Donations'!$T$2:$T$4001,V$1))</f>
        <v/>
      </c>
      <c r="W72" s="49">
        <f>IF(OR($AE72&lt;&gt;1,W$1=""),"",SUMIFS('All Donations'!$S$2:$S$4001,'All Donations'!$R$2:$R$4001,$AD72,'All Donations'!$T$2:$T$4001,W$1))</f>
        <v/>
      </c>
      <c r="X72" s="49">
        <f>IF(OR($AE72&lt;&gt;1,X$1=""),"",SUMIFS('All Donations'!$S$2:$S$4001,'All Donations'!$R$2:$R$4001,$AD72,'All Donations'!$T$2:$T$4001,X$1))</f>
        <v/>
      </c>
      <c r="Y72" s="49">
        <f>IF(OR($AE72&lt;&gt;1,Y$1=""),"",SUMIFS('All Donations'!$S$2:$S$4001,'All Donations'!$R$2:$R$4001,$AD72,'All Donations'!$T$2:$T$4001,Y$1))</f>
        <v/>
      </c>
      <c r="Z72" s="49">
        <f>IF(OR($AE72&lt;&gt;1,Z$1=""),"",SUMIFS('All Donations'!$S$2:$S$4001,'All Donations'!$R$2:$R$4001,$AD72,'All Donations'!$T$2:$T$4001,Z$1))</f>
        <v/>
      </c>
      <c r="AA72" s="49">
        <f>IF(OR($AE72&lt;&gt;1,AA$1=""),"",SUMIFS('All Donations'!$S$2:$S$4001,'All Donations'!$R$2:$R$4001,$AD72,'All Donations'!$T$2:$T$4001,AA$1))</f>
        <v/>
      </c>
      <c r="AB72" s="49">
        <f>IF(OR($AE72&lt;&gt;1,AB$1=""),"",SUMIFS('All Donations'!$S$2:$S$4001,'All Donations'!$R$2:$R$4001,$AD72,'All Donations'!$T$2:$T$4001,AB$1))</f>
        <v/>
      </c>
      <c r="AC72" s="49">
        <f>IF(OR($AE72&lt;&gt;1,AC$1=""),"",SUMIFS('All Donations'!$S$2:$S$4001,'All Donations'!$R$2:$R$4001,$AD72,'All Donations'!$T$2:$T$4001,AC$1))</f>
        <v/>
      </c>
      <c r="AD72">
        <f>IF(AE72=1,'Roster'!A72,"")</f>
        <v/>
      </c>
      <c r="AE72">
        <f>IF(TRIM('Roster'!B72&amp;'Roster'!C72)&lt;&gt;"",1,0)</f>
        <v/>
      </c>
      <c r="AF72">
        <f>IF(AE72=1,LOWER(A72),"#")</f>
        <v/>
      </c>
      <c r="AG72">
        <f>IF(AE72=1,LOWER(TRIM(TRIM('Roster'!C72)&amp;", "&amp;TRIM('Roster'!B72))),"#")</f>
        <v/>
      </c>
      <c r="AH72">
        <f>IF(AND(AE72=1,TRIM('Roster'!F72)&lt;&gt;""),LOWER(TRIM('Roster'!F72)),"#")</f>
        <v/>
      </c>
      <c r="AI72">
        <f>IF(AE72=1,IF(MATCH(B72,$B$2:$B$701,0)=ROW()-1,1,0),0)</f>
        <v/>
      </c>
      <c r="AJ72">
        <f>AJ71+AI72</f>
        <v/>
      </c>
      <c r="AK72">
        <f>IF(AE72=1,D72+(1000-ROW())/10^7,-1)</f>
        <v/>
      </c>
      <c r="AL72">
        <f>IF(AE72=1,TRIM('Roster'!B72)&amp;" "&amp;LEFT(TRIM('Roster'!C72),1)&amp;".","")</f>
        <v/>
      </c>
      <c r="AM72">
        <f>IF(AE72=1,TRIM('Roster'!C72)&amp;", "&amp;TRIM('Roster'!B72)&amp;" ("&amp;B72&amp;") #"&amp;AD72,"")</f>
        <v/>
      </c>
      <c r="AN72">
        <f>IF(AE72=1,TRIM('Roster'!E72),"")</f>
        <v/>
      </c>
      <c r="AO72">
        <f>IF(AE72=1,ROUND(SUMIFS('All Donations'!$S$2:$S$4001,'All Donations'!$R$2:$R$4001,AD72,'All Donations'!$T$2:$T$4001,"&gt;="&amp;'Settings'!$C$23,'All Donations'!$T$2:$T$4001,"&lt;="&amp;'Settings'!$D$23),2),0)</f>
        <v/>
      </c>
      <c r="AQ72">
        <f>IF(AE72=1,ROUND(SUMIFS('All Donations'!$S$2:$S$4001,'All Donations'!$R$2:$R$4001,AD72,'All Donations'!$T$2:$T$4001,"&gt;="&amp;'Settings'!$C$25,'All Donations'!$T$2:$T$4001,"&lt;="&amp;'Settings'!$D$25),2),0)</f>
        <v/>
      </c>
      <c r="AR72">
        <f>IF(AE72=1,ROUND(SUMIFS('All Donations'!$S$2:$S$4001,'All Donations'!$R$2:$R$4001,AD72,'All Donations'!$T$2:$T$4001,"&gt;="&amp;'Settings'!$C$26,'All Donations'!$T$2:$T$4001,"&lt;="&amp;'Settings'!$D$26),2),0)</f>
        <v/>
      </c>
      <c r="AS72">
        <f>IF(AE72=1,ROUND(SUMIFS('All Donations'!$S$2:$S$4001,'All Donations'!$R$2:$R$4001,AD72,'All Donations'!$T$2:$T$4001,"&lt;="&amp;'Settings'!$D$27),2),0)</f>
        <v/>
      </c>
      <c r="AT72">
        <f>IF(AE72=1,ROUND(SUMIFS('All Donations'!$S$2:$S$4001,'All Donations'!$R$2:$R$4001,AD72,'All Donations'!$T$2:$T$4001,"&gt;="&amp;'Settings'!$C$28,'All Donations'!$T$2:$T$4001,"&lt;="&amp;'Settings'!$D$28),2),0)</f>
        <v/>
      </c>
      <c r="AU72">
        <f>IF(AE72=1,ROUND(SUMIFS('All Donations'!$S$2:$S$4001,'All Donations'!$R$2:$R$4001,AD72,'All Donations'!$T$2:$T$4001,"&gt;="&amp;'Settings'!$C$29,'All Donations'!$T$2:$T$4001,"&lt;="&amp;'Settings'!$D$29),2),0)</f>
        <v/>
      </c>
      <c r="AV72">
        <f>IF(AE72=1,ROUND(SUMIFS('All Donations'!$S$2:$S$4001,'All Donations'!$R$2:$R$4001,AD72,'All Donations'!$T$2:$T$4001,"&lt;="&amp;'Settings'!$D$30),2),0)</f>
        <v/>
      </c>
      <c r="AZ72">
        <f>IF(AE72=1,ROUND(SUMIFS('All Donations'!$S$2:$S$4001,'All Donations'!$R$2:$R$4001,AD72,'All Donations'!$T$2:$T$4001,"&lt;="&amp;'Settings'!$D$34),2),0)</f>
        <v/>
      </c>
    </row>
    <row r="73">
      <c r="A73">
        <f>IF(AE73=1,TRIM(TRIM('Roster'!B73)&amp;" "&amp;TRIM('Roster'!C73)),"")</f>
        <v/>
      </c>
      <c r="B73">
        <f>IF(AE73=1,IF(AN73="","(no teacher)",AN73&amp;" – "&amp;C73),"")</f>
        <v/>
      </c>
      <c r="C73">
        <f>IF(AE73=1,TRIM('Roster'!D73&amp;""),"")</f>
        <v/>
      </c>
      <c r="D73" s="48">
        <f>IF(AE73=1,ROUND(SUMIFS('All Donations'!$S$2:$S$4001,'All Donations'!$R$2:$R$4001,AD73),2),"")</f>
        <v/>
      </c>
      <c r="E73" s="48">
        <f>IF(AE73=1,ROUND(SUMIFS('All Donations'!$S$2:$S$4001,'All Donations'!$R$2:$R$4001,AD73,'All Donations'!$G$2:$G$4001,"OneCause"),2),"")</f>
        <v/>
      </c>
      <c r="F73" s="48">
        <f>IF(AE73=1,D73-E73,"")</f>
        <v/>
      </c>
      <c r="G73">
        <f>IF(AE73=1,COUNTIFS('All Donations'!$R$2:$R$4001,AD73,'All Donations'!$H$2:$H$4001,"OK"),"")</f>
        <v/>
      </c>
      <c r="H73">
        <f>IF(AE73&lt;&gt;1,"",IF(D73&gt;0,"Yes",""))</f>
        <v/>
      </c>
      <c r="I73" s="49">
        <f>IF(OR($AE73&lt;&gt;1,I$1=""),"",SUMIFS('All Donations'!$S$2:$S$4001,'All Donations'!$R$2:$R$4001,$AD73,'All Donations'!$T$2:$T$4001,I$1))</f>
        <v/>
      </c>
      <c r="J73" s="49">
        <f>IF(OR($AE73&lt;&gt;1,J$1=""),"",SUMIFS('All Donations'!$S$2:$S$4001,'All Donations'!$R$2:$R$4001,$AD73,'All Donations'!$T$2:$T$4001,J$1))</f>
        <v/>
      </c>
      <c r="K73" s="49">
        <f>IF(OR($AE73&lt;&gt;1,K$1=""),"",SUMIFS('All Donations'!$S$2:$S$4001,'All Donations'!$R$2:$R$4001,$AD73,'All Donations'!$T$2:$T$4001,K$1))</f>
        <v/>
      </c>
      <c r="L73" s="49">
        <f>IF(OR($AE73&lt;&gt;1,L$1=""),"",SUMIFS('All Donations'!$S$2:$S$4001,'All Donations'!$R$2:$R$4001,$AD73,'All Donations'!$T$2:$T$4001,L$1))</f>
        <v/>
      </c>
      <c r="M73" s="49">
        <f>IF(OR($AE73&lt;&gt;1,M$1=""),"",SUMIFS('All Donations'!$S$2:$S$4001,'All Donations'!$R$2:$R$4001,$AD73,'All Donations'!$T$2:$T$4001,M$1))</f>
        <v/>
      </c>
      <c r="N73" s="49">
        <f>IF(OR($AE73&lt;&gt;1,N$1=""),"",SUMIFS('All Donations'!$S$2:$S$4001,'All Donations'!$R$2:$R$4001,$AD73,'All Donations'!$T$2:$T$4001,N$1))</f>
        <v/>
      </c>
      <c r="O73" s="49">
        <f>IF(OR($AE73&lt;&gt;1,O$1=""),"",SUMIFS('All Donations'!$S$2:$S$4001,'All Donations'!$R$2:$R$4001,$AD73,'All Donations'!$T$2:$T$4001,O$1))</f>
        <v/>
      </c>
      <c r="P73" s="49">
        <f>IF(OR($AE73&lt;&gt;1,P$1=""),"",SUMIFS('All Donations'!$S$2:$S$4001,'All Donations'!$R$2:$R$4001,$AD73,'All Donations'!$T$2:$T$4001,P$1))</f>
        <v/>
      </c>
      <c r="Q73" s="49">
        <f>IF(OR($AE73&lt;&gt;1,Q$1=""),"",SUMIFS('All Donations'!$S$2:$S$4001,'All Donations'!$R$2:$R$4001,$AD73,'All Donations'!$T$2:$T$4001,Q$1))</f>
        <v/>
      </c>
      <c r="R73" s="49">
        <f>IF(OR($AE73&lt;&gt;1,R$1=""),"",SUMIFS('All Donations'!$S$2:$S$4001,'All Donations'!$R$2:$R$4001,$AD73,'All Donations'!$T$2:$T$4001,R$1))</f>
        <v/>
      </c>
      <c r="S73" s="49">
        <f>IF(OR($AE73&lt;&gt;1,S$1=""),"",SUMIFS('All Donations'!$S$2:$S$4001,'All Donations'!$R$2:$R$4001,$AD73,'All Donations'!$T$2:$T$4001,S$1))</f>
        <v/>
      </c>
      <c r="T73" s="49">
        <f>IF(OR($AE73&lt;&gt;1,T$1=""),"",SUMIFS('All Donations'!$S$2:$S$4001,'All Donations'!$R$2:$R$4001,$AD73,'All Donations'!$T$2:$T$4001,T$1))</f>
        <v/>
      </c>
      <c r="U73" s="49">
        <f>IF(OR($AE73&lt;&gt;1,U$1=""),"",SUMIFS('All Donations'!$S$2:$S$4001,'All Donations'!$R$2:$R$4001,$AD73,'All Donations'!$T$2:$T$4001,U$1))</f>
        <v/>
      </c>
      <c r="V73" s="49">
        <f>IF(OR($AE73&lt;&gt;1,V$1=""),"",SUMIFS('All Donations'!$S$2:$S$4001,'All Donations'!$R$2:$R$4001,$AD73,'All Donations'!$T$2:$T$4001,V$1))</f>
        <v/>
      </c>
      <c r="W73" s="49">
        <f>IF(OR($AE73&lt;&gt;1,W$1=""),"",SUMIFS('All Donations'!$S$2:$S$4001,'All Donations'!$R$2:$R$4001,$AD73,'All Donations'!$T$2:$T$4001,W$1))</f>
        <v/>
      </c>
      <c r="X73" s="49">
        <f>IF(OR($AE73&lt;&gt;1,X$1=""),"",SUMIFS('All Donations'!$S$2:$S$4001,'All Donations'!$R$2:$R$4001,$AD73,'All Donations'!$T$2:$T$4001,X$1))</f>
        <v/>
      </c>
      <c r="Y73" s="49">
        <f>IF(OR($AE73&lt;&gt;1,Y$1=""),"",SUMIFS('All Donations'!$S$2:$S$4001,'All Donations'!$R$2:$R$4001,$AD73,'All Donations'!$T$2:$T$4001,Y$1))</f>
        <v/>
      </c>
      <c r="Z73" s="49">
        <f>IF(OR($AE73&lt;&gt;1,Z$1=""),"",SUMIFS('All Donations'!$S$2:$S$4001,'All Donations'!$R$2:$R$4001,$AD73,'All Donations'!$T$2:$T$4001,Z$1))</f>
        <v/>
      </c>
      <c r="AA73" s="49">
        <f>IF(OR($AE73&lt;&gt;1,AA$1=""),"",SUMIFS('All Donations'!$S$2:$S$4001,'All Donations'!$R$2:$R$4001,$AD73,'All Donations'!$T$2:$T$4001,AA$1))</f>
        <v/>
      </c>
      <c r="AB73" s="49">
        <f>IF(OR($AE73&lt;&gt;1,AB$1=""),"",SUMIFS('All Donations'!$S$2:$S$4001,'All Donations'!$R$2:$R$4001,$AD73,'All Donations'!$T$2:$T$4001,AB$1))</f>
        <v/>
      </c>
      <c r="AC73" s="49">
        <f>IF(OR($AE73&lt;&gt;1,AC$1=""),"",SUMIFS('All Donations'!$S$2:$S$4001,'All Donations'!$R$2:$R$4001,$AD73,'All Donations'!$T$2:$T$4001,AC$1))</f>
        <v/>
      </c>
      <c r="AD73">
        <f>IF(AE73=1,'Roster'!A73,"")</f>
        <v/>
      </c>
      <c r="AE73">
        <f>IF(TRIM('Roster'!B73&amp;'Roster'!C73)&lt;&gt;"",1,0)</f>
        <v/>
      </c>
      <c r="AF73">
        <f>IF(AE73=1,LOWER(A73),"#")</f>
        <v/>
      </c>
      <c r="AG73">
        <f>IF(AE73=1,LOWER(TRIM(TRIM('Roster'!C73)&amp;", "&amp;TRIM('Roster'!B73))),"#")</f>
        <v/>
      </c>
      <c r="AH73">
        <f>IF(AND(AE73=1,TRIM('Roster'!F73)&lt;&gt;""),LOWER(TRIM('Roster'!F73)),"#")</f>
        <v/>
      </c>
      <c r="AI73">
        <f>IF(AE73=1,IF(MATCH(B73,$B$2:$B$701,0)=ROW()-1,1,0),0)</f>
        <v/>
      </c>
      <c r="AJ73">
        <f>AJ72+AI73</f>
        <v/>
      </c>
      <c r="AK73">
        <f>IF(AE73=1,D73+(1000-ROW())/10^7,-1)</f>
        <v/>
      </c>
      <c r="AL73">
        <f>IF(AE73=1,TRIM('Roster'!B73)&amp;" "&amp;LEFT(TRIM('Roster'!C73),1)&amp;".","")</f>
        <v/>
      </c>
      <c r="AM73">
        <f>IF(AE73=1,TRIM('Roster'!C73)&amp;", "&amp;TRIM('Roster'!B73)&amp;" ("&amp;B73&amp;") #"&amp;AD73,"")</f>
        <v/>
      </c>
      <c r="AN73">
        <f>IF(AE73=1,TRIM('Roster'!E73),"")</f>
        <v/>
      </c>
      <c r="AO73">
        <f>IF(AE73=1,ROUND(SUMIFS('All Donations'!$S$2:$S$4001,'All Donations'!$R$2:$R$4001,AD73,'All Donations'!$T$2:$T$4001,"&gt;="&amp;'Settings'!$C$23,'All Donations'!$T$2:$T$4001,"&lt;="&amp;'Settings'!$D$23),2),0)</f>
        <v/>
      </c>
      <c r="AQ73">
        <f>IF(AE73=1,ROUND(SUMIFS('All Donations'!$S$2:$S$4001,'All Donations'!$R$2:$R$4001,AD73,'All Donations'!$T$2:$T$4001,"&gt;="&amp;'Settings'!$C$25,'All Donations'!$T$2:$T$4001,"&lt;="&amp;'Settings'!$D$25),2),0)</f>
        <v/>
      </c>
      <c r="AR73">
        <f>IF(AE73=1,ROUND(SUMIFS('All Donations'!$S$2:$S$4001,'All Donations'!$R$2:$R$4001,AD73,'All Donations'!$T$2:$T$4001,"&gt;="&amp;'Settings'!$C$26,'All Donations'!$T$2:$T$4001,"&lt;="&amp;'Settings'!$D$26),2),0)</f>
        <v/>
      </c>
      <c r="AS73">
        <f>IF(AE73=1,ROUND(SUMIFS('All Donations'!$S$2:$S$4001,'All Donations'!$R$2:$R$4001,AD73,'All Donations'!$T$2:$T$4001,"&lt;="&amp;'Settings'!$D$27),2),0)</f>
        <v/>
      </c>
      <c r="AT73">
        <f>IF(AE73=1,ROUND(SUMIFS('All Donations'!$S$2:$S$4001,'All Donations'!$R$2:$R$4001,AD73,'All Donations'!$T$2:$T$4001,"&gt;="&amp;'Settings'!$C$28,'All Donations'!$T$2:$T$4001,"&lt;="&amp;'Settings'!$D$28),2),0)</f>
        <v/>
      </c>
      <c r="AU73">
        <f>IF(AE73=1,ROUND(SUMIFS('All Donations'!$S$2:$S$4001,'All Donations'!$R$2:$R$4001,AD73,'All Donations'!$T$2:$T$4001,"&gt;="&amp;'Settings'!$C$29,'All Donations'!$T$2:$T$4001,"&lt;="&amp;'Settings'!$D$29),2),0)</f>
        <v/>
      </c>
      <c r="AV73">
        <f>IF(AE73=1,ROUND(SUMIFS('All Donations'!$S$2:$S$4001,'All Donations'!$R$2:$R$4001,AD73,'All Donations'!$T$2:$T$4001,"&lt;="&amp;'Settings'!$D$30),2),0)</f>
        <v/>
      </c>
      <c r="AZ73">
        <f>IF(AE73=1,ROUND(SUMIFS('All Donations'!$S$2:$S$4001,'All Donations'!$R$2:$R$4001,AD73,'All Donations'!$T$2:$T$4001,"&lt;="&amp;'Settings'!$D$34),2),0)</f>
        <v/>
      </c>
    </row>
    <row r="74">
      <c r="A74">
        <f>IF(AE74=1,TRIM(TRIM('Roster'!B74)&amp;" "&amp;TRIM('Roster'!C74)),"")</f>
        <v/>
      </c>
      <c r="B74">
        <f>IF(AE74=1,IF(AN74="","(no teacher)",AN74&amp;" – "&amp;C74),"")</f>
        <v/>
      </c>
      <c r="C74">
        <f>IF(AE74=1,TRIM('Roster'!D74&amp;""),"")</f>
        <v/>
      </c>
      <c r="D74" s="48">
        <f>IF(AE74=1,ROUND(SUMIFS('All Donations'!$S$2:$S$4001,'All Donations'!$R$2:$R$4001,AD74),2),"")</f>
        <v/>
      </c>
      <c r="E74" s="48">
        <f>IF(AE74=1,ROUND(SUMIFS('All Donations'!$S$2:$S$4001,'All Donations'!$R$2:$R$4001,AD74,'All Donations'!$G$2:$G$4001,"OneCause"),2),"")</f>
        <v/>
      </c>
      <c r="F74" s="48">
        <f>IF(AE74=1,D74-E74,"")</f>
        <v/>
      </c>
      <c r="G74">
        <f>IF(AE74=1,COUNTIFS('All Donations'!$R$2:$R$4001,AD74,'All Donations'!$H$2:$H$4001,"OK"),"")</f>
        <v/>
      </c>
      <c r="H74">
        <f>IF(AE74&lt;&gt;1,"",IF(D74&gt;0,"Yes",""))</f>
        <v/>
      </c>
      <c r="I74" s="49">
        <f>IF(OR($AE74&lt;&gt;1,I$1=""),"",SUMIFS('All Donations'!$S$2:$S$4001,'All Donations'!$R$2:$R$4001,$AD74,'All Donations'!$T$2:$T$4001,I$1))</f>
        <v/>
      </c>
      <c r="J74" s="49">
        <f>IF(OR($AE74&lt;&gt;1,J$1=""),"",SUMIFS('All Donations'!$S$2:$S$4001,'All Donations'!$R$2:$R$4001,$AD74,'All Donations'!$T$2:$T$4001,J$1))</f>
        <v/>
      </c>
      <c r="K74" s="49">
        <f>IF(OR($AE74&lt;&gt;1,K$1=""),"",SUMIFS('All Donations'!$S$2:$S$4001,'All Donations'!$R$2:$R$4001,$AD74,'All Donations'!$T$2:$T$4001,K$1))</f>
        <v/>
      </c>
      <c r="L74" s="49">
        <f>IF(OR($AE74&lt;&gt;1,L$1=""),"",SUMIFS('All Donations'!$S$2:$S$4001,'All Donations'!$R$2:$R$4001,$AD74,'All Donations'!$T$2:$T$4001,L$1))</f>
        <v/>
      </c>
      <c r="M74" s="49">
        <f>IF(OR($AE74&lt;&gt;1,M$1=""),"",SUMIFS('All Donations'!$S$2:$S$4001,'All Donations'!$R$2:$R$4001,$AD74,'All Donations'!$T$2:$T$4001,M$1))</f>
        <v/>
      </c>
      <c r="N74" s="49">
        <f>IF(OR($AE74&lt;&gt;1,N$1=""),"",SUMIFS('All Donations'!$S$2:$S$4001,'All Donations'!$R$2:$R$4001,$AD74,'All Donations'!$T$2:$T$4001,N$1))</f>
        <v/>
      </c>
      <c r="O74" s="49">
        <f>IF(OR($AE74&lt;&gt;1,O$1=""),"",SUMIFS('All Donations'!$S$2:$S$4001,'All Donations'!$R$2:$R$4001,$AD74,'All Donations'!$T$2:$T$4001,O$1))</f>
        <v/>
      </c>
      <c r="P74" s="49">
        <f>IF(OR($AE74&lt;&gt;1,P$1=""),"",SUMIFS('All Donations'!$S$2:$S$4001,'All Donations'!$R$2:$R$4001,$AD74,'All Donations'!$T$2:$T$4001,P$1))</f>
        <v/>
      </c>
      <c r="Q74" s="49">
        <f>IF(OR($AE74&lt;&gt;1,Q$1=""),"",SUMIFS('All Donations'!$S$2:$S$4001,'All Donations'!$R$2:$R$4001,$AD74,'All Donations'!$T$2:$T$4001,Q$1))</f>
        <v/>
      </c>
      <c r="R74" s="49">
        <f>IF(OR($AE74&lt;&gt;1,R$1=""),"",SUMIFS('All Donations'!$S$2:$S$4001,'All Donations'!$R$2:$R$4001,$AD74,'All Donations'!$T$2:$T$4001,R$1))</f>
        <v/>
      </c>
      <c r="S74" s="49">
        <f>IF(OR($AE74&lt;&gt;1,S$1=""),"",SUMIFS('All Donations'!$S$2:$S$4001,'All Donations'!$R$2:$R$4001,$AD74,'All Donations'!$T$2:$T$4001,S$1))</f>
        <v/>
      </c>
      <c r="T74" s="49">
        <f>IF(OR($AE74&lt;&gt;1,T$1=""),"",SUMIFS('All Donations'!$S$2:$S$4001,'All Donations'!$R$2:$R$4001,$AD74,'All Donations'!$T$2:$T$4001,T$1))</f>
        <v/>
      </c>
      <c r="U74" s="49">
        <f>IF(OR($AE74&lt;&gt;1,U$1=""),"",SUMIFS('All Donations'!$S$2:$S$4001,'All Donations'!$R$2:$R$4001,$AD74,'All Donations'!$T$2:$T$4001,U$1))</f>
        <v/>
      </c>
      <c r="V74" s="49">
        <f>IF(OR($AE74&lt;&gt;1,V$1=""),"",SUMIFS('All Donations'!$S$2:$S$4001,'All Donations'!$R$2:$R$4001,$AD74,'All Donations'!$T$2:$T$4001,V$1))</f>
        <v/>
      </c>
      <c r="W74" s="49">
        <f>IF(OR($AE74&lt;&gt;1,W$1=""),"",SUMIFS('All Donations'!$S$2:$S$4001,'All Donations'!$R$2:$R$4001,$AD74,'All Donations'!$T$2:$T$4001,W$1))</f>
        <v/>
      </c>
      <c r="X74" s="49">
        <f>IF(OR($AE74&lt;&gt;1,X$1=""),"",SUMIFS('All Donations'!$S$2:$S$4001,'All Donations'!$R$2:$R$4001,$AD74,'All Donations'!$T$2:$T$4001,X$1))</f>
        <v/>
      </c>
      <c r="Y74" s="49">
        <f>IF(OR($AE74&lt;&gt;1,Y$1=""),"",SUMIFS('All Donations'!$S$2:$S$4001,'All Donations'!$R$2:$R$4001,$AD74,'All Donations'!$T$2:$T$4001,Y$1))</f>
        <v/>
      </c>
      <c r="Z74" s="49">
        <f>IF(OR($AE74&lt;&gt;1,Z$1=""),"",SUMIFS('All Donations'!$S$2:$S$4001,'All Donations'!$R$2:$R$4001,$AD74,'All Donations'!$T$2:$T$4001,Z$1))</f>
        <v/>
      </c>
      <c r="AA74" s="49">
        <f>IF(OR($AE74&lt;&gt;1,AA$1=""),"",SUMIFS('All Donations'!$S$2:$S$4001,'All Donations'!$R$2:$R$4001,$AD74,'All Donations'!$T$2:$T$4001,AA$1))</f>
        <v/>
      </c>
      <c r="AB74" s="49">
        <f>IF(OR($AE74&lt;&gt;1,AB$1=""),"",SUMIFS('All Donations'!$S$2:$S$4001,'All Donations'!$R$2:$R$4001,$AD74,'All Donations'!$T$2:$T$4001,AB$1))</f>
        <v/>
      </c>
      <c r="AC74" s="49">
        <f>IF(OR($AE74&lt;&gt;1,AC$1=""),"",SUMIFS('All Donations'!$S$2:$S$4001,'All Donations'!$R$2:$R$4001,$AD74,'All Donations'!$T$2:$T$4001,AC$1))</f>
        <v/>
      </c>
      <c r="AD74">
        <f>IF(AE74=1,'Roster'!A74,"")</f>
        <v/>
      </c>
      <c r="AE74">
        <f>IF(TRIM('Roster'!B74&amp;'Roster'!C74)&lt;&gt;"",1,0)</f>
        <v/>
      </c>
      <c r="AF74">
        <f>IF(AE74=1,LOWER(A74),"#")</f>
        <v/>
      </c>
      <c r="AG74">
        <f>IF(AE74=1,LOWER(TRIM(TRIM('Roster'!C74)&amp;", "&amp;TRIM('Roster'!B74))),"#")</f>
        <v/>
      </c>
      <c r="AH74">
        <f>IF(AND(AE74=1,TRIM('Roster'!F74)&lt;&gt;""),LOWER(TRIM('Roster'!F74)),"#")</f>
        <v/>
      </c>
      <c r="AI74">
        <f>IF(AE74=1,IF(MATCH(B74,$B$2:$B$701,0)=ROW()-1,1,0),0)</f>
        <v/>
      </c>
      <c r="AJ74">
        <f>AJ73+AI74</f>
        <v/>
      </c>
      <c r="AK74">
        <f>IF(AE74=1,D74+(1000-ROW())/10^7,-1)</f>
        <v/>
      </c>
      <c r="AL74">
        <f>IF(AE74=1,TRIM('Roster'!B74)&amp;" "&amp;LEFT(TRIM('Roster'!C74),1)&amp;".","")</f>
        <v/>
      </c>
      <c r="AM74">
        <f>IF(AE74=1,TRIM('Roster'!C74)&amp;", "&amp;TRIM('Roster'!B74)&amp;" ("&amp;B74&amp;") #"&amp;AD74,"")</f>
        <v/>
      </c>
      <c r="AN74">
        <f>IF(AE74=1,TRIM('Roster'!E74),"")</f>
        <v/>
      </c>
      <c r="AO74">
        <f>IF(AE74=1,ROUND(SUMIFS('All Donations'!$S$2:$S$4001,'All Donations'!$R$2:$R$4001,AD74,'All Donations'!$T$2:$T$4001,"&gt;="&amp;'Settings'!$C$23,'All Donations'!$T$2:$T$4001,"&lt;="&amp;'Settings'!$D$23),2),0)</f>
        <v/>
      </c>
      <c r="AQ74">
        <f>IF(AE74=1,ROUND(SUMIFS('All Donations'!$S$2:$S$4001,'All Donations'!$R$2:$R$4001,AD74,'All Donations'!$T$2:$T$4001,"&gt;="&amp;'Settings'!$C$25,'All Donations'!$T$2:$T$4001,"&lt;="&amp;'Settings'!$D$25),2),0)</f>
        <v/>
      </c>
      <c r="AR74">
        <f>IF(AE74=1,ROUND(SUMIFS('All Donations'!$S$2:$S$4001,'All Donations'!$R$2:$R$4001,AD74,'All Donations'!$T$2:$T$4001,"&gt;="&amp;'Settings'!$C$26,'All Donations'!$T$2:$T$4001,"&lt;="&amp;'Settings'!$D$26),2),0)</f>
        <v/>
      </c>
      <c r="AS74">
        <f>IF(AE74=1,ROUND(SUMIFS('All Donations'!$S$2:$S$4001,'All Donations'!$R$2:$R$4001,AD74,'All Donations'!$T$2:$T$4001,"&lt;="&amp;'Settings'!$D$27),2),0)</f>
        <v/>
      </c>
      <c r="AT74">
        <f>IF(AE74=1,ROUND(SUMIFS('All Donations'!$S$2:$S$4001,'All Donations'!$R$2:$R$4001,AD74,'All Donations'!$T$2:$T$4001,"&gt;="&amp;'Settings'!$C$28,'All Donations'!$T$2:$T$4001,"&lt;="&amp;'Settings'!$D$28),2),0)</f>
        <v/>
      </c>
      <c r="AU74">
        <f>IF(AE74=1,ROUND(SUMIFS('All Donations'!$S$2:$S$4001,'All Donations'!$R$2:$R$4001,AD74,'All Donations'!$T$2:$T$4001,"&gt;="&amp;'Settings'!$C$29,'All Donations'!$T$2:$T$4001,"&lt;="&amp;'Settings'!$D$29),2),0)</f>
        <v/>
      </c>
      <c r="AV74">
        <f>IF(AE74=1,ROUND(SUMIFS('All Donations'!$S$2:$S$4001,'All Donations'!$R$2:$R$4001,AD74,'All Donations'!$T$2:$T$4001,"&lt;="&amp;'Settings'!$D$30),2),0)</f>
        <v/>
      </c>
      <c r="AZ74">
        <f>IF(AE74=1,ROUND(SUMIFS('All Donations'!$S$2:$S$4001,'All Donations'!$R$2:$R$4001,AD74,'All Donations'!$T$2:$T$4001,"&lt;="&amp;'Settings'!$D$34),2),0)</f>
        <v/>
      </c>
    </row>
    <row r="75">
      <c r="A75">
        <f>IF(AE75=1,TRIM(TRIM('Roster'!B75)&amp;" "&amp;TRIM('Roster'!C75)),"")</f>
        <v/>
      </c>
      <c r="B75">
        <f>IF(AE75=1,IF(AN75="","(no teacher)",AN75&amp;" – "&amp;C75),"")</f>
        <v/>
      </c>
      <c r="C75">
        <f>IF(AE75=1,TRIM('Roster'!D75&amp;""),"")</f>
        <v/>
      </c>
      <c r="D75" s="48">
        <f>IF(AE75=1,ROUND(SUMIFS('All Donations'!$S$2:$S$4001,'All Donations'!$R$2:$R$4001,AD75),2),"")</f>
        <v/>
      </c>
      <c r="E75" s="48">
        <f>IF(AE75=1,ROUND(SUMIFS('All Donations'!$S$2:$S$4001,'All Donations'!$R$2:$R$4001,AD75,'All Donations'!$G$2:$G$4001,"OneCause"),2),"")</f>
        <v/>
      </c>
      <c r="F75" s="48">
        <f>IF(AE75=1,D75-E75,"")</f>
        <v/>
      </c>
      <c r="G75">
        <f>IF(AE75=1,COUNTIFS('All Donations'!$R$2:$R$4001,AD75,'All Donations'!$H$2:$H$4001,"OK"),"")</f>
        <v/>
      </c>
      <c r="H75">
        <f>IF(AE75&lt;&gt;1,"",IF(D75&gt;0,"Yes",""))</f>
        <v/>
      </c>
      <c r="I75" s="49">
        <f>IF(OR($AE75&lt;&gt;1,I$1=""),"",SUMIFS('All Donations'!$S$2:$S$4001,'All Donations'!$R$2:$R$4001,$AD75,'All Donations'!$T$2:$T$4001,I$1))</f>
        <v/>
      </c>
      <c r="J75" s="49">
        <f>IF(OR($AE75&lt;&gt;1,J$1=""),"",SUMIFS('All Donations'!$S$2:$S$4001,'All Donations'!$R$2:$R$4001,$AD75,'All Donations'!$T$2:$T$4001,J$1))</f>
        <v/>
      </c>
      <c r="K75" s="49">
        <f>IF(OR($AE75&lt;&gt;1,K$1=""),"",SUMIFS('All Donations'!$S$2:$S$4001,'All Donations'!$R$2:$R$4001,$AD75,'All Donations'!$T$2:$T$4001,K$1))</f>
        <v/>
      </c>
      <c r="L75" s="49">
        <f>IF(OR($AE75&lt;&gt;1,L$1=""),"",SUMIFS('All Donations'!$S$2:$S$4001,'All Donations'!$R$2:$R$4001,$AD75,'All Donations'!$T$2:$T$4001,L$1))</f>
        <v/>
      </c>
      <c r="M75" s="49">
        <f>IF(OR($AE75&lt;&gt;1,M$1=""),"",SUMIFS('All Donations'!$S$2:$S$4001,'All Donations'!$R$2:$R$4001,$AD75,'All Donations'!$T$2:$T$4001,M$1))</f>
        <v/>
      </c>
      <c r="N75" s="49">
        <f>IF(OR($AE75&lt;&gt;1,N$1=""),"",SUMIFS('All Donations'!$S$2:$S$4001,'All Donations'!$R$2:$R$4001,$AD75,'All Donations'!$T$2:$T$4001,N$1))</f>
        <v/>
      </c>
      <c r="O75" s="49">
        <f>IF(OR($AE75&lt;&gt;1,O$1=""),"",SUMIFS('All Donations'!$S$2:$S$4001,'All Donations'!$R$2:$R$4001,$AD75,'All Donations'!$T$2:$T$4001,O$1))</f>
        <v/>
      </c>
      <c r="P75" s="49">
        <f>IF(OR($AE75&lt;&gt;1,P$1=""),"",SUMIFS('All Donations'!$S$2:$S$4001,'All Donations'!$R$2:$R$4001,$AD75,'All Donations'!$T$2:$T$4001,P$1))</f>
        <v/>
      </c>
      <c r="Q75" s="49">
        <f>IF(OR($AE75&lt;&gt;1,Q$1=""),"",SUMIFS('All Donations'!$S$2:$S$4001,'All Donations'!$R$2:$R$4001,$AD75,'All Donations'!$T$2:$T$4001,Q$1))</f>
        <v/>
      </c>
      <c r="R75" s="49">
        <f>IF(OR($AE75&lt;&gt;1,R$1=""),"",SUMIFS('All Donations'!$S$2:$S$4001,'All Donations'!$R$2:$R$4001,$AD75,'All Donations'!$T$2:$T$4001,R$1))</f>
        <v/>
      </c>
      <c r="S75" s="49">
        <f>IF(OR($AE75&lt;&gt;1,S$1=""),"",SUMIFS('All Donations'!$S$2:$S$4001,'All Donations'!$R$2:$R$4001,$AD75,'All Donations'!$T$2:$T$4001,S$1))</f>
        <v/>
      </c>
      <c r="T75" s="49">
        <f>IF(OR($AE75&lt;&gt;1,T$1=""),"",SUMIFS('All Donations'!$S$2:$S$4001,'All Donations'!$R$2:$R$4001,$AD75,'All Donations'!$T$2:$T$4001,T$1))</f>
        <v/>
      </c>
      <c r="U75" s="49">
        <f>IF(OR($AE75&lt;&gt;1,U$1=""),"",SUMIFS('All Donations'!$S$2:$S$4001,'All Donations'!$R$2:$R$4001,$AD75,'All Donations'!$T$2:$T$4001,U$1))</f>
        <v/>
      </c>
      <c r="V75" s="49">
        <f>IF(OR($AE75&lt;&gt;1,V$1=""),"",SUMIFS('All Donations'!$S$2:$S$4001,'All Donations'!$R$2:$R$4001,$AD75,'All Donations'!$T$2:$T$4001,V$1))</f>
        <v/>
      </c>
      <c r="W75" s="49">
        <f>IF(OR($AE75&lt;&gt;1,W$1=""),"",SUMIFS('All Donations'!$S$2:$S$4001,'All Donations'!$R$2:$R$4001,$AD75,'All Donations'!$T$2:$T$4001,W$1))</f>
        <v/>
      </c>
      <c r="X75" s="49">
        <f>IF(OR($AE75&lt;&gt;1,X$1=""),"",SUMIFS('All Donations'!$S$2:$S$4001,'All Donations'!$R$2:$R$4001,$AD75,'All Donations'!$T$2:$T$4001,X$1))</f>
        <v/>
      </c>
      <c r="Y75" s="49">
        <f>IF(OR($AE75&lt;&gt;1,Y$1=""),"",SUMIFS('All Donations'!$S$2:$S$4001,'All Donations'!$R$2:$R$4001,$AD75,'All Donations'!$T$2:$T$4001,Y$1))</f>
        <v/>
      </c>
      <c r="Z75" s="49">
        <f>IF(OR($AE75&lt;&gt;1,Z$1=""),"",SUMIFS('All Donations'!$S$2:$S$4001,'All Donations'!$R$2:$R$4001,$AD75,'All Donations'!$T$2:$T$4001,Z$1))</f>
        <v/>
      </c>
      <c r="AA75" s="49">
        <f>IF(OR($AE75&lt;&gt;1,AA$1=""),"",SUMIFS('All Donations'!$S$2:$S$4001,'All Donations'!$R$2:$R$4001,$AD75,'All Donations'!$T$2:$T$4001,AA$1))</f>
        <v/>
      </c>
      <c r="AB75" s="49">
        <f>IF(OR($AE75&lt;&gt;1,AB$1=""),"",SUMIFS('All Donations'!$S$2:$S$4001,'All Donations'!$R$2:$R$4001,$AD75,'All Donations'!$T$2:$T$4001,AB$1))</f>
        <v/>
      </c>
      <c r="AC75" s="49">
        <f>IF(OR($AE75&lt;&gt;1,AC$1=""),"",SUMIFS('All Donations'!$S$2:$S$4001,'All Donations'!$R$2:$R$4001,$AD75,'All Donations'!$T$2:$T$4001,AC$1))</f>
        <v/>
      </c>
      <c r="AD75">
        <f>IF(AE75=1,'Roster'!A75,"")</f>
        <v/>
      </c>
      <c r="AE75">
        <f>IF(TRIM('Roster'!B75&amp;'Roster'!C75)&lt;&gt;"",1,0)</f>
        <v/>
      </c>
      <c r="AF75">
        <f>IF(AE75=1,LOWER(A75),"#")</f>
        <v/>
      </c>
      <c r="AG75">
        <f>IF(AE75=1,LOWER(TRIM(TRIM('Roster'!C75)&amp;", "&amp;TRIM('Roster'!B75))),"#")</f>
        <v/>
      </c>
      <c r="AH75">
        <f>IF(AND(AE75=1,TRIM('Roster'!F75)&lt;&gt;""),LOWER(TRIM('Roster'!F75)),"#")</f>
        <v/>
      </c>
      <c r="AI75">
        <f>IF(AE75=1,IF(MATCH(B75,$B$2:$B$701,0)=ROW()-1,1,0),0)</f>
        <v/>
      </c>
      <c r="AJ75">
        <f>AJ74+AI75</f>
        <v/>
      </c>
      <c r="AK75">
        <f>IF(AE75=1,D75+(1000-ROW())/10^7,-1)</f>
        <v/>
      </c>
      <c r="AL75">
        <f>IF(AE75=1,TRIM('Roster'!B75)&amp;" "&amp;LEFT(TRIM('Roster'!C75),1)&amp;".","")</f>
        <v/>
      </c>
      <c r="AM75">
        <f>IF(AE75=1,TRIM('Roster'!C75)&amp;", "&amp;TRIM('Roster'!B75)&amp;" ("&amp;B75&amp;") #"&amp;AD75,"")</f>
        <v/>
      </c>
      <c r="AN75">
        <f>IF(AE75=1,TRIM('Roster'!E75),"")</f>
        <v/>
      </c>
      <c r="AO75">
        <f>IF(AE75=1,ROUND(SUMIFS('All Donations'!$S$2:$S$4001,'All Donations'!$R$2:$R$4001,AD75,'All Donations'!$T$2:$T$4001,"&gt;="&amp;'Settings'!$C$23,'All Donations'!$T$2:$T$4001,"&lt;="&amp;'Settings'!$D$23),2),0)</f>
        <v/>
      </c>
      <c r="AQ75">
        <f>IF(AE75=1,ROUND(SUMIFS('All Donations'!$S$2:$S$4001,'All Donations'!$R$2:$R$4001,AD75,'All Donations'!$T$2:$T$4001,"&gt;="&amp;'Settings'!$C$25,'All Donations'!$T$2:$T$4001,"&lt;="&amp;'Settings'!$D$25),2),0)</f>
        <v/>
      </c>
      <c r="AR75">
        <f>IF(AE75=1,ROUND(SUMIFS('All Donations'!$S$2:$S$4001,'All Donations'!$R$2:$R$4001,AD75,'All Donations'!$T$2:$T$4001,"&gt;="&amp;'Settings'!$C$26,'All Donations'!$T$2:$T$4001,"&lt;="&amp;'Settings'!$D$26),2),0)</f>
        <v/>
      </c>
      <c r="AS75">
        <f>IF(AE75=1,ROUND(SUMIFS('All Donations'!$S$2:$S$4001,'All Donations'!$R$2:$R$4001,AD75,'All Donations'!$T$2:$T$4001,"&lt;="&amp;'Settings'!$D$27),2),0)</f>
        <v/>
      </c>
      <c r="AT75">
        <f>IF(AE75=1,ROUND(SUMIFS('All Donations'!$S$2:$S$4001,'All Donations'!$R$2:$R$4001,AD75,'All Donations'!$T$2:$T$4001,"&gt;="&amp;'Settings'!$C$28,'All Donations'!$T$2:$T$4001,"&lt;="&amp;'Settings'!$D$28),2),0)</f>
        <v/>
      </c>
      <c r="AU75">
        <f>IF(AE75=1,ROUND(SUMIFS('All Donations'!$S$2:$S$4001,'All Donations'!$R$2:$R$4001,AD75,'All Donations'!$T$2:$T$4001,"&gt;="&amp;'Settings'!$C$29,'All Donations'!$T$2:$T$4001,"&lt;="&amp;'Settings'!$D$29),2),0)</f>
        <v/>
      </c>
      <c r="AV75">
        <f>IF(AE75=1,ROUND(SUMIFS('All Donations'!$S$2:$S$4001,'All Donations'!$R$2:$R$4001,AD75,'All Donations'!$T$2:$T$4001,"&lt;="&amp;'Settings'!$D$30),2),0)</f>
        <v/>
      </c>
      <c r="AZ75">
        <f>IF(AE75=1,ROUND(SUMIFS('All Donations'!$S$2:$S$4001,'All Donations'!$R$2:$R$4001,AD75,'All Donations'!$T$2:$T$4001,"&lt;="&amp;'Settings'!$D$34),2),0)</f>
        <v/>
      </c>
    </row>
    <row r="76">
      <c r="A76">
        <f>IF(AE76=1,TRIM(TRIM('Roster'!B76)&amp;" "&amp;TRIM('Roster'!C76)),"")</f>
        <v/>
      </c>
      <c r="B76">
        <f>IF(AE76=1,IF(AN76="","(no teacher)",AN76&amp;" – "&amp;C76),"")</f>
        <v/>
      </c>
      <c r="C76">
        <f>IF(AE76=1,TRIM('Roster'!D76&amp;""),"")</f>
        <v/>
      </c>
      <c r="D76" s="48">
        <f>IF(AE76=1,ROUND(SUMIFS('All Donations'!$S$2:$S$4001,'All Donations'!$R$2:$R$4001,AD76),2),"")</f>
        <v/>
      </c>
      <c r="E76" s="48">
        <f>IF(AE76=1,ROUND(SUMIFS('All Donations'!$S$2:$S$4001,'All Donations'!$R$2:$R$4001,AD76,'All Donations'!$G$2:$G$4001,"OneCause"),2),"")</f>
        <v/>
      </c>
      <c r="F76" s="48">
        <f>IF(AE76=1,D76-E76,"")</f>
        <v/>
      </c>
      <c r="G76">
        <f>IF(AE76=1,COUNTIFS('All Donations'!$R$2:$R$4001,AD76,'All Donations'!$H$2:$H$4001,"OK"),"")</f>
        <v/>
      </c>
      <c r="H76">
        <f>IF(AE76&lt;&gt;1,"",IF(D76&gt;0,"Yes",""))</f>
        <v/>
      </c>
      <c r="I76" s="49">
        <f>IF(OR($AE76&lt;&gt;1,I$1=""),"",SUMIFS('All Donations'!$S$2:$S$4001,'All Donations'!$R$2:$R$4001,$AD76,'All Donations'!$T$2:$T$4001,I$1))</f>
        <v/>
      </c>
      <c r="J76" s="49">
        <f>IF(OR($AE76&lt;&gt;1,J$1=""),"",SUMIFS('All Donations'!$S$2:$S$4001,'All Donations'!$R$2:$R$4001,$AD76,'All Donations'!$T$2:$T$4001,J$1))</f>
        <v/>
      </c>
      <c r="K76" s="49">
        <f>IF(OR($AE76&lt;&gt;1,K$1=""),"",SUMIFS('All Donations'!$S$2:$S$4001,'All Donations'!$R$2:$R$4001,$AD76,'All Donations'!$T$2:$T$4001,K$1))</f>
        <v/>
      </c>
      <c r="L76" s="49">
        <f>IF(OR($AE76&lt;&gt;1,L$1=""),"",SUMIFS('All Donations'!$S$2:$S$4001,'All Donations'!$R$2:$R$4001,$AD76,'All Donations'!$T$2:$T$4001,L$1))</f>
        <v/>
      </c>
      <c r="M76" s="49">
        <f>IF(OR($AE76&lt;&gt;1,M$1=""),"",SUMIFS('All Donations'!$S$2:$S$4001,'All Donations'!$R$2:$R$4001,$AD76,'All Donations'!$T$2:$T$4001,M$1))</f>
        <v/>
      </c>
      <c r="N76" s="49">
        <f>IF(OR($AE76&lt;&gt;1,N$1=""),"",SUMIFS('All Donations'!$S$2:$S$4001,'All Donations'!$R$2:$R$4001,$AD76,'All Donations'!$T$2:$T$4001,N$1))</f>
        <v/>
      </c>
      <c r="O76" s="49">
        <f>IF(OR($AE76&lt;&gt;1,O$1=""),"",SUMIFS('All Donations'!$S$2:$S$4001,'All Donations'!$R$2:$R$4001,$AD76,'All Donations'!$T$2:$T$4001,O$1))</f>
        <v/>
      </c>
      <c r="P76" s="49">
        <f>IF(OR($AE76&lt;&gt;1,P$1=""),"",SUMIFS('All Donations'!$S$2:$S$4001,'All Donations'!$R$2:$R$4001,$AD76,'All Donations'!$T$2:$T$4001,P$1))</f>
        <v/>
      </c>
      <c r="Q76" s="49">
        <f>IF(OR($AE76&lt;&gt;1,Q$1=""),"",SUMIFS('All Donations'!$S$2:$S$4001,'All Donations'!$R$2:$R$4001,$AD76,'All Donations'!$T$2:$T$4001,Q$1))</f>
        <v/>
      </c>
      <c r="R76" s="49">
        <f>IF(OR($AE76&lt;&gt;1,R$1=""),"",SUMIFS('All Donations'!$S$2:$S$4001,'All Donations'!$R$2:$R$4001,$AD76,'All Donations'!$T$2:$T$4001,R$1))</f>
        <v/>
      </c>
      <c r="S76" s="49">
        <f>IF(OR($AE76&lt;&gt;1,S$1=""),"",SUMIFS('All Donations'!$S$2:$S$4001,'All Donations'!$R$2:$R$4001,$AD76,'All Donations'!$T$2:$T$4001,S$1))</f>
        <v/>
      </c>
      <c r="T76" s="49">
        <f>IF(OR($AE76&lt;&gt;1,T$1=""),"",SUMIFS('All Donations'!$S$2:$S$4001,'All Donations'!$R$2:$R$4001,$AD76,'All Donations'!$T$2:$T$4001,T$1))</f>
        <v/>
      </c>
      <c r="U76" s="49">
        <f>IF(OR($AE76&lt;&gt;1,U$1=""),"",SUMIFS('All Donations'!$S$2:$S$4001,'All Donations'!$R$2:$R$4001,$AD76,'All Donations'!$T$2:$T$4001,U$1))</f>
        <v/>
      </c>
      <c r="V76" s="49">
        <f>IF(OR($AE76&lt;&gt;1,V$1=""),"",SUMIFS('All Donations'!$S$2:$S$4001,'All Donations'!$R$2:$R$4001,$AD76,'All Donations'!$T$2:$T$4001,V$1))</f>
        <v/>
      </c>
      <c r="W76" s="49">
        <f>IF(OR($AE76&lt;&gt;1,W$1=""),"",SUMIFS('All Donations'!$S$2:$S$4001,'All Donations'!$R$2:$R$4001,$AD76,'All Donations'!$T$2:$T$4001,W$1))</f>
        <v/>
      </c>
      <c r="X76" s="49">
        <f>IF(OR($AE76&lt;&gt;1,X$1=""),"",SUMIFS('All Donations'!$S$2:$S$4001,'All Donations'!$R$2:$R$4001,$AD76,'All Donations'!$T$2:$T$4001,X$1))</f>
        <v/>
      </c>
      <c r="Y76" s="49">
        <f>IF(OR($AE76&lt;&gt;1,Y$1=""),"",SUMIFS('All Donations'!$S$2:$S$4001,'All Donations'!$R$2:$R$4001,$AD76,'All Donations'!$T$2:$T$4001,Y$1))</f>
        <v/>
      </c>
      <c r="Z76" s="49">
        <f>IF(OR($AE76&lt;&gt;1,Z$1=""),"",SUMIFS('All Donations'!$S$2:$S$4001,'All Donations'!$R$2:$R$4001,$AD76,'All Donations'!$T$2:$T$4001,Z$1))</f>
        <v/>
      </c>
      <c r="AA76" s="49">
        <f>IF(OR($AE76&lt;&gt;1,AA$1=""),"",SUMIFS('All Donations'!$S$2:$S$4001,'All Donations'!$R$2:$R$4001,$AD76,'All Donations'!$T$2:$T$4001,AA$1))</f>
        <v/>
      </c>
      <c r="AB76" s="49">
        <f>IF(OR($AE76&lt;&gt;1,AB$1=""),"",SUMIFS('All Donations'!$S$2:$S$4001,'All Donations'!$R$2:$R$4001,$AD76,'All Donations'!$T$2:$T$4001,AB$1))</f>
        <v/>
      </c>
      <c r="AC76" s="49">
        <f>IF(OR($AE76&lt;&gt;1,AC$1=""),"",SUMIFS('All Donations'!$S$2:$S$4001,'All Donations'!$R$2:$R$4001,$AD76,'All Donations'!$T$2:$T$4001,AC$1))</f>
        <v/>
      </c>
      <c r="AD76">
        <f>IF(AE76=1,'Roster'!A76,"")</f>
        <v/>
      </c>
      <c r="AE76">
        <f>IF(TRIM('Roster'!B76&amp;'Roster'!C76)&lt;&gt;"",1,0)</f>
        <v/>
      </c>
      <c r="AF76">
        <f>IF(AE76=1,LOWER(A76),"#")</f>
        <v/>
      </c>
      <c r="AG76">
        <f>IF(AE76=1,LOWER(TRIM(TRIM('Roster'!C76)&amp;", "&amp;TRIM('Roster'!B76))),"#")</f>
        <v/>
      </c>
      <c r="AH76">
        <f>IF(AND(AE76=1,TRIM('Roster'!F76)&lt;&gt;""),LOWER(TRIM('Roster'!F76)),"#")</f>
        <v/>
      </c>
      <c r="AI76">
        <f>IF(AE76=1,IF(MATCH(B76,$B$2:$B$701,0)=ROW()-1,1,0),0)</f>
        <v/>
      </c>
      <c r="AJ76">
        <f>AJ75+AI76</f>
        <v/>
      </c>
      <c r="AK76">
        <f>IF(AE76=1,D76+(1000-ROW())/10^7,-1)</f>
        <v/>
      </c>
      <c r="AL76">
        <f>IF(AE76=1,TRIM('Roster'!B76)&amp;" "&amp;LEFT(TRIM('Roster'!C76),1)&amp;".","")</f>
        <v/>
      </c>
      <c r="AM76">
        <f>IF(AE76=1,TRIM('Roster'!C76)&amp;", "&amp;TRIM('Roster'!B76)&amp;" ("&amp;B76&amp;") #"&amp;AD76,"")</f>
        <v/>
      </c>
      <c r="AN76">
        <f>IF(AE76=1,TRIM('Roster'!E76),"")</f>
        <v/>
      </c>
      <c r="AO76">
        <f>IF(AE76=1,ROUND(SUMIFS('All Donations'!$S$2:$S$4001,'All Donations'!$R$2:$R$4001,AD76,'All Donations'!$T$2:$T$4001,"&gt;="&amp;'Settings'!$C$23,'All Donations'!$T$2:$T$4001,"&lt;="&amp;'Settings'!$D$23),2),0)</f>
        <v/>
      </c>
      <c r="AQ76">
        <f>IF(AE76=1,ROUND(SUMIFS('All Donations'!$S$2:$S$4001,'All Donations'!$R$2:$R$4001,AD76,'All Donations'!$T$2:$T$4001,"&gt;="&amp;'Settings'!$C$25,'All Donations'!$T$2:$T$4001,"&lt;="&amp;'Settings'!$D$25),2),0)</f>
        <v/>
      </c>
      <c r="AR76">
        <f>IF(AE76=1,ROUND(SUMIFS('All Donations'!$S$2:$S$4001,'All Donations'!$R$2:$R$4001,AD76,'All Donations'!$T$2:$T$4001,"&gt;="&amp;'Settings'!$C$26,'All Donations'!$T$2:$T$4001,"&lt;="&amp;'Settings'!$D$26),2),0)</f>
        <v/>
      </c>
      <c r="AS76">
        <f>IF(AE76=1,ROUND(SUMIFS('All Donations'!$S$2:$S$4001,'All Donations'!$R$2:$R$4001,AD76,'All Donations'!$T$2:$T$4001,"&lt;="&amp;'Settings'!$D$27),2),0)</f>
        <v/>
      </c>
      <c r="AT76">
        <f>IF(AE76=1,ROUND(SUMIFS('All Donations'!$S$2:$S$4001,'All Donations'!$R$2:$R$4001,AD76,'All Donations'!$T$2:$T$4001,"&gt;="&amp;'Settings'!$C$28,'All Donations'!$T$2:$T$4001,"&lt;="&amp;'Settings'!$D$28),2),0)</f>
        <v/>
      </c>
      <c r="AU76">
        <f>IF(AE76=1,ROUND(SUMIFS('All Donations'!$S$2:$S$4001,'All Donations'!$R$2:$R$4001,AD76,'All Donations'!$T$2:$T$4001,"&gt;="&amp;'Settings'!$C$29,'All Donations'!$T$2:$T$4001,"&lt;="&amp;'Settings'!$D$29),2),0)</f>
        <v/>
      </c>
      <c r="AV76">
        <f>IF(AE76=1,ROUND(SUMIFS('All Donations'!$S$2:$S$4001,'All Donations'!$R$2:$R$4001,AD76,'All Donations'!$T$2:$T$4001,"&lt;="&amp;'Settings'!$D$30),2),0)</f>
        <v/>
      </c>
      <c r="AZ76">
        <f>IF(AE76=1,ROUND(SUMIFS('All Donations'!$S$2:$S$4001,'All Donations'!$R$2:$R$4001,AD76,'All Donations'!$T$2:$T$4001,"&lt;="&amp;'Settings'!$D$34),2),0)</f>
        <v/>
      </c>
    </row>
    <row r="77">
      <c r="A77">
        <f>IF(AE77=1,TRIM(TRIM('Roster'!B77)&amp;" "&amp;TRIM('Roster'!C77)),"")</f>
        <v/>
      </c>
      <c r="B77">
        <f>IF(AE77=1,IF(AN77="","(no teacher)",AN77&amp;" – "&amp;C77),"")</f>
        <v/>
      </c>
      <c r="C77">
        <f>IF(AE77=1,TRIM('Roster'!D77&amp;""),"")</f>
        <v/>
      </c>
      <c r="D77" s="48">
        <f>IF(AE77=1,ROUND(SUMIFS('All Donations'!$S$2:$S$4001,'All Donations'!$R$2:$R$4001,AD77),2),"")</f>
        <v/>
      </c>
      <c r="E77" s="48">
        <f>IF(AE77=1,ROUND(SUMIFS('All Donations'!$S$2:$S$4001,'All Donations'!$R$2:$R$4001,AD77,'All Donations'!$G$2:$G$4001,"OneCause"),2),"")</f>
        <v/>
      </c>
      <c r="F77" s="48">
        <f>IF(AE77=1,D77-E77,"")</f>
        <v/>
      </c>
      <c r="G77">
        <f>IF(AE77=1,COUNTIFS('All Donations'!$R$2:$R$4001,AD77,'All Donations'!$H$2:$H$4001,"OK"),"")</f>
        <v/>
      </c>
      <c r="H77">
        <f>IF(AE77&lt;&gt;1,"",IF(D77&gt;0,"Yes",""))</f>
        <v/>
      </c>
      <c r="I77" s="49">
        <f>IF(OR($AE77&lt;&gt;1,I$1=""),"",SUMIFS('All Donations'!$S$2:$S$4001,'All Donations'!$R$2:$R$4001,$AD77,'All Donations'!$T$2:$T$4001,I$1))</f>
        <v/>
      </c>
      <c r="J77" s="49">
        <f>IF(OR($AE77&lt;&gt;1,J$1=""),"",SUMIFS('All Donations'!$S$2:$S$4001,'All Donations'!$R$2:$R$4001,$AD77,'All Donations'!$T$2:$T$4001,J$1))</f>
        <v/>
      </c>
      <c r="K77" s="49">
        <f>IF(OR($AE77&lt;&gt;1,K$1=""),"",SUMIFS('All Donations'!$S$2:$S$4001,'All Donations'!$R$2:$R$4001,$AD77,'All Donations'!$T$2:$T$4001,K$1))</f>
        <v/>
      </c>
      <c r="L77" s="49">
        <f>IF(OR($AE77&lt;&gt;1,L$1=""),"",SUMIFS('All Donations'!$S$2:$S$4001,'All Donations'!$R$2:$R$4001,$AD77,'All Donations'!$T$2:$T$4001,L$1))</f>
        <v/>
      </c>
      <c r="M77" s="49">
        <f>IF(OR($AE77&lt;&gt;1,M$1=""),"",SUMIFS('All Donations'!$S$2:$S$4001,'All Donations'!$R$2:$R$4001,$AD77,'All Donations'!$T$2:$T$4001,M$1))</f>
        <v/>
      </c>
      <c r="N77" s="49">
        <f>IF(OR($AE77&lt;&gt;1,N$1=""),"",SUMIFS('All Donations'!$S$2:$S$4001,'All Donations'!$R$2:$R$4001,$AD77,'All Donations'!$T$2:$T$4001,N$1))</f>
        <v/>
      </c>
      <c r="O77" s="49">
        <f>IF(OR($AE77&lt;&gt;1,O$1=""),"",SUMIFS('All Donations'!$S$2:$S$4001,'All Donations'!$R$2:$R$4001,$AD77,'All Donations'!$T$2:$T$4001,O$1))</f>
        <v/>
      </c>
      <c r="P77" s="49">
        <f>IF(OR($AE77&lt;&gt;1,P$1=""),"",SUMIFS('All Donations'!$S$2:$S$4001,'All Donations'!$R$2:$R$4001,$AD77,'All Donations'!$T$2:$T$4001,P$1))</f>
        <v/>
      </c>
      <c r="Q77" s="49">
        <f>IF(OR($AE77&lt;&gt;1,Q$1=""),"",SUMIFS('All Donations'!$S$2:$S$4001,'All Donations'!$R$2:$R$4001,$AD77,'All Donations'!$T$2:$T$4001,Q$1))</f>
        <v/>
      </c>
      <c r="R77" s="49">
        <f>IF(OR($AE77&lt;&gt;1,R$1=""),"",SUMIFS('All Donations'!$S$2:$S$4001,'All Donations'!$R$2:$R$4001,$AD77,'All Donations'!$T$2:$T$4001,R$1))</f>
        <v/>
      </c>
      <c r="S77" s="49">
        <f>IF(OR($AE77&lt;&gt;1,S$1=""),"",SUMIFS('All Donations'!$S$2:$S$4001,'All Donations'!$R$2:$R$4001,$AD77,'All Donations'!$T$2:$T$4001,S$1))</f>
        <v/>
      </c>
      <c r="T77" s="49">
        <f>IF(OR($AE77&lt;&gt;1,T$1=""),"",SUMIFS('All Donations'!$S$2:$S$4001,'All Donations'!$R$2:$R$4001,$AD77,'All Donations'!$T$2:$T$4001,T$1))</f>
        <v/>
      </c>
      <c r="U77" s="49">
        <f>IF(OR($AE77&lt;&gt;1,U$1=""),"",SUMIFS('All Donations'!$S$2:$S$4001,'All Donations'!$R$2:$R$4001,$AD77,'All Donations'!$T$2:$T$4001,U$1))</f>
        <v/>
      </c>
      <c r="V77" s="49">
        <f>IF(OR($AE77&lt;&gt;1,V$1=""),"",SUMIFS('All Donations'!$S$2:$S$4001,'All Donations'!$R$2:$R$4001,$AD77,'All Donations'!$T$2:$T$4001,V$1))</f>
        <v/>
      </c>
      <c r="W77" s="49">
        <f>IF(OR($AE77&lt;&gt;1,W$1=""),"",SUMIFS('All Donations'!$S$2:$S$4001,'All Donations'!$R$2:$R$4001,$AD77,'All Donations'!$T$2:$T$4001,W$1))</f>
        <v/>
      </c>
      <c r="X77" s="49">
        <f>IF(OR($AE77&lt;&gt;1,X$1=""),"",SUMIFS('All Donations'!$S$2:$S$4001,'All Donations'!$R$2:$R$4001,$AD77,'All Donations'!$T$2:$T$4001,X$1))</f>
        <v/>
      </c>
      <c r="Y77" s="49">
        <f>IF(OR($AE77&lt;&gt;1,Y$1=""),"",SUMIFS('All Donations'!$S$2:$S$4001,'All Donations'!$R$2:$R$4001,$AD77,'All Donations'!$T$2:$T$4001,Y$1))</f>
        <v/>
      </c>
      <c r="Z77" s="49">
        <f>IF(OR($AE77&lt;&gt;1,Z$1=""),"",SUMIFS('All Donations'!$S$2:$S$4001,'All Donations'!$R$2:$R$4001,$AD77,'All Donations'!$T$2:$T$4001,Z$1))</f>
        <v/>
      </c>
      <c r="AA77" s="49">
        <f>IF(OR($AE77&lt;&gt;1,AA$1=""),"",SUMIFS('All Donations'!$S$2:$S$4001,'All Donations'!$R$2:$R$4001,$AD77,'All Donations'!$T$2:$T$4001,AA$1))</f>
        <v/>
      </c>
      <c r="AB77" s="49">
        <f>IF(OR($AE77&lt;&gt;1,AB$1=""),"",SUMIFS('All Donations'!$S$2:$S$4001,'All Donations'!$R$2:$R$4001,$AD77,'All Donations'!$T$2:$T$4001,AB$1))</f>
        <v/>
      </c>
      <c r="AC77" s="49">
        <f>IF(OR($AE77&lt;&gt;1,AC$1=""),"",SUMIFS('All Donations'!$S$2:$S$4001,'All Donations'!$R$2:$R$4001,$AD77,'All Donations'!$T$2:$T$4001,AC$1))</f>
        <v/>
      </c>
      <c r="AD77">
        <f>IF(AE77=1,'Roster'!A77,"")</f>
        <v/>
      </c>
      <c r="AE77">
        <f>IF(TRIM('Roster'!B77&amp;'Roster'!C77)&lt;&gt;"",1,0)</f>
        <v/>
      </c>
      <c r="AF77">
        <f>IF(AE77=1,LOWER(A77),"#")</f>
        <v/>
      </c>
      <c r="AG77">
        <f>IF(AE77=1,LOWER(TRIM(TRIM('Roster'!C77)&amp;", "&amp;TRIM('Roster'!B77))),"#")</f>
        <v/>
      </c>
      <c r="AH77">
        <f>IF(AND(AE77=1,TRIM('Roster'!F77)&lt;&gt;""),LOWER(TRIM('Roster'!F77)),"#")</f>
        <v/>
      </c>
      <c r="AI77">
        <f>IF(AE77=1,IF(MATCH(B77,$B$2:$B$701,0)=ROW()-1,1,0),0)</f>
        <v/>
      </c>
      <c r="AJ77">
        <f>AJ76+AI77</f>
        <v/>
      </c>
      <c r="AK77">
        <f>IF(AE77=1,D77+(1000-ROW())/10^7,-1)</f>
        <v/>
      </c>
      <c r="AL77">
        <f>IF(AE77=1,TRIM('Roster'!B77)&amp;" "&amp;LEFT(TRIM('Roster'!C77),1)&amp;".","")</f>
        <v/>
      </c>
      <c r="AM77">
        <f>IF(AE77=1,TRIM('Roster'!C77)&amp;", "&amp;TRIM('Roster'!B77)&amp;" ("&amp;B77&amp;") #"&amp;AD77,"")</f>
        <v/>
      </c>
      <c r="AN77">
        <f>IF(AE77=1,TRIM('Roster'!E77),"")</f>
        <v/>
      </c>
      <c r="AO77">
        <f>IF(AE77=1,ROUND(SUMIFS('All Donations'!$S$2:$S$4001,'All Donations'!$R$2:$R$4001,AD77,'All Donations'!$T$2:$T$4001,"&gt;="&amp;'Settings'!$C$23,'All Donations'!$T$2:$T$4001,"&lt;="&amp;'Settings'!$D$23),2),0)</f>
        <v/>
      </c>
      <c r="AQ77">
        <f>IF(AE77=1,ROUND(SUMIFS('All Donations'!$S$2:$S$4001,'All Donations'!$R$2:$R$4001,AD77,'All Donations'!$T$2:$T$4001,"&gt;="&amp;'Settings'!$C$25,'All Donations'!$T$2:$T$4001,"&lt;="&amp;'Settings'!$D$25),2),0)</f>
        <v/>
      </c>
      <c r="AR77">
        <f>IF(AE77=1,ROUND(SUMIFS('All Donations'!$S$2:$S$4001,'All Donations'!$R$2:$R$4001,AD77,'All Donations'!$T$2:$T$4001,"&gt;="&amp;'Settings'!$C$26,'All Donations'!$T$2:$T$4001,"&lt;="&amp;'Settings'!$D$26),2),0)</f>
        <v/>
      </c>
      <c r="AS77">
        <f>IF(AE77=1,ROUND(SUMIFS('All Donations'!$S$2:$S$4001,'All Donations'!$R$2:$R$4001,AD77,'All Donations'!$T$2:$T$4001,"&lt;="&amp;'Settings'!$D$27),2),0)</f>
        <v/>
      </c>
      <c r="AT77">
        <f>IF(AE77=1,ROUND(SUMIFS('All Donations'!$S$2:$S$4001,'All Donations'!$R$2:$R$4001,AD77,'All Donations'!$T$2:$T$4001,"&gt;="&amp;'Settings'!$C$28,'All Donations'!$T$2:$T$4001,"&lt;="&amp;'Settings'!$D$28),2),0)</f>
        <v/>
      </c>
      <c r="AU77">
        <f>IF(AE77=1,ROUND(SUMIFS('All Donations'!$S$2:$S$4001,'All Donations'!$R$2:$R$4001,AD77,'All Donations'!$T$2:$T$4001,"&gt;="&amp;'Settings'!$C$29,'All Donations'!$T$2:$T$4001,"&lt;="&amp;'Settings'!$D$29),2),0)</f>
        <v/>
      </c>
      <c r="AV77">
        <f>IF(AE77=1,ROUND(SUMIFS('All Donations'!$S$2:$S$4001,'All Donations'!$R$2:$R$4001,AD77,'All Donations'!$T$2:$T$4001,"&lt;="&amp;'Settings'!$D$30),2),0)</f>
        <v/>
      </c>
      <c r="AZ77">
        <f>IF(AE77=1,ROUND(SUMIFS('All Donations'!$S$2:$S$4001,'All Donations'!$R$2:$R$4001,AD77,'All Donations'!$T$2:$T$4001,"&lt;="&amp;'Settings'!$D$34),2),0)</f>
        <v/>
      </c>
    </row>
    <row r="78">
      <c r="A78">
        <f>IF(AE78=1,TRIM(TRIM('Roster'!B78)&amp;" "&amp;TRIM('Roster'!C78)),"")</f>
        <v/>
      </c>
      <c r="B78">
        <f>IF(AE78=1,IF(AN78="","(no teacher)",AN78&amp;" – "&amp;C78),"")</f>
        <v/>
      </c>
      <c r="C78">
        <f>IF(AE78=1,TRIM('Roster'!D78&amp;""),"")</f>
        <v/>
      </c>
      <c r="D78" s="48">
        <f>IF(AE78=1,ROUND(SUMIFS('All Donations'!$S$2:$S$4001,'All Donations'!$R$2:$R$4001,AD78),2),"")</f>
        <v/>
      </c>
      <c r="E78" s="48">
        <f>IF(AE78=1,ROUND(SUMIFS('All Donations'!$S$2:$S$4001,'All Donations'!$R$2:$R$4001,AD78,'All Donations'!$G$2:$G$4001,"OneCause"),2),"")</f>
        <v/>
      </c>
      <c r="F78" s="48">
        <f>IF(AE78=1,D78-E78,"")</f>
        <v/>
      </c>
      <c r="G78">
        <f>IF(AE78=1,COUNTIFS('All Donations'!$R$2:$R$4001,AD78,'All Donations'!$H$2:$H$4001,"OK"),"")</f>
        <v/>
      </c>
      <c r="H78">
        <f>IF(AE78&lt;&gt;1,"",IF(D78&gt;0,"Yes",""))</f>
        <v/>
      </c>
      <c r="I78" s="49">
        <f>IF(OR($AE78&lt;&gt;1,I$1=""),"",SUMIFS('All Donations'!$S$2:$S$4001,'All Donations'!$R$2:$R$4001,$AD78,'All Donations'!$T$2:$T$4001,I$1))</f>
        <v/>
      </c>
      <c r="J78" s="49">
        <f>IF(OR($AE78&lt;&gt;1,J$1=""),"",SUMIFS('All Donations'!$S$2:$S$4001,'All Donations'!$R$2:$R$4001,$AD78,'All Donations'!$T$2:$T$4001,J$1))</f>
        <v/>
      </c>
      <c r="K78" s="49">
        <f>IF(OR($AE78&lt;&gt;1,K$1=""),"",SUMIFS('All Donations'!$S$2:$S$4001,'All Donations'!$R$2:$R$4001,$AD78,'All Donations'!$T$2:$T$4001,K$1))</f>
        <v/>
      </c>
      <c r="L78" s="49">
        <f>IF(OR($AE78&lt;&gt;1,L$1=""),"",SUMIFS('All Donations'!$S$2:$S$4001,'All Donations'!$R$2:$R$4001,$AD78,'All Donations'!$T$2:$T$4001,L$1))</f>
        <v/>
      </c>
      <c r="M78" s="49">
        <f>IF(OR($AE78&lt;&gt;1,M$1=""),"",SUMIFS('All Donations'!$S$2:$S$4001,'All Donations'!$R$2:$R$4001,$AD78,'All Donations'!$T$2:$T$4001,M$1))</f>
        <v/>
      </c>
      <c r="N78" s="49">
        <f>IF(OR($AE78&lt;&gt;1,N$1=""),"",SUMIFS('All Donations'!$S$2:$S$4001,'All Donations'!$R$2:$R$4001,$AD78,'All Donations'!$T$2:$T$4001,N$1))</f>
        <v/>
      </c>
      <c r="O78" s="49">
        <f>IF(OR($AE78&lt;&gt;1,O$1=""),"",SUMIFS('All Donations'!$S$2:$S$4001,'All Donations'!$R$2:$R$4001,$AD78,'All Donations'!$T$2:$T$4001,O$1))</f>
        <v/>
      </c>
      <c r="P78" s="49">
        <f>IF(OR($AE78&lt;&gt;1,P$1=""),"",SUMIFS('All Donations'!$S$2:$S$4001,'All Donations'!$R$2:$R$4001,$AD78,'All Donations'!$T$2:$T$4001,P$1))</f>
        <v/>
      </c>
      <c r="Q78" s="49">
        <f>IF(OR($AE78&lt;&gt;1,Q$1=""),"",SUMIFS('All Donations'!$S$2:$S$4001,'All Donations'!$R$2:$R$4001,$AD78,'All Donations'!$T$2:$T$4001,Q$1))</f>
        <v/>
      </c>
      <c r="R78" s="49">
        <f>IF(OR($AE78&lt;&gt;1,R$1=""),"",SUMIFS('All Donations'!$S$2:$S$4001,'All Donations'!$R$2:$R$4001,$AD78,'All Donations'!$T$2:$T$4001,R$1))</f>
        <v/>
      </c>
      <c r="S78" s="49">
        <f>IF(OR($AE78&lt;&gt;1,S$1=""),"",SUMIFS('All Donations'!$S$2:$S$4001,'All Donations'!$R$2:$R$4001,$AD78,'All Donations'!$T$2:$T$4001,S$1))</f>
        <v/>
      </c>
      <c r="T78" s="49">
        <f>IF(OR($AE78&lt;&gt;1,T$1=""),"",SUMIFS('All Donations'!$S$2:$S$4001,'All Donations'!$R$2:$R$4001,$AD78,'All Donations'!$T$2:$T$4001,T$1))</f>
        <v/>
      </c>
      <c r="U78" s="49">
        <f>IF(OR($AE78&lt;&gt;1,U$1=""),"",SUMIFS('All Donations'!$S$2:$S$4001,'All Donations'!$R$2:$R$4001,$AD78,'All Donations'!$T$2:$T$4001,U$1))</f>
        <v/>
      </c>
      <c r="V78" s="49">
        <f>IF(OR($AE78&lt;&gt;1,V$1=""),"",SUMIFS('All Donations'!$S$2:$S$4001,'All Donations'!$R$2:$R$4001,$AD78,'All Donations'!$T$2:$T$4001,V$1))</f>
        <v/>
      </c>
      <c r="W78" s="49">
        <f>IF(OR($AE78&lt;&gt;1,W$1=""),"",SUMIFS('All Donations'!$S$2:$S$4001,'All Donations'!$R$2:$R$4001,$AD78,'All Donations'!$T$2:$T$4001,W$1))</f>
        <v/>
      </c>
      <c r="X78" s="49">
        <f>IF(OR($AE78&lt;&gt;1,X$1=""),"",SUMIFS('All Donations'!$S$2:$S$4001,'All Donations'!$R$2:$R$4001,$AD78,'All Donations'!$T$2:$T$4001,X$1))</f>
        <v/>
      </c>
      <c r="Y78" s="49">
        <f>IF(OR($AE78&lt;&gt;1,Y$1=""),"",SUMIFS('All Donations'!$S$2:$S$4001,'All Donations'!$R$2:$R$4001,$AD78,'All Donations'!$T$2:$T$4001,Y$1))</f>
        <v/>
      </c>
      <c r="Z78" s="49">
        <f>IF(OR($AE78&lt;&gt;1,Z$1=""),"",SUMIFS('All Donations'!$S$2:$S$4001,'All Donations'!$R$2:$R$4001,$AD78,'All Donations'!$T$2:$T$4001,Z$1))</f>
        <v/>
      </c>
      <c r="AA78" s="49">
        <f>IF(OR($AE78&lt;&gt;1,AA$1=""),"",SUMIFS('All Donations'!$S$2:$S$4001,'All Donations'!$R$2:$R$4001,$AD78,'All Donations'!$T$2:$T$4001,AA$1))</f>
        <v/>
      </c>
      <c r="AB78" s="49">
        <f>IF(OR($AE78&lt;&gt;1,AB$1=""),"",SUMIFS('All Donations'!$S$2:$S$4001,'All Donations'!$R$2:$R$4001,$AD78,'All Donations'!$T$2:$T$4001,AB$1))</f>
        <v/>
      </c>
      <c r="AC78" s="49">
        <f>IF(OR($AE78&lt;&gt;1,AC$1=""),"",SUMIFS('All Donations'!$S$2:$S$4001,'All Donations'!$R$2:$R$4001,$AD78,'All Donations'!$T$2:$T$4001,AC$1))</f>
        <v/>
      </c>
      <c r="AD78">
        <f>IF(AE78=1,'Roster'!A78,"")</f>
        <v/>
      </c>
      <c r="AE78">
        <f>IF(TRIM('Roster'!B78&amp;'Roster'!C78)&lt;&gt;"",1,0)</f>
        <v/>
      </c>
      <c r="AF78">
        <f>IF(AE78=1,LOWER(A78),"#")</f>
        <v/>
      </c>
      <c r="AG78">
        <f>IF(AE78=1,LOWER(TRIM(TRIM('Roster'!C78)&amp;", "&amp;TRIM('Roster'!B78))),"#")</f>
        <v/>
      </c>
      <c r="AH78">
        <f>IF(AND(AE78=1,TRIM('Roster'!F78)&lt;&gt;""),LOWER(TRIM('Roster'!F78)),"#")</f>
        <v/>
      </c>
      <c r="AI78">
        <f>IF(AE78=1,IF(MATCH(B78,$B$2:$B$701,0)=ROW()-1,1,0),0)</f>
        <v/>
      </c>
      <c r="AJ78">
        <f>AJ77+AI78</f>
        <v/>
      </c>
      <c r="AK78">
        <f>IF(AE78=1,D78+(1000-ROW())/10^7,-1)</f>
        <v/>
      </c>
      <c r="AL78">
        <f>IF(AE78=1,TRIM('Roster'!B78)&amp;" "&amp;LEFT(TRIM('Roster'!C78),1)&amp;".","")</f>
        <v/>
      </c>
      <c r="AM78">
        <f>IF(AE78=1,TRIM('Roster'!C78)&amp;", "&amp;TRIM('Roster'!B78)&amp;" ("&amp;B78&amp;") #"&amp;AD78,"")</f>
        <v/>
      </c>
      <c r="AN78">
        <f>IF(AE78=1,TRIM('Roster'!E78),"")</f>
        <v/>
      </c>
      <c r="AO78">
        <f>IF(AE78=1,ROUND(SUMIFS('All Donations'!$S$2:$S$4001,'All Donations'!$R$2:$R$4001,AD78,'All Donations'!$T$2:$T$4001,"&gt;="&amp;'Settings'!$C$23,'All Donations'!$T$2:$T$4001,"&lt;="&amp;'Settings'!$D$23),2),0)</f>
        <v/>
      </c>
      <c r="AQ78">
        <f>IF(AE78=1,ROUND(SUMIFS('All Donations'!$S$2:$S$4001,'All Donations'!$R$2:$R$4001,AD78,'All Donations'!$T$2:$T$4001,"&gt;="&amp;'Settings'!$C$25,'All Donations'!$T$2:$T$4001,"&lt;="&amp;'Settings'!$D$25),2),0)</f>
        <v/>
      </c>
      <c r="AR78">
        <f>IF(AE78=1,ROUND(SUMIFS('All Donations'!$S$2:$S$4001,'All Donations'!$R$2:$R$4001,AD78,'All Donations'!$T$2:$T$4001,"&gt;="&amp;'Settings'!$C$26,'All Donations'!$T$2:$T$4001,"&lt;="&amp;'Settings'!$D$26),2),0)</f>
        <v/>
      </c>
      <c r="AS78">
        <f>IF(AE78=1,ROUND(SUMIFS('All Donations'!$S$2:$S$4001,'All Donations'!$R$2:$R$4001,AD78,'All Donations'!$T$2:$T$4001,"&lt;="&amp;'Settings'!$D$27),2),0)</f>
        <v/>
      </c>
      <c r="AT78">
        <f>IF(AE78=1,ROUND(SUMIFS('All Donations'!$S$2:$S$4001,'All Donations'!$R$2:$R$4001,AD78,'All Donations'!$T$2:$T$4001,"&gt;="&amp;'Settings'!$C$28,'All Donations'!$T$2:$T$4001,"&lt;="&amp;'Settings'!$D$28),2),0)</f>
        <v/>
      </c>
      <c r="AU78">
        <f>IF(AE78=1,ROUND(SUMIFS('All Donations'!$S$2:$S$4001,'All Donations'!$R$2:$R$4001,AD78,'All Donations'!$T$2:$T$4001,"&gt;="&amp;'Settings'!$C$29,'All Donations'!$T$2:$T$4001,"&lt;="&amp;'Settings'!$D$29),2),0)</f>
        <v/>
      </c>
      <c r="AV78">
        <f>IF(AE78=1,ROUND(SUMIFS('All Donations'!$S$2:$S$4001,'All Donations'!$R$2:$R$4001,AD78,'All Donations'!$T$2:$T$4001,"&lt;="&amp;'Settings'!$D$30),2),0)</f>
        <v/>
      </c>
      <c r="AZ78">
        <f>IF(AE78=1,ROUND(SUMIFS('All Donations'!$S$2:$S$4001,'All Donations'!$R$2:$R$4001,AD78,'All Donations'!$T$2:$T$4001,"&lt;="&amp;'Settings'!$D$34),2),0)</f>
        <v/>
      </c>
    </row>
    <row r="79">
      <c r="A79">
        <f>IF(AE79=1,TRIM(TRIM('Roster'!B79)&amp;" "&amp;TRIM('Roster'!C79)),"")</f>
        <v/>
      </c>
      <c r="B79">
        <f>IF(AE79=1,IF(AN79="","(no teacher)",AN79&amp;" – "&amp;C79),"")</f>
        <v/>
      </c>
      <c r="C79">
        <f>IF(AE79=1,TRIM('Roster'!D79&amp;""),"")</f>
        <v/>
      </c>
      <c r="D79" s="48">
        <f>IF(AE79=1,ROUND(SUMIFS('All Donations'!$S$2:$S$4001,'All Donations'!$R$2:$R$4001,AD79),2),"")</f>
        <v/>
      </c>
      <c r="E79" s="48">
        <f>IF(AE79=1,ROUND(SUMIFS('All Donations'!$S$2:$S$4001,'All Donations'!$R$2:$R$4001,AD79,'All Donations'!$G$2:$G$4001,"OneCause"),2),"")</f>
        <v/>
      </c>
      <c r="F79" s="48">
        <f>IF(AE79=1,D79-E79,"")</f>
        <v/>
      </c>
      <c r="G79">
        <f>IF(AE79=1,COUNTIFS('All Donations'!$R$2:$R$4001,AD79,'All Donations'!$H$2:$H$4001,"OK"),"")</f>
        <v/>
      </c>
      <c r="H79">
        <f>IF(AE79&lt;&gt;1,"",IF(D79&gt;0,"Yes",""))</f>
        <v/>
      </c>
      <c r="I79" s="49">
        <f>IF(OR($AE79&lt;&gt;1,I$1=""),"",SUMIFS('All Donations'!$S$2:$S$4001,'All Donations'!$R$2:$R$4001,$AD79,'All Donations'!$T$2:$T$4001,I$1))</f>
        <v/>
      </c>
      <c r="J79" s="49">
        <f>IF(OR($AE79&lt;&gt;1,J$1=""),"",SUMIFS('All Donations'!$S$2:$S$4001,'All Donations'!$R$2:$R$4001,$AD79,'All Donations'!$T$2:$T$4001,J$1))</f>
        <v/>
      </c>
      <c r="K79" s="49">
        <f>IF(OR($AE79&lt;&gt;1,K$1=""),"",SUMIFS('All Donations'!$S$2:$S$4001,'All Donations'!$R$2:$R$4001,$AD79,'All Donations'!$T$2:$T$4001,K$1))</f>
        <v/>
      </c>
      <c r="L79" s="49">
        <f>IF(OR($AE79&lt;&gt;1,L$1=""),"",SUMIFS('All Donations'!$S$2:$S$4001,'All Donations'!$R$2:$R$4001,$AD79,'All Donations'!$T$2:$T$4001,L$1))</f>
        <v/>
      </c>
      <c r="M79" s="49">
        <f>IF(OR($AE79&lt;&gt;1,M$1=""),"",SUMIFS('All Donations'!$S$2:$S$4001,'All Donations'!$R$2:$R$4001,$AD79,'All Donations'!$T$2:$T$4001,M$1))</f>
        <v/>
      </c>
      <c r="N79" s="49">
        <f>IF(OR($AE79&lt;&gt;1,N$1=""),"",SUMIFS('All Donations'!$S$2:$S$4001,'All Donations'!$R$2:$R$4001,$AD79,'All Donations'!$T$2:$T$4001,N$1))</f>
        <v/>
      </c>
      <c r="O79" s="49">
        <f>IF(OR($AE79&lt;&gt;1,O$1=""),"",SUMIFS('All Donations'!$S$2:$S$4001,'All Donations'!$R$2:$R$4001,$AD79,'All Donations'!$T$2:$T$4001,O$1))</f>
        <v/>
      </c>
      <c r="P79" s="49">
        <f>IF(OR($AE79&lt;&gt;1,P$1=""),"",SUMIFS('All Donations'!$S$2:$S$4001,'All Donations'!$R$2:$R$4001,$AD79,'All Donations'!$T$2:$T$4001,P$1))</f>
        <v/>
      </c>
      <c r="Q79" s="49">
        <f>IF(OR($AE79&lt;&gt;1,Q$1=""),"",SUMIFS('All Donations'!$S$2:$S$4001,'All Donations'!$R$2:$R$4001,$AD79,'All Donations'!$T$2:$T$4001,Q$1))</f>
        <v/>
      </c>
      <c r="R79" s="49">
        <f>IF(OR($AE79&lt;&gt;1,R$1=""),"",SUMIFS('All Donations'!$S$2:$S$4001,'All Donations'!$R$2:$R$4001,$AD79,'All Donations'!$T$2:$T$4001,R$1))</f>
        <v/>
      </c>
      <c r="S79" s="49">
        <f>IF(OR($AE79&lt;&gt;1,S$1=""),"",SUMIFS('All Donations'!$S$2:$S$4001,'All Donations'!$R$2:$R$4001,$AD79,'All Donations'!$T$2:$T$4001,S$1))</f>
        <v/>
      </c>
      <c r="T79" s="49">
        <f>IF(OR($AE79&lt;&gt;1,T$1=""),"",SUMIFS('All Donations'!$S$2:$S$4001,'All Donations'!$R$2:$R$4001,$AD79,'All Donations'!$T$2:$T$4001,T$1))</f>
        <v/>
      </c>
      <c r="U79" s="49">
        <f>IF(OR($AE79&lt;&gt;1,U$1=""),"",SUMIFS('All Donations'!$S$2:$S$4001,'All Donations'!$R$2:$R$4001,$AD79,'All Donations'!$T$2:$T$4001,U$1))</f>
        <v/>
      </c>
      <c r="V79" s="49">
        <f>IF(OR($AE79&lt;&gt;1,V$1=""),"",SUMIFS('All Donations'!$S$2:$S$4001,'All Donations'!$R$2:$R$4001,$AD79,'All Donations'!$T$2:$T$4001,V$1))</f>
        <v/>
      </c>
      <c r="W79" s="49">
        <f>IF(OR($AE79&lt;&gt;1,W$1=""),"",SUMIFS('All Donations'!$S$2:$S$4001,'All Donations'!$R$2:$R$4001,$AD79,'All Donations'!$T$2:$T$4001,W$1))</f>
        <v/>
      </c>
      <c r="X79" s="49">
        <f>IF(OR($AE79&lt;&gt;1,X$1=""),"",SUMIFS('All Donations'!$S$2:$S$4001,'All Donations'!$R$2:$R$4001,$AD79,'All Donations'!$T$2:$T$4001,X$1))</f>
        <v/>
      </c>
      <c r="Y79" s="49">
        <f>IF(OR($AE79&lt;&gt;1,Y$1=""),"",SUMIFS('All Donations'!$S$2:$S$4001,'All Donations'!$R$2:$R$4001,$AD79,'All Donations'!$T$2:$T$4001,Y$1))</f>
        <v/>
      </c>
      <c r="Z79" s="49">
        <f>IF(OR($AE79&lt;&gt;1,Z$1=""),"",SUMIFS('All Donations'!$S$2:$S$4001,'All Donations'!$R$2:$R$4001,$AD79,'All Donations'!$T$2:$T$4001,Z$1))</f>
        <v/>
      </c>
      <c r="AA79" s="49">
        <f>IF(OR($AE79&lt;&gt;1,AA$1=""),"",SUMIFS('All Donations'!$S$2:$S$4001,'All Donations'!$R$2:$R$4001,$AD79,'All Donations'!$T$2:$T$4001,AA$1))</f>
        <v/>
      </c>
      <c r="AB79" s="49">
        <f>IF(OR($AE79&lt;&gt;1,AB$1=""),"",SUMIFS('All Donations'!$S$2:$S$4001,'All Donations'!$R$2:$R$4001,$AD79,'All Donations'!$T$2:$T$4001,AB$1))</f>
        <v/>
      </c>
      <c r="AC79" s="49">
        <f>IF(OR($AE79&lt;&gt;1,AC$1=""),"",SUMIFS('All Donations'!$S$2:$S$4001,'All Donations'!$R$2:$R$4001,$AD79,'All Donations'!$T$2:$T$4001,AC$1))</f>
        <v/>
      </c>
      <c r="AD79">
        <f>IF(AE79=1,'Roster'!A79,"")</f>
        <v/>
      </c>
      <c r="AE79">
        <f>IF(TRIM('Roster'!B79&amp;'Roster'!C79)&lt;&gt;"",1,0)</f>
        <v/>
      </c>
      <c r="AF79">
        <f>IF(AE79=1,LOWER(A79),"#")</f>
        <v/>
      </c>
      <c r="AG79">
        <f>IF(AE79=1,LOWER(TRIM(TRIM('Roster'!C79)&amp;", "&amp;TRIM('Roster'!B79))),"#")</f>
        <v/>
      </c>
      <c r="AH79">
        <f>IF(AND(AE79=1,TRIM('Roster'!F79)&lt;&gt;""),LOWER(TRIM('Roster'!F79)),"#")</f>
        <v/>
      </c>
      <c r="AI79">
        <f>IF(AE79=1,IF(MATCH(B79,$B$2:$B$701,0)=ROW()-1,1,0),0)</f>
        <v/>
      </c>
      <c r="AJ79">
        <f>AJ78+AI79</f>
        <v/>
      </c>
      <c r="AK79">
        <f>IF(AE79=1,D79+(1000-ROW())/10^7,-1)</f>
        <v/>
      </c>
      <c r="AL79">
        <f>IF(AE79=1,TRIM('Roster'!B79)&amp;" "&amp;LEFT(TRIM('Roster'!C79),1)&amp;".","")</f>
        <v/>
      </c>
      <c r="AM79">
        <f>IF(AE79=1,TRIM('Roster'!C79)&amp;", "&amp;TRIM('Roster'!B79)&amp;" ("&amp;B79&amp;") #"&amp;AD79,"")</f>
        <v/>
      </c>
      <c r="AN79">
        <f>IF(AE79=1,TRIM('Roster'!E79),"")</f>
        <v/>
      </c>
      <c r="AO79">
        <f>IF(AE79=1,ROUND(SUMIFS('All Donations'!$S$2:$S$4001,'All Donations'!$R$2:$R$4001,AD79,'All Donations'!$T$2:$T$4001,"&gt;="&amp;'Settings'!$C$23,'All Donations'!$T$2:$T$4001,"&lt;="&amp;'Settings'!$D$23),2),0)</f>
        <v/>
      </c>
      <c r="AQ79">
        <f>IF(AE79=1,ROUND(SUMIFS('All Donations'!$S$2:$S$4001,'All Donations'!$R$2:$R$4001,AD79,'All Donations'!$T$2:$T$4001,"&gt;="&amp;'Settings'!$C$25,'All Donations'!$T$2:$T$4001,"&lt;="&amp;'Settings'!$D$25),2),0)</f>
        <v/>
      </c>
      <c r="AR79">
        <f>IF(AE79=1,ROUND(SUMIFS('All Donations'!$S$2:$S$4001,'All Donations'!$R$2:$R$4001,AD79,'All Donations'!$T$2:$T$4001,"&gt;="&amp;'Settings'!$C$26,'All Donations'!$T$2:$T$4001,"&lt;="&amp;'Settings'!$D$26),2),0)</f>
        <v/>
      </c>
      <c r="AS79">
        <f>IF(AE79=1,ROUND(SUMIFS('All Donations'!$S$2:$S$4001,'All Donations'!$R$2:$R$4001,AD79,'All Donations'!$T$2:$T$4001,"&lt;="&amp;'Settings'!$D$27),2),0)</f>
        <v/>
      </c>
      <c r="AT79">
        <f>IF(AE79=1,ROUND(SUMIFS('All Donations'!$S$2:$S$4001,'All Donations'!$R$2:$R$4001,AD79,'All Donations'!$T$2:$T$4001,"&gt;="&amp;'Settings'!$C$28,'All Donations'!$T$2:$T$4001,"&lt;="&amp;'Settings'!$D$28),2),0)</f>
        <v/>
      </c>
      <c r="AU79">
        <f>IF(AE79=1,ROUND(SUMIFS('All Donations'!$S$2:$S$4001,'All Donations'!$R$2:$R$4001,AD79,'All Donations'!$T$2:$T$4001,"&gt;="&amp;'Settings'!$C$29,'All Donations'!$T$2:$T$4001,"&lt;="&amp;'Settings'!$D$29),2),0)</f>
        <v/>
      </c>
      <c r="AV79">
        <f>IF(AE79=1,ROUND(SUMIFS('All Donations'!$S$2:$S$4001,'All Donations'!$R$2:$R$4001,AD79,'All Donations'!$T$2:$T$4001,"&lt;="&amp;'Settings'!$D$30),2),0)</f>
        <v/>
      </c>
      <c r="AZ79">
        <f>IF(AE79=1,ROUND(SUMIFS('All Donations'!$S$2:$S$4001,'All Donations'!$R$2:$R$4001,AD79,'All Donations'!$T$2:$T$4001,"&lt;="&amp;'Settings'!$D$34),2),0)</f>
        <v/>
      </c>
    </row>
    <row r="80">
      <c r="A80">
        <f>IF(AE80=1,TRIM(TRIM('Roster'!B80)&amp;" "&amp;TRIM('Roster'!C80)),"")</f>
        <v/>
      </c>
      <c r="B80">
        <f>IF(AE80=1,IF(AN80="","(no teacher)",AN80&amp;" – "&amp;C80),"")</f>
        <v/>
      </c>
      <c r="C80">
        <f>IF(AE80=1,TRIM('Roster'!D80&amp;""),"")</f>
        <v/>
      </c>
      <c r="D80" s="48">
        <f>IF(AE80=1,ROUND(SUMIFS('All Donations'!$S$2:$S$4001,'All Donations'!$R$2:$R$4001,AD80),2),"")</f>
        <v/>
      </c>
      <c r="E80" s="48">
        <f>IF(AE80=1,ROUND(SUMIFS('All Donations'!$S$2:$S$4001,'All Donations'!$R$2:$R$4001,AD80,'All Donations'!$G$2:$G$4001,"OneCause"),2),"")</f>
        <v/>
      </c>
      <c r="F80" s="48">
        <f>IF(AE80=1,D80-E80,"")</f>
        <v/>
      </c>
      <c r="G80">
        <f>IF(AE80=1,COUNTIFS('All Donations'!$R$2:$R$4001,AD80,'All Donations'!$H$2:$H$4001,"OK"),"")</f>
        <v/>
      </c>
      <c r="H80">
        <f>IF(AE80&lt;&gt;1,"",IF(D80&gt;0,"Yes",""))</f>
        <v/>
      </c>
      <c r="I80" s="49">
        <f>IF(OR($AE80&lt;&gt;1,I$1=""),"",SUMIFS('All Donations'!$S$2:$S$4001,'All Donations'!$R$2:$R$4001,$AD80,'All Donations'!$T$2:$T$4001,I$1))</f>
        <v/>
      </c>
      <c r="J80" s="49">
        <f>IF(OR($AE80&lt;&gt;1,J$1=""),"",SUMIFS('All Donations'!$S$2:$S$4001,'All Donations'!$R$2:$R$4001,$AD80,'All Donations'!$T$2:$T$4001,J$1))</f>
        <v/>
      </c>
      <c r="K80" s="49">
        <f>IF(OR($AE80&lt;&gt;1,K$1=""),"",SUMIFS('All Donations'!$S$2:$S$4001,'All Donations'!$R$2:$R$4001,$AD80,'All Donations'!$T$2:$T$4001,K$1))</f>
        <v/>
      </c>
      <c r="L80" s="49">
        <f>IF(OR($AE80&lt;&gt;1,L$1=""),"",SUMIFS('All Donations'!$S$2:$S$4001,'All Donations'!$R$2:$R$4001,$AD80,'All Donations'!$T$2:$T$4001,L$1))</f>
        <v/>
      </c>
      <c r="M80" s="49">
        <f>IF(OR($AE80&lt;&gt;1,M$1=""),"",SUMIFS('All Donations'!$S$2:$S$4001,'All Donations'!$R$2:$R$4001,$AD80,'All Donations'!$T$2:$T$4001,M$1))</f>
        <v/>
      </c>
      <c r="N80" s="49">
        <f>IF(OR($AE80&lt;&gt;1,N$1=""),"",SUMIFS('All Donations'!$S$2:$S$4001,'All Donations'!$R$2:$R$4001,$AD80,'All Donations'!$T$2:$T$4001,N$1))</f>
        <v/>
      </c>
      <c r="O80" s="49">
        <f>IF(OR($AE80&lt;&gt;1,O$1=""),"",SUMIFS('All Donations'!$S$2:$S$4001,'All Donations'!$R$2:$R$4001,$AD80,'All Donations'!$T$2:$T$4001,O$1))</f>
        <v/>
      </c>
      <c r="P80" s="49">
        <f>IF(OR($AE80&lt;&gt;1,P$1=""),"",SUMIFS('All Donations'!$S$2:$S$4001,'All Donations'!$R$2:$R$4001,$AD80,'All Donations'!$T$2:$T$4001,P$1))</f>
        <v/>
      </c>
      <c r="Q80" s="49">
        <f>IF(OR($AE80&lt;&gt;1,Q$1=""),"",SUMIFS('All Donations'!$S$2:$S$4001,'All Donations'!$R$2:$R$4001,$AD80,'All Donations'!$T$2:$T$4001,Q$1))</f>
        <v/>
      </c>
      <c r="R80" s="49">
        <f>IF(OR($AE80&lt;&gt;1,R$1=""),"",SUMIFS('All Donations'!$S$2:$S$4001,'All Donations'!$R$2:$R$4001,$AD80,'All Donations'!$T$2:$T$4001,R$1))</f>
        <v/>
      </c>
      <c r="S80" s="49">
        <f>IF(OR($AE80&lt;&gt;1,S$1=""),"",SUMIFS('All Donations'!$S$2:$S$4001,'All Donations'!$R$2:$R$4001,$AD80,'All Donations'!$T$2:$T$4001,S$1))</f>
        <v/>
      </c>
      <c r="T80" s="49">
        <f>IF(OR($AE80&lt;&gt;1,T$1=""),"",SUMIFS('All Donations'!$S$2:$S$4001,'All Donations'!$R$2:$R$4001,$AD80,'All Donations'!$T$2:$T$4001,T$1))</f>
        <v/>
      </c>
      <c r="U80" s="49">
        <f>IF(OR($AE80&lt;&gt;1,U$1=""),"",SUMIFS('All Donations'!$S$2:$S$4001,'All Donations'!$R$2:$R$4001,$AD80,'All Donations'!$T$2:$T$4001,U$1))</f>
        <v/>
      </c>
      <c r="V80" s="49">
        <f>IF(OR($AE80&lt;&gt;1,V$1=""),"",SUMIFS('All Donations'!$S$2:$S$4001,'All Donations'!$R$2:$R$4001,$AD80,'All Donations'!$T$2:$T$4001,V$1))</f>
        <v/>
      </c>
      <c r="W80" s="49">
        <f>IF(OR($AE80&lt;&gt;1,W$1=""),"",SUMIFS('All Donations'!$S$2:$S$4001,'All Donations'!$R$2:$R$4001,$AD80,'All Donations'!$T$2:$T$4001,W$1))</f>
        <v/>
      </c>
      <c r="X80" s="49">
        <f>IF(OR($AE80&lt;&gt;1,X$1=""),"",SUMIFS('All Donations'!$S$2:$S$4001,'All Donations'!$R$2:$R$4001,$AD80,'All Donations'!$T$2:$T$4001,X$1))</f>
        <v/>
      </c>
      <c r="Y80" s="49">
        <f>IF(OR($AE80&lt;&gt;1,Y$1=""),"",SUMIFS('All Donations'!$S$2:$S$4001,'All Donations'!$R$2:$R$4001,$AD80,'All Donations'!$T$2:$T$4001,Y$1))</f>
        <v/>
      </c>
      <c r="Z80" s="49">
        <f>IF(OR($AE80&lt;&gt;1,Z$1=""),"",SUMIFS('All Donations'!$S$2:$S$4001,'All Donations'!$R$2:$R$4001,$AD80,'All Donations'!$T$2:$T$4001,Z$1))</f>
        <v/>
      </c>
      <c r="AA80" s="49">
        <f>IF(OR($AE80&lt;&gt;1,AA$1=""),"",SUMIFS('All Donations'!$S$2:$S$4001,'All Donations'!$R$2:$R$4001,$AD80,'All Donations'!$T$2:$T$4001,AA$1))</f>
        <v/>
      </c>
      <c r="AB80" s="49">
        <f>IF(OR($AE80&lt;&gt;1,AB$1=""),"",SUMIFS('All Donations'!$S$2:$S$4001,'All Donations'!$R$2:$R$4001,$AD80,'All Donations'!$T$2:$T$4001,AB$1))</f>
        <v/>
      </c>
      <c r="AC80" s="49">
        <f>IF(OR($AE80&lt;&gt;1,AC$1=""),"",SUMIFS('All Donations'!$S$2:$S$4001,'All Donations'!$R$2:$R$4001,$AD80,'All Donations'!$T$2:$T$4001,AC$1))</f>
        <v/>
      </c>
      <c r="AD80">
        <f>IF(AE80=1,'Roster'!A80,"")</f>
        <v/>
      </c>
      <c r="AE80">
        <f>IF(TRIM('Roster'!B80&amp;'Roster'!C80)&lt;&gt;"",1,0)</f>
        <v/>
      </c>
      <c r="AF80">
        <f>IF(AE80=1,LOWER(A80),"#")</f>
        <v/>
      </c>
      <c r="AG80">
        <f>IF(AE80=1,LOWER(TRIM(TRIM('Roster'!C80)&amp;", "&amp;TRIM('Roster'!B80))),"#")</f>
        <v/>
      </c>
      <c r="AH80">
        <f>IF(AND(AE80=1,TRIM('Roster'!F80)&lt;&gt;""),LOWER(TRIM('Roster'!F80)),"#")</f>
        <v/>
      </c>
      <c r="AI80">
        <f>IF(AE80=1,IF(MATCH(B80,$B$2:$B$701,0)=ROW()-1,1,0),0)</f>
        <v/>
      </c>
      <c r="AJ80">
        <f>AJ79+AI80</f>
        <v/>
      </c>
      <c r="AK80">
        <f>IF(AE80=1,D80+(1000-ROW())/10^7,-1)</f>
        <v/>
      </c>
      <c r="AL80">
        <f>IF(AE80=1,TRIM('Roster'!B80)&amp;" "&amp;LEFT(TRIM('Roster'!C80),1)&amp;".","")</f>
        <v/>
      </c>
      <c r="AM80">
        <f>IF(AE80=1,TRIM('Roster'!C80)&amp;", "&amp;TRIM('Roster'!B80)&amp;" ("&amp;B80&amp;") #"&amp;AD80,"")</f>
        <v/>
      </c>
      <c r="AN80">
        <f>IF(AE80=1,TRIM('Roster'!E80),"")</f>
        <v/>
      </c>
      <c r="AO80">
        <f>IF(AE80=1,ROUND(SUMIFS('All Donations'!$S$2:$S$4001,'All Donations'!$R$2:$R$4001,AD80,'All Donations'!$T$2:$T$4001,"&gt;="&amp;'Settings'!$C$23,'All Donations'!$T$2:$T$4001,"&lt;="&amp;'Settings'!$D$23),2),0)</f>
        <v/>
      </c>
      <c r="AQ80">
        <f>IF(AE80=1,ROUND(SUMIFS('All Donations'!$S$2:$S$4001,'All Donations'!$R$2:$R$4001,AD80,'All Donations'!$T$2:$T$4001,"&gt;="&amp;'Settings'!$C$25,'All Donations'!$T$2:$T$4001,"&lt;="&amp;'Settings'!$D$25),2),0)</f>
        <v/>
      </c>
      <c r="AR80">
        <f>IF(AE80=1,ROUND(SUMIFS('All Donations'!$S$2:$S$4001,'All Donations'!$R$2:$R$4001,AD80,'All Donations'!$T$2:$T$4001,"&gt;="&amp;'Settings'!$C$26,'All Donations'!$T$2:$T$4001,"&lt;="&amp;'Settings'!$D$26),2),0)</f>
        <v/>
      </c>
      <c r="AS80">
        <f>IF(AE80=1,ROUND(SUMIFS('All Donations'!$S$2:$S$4001,'All Donations'!$R$2:$R$4001,AD80,'All Donations'!$T$2:$T$4001,"&lt;="&amp;'Settings'!$D$27),2),0)</f>
        <v/>
      </c>
      <c r="AT80">
        <f>IF(AE80=1,ROUND(SUMIFS('All Donations'!$S$2:$S$4001,'All Donations'!$R$2:$R$4001,AD80,'All Donations'!$T$2:$T$4001,"&gt;="&amp;'Settings'!$C$28,'All Donations'!$T$2:$T$4001,"&lt;="&amp;'Settings'!$D$28),2),0)</f>
        <v/>
      </c>
      <c r="AU80">
        <f>IF(AE80=1,ROUND(SUMIFS('All Donations'!$S$2:$S$4001,'All Donations'!$R$2:$R$4001,AD80,'All Donations'!$T$2:$T$4001,"&gt;="&amp;'Settings'!$C$29,'All Donations'!$T$2:$T$4001,"&lt;="&amp;'Settings'!$D$29),2),0)</f>
        <v/>
      </c>
      <c r="AV80">
        <f>IF(AE80=1,ROUND(SUMIFS('All Donations'!$S$2:$S$4001,'All Donations'!$R$2:$R$4001,AD80,'All Donations'!$T$2:$T$4001,"&lt;="&amp;'Settings'!$D$30),2),0)</f>
        <v/>
      </c>
      <c r="AZ80">
        <f>IF(AE80=1,ROUND(SUMIFS('All Donations'!$S$2:$S$4001,'All Donations'!$R$2:$R$4001,AD80,'All Donations'!$T$2:$T$4001,"&lt;="&amp;'Settings'!$D$34),2),0)</f>
        <v/>
      </c>
    </row>
    <row r="81">
      <c r="A81">
        <f>IF(AE81=1,TRIM(TRIM('Roster'!B81)&amp;" "&amp;TRIM('Roster'!C81)),"")</f>
        <v/>
      </c>
      <c r="B81">
        <f>IF(AE81=1,IF(AN81="","(no teacher)",AN81&amp;" – "&amp;C81),"")</f>
        <v/>
      </c>
      <c r="C81">
        <f>IF(AE81=1,TRIM('Roster'!D81&amp;""),"")</f>
        <v/>
      </c>
      <c r="D81" s="48">
        <f>IF(AE81=1,ROUND(SUMIFS('All Donations'!$S$2:$S$4001,'All Donations'!$R$2:$R$4001,AD81),2),"")</f>
        <v/>
      </c>
      <c r="E81" s="48">
        <f>IF(AE81=1,ROUND(SUMIFS('All Donations'!$S$2:$S$4001,'All Donations'!$R$2:$R$4001,AD81,'All Donations'!$G$2:$G$4001,"OneCause"),2),"")</f>
        <v/>
      </c>
      <c r="F81" s="48">
        <f>IF(AE81=1,D81-E81,"")</f>
        <v/>
      </c>
      <c r="G81">
        <f>IF(AE81=1,COUNTIFS('All Donations'!$R$2:$R$4001,AD81,'All Donations'!$H$2:$H$4001,"OK"),"")</f>
        <v/>
      </c>
      <c r="H81">
        <f>IF(AE81&lt;&gt;1,"",IF(D81&gt;0,"Yes",""))</f>
        <v/>
      </c>
      <c r="I81" s="49">
        <f>IF(OR($AE81&lt;&gt;1,I$1=""),"",SUMIFS('All Donations'!$S$2:$S$4001,'All Donations'!$R$2:$R$4001,$AD81,'All Donations'!$T$2:$T$4001,I$1))</f>
        <v/>
      </c>
      <c r="J81" s="49">
        <f>IF(OR($AE81&lt;&gt;1,J$1=""),"",SUMIFS('All Donations'!$S$2:$S$4001,'All Donations'!$R$2:$R$4001,$AD81,'All Donations'!$T$2:$T$4001,J$1))</f>
        <v/>
      </c>
      <c r="K81" s="49">
        <f>IF(OR($AE81&lt;&gt;1,K$1=""),"",SUMIFS('All Donations'!$S$2:$S$4001,'All Donations'!$R$2:$R$4001,$AD81,'All Donations'!$T$2:$T$4001,K$1))</f>
        <v/>
      </c>
      <c r="L81" s="49">
        <f>IF(OR($AE81&lt;&gt;1,L$1=""),"",SUMIFS('All Donations'!$S$2:$S$4001,'All Donations'!$R$2:$R$4001,$AD81,'All Donations'!$T$2:$T$4001,L$1))</f>
        <v/>
      </c>
      <c r="M81" s="49">
        <f>IF(OR($AE81&lt;&gt;1,M$1=""),"",SUMIFS('All Donations'!$S$2:$S$4001,'All Donations'!$R$2:$R$4001,$AD81,'All Donations'!$T$2:$T$4001,M$1))</f>
        <v/>
      </c>
      <c r="N81" s="49">
        <f>IF(OR($AE81&lt;&gt;1,N$1=""),"",SUMIFS('All Donations'!$S$2:$S$4001,'All Donations'!$R$2:$R$4001,$AD81,'All Donations'!$T$2:$T$4001,N$1))</f>
        <v/>
      </c>
      <c r="O81" s="49">
        <f>IF(OR($AE81&lt;&gt;1,O$1=""),"",SUMIFS('All Donations'!$S$2:$S$4001,'All Donations'!$R$2:$R$4001,$AD81,'All Donations'!$T$2:$T$4001,O$1))</f>
        <v/>
      </c>
      <c r="P81" s="49">
        <f>IF(OR($AE81&lt;&gt;1,P$1=""),"",SUMIFS('All Donations'!$S$2:$S$4001,'All Donations'!$R$2:$R$4001,$AD81,'All Donations'!$T$2:$T$4001,P$1))</f>
        <v/>
      </c>
      <c r="Q81" s="49">
        <f>IF(OR($AE81&lt;&gt;1,Q$1=""),"",SUMIFS('All Donations'!$S$2:$S$4001,'All Donations'!$R$2:$R$4001,$AD81,'All Donations'!$T$2:$T$4001,Q$1))</f>
        <v/>
      </c>
      <c r="R81" s="49">
        <f>IF(OR($AE81&lt;&gt;1,R$1=""),"",SUMIFS('All Donations'!$S$2:$S$4001,'All Donations'!$R$2:$R$4001,$AD81,'All Donations'!$T$2:$T$4001,R$1))</f>
        <v/>
      </c>
      <c r="S81" s="49">
        <f>IF(OR($AE81&lt;&gt;1,S$1=""),"",SUMIFS('All Donations'!$S$2:$S$4001,'All Donations'!$R$2:$R$4001,$AD81,'All Donations'!$T$2:$T$4001,S$1))</f>
        <v/>
      </c>
      <c r="T81" s="49">
        <f>IF(OR($AE81&lt;&gt;1,T$1=""),"",SUMIFS('All Donations'!$S$2:$S$4001,'All Donations'!$R$2:$R$4001,$AD81,'All Donations'!$T$2:$T$4001,T$1))</f>
        <v/>
      </c>
      <c r="U81" s="49">
        <f>IF(OR($AE81&lt;&gt;1,U$1=""),"",SUMIFS('All Donations'!$S$2:$S$4001,'All Donations'!$R$2:$R$4001,$AD81,'All Donations'!$T$2:$T$4001,U$1))</f>
        <v/>
      </c>
      <c r="V81" s="49">
        <f>IF(OR($AE81&lt;&gt;1,V$1=""),"",SUMIFS('All Donations'!$S$2:$S$4001,'All Donations'!$R$2:$R$4001,$AD81,'All Donations'!$T$2:$T$4001,V$1))</f>
        <v/>
      </c>
      <c r="W81" s="49">
        <f>IF(OR($AE81&lt;&gt;1,W$1=""),"",SUMIFS('All Donations'!$S$2:$S$4001,'All Donations'!$R$2:$R$4001,$AD81,'All Donations'!$T$2:$T$4001,W$1))</f>
        <v/>
      </c>
      <c r="X81" s="49">
        <f>IF(OR($AE81&lt;&gt;1,X$1=""),"",SUMIFS('All Donations'!$S$2:$S$4001,'All Donations'!$R$2:$R$4001,$AD81,'All Donations'!$T$2:$T$4001,X$1))</f>
        <v/>
      </c>
      <c r="Y81" s="49">
        <f>IF(OR($AE81&lt;&gt;1,Y$1=""),"",SUMIFS('All Donations'!$S$2:$S$4001,'All Donations'!$R$2:$R$4001,$AD81,'All Donations'!$T$2:$T$4001,Y$1))</f>
        <v/>
      </c>
      <c r="Z81" s="49">
        <f>IF(OR($AE81&lt;&gt;1,Z$1=""),"",SUMIFS('All Donations'!$S$2:$S$4001,'All Donations'!$R$2:$R$4001,$AD81,'All Donations'!$T$2:$T$4001,Z$1))</f>
        <v/>
      </c>
      <c r="AA81" s="49">
        <f>IF(OR($AE81&lt;&gt;1,AA$1=""),"",SUMIFS('All Donations'!$S$2:$S$4001,'All Donations'!$R$2:$R$4001,$AD81,'All Donations'!$T$2:$T$4001,AA$1))</f>
        <v/>
      </c>
      <c r="AB81" s="49">
        <f>IF(OR($AE81&lt;&gt;1,AB$1=""),"",SUMIFS('All Donations'!$S$2:$S$4001,'All Donations'!$R$2:$R$4001,$AD81,'All Donations'!$T$2:$T$4001,AB$1))</f>
        <v/>
      </c>
      <c r="AC81" s="49">
        <f>IF(OR($AE81&lt;&gt;1,AC$1=""),"",SUMIFS('All Donations'!$S$2:$S$4001,'All Donations'!$R$2:$R$4001,$AD81,'All Donations'!$T$2:$T$4001,AC$1))</f>
        <v/>
      </c>
      <c r="AD81">
        <f>IF(AE81=1,'Roster'!A81,"")</f>
        <v/>
      </c>
      <c r="AE81">
        <f>IF(TRIM('Roster'!B81&amp;'Roster'!C81)&lt;&gt;"",1,0)</f>
        <v/>
      </c>
      <c r="AF81">
        <f>IF(AE81=1,LOWER(A81),"#")</f>
        <v/>
      </c>
      <c r="AG81">
        <f>IF(AE81=1,LOWER(TRIM(TRIM('Roster'!C81)&amp;", "&amp;TRIM('Roster'!B81))),"#")</f>
        <v/>
      </c>
      <c r="AH81">
        <f>IF(AND(AE81=1,TRIM('Roster'!F81)&lt;&gt;""),LOWER(TRIM('Roster'!F81)),"#")</f>
        <v/>
      </c>
      <c r="AI81">
        <f>IF(AE81=1,IF(MATCH(B81,$B$2:$B$701,0)=ROW()-1,1,0),0)</f>
        <v/>
      </c>
      <c r="AJ81">
        <f>AJ80+AI81</f>
        <v/>
      </c>
      <c r="AK81">
        <f>IF(AE81=1,D81+(1000-ROW())/10^7,-1)</f>
        <v/>
      </c>
      <c r="AL81">
        <f>IF(AE81=1,TRIM('Roster'!B81)&amp;" "&amp;LEFT(TRIM('Roster'!C81),1)&amp;".","")</f>
        <v/>
      </c>
      <c r="AM81">
        <f>IF(AE81=1,TRIM('Roster'!C81)&amp;", "&amp;TRIM('Roster'!B81)&amp;" ("&amp;B81&amp;") #"&amp;AD81,"")</f>
        <v/>
      </c>
      <c r="AN81">
        <f>IF(AE81=1,TRIM('Roster'!E81),"")</f>
        <v/>
      </c>
      <c r="AO81">
        <f>IF(AE81=1,ROUND(SUMIFS('All Donations'!$S$2:$S$4001,'All Donations'!$R$2:$R$4001,AD81,'All Donations'!$T$2:$T$4001,"&gt;="&amp;'Settings'!$C$23,'All Donations'!$T$2:$T$4001,"&lt;="&amp;'Settings'!$D$23),2),0)</f>
        <v/>
      </c>
      <c r="AQ81">
        <f>IF(AE81=1,ROUND(SUMIFS('All Donations'!$S$2:$S$4001,'All Donations'!$R$2:$R$4001,AD81,'All Donations'!$T$2:$T$4001,"&gt;="&amp;'Settings'!$C$25,'All Donations'!$T$2:$T$4001,"&lt;="&amp;'Settings'!$D$25),2),0)</f>
        <v/>
      </c>
      <c r="AR81">
        <f>IF(AE81=1,ROUND(SUMIFS('All Donations'!$S$2:$S$4001,'All Donations'!$R$2:$R$4001,AD81,'All Donations'!$T$2:$T$4001,"&gt;="&amp;'Settings'!$C$26,'All Donations'!$T$2:$T$4001,"&lt;="&amp;'Settings'!$D$26),2),0)</f>
        <v/>
      </c>
      <c r="AS81">
        <f>IF(AE81=1,ROUND(SUMIFS('All Donations'!$S$2:$S$4001,'All Donations'!$R$2:$R$4001,AD81,'All Donations'!$T$2:$T$4001,"&lt;="&amp;'Settings'!$D$27),2),0)</f>
        <v/>
      </c>
      <c r="AT81">
        <f>IF(AE81=1,ROUND(SUMIFS('All Donations'!$S$2:$S$4001,'All Donations'!$R$2:$R$4001,AD81,'All Donations'!$T$2:$T$4001,"&gt;="&amp;'Settings'!$C$28,'All Donations'!$T$2:$T$4001,"&lt;="&amp;'Settings'!$D$28),2),0)</f>
        <v/>
      </c>
      <c r="AU81">
        <f>IF(AE81=1,ROUND(SUMIFS('All Donations'!$S$2:$S$4001,'All Donations'!$R$2:$R$4001,AD81,'All Donations'!$T$2:$T$4001,"&gt;="&amp;'Settings'!$C$29,'All Donations'!$T$2:$T$4001,"&lt;="&amp;'Settings'!$D$29),2),0)</f>
        <v/>
      </c>
      <c r="AV81">
        <f>IF(AE81=1,ROUND(SUMIFS('All Donations'!$S$2:$S$4001,'All Donations'!$R$2:$R$4001,AD81,'All Donations'!$T$2:$T$4001,"&lt;="&amp;'Settings'!$D$30),2),0)</f>
        <v/>
      </c>
      <c r="AZ81">
        <f>IF(AE81=1,ROUND(SUMIFS('All Donations'!$S$2:$S$4001,'All Donations'!$R$2:$R$4001,AD81,'All Donations'!$T$2:$T$4001,"&lt;="&amp;'Settings'!$D$34),2),0)</f>
        <v/>
      </c>
    </row>
    <row r="82">
      <c r="A82">
        <f>IF(AE82=1,TRIM(TRIM('Roster'!B82)&amp;" "&amp;TRIM('Roster'!C82)),"")</f>
        <v/>
      </c>
      <c r="B82">
        <f>IF(AE82=1,IF(AN82="","(no teacher)",AN82&amp;" – "&amp;C82),"")</f>
        <v/>
      </c>
      <c r="C82">
        <f>IF(AE82=1,TRIM('Roster'!D82&amp;""),"")</f>
        <v/>
      </c>
      <c r="D82" s="48">
        <f>IF(AE82=1,ROUND(SUMIFS('All Donations'!$S$2:$S$4001,'All Donations'!$R$2:$R$4001,AD82),2),"")</f>
        <v/>
      </c>
      <c r="E82" s="48">
        <f>IF(AE82=1,ROUND(SUMIFS('All Donations'!$S$2:$S$4001,'All Donations'!$R$2:$R$4001,AD82,'All Donations'!$G$2:$G$4001,"OneCause"),2),"")</f>
        <v/>
      </c>
      <c r="F82" s="48">
        <f>IF(AE82=1,D82-E82,"")</f>
        <v/>
      </c>
      <c r="G82">
        <f>IF(AE82=1,COUNTIFS('All Donations'!$R$2:$R$4001,AD82,'All Donations'!$H$2:$H$4001,"OK"),"")</f>
        <v/>
      </c>
      <c r="H82">
        <f>IF(AE82&lt;&gt;1,"",IF(D82&gt;0,"Yes",""))</f>
        <v/>
      </c>
      <c r="I82" s="49">
        <f>IF(OR($AE82&lt;&gt;1,I$1=""),"",SUMIFS('All Donations'!$S$2:$S$4001,'All Donations'!$R$2:$R$4001,$AD82,'All Donations'!$T$2:$T$4001,I$1))</f>
        <v/>
      </c>
      <c r="J82" s="49">
        <f>IF(OR($AE82&lt;&gt;1,J$1=""),"",SUMIFS('All Donations'!$S$2:$S$4001,'All Donations'!$R$2:$R$4001,$AD82,'All Donations'!$T$2:$T$4001,J$1))</f>
        <v/>
      </c>
      <c r="K82" s="49">
        <f>IF(OR($AE82&lt;&gt;1,K$1=""),"",SUMIFS('All Donations'!$S$2:$S$4001,'All Donations'!$R$2:$R$4001,$AD82,'All Donations'!$T$2:$T$4001,K$1))</f>
        <v/>
      </c>
      <c r="L82" s="49">
        <f>IF(OR($AE82&lt;&gt;1,L$1=""),"",SUMIFS('All Donations'!$S$2:$S$4001,'All Donations'!$R$2:$R$4001,$AD82,'All Donations'!$T$2:$T$4001,L$1))</f>
        <v/>
      </c>
      <c r="M82" s="49">
        <f>IF(OR($AE82&lt;&gt;1,M$1=""),"",SUMIFS('All Donations'!$S$2:$S$4001,'All Donations'!$R$2:$R$4001,$AD82,'All Donations'!$T$2:$T$4001,M$1))</f>
        <v/>
      </c>
      <c r="N82" s="49">
        <f>IF(OR($AE82&lt;&gt;1,N$1=""),"",SUMIFS('All Donations'!$S$2:$S$4001,'All Donations'!$R$2:$R$4001,$AD82,'All Donations'!$T$2:$T$4001,N$1))</f>
        <v/>
      </c>
      <c r="O82" s="49">
        <f>IF(OR($AE82&lt;&gt;1,O$1=""),"",SUMIFS('All Donations'!$S$2:$S$4001,'All Donations'!$R$2:$R$4001,$AD82,'All Donations'!$T$2:$T$4001,O$1))</f>
        <v/>
      </c>
      <c r="P82" s="49">
        <f>IF(OR($AE82&lt;&gt;1,P$1=""),"",SUMIFS('All Donations'!$S$2:$S$4001,'All Donations'!$R$2:$R$4001,$AD82,'All Donations'!$T$2:$T$4001,P$1))</f>
        <v/>
      </c>
      <c r="Q82" s="49">
        <f>IF(OR($AE82&lt;&gt;1,Q$1=""),"",SUMIFS('All Donations'!$S$2:$S$4001,'All Donations'!$R$2:$R$4001,$AD82,'All Donations'!$T$2:$T$4001,Q$1))</f>
        <v/>
      </c>
      <c r="R82" s="49">
        <f>IF(OR($AE82&lt;&gt;1,R$1=""),"",SUMIFS('All Donations'!$S$2:$S$4001,'All Donations'!$R$2:$R$4001,$AD82,'All Donations'!$T$2:$T$4001,R$1))</f>
        <v/>
      </c>
      <c r="S82" s="49">
        <f>IF(OR($AE82&lt;&gt;1,S$1=""),"",SUMIFS('All Donations'!$S$2:$S$4001,'All Donations'!$R$2:$R$4001,$AD82,'All Donations'!$T$2:$T$4001,S$1))</f>
        <v/>
      </c>
      <c r="T82" s="49">
        <f>IF(OR($AE82&lt;&gt;1,T$1=""),"",SUMIFS('All Donations'!$S$2:$S$4001,'All Donations'!$R$2:$R$4001,$AD82,'All Donations'!$T$2:$T$4001,T$1))</f>
        <v/>
      </c>
      <c r="U82" s="49">
        <f>IF(OR($AE82&lt;&gt;1,U$1=""),"",SUMIFS('All Donations'!$S$2:$S$4001,'All Donations'!$R$2:$R$4001,$AD82,'All Donations'!$T$2:$T$4001,U$1))</f>
        <v/>
      </c>
      <c r="V82" s="49">
        <f>IF(OR($AE82&lt;&gt;1,V$1=""),"",SUMIFS('All Donations'!$S$2:$S$4001,'All Donations'!$R$2:$R$4001,$AD82,'All Donations'!$T$2:$T$4001,V$1))</f>
        <v/>
      </c>
      <c r="W82" s="49">
        <f>IF(OR($AE82&lt;&gt;1,W$1=""),"",SUMIFS('All Donations'!$S$2:$S$4001,'All Donations'!$R$2:$R$4001,$AD82,'All Donations'!$T$2:$T$4001,W$1))</f>
        <v/>
      </c>
      <c r="X82" s="49">
        <f>IF(OR($AE82&lt;&gt;1,X$1=""),"",SUMIFS('All Donations'!$S$2:$S$4001,'All Donations'!$R$2:$R$4001,$AD82,'All Donations'!$T$2:$T$4001,X$1))</f>
        <v/>
      </c>
      <c r="Y82" s="49">
        <f>IF(OR($AE82&lt;&gt;1,Y$1=""),"",SUMIFS('All Donations'!$S$2:$S$4001,'All Donations'!$R$2:$R$4001,$AD82,'All Donations'!$T$2:$T$4001,Y$1))</f>
        <v/>
      </c>
      <c r="Z82" s="49">
        <f>IF(OR($AE82&lt;&gt;1,Z$1=""),"",SUMIFS('All Donations'!$S$2:$S$4001,'All Donations'!$R$2:$R$4001,$AD82,'All Donations'!$T$2:$T$4001,Z$1))</f>
        <v/>
      </c>
      <c r="AA82" s="49">
        <f>IF(OR($AE82&lt;&gt;1,AA$1=""),"",SUMIFS('All Donations'!$S$2:$S$4001,'All Donations'!$R$2:$R$4001,$AD82,'All Donations'!$T$2:$T$4001,AA$1))</f>
        <v/>
      </c>
      <c r="AB82" s="49">
        <f>IF(OR($AE82&lt;&gt;1,AB$1=""),"",SUMIFS('All Donations'!$S$2:$S$4001,'All Donations'!$R$2:$R$4001,$AD82,'All Donations'!$T$2:$T$4001,AB$1))</f>
        <v/>
      </c>
      <c r="AC82" s="49">
        <f>IF(OR($AE82&lt;&gt;1,AC$1=""),"",SUMIFS('All Donations'!$S$2:$S$4001,'All Donations'!$R$2:$R$4001,$AD82,'All Donations'!$T$2:$T$4001,AC$1))</f>
        <v/>
      </c>
      <c r="AD82">
        <f>IF(AE82=1,'Roster'!A82,"")</f>
        <v/>
      </c>
      <c r="AE82">
        <f>IF(TRIM('Roster'!B82&amp;'Roster'!C82)&lt;&gt;"",1,0)</f>
        <v/>
      </c>
      <c r="AF82">
        <f>IF(AE82=1,LOWER(A82),"#")</f>
        <v/>
      </c>
      <c r="AG82">
        <f>IF(AE82=1,LOWER(TRIM(TRIM('Roster'!C82)&amp;", "&amp;TRIM('Roster'!B82))),"#")</f>
        <v/>
      </c>
      <c r="AH82">
        <f>IF(AND(AE82=1,TRIM('Roster'!F82)&lt;&gt;""),LOWER(TRIM('Roster'!F82)),"#")</f>
        <v/>
      </c>
      <c r="AI82">
        <f>IF(AE82=1,IF(MATCH(B82,$B$2:$B$701,0)=ROW()-1,1,0),0)</f>
        <v/>
      </c>
      <c r="AJ82">
        <f>AJ81+AI82</f>
        <v/>
      </c>
      <c r="AK82">
        <f>IF(AE82=1,D82+(1000-ROW())/10^7,-1)</f>
        <v/>
      </c>
      <c r="AL82">
        <f>IF(AE82=1,TRIM('Roster'!B82)&amp;" "&amp;LEFT(TRIM('Roster'!C82),1)&amp;".","")</f>
        <v/>
      </c>
      <c r="AM82">
        <f>IF(AE82=1,TRIM('Roster'!C82)&amp;", "&amp;TRIM('Roster'!B82)&amp;" ("&amp;B82&amp;") #"&amp;AD82,"")</f>
        <v/>
      </c>
      <c r="AN82">
        <f>IF(AE82=1,TRIM('Roster'!E82),"")</f>
        <v/>
      </c>
      <c r="AO82">
        <f>IF(AE82=1,ROUND(SUMIFS('All Donations'!$S$2:$S$4001,'All Donations'!$R$2:$R$4001,AD82,'All Donations'!$T$2:$T$4001,"&gt;="&amp;'Settings'!$C$23,'All Donations'!$T$2:$T$4001,"&lt;="&amp;'Settings'!$D$23),2),0)</f>
        <v/>
      </c>
      <c r="AQ82">
        <f>IF(AE82=1,ROUND(SUMIFS('All Donations'!$S$2:$S$4001,'All Donations'!$R$2:$R$4001,AD82,'All Donations'!$T$2:$T$4001,"&gt;="&amp;'Settings'!$C$25,'All Donations'!$T$2:$T$4001,"&lt;="&amp;'Settings'!$D$25),2),0)</f>
        <v/>
      </c>
      <c r="AR82">
        <f>IF(AE82=1,ROUND(SUMIFS('All Donations'!$S$2:$S$4001,'All Donations'!$R$2:$R$4001,AD82,'All Donations'!$T$2:$T$4001,"&gt;="&amp;'Settings'!$C$26,'All Donations'!$T$2:$T$4001,"&lt;="&amp;'Settings'!$D$26),2),0)</f>
        <v/>
      </c>
      <c r="AS82">
        <f>IF(AE82=1,ROUND(SUMIFS('All Donations'!$S$2:$S$4001,'All Donations'!$R$2:$R$4001,AD82,'All Donations'!$T$2:$T$4001,"&lt;="&amp;'Settings'!$D$27),2),0)</f>
        <v/>
      </c>
      <c r="AT82">
        <f>IF(AE82=1,ROUND(SUMIFS('All Donations'!$S$2:$S$4001,'All Donations'!$R$2:$R$4001,AD82,'All Donations'!$T$2:$T$4001,"&gt;="&amp;'Settings'!$C$28,'All Donations'!$T$2:$T$4001,"&lt;="&amp;'Settings'!$D$28),2),0)</f>
        <v/>
      </c>
      <c r="AU82">
        <f>IF(AE82=1,ROUND(SUMIFS('All Donations'!$S$2:$S$4001,'All Donations'!$R$2:$R$4001,AD82,'All Donations'!$T$2:$T$4001,"&gt;="&amp;'Settings'!$C$29,'All Donations'!$T$2:$T$4001,"&lt;="&amp;'Settings'!$D$29),2),0)</f>
        <v/>
      </c>
      <c r="AV82">
        <f>IF(AE82=1,ROUND(SUMIFS('All Donations'!$S$2:$S$4001,'All Donations'!$R$2:$R$4001,AD82,'All Donations'!$T$2:$T$4001,"&lt;="&amp;'Settings'!$D$30),2),0)</f>
        <v/>
      </c>
      <c r="AZ82">
        <f>IF(AE82=1,ROUND(SUMIFS('All Donations'!$S$2:$S$4001,'All Donations'!$R$2:$R$4001,AD82,'All Donations'!$T$2:$T$4001,"&lt;="&amp;'Settings'!$D$34),2),0)</f>
        <v/>
      </c>
    </row>
    <row r="83">
      <c r="A83">
        <f>IF(AE83=1,TRIM(TRIM('Roster'!B83)&amp;" "&amp;TRIM('Roster'!C83)),"")</f>
        <v/>
      </c>
      <c r="B83">
        <f>IF(AE83=1,IF(AN83="","(no teacher)",AN83&amp;" – "&amp;C83),"")</f>
        <v/>
      </c>
      <c r="C83">
        <f>IF(AE83=1,TRIM('Roster'!D83&amp;""),"")</f>
        <v/>
      </c>
      <c r="D83" s="48">
        <f>IF(AE83=1,ROUND(SUMIFS('All Donations'!$S$2:$S$4001,'All Donations'!$R$2:$R$4001,AD83),2),"")</f>
        <v/>
      </c>
      <c r="E83" s="48">
        <f>IF(AE83=1,ROUND(SUMIFS('All Donations'!$S$2:$S$4001,'All Donations'!$R$2:$R$4001,AD83,'All Donations'!$G$2:$G$4001,"OneCause"),2),"")</f>
        <v/>
      </c>
      <c r="F83" s="48">
        <f>IF(AE83=1,D83-E83,"")</f>
        <v/>
      </c>
      <c r="G83">
        <f>IF(AE83=1,COUNTIFS('All Donations'!$R$2:$R$4001,AD83,'All Donations'!$H$2:$H$4001,"OK"),"")</f>
        <v/>
      </c>
      <c r="H83">
        <f>IF(AE83&lt;&gt;1,"",IF(D83&gt;0,"Yes",""))</f>
        <v/>
      </c>
      <c r="I83" s="49">
        <f>IF(OR($AE83&lt;&gt;1,I$1=""),"",SUMIFS('All Donations'!$S$2:$S$4001,'All Donations'!$R$2:$R$4001,$AD83,'All Donations'!$T$2:$T$4001,I$1))</f>
        <v/>
      </c>
      <c r="J83" s="49">
        <f>IF(OR($AE83&lt;&gt;1,J$1=""),"",SUMIFS('All Donations'!$S$2:$S$4001,'All Donations'!$R$2:$R$4001,$AD83,'All Donations'!$T$2:$T$4001,J$1))</f>
        <v/>
      </c>
      <c r="K83" s="49">
        <f>IF(OR($AE83&lt;&gt;1,K$1=""),"",SUMIFS('All Donations'!$S$2:$S$4001,'All Donations'!$R$2:$R$4001,$AD83,'All Donations'!$T$2:$T$4001,K$1))</f>
        <v/>
      </c>
      <c r="L83" s="49">
        <f>IF(OR($AE83&lt;&gt;1,L$1=""),"",SUMIFS('All Donations'!$S$2:$S$4001,'All Donations'!$R$2:$R$4001,$AD83,'All Donations'!$T$2:$T$4001,L$1))</f>
        <v/>
      </c>
      <c r="M83" s="49">
        <f>IF(OR($AE83&lt;&gt;1,M$1=""),"",SUMIFS('All Donations'!$S$2:$S$4001,'All Donations'!$R$2:$R$4001,$AD83,'All Donations'!$T$2:$T$4001,M$1))</f>
        <v/>
      </c>
      <c r="N83" s="49">
        <f>IF(OR($AE83&lt;&gt;1,N$1=""),"",SUMIFS('All Donations'!$S$2:$S$4001,'All Donations'!$R$2:$R$4001,$AD83,'All Donations'!$T$2:$T$4001,N$1))</f>
        <v/>
      </c>
      <c r="O83" s="49">
        <f>IF(OR($AE83&lt;&gt;1,O$1=""),"",SUMIFS('All Donations'!$S$2:$S$4001,'All Donations'!$R$2:$R$4001,$AD83,'All Donations'!$T$2:$T$4001,O$1))</f>
        <v/>
      </c>
      <c r="P83" s="49">
        <f>IF(OR($AE83&lt;&gt;1,P$1=""),"",SUMIFS('All Donations'!$S$2:$S$4001,'All Donations'!$R$2:$R$4001,$AD83,'All Donations'!$T$2:$T$4001,P$1))</f>
        <v/>
      </c>
      <c r="Q83" s="49">
        <f>IF(OR($AE83&lt;&gt;1,Q$1=""),"",SUMIFS('All Donations'!$S$2:$S$4001,'All Donations'!$R$2:$R$4001,$AD83,'All Donations'!$T$2:$T$4001,Q$1))</f>
        <v/>
      </c>
      <c r="R83" s="49">
        <f>IF(OR($AE83&lt;&gt;1,R$1=""),"",SUMIFS('All Donations'!$S$2:$S$4001,'All Donations'!$R$2:$R$4001,$AD83,'All Donations'!$T$2:$T$4001,R$1))</f>
        <v/>
      </c>
      <c r="S83" s="49">
        <f>IF(OR($AE83&lt;&gt;1,S$1=""),"",SUMIFS('All Donations'!$S$2:$S$4001,'All Donations'!$R$2:$R$4001,$AD83,'All Donations'!$T$2:$T$4001,S$1))</f>
        <v/>
      </c>
      <c r="T83" s="49">
        <f>IF(OR($AE83&lt;&gt;1,T$1=""),"",SUMIFS('All Donations'!$S$2:$S$4001,'All Donations'!$R$2:$R$4001,$AD83,'All Donations'!$T$2:$T$4001,T$1))</f>
        <v/>
      </c>
      <c r="U83" s="49">
        <f>IF(OR($AE83&lt;&gt;1,U$1=""),"",SUMIFS('All Donations'!$S$2:$S$4001,'All Donations'!$R$2:$R$4001,$AD83,'All Donations'!$T$2:$T$4001,U$1))</f>
        <v/>
      </c>
      <c r="V83" s="49">
        <f>IF(OR($AE83&lt;&gt;1,V$1=""),"",SUMIFS('All Donations'!$S$2:$S$4001,'All Donations'!$R$2:$R$4001,$AD83,'All Donations'!$T$2:$T$4001,V$1))</f>
        <v/>
      </c>
      <c r="W83" s="49">
        <f>IF(OR($AE83&lt;&gt;1,W$1=""),"",SUMIFS('All Donations'!$S$2:$S$4001,'All Donations'!$R$2:$R$4001,$AD83,'All Donations'!$T$2:$T$4001,W$1))</f>
        <v/>
      </c>
      <c r="X83" s="49">
        <f>IF(OR($AE83&lt;&gt;1,X$1=""),"",SUMIFS('All Donations'!$S$2:$S$4001,'All Donations'!$R$2:$R$4001,$AD83,'All Donations'!$T$2:$T$4001,X$1))</f>
        <v/>
      </c>
      <c r="Y83" s="49">
        <f>IF(OR($AE83&lt;&gt;1,Y$1=""),"",SUMIFS('All Donations'!$S$2:$S$4001,'All Donations'!$R$2:$R$4001,$AD83,'All Donations'!$T$2:$T$4001,Y$1))</f>
        <v/>
      </c>
      <c r="Z83" s="49">
        <f>IF(OR($AE83&lt;&gt;1,Z$1=""),"",SUMIFS('All Donations'!$S$2:$S$4001,'All Donations'!$R$2:$R$4001,$AD83,'All Donations'!$T$2:$T$4001,Z$1))</f>
        <v/>
      </c>
      <c r="AA83" s="49">
        <f>IF(OR($AE83&lt;&gt;1,AA$1=""),"",SUMIFS('All Donations'!$S$2:$S$4001,'All Donations'!$R$2:$R$4001,$AD83,'All Donations'!$T$2:$T$4001,AA$1))</f>
        <v/>
      </c>
      <c r="AB83" s="49">
        <f>IF(OR($AE83&lt;&gt;1,AB$1=""),"",SUMIFS('All Donations'!$S$2:$S$4001,'All Donations'!$R$2:$R$4001,$AD83,'All Donations'!$T$2:$T$4001,AB$1))</f>
        <v/>
      </c>
      <c r="AC83" s="49">
        <f>IF(OR($AE83&lt;&gt;1,AC$1=""),"",SUMIFS('All Donations'!$S$2:$S$4001,'All Donations'!$R$2:$R$4001,$AD83,'All Donations'!$T$2:$T$4001,AC$1))</f>
        <v/>
      </c>
      <c r="AD83">
        <f>IF(AE83=1,'Roster'!A83,"")</f>
        <v/>
      </c>
      <c r="AE83">
        <f>IF(TRIM('Roster'!B83&amp;'Roster'!C83)&lt;&gt;"",1,0)</f>
        <v/>
      </c>
      <c r="AF83">
        <f>IF(AE83=1,LOWER(A83),"#")</f>
        <v/>
      </c>
      <c r="AG83">
        <f>IF(AE83=1,LOWER(TRIM(TRIM('Roster'!C83)&amp;", "&amp;TRIM('Roster'!B83))),"#")</f>
        <v/>
      </c>
      <c r="AH83">
        <f>IF(AND(AE83=1,TRIM('Roster'!F83)&lt;&gt;""),LOWER(TRIM('Roster'!F83)),"#")</f>
        <v/>
      </c>
      <c r="AI83">
        <f>IF(AE83=1,IF(MATCH(B83,$B$2:$B$701,0)=ROW()-1,1,0),0)</f>
        <v/>
      </c>
      <c r="AJ83">
        <f>AJ82+AI83</f>
        <v/>
      </c>
      <c r="AK83">
        <f>IF(AE83=1,D83+(1000-ROW())/10^7,-1)</f>
        <v/>
      </c>
      <c r="AL83">
        <f>IF(AE83=1,TRIM('Roster'!B83)&amp;" "&amp;LEFT(TRIM('Roster'!C83),1)&amp;".","")</f>
        <v/>
      </c>
      <c r="AM83">
        <f>IF(AE83=1,TRIM('Roster'!C83)&amp;", "&amp;TRIM('Roster'!B83)&amp;" ("&amp;B83&amp;") #"&amp;AD83,"")</f>
        <v/>
      </c>
      <c r="AN83">
        <f>IF(AE83=1,TRIM('Roster'!E83),"")</f>
        <v/>
      </c>
      <c r="AO83">
        <f>IF(AE83=1,ROUND(SUMIFS('All Donations'!$S$2:$S$4001,'All Donations'!$R$2:$R$4001,AD83,'All Donations'!$T$2:$T$4001,"&gt;="&amp;'Settings'!$C$23,'All Donations'!$T$2:$T$4001,"&lt;="&amp;'Settings'!$D$23),2),0)</f>
        <v/>
      </c>
      <c r="AQ83">
        <f>IF(AE83=1,ROUND(SUMIFS('All Donations'!$S$2:$S$4001,'All Donations'!$R$2:$R$4001,AD83,'All Donations'!$T$2:$T$4001,"&gt;="&amp;'Settings'!$C$25,'All Donations'!$T$2:$T$4001,"&lt;="&amp;'Settings'!$D$25),2),0)</f>
        <v/>
      </c>
      <c r="AR83">
        <f>IF(AE83=1,ROUND(SUMIFS('All Donations'!$S$2:$S$4001,'All Donations'!$R$2:$R$4001,AD83,'All Donations'!$T$2:$T$4001,"&gt;="&amp;'Settings'!$C$26,'All Donations'!$T$2:$T$4001,"&lt;="&amp;'Settings'!$D$26),2),0)</f>
        <v/>
      </c>
      <c r="AS83">
        <f>IF(AE83=1,ROUND(SUMIFS('All Donations'!$S$2:$S$4001,'All Donations'!$R$2:$R$4001,AD83,'All Donations'!$T$2:$T$4001,"&lt;="&amp;'Settings'!$D$27),2),0)</f>
        <v/>
      </c>
      <c r="AT83">
        <f>IF(AE83=1,ROUND(SUMIFS('All Donations'!$S$2:$S$4001,'All Donations'!$R$2:$R$4001,AD83,'All Donations'!$T$2:$T$4001,"&gt;="&amp;'Settings'!$C$28,'All Donations'!$T$2:$T$4001,"&lt;="&amp;'Settings'!$D$28),2),0)</f>
        <v/>
      </c>
      <c r="AU83">
        <f>IF(AE83=1,ROUND(SUMIFS('All Donations'!$S$2:$S$4001,'All Donations'!$R$2:$R$4001,AD83,'All Donations'!$T$2:$T$4001,"&gt;="&amp;'Settings'!$C$29,'All Donations'!$T$2:$T$4001,"&lt;="&amp;'Settings'!$D$29),2),0)</f>
        <v/>
      </c>
      <c r="AV83">
        <f>IF(AE83=1,ROUND(SUMIFS('All Donations'!$S$2:$S$4001,'All Donations'!$R$2:$R$4001,AD83,'All Donations'!$T$2:$T$4001,"&lt;="&amp;'Settings'!$D$30),2),0)</f>
        <v/>
      </c>
      <c r="AZ83">
        <f>IF(AE83=1,ROUND(SUMIFS('All Donations'!$S$2:$S$4001,'All Donations'!$R$2:$R$4001,AD83,'All Donations'!$T$2:$T$4001,"&lt;="&amp;'Settings'!$D$34),2),0)</f>
        <v/>
      </c>
    </row>
    <row r="84">
      <c r="A84">
        <f>IF(AE84=1,TRIM(TRIM('Roster'!B84)&amp;" "&amp;TRIM('Roster'!C84)),"")</f>
        <v/>
      </c>
      <c r="B84">
        <f>IF(AE84=1,IF(AN84="","(no teacher)",AN84&amp;" – "&amp;C84),"")</f>
        <v/>
      </c>
      <c r="C84">
        <f>IF(AE84=1,TRIM('Roster'!D84&amp;""),"")</f>
        <v/>
      </c>
      <c r="D84" s="48">
        <f>IF(AE84=1,ROUND(SUMIFS('All Donations'!$S$2:$S$4001,'All Donations'!$R$2:$R$4001,AD84),2),"")</f>
        <v/>
      </c>
      <c r="E84" s="48">
        <f>IF(AE84=1,ROUND(SUMIFS('All Donations'!$S$2:$S$4001,'All Donations'!$R$2:$R$4001,AD84,'All Donations'!$G$2:$G$4001,"OneCause"),2),"")</f>
        <v/>
      </c>
      <c r="F84" s="48">
        <f>IF(AE84=1,D84-E84,"")</f>
        <v/>
      </c>
      <c r="G84">
        <f>IF(AE84=1,COUNTIFS('All Donations'!$R$2:$R$4001,AD84,'All Donations'!$H$2:$H$4001,"OK"),"")</f>
        <v/>
      </c>
      <c r="H84">
        <f>IF(AE84&lt;&gt;1,"",IF(D84&gt;0,"Yes",""))</f>
        <v/>
      </c>
      <c r="I84" s="49">
        <f>IF(OR($AE84&lt;&gt;1,I$1=""),"",SUMIFS('All Donations'!$S$2:$S$4001,'All Donations'!$R$2:$R$4001,$AD84,'All Donations'!$T$2:$T$4001,I$1))</f>
        <v/>
      </c>
      <c r="J84" s="49">
        <f>IF(OR($AE84&lt;&gt;1,J$1=""),"",SUMIFS('All Donations'!$S$2:$S$4001,'All Donations'!$R$2:$R$4001,$AD84,'All Donations'!$T$2:$T$4001,J$1))</f>
        <v/>
      </c>
      <c r="K84" s="49">
        <f>IF(OR($AE84&lt;&gt;1,K$1=""),"",SUMIFS('All Donations'!$S$2:$S$4001,'All Donations'!$R$2:$R$4001,$AD84,'All Donations'!$T$2:$T$4001,K$1))</f>
        <v/>
      </c>
      <c r="L84" s="49">
        <f>IF(OR($AE84&lt;&gt;1,L$1=""),"",SUMIFS('All Donations'!$S$2:$S$4001,'All Donations'!$R$2:$R$4001,$AD84,'All Donations'!$T$2:$T$4001,L$1))</f>
        <v/>
      </c>
      <c r="M84" s="49">
        <f>IF(OR($AE84&lt;&gt;1,M$1=""),"",SUMIFS('All Donations'!$S$2:$S$4001,'All Donations'!$R$2:$R$4001,$AD84,'All Donations'!$T$2:$T$4001,M$1))</f>
        <v/>
      </c>
      <c r="N84" s="49">
        <f>IF(OR($AE84&lt;&gt;1,N$1=""),"",SUMIFS('All Donations'!$S$2:$S$4001,'All Donations'!$R$2:$R$4001,$AD84,'All Donations'!$T$2:$T$4001,N$1))</f>
        <v/>
      </c>
      <c r="O84" s="49">
        <f>IF(OR($AE84&lt;&gt;1,O$1=""),"",SUMIFS('All Donations'!$S$2:$S$4001,'All Donations'!$R$2:$R$4001,$AD84,'All Donations'!$T$2:$T$4001,O$1))</f>
        <v/>
      </c>
      <c r="P84" s="49">
        <f>IF(OR($AE84&lt;&gt;1,P$1=""),"",SUMIFS('All Donations'!$S$2:$S$4001,'All Donations'!$R$2:$R$4001,$AD84,'All Donations'!$T$2:$T$4001,P$1))</f>
        <v/>
      </c>
      <c r="Q84" s="49">
        <f>IF(OR($AE84&lt;&gt;1,Q$1=""),"",SUMIFS('All Donations'!$S$2:$S$4001,'All Donations'!$R$2:$R$4001,$AD84,'All Donations'!$T$2:$T$4001,Q$1))</f>
        <v/>
      </c>
      <c r="R84" s="49">
        <f>IF(OR($AE84&lt;&gt;1,R$1=""),"",SUMIFS('All Donations'!$S$2:$S$4001,'All Donations'!$R$2:$R$4001,$AD84,'All Donations'!$T$2:$T$4001,R$1))</f>
        <v/>
      </c>
      <c r="S84" s="49">
        <f>IF(OR($AE84&lt;&gt;1,S$1=""),"",SUMIFS('All Donations'!$S$2:$S$4001,'All Donations'!$R$2:$R$4001,$AD84,'All Donations'!$T$2:$T$4001,S$1))</f>
        <v/>
      </c>
      <c r="T84" s="49">
        <f>IF(OR($AE84&lt;&gt;1,T$1=""),"",SUMIFS('All Donations'!$S$2:$S$4001,'All Donations'!$R$2:$R$4001,$AD84,'All Donations'!$T$2:$T$4001,T$1))</f>
        <v/>
      </c>
      <c r="U84" s="49">
        <f>IF(OR($AE84&lt;&gt;1,U$1=""),"",SUMIFS('All Donations'!$S$2:$S$4001,'All Donations'!$R$2:$R$4001,$AD84,'All Donations'!$T$2:$T$4001,U$1))</f>
        <v/>
      </c>
      <c r="V84" s="49">
        <f>IF(OR($AE84&lt;&gt;1,V$1=""),"",SUMIFS('All Donations'!$S$2:$S$4001,'All Donations'!$R$2:$R$4001,$AD84,'All Donations'!$T$2:$T$4001,V$1))</f>
        <v/>
      </c>
      <c r="W84" s="49">
        <f>IF(OR($AE84&lt;&gt;1,W$1=""),"",SUMIFS('All Donations'!$S$2:$S$4001,'All Donations'!$R$2:$R$4001,$AD84,'All Donations'!$T$2:$T$4001,W$1))</f>
        <v/>
      </c>
      <c r="X84" s="49">
        <f>IF(OR($AE84&lt;&gt;1,X$1=""),"",SUMIFS('All Donations'!$S$2:$S$4001,'All Donations'!$R$2:$R$4001,$AD84,'All Donations'!$T$2:$T$4001,X$1))</f>
        <v/>
      </c>
      <c r="Y84" s="49">
        <f>IF(OR($AE84&lt;&gt;1,Y$1=""),"",SUMIFS('All Donations'!$S$2:$S$4001,'All Donations'!$R$2:$R$4001,$AD84,'All Donations'!$T$2:$T$4001,Y$1))</f>
        <v/>
      </c>
      <c r="Z84" s="49">
        <f>IF(OR($AE84&lt;&gt;1,Z$1=""),"",SUMIFS('All Donations'!$S$2:$S$4001,'All Donations'!$R$2:$R$4001,$AD84,'All Donations'!$T$2:$T$4001,Z$1))</f>
        <v/>
      </c>
      <c r="AA84" s="49">
        <f>IF(OR($AE84&lt;&gt;1,AA$1=""),"",SUMIFS('All Donations'!$S$2:$S$4001,'All Donations'!$R$2:$R$4001,$AD84,'All Donations'!$T$2:$T$4001,AA$1))</f>
        <v/>
      </c>
      <c r="AB84" s="49">
        <f>IF(OR($AE84&lt;&gt;1,AB$1=""),"",SUMIFS('All Donations'!$S$2:$S$4001,'All Donations'!$R$2:$R$4001,$AD84,'All Donations'!$T$2:$T$4001,AB$1))</f>
        <v/>
      </c>
      <c r="AC84" s="49">
        <f>IF(OR($AE84&lt;&gt;1,AC$1=""),"",SUMIFS('All Donations'!$S$2:$S$4001,'All Donations'!$R$2:$R$4001,$AD84,'All Donations'!$T$2:$T$4001,AC$1))</f>
        <v/>
      </c>
      <c r="AD84">
        <f>IF(AE84=1,'Roster'!A84,"")</f>
        <v/>
      </c>
      <c r="AE84">
        <f>IF(TRIM('Roster'!B84&amp;'Roster'!C84)&lt;&gt;"",1,0)</f>
        <v/>
      </c>
      <c r="AF84">
        <f>IF(AE84=1,LOWER(A84),"#")</f>
        <v/>
      </c>
      <c r="AG84">
        <f>IF(AE84=1,LOWER(TRIM(TRIM('Roster'!C84)&amp;", "&amp;TRIM('Roster'!B84))),"#")</f>
        <v/>
      </c>
      <c r="AH84">
        <f>IF(AND(AE84=1,TRIM('Roster'!F84)&lt;&gt;""),LOWER(TRIM('Roster'!F84)),"#")</f>
        <v/>
      </c>
      <c r="AI84">
        <f>IF(AE84=1,IF(MATCH(B84,$B$2:$B$701,0)=ROW()-1,1,0),0)</f>
        <v/>
      </c>
      <c r="AJ84">
        <f>AJ83+AI84</f>
        <v/>
      </c>
      <c r="AK84">
        <f>IF(AE84=1,D84+(1000-ROW())/10^7,-1)</f>
        <v/>
      </c>
      <c r="AL84">
        <f>IF(AE84=1,TRIM('Roster'!B84)&amp;" "&amp;LEFT(TRIM('Roster'!C84),1)&amp;".","")</f>
        <v/>
      </c>
      <c r="AM84">
        <f>IF(AE84=1,TRIM('Roster'!C84)&amp;", "&amp;TRIM('Roster'!B84)&amp;" ("&amp;B84&amp;") #"&amp;AD84,"")</f>
        <v/>
      </c>
      <c r="AN84">
        <f>IF(AE84=1,TRIM('Roster'!E84),"")</f>
        <v/>
      </c>
      <c r="AO84">
        <f>IF(AE84=1,ROUND(SUMIFS('All Donations'!$S$2:$S$4001,'All Donations'!$R$2:$R$4001,AD84,'All Donations'!$T$2:$T$4001,"&gt;="&amp;'Settings'!$C$23,'All Donations'!$T$2:$T$4001,"&lt;="&amp;'Settings'!$D$23),2),0)</f>
        <v/>
      </c>
      <c r="AQ84">
        <f>IF(AE84=1,ROUND(SUMIFS('All Donations'!$S$2:$S$4001,'All Donations'!$R$2:$R$4001,AD84,'All Donations'!$T$2:$T$4001,"&gt;="&amp;'Settings'!$C$25,'All Donations'!$T$2:$T$4001,"&lt;="&amp;'Settings'!$D$25),2),0)</f>
        <v/>
      </c>
      <c r="AR84">
        <f>IF(AE84=1,ROUND(SUMIFS('All Donations'!$S$2:$S$4001,'All Donations'!$R$2:$R$4001,AD84,'All Donations'!$T$2:$T$4001,"&gt;="&amp;'Settings'!$C$26,'All Donations'!$T$2:$T$4001,"&lt;="&amp;'Settings'!$D$26),2),0)</f>
        <v/>
      </c>
      <c r="AS84">
        <f>IF(AE84=1,ROUND(SUMIFS('All Donations'!$S$2:$S$4001,'All Donations'!$R$2:$R$4001,AD84,'All Donations'!$T$2:$T$4001,"&lt;="&amp;'Settings'!$D$27),2),0)</f>
        <v/>
      </c>
      <c r="AT84">
        <f>IF(AE84=1,ROUND(SUMIFS('All Donations'!$S$2:$S$4001,'All Donations'!$R$2:$R$4001,AD84,'All Donations'!$T$2:$T$4001,"&gt;="&amp;'Settings'!$C$28,'All Donations'!$T$2:$T$4001,"&lt;="&amp;'Settings'!$D$28),2),0)</f>
        <v/>
      </c>
      <c r="AU84">
        <f>IF(AE84=1,ROUND(SUMIFS('All Donations'!$S$2:$S$4001,'All Donations'!$R$2:$R$4001,AD84,'All Donations'!$T$2:$T$4001,"&gt;="&amp;'Settings'!$C$29,'All Donations'!$T$2:$T$4001,"&lt;="&amp;'Settings'!$D$29),2),0)</f>
        <v/>
      </c>
      <c r="AV84">
        <f>IF(AE84=1,ROUND(SUMIFS('All Donations'!$S$2:$S$4001,'All Donations'!$R$2:$R$4001,AD84,'All Donations'!$T$2:$T$4001,"&lt;="&amp;'Settings'!$D$30),2),0)</f>
        <v/>
      </c>
      <c r="AZ84">
        <f>IF(AE84=1,ROUND(SUMIFS('All Donations'!$S$2:$S$4001,'All Donations'!$R$2:$R$4001,AD84,'All Donations'!$T$2:$T$4001,"&lt;="&amp;'Settings'!$D$34),2),0)</f>
        <v/>
      </c>
    </row>
    <row r="85">
      <c r="A85">
        <f>IF(AE85=1,TRIM(TRIM('Roster'!B85)&amp;" "&amp;TRIM('Roster'!C85)),"")</f>
        <v/>
      </c>
      <c r="B85">
        <f>IF(AE85=1,IF(AN85="","(no teacher)",AN85&amp;" – "&amp;C85),"")</f>
        <v/>
      </c>
      <c r="C85">
        <f>IF(AE85=1,TRIM('Roster'!D85&amp;""),"")</f>
        <v/>
      </c>
      <c r="D85" s="48">
        <f>IF(AE85=1,ROUND(SUMIFS('All Donations'!$S$2:$S$4001,'All Donations'!$R$2:$R$4001,AD85),2),"")</f>
        <v/>
      </c>
      <c r="E85" s="48">
        <f>IF(AE85=1,ROUND(SUMIFS('All Donations'!$S$2:$S$4001,'All Donations'!$R$2:$R$4001,AD85,'All Donations'!$G$2:$G$4001,"OneCause"),2),"")</f>
        <v/>
      </c>
      <c r="F85" s="48">
        <f>IF(AE85=1,D85-E85,"")</f>
        <v/>
      </c>
      <c r="G85">
        <f>IF(AE85=1,COUNTIFS('All Donations'!$R$2:$R$4001,AD85,'All Donations'!$H$2:$H$4001,"OK"),"")</f>
        <v/>
      </c>
      <c r="H85">
        <f>IF(AE85&lt;&gt;1,"",IF(D85&gt;0,"Yes",""))</f>
        <v/>
      </c>
      <c r="I85" s="49">
        <f>IF(OR($AE85&lt;&gt;1,I$1=""),"",SUMIFS('All Donations'!$S$2:$S$4001,'All Donations'!$R$2:$R$4001,$AD85,'All Donations'!$T$2:$T$4001,I$1))</f>
        <v/>
      </c>
      <c r="J85" s="49">
        <f>IF(OR($AE85&lt;&gt;1,J$1=""),"",SUMIFS('All Donations'!$S$2:$S$4001,'All Donations'!$R$2:$R$4001,$AD85,'All Donations'!$T$2:$T$4001,J$1))</f>
        <v/>
      </c>
      <c r="K85" s="49">
        <f>IF(OR($AE85&lt;&gt;1,K$1=""),"",SUMIFS('All Donations'!$S$2:$S$4001,'All Donations'!$R$2:$R$4001,$AD85,'All Donations'!$T$2:$T$4001,K$1))</f>
        <v/>
      </c>
      <c r="L85" s="49">
        <f>IF(OR($AE85&lt;&gt;1,L$1=""),"",SUMIFS('All Donations'!$S$2:$S$4001,'All Donations'!$R$2:$R$4001,$AD85,'All Donations'!$T$2:$T$4001,L$1))</f>
        <v/>
      </c>
      <c r="M85" s="49">
        <f>IF(OR($AE85&lt;&gt;1,M$1=""),"",SUMIFS('All Donations'!$S$2:$S$4001,'All Donations'!$R$2:$R$4001,$AD85,'All Donations'!$T$2:$T$4001,M$1))</f>
        <v/>
      </c>
      <c r="N85" s="49">
        <f>IF(OR($AE85&lt;&gt;1,N$1=""),"",SUMIFS('All Donations'!$S$2:$S$4001,'All Donations'!$R$2:$R$4001,$AD85,'All Donations'!$T$2:$T$4001,N$1))</f>
        <v/>
      </c>
      <c r="O85" s="49">
        <f>IF(OR($AE85&lt;&gt;1,O$1=""),"",SUMIFS('All Donations'!$S$2:$S$4001,'All Donations'!$R$2:$R$4001,$AD85,'All Donations'!$T$2:$T$4001,O$1))</f>
        <v/>
      </c>
      <c r="P85" s="49">
        <f>IF(OR($AE85&lt;&gt;1,P$1=""),"",SUMIFS('All Donations'!$S$2:$S$4001,'All Donations'!$R$2:$R$4001,$AD85,'All Donations'!$T$2:$T$4001,P$1))</f>
        <v/>
      </c>
      <c r="Q85" s="49">
        <f>IF(OR($AE85&lt;&gt;1,Q$1=""),"",SUMIFS('All Donations'!$S$2:$S$4001,'All Donations'!$R$2:$R$4001,$AD85,'All Donations'!$T$2:$T$4001,Q$1))</f>
        <v/>
      </c>
      <c r="R85" s="49">
        <f>IF(OR($AE85&lt;&gt;1,R$1=""),"",SUMIFS('All Donations'!$S$2:$S$4001,'All Donations'!$R$2:$R$4001,$AD85,'All Donations'!$T$2:$T$4001,R$1))</f>
        <v/>
      </c>
      <c r="S85" s="49">
        <f>IF(OR($AE85&lt;&gt;1,S$1=""),"",SUMIFS('All Donations'!$S$2:$S$4001,'All Donations'!$R$2:$R$4001,$AD85,'All Donations'!$T$2:$T$4001,S$1))</f>
        <v/>
      </c>
      <c r="T85" s="49">
        <f>IF(OR($AE85&lt;&gt;1,T$1=""),"",SUMIFS('All Donations'!$S$2:$S$4001,'All Donations'!$R$2:$R$4001,$AD85,'All Donations'!$T$2:$T$4001,T$1))</f>
        <v/>
      </c>
      <c r="U85" s="49">
        <f>IF(OR($AE85&lt;&gt;1,U$1=""),"",SUMIFS('All Donations'!$S$2:$S$4001,'All Donations'!$R$2:$R$4001,$AD85,'All Donations'!$T$2:$T$4001,U$1))</f>
        <v/>
      </c>
      <c r="V85" s="49">
        <f>IF(OR($AE85&lt;&gt;1,V$1=""),"",SUMIFS('All Donations'!$S$2:$S$4001,'All Donations'!$R$2:$R$4001,$AD85,'All Donations'!$T$2:$T$4001,V$1))</f>
        <v/>
      </c>
      <c r="W85" s="49">
        <f>IF(OR($AE85&lt;&gt;1,W$1=""),"",SUMIFS('All Donations'!$S$2:$S$4001,'All Donations'!$R$2:$R$4001,$AD85,'All Donations'!$T$2:$T$4001,W$1))</f>
        <v/>
      </c>
      <c r="X85" s="49">
        <f>IF(OR($AE85&lt;&gt;1,X$1=""),"",SUMIFS('All Donations'!$S$2:$S$4001,'All Donations'!$R$2:$R$4001,$AD85,'All Donations'!$T$2:$T$4001,X$1))</f>
        <v/>
      </c>
      <c r="Y85" s="49">
        <f>IF(OR($AE85&lt;&gt;1,Y$1=""),"",SUMIFS('All Donations'!$S$2:$S$4001,'All Donations'!$R$2:$R$4001,$AD85,'All Donations'!$T$2:$T$4001,Y$1))</f>
        <v/>
      </c>
      <c r="Z85" s="49">
        <f>IF(OR($AE85&lt;&gt;1,Z$1=""),"",SUMIFS('All Donations'!$S$2:$S$4001,'All Donations'!$R$2:$R$4001,$AD85,'All Donations'!$T$2:$T$4001,Z$1))</f>
        <v/>
      </c>
      <c r="AA85" s="49">
        <f>IF(OR($AE85&lt;&gt;1,AA$1=""),"",SUMIFS('All Donations'!$S$2:$S$4001,'All Donations'!$R$2:$R$4001,$AD85,'All Donations'!$T$2:$T$4001,AA$1))</f>
        <v/>
      </c>
      <c r="AB85" s="49">
        <f>IF(OR($AE85&lt;&gt;1,AB$1=""),"",SUMIFS('All Donations'!$S$2:$S$4001,'All Donations'!$R$2:$R$4001,$AD85,'All Donations'!$T$2:$T$4001,AB$1))</f>
        <v/>
      </c>
      <c r="AC85" s="49">
        <f>IF(OR($AE85&lt;&gt;1,AC$1=""),"",SUMIFS('All Donations'!$S$2:$S$4001,'All Donations'!$R$2:$R$4001,$AD85,'All Donations'!$T$2:$T$4001,AC$1))</f>
        <v/>
      </c>
      <c r="AD85">
        <f>IF(AE85=1,'Roster'!A85,"")</f>
        <v/>
      </c>
      <c r="AE85">
        <f>IF(TRIM('Roster'!B85&amp;'Roster'!C85)&lt;&gt;"",1,0)</f>
        <v/>
      </c>
      <c r="AF85">
        <f>IF(AE85=1,LOWER(A85),"#")</f>
        <v/>
      </c>
      <c r="AG85">
        <f>IF(AE85=1,LOWER(TRIM(TRIM('Roster'!C85)&amp;", "&amp;TRIM('Roster'!B85))),"#")</f>
        <v/>
      </c>
      <c r="AH85">
        <f>IF(AND(AE85=1,TRIM('Roster'!F85)&lt;&gt;""),LOWER(TRIM('Roster'!F85)),"#")</f>
        <v/>
      </c>
      <c r="AI85">
        <f>IF(AE85=1,IF(MATCH(B85,$B$2:$B$701,0)=ROW()-1,1,0),0)</f>
        <v/>
      </c>
      <c r="AJ85">
        <f>AJ84+AI85</f>
        <v/>
      </c>
      <c r="AK85">
        <f>IF(AE85=1,D85+(1000-ROW())/10^7,-1)</f>
        <v/>
      </c>
      <c r="AL85">
        <f>IF(AE85=1,TRIM('Roster'!B85)&amp;" "&amp;LEFT(TRIM('Roster'!C85),1)&amp;".","")</f>
        <v/>
      </c>
      <c r="AM85">
        <f>IF(AE85=1,TRIM('Roster'!C85)&amp;", "&amp;TRIM('Roster'!B85)&amp;" ("&amp;B85&amp;") #"&amp;AD85,"")</f>
        <v/>
      </c>
      <c r="AN85">
        <f>IF(AE85=1,TRIM('Roster'!E85),"")</f>
        <v/>
      </c>
      <c r="AO85">
        <f>IF(AE85=1,ROUND(SUMIFS('All Donations'!$S$2:$S$4001,'All Donations'!$R$2:$R$4001,AD85,'All Donations'!$T$2:$T$4001,"&gt;="&amp;'Settings'!$C$23,'All Donations'!$T$2:$T$4001,"&lt;="&amp;'Settings'!$D$23),2),0)</f>
        <v/>
      </c>
      <c r="AQ85">
        <f>IF(AE85=1,ROUND(SUMIFS('All Donations'!$S$2:$S$4001,'All Donations'!$R$2:$R$4001,AD85,'All Donations'!$T$2:$T$4001,"&gt;="&amp;'Settings'!$C$25,'All Donations'!$T$2:$T$4001,"&lt;="&amp;'Settings'!$D$25),2),0)</f>
        <v/>
      </c>
      <c r="AR85">
        <f>IF(AE85=1,ROUND(SUMIFS('All Donations'!$S$2:$S$4001,'All Donations'!$R$2:$R$4001,AD85,'All Donations'!$T$2:$T$4001,"&gt;="&amp;'Settings'!$C$26,'All Donations'!$T$2:$T$4001,"&lt;="&amp;'Settings'!$D$26),2),0)</f>
        <v/>
      </c>
      <c r="AS85">
        <f>IF(AE85=1,ROUND(SUMIFS('All Donations'!$S$2:$S$4001,'All Donations'!$R$2:$R$4001,AD85,'All Donations'!$T$2:$T$4001,"&lt;="&amp;'Settings'!$D$27),2),0)</f>
        <v/>
      </c>
      <c r="AT85">
        <f>IF(AE85=1,ROUND(SUMIFS('All Donations'!$S$2:$S$4001,'All Donations'!$R$2:$R$4001,AD85,'All Donations'!$T$2:$T$4001,"&gt;="&amp;'Settings'!$C$28,'All Donations'!$T$2:$T$4001,"&lt;="&amp;'Settings'!$D$28),2),0)</f>
        <v/>
      </c>
      <c r="AU85">
        <f>IF(AE85=1,ROUND(SUMIFS('All Donations'!$S$2:$S$4001,'All Donations'!$R$2:$R$4001,AD85,'All Donations'!$T$2:$T$4001,"&gt;="&amp;'Settings'!$C$29,'All Donations'!$T$2:$T$4001,"&lt;="&amp;'Settings'!$D$29),2),0)</f>
        <v/>
      </c>
      <c r="AV85">
        <f>IF(AE85=1,ROUND(SUMIFS('All Donations'!$S$2:$S$4001,'All Donations'!$R$2:$R$4001,AD85,'All Donations'!$T$2:$T$4001,"&lt;="&amp;'Settings'!$D$30),2),0)</f>
        <v/>
      </c>
      <c r="AZ85">
        <f>IF(AE85=1,ROUND(SUMIFS('All Donations'!$S$2:$S$4001,'All Donations'!$R$2:$R$4001,AD85,'All Donations'!$T$2:$T$4001,"&lt;="&amp;'Settings'!$D$34),2),0)</f>
        <v/>
      </c>
    </row>
    <row r="86">
      <c r="A86">
        <f>IF(AE86=1,TRIM(TRIM('Roster'!B86)&amp;" "&amp;TRIM('Roster'!C86)),"")</f>
        <v/>
      </c>
      <c r="B86">
        <f>IF(AE86=1,IF(AN86="","(no teacher)",AN86&amp;" – "&amp;C86),"")</f>
        <v/>
      </c>
      <c r="C86">
        <f>IF(AE86=1,TRIM('Roster'!D86&amp;""),"")</f>
        <v/>
      </c>
      <c r="D86" s="48">
        <f>IF(AE86=1,ROUND(SUMIFS('All Donations'!$S$2:$S$4001,'All Donations'!$R$2:$R$4001,AD86),2),"")</f>
        <v/>
      </c>
      <c r="E86" s="48">
        <f>IF(AE86=1,ROUND(SUMIFS('All Donations'!$S$2:$S$4001,'All Donations'!$R$2:$R$4001,AD86,'All Donations'!$G$2:$G$4001,"OneCause"),2),"")</f>
        <v/>
      </c>
      <c r="F86" s="48">
        <f>IF(AE86=1,D86-E86,"")</f>
        <v/>
      </c>
      <c r="G86">
        <f>IF(AE86=1,COUNTIFS('All Donations'!$R$2:$R$4001,AD86,'All Donations'!$H$2:$H$4001,"OK"),"")</f>
        <v/>
      </c>
      <c r="H86">
        <f>IF(AE86&lt;&gt;1,"",IF(D86&gt;0,"Yes",""))</f>
        <v/>
      </c>
      <c r="I86" s="49">
        <f>IF(OR($AE86&lt;&gt;1,I$1=""),"",SUMIFS('All Donations'!$S$2:$S$4001,'All Donations'!$R$2:$R$4001,$AD86,'All Donations'!$T$2:$T$4001,I$1))</f>
        <v/>
      </c>
      <c r="J86" s="49">
        <f>IF(OR($AE86&lt;&gt;1,J$1=""),"",SUMIFS('All Donations'!$S$2:$S$4001,'All Donations'!$R$2:$R$4001,$AD86,'All Donations'!$T$2:$T$4001,J$1))</f>
        <v/>
      </c>
      <c r="K86" s="49">
        <f>IF(OR($AE86&lt;&gt;1,K$1=""),"",SUMIFS('All Donations'!$S$2:$S$4001,'All Donations'!$R$2:$R$4001,$AD86,'All Donations'!$T$2:$T$4001,K$1))</f>
        <v/>
      </c>
      <c r="L86" s="49">
        <f>IF(OR($AE86&lt;&gt;1,L$1=""),"",SUMIFS('All Donations'!$S$2:$S$4001,'All Donations'!$R$2:$R$4001,$AD86,'All Donations'!$T$2:$T$4001,L$1))</f>
        <v/>
      </c>
      <c r="M86" s="49">
        <f>IF(OR($AE86&lt;&gt;1,M$1=""),"",SUMIFS('All Donations'!$S$2:$S$4001,'All Donations'!$R$2:$R$4001,$AD86,'All Donations'!$T$2:$T$4001,M$1))</f>
        <v/>
      </c>
      <c r="N86" s="49">
        <f>IF(OR($AE86&lt;&gt;1,N$1=""),"",SUMIFS('All Donations'!$S$2:$S$4001,'All Donations'!$R$2:$R$4001,$AD86,'All Donations'!$T$2:$T$4001,N$1))</f>
        <v/>
      </c>
      <c r="O86" s="49">
        <f>IF(OR($AE86&lt;&gt;1,O$1=""),"",SUMIFS('All Donations'!$S$2:$S$4001,'All Donations'!$R$2:$R$4001,$AD86,'All Donations'!$T$2:$T$4001,O$1))</f>
        <v/>
      </c>
      <c r="P86" s="49">
        <f>IF(OR($AE86&lt;&gt;1,P$1=""),"",SUMIFS('All Donations'!$S$2:$S$4001,'All Donations'!$R$2:$R$4001,$AD86,'All Donations'!$T$2:$T$4001,P$1))</f>
        <v/>
      </c>
      <c r="Q86" s="49">
        <f>IF(OR($AE86&lt;&gt;1,Q$1=""),"",SUMIFS('All Donations'!$S$2:$S$4001,'All Donations'!$R$2:$R$4001,$AD86,'All Donations'!$T$2:$T$4001,Q$1))</f>
        <v/>
      </c>
      <c r="R86" s="49">
        <f>IF(OR($AE86&lt;&gt;1,R$1=""),"",SUMIFS('All Donations'!$S$2:$S$4001,'All Donations'!$R$2:$R$4001,$AD86,'All Donations'!$T$2:$T$4001,R$1))</f>
        <v/>
      </c>
      <c r="S86" s="49">
        <f>IF(OR($AE86&lt;&gt;1,S$1=""),"",SUMIFS('All Donations'!$S$2:$S$4001,'All Donations'!$R$2:$R$4001,$AD86,'All Donations'!$T$2:$T$4001,S$1))</f>
        <v/>
      </c>
      <c r="T86" s="49">
        <f>IF(OR($AE86&lt;&gt;1,T$1=""),"",SUMIFS('All Donations'!$S$2:$S$4001,'All Donations'!$R$2:$R$4001,$AD86,'All Donations'!$T$2:$T$4001,T$1))</f>
        <v/>
      </c>
      <c r="U86" s="49">
        <f>IF(OR($AE86&lt;&gt;1,U$1=""),"",SUMIFS('All Donations'!$S$2:$S$4001,'All Donations'!$R$2:$R$4001,$AD86,'All Donations'!$T$2:$T$4001,U$1))</f>
        <v/>
      </c>
      <c r="V86" s="49">
        <f>IF(OR($AE86&lt;&gt;1,V$1=""),"",SUMIFS('All Donations'!$S$2:$S$4001,'All Donations'!$R$2:$R$4001,$AD86,'All Donations'!$T$2:$T$4001,V$1))</f>
        <v/>
      </c>
      <c r="W86" s="49">
        <f>IF(OR($AE86&lt;&gt;1,W$1=""),"",SUMIFS('All Donations'!$S$2:$S$4001,'All Donations'!$R$2:$R$4001,$AD86,'All Donations'!$T$2:$T$4001,W$1))</f>
        <v/>
      </c>
      <c r="X86" s="49">
        <f>IF(OR($AE86&lt;&gt;1,X$1=""),"",SUMIFS('All Donations'!$S$2:$S$4001,'All Donations'!$R$2:$R$4001,$AD86,'All Donations'!$T$2:$T$4001,X$1))</f>
        <v/>
      </c>
      <c r="Y86" s="49">
        <f>IF(OR($AE86&lt;&gt;1,Y$1=""),"",SUMIFS('All Donations'!$S$2:$S$4001,'All Donations'!$R$2:$R$4001,$AD86,'All Donations'!$T$2:$T$4001,Y$1))</f>
        <v/>
      </c>
      <c r="Z86" s="49">
        <f>IF(OR($AE86&lt;&gt;1,Z$1=""),"",SUMIFS('All Donations'!$S$2:$S$4001,'All Donations'!$R$2:$R$4001,$AD86,'All Donations'!$T$2:$T$4001,Z$1))</f>
        <v/>
      </c>
      <c r="AA86" s="49">
        <f>IF(OR($AE86&lt;&gt;1,AA$1=""),"",SUMIFS('All Donations'!$S$2:$S$4001,'All Donations'!$R$2:$R$4001,$AD86,'All Donations'!$T$2:$T$4001,AA$1))</f>
        <v/>
      </c>
      <c r="AB86" s="49">
        <f>IF(OR($AE86&lt;&gt;1,AB$1=""),"",SUMIFS('All Donations'!$S$2:$S$4001,'All Donations'!$R$2:$R$4001,$AD86,'All Donations'!$T$2:$T$4001,AB$1))</f>
        <v/>
      </c>
      <c r="AC86" s="49">
        <f>IF(OR($AE86&lt;&gt;1,AC$1=""),"",SUMIFS('All Donations'!$S$2:$S$4001,'All Donations'!$R$2:$R$4001,$AD86,'All Donations'!$T$2:$T$4001,AC$1))</f>
        <v/>
      </c>
      <c r="AD86">
        <f>IF(AE86=1,'Roster'!A86,"")</f>
        <v/>
      </c>
      <c r="AE86">
        <f>IF(TRIM('Roster'!B86&amp;'Roster'!C86)&lt;&gt;"",1,0)</f>
        <v/>
      </c>
      <c r="AF86">
        <f>IF(AE86=1,LOWER(A86),"#")</f>
        <v/>
      </c>
      <c r="AG86">
        <f>IF(AE86=1,LOWER(TRIM(TRIM('Roster'!C86)&amp;", "&amp;TRIM('Roster'!B86))),"#")</f>
        <v/>
      </c>
      <c r="AH86">
        <f>IF(AND(AE86=1,TRIM('Roster'!F86)&lt;&gt;""),LOWER(TRIM('Roster'!F86)),"#")</f>
        <v/>
      </c>
      <c r="AI86">
        <f>IF(AE86=1,IF(MATCH(B86,$B$2:$B$701,0)=ROW()-1,1,0),0)</f>
        <v/>
      </c>
      <c r="AJ86">
        <f>AJ85+AI86</f>
        <v/>
      </c>
      <c r="AK86">
        <f>IF(AE86=1,D86+(1000-ROW())/10^7,-1)</f>
        <v/>
      </c>
      <c r="AL86">
        <f>IF(AE86=1,TRIM('Roster'!B86)&amp;" "&amp;LEFT(TRIM('Roster'!C86),1)&amp;".","")</f>
        <v/>
      </c>
      <c r="AM86">
        <f>IF(AE86=1,TRIM('Roster'!C86)&amp;", "&amp;TRIM('Roster'!B86)&amp;" ("&amp;B86&amp;") #"&amp;AD86,"")</f>
        <v/>
      </c>
      <c r="AN86">
        <f>IF(AE86=1,TRIM('Roster'!E86),"")</f>
        <v/>
      </c>
      <c r="AO86">
        <f>IF(AE86=1,ROUND(SUMIFS('All Donations'!$S$2:$S$4001,'All Donations'!$R$2:$R$4001,AD86,'All Donations'!$T$2:$T$4001,"&gt;="&amp;'Settings'!$C$23,'All Donations'!$T$2:$T$4001,"&lt;="&amp;'Settings'!$D$23),2),0)</f>
        <v/>
      </c>
      <c r="AQ86">
        <f>IF(AE86=1,ROUND(SUMIFS('All Donations'!$S$2:$S$4001,'All Donations'!$R$2:$R$4001,AD86,'All Donations'!$T$2:$T$4001,"&gt;="&amp;'Settings'!$C$25,'All Donations'!$T$2:$T$4001,"&lt;="&amp;'Settings'!$D$25),2),0)</f>
        <v/>
      </c>
      <c r="AR86">
        <f>IF(AE86=1,ROUND(SUMIFS('All Donations'!$S$2:$S$4001,'All Donations'!$R$2:$R$4001,AD86,'All Donations'!$T$2:$T$4001,"&gt;="&amp;'Settings'!$C$26,'All Donations'!$T$2:$T$4001,"&lt;="&amp;'Settings'!$D$26),2),0)</f>
        <v/>
      </c>
      <c r="AS86">
        <f>IF(AE86=1,ROUND(SUMIFS('All Donations'!$S$2:$S$4001,'All Donations'!$R$2:$R$4001,AD86,'All Donations'!$T$2:$T$4001,"&lt;="&amp;'Settings'!$D$27),2),0)</f>
        <v/>
      </c>
      <c r="AT86">
        <f>IF(AE86=1,ROUND(SUMIFS('All Donations'!$S$2:$S$4001,'All Donations'!$R$2:$R$4001,AD86,'All Donations'!$T$2:$T$4001,"&gt;="&amp;'Settings'!$C$28,'All Donations'!$T$2:$T$4001,"&lt;="&amp;'Settings'!$D$28),2),0)</f>
        <v/>
      </c>
      <c r="AU86">
        <f>IF(AE86=1,ROUND(SUMIFS('All Donations'!$S$2:$S$4001,'All Donations'!$R$2:$R$4001,AD86,'All Donations'!$T$2:$T$4001,"&gt;="&amp;'Settings'!$C$29,'All Donations'!$T$2:$T$4001,"&lt;="&amp;'Settings'!$D$29),2),0)</f>
        <v/>
      </c>
      <c r="AV86">
        <f>IF(AE86=1,ROUND(SUMIFS('All Donations'!$S$2:$S$4001,'All Donations'!$R$2:$R$4001,AD86,'All Donations'!$T$2:$T$4001,"&lt;="&amp;'Settings'!$D$30),2),0)</f>
        <v/>
      </c>
      <c r="AZ86">
        <f>IF(AE86=1,ROUND(SUMIFS('All Donations'!$S$2:$S$4001,'All Donations'!$R$2:$R$4001,AD86,'All Donations'!$T$2:$T$4001,"&lt;="&amp;'Settings'!$D$34),2),0)</f>
        <v/>
      </c>
    </row>
    <row r="87">
      <c r="A87">
        <f>IF(AE87=1,TRIM(TRIM('Roster'!B87)&amp;" "&amp;TRIM('Roster'!C87)),"")</f>
        <v/>
      </c>
      <c r="B87">
        <f>IF(AE87=1,IF(AN87="","(no teacher)",AN87&amp;" – "&amp;C87),"")</f>
        <v/>
      </c>
      <c r="C87">
        <f>IF(AE87=1,TRIM('Roster'!D87&amp;""),"")</f>
        <v/>
      </c>
      <c r="D87" s="48">
        <f>IF(AE87=1,ROUND(SUMIFS('All Donations'!$S$2:$S$4001,'All Donations'!$R$2:$R$4001,AD87),2),"")</f>
        <v/>
      </c>
      <c r="E87" s="48">
        <f>IF(AE87=1,ROUND(SUMIFS('All Donations'!$S$2:$S$4001,'All Donations'!$R$2:$R$4001,AD87,'All Donations'!$G$2:$G$4001,"OneCause"),2),"")</f>
        <v/>
      </c>
      <c r="F87" s="48">
        <f>IF(AE87=1,D87-E87,"")</f>
        <v/>
      </c>
      <c r="G87">
        <f>IF(AE87=1,COUNTIFS('All Donations'!$R$2:$R$4001,AD87,'All Donations'!$H$2:$H$4001,"OK"),"")</f>
        <v/>
      </c>
      <c r="H87">
        <f>IF(AE87&lt;&gt;1,"",IF(D87&gt;0,"Yes",""))</f>
        <v/>
      </c>
      <c r="I87" s="49">
        <f>IF(OR($AE87&lt;&gt;1,I$1=""),"",SUMIFS('All Donations'!$S$2:$S$4001,'All Donations'!$R$2:$R$4001,$AD87,'All Donations'!$T$2:$T$4001,I$1))</f>
        <v/>
      </c>
      <c r="J87" s="49">
        <f>IF(OR($AE87&lt;&gt;1,J$1=""),"",SUMIFS('All Donations'!$S$2:$S$4001,'All Donations'!$R$2:$R$4001,$AD87,'All Donations'!$T$2:$T$4001,J$1))</f>
        <v/>
      </c>
      <c r="K87" s="49">
        <f>IF(OR($AE87&lt;&gt;1,K$1=""),"",SUMIFS('All Donations'!$S$2:$S$4001,'All Donations'!$R$2:$R$4001,$AD87,'All Donations'!$T$2:$T$4001,K$1))</f>
        <v/>
      </c>
      <c r="L87" s="49">
        <f>IF(OR($AE87&lt;&gt;1,L$1=""),"",SUMIFS('All Donations'!$S$2:$S$4001,'All Donations'!$R$2:$R$4001,$AD87,'All Donations'!$T$2:$T$4001,L$1))</f>
        <v/>
      </c>
      <c r="M87" s="49">
        <f>IF(OR($AE87&lt;&gt;1,M$1=""),"",SUMIFS('All Donations'!$S$2:$S$4001,'All Donations'!$R$2:$R$4001,$AD87,'All Donations'!$T$2:$T$4001,M$1))</f>
        <v/>
      </c>
      <c r="N87" s="49">
        <f>IF(OR($AE87&lt;&gt;1,N$1=""),"",SUMIFS('All Donations'!$S$2:$S$4001,'All Donations'!$R$2:$R$4001,$AD87,'All Donations'!$T$2:$T$4001,N$1))</f>
        <v/>
      </c>
      <c r="O87" s="49">
        <f>IF(OR($AE87&lt;&gt;1,O$1=""),"",SUMIFS('All Donations'!$S$2:$S$4001,'All Donations'!$R$2:$R$4001,$AD87,'All Donations'!$T$2:$T$4001,O$1))</f>
        <v/>
      </c>
      <c r="P87" s="49">
        <f>IF(OR($AE87&lt;&gt;1,P$1=""),"",SUMIFS('All Donations'!$S$2:$S$4001,'All Donations'!$R$2:$R$4001,$AD87,'All Donations'!$T$2:$T$4001,P$1))</f>
        <v/>
      </c>
      <c r="Q87" s="49">
        <f>IF(OR($AE87&lt;&gt;1,Q$1=""),"",SUMIFS('All Donations'!$S$2:$S$4001,'All Donations'!$R$2:$R$4001,$AD87,'All Donations'!$T$2:$T$4001,Q$1))</f>
        <v/>
      </c>
      <c r="R87" s="49">
        <f>IF(OR($AE87&lt;&gt;1,R$1=""),"",SUMIFS('All Donations'!$S$2:$S$4001,'All Donations'!$R$2:$R$4001,$AD87,'All Donations'!$T$2:$T$4001,R$1))</f>
        <v/>
      </c>
      <c r="S87" s="49">
        <f>IF(OR($AE87&lt;&gt;1,S$1=""),"",SUMIFS('All Donations'!$S$2:$S$4001,'All Donations'!$R$2:$R$4001,$AD87,'All Donations'!$T$2:$T$4001,S$1))</f>
        <v/>
      </c>
      <c r="T87" s="49">
        <f>IF(OR($AE87&lt;&gt;1,T$1=""),"",SUMIFS('All Donations'!$S$2:$S$4001,'All Donations'!$R$2:$R$4001,$AD87,'All Donations'!$T$2:$T$4001,T$1))</f>
        <v/>
      </c>
      <c r="U87" s="49">
        <f>IF(OR($AE87&lt;&gt;1,U$1=""),"",SUMIFS('All Donations'!$S$2:$S$4001,'All Donations'!$R$2:$R$4001,$AD87,'All Donations'!$T$2:$T$4001,U$1))</f>
        <v/>
      </c>
      <c r="V87" s="49">
        <f>IF(OR($AE87&lt;&gt;1,V$1=""),"",SUMIFS('All Donations'!$S$2:$S$4001,'All Donations'!$R$2:$R$4001,$AD87,'All Donations'!$T$2:$T$4001,V$1))</f>
        <v/>
      </c>
      <c r="W87" s="49">
        <f>IF(OR($AE87&lt;&gt;1,W$1=""),"",SUMIFS('All Donations'!$S$2:$S$4001,'All Donations'!$R$2:$R$4001,$AD87,'All Donations'!$T$2:$T$4001,W$1))</f>
        <v/>
      </c>
      <c r="X87" s="49">
        <f>IF(OR($AE87&lt;&gt;1,X$1=""),"",SUMIFS('All Donations'!$S$2:$S$4001,'All Donations'!$R$2:$R$4001,$AD87,'All Donations'!$T$2:$T$4001,X$1))</f>
        <v/>
      </c>
      <c r="Y87" s="49">
        <f>IF(OR($AE87&lt;&gt;1,Y$1=""),"",SUMIFS('All Donations'!$S$2:$S$4001,'All Donations'!$R$2:$R$4001,$AD87,'All Donations'!$T$2:$T$4001,Y$1))</f>
        <v/>
      </c>
      <c r="Z87" s="49">
        <f>IF(OR($AE87&lt;&gt;1,Z$1=""),"",SUMIFS('All Donations'!$S$2:$S$4001,'All Donations'!$R$2:$R$4001,$AD87,'All Donations'!$T$2:$T$4001,Z$1))</f>
        <v/>
      </c>
      <c r="AA87" s="49">
        <f>IF(OR($AE87&lt;&gt;1,AA$1=""),"",SUMIFS('All Donations'!$S$2:$S$4001,'All Donations'!$R$2:$R$4001,$AD87,'All Donations'!$T$2:$T$4001,AA$1))</f>
        <v/>
      </c>
      <c r="AB87" s="49">
        <f>IF(OR($AE87&lt;&gt;1,AB$1=""),"",SUMIFS('All Donations'!$S$2:$S$4001,'All Donations'!$R$2:$R$4001,$AD87,'All Donations'!$T$2:$T$4001,AB$1))</f>
        <v/>
      </c>
      <c r="AC87" s="49">
        <f>IF(OR($AE87&lt;&gt;1,AC$1=""),"",SUMIFS('All Donations'!$S$2:$S$4001,'All Donations'!$R$2:$R$4001,$AD87,'All Donations'!$T$2:$T$4001,AC$1))</f>
        <v/>
      </c>
      <c r="AD87">
        <f>IF(AE87=1,'Roster'!A87,"")</f>
        <v/>
      </c>
      <c r="AE87">
        <f>IF(TRIM('Roster'!B87&amp;'Roster'!C87)&lt;&gt;"",1,0)</f>
        <v/>
      </c>
      <c r="AF87">
        <f>IF(AE87=1,LOWER(A87),"#")</f>
        <v/>
      </c>
      <c r="AG87">
        <f>IF(AE87=1,LOWER(TRIM(TRIM('Roster'!C87)&amp;", "&amp;TRIM('Roster'!B87))),"#")</f>
        <v/>
      </c>
      <c r="AH87">
        <f>IF(AND(AE87=1,TRIM('Roster'!F87)&lt;&gt;""),LOWER(TRIM('Roster'!F87)),"#")</f>
        <v/>
      </c>
      <c r="AI87">
        <f>IF(AE87=1,IF(MATCH(B87,$B$2:$B$701,0)=ROW()-1,1,0),0)</f>
        <v/>
      </c>
      <c r="AJ87">
        <f>AJ86+AI87</f>
        <v/>
      </c>
      <c r="AK87">
        <f>IF(AE87=1,D87+(1000-ROW())/10^7,-1)</f>
        <v/>
      </c>
      <c r="AL87">
        <f>IF(AE87=1,TRIM('Roster'!B87)&amp;" "&amp;LEFT(TRIM('Roster'!C87),1)&amp;".","")</f>
        <v/>
      </c>
      <c r="AM87">
        <f>IF(AE87=1,TRIM('Roster'!C87)&amp;", "&amp;TRIM('Roster'!B87)&amp;" ("&amp;B87&amp;") #"&amp;AD87,"")</f>
        <v/>
      </c>
      <c r="AN87">
        <f>IF(AE87=1,TRIM('Roster'!E87),"")</f>
        <v/>
      </c>
      <c r="AO87">
        <f>IF(AE87=1,ROUND(SUMIFS('All Donations'!$S$2:$S$4001,'All Donations'!$R$2:$R$4001,AD87,'All Donations'!$T$2:$T$4001,"&gt;="&amp;'Settings'!$C$23,'All Donations'!$T$2:$T$4001,"&lt;="&amp;'Settings'!$D$23),2),0)</f>
        <v/>
      </c>
      <c r="AQ87">
        <f>IF(AE87=1,ROUND(SUMIFS('All Donations'!$S$2:$S$4001,'All Donations'!$R$2:$R$4001,AD87,'All Donations'!$T$2:$T$4001,"&gt;="&amp;'Settings'!$C$25,'All Donations'!$T$2:$T$4001,"&lt;="&amp;'Settings'!$D$25),2),0)</f>
        <v/>
      </c>
      <c r="AR87">
        <f>IF(AE87=1,ROUND(SUMIFS('All Donations'!$S$2:$S$4001,'All Donations'!$R$2:$R$4001,AD87,'All Donations'!$T$2:$T$4001,"&gt;="&amp;'Settings'!$C$26,'All Donations'!$T$2:$T$4001,"&lt;="&amp;'Settings'!$D$26),2),0)</f>
        <v/>
      </c>
      <c r="AS87">
        <f>IF(AE87=1,ROUND(SUMIFS('All Donations'!$S$2:$S$4001,'All Donations'!$R$2:$R$4001,AD87,'All Donations'!$T$2:$T$4001,"&lt;="&amp;'Settings'!$D$27),2),0)</f>
        <v/>
      </c>
      <c r="AT87">
        <f>IF(AE87=1,ROUND(SUMIFS('All Donations'!$S$2:$S$4001,'All Donations'!$R$2:$R$4001,AD87,'All Donations'!$T$2:$T$4001,"&gt;="&amp;'Settings'!$C$28,'All Donations'!$T$2:$T$4001,"&lt;="&amp;'Settings'!$D$28),2),0)</f>
        <v/>
      </c>
      <c r="AU87">
        <f>IF(AE87=1,ROUND(SUMIFS('All Donations'!$S$2:$S$4001,'All Donations'!$R$2:$R$4001,AD87,'All Donations'!$T$2:$T$4001,"&gt;="&amp;'Settings'!$C$29,'All Donations'!$T$2:$T$4001,"&lt;="&amp;'Settings'!$D$29),2),0)</f>
        <v/>
      </c>
      <c r="AV87">
        <f>IF(AE87=1,ROUND(SUMIFS('All Donations'!$S$2:$S$4001,'All Donations'!$R$2:$R$4001,AD87,'All Donations'!$T$2:$T$4001,"&lt;="&amp;'Settings'!$D$30),2),0)</f>
        <v/>
      </c>
      <c r="AZ87">
        <f>IF(AE87=1,ROUND(SUMIFS('All Donations'!$S$2:$S$4001,'All Donations'!$R$2:$R$4001,AD87,'All Donations'!$T$2:$T$4001,"&lt;="&amp;'Settings'!$D$34),2),0)</f>
        <v/>
      </c>
    </row>
    <row r="88">
      <c r="A88">
        <f>IF(AE88=1,TRIM(TRIM('Roster'!B88)&amp;" "&amp;TRIM('Roster'!C88)),"")</f>
        <v/>
      </c>
      <c r="B88">
        <f>IF(AE88=1,IF(AN88="","(no teacher)",AN88&amp;" – "&amp;C88),"")</f>
        <v/>
      </c>
      <c r="C88">
        <f>IF(AE88=1,TRIM('Roster'!D88&amp;""),"")</f>
        <v/>
      </c>
      <c r="D88" s="48">
        <f>IF(AE88=1,ROUND(SUMIFS('All Donations'!$S$2:$S$4001,'All Donations'!$R$2:$R$4001,AD88),2),"")</f>
        <v/>
      </c>
      <c r="E88" s="48">
        <f>IF(AE88=1,ROUND(SUMIFS('All Donations'!$S$2:$S$4001,'All Donations'!$R$2:$R$4001,AD88,'All Donations'!$G$2:$G$4001,"OneCause"),2),"")</f>
        <v/>
      </c>
      <c r="F88" s="48">
        <f>IF(AE88=1,D88-E88,"")</f>
        <v/>
      </c>
      <c r="G88">
        <f>IF(AE88=1,COUNTIFS('All Donations'!$R$2:$R$4001,AD88,'All Donations'!$H$2:$H$4001,"OK"),"")</f>
        <v/>
      </c>
      <c r="H88">
        <f>IF(AE88&lt;&gt;1,"",IF(D88&gt;0,"Yes",""))</f>
        <v/>
      </c>
      <c r="I88" s="49">
        <f>IF(OR($AE88&lt;&gt;1,I$1=""),"",SUMIFS('All Donations'!$S$2:$S$4001,'All Donations'!$R$2:$R$4001,$AD88,'All Donations'!$T$2:$T$4001,I$1))</f>
        <v/>
      </c>
      <c r="J88" s="49">
        <f>IF(OR($AE88&lt;&gt;1,J$1=""),"",SUMIFS('All Donations'!$S$2:$S$4001,'All Donations'!$R$2:$R$4001,$AD88,'All Donations'!$T$2:$T$4001,J$1))</f>
        <v/>
      </c>
      <c r="K88" s="49">
        <f>IF(OR($AE88&lt;&gt;1,K$1=""),"",SUMIFS('All Donations'!$S$2:$S$4001,'All Donations'!$R$2:$R$4001,$AD88,'All Donations'!$T$2:$T$4001,K$1))</f>
        <v/>
      </c>
      <c r="L88" s="49">
        <f>IF(OR($AE88&lt;&gt;1,L$1=""),"",SUMIFS('All Donations'!$S$2:$S$4001,'All Donations'!$R$2:$R$4001,$AD88,'All Donations'!$T$2:$T$4001,L$1))</f>
        <v/>
      </c>
      <c r="M88" s="49">
        <f>IF(OR($AE88&lt;&gt;1,M$1=""),"",SUMIFS('All Donations'!$S$2:$S$4001,'All Donations'!$R$2:$R$4001,$AD88,'All Donations'!$T$2:$T$4001,M$1))</f>
        <v/>
      </c>
      <c r="N88" s="49">
        <f>IF(OR($AE88&lt;&gt;1,N$1=""),"",SUMIFS('All Donations'!$S$2:$S$4001,'All Donations'!$R$2:$R$4001,$AD88,'All Donations'!$T$2:$T$4001,N$1))</f>
        <v/>
      </c>
      <c r="O88" s="49">
        <f>IF(OR($AE88&lt;&gt;1,O$1=""),"",SUMIFS('All Donations'!$S$2:$S$4001,'All Donations'!$R$2:$R$4001,$AD88,'All Donations'!$T$2:$T$4001,O$1))</f>
        <v/>
      </c>
      <c r="P88" s="49">
        <f>IF(OR($AE88&lt;&gt;1,P$1=""),"",SUMIFS('All Donations'!$S$2:$S$4001,'All Donations'!$R$2:$R$4001,$AD88,'All Donations'!$T$2:$T$4001,P$1))</f>
        <v/>
      </c>
      <c r="Q88" s="49">
        <f>IF(OR($AE88&lt;&gt;1,Q$1=""),"",SUMIFS('All Donations'!$S$2:$S$4001,'All Donations'!$R$2:$R$4001,$AD88,'All Donations'!$T$2:$T$4001,Q$1))</f>
        <v/>
      </c>
      <c r="R88" s="49">
        <f>IF(OR($AE88&lt;&gt;1,R$1=""),"",SUMIFS('All Donations'!$S$2:$S$4001,'All Donations'!$R$2:$R$4001,$AD88,'All Donations'!$T$2:$T$4001,R$1))</f>
        <v/>
      </c>
      <c r="S88" s="49">
        <f>IF(OR($AE88&lt;&gt;1,S$1=""),"",SUMIFS('All Donations'!$S$2:$S$4001,'All Donations'!$R$2:$R$4001,$AD88,'All Donations'!$T$2:$T$4001,S$1))</f>
        <v/>
      </c>
      <c r="T88" s="49">
        <f>IF(OR($AE88&lt;&gt;1,T$1=""),"",SUMIFS('All Donations'!$S$2:$S$4001,'All Donations'!$R$2:$R$4001,$AD88,'All Donations'!$T$2:$T$4001,T$1))</f>
        <v/>
      </c>
      <c r="U88" s="49">
        <f>IF(OR($AE88&lt;&gt;1,U$1=""),"",SUMIFS('All Donations'!$S$2:$S$4001,'All Donations'!$R$2:$R$4001,$AD88,'All Donations'!$T$2:$T$4001,U$1))</f>
        <v/>
      </c>
      <c r="V88" s="49">
        <f>IF(OR($AE88&lt;&gt;1,V$1=""),"",SUMIFS('All Donations'!$S$2:$S$4001,'All Donations'!$R$2:$R$4001,$AD88,'All Donations'!$T$2:$T$4001,V$1))</f>
        <v/>
      </c>
      <c r="W88" s="49">
        <f>IF(OR($AE88&lt;&gt;1,W$1=""),"",SUMIFS('All Donations'!$S$2:$S$4001,'All Donations'!$R$2:$R$4001,$AD88,'All Donations'!$T$2:$T$4001,W$1))</f>
        <v/>
      </c>
      <c r="X88" s="49">
        <f>IF(OR($AE88&lt;&gt;1,X$1=""),"",SUMIFS('All Donations'!$S$2:$S$4001,'All Donations'!$R$2:$R$4001,$AD88,'All Donations'!$T$2:$T$4001,X$1))</f>
        <v/>
      </c>
      <c r="Y88" s="49">
        <f>IF(OR($AE88&lt;&gt;1,Y$1=""),"",SUMIFS('All Donations'!$S$2:$S$4001,'All Donations'!$R$2:$R$4001,$AD88,'All Donations'!$T$2:$T$4001,Y$1))</f>
        <v/>
      </c>
      <c r="Z88" s="49">
        <f>IF(OR($AE88&lt;&gt;1,Z$1=""),"",SUMIFS('All Donations'!$S$2:$S$4001,'All Donations'!$R$2:$R$4001,$AD88,'All Donations'!$T$2:$T$4001,Z$1))</f>
        <v/>
      </c>
      <c r="AA88" s="49">
        <f>IF(OR($AE88&lt;&gt;1,AA$1=""),"",SUMIFS('All Donations'!$S$2:$S$4001,'All Donations'!$R$2:$R$4001,$AD88,'All Donations'!$T$2:$T$4001,AA$1))</f>
        <v/>
      </c>
      <c r="AB88" s="49">
        <f>IF(OR($AE88&lt;&gt;1,AB$1=""),"",SUMIFS('All Donations'!$S$2:$S$4001,'All Donations'!$R$2:$R$4001,$AD88,'All Donations'!$T$2:$T$4001,AB$1))</f>
        <v/>
      </c>
      <c r="AC88" s="49">
        <f>IF(OR($AE88&lt;&gt;1,AC$1=""),"",SUMIFS('All Donations'!$S$2:$S$4001,'All Donations'!$R$2:$R$4001,$AD88,'All Donations'!$T$2:$T$4001,AC$1))</f>
        <v/>
      </c>
      <c r="AD88">
        <f>IF(AE88=1,'Roster'!A88,"")</f>
        <v/>
      </c>
      <c r="AE88">
        <f>IF(TRIM('Roster'!B88&amp;'Roster'!C88)&lt;&gt;"",1,0)</f>
        <v/>
      </c>
      <c r="AF88">
        <f>IF(AE88=1,LOWER(A88),"#")</f>
        <v/>
      </c>
      <c r="AG88">
        <f>IF(AE88=1,LOWER(TRIM(TRIM('Roster'!C88)&amp;", "&amp;TRIM('Roster'!B88))),"#")</f>
        <v/>
      </c>
      <c r="AH88">
        <f>IF(AND(AE88=1,TRIM('Roster'!F88)&lt;&gt;""),LOWER(TRIM('Roster'!F88)),"#")</f>
        <v/>
      </c>
      <c r="AI88">
        <f>IF(AE88=1,IF(MATCH(B88,$B$2:$B$701,0)=ROW()-1,1,0),0)</f>
        <v/>
      </c>
      <c r="AJ88">
        <f>AJ87+AI88</f>
        <v/>
      </c>
      <c r="AK88">
        <f>IF(AE88=1,D88+(1000-ROW())/10^7,-1)</f>
        <v/>
      </c>
      <c r="AL88">
        <f>IF(AE88=1,TRIM('Roster'!B88)&amp;" "&amp;LEFT(TRIM('Roster'!C88),1)&amp;".","")</f>
        <v/>
      </c>
      <c r="AM88">
        <f>IF(AE88=1,TRIM('Roster'!C88)&amp;", "&amp;TRIM('Roster'!B88)&amp;" ("&amp;B88&amp;") #"&amp;AD88,"")</f>
        <v/>
      </c>
      <c r="AN88">
        <f>IF(AE88=1,TRIM('Roster'!E88),"")</f>
        <v/>
      </c>
      <c r="AO88">
        <f>IF(AE88=1,ROUND(SUMIFS('All Donations'!$S$2:$S$4001,'All Donations'!$R$2:$R$4001,AD88,'All Donations'!$T$2:$T$4001,"&gt;="&amp;'Settings'!$C$23,'All Donations'!$T$2:$T$4001,"&lt;="&amp;'Settings'!$D$23),2),0)</f>
        <v/>
      </c>
      <c r="AQ88">
        <f>IF(AE88=1,ROUND(SUMIFS('All Donations'!$S$2:$S$4001,'All Donations'!$R$2:$R$4001,AD88,'All Donations'!$T$2:$T$4001,"&gt;="&amp;'Settings'!$C$25,'All Donations'!$T$2:$T$4001,"&lt;="&amp;'Settings'!$D$25),2),0)</f>
        <v/>
      </c>
      <c r="AR88">
        <f>IF(AE88=1,ROUND(SUMIFS('All Donations'!$S$2:$S$4001,'All Donations'!$R$2:$R$4001,AD88,'All Donations'!$T$2:$T$4001,"&gt;="&amp;'Settings'!$C$26,'All Donations'!$T$2:$T$4001,"&lt;="&amp;'Settings'!$D$26),2),0)</f>
        <v/>
      </c>
      <c r="AS88">
        <f>IF(AE88=1,ROUND(SUMIFS('All Donations'!$S$2:$S$4001,'All Donations'!$R$2:$R$4001,AD88,'All Donations'!$T$2:$T$4001,"&lt;="&amp;'Settings'!$D$27),2),0)</f>
        <v/>
      </c>
      <c r="AT88">
        <f>IF(AE88=1,ROUND(SUMIFS('All Donations'!$S$2:$S$4001,'All Donations'!$R$2:$R$4001,AD88,'All Donations'!$T$2:$T$4001,"&gt;="&amp;'Settings'!$C$28,'All Donations'!$T$2:$T$4001,"&lt;="&amp;'Settings'!$D$28),2),0)</f>
        <v/>
      </c>
      <c r="AU88">
        <f>IF(AE88=1,ROUND(SUMIFS('All Donations'!$S$2:$S$4001,'All Donations'!$R$2:$R$4001,AD88,'All Donations'!$T$2:$T$4001,"&gt;="&amp;'Settings'!$C$29,'All Donations'!$T$2:$T$4001,"&lt;="&amp;'Settings'!$D$29),2),0)</f>
        <v/>
      </c>
      <c r="AV88">
        <f>IF(AE88=1,ROUND(SUMIFS('All Donations'!$S$2:$S$4001,'All Donations'!$R$2:$R$4001,AD88,'All Donations'!$T$2:$T$4001,"&lt;="&amp;'Settings'!$D$30),2),0)</f>
        <v/>
      </c>
      <c r="AZ88">
        <f>IF(AE88=1,ROUND(SUMIFS('All Donations'!$S$2:$S$4001,'All Donations'!$R$2:$R$4001,AD88,'All Donations'!$T$2:$T$4001,"&lt;="&amp;'Settings'!$D$34),2),0)</f>
        <v/>
      </c>
    </row>
    <row r="89">
      <c r="A89">
        <f>IF(AE89=1,TRIM(TRIM('Roster'!B89)&amp;" "&amp;TRIM('Roster'!C89)),"")</f>
        <v/>
      </c>
      <c r="B89">
        <f>IF(AE89=1,IF(AN89="","(no teacher)",AN89&amp;" – "&amp;C89),"")</f>
        <v/>
      </c>
      <c r="C89">
        <f>IF(AE89=1,TRIM('Roster'!D89&amp;""),"")</f>
        <v/>
      </c>
      <c r="D89" s="48">
        <f>IF(AE89=1,ROUND(SUMIFS('All Donations'!$S$2:$S$4001,'All Donations'!$R$2:$R$4001,AD89),2),"")</f>
        <v/>
      </c>
      <c r="E89" s="48">
        <f>IF(AE89=1,ROUND(SUMIFS('All Donations'!$S$2:$S$4001,'All Donations'!$R$2:$R$4001,AD89,'All Donations'!$G$2:$G$4001,"OneCause"),2),"")</f>
        <v/>
      </c>
      <c r="F89" s="48">
        <f>IF(AE89=1,D89-E89,"")</f>
        <v/>
      </c>
      <c r="G89">
        <f>IF(AE89=1,COUNTIFS('All Donations'!$R$2:$R$4001,AD89,'All Donations'!$H$2:$H$4001,"OK"),"")</f>
        <v/>
      </c>
      <c r="H89">
        <f>IF(AE89&lt;&gt;1,"",IF(D89&gt;0,"Yes",""))</f>
        <v/>
      </c>
      <c r="I89" s="49">
        <f>IF(OR($AE89&lt;&gt;1,I$1=""),"",SUMIFS('All Donations'!$S$2:$S$4001,'All Donations'!$R$2:$R$4001,$AD89,'All Donations'!$T$2:$T$4001,I$1))</f>
        <v/>
      </c>
      <c r="J89" s="49">
        <f>IF(OR($AE89&lt;&gt;1,J$1=""),"",SUMIFS('All Donations'!$S$2:$S$4001,'All Donations'!$R$2:$R$4001,$AD89,'All Donations'!$T$2:$T$4001,J$1))</f>
        <v/>
      </c>
      <c r="K89" s="49">
        <f>IF(OR($AE89&lt;&gt;1,K$1=""),"",SUMIFS('All Donations'!$S$2:$S$4001,'All Donations'!$R$2:$R$4001,$AD89,'All Donations'!$T$2:$T$4001,K$1))</f>
        <v/>
      </c>
      <c r="L89" s="49">
        <f>IF(OR($AE89&lt;&gt;1,L$1=""),"",SUMIFS('All Donations'!$S$2:$S$4001,'All Donations'!$R$2:$R$4001,$AD89,'All Donations'!$T$2:$T$4001,L$1))</f>
        <v/>
      </c>
      <c r="M89" s="49">
        <f>IF(OR($AE89&lt;&gt;1,M$1=""),"",SUMIFS('All Donations'!$S$2:$S$4001,'All Donations'!$R$2:$R$4001,$AD89,'All Donations'!$T$2:$T$4001,M$1))</f>
        <v/>
      </c>
      <c r="N89" s="49">
        <f>IF(OR($AE89&lt;&gt;1,N$1=""),"",SUMIFS('All Donations'!$S$2:$S$4001,'All Donations'!$R$2:$R$4001,$AD89,'All Donations'!$T$2:$T$4001,N$1))</f>
        <v/>
      </c>
      <c r="O89" s="49">
        <f>IF(OR($AE89&lt;&gt;1,O$1=""),"",SUMIFS('All Donations'!$S$2:$S$4001,'All Donations'!$R$2:$R$4001,$AD89,'All Donations'!$T$2:$T$4001,O$1))</f>
        <v/>
      </c>
      <c r="P89" s="49">
        <f>IF(OR($AE89&lt;&gt;1,P$1=""),"",SUMIFS('All Donations'!$S$2:$S$4001,'All Donations'!$R$2:$R$4001,$AD89,'All Donations'!$T$2:$T$4001,P$1))</f>
        <v/>
      </c>
      <c r="Q89" s="49">
        <f>IF(OR($AE89&lt;&gt;1,Q$1=""),"",SUMIFS('All Donations'!$S$2:$S$4001,'All Donations'!$R$2:$R$4001,$AD89,'All Donations'!$T$2:$T$4001,Q$1))</f>
        <v/>
      </c>
      <c r="R89" s="49">
        <f>IF(OR($AE89&lt;&gt;1,R$1=""),"",SUMIFS('All Donations'!$S$2:$S$4001,'All Donations'!$R$2:$R$4001,$AD89,'All Donations'!$T$2:$T$4001,R$1))</f>
        <v/>
      </c>
      <c r="S89" s="49">
        <f>IF(OR($AE89&lt;&gt;1,S$1=""),"",SUMIFS('All Donations'!$S$2:$S$4001,'All Donations'!$R$2:$R$4001,$AD89,'All Donations'!$T$2:$T$4001,S$1))</f>
        <v/>
      </c>
      <c r="T89" s="49">
        <f>IF(OR($AE89&lt;&gt;1,T$1=""),"",SUMIFS('All Donations'!$S$2:$S$4001,'All Donations'!$R$2:$R$4001,$AD89,'All Donations'!$T$2:$T$4001,T$1))</f>
        <v/>
      </c>
      <c r="U89" s="49">
        <f>IF(OR($AE89&lt;&gt;1,U$1=""),"",SUMIFS('All Donations'!$S$2:$S$4001,'All Donations'!$R$2:$R$4001,$AD89,'All Donations'!$T$2:$T$4001,U$1))</f>
        <v/>
      </c>
      <c r="V89" s="49">
        <f>IF(OR($AE89&lt;&gt;1,V$1=""),"",SUMIFS('All Donations'!$S$2:$S$4001,'All Donations'!$R$2:$R$4001,$AD89,'All Donations'!$T$2:$T$4001,V$1))</f>
        <v/>
      </c>
      <c r="W89" s="49">
        <f>IF(OR($AE89&lt;&gt;1,W$1=""),"",SUMIFS('All Donations'!$S$2:$S$4001,'All Donations'!$R$2:$R$4001,$AD89,'All Donations'!$T$2:$T$4001,W$1))</f>
        <v/>
      </c>
      <c r="X89" s="49">
        <f>IF(OR($AE89&lt;&gt;1,X$1=""),"",SUMIFS('All Donations'!$S$2:$S$4001,'All Donations'!$R$2:$R$4001,$AD89,'All Donations'!$T$2:$T$4001,X$1))</f>
        <v/>
      </c>
      <c r="Y89" s="49">
        <f>IF(OR($AE89&lt;&gt;1,Y$1=""),"",SUMIFS('All Donations'!$S$2:$S$4001,'All Donations'!$R$2:$R$4001,$AD89,'All Donations'!$T$2:$T$4001,Y$1))</f>
        <v/>
      </c>
      <c r="Z89" s="49">
        <f>IF(OR($AE89&lt;&gt;1,Z$1=""),"",SUMIFS('All Donations'!$S$2:$S$4001,'All Donations'!$R$2:$R$4001,$AD89,'All Donations'!$T$2:$T$4001,Z$1))</f>
        <v/>
      </c>
      <c r="AA89" s="49">
        <f>IF(OR($AE89&lt;&gt;1,AA$1=""),"",SUMIFS('All Donations'!$S$2:$S$4001,'All Donations'!$R$2:$R$4001,$AD89,'All Donations'!$T$2:$T$4001,AA$1))</f>
        <v/>
      </c>
      <c r="AB89" s="49">
        <f>IF(OR($AE89&lt;&gt;1,AB$1=""),"",SUMIFS('All Donations'!$S$2:$S$4001,'All Donations'!$R$2:$R$4001,$AD89,'All Donations'!$T$2:$T$4001,AB$1))</f>
        <v/>
      </c>
      <c r="AC89" s="49">
        <f>IF(OR($AE89&lt;&gt;1,AC$1=""),"",SUMIFS('All Donations'!$S$2:$S$4001,'All Donations'!$R$2:$R$4001,$AD89,'All Donations'!$T$2:$T$4001,AC$1))</f>
        <v/>
      </c>
      <c r="AD89">
        <f>IF(AE89=1,'Roster'!A89,"")</f>
        <v/>
      </c>
      <c r="AE89">
        <f>IF(TRIM('Roster'!B89&amp;'Roster'!C89)&lt;&gt;"",1,0)</f>
        <v/>
      </c>
      <c r="AF89">
        <f>IF(AE89=1,LOWER(A89),"#")</f>
        <v/>
      </c>
      <c r="AG89">
        <f>IF(AE89=1,LOWER(TRIM(TRIM('Roster'!C89)&amp;", "&amp;TRIM('Roster'!B89))),"#")</f>
        <v/>
      </c>
      <c r="AH89">
        <f>IF(AND(AE89=1,TRIM('Roster'!F89)&lt;&gt;""),LOWER(TRIM('Roster'!F89)),"#")</f>
        <v/>
      </c>
      <c r="AI89">
        <f>IF(AE89=1,IF(MATCH(B89,$B$2:$B$701,0)=ROW()-1,1,0),0)</f>
        <v/>
      </c>
      <c r="AJ89">
        <f>AJ88+AI89</f>
        <v/>
      </c>
      <c r="AK89">
        <f>IF(AE89=1,D89+(1000-ROW())/10^7,-1)</f>
        <v/>
      </c>
      <c r="AL89">
        <f>IF(AE89=1,TRIM('Roster'!B89)&amp;" "&amp;LEFT(TRIM('Roster'!C89),1)&amp;".","")</f>
        <v/>
      </c>
      <c r="AM89">
        <f>IF(AE89=1,TRIM('Roster'!C89)&amp;", "&amp;TRIM('Roster'!B89)&amp;" ("&amp;B89&amp;") #"&amp;AD89,"")</f>
        <v/>
      </c>
      <c r="AN89">
        <f>IF(AE89=1,TRIM('Roster'!E89),"")</f>
        <v/>
      </c>
      <c r="AO89">
        <f>IF(AE89=1,ROUND(SUMIFS('All Donations'!$S$2:$S$4001,'All Donations'!$R$2:$R$4001,AD89,'All Donations'!$T$2:$T$4001,"&gt;="&amp;'Settings'!$C$23,'All Donations'!$T$2:$T$4001,"&lt;="&amp;'Settings'!$D$23),2),0)</f>
        <v/>
      </c>
      <c r="AQ89">
        <f>IF(AE89=1,ROUND(SUMIFS('All Donations'!$S$2:$S$4001,'All Donations'!$R$2:$R$4001,AD89,'All Donations'!$T$2:$T$4001,"&gt;="&amp;'Settings'!$C$25,'All Donations'!$T$2:$T$4001,"&lt;="&amp;'Settings'!$D$25),2),0)</f>
        <v/>
      </c>
      <c r="AR89">
        <f>IF(AE89=1,ROUND(SUMIFS('All Donations'!$S$2:$S$4001,'All Donations'!$R$2:$R$4001,AD89,'All Donations'!$T$2:$T$4001,"&gt;="&amp;'Settings'!$C$26,'All Donations'!$T$2:$T$4001,"&lt;="&amp;'Settings'!$D$26),2),0)</f>
        <v/>
      </c>
      <c r="AS89">
        <f>IF(AE89=1,ROUND(SUMIFS('All Donations'!$S$2:$S$4001,'All Donations'!$R$2:$R$4001,AD89,'All Donations'!$T$2:$T$4001,"&lt;="&amp;'Settings'!$D$27),2),0)</f>
        <v/>
      </c>
      <c r="AT89">
        <f>IF(AE89=1,ROUND(SUMIFS('All Donations'!$S$2:$S$4001,'All Donations'!$R$2:$R$4001,AD89,'All Donations'!$T$2:$T$4001,"&gt;="&amp;'Settings'!$C$28,'All Donations'!$T$2:$T$4001,"&lt;="&amp;'Settings'!$D$28),2),0)</f>
        <v/>
      </c>
      <c r="AU89">
        <f>IF(AE89=1,ROUND(SUMIFS('All Donations'!$S$2:$S$4001,'All Donations'!$R$2:$R$4001,AD89,'All Donations'!$T$2:$T$4001,"&gt;="&amp;'Settings'!$C$29,'All Donations'!$T$2:$T$4001,"&lt;="&amp;'Settings'!$D$29),2),0)</f>
        <v/>
      </c>
      <c r="AV89">
        <f>IF(AE89=1,ROUND(SUMIFS('All Donations'!$S$2:$S$4001,'All Donations'!$R$2:$R$4001,AD89,'All Donations'!$T$2:$T$4001,"&lt;="&amp;'Settings'!$D$30),2),0)</f>
        <v/>
      </c>
      <c r="AZ89">
        <f>IF(AE89=1,ROUND(SUMIFS('All Donations'!$S$2:$S$4001,'All Donations'!$R$2:$R$4001,AD89,'All Donations'!$T$2:$T$4001,"&lt;="&amp;'Settings'!$D$34),2),0)</f>
        <v/>
      </c>
    </row>
    <row r="90">
      <c r="A90">
        <f>IF(AE90=1,TRIM(TRIM('Roster'!B90)&amp;" "&amp;TRIM('Roster'!C90)),"")</f>
        <v/>
      </c>
      <c r="B90">
        <f>IF(AE90=1,IF(AN90="","(no teacher)",AN90&amp;" – "&amp;C90),"")</f>
        <v/>
      </c>
      <c r="C90">
        <f>IF(AE90=1,TRIM('Roster'!D90&amp;""),"")</f>
        <v/>
      </c>
      <c r="D90" s="48">
        <f>IF(AE90=1,ROUND(SUMIFS('All Donations'!$S$2:$S$4001,'All Donations'!$R$2:$R$4001,AD90),2),"")</f>
        <v/>
      </c>
      <c r="E90" s="48">
        <f>IF(AE90=1,ROUND(SUMIFS('All Donations'!$S$2:$S$4001,'All Donations'!$R$2:$R$4001,AD90,'All Donations'!$G$2:$G$4001,"OneCause"),2),"")</f>
        <v/>
      </c>
      <c r="F90" s="48">
        <f>IF(AE90=1,D90-E90,"")</f>
        <v/>
      </c>
      <c r="G90">
        <f>IF(AE90=1,COUNTIFS('All Donations'!$R$2:$R$4001,AD90,'All Donations'!$H$2:$H$4001,"OK"),"")</f>
        <v/>
      </c>
      <c r="H90">
        <f>IF(AE90&lt;&gt;1,"",IF(D90&gt;0,"Yes",""))</f>
        <v/>
      </c>
      <c r="I90" s="49">
        <f>IF(OR($AE90&lt;&gt;1,I$1=""),"",SUMIFS('All Donations'!$S$2:$S$4001,'All Donations'!$R$2:$R$4001,$AD90,'All Donations'!$T$2:$T$4001,I$1))</f>
        <v/>
      </c>
      <c r="J90" s="49">
        <f>IF(OR($AE90&lt;&gt;1,J$1=""),"",SUMIFS('All Donations'!$S$2:$S$4001,'All Donations'!$R$2:$R$4001,$AD90,'All Donations'!$T$2:$T$4001,J$1))</f>
        <v/>
      </c>
      <c r="K90" s="49">
        <f>IF(OR($AE90&lt;&gt;1,K$1=""),"",SUMIFS('All Donations'!$S$2:$S$4001,'All Donations'!$R$2:$R$4001,$AD90,'All Donations'!$T$2:$T$4001,K$1))</f>
        <v/>
      </c>
      <c r="L90" s="49">
        <f>IF(OR($AE90&lt;&gt;1,L$1=""),"",SUMIFS('All Donations'!$S$2:$S$4001,'All Donations'!$R$2:$R$4001,$AD90,'All Donations'!$T$2:$T$4001,L$1))</f>
        <v/>
      </c>
      <c r="M90" s="49">
        <f>IF(OR($AE90&lt;&gt;1,M$1=""),"",SUMIFS('All Donations'!$S$2:$S$4001,'All Donations'!$R$2:$R$4001,$AD90,'All Donations'!$T$2:$T$4001,M$1))</f>
        <v/>
      </c>
      <c r="N90" s="49">
        <f>IF(OR($AE90&lt;&gt;1,N$1=""),"",SUMIFS('All Donations'!$S$2:$S$4001,'All Donations'!$R$2:$R$4001,$AD90,'All Donations'!$T$2:$T$4001,N$1))</f>
        <v/>
      </c>
      <c r="O90" s="49">
        <f>IF(OR($AE90&lt;&gt;1,O$1=""),"",SUMIFS('All Donations'!$S$2:$S$4001,'All Donations'!$R$2:$R$4001,$AD90,'All Donations'!$T$2:$T$4001,O$1))</f>
        <v/>
      </c>
      <c r="P90" s="49">
        <f>IF(OR($AE90&lt;&gt;1,P$1=""),"",SUMIFS('All Donations'!$S$2:$S$4001,'All Donations'!$R$2:$R$4001,$AD90,'All Donations'!$T$2:$T$4001,P$1))</f>
        <v/>
      </c>
      <c r="Q90" s="49">
        <f>IF(OR($AE90&lt;&gt;1,Q$1=""),"",SUMIFS('All Donations'!$S$2:$S$4001,'All Donations'!$R$2:$R$4001,$AD90,'All Donations'!$T$2:$T$4001,Q$1))</f>
        <v/>
      </c>
      <c r="R90" s="49">
        <f>IF(OR($AE90&lt;&gt;1,R$1=""),"",SUMIFS('All Donations'!$S$2:$S$4001,'All Donations'!$R$2:$R$4001,$AD90,'All Donations'!$T$2:$T$4001,R$1))</f>
        <v/>
      </c>
      <c r="S90" s="49">
        <f>IF(OR($AE90&lt;&gt;1,S$1=""),"",SUMIFS('All Donations'!$S$2:$S$4001,'All Donations'!$R$2:$R$4001,$AD90,'All Donations'!$T$2:$T$4001,S$1))</f>
        <v/>
      </c>
      <c r="T90" s="49">
        <f>IF(OR($AE90&lt;&gt;1,T$1=""),"",SUMIFS('All Donations'!$S$2:$S$4001,'All Donations'!$R$2:$R$4001,$AD90,'All Donations'!$T$2:$T$4001,T$1))</f>
        <v/>
      </c>
      <c r="U90" s="49">
        <f>IF(OR($AE90&lt;&gt;1,U$1=""),"",SUMIFS('All Donations'!$S$2:$S$4001,'All Donations'!$R$2:$R$4001,$AD90,'All Donations'!$T$2:$T$4001,U$1))</f>
        <v/>
      </c>
      <c r="V90" s="49">
        <f>IF(OR($AE90&lt;&gt;1,V$1=""),"",SUMIFS('All Donations'!$S$2:$S$4001,'All Donations'!$R$2:$R$4001,$AD90,'All Donations'!$T$2:$T$4001,V$1))</f>
        <v/>
      </c>
      <c r="W90" s="49">
        <f>IF(OR($AE90&lt;&gt;1,W$1=""),"",SUMIFS('All Donations'!$S$2:$S$4001,'All Donations'!$R$2:$R$4001,$AD90,'All Donations'!$T$2:$T$4001,W$1))</f>
        <v/>
      </c>
      <c r="X90" s="49">
        <f>IF(OR($AE90&lt;&gt;1,X$1=""),"",SUMIFS('All Donations'!$S$2:$S$4001,'All Donations'!$R$2:$R$4001,$AD90,'All Donations'!$T$2:$T$4001,X$1))</f>
        <v/>
      </c>
      <c r="Y90" s="49">
        <f>IF(OR($AE90&lt;&gt;1,Y$1=""),"",SUMIFS('All Donations'!$S$2:$S$4001,'All Donations'!$R$2:$R$4001,$AD90,'All Donations'!$T$2:$T$4001,Y$1))</f>
        <v/>
      </c>
      <c r="Z90" s="49">
        <f>IF(OR($AE90&lt;&gt;1,Z$1=""),"",SUMIFS('All Donations'!$S$2:$S$4001,'All Donations'!$R$2:$R$4001,$AD90,'All Donations'!$T$2:$T$4001,Z$1))</f>
        <v/>
      </c>
      <c r="AA90" s="49">
        <f>IF(OR($AE90&lt;&gt;1,AA$1=""),"",SUMIFS('All Donations'!$S$2:$S$4001,'All Donations'!$R$2:$R$4001,$AD90,'All Donations'!$T$2:$T$4001,AA$1))</f>
        <v/>
      </c>
      <c r="AB90" s="49">
        <f>IF(OR($AE90&lt;&gt;1,AB$1=""),"",SUMIFS('All Donations'!$S$2:$S$4001,'All Donations'!$R$2:$R$4001,$AD90,'All Donations'!$T$2:$T$4001,AB$1))</f>
        <v/>
      </c>
      <c r="AC90" s="49">
        <f>IF(OR($AE90&lt;&gt;1,AC$1=""),"",SUMIFS('All Donations'!$S$2:$S$4001,'All Donations'!$R$2:$R$4001,$AD90,'All Donations'!$T$2:$T$4001,AC$1))</f>
        <v/>
      </c>
      <c r="AD90">
        <f>IF(AE90=1,'Roster'!A90,"")</f>
        <v/>
      </c>
      <c r="AE90">
        <f>IF(TRIM('Roster'!B90&amp;'Roster'!C90)&lt;&gt;"",1,0)</f>
        <v/>
      </c>
      <c r="AF90">
        <f>IF(AE90=1,LOWER(A90),"#")</f>
        <v/>
      </c>
      <c r="AG90">
        <f>IF(AE90=1,LOWER(TRIM(TRIM('Roster'!C90)&amp;", "&amp;TRIM('Roster'!B90))),"#")</f>
        <v/>
      </c>
      <c r="AH90">
        <f>IF(AND(AE90=1,TRIM('Roster'!F90)&lt;&gt;""),LOWER(TRIM('Roster'!F90)),"#")</f>
        <v/>
      </c>
      <c r="AI90">
        <f>IF(AE90=1,IF(MATCH(B90,$B$2:$B$701,0)=ROW()-1,1,0),0)</f>
        <v/>
      </c>
      <c r="AJ90">
        <f>AJ89+AI90</f>
        <v/>
      </c>
      <c r="AK90">
        <f>IF(AE90=1,D90+(1000-ROW())/10^7,-1)</f>
        <v/>
      </c>
      <c r="AL90">
        <f>IF(AE90=1,TRIM('Roster'!B90)&amp;" "&amp;LEFT(TRIM('Roster'!C90),1)&amp;".","")</f>
        <v/>
      </c>
      <c r="AM90">
        <f>IF(AE90=1,TRIM('Roster'!C90)&amp;", "&amp;TRIM('Roster'!B90)&amp;" ("&amp;B90&amp;") #"&amp;AD90,"")</f>
        <v/>
      </c>
      <c r="AN90">
        <f>IF(AE90=1,TRIM('Roster'!E90),"")</f>
        <v/>
      </c>
      <c r="AO90">
        <f>IF(AE90=1,ROUND(SUMIFS('All Donations'!$S$2:$S$4001,'All Donations'!$R$2:$R$4001,AD90,'All Donations'!$T$2:$T$4001,"&gt;="&amp;'Settings'!$C$23,'All Donations'!$T$2:$T$4001,"&lt;="&amp;'Settings'!$D$23),2),0)</f>
        <v/>
      </c>
      <c r="AQ90">
        <f>IF(AE90=1,ROUND(SUMIFS('All Donations'!$S$2:$S$4001,'All Donations'!$R$2:$R$4001,AD90,'All Donations'!$T$2:$T$4001,"&gt;="&amp;'Settings'!$C$25,'All Donations'!$T$2:$T$4001,"&lt;="&amp;'Settings'!$D$25),2),0)</f>
        <v/>
      </c>
      <c r="AR90">
        <f>IF(AE90=1,ROUND(SUMIFS('All Donations'!$S$2:$S$4001,'All Donations'!$R$2:$R$4001,AD90,'All Donations'!$T$2:$T$4001,"&gt;="&amp;'Settings'!$C$26,'All Donations'!$T$2:$T$4001,"&lt;="&amp;'Settings'!$D$26),2),0)</f>
        <v/>
      </c>
      <c r="AS90">
        <f>IF(AE90=1,ROUND(SUMIFS('All Donations'!$S$2:$S$4001,'All Donations'!$R$2:$R$4001,AD90,'All Donations'!$T$2:$T$4001,"&lt;="&amp;'Settings'!$D$27),2),0)</f>
        <v/>
      </c>
      <c r="AT90">
        <f>IF(AE90=1,ROUND(SUMIFS('All Donations'!$S$2:$S$4001,'All Donations'!$R$2:$R$4001,AD90,'All Donations'!$T$2:$T$4001,"&gt;="&amp;'Settings'!$C$28,'All Donations'!$T$2:$T$4001,"&lt;="&amp;'Settings'!$D$28),2),0)</f>
        <v/>
      </c>
      <c r="AU90">
        <f>IF(AE90=1,ROUND(SUMIFS('All Donations'!$S$2:$S$4001,'All Donations'!$R$2:$R$4001,AD90,'All Donations'!$T$2:$T$4001,"&gt;="&amp;'Settings'!$C$29,'All Donations'!$T$2:$T$4001,"&lt;="&amp;'Settings'!$D$29),2),0)</f>
        <v/>
      </c>
      <c r="AV90">
        <f>IF(AE90=1,ROUND(SUMIFS('All Donations'!$S$2:$S$4001,'All Donations'!$R$2:$R$4001,AD90,'All Donations'!$T$2:$T$4001,"&lt;="&amp;'Settings'!$D$30),2),0)</f>
        <v/>
      </c>
      <c r="AZ90">
        <f>IF(AE90=1,ROUND(SUMIFS('All Donations'!$S$2:$S$4001,'All Donations'!$R$2:$R$4001,AD90,'All Donations'!$T$2:$T$4001,"&lt;="&amp;'Settings'!$D$34),2),0)</f>
        <v/>
      </c>
    </row>
    <row r="91">
      <c r="A91">
        <f>IF(AE91=1,TRIM(TRIM('Roster'!B91)&amp;" "&amp;TRIM('Roster'!C91)),"")</f>
        <v/>
      </c>
      <c r="B91">
        <f>IF(AE91=1,IF(AN91="","(no teacher)",AN91&amp;" – "&amp;C91),"")</f>
        <v/>
      </c>
      <c r="C91">
        <f>IF(AE91=1,TRIM('Roster'!D91&amp;""),"")</f>
        <v/>
      </c>
      <c r="D91" s="48">
        <f>IF(AE91=1,ROUND(SUMIFS('All Donations'!$S$2:$S$4001,'All Donations'!$R$2:$R$4001,AD91),2),"")</f>
        <v/>
      </c>
      <c r="E91" s="48">
        <f>IF(AE91=1,ROUND(SUMIFS('All Donations'!$S$2:$S$4001,'All Donations'!$R$2:$R$4001,AD91,'All Donations'!$G$2:$G$4001,"OneCause"),2),"")</f>
        <v/>
      </c>
      <c r="F91" s="48">
        <f>IF(AE91=1,D91-E91,"")</f>
        <v/>
      </c>
      <c r="G91">
        <f>IF(AE91=1,COUNTIFS('All Donations'!$R$2:$R$4001,AD91,'All Donations'!$H$2:$H$4001,"OK"),"")</f>
        <v/>
      </c>
      <c r="H91">
        <f>IF(AE91&lt;&gt;1,"",IF(D91&gt;0,"Yes",""))</f>
        <v/>
      </c>
      <c r="I91" s="49">
        <f>IF(OR($AE91&lt;&gt;1,I$1=""),"",SUMIFS('All Donations'!$S$2:$S$4001,'All Donations'!$R$2:$R$4001,$AD91,'All Donations'!$T$2:$T$4001,I$1))</f>
        <v/>
      </c>
      <c r="J91" s="49">
        <f>IF(OR($AE91&lt;&gt;1,J$1=""),"",SUMIFS('All Donations'!$S$2:$S$4001,'All Donations'!$R$2:$R$4001,$AD91,'All Donations'!$T$2:$T$4001,J$1))</f>
        <v/>
      </c>
      <c r="K91" s="49">
        <f>IF(OR($AE91&lt;&gt;1,K$1=""),"",SUMIFS('All Donations'!$S$2:$S$4001,'All Donations'!$R$2:$R$4001,$AD91,'All Donations'!$T$2:$T$4001,K$1))</f>
        <v/>
      </c>
      <c r="L91" s="49">
        <f>IF(OR($AE91&lt;&gt;1,L$1=""),"",SUMIFS('All Donations'!$S$2:$S$4001,'All Donations'!$R$2:$R$4001,$AD91,'All Donations'!$T$2:$T$4001,L$1))</f>
        <v/>
      </c>
      <c r="M91" s="49">
        <f>IF(OR($AE91&lt;&gt;1,M$1=""),"",SUMIFS('All Donations'!$S$2:$S$4001,'All Donations'!$R$2:$R$4001,$AD91,'All Donations'!$T$2:$T$4001,M$1))</f>
        <v/>
      </c>
      <c r="N91" s="49">
        <f>IF(OR($AE91&lt;&gt;1,N$1=""),"",SUMIFS('All Donations'!$S$2:$S$4001,'All Donations'!$R$2:$R$4001,$AD91,'All Donations'!$T$2:$T$4001,N$1))</f>
        <v/>
      </c>
      <c r="O91" s="49">
        <f>IF(OR($AE91&lt;&gt;1,O$1=""),"",SUMIFS('All Donations'!$S$2:$S$4001,'All Donations'!$R$2:$R$4001,$AD91,'All Donations'!$T$2:$T$4001,O$1))</f>
        <v/>
      </c>
      <c r="P91" s="49">
        <f>IF(OR($AE91&lt;&gt;1,P$1=""),"",SUMIFS('All Donations'!$S$2:$S$4001,'All Donations'!$R$2:$R$4001,$AD91,'All Donations'!$T$2:$T$4001,P$1))</f>
        <v/>
      </c>
      <c r="Q91" s="49">
        <f>IF(OR($AE91&lt;&gt;1,Q$1=""),"",SUMIFS('All Donations'!$S$2:$S$4001,'All Donations'!$R$2:$R$4001,$AD91,'All Donations'!$T$2:$T$4001,Q$1))</f>
        <v/>
      </c>
      <c r="R91" s="49">
        <f>IF(OR($AE91&lt;&gt;1,R$1=""),"",SUMIFS('All Donations'!$S$2:$S$4001,'All Donations'!$R$2:$R$4001,$AD91,'All Donations'!$T$2:$T$4001,R$1))</f>
        <v/>
      </c>
      <c r="S91" s="49">
        <f>IF(OR($AE91&lt;&gt;1,S$1=""),"",SUMIFS('All Donations'!$S$2:$S$4001,'All Donations'!$R$2:$R$4001,$AD91,'All Donations'!$T$2:$T$4001,S$1))</f>
        <v/>
      </c>
      <c r="T91" s="49">
        <f>IF(OR($AE91&lt;&gt;1,T$1=""),"",SUMIFS('All Donations'!$S$2:$S$4001,'All Donations'!$R$2:$R$4001,$AD91,'All Donations'!$T$2:$T$4001,T$1))</f>
        <v/>
      </c>
      <c r="U91" s="49">
        <f>IF(OR($AE91&lt;&gt;1,U$1=""),"",SUMIFS('All Donations'!$S$2:$S$4001,'All Donations'!$R$2:$R$4001,$AD91,'All Donations'!$T$2:$T$4001,U$1))</f>
        <v/>
      </c>
      <c r="V91" s="49">
        <f>IF(OR($AE91&lt;&gt;1,V$1=""),"",SUMIFS('All Donations'!$S$2:$S$4001,'All Donations'!$R$2:$R$4001,$AD91,'All Donations'!$T$2:$T$4001,V$1))</f>
        <v/>
      </c>
      <c r="W91" s="49">
        <f>IF(OR($AE91&lt;&gt;1,W$1=""),"",SUMIFS('All Donations'!$S$2:$S$4001,'All Donations'!$R$2:$R$4001,$AD91,'All Donations'!$T$2:$T$4001,W$1))</f>
        <v/>
      </c>
      <c r="X91" s="49">
        <f>IF(OR($AE91&lt;&gt;1,X$1=""),"",SUMIFS('All Donations'!$S$2:$S$4001,'All Donations'!$R$2:$R$4001,$AD91,'All Donations'!$T$2:$T$4001,X$1))</f>
        <v/>
      </c>
      <c r="Y91" s="49">
        <f>IF(OR($AE91&lt;&gt;1,Y$1=""),"",SUMIFS('All Donations'!$S$2:$S$4001,'All Donations'!$R$2:$R$4001,$AD91,'All Donations'!$T$2:$T$4001,Y$1))</f>
        <v/>
      </c>
      <c r="Z91" s="49">
        <f>IF(OR($AE91&lt;&gt;1,Z$1=""),"",SUMIFS('All Donations'!$S$2:$S$4001,'All Donations'!$R$2:$R$4001,$AD91,'All Donations'!$T$2:$T$4001,Z$1))</f>
        <v/>
      </c>
      <c r="AA91" s="49">
        <f>IF(OR($AE91&lt;&gt;1,AA$1=""),"",SUMIFS('All Donations'!$S$2:$S$4001,'All Donations'!$R$2:$R$4001,$AD91,'All Donations'!$T$2:$T$4001,AA$1))</f>
        <v/>
      </c>
      <c r="AB91" s="49">
        <f>IF(OR($AE91&lt;&gt;1,AB$1=""),"",SUMIFS('All Donations'!$S$2:$S$4001,'All Donations'!$R$2:$R$4001,$AD91,'All Donations'!$T$2:$T$4001,AB$1))</f>
        <v/>
      </c>
      <c r="AC91" s="49">
        <f>IF(OR($AE91&lt;&gt;1,AC$1=""),"",SUMIFS('All Donations'!$S$2:$S$4001,'All Donations'!$R$2:$R$4001,$AD91,'All Donations'!$T$2:$T$4001,AC$1))</f>
        <v/>
      </c>
      <c r="AD91">
        <f>IF(AE91=1,'Roster'!A91,"")</f>
        <v/>
      </c>
      <c r="AE91">
        <f>IF(TRIM('Roster'!B91&amp;'Roster'!C91)&lt;&gt;"",1,0)</f>
        <v/>
      </c>
      <c r="AF91">
        <f>IF(AE91=1,LOWER(A91),"#")</f>
        <v/>
      </c>
      <c r="AG91">
        <f>IF(AE91=1,LOWER(TRIM(TRIM('Roster'!C91)&amp;", "&amp;TRIM('Roster'!B91))),"#")</f>
        <v/>
      </c>
      <c r="AH91">
        <f>IF(AND(AE91=1,TRIM('Roster'!F91)&lt;&gt;""),LOWER(TRIM('Roster'!F91)),"#")</f>
        <v/>
      </c>
      <c r="AI91">
        <f>IF(AE91=1,IF(MATCH(B91,$B$2:$B$701,0)=ROW()-1,1,0),0)</f>
        <v/>
      </c>
      <c r="AJ91">
        <f>AJ90+AI91</f>
        <v/>
      </c>
      <c r="AK91">
        <f>IF(AE91=1,D91+(1000-ROW())/10^7,-1)</f>
        <v/>
      </c>
      <c r="AL91">
        <f>IF(AE91=1,TRIM('Roster'!B91)&amp;" "&amp;LEFT(TRIM('Roster'!C91),1)&amp;".","")</f>
        <v/>
      </c>
      <c r="AM91">
        <f>IF(AE91=1,TRIM('Roster'!C91)&amp;", "&amp;TRIM('Roster'!B91)&amp;" ("&amp;B91&amp;") #"&amp;AD91,"")</f>
        <v/>
      </c>
      <c r="AN91">
        <f>IF(AE91=1,TRIM('Roster'!E91),"")</f>
        <v/>
      </c>
      <c r="AO91">
        <f>IF(AE91=1,ROUND(SUMIFS('All Donations'!$S$2:$S$4001,'All Donations'!$R$2:$R$4001,AD91,'All Donations'!$T$2:$T$4001,"&gt;="&amp;'Settings'!$C$23,'All Donations'!$T$2:$T$4001,"&lt;="&amp;'Settings'!$D$23),2),0)</f>
        <v/>
      </c>
      <c r="AQ91">
        <f>IF(AE91=1,ROUND(SUMIFS('All Donations'!$S$2:$S$4001,'All Donations'!$R$2:$R$4001,AD91,'All Donations'!$T$2:$T$4001,"&gt;="&amp;'Settings'!$C$25,'All Donations'!$T$2:$T$4001,"&lt;="&amp;'Settings'!$D$25),2),0)</f>
        <v/>
      </c>
      <c r="AR91">
        <f>IF(AE91=1,ROUND(SUMIFS('All Donations'!$S$2:$S$4001,'All Donations'!$R$2:$R$4001,AD91,'All Donations'!$T$2:$T$4001,"&gt;="&amp;'Settings'!$C$26,'All Donations'!$T$2:$T$4001,"&lt;="&amp;'Settings'!$D$26),2),0)</f>
        <v/>
      </c>
      <c r="AS91">
        <f>IF(AE91=1,ROUND(SUMIFS('All Donations'!$S$2:$S$4001,'All Donations'!$R$2:$R$4001,AD91,'All Donations'!$T$2:$T$4001,"&lt;="&amp;'Settings'!$D$27),2),0)</f>
        <v/>
      </c>
      <c r="AT91">
        <f>IF(AE91=1,ROUND(SUMIFS('All Donations'!$S$2:$S$4001,'All Donations'!$R$2:$R$4001,AD91,'All Donations'!$T$2:$T$4001,"&gt;="&amp;'Settings'!$C$28,'All Donations'!$T$2:$T$4001,"&lt;="&amp;'Settings'!$D$28),2),0)</f>
        <v/>
      </c>
      <c r="AU91">
        <f>IF(AE91=1,ROUND(SUMIFS('All Donations'!$S$2:$S$4001,'All Donations'!$R$2:$R$4001,AD91,'All Donations'!$T$2:$T$4001,"&gt;="&amp;'Settings'!$C$29,'All Donations'!$T$2:$T$4001,"&lt;="&amp;'Settings'!$D$29),2),0)</f>
        <v/>
      </c>
      <c r="AV91">
        <f>IF(AE91=1,ROUND(SUMIFS('All Donations'!$S$2:$S$4001,'All Donations'!$R$2:$R$4001,AD91,'All Donations'!$T$2:$T$4001,"&lt;="&amp;'Settings'!$D$30),2),0)</f>
        <v/>
      </c>
      <c r="AZ91">
        <f>IF(AE91=1,ROUND(SUMIFS('All Donations'!$S$2:$S$4001,'All Donations'!$R$2:$R$4001,AD91,'All Donations'!$T$2:$T$4001,"&lt;="&amp;'Settings'!$D$34),2),0)</f>
        <v/>
      </c>
    </row>
    <row r="92">
      <c r="A92">
        <f>IF(AE92=1,TRIM(TRIM('Roster'!B92)&amp;" "&amp;TRIM('Roster'!C92)),"")</f>
        <v/>
      </c>
      <c r="B92">
        <f>IF(AE92=1,IF(AN92="","(no teacher)",AN92&amp;" – "&amp;C92),"")</f>
        <v/>
      </c>
      <c r="C92">
        <f>IF(AE92=1,TRIM('Roster'!D92&amp;""),"")</f>
        <v/>
      </c>
      <c r="D92" s="48">
        <f>IF(AE92=1,ROUND(SUMIFS('All Donations'!$S$2:$S$4001,'All Donations'!$R$2:$R$4001,AD92),2),"")</f>
        <v/>
      </c>
      <c r="E92" s="48">
        <f>IF(AE92=1,ROUND(SUMIFS('All Donations'!$S$2:$S$4001,'All Donations'!$R$2:$R$4001,AD92,'All Donations'!$G$2:$G$4001,"OneCause"),2),"")</f>
        <v/>
      </c>
      <c r="F92" s="48">
        <f>IF(AE92=1,D92-E92,"")</f>
        <v/>
      </c>
      <c r="G92">
        <f>IF(AE92=1,COUNTIFS('All Donations'!$R$2:$R$4001,AD92,'All Donations'!$H$2:$H$4001,"OK"),"")</f>
        <v/>
      </c>
      <c r="H92">
        <f>IF(AE92&lt;&gt;1,"",IF(D92&gt;0,"Yes",""))</f>
        <v/>
      </c>
      <c r="I92" s="49">
        <f>IF(OR($AE92&lt;&gt;1,I$1=""),"",SUMIFS('All Donations'!$S$2:$S$4001,'All Donations'!$R$2:$R$4001,$AD92,'All Donations'!$T$2:$T$4001,I$1))</f>
        <v/>
      </c>
      <c r="J92" s="49">
        <f>IF(OR($AE92&lt;&gt;1,J$1=""),"",SUMIFS('All Donations'!$S$2:$S$4001,'All Donations'!$R$2:$R$4001,$AD92,'All Donations'!$T$2:$T$4001,J$1))</f>
        <v/>
      </c>
      <c r="K92" s="49">
        <f>IF(OR($AE92&lt;&gt;1,K$1=""),"",SUMIFS('All Donations'!$S$2:$S$4001,'All Donations'!$R$2:$R$4001,$AD92,'All Donations'!$T$2:$T$4001,K$1))</f>
        <v/>
      </c>
      <c r="L92" s="49">
        <f>IF(OR($AE92&lt;&gt;1,L$1=""),"",SUMIFS('All Donations'!$S$2:$S$4001,'All Donations'!$R$2:$R$4001,$AD92,'All Donations'!$T$2:$T$4001,L$1))</f>
        <v/>
      </c>
      <c r="M92" s="49">
        <f>IF(OR($AE92&lt;&gt;1,M$1=""),"",SUMIFS('All Donations'!$S$2:$S$4001,'All Donations'!$R$2:$R$4001,$AD92,'All Donations'!$T$2:$T$4001,M$1))</f>
        <v/>
      </c>
      <c r="N92" s="49">
        <f>IF(OR($AE92&lt;&gt;1,N$1=""),"",SUMIFS('All Donations'!$S$2:$S$4001,'All Donations'!$R$2:$R$4001,$AD92,'All Donations'!$T$2:$T$4001,N$1))</f>
        <v/>
      </c>
      <c r="O92" s="49">
        <f>IF(OR($AE92&lt;&gt;1,O$1=""),"",SUMIFS('All Donations'!$S$2:$S$4001,'All Donations'!$R$2:$R$4001,$AD92,'All Donations'!$T$2:$T$4001,O$1))</f>
        <v/>
      </c>
      <c r="P92" s="49">
        <f>IF(OR($AE92&lt;&gt;1,P$1=""),"",SUMIFS('All Donations'!$S$2:$S$4001,'All Donations'!$R$2:$R$4001,$AD92,'All Donations'!$T$2:$T$4001,P$1))</f>
        <v/>
      </c>
      <c r="Q92" s="49">
        <f>IF(OR($AE92&lt;&gt;1,Q$1=""),"",SUMIFS('All Donations'!$S$2:$S$4001,'All Donations'!$R$2:$R$4001,$AD92,'All Donations'!$T$2:$T$4001,Q$1))</f>
        <v/>
      </c>
      <c r="R92" s="49">
        <f>IF(OR($AE92&lt;&gt;1,R$1=""),"",SUMIFS('All Donations'!$S$2:$S$4001,'All Donations'!$R$2:$R$4001,$AD92,'All Donations'!$T$2:$T$4001,R$1))</f>
        <v/>
      </c>
      <c r="S92" s="49">
        <f>IF(OR($AE92&lt;&gt;1,S$1=""),"",SUMIFS('All Donations'!$S$2:$S$4001,'All Donations'!$R$2:$R$4001,$AD92,'All Donations'!$T$2:$T$4001,S$1))</f>
        <v/>
      </c>
      <c r="T92" s="49">
        <f>IF(OR($AE92&lt;&gt;1,T$1=""),"",SUMIFS('All Donations'!$S$2:$S$4001,'All Donations'!$R$2:$R$4001,$AD92,'All Donations'!$T$2:$T$4001,T$1))</f>
        <v/>
      </c>
      <c r="U92" s="49">
        <f>IF(OR($AE92&lt;&gt;1,U$1=""),"",SUMIFS('All Donations'!$S$2:$S$4001,'All Donations'!$R$2:$R$4001,$AD92,'All Donations'!$T$2:$T$4001,U$1))</f>
        <v/>
      </c>
      <c r="V92" s="49">
        <f>IF(OR($AE92&lt;&gt;1,V$1=""),"",SUMIFS('All Donations'!$S$2:$S$4001,'All Donations'!$R$2:$R$4001,$AD92,'All Donations'!$T$2:$T$4001,V$1))</f>
        <v/>
      </c>
      <c r="W92" s="49">
        <f>IF(OR($AE92&lt;&gt;1,W$1=""),"",SUMIFS('All Donations'!$S$2:$S$4001,'All Donations'!$R$2:$R$4001,$AD92,'All Donations'!$T$2:$T$4001,W$1))</f>
        <v/>
      </c>
      <c r="X92" s="49">
        <f>IF(OR($AE92&lt;&gt;1,X$1=""),"",SUMIFS('All Donations'!$S$2:$S$4001,'All Donations'!$R$2:$R$4001,$AD92,'All Donations'!$T$2:$T$4001,X$1))</f>
        <v/>
      </c>
      <c r="Y92" s="49">
        <f>IF(OR($AE92&lt;&gt;1,Y$1=""),"",SUMIFS('All Donations'!$S$2:$S$4001,'All Donations'!$R$2:$R$4001,$AD92,'All Donations'!$T$2:$T$4001,Y$1))</f>
        <v/>
      </c>
      <c r="Z92" s="49">
        <f>IF(OR($AE92&lt;&gt;1,Z$1=""),"",SUMIFS('All Donations'!$S$2:$S$4001,'All Donations'!$R$2:$R$4001,$AD92,'All Donations'!$T$2:$T$4001,Z$1))</f>
        <v/>
      </c>
      <c r="AA92" s="49">
        <f>IF(OR($AE92&lt;&gt;1,AA$1=""),"",SUMIFS('All Donations'!$S$2:$S$4001,'All Donations'!$R$2:$R$4001,$AD92,'All Donations'!$T$2:$T$4001,AA$1))</f>
        <v/>
      </c>
      <c r="AB92" s="49">
        <f>IF(OR($AE92&lt;&gt;1,AB$1=""),"",SUMIFS('All Donations'!$S$2:$S$4001,'All Donations'!$R$2:$R$4001,$AD92,'All Donations'!$T$2:$T$4001,AB$1))</f>
        <v/>
      </c>
      <c r="AC92" s="49">
        <f>IF(OR($AE92&lt;&gt;1,AC$1=""),"",SUMIFS('All Donations'!$S$2:$S$4001,'All Donations'!$R$2:$R$4001,$AD92,'All Donations'!$T$2:$T$4001,AC$1))</f>
        <v/>
      </c>
      <c r="AD92">
        <f>IF(AE92=1,'Roster'!A92,"")</f>
        <v/>
      </c>
      <c r="AE92">
        <f>IF(TRIM('Roster'!B92&amp;'Roster'!C92)&lt;&gt;"",1,0)</f>
        <v/>
      </c>
      <c r="AF92">
        <f>IF(AE92=1,LOWER(A92),"#")</f>
        <v/>
      </c>
      <c r="AG92">
        <f>IF(AE92=1,LOWER(TRIM(TRIM('Roster'!C92)&amp;", "&amp;TRIM('Roster'!B92))),"#")</f>
        <v/>
      </c>
      <c r="AH92">
        <f>IF(AND(AE92=1,TRIM('Roster'!F92)&lt;&gt;""),LOWER(TRIM('Roster'!F92)),"#")</f>
        <v/>
      </c>
      <c r="AI92">
        <f>IF(AE92=1,IF(MATCH(B92,$B$2:$B$701,0)=ROW()-1,1,0),0)</f>
        <v/>
      </c>
      <c r="AJ92">
        <f>AJ91+AI92</f>
        <v/>
      </c>
      <c r="AK92">
        <f>IF(AE92=1,D92+(1000-ROW())/10^7,-1)</f>
        <v/>
      </c>
      <c r="AL92">
        <f>IF(AE92=1,TRIM('Roster'!B92)&amp;" "&amp;LEFT(TRIM('Roster'!C92),1)&amp;".","")</f>
        <v/>
      </c>
      <c r="AM92">
        <f>IF(AE92=1,TRIM('Roster'!C92)&amp;", "&amp;TRIM('Roster'!B92)&amp;" ("&amp;B92&amp;") #"&amp;AD92,"")</f>
        <v/>
      </c>
      <c r="AN92">
        <f>IF(AE92=1,TRIM('Roster'!E92),"")</f>
        <v/>
      </c>
      <c r="AO92">
        <f>IF(AE92=1,ROUND(SUMIFS('All Donations'!$S$2:$S$4001,'All Donations'!$R$2:$R$4001,AD92,'All Donations'!$T$2:$T$4001,"&gt;="&amp;'Settings'!$C$23,'All Donations'!$T$2:$T$4001,"&lt;="&amp;'Settings'!$D$23),2),0)</f>
        <v/>
      </c>
      <c r="AQ92">
        <f>IF(AE92=1,ROUND(SUMIFS('All Donations'!$S$2:$S$4001,'All Donations'!$R$2:$R$4001,AD92,'All Donations'!$T$2:$T$4001,"&gt;="&amp;'Settings'!$C$25,'All Donations'!$T$2:$T$4001,"&lt;="&amp;'Settings'!$D$25),2),0)</f>
        <v/>
      </c>
      <c r="AR92">
        <f>IF(AE92=1,ROUND(SUMIFS('All Donations'!$S$2:$S$4001,'All Donations'!$R$2:$R$4001,AD92,'All Donations'!$T$2:$T$4001,"&gt;="&amp;'Settings'!$C$26,'All Donations'!$T$2:$T$4001,"&lt;="&amp;'Settings'!$D$26),2),0)</f>
        <v/>
      </c>
      <c r="AS92">
        <f>IF(AE92=1,ROUND(SUMIFS('All Donations'!$S$2:$S$4001,'All Donations'!$R$2:$R$4001,AD92,'All Donations'!$T$2:$T$4001,"&lt;="&amp;'Settings'!$D$27),2),0)</f>
        <v/>
      </c>
      <c r="AT92">
        <f>IF(AE92=1,ROUND(SUMIFS('All Donations'!$S$2:$S$4001,'All Donations'!$R$2:$R$4001,AD92,'All Donations'!$T$2:$T$4001,"&gt;="&amp;'Settings'!$C$28,'All Donations'!$T$2:$T$4001,"&lt;="&amp;'Settings'!$D$28),2),0)</f>
        <v/>
      </c>
      <c r="AU92">
        <f>IF(AE92=1,ROUND(SUMIFS('All Donations'!$S$2:$S$4001,'All Donations'!$R$2:$R$4001,AD92,'All Donations'!$T$2:$T$4001,"&gt;="&amp;'Settings'!$C$29,'All Donations'!$T$2:$T$4001,"&lt;="&amp;'Settings'!$D$29),2),0)</f>
        <v/>
      </c>
      <c r="AV92">
        <f>IF(AE92=1,ROUND(SUMIFS('All Donations'!$S$2:$S$4001,'All Donations'!$R$2:$R$4001,AD92,'All Donations'!$T$2:$T$4001,"&lt;="&amp;'Settings'!$D$30),2),0)</f>
        <v/>
      </c>
      <c r="AZ92">
        <f>IF(AE92=1,ROUND(SUMIFS('All Donations'!$S$2:$S$4001,'All Donations'!$R$2:$R$4001,AD92,'All Donations'!$T$2:$T$4001,"&lt;="&amp;'Settings'!$D$34),2),0)</f>
        <v/>
      </c>
    </row>
    <row r="93">
      <c r="A93">
        <f>IF(AE93=1,TRIM(TRIM('Roster'!B93)&amp;" "&amp;TRIM('Roster'!C93)),"")</f>
        <v/>
      </c>
      <c r="B93">
        <f>IF(AE93=1,IF(AN93="","(no teacher)",AN93&amp;" – "&amp;C93),"")</f>
        <v/>
      </c>
      <c r="C93">
        <f>IF(AE93=1,TRIM('Roster'!D93&amp;""),"")</f>
        <v/>
      </c>
      <c r="D93" s="48">
        <f>IF(AE93=1,ROUND(SUMIFS('All Donations'!$S$2:$S$4001,'All Donations'!$R$2:$R$4001,AD93),2),"")</f>
        <v/>
      </c>
      <c r="E93" s="48">
        <f>IF(AE93=1,ROUND(SUMIFS('All Donations'!$S$2:$S$4001,'All Donations'!$R$2:$R$4001,AD93,'All Donations'!$G$2:$G$4001,"OneCause"),2),"")</f>
        <v/>
      </c>
      <c r="F93" s="48">
        <f>IF(AE93=1,D93-E93,"")</f>
        <v/>
      </c>
      <c r="G93">
        <f>IF(AE93=1,COUNTIFS('All Donations'!$R$2:$R$4001,AD93,'All Donations'!$H$2:$H$4001,"OK"),"")</f>
        <v/>
      </c>
      <c r="H93">
        <f>IF(AE93&lt;&gt;1,"",IF(D93&gt;0,"Yes",""))</f>
        <v/>
      </c>
      <c r="I93" s="49">
        <f>IF(OR($AE93&lt;&gt;1,I$1=""),"",SUMIFS('All Donations'!$S$2:$S$4001,'All Donations'!$R$2:$R$4001,$AD93,'All Donations'!$T$2:$T$4001,I$1))</f>
        <v/>
      </c>
      <c r="J93" s="49">
        <f>IF(OR($AE93&lt;&gt;1,J$1=""),"",SUMIFS('All Donations'!$S$2:$S$4001,'All Donations'!$R$2:$R$4001,$AD93,'All Donations'!$T$2:$T$4001,J$1))</f>
        <v/>
      </c>
      <c r="K93" s="49">
        <f>IF(OR($AE93&lt;&gt;1,K$1=""),"",SUMIFS('All Donations'!$S$2:$S$4001,'All Donations'!$R$2:$R$4001,$AD93,'All Donations'!$T$2:$T$4001,K$1))</f>
        <v/>
      </c>
      <c r="L93" s="49">
        <f>IF(OR($AE93&lt;&gt;1,L$1=""),"",SUMIFS('All Donations'!$S$2:$S$4001,'All Donations'!$R$2:$R$4001,$AD93,'All Donations'!$T$2:$T$4001,L$1))</f>
        <v/>
      </c>
      <c r="M93" s="49">
        <f>IF(OR($AE93&lt;&gt;1,M$1=""),"",SUMIFS('All Donations'!$S$2:$S$4001,'All Donations'!$R$2:$R$4001,$AD93,'All Donations'!$T$2:$T$4001,M$1))</f>
        <v/>
      </c>
      <c r="N93" s="49">
        <f>IF(OR($AE93&lt;&gt;1,N$1=""),"",SUMIFS('All Donations'!$S$2:$S$4001,'All Donations'!$R$2:$R$4001,$AD93,'All Donations'!$T$2:$T$4001,N$1))</f>
        <v/>
      </c>
      <c r="O93" s="49">
        <f>IF(OR($AE93&lt;&gt;1,O$1=""),"",SUMIFS('All Donations'!$S$2:$S$4001,'All Donations'!$R$2:$R$4001,$AD93,'All Donations'!$T$2:$T$4001,O$1))</f>
        <v/>
      </c>
      <c r="P93" s="49">
        <f>IF(OR($AE93&lt;&gt;1,P$1=""),"",SUMIFS('All Donations'!$S$2:$S$4001,'All Donations'!$R$2:$R$4001,$AD93,'All Donations'!$T$2:$T$4001,P$1))</f>
        <v/>
      </c>
      <c r="Q93" s="49">
        <f>IF(OR($AE93&lt;&gt;1,Q$1=""),"",SUMIFS('All Donations'!$S$2:$S$4001,'All Donations'!$R$2:$R$4001,$AD93,'All Donations'!$T$2:$T$4001,Q$1))</f>
        <v/>
      </c>
      <c r="R93" s="49">
        <f>IF(OR($AE93&lt;&gt;1,R$1=""),"",SUMIFS('All Donations'!$S$2:$S$4001,'All Donations'!$R$2:$R$4001,$AD93,'All Donations'!$T$2:$T$4001,R$1))</f>
        <v/>
      </c>
      <c r="S93" s="49">
        <f>IF(OR($AE93&lt;&gt;1,S$1=""),"",SUMIFS('All Donations'!$S$2:$S$4001,'All Donations'!$R$2:$R$4001,$AD93,'All Donations'!$T$2:$T$4001,S$1))</f>
        <v/>
      </c>
      <c r="T93" s="49">
        <f>IF(OR($AE93&lt;&gt;1,T$1=""),"",SUMIFS('All Donations'!$S$2:$S$4001,'All Donations'!$R$2:$R$4001,$AD93,'All Donations'!$T$2:$T$4001,T$1))</f>
        <v/>
      </c>
      <c r="U93" s="49">
        <f>IF(OR($AE93&lt;&gt;1,U$1=""),"",SUMIFS('All Donations'!$S$2:$S$4001,'All Donations'!$R$2:$R$4001,$AD93,'All Donations'!$T$2:$T$4001,U$1))</f>
        <v/>
      </c>
      <c r="V93" s="49">
        <f>IF(OR($AE93&lt;&gt;1,V$1=""),"",SUMIFS('All Donations'!$S$2:$S$4001,'All Donations'!$R$2:$R$4001,$AD93,'All Donations'!$T$2:$T$4001,V$1))</f>
        <v/>
      </c>
      <c r="W93" s="49">
        <f>IF(OR($AE93&lt;&gt;1,W$1=""),"",SUMIFS('All Donations'!$S$2:$S$4001,'All Donations'!$R$2:$R$4001,$AD93,'All Donations'!$T$2:$T$4001,W$1))</f>
        <v/>
      </c>
      <c r="X93" s="49">
        <f>IF(OR($AE93&lt;&gt;1,X$1=""),"",SUMIFS('All Donations'!$S$2:$S$4001,'All Donations'!$R$2:$R$4001,$AD93,'All Donations'!$T$2:$T$4001,X$1))</f>
        <v/>
      </c>
      <c r="Y93" s="49">
        <f>IF(OR($AE93&lt;&gt;1,Y$1=""),"",SUMIFS('All Donations'!$S$2:$S$4001,'All Donations'!$R$2:$R$4001,$AD93,'All Donations'!$T$2:$T$4001,Y$1))</f>
        <v/>
      </c>
      <c r="Z93" s="49">
        <f>IF(OR($AE93&lt;&gt;1,Z$1=""),"",SUMIFS('All Donations'!$S$2:$S$4001,'All Donations'!$R$2:$R$4001,$AD93,'All Donations'!$T$2:$T$4001,Z$1))</f>
        <v/>
      </c>
      <c r="AA93" s="49">
        <f>IF(OR($AE93&lt;&gt;1,AA$1=""),"",SUMIFS('All Donations'!$S$2:$S$4001,'All Donations'!$R$2:$R$4001,$AD93,'All Donations'!$T$2:$T$4001,AA$1))</f>
        <v/>
      </c>
      <c r="AB93" s="49">
        <f>IF(OR($AE93&lt;&gt;1,AB$1=""),"",SUMIFS('All Donations'!$S$2:$S$4001,'All Donations'!$R$2:$R$4001,$AD93,'All Donations'!$T$2:$T$4001,AB$1))</f>
        <v/>
      </c>
      <c r="AC93" s="49">
        <f>IF(OR($AE93&lt;&gt;1,AC$1=""),"",SUMIFS('All Donations'!$S$2:$S$4001,'All Donations'!$R$2:$R$4001,$AD93,'All Donations'!$T$2:$T$4001,AC$1))</f>
        <v/>
      </c>
      <c r="AD93">
        <f>IF(AE93=1,'Roster'!A93,"")</f>
        <v/>
      </c>
      <c r="AE93">
        <f>IF(TRIM('Roster'!B93&amp;'Roster'!C93)&lt;&gt;"",1,0)</f>
        <v/>
      </c>
      <c r="AF93">
        <f>IF(AE93=1,LOWER(A93),"#")</f>
        <v/>
      </c>
      <c r="AG93">
        <f>IF(AE93=1,LOWER(TRIM(TRIM('Roster'!C93)&amp;", "&amp;TRIM('Roster'!B93))),"#")</f>
        <v/>
      </c>
      <c r="AH93">
        <f>IF(AND(AE93=1,TRIM('Roster'!F93)&lt;&gt;""),LOWER(TRIM('Roster'!F93)),"#")</f>
        <v/>
      </c>
      <c r="AI93">
        <f>IF(AE93=1,IF(MATCH(B93,$B$2:$B$701,0)=ROW()-1,1,0),0)</f>
        <v/>
      </c>
      <c r="AJ93">
        <f>AJ92+AI93</f>
        <v/>
      </c>
      <c r="AK93">
        <f>IF(AE93=1,D93+(1000-ROW())/10^7,-1)</f>
        <v/>
      </c>
      <c r="AL93">
        <f>IF(AE93=1,TRIM('Roster'!B93)&amp;" "&amp;LEFT(TRIM('Roster'!C93),1)&amp;".","")</f>
        <v/>
      </c>
      <c r="AM93">
        <f>IF(AE93=1,TRIM('Roster'!C93)&amp;", "&amp;TRIM('Roster'!B93)&amp;" ("&amp;B93&amp;") #"&amp;AD93,"")</f>
        <v/>
      </c>
      <c r="AN93">
        <f>IF(AE93=1,TRIM('Roster'!E93),"")</f>
        <v/>
      </c>
      <c r="AO93">
        <f>IF(AE93=1,ROUND(SUMIFS('All Donations'!$S$2:$S$4001,'All Donations'!$R$2:$R$4001,AD93,'All Donations'!$T$2:$T$4001,"&gt;="&amp;'Settings'!$C$23,'All Donations'!$T$2:$T$4001,"&lt;="&amp;'Settings'!$D$23),2),0)</f>
        <v/>
      </c>
      <c r="AQ93">
        <f>IF(AE93=1,ROUND(SUMIFS('All Donations'!$S$2:$S$4001,'All Donations'!$R$2:$R$4001,AD93,'All Donations'!$T$2:$T$4001,"&gt;="&amp;'Settings'!$C$25,'All Donations'!$T$2:$T$4001,"&lt;="&amp;'Settings'!$D$25),2),0)</f>
        <v/>
      </c>
      <c r="AR93">
        <f>IF(AE93=1,ROUND(SUMIFS('All Donations'!$S$2:$S$4001,'All Donations'!$R$2:$R$4001,AD93,'All Donations'!$T$2:$T$4001,"&gt;="&amp;'Settings'!$C$26,'All Donations'!$T$2:$T$4001,"&lt;="&amp;'Settings'!$D$26),2),0)</f>
        <v/>
      </c>
      <c r="AS93">
        <f>IF(AE93=1,ROUND(SUMIFS('All Donations'!$S$2:$S$4001,'All Donations'!$R$2:$R$4001,AD93,'All Donations'!$T$2:$T$4001,"&lt;="&amp;'Settings'!$D$27),2),0)</f>
        <v/>
      </c>
      <c r="AT93">
        <f>IF(AE93=1,ROUND(SUMIFS('All Donations'!$S$2:$S$4001,'All Donations'!$R$2:$R$4001,AD93,'All Donations'!$T$2:$T$4001,"&gt;="&amp;'Settings'!$C$28,'All Donations'!$T$2:$T$4001,"&lt;="&amp;'Settings'!$D$28),2),0)</f>
        <v/>
      </c>
      <c r="AU93">
        <f>IF(AE93=1,ROUND(SUMIFS('All Donations'!$S$2:$S$4001,'All Donations'!$R$2:$R$4001,AD93,'All Donations'!$T$2:$T$4001,"&gt;="&amp;'Settings'!$C$29,'All Donations'!$T$2:$T$4001,"&lt;="&amp;'Settings'!$D$29),2),0)</f>
        <v/>
      </c>
      <c r="AV93">
        <f>IF(AE93=1,ROUND(SUMIFS('All Donations'!$S$2:$S$4001,'All Donations'!$R$2:$R$4001,AD93,'All Donations'!$T$2:$T$4001,"&lt;="&amp;'Settings'!$D$30),2),0)</f>
        <v/>
      </c>
      <c r="AZ93">
        <f>IF(AE93=1,ROUND(SUMIFS('All Donations'!$S$2:$S$4001,'All Donations'!$R$2:$R$4001,AD93,'All Donations'!$T$2:$T$4001,"&lt;="&amp;'Settings'!$D$34),2),0)</f>
        <v/>
      </c>
    </row>
    <row r="94">
      <c r="A94">
        <f>IF(AE94=1,TRIM(TRIM('Roster'!B94)&amp;" "&amp;TRIM('Roster'!C94)),"")</f>
        <v/>
      </c>
      <c r="B94">
        <f>IF(AE94=1,IF(AN94="","(no teacher)",AN94&amp;" – "&amp;C94),"")</f>
        <v/>
      </c>
      <c r="C94">
        <f>IF(AE94=1,TRIM('Roster'!D94&amp;""),"")</f>
        <v/>
      </c>
      <c r="D94" s="48">
        <f>IF(AE94=1,ROUND(SUMIFS('All Donations'!$S$2:$S$4001,'All Donations'!$R$2:$R$4001,AD94),2),"")</f>
        <v/>
      </c>
      <c r="E94" s="48">
        <f>IF(AE94=1,ROUND(SUMIFS('All Donations'!$S$2:$S$4001,'All Donations'!$R$2:$R$4001,AD94,'All Donations'!$G$2:$G$4001,"OneCause"),2),"")</f>
        <v/>
      </c>
      <c r="F94" s="48">
        <f>IF(AE94=1,D94-E94,"")</f>
        <v/>
      </c>
      <c r="G94">
        <f>IF(AE94=1,COUNTIFS('All Donations'!$R$2:$R$4001,AD94,'All Donations'!$H$2:$H$4001,"OK"),"")</f>
        <v/>
      </c>
      <c r="H94">
        <f>IF(AE94&lt;&gt;1,"",IF(D94&gt;0,"Yes",""))</f>
        <v/>
      </c>
      <c r="I94" s="49">
        <f>IF(OR($AE94&lt;&gt;1,I$1=""),"",SUMIFS('All Donations'!$S$2:$S$4001,'All Donations'!$R$2:$R$4001,$AD94,'All Donations'!$T$2:$T$4001,I$1))</f>
        <v/>
      </c>
      <c r="J94" s="49">
        <f>IF(OR($AE94&lt;&gt;1,J$1=""),"",SUMIFS('All Donations'!$S$2:$S$4001,'All Donations'!$R$2:$R$4001,$AD94,'All Donations'!$T$2:$T$4001,J$1))</f>
        <v/>
      </c>
      <c r="K94" s="49">
        <f>IF(OR($AE94&lt;&gt;1,K$1=""),"",SUMIFS('All Donations'!$S$2:$S$4001,'All Donations'!$R$2:$R$4001,$AD94,'All Donations'!$T$2:$T$4001,K$1))</f>
        <v/>
      </c>
      <c r="L94" s="49">
        <f>IF(OR($AE94&lt;&gt;1,L$1=""),"",SUMIFS('All Donations'!$S$2:$S$4001,'All Donations'!$R$2:$R$4001,$AD94,'All Donations'!$T$2:$T$4001,L$1))</f>
        <v/>
      </c>
      <c r="M94" s="49">
        <f>IF(OR($AE94&lt;&gt;1,M$1=""),"",SUMIFS('All Donations'!$S$2:$S$4001,'All Donations'!$R$2:$R$4001,$AD94,'All Donations'!$T$2:$T$4001,M$1))</f>
        <v/>
      </c>
      <c r="N94" s="49">
        <f>IF(OR($AE94&lt;&gt;1,N$1=""),"",SUMIFS('All Donations'!$S$2:$S$4001,'All Donations'!$R$2:$R$4001,$AD94,'All Donations'!$T$2:$T$4001,N$1))</f>
        <v/>
      </c>
      <c r="O94" s="49">
        <f>IF(OR($AE94&lt;&gt;1,O$1=""),"",SUMIFS('All Donations'!$S$2:$S$4001,'All Donations'!$R$2:$R$4001,$AD94,'All Donations'!$T$2:$T$4001,O$1))</f>
        <v/>
      </c>
      <c r="P94" s="49">
        <f>IF(OR($AE94&lt;&gt;1,P$1=""),"",SUMIFS('All Donations'!$S$2:$S$4001,'All Donations'!$R$2:$R$4001,$AD94,'All Donations'!$T$2:$T$4001,P$1))</f>
        <v/>
      </c>
      <c r="Q94" s="49">
        <f>IF(OR($AE94&lt;&gt;1,Q$1=""),"",SUMIFS('All Donations'!$S$2:$S$4001,'All Donations'!$R$2:$R$4001,$AD94,'All Donations'!$T$2:$T$4001,Q$1))</f>
        <v/>
      </c>
      <c r="R94" s="49">
        <f>IF(OR($AE94&lt;&gt;1,R$1=""),"",SUMIFS('All Donations'!$S$2:$S$4001,'All Donations'!$R$2:$R$4001,$AD94,'All Donations'!$T$2:$T$4001,R$1))</f>
        <v/>
      </c>
      <c r="S94" s="49">
        <f>IF(OR($AE94&lt;&gt;1,S$1=""),"",SUMIFS('All Donations'!$S$2:$S$4001,'All Donations'!$R$2:$R$4001,$AD94,'All Donations'!$T$2:$T$4001,S$1))</f>
        <v/>
      </c>
      <c r="T94" s="49">
        <f>IF(OR($AE94&lt;&gt;1,T$1=""),"",SUMIFS('All Donations'!$S$2:$S$4001,'All Donations'!$R$2:$R$4001,$AD94,'All Donations'!$T$2:$T$4001,T$1))</f>
        <v/>
      </c>
      <c r="U94" s="49">
        <f>IF(OR($AE94&lt;&gt;1,U$1=""),"",SUMIFS('All Donations'!$S$2:$S$4001,'All Donations'!$R$2:$R$4001,$AD94,'All Donations'!$T$2:$T$4001,U$1))</f>
        <v/>
      </c>
      <c r="V94" s="49">
        <f>IF(OR($AE94&lt;&gt;1,V$1=""),"",SUMIFS('All Donations'!$S$2:$S$4001,'All Donations'!$R$2:$R$4001,$AD94,'All Donations'!$T$2:$T$4001,V$1))</f>
        <v/>
      </c>
      <c r="W94" s="49">
        <f>IF(OR($AE94&lt;&gt;1,W$1=""),"",SUMIFS('All Donations'!$S$2:$S$4001,'All Donations'!$R$2:$R$4001,$AD94,'All Donations'!$T$2:$T$4001,W$1))</f>
        <v/>
      </c>
      <c r="X94" s="49">
        <f>IF(OR($AE94&lt;&gt;1,X$1=""),"",SUMIFS('All Donations'!$S$2:$S$4001,'All Donations'!$R$2:$R$4001,$AD94,'All Donations'!$T$2:$T$4001,X$1))</f>
        <v/>
      </c>
      <c r="Y94" s="49">
        <f>IF(OR($AE94&lt;&gt;1,Y$1=""),"",SUMIFS('All Donations'!$S$2:$S$4001,'All Donations'!$R$2:$R$4001,$AD94,'All Donations'!$T$2:$T$4001,Y$1))</f>
        <v/>
      </c>
      <c r="Z94" s="49">
        <f>IF(OR($AE94&lt;&gt;1,Z$1=""),"",SUMIFS('All Donations'!$S$2:$S$4001,'All Donations'!$R$2:$R$4001,$AD94,'All Donations'!$T$2:$T$4001,Z$1))</f>
        <v/>
      </c>
      <c r="AA94" s="49">
        <f>IF(OR($AE94&lt;&gt;1,AA$1=""),"",SUMIFS('All Donations'!$S$2:$S$4001,'All Donations'!$R$2:$R$4001,$AD94,'All Donations'!$T$2:$T$4001,AA$1))</f>
        <v/>
      </c>
      <c r="AB94" s="49">
        <f>IF(OR($AE94&lt;&gt;1,AB$1=""),"",SUMIFS('All Donations'!$S$2:$S$4001,'All Donations'!$R$2:$R$4001,$AD94,'All Donations'!$T$2:$T$4001,AB$1))</f>
        <v/>
      </c>
      <c r="AC94" s="49">
        <f>IF(OR($AE94&lt;&gt;1,AC$1=""),"",SUMIFS('All Donations'!$S$2:$S$4001,'All Donations'!$R$2:$R$4001,$AD94,'All Donations'!$T$2:$T$4001,AC$1))</f>
        <v/>
      </c>
      <c r="AD94">
        <f>IF(AE94=1,'Roster'!A94,"")</f>
        <v/>
      </c>
      <c r="AE94">
        <f>IF(TRIM('Roster'!B94&amp;'Roster'!C94)&lt;&gt;"",1,0)</f>
        <v/>
      </c>
      <c r="AF94">
        <f>IF(AE94=1,LOWER(A94),"#")</f>
        <v/>
      </c>
      <c r="AG94">
        <f>IF(AE94=1,LOWER(TRIM(TRIM('Roster'!C94)&amp;", "&amp;TRIM('Roster'!B94))),"#")</f>
        <v/>
      </c>
      <c r="AH94">
        <f>IF(AND(AE94=1,TRIM('Roster'!F94)&lt;&gt;""),LOWER(TRIM('Roster'!F94)),"#")</f>
        <v/>
      </c>
      <c r="AI94">
        <f>IF(AE94=1,IF(MATCH(B94,$B$2:$B$701,0)=ROW()-1,1,0),0)</f>
        <v/>
      </c>
      <c r="AJ94">
        <f>AJ93+AI94</f>
        <v/>
      </c>
      <c r="AK94">
        <f>IF(AE94=1,D94+(1000-ROW())/10^7,-1)</f>
        <v/>
      </c>
      <c r="AL94">
        <f>IF(AE94=1,TRIM('Roster'!B94)&amp;" "&amp;LEFT(TRIM('Roster'!C94),1)&amp;".","")</f>
        <v/>
      </c>
      <c r="AM94">
        <f>IF(AE94=1,TRIM('Roster'!C94)&amp;", "&amp;TRIM('Roster'!B94)&amp;" ("&amp;B94&amp;") #"&amp;AD94,"")</f>
        <v/>
      </c>
      <c r="AN94">
        <f>IF(AE94=1,TRIM('Roster'!E94),"")</f>
        <v/>
      </c>
      <c r="AO94">
        <f>IF(AE94=1,ROUND(SUMIFS('All Donations'!$S$2:$S$4001,'All Donations'!$R$2:$R$4001,AD94,'All Donations'!$T$2:$T$4001,"&gt;="&amp;'Settings'!$C$23,'All Donations'!$T$2:$T$4001,"&lt;="&amp;'Settings'!$D$23),2),0)</f>
        <v/>
      </c>
      <c r="AQ94">
        <f>IF(AE94=1,ROUND(SUMIFS('All Donations'!$S$2:$S$4001,'All Donations'!$R$2:$R$4001,AD94,'All Donations'!$T$2:$T$4001,"&gt;="&amp;'Settings'!$C$25,'All Donations'!$T$2:$T$4001,"&lt;="&amp;'Settings'!$D$25),2),0)</f>
        <v/>
      </c>
      <c r="AR94">
        <f>IF(AE94=1,ROUND(SUMIFS('All Donations'!$S$2:$S$4001,'All Donations'!$R$2:$R$4001,AD94,'All Donations'!$T$2:$T$4001,"&gt;="&amp;'Settings'!$C$26,'All Donations'!$T$2:$T$4001,"&lt;="&amp;'Settings'!$D$26),2),0)</f>
        <v/>
      </c>
      <c r="AS94">
        <f>IF(AE94=1,ROUND(SUMIFS('All Donations'!$S$2:$S$4001,'All Donations'!$R$2:$R$4001,AD94,'All Donations'!$T$2:$T$4001,"&lt;="&amp;'Settings'!$D$27),2),0)</f>
        <v/>
      </c>
      <c r="AT94">
        <f>IF(AE94=1,ROUND(SUMIFS('All Donations'!$S$2:$S$4001,'All Donations'!$R$2:$R$4001,AD94,'All Donations'!$T$2:$T$4001,"&gt;="&amp;'Settings'!$C$28,'All Donations'!$T$2:$T$4001,"&lt;="&amp;'Settings'!$D$28),2),0)</f>
        <v/>
      </c>
      <c r="AU94">
        <f>IF(AE94=1,ROUND(SUMIFS('All Donations'!$S$2:$S$4001,'All Donations'!$R$2:$R$4001,AD94,'All Donations'!$T$2:$T$4001,"&gt;="&amp;'Settings'!$C$29,'All Donations'!$T$2:$T$4001,"&lt;="&amp;'Settings'!$D$29),2),0)</f>
        <v/>
      </c>
      <c r="AV94">
        <f>IF(AE94=1,ROUND(SUMIFS('All Donations'!$S$2:$S$4001,'All Donations'!$R$2:$R$4001,AD94,'All Donations'!$T$2:$T$4001,"&lt;="&amp;'Settings'!$D$30),2),0)</f>
        <v/>
      </c>
      <c r="AZ94">
        <f>IF(AE94=1,ROUND(SUMIFS('All Donations'!$S$2:$S$4001,'All Donations'!$R$2:$R$4001,AD94,'All Donations'!$T$2:$T$4001,"&lt;="&amp;'Settings'!$D$34),2),0)</f>
        <v/>
      </c>
    </row>
    <row r="95">
      <c r="A95">
        <f>IF(AE95=1,TRIM(TRIM('Roster'!B95)&amp;" "&amp;TRIM('Roster'!C95)),"")</f>
        <v/>
      </c>
      <c r="B95">
        <f>IF(AE95=1,IF(AN95="","(no teacher)",AN95&amp;" – "&amp;C95),"")</f>
        <v/>
      </c>
      <c r="C95">
        <f>IF(AE95=1,TRIM('Roster'!D95&amp;""),"")</f>
        <v/>
      </c>
      <c r="D95" s="48">
        <f>IF(AE95=1,ROUND(SUMIFS('All Donations'!$S$2:$S$4001,'All Donations'!$R$2:$R$4001,AD95),2),"")</f>
        <v/>
      </c>
      <c r="E95" s="48">
        <f>IF(AE95=1,ROUND(SUMIFS('All Donations'!$S$2:$S$4001,'All Donations'!$R$2:$R$4001,AD95,'All Donations'!$G$2:$G$4001,"OneCause"),2),"")</f>
        <v/>
      </c>
      <c r="F95" s="48">
        <f>IF(AE95=1,D95-E95,"")</f>
        <v/>
      </c>
      <c r="G95">
        <f>IF(AE95=1,COUNTIFS('All Donations'!$R$2:$R$4001,AD95,'All Donations'!$H$2:$H$4001,"OK"),"")</f>
        <v/>
      </c>
      <c r="H95">
        <f>IF(AE95&lt;&gt;1,"",IF(D95&gt;0,"Yes",""))</f>
        <v/>
      </c>
      <c r="I95" s="49">
        <f>IF(OR($AE95&lt;&gt;1,I$1=""),"",SUMIFS('All Donations'!$S$2:$S$4001,'All Donations'!$R$2:$R$4001,$AD95,'All Donations'!$T$2:$T$4001,I$1))</f>
        <v/>
      </c>
      <c r="J95" s="49">
        <f>IF(OR($AE95&lt;&gt;1,J$1=""),"",SUMIFS('All Donations'!$S$2:$S$4001,'All Donations'!$R$2:$R$4001,$AD95,'All Donations'!$T$2:$T$4001,J$1))</f>
        <v/>
      </c>
      <c r="K95" s="49">
        <f>IF(OR($AE95&lt;&gt;1,K$1=""),"",SUMIFS('All Donations'!$S$2:$S$4001,'All Donations'!$R$2:$R$4001,$AD95,'All Donations'!$T$2:$T$4001,K$1))</f>
        <v/>
      </c>
      <c r="L95" s="49">
        <f>IF(OR($AE95&lt;&gt;1,L$1=""),"",SUMIFS('All Donations'!$S$2:$S$4001,'All Donations'!$R$2:$R$4001,$AD95,'All Donations'!$T$2:$T$4001,L$1))</f>
        <v/>
      </c>
      <c r="M95" s="49">
        <f>IF(OR($AE95&lt;&gt;1,M$1=""),"",SUMIFS('All Donations'!$S$2:$S$4001,'All Donations'!$R$2:$R$4001,$AD95,'All Donations'!$T$2:$T$4001,M$1))</f>
        <v/>
      </c>
      <c r="N95" s="49">
        <f>IF(OR($AE95&lt;&gt;1,N$1=""),"",SUMIFS('All Donations'!$S$2:$S$4001,'All Donations'!$R$2:$R$4001,$AD95,'All Donations'!$T$2:$T$4001,N$1))</f>
        <v/>
      </c>
      <c r="O95" s="49">
        <f>IF(OR($AE95&lt;&gt;1,O$1=""),"",SUMIFS('All Donations'!$S$2:$S$4001,'All Donations'!$R$2:$R$4001,$AD95,'All Donations'!$T$2:$T$4001,O$1))</f>
        <v/>
      </c>
      <c r="P95" s="49">
        <f>IF(OR($AE95&lt;&gt;1,P$1=""),"",SUMIFS('All Donations'!$S$2:$S$4001,'All Donations'!$R$2:$R$4001,$AD95,'All Donations'!$T$2:$T$4001,P$1))</f>
        <v/>
      </c>
      <c r="Q95" s="49">
        <f>IF(OR($AE95&lt;&gt;1,Q$1=""),"",SUMIFS('All Donations'!$S$2:$S$4001,'All Donations'!$R$2:$R$4001,$AD95,'All Donations'!$T$2:$T$4001,Q$1))</f>
        <v/>
      </c>
      <c r="R95" s="49">
        <f>IF(OR($AE95&lt;&gt;1,R$1=""),"",SUMIFS('All Donations'!$S$2:$S$4001,'All Donations'!$R$2:$R$4001,$AD95,'All Donations'!$T$2:$T$4001,R$1))</f>
        <v/>
      </c>
      <c r="S95" s="49">
        <f>IF(OR($AE95&lt;&gt;1,S$1=""),"",SUMIFS('All Donations'!$S$2:$S$4001,'All Donations'!$R$2:$R$4001,$AD95,'All Donations'!$T$2:$T$4001,S$1))</f>
        <v/>
      </c>
      <c r="T95" s="49">
        <f>IF(OR($AE95&lt;&gt;1,T$1=""),"",SUMIFS('All Donations'!$S$2:$S$4001,'All Donations'!$R$2:$R$4001,$AD95,'All Donations'!$T$2:$T$4001,T$1))</f>
        <v/>
      </c>
      <c r="U95" s="49">
        <f>IF(OR($AE95&lt;&gt;1,U$1=""),"",SUMIFS('All Donations'!$S$2:$S$4001,'All Donations'!$R$2:$R$4001,$AD95,'All Donations'!$T$2:$T$4001,U$1))</f>
        <v/>
      </c>
      <c r="V95" s="49">
        <f>IF(OR($AE95&lt;&gt;1,V$1=""),"",SUMIFS('All Donations'!$S$2:$S$4001,'All Donations'!$R$2:$R$4001,$AD95,'All Donations'!$T$2:$T$4001,V$1))</f>
        <v/>
      </c>
      <c r="W95" s="49">
        <f>IF(OR($AE95&lt;&gt;1,W$1=""),"",SUMIFS('All Donations'!$S$2:$S$4001,'All Donations'!$R$2:$R$4001,$AD95,'All Donations'!$T$2:$T$4001,W$1))</f>
        <v/>
      </c>
      <c r="X95" s="49">
        <f>IF(OR($AE95&lt;&gt;1,X$1=""),"",SUMIFS('All Donations'!$S$2:$S$4001,'All Donations'!$R$2:$R$4001,$AD95,'All Donations'!$T$2:$T$4001,X$1))</f>
        <v/>
      </c>
      <c r="Y95" s="49">
        <f>IF(OR($AE95&lt;&gt;1,Y$1=""),"",SUMIFS('All Donations'!$S$2:$S$4001,'All Donations'!$R$2:$R$4001,$AD95,'All Donations'!$T$2:$T$4001,Y$1))</f>
        <v/>
      </c>
      <c r="Z95" s="49">
        <f>IF(OR($AE95&lt;&gt;1,Z$1=""),"",SUMIFS('All Donations'!$S$2:$S$4001,'All Donations'!$R$2:$R$4001,$AD95,'All Donations'!$T$2:$T$4001,Z$1))</f>
        <v/>
      </c>
      <c r="AA95" s="49">
        <f>IF(OR($AE95&lt;&gt;1,AA$1=""),"",SUMIFS('All Donations'!$S$2:$S$4001,'All Donations'!$R$2:$R$4001,$AD95,'All Donations'!$T$2:$T$4001,AA$1))</f>
        <v/>
      </c>
      <c r="AB95" s="49">
        <f>IF(OR($AE95&lt;&gt;1,AB$1=""),"",SUMIFS('All Donations'!$S$2:$S$4001,'All Donations'!$R$2:$R$4001,$AD95,'All Donations'!$T$2:$T$4001,AB$1))</f>
        <v/>
      </c>
      <c r="AC95" s="49">
        <f>IF(OR($AE95&lt;&gt;1,AC$1=""),"",SUMIFS('All Donations'!$S$2:$S$4001,'All Donations'!$R$2:$R$4001,$AD95,'All Donations'!$T$2:$T$4001,AC$1))</f>
        <v/>
      </c>
      <c r="AD95">
        <f>IF(AE95=1,'Roster'!A95,"")</f>
        <v/>
      </c>
      <c r="AE95">
        <f>IF(TRIM('Roster'!B95&amp;'Roster'!C95)&lt;&gt;"",1,0)</f>
        <v/>
      </c>
      <c r="AF95">
        <f>IF(AE95=1,LOWER(A95),"#")</f>
        <v/>
      </c>
      <c r="AG95">
        <f>IF(AE95=1,LOWER(TRIM(TRIM('Roster'!C95)&amp;", "&amp;TRIM('Roster'!B95))),"#")</f>
        <v/>
      </c>
      <c r="AH95">
        <f>IF(AND(AE95=1,TRIM('Roster'!F95)&lt;&gt;""),LOWER(TRIM('Roster'!F95)),"#")</f>
        <v/>
      </c>
      <c r="AI95">
        <f>IF(AE95=1,IF(MATCH(B95,$B$2:$B$701,0)=ROW()-1,1,0),0)</f>
        <v/>
      </c>
      <c r="AJ95">
        <f>AJ94+AI95</f>
        <v/>
      </c>
      <c r="AK95">
        <f>IF(AE95=1,D95+(1000-ROW())/10^7,-1)</f>
        <v/>
      </c>
      <c r="AL95">
        <f>IF(AE95=1,TRIM('Roster'!B95)&amp;" "&amp;LEFT(TRIM('Roster'!C95),1)&amp;".","")</f>
        <v/>
      </c>
      <c r="AM95">
        <f>IF(AE95=1,TRIM('Roster'!C95)&amp;", "&amp;TRIM('Roster'!B95)&amp;" ("&amp;B95&amp;") #"&amp;AD95,"")</f>
        <v/>
      </c>
      <c r="AN95">
        <f>IF(AE95=1,TRIM('Roster'!E95),"")</f>
        <v/>
      </c>
      <c r="AO95">
        <f>IF(AE95=1,ROUND(SUMIFS('All Donations'!$S$2:$S$4001,'All Donations'!$R$2:$R$4001,AD95,'All Donations'!$T$2:$T$4001,"&gt;="&amp;'Settings'!$C$23,'All Donations'!$T$2:$T$4001,"&lt;="&amp;'Settings'!$D$23),2),0)</f>
        <v/>
      </c>
      <c r="AQ95">
        <f>IF(AE95=1,ROUND(SUMIFS('All Donations'!$S$2:$S$4001,'All Donations'!$R$2:$R$4001,AD95,'All Donations'!$T$2:$T$4001,"&gt;="&amp;'Settings'!$C$25,'All Donations'!$T$2:$T$4001,"&lt;="&amp;'Settings'!$D$25),2),0)</f>
        <v/>
      </c>
      <c r="AR95">
        <f>IF(AE95=1,ROUND(SUMIFS('All Donations'!$S$2:$S$4001,'All Donations'!$R$2:$R$4001,AD95,'All Donations'!$T$2:$T$4001,"&gt;="&amp;'Settings'!$C$26,'All Donations'!$T$2:$T$4001,"&lt;="&amp;'Settings'!$D$26),2),0)</f>
        <v/>
      </c>
      <c r="AS95">
        <f>IF(AE95=1,ROUND(SUMIFS('All Donations'!$S$2:$S$4001,'All Donations'!$R$2:$R$4001,AD95,'All Donations'!$T$2:$T$4001,"&lt;="&amp;'Settings'!$D$27),2),0)</f>
        <v/>
      </c>
      <c r="AT95">
        <f>IF(AE95=1,ROUND(SUMIFS('All Donations'!$S$2:$S$4001,'All Donations'!$R$2:$R$4001,AD95,'All Donations'!$T$2:$T$4001,"&gt;="&amp;'Settings'!$C$28,'All Donations'!$T$2:$T$4001,"&lt;="&amp;'Settings'!$D$28),2),0)</f>
        <v/>
      </c>
      <c r="AU95">
        <f>IF(AE95=1,ROUND(SUMIFS('All Donations'!$S$2:$S$4001,'All Donations'!$R$2:$R$4001,AD95,'All Donations'!$T$2:$T$4001,"&gt;="&amp;'Settings'!$C$29,'All Donations'!$T$2:$T$4001,"&lt;="&amp;'Settings'!$D$29),2),0)</f>
        <v/>
      </c>
      <c r="AV95">
        <f>IF(AE95=1,ROUND(SUMIFS('All Donations'!$S$2:$S$4001,'All Donations'!$R$2:$R$4001,AD95,'All Donations'!$T$2:$T$4001,"&lt;="&amp;'Settings'!$D$30),2),0)</f>
        <v/>
      </c>
      <c r="AZ95">
        <f>IF(AE95=1,ROUND(SUMIFS('All Donations'!$S$2:$S$4001,'All Donations'!$R$2:$R$4001,AD95,'All Donations'!$T$2:$T$4001,"&lt;="&amp;'Settings'!$D$34),2),0)</f>
        <v/>
      </c>
    </row>
    <row r="96">
      <c r="A96">
        <f>IF(AE96=1,TRIM(TRIM('Roster'!B96)&amp;" "&amp;TRIM('Roster'!C96)),"")</f>
        <v/>
      </c>
      <c r="B96">
        <f>IF(AE96=1,IF(AN96="","(no teacher)",AN96&amp;" – "&amp;C96),"")</f>
        <v/>
      </c>
      <c r="C96">
        <f>IF(AE96=1,TRIM('Roster'!D96&amp;""),"")</f>
        <v/>
      </c>
      <c r="D96" s="48">
        <f>IF(AE96=1,ROUND(SUMIFS('All Donations'!$S$2:$S$4001,'All Donations'!$R$2:$R$4001,AD96),2),"")</f>
        <v/>
      </c>
      <c r="E96" s="48">
        <f>IF(AE96=1,ROUND(SUMIFS('All Donations'!$S$2:$S$4001,'All Donations'!$R$2:$R$4001,AD96,'All Donations'!$G$2:$G$4001,"OneCause"),2),"")</f>
        <v/>
      </c>
      <c r="F96" s="48">
        <f>IF(AE96=1,D96-E96,"")</f>
        <v/>
      </c>
      <c r="G96">
        <f>IF(AE96=1,COUNTIFS('All Donations'!$R$2:$R$4001,AD96,'All Donations'!$H$2:$H$4001,"OK"),"")</f>
        <v/>
      </c>
      <c r="H96">
        <f>IF(AE96&lt;&gt;1,"",IF(D96&gt;0,"Yes",""))</f>
        <v/>
      </c>
      <c r="I96" s="49">
        <f>IF(OR($AE96&lt;&gt;1,I$1=""),"",SUMIFS('All Donations'!$S$2:$S$4001,'All Donations'!$R$2:$R$4001,$AD96,'All Donations'!$T$2:$T$4001,I$1))</f>
        <v/>
      </c>
      <c r="J96" s="49">
        <f>IF(OR($AE96&lt;&gt;1,J$1=""),"",SUMIFS('All Donations'!$S$2:$S$4001,'All Donations'!$R$2:$R$4001,$AD96,'All Donations'!$T$2:$T$4001,J$1))</f>
        <v/>
      </c>
      <c r="K96" s="49">
        <f>IF(OR($AE96&lt;&gt;1,K$1=""),"",SUMIFS('All Donations'!$S$2:$S$4001,'All Donations'!$R$2:$R$4001,$AD96,'All Donations'!$T$2:$T$4001,K$1))</f>
        <v/>
      </c>
      <c r="L96" s="49">
        <f>IF(OR($AE96&lt;&gt;1,L$1=""),"",SUMIFS('All Donations'!$S$2:$S$4001,'All Donations'!$R$2:$R$4001,$AD96,'All Donations'!$T$2:$T$4001,L$1))</f>
        <v/>
      </c>
      <c r="M96" s="49">
        <f>IF(OR($AE96&lt;&gt;1,M$1=""),"",SUMIFS('All Donations'!$S$2:$S$4001,'All Donations'!$R$2:$R$4001,$AD96,'All Donations'!$T$2:$T$4001,M$1))</f>
        <v/>
      </c>
      <c r="N96" s="49">
        <f>IF(OR($AE96&lt;&gt;1,N$1=""),"",SUMIFS('All Donations'!$S$2:$S$4001,'All Donations'!$R$2:$R$4001,$AD96,'All Donations'!$T$2:$T$4001,N$1))</f>
        <v/>
      </c>
      <c r="O96" s="49">
        <f>IF(OR($AE96&lt;&gt;1,O$1=""),"",SUMIFS('All Donations'!$S$2:$S$4001,'All Donations'!$R$2:$R$4001,$AD96,'All Donations'!$T$2:$T$4001,O$1))</f>
        <v/>
      </c>
      <c r="P96" s="49">
        <f>IF(OR($AE96&lt;&gt;1,P$1=""),"",SUMIFS('All Donations'!$S$2:$S$4001,'All Donations'!$R$2:$R$4001,$AD96,'All Donations'!$T$2:$T$4001,P$1))</f>
        <v/>
      </c>
      <c r="Q96" s="49">
        <f>IF(OR($AE96&lt;&gt;1,Q$1=""),"",SUMIFS('All Donations'!$S$2:$S$4001,'All Donations'!$R$2:$R$4001,$AD96,'All Donations'!$T$2:$T$4001,Q$1))</f>
        <v/>
      </c>
      <c r="R96" s="49">
        <f>IF(OR($AE96&lt;&gt;1,R$1=""),"",SUMIFS('All Donations'!$S$2:$S$4001,'All Donations'!$R$2:$R$4001,$AD96,'All Donations'!$T$2:$T$4001,R$1))</f>
        <v/>
      </c>
      <c r="S96" s="49">
        <f>IF(OR($AE96&lt;&gt;1,S$1=""),"",SUMIFS('All Donations'!$S$2:$S$4001,'All Donations'!$R$2:$R$4001,$AD96,'All Donations'!$T$2:$T$4001,S$1))</f>
        <v/>
      </c>
      <c r="T96" s="49">
        <f>IF(OR($AE96&lt;&gt;1,T$1=""),"",SUMIFS('All Donations'!$S$2:$S$4001,'All Donations'!$R$2:$R$4001,$AD96,'All Donations'!$T$2:$T$4001,T$1))</f>
        <v/>
      </c>
      <c r="U96" s="49">
        <f>IF(OR($AE96&lt;&gt;1,U$1=""),"",SUMIFS('All Donations'!$S$2:$S$4001,'All Donations'!$R$2:$R$4001,$AD96,'All Donations'!$T$2:$T$4001,U$1))</f>
        <v/>
      </c>
      <c r="V96" s="49">
        <f>IF(OR($AE96&lt;&gt;1,V$1=""),"",SUMIFS('All Donations'!$S$2:$S$4001,'All Donations'!$R$2:$R$4001,$AD96,'All Donations'!$T$2:$T$4001,V$1))</f>
        <v/>
      </c>
      <c r="W96" s="49">
        <f>IF(OR($AE96&lt;&gt;1,W$1=""),"",SUMIFS('All Donations'!$S$2:$S$4001,'All Donations'!$R$2:$R$4001,$AD96,'All Donations'!$T$2:$T$4001,W$1))</f>
        <v/>
      </c>
      <c r="X96" s="49">
        <f>IF(OR($AE96&lt;&gt;1,X$1=""),"",SUMIFS('All Donations'!$S$2:$S$4001,'All Donations'!$R$2:$R$4001,$AD96,'All Donations'!$T$2:$T$4001,X$1))</f>
        <v/>
      </c>
      <c r="Y96" s="49">
        <f>IF(OR($AE96&lt;&gt;1,Y$1=""),"",SUMIFS('All Donations'!$S$2:$S$4001,'All Donations'!$R$2:$R$4001,$AD96,'All Donations'!$T$2:$T$4001,Y$1))</f>
        <v/>
      </c>
      <c r="Z96" s="49">
        <f>IF(OR($AE96&lt;&gt;1,Z$1=""),"",SUMIFS('All Donations'!$S$2:$S$4001,'All Donations'!$R$2:$R$4001,$AD96,'All Donations'!$T$2:$T$4001,Z$1))</f>
        <v/>
      </c>
      <c r="AA96" s="49">
        <f>IF(OR($AE96&lt;&gt;1,AA$1=""),"",SUMIFS('All Donations'!$S$2:$S$4001,'All Donations'!$R$2:$R$4001,$AD96,'All Donations'!$T$2:$T$4001,AA$1))</f>
        <v/>
      </c>
      <c r="AB96" s="49">
        <f>IF(OR($AE96&lt;&gt;1,AB$1=""),"",SUMIFS('All Donations'!$S$2:$S$4001,'All Donations'!$R$2:$R$4001,$AD96,'All Donations'!$T$2:$T$4001,AB$1))</f>
        <v/>
      </c>
      <c r="AC96" s="49">
        <f>IF(OR($AE96&lt;&gt;1,AC$1=""),"",SUMIFS('All Donations'!$S$2:$S$4001,'All Donations'!$R$2:$R$4001,$AD96,'All Donations'!$T$2:$T$4001,AC$1))</f>
        <v/>
      </c>
      <c r="AD96">
        <f>IF(AE96=1,'Roster'!A96,"")</f>
        <v/>
      </c>
      <c r="AE96">
        <f>IF(TRIM('Roster'!B96&amp;'Roster'!C96)&lt;&gt;"",1,0)</f>
        <v/>
      </c>
      <c r="AF96">
        <f>IF(AE96=1,LOWER(A96),"#")</f>
        <v/>
      </c>
      <c r="AG96">
        <f>IF(AE96=1,LOWER(TRIM(TRIM('Roster'!C96)&amp;", "&amp;TRIM('Roster'!B96))),"#")</f>
        <v/>
      </c>
      <c r="AH96">
        <f>IF(AND(AE96=1,TRIM('Roster'!F96)&lt;&gt;""),LOWER(TRIM('Roster'!F96)),"#")</f>
        <v/>
      </c>
      <c r="AI96">
        <f>IF(AE96=1,IF(MATCH(B96,$B$2:$B$701,0)=ROW()-1,1,0),0)</f>
        <v/>
      </c>
      <c r="AJ96">
        <f>AJ95+AI96</f>
        <v/>
      </c>
      <c r="AK96">
        <f>IF(AE96=1,D96+(1000-ROW())/10^7,-1)</f>
        <v/>
      </c>
      <c r="AL96">
        <f>IF(AE96=1,TRIM('Roster'!B96)&amp;" "&amp;LEFT(TRIM('Roster'!C96),1)&amp;".","")</f>
        <v/>
      </c>
      <c r="AM96">
        <f>IF(AE96=1,TRIM('Roster'!C96)&amp;", "&amp;TRIM('Roster'!B96)&amp;" ("&amp;B96&amp;") #"&amp;AD96,"")</f>
        <v/>
      </c>
      <c r="AN96">
        <f>IF(AE96=1,TRIM('Roster'!E96),"")</f>
        <v/>
      </c>
      <c r="AO96">
        <f>IF(AE96=1,ROUND(SUMIFS('All Donations'!$S$2:$S$4001,'All Donations'!$R$2:$R$4001,AD96,'All Donations'!$T$2:$T$4001,"&gt;="&amp;'Settings'!$C$23,'All Donations'!$T$2:$T$4001,"&lt;="&amp;'Settings'!$D$23),2),0)</f>
        <v/>
      </c>
      <c r="AQ96">
        <f>IF(AE96=1,ROUND(SUMIFS('All Donations'!$S$2:$S$4001,'All Donations'!$R$2:$R$4001,AD96,'All Donations'!$T$2:$T$4001,"&gt;="&amp;'Settings'!$C$25,'All Donations'!$T$2:$T$4001,"&lt;="&amp;'Settings'!$D$25),2),0)</f>
        <v/>
      </c>
      <c r="AR96">
        <f>IF(AE96=1,ROUND(SUMIFS('All Donations'!$S$2:$S$4001,'All Donations'!$R$2:$R$4001,AD96,'All Donations'!$T$2:$T$4001,"&gt;="&amp;'Settings'!$C$26,'All Donations'!$T$2:$T$4001,"&lt;="&amp;'Settings'!$D$26),2),0)</f>
        <v/>
      </c>
      <c r="AS96">
        <f>IF(AE96=1,ROUND(SUMIFS('All Donations'!$S$2:$S$4001,'All Donations'!$R$2:$R$4001,AD96,'All Donations'!$T$2:$T$4001,"&lt;="&amp;'Settings'!$D$27),2),0)</f>
        <v/>
      </c>
      <c r="AT96">
        <f>IF(AE96=1,ROUND(SUMIFS('All Donations'!$S$2:$S$4001,'All Donations'!$R$2:$R$4001,AD96,'All Donations'!$T$2:$T$4001,"&gt;="&amp;'Settings'!$C$28,'All Donations'!$T$2:$T$4001,"&lt;="&amp;'Settings'!$D$28),2),0)</f>
        <v/>
      </c>
      <c r="AU96">
        <f>IF(AE96=1,ROUND(SUMIFS('All Donations'!$S$2:$S$4001,'All Donations'!$R$2:$R$4001,AD96,'All Donations'!$T$2:$T$4001,"&gt;="&amp;'Settings'!$C$29,'All Donations'!$T$2:$T$4001,"&lt;="&amp;'Settings'!$D$29),2),0)</f>
        <v/>
      </c>
      <c r="AV96">
        <f>IF(AE96=1,ROUND(SUMIFS('All Donations'!$S$2:$S$4001,'All Donations'!$R$2:$R$4001,AD96,'All Donations'!$T$2:$T$4001,"&lt;="&amp;'Settings'!$D$30),2),0)</f>
        <v/>
      </c>
      <c r="AZ96">
        <f>IF(AE96=1,ROUND(SUMIFS('All Donations'!$S$2:$S$4001,'All Donations'!$R$2:$R$4001,AD96,'All Donations'!$T$2:$T$4001,"&lt;="&amp;'Settings'!$D$34),2),0)</f>
        <v/>
      </c>
    </row>
    <row r="97">
      <c r="A97">
        <f>IF(AE97=1,TRIM(TRIM('Roster'!B97)&amp;" "&amp;TRIM('Roster'!C97)),"")</f>
        <v/>
      </c>
      <c r="B97">
        <f>IF(AE97=1,IF(AN97="","(no teacher)",AN97&amp;" – "&amp;C97),"")</f>
        <v/>
      </c>
      <c r="C97">
        <f>IF(AE97=1,TRIM('Roster'!D97&amp;""),"")</f>
        <v/>
      </c>
      <c r="D97" s="48">
        <f>IF(AE97=1,ROUND(SUMIFS('All Donations'!$S$2:$S$4001,'All Donations'!$R$2:$R$4001,AD97),2),"")</f>
        <v/>
      </c>
      <c r="E97" s="48">
        <f>IF(AE97=1,ROUND(SUMIFS('All Donations'!$S$2:$S$4001,'All Donations'!$R$2:$R$4001,AD97,'All Donations'!$G$2:$G$4001,"OneCause"),2),"")</f>
        <v/>
      </c>
      <c r="F97" s="48">
        <f>IF(AE97=1,D97-E97,"")</f>
        <v/>
      </c>
      <c r="G97">
        <f>IF(AE97=1,COUNTIFS('All Donations'!$R$2:$R$4001,AD97,'All Donations'!$H$2:$H$4001,"OK"),"")</f>
        <v/>
      </c>
      <c r="H97">
        <f>IF(AE97&lt;&gt;1,"",IF(D97&gt;0,"Yes",""))</f>
        <v/>
      </c>
      <c r="I97" s="49">
        <f>IF(OR($AE97&lt;&gt;1,I$1=""),"",SUMIFS('All Donations'!$S$2:$S$4001,'All Donations'!$R$2:$R$4001,$AD97,'All Donations'!$T$2:$T$4001,I$1))</f>
        <v/>
      </c>
      <c r="J97" s="49">
        <f>IF(OR($AE97&lt;&gt;1,J$1=""),"",SUMIFS('All Donations'!$S$2:$S$4001,'All Donations'!$R$2:$R$4001,$AD97,'All Donations'!$T$2:$T$4001,J$1))</f>
        <v/>
      </c>
      <c r="K97" s="49">
        <f>IF(OR($AE97&lt;&gt;1,K$1=""),"",SUMIFS('All Donations'!$S$2:$S$4001,'All Donations'!$R$2:$R$4001,$AD97,'All Donations'!$T$2:$T$4001,K$1))</f>
        <v/>
      </c>
      <c r="L97" s="49">
        <f>IF(OR($AE97&lt;&gt;1,L$1=""),"",SUMIFS('All Donations'!$S$2:$S$4001,'All Donations'!$R$2:$R$4001,$AD97,'All Donations'!$T$2:$T$4001,L$1))</f>
        <v/>
      </c>
      <c r="M97" s="49">
        <f>IF(OR($AE97&lt;&gt;1,M$1=""),"",SUMIFS('All Donations'!$S$2:$S$4001,'All Donations'!$R$2:$R$4001,$AD97,'All Donations'!$T$2:$T$4001,M$1))</f>
        <v/>
      </c>
      <c r="N97" s="49">
        <f>IF(OR($AE97&lt;&gt;1,N$1=""),"",SUMIFS('All Donations'!$S$2:$S$4001,'All Donations'!$R$2:$R$4001,$AD97,'All Donations'!$T$2:$T$4001,N$1))</f>
        <v/>
      </c>
      <c r="O97" s="49">
        <f>IF(OR($AE97&lt;&gt;1,O$1=""),"",SUMIFS('All Donations'!$S$2:$S$4001,'All Donations'!$R$2:$R$4001,$AD97,'All Donations'!$T$2:$T$4001,O$1))</f>
        <v/>
      </c>
      <c r="P97" s="49">
        <f>IF(OR($AE97&lt;&gt;1,P$1=""),"",SUMIFS('All Donations'!$S$2:$S$4001,'All Donations'!$R$2:$R$4001,$AD97,'All Donations'!$T$2:$T$4001,P$1))</f>
        <v/>
      </c>
      <c r="Q97" s="49">
        <f>IF(OR($AE97&lt;&gt;1,Q$1=""),"",SUMIFS('All Donations'!$S$2:$S$4001,'All Donations'!$R$2:$R$4001,$AD97,'All Donations'!$T$2:$T$4001,Q$1))</f>
        <v/>
      </c>
      <c r="R97" s="49">
        <f>IF(OR($AE97&lt;&gt;1,R$1=""),"",SUMIFS('All Donations'!$S$2:$S$4001,'All Donations'!$R$2:$R$4001,$AD97,'All Donations'!$T$2:$T$4001,R$1))</f>
        <v/>
      </c>
      <c r="S97" s="49">
        <f>IF(OR($AE97&lt;&gt;1,S$1=""),"",SUMIFS('All Donations'!$S$2:$S$4001,'All Donations'!$R$2:$R$4001,$AD97,'All Donations'!$T$2:$T$4001,S$1))</f>
        <v/>
      </c>
      <c r="T97" s="49">
        <f>IF(OR($AE97&lt;&gt;1,T$1=""),"",SUMIFS('All Donations'!$S$2:$S$4001,'All Donations'!$R$2:$R$4001,$AD97,'All Donations'!$T$2:$T$4001,T$1))</f>
        <v/>
      </c>
      <c r="U97" s="49">
        <f>IF(OR($AE97&lt;&gt;1,U$1=""),"",SUMIFS('All Donations'!$S$2:$S$4001,'All Donations'!$R$2:$R$4001,$AD97,'All Donations'!$T$2:$T$4001,U$1))</f>
        <v/>
      </c>
      <c r="V97" s="49">
        <f>IF(OR($AE97&lt;&gt;1,V$1=""),"",SUMIFS('All Donations'!$S$2:$S$4001,'All Donations'!$R$2:$R$4001,$AD97,'All Donations'!$T$2:$T$4001,V$1))</f>
        <v/>
      </c>
      <c r="W97" s="49">
        <f>IF(OR($AE97&lt;&gt;1,W$1=""),"",SUMIFS('All Donations'!$S$2:$S$4001,'All Donations'!$R$2:$R$4001,$AD97,'All Donations'!$T$2:$T$4001,W$1))</f>
        <v/>
      </c>
      <c r="X97" s="49">
        <f>IF(OR($AE97&lt;&gt;1,X$1=""),"",SUMIFS('All Donations'!$S$2:$S$4001,'All Donations'!$R$2:$R$4001,$AD97,'All Donations'!$T$2:$T$4001,X$1))</f>
        <v/>
      </c>
      <c r="Y97" s="49">
        <f>IF(OR($AE97&lt;&gt;1,Y$1=""),"",SUMIFS('All Donations'!$S$2:$S$4001,'All Donations'!$R$2:$R$4001,$AD97,'All Donations'!$T$2:$T$4001,Y$1))</f>
        <v/>
      </c>
      <c r="Z97" s="49">
        <f>IF(OR($AE97&lt;&gt;1,Z$1=""),"",SUMIFS('All Donations'!$S$2:$S$4001,'All Donations'!$R$2:$R$4001,$AD97,'All Donations'!$T$2:$T$4001,Z$1))</f>
        <v/>
      </c>
      <c r="AA97" s="49">
        <f>IF(OR($AE97&lt;&gt;1,AA$1=""),"",SUMIFS('All Donations'!$S$2:$S$4001,'All Donations'!$R$2:$R$4001,$AD97,'All Donations'!$T$2:$T$4001,AA$1))</f>
        <v/>
      </c>
      <c r="AB97" s="49">
        <f>IF(OR($AE97&lt;&gt;1,AB$1=""),"",SUMIFS('All Donations'!$S$2:$S$4001,'All Donations'!$R$2:$R$4001,$AD97,'All Donations'!$T$2:$T$4001,AB$1))</f>
        <v/>
      </c>
      <c r="AC97" s="49">
        <f>IF(OR($AE97&lt;&gt;1,AC$1=""),"",SUMIFS('All Donations'!$S$2:$S$4001,'All Donations'!$R$2:$R$4001,$AD97,'All Donations'!$T$2:$T$4001,AC$1))</f>
        <v/>
      </c>
      <c r="AD97">
        <f>IF(AE97=1,'Roster'!A97,"")</f>
        <v/>
      </c>
      <c r="AE97">
        <f>IF(TRIM('Roster'!B97&amp;'Roster'!C97)&lt;&gt;"",1,0)</f>
        <v/>
      </c>
      <c r="AF97">
        <f>IF(AE97=1,LOWER(A97),"#")</f>
        <v/>
      </c>
      <c r="AG97">
        <f>IF(AE97=1,LOWER(TRIM(TRIM('Roster'!C97)&amp;", "&amp;TRIM('Roster'!B97))),"#")</f>
        <v/>
      </c>
      <c r="AH97">
        <f>IF(AND(AE97=1,TRIM('Roster'!F97)&lt;&gt;""),LOWER(TRIM('Roster'!F97)),"#")</f>
        <v/>
      </c>
      <c r="AI97">
        <f>IF(AE97=1,IF(MATCH(B97,$B$2:$B$701,0)=ROW()-1,1,0),0)</f>
        <v/>
      </c>
      <c r="AJ97">
        <f>AJ96+AI97</f>
        <v/>
      </c>
      <c r="AK97">
        <f>IF(AE97=1,D97+(1000-ROW())/10^7,-1)</f>
        <v/>
      </c>
      <c r="AL97">
        <f>IF(AE97=1,TRIM('Roster'!B97)&amp;" "&amp;LEFT(TRIM('Roster'!C97),1)&amp;".","")</f>
        <v/>
      </c>
      <c r="AM97">
        <f>IF(AE97=1,TRIM('Roster'!C97)&amp;", "&amp;TRIM('Roster'!B97)&amp;" ("&amp;B97&amp;") #"&amp;AD97,"")</f>
        <v/>
      </c>
      <c r="AN97">
        <f>IF(AE97=1,TRIM('Roster'!E97),"")</f>
        <v/>
      </c>
      <c r="AO97">
        <f>IF(AE97=1,ROUND(SUMIFS('All Donations'!$S$2:$S$4001,'All Donations'!$R$2:$R$4001,AD97,'All Donations'!$T$2:$T$4001,"&gt;="&amp;'Settings'!$C$23,'All Donations'!$T$2:$T$4001,"&lt;="&amp;'Settings'!$D$23),2),0)</f>
        <v/>
      </c>
      <c r="AQ97">
        <f>IF(AE97=1,ROUND(SUMIFS('All Donations'!$S$2:$S$4001,'All Donations'!$R$2:$R$4001,AD97,'All Donations'!$T$2:$T$4001,"&gt;="&amp;'Settings'!$C$25,'All Donations'!$T$2:$T$4001,"&lt;="&amp;'Settings'!$D$25),2),0)</f>
        <v/>
      </c>
      <c r="AR97">
        <f>IF(AE97=1,ROUND(SUMIFS('All Donations'!$S$2:$S$4001,'All Donations'!$R$2:$R$4001,AD97,'All Donations'!$T$2:$T$4001,"&gt;="&amp;'Settings'!$C$26,'All Donations'!$T$2:$T$4001,"&lt;="&amp;'Settings'!$D$26),2),0)</f>
        <v/>
      </c>
      <c r="AS97">
        <f>IF(AE97=1,ROUND(SUMIFS('All Donations'!$S$2:$S$4001,'All Donations'!$R$2:$R$4001,AD97,'All Donations'!$T$2:$T$4001,"&lt;="&amp;'Settings'!$D$27),2),0)</f>
        <v/>
      </c>
      <c r="AT97">
        <f>IF(AE97=1,ROUND(SUMIFS('All Donations'!$S$2:$S$4001,'All Donations'!$R$2:$R$4001,AD97,'All Donations'!$T$2:$T$4001,"&gt;="&amp;'Settings'!$C$28,'All Donations'!$T$2:$T$4001,"&lt;="&amp;'Settings'!$D$28),2),0)</f>
        <v/>
      </c>
      <c r="AU97">
        <f>IF(AE97=1,ROUND(SUMIFS('All Donations'!$S$2:$S$4001,'All Donations'!$R$2:$R$4001,AD97,'All Donations'!$T$2:$T$4001,"&gt;="&amp;'Settings'!$C$29,'All Donations'!$T$2:$T$4001,"&lt;="&amp;'Settings'!$D$29),2),0)</f>
        <v/>
      </c>
      <c r="AV97">
        <f>IF(AE97=1,ROUND(SUMIFS('All Donations'!$S$2:$S$4001,'All Donations'!$R$2:$R$4001,AD97,'All Donations'!$T$2:$T$4001,"&lt;="&amp;'Settings'!$D$30),2),0)</f>
        <v/>
      </c>
      <c r="AZ97">
        <f>IF(AE97=1,ROUND(SUMIFS('All Donations'!$S$2:$S$4001,'All Donations'!$R$2:$R$4001,AD97,'All Donations'!$T$2:$T$4001,"&lt;="&amp;'Settings'!$D$34),2),0)</f>
        <v/>
      </c>
    </row>
    <row r="98">
      <c r="A98">
        <f>IF(AE98=1,TRIM(TRIM('Roster'!B98)&amp;" "&amp;TRIM('Roster'!C98)),"")</f>
        <v/>
      </c>
      <c r="B98">
        <f>IF(AE98=1,IF(AN98="","(no teacher)",AN98&amp;" – "&amp;C98),"")</f>
        <v/>
      </c>
      <c r="C98">
        <f>IF(AE98=1,TRIM('Roster'!D98&amp;""),"")</f>
        <v/>
      </c>
      <c r="D98" s="48">
        <f>IF(AE98=1,ROUND(SUMIFS('All Donations'!$S$2:$S$4001,'All Donations'!$R$2:$R$4001,AD98),2),"")</f>
        <v/>
      </c>
      <c r="E98" s="48">
        <f>IF(AE98=1,ROUND(SUMIFS('All Donations'!$S$2:$S$4001,'All Donations'!$R$2:$R$4001,AD98,'All Donations'!$G$2:$G$4001,"OneCause"),2),"")</f>
        <v/>
      </c>
      <c r="F98" s="48">
        <f>IF(AE98=1,D98-E98,"")</f>
        <v/>
      </c>
      <c r="G98">
        <f>IF(AE98=1,COUNTIFS('All Donations'!$R$2:$R$4001,AD98,'All Donations'!$H$2:$H$4001,"OK"),"")</f>
        <v/>
      </c>
      <c r="H98">
        <f>IF(AE98&lt;&gt;1,"",IF(D98&gt;0,"Yes",""))</f>
        <v/>
      </c>
      <c r="I98" s="49">
        <f>IF(OR($AE98&lt;&gt;1,I$1=""),"",SUMIFS('All Donations'!$S$2:$S$4001,'All Donations'!$R$2:$R$4001,$AD98,'All Donations'!$T$2:$T$4001,I$1))</f>
        <v/>
      </c>
      <c r="J98" s="49">
        <f>IF(OR($AE98&lt;&gt;1,J$1=""),"",SUMIFS('All Donations'!$S$2:$S$4001,'All Donations'!$R$2:$R$4001,$AD98,'All Donations'!$T$2:$T$4001,J$1))</f>
        <v/>
      </c>
      <c r="K98" s="49">
        <f>IF(OR($AE98&lt;&gt;1,K$1=""),"",SUMIFS('All Donations'!$S$2:$S$4001,'All Donations'!$R$2:$R$4001,$AD98,'All Donations'!$T$2:$T$4001,K$1))</f>
        <v/>
      </c>
      <c r="L98" s="49">
        <f>IF(OR($AE98&lt;&gt;1,L$1=""),"",SUMIFS('All Donations'!$S$2:$S$4001,'All Donations'!$R$2:$R$4001,$AD98,'All Donations'!$T$2:$T$4001,L$1))</f>
        <v/>
      </c>
      <c r="M98" s="49">
        <f>IF(OR($AE98&lt;&gt;1,M$1=""),"",SUMIFS('All Donations'!$S$2:$S$4001,'All Donations'!$R$2:$R$4001,$AD98,'All Donations'!$T$2:$T$4001,M$1))</f>
        <v/>
      </c>
      <c r="N98" s="49">
        <f>IF(OR($AE98&lt;&gt;1,N$1=""),"",SUMIFS('All Donations'!$S$2:$S$4001,'All Donations'!$R$2:$R$4001,$AD98,'All Donations'!$T$2:$T$4001,N$1))</f>
        <v/>
      </c>
      <c r="O98" s="49">
        <f>IF(OR($AE98&lt;&gt;1,O$1=""),"",SUMIFS('All Donations'!$S$2:$S$4001,'All Donations'!$R$2:$R$4001,$AD98,'All Donations'!$T$2:$T$4001,O$1))</f>
        <v/>
      </c>
      <c r="P98" s="49">
        <f>IF(OR($AE98&lt;&gt;1,P$1=""),"",SUMIFS('All Donations'!$S$2:$S$4001,'All Donations'!$R$2:$R$4001,$AD98,'All Donations'!$T$2:$T$4001,P$1))</f>
        <v/>
      </c>
      <c r="Q98" s="49">
        <f>IF(OR($AE98&lt;&gt;1,Q$1=""),"",SUMIFS('All Donations'!$S$2:$S$4001,'All Donations'!$R$2:$R$4001,$AD98,'All Donations'!$T$2:$T$4001,Q$1))</f>
        <v/>
      </c>
      <c r="R98" s="49">
        <f>IF(OR($AE98&lt;&gt;1,R$1=""),"",SUMIFS('All Donations'!$S$2:$S$4001,'All Donations'!$R$2:$R$4001,$AD98,'All Donations'!$T$2:$T$4001,R$1))</f>
        <v/>
      </c>
      <c r="S98" s="49">
        <f>IF(OR($AE98&lt;&gt;1,S$1=""),"",SUMIFS('All Donations'!$S$2:$S$4001,'All Donations'!$R$2:$R$4001,$AD98,'All Donations'!$T$2:$T$4001,S$1))</f>
        <v/>
      </c>
      <c r="T98" s="49">
        <f>IF(OR($AE98&lt;&gt;1,T$1=""),"",SUMIFS('All Donations'!$S$2:$S$4001,'All Donations'!$R$2:$R$4001,$AD98,'All Donations'!$T$2:$T$4001,T$1))</f>
        <v/>
      </c>
      <c r="U98" s="49">
        <f>IF(OR($AE98&lt;&gt;1,U$1=""),"",SUMIFS('All Donations'!$S$2:$S$4001,'All Donations'!$R$2:$R$4001,$AD98,'All Donations'!$T$2:$T$4001,U$1))</f>
        <v/>
      </c>
      <c r="V98" s="49">
        <f>IF(OR($AE98&lt;&gt;1,V$1=""),"",SUMIFS('All Donations'!$S$2:$S$4001,'All Donations'!$R$2:$R$4001,$AD98,'All Donations'!$T$2:$T$4001,V$1))</f>
        <v/>
      </c>
      <c r="W98" s="49">
        <f>IF(OR($AE98&lt;&gt;1,W$1=""),"",SUMIFS('All Donations'!$S$2:$S$4001,'All Donations'!$R$2:$R$4001,$AD98,'All Donations'!$T$2:$T$4001,W$1))</f>
        <v/>
      </c>
      <c r="X98" s="49">
        <f>IF(OR($AE98&lt;&gt;1,X$1=""),"",SUMIFS('All Donations'!$S$2:$S$4001,'All Donations'!$R$2:$R$4001,$AD98,'All Donations'!$T$2:$T$4001,X$1))</f>
        <v/>
      </c>
      <c r="Y98" s="49">
        <f>IF(OR($AE98&lt;&gt;1,Y$1=""),"",SUMIFS('All Donations'!$S$2:$S$4001,'All Donations'!$R$2:$R$4001,$AD98,'All Donations'!$T$2:$T$4001,Y$1))</f>
        <v/>
      </c>
      <c r="Z98" s="49">
        <f>IF(OR($AE98&lt;&gt;1,Z$1=""),"",SUMIFS('All Donations'!$S$2:$S$4001,'All Donations'!$R$2:$R$4001,$AD98,'All Donations'!$T$2:$T$4001,Z$1))</f>
        <v/>
      </c>
      <c r="AA98" s="49">
        <f>IF(OR($AE98&lt;&gt;1,AA$1=""),"",SUMIFS('All Donations'!$S$2:$S$4001,'All Donations'!$R$2:$R$4001,$AD98,'All Donations'!$T$2:$T$4001,AA$1))</f>
        <v/>
      </c>
      <c r="AB98" s="49">
        <f>IF(OR($AE98&lt;&gt;1,AB$1=""),"",SUMIFS('All Donations'!$S$2:$S$4001,'All Donations'!$R$2:$R$4001,$AD98,'All Donations'!$T$2:$T$4001,AB$1))</f>
        <v/>
      </c>
      <c r="AC98" s="49">
        <f>IF(OR($AE98&lt;&gt;1,AC$1=""),"",SUMIFS('All Donations'!$S$2:$S$4001,'All Donations'!$R$2:$R$4001,$AD98,'All Donations'!$T$2:$T$4001,AC$1))</f>
        <v/>
      </c>
      <c r="AD98">
        <f>IF(AE98=1,'Roster'!A98,"")</f>
        <v/>
      </c>
      <c r="AE98">
        <f>IF(TRIM('Roster'!B98&amp;'Roster'!C98)&lt;&gt;"",1,0)</f>
        <v/>
      </c>
      <c r="AF98">
        <f>IF(AE98=1,LOWER(A98),"#")</f>
        <v/>
      </c>
      <c r="AG98">
        <f>IF(AE98=1,LOWER(TRIM(TRIM('Roster'!C98)&amp;", "&amp;TRIM('Roster'!B98))),"#")</f>
        <v/>
      </c>
      <c r="AH98">
        <f>IF(AND(AE98=1,TRIM('Roster'!F98)&lt;&gt;""),LOWER(TRIM('Roster'!F98)),"#")</f>
        <v/>
      </c>
      <c r="AI98">
        <f>IF(AE98=1,IF(MATCH(B98,$B$2:$B$701,0)=ROW()-1,1,0),0)</f>
        <v/>
      </c>
      <c r="AJ98">
        <f>AJ97+AI98</f>
        <v/>
      </c>
      <c r="AK98">
        <f>IF(AE98=1,D98+(1000-ROW())/10^7,-1)</f>
        <v/>
      </c>
      <c r="AL98">
        <f>IF(AE98=1,TRIM('Roster'!B98)&amp;" "&amp;LEFT(TRIM('Roster'!C98),1)&amp;".","")</f>
        <v/>
      </c>
      <c r="AM98">
        <f>IF(AE98=1,TRIM('Roster'!C98)&amp;", "&amp;TRIM('Roster'!B98)&amp;" ("&amp;B98&amp;") #"&amp;AD98,"")</f>
        <v/>
      </c>
      <c r="AN98">
        <f>IF(AE98=1,TRIM('Roster'!E98),"")</f>
        <v/>
      </c>
      <c r="AO98">
        <f>IF(AE98=1,ROUND(SUMIFS('All Donations'!$S$2:$S$4001,'All Donations'!$R$2:$R$4001,AD98,'All Donations'!$T$2:$T$4001,"&gt;="&amp;'Settings'!$C$23,'All Donations'!$T$2:$T$4001,"&lt;="&amp;'Settings'!$D$23),2),0)</f>
        <v/>
      </c>
      <c r="AQ98">
        <f>IF(AE98=1,ROUND(SUMIFS('All Donations'!$S$2:$S$4001,'All Donations'!$R$2:$R$4001,AD98,'All Donations'!$T$2:$T$4001,"&gt;="&amp;'Settings'!$C$25,'All Donations'!$T$2:$T$4001,"&lt;="&amp;'Settings'!$D$25),2),0)</f>
        <v/>
      </c>
      <c r="AR98">
        <f>IF(AE98=1,ROUND(SUMIFS('All Donations'!$S$2:$S$4001,'All Donations'!$R$2:$R$4001,AD98,'All Donations'!$T$2:$T$4001,"&gt;="&amp;'Settings'!$C$26,'All Donations'!$T$2:$T$4001,"&lt;="&amp;'Settings'!$D$26),2),0)</f>
        <v/>
      </c>
      <c r="AS98">
        <f>IF(AE98=1,ROUND(SUMIFS('All Donations'!$S$2:$S$4001,'All Donations'!$R$2:$R$4001,AD98,'All Donations'!$T$2:$T$4001,"&lt;="&amp;'Settings'!$D$27),2),0)</f>
        <v/>
      </c>
      <c r="AT98">
        <f>IF(AE98=1,ROUND(SUMIFS('All Donations'!$S$2:$S$4001,'All Donations'!$R$2:$R$4001,AD98,'All Donations'!$T$2:$T$4001,"&gt;="&amp;'Settings'!$C$28,'All Donations'!$T$2:$T$4001,"&lt;="&amp;'Settings'!$D$28),2),0)</f>
        <v/>
      </c>
      <c r="AU98">
        <f>IF(AE98=1,ROUND(SUMIFS('All Donations'!$S$2:$S$4001,'All Donations'!$R$2:$R$4001,AD98,'All Donations'!$T$2:$T$4001,"&gt;="&amp;'Settings'!$C$29,'All Donations'!$T$2:$T$4001,"&lt;="&amp;'Settings'!$D$29),2),0)</f>
        <v/>
      </c>
      <c r="AV98">
        <f>IF(AE98=1,ROUND(SUMIFS('All Donations'!$S$2:$S$4001,'All Donations'!$R$2:$R$4001,AD98,'All Donations'!$T$2:$T$4001,"&lt;="&amp;'Settings'!$D$30),2),0)</f>
        <v/>
      </c>
      <c r="AZ98">
        <f>IF(AE98=1,ROUND(SUMIFS('All Donations'!$S$2:$S$4001,'All Donations'!$R$2:$R$4001,AD98,'All Donations'!$T$2:$T$4001,"&lt;="&amp;'Settings'!$D$34),2),0)</f>
        <v/>
      </c>
    </row>
    <row r="99">
      <c r="A99">
        <f>IF(AE99=1,TRIM(TRIM('Roster'!B99)&amp;" "&amp;TRIM('Roster'!C99)),"")</f>
        <v/>
      </c>
      <c r="B99">
        <f>IF(AE99=1,IF(AN99="","(no teacher)",AN99&amp;" – "&amp;C99),"")</f>
        <v/>
      </c>
      <c r="C99">
        <f>IF(AE99=1,TRIM('Roster'!D99&amp;""),"")</f>
        <v/>
      </c>
      <c r="D99" s="48">
        <f>IF(AE99=1,ROUND(SUMIFS('All Donations'!$S$2:$S$4001,'All Donations'!$R$2:$R$4001,AD99),2),"")</f>
        <v/>
      </c>
      <c r="E99" s="48">
        <f>IF(AE99=1,ROUND(SUMIFS('All Donations'!$S$2:$S$4001,'All Donations'!$R$2:$R$4001,AD99,'All Donations'!$G$2:$G$4001,"OneCause"),2),"")</f>
        <v/>
      </c>
      <c r="F99" s="48">
        <f>IF(AE99=1,D99-E99,"")</f>
        <v/>
      </c>
      <c r="G99">
        <f>IF(AE99=1,COUNTIFS('All Donations'!$R$2:$R$4001,AD99,'All Donations'!$H$2:$H$4001,"OK"),"")</f>
        <v/>
      </c>
      <c r="H99">
        <f>IF(AE99&lt;&gt;1,"",IF(D99&gt;0,"Yes",""))</f>
        <v/>
      </c>
      <c r="I99" s="49">
        <f>IF(OR($AE99&lt;&gt;1,I$1=""),"",SUMIFS('All Donations'!$S$2:$S$4001,'All Donations'!$R$2:$R$4001,$AD99,'All Donations'!$T$2:$T$4001,I$1))</f>
        <v/>
      </c>
      <c r="J99" s="49">
        <f>IF(OR($AE99&lt;&gt;1,J$1=""),"",SUMIFS('All Donations'!$S$2:$S$4001,'All Donations'!$R$2:$R$4001,$AD99,'All Donations'!$T$2:$T$4001,J$1))</f>
        <v/>
      </c>
      <c r="K99" s="49">
        <f>IF(OR($AE99&lt;&gt;1,K$1=""),"",SUMIFS('All Donations'!$S$2:$S$4001,'All Donations'!$R$2:$R$4001,$AD99,'All Donations'!$T$2:$T$4001,K$1))</f>
        <v/>
      </c>
      <c r="L99" s="49">
        <f>IF(OR($AE99&lt;&gt;1,L$1=""),"",SUMIFS('All Donations'!$S$2:$S$4001,'All Donations'!$R$2:$R$4001,$AD99,'All Donations'!$T$2:$T$4001,L$1))</f>
        <v/>
      </c>
      <c r="M99" s="49">
        <f>IF(OR($AE99&lt;&gt;1,M$1=""),"",SUMIFS('All Donations'!$S$2:$S$4001,'All Donations'!$R$2:$R$4001,$AD99,'All Donations'!$T$2:$T$4001,M$1))</f>
        <v/>
      </c>
      <c r="N99" s="49">
        <f>IF(OR($AE99&lt;&gt;1,N$1=""),"",SUMIFS('All Donations'!$S$2:$S$4001,'All Donations'!$R$2:$R$4001,$AD99,'All Donations'!$T$2:$T$4001,N$1))</f>
        <v/>
      </c>
      <c r="O99" s="49">
        <f>IF(OR($AE99&lt;&gt;1,O$1=""),"",SUMIFS('All Donations'!$S$2:$S$4001,'All Donations'!$R$2:$R$4001,$AD99,'All Donations'!$T$2:$T$4001,O$1))</f>
        <v/>
      </c>
      <c r="P99" s="49">
        <f>IF(OR($AE99&lt;&gt;1,P$1=""),"",SUMIFS('All Donations'!$S$2:$S$4001,'All Donations'!$R$2:$R$4001,$AD99,'All Donations'!$T$2:$T$4001,P$1))</f>
        <v/>
      </c>
      <c r="Q99" s="49">
        <f>IF(OR($AE99&lt;&gt;1,Q$1=""),"",SUMIFS('All Donations'!$S$2:$S$4001,'All Donations'!$R$2:$R$4001,$AD99,'All Donations'!$T$2:$T$4001,Q$1))</f>
        <v/>
      </c>
      <c r="R99" s="49">
        <f>IF(OR($AE99&lt;&gt;1,R$1=""),"",SUMIFS('All Donations'!$S$2:$S$4001,'All Donations'!$R$2:$R$4001,$AD99,'All Donations'!$T$2:$T$4001,R$1))</f>
        <v/>
      </c>
      <c r="S99" s="49">
        <f>IF(OR($AE99&lt;&gt;1,S$1=""),"",SUMIFS('All Donations'!$S$2:$S$4001,'All Donations'!$R$2:$R$4001,$AD99,'All Donations'!$T$2:$T$4001,S$1))</f>
        <v/>
      </c>
      <c r="T99" s="49">
        <f>IF(OR($AE99&lt;&gt;1,T$1=""),"",SUMIFS('All Donations'!$S$2:$S$4001,'All Donations'!$R$2:$R$4001,$AD99,'All Donations'!$T$2:$T$4001,T$1))</f>
        <v/>
      </c>
      <c r="U99" s="49">
        <f>IF(OR($AE99&lt;&gt;1,U$1=""),"",SUMIFS('All Donations'!$S$2:$S$4001,'All Donations'!$R$2:$R$4001,$AD99,'All Donations'!$T$2:$T$4001,U$1))</f>
        <v/>
      </c>
      <c r="V99" s="49">
        <f>IF(OR($AE99&lt;&gt;1,V$1=""),"",SUMIFS('All Donations'!$S$2:$S$4001,'All Donations'!$R$2:$R$4001,$AD99,'All Donations'!$T$2:$T$4001,V$1))</f>
        <v/>
      </c>
      <c r="W99" s="49">
        <f>IF(OR($AE99&lt;&gt;1,W$1=""),"",SUMIFS('All Donations'!$S$2:$S$4001,'All Donations'!$R$2:$R$4001,$AD99,'All Donations'!$T$2:$T$4001,W$1))</f>
        <v/>
      </c>
      <c r="X99" s="49">
        <f>IF(OR($AE99&lt;&gt;1,X$1=""),"",SUMIFS('All Donations'!$S$2:$S$4001,'All Donations'!$R$2:$R$4001,$AD99,'All Donations'!$T$2:$T$4001,X$1))</f>
        <v/>
      </c>
      <c r="Y99" s="49">
        <f>IF(OR($AE99&lt;&gt;1,Y$1=""),"",SUMIFS('All Donations'!$S$2:$S$4001,'All Donations'!$R$2:$R$4001,$AD99,'All Donations'!$T$2:$T$4001,Y$1))</f>
        <v/>
      </c>
      <c r="Z99" s="49">
        <f>IF(OR($AE99&lt;&gt;1,Z$1=""),"",SUMIFS('All Donations'!$S$2:$S$4001,'All Donations'!$R$2:$R$4001,$AD99,'All Donations'!$T$2:$T$4001,Z$1))</f>
        <v/>
      </c>
      <c r="AA99" s="49">
        <f>IF(OR($AE99&lt;&gt;1,AA$1=""),"",SUMIFS('All Donations'!$S$2:$S$4001,'All Donations'!$R$2:$R$4001,$AD99,'All Donations'!$T$2:$T$4001,AA$1))</f>
        <v/>
      </c>
      <c r="AB99" s="49">
        <f>IF(OR($AE99&lt;&gt;1,AB$1=""),"",SUMIFS('All Donations'!$S$2:$S$4001,'All Donations'!$R$2:$R$4001,$AD99,'All Donations'!$T$2:$T$4001,AB$1))</f>
        <v/>
      </c>
      <c r="AC99" s="49">
        <f>IF(OR($AE99&lt;&gt;1,AC$1=""),"",SUMIFS('All Donations'!$S$2:$S$4001,'All Donations'!$R$2:$R$4001,$AD99,'All Donations'!$T$2:$T$4001,AC$1))</f>
        <v/>
      </c>
      <c r="AD99">
        <f>IF(AE99=1,'Roster'!A99,"")</f>
        <v/>
      </c>
      <c r="AE99">
        <f>IF(TRIM('Roster'!B99&amp;'Roster'!C99)&lt;&gt;"",1,0)</f>
        <v/>
      </c>
      <c r="AF99">
        <f>IF(AE99=1,LOWER(A99),"#")</f>
        <v/>
      </c>
      <c r="AG99">
        <f>IF(AE99=1,LOWER(TRIM(TRIM('Roster'!C99)&amp;", "&amp;TRIM('Roster'!B99))),"#")</f>
        <v/>
      </c>
      <c r="AH99">
        <f>IF(AND(AE99=1,TRIM('Roster'!F99)&lt;&gt;""),LOWER(TRIM('Roster'!F99)),"#")</f>
        <v/>
      </c>
      <c r="AI99">
        <f>IF(AE99=1,IF(MATCH(B99,$B$2:$B$701,0)=ROW()-1,1,0),0)</f>
        <v/>
      </c>
      <c r="AJ99">
        <f>AJ98+AI99</f>
        <v/>
      </c>
      <c r="AK99">
        <f>IF(AE99=1,D99+(1000-ROW())/10^7,-1)</f>
        <v/>
      </c>
      <c r="AL99">
        <f>IF(AE99=1,TRIM('Roster'!B99)&amp;" "&amp;LEFT(TRIM('Roster'!C99),1)&amp;".","")</f>
        <v/>
      </c>
      <c r="AM99">
        <f>IF(AE99=1,TRIM('Roster'!C99)&amp;", "&amp;TRIM('Roster'!B99)&amp;" ("&amp;B99&amp;") #"&amp;AD99,"")</f>
        <v/>
      </c>
      <c r="AN99">
        <f>IF(AE99=1,TRIM('Roster'!E99),"")</f>
        <v/>
      </c>
      <c r="AO99">
        <f>IF(AE99=1,ROUND(SUMIFS('All Donations'!$S$2:$S$4001,'All Donations'!$R$2:$R$4001,AD99,'All Donations'!$T$2:$T$4001,"&gt;="&amp;'Settings'!$C$23,'All Donations'!$T$2:$T$4001,"&lt;="&amp;'Settings'!$D$23),2),0)</f>
        <v/>
      </c>
      <c r="AQ99">
        <f>IF(AE99=1,ROUND(SUMIFS('All Donations'!$S$2:$S$4001,'All Donations'!$R$2:$R$4001,AD99,'All Donations'!$T$2:$T$4001,"&gt;="&amp;'Settings'!$C$25,'All Donations'!$T$2:$T$4001,"&lt;="&amp;'Settings'!$D$25),2),0)</f>
        <v/>
      </c>
      <c r="AR99">
        <f>IF(AE99=1,ROUND(SUMIFS('All Donations'!$S$2:$S$4001,'All Donations'!$R$2:$R$4001,AD99,'All Donations'!$T$2:$T$4001,"&gt;="&amp;'Settings'!$C$26,'All Donations'!$T$2:$T$4001,"&lt;="&amp;'Settings'!$D$26),2),0)</f>
        <v/>
      </c>
      <c r="AS99">
        <f>IF(AE99=1,ROUND(SUMIFS('All Donations'!$S$2:$S$4001,'All Donations'!$R$2:$R$4001,AD99,'All Donations'!$T$2:$T$4001,"&lt;="&amp;'Settings'!$D$27),2),0)</f>
        <v/>
      </c>
      <c r="AT99">
        <f>IF(AE99=1,ROUND(SUMIFS('All Donations'!$S$2:$S$4001,'All Donations'!$R$2:$R$4001,AD99,'All Donations'!$T$2:$T$4001,"&gt;="&amp;'Settings'!$C$28,'All Donations'!$T$2:$T$4001,"&lt;="&amp;'Settings'!$D$28),2),0)</f>
        <v/>
      </c>
      <c r="AU99">
        <f>IF(AE99=1,ROUND(SUMIFS('All Donations'!$S$2:$S$4001,'All Donations'!$R$2:$R$4001,AD99,'All Donations'!$T$2:$T$4001,"&gt;="&amp;'Settings'!$C$29,'All Donations'!$T$2:$T$4001,"&lt;="&amp;'Settings'!$D$29),2),0)</f>
        <v/>
      </c>
      <c r="AV99">
        <f>IF(AE99=1,ROUND(SUMIFS('All Donations'!$S$2:$S$4001,'All Donations'!$R$2:$R$4001,AD99,'All Donations'!$T$2:$T$4001,"&lt;="&amp;'Settings'!$D$30),2),0)</f>
        <v/>
      </c>
      <c r="AZ99">
        <f>IF(AE99=1,ROUND(SUMIFS('All Donations'!$S$2:$S$4001,'All Donations'!$R$2:$R$4001,AD99,'All Donations'!$T$2:$T$4001,"&lt;="&amp;'Settings'!$D$34),2),0)</f>
        <v/>
      </c>
    </row>
    <row r="100">
      <c r="A100">
        <f>IF(AE100=1,TRIM(TRIM('Roster'!B100)&amp;" "&amp;TRIM('Roster'!C100)),"")</f>
        <v/>
      </c>
      <c r="B100">
        <f>IF(AE100=1,IF(AN100="","(no teacher)",AN100&amp;" – "&amp;C100),"")</f>
        <v/>
      </c>
      <c r="C100">
        <f>IF(AE100=1,TRIM('Roster'!D100&amp;""),"")</f>
        <v/>
      </c>
      <c r="D100" s="48">
        <f>IF(AE100=1,ROUND(SUMIFS('All Donations'!$S$2:$S$4001,'All Donations'!$R$2:$R$4001,AD100),2),"")</f>
        <v/>
      </c>
      <c r="E100" s="48">
        <f>IF(AE100=1,ROUND(SUMIFS('All Donations'!$S$2:$S$4001,'All Donations'!$R$2:$R$4001,AD100,'All Donations'!$G$2:$G$4001,"OneCause"),2),"")</f>
        <v/>
      </c>
      <c r="F100" s="48">
        <f>IF(AE100=1,D100-E100,"")</f>
        <v/>
      </c>
      <c r="G100">
        <f>IF(AE100=1,COUNTIFS('All Donations'!$R$2:$R$4001,AD100,'All Donations'!$H$2:$H$4001,"OK"),"")</f>
        <v/>
      </c>
      <c r="H100">
        <f>IF(AE100&lt;&gt;1,"",IF(D100&gt;0,"Yes",""))</f>
        <v/>
      </c>
      <c r="I100" s="49">
        <f>IF(OR($AE100&lt;&gt;1,I$1=""),"",SUMIFS('All Donations'!$S$2:$S$4001,'All Donations'!$R$2:$R$4001,$AD100,'All Donations'!$T$2:$T$4001,I$1))</f>
        <v/>
      </c>
      <c r="J100" s="49">
        <f>IF(OR($AE100&lt;&gt;1,J$1=""),"",SUMIFS('All Donations'!$S$2:$S$4001,'All Donations'!$R$2:$R$4001,$AD100,'All Donations'!$T$2:$T$4001,J$1))</f>
        <v/>
      </c>
      <c r="K100" s="49">
        <f>IF(OR($AE100&lt;&gt;1,K$1=""),"",SUMIFS('All Donations'!$S$2:$S$4001,'All Donations'!$R$2:$R$4001,$AD100,'All Donations'!$T$2:$T$4001,K$1))</f>
        <v/>
      </c>
      <c r="L100" s="49">
        <f>IF(OR($AE100&lt;&gt;1,L$1=""),"",SUMIFS('All Donations'!$S$2:$S$4001,'All Donations'!$R$2:$R$4001,$AD100,'All Donations'!$T$2:$T$4001,L$1))</f>
        <v/>
      </c>
      <c r="M100" s="49">
        <f>IF(OR($AE100&lt;&gt;1,M$1=""),"",SUMIFS('All Donations'!$S$2:$S$4001,'All Donations'!$R$2:$R$4001,$AD100,'All Donations'!$T$2:$T$4001,M$1))</f>
        <v/>
      </c>
      <c r="N100" s="49">
        <f>IF(OR($AE100&lt;&gt;1,N$1=""),"",SUMIFS('All Donations'!$S$2:$S$4001,'All Donations'!$R$2:$R$4001,$AD100,'All Donations'!$T$2:$T$4001,N$1))</f>
        <v/>
      </c>
      <c r="O100" s="49">
        <f>IF(OR($AE100&lt;&gt;1,O$1=""),"",SUMIFS('All Donations'!$S$2:$S$4001,'All Donations'!$R$2:$R$4001,$AD100,'All Donations'!$T$2:$T$4001,O$1))</f>
        <v/>
      </c>
      <c r="P100" s="49">
        <f>IF(OR($AE100&lt;&gt;1,P$1=""),"",SUMIFS('All Donations'!$S$2:$S$4001,'All Donations'!$R$2:$R$4001,$AD100,'All Donations'!$T$2:$T$4001,P$1))</f>
        <v/>
      </c>
      <c r="Q100" s="49">
        <f>IF(OR($AE100&lt;&gt;1,Q$1=""),"",SUMIFS('All Donations'!$S$2:$S$4001,'All Donations'!$R$2:$R$4001,$AD100,'All Donations'!$T$2:$T$4001,Q$1))</f>
        <v/>
      </c>
      <c r="R100" s="49">
        <f>IF(OR($AE100&lt;&gt;1,R$1=""),"",SUMIFS('All Donations'!$S$2:$S$4001,'All Donations'!$R$2:$R$4001,$AD100,'All Donations'!$T$2:$T$4001,R$1))</f>
        <v/>
      </c>
      <c r="S100" s="49">
        <f>IF(OR($AE100&lt;&gt;1,S$1=""),"",SUMIFS('All Donations'!$S$2:$S$4001,'All Donations'!$R$2:$R$4001,$AD100,'All Donations'!$T$2:$T$4001,S$1))</f>
        <v/>
      </c>
      <c r="T100" s="49">
        <f>IF(OR($AE100&lt;&gt;1,T$1=""),"",SUMIFS('All Donations'!$S$2:$S$4001,'All Donations'!$R$2:$R$4001,$AD100,'All Donations'!$T$2:$T$4001,T$1))</f>
        <v/>
      </c>
      <c r="U100" s="49">
        <f>IF(OR($AE100&lt;&gt;1,U$1=""),"",SUMIFS('All Donations'!$S$2:$S$4001,'All Donations'!$R$2:$R$4001,$AD100,'All Donations'!$T$2:$T$4001,U$1))</f>
        <v/>
      </c>
      <c r="V100" s="49">
        <f>IF(OR($AE100&lt;&gt;1,V$1=""),"",SUMIFS('All Donations'!$S$2:$S$4001,'All Donations'!$R$2:$R$4001,$AD100,'All Donations'!$T$2:$T$4001,V$1))</f>
        <v/>
      </c>
      <c r="W100" s="49">
        <f>IF(OR($AE100&lt;&gt;1,W$1=""),"",SUMIFS('All Donations'!$S$2:$S$4001,'All Donations'!$R$2:$R$4001,$AD100,'All Donations'!$T$2:$T$4001,W$1))</f>
        <v/>
      </c>
      <c r="X100" s="49">
        <f>IF(OR($AE100&lt;&gt;1,X$1=""),"",SUMIFS('All Donations'!$S$2:$S$4001,'All Donations'!$R$2:$R$4001,$AD100,'All Donations'!$T$2:$T$4001,X$1))</f>
        <v/>
      </c>
      <c r="Y100" s="49">
        <f>IF(OR($AE100&lt;&gt;1,Y$1=""),"",SUMIFS('All Donations'!$S$2:$S$4001,'All Donations'!$R$2:$R$4001,$AD100,'All Donations'!$T$2:$T$4001,Y$1))</f>
        <v/>
      </c>
      <c r="Z100" s="49">
        <f>IF(OR($AE100&lt;&gt;1,Z$1=""),"",SUMIFS('All Donations'!$S$2:$S$4001,'All Donations'!$R$2:$R$4001,$AD100,'All Donations'!$T$2:$T$4001,Z$1))</f>
        <v/>
      </c>
      <c r="AA100" s="49">
        <f>IF(OR($AE100&lt;&gt;1,AA$1=""),"",SUMIFS('All Donations'!$S$2:$S$4001,'All Donations'!$R$2:$R$4001,$AD100,'All Donations'!$T$2:$T$4001,AA$1))</f>
        <v/>
      </c>
      <c r="AB100" s="49">
        <f>IF(OR($AE100&lt;&gt;1,AB$1=""),"",SUMIFS('All Donations'!$S$2:$S$4001,'All Donations'!$R$2:$R$4001,$AD100,'All Donations'!$T$2:$T$4001,AB$1))</f>
        <v/>
      </c>
      <c r="AC100" s="49">
        <f>IF(OR($AE100&lt;&gt;1,AC$1=""),"",SUMIFS('All Donations'!$S$2:$S$4001,'All Donations'!$R$2:$R$4001,$AD100,'All Donations'!$T$2:$T$4001,AC$1))</f>
        <v/>
      </c>
      <c r="AD100">
        <f>IF(AE100=1,'Roster'!A100,"")</f>
        <v/>
      </c>
      <c r="AE100">
        <f>IF(TRIM('Roster'!B100&amp;'Roster'!C100)&lt;&gt;"",1,0)</f>
        <v/>
      </c>
      <c r="AF100">
        <f>IF(AE100=1,LOWER(A100),"#")</f>
        <v/>
      </c>
      <c r="AG100">
        <f>IF(AE100=1,LOWER(TRIM(TRIM('Roster'!C100)&amp;", "&amp;TRIM('Roster'!B100))),"#")</f>
        <v/>
      </c>
      <c r="AH100">
        <f>IF(AND(AE100=1,TRIM('Roster'!F100)&lt;&gt;""),LOWER(TRIM('Roster'!F100)),"#")</f>
        <v/>
      </c>
      <c r="AI100">
        <f>IF(AE100=1,IF(MATCH(B100,$B$2:$B$701,0)=ROW()-1,1,0),0)</f>
        <v/>
      </c>
      <c r="AJ100">
        <f>AJ99+AI100</f>
        <v/>
      </c>
      <c r="AK100">
        <f>IF(AE100=1,D100+(1000-ROW())/10^7,-1)</f>
        <v/>
      </c>
      <c r="AL100">
        <f>IF(AE100=1,TRIM('Roster'!B100)&amp;" "&amp;LEFT(TRIM('Roster'!C100),1)&amp;".","")</f>
        <v/>
      </c>
      <c r="AM100">
        <f>IF(AE100=1,TRIM('Roster'!C100)&amp;", "&amp;TRIM('Roster'!B100)&amp;" ("&amp;B100&amp;") #"&amp;AD100,"")</f>
        <v/>
      </c>
      <c r="AN100">
        <f>IF(AE100=1,TRIM('Roster'!E100),"")</f>
        <v/>
      </c>
      <c r="AO100">
        <f>IF(AE100=1,ROUND(SUMIFS('All Donations'!$S$2:$S$4001,'All Donations'!$R$2:$R$4001,AD100,'All Donations'!$T$2:$T$4001,"&gt;="&amp;'Settings'!$C$23,'All Donations'!$T$2:$T$4001,"&lt;="&amp;'Settings'!$D$23),2),0)</f>
        <v/>
      </c>
      <c r="AQ100">
        <f>IF(AE100=1,ROUND(SUMIFS('All Donations'!$S$2:$S$4001,'All Donations'!$R$2:$R$4001,AD100,'All Donations'!$T$2:$T$4001,"&gt;="&amp;'Settings'!$C$25,'All Donations'!$T$2:$T$4001,"&lt;="&amp;'Settings'!$D$25),2),0)</f>
        <v/>
      </c>
      <c r="AR100">
        <f>IF(AE100=1,ROUND(SUMIFS('All Donations'!$S$2:$S$4001,'All Donations'!$R$2:$R$4001,AD100,'All Donations'!$T$2:$T$4001,"&gt;="&amp;'Settings'!$C$26,'All Donations'!$T$2:$T$4001,"&lt;="&amp;'Settings'!$D$26),2),0)</f>
        <v/>
      </c>
      <c r="AS100">
        <f>IF(AE100=1,ROUND(SUMIFS('All Donations'!$S$2:$S$4001,'All Donations'!$R$2:$R$4001,AD100,'All Donations'!$T$2:$T$4001,"&lt;="&amp;'Settings'!$D$27),2),0)</f>
        <v/>
      </c>
      <c r="AT100">
        <f>IF(AE100=1,ROUND(SUMIFS('All Donations'!$S$2:$S$4001,'All Donations'!$R$2:$R$4001,AD100,'All Donations'!$T$2:$T$4001,"&gt;="&amp;'Settings'!$C$28,'All Donations'!$T$2:$T$4001,"&lt;="&amp;'Settings'!$D$28),2),0)</f>
        <v/>
      </c>
      <c r="AU100">
        <f>IF(AE100=1,ROUND(SUMIFS('All Donations'!$S$2:$S$4001,'All Donations'!$R$2:$R$4001,AD100,'All Donations'!$T$2:$T$4001,"&gt;="&amp;'Settings'!$C$29,'All Donations'!$T$2:$T$4001,"&lt;="&amp;'Settings'!$D$29),2),0)</f>
        <v/>
      </c>
      <c r="AV100">
        <f>IF(AE100=1,ROUND(SUMIFS('All Donations'!$S$2:$S$4001,'All Donations'!$R$2:$R$4001,AD100,'All Donations'!$T$2:$T$4001,"&lt;="&amp;'Settings'!$D$30),2),0)</f>
        <v/>
      </c>
      <c r="AZ100">
        <f>IF(AE100=1,ROUND(SUMIFS('All Donations'!$S$2:$S$4001,'All Donations'!$R$2:$R$4001,AD100,'All Donations'!$T$2:$T$4001,"&lt;="&amp;'Settings'!$D$34),2),0)</f>
        <v/>
      </c>
    </row>
    <row r="101">
      <c r="A101">
        <f>IF(AE101=1,TRIM(TRIM('Roster'!B101)&amp;" "&amp;TRIM('Roster'!C101)),"")</f>
        <v/>
      </c>
      <c r="B101">
        <f>IF(AE101=1,IF(AN101="","(no teacher)",AN101&amp;" – "&amp;C101),"")</f>
        <v/>
      </c>
      <c r="C101">
        <f>IF(AE101=1,TRIM('Roster'!D101&amp;""),"")</f>
        <v/>
      </c>
      <c r="D101" s="48">
        <f>IF(AE101=1,ROUND(SUMIFS('All Donations'!$S$2:$S$4001,'All Donations'!$R$2:$R$4001,AD101),2),"")</f>
        <v/>
      </c>
      <c r="E101" s="48">
        <f>IF(AE101=1,ROUND(SUMIFS('All Donations'!$S$2:$S$4001,'All Donations'!$R$2:$R$4001,AD101,'All Donations'!$G$2:$G$4001,"OneCause"),2),"")</f>
        <v/>
      </c>
      <c r="F101" s="48">
        <f>IF(AE101=1,D101-E101,"")</f>
        <v/>
      </c>
      <c r="G101">
        <f>IF(AE101=1,COUNTIFS('All Donations'!$R$2:$R$4001,AD101,'All Donations'!$H$2:$H$4001,"OK"),"")</f>
        <v/>
      </c>
      <c r="H101">
        <f>IF(AE101&lt;&gt;1,"",IF(D101&gt;0,"Yes",""))</f>
        <v/>
      </c>
      <c r="I101" s="49">
        <f>IF(OR($AE101&lt;&gt;1,I$1=""),"",SUMIFS('All Donations'!$S$2:$S$4001,'All Donations'!$R$2:$R$4001,$AD101,'All Donations'!$T$2:$T$4001,I$1))</f>
        <v/>
      </c>
      <c r="J101" s="49">
        <f>IF(OR($AE101&lt;&gt;1,J$1=""),"",SUMIFS('All Donations'!$S$2:$S$4001,'All Donations'!$R$2:$R$4001,$AD101,'All Donations'!$T$2:$T$4001,J$1))</f>
        <v/>
      </c>
      <c r="K101" s="49">
        <f>IF(OR($AE101&lt;&gt;1,K$1=""),"",SUMIFS('All Donations'!$S$2:$S$4001,'All Donations'!$R$2:$R$4001,$AD101,'All Donations'!$T$2:$T$4001,K$1))</f>
        <v/>
      </c>
      <c r="L101" s="49">
        <f>IF(OR($AE101&lt;&gt;1,L$1=""),"",SUMIFS('All Donations'!$S$2:$S$4001,'All Donations'!$R$2:$R$4001,$AD101,'All Donations'!$T$2:$T$4001,L$1))</f>
        <v/>
      </c>
      <c r="M101" s="49">
        <f>IF(OR($AE101&lt;&gt;1,M$1=""),"",SUMIFS('All Donations'!$S$2:$S$4001,'All Donations'!$R$2:$R$4001,$AD101,'All Donations'!$T$2:$T$4001,M$1))</f>
        <v/>
      </c>
      <c r="N101" s="49">
        <f>IF(OR($AE101&lt;&gt;1,N$1=""),"",SUMIFS('All Donations'!$S$2:$S$4001,'All Donations'!$R$2:$R$4001,$AD101,'All Donations'!$T$2:$T$4001,N$1))</f>
        <v/>
      </c>
      <c r="O101" s="49">
        <f>IF(OR($AE101&lt;&gt;1,O$1=""),"",SUMIFS('All Donations'!$S$2:$S$4001,'All Donations'!$R$2:$R$4001,$AD101,'All Donations'!$T$2:$T$4001,O$1))</f>
        <v/>
      </c>
      <c r="P101" s="49">
        <f>IF(OR($AE101&lt;&gt;1,P$1=""),"",SUMIFS('All Donations'!$S$2:$S$4001,'All Donations'!$R$2:$R$4001,$AD101,'All Donations'!$T$2:$T$4001,P$1))</f>
        <v/>
      </c>
      <c r="Q101" s="49">
        <f>IF(OR($AE101&lt;&gt;1,Q$1=""),"",SUMIFS('All Donations'!$S$2:$S$4001,'All Donations'!$R$2:$R$4001,$AD101,'All Donations'!$T$2:$T$4001,Q$1))</f>
        <v/>
      </c>
      <c r="R101" s="49">
        <f>IF(OR($AE101&lt;&gt;1,R$1=""),"",SUMIFS('All Donations'!$S$2:$S$4001,'All Donations'!$R$2:$R$4001,$AD101,'All Donations'!$T$2:$T$4001,R$1))</f>
        <v/>
      </c>
      <c r="S101" s="49">
        <f>IF(OR($AE101&lt;&gt;1,S$1=""),"",SUMIFS('All Donations'!$S$2:$S$4001,'All Donations'!$R$2:$R$4001,$AD101,'All Donations'!$T$2:$T$4001,S$1))</f>
        <v/>
      </c>
      <c r="T101" s="49">
        <f>IF(OR($AE101&lt;&gt;1,T$1=""),"",SUMIFS('All Donations'!$S$2:$S$4001,'All Donations'!$R$2:$R$4001,$AD101,'All Donations'!$T$2:$T$4001,T$1))</f>
        <v/>
      </c>
      <c r="U101" s="49">
        <f>IF(OR($AE101&lt;&gt;1,U$1=""),"",SUMIFS('All Donations'!$S$2:$S$4001,'All Donations'!$R$2:$R$4001,$AD101,'All Donations'!$T$2:$T$4001,U$1))</f>
        <v/>
      </c>
      <c r="V101" s="49">
        <f>IF(OR($AE101&lt;&gt;1,V$1=""),"",SUMIFS('All Donations'!$S$2:$S$4001,'All Donations'!$R$2:$R$4001,$AD101,'All Donations'!$T$2:$T$4001,V$1))</f>
        <v/>
      </c>
      <c r="W101" s="49">
        <f>IF(OR($AE101&lt;&gt;1,W$1=""),"",SUMIFS('All Donations'!$S$2:$S$4001,'All Donations'!$R$2:$R$4001,$AD101,'All Donations'!$T$2:$T$4001,W$1))</f>
        <v/>
      </c>
      <c r="X101" s="49">
        <f>IF(OR($AE101&lt;&gt;1,X$1=""),"",SUMIFS('All Donations'!$S$2:$S$4001,'All Donations'!$R$2:$R$4001,$AD101,'All Donations'!$T$2:$T$4001,X$1))</f>
        <v/>
      </c>
      <c r="Y101" s="49">
        <f>IF(OR($AE101&lt;&gt;1,Y$1=""),"",SUMIFS('All Donations'!$S$2:$S$4001,'All Donations'!$R$2:$R$4001,$AD101,'All Donations'!$T$2:$T$4001,Y$1))</f>
        <v/>
      </c>
      <c r="Z101" s="49">
        <f>IF(OR($AE101&lt;&gt;1,Z$1=""),"",SUMIFS('All Donations'!$S$2:$S$4001,'All Donations'!$R$2:$R$4001,$AD101,'All Donations'!$T$2:$T$4001,Z$1))</f>
        <v/>
      </c>
      <c r="AA101" s="49">
        <f>IF(OR($AE101&lt;&gt;1,AA$1=""),"",SUMIFS('All Donations'!$S$2:$S$4001,'All Donations'!$R$2:$R$4001,$AD101,'All Donations'!$T$2:$T$4001,AA$1))</f>
        <v/>
      </c>
      <c r="AB101" s="49">
        <f>IF(OR($AE101&lt;&gt;1,AB$1=""),"",SUMIFS('All Donations'!$S$2:$S$4001,'All Donations'!$R$2:$R$4001,$AD101,'All Donations'!$T$2:$T$4001,AB$1))</f>
        <v/>
      </c>
      <c r="AC101" s="49">
        <f>IF(OR($AE101&lt;&gt;1,AC$1=""),"",SUMIFS('All Donations'!$S$2:$S$4001,'All Donations'!$R$2:$R$4001,$AD101,'All Donations'!$T$2:$T$4001,AC$1))</f>
        <v/>
      </c>
      <c r="AD101">
        <f>IF(AE101=1,'Roster'!A101,"")</f>
        <v/>
      </c>
      <c r="AE101">
        <f>IF(TRIM('Roster'!B101&amp;'Roster'!C101)&lt;&gt;"",1,0)</f>
        <v/>
      </c>
      <c r="AF101">
        <f>IF(AE101=1,LOWER(A101),"#")</f>
        <v/>
      </c>
      <c r="AG101">
        <f>IF(AE101=1,LOWER(TRIM(TRIM('Roster'!C101)&amp;", "&amp;TRIM('Roster'!B101))),"#")</f>
        <v/>
      </c>
      <c r="AH101">
        <f>IF(AND(AE101=1,TRIM('Roster'!F101)&lt;&gt;""),LOWER(TRIM('Roster'!F101)),"#")</f>
        <v/>
      </c>
      <c r="AI101">
        <f>IF(AE101=1,IF(MATCH(B101,$B$2:$B$701,0)=ROW()-1,1,0),0)</f>
        <v/>
      </c>
      <c r="AJ101">
        <f>AJ100+AI101</f>
        <v/>
      </c>
      <c r="AK101">
        <f>IF(AE101=1,D101+(1000-ROW())/10^7,-1)</f>
        <v/>
      </c>
      <c r="AL101">
        <f>IF(AE101=1,TRIM('Roster'!B101)&amp;" "&amp;LEFT(TRIM('Roster'!C101),1)&amp;".","")</f>
        <v/>
      </c>
      <c r="AM101">
        <f>IF(AE101=1,TRIM('Roster'!C101)&amp;", "&amp;TRIM('Roster'!B101)&amp;" ("&amp;B101&amp;") #"&amp;AD101,"")</f>
        <v/>
      </c>
      <c r="AN101">
        <f>IF(AE101=1,TRIM('Roster'!E101),"")</f>
        <v/>
      </c>
      <c r="AO101">
        <f>IF(AE101=1,ROUND(SUMIFS('All Donations'!$S$2:$S$4001,'All Donations'!$R$2:$R$4001,AD101,'All Donations'!$T$2:$T$4001,"&gt;="&amp;'Settings'!$C$23,'All Donations'!$T$2:$T$4001,"&lt;="&amp;'Settings'!$D$23),2),0)</f>
        <v/>
      </c>
      <c r="AQ101">
        <f>IF(AE101=1,ROUND(SUMIFS('All Donations'!$S$2:$S$4001,'All Donations'!$R$2:$R$4001,AD101,'All Donations'!$T$2:$T$4001,"&gt;="&amp;'Settings'!$C$25,'All Donations'!$T$2:$T$4001,"&lt;="&amp;'Settings'!$D$25),2),0)</f>
        <v/>
      </c>
      <c r="AR101">
        <f>IF(AE101=1,ROUND(SUMIFS('All Donations'!$S$2:$S$4001,'All Donations'!$R$2:$R$4001,AD101,'All Donations'!$T$2:$T$4001,"&gt;="&amp;'Settings'!$C$26,'All Donations'!$T$2:$T$4001,"&lt;="&amp;'Settings'!$D$26),2),0)</f>
        <v/>
      </c>
      <c r="AS101">
        <f>IF(AE101=1,ROUND(SUMIFS('All Donations'!$S$2:$S$4001,'All Donations'!$R$2:$R$4001,AD101,'All Donations'!$T$2:$T$4001,"&lt;="&amp;'Settings'!$D$27),2),0)</f>
        <v/>
      </c>
      <c r="AT101">
        <f>IF(AE101=1,ROUND(SUMIFS('All Donations'!$S$2:$S$4001,'All Donations'!$R$2:$R$4001,AD101,'All Donations'!$T$2:$T$4001,"&gt;="&amp;'Settings'!$C$28,'All Donations'!$T$2:$T$4001,"&lt;="&amp;'Settings'!$D$28),2),0)</f>
        <v/>
      </c>
      <c r="AU101">
        <f>IF(AE101=1,ROUND(SUMIFS('All Donations'!$S$2:$S$4001,'All Donations'!$R$2:$R$4001,AD101,'All Donations'!$T$2:$T$4001,"&gt;="&amp;'Settings'!$C$29,'All Donations'!$T$2:$T$4001,"&lt;="&amp;'Settings'!$D$29),2),0)</f>
        <v/>
      </c>
      <c r="AV101">
        <f>IF(AE101=1,ROUND(SUMIFS('All Donations'!$S$2:$S$4001,'All Donations'!$R$2:$R$4001,AD101,'All Donations'!$T$2:$T$4001,"&lt;="&amp;'Settings'!$D$30),2),0)</f>
        <v/>
      </c>
      <c r="AZ101">
        <f>IF(AE101=1,ROUND(SUMIFS('All Donations'!$S$2:$S$4001,'All Donations'!$R$2:$R$4001,AD101,'All Donations'!$T$2:$T$4001,"&lt;="&amp;'Settings'!$D$34),2),0)</f>
        <v/>
      </c>
    </row>
    <row r="102">
      <c r="A102">
        <f>IF(AE102=1,TRIM(TRIM('Roster'!B102)&amp;" "&amp;TRIM('Roster'!C102)),"")</f>
        <v/>
      </c>
      <c r="B102">
        <f>IF(AE102=1,IF(AN102="","(no teacher)",AN102&amp;" – "&amp;C102),"")</f>
        <v/>
      </c>
      <c r="C102">
        <f>IF(AE102=1,TRIM('Roster'!D102&amp;""),"")</f>
        <v/>
      </c>
      <c r="D102" s="48">
        <f>IF(AE102=1,ROUND(SUMIFS('All Donations'!$S$2:$S$4001,'All Donations'!$R$2:$R$4001,AD102),2),"")</f>
        <v/>
      </c>
      <c r="E102" s="48">
        <f>IF(AE102=1,ROUND(SUMIFS('All Donations'!$S$2:$S$4001,'All Donations'!$R$2:$R$4001,AD102,'All Donations'!$G$2:$G$4001,"OneCause"),2),"")</f>
        <v/>
      </c>
      <c r="F102" s="48">
        <f>IF(AE102=1,D102-E102,"")</f>
        <v/>
      </c>
      <c r="G102">
        <f>IF(AE102=1,COUNTIFS('All Donations'!$R$2:$R$4001,AD102,'All Donations'!$H$2:$H$4001,"OK"),"")</f>
        <v/>
      </c>
      <c r="H102">
        <f>IF(AE102&lt;&gt;1,"",IF(D102&gt;0,"Yes",""))</f>
        <v/>
      </c>
      <c r="I102" s="49">
        <f>IF(OR($AE102&lt;&gt;1,I$1=""),"",SUMIFS('All Donations'!$S$2:$S$4001,'All Donations'!$R$2:$R$4001,$AD102,'All Donations'!$T$2:$T$4001,I$1))</f>
        <v/>
      </c>
      <c r="J102" s="49">
        <f>IF(OR($AE102&lt;&gt;1,J$1=""),"",SUMIFS('All Donations'!$S$2:$S$4001,'All Donations'!$R$2:$R$4001,$AD102,'All Donations'!$T$2:$T$4001,J$1))</f>
        <v/>
      </c>
      <c r="K102" s="49">
        <f>IF(OR($AE102&lt;&gt;1,K$1=""),"",SUMIFS('All Donations'!$S$2:$S$4001,'All Donations'!$R$2:$R$4001,$AD102,'All Donations'!$T$2:$T$4001,K$1))</f>
        <v/>
      </c>
      <c r="L102" s="49">
        <f>IF(OR($AE102&lt;&gt;1,L$1=""),"",SUMIFS('All Donations'!$S$2:$S$4001,'All Donations'!$R$2:$R$4001,$AD102,'All Donations'!$T$2:$T$4001,L$1))</f>
        <v/>
      </c>
      <c r="M102" s="49">
        <f>IF(OR($AE102&lt;&gt;1,M$1=""),"",SUMIFS('All Donations'!$S$2:$S$4001,'All Donations'!$R$2:$R$4001,$AD102,'All Donations'!$T$2:$T$4001,M$1))</f>
        <v/>
      </c>
      <c r="N102" s="49">
        <f>IF(OR($AE102&lt;&gt;1,N$1=""),"",SUMIFS('All Donations'!$S$2:$S$4001,'All Donations'!$R$2:$R$4001,$AD102,'All Donations'!$T$2:$T$4001,N$1))</f>
        <v/>
      </c>
      <c r="O102" s="49">
        <f>IF(OR($AE102&lt;&gt;1,O$1=""),"",SUMIFS('All Donations'!$S$2:$S$4001,'All Donations'!$R$2:$R$4001,$AD102,'All Donations'!$T$2:$T$4001,O$1))</f>
        <v/>
      </c>
      <c r="P102" s="49">
        <f>IF(OR($AE102&lt;&gt;1,P$1=""),"",SUMIFS('All Donations'!$S$2:$S$4001,'All Donations'!$R$2:$R$4001,$AD102,'All Donations'!$T$2:$T$4001,P$1))</f>
        <v/>
      </c>
      <c r="Q102" s="49">
        <f>IF(OR($AE102&lt;&gt;1,Q$1=""),"",SUMIFS('All Donations'!$S$2:$S$4001,'All Donations'!$R$2:$R$4001,$AD102,'All Donations'!$T$2:$T$4001,Q$1))</f>
        <v/>
      </c>
      <c r="R102" s="49">
        <f>IF(OR($AE102&lt;&gt;1,R$1=""),"",SUMIFS('All Donations'!$S$2:$S$4001,'All Donations'!$R$2:$R$4001,$AD102,'All Donations'!$T$2:$T$4001,R$1))</f>
        <v/>
      </c>
      <c r="S102" s="49">
        <f>IF(OR($AE102&lt;&gt;1,S$1=""),"",SUMIFS('All Donations'!$S$2:$S$4001,'All Donations'!$R$2:$R$4001,$AD102,'All Donations'!$T$2:$T$4001,S$1))</f>
        <v/>
      </c>
      <c r="T102" s="49">
        <f>IF(OR($AE102&lt;&gt;1,T$1=""),"",SUMIFS('All Donations'!$S$2:$S$4001,'All Donations'!$R$2:$R$4001,$AD102,'All Donations'!$T$2:$T$4001,T$1))</f>
        <v/>
      </c>
      <c r="U102" s="49">
        <f>IF(OR($AE102&lt;&gt;1,U$1=""),"",SUMIFS('All Donations'!$S$2:$S$4001,'All Donations'!$R$2:$R$4001,$AD102,'All Donations'!$T$2:$T$4001,U$1))</f>
        <v/>
      </c>
      <c r="V102" s="49">
        <f>IF(OR($AE102&lt;&gt;1,V$1=""),"",SUMIFS('All Donations'!$S$2:$S$4001,'All Donations'!$R$2:$R$4001,$AD102,'All Donations'!$T$2:$T$4001,V$1))</f>
        <v/>
      </c>
      <c r="W102" s="49">
        <f>IF(OR($AE102&lt;&gt;1,W$1=""),"",SUMIFS('All Donations'!$S$2:$S$4001,'All Donations'!$R$2:$R$4001,$AD102,'All Donations'!$T$2:$T$4001,W$1))</f>
        <v/>
      </c>
      <c r="X102" s="49">
        <f>IF(OR($AE102&lt;&gt;1,X$1=""),"",SUMIFS('All Donations'!$S$2:$S$4001,'All Donations'!$R$2:$R$4001,$AD102,'All Donations'!$T$2:$T$4001,X$1))</f>
        <v/>
      </c>
      <c r="Y102" s="49">
        <f>IF(OR($AE102&lt;&gt;1,Y$1=""),"",SUMIFS('All Donations'!$S$2:$S$4001,'All Donations'!$R$2:$R$4001,$AD102,'All Donations'!$T$2:$T$4001,Y$1))</f>
        <v/>
      </c>
      <c r="Z102" s="49">
        <f>IF(OR($AE102&lt;&gt;1,Z$1=""),"",SUMIFS('All Donations'!$S$2:$S$4001,'All Donations'!$R$2:$R$4001,$AD102,'All Donations'!$T$2:$T$4001,Z$1))</f>
        <v/>
      </c>
      <c r="AA102" s="49">
        <f>IF(OR($AE102&lt;&gt;1,AA$1=""),"",SUMIFS('All Donations'!$S$2:$S$4001,'All Donations'!$R$2:$R$4001,$AD102,'All Donations'!$T$2:$T$4001,AA$1))</f>
        <v/>
      </c>
      <c r="AB102" s="49">
        <f>IF(OR($AE102&lt;&gt;1,AB$1=""),"",SUMIFS('All Donations'!$S$2:$S$4001,'All Donations'!$R$2:$R$4001,$AD102,'All Donations'!$T$2:$T$4001,AB$1))</f>
        <v/>
      </c>
      <c r="AC102" s="49">
        <f>IF(OR($AE102&lt;&gt;1,AC$1=""),"",SUMIFS('All Donations'!$S$2:$S$4001,'All Donations'!$R$2:$R$4001,$AD102,'All Donations'!$T$2:$T$4001,AC$1))</f>
        <v/>
      </c>
      <c r="AD102">
        <f>IF(AE102=1,'Roster'!A102,"")</f>
        <v/>
      </c>
      <c r="AE102">
        <f>IF(TRIM('Roster'!B102&amp;'Roster'!C102)&lt;&gt;"",1,0)</f>
        <v/>
      </c>
      <c r="AF102">
        <f>IF(AE102=1,LOWER(A102),"#")</f>
        <v/>
      </c>
      <c r="AG102">
        <f>IF(AE102=1,LOWER(TRIM(TRIM('Roster'!C102)&amp;", "&amp;TRIM('Roster'!B102))),"#")</f>
        <v/>
      </c>
      <c r="AH102">
        <f>IF(AND(AE102=1,TRIM('Roster'!F102)&lt;&gt;""),LOWER(TRIM('Roster'!F102)),"#")</f>
        <v/>
      </c>
      <c r="AI102">
        <f>IF(AE102=1,IF(MATCH(B102,$B$2:$B$701,0)=ROW()-1,1,0),0)</f>
        <v/>
      </c>
      <c r="AJ102">
        <f>AJ101+AI102</f>
        <v/>
      </c>
      <c r="AK102">
        <f>IF(AE102=1,D102+(1000-ROW())/10^7,-1)</f>
        <v/>
      </c>
      <c r="AL102">
        <f>IF(AE102=1,TRIM('Roster'!B102)&amp;" "&amp;LEFT(TRIM('Roster'!C102),1)&amp;".","")</f>
        <v/>
      </c>
      <c r="AM102">
        <f>IF(AE102=1,TRIM('Roster'!C102)&amp;", "&amp;TRIM('Roster'!B102)&amp;" ("&amp;B102&amp;") #"&amp;AD102,"")</f>
        <v/>
      </c>
      <c r="AN102">
        <f>IF(AE102=1,TRIM('Roster'!E102),"")</f>
        <v/>
      </c>
      <c r="AO102">
        <f>IF(AE102=1,ROUND(SUMIFS('All Donations'!$S$2:$S$4001,'All Donations'!$R$2:$R$4001,AD102,'All Donations'!$T$2:$T$4001,"&gt;="&amp;'Settings'!$C$23,'All Donations'!$T$2:$T$4001,"&lt;="&amp;'Settings'!$D$23),2),0)</f>
        <v/>
      </c>
      <c r="AQ102">
        <f>IF(AE102=1,ROUND(SUMIFS('All Donations'!$S$2:$S$4001,'All Donations'!$R$2:$R$4001,AD102,'All Donations'!$T$2:$T$4001,"&gt;="&amp;'Settings'!$C$25,'All Donations'!$T$2:$T$4001,"&lt;="&amp;'Settings'!$D$25),2),0)</f>
        <v/>
      </c>
      <c r="AR102">
        <f>IF(AE102=1,ROUND(SUMIFS('All Donations'!$S$2:$S$4001,'All Donations'!$R$2:$R$4001,AD102,'All Donations'!$T$2:$T$4001,"&gt;="&amp;'Settings'!$C$26,'All Donations'!$T$2:$T$4001,"&lt;="&amp;'Settings'!$D$26),2),0)</f>
        <v/>
      </c>
      <c r="AS102">
        <f>IF(AE102=1,ROUND(SUMIFS('All Donations'!$S$2:$S$4001,'All Donations'!$R$2:$R$4001,AD102,'All Donations'!$T$2:$T$4001,"&lt;="&amp;'Settings'!$D$27),2),0)</f>
        <v/>
      </c>
      <c r="AT102">
        <f>IF(AE102=1,ROUND(SUMIFS('All Donations'!$S$2:$S$4001,'All Donations'!$R$2:$R$4001,AD102,'All Donations'!$T$2:$T$4001,"&gt;="&amp;'Settings'!$C$28,'All Donations'!$T$2:$T$4001,"&lt;="&amp;'Settings'!$D$28),2),0)</f>
        <v/>
      </c>
      <c r="AU102">
        <f>IF(AE102=1,ROUND(SUMIFS('All Donations'!$S$2:$S$4001,'All Donations'!$R$2:$R$4001,AD102,'All Donations'!$T$2:$T$4001,"&gt;="&amp;'Settings'!$C$29,'All Donations'!$T$2:$T$4001,"&lt;="&amp;'Settings'!$D$29),2),0)</f>
        <v/>
      </c>
      <c r="AV102">
        <f>IF(AE102=1,ROUND(SUMIFS('All Donations'!$S$2:$S$4001,'All Donations'!$R$2:$R$4001,AD102,'All Donations'!$T$2:$T$4001,"&lt;="&amp;'Settings'!$D$30),2),0)</f>
        <v/>
      </c>
      <c r="AZ102">
        <f>IF(AE102=1,ROUND(SUMIFS('All Donations'!$S$2:$S$4001,'All Donations'!$R$2:$R$4001,AD102,'All Donations'!$T$2:$T$4001,"&lt;="&amp;'Settings'!$D$34),2),0)</f>
        <v/>
      </c>
    </row>
    <row r="103">
      <c r="A103">
        <f>IF(AE103=1,TRIM(TRIM('Roster'!B103)&amp;" "&amp;TRIM('Roster'!C103)),"")</f>
        <v/>
      </c>
      <c r="B103">
        <f>IF(AE103=1,IF(AN103="","(no teacher)",AN103&amp;" – "&amp;C103),"")</f>
        <v/>
      </c>
      <c r="C103">
        <f>IF(AE103=1,TRIM('Roster'!D103&amp;""),"")</f>
        <v/>
      </c>
      <c r="D103" s="48">
        <f>IF(AE103=1,ROUND(SUMIFS('All Donations'!$S$2:$S$4001,'All Donations'!$R$2:$R$4001,AD103),2),"")</f>
        <v/>
      </c>
      <c r="E103" s="48">
        <f>IF(AE103=1,ROUND(SUMIFS('All Donations'!$S$2:$S$4001,'All Donations'!$R$2:$R$4001,AD103,'All Donations'!$G$2:$G$4001,"OneCause"),2),"")</f>
        <v/>
      </c>
      <c r="F103" s="48">
        <f>IF(AE103=1,D103-E103,"")</f>
        <v/>
      </c>
      <c r="G103">
        <f>IF(AE103=1,COUNTIFS('All Donations'!$R$2:$R$4001,AD103,'All Donations'!$H$2:$H$4001,"OK"),"")</f>
        <v/>
      </c>
      <c r="H103">
        <f>IF(AE103&lt;&gt;1,"",IF(D103&gt;0,"Yes",""))</f>
        <v/>
      </c>
      <c r="I103" s="49">
        <f>IF(OR($AE103&lt;&gt;1,I$1=""),"",SUMIFS('All Donations'!$S$2:$S$4001,'All Donations'!$R$2:$R$4001,$AD103,'All Donations'!$T$2:$T$4001,I$1))</f>
        <v/>
      </c>
      <c r="J103" s="49">
        <f>IF(OR($AE103&lt;&gt;1,J$1=""),"",SUMIFS('All Donations'!$S$2:$S$4001,'All Donations'!$R$2:$R$4001,$AD103,'All Donations'!$T$2:$T$4001,J$1))</f>
        <v/>
      </c>
      <c r="K103" s="49">
        <f>IF(OR($AE103&lt;&gt;1,K$1=""),"",SUMIFS('All Donations'!$S$2:$S$4001,'All Donations'!$R$2:$R$4001,$AD103,'All Donations'!$T$2:$T$4001,K$1))</f>
        <v/>
      </c>
      <c r="L103" s="49">
        <f>IF(OR($AE103&lt;&gt;1,L$1=""),"",SUMIFS('All Donations'!$S$2:$S$4001,'All Donations'!$R$2:$R$4001,$AD103,'All Donations'!$T$2:$T$4001,L$1))</f>
        <v/>
      </c>
      <c r="M103" s="49">
        <f>IF(OR($AE103&lt;&gt;1,M$1=""),"",SUMIFS('All Donations'!$S$2:$S$4001,'All Donations'!$R$2:$R$4001,$AD103,'All Donations'!$T$2:$T$4001,M$1))</f>
        <v/>
      </c>
      <c r="N103" s="49">
        <f>IF(OR($AE103&lt;&gt;1,N$1=""),"",SUMIFS('All Donations'!$S$2:$S$4001,'All Donations'!$R$2:$R$4001,$AD103,'All Donations'!$T$2:$T$4001,N$1))</f>
        <v/>
      </c>
      <c r="O103" s="49">
        <f>IF(OR($AE103&lt;&gt;1,O$1=""),"",SUMIFS('All Donations'!$S$2:$S$4001,'All Donations'!$R$2:$R$4001,$AD103,'All Donations'!$T$2:$T$4001,O$1))</f>
        <v/>
      </c>
      <c r="P103" s="49">
        <f>IF(OR($AE103&lt;&gt;1,P$1=""),"",SUMIFS('All Donations'!$S$2:$S$4001,'All Donations'!$R$2:$R$4001,$AD103,'All Donations'!$T$2:$T$4001,P$1))</f>
        <v/>
      </c>
      <c r="Q103" s="49">
        <f>IF(OR($AE103&lt;&gt;1,Q$1=""),"",SUMIFS('All Donations'!$S$2:$S$4001,'All Donations'!$R$2:$R$4001,$AD103,'All Donations'!$T$2:$T$4001,Q$1))</f>
        <v/>
      </c>
      <c r="R103" s="49">
        <f>IF(OR($AE103&lt;&gt;1,R$1=""),"",SUMIFS('All Donations'!$S$2:$S$4001,'All Donations'!$R$2:$R$4001,$AD103,'All Donations'!$T$2:$T$4001,R$1))</f>
        <v/>
      </c>
      <c r="S103" s="49">
        <f>IF(OR($AE103&lt;&gt;1,S$1=""),"",SUMIFS('All Donations'!$S$2:$S$4001,'All Donations'!$R$2:$R$4001,$AD103,'All Donations'!$T$2:$T$4001,S$1))</f>
        <v/>
      </c>
      <c r="T103" s="49">
        <f>IF(OR($AE103&lt;&gt;1,T$1=""),"",SUMIFS('All Donations'!$S$2:$S$4001,'All Donations'!$R$2:$R$4001,$AD103,'All Donations'!$T$2:$T$4001,T$1))</f>
        <v/>
      </c>
      <c r="U103" s="49">
        <f>IF(OR($AE103&lt;&gt;1,U$1=""),"",SUMIFS('All Donations'!$S$2:$S$4001,'All Donations'!$R$2:$R$4001,$AD103,'All Donations'!$T$2:$T$4001,U$1))</f>
        <v/>
      </c>
      <c r="V103" s="49">
        <f>IF(OR($AE103&lt;&gt;1,V$1=""),"",SUMIFS('All Donations'!$S$2:$S$4001,'All Donations'!$R$2:$R$4001,$AD103,'All Donations'!$T$2:$T$4001,V$1))</f>
        <v/>
      </c>
      <c r="W103" s="49">
        <f>IF(OR($AE103&lt;&gt;1,W$1=""),"",SUMIFS('All Donations'!$S$2:$S$4001,'All Donations'!$R$2:$R$4001,$AD103,'All Donations'!$T$2:$T$4001,W$1))</f>
        <v/>
      </c>
      <c r="X103" s="49">
        <f>IF(OR($AE103&lt;&gt;1,X$1=""),"",SUMIFS('All Donations'!$S$2:$S$4001,'All Donations'!$R$2:$R$4001,$AD103,'All Donations'!$T$2:$T$4001,X$1))</f>
        <v/>
      </c>
      <c r="Y103" s="49">
        <f>IF(OR($AE103&lt;&gt;1,Y$1=""),"",SUMIFS('All Donations'!$S$2:$S$4001,'All Donations'!$R$2:$R$4001,$AD103,'All Donations'!$T$2:$T$4001,Y$1))</f>
        <v/>
      </c>
      <c r="Z103" s="49">
        <f>IF(OR($AE103&lt;&gt;1,Z$1=""),"",SUMIFS('All Donations'!$S$2:$S$4001,'All Donations'!$R$2:$R$4001,$AD103,'All Donations'!$T$2:$T$4001,Z$1))</f>
        <v/>
      </c>
      <c r="AA103" s="49">
        <f>IF(OR($AE103&lt;&gt;1,AA$1=""),"",SUMIFS('All Donations'!$S$2:$S$4001,'All Donations'!$R$2:$R$4001,$AD103,'All Donations'!$T$2:$T$4001,AA$1))</f>
        <v/>
      </c>
      <c r="AB103" s="49">
        <f>IF(OR($AE103&lt;&gt;1,AB$1=""),"",SUMIFS('All Donations'!$S$2:$S$4001,'All Donations'!$R$2:$R$4001,$AD103,'All Donations'!$T$2:$T$4001,AB$1))</f>
        <v/>
      </c>
      <c r="AC103" s="49">
        <f>IF(OR($AE103&lt;&gt;1,AC$1=""),"",SUMIFS('All Donations'!$S$2:$S$4001,'All Donations'!$R$2:$R$4001,$AD103,'All Donations'!$T$2:$T$4001,AC$1))</f>
        <v/>
      </c>
      <c r="AD103">
        <f>IF(AE103=1,'Roster'!A103,"")</f>
        <v/>
      </c>
      <c r="AE103">
        <f>IF(TRIM('Roster'!B103&amp;'Roster'!C103)&lt;&gt;"",1,0)</f>
        <v/>
      </c>
      <c r="AF103">
        <f>IF(AE103=1,LOWER(A103),"#")</f>
        <v/>
      </c>
      <c r="AG103">
        <f>IF(AE103=1,LOWER(TRIM(TRIM('Roster'!C103)&amp;", "&amp;TRIM('Roster'!B103))),"#")</f>
        <v/>
      </c>
      <c r="AH103">
        <f>IF(AND(AE103=1,TRIM('Roster'!F103)&lt;&gt;""),LOWER(TRIM('Roster'!F103)),"#")</f>
        <v/>
      </c>
      <c r="AI103">
        <f>IF(AE103=1,IF(MATCH(B103,$B$2:$B$701,0)=ROW()-1,1,0),0)</f>
        <v/>
      </c>
      <c r="AJ103">
        <f>AJ102+AI103</f>
        <v/>
      </c>
      <c r="AK103">
        <f>IF(AE103=1,D103+(1000-ROW())/10^7,-1)</f>
        <v/>
      </c>
      <c r="AL103">
        <f>IF(AE103=1,TRIM('Roster'!B103)&amp;" "&amp;LEFT(TRIM('Roster'!C103),1)&amp;".","")</f>
        <v/>
      </c>
      <c r="AM103">
        <f>IF(AE103=1,TRIM('Roster'!C103)&amp;", "&amp;TRIM('Roster'!B103)&amp;" ("&amp;B103&amp;") #"&amp;AD103,"")</f>
        <v/>
      </c>
      <c r="AN103">
        <f>IF(AE103=1,TRIM('Roster'!E103),"")</f>
        <v/>
      </c>
      <c r="AO103">
        <f>IF(AE103=1,ROUND(SUMIFS('All Donations'!$S$2:$S$4001,'All Donations'!$R$2:$R$4001,AD103,'All Donations'!$T$2:$T$4001,"&gt;="&amp;'Settings'!$C$23,'All Donations'!$T$2:$T$4001,"&lt;="&amp;'Settings'!$D$23),2),0)</f>
        <v/>
      </c>
      <c r="AQ103">
        <f>IF(AE103=1,ROUND(SUMIFS('All Donations'!$S$2:$S$4001,'All Donations'!$R$2:$R$4001,AD103,'All Donations'!$T$2:$T$4001,"&gt;="&amp;'Settings'!$C$25,'All Donations'!$T$2:$T$4001,"&lt;="&amp;'Settings'!$D$25),2),0)</f>
        <v/>
      </c>
      <c r="AR103">
        <f>IF(AE103=1,ROUND(SUMIFS('All Donations'!$S$2:$S$4001,'All Donations'!$R$2:$R$4001,AD103,'All Donations'!$T$2:$T$4001,"&gt;="&amp;'Settings'!$C$26,'All Donations'!$T$2:$T$4001,"&lt;="&amp;'Settings'!$D$26),2),0)</f>
        <v/>
      </c>
      <c r="AS103">
        <f>IF(AE103=1,ROUND(SUMIFS('All Donations'!$S$2:$S$4001,'All Donations'!$R$2:$R$4001,AD103,'All Donations'!$T$2:$T$4001,"&lt;="&amp;'Settings'!$D$27),2),0)</f>
        <v/>
      </c>
      <c r="AT103">
        <f>IF(AE103=1,ROUND(SUMIFS('All Donations'!$S$2:$S$4001,'All Donations'!$R$2:$R$4001,AD103,'All Donations'!$T$2:$T$4001,"&gt;="&amp;'Settings'!$C$28,'All Donations'!$T$2:$T$4001,"&lt;="&amp;'Settings'!$D$28),2),0)</f>
        <v/>
      </c>
      <c r="AU103">
        <f>IF(AE103=1,ROUND(SUMIFS('All Donations'!$S$2:$S$4001,'All Donations'!$R$2:$R$4001,AD103,'All Donations'!$T$2:$T$4001,"&gt;="&amp;'Settings'!$C$29,'All Donations'!$T$2:$T$4001,"&lt;="&amp;'Settings'!$D$29),2),0)</f>
        <v/>
      </c>
      <c r="AV103">
        <f>IF(AE103=1,ROUND(SUMIFS('All Donations'!$S$2:$S$4001,'All Donations'!$R$2:$R$4001,AD103,'All Donations'!$T$2:$T$4001,"&lt;="&amp;'Settings'!$D$30),2),0)</f>
        <v/>
      </c>
      <c r="AZ103">
        <f>IF(AE103=1,ROUND(SUMIFS('All Donations'!$S$2:$S$4001,'All Donations'!$R$2:$R$4001,AD103,'All Donations'!$T$2:$T$4001,"&lt;="&amp;'Settings'!$D$34),2),0)</f>
        <v/>
      </c>
    </row>
    <row r="104">
      <c r="A104">
        <f>IF(AE104=1,TRIM(TRIM('Roster'!B104)&amp;" "&amp;TRIM('Roster'!C104)),"")</f>
        <v/>
      </c>
      <c r="B104">
        <f>IF(AE104=1,IF(AN104="","(no teacher)",AN104&amp;" – "&amp;C104),"")</f>
        <v/>
      </c>
      <c r="C104">
        <f>IF(AE104=1,TRIM('Roster'!D104&amp;""),"")</f>
        <v/>
      </c>
      <c r="D104" s="48">
        <f>IF(AE104=1,ROUND(SUMIFS('All Donations'!$S$2:$S$4001,'All Donations'!$R$2:$R$4001,AD104),2),"")</f>
        <v/>
      </c>
      <c r="E104" s="48">
        <f>IF(AE104=1,ROUND(SUMIFS('All Donations'!$S$2:$S$4001,'All Donations'!$R$2:$R$4001,AD104,'All Donations'!$G$2:$G$4001,"OneCause"),2),"")</f>
        <v/>
      </c>
      <c r="F104" s="48">
        <f>IF(AE104=1,D104-E104,"")</f>
        <v/>
      </c>
      <c r="G104">
        <f>IF(AE104=1,COUNTIFS('All Donations'!$R$2:$R$4001,AD104,'All Donations'!$H$2:$H$4001,"OK"),"")</f>
        <v/>
      </c>
      <c r="H104">
        <f>IF(AE104&lt;&gt;1,"",IF(D104&gt;0,"Yes",""))</f>
        <v/>
      </c>
      <c r="I104" s="49">
        <f>IF(OR($AE104&lt;&gt;1,I$1=""),"",SUMIFS('All Donations'!$S$2:$S$4001,'All Donations'!$R$2:$R$4001,$AD104,'All Donations'!$T$2:$T$4001,I$1))</f>
        <v/>
      </c>
      <c r="J104" s="49">
        <f>IF(OR($AE104&lt;&gt;1,J$1=""),"",SUMIFS('All Donations'!$S$2:$S$4001,'All Donations'!$R$2:$R$4001,$AD104,'All Donations'!$T$2:$T$4001,J$1))</f>
        <v/>
      </c>
      <c r="K104" s="49">
        <f>IF(OR($AE104&lt;&gt;1,K$1=""),"",SUMIFS('All Donations'!$S$2:$S$4001,'All Donations'!$R$2:$R$4001,$AD104,'All Donations'!$T$2:$T$4001,K$1))</f>
        <v/>
      </c>
      <c r="L104" s="49">
        <f>IF(OR($AE104&lt;&gt;1,L$1=""),"",SUMIFS('All Donations'!$S$2:$S$4001,'All Donations'!$R$2:$R$4001,$AD104,'All Donations'!$T$2:$T$4001,L$1))</f>
        <v/>
      </c>
      <c r="M104" s="49">
        <f>IF(OR($AE104&lt;&gt;1,M$1=""),"",SUMIFS('All Donations'!$S$2:$S$4001,'All Donations'!$R$2:$R$4001,$AD104,'All Donations'!$T$2:$T$4001,M$1))</f>
        <v/>
      </c>
      <c r="N104" s="49">
        <f>IF(OR($AE104&lt;&gt;1,N$1=""),"",SUMIFS('All Donations'!$S$2:$S$4001,'All Donations'!$R$2:$R$4001,$AD104,'All Donations'!$T$2:$T$4001,N$1))</f>
        <v/>
      </c>
      <c r="O104" s="49">
        <f>IF(OR($AE104&lt;&gt;1,O$1=""),"",SUMIFS('All Donations'!$S$2:$S$4001,'All Donations'!$R$2:$R$4001,$AD104,'All Donations'!$T$2:$T$4001,O$1))</f>
        <v/>
      </c>
      <c r="P104" s="49">
        <f>IF(OR($AE104&lt;&gt;1,P$1=""),"",SUMIFS('All Donations'!$S$2:$S$4001,'All Donations'!$R$2:$R$4001,$AD104,'All Donations'!$T$2:$T$4001,P$1))</f>
        <v/>
      </c>
      <c r="Q104" s="49">
        <f>IF(OR($AE104&lt;&gt;1,Q$1=""),"",SUMIFS('All Donations'!$S$2:$S$4001,'All Donations'!$R$2:$R$4001,$AD104,'All Donations'!$T$2:$T$4001,Q$1))</f>
        <v/>
      </c>
      <c r="R104" s="49">
        <f>IF(OR($AE104&lt;&gt;1,R$1=""),"",SUMIFS('All Donations'!$S$2:$S$4001,'All Donations'!$R$2:$R$4001,$AD104,'All Donations'!$T$2:$T$4001,R$1))</f>
        <v/>
      </c>
      <c r="S104" s="49">
        <f>IF(OR($AE104&lt;&gt;1,S$1=""),"",SUMIFS('All Donations'!$S$2:$S$4001,'All Donations'!$R$2:$R$4001,$AD104,'All Donations'!$T$2:$T$4001,S$1))</f>
        <v/>
      </c>
      <c r="T104" s="49">
        <f>IF(OR($AE104&lt;&gt;1,T$1=""),"",SUMIFS('All Donations'!$S$2:$S$4001,'All Donations'!$R$2:$R$4001,$AD104,'All Donations'!$T$2:$T$4001,T$1))</f>
        <v/>
      </c>
      <c r="U104" s="49">
        <f>IF(OR($AE104&lt;&gt;1,U$1=""),"",SUMIFS('All Donations'!$S$2:$S$4001,'All Donations'!$R$2:$R$4001,$AD104,'All Donations'!$T$2:$T$4001,U$1))</f>
        <v/>
      </c>
      <c r="V104" s="49">
        <f>IF(OR($AE104&lt;&gt;1,V$1=""),"",SUMIFS('All Donations'!$S$2:$S$4001,'All Donations'!$R$2:$R$4001,$AD104,'All Donations'!$T$2:$T$4001,V$1))</f>
        <v/>
      </c>
      <c r="W104" s="49">
        <f>IF(OR($AE104&lt;&gt;1,W$1=""),"",SUMIFS('All Donations'!$S$2:$S$4001,'All Donations'!$R$2:$R$4001,$AD104,'All Donations'!$T$2:$T$4001,W$1))</f>
        <v/>
      </c>
      <c r="X104" s="49">
        <f>IF(OR($AE104&lt;&gt;1,X$1=""),"",SUMIFS('All Donations'!$S$2:$S$4001,'All Donations'!$R$2:$R$4001,$AD104,'All Donations'!$T$2:$T$4001,X$1))</f>
        <v/>
      </c>
      <c r="Y104" s="49">
        <f>IF(OR($AE104&lt;&gt;1,Y$1=""),"",SUMIFS('All Donations'!$S$2:$S$4001,'All Donations'!$R$2:$R$4001,$AD104,'All Donations'!$T$2:$T$4001,Y$1))</f>
        <v/>
      </c>
      <c r="Z104" s="49">
        <f>IF(OR($AE104&lt;&gt;1,Z$1=""),"",SUMIFS('All Donations'!$S$2:$S$4001,'All Donations'!$R$2:$R$4001,$AD104,'All Donations'!$T$2:$T$4001,Z$1))</f>
        <v/>
      </c>
      <c r="AA104" s="49">
        <f>IF(OR($AE104&lt;&gt;1,AA$1=""),"",SUMIFS('All Donations'!$S$2:$S$4001,'All Donations'!$R$2:$R$4001,$AD104,'All Donations'!$T$2:$T$4001,AA$1))</f>
        <v/>
      </c>
      <c r="AB104" s="49">
        <f>IF(OR($AE104&lt;&gt;1,AB$1=""),"",SUMIFS('All Donations'!$S$2:$S$4001,'All Donations'!$R$2:$R$4001,$AD104,'All Donations'!$T$2:$T$4001,AB$1))</f>
        <v/>
      </c>
      <c r="AC104" s="49">
        <f>IF(OR($AE104&lt;&gt;1,AC$1=""),"",SUMIFS('All Donations'!$S$2:$S$4001,'All Donations'!$R$2:$R$4001,$AD104,'All Donations'!$T$2:$T$4001,AC$1))</f>
        <v/>
      </c>
      <c r="AD104">
        <f>IF(AE104=1,'Roster'!A104,"")</f>
        <v/>
      </c>
      <c r="AE104">
        <f>IF(TRIM('Roster'!B104&amp;'Roster'!C104)&lt;&gt;"",1,0)</f>
        <v/>
      </c>
      <c r="AF104">
        <f>IF(AE104=1,LOWER(A104),"#")</f>
        <v/>
      </c>
      <c r="AG104">
        <f>IF(AE104=1,LOWER(TRIM(TRIM('Roster'!C104)&amp;", "&amp;TRIM('Roster'!B104))),"#")</f>
        <v/>
      </c>
      <c r="AH104">
        <f>IF(AND(AE104=1,TRIM('Roster'!F104)&lt;&gt;""),LOWER(TRIM('Roster'!F104)),"#")</f>
        <v/>
      </c>
      <c r="AI104">
        <f>IF(AE104=1,IF(MATCH(B104,$B$2:$B$701,0)=ROW()-1,1,0),0)</f>
        <v/>
      </c>
      <c r="AJ104">
        <f>AJ103+AI104</f>
        <v/>
      </c>
      <c r="AK104">
        <f>IF(AE104=1,D104+(1000-ROW())/10^7,-1)</f>
        <v/>
      </c>
      <c r="AL104">
        <f>IF(AE104=1,TRIM('Roster'!B104)&amp;" "&amp;LEFT(TRIM('Roster'!C104),1)&amp;".","")</f>
        <v/>
      </c>
      <c r="AM104">
        <f>IF(AE104=1,TRIM('Roster'!C104)&amp;", "&amp;TRIM('Roster'!B104)&amp;" ("&amp;B104&amp;") #"&amp;AD104,"")</f>
        <v/>
      </c>
      <c r="AN104">
        <f>IF(AE104=1,TRIM('Roster'!E104),"")</f>
        <v/>
      </c>
      <c r="AO104">
        <f>IF(AE104=1,ROUND(SUMIFS('All Donations'!$S$2:$S$4001,'All Donations'!$R$2:$R$4001,AD104,'All Donations'!$T$2:$T$4001,"&gt;="&amp;'Settings'!$C$23,'All Donations'!$T$2:$T$4001,"&lt;="&amp;'Settings'!$D$23),2),0)</f>
        <v/>
      </c>
      <c r="AQ104">
        <f>IF(AE104=1,ROUND(SUMIFS('All Donations'!$S$2:$S$4001,'All Donations'!$R$2:$R$4001,AD104,'All Donations'!$T$2:$T$4001,"&gt;="&amp;'Settings'!$C$25,'All Donations'!$T$2:$T$4001,"&lt;="&amp;'Settings'!$D$25),2),0)</f>
        <v/>
      </c>
      <c r="AR104">
        <f>IF(AE104=1,ROUND(SUMIFS('All Donations'!$S$2:$S$4001,'All Donations'!$R$2:$R$4001,AD104,'All Donations'!$T$2:$T$4001,"&gt;="&amp;'Settings'!$C$26,'All Donations'!$T$2:$T$4001,"&lt;="&amp;'Settings'!$D$26),2),0)</f>
        <v/>
      </c>
      <c r="AS104">
        <f>IF(AE104=1,ROUND(SUMIFS('All Donations'!$S$2:$S$4001,'All Donations'!$R$2:$R$4001,AD104,'All Donations'!$T$2:$T$4001,"&lt;="&amp;'Settings'!$D$27),2),0)</f>
        <v/>
      </c>
      <c r="AT104">
        <f>IF(AE104=1,ROUND(SUMIFS('All Donations'!$S$2:$S$4001,'All Donations'!$R$2:$R$4001,AD104,'All Donations'!$T$2:$T$4001,"&gt;="&amp;'Settings'!$C$28,'All Donations'!$T$2:$T$4001,"&lt;="&amp;'Settings'!$D$28),2),0)</f>
        <v/>
      </c>
      <c r="AU104">
        <f>IF(AE104=1,ROUND(SUMIFS('All Donations'!$S$2:$S$4001,'All Donations'!$R$2:$R$4001,AD104,'All Donations'!$T$2:$T$4001,"&gt;="&amp;'Settings'!$C$29,'All Donations'!$T$2:$T$4001,"&lt;="&amp;'Settings'!$D$29),2),0)</f>
        <v/>
      </c>
      <c r="AV104">
        <f>IF(AE104=1,ROUND(SUMIFS('All Donations'!$S$2:$S$4001,'All Donations'!$R$2:$R$4001,AD104,'All Donations'!$T$2:$T$4001,"&lt;="&amp;'Settings'!$D$30),2),0)</f>
        <v/>
      </c>
      <c r="AZ104">
        <f>IF(AE104=1,ROUND(SUMIFS('All Donations'!$S$2:$S$4001,'All Donations'!$R$2:$R$4001,AD104,'All Donations'!$T$2:$T$4001,"&lt;="&amp;'Settings'!$D$34),2),0)</f>
        <v/>
      </c>
    </row>
    <row r="105">
      <c r="A105">
        <f>IF(AE105=1,TRIM(TRIM('Roster'!B105)&amp;" "&amp;TRIM('Roster'!C105)),"")</f>
        <v/>
      </c>
      <c r="B105">
        <f>IF(AE105=1,IF(AN105="","(no teacher)",AN105&amp;" – "&amp;C105),"")</f>
        <v/>
      </c>
      <c r="C105">
        <f>IF(AE105=1,TRIM('Roster'!D105&amp;""),"")</f>
        <v/>
      </c>
      <c r="D105" s="48">
        <f>IF(AE105=1,ROUND(SUMIFS('All Donations'!$S$2:$S$4001,'All Donations'!$R$2:$R$4001,AD105),2),"")</f>
        <v/>
      </c>
      <c r="E105" s="48">
        <f>IF(AE105=1,ROUND(SUMIFS('All Donations'!$S$2:$S$4001,'All Donations'!$R$2:$R$4001,AD105,'All Donations'!$G$2:$G$4001,"OneCause"),2),"")</f>
        <v/>
      </c>
      <c r="F105" s="48">
        <f>IF(AE105=1,D105-E105,"")</f>
        <v/>
      </c>
      <c r="G105">
        <f>IF(AE105=1,COUNTIFS('All Donations'!$R$2:$R$4001,AD105,'All Donations'!$H$2:$H$4001,"OK"),"")</f>
        <v/>
      </c>
      <c r="H105">
        <f>IF(AE105&lt;&gt;1,"",IF(D105&gt;0,"Yes",""))</f>
        <v/>
      </c>
      <c r="I105" s="49">
        <f>IF(OR($AE105&lt;&gt;1,I$1=""),"",SUMIFS('All Donations'!$S$2:$S$4001,'All Donations'!$R$2:$R$4001,$AD105,'All Donations'!$T$2:$T$4001,I$1))</f>
        <v/>
      </c>
      <c r="J105" s="49">
        <f>IF(OR($AE105&lt;&gt;1,J$1=""),"",SUMIFS('All Donations'!$S$2:$S$4001,'All Donations'!$R$2:$R$4001,$AD105,'All Donations'!$T$2:$T$4001,J$1))</f>
        <v/>
      </c>
      <c r="K105" s="49">
        <f>IF(OR($AE105&lt;&gt;1,K$1=""),"",SUMIFS('All Donations'!$S$2:$S$4001,'All Donations'!$R$2:$R$4001,$AD105,'All Donations'!$T$2:$T$4001,K$1))</f>
        <v/>
      </c>
      <c r="L105" s="49">
        <f>IF(OR($AE105&lt;&gt;1,L$1=""),"",SUMIFS('All Donations'!$S$2:$S$4001,'All Donations'!$R$2:$R$4001,$AD105,'All Donations'!$T$2:$T$4001,L$1))</f>
        <v/>
      </c>
      <c r="M105" s="49">
        <f>IF(OR($AE105&lt;&gt;1,M$1=""),"",SUMIFS('All Donations'!$S$2:$S$4001,'All Donations'!$R$2:$R$4001,$AD105,'All Donations'!$T$2:$T$4001,M$1))</f>
        <v/>
      </c>
      <c r="N105" s="49">
        <f>IF(OR($AE105&lt;&gt;1,N$1=""),"",SUMIFS('All Donations'!$S$2:$S$4001,'All Donations'!$R$2:$R$4001,$AD105,'All Donations'!$T$2:$T$4001,N$1))</f>
        <v/>
      </c>
      <c r="O105" s="49">
        <f>IF(OR($AE105&lt;&gt;1,O$1=""),"",SUMIFS('All Donations'!$S$2:$S$4001,'All Donations'!$R$2:$R$4001,$AD105,'All Donations'!$T$2:$T$4001,O$1))</f>
        <v/>
      </c>
      <c r="P105" s="49">
        <f>IF(OR($AE105&lt;&gt;1,P$1=""),"",SUMIFS('All Donations'!$S$2:$S$4001,'All Donations'!$R$2:$R$4001,$AD105,'All Donations'!$T$2:$T$4001,P$1))</f>
        <v/>
      </c>
      <c r="Q105" s="49">
        <f>IF(OR($AE105&lt;&gt;1,Q$1=""),"",SUMIFS('All Donations'!$S$2:$S$4001,'All Donations'!$R$2:$R$4001,$AD105,'All Donations'!$T$2:$T$4001,Q$1))</f>
        <v/>
      </c>
      <c r="R105" s="49">
        <f>IF(OR($AE105&lt;&gt;1,R$1=""),"",SUMIFS('All Donations'!$S$2:$S$4001,'All Donations'!$R$2:$R$4001,$AD105,'All Donations'!$T$2:$T$4001,R$1))</f>
        <v/>
      </c>
      <c r="S105" s="49">
        <f>IF(OR($AE105&lt;&gt;1,S$1=""),"",SUMIFS('All Donations'!$S$2:$S$4001,'All Donations'!$R$2:$R$4001,$AD105,'All Donations'!$T$2:$T$4001,S$1))</f>
        <v/>
      </c>
      <c r="T105" s="49">
        <f>IF(OR($AE105&lt;&gt;1,T$1=""),"",SUMIFS('All Donations'!$S$2:$S$4001,'All Donations'!$R$2:$R$4001,$AD105,'All Donations'!$T$2:$T$4001,T$1))</f>
        <v/>
      </c>
      <c r="U105" s="49">
        <f>IF(OR($AE105&lt;&gt;1,U$1=""),"",SUMIFS('All Donations'!$S$2:$S$4001,'All Donations'!$R$2:$R$4001,$AD105,'All Donations'!$T$2:$T$4001,U$1))</f>
        <v/>
      </c>
      <c r="V105" s="49">
        <f>IF(OR($AE105&lt;&gt;1,V$1=""),"",SUMIFS('All Donations'!$S$2:$S$4001,'All Donations'!$R$2:$R$4001,$AD105,'All Donations'!$T$2:$T$4001,V$1))</f>
        <v/>
      </c>
      <c r="W105" s="49">
        <f>IF(OR($AE105&lt;&gt;1,W$1=""),"",SUMIFS('All Donations'!$S$2:$S$4001,'All Donations'!$R$2:$R$4001,$AD105,'All Donations'!$T$2:$T$4001,W$1))</f>
        <v/>
      </c>
      <c r="X105" s="49">
        <f>IF(OR($AE105&lt;&gt;1,X$1=""),"",SUMIFS('All Donations'!$S$2:$S$4001,'All Donations'!$R$2:$R$4001,$AD105,'All Donations'!$T$2:$T$4001,X$1))</f>
        <v/>
      </c>
      <c r="Y105" s="49">
        <f>IF(OR($AE105&lt;&gt;1,Y$1=""),"",SUMIFS('All Donations'!$S$2:$S$4001,'All Donations'!$R$2:$R$4001,$AD105,'All Donations'!$T$2:$T$4001,Y$1))</f>
        <v/>
      </c>
      <c r="Z105" s="49">
        <f>IF(OR($AE105&lt;&gt;1,Z$1=""),"",SUMIFS('All Donations'!$S$2:$S$4001,'All Donations'!$R$2:$R$4001,$AD105,'All Donations'!$T$2:$T$4001,Z$1))</f>
        <v/>
      </c>
      <c r="AA105" s="49">
        <f>IF(OR($AE105&lt;&gt;1,AA$1=""),"",SUMIFS('All Donations'!$S$2:$S$4001,'All Donations'!$R$2:$R$4001,$AD105,'All Donations'!$T$2:$T$4001,AA$1))</f>
        <v/>
      </c>
      <c r="AB105" s="49">
        <f>IF(OR($AE105&lt;&gt;1,AB$1=""),"",SUMIFS('All Donations'!$S$2:$S$4001,'All Donations'!$R$2:$R$4001,$AD105,'All Donations'!$T$2:$T$4001,AB$1))</f>
        <v/>
      </c>
      <c r="AC105" s="49">
        <f>IF(OR($AE105&lt;&gt;1,AC$1=""),"",SUMIFS('All Donations'!$S$2:$S$4001,'All Donations'!$R$2:$R$4001,$AD105,'All Donations'!$T$2:$T$4001,AC$1))</f>
        <v/>
      </c>
      <c r="AD105">
        <f>IF(AE105=1,'Roster'!A105,"")</f>
        <v/>
      </c>
      <c r="AE105">
        <f>IF(TRIM('Roster'!B105&amp;'Roster'!C105)&lt;&gt;"",1,0)</f>
        <v/>
      </c>
      <c r="AF105">
        <f>IF(AE105=1,LOWER(A105),"#")</f>
        <v/>
      </c>
      <c r="AG105">
        <f>IF(AE105=1,LOWER(TRIM(TRIM('Roster'!C105)&amp;", "&amp;TRIM('Roster'!B105))),"#")</f>
        <v/>
      </c>
      <c r="AH105">
        <f>IF(AND(AE105=1,TRIM('Roster'!F105)&lt;&gt;""),LOWER(TRIM('Roster'!F105)),"#")</f>
        <v/>
      </c>
      <c r="AI105">
        <f>IF(AE105=1,IF(MATCH(B105,$B$2:$B$701,0)=ROW()-1,1,0),0)</f>
        <v/>
      </c>
      <c r="AJ105">
        <f>AJ104+AI105</f>
        <v/>
      </c>
      <c r="AK105">
        <f>IF(AE105=1,D105+(1000-ROW())/10^7,-1)</f>
        <v/>
      </c>
      <c r="AL105">
        <f>IF(AE105=1,TRIM('Roster'!B105)&amp;" "&amp;LEFT(TRIM('Roster'!C105),1)&amp;".","")</f>
        <v/>
      </c>
      <c r="AM105">
        <f>IF(AE105=1,TRIM('Roster'!C105)&amp;", "&amp;TRIM('Roster'!B105)&amp;" ("&amp;B105&amp;") #"&amp;AD105,"")</f>
        <v/>
      </c>
      <c r="AN105">
        <f>IF(AE105=1,TRIM('Roster'!E105),"")</f>
        <v/>
      </c>
      <c r="AO105">
        <f>IF(AE105=1,ROUND(SUMIFS('All Donations'!$S$2:$S$4001,'All Donations'!$R$2:$R$4001,AD105,'All Donations'!$T$2:$T$4001,"&gt;="&amp;'Settings'!$C$23,'All Donations'!$T$2:$T$4001,"&lt;="&amp;'Settings'!$D$23),2),0)</f>
        <v/>
      </c>
      <c r="AQ105">
        <f>IF(AE105=1,ROUND(SUMIFS('All Donations'!$S$2:$S$4001,'All Donations'!$R$2:$R$4001,AD105,'All Donations'!$T$2:$T$4001,"&gt;="&amp;'Settings'!$C$25,'All Donations'!$T$2:$T$4001,"&lt;="&amp;'Settings'!$D$25),2),0)</f>
        <v/>
      </c>
      <c r="AR105">
        <f>IF(AE105=1,ROUND(SUMIFS('All Donations'!$S$2:$S$4001,'All Donations'!$R$2:$R$4001,AD105,'All Donations'!$T$2:$T$4001,"&gt;="&amp;'Settings'!$C$26,'All Donations'!$T$2:$T$4001,"&lt;="&amp;'Settings'!$D$26),2),0)</f>
        <v/>
      </c>
      <c r="AS105">
        <f>IF(AE105=1,ROUND(SUMIFS('All Donations'!$S$2:$S$4001,'All Donations'!$R$2:$R$4001,AD105,'All Donations'!$T$2:$T$4001,"&lt;="&amp;'Settings'!$D$27),2),0)</f>
        <v/>
      </c>
      <c r="AT105">
        <f>IF(AE105=1,ROUND(SUMIFS('All Donations'!$S$2:$S$4001,'All Donations'!$R$2:$R$4001,AD105,'All Donations'!$T$2:$T$4001,"&gt;="&amp;'Settings'!$C$28,'All Donations'!$T$2:$T$4001,"&lt;="&amp;'Settings'!$D$28),2),0)</f>
        <v/>
      </c>
      <c r="AU105">
        <f>IF(AE105=1,ROUND(SUMIFS('All Donations'!$S$2:$S$4001,'All Donations'!$R$2:$R$4001,AD105,'All Donations'!$T$2:$T$4001,"&gt;="&amp;'Settings'!$C$29,'All Donations'!$T$2:$T$4001,"&lt;="&amp;'Settings'!$D$29),2),0)</f>
        <v/>
      </c>
      <c r="AV105">
        <f>IF(AE105=1,ROUND(SUMIFS('All Donations'!$S$2:$S$4001,'All Donations'!$R$2:$R$4001,AD105,'All Donations'!$T$2:$T$4001,"&lt;="&amp;'Settings'!$D$30),2),0)</f>
        <v/>
      </c>
      <c r="AZ105">
        <f>IF(AE105=1,ROUND(SUMIFS('All Donations'!$S$2:$S$4001,'All Donations'!$R$2:$R$4001,AD105,'All Donations'!$T$2:$T$4001,"&lt;="&amp;'Settings'!$D$34),2),0)</f>
        <v/>
      </c>
    </row>
    <row r="106">
      <c r="A106">
        <f>IF(AE106=1,TRIM(TRIM('Roster'!B106)&amp;" "&amp;TRIM('Roster'!C106)),"")</f>
        <v/>
      </c>
      <c r="B106">
        <f>IF(AE106=1,IF(AN106="","(no teacher)",AN106&amp;" – "&amp;C106),"")</f>
        <v/>
      </c>
      <c r="C106">
        <f>IF(AE106=1,TRIM('Roster'!D106&amp;""),"")</f>
        <v/>
      </c>
      <c r="D106" s="48">
        <f>IF(AE106=1,ROUND(SUMIFS('All Donations'!$S$2:$S$4001,'All Donations'!$R$2:$R$4001,AD106),2),"")</f>
        <v/>
      </c>
      <c r="E106" s="48">
        <f>IF(AE106=1,ROUND(SUMIFS('All Donations'!$S$2:$S$4001,'All Donations'!$R$2:$R$4001,AD106,'All Donations'!$G$2:$G$4001,"OneCause"),2),"")</f>
        <v/>
      </c>
      <c r="F106" s="48">
        <f>IF(AE106=1,D106-E106,"")</f>
        <v/>
      </c>
      <c r="G106">
        <f>IF(AE106=1,COUNTIFS('All Donations'!$R$2:$R$4001,AD106,'All Donations'!$H$2:$H$4001,"OK"),"")</f>
        <v/>
      </c>
      <c r="H106">
        <f>IF(AE106&lt;&gt;1,"",IF(D106&gt;0,"Yes",""))</f>
        <v/>
      </c>
      <c r="I106" s="49">
        <f>IF(OR($AE106&lt;&gt;1,I$1=""),"",SUMIFS('All Donations'!$S$2:$S$4001,'All Donations'!$R$2:$R$4001,$AD106,'All Donations'!$T$2:$T$4001,I$1))</f>
        <v/>
      </c>
      <c r="J106" s="49">
        <f>IF(OR($AE106&lt;&gt;1,J$1=""),"",SUMIFS('All Donations'!$S$2:$S$4001,'All Donations'!$R$2:$R$4001,$AD106,'All Donations'!$T$2:$T$4001,J$1))</f>
        <v/>
      </c>
      <c r="K106" s="49">
        <f>IF(OR($AE106&lt;&gt;1,K$1=""),"",SUMIFS('All Donations'!$S$2:$S$4001,'All Donations'!$R$2:$R$4001,$AD106,'All Donations'!$T$2:$T$4001,K$1))</f>
        <v/>
      </c>
      <c r="L106" s="49">
        <f>IF(OR($AE106&lt;&gt;1,L$1=""),"",SUMIFS('All Donations'!$S$2:$S$4001,'All Donations'!$R$2:$R$4001,$AD106,'All Donations'!$T$2:$T$4001,L$1))</f>
        <v/>
      </c>
      <c r="M106" s="49">
        <f>IF(OR($AE106&lt;&gt;1,M$1=""),"",SUMIFS('All Donations'!$S$2:$S$4001,'All Donations'!$R$2:$R$4001,$AD106,'All Donations'!$T$2:$T$4001,M$1))</f>
        <v/>
      </c>
      <c r="N106" s="49">
        <f>IF(OR($AE106&lt;&gt;1,N$1=""),"",SUMIFS('All Donations'!$S$2:$S$4001,'All Donations'!$R$2:$R$4001,$AD106,'All Donations'!$T$2:$T$4001,N$1))</f>
        <v/>
      </c>
      <c r="O106" s="49">
        <f>IF(OR($AE106&lt;&gt;1,O$1=""),"",SUMIFS('All Donations'!$S$2:$S$4001,'All Donations'!$R$2:$R$4001,$AD106,'All Donations'!$T$2:$T$4001,O$1))</f>
        <v/>
      </c>
      <c r="P106" s="49">
        <f>IF(OR($AE106&lt;&gt;1,P$1=""),"",SUMIFS('All Donations'!$S$2:$S$4001,'All Donations'!$R$2:$R$4001,$AD106,'All Donations'!$T$2:$T$4001,P$1))</f>
        <v/>
      </c>
      <c r="Q106" s="49">
        <f>IF(OR($AE106&lt;&gt;1,Q$1=""),"",SUMIFS('All Donations'!$S$2:$S$4001,'All Donations'!$R$2:$R$4001,$AD106,'All Donations'!$T$2:$T$4001,Q$1))</f>
        <v/>
      </c>
      <c r="R106" s="49">
        <f>IF(OR($AE106&lt;&gt;1,R$1=""),"",SUMIFS('All Donations'!$S$2:$S$4001,'All Donations'!$R$2:$R$4001,$AD106,'All Donations'!$T$2:$T$4001,R$1))</f>
        <v/>
      </c>
      <c r="S106" s="49">
        <f>IF(OR($AE106&lt;&gt;1,S$1=""),"",SUMIFS('All Donations'!$S$2:$S$4001,'All Donations'!$R$2:$R$4001,$AD106,'All Donations'!$T$2:$T$4001,S$1))</f>
        <v/>
      </c>
      <c r="T106" s="49">
        <f>IF(OR($AE106&lt;&gt;1,T$1=""),"",SUMIFS('All Donations'!$S$2:$S$4001,'All Donations'!$R$2:$R$4001,$AD106,'All Donations'!$T$2:$T$4001,T$1))</f>
        <v/>
      </c>
      <c r="U106" s="49">
        <f>IF(OR($AE106&lt;&gt;1,U$1=""),"",SUMIFS('All Donations'!$S$2:$S$4001,'All Donations'!$R$2:$R$4001,$AD106,'All Donations'!$T$2:$T$4001,U$1))</f>
        <v/>
      </c>
      <c r="V106" s="49">
        <f>IF(OR($AE106&lt;&gt;1,V$1=""),"",SUMIFS('All Donations'!$S$2:$S$4001,'All Donations'!$R$2:$R$4001,$AD106,'All Donations'!$T$2:$T$4001,V$1))</f>
        <v/>
      </c>
      <c r="W106" s="49">
        <f>IF(OR($AE106&lt;&gt;1,W$1=""),"",SUMIFS('All Donations'!$S$2:$S$4001,'All Donations'!$R$2:$R$4001,$AD106,'All Donations'!$T$2:$T$4001,W$1))</f>
        <v/>
      </c>
      <c r="X106" s="49">
        <f>IF(OR($AE106&lt;&gt;1,X$1=""),"",SUMIFS('All Donations'!$S$2:$S$4001,'All Donations'!$R$2:$R$4001,$AD106,'All Donations'!$T$2:$T$4001,X$1))</f>
        <v/>
      </c>
      <c r="Y106" s="49">
        <f>IF(OR($AE106&lt;&gt;1,Y$1=""),"",SUMIFS('All Donations'!$S$2:$S$4001,'All Donations'!$R$2:$R$4001,$AD106,'All Donations'!$T$2:$T$4001,Y$1))</f>
        <v/>
      </c>
      <c r="Z106" s="49">
        <f>IF(OR($AE106&lt;&gt;1,Z$1=""),"",SUMIFS('All Donations'!$S$2:$S$4001,'All Donations'!$R$2:$R$4001,$AD106,'All Donations'!$T$2:$T$4001,Z$1))</f>
        <v/>
      </c>
      <c r="AA106" s="49">
        <f>IF(OR($AE106&lt;&gt;1,AA$1=""),"",SUMIFS('All Donations'!$S$2:$S$4001,'All Donations'!$R$2:$R$4001,$AD106,'All Donations'!$T$2:$T$4001,AA$1))</f>
        <v/>
      </c>
      <c r="AB106" s="49">
        <f>IF(OR($AE106&lt;&gt;1,AB$1=""),"",SUMIFS('All Donations'!$S$2:$S$4001,'All Donations'!$R$2:$R$4001,$AD106,'All Donations'!$T$2:$T$4001,AB$1))</f>
        <v/>
      </c>
      <c r="AC106" s="49">
        <f>IF(OR($AE106&lt;&gt;1,AC$1=""),"",SUMIFS('All Donations'!$S$2:$S$4001,'All Donations'!$R$2:$R$4001,$AD106,'All Donations'!$T$2:$T$4001,AC$1))</f>
        <v/>
      </c>
      <c r="AD106">
        <f>IF(AE106=1,'Roster'!A106,"")</f>
        <v/>
      </c>
      <c r="AE106">
        <f>IF(TRIM('Roster'!B106&amp;'Roster'!C106)&lt;&gt;"",1,0)</f>
        <v/>
      </c>
      <c r="AF106">
        <f>IF(AE106=1,LOWER(A106),"#")</f>
        <v/>
      </c>
      <c r="AG106">
        <f>IF(AE106=1,LOWER(TRIM(TRIM('Roster'!C106)&amp;", "&amp;TRIM('Roster'!B106))),"#")</f>
        <v/>
      </c>
      <c r="AH106">
        <f>IF(AND(AE106=1,TRIM('Roster'!F106)&lt;&gt;""),LOWER(TRIM('Roster'!F106)),"#")</f>
        <v/>
      </c>
      <c r="AI106">
        <f>IF(AE106=1,IF(MATCH(B106,$B$2:$B$701,0)=ROW()-1,1,0),0)</f>
        <v/>
      </c>
      <c r="AJ106">
        <f>AJ105+AI106</f>
        <v/>
      </c>
      <c r="AK106">
        <f>IF(AE106=1,D106+(1000-ROW())/10^7,-1)</f>
        <v/>
      </c>
      <c r="AL106">
        <f>IF(AE106=1,TRIM('Roster'!B106)&amp;" "&amp;LEFT(TRIM('Roster'!C106),1)&amp;".","")</f>
        <v/>
      </c>
      <c r="AM106">
        <f>IF(AE106=1,TRIM('Roster'!C106)&amp;", "&amp;TRIM('Roster'!B106)&amp;" ("&amp;B106&amp;") #"&amp;AD106,"")</f>
        <v/>
      </c>
      <c r="AN106">
        <f>IF(AE106=1,TRIM('Roster'!E106),"")</f>
        <v/>
      </c>
      <c r="AO106">
        <f>IF(AE106=1,ROUND(SUMIFS('All Donations'!$S$2:$S$4001,'All Donations'!$R$2:$R$4001,AD106,'All Donations'!$T$2:$T$4001,"&gt;="&amp;'Settings'!$C$23,'All Donations'!$T$2:$T$4001,"&lt;="&amp;'Settings'!$D$23),2),0)</f>
        <v/>
      </c>
      <c r="AQ106">
        <f>IF(AE106=1,ROUND(SUMIFS('All Donations'!$S$2:$S$4001,'All Donations'!$R$2:$R$4001,AD106,'All Donations'!$T$2:$T$4001,"&gt;="&amp;'Settings'!$C$25,'All Donations'!$T$2:$T$4001,"&lt;="&amp;'Settings'!$D$25),2),0)</f>
        <v/>
      </c>
      <c r="AR106">
        <f>IF(AE106=1,ROUND(SUMIFS('All Donations'!$S$2:$S$4001,'All Donations'!$R$2:$R$4001,AD106,'All Donations'!$T$2:$T$4001,"&gt;="&amp;'Settings'!$C$26,'All Donations'!$T$2:$T$4001,"&lt;="&amp;'Settings'!$D$26),2),0)</f>
        <v/>
      </c>
      <c r="AS106">
        <f>IF(AE106=1,ROUND(SUMIFS('All Donations'!$S$2:$S$4001,'All Donations'!$R$2:$R$4001,AD106,'All Donations'!$T$2:$T$4001,"&lt;="&amp;'Settings'!$D$27),2),0)</f>
        <v/>
      </c>
      <c r="AT106">
        <f>IF(AE106=1,ROUND(SUMIFS('All Donations'!$S$2:$S$4001,'All Donations'!$R$2:$R$4001,AD106,'All Donations'!$T$2:$T$4001,"&gt;="&amp;'Settings'!$C$28,'All Donations'!$T$2:$T$4001,"&lt;="&amp;'Settings'!$D$28),2),0)</f>
        <v/>
      </c>
      <c r="AU106">
        <f>IF(AE106=1,ROUND(SUMIFS('All Donations'!$S$2:$S$4001,'All Donations'!$R$2:$R$4001,AD106,'All Donations'!$T$2:$T$4001,"&gt;="&amp;'Settings'!$C$29,'All Donations'!$T$2:$T$4001,"&lt;="&amp;'Settings'!$D$29),2),0)</f>
        <v/>
      </c>
      <c r="AV106">
        <f>IF(AE106=1,ROUND(SUMIFS('All Donations'!$S$2:$S$4001,'All Donations'!$R$2:$R$4001,AD106,'All Donations'!$T$2:$T$4001,"&lt;="&amp;'Settings'!$D$30),2),0)</f>
        <v/>
      </c>
      <c r="AZ106">
        <f>IF(AE106=1,ROUND(SUMIFS('All Donations'!$S$2:$S$4001,'All Donations'!$R$2:$R$4001,AD106,'All Donations'!$T$2:$T$4001,"&lt;="&amp;'Settings'!$D$34),2),0)</f>
        <v/>
      </c>
    </row>
    <row r="107">
      <c r="A107">
        <f>IF(AE107=1,TRIM(TRIM('Roster'!B107)&amp;" "&amp;TRIM('Roster'!C107)),"")</f>
        <v/>
      </c>
      <c r="B107">
        <f>IF(AE107=1,IF(AN107="","(no teacher)",AN107&amp;" – "&amp;C107),"")</f>
        <v/>
      </c>
      <c r="C107">
        <f>IF(AE107=1,TRIM('Roster'!D107&amp;""),"")</f>
        <v/>
      </c>
      <c r="D107" s="48">
        <f>IF(AE107=1,ROUND(SUMIFS('All Donations'!$S$2:$S$4001,'All Donations'!$R$2:$R$4001,AD107),2),"")</f>
        <v/>
      </c>
      <c r="E107" s="48">
        <f>IF(AE107=1,ROUND(SUMIFS('All Donations'!$S$2:$S$4001,'All Donations'!$R$2:$R$4001,AD107,'All Donations'!$G$2:$G$4001,"OneCause"),2),"")</f>
        <v/>
      </c>
      <c r="F107" s="48">
        <f>IF(AE107=1,D107-E107,"")</f>
        <v/>
      </c>
      <c r="G107">
        <f>IF(AE107=1,COUNTIFS('All Donations'!$R$2:$R$4001,AD107,'All Donations'!$H$2:$H$4001,"OK"),"")</f>
        <v/>
      </c>
      <c r="H107">
        <f>IF(AE107&lt;&gt;1,"",IF(D107&gt;0,"Yes",""))</f>
        <v/>
      </c>
      <c r="I107" s="49">
        <f>IF(OR($AE107&lt;&gt;1,I$1=""),"",SUMIFS('All Donations'!$S$2:$S$4001,'All Donations'!$R$2:$R$4001,$AD107,'All Donations'!$T$2:$T$4001,I$1))</f>
        <v/>
      </c>
      <c r="J107" s="49">
        <f>IF(OR($AE107&lt;&gt;1,J$1=""),"",SUMIFS('All Donations'!$S$2:$S$4001,'All Donations'!$R$2:$R$4001,$AD107,'All Donations'!$T$2:$T$4001,J$1))</f>
        <v/>
      </c>
      <c r="K107" s="49">
        <f>IF(OR($AE107&lt;&gt;1,K$1=""),"",SUMIFS('All Donations'!$S$2:$S$4001,'All Donations'!$R$2:$R$4001,$AD107,'All Donations'!$T$2:$T$4001,K$1))</f>
        <v/>
      </c>
      <c r="L107" s="49">
        <f>IF(OR($AE107&lt;&gt;1,L$1=""),"",SUMIFS('All Donations'!$S$2:$S$4001,'All Donations'!$R$2:$R$4001,$AD107,'All Donations'!$T$2:$T$4001,L$1))</f>
        <v/>
      </c>
      <c r="M107" s="49">
        <f>IF(OR($AE107&lt;&gt;1,M$1=""),"",SUMIFS('All Donations'!$S$2:$S$4001,'All Donations'!$R$2:$R$4001,$AD107,'All Donations'!$T$2:$T$4001,M$1))</f>
        <v/>
      </c>
      <c r="N107" s="49">
        <f>IF(OR($AE107&lt;&gt;1,N$1=""),"",SUMIFS('All Donations'!$S$2:$S$4001,'All Donations'!$R$2:$R$4001,$AD107,'All Donations'!$T$2:$T$4001,N$1))</f>
        <v/>
      </c>
      <c r="O107" s="49">
        <f>IF(OR($AE107&lt;&gt;1,O$1=""),"",SUMIFS('All Donations'!$S$2:$S$4001,'All Donations'!$R$2:$R$4001,$AD107,'All Donations'!$T$2:$T$4001,O$1))</f>
        <v/>
      </c>
      <c r="P107" s="49">
        <f>IF(OR($AE107&lt;&gt;1,P$1=""),"",SUMIFS('All Donations'!$S$2:$S$4001,'All Donations'!$R$2:$R$4001,$AD107,'All Donations'!$T$2:$T$4001,P$1))</f>
        <v/>
      </c>
      <c r="Q107" s="49">
        <f>IF(OR($AE107&lt;&gt;1,Q$1=""),"",SUMIFS('All Donations'!$S$2:$S$4001,'All Donations'!$R$2:$R$4001,$AD107,'All Donations'!$T$2:$T$4001,Q$1))</f>
        <v/>
      </c>
      <c r="R107" s="49">
        <f>IF(OR($AE107&lt;&gt;1,R$1=""),"",SUMIFS('All Donations'!$S$2:$S$4001,'All Donations'!$R$2:$R$4001,$AD107,'All Donations'!$T$2:$T$4001,R$1))</f>
        <v/>
      </c>
      <c r="S107" s="49">
        <f>IF(OR($AE107&lt;&gt;1,S$1=""),"",SUMIFS('All Donations'!$S$2:$S$4001,'All Donations'!$R$2:$R$4001,$AD107,'All Donations'!$T$2:$T$4001,S$1))</f>
        <v/>
      </c>
      <c r="T107" s="49">
        <f>IF(OR($AE107&lt;&gt;1,T$1=""),"",SUMIFS('All Donations'!$S$2:$S$4001,'All Donations'!$R$2:$R$4001,$AD107,'All Donations'!$T$2:$T$4001,T$1))</f>
        <v/>
      </c>
      <c r="U107" s="49">
        <f>IF(OR($AE107&lt;&gt;1,U$1=""),"",SUMIFS('All Donations'!$S$2:$S$4001,'All Donations'!$R$2:$R$4001,$AD107,'All Donations'!$T$2:$T$4001,U$1))</f>
        <v/>
      </c>
      <c r="V107" s="49">
        <f>IF(OR($AE107&lt;&gt;1,V$1=""),"",SUMIFS('All Donations'!$S$2:$S$4001,'All Donations'!$R$2:$R$4001,$AD107,'All Donations'!$T$2:$T$4001,V$1))</f>
        <v/>
      </c>
      <c r="W107" s="49">
        <f>IF(OR($AE107&lt;&gt;1,W$1=""),"",SUMIFS('All Donations'!$S$2:$S$4001,'All Donations'!$R$2:$R$4001,$AD107,'All Donations'!$T$2:$T$4001,W$1))</f>
        <v/>
      </c>
      <c r="X107" s="49">
        <f>IF(OR($AE107&lt;&gt;1,X$1=""),"",SUMIFS('All Donations'!$S$2:$S$4001,'All Donations'!$R$2:$R$4001,$AD107,'All Donations'!$T$2:$T$4001,X$1))</f>
        <v/>
      </c>
      <c r="Y107" s="49">
        <f>IF(OR($AE107&lt;&gt;1,Y$1=""),"",SUMIFS('All Donations'!$S$2:$S$4001,'All Donations'!$R$2:$R$4001,$AD107,'All Donations'!$T$2:$T$4001,Y$1))</f>
        <v/>
      </c>
      <c r="Z107" s="49">
        <f>IF(OR($AE107&lt;&gt;1,Z$1=""),"",SUMIFS('All Donations'!$S$2:$S$4001,'All Donations'!$R$2:$R$4001,$AD107,'All Donations'!$T$2:$T$4001,Z$1))</f>
        <v/>
      </c>
      <c r="AA107" s="49">
        <f>IF(OR($AE107&lt;&gt;1,AA$1=""),"",SUMIFS('All Donations'!$S$2:$S$4001,'All Donations'!$R$2:$R$4001,$AD107,'All Donations'!$T$2:$T$4001,AA$1))</f>
        <v/>
      </c>
      <c r="AB107" s="49">
        <f>IF(OR($AE107&lt;&gt;1,AB$1=""),"",SUMIFS('All Donations'!$S$2:$S$4001,'All Donations'!$R$2:$R$4001,$AD107,'All Donations'!$T$2:$T$4001,AB$1))</f>
        <v/>
      </c>
      <c r="AC107" s="49">
        <f>IF(OR($AE107&lt;&gt;1,AC$1=""),"",SUMIFS('All Donations'!$S$2:$S$4001,'All Donations'!$R$2:$R$4001,$AD107,'All Donations'!$T$2:$T$4001,AC$1))</f>
        <v/>
      </c>
      <c r="AD107">
        <f>IF(AE107=1,'Roster'!A107,"")</f>
        <v/>
      </c>
      <c r="AE107">
        <f>IF(TRIM('Roster'!B107&amp;'Roster'!C107)&lt;&gt;"",1,0)</f>
        <v/>
      </c>
      <c r="AF107">
        <f>IF(AE107=1,LOWER(A107),"#")</f>
        <v/>
      </c>
      <c r="AG107">
        <f>IF(AE107=1,LOWER(TRIM(TRIM('Roster'!C107)&amp;", "&amp;TRIM('Roster'!B107))),"#")</f>
        <v/>
      </c>
      <c r="AH107">
        <f>IF(AND(AE107=1,TRIM('Roster'!F107)&lt;&gt;""),LOWER(TRIM('Roster'!F107)),"#")</f>
        <v/>
      </c>
      <c r="AI107">
        <f>IF(AE107=1,IF(MATCH(B107,$B$2:$B$701,0)=ROW()-1,1,0),0)</f>
        <v/>
      </c>
      <c r="AJ107">
        <f>AJ106+AI107</f>
        <v/>
      </c>
      <c r="AK107">
        <f>IF(AE107=1,D107+(1000-ROW())/10^7,-1)</f>
        <v/>
      </c>
      <c r="AL107">
        <f>IF(AE107=1,TRIM('Roster'!B107)&amp;" "&amp;LEFT(TRIM('Roster'!C107),1)&amp;".","")</f>
        <v/>
      </c>
      <c r="AM107">
        <f>IF(AE107=1,TRIM('Roster'!C107)&amp;", "&amp;TRIM('Roster'!B107)&amp;" ("&amp;B107&amp;") #"&amp;AD107,"")</f>
        <v/>
      </c>
      <c r="AN107">
        <f>IF(AE107=1,TRIM('Roster'!E107),"")</f>
        <v/>
      </c>
      <c r="AO107">
        <f>IF(AE107=1,ROUND(SUMIFS('All Donations'!$S$2:$S$4001,'All Donations'!$R$2:$R$4001,AD107,'All Donations'!$T$2:$T$4001,"&gt;="&amp;'Settings'!$C$23,'All Donations'!$T$2:$T$4001,"&lt;="&amp;'Settings'!$D$23),2),0)</f>
        <v/>
      </c>
      <c r="AQ107">
        <f>IF(AE107=1,ROUND(SUMIFS('All Donations'!$S$2:$S$4001,'All Donations'!$R$2:$R$4001,AD107,'All Donations'!$T$2:$T$4001,"&gt;="&amp;'Settings'!$C$25,'All Donations'!$T$2:$T$4001,"&lt;="&amp;'Settings'!$D$25),2),0)</f>
        <v/>
      </c>
      <c r="AR107">
        <f>IF(AE107=1,ROUND(SUMIFS('All Donations'!$S$2:$S$4001,'All Donations'!$R$2:$R$4001,AD107,'All Donations'!$T$2:$T$4001,"&gt;="&amp;'Settings'!$C$26,'All Donations'!$T$2:$T$4001,"&lt;="&amp;'Settings'!$D$26),2),0)</f>
        <v/>
      </c>
      <c r="AS107">
        <f>IF(AE107=1,ROUND(SUMIFS('All Donations'!$S$2:$S$4001,'All Donations'!$R$2:$R$4001,AD107,'All Donations'!$T$2:$T$4001,"&lt;="&amp;'Settings'!$D$27),2),0)</f>
        <v/>
      </c>
      <c r="AT107">
        <f>IF(AE107=1,ROUND(SUMIFS('All Donations'!$S$2:$S$4001,'All Donations'!$R$2:$R$4001,AD107,'All Donations'!$T$2:$T$4001,"&gt;="&amp;'Settings'!$C$28,'All Donations'!$T$2:$T$4001,"&lt;="&amp;'Settings'!$D$28),2),0)</f>
        <v/>
      </c>
      <c r="AU107">
        <f>IF(AE107=1,ROUND(SUMIFS('All Donations'!$S$2:$S$4001,'All Donations'!$R$2:$R$4001,AD107,'All Donations'!$T$2:$T$4001,"&gt;="&amp;'Settings'!$C$29,'All Donations'!$T$2:$T$4001,"&lt;="&amp;'Settings'!$D$29),2),0)</f>
        <v/>
      </c>
      <c r="AV107">
        <f>IF(AE107=1,ROUND(SUMIFS('All Donations'!$S$2:$S$4001,'All Donations'!$R$2:$R$4001,AD107,'All Donations'!$T$2:$T$4001,"&lt;="&amp;'Settings'!$D$30),2),0)</f>
        <v/>
      </c>
      <c r="AZ107">
        <f>IF(AE107=1,ROUND(SUMIFS('All Donations'!$S$2:$S$4001,'All Donations'!$R$2:$R$4001,AD107,'All Donations'!$T$2:$T$4001,"&lt;="&amp;'Settings'!$D$34),2),0)</f>
        <v/>
      </c>
    </row>
    <row r="108">
      <c r="A108">
        <f>IF(AE108=1,TRIM(TRIM('Roster'!B108)&amp;" "&amp;TRIM('Roster'!C108)),"")</f>
        <v/>
      </c>
      <c r="B108">
        <f>IF(AE108=1,IF(AN108="","(no teacher)",AN108&amp;" – "&amp;C108),"")</f>
        <v/>
      </c>
      <c r="C108">
        <f>IF(AE108=1,TRIM('Roster'!D108&amp;""),"")</f>
        <v/>
      </c>
      <c r="D108" s="48">
        <f>IF(AE108=1,ROUND(SUMIFS('All Donations'!$S$2:$S$4001,'All Donations'!$R$2:$R$4001,AD108),2),"")</f>
        <v/>
      </c>
      <c r="E108" s="48">
        <f>IF(AE108=1,ROUND(SUMIFS('All Donations'!$S$2:$S$4001,'All Donations'!$R$2:$R$4001,AD108,'All Donations'!$G$2:$G$4001,"OneCause"),2),"")</f>
        <v/>
      </c>
      <c r="F108" s="48">
        <f>IF(AE108=1,D108-E108,"")</f>
        <v/>
      </c>
      <c r="G108">
        <f>IF(AE108=1,COUNTIFS('All Donations'!$R$2:$R$4001,AD108,'All Donations'!$H$2:$H$4001,"OK"),"")</f>
        <v/>
      </c>
      <c r="H108">
        <f>IF(AE108&lt;&gt;1,"",IF(D108&gt;0,"Yes",""))</f>
        <v/>
      </c>
      <c r="I108" s="49">
        <f>IF(OR($AE108&lt;&gt;1,I$1=""),"",SUMIFS('All Donations'!$S$2:$S$4001,'All Donations'!$R$2:$R$4001,$AD108,'All Donations'!$T$2:$T$4001,I$1))</f>
        <v/>
      </c>
      <c r="J108" s="49">
        <f>IF(OR($AE108&lt;&gt;1,J$1=""),"",SUMIFS('All Donations'!$S$2:$S$4001,'All Donations'!$R$2:$R$4001,$AD108,'All Donations'!$T$2:$T$4001,J$1))</f>
        <v/>
      </c>
      <c r="K108" s="49">
        <f>IF(OR($AE108&lt;&gt;1,K$1=""),"",SUMIFS('All Donations'!$S$2:$S$4001,'All Donations'!$R$2:$R$4001,$AD108,'All Donations'!$T$2:$T$4001,K$1))</f>
        <v/>
      </c>
      <c r="L108" s="49">
        <f>IF(OR($AE108&lt;&gt;1,L$1=""),"",SUMIFS('All Donations'!$S$2:$S$4001,'All Donations'!$R$2:$R$4001,$AD108,'All Donations'!$T$2:$T$4001,L$1))</f>
        <v/>
      </c>
      <c r="M108" s="49">
        <f>IF(OR($AE108&lt;&gt;1,M$1=""),"",SUMIFS('All Donations'!$S$2:$S$4001,'All Donations'!$R$2:$R$4001,$AD108,'All Donations'!$T$2:$T$4001,M$1))</f>
        <v/>
      </c>
      <c r="N108" s="49">
        <f>IF(OR($AE108&lt;&gt;1,N$1=""),"",SUMIFS('All Donations'!$S$2:$S$4001,'All Donations'!$R$2:$R$4001,$AD108,'All Donations'!$T$2:$T$4001,N$1))</f>
        <v/>
      </c>
      <c r="O108" s="49">
        <f>IF(OR($AE108&lt;&gt;1,O$1=""),"",SUMIFS('All Donations'!$S$2:$S$4001,'All Donations'!$R$2:$R$4001,$AD108,'All Donations'!$T$2:$T$4001,O$1))</f>
        <v/>
      </c>
      <c r="P108" s="49">
        <f>IF(OR($AE108&lt;&gt;1,P$1=""),"",SUMIFS('All Donations'!$S$2:$S$4001,'All Donations'!$R$2:$R$4001,$AD108,'All Donations'!$T$2:$T$4001,P$1))</f>
        <v/>
      </c>
      <c r="Q108" s="49">
        <f>IF(OR($AE108&lt;&gt;1,Q$1=""),"",SUMIFS('All Donations'!$S$2:$S$4001,'All Donations'!$R$2:$R$4001,$AD108,'All Donations'!$T$2:$T$4001,Q$1))</f>
        <v/>
      </c>
      <c r="R108" s="49">
        <f>IF(OR($AE108&lt;&gt;1,R$1=""),"",SUMIFS('All Donations'!$S$2:$S$4001,'All Donations'!$R$2:$R$4001,$AD108,'All Donations'!$T$2:$T$4001,R$1))</f>
        <v/>
      </c>
      <c r="S108" s="49">
        <f>IF(OR($AE108&lt;&gt;1,S$1=""),"",SUMIFS('All Donations'!$S$2:$S$4001,'All Donations'!$R$2:$R$4001,$AD108,'All Donations'!$T$2:$T$4001,S$1))</f>
        <v/>
      </c>
      <c r="T108" s="49">
        <f>IF(OR($AE108&lt;&gt;1,T$1=""),"",SUMIFS('All Donations'!$S$2:$S$4001,'All Donations'!$R$2:$R$4001,$AD108,'All Donations'!$T$2:$T$4001,T$1))</f>
        <v/>
      </c>
      <c r="U108" s="49">
        <f>IF(OR($AE108&lt;&gt;1,U$1=""),"",SUMIFS('All Donations'!$S$2:$S$4001,'All Donations'!$R$2:$R$4001,$AD108,'All Donations'!$T$2:$T$4001,U$1))</f>
        <v/>
      </c>
      <c r="V108" s="49">
        <f>IF(OR($AE108&lt;&gt;1,V$1=""),"",SUMIFS('All Donations'!$S$2:$S$4001,'All Donations'!$R$2:$R$4001,$AD108,'All Donations'!$T$2:$T$4001,V$1))</f>
        <v/>
      </c>
      <c r="W108" s="49">
        <f>IF(OR($AE108&lt;&gt;1,W$1=""),"",SUMIFS('All Donations'!$S$2:$S$4001,'All Donations'!$R$2:$R$4001,$AD108,'All Donations'!$T$2:$T$4001,W$1))</f>
        <v/>
      </c>
      <c r="X108" s="49">
        <f>IF(OR($AE108&lt;&gt;1,X$1=""),"",SUMIFS('All Donations'!$S$2:$S$4001,'All Donations'!$R$2:$R$4001,$AD108,'All Donations'!$T$2:$T$4001,X$1))</f>
        <v/>
      </c>
      <c r="Y108" s="49">
        <f>IF(OR($AE108&lt;&gt;1,Y$1=""),"",SUMIFS('All Donations'!$S$2:$S$4001,'All Donations'!$R$2:$R$4001,$AD108,'All Donations'!$T$2:$T$4001,Y$1))</f>
        <v/>
      </c>
      <c r="Z108" s="49">
        <f>IF(OR($AE108&lt;&gt;1,Z$1=""),"",SUMIFS('All Donations'!$S$2:$S$4001,'All Donations'!$R$2:$R$4001,$AD108,'All Donations'!$T$2:$T$4001,Z$1))</f>
        <v/>
      </c>
      <c r="AA108" s="49">
        <f>IF(OR($AE108&lt;&gt;1,AA$1=""),"",SUMIFS('All Donations'!$S$2:$S$4001,'All Donations'!$R$2:$R$4001,$AD108,'All Donations'!$T$2:$T$4001,AA$1))</f>
        <v/>
      </c>
      <c r="AB108" s="49">
        <f>IF(OR($AE108&lt;&gt;1,AB$1=""),"",SUMIFS('All Donations'!$S$2:$S$4001,'All Donations'!$R$2:$R$4001,$AD108,'All Donations'!$T$2:$T$4001,AB$1))</f>
        <v/>
      </c>
      <c r="AC108" s="49">
        <f>IF(OR($AE108&lt;&gt;1,AC$1=""),"",SUMIFS('All Donations'!$S$2:$S$4001,'All Donations'!$R$2:$R$4001,$AD108,'All Donations'!$T$2:$T$4001,AC$1))</f>
        <v/>
      </c>
      <c r="AD108">
        <f>IF(AE108=1,'Roster'!A108,"")</f>
        <v/>
      </c>
      <c r="AE108">
        <f>IF(TRIM('Roster'!B108&amp;'Roster'!C108)&lt;&gt;"",1,0)</f>
        <v/>
      </c>
      <c r="AF108">
        <f>IF(AE108=1,LOWER(A108),"#")</f>
        <v/>
      </c>
      <c r="AG108">
        <f>IF(AE108=1,LOWER(TRIM(TRIM('Roster'!C108)&amp;", "&amp;TRIM('Roster'!B108))),"#")</f>
        <v/>
      </c>
      <c r="AH108">
        <f>IF(AND(AE108=1,TRIM('Roster'!F108)&lt;&gt;""),LOWER(TRIM('Roster'!F108)),"#")</f>
        <v/>
      </c>
      <c r="AI108">
        <f>IF(AE108=1,IF(MATCH(B108,$B$2:$B$701,0)=ROW()-1,1,0),0)</f>
        <v/>
      </c>
      <c r="AJ108">
        <f>AJ107+AI108</f>
        <v/>
      </c>
      <c r="AK108">
        <f>IF(AE108=1,D108+(1000-ROW())/10^7,-1)</f>
        <v/>
      </c>
      <c r="AL108">
        <f>IF(AE108=1,TRIM('Roster'!B108)&amp;" "&amp;LEFT(TRIM('Roster'!C108),1)&amp;".","")</f>
        <v/>
      </c>
      <c r="AM108">
        <f>IF(AE108=1,TRIM('Roster'!C108)&amp;", "&amp;TRIM('Roster'!B108)&amp;" ("&amp;B108&amp;") #"&amp;AD108,"")</f>
        <v/>
      </c>
      <c r="AN108">
        <f>IF(AE108=1,TRIM('Roster'!E108),"")</f>
        <v/>
      </c>
      <c r="AO108">
        <f>IF(AE108=1,ROUND(SUMIFS('All Donations'!$S$2:$S$4001,'All Donations'!$R$2:$R$4001,AD108,'All Donations'!$T$2:$T$4001,"&gt;="&amp;'Settings'!$C$23,'All Donations'!$T$2:$T$4001,"&lt;="&amp;'Settings'!$D$23),2),0)</f>
        <v/>
      </c>
      <c r="AQ108">
        <f>IF(AE108=1,ROUND(SUMIFS('All Donations'!$S$2:$S$4001,'All Donations'!$R$2:$R$4001,AD108,'All Donations'!$T$2:$T$4001,"&gt;="&amp;'Settings'!$C$25,'All Donations'!$T$2:$T$4001,"&lt;="&amp;'Settings'!$D$25),2),0)</f>
        <v/>
      </c>
      <c r="AR108">
        <f>IF(AE108=1,ROUND(SUMIFS('All Donations'!$S$2:$S$4001,'All Donations'!$R$2:$R$4001,AD108,'All Donations'!$T$2:$T$4001,"&gt;="&amp;'Settings'!$C$26,'All Donations'!$T$2:$T$4001,"&lt;="&amp;'Settings'!$D$26),2),0)</f>
        <v/>
      </c>
      <c r="AS108">
        <f>IF(AE108=1,ROUND(SUMIFS('All Donations'!$S$2:$S$4001,'All Donations'!$R$2:$R$4001,AD108,'All Donations'!$T$2:$T$4001,"&lt;="&amp;'Settings'!$D$27),2),0)</f>
        <v/>
      </c>
      <c r="AT108">
        <f>IF(AE108=1,ROUND(SUMIFS('All Donations'!$S$2:$S$4001,'All Donations'!$R$2:$R$4001,AD108,'All Donations'!$T$2:$T$4001,"&gt;="&amp;'Settings'!$C$28,'All Donations'!$T$2:$T$4001,"&lt;="&amp;'Settings'!$D$28),2),0)</f>
        <v/>
      </c>
      <c r="AU108">
        <f>IF(AE108=1,ROUND(SUMIFS('All Donations'!$S$2:$S$4001,'All Donations'!$R$2:$R$4001,AD108,'All Donations'!$T$2:$T$4001,"&gt;="&amp;'Settings'!$C$29,'All Donations'!$T$2:$T$4001,"&lt;="&amp;'Settings'!$D$29),2),0)</f>
        <v/>
      </c>
      <c r="AV108">
        <f>IF(AE108=1,ROUND(SUMIFS('All Donations'!$S$2:$S$4001,'All Donations'!$R$2:$R$4001,AD108,'All Donations'!$T$2:$T$4001,"&lt;="&amp;'Settings'!$D$30),2),0)</f>
        <v/>
      </c>
      <c r="AZ108">
        <f>IF(AE108=1,ROUND(SUMIFS('All Donations'!$S$2:$S$4001,'All Donations'!$R$2:$R$4001,AD108,'All Donations'!$T$2:$T$4001,"&lt;="&amp;'Settings'!$D$34),2),0)</f>
        <v/>
      </c>
    </row>
    <row r="109">
      <c r="A109">
        <f>IF(AE109=1,TRIM(TRIM('Roster'!B109)&amp;" "&amp;TRIM('Roster'!C109)),"")</f>
        <v/>
      </c>
      <c r="B109">
        <f>IF(AE109=1,IF(AN109="","(no teacher)",AN109&amp;" – "&amp;C109),"")</f>
        <v/>
      </c>
      <c r="C109">
        <f>IF(AE109=1,TRIM('Roster'!D109&amp;""),"")</f>
        <v/>
      </c>
      <c r="D109" s="48">
        <f>IF(AE109=1,ROUND(SUMIFS('All Donations'!$S$2:$S$4001,'All Donations'!$R$2:$R$4001,AD109),2),"")</f>
        <v/>
      </c>
      <c r="E109" s="48">
        <f>IF(AE109=1,ROUND(SUMIFS('All Donations'!$S$2:$S$4001,'All Donations'!$R$2:$R$4001,AD109,'All Donations'!$G$2:$G$4001,"OneCause"),2),"")</f>
        <v/>
      </c>
      <c r="F109" s="48">
        <f>IF(AE109=1,D109-E109,"")</f>
        <v/>
      </c>
      <c r="G109">
        <f>IF(AE109=1,COUNTIFS('All Donations'!$R$2:$R$4001,AD109,'All Donations'!$H$2:$H$4001,"OK"),"")</f>
        <v/>
      </c>
      <c r="H109">
        <f>IF(AE109&lt;&gt;1,"",IF(D109&gt;0,"Yes",""))</f>
        <v/>
      </c>
      <c r="I109" s="49">
        <f>IF(OR($AE109&lt;&gt;1,I$1=""),"",SUMIFS('All Donations'!$S$2:$S$4001,'All Donations'!$R$2:$R$4001,$AD109,'All Donations'!$T$2:$T$4001,I$1))</f>
        <v/>
      </c>
      <c r="J109" s="49">
        <f>IF(OR($AE109&lt;&gt;1,J$1=""),"",SUMIFS('All Donations'!$S$2:$S$4001,'All Donations'!$R$2:$R$4001,$AD109,'All Donations'!$T$2:$T$4001,J$1))</f>
        <v/>
      </c>
      <c r="K109" s="49">
        <f>IF(OR($AE109&lt;&gt;1,K$1=""),"",SUMIFS('All Donations'!$S$2:$S$4001,'All Donations'!$R$2:$R$4001,$AD109,'All Donations'!$T$2:$T$4001,K$1))</f>
        <v/>
      </c>
      <c r="L109" s="49">
        <f>IF(OR($AE109&lt;&gt;1,L$1=""),"",SUMIFS('All Donations'!$S$2:$S$4001,'All Donations'!$R$2:$R$4001,$AD109,'All Donations'!$T$2:$T$4001,L$1))</f>
        <v/>
      </c>
      <c r="M109" s="49">
        <f>IF(OR($AE109&lt;&gt;1,M$1=""),"",SUMIFS('All Donations'!$S$2:$S$4001,'All Donations'!$R$2:$R$4001,$AD109,'All Donations'!$T$2:$T$4001,M$1))</f>
        <v/>
      </c>
      <c r="N109" s="49">
        <f>IF(OR($AE109&lt;&gt;1,N$1=""),"",SUMIFS('All Donations'!$S$2:$S$4001,'All Donations'!$R$2:$R$4001,$AD109,'All Donations'!$T$2:$T$4001,N$1))</f>
        <v/>
      </c>
      <c r="O109" s="49">
        <f>IF(OR($AE109&lt;&gt;1,O$1=""),"",SUMIFS('All Donations'!$S$2:$S$4001,'All Donations'!$R$2:$R$4001,$AD109,'All Donations'!$T$2:$T$4001,O$1))</f>
        <v/>
      </c>
      <c r="P109" s="49">
        <f>IF(OR($AE109&lt;&gt;1,P$1=""),"",SUMIFS('All Donations'!$S$2:$S$4001,'All Donations'!$R$2:$R$4001,$AD109,'All Donations'!$T$2:$T$4001,P$1))</f>
        <v/>
      </c>
      <c r="Q109" s="49">
        <f>IF(OR($AE109&lt;&gt;1,Q$1=""),"",SUMIFS('All Donations'!$S$2:$S$4001,'All Donations'!$R$2:$R$4001,$AD109,'All Donations'!$T$2:$T$4001,Q$1))</f>
        <v/>
      </c>
      <c r="R109" s="49">
        <f>IF(OR($AE109&lt;&gt;1,R$1=""),"",SUMIFS('All Donations'!$S$2:$S$4001,'All Donations'!$R$2:$R$4001,$AD109,'All Donations'!$T$2:$T$4001,R$1))</f>
        <v/>
      </c>
      <c r="S109" s="49">
        <f>IF(OR($AE109&lt;&gt;1,S$1=""),"",SUMIFS('All Donations'!$S$2:$S$4001,'All Donations'!$R$2:$R$4001,$AD109,'All Donations'!$T$2:$T$4001,S$1))</f>
        <v/>
      </c>
      <c r="T109" s="49">
        <f>IF(OR($AE109&lt;&gt;1,T$1=""),"",SUMIFS('All Donations'!$S$2:$S$4001,'All Donations'!$R$2:$R$4001,$AD109,'All Donations'!$T$2:$T$4001,T$1))</f>
        <v/>
      </c>
      <c r="U109" s="49">
        <f>IF(OR($AE109&lt;&gt;1,U$1=""),"",SUMIFS('All Donations'!$S$2:$S$4001,'All Donations'!$R$2:$R$4001,$AD109,'All Donations'!$T$2:$T$4001,U$1))</f>
        <v/>
      </c>
      <c r="V109" s="49">
        <f>IF(OR($AE109&lt;&gt;1,V$1=""),"",SUMIFS('All Donations'!$S$2:$S$4001,'All Donations'!$R$2:$R$4001,$AD109,'All Donations'!$T$2:$T$4001,V$1))</f>
        <v/>
      </c>
      <c r="W109" s="49">
        <f>IF(OR($AE109&lt;&gt;1,W$1=""),"",SUMIFS('All Donations'!$S$2:$S$4001,'All Donations'!$R$2:$R$4001,$AD109,'All Donations'!$T$2:$T$4001,W$1))</f>
        <v/>
      </c>
      <c r="X109" s="49">
        <f>IF(OR($AE109&lt;&gt;1,X$1=""),"",SUMIFS('All Donations'!$S$2:$S$4001,'All Donations'!$R$2:$R$4001,$AD109,'All Donations'!$T$2:$T$4001,X$1))</f>
        <v/>
      </c>
      <c r="Y109" s="49">
        <f>IF(OR($AE109&lt;&gt;1,Y$1=""),"",SUMIFS('All Donations'!$S$2:$S$4001,'All Donations'!$R$2:$R$4001,$AD109,'All Donations'!$T$2:$T$4001,Y$1))</f>
        <v/>
      </c>
      <c r="Z109" s="49">
        <f>IF(OR($AE109&lt;&gt;1,Z$1=""),"",SUMIFS('All Donations'!$S$2:$S$4001,'All Donations'!$R$2:$R$4001,$AD109,'All Donations'!$T$2:$T$4001,Z$1))</f>
        <v/>
      </c>
      <c r="AA109" s="49">
        <f>IF(OR($AE109&lt;&gt;1,AA$1=""),"",SUMIFS('All Donations'!$S$2:$S$4001,'All Donations'!$R$2:$R$4001,$AD109,'All Donations'!$T$2:$T$4001,AA$1))</f>
        <v/>
      </c>
      <c r="AB109" s="49">
        <f>IF(OR($AE109&lt;&gt;1,AB$1=""),"",SUMIFS('All Donations'!$S$2:$S$4001,'All Donations'!$R$2:$R$4001,$AD109,'All Donations'!$T$2:$T$4001,AB$1))</f>
        <v/>
      </c>
      <c r="AC109" s="49">
        <f>IF(OR($AE109&lt;&gt;1,AC$1=""),"",SUMIFS('All Donations'!$S$2:$S$4001,'All Donations'!$R$2:$R$4001,$AD109,'All Donations'!$T$2:$T$4001,AC$1))</f>
        <v/>
      </c>
      <c r="AD109">
        <f>IF(AE109=1,'Roster'!A109,"")</f>
        <v/>
      </c>
      <c r="AE109">
        <f>IF(TRIM('Roster'!B109&amp;'Roster'!C109)&lt;&gt;"",1,0)</f>
        <v/>
      </c>
      <c r="AF109">
        <f>IF(AE109=1,LOWER(A109),"#")</f>
        <v/>
      </c>
      <c r="AG109">
        <f>IF(AE109=1,LOWER(TRIM(TRIM('Roster'!C109)&amp;", "&amp;TRIM('Roster'!B109))),"#")</f>
        <v/>
      </c>
      <c r="AH109">
        <f>IF(AND(AE109=1,TRIM('Roster'!F109)&lt;&gt;""),LOWER(TRIM('Roster'!F109)),"#")</f>
        <v/>
      </c>
      <c r="AI109">
        <f>IF(AE109=1,IF(MATCH(B109,$B$2:$B$701,0)=ROW()-1,1,0),0)</f>
        <v/>
      </c>
      <c r="AJ109">
        <f>AJ108+AI109</f>
        <v/>
      </c>
      <c r="AK109">
        <f>IF(AE109=1,D109+(1000-ROW())/10^7,-1)</f>
        <v/>
      </c>
      <c r="AL109">
        <f>IF(AE109=1,TRIM('Roster'!B109)&amp;" "&amp;LEFT(TRIM('Roster'!C109),1)&amp;".","")</f>
        <v/>
      </c>
      <c r="AM109">
        <f>IF(AE109=1,TRIM('Roster'!C109)&amp;", "&amp;TRIM('Roster'!B109)&amp;" ("&amp;B109&amp;") #"&amp;AD109,"")</f>
        <v/>
      </c>
      <c r="AN109">
        <f>IF(AE109=1,TRIM('Roster'!E109),"")</f>
        <v/>
      </c>
      <c r="AO109">
        <f>IF(AE109=1,ROUND(SUMIFS('All Donations'!$S$2:$S$4001,'All Donations'!$R$2:$R$4001,AD109,'All Donations'!$T$2:$T$4001,"&gt;="&amp;'Settings'!$C$23,'All Donations'!$T$2:$T$4001,"&lt;="&amp;'Settings'!$D$23),2),0)</f>
        <v/>
      </c>
      <c r="AQ109">
        <f>IF(AE109=1,ROUND(SUMIFS('All Donations'!$S$2:$S$4001,'All Donations'!$R$2:$R$4001,AD109,'All Donations'!$T$2:$T$4001,"&gt;="&amp;'Settings'!$C$25,'All Donations'!$T$2:$T$4001,"&lt;="&amp;'Settings'!$D$25),2),0)</f>
        <v/>
      </c>
      <c r="AR109">
        <f>IF(AE109=1,ROUND(SUMIFS('All Donations'!$S$2:$S$4001,'All Donations'!$R$2:$R$4001,AD109,'All Donations'!$T$2:$T$4001,"&gt;="&amp;'Settings'!$C$26,'All Donations'!$T$2:$T$4001,"&lt;="&amp;'Settings'!$D$26),2),0)</f>
        <v/>
      </c>
      <c r="AS109">
        <f>IF(AE109=1,ROUND(SUMIFS('All Donations'!$S$2:$S$4001,'All Donations'!$R$2:$R$4001,AD109,'All Donations'!$T$2:$T$4001,"&lt;="&amp;'Settings'!$D$27),2),0)</f>
        <v/>
      </c>
      <c r="AT109">
        <f>IF(AE109=1,ROUND(SUMIFS('All Donations'!$S$2:$S$4001,'All Donations'!$R$2:$R$4001,AD109,'All Donations'!$T$2:$T$4001,"&gt;="&amp;'Settings'!$C$28,'All Donations'!$T$2:$T$4001,"&lt;="&amp;'Settings'!$D$28),2),0)</f>
        <v/>
      </c>
      <c r="AU109">
        <f>IF(AE109=1,ROUND(SUMIFS('All Donations'!$S$2:$S$4001,'All Donations'!$R$2:$R$4001,AD109,'All Donations'!$T$2:$T$4001,"&gt;="&amp;'Settings'!$C$29,'All Donations'!$T$2:$T$4001,"&lt;="&amp;'Settings'!$D$29),2),0)</f>
        <v/>
      </c>
      <c r="AV109">
        <f>IF(AE109=1,ROUND(SUMIFS('All Donations'!$S$2:$S$4001,'All Donations'!$R$2:$R$4001,AD109,'All Donations'!$T$2:$T$4001,"&lt;="&amp;'Settings'!$D$30),2),0)</f>
        <v/>
      </c>
      <c r="AZ109">
        <f>IF(AE109=1,ROUND(SUMIFS('All Donations'!$S$2:$S$4001,'All Donations'!$R$2:$R$4001,AD109,'All Donations'!$T$2:$T$4001,"&lt;="&amp;'Settings'!$D$34),2),0)</f>
        <v/>
      </c>
    </row>
    <row r="110">
      <c r="A110">
        <f>IF(AE110=1,TRIM(TRIM('Roster'!B110)&amp;" "&amp;TRIM('Roster'!C110)),"")</f>
        <v/>
      </c>
      <c r="B110">
        <f>IF(AE110=1,IF(AN110="","(no teacher)",AN110&amp;" – "&amp;C110),"")</f>
        <v/>
      </c>
      <c r="C110">
        <f>IF(AE110=1,TRIM('Roster'!D110&amp;""),"")</f>
        <v/>
      </c>
      <c r="D110" s="48">
        <f>IF(AE110=1,ROUND(SUMIFS('All Donations'!$S$2:$S$4001,'All Donations'!$R$2:$R$4001,AD110),2),"")</f>
        <v/>
      </c>
      <c r="E110" s="48">
        <f>IF(AE110=1,ROUND(SUMIFS('All Donations'!$S$2:$S$4001,'All Donations'!$R$2:$R$4001,AD110,'All Donations'!$G$2:$G$4001,"OneCause"),2),"")</f>
        <v/>
      </c>
      <c r="F110" s="48">
        <f>IF(AE110=1,D110-E110,"")</f>
        <v/>
      </c>
      <c r="G110">
        <f>IF(AE110=1,COUNTIFS('All Donations'!$R$2:$R$4001,AD110,'All Donations'!$H$2:$H$4001,"OK"),"")</f>
        <v/>
      </c>
      <c r="H110">
        <f>IF(AE110&lt;&gt;1,"",IF(D110&gt;0,"Yes",""))</f>
        <v/>
      </c>
      <c r="I110" s="49">
        <f>IF(OR($AE110&lt;&gt;1,I$1=""),"",SUMIFS('All Donations'!$S$2:$S$4001,'All Donations'!$R$2:$R$4001,$AD110,'All Donations'!$T$2:$T$4001,I$1))</f>
        <v/>
      </c>
      <c r="J110" s="49">
        <f>IF(OR($AE110&lt;&gt;1,J$1=""),"",SUMIFS('All Donations'!$S$2:$S$4001,'All Donations'!$R$2:$R$4001,$AD110,'All Donations'!$T$2:$T$4001,J$1))</f>
        <v/>
      </c>
      <c r="K110" s="49">
        <f>IF(OR($AE110&lt;&gt;1,K$1=""),"",SUMIFS('All Donations'!$S$2:$S$4001,'All Donations'!$R$2:$R$4001,$AD110,'All Donations'!$T$2:$T$4001,K$1))</f>
        <v/>
      </c>
      <c r="L110" s="49">
        <f>IF(OR($AE110&lt;&gt;1,L$1=""),"",SUMIFS('All Donations'!$S$2:$S$4001,'All Donations'!$R$2:$R$4001,$AD110,'All Donations'!$T$2:$T$4001,L$1))</f>
        <v/>
      </c>
      <c r="M110" s="49">
        <f>IF(OR($AE110&lt;&gt;1,M$1=""),"",SUMIFS('All Donations'!$S$2:$S$4001,'All Donations'!$R$2:$R$4001,$AD110,'All Donations'!$T$2:$T$4001,M$1))</f>
        <v/>
      </c>
      <c r="N110" s="49">
        <f>IF(OR($AE110&lt;&gt;1,N$1=""),"",SUMIFS('All Donations'!$S$2:$S$4001,'All Donations'!$R$2:$R$4001,$AD110,'All Donations'!$T$2:$T$4001,N$1))</f>
        <v/>
      </c>
      <c r="O110" s="49">
        <f>IF(OR($AE110&lt;&gt;1,O$1=""),"",SUMIFS('All Donations'!$S$2:$S$4001,'All Donations'!$R$2:$R$4001,$AD110,'All Donations'!$T$2:$T$4001,O$1))</f>
        <v/>
      </c>
      <c r="P110" s="49">
        <f>IF(OR($AE110&lt;&gt;1,P$1=""),"",SUMIFS('All Donations'!$S$2:$S$4001,'All Donations'!$R$2:$R$4001,$AD110,'All Donations'!$T$2:$T$4001,P$1))</f>
        <v/>
      </c>
      <c r="Q110" s="49">
        <f>IF(OR($AE110&lt;&gt;1,Q$1=""),"",SUMIFS('All Donations'!$S$2:$S$4001,'All Donations'!$R$2:$R$4001,$AD110,'All Donations'!$T$2:$T$4001,Q$1))</f>
        <v/>
      </c>
      <c r="R110" s="49">
        <f>IF(OR($AE110&lt;&gt;1,R$1=""),"",SUMIFS('All Donations'!$S$2:$S$4001,'All Donations'!$R$2:$R$4001,$AD110,'All Donations'!$T$2:$T$4001,R$1))</f>
        <v/>
      </c>
      <c r="S110" s="49">
        <f>IF(OR($AE110&lt;&gt;1,S$1=""),"",SUMIFS('All Donations'!$S$2:$S$4001,'All Donations'!$R$2:$R$4001,$AD110,'All Donations'!$T$2:$T$4001,S$1))</f>
        <v/>
      </c>
      <c r="T110" s="49">
        <f>IF(OR($AE110&lt;&gt;1,T$1=""),"",SUMIFS('All Donations'!$S$2:$S$4001,'All Donations'!$R$2:$R$4001,$AD110,'All Donations'!$T$2:$T$4001,T$1))</f>
        <v/>
      </c>
      <c r="U110" s="49">
        <f>IF(OR($AE110&lt;&gt;1,U$1=""),"",SUMIFS('All Donations'!$S$2:$S$4001,'All Donations'!$R$2:$R$4001,$AD110,'All Donations'!$T$2:$T$4001,U$1))</f>
        <v/>
      </c>
      <c r="V110" s="49">
        <f>IF(OR($AE110&lt;&gt;1,V$1=""),"",SUMIFS('All Donations'!$S$2:$S$4001,'All Donations'!$R$2:$R$4001,$AD110,'All Donations'!$T$2:$T$4001,V$1))</f>
        <v/>
      </c>
      <c r="W110" s="49">
        <f>IF(OR($AE110&lt;&gt;1,W$1=""),"",SUMIFS('All Donations'!$S$2:$S$4001,'All Donations'!$R$2:$R$4001,$AD110,'All Donations'!$T$2:$T$4001,W$1))</f>
        <v/>
      </c>
      <c r="X110" s="49">
        <f>IF(OR($AE110&lt;&gt;1,X$1=""),"",SUMIFS('All Donations'!$S$2:$S$4001,'All Donations'!$R$2:$R$4001,$AD110,'All Donations'!$T$2:$T$4001,X$1))</f>
        <v/>
      </c>
      <c r="Y110" s="49">
        <f>IF(OR($AE110&lt;&gt;1,Y$1=""),"",SUMIFS('All Donations'!$S$2:$S$4001,'All Donations'!$R$2:$R$4001,$AD110,'All Donations'!$T$2:$T$4001,Y$1))</f>
        <v/>
      </c>
      <c r="Z110" s="49">
        <f>IF(OR($AE110&lt;&gt;1,Z$1=""),"",SUMIFS('All Donations'!$S$2:$S$4001,'All Donations'!$R$2:$R$4001,$AD110,'All Donations'!$T$2:$T$4001,Z$1))</f>
        <v/>
      </c>
      <c r="AA110" s="49">
        <f>IF(OR($AE110&lt;&gt;1,AA$1=""),"",SUMIFS('All Donations'!$S$2:$S$4001,'All Donations'!$R$2:$R$4001,$AD110,'All Donations'!$T$2:$T$4001,AA$1))</f>
        <v/>
      </c>
      <c r="AB110" s="49">
        <f>IF(OR($AE110&lt;&gt;1,AB$1=""),"",SUMIFS('All Donations'!$S$2:$S$4001,'All Donations'!$R$2:$R$4001,$AD110,'All Donations'!$T$2:$T$4001,AB$1))</f>
        <v/>
      </c>
      <c r="AC110" s="49">
        <f>IF(OR($AE110&lt;&gt;1,AC$1=""),"",SUMIFS('All Donations'!$S$2:$S$4001,'All Donations'!$R$2:$R$4001,$AD110,'All Donations'!$T$2:$T$4001,AC$1))</f>
        <v/>
      </c>
      <c r="AD110">
        <f>IF(AE110=1,'Roster'!A110,"")</f>
        <v/>
      </c>
      <c r="AE110">
        <f>IF(TRIM('Roster'!B110&amp;'Roster'!C110)&lt;&gt;"",1,0)</f>
        <v/>
      </c>
      <c r="AF110">
        <f>IF(AE110=1,LOWER(A110),"#")</f>
        <v/>
      </c>
      <c r="AG110">
        <f>IF(AE110=1,LOWER(TRIM(TRIM('Roster'!C110)&amp;", "&amp;TRIM('Roster'!B110))),"#")</f>
        <v/>
      </c>
      <c r="AH110">
        <f>IF(AND(AE110=1,TRIM('Roster'!F110)&lt;&gt;""),LOWER(TRIM('Roster'!F110)),"#")</f>
        <v/>
      </c>
      <c r="AI110">
        <f>IF(AE110=1,IF(MATCH(B110,$B$2:$B$701,0)=ROW()-1,1,0),0)</f>
        <v/>
      </c>
      <c r="AJ110">
        <f>AJ109+AI110</f>
        <v/>
      </c>
      <c r="AK110">
        <f>IF(AE110=1,D110+(1000-ROW())/10^7,-1)</f>
        <v/>
      </c>
      <c r="AL110">
        <f>IF(AE110=1,TRIM('Roster'!B110)&amp;" "&amp;LEFT(TRIM('Roster'!C110),1)&amp;".","")</f>
        <v/>
      </c>
      <c r="AM110">
        <f>IF(AE110=1,TRIM('Roster'!C110)&amp;", "&amp;TRIM('Roster'!B110)&amp;" ("&amp;B110&amp;") #"&amp;AD110,"")</f>
        <v/>
      </c>
      <c r="AN110">
        <f>IF(AE110=1,TRIM('Roster'!E110),"")</f>
        <v/>
      </c>
      <c r="AO110">
        <f>IF(AE110=1,ROUND(SUMIFS('All Donations'!$S$2:$S$4001,'All Donations'!$R$2:$R$4001,AD110,'All Donations'!$T$2:$T$4001,"&gt;="&amp;'Settings'!$C$23,'All Donations'!$T$2:$T$4001,"&lt;="&amp;'Settings'!$D$23),2),0)</f>
        <v/>
      </c>
      <c r="AQ110">
        <f>IF(AE110=1,ROUND(SUMIFS('All Donations'!$S$2:$S$4001,'All Donations'!$R$2:$R$4001,AD110,'All Donations'!$T$2:$T$4001,"&gt;="&amp;'Settings'!$C$25,'All Donations'!$T$2:$T$4001,"&lt;="&amp;'Settings'!$D$25),2),0)</f>
        <v/>
      </c>
      <c r="AR110">
        <f>IF(AE110=1,ROUND(SUMIFS('All Donations'!$S$2:$S$4001,'All Donations'!$R$2:$R$4001,AD110,'All Donations'!$T$2:$T$4001,"&gt;="&amp;'Settings'!$C$26,'All Donations'!$T$2:$T$4001,"&lt;="&amp;'Settings'!$D$26),2),0)</f>
        <v/>
      </c>
      <c r="AS110">
        <f>IF(AE110=1,ROUND(SUMIFS('All Donations'!$S$2:$S$4001,'All Donations'!$R$2:$R$4001,AD110,'All Donations'!$T$2:$T$4001,"&lt;="&amp;'Settings'!$D$27),2),0)</f>
        <v/>
      </c>
      <c r="AT110">
        <f>IF(AE110=1,ROUND(SUMIFS('All Donations'!$S$2:$S$4001,'All Donations'!$R$2:$R$4001,AD110,'All Donations'!$T$2:$T$4001,"&gt;="&amp;'Settings'!$C$28,'All Donations'!$T$2:$T$4001,"&lt;="&amp;'Settings'!$D$28),2),0)</f>
        <v/>
      </c>
      <c r="AU110">
        <f>IF(AE110=1,ROUND(SUMIFS('All Donations'!$S$2:$S$4001,'All Donations'!$R$2:$R$4001,AD110,'All Donations'!$T$2:$T$4001,"&gt;="&amp;'Settings'!$C$29,'All Donations'!$T$2:$T$4001,"&lt;="&amp;'Settings'!$D$29),2),0)</f>
        <v/>
      </c>
      <c r="AV110">
        <f>IF(AE110=1,ROUND(SUMIFS('All Donations'!$S$2:$S$4001,'All Donations'!$R$2:$R$4001,AD110,'All Donations'!$T$2:$T$4001,"&lt;="&amp;'Settings'!$D$30),2),0)</f>
        <v/>
      </c>
      <c r="AZ110">
        <f>IF(AE110=1,ROUND(SUMIFS('All Donations'!$S$2:$S$4001,'All Donations'!$R$2:$R$4001,AD110,'All Donations'!$T$2:$T$4001,"&lt;="&amp;'Settings'!$D$34),2),0)</f>
        <v/>
      </c>
    </row>
    <row r="111">
      <c r="A111">
        <f>IF(AE111=1,TRIM(TRIM('Roster'!B111)&amp;" "&amp;TRIM('Roster'!C111)),"")</f>
        <v/>
      </c>
      <c r="B111">
        <f>IF(AE111=1,IF(AN111="","(no teacher)",AN111&amp;" – "&amp;C111),"")</f>
        <v/>
      </c>
      <c r="C111">
        <f>IF(AE111=1,TRIM('Roster'!D111&amp;""),"")</f>
        <v/>
      </c>
      <c r="D111" s="48">
        <f>IF(AE111=1,ROUND(SUMIFS('All Donations'!$S$2:$S$4001,'All Donations'!$R$2:$R$4001,AD111),2),"")</f>
        <v/>
      </c>
      <c r="E111" s="48">
        <f>IF(AE111=1,ROUND(SUMIFS('All Donations'!$S$2:$S$4001,'All Donations'!$R$2:$R$4001,AD111,'All Donations'!$G$2:$G$4001,"OneCause"),2),"")</f>
        <v/>
      </c>
      <c r="F111" s="48">
        <f>IF(AE111=1,D111-E111,"")</f>
        <v/>
      </c>
      <c r="G111">
        <f>IF(AE111=1,COUNTIFS('All Donations'!$R$2:$R$4001,AD111,'All Donations'!$H$2:$H$4001,"OK"),"")</f>
        <v/>
      </c>
      <c r="H111">
        <f>IF(AE111&lt;&gt;1,"",IF(D111&gt;0,"Yes",""))</f>
        <v/>
      </c>
      <c r="I111" s="49">
        <f>IF(OR($AE111&lt;&gt;1,I$1=""),"",SUMIFS('All Donations'!$S$2:$S$4001,'All Donations'!$R$2:$R$4001,$AD111,'All Donations'!$T$2:$T$4001,I$1))</f>
        <v/>
      </c>
      <c r="J111" s="49">
        <f>IF(OR($AE111&lt;&gt;1,J$1=""),"",SUMIFS('All Donations'!$S$2:$S$4001,'All Donations'!$R$2:$R$4001,$AD111,'All Donations'!$T$2:$T$4001,J$1))</f>
        <v/>
      </c>
      <c r="K111" s="49">
        <f>IF(OR($AE111&lt;&gt;1,K$1=""),"",SUMIFS('All Donations'!$S$2:$S$4001,'All Donations'!$R$2:$R$4001,$AD111,'All Donations'!$T$2:$T$4001,K$1))</f>
        <v/>
      </c>
      <c r="L111" s="49">
        <f>IF(OR($AE111&lt;&gt;1,L$1=""),"",SUMIFS('All Donations'!$S$2:$S$4001,'All Donations'!$R$2:$R$4001,$AD111,'All Donations'!$T$2:$T$4001,L$1))</f>
        <v/>
      </c>
      <c r="M111" s="49">
        <f>IF(OR($AE111&lt;&gt;1,M$1=""),"",SUMIFS('All Donations'!$S$2:$S$4001,'All Donations'!$R$2:$R$4001,$AD111,'All Donations'!$T$2:$T$4001,M$1))</f>
        <v/>
      </c>
      <c r="N111" s="49">
        <f>IF(OR($AE111&lt;&gt;1,N$1=""),"",SUMIFS('All Donations'!$S$2:$S$4001,'All Donations'!$R$2:$R$4001,$AD111,'All Donations'!$T$2:$T$4001,N$1))</f>
        <v/>
      </c>
      <c r="O111" s="49">
        <f>IF(OR($AE111&lt;&gt;1,O$1=""),"",SUMIFS('All Donations'!$S$2:$S$4001,'All Donations'!$R$2:$R$4001,$AD111,'All Donations'!$T$2:$T$4001,O$1))</f>
        <v/>
      </c>
      <c r="P111" s="49">
        <f>IF(OR($AE111&lt;&gt;1,P$1=""),"",SUMIFS('All Donations'!$S$2:$S$4001,'All Donations'!$R$2:$R$4001,$AD111,'All Donations'!$T$2:$T$4001,P$1))</f>
        <v/>
      </c>
      <c r="Q111" s="49">
        <f>IF(OR($AE111&lt;&gt;1,Q$1=""),"",SUMIFS('All Donations'!$S$2:$S$4001,'All Donations'!$R$2:$R$4001,$AD111,'All Donations'!$T$2:$T$4001,Q$1))</f>
        <v/>
      </c>
      <c r="R111" s="49">
        <f>IF(OR($AE111&lt;&gt;1,R$1=""),"",SUMIFS('All Donations'!$S$2:$S$4001,'All Donations'!$R$2:$R$4001,$AD111,'All Donations'!$T$2:$T$4001,R$1))</f>
        <v/>
      </c>
      <c r="S111" s="49">
        <f>IF(OR($AE111&lt;&gt;1,S$1=""),"",SUMIFS('All Donations'!$S$2:$S$4001,'All Donations'!$R$2:$R$4001,$AD111,'All Donations'!$T$2:$T$4001,S$1))</f>
        <v/>
      </c>
      <c r="T111" s="49">
        <f>IF(OR($AE111&lt;&gt;1,T$1=""),"",SUMIFS('All Donations'!$S$2:$S$4001,'All Donations'!$R$2:$R$4001,$AD111,'All Donations'!$T$2:$T$4001,T$1))</f>
        <v/>
      </c>
      <c r="U111" s="49">
        <f>IF(OR($AE111&lt;&gt;1,U$1=""),"",SUMIFS('All Donations'!$S$2:$S$4001,'All Donations'!$R$2:$R$4001,$AD111,'All Donations'!$T$2:$T$4001,U$1))</f>
        <v/>
      </c>
      <c r="V111" s="49">
        <f>IF(OR($AE111&lt;&gt;1,V$1=""),"",SUMIFS('All Donations'!$S$2:$S$4001,'All Donations'!$R$2:$R$4001,$AD111,'All Donations'!$T$2:$T$4001,V$1))</f>
        <v/>
      </c>
      <c r="W111" s="49">
        <f>IF(OR($AE111&lt;&gt;1,W$1=""),"",SUMIFS('All Donations'!$S$2:$S$4001,'All Donations'!$R$2:$R$4001,$AD111,'All Donations'!$T$2:$T$4001,W$1))</f>
        <v/>
      </c>
      <c r="X111" s="49">
        <f>IF(OR($AE111&lt;&gt;1,X$1=""),"",SUMIFS('All Donations'!$S$2:$S$4001,'All Donations'!$R$2:$R$4001,$AD111,'All Donations'!$T$2:$T$4001,X$1))</f>
        <v/>
      </c>
      <c r="Y111" s="49">
        <f>IF(OR($AE111&lt;&gt;1,Y$1=""),"",SUMIFS('All Donations'!$S$2:$S$4001,'All Donations'!$R$2:$R$4001,$AD111,'All Donations'!$T$2:$T$4001,Y$1))</f>
        <v/>
      </c>
      <c r="Z111" s="49">
        <f>IF(OR($AE111&lt;&gt;1,Z$1=""),"",SUMIFS('All Donations'!$S$2:$S$4001,'All Donations'!$R$2:$R$4001,$AD111,'All Donations'!$T$2:$T$4001,Z$1))</f>
        <v/>
      </c>
      <c r="AA111" s="49">
        <f>IF(OR($AE111&lt;&gt;1,AA$1=""),"",SUMIFS('All Donations'!$S$2:$S$4001,'All Donations'!$R$2:$R$4001,$AD111,'All Donations'!$T$2:$T$4001,AA$1))</f>
        <v/>
      </c>
      <c r="AB111" s="49">
        <f>IF(OR($AE111&lt;&gt;1,AB$1=""),"",SUMIFS('All Donations'!$S$2:$S$4001,'All Donations'!$R$2:$R$4001,$AD111,'All Donations'!$T$2:$T$4001,AB$1))</f>
        <v/>
      </c>
      <c r="AC111" s="49">
        <f>IF(OR($AE111&lt;&gt;1,AC$1=""),"",SUMIFS('All Donations'!$S$2:$S$4001,'All Donations'!$R$2:$R$4001,$AD111,'All Donations'!$T$2:$T$4001,AC$1))</f>
        <v/>
      </c>
      <c r="AD111">
        <f>IF(AE111=1,'Roster'!A111,"")</f>
        <v/>
      </c>
      <c r="AE111">
        <f>IF(TRIM('Roster'!B111&amp;'Roster'!C111)&lt;&gt;"",1,0)</f>
        <v/>
      </c>
      <c r="AF111">
        <f>IF(AE111=1,LOWER(A111),"#")</f>
        <v/>
      </c>
      <c r="AG111">
        <f>IF(AE111=1,LOWER(TRIM(TRIM('Roster'!C111)&amp;", "&amp;TRIM('Roster'!B111))),"#")</f>
        <v/>
      </c>
      <c r="AH111">
        <f>IF(AND(AE111=1,TRIM('Roster'!F111)&lt;&gt;""),LOWER(TRIM('Roster'!F111)),"#")</f>
        <v/>
      </c>
      <c r="AI111">
        <f>IF(AE111=1,IF(MATCH(B111,$B$2:$B$701,0)=ROW()-1,1,0),0)</f>
        <v/>
      </c>
      <c r="AJ111">
        <f>AJ110+AI111</f>
        <v/>
      </c>
      <c r="AK111">
        <f>IF(AE111=1,D111+(1000-ROW())/10^7,-1)</f>
        <v/>
      </c>
      <c r="AL111">
        <f>IF(AE111=1,TRIM('Roster'!B111)&amp;" "&amp;LEFT(TRIM('Roster'!C111),1)&amp;".","")</f>
        <v/>
      </c>
      <c r="AM111">
        <f>IF(AE111=1,TRIM('Roster'!C111)&amp;", "&amp;TRIM('Roster'!B111)&amp;" ("&amp;B111&amp;") #"&amp;AD111,"")</f>
        <v/>
      </c>
      <c r="AN111">
        <f>IF(AE111=1,TRIM('Roster'!E111),"")</f>
        <v/>
      </c>
      <c r="AO111">
        <f>IF(AE111=1,ROUND(SUMIFS('All Donations'!$S$2:$S$4001,'All Donations'!$R$2:$R$4001,AD111,'All Donations'!$T$2:$T$4001,"&gt;="&amp;'Settings'!$C$23,'All Donations'!$T$2:$T$4001,"&lt;="&amp;'Settings'!$D$23),2),0)</f>
        <v/>
      </c>
      <c r="AQ111">
        <f>IF(AE111=1,ROUND(SUMIFS('All Donations'!$S$2:$S$4001,'All Donations'!$R$2:$R$4001,AD111,'All Donations'!$T$2:$T$4001,"&gt;="&amp;'Settings'!$C$25,'All Donations'!$T$2:$T$4001,"&lt;="&amp;'Settings'!$D$25),2),0)</f>
        <v/>
      </c>
      <c r="AR111">
        <f>IF(AE111=1,ROUND(SUMIFS('All Donations'!$S$2:$S$4001,'All Donations'!$R$2:$R$4001,AD111,'All Donations'!$T$2:$T$4001,"&gt;="&amp;'Settings'!$C$26,'All Donations'!$T$2:$T$4001,"&lt;="&amp;'Settings'!$D$26),2),0)</f>
        <v/>
      </c>
      <c r="AS111">
        <f>IF(AE111=1,ROUND(SUMIFS('All Donations'!$S$2:$S$4001,'All Donations'!$R$2:$R$4001,AD111,'All Donations'!$T$2:$T$4001,"&lt;="&amp;'Settings'!$D$27),2),0)</f>
        <v/>
      </c>
      <c r="AT111">
        <f>IF(AE111=1,ROUND(SUMIFS('All Donations'!$S$2:$S$4001,'All Donations'!$R$2:$R$4001,AD111,'All Donations'!$T$2:$T$4001,"&gt;="&amp;'Settings'!$C$28,'All Donations'!$T$2:$T$4001,"&lt;="&amp;'Settings'!$D$28),2),0)</f>
        <v/>
      </c>
      <c r="AU111">
        <f>IF(AE111=1,ROUND(SUMIFS('All Donations'!$S$2:$S$4001,'All Donations'!$R$2:$R$4001,AD111,'All Donations'!$T$2:$T$4001,"&gt;="&amp;'Settings'!$C$29,'All Donations'!$T$2:$T$4001,"&lt;="&amp;'Settings'!$D$29),2),0)</f>
        <v/>
      </c>
      <c r="AV111">
        <f>IF(AE111=1,ROUND(SUMIFS('All Donations'!$S$2:$S$4001,'All Donations'!$R$2:$R$4001,AD111,'All Donations'!$T$2:$T$4001,"&lt;="&amp;'Settings'!$D$30),2),0)</f>
        <v/>
      </c>
      <c r="AZ111">
        <f>IF(AE111=1,ROUND(SUMIFS('All Donations'!$S$2:$S$4001,'All Donations'!$R$2:$R$4001,AD111,'All Donations'!$T$2:$T$4001,"&lt;="&amp;'Settings'!$D$34),2),0)</f>
        <v/>
      </c>
    </row>
    <row r="112">
      <c r="A112">
        <f>IF(AE112=1,TRIM(TRIM('Roster'!B112)&amp;" "&amp;TRIM('Roster'!C112)),"")</f>
        <v/>
      </c>
      <c r="B112">
        <f>IF(AE112=1,IF(AN112="","(no teacher)",AN112&amp;" – "&amp;C112),"")</f>
        <v/>
      </c>
      <c r="C112">
        <f>IF(AE112=1,TRIM('Roster'!D112&amp;""),"")</f>
        <v/>
      </c>
      <c r="D112" s="48">
        <f>IF(AE112=1,ROUND(SUMIFS('All Donations'!$S$2:$S$4001,'All Donations'!$R$2:$R$4001,AD112),2),"")</f>
        <v/>
      </c>
      <c r="E112" s="48">
        <f>IF(AE112=1,ROUND(SUMIFS('All Donations'!$S$2:$S$4001,'All Donations'!$R$2:$R$4001,AD112,'All Donations'!$G$2:$G$4001,"OneCause"),2),"")</f>
        <v/>
      </c>
      <c r="F112" s="48">
        <f>IF(AE112=1,D112-E112,"")</f>
        <v/>
      </c>
      <c r="G112">
        <f>IF(AE112=1,COUNTIFS('All Donations'!$R$2:$R$4001,AD112,'All Donations'!$H$2:$H$4001,"OK"),"")</f>
        <v/>
      </c>
      <c r="H112">
        <f>IF(AE112&lt;&gt;1,"",IF(D112&gt;0,"Yes",""))</f>
        <v/>
      </c>
      <c r="I112" s="49">
        <f>IF(OR($AE112&lt;&gt;1,I$1=""),"",SUMIFS('All Donations'!$S$2:$S$4001,'All Donations'!$R$2:$R$4001,$AD112,'All Donations'!$T$2:$T$4001,I$1))</f>
        <v/>
      </c>
      <c r="J112" s="49">
        <f>IF(OR($AE112&lt;&gt;1,J$1=""),"",SUMIFS('All Donations'!$S$2:$S$4001,'All Donations'!$R$2:$R$4001,$AD112,'All Donations'!$T$2:$T$4001,J$1))</f>
        <v/>
      </c>
      <c r="K112" s="49">
        <f>IF(OR($AE112&lt;&gt;1,K$1=""),"",SUMIFS('All Donations'!$S$2:$S$4001,'All Donations'!$R$2:$R$4001,$AD112,'All Donations'!$T$2:$T$4001,K$1))</f>
        <v/>
      </c>
      <c r="L112" s="49">
        <f>IF(OR($AE112&lt;&gt;1,L$1=""),"",SUMIFS('All Donations'!$S$2:$S$4001,'All Donations'!$R$2:$R$4001,$AD112,'All Donations'!$T$2:$T$4001,L$1))</f>
        <v/>
      </c>
      <c r="M112" s="49">
        <f>IF(OR($AE112&lt;&gt;1,M$1=""),"",SUMIFS('All Donations'!$S$2:$S$4001,'All Donations'!$R$2:$R$4001,$AD112,'All Donations'!$T$2:$T$4001,M$1))</f>
        <v/>
      </c>
      <c r="N112" s="49">
        <f>IF(OR($AE112&lt;&gt;1,N$1=""),"",SUMIFS('All Donations'!$S$2:$S$4001,'All Donations'!$R$2:$R$4001,$AD112,'All Donations'!$T$2:$T$4001,N$1))</f>
        <v/>
      </c>
      <c r="O112" s="49">
        <f>IF(OR($AE112&lt;&gt;1,O$1=""),"",SUMIFS('All Donations'!$S$2:$S$4001,'All Donations'!$R$2:$R$4001,$AD112,'All Donations'!$T$2:$T$4001,O$1))</f>
        <v/>
      </c>
      <c r="P112" s="49">
        <f>IF(OR($AE112&lt;&gt;1,P$1=""),"",SUMIFS('All Donations'!$S$2:$S$4001,'All Donations'!$R$2:$R$4001,$AD112,'All Donations'!$T$2:$T$4001,P$1))</f>
        <v/>
      </c>
      <c r="Q112" s="49">
        <f>IF(OR($AE112&lt;&gt;1,Q$1=""),"",SUMIFS('All Donations'!$S$2:$S$4001,'All Donations'!$R$2:$R$4001,$AD112,'All Donations'!$T$2:$T$4001,Q$1))</f>
        <v/>
      </c>
      <c r="R112" s="49">
        <f>IF(OR($AE112&lt;&gt;1,R$1=""),"",SUMIFS('All Donations'!$S$2:$S$4001,'All Donations'!$R$2:$R$4001,$AD112,'All Donations'!$T$2:$T$4001,R$1))</f>
        <v/>
      </c>
      <c r="S112" s="49">
        <f>IF(OR($AE112&lt;&gt;1,S$1=""),"",SUMIFS('All Donations'!$S$2:$S$4001,'All Donations'!$R$2:$R$4001,$AD112,'All Donations'!$T$2:$T$4001,S$1))</f>
        <v/>
      </c>
      <c r="T112" s="49">
        <f>IF(OR($AE112&lt;&gt;1,T$1=""),"",SUMIFS('All Donations'!$S$2:$S$4001,'All Donations'!$R$2:$R$4001,$AD112,'All Donations'!$T$2:$T$4001,T$1))</f>
        <v/>
      </c>
      <c r="U112" s="49">
        <f>IF(OR($AE112&lt;&gt;1,U$1=""),"",SUMIFS('All Donations'!$S$2:$S$4001,'All Donations'!$R$2:$R$4001,$AD112,'All Donations'!$T$2:$T$4001,U$1))</f>
        <v/>
      </c>
      <c r="V112" s="49">
        <f>IF(OR($AE112&lt;&gt;1,V$1=""),"",SUMIFS('All Donations'!$S$2:$S$4001,'All Donations'!$R$2:$R$4001,$AD112,'All Donations'!$T$2:$T$4001,V$1))</f>
        <v/>
      </c>
      <c r="W112" s="49">
        <f>IF(OR($AE112&lt;&gt;1,W$1=""),"",SUMIFS('All Donations'!$S$2:$S$4001,'All Donations'!$R$2:$R$4001,$AD112,'All Donations'!$T$2:$T$4001,W$1))</f>
        <v/>
      </c>
      <c r="X112" s="49">
        <f>IF(OR($AE112&lt;&gt;1,X$1=""),"",SUMIFS('All Donations'!$S$2:$S$4001,'All Donations'!$R$2:$R$4001,$AD112,'All Donations'!$T$2:$T$4001,X$1))</f>
        <v/>
      </c>
      <c r="Y112" s="49">
        <f>IF(OR($AE112&lt;&gt;1,Y$1=""),"",SUMIFS('All Donations'!$S$2:$S$4001,'All Donations'!$R$2:$R$4001,$AD112,'All Donations'!$T$2:$T$4001,Y$1))</f>
        <v/>
      </c>
      <c r="Z112" s="49">
        <f>IF(OR($AE112&lt;&gt;1,Z$1=""),"",SUMIFS('All Donations'!$S$2:$S$4001,'All Donations'!$R$2:$R$4001,$AD112,'All Donations'!$T$2:$T$4001,Z$1))</f>
        <v/>
      </c>
      <c r="AA112" s="49">
        <f>IF(OR($AE112&lt;&gt;1,AA$1=""),"",SUMIFS('All Donations'!$S$2:$S$4001,'All Donations'!$R$2:$R$4001,$AD112,'All Donations'!$T$2:$T$4001,AA$1))</f>
        <v/>
      </c>
      <c r="AB112" s="49">
        <f>IF(OR($AE112&lt;&gt;1,AB$1=""),"",SUMIFS('All Donations'!$S$2:$S$4001,'All Donations'!$R$2:$R$4001,$AD112,'All Donations'!$T$2:$T$4001,AB$1))</f>
        <v/>
      </c>
      <c r="AC112" s="49">
        <f>IF(OR($AE112&lt;&gt;1,AC$1=""),"",SUMIFS('All Donations'!$S$2:$S$4001,'All Donations'!$R$2:$R$4001,$AD112,'All Donations'!$T$2:$T$4001,AC$1))</f>
        <v/>
      </c>
      <c r="AD112">
        <f>IF(AE112=1,'Roster'!A112,"")</f>
        <v/>
      </c>
      <c r="AE112">
        <f>IF(TRIM('Roster'!B112&amp;'Roster'!C112)&lt;&gt;"",1,0)</f>
        <v/>
      </c>
      <c r="AF112">
        <f>IF(AE112=1,LOWER(A112),"#")</f>
        <v/>
      </c>
      <c r="AG112">
        <f>IF(AE112=1,LOWER(TRIM(TRIM('Roster'!C112)&amp;", "&amp;TRIM('Roster'!B112))),"#")</f>
        <v/>
      </c>
      <c r="AH112">
        <f>IF(AND(AE112=1,TRIM('Roster'!F112)&lt;&gt;""),LOWER(TRIM('Roster'!F112)),"#")</f>
        <v/>
      </c>
      <c r="AI112">
        <f>IF(AE112=1,IF(MATCH(B112,$B$2:$B$701,0)=ROW()-1,1,0),0)</f>
        <v/>
      </c>
      <c r="AJ112">
        <f>AJ111+AI112</f>
        <v/>
      </c>
      <c r="AK112">
        <f>IF(AE112=1,D112+(1000-ROW())/10^7,-1)</f>
        <v/>
      </c>
      <c r="AL112">
        <f>IF(AE112=1,TRIM('Roster'!B112)&amp;" "&amp;LEFT(TRIM('Roster'!C112),1)&amp;".","")</f>
        <v/>
      </c>
      <c r="AM112">
        <f>IF(AE112=1,TRIM('Roster'!C112)&amp;", "&amp;TRIM('Roster'!B112)&amp;" ("&amp;B112&amp;") #"&amp;AD112,"")</f>
        <v/>
      </c>
      <c r="AN112">
        <f>IF(AE112=1,TRIM('Roster'!E112),"")</f>
        <v/>
      </c>
      <c r="AO112">
        <f>IF(AE112=1,ROUND(SUMIFS('All Donations'!$S$2:$S$4001,'All Donations'!$R$2:$R$4001,AD112,'All Donations'!$T$2:$T$4001,"&gt;="&amp;'Settings'!$C$23,'All Donations'!$T$2:$T$4001,"&lt;="&amp;'Settings'!$D$23),2),0)</f>
        <v/>
      </c>
      <c r="AQ112">
        <f>IF(AE112=1,ROUND(SUMIFS('All Donations'!$S$2:$S$4001,'All Donations'!$R$2:$R$4001,AD112,'All Donations'!$T$2:$T$4001,"&gt;="&amp;'Settings'!$C$25,'All Donations'!$T$2:$T$4001,"&lt;="&amp;'Settings'!$D$25),2),0)</f>
        <v/>
      </c>
      <c r="AR112">
        <f>IF(AE112=1,ROUND(SUMIFS('All Donations'!$S$2:$S$4001,'All Donations'!$R$2:$R$4001,AD112,'All Donations'!$T$2:$T$4001,"&gt;="&amp;'Settings'!$C$26,'All Donations'!$T$2:$T$4001,"&lt;="&amp;'Settings'!$D$26),2),0)</f>
        <v/>
      </c>
      <c r="AS112">
        <f>IF(AE112=1,ROUND(SUMIFS('All Donations'!$S$2:$S$4001,'All Donations'!$R$2:$R$4001,AD112,'All Donations'!$T$2:$T$4001,"&lt;="&amp;'Settings'!$D$27),2),0)</f>
        <v/>
      </c>
      <c r="AT112">
        <f>IF(AE112=1,ROUND(SUMIFS('All Donations'!$S$2:$S$4001,'All Donations'!$R$2:$R$4001,AD112,'All Donations'!$T$2:$T$4001,"&gt;="&amp;'Settings'!$C$28,'All Donations'!$T$2:$T$4001,"&lt;="&amp;'Settings'!$D$28),2),0)</f>
        <v/>
      </c>
      <c r="AU112">
        <f>IF(AE112=1,ROUND(SUMIFS('All Donations'!$S$2:$S$4001,'All Donations'!$R$2:$R$4001,AD112,'All Donations'!$T$2:$T$4001,"&gt;="&amp;'Settings'!$C$29,'All Donations'!$T$2:$T$4001,"&lt;="&amp;'Settings'!$D$29),2),0)</f>
        <v/>
      </c>
      <c r="AV112">
        <f>IF(AE112=1,ROUND(SUMIFS('All Donations'!$S$2:$S$4001,'All Donations'!$R$2:$R$4001,AD112,'All Donations'!$T$2:$T$4001,"&lt;="&amp;'Settings'!$D$30),2),0)</f>
        <v/>
      </c>
      <c r="AZ112">
        <f>IF(AE112=1,ROUND(SUMIFS('All Donations'!$S$2:$S$4001,'All Donations'!$R$2:$R$4001,AD112,'All Donations'!$T$2:$T$4001,"&lt;="&amp;'Settings'!$D$34),2),0)</f>
        <v/>
      </c>
    </row>
    <row r="113">
      <c r="A113">
        <f>IF(AE113=1,TRIM(TRIM('Roster'!B113)&amp;" "&amp;TRIM('Roster'!C113)),"")</f>
        <v/>
      </c>
      <c r="B113">
        <f>IF(AE113=1,IF(AN113="","(no teacher)",AN113&amp;" – "&amp;C113),"")</f>
        <v/>
      </c>
      <c r="C113">
        <f>IF(AE113=1,TRIM('Roster'!D113&amp;""),"")</f>
        <v/>
      </c>
      <c r="D113" s="48">
        <f>IF(AE113=1,ROUND(SUMIFS('All Donations'!$S$2:$S$4001,'All Donations'!$R$2:$R$4001,AD113),2),"")</f>
        <v/>
      </c>
      <c r="E113" s="48">
        <f>IF(AE113=1,ROUND(SUMIFS('All Donations'!$S$2:$S$4001,'All Donations'!$R$2:$R$4001,AD113,'All Donations'!$G$2:$G$4001,"OneCause"),2),"")</f>
        <v/>
      </c>
      <c r="F113" s="48">
        <f>IF(AE113=1,D113-E113,"")</f>
        <v/>
      </c>
      <c r="G113">
        <f>IF(AE113=1,COUNTIFS('All Donations'!$R$2:$R$4001,AD113,'All Donations'!$H$2:$H$4001,"OK"),"")</f>
        <v/>
      </c>
      <c r="H113">
        <f>IF(AE113&lt;&gt;1,"",IF(D113&gt;0,"Yes",""))</f>
        <v/>
      </c>
      <c r="I113" s="49">
        <f>IF(OR($AE113&lt;&gt;1,I$1=""),"",SUMIFS('All Donations'!$S$2:$S$4001,'All Donations'!$R$2:$R$4001,$AD113,'All Donations'!$T$2:$T$4001,I$1))</f>
        <v/>
      </c>
      <c r="J113" s="49">
        <f>IF(OR($AE113&lt;&gt;1,J$1=""),"",SUMIFS('All Donations'!$S$2:$S$4001,'All Donations'!$R$2:$R$4001,$AD113,'All Donations'!$T$2:$T$4001,J$1))</f>
        <v/>
      </c>
      <c r="K113" s="49">
        <f>IF(OR($AE113&lt;&gt;1,K$1=""),"",SUMIFS('All Donations'!$S$2:$S$4001,'All Donations'!$R$2:$R$4001,$AD113,'All Donations'!$T$2:$T$4001,K$1))</f>
        <v/>
      </c>
      <c r="L113" s="49">
        <f>IF(OR($AE113&lt;&gt;1,L$1=""),"",SUMIFS('All Donations'!$S$2:$S$4001,'All Donations'!$R$2:$R$4001,$AD113,'All Donations'!$T$2:$T$4001,L$1))</f>
        <v/>
      </c>
      <c r="M113" s="49">
        <f>IF(OR($AE113&lt;&gt;1,M$1=""),"",SUMIFS('All Donations'!$S$2:$S$4001,'All Donations'!$R$2:$R$4001,$AD113,'All Donations'!$T$2:$T$4001,M$1))</f>
        <v/>
      </c>
      <c r="N113" s="49">
        <f>IF(OR($AE113&lt;&gt;1,N$1=""),"",SUMIFS('All Donations'!$S$2:$S$4001,'All Donations'!$R$2:$R$4001,$AD113,'All Donations'!$T$2:$T$4001,N$1))</f>
        <v/>
      </c>
      <c r="O113" s="49">
        <f>IF(OR($AE113&lt;&gt;1,O$1=""),"",SUMIFS('All Donations'!$S$2:$S$4001,'All Donations'!$R$2:$R$4001,$AD113,'All Donations'!$T$2:$T$4001,O$1))</f>
        <v/>
      </c>
      <c r="P113" s="49">
        <f>IF(OR($AE113&lt;&gt;1,P$1=""),"",SUMIFS('All Donations'!$S$2:$S$4001,'All Donations'!$R$2:$R$4001,$AD113,'All Donations'!$T$2:$T$4001,P$1))</f>
        <v/>
      </c>
      <c r="Q113" s="49">
        <f>IF(OR($AE113&lt;&gt;1,Q$1=""),"",SUMIFS('All Donations'!$S$2:$S$4001,'All Donations'!$R$2:$R$4001,$AD113,'All Donations'!$T$2:$T$4001,Q$1))</f>
        <v/>
      </c>
      <c r="R113" s="49">
        <f>IF(OR($AE113&lt;&gt;1,R$1=""),"",SUMIFS('All Donations'!$S$2:$S$4001,'All Donations'!$R$2:$R$4001,$AD113,'All Donations'!$T$2:$T$4001,R$1))</f>
        <v/>
      </c>
      <c r="S113" s="49">
        <f>IF(OR($AE113&lt;&gt;1,S$1=""),"",SUMIFS('All Donations'!$S$2:$S$4001,'All Donations'!$R$2:$R$4001,$AD113,'All Donations'!$T$2:$T$4001,S$1))</f>
        <v/>
      </c>
      <c r="T113" s="49">
        <f>IF(OR($AE113&lt;&gt;1,T$1=""),"",SUMIFS('All Donations'!$S$2:$S$4001,'All Donations'!$R$2:$R$4001,$AD113,'All Donations'!$T$2:$T$4001,T$1))</f>
        <v/>
      </c>
      <c r="U113" s="49">
        <f>IF(OR($AE113&lt;&gt;1,U$1=""),"",SUMIFS('All Donations'!$S$2:$S$4001,'All Donations'!$R$2:$R$4001,$AD113,'All Donations'!$T$2:$T$4001,U$1))</f>
        <v/>
      </c>
      <c r="V113" s="49">
        <f>IF(OR($AE113&lt;&gt;1,V$1=""),"",SUMIFS('All Donations'!$S$2:$S$4001,'All Donations'!$R$2:$R$4001,$AD113,'All Donations'!$T$2:$T$4001,V$1))</f>
        <v/>
      </c>
      <c r="W113" s="49">
        <f>IF(OR($AE113&lt;&gt;1,W$1=""),"",SUMIFS('All Donations'!$S$2:$S$4001,'All Donations'!$R$2:$R$4001,$AD113,'All Donations'!$T$2:$T$4001,W$1))</f>
        <v/>
      </c>
      <c r="X113" s="49">
        <f>IF(OR($AE113&lt;&gt;1,X$1=""),"",SUMIFS('All Donations'!$S$2:$S$4001,'All Donations'!$R$2:$R$4001,$AD113,'All Donations'!$T$2:$T$4001,X$1))</f>
        <v/>
      </c>
      <c r="Y113" s="49">
        <f>IF(OR($AE113&lt;&gt;1,Y$1=""),"",SUMIFS('All Donations'!$S$2:$S$4001,'All Donations'!$R$2:$R$4001,$AD113,'All Donations'!$T$2:$T$4001,Y$1))</f>
        <v/>
      </c>
      <c r="Z113" s="49">
        <f>IF(OR($AE113&lt;&gt;1,Z$1=""),"",SUMIFS('All Donations'!$S$2:$S$4001,'All Donations'!$R$2:$R$4001,$AD113,'All Donations'!$T$2:$T$4001,Z$1))</f>
        <v/>
      </c>
      <c r="AA113" s="49">
        <f>IF(OR($AE113&lt;&gt;1,AA$1=""),"",SUMIFS('All Donations'!$S$2:$S$4001,'All Donations'!$R$2:$R$4001,$AD113,'All Donations'!$T$2:$T$4001,AA$1))</f>
        <v/>
      </c>
      <c r="AB113" s="49">
        <f>IF(OR($AE113&lt;&gt;1,AB$1=""),"",SUMIFS('All Donations'!$S$2:$S$4001,'All Donations'!$R$2:$R$4001,$AD113,'All Donations'!$T$2:$T$4001,AB$1))</f>
        <v/>
      </c>
      <c r="AC113" s="49">
        <f>IF(OR($AE113&lt;&gt;1,AC$1=""),"",SUMIFS('All Donations'!$S$2:$S$4001,'All Donations'!$R$2:$R$4001,$AD113,'All Donations'!$T$2:$T$4001,AC$1))</f>
        <v/>
      </c>
      <c r="AD113">
        <f>IF(AE113=1,'Roster'!A113,"")</f>
        <v/>
      </c>
      <c r="AE113">
        <f>IF(TRIM('Roster'!B113&amp;'Roster'!C113)&lt;&gt;"",1,0)</f>
        <v/>
      </c>
      <c r="AF113">
        <f>IF(AE113=1,LOWER(A113),"#")</f>
        <v/>
      </c>
      <c r="AG113">
        <f>IF(AE113=1,LOWER(TRIM(TRIM('Roster'!C113)&amp;", "&amp;TRIM('Roster'!B113))),"#")</f>
        <v/>
      </c>
      <c r="AH113">
        <f>IF(AND(AE113=1,TRIM('Roster'!F113)&lt;&gt;""),LOWER(TRIM('Roster'!F113)),"#")</f>
        <v/>
      </c>
      <c r="AI113">
        <f>IF(AE113=1,IF(MATCH(B113,$B$2:$B$701,0)=ROW()-1,1,0),0)</f>
        <v/>
      </c>
      <c r="AJ113">
        <f>AJ112+AI113</f>
        <v/>
      </c>
      <c r="AK113">
        <f>IF(AE113=1,D113+(1000-ROW())/10^7,-1)</f>
        <v/>
      </c>
      <c r="AL113">
        <f>IF(AE113=1,TRIM('Roster'!B113)&amp;" "&amp;LEFT(TRIM('Roster'!C113),1)&amp;".","")</f>
        <v/>
      </c>
      <c r="AM113">
        <f>IF(AE113=1,TRIM('Roster'!C113)&amp;", "&amp;TRIM('Roster'!B113)&amp;" ("&amp;B113&amp;") #"&amp;AD113,"")</f>
        <v/>
      </c>
      <c r="AN113">
        <f>IF(AE113=1,TRIM('Roster'!E113),"")</f>
        <v/>
      </c>
      <c r="AO113">
        <f>IF(AE113=1,ROUND(SUMIFS('All Donations'!$S$2:$S$4001,'All Donations'!$R$2:$R$4001,AD113,'All Donations'!$T$2:$T$4001,"&gt;="&amp;'Settings'!$C$23,'All Donations'!$T$2:$T$4001,"&lt;="&amp;'Settings'!$D$23),2),0)</f>
        <v/>
      </c>
      <c r="AQ113">
        <f>IF(AE113=1,ROUND(SUMIFS('All Donations'!$S$2:$S$4001,'All Donations'!$R$2:$R$4001,AD113,'All Donations'!$T$2:$T$4001,"&gt;="&amp;'Settings'!$C$25,'All Donations'!$T$2:$T$4001,"&lt;="&amp;'Settings'!$D$25),2),0)</f>
        <v/>
      </c>
      <c r="AR113">
        <f>IF(AE113=1,ROUND(SUMIFS('All Donations'!$S$2:$S$4001,'All Donations'!$R$2:$R$4001,AD113,'All Donations'!$T$2:$T$4001,"&gt;="&amp;'Settings'!$C$26,'All Donations'!$T$2:$T$4001,"&lt;="&amp;'Settings'!$D$26),2),0)</f>
        <v/>
      </c>
      <c r="AS113">
        <f>IF(AE113=1,ROUND(SUMIFS('All Donations'!$S$2:$S$4001,'All Donations'!$R$2:$R$4001,AD113,'All Donations'!$T$2:$T$4001,"&lt;="&amp;'Settings'!$D$27),2),0)</f>
        <v/>
      </c>
      <c r="AT113">
        <f>IF(AE113=1,ROUND(SUMIFS('All Donations'!$S$2:$S$4001,'All Donations'!$R$2:$R$4001,AD113,'All Donations'!$T$2:$T$4001,"&gt;="&amp;'Settings'!$C$28,'All Donations'!$T$2:$T$4001,"&lt;="&amp;'Settings'!$D$28),2),0)</f>
        <v/>
      </c>
      <c r="AU113">
        <f>IF(AE113=1,ROUND(SUMIFS('All Donations'!$S$2:$S$4001,'All Donations'!$R$2:$R$4001,AD113,'All Donations'!$T$2:$T$4001,"&gt;="&amp;'Settings'!$C$29,'All Donations'!$T$2:$T$4001,"&lt;="&amp;'Settings'!$D$29),2),0)</f>
        <v/>
      </c>
      <c r="AV113">
        <f>IF(AE113=1,ROUND(SUMIFS('All Donations'!$S$2:$S$4001,'All Donations'!$R$2:$R$4001,AD113,'All Donations'!$T$2:$T$4001,"&lt;="&amp;'Settings'!$D$30),2),0)</f>
        <v/>
      </c>
      <c r="AZ113">
        <f>IF(AE113=1,ROUND(SUMIFS('All Donations'!$S$2:$S$4001,'All Donations'!$R$2:$R$4001,AD113,'All Donations'!$T$2:$T$4001,"&lt;="&amp;'Settings'!$D$34),2),0)</f>
        <v/>
      </c>
    </row>
    <row r="114">
      <c r="A114">
        <f>IF(AE114=1,TRIM(TRIM('Roster'!B114)&amp;" "&amp;TRIM('Roster'!C114)),"")</f>
        <v/>
      </c>
      <c r="B114">
        <f>IF(AE114=1,IF(AN114="","(no teacher)",AN114&amp;" – "&amp;C114),"")</f>
        <v/>
      </c>
      <c r="C114">
        <f>IF(AE114=1,TRIM('Roster'!D114&amp;""),"")</f>
        <v/>
      </c>
      <c r="D114" s="48">
        <f>IF(AE114=1,ROUND(SUMIFS('All Donations'!$S$2:$S$4001,'All Donations'!$R$2:$R$4001,AD114),2),"")</f>
        <v/>
      </c>
      <c r="E114" s="48">
        <f>IF(AE114=1,ROUND(SUMIFS('All Donations'!$S$2:$S$4001,'All Donations'!$R$2:$R$4001,AD114,'All Donations'!$G$2:$G$4001,"OneCause"),2),"")</f>
        <v/>
      </c>
      <c r="F114" s="48">
        <f>IF(AE114=1,D114-E114,"")</f>
        <v/>
      </c>
      <c r="G114">
        <f>IF(AE114=1,COUNTIFS('All Donations'!$R$2:$R$4001,AD114,'All Donations'!$H$2:$H$4001,"OK"),"")</f>
        <v/>
      </c>
      <c r="H114">
        <f>IF(AE114&lt;&gt;1,"",IF(D114&gt;0,"Yes",""))</f>
        <v/>
      </c>
      <c r="I114" s="49">
        <f>IF(OR($AE114&lt;&gt;1,I$1=""),"",SUMIFS('All Donations'!$S$2:$S$4001,'All Donations'!$R$2:$R$4001,$AD114,'All Donations'!$T$2:$T$4001,I$1))</f>
        <v/>
      </c>
      <c r="J114" s="49">
        <f>IF(OR($AE114&lt;&gt;1,J$1=""),"",SUMIFS('All Donations'!$S$2:$S$4001,'All Donations'!$R$2:$R$4001,$AD114,'All Donations'!$T$2:$T$4001,J$1))</f>
        <v/>
      </c>
      <c r="K114" s="49">
        <f>IF(OR($AE114&lt;&gt;1,K$1=""),"",SUMIFS('All Donations'!$S$2:$S$4001,'All Donations'!$R$2:$R$4001,$AD114,'All Donations'!$T$2:$T$4001,K$1))</f>
        <v/>
      </c>
      <c r="L114" s="49">
        <f>IF(OR($AE114&lt;&gt;1,L$1=""),"",SUMIFS('All Donations'!$S$2:$S$4001,'All Donations'!$R$2:$R$4001,$AD114,'All Donations'!$T$2:$T$4001,L$1))</f>
        <v/>
      </c>
      <c r="M114" s="49">
        <f>IF(OR($AE114&lt;&gt;1,M$1=""),"",SUMIFS('All Donations'!$S$2:$S$4001,'All Donations'!$R$2:$R$4001,$AD114,'All Donations'!$T$2:$T$4001,M$1))</f>
        <v/>
      </c>
      <c r="N114" s="49">
        <f>IF(OR($AE114&lt;&gt;1,N$1=""),"",SUMIFS('All Donations'!$S$2:$S$4001,'All Donations'!$R$2:$R$4001,$AD114,'All Donations'!$T$2:$T$4001,N$1))</f>
        <v/>
      </c>
      <c r="O114" s="49">
        <f>IF(OR($AE114&lt;&gt;1,O$1=""),"",SUMIFS('All Donations'!$S$2:$S$4001,'All Donations'!$R$2:$R$4001,$AD114,'All Donations'!$T$2:$T$4001,O$1))</f>
        <v/>
      </c>
      <c r="P114" s="49">
        <f>IF(OR($AE114&lt;&gt;1,P$1=""),"",SUMIFS('All Donations'!$S$2:$S$4001,'All Donations'!$R$2:$R$4001,$AD114,'All Donations'!$T$2:$T$4001,P$1))</f>
        <v/>
      </c>
      <c r="Q114" s="49">
        <f>IF(OR($AE114&lt;&gt;1,Q$1=""),"",SUMIFS('All Donations'!$S$2:$S$4001,'All Donations'!$R$2:$R$4001,$AD114,'All Donations'!$T$2:$T$4001,Q$1))</f>
        <v/>
      </c>
      <c r="R114" s="49">
        <f>IF(OR($AE114&lt;&gt;1,R$1=""),"",SUMIFS('All Donations'!$S$2:$S$4001,'All Donations'!$R$2:$R$4001,$AD114,'All Donations'!$T$2:$T$4001,R$1))</f>
        <v/>
      </c>
      <c r="S114" s="49">
        <f>IF(OR($AE114&lt;&gt;1,S$1=""),"",SUMIFS('All Donations'!$S$2:$S$4001,'All Donations'!$R$2:$R$4001,$AD114,'All Donations'!$T$2:$T$4001,S$1))</f>
        <v/>
      </c>
      <c r="T114" s="49">
        <f>IF(OR($AE114&lt;&gt;1,T$1=""),"",SUMIFS('All Donations'!$S$2:$S$4001,'All Donations'!$R$2:$R$4001,$AD114,'All Donations'!$T$2:$T$4001,T$1))</f>
        <v/>
      </c>
      <c r="U114" s="49">
        <f>IF(OR($AE114&lt;&gt;1,U$1=""),"",SUMIFS('All Donations'!$S$2:$S$4001,'All Donations'!$R$2:$R$4001,$AD114,'All Donations'!$T$2:$T$4001,U$1))</f>
        <v/>
      </c>
      <c r="V114" s="49">
        <f>IF(OR($AE114&lt;&gt;1,V$1=""),"",SUMIFS('All Donations'!$S$2:$S$4001,'All Donations'!$R$2:$R$4001,$AD114,'All Donations'!$T$2:$T$4001,V$1))</f>
        <v/>
      </c>
      <c r="W114" s="49">
        <f>IF(OR($AE114&lt;&gt;1,W$1=""),"",SUMIFS('All Donations'!$S$2:$S$4001,'All Donations'!$R$2:$R$4001,$AD114,'All Donations'!$T$2:$T$4001,W$1))</f>
        <v/>
      </c>
      <c r="X114" s="49">
        <f>IF(OR($AE114&lt;&gt;1,X$1=""),"",SUMIFS('All Donations'!$S$2:$S$4001,'All Donations'!$R$2:$R$4001,$AD114,'All Donations'!$T$2:$T$4001,X$1))</f>
        <v/>
      </c>
      <c r="Y114" s="49">
        <f>IF(OR($AE114&lt;&gt;1,Y$1=""),"",SUMIFS('All Donations'!$S$2:$S$4001,'All Donations'!$R$2:$R$4001,$AD114,'All Donations'!$T$2:$T$4001,Y$1))</f>
        <v/>
      </c>
      <c r="Z114" s="49">
        <f>IF(OR($AE114&lt;&gt;1,Z$1=""),"",SUMIFS('All Donations'!$S$2:$S$4001,'All Donations'!$R$2:$R$4001,$AD114,'All Donations'!$T$2:$T$4001,Z$1))</f>
        <v/>
      </c>
      <c r="AA114" s="49">
        <f>IF(OR($AE114&lt;&gt;1,AA$1=""),"",SUMIFS('All Donations'!$S$2:$S$4001,'All Donations'!$R$2:$R$4001,$AD114,'All Donations'!$T$2:$T$4001,AA$1))</f>
        <v/>
      </c>
      <c r="AB114" s="49">
        <f>IF(OR($AE114&lt;&gt;1,AB$1=""),"",SUMIFS('All Donations'!$S$2:$S$4001,'All Donations'!$R$2:$R$4001,$AD114,'All Donations'!$T$2:$T$4001,AB$1))</f>
        <v/>
      </c>
      <c r="AC114" s="49">
        <f>IF(OR($AE114&lt;&gt;1,AC$1=""),"",SUMIFS('All Donations'!$S$2:$S$4001,'All Donations'!$R$2:$R$4001,$AD114,'All Donations'!$T$2:$T$4001,AC$1))</f>
        <v/>
      </c>
      <c r="AD114">
        <f>IF(AE114=1,'Roster'!A114,"")</f>
        <v/>
      </c>
      <c r="AE114">
        <f>IF(TRIM('Roster'!B114&amp;'Roster'!C114)&lt;&gt;"",1,0)</f>
        <v/>
      </c>
      <c r="AF114">
        <f>IF(AE114=1,LOWER(A114),"#")</f>
        <v/>
      </c>
      <c r="AG114">
        <f>IF(AE114=1,LOWER(TRIM(TRIM('Roster'!C114)&amp;", "&amp;TRIM('Roster'!B114))),"#")</f>
        <v/>
      </c>
      <c r="AH114">
        <f>IF(AND(AE114=1,TRIM('Roster'!F114)&lt;&gt;""),LOWER(TRIM('Roster'!F114)),"#")</f>
        <v/>
      </c>
      <c r="AI114">
        <f>IF(AE114=1,IF(MATCH(B114,$B$2:$B$701,0)=ROW()-1,1,0),0)</f>
        <v/>
      </c>
      <c r="AJ114">
        <f>AJ113+AI114</f>
        <v/>
      </c>
      <c r="AK114">
        <f>IF(AE114=1,D114+(1000-ROW())/10^7,-1)</f>
        <v/>
      </c>
      <c r="AL114">
        <f>IF(AE114=1,TRIM('Roster'!B114)&amp;" "&amp;LEFT(TRIM('Roster'!C114),1)&amp;".","")</f>
        <v/>
      </c>
      <c r="AM114">
        <f>IF(AE114=1,TRIM('Roster'!C114)&amp;", "&amp;TRIM('Roster'!B114)&amp;" ("&amp;B114&amp;") #"&amp;AD114,"")</f>
        <v/>
      </c>
      <c r="AN114">
        <f>IF(AE114=1,TRIM('Roster'!E114),"")</f>
        <v/>
      </c>
      <c r="AO114">
        <f>IF(AE114=1,ROUND(SUMIFS('All Donations'!$S$2:$S$4001,'All Donations'!$R$2:$R$4001,AD114,'All Donations'!$T$2:$T$4001,"&gt;="&amp;'Settings'!$C$23,'All Donations'!$T$2:$T$4001,"&lt;="&amp;'Settings'!$D$23),2),0)</f>
        <v/>
      </c>
      <c r="AQ114">
        <f>IF(AE114=1,ROUND(SUMIFS('All Donations'!$S$2:$S$4001,'All Donations'!$R$2:$R$4001,AD114,'All Donations'!$T$2:$T$4001,"&gt;="&amp;'Settings'!$C$25,'All Donations'!$T$2:$T$4001,"&lt;="&amp;'Settings'!$D$25),2),0)</f>
        <v/>
      </c>
      <c r="AR114">
        <f>IF(AE114=1,ROUND(SUMIFS('All Donations'!$S$2:$S$4001,'All Donations'!$R$2:$R$4001,AD114,'All Donations'!$T$2:$T$4001,"&gt;="&amp;'Settings'!$C$26,'All Donations'!$T$2:$T$4001,"&lt;="&amp;'Settings'!$D$26),2),0)</f>
        <v/>
      </c>
      <c r="AS114">
        <f>IF(AE114=1,ROUND(SUMIFS('All Donations'!$S$2:$S$4001,'All Donations'!$R$2:$R$4001,AD114,'All Donations'!$T$2:$T$4001,"&lt;="&amp;'Settings'!$D$27),2),0)</f>
        <v/>
      </c>
      <c r="AT114">
        <f>IF(AE114=1,ROUND(SUMIFS('All Donations'!$S$2:$S$4001,'All Donations'!$R$2:$R$4001,AD114,'All Donations'!$T$2:$T$4001,"&gt;="&amp;'Settings'!$C$28,'All Donations'!$T$2:$T$4001,"&lt;="&amp;'Settings'!$D$28),2),0)</f>
        <v/>
      </c>
      <c r="AU114">
        <f>IF(AE114=1,ROUND(SUMIFS('All Donations'!$S$2:$S$4001,'All Donations'!$R$2:$R$4001,AD114,'All Donations'!$T$2:$T$4001,"&gt;="&amp;'Settings'!$C$29,'All Donations'!$T$2:$T$4001,"&lt;="&amp;'Settings'!$D$29),2),0)</f>
        <v/>
      </c>
      <c r="AV114">
        <f>IF(AE114=1,ROUND(SUMIFS('All Donations'!$S$2:$S$4001,'All Donations'!$R$2:$R$4001,AD114,'All Donations'!$T$2:$T$4001,"&lt;="&amp;'Settings'!$D$30),2),0)</f>
        <v/>
      </c>
      <c r="AZ114">
        <f>IF(AE114=1,ROUND(SUMIFS('All Donations'!$S$2:$S$4001,'All Donations'!$R$2:$R$4001,AD114,'All Donations'!$T$2:$T$4001,"&lt;="&amp;'Settings'!$D$34),2),0)</f>
        <v/>
      </c>
    </row>
    <row r="115">
      <c r="A115">
        <f>IF(AE115=1,TRIM(TRIM('Roster'!B115)&amp;" "&amp;TRIM('Roster'!C115)),"")</f>
        <v/>
      </c>
      <c r="B115">
        <f>IF(AE115=1,IF(AN115="","(no teacher)",AN115&amp;" – "&amp;C115),"")</f>
        <v/>
      </c>
      <c r="C115">
        <f>IF(AE115=1,TRIM('Roster'!D115&amp;""),"")</f>
        <v/>
      </c>
      <c r="D115" s="48">
        <f>IF(AE115=1,ROUND(SUMIFS('All Donations'!$S$2:$S$4001,'All Donations'!$R$2:$R$4001,AD115),2),"")</f>
        <v/>
      </c>
      <c r="E115" s="48">
        <f>IF(AE115=1,ROUND(SUMIFS('All Donations'!$S$2:$S$4001,'All Donations'!$R$2:$R$4001,AD115,'All Donations'!$G$2:$G$4001,"OneCause"),2),"")</f>
        <v/>
      </c>
      <c r="F115" s="48">
        <f>IF(AE115=1,D115-E115,"")</f>
        <v/>
      </c>
      <c r="G115">
        <f>IF(AE115=1,COUNTIFS('All Donations'!$R$2:$R$4001,AD115,'All Donations'!$H$2:$H$4001,"OK"),"")</f>
        <v/>
      </c>
      <c r="H115">
        <f>IF(AE115&lt;&gt;1,"",IF(D115&gt;0,"Yes",""))</f>
        <v/>
      </c>
      <c r="I115" s="49">
        <f>IF(OR($AE115&lt;&gt;1,I$1=""),"",SUMIFS('All Donations'!$S$2:$S$4001,'All Donations'!$R$2:$R$4001,$AD115,'All Donations'!$T$2:$T$4001,I$1))</f>
        <v/>
      </c>
      <c r="J115" s="49">
        <f>IF(OR($AE115&lt;&gt;1,J$1=""),"",SUMIFS('All Donations'!$S$2:$S$4001,'All Donations'!$R$2:$R$4001,$AD115,'All Donations'!$T$2:$T$4001,J$1))</f>
        <v/>
      </c>
      <c r="K115" s="49">
        <f>IF(OR($AE115&lt;&gt;1,K$1=""),"",SUMIFS('All Donations'!$S$2:$S$4001,'All Donations'!$R$2:$R$4001,$AD115,'All Donations'!$T$2:$T$4001,K$1))</f>
        <v/>
      </c>
      <c r="L115" s="49">
        <f>IF(OR($AE115&lt;&gt;1,L$1=""),"",SUMIFS('All Donations'!$S$2:$S$4001,'All Donations'!$R$2:$R$4001,$AD115,'All Donations'!$T$2:$T$4001,L$1))</f>
        <v/>
      </c>
      <c r="M115" s="49">
        <f>IF(OR($AE115&lt;&gt;1,M$1=""),"",SUMIFS('All Donations'!$S$2:$S$4001,'All Donations'!$R$2:$R$4001,$AD115,'All Donations'!$T$2:$T$4001,M$1))</f>
        <v/>
      </c>
      <c r="N115" s="49">
        <f>IF(OR($AE115&lt;&gt;1,N$1=""),"",SUMIFS('All Donations'!$S$2:$S$4001,'All Donations'!$R$2:$R$4001,$AD115,'All Donations'!$T$2:$T$4001,N$1))</f>
        <v/>
      </c>
      <c r="O115" s="49">
        <f>IF(OR($AE115&lt;&gt;1,O$1=""),"",SUMIFS('All Donations'!$S$2:$S$4001,'All Donations'!$R$2:$R$4001,$AD115,'All Donations'!$T$2:$T$4001,O$1))</f>
        <v/>
      </c>
      <c r="P115" s="49">
        <f>IF(OR($AE115&lt;&gt;1,P$1=""),"",SUMIFS('All Donations'!$S$2:$S$4001,'All Donations'!$R$2:$R$4001,$AD115,'All Donations'!$T$2:$T$4001,P$1))</f>
        <v/>
      </c>
      <c r="Q115" s="49">
        <f>IF(OR($AE115&lt;&gt;1,Q$1=""),"",SUMIFS('All Donations'!$S$2:$S$4001,'All Donations'!$R$2:$R$4001,$AD115,'All Donations'!$T$2:$T$4001,Q$1))</f>
        <v/>
      </c>
      <c r="R115" s="49">
        <f>IF(OR($AE115&lt;&gt;1,R$1=""),"",SUMIFS('All Donations'!$S$2:$S$4001,'All Donations'!$R$2:$R$4001,$AD115,'All Donations'!$T$2:$T$4001,R$1))</f>
        <v/>
      </c>
      <c r="S115" s="49">
        <f>IF(OR($AE115&lt;&gt;1,S$1=""),"",SUMIFS('All Donations'!$S$2:$S$4001,'All Donations'!$R$2:$R$4001,$AD115,'All Donations'!$T$2:$T$4001,S$1))</f>
        <v/>
      </c>
      <c r="T115" s="49">
        <f>IF(OR($AE115&lt;&gt;1,T$1=""),"",SUMIFS('All Donations'!$S$2:$S$4001,'All Donations'!$R$2:$R$4001,$AD115,'All Donations'!$T$2:$T$4001,T$1))</f>
        <v/>
      </c>
      <c r="U115" s="49">
        <f>IF(OR($AE115&lt;&gt;1,U$1=""),"",SUMIFS('All Donations'!$S$2:$S$4001,'All Donations'!$R$2:$R$4001,$AD115,'All Donations'!$T$2:$T$4001,U$1))</f>
        <v/>
      </c>
      <c r="V115" s="49">
        <f>IF(OR($AE115&lt;&gt;1,V$1=""),"",SUMIFS('All Donations'!$S$2:$S$4001,'All Donations'!$R$2:$R$4001,$AD115,'All Donations'!$T$2:$T$4001,V$1))</f>
        <v/>
      </c>
      <c r="W115" s="49">
        <f>IF(OR($AE115&lt;&gt;1,W$1=""),"",SUMIFS('All Donations'!$S$2:$S$4001,'All Donations'!$R$2:$R$4001,$AD115,'All Donations'!$T$2:$T$4001,W$1))</f>
        <v/>
      </c>
      <c r="X115" s="49">
        <f>IF(OR($AE115&lt;&gt;1,X$1=""),"",SUMIFS('All Donations'!$S$2:$S$4001,'All Donations'!$R$2:$R$4001,$AD115,'All Donations'!$T$2:$T$4001,X$1))</f>
        <v/>
      </c>
      <c r="Y115" s="49">
        <f>IF(OR($AE115&lt;&gt;1,Y$1=""),"",SUMIFS('All Donations'!$S$2:$S$4001,'All Donations'!$R$2:$R$4001,$AD115,'All Donations'!$T$2:$T$4001,Y$1))</f>
        <v/>
      </c>
      <c r="Z115" s="49">
        <f>IF(OR($AE115&lt;&gt;1,Z$1=""),"",SUMIFS('All Donations'!$S$2:$S$4001,'All Donations'!$R$2:$R$4001,$AD115,'All Donations'!$T$2:$T$4001,Z$1))</f>
        <v/>
      </c>
      <c r="AA115" s="49">
        <f>IF(OR($AE115&lt;&gt;1,AA$1=""),"",SUMIFS('All Donations'!$S$2:$S$4001,'All Donations'!$R$2:$R$4001,$AD115,'All Donations'!$T$2:$T$4001,AA$1))</f>
        <v/>
      </c>
      <c r="AB115" s="49">
        <f>IF(OR($AE115&lt;&gt;1,AB$1=""),"",SUMIFS('All Donations'!$S$2:$S$4001,'All Donations'!$R$2:$R$4001,$AD115,'All Donations'!$T$2:$T$4001,AB$1))</f>
        <v/>
      </c>
      <c r="AC115" s="49">
        <f>IF(OR($AE115&lt;&gt;1,AC$1=""),"",SUMIFS('All Donations'!$S$2:$S$4001,'All Donations'!$R$2:$R$4001,$AD115,'All Donations'!$T$2:$T$4001,AC$1))</f>
        <v/>
      </c>
      <c r="AD115">
        <f>IF(AE115=1,'Roster'!A115,"")</f>
        <v/>
      </c>
      <c r="AE115">
        <f>IF(TRIM('Roster'!B115&amp;'Roster'!C115)&lt;&gt;"",1,0)</f>
        <v/>
      </c>
      <c r="AF115">
        <f>IF(AE115=1,LOWER(A115),"#")</f>
        <v/>
      </c>
      <c r="AG115">
        <f>IF(AE115=1,LOWER(TRIM(TRIM('Roster'!C115)&amp;", "&amp;TRIM('Roster'!B115))),"#")</f>
        <v/>
      </c>
      <c r="AH115">
        <f>IF(AND(AE115=1,TRIM('Roster'!F115)&lt;&gt;""),LOWER(TRIM('Roster'!F115)),"#")</f>
        <v/>
      </c>
      <c r="AI115">
        <f>IF(AE115=1,IF(MATCH(B115,$B$2:$B$701,0)=ROW()-1,1,0),0)</f>
        <v/>
      </c>
      <c r="AJ115">
        <f>AJ114+AI115</f>
        <v/>
      </c>
      <c r="AK115">
        <f>IF(AE115=1,D115+(1000-ROW())/10^7,-1)</f>
        <v/>
      </c>
      <c r="AL115">
        <f>IF(AE115=1,TRIM('Roster'!B115)&amp;" "&amp;LEFT(TRIM('Roster'!C115),1)&amp;".","")</f>
        <v/>
      </c>
      <c r="AM115">
        <f>IF(AE115=1,TRIM('Roster'!C115)&amp;", "&amp;TRIM('Roster'!B115)&amp;" ("&amp;B115&amp;") #"&amp;AD115,"")</f>
        <v/>
      </c>
      <c r="AN115">
        <f>IF(AE115=1,TRIM('Roster'!E115),"")</f>
        <v/>
      </c>
      <c r="AO115">
        <f>IF(AE115=1,ROUND(SUMIFS('All Donations'!$S$2:$S$4001,'All Donations'!$R$2:$R$4001,AD115,'All Donations'!$T$2:$T$4001,"&gt;="&amp;'Settings'!$C$23,'All Donations'!$T$2:$T$4001,"&lt;="&amp;'Settings'!$D$23),2),0)</f>
        <v/>
      </c>
      <c r="AQ115">
        <f>IF(AE115=1,ROUND(SUMIFS('All Donations'!$S$2:$S$4001,'All Donations'!$R$2:$R$4001,AD115,'All Donations'!$T$2:$T$4001,"&gt;="&amp;'Settings'!$C$25,'All Donations'!$T$2:$T$4001,"&lt;="&amp;'Settings'!$D$25),2),0)</f>
        <v/>
      </c>
      <c r="AR115">
        <f>IF(AE115=1,ROUND(SUMIFS('All Donations'!$S$2:$S$4001,'All Donations'!$R$2:$R$4001,AD115,'All Donations'!$T$2:$T$4001,"&gt;="&amp;'Settings'!$C$26,'All Donations'!$T$2:$T$4001,"&lt;="&amp;'Settings'!$D$26),2),0)</f>
        <v/>
      </c>
      <c r="AS115">
        <f>IF(AE115=1,ROUND(SUMIFS('All Donations'!$S$2:$S$4001,'All Donations'!$R$2:$R$4001,AD115,'All Donations'!$T$2:$T$4001,"&lt;="&amp;'Settings'!$D$27),2),0)</f>
        <v/>
      </c>
      <c r="AT115">
        <f>IF(AE115=1,ROUND(SUMIFS('All Donations'!$S$2:$S$4001,'All Donations'!$R$2:$R$4001,AD115,'All Donations'!$T$2:$T$4001,"&gt;="&amp;'Settings'!$C$28,'All Donations'!$T$2:$T$4001,"&lt;="&amp;'Settings'!$D$28),2),0)</f>
        <v/>
      </c>
      <c r="AU115">
        <f>IF(AE115=1,ROUND(SUMIFS('All Donations'!$S$2:$S$4001,'All Donations'!$R$2:$R$4001,AD115,'All Donations'!$T$2:$T$4001,"&gt;="&amp;'Settings'!$C$29,'All Donations'!$T$2:$T$4001,"&lt;="&amp;'Settings'!$D$29),2),0)</f>
        <v/>
      </c>
      <c r="AV115">
        <f>IF(AE115=1,ROUND(SUMIFS('All Donations'!$S$2:$S$4001,'All Donations'!$R$2:$R$4001,AD115,'All Donations'!$T$2:$T$4001,"&lt;="&amp;'Settings'!$D$30),2),0)</f>
        <v/>
      </c>
      <c r="AZ115">
        <f>IF(AE115=1,ROUND(SUMIFS('All Donations'!$S$2:$S$4001,'All Donations'!$R$2:$R$4001,AD115,'All Donations'!$T$2:$T$4001,"&lt;="&amp;'Settings'!$D$34),2),0)</f>
        <v/>
      </c>
    </row>
    <row r="116">
      <c r="A116">
        <f>IF(AE116=1,TRIM(TRIM('Roster'!B116)&amp;" "&amp;TRIM('Roster'!C116)),"")</f>
        <v/>
      </c>
      <c r="B116">
        <f>IF(AE116=1,IF(AN116="","(no teacher)",AN116&amp;" – "&amp;C116),"")</f>
        <v/>
      </c>
      <c r="C116">
        <f>IF(AE116=1,TRIM('Roster'!D116&amp;""),"")</f>
        <v/>
      </c>
      <c r="D116" s="48">
        <f>IF(AE116=1,ROUND(SUMIFS('All Donations'!$S$2:$S$4001,'All Donations'!$R$2:$R$4001,AD116),2),"")</f>
        <v/>
      </c>
      <c r="E116" s="48">
        <f>IF(AE116=1,ROUND(SUMIFS('All Donations'!$S$2:$S$4001,'All Donations'!$R$2:$R$4001,AD116,'All Donations'!$G$2:$G$4001,"OneCause"),2),"")</f>
        <v/>
      </c>
      <c r="F116" s="48">
        <f>IF(AE116=1,D116-E116,"")</f>
        <v/>
      </c>
      <c r="G116">
        <f>IF(AE116=1,COUNTIFS('All Donations'!$R$2:$R$4001,AD116,'All Donations'!$H$2:$H$4001,"OK"),"")</f>
        <v/>
      </c>
      <c r="H116">
        <f>IF(AE116&lt;&gt;1,"",IF(D116&gt;0,"Yes",""))</f>
        <v/>
      </c>
      <c r="I116" s="49">
        <f>IF(OR($AE116&lt;&gt;1,I$1=""),"",SUMIFS('All Donations'!$S$2:$S$4001,'All Donations'!$R$2:$R$4001,$AD116,'All Donations'!$T$2:$T$4001,I$1))</f>
        <v/>
      </c>
      <c r="J116" s="49">
        <f>IF(OR($AE116&lt;&gt;1,J$1=""),"",SUMIFS('All Donations'!$S$2:$S$4001,'All Donations'!$R$2:$R$4001,$AD116,'All Donations'!$T$2:$T$4001,J$1))</f>
        <v/>
      </c>
      <c r="K116" s="49">
        <f>IF(OR($AE116&lt;&gt;1,K$1=""),"",SUMIFS('All Donations'!$S$2:$S$4001,'All Donations'!$R$2:$R$4001,$AD116,'All Donations'!$T$2:$T$4001,K$1))</f>
        <v/>
      </c>
      <c r="L116" s="49">
        <f>IF(OR($AE116&lt;&gt;1,L$1=""),"",SUMIFS('All Donations'!$S$2:$S$4001,'All Donations'!$R$2:$R$4001,$AD116,'All Donations'!$T$2:$T$4001,L$1))</f>
        <v/>
      </c>
      <c r="M116" s="49">
        <f>IF(OR($AE116&lt;&gt;1,M$1=""),"",SUMIFS('All Donations'!$S$2:$S$4001,'All Donations'!$R$2:$R$4001,$AD116,'All Donations'!$T$2:$T$4001,M$1))</f>
        <v/>
      </c>
      <c r="N116" s="49">
        <f>IF(OR($AE116&lt;&gt;1,N$1=""),"",SUMIFS('All Donations'!$S$2:$S$4001,'All Donations'!$R$2:$R$4001,$AD116,'All Donations'!$T$2:$T$4001,N$1))</f>
        <v/>
      </c>
      <c r="O116" s="49">
        <f>IF(OR($AE116&lt;&gt;1,O$1=""),"",SUMIFS('All Donations'!$S$2:$S$4001,'All Donations'!$R$2:$R$4001,$AD116,'All Donations'!$T$2:$T$4001,O$1))</f>
        <v/>
      </c>
      <c r="P116" s="49">
        <f>IF(OR($AE116&lt;&gt;1,P$1=""),"",SUMIFS('All Donations'!$S$2:$S$4001,'All Donations'!$R$2:$R$4001,$AD116,'All Donations'!$T$2:$T$4001,P$1))</f>
        <v/>
      </c>
      <c r="Q116" s="49">
        <f>IF(OR($AE116&lt;&gt;1,Q$1=""),"",SUMIFS('All Donations'!$S$2:$S$4001,'All Donations'!$R$2:$R$4001,$AD116,'All Donations'!$T$2:$T$4001,Q$1))</f>
        <v/>
      </c>
      <c r="R116" s="49">
        <f>IF(OR($AE116&lt;&gt;1,R$1=""),"",SUMIFS('All Donations'!$S$2:$S$4001,'All Donations'!$R$2:$R$4001,$AD116,'All Donations'!$T$2:$T$4001,R$1))</f>
        <v/>
      </c>
      <c r="S116" s="49">
        <f>IF(OR($AE116&lt;&gt;1,S$1=""),"",SUMIFS('All Donations'!$S$2:$S$4001,'All Donations'!$R$2:$R$4001,$AD116,'All Donations'!$T$2:$T$4001,S$1))</f>
        <v/>
      </c>
      <c r="T116" s="49">
        <f>IF(OR($AE116&lt;&gt;1,T$1=""),"",SUMIFS('All Donations'!$S$2:$S$4001,'All Donations'!$R$2:$R$4001,$AD116,'All Donations'!$T$2:$T$4001,T$1))</f>
        <v/>
      </c>
      <c r="U116" s="49">
        <f>IF(OR($AE116&lt;&gt;1,U$1=""),"",SUMIFS('All Donations'!$S$2:$S$4001,'All Donations'!$R$2:$R$4001,$AD116,'All Donations'!$T$2:$T$4001,U$1))</f>
        <v/>
      </c>
      <c r="V116" s="49">
        <f>IF(OR($AE116&lt;&gt;1,V$1=""),"",SUMIFS('All Donations'!$S$2:$S$4001,'All Donations'!$R$2:$R$4001,$AD116,'All Donations'!$T$2:$T$4001,V$1))</f>
        <v/>
      </c>
      <c r="W116" s="49">
        <f>IF(OR($AE116&lt;&gt;1,W$1=""),"",SUMIFS('All Donations'!$S$2:$S$4001,'All Donations'!$R$2:$R$4001,$AD116,'All Donations'!$T$2:$T$4001,W$1))</f>
        <v/>
      </c>
      <c r="X116" s="49">
        <f>IF(OR($AE116&lt;&gt;1,X$1=""),"",SUMIFS('All Donations'!$S$2:$S$4001,'All Donations'!$R$2:$R$4001,$AD116,'All Donations'!$T$2:$T$4001,X$1))</f>
        <v/>
      </c>
      <c r="Y116" s="49">
        <f>IF(OR($AE116&lt;&gt;1,Y$1=""),"",SUMIFS('All Donations'!$S$2:$S$4001,'All Donations'!$R$2:$R$4001,$AD116,'All Donations'!$T$2:$T$4001,Y$1))</f>
        <v/>
      </c>
      <c r="Z116" s="49">
        <f>IF(OR($AE116&lt;&gt;1,Z$1=""),"",SUMIFS('All Donations'!$S$2:$S$4001,'All Donations'!$R$2:$R$4001,$AD116,'All Donations'!$T$2:$T$4001,Z$1))</f>
        <v/>
      </c>
      <c r="AA116" s="49">
        <f>IF(OR($AE116&lt;&gt;1,AA$1=""),"",SUMIFS('All Donations'!$S$2:$S$4001,'All Donations'!$R$2:$R$4001,$AD116,'All Donations'!$T$2:$T$4001,AA$1))</f>
        <v/>
      </c>
      <c r="AB116" s="49">
        <f>IF(OR($AE116&lt;&gt;1,AB$1=""),"",SUMIFS('All Donations'!$S$2:$S$4001,'All Donations'!$R$2:$R$4001,$AD116,'All Donations'!$T$2:$T$4001,AB$1))</f>
        <v/>
      </c>
      <c r="AC116" s="49">
        <f>IF(OR($AE116&lt;&gt;1,AC$1=""),"",SUMIFS('All Donations'!$S$2:$S$4001,'All Donations'!$R$2:$R$4001,$AD116,'All Donations'!$T$2:$T$4001,AC$1))</f>
        <v/>
      </c>
      <c r="AD116">
        <f>IF(AE116=1,'Roster'!A116,"")</f>
        <v/>
      </c>
      <c r="AE116">
        <f>IF(TRIM('Roster'!B116&amp;'Roster'!C116)&lt;&gt;"",1,0)</f>
        <v/>
      </c>
      <c r="AF116">
        <f>IF(AE116=1,LOWER(A116),"#")</f>
        <v/>
      </c>
      <c r="AG116">
        <f>IF(AE116=1,LOWER(TRIM(TRIM('Roster'!C116)&amp;", "&amp;TRIM('Roster'!B116))),"#")</f>
        <v/>
      </c>
      <c r="AH116">
        <f>IF(AND(AE116=1,TRIM('Roster'!F116)&lt;&gt;""),LOWER(TRIM('Roster'!F116)),"#")</f>
        <v/>
      </c>
      <c r="AI116">
        <f>IF(AE116=1,IF(MATCH(B116,$B$2:$B$701,0)=ROW()-1,1,0),0)</f>
        <v/>
      </c>
      <c r="AJ116">
        <f>AJ115+AI116</f>
        <v/>
      </c>
      <c r="AK116">
        <f>IF(AE116=1,D116+(1000-ROW())/10^7,-1)</f>
        <v/>
      </c>
      <c r="AL116">
        <f>IF(AE116=1,TRIM('Roster'!B116)&amp;" "&amp;LEFT(TRIM('Roster'!C116),1)&amp;".","")</f>
        <v/>
      </c>
      <c r="AM116">
        <f>IF(AE116=1,TRIM('Roster'!C116)&amp;", "&amp;TRIM('Roster'!B116)&amp;" ("&amp;B116&amp;") #"&amp;AD116,"")</f>
        <v/>
      </c>
      <c r="AN116">
        <f>IF(AE116=1,TRIM('Roster'!E116),"")</f>
        <v/>
      </c>
      <c r="AO116">
        <f>IF(AE116=1,ROUND(SUMIFS('All Donations'!$S$2:$S$4001,'All Donations'!$R$2:$R$4001,AD116,'All Donations'!$T$2:$T$4001,"&gt;="&amp;'Settings'!$C$23,'All Donations'!$T$2:$T$4001,"&lt;="&amp;'Settings'!$D$23),2),0)</f>
        <v/>
      </c>
      <c r="AQ116">
        <f>IF(AE116=1,ROUND(SUMIFS('All Donations'!$S$2:$S$4001,'All Donations'!$R$2:$R$4001,AD116,'All Donations'!$T$2:$T$4001,"&gt;="&amp;'Settings'!$C$25,'All Donations'!$T$2:$T$4001,"&lt;="&amp;'Settings'!$D$25),2),0)</f>
        <v/>
      </c>
      <c r="AR116">
        <f>IF(AE116=1,ROUND(SUMIFS('All Donations'!$S$2:$S$4001,'All Donations'!$R$2:$R$4001,AD116,'All Donations'!$T$2:$T$4001,"&gt;="&amp;'Settings'!$C$26,'All Donations'!$T$2:$T$4001,"&lt;="&amp;'Settings'!$D$26),2),0)</f>
        <v/>
      </c>
      <c r="AS116">
        <f>IF(AE116=1,ROUND(SUMIFS('All Donations'!$S$2:$S$4001,'All Donations'!$R$2:$R$4001,AD116,'All Donations'!$T$2:$T$4001,"&lt;="&amp;'Settings'!$D$27),2),0)</f>
        <v/>
      </c>
      <c r="AT116">
        <f>IF(AE116=1,ROUND(SUMIFS('All Donations'!$S$2:$S$4001,'All Donations'!$R$2:$R$4001,AD116,'All Donations'!$T$2:$T$4001,"&gt;="&amp;'Settings'!$C$28,'All Donations'!$T$2:$T$4001,"&lt;="&amp;'Settings'!$D$28),2),0)</f>
        <v/>
      </c>
      <c r="AU116">
        <f>IF(AE116=1,ROUND(SUMIFS('All Donations'!$S$2:$S$4001,'All Donations'!$R$2:$R$4001,AD116,'All Donations'!$T$2:$T$4001,"&gt;="&amp;'Settings'!$C$29,'All Donations'!$T$2:$T$4001,"&lt;="&amp;'Settings'!$D$29),2),0)</f>
        <v/>
      </c>
      <c r="AV116">
        <f>IF(AE116=1,ROUND(SUMIFS('All Donations'!$S$2:$S$4001,'All Donations'!$R$2:$R$4001,AD116,'All Donations'!$T$2:$T$4001,"&lt;="&amp;'Settings'!$D$30),2),0)</f>
        <v/>
      </c>
      <c r="AZ116">
        <f>IF(AE116=1,ROUND(SUMIFS('All Donations'!$S$2:$S$4001,'All Donations'!$R$2:$R$4001,AD116,'All Donations'!$T$2:$T$4001,"&lt;="&amp;'Settings'!$D$34),2),0)</f>
        <v/>
      </c>
    </row>
    <row r="117">
      <c r="A117">
        <f>IF(AE117=1,TRIM(TRIM('Roster'!B117)&amp;" "&amp;TRIM('Roster'!C117)),"")</f>
        <v/>
      </c>
      <c r="B117">
        <f>IF(AE117=1,IF(AN117="","(no teacher)",AN117&amp;" – "&amp;C117),"")</f>
        <v/>
      </c>
      <c r="C117">
        <f>IF(AE117=1,TRIM('Roster'!D117&amp;""),"")</f>
        <v/>
      </c>
      <c r="D117" s="48">
        <f>IF(AE117=1,ROUND(SUMIFS('All Donations'!$S$2:$S$4001,'All Donations'!$R$2:$R$4001,AD117),2),"")</f>
        <v/>
      </c>
      <c r="E117" s="48">
        <f>IF(AE117=1,ROUND(SUMIFS('All Donations'!$S$2:$S$4001,'All Donations'!$R$2:$R$4001,AD117,'All Donations'!$G$2:$G$4001,"OneCause"),2),"")</f>
        <v/>
      </c>
      <c r="F117" s="48">
        <f>IF(AE117=1,D117-E117,"")</f>
        <v/>
      </c>
      <c r="G117">
        <f>IF(AE117=1,COUNTIFS('All Donations'!$R$2:$R$4001,AD117,'All Donations'!$H$2:$H$4001,"OK"),"")</f>
        <v/>
      </c>
      <c r="H117">
        <f>IF(AE117&lt;&gt;1,"",IF(D117&gt;0,"Yes",""))</f>
        <v/>
      </c>
      <c r="I117" s="49">
        <f>IF(OR($AE117&lt;&gt;1,I$1=""),"",SUMIFS('All Donations'!$S$2:$S$4001,'All Donations'!$R$2:$R$4001,$AD117,'All Donations'!$T$2:$T$4001,I$1))</f>
        <v/>
      </c>
      <c r="J117" s="49">
        <f>IF(OR($AE117&lt;&gt;1,J$1=""),"",SUMIFS('All Donations'!$S$2:$S$4001,'All Donations'!$R$2:$R$4001,$AD117,'All Donations'!$T$2:$T$4001,J$1))</f>
        <v/>
      </c>
      <c r="K117" s="49">
        <f>IF(OR($AE117&lt;&gt;1,K$1=""),"",SUMIFS('All Donations'!$S$2:$S$4001,'All Donations'!$R$2:$R$4001,$AD117,'All Donations'!$T$2:$T$4001,K$1))</f>
        <v/>
      </c>
      <c r="L117" s="49">
        <f>IF(OR($AE117&lt;&gt;1,L$1=""),"",SUMIFS('All Donations'!$S$2:$S$4001,'All Donations'!$R$2:$R$4001,$AD117,'All Donations'!$T$2:$T$4001,L$1))</f>
        <v/>
      </c>
      <c r="M117" s="49">
        <f>IF(OR($AE117&lt;&gt;1,M$1=""),"",SUMIFS('All Donations'!$S$2:$S$4001,'All Donations'!$R$2:$R$4001,$AD117,'All Donations'!$T$2:$T$4001,M$1))</f>
        <v/>
      </c>
      <c r="N117" s="49">
        <f>IF(OR($AE117&lt;&gt;1,N$1=""),"",SUMIFS('All Donations'!$S$2:$S$4001,'All Donations'!$R$2:$R$4001,$AD117,'All Donations'!$T$2:$T$4001,N$1))</f>
        <v/>
      </c>
      <c r="O117" s="49">
        <f>IF(OR($AE117&lt;&gt;1,O$1=""),"",SUMIFS('All Donations'!$S$2:$S$4001,'All Donations'!$R$2:$R$4001,$AD117,'All Donations'!$T$2:$T$4001,O$1))</f>
        <v/>
      </c>
      <c r="P117" s="49">
        <f>IF(OR($AE117&lt;&gt;1,P$1=""),"",SUMIFS('All Donations'!$S$2:$S$4001,'All Donations'!$R$2:$R$4001,$AD117,'All Donations'!$T$2:$T$4001,P$1))</f>
        <v/>
      </c>
      <c r="Q117" s="49">
        <f>IF(OR($AE117&lt;&gt;1,Q$1=""),"",SUMIFS('All Donations'!$S$2:$S$4001,'All Donations'!$R$2:$R$4001,$AD117,'All Donations'!$T$2:$T$4001,Q$1))</f>
        <v/>
      </c>
      <c r="R117" s="49">
        <f>IF(OR($AE117&lt;&gt;1,R$1=""),"",SUMIFS('All Donations'!$S$2:$S$4001,'All Donations'!$R$2:$R$4001,$AD117,'All Donations'!$T$2:$T$4001,R$1))</f>
        <v/>
      </c>
      <c r="S117" s="49">
        <f>IF(OR($AE117&lt;&gt;1,S$1=""),"",SUMIFS('All Donations'!$S$2:$S$4001,'All Donations'!$R$2:$R$4001,$AD117,'All Donations'!$T$2:$T$4001,S$1))</f>
        <v/>
      </c>
      <c r="T117" s="49">
        <f>IF(OR($AE117&lt;&gt;1,T$1=""),"",SUMIFS('All Donations'!$S$2:$S$4001,'All Donations'!$R$2:$R$4001,$AD117,'All Donations'!$T$2:$T$4001,T$1))</f>
        <v/>
      </c>
      <c r="U117" s="49">
        <f>IF(OR($AE117&lt;&gt;1,U$1=""),"",SUMIFS('All Donations'!$S$2:$S$4001,'All Donations'!$R$2:$R$4001,$AD117,'All Donations'!$T$2:$T$4001,U$1))</f>
        <v/>
      </c>
      <c r="V117" s="49">
        <f>IF(OR($AE117&lt;&gt;1,V$1=""),"",SUMIFS('All Donations'!$S$2:$S$4001,'All Donations'!$R$2:$R$4001,$AD117,'All Donations'!$T$2:$T$4001,V$1))</f>
        <v/>
      </c>
      <c r="W117" s="49">
        <f>IF(OR($AE117&lt;&gt;1,W$1=""),"",SUMIFS('All Donations'!$S$2:$S$4001,'All Donations'!$R$2:$R$4001,$AD117,'All Donations'!$T$2:$T$4001,W$1))</f>
        <v/>
      </c>
      <c r="X117" s="49">
        <f>IF(OR($AE117&lt;&gt;1,X$1=""),"",SUMIFS('All Donations'!$S$2:$S$4001,'All Donations'!$R$2:$R$4001,$AD117,'All Donations'!$T$2:$T$4001,X$1))</f>
        <v/>
      </c>
      <c r="Y117" s="49">
        <f>IF(OR($AE117&lt;&gt;1,Y$1=""),"",SUMIFS('All Donations'!$S$2:$S$4001,'All Donations'!$R$2:$R$4001,$AD117,'All Donations'!$T$2:$T$4001,Y$1))</f>
        <v/>
      </c>
      <c r="Z117" s="49">
        <f>IF(OR($AE117&lt;&gt;1,Z$1=""),"",SUMIFS('All Donations'!$S$2:$S$4001,'All Donations'!$R$2:$R$4001,$AD117,'All Donations'!$T$2:$T$4001,Z$1))</f>
        <v/>
      </c>
      <c r="AA117" s="49">
        <f>IF(OR($AE117&lt;&gt;1,AA$1=""),"",SUMIFS('All Donations'!$S$2:$S$4001,'All Donations'!$R$2:$R$4001,$AD117,'All Donations'!$T$2:$T$4001,AA$1))</f>
        <v/>
      </c>
      <c r="AB117" s="49">
        <f>IF(OR($AE117&lt;&gt;1,AB$1=""),"",SUMIFS('All Donations'!$S$2:$S$4001,'All Donations'!$R$2:$R$4001,$AD117,'All Donations'!$T$2:$T$4001,AB$1))</f>
        <v/>
      </c>
      <c r="AC117" s="49">
        <f>IF(OR($AE117&lt;&gt;1,AC$1=""),"",SUMIFS('All Donations'!$S$2:$S$4001,'All Donations'!$R$2:$R$4001,$AD117,'All Donations'!$T$2:$T$4001,AC$1))</f>
        <v/>
      </c>
      <c r="AD117">
        <f>IF(AE117=1,'Roster'!A117,"")</f>
        <v/>
      </c>
      <c r="AE117">
        <f>IF(TRIM('Roster'!B117&amp;'Roster'!C117)&lt;&gt;"",1,0)</f>
        <v/>
      </c>
      <c r="AF117">
        <f>IF(AE117=1,LOWER(A117),"#")</f>
        <v/>
      </c>
      <c r="AG117">
        <f>IF(AE117=1,LOWER(TRIM(TRIM('Roster'!C117)&amp;", "&amp;TRIM('Roster'!B117))),"#")</f>
        <v/>
      </c>
      <c r="AH117">
        <f>IF(AND(AE117=1,TRIM('Roster'!F117)&lt;&gt;""),LOWER(TRIM('Roster'!F117)),"#")</f>
        <v/>
      </c>
      <c r="AI117">
        <f>IF(AE117=1,IF(MATCH(B117,$B$2:$B$701,0)=ROW()-1,1,0),0)</f>
        <v/>
      </c>
      <c r="AJ117">
        <f>AJ116+AI117</f>
        <v/>
      </c>
      <c r="AK117">
        <f>IF(AE117=1,D117+(1000-ROW())/10^7,-1)</f>
        <v/>
      </c>
      <c r="AL117">
        <f>IF(AE117=1,TRIM('Roster'!B117)&amp;" "&amp;LEFT(TRIM('Roster'!C117),1)&amp;".","")</f>
        <v/>
      </c>
      <c r="AM117">
        <f>IF(AE117=1,TRIM('Roster'!C117)&amp;", "&amp;TRIM('Roster'!B117)&amp;" ("&amp;B117&amp;") #"&amp;AD117,"")</f>
        <v/>
      </c>
      <c r="AN117">
        <f>IF(AE117=1,TRIM('Roster'!E117),"")</f>
        <v/>
      </c>
      <c r="AO117">
        <f>IF(AE117=1,ROUND(SUMIFS('All Donations'!$S$2:$S$4001,'All Donations'!$R$2:$R$4001,AD117,'All Donations'!$T$2:$T$4001,"&gt;="&amp;'Settings'!$C$23,'All Donations'!$T$2:$T$4001,"&lt;="&amp;'Settings'!$D$23),2),0)</f>
        <v/>
      </c>
      <c r="AQ117">
        <f>IF(AE117=1,ROUND(SUMIFS('All Donations'!$S$2:$S$4001,'All Donations'!$R$2:$R$4001,AD117,'All Donations'!$T$2:$T$4001,"&gt;="&amp;'Settings'!$C$25,'All Donations'!$T$2:$T$4001,"&lt;="&amp;'Settings'!$D$25),2),0)</f>
        <v/>
      </c>
      <c r="AR117">
        <f>IF(AE117=1,ROUND(SUMIFS('All Donations'!$S$2:$S$4001,'All Donations'!$R$2:$R$4001,AD117,'All Donations'!$T$2:$T$4001,"&gt;="&amp;'Settings'!$C$26,'All Donations'!$T$2:$T$4001,"&lt;="&amp;'Settings'!$D$26),2),0)</f>
        <v/>
      </c>
      <c r="AS117">
        <f>IF(AE117=1,ROUND(SUMIFS('All Donations'!$S$2:$S$4001,'All Donations'!$R$2:$R$4001,AD117,'All Donations'!$T$2:$T$4001,"&lt;="&amp;'Settings'!$D$27),2),0)</f>
        <v/>
      </c>
      <c r="AT117">
        <f>IF(AE117=1,ROUND(SUMIFS('All Donations'!$S$2:$S$4001,'All Donations'!$R$2:$R$4001,AD117,'All Donations'!$T$2:$T$4001,"&gt;="&amp;'Settings'!$C$28,'All Donations'!$T$2:$T$4001,"&lt;="&amp;'Settings'!$D$28),2),0)</f>
        <v/>
      </c>
      <c r="AU117">
        <f>IF(AE117=1,ROUND(SUMIFS('All Donations'!$S$2:$S$4001,'All Donations'!$R$2:$R$4001,AD117,'All Donations'!$T$2:$T$4001,"&gt;="&amp;'Settings'!$C$29,'All Donations'!$T$2:$T$4001,"&lt;="&amp;'Settings'!$D$29),2),0)</f>
        <v/>
      </c>
      <c r="AV117">
        <f>IF(AE117=1,ROUND(SUMIFS('All Donations'!$S$2:$S$4001,'All Donations'!$R$2:$R$4001,AD117,'All Donations'!$T$2:$T$4001,"&lt;="&amp;'Settings'!$D$30),2),0)</f>
        <v/>
      </c>
      <c r="AZ117">
        <f>IF(AE117=1,ROUND(SUMIFS('All Donations'!$S$2:$S$4001,'All Donations'!$R$2:$R$4001,AD117,'All Donations'!$T$2:$T$4001,"&lt;="&amp;'Settings'!$D$34),2),0)</f>
        <v/>
      </c>
    </row>
    <row r="118">
      <c r="A118">
        <f>IF(AE118=1,TRIM(TRIM('Roster'!B118)&amp;" "&amp;TRIM('Roster'!C118)),"")</f>
        <v/>
      </c>
      <c r="B118">
        <f>IF(AE118=1,IF(AN118="","(no teacher)",AN118&amp;" – "&amp;C118),"")</f>
        <v/>
      </c>
      <c r="C118">
        <f>IF(AE118=1,TRIM('Roster'!D118&amp;""),"")</f>
        <v/>
      </c>
      <c r="D118" s="48">
        <f>IF(AE118=1,ROUND(SUMIFS('All Donations'!$S$2:$S$4001,'All Donations'!$R$2:$R$4001,AD118),2),"")</f>
        <v/>
      </c>
      <c r="E118" s="48">
        <f>IF(AE118=1,ROUND(SUMIFS('All Donations'!$S$2:$S$4001,'All Donations'!$R$2:$R$4001,AD118,'All Donations'!$G$2:$G$4001,"OneCause"),2),"")</f>
        <v/>
      </c>
      <c r="F118" s="48">
        <f>IF(AE118=1,D118-E118,"")</f>
        <v/>
      </c>
      <c r="G118">
        <f>IF(AE118=1,COUNTIFS('All Donations'!$R$2:$R$4001,AD118,'All Donations'!$H$2:$H$4001,"OK"),"")</f>
        <v/>
      </c>
      <c r="H118">
        <f>IF(AE118&lt;&gt;1,"",IF(D118&gt;0,"Yes",""))</f>
        <v/>
      </c>
      <c r="I118" s="49">
        <f>IF(OR($AE118&lt;&gt;1,I$1=""),"",SUMIFS('All Donations'!$S$2:$S$4001,'All Donations'!$R$2:$R$4001,$AD118,'All Donations'!$T$2:$T$4001,I$1))</f>
        <v/>
      </c>
      <c r="J118" s="49">
        <f>IF(OR($AE118&lt;&gt;1,J$1=""),"",SUMIFS('All Donations'!$S$2:$S$4001,'All Donations'!$R$2:$R$4001,$AD118,'All Donations'!$T$2:$T$4001,J$1))</f>
        <v/>
      </c>
      <c r="K118" s="49">
        <f>IF(OR($AE118&lt;&gt;1,K$1=""),"",SUMIFS('All Donations'!$S$2:$S$4001,'All Donations'!$R$2:$R$4001,$AD118,'All Donations'!$T$2:$T$4001,K$1))</f>
        <v/>
      </c>
      <c r="L118" s="49">
        <f>IF(OR($AE118&lt;&gt;1,L$1=""),"",SUMIFS('All Donations'!$S$2:$S$4001,'All Donations'!$R$2:$R$4001,$AD118,'All Donations'!$T$2:$T$4001,L$1))</f>
        <v/>
      </c>
      <c r="M118" s="49">
        <f>IF(OR($AE118&lt;&gt;1,M$1=""),"",SUMIFS('All Donations'!$S$2:$S$4001,'All Donations'!$R$2:$R$4001,$AD118,'All Donations'!$T$2:$T$4001,M$1))</f>
        <v/>
      </c>
      <c r="N118" s="49">
        <f>IF(OR($AE118&lt;&gt;1,N$1=""),"",SUMIFS('All Donations'!$S$2:$S$4001,'All Donations'!$R$2:$R$4001,$AD118,'All Donations'!$T$2:$T$4001,N$1))</f>
        <v/>
      </c>
      <c r="O118" s="49">
        <f>IF(OR($AE118&lt;&gt;1,O$1=""),"",SUMIFS('All Donations'!$S$2:$S$4001,'All Donations'!$R$2:$R$4001,$AD118,'All Donations'!$T$2:$T$4001,O$1))</f>
        <v/>
      </c>
      <c r="P118" s="49">
        <f>IF(OR($AE118&lt;&gt;1,P$1=""),"",SUMIFS('All Donations'!$S$2:$S$4001,'All Donations'!$R$2:$R$4001,$AD118,'All Donations'!$T$2:$T$4001,P$1))</f>
        <v/>
      </c>
      <c r="Q118" s="49">
        <f>IF(OR($AE118&lt;&gt;1,Q$1=""),"",SUMIFS('All Donations'!$S$2:$S$4001,'All Donations'!$R$2:$R$4001,$AD118,'All Donations'!$T$2:$T$4001,Q$1))</f>
        <v/>
      </c>
      <c r="R118" s="49">
        <f>IF(OR($AE118&lt;&gt;1,R$1=""),"",SUMIFS('All Donations'!$S$2:$S$4001,'All Donations'!$R$2:$R$4001,$AD118,'All Donations'!$T$2:$T$4001,R$1))</f>
        <v/>
      </c>
      <c r="S118" s="49">
        <f>IF(OR($AE118&lt;&gt;1,S$1=""),"",SUMIFS('All Donations'!$S$2:$S$4001,'All Donations'!$R$2:$R$4001,$AD118,'All Donations'!$T$2:$T$4001,S$1))</f>
        <v/>
      </c>
      <c r="T118" s="49">
        <f>IF(OR($AE118&lt;&gt;1,T$1=""),"",SUMIFS('All Donations'!$S$2:$S$4001,'All Donations'!$R$2:$R$4001,$AD118,'All Donations'!$T$2:$T$4001,T$1))</f>
        <v/>
      </c>
      <c r="U118" s="49">
        <f>IF(OR($AE118&lt;&gt;1,U$1=""),"",SUMIFS('All Donations'!$S$2:$S$4001,'All Donations'!$R$2:$R$4001,$AD118,'All Donations'!$T$2:$T$4001,U$1))</f>
        <v/>
      </c>
      <c r="V118" s="49">
        <f>IF(OR($AE118&lt;&gt;1,V$1=""),"",SUMIFS('All Donations'!$S$2:$S$4001,'All Donations'!$R$2:$R$4001,$AD118,'All Donations'!$T$2:$T$4001,V$1))</f>
        <v/>
      </c>
      <c r="W118" s="49">
        <f>IF(OR($AE118&lt;&gt;1,W$1=""),"",SUMIFS('All Donations'!$S$2:$S$4001,'All Donations'!$R$2:$R$4001,$AD118,'All Donations'!$T$2:$T$4001,W$1))</f>
        <v/>
      </c>
      <c r="X118" s="49">
        <f>IF(OR($AE118&lt;&gt;1,X$1=""),"",SUMIFS('All Donations'!$S$2:$S$4001,'All Donations'!$R$2:$R$4001,$AD118,'All Donations'!$T$2:$T$4001,X$1))</f>
        <v/>
      </c>
      <c r="Y118" s="49">
        <f>IF(OR($AE118&lt;&gt;1,Y$1=""),"",SUMIFS('All Donations'!$S$2:$S$4001,'All Donations'!$R$2:$R$4001,$AD118,'All Donations'!$T$2:$T$4001,Y$1))</f>
        <v/>
      </c>
      <c r="Z118" s="49">
        <f>IF(OR($AE118&lt;&gt;1,Z$1=""),"",SUMIFS('All Donations'!$S$2:$S$4001,'All Donations'!$R$2:$R$4001,$AD118,'All Donations'!$T$2:$T$4001,Z$1))</f>
        <v/>
      </c>
      <c r="AA118" s="49">
        <f>IF(OR($AE118&lt;&gt;1,AA$1=""),"",SUMIFS('All Donations'!$S$2:$S$4001,'All Donations'!$R$2:$R$4001,$AD118,'All Donations'!$T$2:$T$4001,AA$1))</f>
        <v/>
      </c>
      <c r="AB118" s="49">
        <f>IF(OR($AE118&lt;&gt;1,AB$1=""),"",SUMIFS('All Donations'!$S$2:$S$4001,'All Donations'!$R$2:$R$4001,$AD118,'All Donations'!$T$2:$T$4001,AB$1))</f>
        <v/>
      </c>
      <c r="AC118" s="49">
        <f>IF(OR($AE118&lt;&gt;1,AC$1=""),"",SUMIFS('All Donations'!$S$2:$S$4001,'All Donations'!$R$2:$R$4001,$AD118,'All Donations'!$T$2:$T$4001,AC$1))</f>
        <v/>
      </c>
      <c r="AD118">
        <f>IF(AE118=1,'Roster'!A118,"")</f>
        <v/>
      </c>
      <c r="AE118">
        <f>IF(TRIM('Roster'!B118&amp;'Roster'!C118)&lt;&gt;"",1,0)</f>
        <v/>
      </c>
      <c r="AF118">
        <f>IF(AE118=1,LOWER(A118),"#")</f>
        <v/>
      </c>
      <c r="AG118">
        <f>IF(AE118=1,LOWER(TRIM(TRIM('Roster'!C118)&amp;", "&amp;TRIM('Roster'!B118))),"#")</f>
        <v/>
      </c>
      <c r="AH118">
        <f>IF(AND(AE118=1,TRIM('Roster'!F118)&lt;&gt;""),LOWER(TRIM('Roster'!F118)),"#")</f>
        <v/>
      </c>
      <c r="AI118">
        <f>IF(AE118=1,IF(MATCH(B118,$B$2:$B$701,0)=ROW()-1,1,0),0)</f>
        <v/>
      </c>
      <c r="AJ118">
        <f>AJ117+AI118</f>
        <v/>
      </c>
      <c r="AK118">
        <f>IF(AE118=1,D118+(1000-ROW())/10^7,-1)</f>
        <v/>
      </c>
      <c r="AL118">
        <f>IF(AE118=1,TRIM('Roster'!B118)&amp;" "&amp;LEFT(TRIM('Roster'!C118),1)&amp;".","")</f>
        <v/>
      </c>
      <c r="AM118">
        <f>IF(AE118=1,TRIM('Roster'!C118)&amp;", "&amp;TRIM('Roster'!B118)&amp;" ("&amp;B118&amp;") #"&amp;AD118,"")</f>
        <v/>
      </c>
      <c r="AN118">
        <f>IF(AE118=1,TRIM('Roster'!E118),"")</f>
        <v/>
      </c>
      <c r="AO118">
        <f>IF(AE118=1,ROUND(SUMIFS('All Donations'!$S$2:$S$4001,'All Donations'!$R$2:$R$4001,AD118,'All Donations'!$T$2:$T$4001,"&gt;="&amp;'Settings'!$C$23,'All Donations'!$T$2:$T$4001,"&lt;="&amp;'Settings'!$D$23),2),0)</f>
        <v/>
      </c>
      <c r="AQ118">
        <f>IF(AE118=1,ROUND(SUMIFS('All Donations'!$S$2:$S$4001,'All Donations'!$R$2:$R$4001,AD118,'All Donations'!$T$2:$T$4001,"&gt;="&amp;'Settings'!$C$25,'All Donations'!$T$2:$T$4001,"&lt;="&amp;'Settings'!$D$25),2),0)</f>
        <v/>
      </c>
      <c r="AR118">
        <f>IF(AE118=1,ROUND(SUMIFS('All Donations'!$S$2:$S$4001,'All Donations'!$R$2:$R$4001,AD118,'All Donations'!$T$2:$T$4001,"&gt;="&amp;'Settings'!$C$26,'All Donations'!$T$2:$T$4001,"&lt;="&amp;'Settings'!$D$26),2),0)</f>
        <v/>
      </c>
      <c r="AS118">
        <f>IF(AE118=1,ROUND(SUMIFS('All Donations'!$S$2:$S$4001,'All Donations'!$R$2:$R$4001,AD118,'All Donations'!$T$2:$T$4001,"&lt;="&amp;'Settings'!$D$27),2),0)</f>
        <v/>
      </c>
      <c r="AT118">
        <f>IF(AE118=1,ROUND(SUMIFS('All Donations'!$S$2:$S$4001,'All Donations'!$R$2:$R$4001,AD118,'All Donations'!$T$2:$T$4001,"&gt;="&amp;'Settings'!$C$28,'All Donations'!$T$2:$T$4001,"&lt;="&amp;'Settings'!$D$28),2),0)</f>
        <v/>
      </c>
      <c r="AU118">
        <f>IF(AE118=1,ROUND(SUMIFS('All Donations'!$S$2:$S$4001,'All Donations'!$R$2:$R$4001,AD118,'All Donations'!$T$2:$T$4001,"&gt;="&amp;'Settings'!$C$29,'All Donations'!$T$2:$T$4001,"&lt;="&amp;'Settings'!$D$29),2),0)</f>
        <v/>
      </c>
      <c r="AV118">
        <f>IF(AE118=1,ROUND(SUMIFS('All Donations'!$S$2:$S$4001,'All Donations'!$R$2:$R$4001,AD118,'All Donations'!$T$2:$T$4001,"&lt;="&amp;'Settings'!$D$30),2),0)</f>
        <v/>
      </c>
      <c r="AZ118">
        <f>IF(AE118=1,ROUND(SUMIFS('All Donations'!$S$2:$S$4001,'All Donations'!$R$2:$R$4001,AD118,'All Donations'!$T$2:$T$4001,"&lt;="&amp;'Settings'!$D$34),2),0)</f>
        <v/>
      </c>
    </row>
    <row r="119">
      <c r="A119">
        <f>IF(AE119=1,TRIM(TRIM('Roster'!B119)&amp;" "&amp;TRIM('Roster'!C119)),"")</f>
        <v/>
      </c>
      <c r="B119">
        <f>IF(AE119=1,IF(AN119="","(no teacher)",AN119&amp;" – "&amp;C119),"")</f>
        <v/>
      </c>
      <c r="C119">
        <f>IF(AE119=1,TRIM('Roster'!D119&amp;""),"")</f>
        <v/>
      </c>
      <c r="D119" s="48">
        <f>IF(AE119=1,ROUND(SUMIFS('All Donations'!$S$2:$S$4001,'All Donations'!$R$2:$R$4001,AD119),2),"")</f>
        <v/>
      </c>
      <c r="E119" s="48">
        <f>IF(AE119=1,ROUND(SUMIFS('All Donations'!$S$2:$S$4001,'All Donations'!$R$2:$R$4001,AD119,'All Donations'!$G$2:$G$4001,"OneCause"),2),"")</f>
        <v/>
      </c>
      <c r="F119" s="48">
        <f>IF(AE119=1,D119-E119,"")</f>
        <v/>
      </c>
      <c r="G119">
        <f>IF(AE119=1,COUNTIFS('All Donations'!$R$2:$R$4001,AD119,'All Donations'!$H$2:$H$4001,"OK"),"")</f>
        <v/>
      </c>
      <c r="H119">
        <f>IF(AE119&lt;&gt;1,"",IF(D119&gt;0,"Yes",""))</f>
        <v/>
      </c>
      <c r="I119" s="49">
        <f>IF(OR($AE119&lt;&gt;1,I$1=""),"",SUMIFS('All Donations'!$S$2:$S$4001,'All Donations'!$R$2:$R$4001,$AD119,'All Donations'!$T$2:$T$4001,I$1))</f>
        <v/>
      </c>
      <c r="J119" s="49">
        <f>IF(OR($AE119&lt;&gt;1,J$1=""),"",SUMIFS('All Donations'!$S$2:$S$4001,'All Donations'!$R$2:$R$4001,$AD119,'All Donations'!$T$2:$T$4001,J$1))</f>
        <v/>
      </c>
      <c r="K119" s="49">
        <f>IF(OR($AE119&lt;&gt;1,K$1=""),"",SUMIFS('All Donations'!$S$2:$S$4001,'All Donations'!$R$2:$R$4001,$AD119,'All Donations'!$T$2:$T$4001,K$1))</f>
        <v/>
      </c>
      <c r="L119" s="49">
        <f>IF(OR($AE119&lt;&gt;1,L$1=""),"",SUMIFS('All Donations'!$S$2:$S$4001,'All Donations'!$R$2:$R$4001,$AD119,'All Donations'!$T$2:$T$4001,L$1))</f>
        <v/>
      </c>
      <c r="M119" s="49">
        <f>IF(OR($AE119&lt;&gt;1,M$1=""),"",SUMIFS('All Donations'!$S$2:$S$4001,'All Donations'!$R$2:$R$4001,$AD119,'All Donations'!$T$2:$T$4001,M$1))</f>
        <v/>
      </c>
      <c r="N119" s="49">
        <f>IF(OR($AE119&lt;&gt;1,N$1=""),"",SUMIFS('All Donations'!$S$2:$S$4001,'All Donations'!$R$2:$R$4001,$AD119,'All Donations'!$T$2:$T$4001,N$1))</f>
        <v/>
      </c>
      <c r="O119" s="49">
        <f>IF(OR($AE119&lt;&gt;1,O$1=""),"",SUMIFS('All Donations'!$S$2:$S$4001,'All Donations'!$R$2:$R$4001,$AD119,'All Donations'!$T$2:$T$4001,O$1))</f>
        <v/>
      </c>
      <c r="P119" s="49">
        <f>IF(OR($AE119&lt;&gt;1,P$1=""),"",SUMIFS('All Donations'!$S$2:$S$4001,'All Donations'!$R$2:$R$4001,$AD119,'All Donations'!$T$2:$T$4001,P$1))</f>
        <v/>
      </c>
      <c r="Q119" s="49">
        <f>IF(OR($AE119&lt;&gt;1,Q$1=""),"",SUMIFS('All Donations'!$S$2:$S$4001,'All Donations'!$R$2:$R$4001,$AD119,'All Donations'!$T$2:$T$4001,Q$1))</f>
        <v/>
      </c>
      <c r="R119" s="49">
        <f>IF(OR($AE119&lt;&gt;1,R$1=""),"",SUMIFS('All Donations'!$S$2:$S$4001,'All Donations'!$R$2:$R$4001,$AD119,'All Donations'!$T$2:$T$4001,R$1))</f>
        <v/>
      </c>
      <c r="S119" s="49">
        <f>IF(OR($AE119&lt;&gt;1,S$1=""),"",SUMIFS('All Donations'!$S$2:$S$4001,'All Donations'!$R$2:$R$4001,$AD119,'All Donations'!$T$2:$T$4001,S$1))</f>
        <v/>
      </c>
      <c r="T119" s="49">
        <f>IF(OR($AE119&lt;&gt;1,T$1=""),"",SUMIFS('All Donations'!$S$2:$S$4001,'All Donations'!$R$2:$R$4001,$AD119,'All Donations'!$T$2:$T$4001,T$1))</f>
        <v/>
      </c>
      <c r="U119" s="49">
        <f>IF(OR($AE119&lt;&gt;1,U$1=""),"",SUMIFS('All Donations'!$S$2:$S$4001,'All Donations'!$R$2:$R$4001,$AD119,'All Donations'!$T$2:$T$4001,U$1))</f>
        <v/>
      </c>
      <c r="V119" s="49">
        <f>IF(OR($AE119&lt;&gt;1,V$1=""),"",SUMIFS('All Donations'!$S$2:$S$4001,'All Donations'!$R$2:$R$4001,$AD119,'All Donations'!$T$2:$T$4001,V$1))</f>
        <v/>
      </c>
      <c r="W119" s="49">
        <f>IF(OR($AE119&lt;&gt;1,W$1=""),"",SUMIFS('All Donations'!$S$2:$S$4001,'All Donations'!$R$2:$R$4001,$AD119,'All Donations'!$T$2:$T$4001,W$1))</f>
        <v/>
      </c>
      <c r="X119" s="49">
        <f>IF(OR($AE119&lt;&gt;1,X$1=""),"",SUMIFS('All Donations'!$S$2:$S$4001,'All Donations'!$R$2:$R$4001,$AD119,'All Donations'!$T$2:$T$4001,X$1))</f>
        <v/>
      </c>
      <c r="Y119" s="49">
        <f>IF(OR($AE119&lt;&gt;1,Y$1=""),"",SUMIFS('All Donations'!$S$2:$S$4001,'All Donations'!$R$2:$R$4001,$AD119,'All Donations'!$T$2:$T$4001,Y$1))</f>
        <v/>
      </c>
      <c r="Z119" s="49">
        <f>IF(OR($AE119&lt;&gt;1,Z$1=""),"",SUMIFS('All Donations'!$S$2:$S$4001,'All Donations'!$R$2:$R$4001,$AD119,'All Donations'!$T$2:$T$4001,Z$1))</f>
        <v/>
      </c>
      <c r="AA119" s="49">
        <f>IF(OR($AE119&lt;&gt;1,AA$1=""),"",SUMIFS('All Donations'!$S$2:$S$4001,'All Donations'!$R$2:$R$4001,$AD119,'All Donations'!$T$2:$T$4001,AA$1))</f>
        <v/>
      </c>
      <c r="AB119" s="49">
        <f>IF(OR($AE119&lt;&gt;1,AB$1=""),"",SUMIFS('All Donations'!$S$2:$S$4001,'All Donations'!$R$2:$R$4001,$AD119,'All Donations'!$T$2:$T$4001,AB$1))</f>
        <v/>
      </c>
      <c r="AC119" s="49">
        <f>IF(OR($AE119&lt;&gt;1,AC$1=""),"",SUMIFS('All Donations'!$S$2:$S$4001,'All Donations'!$R$2:$R$4001,$AD119,'All Donations'!$T$2:$T$4001,AC$1))</f>
        <v/>
      </c>
      <c r="AD119">
        <f>IF(AE119=1,'Roster'!A119,"")</f>
        <v/>
      </c>
      <c r="AE119">
        <f>IF(TRIM('Roster'!B119&amp;'Roster'!C119)&lt;&gt;"",1,0)</f>
        <v/>
      </c>
      <c r="AF119">
        <f>IF(AE119=1,LOWER(A119),"#")</f>
        <v/>
      </c>
      <c r="AG119">
        <f>IF(AE119=1,LOWER(TRIM(TRIM('Roster'!C119)&amp;", "&amp;TRIM('Roster'!B119))),"#")</f>
        <v/>
      </c>
      <c r="AH119">
        <f>IF(AND(AE119=1,TRIM('Roster'!F119)&lt;&gt;""),LOWER(TRIM('Roster'!F119)),"#")</f>
        <v/>
      </c>
      <c r="AI119">
        <f>IF(AE119=1,IF(MATCH(B119,$B$2:$B$701,0)=ROW()-1,1,0),0)</f>
        <v/>
      </c>
      <c r="AJ119">
        <f>AJ118+AI119</f>
        <v/>
      </c>
      <c r="AK119">
        <f>IF(AE119=1,D119+(1000-ROW())/10^7,-1)</f>
        <v/>
      </c>
      <c r="AL119">
        <f>IF(AE119=1,TRIM('Roster'!B119)&amp;" "&amp;LEFT(TRIM('Roster'!C119),1)&amp;".","")</f>
        <v/>
      </c>
      <c r="AM119">
        <f>IF(AE119=1,TRIM('Roster'!C119)&amp;", "&amp;TRIM('Roster'!B119)&amp;" ("&amp;B119&amp;") #"&amp;AD119,"")</f>
        <v/>
      </c>
      <c r="AN119">
        <f>IF(AE119=1,TRIM('Roster'!E119),"")</f>
        <v/>
      </c>
      <c r="AO119">
        <f>IF(AE119=1,ROUND(SUMIFS('All Donations'!$S$2:$S$4001,'All Donations'!$R$2:$R$4001,AD119,'All Donations'!$T$2:$T$4001,"&gt;="&amp;'Settings'!$C$23,'All Donations'!$T$2:$T$4001,"&lt;="&amp;'Settings'!$D$23),2),0)</f>
        <v/>
      </c>
      <c r="AQ119">
        <f>IF(AE119=1,ROUND(SUMIFS('All Donations'!$S$2:$S$4001,'All Donations'!$R$2:$R$4001,AD119,'All Donations'!$T$2:$T$4001,"&gt;="&amp;'Settings'!$C$25,'All Donations'!$T$2:$T$4001,"&lt;="&amp;'Settings'!$D$25),2),0)</f>
        <v/>
      </c>
      <c r="AR119">
        <f>IF(AE119=1,ROUND(SUMIFS('All Donations'!$S$2:$S$4001,'All Donations'!$R$2:$R$4001,AD119,'All Donations'!$T$2:$T$4001,"&gt;="&amp;'Settings'!$C$26,'All Donations'!$T$2:$T$4001,"&lt;="&amp;'Settings'!$D$26),2),0)</f>
        <v/>
      </c>
      <c r="AS119">
        <f>IF(AE119=1,ROUND(SUMIFS('All Donations'!$S$2:$S$4001,'All Donations'!$R$2:$R$4001,AD119,'All Donations'!$T$2:$T$4001,"&lt;="&amp;'Settings'!$D$27),2),0)</f>
        <v/>
      </c>
      <c r="AT119">
        <f>IF(AE119=1,ROUND(SUMIFS('All Donations'!$S$2:$S$4001,'All Donations'!$R$2:$R$4001,AD119,'All Donations'!$T$2:$T$4001,"&gt;="&amp;'Settings'!$C$28,'All Donations'!$T$2:$T$4001,"&lt;="&amp;'Settings'!$D$28),2),0)</f>
        <v/>
      </c>
      <c r="AU119">
        <f>IF(AE119=1,ROUND(SUMIFS('All Donations'!$S$2:$S$4001,'All Donations'!$R$2:$R$4001,AD119,'All Donations'!$T$2:$T$4001,"&gt;="&amp;'Settings'!$C$29,'All Donations'!$T$2:$T$4001,"&lt;="&amp;'Settings'!$D$29),2),0)</f>
        <v/>
      </c>
      <c r="AV119">
        <f>IF(AE119=1,ROUND(SUMIFS('All Donations'!$S$2:$S$4001,'All Donations'!$R$2:$R$4001,AD119,'All Donations'!$T$2:$T$4001,"&lt;="&amp;'Settings'!$D$30),2),0)</f>
        <v/>
      </c>
      <c r="AZ119">
        <f>IF(AE119=1,ROUND(SUMIFS('All Donations'!$S$2:$S$4001,'All Donations'!$R$2:$R$4001,AD119,'All Donations'!$T$2:$T$4001,"&lt;="&amp;'Settings'!$D$34),2),0)</f>
        <v/>
      </c>
    </row>
    <row r="120">
      <c r="A120">
        <f>IF(AE120=1,TRIM(TRIM('Roster'!B120)&amp;" "&amp;TRIM('Roster'!C120)),"")</f>
        <v/>
      </c>
      <c r="B120">
        <f>IF(AE120=1,IF(AN120="","(no teacher)",AN120&amp;" – "&amp;C120),"")</f>
        <v/>
      </c>
      <c r="C120">
        <f>IF(AE120=1,TRIM('Roster'!D120&amp;""),"")</f>
        <v/>
      </c>
      <c r="D120" s="48">
        <f>IF(AE120=1,ROUND(SUMIFS('All Donations'!$S$2:$S$4001,'All Donations'!$R$2:$R$4001,AD120),2),"")</f>
        <v/>
      </c>
      <c r="E120" s="48">
        <f>IF(AE120=1,ROUND(SUMIFS('All Donations'!$S$2:$S$4001,'All Donations'!$R$2:$R$4001,AD120,'All Donations'!$G$2:$G$4001,"OneCause"),2),"")</f>
        <v/>
      </c>
      <c r="F120" s="48">
        <f>IF(AE120=1,D120-E120,"")</f>
        <v/>
      </c>
      <c r="G120">
        <f>IF(AE120=1,COUNTIFS('All Donations'!$R$2:$R$4001,AD120,'All Donations'!$H$2:$H$4001,"OK"),"")</f>
        <v/>
      </c>
      <c r="H120">
        <f>IF(AE120&lt;&gt;1,"",IF(D120&gt;0,"Yes",""))</f>
        <v/>
      </c>
      <c r="I120" s="49">
        <f>IF(OR($AE120&lt;&gt;1,I$1=""),"",SUMIFS('All Donations'!$S$2:$S$4001,'All Donations'!$R$2:$R$4001,$AD120,'All Donations'!$T$2:$T$4001,I$1))</f>
        <v/>
      </c>
      <c r="J120" s="49">
        <f>IF(OR($AE120&lt;&gt;1,J$1=""),"",SUMIFS('All Donations'!$S$2:$S$4001,'All Donations'!$R$2:$R$4001,$AD120,'All Donations'!$T$2:$T$4001,J$1))</f>
        <v/>
      </c>
      <c r="K120" s="49">
        <f>IF(OR($AE120&lt;&gt;1,K$1=""),"",SUMIFS('All Donations'!$S$2:$S$4001,'All Donations'!$R$2:$R$4001,$AD120,'All Donations'!$T$2:$T$4001,K$1))</f>
        <v/>
      </c>
      <c r="L120" s="49">
        <f>IF(OR($AE120&lt;&gt;1,L$1=""),"",SUMIFS('All Donations'!$S$2:$S$4001,'All Donations'!$R$2:$R$4001,$AD120,'All Donations'!$T$2:$T$4001,L$1))</f>
        <v/>
      </c>
      <c r="M120" s="49">
        <f>IF(OR($AE120&lt;&gt;1,M$1=""),"",SUMIFS('All Donations'!$S$2:$S$4001,'All Donations'!$R$2:$R$4001,$AD120,'All Donations'!$T$2:$T$4001,M$1))</f>
        <v/>
      </c>
      <c r="N120" s="49">
        <f>IF(OR($AE120&lt;&gt;1,N$1=""),"",SUMIFS('All Donations'!$S$2:$S$4001,'All Donations'!$R$2:$R$4001,$AD120,'All Donations'!$T$2:$T$4001,N$1))</f>
        <v/>
      </c>
      <c r="O120" s="49">
        <f>IF(OR($AE120&lt;&gt;1,O$1=""),"",SUMIFS('All Donations'!$S$2:$S$4001,'All Donations'!$R$2:$R$4001,$AD120,'All Donations'!$T$2:$T$4001,O$1))</f>
        <v/>
      </c>
      <c r="P120" s="49">
        <f>IF(OR($AE120&lt;&gt;1,P$1=""),"",SUMIFS('All Donations'!$S$2:$S$4001,'All Donations'!$R$2:$R$4001,$AD120,'All Donations'!$T$2:$T$4001,P$1))</f>
        <v/>
      </c>
      <c r="Q120" s="49">
        <f>IF(OR($AE120&lt;&gt;1,Q$1=""),"",SUMIFS('All Donations'!$S$2:$S$4001,'All Donations'!$R$2:$R$4001,$AD120,'All Donations'!$T$2:$T$4001,Q$1))</f>
        <v/>
      </c>
      <c r="R120" s="49">
        <f>IF(OR($AE120&lt;&gt;1,R$1=""),"",SUMIFS('All Donations'!$S$2:$S$4001,'All Donations'!$R$2:$R$4001,$AD120,'All Donations'!$T$2:$T$4001,R$1))</f>
        <v/>
      </c>
      <c r="S120" s="49">
        <f>IF(OR($AE120&lt;&gt;1,S$1=""),"",SUMIFS('All Donations'!$S$2:$S$4001,'All Donations'!$R$2:$R$4001,$AD120,'All Donations'!$T$2:$T$4001,S$1))</f>
        <v/>
      </c>
      <c r="T120" s="49">
        <f>IF(OR($AE120&lt;&gt;1,T$1=""),"",SUMIFS('All Donations'!$S$2:$S$4001,'All Donations'!$R$2:$R$4001,$AD120,'All Donations'!$T$2:$T$4001,T$1))</f>
        <v/>
      </c>
      <c r="U120" s="49">
        <f>IF(OR($AE120&lt;&gt;1,U$1=""),"",SUMIFS('All Donations'!$S$2:$S$4001,'All Donations'!$R$2:$R$4001,$AD120,'All Donations'!$T$2:$T$4001,U$1))</f>
        <v/>
      </c>
      <c r="V120" s="49">
        <f>IF(OR($AE120&lt;&gt;1,V$1=""),"",SUMIFS('All Donations'!$S$2:$S$4001,'All Donations'!$R$2:$R$4001,$AD120,'All Donations'!$T$2:$T$4001,V$1))</f>
        <v/>
      </c>
      <c r="W120" s="49">
        <f>IF(OR($AE120&lt;&gt;1,W$1=""),"",SUMIFS('All Donations'!$S$2:$S$4001,'All Donations'!$R$2:$R$4001,$AD120,'All Donations'!$T$2:$T$4001,W$1))</f>
        <v/>
      </c>
      <c r="X120" s="49">
        <f>IF(OR($AE120&lt;&gt;1,X$1=""),"",SUMIFS('All Donations'!$S$2:$S$4001,'All Donations'!$R$2:$R$4001,$AD120,'All Donations'!$T$2:$T$4001,X$1))</f>
        <v/>
      </c>
      <c r="Y120" s="49">
        <f>IF(OR($AE120&lt;&gt;1,Y$1=""),"",SUMIFS('All Donations'!$S$2:$S$4001,'All Donations'!$R$2:$R$4001,$AD120,'All Donations'!$T$2:$T$4001,Y$1))</f>
        <v/>
      </c>
      <c r="Z120" s="49">
        <f>IF(OR($AE120&lt;&gt;1,Z$1=""),"",SUMIFS('All Donations'!$S$2:$S$4001,'All Donations'!$R$2:$R$4001,$AD120,'All Donations'!$T$2:$T$4001,Z$1))</f>
        <v/>
      </c>
      <c r="AA120" s="49">
        <f>IF(OR($AE120&lt;&gt;1,AA$1=""),"",SUMIFS('All Donations'!$S$2:$S$4001,'All Donations'!$R$2:$R$4001,$AD120,'All Donations'!$T$2:$T$4001,AA$1))</f>
        <v/>
      </c>
      <c r="AB120" s="49">
        <f>IF(OR($AE120&lt;&gt;1,AB$1=""),"",SUMIFS('All Donations'!$S$2:$S$4001,'All Donations'!$R$2:$R$4001,$AD120,'All Donations'!$T$2:$T$4001,AB$1))</f>
        <v/>
      </c>
      <c r="AC120" s="49">
        <f>IF(OR($AE120&lt;&gt;1,AC$1=""),"",SUMIFS('All Donations'!$S$2:$S$4001,'All Donations'!$R$2:$R$4001,$AD120,'All Donations'!$T$2:$T$4001,AC$1))</f>
        <v/>
      </c>
      <c r="AD120">
        <f>IF(AE120=1,'Roster'!A120,"")</f>
        <v/>
      </c>
      <c r="AE120">
        <f>IF(TRIM('Roster'!B120&amp;'Roster'!C120)&lt;&gt;"",1,0)</f>
        <v/>
      </c>
      <c r="AF120">
        <f>IF(AE120=1,LOWER(A120),"#")</f>
        <v/>
      </c>
      <c r="AG120">
        <f>IF(AE120=1,LOWER(TRIM(TRIM('Roster'!C120)&amp;", "&amp;TRIM('Roster'!B120))),"#")</f>
        <v/>
      </c>
      <c r="AH120">
        <f>IF(AND(AE120=1,TRIM('Roster'!F120)&lt;&gt;""),LOWER(TRIM('Roster'!F120)),"#")</f>
        <v/>
      </c>
      <c r="AI120">
        <f>IF(AE120=1,IF(MATCH(B120,$B$2:$B$701,0)=ROW()-1,1,0),0)</f>
        <v/>
      </c>
      <c r="AJ120">
        <f>AJ119+AI120</f>
        <v/>
      </c>
      <c r="AK120">
        <f>IF(AE120=1,D120+(1000-ROW())/10^7,-1)</f>
        <v/>
      </c>
      <c r="AL120">
        <f>IF(AE120=1,TRIM('Roster'!B120)&amp;" "&amp;LEFT(TRIM('Roster'!C120),1)&amp;".","")</f>
        <v/>
      </c>
      <c r="AM120">
        <f>IF(AE120=1,TRIM('Roster'!C120)&amp;", "&amp;TRIM('Roster'!B120)&amp;" ("&amp;B120&amp;") #"&amp;AD120,"")</f>
        <v/>
      </c>
      <c r="AN120">
        <f>IF(AE120=1,TRIM('Roster'!E120),"")</f>
        <v/>
      </c>
      <c r="AO120">
        <f>IF(AE120=1,ROUND(SUMIFS('All Donations'!$S$2:$S$4001,'All Donations'!$R$2:$R$4001,AD120,'All Donations'!$T$2:$T$4001,"&gt;="&amp;'Settings'!$C$23,'All Donations'!$T$2:$T$4001,"&lt;="&amp;'Settings'!$D$23),2),0)</f>
        <v/>
      </c>
      <c r="AQ120">
        <f>IF(AE120=1,ROUND(SUMIFS('All Donations'!$S$2:$S$4001,'All Donations'!$R$2:$R$4001,AD120,'All Donations'!$T$2:$T$4001,"&gt;="&amp;'Settings'!$C$25,'All Donations'!$T$2:$T$4001,"&lt;="&amp;'Settings'!$D$25),2),0)</f>
        <v/>
      </c>
      <c r="AR120">
        <f>IF(AE120=1,ROUND(SUMIFS('All Donations'!$S$2:$S$4001,'All Donations'!$R$2:$R$4001,AD120,'All Donations'!$T$2:$T$4001,"&gt;="&amp;'Settings'!$C$26,'All Donations'!$T$2:$T$4001,"&lt;="&amp;'Settings'!$D$26),2),0)</f>
        <v/>
      </c>
      <c r="AS120">
        <f>IF(AE120=1,ROUND(SUMIFS('All Donations'!$S$2:$S$4001,'All Donations'!$R$2:$R$4001,AD120,'All Donations'!$T$2:$T$4001,"&lt;="&amp;'Settings'!$D$27),2),0)</f>
        <v/>
      </c>
      <c r="AT120">
        <f>IF(AE120=1,ROUND(SUMIFS('All Donations'!$S$2:$S$4001,'All Donations'!$R$2:$R$4001,AD120,'All Donations'!$T$2:$T$4001,"&gt;="&amp;'Settings'!$C$28,'All Donations'!$T$2:$T$4001,"&lt;="&amp;'Settings'!$D$28),2),0)</f>
        <v/>
      </c>
      <c r="AU120">
        <f>IF(AE120=1,ROUND(SUMIFS('All Donations'!$S$2:$S$4001,'All Donations'!$R$2:$R$4001,AD120,'All Donations'!$T$2:$T$4001,"&gt;="&amp;'Settings'!$C$29,'All Donations'!$T$2:$T$4001,"&lt;="&amp;'Settings'!$D$29),2),0)</f>
        <v/>
      </c>
      <c r="AV120">
        <f>IF(AE120=1,ROUND(SUMIFS('All Donations'!$S$2:$S$4001,'All Donations'!$R$2:$R$4001,AD120,'All Donations'!$T$2:$T$4001,"&lt;="&amp;'Settings'!$D$30),2),0)</f>
        <v/>
      </c>
      <c r="AZ120">
        <f>IF(AE120=1,ROUND(SUMIFS('All Donations'!$S$2:$S$4001,'All Donations'!$R$2:$R$4001,AD120,'All Donations'!$T$2:$T$4001,"&lt;="&amp;'Settings'!$D$34),2),0)</f>
        <v/>
      </c>
    </row>
    <row r="121">
      <c r="A121">
        <f>IF(AE121=1,TRIM(TRIM('Roster'!B121)&amp;" "&amp;TRIM('Roster'!C121)),"")</f>
        <v/>
      </c>
      <c r="B121">
        <f>IF(AE121=1,IF(AN121="","(no teacher)",AN121&amp;" – "&amp;C121),"")</f>
        <v/>
      </c>
      <c r="C121">
        <f>IF(AE121=1,TRIM('Roster'!D121&amp;""),"")</f>
        <v/>
      </c>
      <c r="D121" s="48">
        <f>IF(AE121=1,ROUND(SUMIFS('All Donations'!$S$2:$S$4001,'All Donations'!$R$2:$R$4001,AD121),2),"")</f>
        <v/>
      </c>
      <c r="E121" s="48">
        <f>IF(AE121=1,ROUND(SUMIFS('All Donations'!$S$2:$S$4001,'All Donations'!$R$2:$R$4001,AD121,'All Donations'!$G$2:$G$4001,"OneCause"),2),"")</f>
        <v/>
      </c>
      <c r="F121" s="48">
        <f>IF(AE121=1,D121-E121,"")</f>
        <v/>
      </c>
      <c r="G121">
        <f>IF(AE121=1,COUNTIFS('All Donations'!$R$2:$R$4001,AD121,'All Donations'!$H$2:$H$4001,"OK"),"")</f>
        <v/>
      </c>
      <c r="H121">
        <f>IF(AE121&lt;&gt;1,"",IF(D121&gt;0,"Yes",""))</f>
        <v/>
      </c>
      <c r="I121" s="49">
        <f>IF(OR($AE121&lt;&gt;1,I$1=""),"",SUMIFS('All Donations'!$S$2:$S$4001,'All Donations'!$R$2:$R$4001,$AD121,'All Donations'!$T$2:$T$4001,I$1))</f>
        <v/>
      </c>
      <c r="J121" s="49">
        <f>IF(OR($AE121&lt;&gt;1,J$1=""),"",SUMIFS('All Donations'!$S$2:$S$4001,'All Donations'!$R$2:$R$4001,$AD121,'All Donations'!$T$2:$T$4001,J$1))</f>
        <v/>
      </c>
      <c r="K121" s="49">
        <f>IF(OR($AE121&lt;&gt;1,K$1=""),"",SUMIFS('All Donations'!$S$2:$S$4001,'All Donations'!$R$2:$R$4001,$AD121,'All Donations'!$T$2:$T$4001,K$1))</f>
        <v/>
      </c>
      <c r="L121" s="49">
        <f>IF(OR($AE121&lt;&gt;1,L$1=""),"",SUMIFS('All Donations'!$S$2:$S$4001,'All Donations'!$R$2:$R$4001,$AD121,'All Donations'!$T$2:$T$4001,L$1))</f>
        <v/>
      </c>
      <c r="M121" s="49">
        <f>IF(OR($AE121&lt;&gt;1,M$1=""),"",SUMIFS('All Donations'!$S$2:$S$4001,'All Donations'!$R$2:$R$4001,$AD121,'All Donations'!$T$2:$T$4001,M$1))</f>
        <v/>
      </c>
      <c r="N121" s="49">
        <f>IF(OR($AE121&lt;&gt;1,N$1=""),"",SUMIFS('All Donations'!$S$2:$S$4001,'All Donations'!$R$2:$R$4001,$AD121,'All Donations'!$T$2:$T$4001,N$1))</f>
        <v/>
      </c>
      <c r="O121" s="49">
        <f>IF(OR($AE121&lt;&gt;1,O$1=""),"",SUMIFS('All Donations'!$S$2:$S$4001,'All Donations'!$R$2:$R$4001,$AD121,'All Donations'!$T$2:$T$4001,O$1))</f>
        <v/>
      </c>
      <c r="P121" s="49">
        <f>IF(OR($AE121&lt;&gt;1,P$1=""),"",SUMIFS('All Donations'!$S$2:$S$4001,'All Donations'!$R$2:$R$4001,$AD121,'All Donations'!$T$2:$T$4001,P$1))</f>
        <v/>
      </c>
      <c r="Q121" s="49">
        <f>IF(OR($AE121&lt;&gt;1,Q$1=""),"",SUMIFS('All Donations'!$S$2:$S$4001,'All Donations'!$R$2:$R$4001,$AD121,'All Donations'!$T$2:$T$4001,Q$1))</f>
        <v/>
      </c>
      <c r="R121" s="49">
        <f>IF(OR($AE121&lt;&gt;1,R$1=""),"",SUMIFS('All Donations'!$S$2:$S$4001,'All Donations'!$R$2:$R$4001,$AD121,'All Donations'!$T$2:$T$4001,R$1))</f>
        <v/>
      </c>
      <c r="S121" s="49">
        <f>IF(OR($AE121&lt;&gt;1,S$1=""),"",SUMIFS('All Donations'!$S$2:$S$4001,'All Donations'!$R$2:$R$4001,$AD121,'All Donations'!$T$2:$T$4001,S$1))</f>
        <v/>
      </c>
      <c r="T121" s="49">
        <f>IF(OR($AE121&lt;&gt;1,T$1=""),"",SUMIFS('All Donations'!$S$2:$S$4001,'All Donations'!$R$2:$R$4001,$AD121,'All Donations'!$T$2:$T$4001,T$1))</f>
        <v/>
      </c>
      <c r="U121" s="49">
        <f>IF(OR($AE121&lt;&gt;1,U$1=""),"",SUMIFS('All Donations'!$S$2:$S$4001,'All Donations'!$R$2:$R$4001,$AD121,'All Donations'!$T$2:$T$4001,U$1))</f>
        <v/>
      </c>
      <c r="V121" s="49">
        <f>IF(OR($AE121&lt;&gt;1,V$1=""),"",SUMIFS('All Donations'!$S$2:$S$4001,'All Donations'!$R$2:$R$4001,$AD121,'All Donations'!$T$2:$T$4001,V$1))</f>
        <v/>
      </c>
      <c r="W121" s="49">
        <f>IF(OR($AE121&lt;&gt;1,W$1=""),"",SUMIFS('All Donations'!$S$2:$S$4001,'All Donations'!$R$2:$R$4001,$AD121,'All Donations'!$T$2:$T$4001,W$1))</f>
        <v/>
      </c>
      <c r="X121" s="49">
        <f>IF(OR($AE121&lt;&gt;1,X$1=""),"",SUMIFS('All Donations'!$S$2:$S$4001,'All Donations'!$R$2:$R$4001,$AD121,'All Donations'!$T$2:$T$4001,X$1))</f>
        <v/>
      </c>
      <c r="Y121" s="49">
        <f>IF(OR($AE121&lt;&gt;1,Y$1=""),"",SUMIFS('All Donations'!$S$2:$S$4001,'All Donations'!$R$2:$R$4001,$AD121,'All Donations'!$T$2:$T$4001,Y$1))</f>
        <v/>
      </c>
      <c r="Z121" s="49">
        <f>IF(OR($AE121&lt;&gt;1,Z$1=""),"",SUMIFS('All Donations'!$S$2:$S$4001,'All Donations'!$R$2:$R$4001,$AD121,'All Donations'!$T$2:$T$4001,Z$1))</f>
        <v/>
      </c>
      <c r="AA121" s="49">
        <f>IF(OR($AE121&lt;&gt;1,AA$1=""),"",SUMIFS('All Donations'!$S$2:$S$4001,'All Donations'!$R$2:$R$4001,$AD121,'All Donations'!$T$2:$T$4001,AA$1))</f>
        <v/>
      </c>
      <c r="AB121" s="49">
        <f>IF(OR($AE121&lt;&gt;1,AB$1=""),"",SUMIFS('All Donations'!$S$2:$S$4001,'All Donations'!$R$2:$R$4001,$AD121,'All Donations'!$T$2:$T$4001,AB$1))</f>
        <v/>
      </c>
      <c r="AC121" s="49">
        <f>IF(OR($AE121&lt;&gt;1,AC$1=""),"",SUMIFS('All Donations'!$S$2:$S$4001,'All Donations'!$R$2:$R$4001,$AD121,'All Donations'!$T$2:$T$4001,AC$1))</f>
        <v/>
      </c>
      <c r="AD121">
        <f>IF(AE121=1,'Roster'!A121,"")</f>
        <v/>
      </c>
      <c r="AE121">
        <f>IF(TRIM('Roster'!B121&amp;'Roster'!C121)&lt;&gt;"",1,0)</f>
        <v/>
      </c>
      <c r="AF121">
        <f>IF(AE121=1,LOWER(A121),"#")</f>
        <v/>
      </c>
      <c r="AG121">
        <f>IF(AE121=1,LOWER(TRIM(TRIM('Roster'!C121)&amp;", "&amp;TRIM('Roster'!B121))),"#")</f>
        <v/>
      </c>
      <c r="AH121">
        <f>IF(AND(AE121=1,TRIM('Roster'!F121)&lt;&gt;""),LOWER(TRIM('Roster'!F121)),"#")</f>
        <v/>
      </c>
      <c r="AI121">
        <f>IF(AE121=1,IF(MATCH(B121,$B$2:$B$701,0)=ROW()-1,1,0),0)</f>
        <v/>
      </c>
      <c r="AJ121">
        <f>AJ120+AI121</f>
        <v/>
      </c>
      <c r="AK121">
        <f>IF(AE121=1,D121+(1000-ROW())/10^7,-1)</f>
        <v/>
      </c>
      <c r="AL121">
        <f>IF(AE121=1,TRIM('Roster'!B121)&amp;" "&amp;LEFT(TRIM('Roster'!C121),1)&amp;".","")</f>
        <v/>
      </c>
      <c r="AM121">
        <f>IF(AE121=1,TRIM('Roster'!C121)&amp;", "&amp;TRIM('Roster'!B121)&amp;" ("&amp;B121&amp;") #"&amp;AD121,"")</f>
        <v/>
      </c>
      <c r="AN121">
        <f>IF(AE121=1,TRIM('Roster'!E121),"")</f>
        <v/>
      </c>
      <c r="AO121">
        <f>IF(AE121=1,ROUND(SUMIFS('All Donations'!$S$2:$S$4001,'All Donations'!$R$2:$R$4001,AD121,'All Donations'!$T$2:$T$4001,"&gt;="&amp;'Settings'!$C$23,'All Donations'!$T$2:$T$4001,"&lt;="&amp;'Settings'!$D$23),2),0)</f>
        <v/>
      </c>
      <c r="AQ121">
        <f>IF(AE121=1,ROUND(SUMIFS('All Donations'!$S$2:$S$4001,'All Donations'!$R$2:$R$4001,AD121,'All Donations'!$T$2:$T$4001,"&gt;="&amp;'Settings'!$C$25,'All Donations'!$T$2:$T$4001,"&lt;="&amp;'Settings'!$D$25),2),0)</f>
        <v/>
      </c>
      <c r="AR121">
        <f>IF(AE121=1,ROUND(SUMIFS('All Donations'!$S$2:$S$4001,'All Donations'!$R$2:$R$4001,AD121,'All Donations'!$T$2:$T$4001,"&gt;="&amp;'Settings'!$C$26,'All Donations'!$T$2:$T$4001,"&lt;="&amp;'Settings'!$D$26),2),0)</f>
        <v/>
      </c>
      <c r="AS121">
        <f>IF(AE121=1,ROUND(SUMIFS('All Donations'!$S$2:$S$4001,'All Donations'!$R$2:$R$4001,AD121,'All Donations'!$T$2:$T$4001,"&lt;="&amp;'Settings'!$D$27),2),0)</f>
        <v/>
      </c>
      <c r="AT121">
        <f>IF(AE121=1,ROUND(SUMIFS('All Donations'!$S$2:$S$4001,'All Donations'!$R$2:$R$4001,AD121,'All Donations'!$T$2:$T$4001,"&gt;="&amp;'Settings'!$C$28,'All Donations'!$T$2:$T$4001,"&lt;="&amp;'Settings'!$D$28),2),0)</f>
        <v/>
      </c>
      <c r="AU121">
        <f>IF(AE121=1,ROUND(SUMIFS('All Donations'!$S$2:$S$4001,'All Donations'!$R$2:$R$4001,AD121,'All Donations'!$T$2:$T$4001,"&gt;="&amp;'Settings'!$C$29,'All Donations'!$T$2:$T$4001,"&lt;="&amp;'Settings'!$D$29),2),0)</f>
        <v/>
      </c>
      <c r="AV121">
        <f>IF(AE121=1,ROUND(SUMIFS('All Donations'!$S$2:$S$4001,'All Donations'!$R$2:$R$4001,AD121,'All Donations'!$T$2:$T$4001,"&lt;="&amp;'Settings'!$D$30),2),0)</f>
        <v/>
      </c>
      <c r="AZ121">
        <f>IF(AE121=1,ROUND(SUMIFS('All Donations'!$S$2:$S$4001,'All Donations'!$R$2:$R$4001,AD121,'All Donations'!$T$2:$T$4001,"&lt;="&amp;'Settings'!$D$34),2),0)</f>
        <v/>
      </c>
    </row>
    <row r="122">
      <c r="A122">
        <f>IF(AE122=1,TRIM(TRIM('Roster'!B122)&amp;" "&amp;TRIM('Roster'!C122)),"")</f>
        <v/>
      </c>
      <c r="B122">
        <f>IF(AE122=1,IF(AN122="","(no teacher)",AN122&amp;" – "&amp;C122),"")</f>
        <v/>
      </c>
      <c r="C122">
        <f>IF(AE122=1,TRIM('Roster'!D122&amp;""),"")</f>
        <v/>
      </c>
      <c r="D122" s="48">
        <f>IF(AE122=1,ROUND(SUMIFS('All Donations'!$S$2:$S$4001,'All Donations'!$R$2:$R$4001,AD122),2),"")</f>
        <v/>
      </c>
      <c r="E122" s="48">
        <f>IF(AE122=1,ROUND(SUMIFS('All Donations'!$S$2:$S$4001,'All Donations'!$R$2:$R$4001,AD122,'All Donations'!$G$2:$G$4001,"OneCause"),2),"")</f>
        <v/>
      </c>
      <c r="F122" s="48">
        <f>IF(AE122=1,D122-E122,"")</f>
        <v/>
      </c>
      <c r="G122">
        <f>IF(AE122=1,COUNTIFS('All Donations'!$R$2:$R$4001,AD122,'All Donations'!$H$2:$H$4001,"OK"),"")</f>
        <v/>
      </c>
      <c r="H122">
        <f>IF(AE122&lt;&gt;1,"",IF(D122&gt;0,"Yes",""))</f>
        <v/>
      </c>
      <c r="I122" s="49">
        <f>IF(OR($AE122&lt;&gt;1,I$1=""),"",SUMIFS('All Donations'!$S$2:$S$4001,'All Donations'!$R$2:$R$4001,$AD122,'All Donations'!$T$2:$T$4001,I$1))</f>
        <v/>
      </c>
      <c r="J122" s="49">
        <f>IF(OR($AE122&lt;&gt;1,J$1=""),"",SUMIFS('All Donations'!$S$2:$S$4001,'All Donations'!$R$2:$R$4001,$AD122,'All Donations'!$T$2:$T$4001,J$1))</f>
        <v/>
      </c>
      <c r="K122" s="49">
        <f>IF(OR($AE122&lt;&gt;1,K$1=""),"",SUMIFS('All Donations'!$S$2:$S$4001,'All Donations'!$R$2:$R$4001,$AD122,'All Donations'!$T$2:$T$4001,K$1))</f>
        <v/>
      </c>
      <c r="L122" s="49">
        <f>IF(OR($AE122&lt;&gt;1,L$1=""),"",SUMIFS('All Donations'!$S$2:$S$4001,'All Donations'!$R$2:$R$4001,$AD122,'All Donations'!$T$2:$T$4001,L$1))</f>
        <v/>
      </c>
      <c r="M122" s="49">
        <f>IF(OR($AE122&lt;&gt;1,M$1=""),"",SUMIFS('All Donations'!$S$2:$S$4001,'All Donations'!$R$2:$R$4001,$AD122,'All Donations'!$T$2:$T$4001,M$1))</f>
        <v/>
      </c>
      <c r="N122" s="49">
        <f>IF(OR($AE122&lt;&gt;1,N$1=""),"",SUMIFS('All Donations'!$S$2:$S$4001,'All Donations'!$R$2:$R$4001,$AD122,'All Donations'!$T$2:$T$4001,N$1))</f>
        <v/>
      </c>
      <c r="O122" s="49">
        <f>IF(OR($AE122&lt;&gt;1,O$1=""),"",SUMIFS('All Donations'!$S$2:$S$4001,'All Donations'!$R$2:$R$4001,$AD122,'All Donations'!$T$2:$T$4001,O$1))</f>
        <v/>
      </c>
      <c r="P122" s="49">
        <f>IF(OR($AE122&lt;&gt;1,P$1=""),"",SUMIFS('All Donations'!$S$2:$S$4001,'All Donations'!$R$2:$R$4001,$AD122,'All Donations'!$T$2:$T$4001,P$1))</f>
        <v/>
      </c>
      <c r="Q122" s="49">
        <f>IF(OR($AE122&lt;&gt;1,Q$1=""),"",SUMIFS('All Donations'!$S$2:$S$4001,'All Donations'!$R$2:$R$4001,$AD122,'All Donations'!$T$2:$T$4001,Q$1))</f>
        <v/>
      </c>
      <c r="R122" s="49">
        <f>IF(OR($AE122&lt;&gt;1,R$1=""),"",SUMIFS('All Donations'!$S$2:$S$4001,'All Donations'!$R$2:$R$4001,$AD122,'All Donations'!$T$2:$T$4001,R$1))</f>
        <v/>
      </c>
      <c r="S122" s="49">
        <f>IF(OR($AE122&lt;&gt;1,S$1=""),"",SUMIFS('All Donations'!$S$2:$S$4001,'All Donations'!$R$2:$R$4001,$AD122,'All Donations'!$T$2:$T$4001,S$1))</f>
        <v/>
      </c>
      <c r="T122" s="49">
        <f>IF(OR($AE122&lt;&gt;1,T$1=""),"",SUMIFS('All Donations'!$S$2:$S$4001,'All Donations'!$R$2:$R$4001,$AD122,'All Donations'!$T$2:$T$4001,T$1))</f>
        <v/>
      </c>
      <c r="U122" s="49">
        <f>IF(OR($AE122&lt;&gt;1,U$1=""),"",SUMIFS('All Donations'!$S$2:$S$4001,'All Donations'!$R$2:$R$4001,$AD122,'All Donations'!$T$2:$T$4001,U$1))</f>
        <v/>
      </c>
      <c r="V122" s="49">
        <f>IF(OR($AE122&lt;&gt;1,V$1=""),"",SUMIFS('All Donations'!$S$2:$S$4001,'All Donations'!$R$2:$R$4001,$AD122,'All Donations'!$T$2:$T$4001,V$1))</f>
        <v/>
      </c>
      <c r="W122" s="49">
        <f>IF(OR($AE122&lt;&gt;1,W$1=""),"",SUMIFS('All Donations'!$S$2:$S$4001,'All Donations'!$R$2:$R$4001,$AD122,'All Donations'!$T$2:$T$4001,W$1))</f>
        <v/>
      </c>
      <c r="X122" s="49">
        <f>IF(OR($AE122&lt;&gt;1,X$1=""),"",SUMIFS('All Donations'!$S$2:$S$4001,'All Donations'!$R$2:$R$4001,$AD122,'All Donations'!$T$2:$T$4001,X$1))</f>
        <v/>
      </c>
      <c r="Y122" s="49">
        <f>IF(OR($AE122&lt;&gt;1,Y$1=""),"",SUMIFS('All Donations'!$S$2:$S$4001,'All Donations'!$R$2:$R$4001,$AD122,'All Donations'!$T$2:$T$4001,Y$1))</f>
        <v/>
      </c>
      <c r="Z122" s="49">
        <f>IF(OR($AE122&lt;&gt;1,Z$1=""),"",SUMIFS('All Donations'!$S$2:$S$4001,'All Donations'!$R$2:$R$4001,$AD122,'All Donations'!$T$2:$T$4001,Z$1))</f>
        <v/>
      </c>
      <c r="AA122" s="49">
        <f>IF(OR($AE122&lt;&gt;1,AA$1=""),"",SUMIFS('All Donations'!$S$2:$S$4001,'All Donations'!$R$2:$R$4001,$AD122,'All Donations'!$T$2:$T$4001,AA$1))</f>
        <v/>
      </c>
      <c r="AB122" s="49">
        <f>IF(OR($AE122&lt;&gt;1,AB$1=""),"",SUMIFS('All Donations'!$S$2:$S$4001,'All Donations'!$R$2:$R$4001,$AD122,'All Donations'!$T$2:$T$4001,AB$1))</f>
        <v/>
      </c>
      <c r="AC122" s="49">
        <f>IF(OR($AE122&lt;&gt;1,AC$1=""),"",SUMIFS('All Donations'!$S$2:$S$4001,'All Donations'!$R$2:$R$4001,$AD122,'All Donations'!$T$2:$T$4001,AC$1))</f>
        <v/>
      </c>
      <c r="AD122">
        <f>IF(AE122=1,'Roster'!A122,"")</f>
        <v/>
      </c>
      <c r="AE122">
        <f>IF(TRIM('Roster'!B122&amp;'Roster'!C122)&lt;&gt;"",1,0)</f>
        <v/>
      </c>
      <c r="AF122">
        <f>IF(AE122=1,LOWER(A122),"#")</f>
        <v/>
      </c>
      <c r="AG122">
        <f>IF(AE122=1,LOWER(TRIM(TRIM('Roster'!C122)&amp;", "&amp;TRIM('Roster'!B122))),"#")</f>
        <v/>
      </c>
      <c r="AH122">
        <f>IF(AND(AE122=1,TRIM('Roster'!F122)&lt;&gt;""),LOWER(TRIM('Roster'!F122)),"#")</f>
        <v/>
      </c>
      <c r="AI122">
        <f>IF(AE122=1,IF(MATCH(B122,$B$2:$B$701,0)=ROW()-1,1,0),0)</f>
        <v/>
      </c>
      <c r="AJ122">
        <f>AJ121+AI122</f>
        <v/>
      </c>
      <c r="AK122">
        <f>IF(AE122=1,D122+(1000-ROW())/10^7,-1)</f>
        <v/>
      </c>
      <c r="AL122">
        <f>IF(AE122=1,TRIM('Roster'!B122)&amp;" "&amp;LEFT(TRIM('Roster'!C122),1)&amp;".","")</f>
        <v/>
      </c>
      <c r="AM122">
        <f>IF(AE122=1,TRIM('Roster'!C122)&amp;", "&amp;TRIM('Roster'!B122)&amp;" ("&amp;B122&amp;") #"&amp;AD122,"")</f>
        <v/>
      </c>
      <c r="AN122">
        <f>IF(AE122=1,TRIM('Roster'!E122),"")</f>
        <v/>
      </c>
      <c r="AO122">
        <f>IF(AE122=1,ROUND(SUMIFS('All Donations'!$S$2:$S$4001,'All Donations'!$R$2:$R$4001,AD122,'All Donations'!$T$2:$T$4001,"&gt;="&amp;'Settings'!$C$23,'All Donations'!$T$2:$T$4001,"&lt;="&amp;'Settings'!$D$23),2),0)</f>
        <v/>
      </c>
      <c r="AQ122">
        <f>IF(AE122=1,ROUND(SUMIFS('All Donations'!$S$2:$S$4001,'All Donations'!$R$2:$R$4001,AD122,'All Donations'!$T$2:$T$4001,"&gt;="&amp;'Settings'!$C$25,'All Donations'!$T$2:$T$4001,"&lt;="&amp;'Settings'!$D$25),2),0)</f>
        <v/>
      </c>
      <c r="AR122">
        <f>IF(AE122=1,ROUND(SUMIFS('All Donations'!$S$2:$S$4001,'All Donations'!$R$2:$R$4001,AD122,'All Donations'!$T$2:$T$4001,"&gt;="&amp;'Settings'!$C$26,'All Donations'!$T$2:$T$4001,"&lt;="&amp;'Settings'!$D$26),2),0)</f>
        <v/>
      </c>
      <c r="AS122">
        <f>IF(AE122=1,ROUND(SUMIFS('All Donations'!$S$2:$S$4001,'All Donations'!$R$2:$R$4001,AD122,'All Donations'!$T$2:$T$4001,"&lt;="&amp;'Settings'!$D$27),2),0)</f>
        <v/>
      </c>
      <c r="AT122">
        <f>IF(AE122=1,ROUND(SUMIFS('All Donations'!$S$2:$S$4001,'All Donations'!$R$2:$R$4001,AD122,'All Donations'!$T$2:$T$4001,"&gt;="&amp;'Settings'!$C$28,'All Donations'!$T$2:$T$4001,"&lt;="&amp;'Settings'!$D$28),2),0)</f>
        <v/>
      </c>
      <c r="AU122">
        <f>IF(AE122=1,ROUND(SUMIFS('All Donations'!$S$2:$S$4001,'All Donations'!$R$2:$R$4001,AD122,'All Donations'!$T$2:$T$4001,"&gt;="&amp;'Settings'!$C$29,'All Donations'!$T$2:$T$4001,"&lt;="&amp;'Settings'!$D$29),2),0)</f>
        <v/>
      </c>
      <c r="AV122">
        <f>IF(AE122=1,ROUND(SUMIFS('All Donations'!$S$2:$S$4001,'All Donations'!$R$2:$R$4001,AD122,'All Donations'!$T$2:$T$4001,"&lt;="&amp;'Settings'!$D$30),2),0)</f>
        <v/>
      </c>
      <c r="AZ122">
        <f>IF(AE122=1,ROUND(SUMIFS('All Donations'!$S$2:$S$4001,'All Donations'!$R$2:$R$4001,AD122,'All Donations'!$T$2:$T$4001,"&lt;="&amp;'Settings'!$D$34),2),0)</f>
        <v/>
      </c>
    </row>
    <row r="123">
      <c r="A123">
        <f>IF(AE123=1,TRIM(TRIM('Roster'!B123)&amp;" "&amp;TRIM('Roster'!C123)),"")</f>
        <v/>
      </c>
      <c r="B123">
        <f>IF(AE123=1,IF(AN123="","(no teacher)",AN123&amp;" – "&amp;C123),"")</f>
        <v/>
      </c>
      <c r="C123">
        <f>IF(AE123=1,TRIM('Roster'!D123&amp;""),"")</f>
        <v/>
      </c>
      <c r="D123" s="48">
        <f>IF(AE123=1,ROUND(SUMIFS('All Donations'!$S$2:$S$4001,'All Donations'!$R$2:$R$4001,AD123),2),"")</f>
        <v/>
      </c>
      <c r="E123" s="48">
        <f>IF(AE123=1,ROUND(SUMIFS('All Donations'!$S$2:$S$4001,'All Donations'!$R$2:$R$4001,AD123,'All Donations'!$G$2:$G$4001,"OneCause"),2),"")</f>
        <v/>
      </c>
      <c r="F123" s="48">
        <f>IF(AE123=1,D123-E123,"")</f>
        <v/>
      </c>
      <c r="G123">
        <f>IF(AE123=1,COUNTIFS('All Donations'!$R$2:$R$4001,AD123,'All Donations'!$H$2:$H$4001,"OK"),"")</f>
        <v/>
      </c>
      <c r="H123">
        <f>IF(AE123&lt;&gt;1,"",IF(D123&gt;0,"Yes",""))</f>
        <v/>
      </c>
      <c r="I123" s="49">
        <f>IF(OR($AE123&lt;&gt;1,I$1=""),"",SUMIFS('All Donations'!$S$2:$S$4001,'All Donations'!$R$2:$R$4001,$AD123,'All Donations'!$T$2:$T$4001,I$1))</f>
        <v/>
      </c>
      <c r="J123" s="49">
        <f>IF(OR($AE123&lt;&gt;1,J$1=""),"",SUMIFS('All Donations'!$S$2:$S$4001,'All Donations'!$R$2:$R$4001,$AD123,'All Donations'!$T$2:$T$4001,J$1))</f>
        <v/>
      </c>
      <c r="K123" s="49">
        <f>IF(OR($AE123&lt;&gt;1,K$1=""),"",SUMIFS('All Donations'!$S$2:$S$4001,'All Donations'!$R$2:$R$4001,$AD123,'All Donations'!$T$2:$T$4001,K$1))</f>
        <v/>
      </c>
      <c r="L123" s="49">
        <f>IF(OR($AE123&lt;&gt;1,L$1=""),"",SUMIFS('All Donations'!$S$2:$S$4001,'All Donations'!$R$2:$R$4001,$AD123,'All Donations'!$T$2:$T$4001,L$1))</f>
        <v/>
      </c>
      <c r="M123" s="49">
        <f>IF(OR($AE123&lt;&gt;1,M$1=""),"",SUMIFS('All Donations'!$S$2:$S$4001,'All Donations'!$R$2:$R$4001,$AD123,'All Donations'!$T$2:$T$4001,M$1))</f>
        <v/>
      </c>
      <c r="N123" s="49">
        <f>IF(OR($AE123&lt;&gt;1,N$1=""),"",SUMIFS('All Donations'!$S$2:$S$4001,'All Donations'!$R$2:$R$4001,$AD123,'All Donations'!$T$2:$T$4001,N$1))</f>
        <v/>
      </c>
      <c r="O123" s="49">
        <f>IF(OR($AE123&lt;&gt;1,O$1=""),"",SUMIFS('All Donations'!$S$2:$S$4001,'All Donations'!$R$2:$R$4001,$AD123,'All Donations'!$T$2:$T$4001,O$1))</f>
        <v/>
      </c>
      <c r="P123" s="49">
        <f>IF(OR($AE123&lt;&gt;1,P$1=""),"",SUMIFS('All Donations'!$S$2:$S$4001,'All Donations'!$R$2:$R$4001,$AD123,'All Donations'!$T$2:$T$4001,P$1))</f>
        <v/>
      </c>
      <c r="Q123" s="49">
        <f>IF(OR($AE123&lt;&gt;1,Q$1=""),"",SUMIFS('All Donations'!$S$2:$S$4001,'All Donations'!$R$2:$R$4001,$AD123,'All Donations'!$T$2:$T$4001,Q$1))</f>
        <v/>
      </c>
      <c r="R123" s="49">
        <f>IF(OR($AE123&lt;&gt;1,R$1=""),"",SUMIFS('All Donations'!$S$2:$S$4001,'All Donations'!$R$2:$R$4001,$AD123,'All Donations'!$T$2:$T$4001,R$1))</f>
        <v/>
      </c>
      <c r="S123" s="49">
        <f>IF(OR($AE123&lt;&gt;1,S$1=""),"",SUMIFS('All Donations'!$S$2:$S$4001,'All Donations'!$R$2:$R$4001,$AD123,'All Donations'!$T$2:$T$4001,S$1))</f>
        <v/>
      </c>
      <c r="T123" s="49">
        <f>IF(OR($AE123&lt;&gt;1,T$1=""),"",SUMIFS('All Donations'!$S$2:$S$4001,'All Donations'!$R$2:$R$4001,$AD123,'All Donations'!$T$2:$T$4001,T$1))</f>
        <v/>
      </c>
      <c r="U123" s="49">
        <f>IF(OR($AE123&lt;&gt;1,U$1=""),"",SUMIFS('All Donations'!$S$2:$S$4001,'All Donations'!$R$2:$R$4001,$AD123,'All Donations'!$T$2:$T$4001,U$1))</f>
        <v/>
      </c>
      <c r="V123" s="49">
        <f>IF(OR($AE123&lt;&gt;1,V$1=""),"",SUMIFS('All Donations'!$S$2:$S$4001,'All Donations'!$R$2:$R$4001,$AD123,'All Donations'!$T$2:$T$4001,V$1))</f>
        <v/>
      </c>
      <c r="W123" s="49">
        <f>IF(OR($AE123&lt;&gt;1,W$1=""),"",SUMIFS('All Donations'!$S$2:$S$4001,'All Donations'!$R$2:$R$4001,$AD123,'All Donations'!$T$2:$T$4001,W$1))</f>
        <v/>
      </c>
      <c r="X123" s="49">
        <f>IF(OR($AE123&lt;&gt;1,X$1=""),"",SUMIFS('All Donations'!$S$2:$S$4001,'All Donations'!$R$2:$R$4001,$AD123,'All Donations'!$T$2:$T$4001,X$1))</f>
        <v/>
      </c>
      <c r="Y123" s="49">
        <f>IF(OR($AE123&lt;&gt;1,Y$1=""),"",SUMIFS('All Donations'!$S$2:$S$4001,'All Donations'!$R$2:$R$4001,$AD123,'All Donations'!$T$2:$T$4001,Y$1))</f>
        <v/>
      </c>
      <c r="Z123" s="49">
        <f>IF(OR($AE123&lt;&gt;1,Z$1=""),"",SUMIFS('All Donations'!$S$2:$S$4001,'All Donations'!$R$2:$R$4001,$AD123,'All Donations'!$T$2:$T$4001,Z$1))</f>
        <v/>
      </c>
      <c r="AA123" s="49">
        <f>IF(OR($AE123&lt;&gt;1,AA$1=""),"",SUMIFS('All Donations'!$S$2:$S$4001,'All Donations'!$R$2:$R$4001,$AD123,'All Donations'!$T$2:$T$4001,AA$1))</f>
        <v/>
      </c>
      <c r="AB123" s="49">
        <f>IF(OR($AE123&lt;&gt;1,AB$1=""),"",SUMIFS('All Donations'!$S$2:$S$4001,'All Donations'!$R$2:$R$4001,$AD123,'All Donations'!$T$2:$T$4001,AB$1))</f>
        <v/>
      </c>
      <c r="AC123" s="49">
        <f>IF(OR($AE123&lt;&gt;1,AC$1=""),"",SUMIFS('All Donations'!$S$2:$S$4001,'All Donations'!$R$2:$R$4001,$AD123,'All Donations'!$T$2:$T$4001,AC$1))</f>
        <v/>
      </c>
      <c r="AD123">
        <f>IF(AE123=1,'Roster'!A123,"")</f>
        <v/>
      </c>
      <c r="AE123">
        <f>IF(TRIM('Roster'!B123&amp;'Roster'!C123)&lt;&gt;"",1,0)</f>
        <v/>
      </c>
      <c r="AF123">
        <f>IF(AE123=1,LOWER(A123),"#")</f>
        <v/>
      </c>
      <c r="AG123">
        <f>IF(AE123=1,LOWER(TRIM(TRIM('Roster'!C123)&amp;", "&amp;TRIM('Roster'!B123))),"#")</f>
        <v/>
      </c>
      <c r="AH123">
        <f>IF(AND(AE123=1,TRIM('Roster'!F123)&lt;&gt;""),LOWER(TRIM('Roster'!F123)),"#")</f>
        <v/>
      </c>
      <c r="AI123">
        <f>IF(AE123=1,IF(MATCH(B123,$B$2:$B$701,0)=ROW()-1,1,0),0)</f>
        <v/>
      </c>
      <c r="AJ123">
        <f>AJ122+AI123</f>
        <v/>
      </c>
      <c r="AK123">
        <f>IF(AE123=1,D123+(1000-ROW())/10^7,-1)</f>
        <v/>
      </c>
      <c r="AL123">
        <f>IF(AE123=1,TRIM('Roster'!B123)&amp;" "&amp;LEFT(TRIM('Roster'!C123),1)&amp;".","")</f>
        <v/>
      </c>
      <c r="AM123">
        <f>IF(AE123=1,TRIM('Roster'!C123)&amp;", "&amp;TRIM('Roster'!B123)&amp;" ("&amp;B123&amp;") #"&amp;AD123,"")</f>
        <v/>
      </c>
      <c r="AN123">
        <f>IF(AE123=1,TRIM('Roster'!E123),"")</f>
        <v/>
      </c>
      <c r="AO123">
        <f>IF(AE123=1,ROUND(SUMIFS('All Donations'!$S$2:$S$4001,'All Donations'!$R$2:$R$4001,AD123,'All Donations'!$T$2:$T$4001,"&gt;="&amp;'Settings'!$C$23,'All Donations'!$T$2:$T$4001,"&lt;="&amp;'Settings'!$D$23),2),0)</f>
        <v/>
      </c>
      <c r="AQ123">
        <f>IF(AE123=1,ROUND(SUMIFS('All Donations'!$S$2:$S$4001,'All Donations'!$R$2:$R$4001,AD123,'All Donations'!$T$2:$T$4001,"&gt;="&amp;'Settings'!$C$25,'All Donations'!$T$2:$T$4001,"&lt;="&amp;'Settings'!$D$25),2),0)</f>
        <v/>
      </c>
      <c r="AR123">
        <f>IF(AE123=1,ROUND(SUMIFS('All Donations'!$S$2:$S$4001,'All Donations'!$R$2:$R$4001,AD123,'All Donations'!$T$2:$T$4001,"&gt;="&amp;'Settings'!$C$26,'All Donations'!$T$2:$T$4001,"&lt;="&amp;'Settings'!$D$26),2),0)</f>
        <v/>
      </c>
      <c r="AS123">
        <f>IF(AE123=1,ROUND(SUMIFS('All Donations'!$S$2:$S$4001,'All Donations'!$R$2:$R$4001,AD123,'All Donations'!$T$2:$T$4001,"&lt;="&amp;'Settings'!$D$27),2),0)</f>
        <v/>
      </c>
      <c r="AT123">
        <f>IF(AE123=1,ROUND(SUMIFS('All Donations'!$S$2:$S$4001,'All Donations'!$R$2:$R$4001,AD123,'All Donations'!$T$2:$T$4001,"&gt;="&amp;'Settings'!$C$28,'All Donations'!$T$2:$T$4001,"&lt;="&amp;'Settings'!$D$28),2),0)</f>
        <v/>
      </c>
      <c r="AU123">
        <f>IF(AE123=1,ROUND(SUMIFS('All Donations'!$S$2:$S$4001,'All Donations'!$R$2:$R$4001,AD123,'All Donations'!$T$2:$T$4001,"&gt;="&amp;'Settings'!$C$29,'All Donations'!$T$2:$T$4001,"&lt;="&amp;'Settings'!$D$29),2),0)</f>
        <v/>
      </c>
      <c r="AV123">
        <f>IF(AE123=1,ROUND(SUMIFS('All Donations'!$S$2:$S$4001,'All Donations'!$R$2:$R$4001,AD123,'All Donations'!$T$2:$T$4001,"&lt;="&amp;'Settings'!$D$30),2),0)</f>
        <v/>
      </c>
      <c r="AZ123">
        <f>IF(AE123=1,ROUND(SUMIFS('All Donations'!$S$2:$S$4001,'All Donations'!$R$2:$R$4001,AD123,'All Donations'!$T$2:$T$4001,"&lt;="&amp;'Settings'!$D$34),2),0)</f>
        <v/>
      </c>
    </row>
    <row r="124">
      <c r="A124">
        <f>IF(AE124=1,TRIM(TRIM('Roster'!B124)&amp;" "&amp;TRIM('Roster'!C124)),"")</f>
        <v/>
      </c>
      <c r="B124">
        <f>IF(AE124=1,IF(AN124="","(no teacher)",AN124&amp;" – "&amp;C124),"")</f>
        <v/>
      </c>
      <c r="C124">
        <f>IF(AE124=1,TRIM('Roster'!D124&amp;""),"")</f>
        <v/>
      </c>
      <c r="D124" s="48">
        <f>IF(AE124=1,ROUND(SUMIFS('All Donations'!$S$2:$S$4001,'All Donations'!$R$2:$R$4001,AD124),2),"")</f>
        <v/>
      </c>
      <c r="E124" s="48">
        <f>IF(AE124=1,ROUND(SUMIFS('All Donations'!$S$2:$S$4001,'All Donations'!$R$2:$R$4001,AD124,'All Donations'!$G$2:$G$4001,"OneCause"),2),"")</f>
        <v/>
      </c>
      <c r="F124" s="48">
        <f>IF(AE124=1,D124-E124,"")</f>
        <v/>
      </c>
      <c r="G124">
        <f>IF(AE124=1,COUNTIFS('All Donations'!$R$2:$R$4001,AD124,'All Donations'!$H$2:$H$4001,"OK"),"")</f>
        <v/>
      </c>
      <c r="H124">
        <f>IF(AE124&lt;&gt;1,"",IF(D124&gt;0,"Yes",""))</f>
        <v/>
      </c>
      <c r="I124" s="49">
        <f>IF(OR($AE124&lt;&gt;1,I$1=""),"",SUMIFS('All Donations'!$S$2:$S$4001,'All Donations'!$R$2:$R$4001,$AD124,'All Donations'!$T$2:$T$4001,I$1))</f>
        <v/>
      </c>
      <c r="J124" s="49">
        <f>IF(OR($AE124&lt;&gt;1,J$1=""),"",SUMIFS('All Donations'!$S$2:$S$4001,'All Donations'!$R$2:$R$4001,$AD124,'All Donations'!$T$2:$T$4001,J$1))</f>
        <v/>
      </c>
      <c r="K124" s="49">
        <f>IF(OR($AE124&lt;&gt;1,K$1=""),"",SUMIFS('All Donations'!$S$2:$S$4001,'All Donations'!$R$2:$R$4001,$AD124,'All Donations'!$T$2:$T$4001,K$1))</f>
        <v/>
      </c>
      <c r="L124" s="49">
        <f>IF(OR($AE124&lt;&gt;1,L$1=""),"",SUMIFS('All Donations'!$S$2:$S$4001,'All Donations'!$R$2:$R$4001,$AD124,'All Donations'!$T$2:$T$4001,L$1))</f>
        <v/>
      </c>
      <c r="M124" s="49">
        <f>IF(OR($AE124&lt;&gt;1,M$1=""),"",SUMIFS('All Donations'!$S$2:$S$4001,'All Donations'!$R$2:$R$4001,$AD124,'All Donations'!$T$2:$T$4001,M$1))</f>
        <v/>
      </c>
      <c r="N124" s="49">
        <f>IF(OR($AE124&lt;&gt;1,N$1=""),"",SUMIFS('All Donations'!$S$2:$S$4001,'All Donations'!$R$2:$R$4001,$AD124,'All Donations'!$T$2:$T$4001,N$1))</f>
        <v/>
      </c>
      <c r="O124" s="49">
        <f>IF(OR($AE124&lt;&gt;1,O$1=""),"",SUMIFS('All Donations'!$S$2:$S$4001,'All Donations'!$R$2:$R$4001,$AD124,'All Donations'!$T$2:$T$4001,O$1))</f>
        <v/>
      </c>
      <c r="P124" s="49">
        <f>IF(OR($AE124&lt;&gt;1,P$1=""),"",SUMIFS('All Donations'!$S$2:$S$4001,'All Donations'!$R$2:$R$4001,$AD124,'All Donations'!$T$2:$T$4001,P$1))</f>
        <v/>
      </c>
      <c r="Q124" s="49">
        <f>IF(OR($AE124&lt;&gt;1,Q$1=""),"",SUMIFS('All Donations'!$S$2:$S$4001,'All Donations'!$R$2:$R$4001,$AD124,'All Donations'!$T$2:$T$4001,Q$1))</f>
        <v/>
      </c>
      <c r="R124" s="49">
        <f>IF(OR($AE124&lt;&gt;1,R$1=""),"",SUMIFS('All Donations'!$S$2:$S$4001,'All Donations'!$R$2:$R$4001,$AD124,'All Donations'!$T$2:$T$4001,R$1))</f>
        <v/>
      </c>
      <c r="S124" s="49">
        <f>IF(OR($AE124&lt;&gt;1,S$1=""),"",SUMIFS('All Donations'!$S$2:$S$4001,'All Donations'!$R$2:$R$4001,$AD124,'All Donations'!$T$2:$T$4001,S$1))</f>
        <v/>
      </c>
      <c r="T124" s="49">
        <f>IF(OR($AE124&lt;&gt;1,T$1=""),"",SUMIFS('All Donations'!$S$2:$S$4001,'All Donations'!$R$2:$R$4001,$AD124,'All Donations'!$T$2:$T$4001,T$1))</f>
        <v/>
      </c>
      <c r="U124" s="49">
        <f>IF(OR($AE124&lt;&gt;1,U$1=""),"",SUMIFS('All Donations'!$S$2:$S$4001,'All Donations'!$R$2:$R$4001,$AD124,'All Donations'!$T$2:$T$4001,U$1))</f>
        <v/>
      </c>
      <c r="V124" s="49">
        <f>IF(OR($AE124&lt;&gt;1,V$1=""),"",SUMIFS('All Donations'!$S$2:$S$4001,'All Donations'!$R$2:$R$4001,$AD124,'All Donations'!$T$2:$T$4001,V$1))</f>
        <v/>
      </c>
      <c r="W124" s="49">
        <f>IF(OR($AE124&lt;&gt;1,W$1=""),"",SUMIFS('All Donations'!$S$2:$S$4001,'All Donations'!$R$2:$R$4001,$AD124,'All Donations'!$T$2:$T$4001,W$1))</f>
        <v/>
      </c>
      <c r="X124" s="49">
        <f>IF(OR($AE124&lt;&gt;1,X$1=""),"",SUMIFS('All Donations'!$S$2:$S$4001,'All Donations'!$R$2:$R$4001,$AD124,'All Donations'!$T$2:$T$4001,X$1))</f>
        <v/>
      </c>
      <c r="Y124" s="49">
        <f>IF(OR($AE124&lt;&gt;1,Y$1=""),"",SUMIFS('All Donations'!$S$2:$S$4001,'All Donations'!$R$2:$R$4001,$AD124,'All Donations'!$T$2:$T$4001,Y$1))</f>
        <v/>
      </c>
      <c r="Z124" s="49">
        <f>IF(OR($AE124&lt;&gt;1,Z$1=""),"",SUMIFS('All Donations'!$S$2:$S$4001,'All Donations'!$R$2:$R$4001,$AD124,'All Donations'!$T$2:$T$4001,Z$1))</f>
        <v/>
      </c>
      <c r="AA124" s="49">
        <f>IF(OR($AE124&lt;&gt;1,AA$1=""),"",SUMIFS('All Donations'!$S$2:$S$4001,'All Donations'!$R$2:$R$4001,$AD124,'All Donations'!$T$2:$T$4001,AA$1))</f>
        <v/>
      </c>
      <c r="AB124" s="49">
        <f>IF(OR($AE124&lt;&gt;1,AB$1=""),"",SUMIFS('All Donations'!$S$2:$S$4001,'All Donations'!$R$2:$R$4001,$AD124,'All Donations'!$T$2:$T$4001,AB$1))</f>
        <v/>
      </c>
      <c r="AC124" s="49">
        <f>IF(OR($AE124&lt;&gt;1,AC$1=""),"",SUMIFS('All Donations'!$S$2:$S$4001,'All Donations'!$R$2:$R$4001,$AD124,'All Donations'!$T$2:$T$4001,AC$1))</f>
        <v/>
      </c>
      <c r="AD124">
        <f>IF(AE124=1,'Roster'!A124,"")</f>
        <v/>
      </c>
      <c r="AE124">
        <f>IF(TRIM('Roster'!B124&amp;'Roster'!C124)&lt;&gt;"",1,0)</f>
        <v/>
      </c>
      <c r="AF124">
        <f>IF(AE124=1,LOWER(A124),"#")</f>
        <v/>
      </c>
      <c r="AG124">
        <f>IF(AE124=1,LOWER(TRIM(TRIM('Roster'!C124)&amp;", "&amp;TRIM('Roster'!B124))),"#")</f>
        <v/>
      </c>
      <c r="AH124">
        <f>IF(AND(AE124=1,TRIM('Roster'!F124)&lt;&gt;""),LOWER(TRIM('Roster'!F124)),"#")</f>
        <v/>
      </c>
      <c r="AI124">
        <f>IF(AE124=1,IF(MATCH(B124,$B$2:$B$701,0)=ROW()-1,1,0),0)</f>
        <v/>
      </c>
      <c r="AJ124">
        <f>AJ123+AI124</f>
        <v/>
      </c>
      <c r="AK124">
        <f>IF(AE124=1,D124+(1000-ROW())/10^7,-1)</f>
        <v/>
      </c>
      <c r="AL124">
        <f>IF(AE124=1,TRIM('Roster'!B124)&amp;" "&amp;LEFT(TRIM('Roster'!C124),1)&amp;".","")</f>
        <v/>
      </c>
      <c r="AM124">
        <f>IF(AE124=1,TRIM('Roster'!C124)&amp;", "&amp;TRIM('Roster'!B124)&amp;" ("&amp;B124&amp;") #"&amp;AD124,"")</f>
        <v/>
      </c>
      <c r="AN124">
        <f>IF(AE124=1,TRIM('Roster'!E124),"")</f>
        <v/>
      </c>
      <c r="AO124">
        <f>IF(AE124=1,ROUND(SUMIFS('All Donations'!$S$2:$S$4001,'All Donations'!$R$2:$R$4001,AD124,'All Donations'!$T$2:$T$4001,"&gt;="&amp;'Settings'!$C$23,'All Donations'!$T$2:$T$4001,"&lt;="&amp;'Settings'!$D$23),2),0)</f>
        <v/>
      </c>
      <c r="AQ124">
        <f>IF(AE124=1,ROUND(SUMIFS('All Donations'!$S$2:$S$4001,'All Donations'!$R$2:$R$4001,AD124,'All Donations'!$T$2:$T$4001,"&gt;="&amp;'Settings'!$C$25,'All Donations'!$T$2:$T$4001,"&lt;="&amp;'Settings'!$D$25),2),0)</f>
        <v/>
      </c>
      <c r="AR124">
        <f>IF(AE124=1,ROUND(SUMIFS('All Donations'!$S$2:$S$4001,'All Donations'!$R$2:$R$4001,AD124,'All Donations'!$T$2:$T$4001,"&gt;="&amp;'Settings'!$C$26,'All Donations'!$T$2:$T$4001,"&lt;="&amp;'Settings'!$D$26),2),0)</f>
        <v/>
      </c>
      <c r="AS124">
        <f>IF(AE124=1,ROUND(SUMIFS('All Donations'!$S$2:$S$4001,'All Donations'!$R$2:$R$4001,AD124,'All Donations'!$T$2:$T$4001,"&lt;="&amp;'Settings'!$D$27),2),0)</f>
        <v/>
      </c>
      <c r="AT124">
        <f>IF(AE124=1,ROUND(SUMIFS('All Donations'!$S$2:$S$4001,'All Donations'!$R$2:$R$4001,AD124,'All Donations'!$T$2:$T$4001,"&gt;="&amp;'Settings'!$C$28,'All Donations'!$T$2:$T$4001,"&lt;="&amp;'Settings'!$D$28),2),0)</f>
        <v/>
      </c>
      <c r="AU124">
        <f>IF(AE124=1,ROUND(SUMIFS('All Donations'!$S$2:$S$4001,'All Donations'!$R$2:$R$4001,AD124,'All Donations'!$T$2:$T$4001,"&gt;="&amp;'Settings'!$C$29,'All Donations'!$T$2:$T$4001,"&lt;="&amp;'Settings'!$D$29),2),0)</f>
        <v/>
      </c>
      <c r="AV124">
        <f>IF(AE124=1,ROUND(SUMIFS('All Donations'!$S$2:$S$4001,'All Donations'!$R$2:$R$4001,AD124,'All Donations'!$T$2:$T$4001,"&lt;="&amp;'Settings'!$D$30),2),0)</f>
        <v/>
      </c>
      <c r="AZ124">
        <f>IF(AE124=1,ROUND(SUMIFS('All Donations'!$S$2:$S$4001,'All Donations'!$R$2:$R$4001,AD124,'All Donations'!$T$2:$T$4001,"&lt;="&amp;'Settings'!$D$34),2),0)</f>
        <v/>
      </c>
    </row>
    <row r="125">
      <c r="A125">
        <f>IF(AE125=1,TRIM(TRIM('Roster'!B125)&amp;" "&amp;TRIM('Roster'!C125)),"")</f>
        <v/>
      </c>
      <c r="B125">
        <f>IF(AE125=1,IF(AN125="","(no teacher)",AN125&amp;" – "&amp;C125),"")</f>
        <v/>
      </c>
      <c r="C125">
        <f>IF(AE125=1,TRIM('Roster'!D125&amp;""),"")</f>
        <v/>
      </c>
      <c r="D125" s="48">
        <f>IF(AE125=1,ROUND(SUMIFS('All Donations'!$S$2:$S$4001,'All Donations'!$R$2:$R$4001,AD125),2),"")</f>
        <v/>
      </c>
      <c r="E125" s="48">
        <f>IF(AE125=1,ROUND(SUMIFS('All Donations'!$S$2:$S$4001,'All Donations'!$R$2:$R$4001,AD125,'All Donations'!$G$2:$G$4001,"OneCause"),2),"")</f>
        <v/>
      </c>
      <c r="F125" s="48">
        <f>IF(AE125=1,D125-E125,"")</f>
        <v/>
      </c>
      <c r="G125">
        <f>IF(AE125=1,COUNTIFS('All Donations'!$R$2:$R$4001,AD125,'All Donations'!$H$2:$H$4001,"OK"),"")</f>
        <v/>
      </c>
      <c r="H125">
        <f>IF(AE125&lt;&gt;1,"",IF(D125&gt;0,"Yes",""))</f>
        <v/>
      </c>
      <c r="I125" s="49">
        <f>IF(OR($AE125&lt;&gt;1,I$1=""),"",SUMIFS('All Donations'!$S$2:$S$4001,'All Donations'!$R$2:$R$4001,$AD125,'All Donations'!$T$2:$T$4001,I$1))</f>
        <v/>
      </c>
      <c r="J125" s="49">
        <f>IF(OR($AE125&lt;&gt;1,J$1=""),"",SUMIFS('All Donations'!$S$2:$S$4001,'All Donations'!$R$2:$R$4001,$AD125,'All Donations'!$T$2:$T$4001,J$1))</f>
        <v/>
      </c>
      <c r="K125" s="49">
        <f>IF(OR($AE125&lt;&gt;1,K$1=""),"",SUMIFS('All Donations'!$S$2:$S$4001,'All Donations'!$R$2:$R$4001,$AD125,'All Donations'!$T$2:$T$4001,K$1))</f>
        <v/>
      </c>
      <c r="L125" s="49">
        <f>IF(OR($AE125&lt;&gt;1,L$1=""),"",SUMIFS('All Donations'!$S$2:$S$4001,'All Donations'!$R$2:$R$4001,$AD125,'All Donations'!$T$2:$T$4001,L$1))</f>
        <v/>
      </c>
      <c r="M125" s="49">
        <f>IF(OR($AE125&lt;&gt;1,M$1=""),"",SUMIFS('All Donations'!$S$2:$S$4001,'All Donations'!$R$2:$R$4001,$AD125,'All Donations'!$T$2:$T$4001,M$1))</f>
        <v/>
      </c>
      <c r="N125" s="49">
        <f>IF(OR($AE125&lt;&gt;1,N$1=""),"",SUMIFS('All Donations'!$S$2:$S$4001,'All Donations'!$R$2:$R$4001,$AD125,'All Donations'!$T$2:$T$4001,N$1))</f>
        <v/>
      </c>
      <c r="O125" s="49">
        <f>IF(OR($AE125&lt;&gt;1,O$1=""),"",SUMIFS('All Donations'!$S$2:$S$4001,'All Donations'!$R$2:$R$4001,$AD125,'All Donations'!$T$2:$T$4001,O$1))</f>
        <v/>
      </c>
      <c r="P125" s="49">
        <f>IF(OR($AE125&lt;&gt;1,P$1=""),"",SUMIFS('All Donations'!$S$2:$S$4001,'All Donations'!$R$2:$R$4001,$AD125,'All Donations'!$T$2:$T$4001,P$1))</f>
        <v/>
      </c>
      <c r="Q125" s="49">
        <f>IF(OR($AE125&lt;&gt;1,Q$1=""),"",SUMIFS('All Donations'!$S$2:$S$4001,'All Donations'!$R$2:$R$4001,$AD125,'All Donations'!$T$2:$T$4001,Q$1))</f>
        <v/>
      </c>
      <c r="R125" s="49">
        <f>IF(OR($AE125&lt;&gt;1,R$1=""),"",SUMIFS('All Donations'!$S$2:$S$4001,'All Donations'!$R$2:$R$4001,$AD125,'All Donations'!$T$2:$T$4001,R$1))</f>
        <v/>
      </c>
      <c r="S125" s="49">
        <f>IF(OR($AE125&lt;&gt;1,S$1=""),"",SUMIFS('All Donations'!$S$2:$S$4001,'All Donations'!$R$2:$R$4001,$AD125,'All Donations'!$T$2:$T$4001,S$1))</f>
        <v/>
      </c>
      <c r="T125" s="49">
        <f>IF(OR($AE125&lt;&gt;1,T$1=""),"",SUMIFS('All Donations'!$S$2:$S$4001,'All Donations'!$R$2:$R$4001,$AD125,'All Donations'!$T$2:$T$4001,T$1))</f>
        <v/>
      </c>
      <c r="U125" s="49">
        <f>IF(OR($AE125&lt;&gt;1,U$1=""),"",SUMIFS('All Donations'!$S$2:$S$4001,'All Donations'!$R$2:$R$4001,$AD125,'All Donations'!$T$2:$T$4001,U$1))</f>
        <v/>
      </c>
      <c r="V125" s="49">
        <f>IF(OR($AE125&lt;&gt;1,V$1=""),"",SUMIFS('All Donations'!$S$2:$S$4001,'All Donations'!$R$2:$R$4001,$AD125,'All Donations'!$T$2:$T$4001,V$1))</f>
        <v/>
      </c>
      <c r="W125" s="49">
        <f>IF(OR($AE125&lt;&gt;1,W$1=""),"",SUMIFS('All Donations'!$S$2:$S$4001,'All Donations'!$R$2:$R$4001,$AD125,'All Donations'!$T$2:$T$4001,W$1))</f>
        <v/>
      </c>
      <c r="X125" s="49">
        <f>IF(OR($AE125&lt;&gt;1,X$1=""),"",SUMIFS('All Donations'!$S$2:$S$4001,'All Donations'!$R$2:$R$4001,$AD125,'All Donations'!$T$2:$T$4001,X$1))</f>
        <v/>
      </c>
      <c r="Y125" s="49">
        <f>IF(OR($AE125&lt;&gt;1,Y$1=""),"",SUMIFS('All Donations'!$S$2:$S$4001,'All Donations'!$R$2:$R$4001,$AD125,'All Donations'!$T$2:$T$4001,Y$1))</f>
        <v/>
      </c>
      <c r="Z125" s="49">
        <f>IF(OR($AE125&lt;&gt;1,Z$1=""),"",SUMIFS('All Donations'!$S$2:$S$4001,'All Donations'!$R$2:$R$4001,$AD125,'All Donations'!$T$2:$T$4001,Z$1))</f>
        <v/>
      </c>
      <c r="AA125" s="49">
        <f>IF(OR($AE125&lt;&gt;1,AA$1=""),"",SUMIFS('All Donations'!$S$2:$S$4001,'All Donations'!$R$2:$R$4001,$AD125,'All Donations'!$T$2:$T$4001,AA$1))</f>
        <v/>
      </c>
      <c r="AB125" s="49">
        <f>IF(OR($AE125&lt;&gt;1,AB$1=""),"",SUMIFS('All Donations'!$S$2:$S$4001,'All Donations'!$R$2:$R$4001,$AD125,'All Donations'!$T$2:$T$4001,AB$1))</f>
        <v/>
      </c>
      <c r="AC125" s="49">
        <f>IF(OR($AE125&lt;&gt;1,AC$1=""),"",SUMIFS('All Donations'!$S$2:$S$4001,'All Donations'!$R$2:$R$4001,$AD125,'All Donations'!$T$2:$T$4001,AC$1))</f>
        <v/>
      </c>
      <c r="AD125">
        <f>IF(AE125=1,'Roster'!A125,"")</f>
        <v/>
      </c>
      <c r="AE125">
        <f>IF(TRIM('Roster'!B125&amp;'Roster'!C125)&lt;&gt;"",1,0)</f>
        <v/>
      </c>
      <c r="AF125">
        <f>IF(AE125=1,LOWER(A125),"#")</f>
        <v/>
      </c>
      <c r="AG125">
        <f>IF(AE125=1,LOWER(TRIM(TRIM('Roster'!C125)&amp;", "&amp;TRIM('Roster'!B125))),"#")</f>
        <v/>
      </c>
      <c r="AH125">
        <f>IF(AND(AE125=1,TRIM('Roster'!F125)&lt;&gt;""),LOWER(TRIM('Roster'!F125)),"#")</f>
        <v/>
      </c>
      <c r="AI125">
        <f>IF(AE125=1,IF(MATCH(B125,$B$2:$B$701,0)=ROW()-1,1,0),0)</f>
        <v/>
      </c>
      <c r="AJ125">
        <f>AJ124+AI125</f>
        <v/>
      </c>
      <c r="AK125">
        <f>IF(AE125=1,D125+(1000-ROW())/10^7,-1)</f>
        <v/>
      </c>
      <c r="AL125">
        <f>IF(AE125=1,TRIM('Roster'!B125)&amp;" "&amp;LEFT(TRIM('Roster'!C125),1)&amp;".","")</f>
        <v/>
      </c>
      <c r="AM125">
        <f>IF(AE125=1,TRIM('Roster'!C125)&amp;", "&amp;TRIM('Roster'!B125)&amp;" ("&amp;B125&amp;") #"&amp;AD125,"")</f>
        <v/>
      </c>
      <c r="AN125">
        <f>IF(AE125=1,TRIM('Roster'!E125),"")</f>
        <v/>
      </c>
      <c r="AO125">
        <f>IF(AE125=1,ROUND(SUMIFS('All Donations'!$S$2:$S$4001,'All Donations'!$R$2:$R$4001,AD125,'All Donations'!$T$2:$T$4001,"&gt;="&amp;'Settings'!$C$23,'All Donations'!$T$2:$T$4001,"&lt;="&amp;'Settings'!$D$23),2),0)</f>
        <v/>
      </c>
      <c r="AQ125">
        <f>IF(AE125=1,ROUND(SUMIFS('All Donations'!$S$2:$S$4001,'All Donations'!$R$2:$R$4001,AD125,'All Donations'!$T$2:$T$4001,"&gt;="&amp;'Settings'!$C$25,'All Donations'!$T$2:$T$4001,"&lt;="&amp;'Settings'!$D$25),2),0)</f>
        <v/>
      </c>
      <c r="AR125">
        <f>IF(AE125=1,ROUND(SUMIFS('All Donations'!$S$2:$S$4001,'All Donations'!$R$2:$R$4001,AD125,'All Donations'!$T$2:$T$4001,"&gt;="&amp;'Settings'!$C$26,'All Donations'!$T$2:$T$4001,"&lt;="&amp;'Settings'!$D$26),2),0)</f>
        <v/>
      </c>
      <c r="AS125">
        <f>IF(AE125=1,ROUND(SUMIFS('All Donations'!$S$2:$S$4001,'All Donations'!$R$2:$R$4001,AD125,'All Donations'!$T$2:$T$4001,"&lt;="&amp;'Settings'!$D$27),2),0)</f>
        <v/>
      </c>
      <c r="AT125">
        <f>IF(AE125=1,ROUND(SUMIFS('All Donations'!$S$2:$S$4001,'All Donations'!$R$2:$R$4001,AD125,'All Donations'!$T$2:$T$4001,"&gt;="&amp;'Settings'!$C$28,'All Donations'!$T$2:$T$4001,"&lt;="&amp;'Settings'!$D$28),2),0)</f>
        <v/>
      </c>
      <c r="AU125">
        <f>IF(AE125=1,ROUND(SUMIFS('All Donations'!$S$2:$S$4001,'All Donations'!$R$2:$R$4001,AD125,'All Donations'!$T$2:$T$4001,"&gt;="&amp;'Settings'!$C$29,'All Donations'!$T$2:$T$4001,"&lt;="&amp;'Settings'!$D$29),2),0)</f>
        <v/>
      </c>
      <c r="AV125">
        <f>IF(AE125=1,ROUND(SUMIFS('All Donations'!$S$2:$S$4001,'All Donations'!$R$2:$R$4001,AD125,'All Donations'!$T$2:$T$4001,"&lt;="&amp;'Settings'!$D$30),2),0)</f>
        <v/>
      </c>
      <c r="AZ125">
        <f>IF(AE125=1,ROUND(SUMIFS('All Donations'!$S$2:$S$4001,'All Donations'!$R$2:$R$4001,AD125,'All Donations'!$T$2:$T$4001,"&lt;="&amp;'Settings'!$D$34),2),0)</f>
        <v/>
      </c>
    </row>
    <row r="126">
      <c r="A126">
        <f>IF(AE126=1,TRIM(TRIM('Roster'!B126)&amp;" "&amp;TRIM('Roster'!C126)),"")</f>
        <v/>
      </c>
      <c r="B126">
        <f>IF(AE126=1,IF(AN126="","(no teacher)",AN126&amp;" – "&amp;C126),"")</f>
        <v/>
      </c>
      <c r="C126">
        <f>IF(AE126=1,TRIM('Roster'!D126&amp;""),"")</f>
        <v/>
      </c>
      <c r="D126" s="48">
        <f>IF(AE126=1,ROUND(SUMIFS('All Donations'!$S$2:$S$4001,'All Donations'!$R$2:$R$4001,AD126),2),"")</f>
        <v/>
      </c>
      <c r="E126" s="48">
        <f>IF(AE126=1,ROUND(SUMIFS('All Donations'!$S$2:$S$4001,'All Donations'!$R$2:$R$4001,AD126,'All Donations'!$G$2:$G$4001,"OneCause"),2),"")</f>
        <v/>
      </c>
      <c r="F126" s="48">
        <f>IF(AE126=1,D126-E126,"")</f>
        <v/>
      </c>
      <c r="G126">
        <f>IF(AE126=1,COUNTIFS('All Donations'!$R$2:$R$4001,AD126,'All Donations'!$H$2:$H$4001,"OK"),"")</f>
        <v/>
      </c>
      <c r="H126">
        <f>IF(AE126&lt;&gt;1,"",IF(D126&gt;0,"Yes",""))</f>
        <v/>
      </c>
      <c r="I126" s="49">
        <f>IF(OR($AE126&lt;&gt;1,I$1=""),"",SUMIFS('All Donations'!$S$2:$S$4001,'All Donations'!$R$2:$R$4001,$AD126,'All Donations'!$T$2:$T$4001,I$1))</f>
        <v/>
      </c>
      <c r="J126" s="49">
        <f>IF(OR($AE126&lt;&gt;1,J$1=""),"",SUMIFS('All Donations'!$S$2:$S$4001,'All Donations'!$R$2:$R$4001,$AD126,'All Donations'!$T$2:$T$4001,J$1))</f>
        <v/>
      </c>
      <c r="K126" s="49">
        <f>IF(OR($AE126&lt;&gt;1,K$1=""),"",SUMIFS('All Donations'!$S$2:$S$4001,'All Donations'!$R$2:$R$4001,$AD126,'All Donations'!$T$2:$T$4001,K$1))</f>
        <v/>
      </c>
      <c r="L126" s="49">
        <f>IF(OR($AE126&lt;&gt;1,L$1=""),"",SUMIFS('All Donations'!$S$2:$S$4001,'All Donations'!$R$2:$R$4001,$AD126,'All Donations'!$T$2:$T$4001,L$1))</f>
        <v/>
      </c>
      <c r="M126" s="49">
        <f>IF(OR($AE126&lt;&gt;1,M$1=""),"",SUMIFS('All Donations'!$S$2:$S$4001,'All Donations'!$R$2:$R$4001,$AD126,'All Donations'!$T$2:$T$4001,M$1))</f>
        <v/>
      </c>
      <c r="N126" s="49">
        <f>IF(OR($AE126&lt;&gt;1,N$1=""),"",SUMIFS('All Donations'!$S$2:$S$4001,'All Donations'!$R$2:$R$4001,$AD126,'All Donations'!$T$2:$T$4001,N$1))</f>
        <v/>
      </c>
      <c r="O126" s="49">
        <f>IF(OR($AE126&lt;&gt;1,O$1=""),"",SUMIFS('All Donations'!$S$2:$S$4001,'All Donations'!$R$2:$R$4001,$AD126,'All Donations'!$T$2:$T$4001,O$1))</f>
        <v/>
      </c>
      <c r="P126" s="49">
        <f>IF(OR($AE126&lt;&gt;1,P$1=""),"",SUMIFS('All Donations'!$S$2:$S$4001,'All Donations'!$R$2:$R$4001,$AD126,'All Donations'!$T$2:$T$4001,P$1))</f>
        <v/>
      </c>
      <c r="Q126" s="49">
        <f>IF(OR($AE126&lt;&gt;1,Q$1=""),"",SUMIFS('All Donations'!$S$2:$S$4001,'All Donations'!$R$2:$R$4001,$AD126,'All Donations'!$T$2:$T$4001,Q$1))</f>
        <v/>
      </c>
      <c r="R126" s="49">
        <f>IF(OR($AE126&lt;&gt;1,R$1=""),"",SUMIFS('All Donations'!$S$2:$S$4001,'All Donations'!$R$2:$R$4001,$AD126,'All Donations'!$T$2:$T$4001,R$1))</f>
        <v/>
      </c>
      <c r="S126" s="49">
        <f>IF(OR($AE126&lt;&gt;1,S$1=""),"",SUMIFS('All Donations'!$S$2:$S$4001,'All Donations'!$R$2:$R$4001,$AD126,'All Donations'!$T$2:$T$4001,S$1))</f>
        <v/>
      </c>
      <c r="T126" s="49">
        <f>IF(OR($AE126&lt;&gt;1,T$1=""),"",SUMIFS('All Donations'!$S$2:$S$4001,'All Donations'!$R$2:$R$4001,$AD126,'All Donations'!$T$2:$T$4001,T$1))</f>
        <v/>
      </c>
      <c r="U126" s="49">
        <f>IF(OR($AE126&lt;&gt;1,U$1=""),"",SUMIFS('All Donations'!$S$2:$S$4001,'All Donations'!$R$2:$R$4001,$AD126,'All Donations'!$T$2:$T$4001,U$1))</f>
        <v/>
      </c>
      <c r="V126" s="49">
        <f>IF(OR($AE126&lt;&gt;1,V$1=""),"",SUMIFS('All Donations'!$S$2:$S$4001,'All Donations'!$R$2:$R$4001,$AD126,'All Donations'!$T$2:$T$4001,V$1))</f>
        <v/>
      </c>
      <c r="W126" s="49">
        <f>IF(OR($AE126&lt;&gt;1,W$1=""),"",SUMIFS('All Donations'!$S$2:$S$4001,'All Donations'!$R$2:$R$4001,$AD126,'All Donations'!$T$2:$T$4001,W$1))</f>
        <v/>
      </c>
      <c r="X126" s="49">
        <f>IF(OR($AE126&lt;&gt;1,X$1=""),"",SUMIFS('All Donations'!$S$2:$S$4001,'All Donations'!$R$2:$R$4001,$AD126,'All Donations'!$T$2:$T$4001,X$1))</f>
        <v/>
      </c>
      <c r="Y126" s="49">
        <f>IF(OR($AE126&lt;&gt;1,Y$1=""),"",SUMIFS('All Donations'!$S$2:$S$4001,'All Donations'!$R$2:$R$4001,$AD126,'All Donations'!$T$2:$T$4001,Y$1))</f>
        <v/>
      </c>
      <c r="Z126" s="49">
        <f>IF(OR($AE126&lt;&gt;1,Z$1=""),"",SUMIFS('All Donations'!$S$2:$S$4001,'All Donations'!$R$2:$R$4001,$AD126,'All Donations'!$T$2:$T$4001,Z$1))</f>
        <v/>
      </c>
      <c r="AA126" s="49">
        <f>IF(OR($AE126&lt;&gt;1,AA$1=""),"",SUMIFS('All Donations'!$S$2:$S$4001,'All Donations'!$R$2:$R$4001,$AD126,'All Donations'!$T$2:$T$4001,AA$1))</f>
        <v/>
      </c>
      <c r="AB126" s="49">
        <f>IF(OR($AE126&lt;&gt;1,AB$1=""),"",SUMIFS('All Donations'!$S$2:$S$4001,'All Donations'!$R$2:$R$4001,$AD126,'All Donations'!$T$2:$T$4001,AB$1))</f>
        <v/>
      </c>
      <c r="AC126" s="49">
        <f>IF(OR($AE126&lt;&gt;1,AC$1=""),"",SUMIFS('All Donations'!$S$2:$S$4001,'All Donations'!$R$2:$R$4001,$AD126,'All Donations'!$T$2:$T$4001,AC$1))</f>
        <v/>
      </c>
      <c r="AD126">
        <f>IF(AE126=1,'Roster'!A126,"")</f>
        <v/>
      </c>
      <c r="AE126">
        <f>IF(TRIM('Roster'!B126&amp;'Roster'!C126)&lt;&gt;"",1,0)</f>
        <v/>
      </c>
      <c r="AF126">
        <f>IF(AE126=1,LOWER(A126),"#")</f>
        <v/>
      </c>
      <c r="AG126">
        <f>IF(AE126=1,LOWER(TRIM(TRIM('Roster'!C126)&amp;", "&amp;TRIM('Roster'!B126))),"#")</f>
        <v/>
      </c>
      <c r="AH126">
        <f>IF(AND(AE126=1,TRIM('Roster'!F126)&lt;&gt;""),LOWER(TRIM('Roster'!F126)),"#")</f>
        <v/>
      </c>
      <c r="AI126">
        <f>IF(AE126=1,IF(MATCH(B126,$B$2:$B$701,0)=ROW()-1,1,0),0)</f>
        <v/>
      </c>
      <c r="AJ126">
        <f>AJ125+AI126</f>
        <v/>
      </c>
      <c r="AK126">
        <f>IF(AE126=1,D126+(1000-ROW())/10^7,-1)</f>
        <v/>
      </c>
      <c r="AL126">
        <f>IF(AE126=1,TRIM('Roster'!B126)&amp;" "&amp;LEFT(TRIM('Roster'!C126),1)&amp;".","")</f>
        <v/>
      </c>
      <c r="AM126">
        <f>IF(AE126=1,TRIM('Roster'!C126)&amp;", "&amp;TRIM('Roster'!B126)&amp;" ("&amp;B126&amp;") #"&amp;AD126,"")</f>
        <v/>
      </c>
      <c r="AN126">
        <f>IF(AE126=1,TRIM('Roster'!E126),"")</f>
        <v/>
      </c>
      <c r="AO126">
        <f>IF(AE126=1,ROUND(SUMIFS('All Donations'!$S$2:$S$4001,'All Donations'!$R$2:$R$4001,AD126,'All Donations'!$T$2:$T$4001,"&gt;="&amp;'Settings'!$C$23,'All Donations'!$T$2:$T$4001,"&lt;="&amp;'Settings'!$D$23),2),0)</f>
        <v/>
      </c>
      <c r="AQ126">
        <f>IF(AE126=1,ROUND(SUMIFS('All Donations'!$S$2:$S$4001,'All Donations'!$R$2:$R$4001,AD126,'All Donations'!$T$2:$T$4001,"&gt;="&amp;'Settings'!$C$25,'All Donations'!$T$2:$T$4001,"&lt;="&amp;'Settings'!$D$25),2),0)</f>
        <v/>
      </c>
      <c r="AR126">
        <f>IF(AE126=1,ROUND(SUMIFS('All Donations'!$S$2:$S$4001,'All Donations'!$R$2:$R$4001,AD126,'All Donations'!$T$2:$T$4001,"&gt;="&amp;'Settings'!$C$26,'All Donations'!$T$2:$T$4001,"&lt;="&amp;'Settings'!$D$26),2),0)</f>
        <v/>
      </c>
      <c r="AS126">
        <f>IF(AE126=1,ROUND(SUMIFS('All Donations'!$S$2:$S$4001,'All Donations'!$R$2:$R$4001,AD126,'All Donations'!$T$2:$T$4001,"&lt;="&amp;'Settings'!$D$27),2),0)</f>
        <v/>
      </c>
      <c r="AT126">
        <f>IF(AE126=1,ROUND(SUMIFS('All Donations'!$S$2:$S$4001,'All Donations'!$R$2:$R$4001,AD126,'All Donations'!$T$2:$T$4001,"&gt;="&amp;'Settings'!$C$28,'All Donations'!$T$2:$T$4001,"&lt;="&amp;'Settings'!$D$28),2),0)</f>
        <v/>
      </c>
      <c r="AU126">
        <f>IF(AE126=1,ROUND(SUMIFS('All Donations'!$S$2:$S$4001,'All Donations'!$R$2:$R$4001,AD126,'All Donations'!$T$2:$T$4001,"&gt;="&amp;'Settings'!$C$29,'All Donations'!$T$2:$T$4001,"&lt;="&amp;'Settings'!$D$29),2),0)</f>
        <v/>
      </c>
      <c r="AV126">
        <f>IF(AE126=1,ROUND(SUMIFS('All Donations'!$S$2:$S$4001,'All Donations'!$R$2:$R$4001,AD126,'All Donations'!$T$2:$T$4001,"&lt;="&amp;'Settings'!$D$30),2),0)</f>
        <v/>
      </c>
      <c r="AZ126">
        <f>IF(AE126=1,ROUND(SUMIFS('All Donations'!$S$2:$S$4001,'All Donations'!$R$2:$R$4001,AD126,'All Donations'!$T$2:$T$4001,"&lt;="&amp;'Settings'!$D$34),2),0)</f>
        <v/>
      </c>
    </row>
    <row r="127">
      <c r="A127">
        <f>IF(AE127=1,TRIM(TRIM('Roster'!B127)&amp;" "&amp;TRIM('Roster'!C127)),"")</f>
        <v/>
      </c>
      <c r="B127">
        <f>IF(AE127=1,IF(AN127="","(no teacher)",AN127&amp;" – "&amp;C127),"")</f>
        <v/>
      </c>
      <c r="C127">
        <f>IF(AE127=1,TRIM('Roster'!D127&amp;""),"")</f>
        <v/>
      </c>
      <c r="D127" s="48">
        <f>IF(AE127=1,ROUND(SUMIFS('All Donations'!$S$2:$S$4001,'All Donations'!$R$2:$R$4001,AD127),2),"")</f>
        <v/>
      </c>
      <c r="E127" s="48">
        <f>IF(AE127=1,ROUND(SUMIFS('All Donations'!$S$2:$S$4001,'All Donations'!$R$2:$R$4001,AD127,'All Donations'!$G$2:$G$4001,"OneCause"),2),"")</f>
        <v/>
      </c>
      <c r="F127" s="48">
        <f>IF(AE127=1,D127-E127,"")</f>
        <v/>
      </c>
      <c r="G127">
        <f>IF(AE127=1,COUNTIFS('All Donations'!$R$2:$R$4001,AD127,'All Donations'!$H$2:$H$4001,"OK"),"")</f>
        <v/>
      </c>
      <c r="H127">
        <f>IF(AE127&lt;&gt;1,"",IF(D127&gt;0,"Yes",""))</f>
        <v/>
      </c>
      <c r="I127" s="49">
        <f>IF(OR($AE127&lt;&gt;1,I$1=""),"",SUMIFS('All Donations'!$S$2:$S$4001,'All Donations'!$R$2:$R$4001,$AD127,'All Donations'!$T$2:$T$4001,I$1))</f>
        <v/>
      </c>
      <c r="J127" s="49">
        <f>IF(OR($AE127&lt;&gt;1,J$1=""),"",SUMIFS('All Donations'!$S$2:$S$4001,'All Donations'!$R$2:$R$4001,$AD127,'All Donations'!$T$2:$T$4001,J$1))</f>
        <v/>
      </c>
      <c r="K127" s="49">
        <f>IF(OR($AE127&lt;&gt;1,K$1=""),"",SUMIFS('All Donations'!$S$2:$S$4001,'All Donations'!$R$2:$R$4001,$AD127,'All Donations'!$T$2:$T$4001,K$1))</f>
        <v/>
      </c>
      <c r="L127" s="49">
        <f>IF(OR($AE127&lt;&gt;1,L$1=""),"",SUMIFS('All Donations'!$S$2:$S$4001,'All Donations'!$R$2:$R$4001,$AD127,'All Donations'!$T$2:$T$4001,L$1))</f>
        <v/>
      </c>
      <c r="M127" s="49">
        <f>IF(OR($AE127&lt;&gt;1,M$1=""),"",SUMIFS('All Donations'!$S$2:$S$4001,'All Donations'!$R$2:$R$4001,$AD127,'All Donations'!$T$2:$T$4001,M$1))</f>
        <v/>
      </c>
      <c r="N127" s="49">
        <f>IF(OR($AE127&lt;&gt;1,N$1=""),"",SUMIFS('All Donations'!$S$2:$S$4001,'All Donations'!$R$2:$R$4001,$AD127,'All Donations'!$T$2:$T$4001,N$1))</f>
        <v/>
      </c>
      <c r="O127" s="49">
        <f>IF(OR($AE127&lt;&gt;1,O$1=""),"",SUMIFS('All Donations'!$S$2:$S$4001,'All Donations'!$R$2:$R$4001,$AD127,'All Donations'!$T$2:$T$4001,O$1))</f>
        <v/>
      </c>
      <c r="P127" s="49">
        <f>IF(OR($AE127&lt;&gt;1,P$1=""),"",SUMIFS('All Donations'!$S$2:$S$4001,'All Donations'!$R$2:$R$4001,$AD127,'All Donations'!$T$2:$T$4001,P$1))</f>
        <v/>
      </c>
      <c r="Q127" s="49">
        <f>IF(OR($AE127&lt;&gt;1,Q$1=""),"",SUMIFS('All Donations'!$S$2:$S$4001,'All Donations'!$R$2:$R$4001,$AD127,'All Donations'!$T$2:$T$4001,Q$1))</f>
        <v/>
      </c>
      <c r="R127" s="49">
        <f>IF(OR($AE127&lt;&gt;1,R$1=""),"",SUMIFS('All Donations'!$S$2:$S$4001,'All Donations'!$R$2:$R$4001,$AD127,'All Donations'!$T$2:$T$4001,R$1))</f>
        <v/>
      </c>
      <c r="S127" s="49">
        <f>IF(OR($AE127&lt;&gt;1,S$1=""),"",SUMIFS('All Donations'!$S$2:$S$4001,'All Donations'!$R$2:$R$4001,$AD127,'All Donations'!$T$2:$T$4001,S$1))</f>
        <v/>
      </c>
      <c r="T127" s="49">
        <f>IF(OR($AE127&lt;&gt;1,T$1=""),"",SUMIFS('All Donations'!$S$2:$S$4001,'All Donations'!$R$2:$R$4001,$AD127,'All Donations'!$T$2:$T$4001,T$1))</f>
        <v/>
      </c>
      <c r="U127" s="49">
        <f>IF(OR($AE127&lt;&gt;1,U$1=""),"",SUMIFS('All Donations'!$S$2:$S$4001,'All Donations'!$R$2:$R$4001,$AD127,'All Donations'!$T$2:$T$4001,U$1))</f>
        <v/>
      </c>
      <c r="V127" s="49">
        <f>IF(OR($AE127&lt;&gt;1,V$1=""),"",SUMIFS('All Donations'!$S$2:$S$4001,'All Donations'!$R$2:$R$4001,$AD127,'All Donations'!$T$2:$T$4001,V$1))</f>
        <v/>
      </c>
      <c r="W127" s="49">
        <f>IF(OR($AE127&lt;&gt;1,W$1=""),"",SUMIFS('All Donations'!$S$2:$S$4001,'All Donations'!$R$2:$R$4001,$AD127,'All Donations'!$T$2:$T$4001,W$1))</f>
        <v/>
      </c>
      <c r="X127" s="49">
        <f>IF(OR($AE127&lt;&gt;1,X$1=""),"",SUMIFS('All Donations'!$S$2:$S$4001,'All Donations'!$R$2:$R$4001,$AD127,'All Donations'!$T$2:$T$4001,X$1))</f>
        <v/>
      </c>
      <c r="Y127" s="49">
        <f>IF(OR($AE127&lt;&gt;1,Y$1=""),"",SUMIFS('All Donations'!$S$2:$S$4001,'All Donations'!$R$2:$R$4001,$AD127,'All Donations'!$T$2:$T$4001,Y$1))</f>
        <v/>
      </c>
      <c r="Z127" s="49">
        <f>IF(OR($AE127&lt;&gt;1,Z$1=""),"",SUMIFS('All Donations'!$S$2:$S$4001,'All Donations'!$R$2:$R$4001,$AD127,'All Donations'!$T$2:$T$4001,Z$1))</f>
        <v/>
      </c>
      <c r="AA127" s="49">
        <f>IF(OR($AE127&lt;&gt;1,AA$1=""),"",SUMIFS('All Donations'!$S$2:$S$4001,'All Donations'!$R$2:$R$4001,$AD127,'All Donations'!$T$2:$T$4001,AA$1))</f>
        <v/>
      </c>
      <c r="AB127" s="49">
        <f>IF(OR($AE127&lt;&gt;1,AB$1=""),"",SUMIFS('All Donations'!$S$2:$S$4001,'All Donations'!$R$2:$R$4001,$AD127,'All Donations'!$T$2:$T$4001,AB$1))</f>
        <v/>
      </c>
      <c r="AC127" s="49">
        <f>IF(OR($AE127&lt;&gt;1,AC$1=""),"",SUMIFS('All Donations'!$S$2:$S$4001,'All Donations'!$R$2:$R$4001,$AD127,'All Donations'!$T$2:$T$4001,AC$1))</f>
        <v/>
      </c>
      <c r="AD127">
        <f>IF(AE127=1,'Roster'!A127,"")</f>
        <v/>
      </c>
      <c r="AE127">
        <f>IF(TRIM('Roster'!B127&amp;'Roster'!C127)&lt;&gt;"",1,0)</f>
        <v/>
      </c>
      <c r="AF127">
        <f>IF(AE127=1,LOWER(A127),"#")</f>
        <v/>
      </c>
      <c r="AG127">
        <f>IF(AE127=1,LOWER(TRIM(TRIM('Roster'!C127)&amp;", "&amp;TRIM('Roster'!B127))),"#")</f>
        <v/>
      </c>
      <c r="AH127">
        <f>IF(AND(AE127=1,TRIM('Roster'!F127)&lt;&gt;""),LOWER(TRIM('Roster'!F127)),"#")</f>
        <v/>
      </c>
      <c r="AI127">
        <f>IF(AE127=1,IF(MATCH(B127,$B$2:$B$701,0)=ROW()-1,1,0),0)</f>
        <v/>
      </c>
      <c r="AJ127">
        <f>AJ126+AI127</f>
        <v/>
      </c>
      <c r="AK127">
        <f>IF(AE127=1,D127+(1000-ROW())/10^7,-1)</f>
        <v/>
      </c>
      <c r="AL127">
        <f>IF(AE127=1,TRIM('Roster'!B127)&amp;" "&amp;LEFT(TRIM('Roster'!C127),1)&amp;".","")</f>
        <v/>
      </c>
      <c r="AM127">
        <f>IF(AE127=1,TRIM('Roster'!C127)&amp;", "&amp;TRIM('Roster'!B127)&amp;" ("&amp;B127&amp;") #"&amp;AD127,"")</f>
        <v/>
      </c>
      <c r="AN127">
        <f>IF(AE127=1,TRIM('Roster'!E127),"")</f>
        <v/>
      </c>
      <c r="AO127">
        <f>IF(AE127=1,ROUND(SUMIFS('All Donations'!$S$2:$S$4001,'All Donations'!$R$2:$R$4001,AD127,'All Donations'!$T$2:$T$4001,"&gt;="&amp;'Settings'!$C$23,'All Donations'!$T$2:$T$4001,"&lt;="&amp;'Settings'!$D$23),2),0)</f>
        <v/>
      </c>
      <c r="AQ127">
        <f>IF(AE127=1,ROUND(SUMIFS('All Donations'!$S$2:$S$4001,'All Donations'!$R$2:$R$4001,AD127,'All Donations'!$T$2:$T$4001,"&gt;="&amp;'Settings'!$C$25,'All Donations'!$T$2:$T$4001,"&lt;="&amp;'Settings'!$D$25),2),0)</f>
        <v/>
      </c>
      <c r="AR127">
        <f>IF(AE127=1,ROUND(SUMIFS('All Donations'!$S$2:$S$4001,'All Donations'!$R$2:$R$4001,AD127,'All Donations'!$T$2:$T$4001,"&gt;="&amp;'Settings'!$C$26,'All Donations'!$T$2:$T$4001,"&lt;="&amp;'Settings'!$D$26),2),0)</f>
        <v/>
      </c>
      <c r="AS127">
        <f>IF(AE127=1,ROUND(SUMIFS('All Donations'!$S$2:$S$4001,'All Donations'!$R$2:$R$4001,AD127,'All Donations'!$T$2:$T$4001,"&lt;="&amp;'Settings'!$D$27),2),0)</f>
        <v/>
      </c>
      <c r="AT127">
        <f>IF(AE127=1,ROUND(SUMIFS('All Donations'!$S$2:$S$4001,'All Donations'!$R$2:$R$4001,AD127,'All Donations'!$T$2:$T$4001,"&gt;="&amp;'Settings'!$C$28,'All Donations'!$T$2:$T$4001,"&lt;="&amp;'Settings'!$D$28),2),0)</f>
        <v/>
      </c>
      <c r="AU127">
        <f>IF(AE127=1,ROUND(SUMIFS('All Donations'!$S$2:$S$4001,'All Donations'!$R$2:$R$4001,AD127,'All Donations'!$T$2:$T$4001,"&gt;="&amp;'Settings'!$C$29,'All Donations'!$T$2:$T$4001,"&lt;="&amp;'Settings'!$D$29),2),0)</f>
        <v/>
      </c>
      <c r="AV127">
        <f>IF(AE127=1,ROUND(SUMIFS('All Donations'!$S$2:$S$4001,'All Donations'!$R$2:$R$4001,AD127,'All Donations'!$T$2:$T$4001,"&lt;="&amp;'Settings'!$D$30),2),0)</f>
        <v/>
      </c>
      <c r="AZ127">
        <f>IF(AE127=1,ROUND(SUMIFS('All Donations'!$S$2:$S$4001,'All Donations'!$R$2:$R$4001,AD127,'All Donations'!$T$2:$T$4001,"&lt;="&amp;'Settings'!$D$34),2),0)</f>
        <v/>
      </c>
    </row>
    <row r="128">
      <c r="A128">
        <f>IF(AE128=1,TRIM(TRIM('Roster'!B128)&amp;" "&amp;TRIM('Roster'!C128)),"")</f>
        <v/>
      </c>
      <c r="B128">
        <f>IF(AE128=1,IF(AN128="","(no teacher)",AN128&amp;" – "&amp;C128),"")</f>
        <v/>
      </c>
      <c r="C128">
        <f>IF(AE128=1,TRIM('Roster'!D128&amp;""),"")</f>
        <v/>
      </c>
      <c r="D128" s="48">
        <f>IF(AE128=1,ROUND(SUMIFS('All Donations'!$S$2:$S$4001,'All Donations'!$R$2:$R$4001,AD128),2),"")</f>
        <v/>
      </c>
      <c r="E128" s="48">
        <f>IF(AE128=1,ROUND(SUMIFS('All Donations'!$S$2:$S$4001,'All Donations'!$R$2:$R$4001,AD128,'All Donations'!$G$2:$G$4001,"OneCause"),2),"")</f>
        <v/>
      </c>
      <c r="F128" s="48">
        <f>IF(AE128=1,D128-E128,"")</f>
        <v/>
      </c>
      <c r="G128">
        <f>IF(AE128=1,COUNTIFS('All Donations'!$R$2:$R$4001,AD128,'All Donations'!$H$2:$H$4001,"OK"),"")</f>
        <v/>
      </c>
      <c r="H128">
        <f>IF(AE128&lt;&gt;1,"",IF(D128&gt;0,"Yes",""))</f>
        <v/>
      </c>
      <c r="I128" s="49">
        <f>IF(OR($AE128&lt;&gt;1,I$1=""),"",SUMIFS('All Donations'!$S$2:$S$4001,'All Donations'!$R$2:$R$4001,$AD128,'All Donations'!$T$2:$T$4001,I$1))</f>
        <v/>
      </c>
      <c r="J128" s="49">
        <f>IF(OR($AE128&lt;&gt;1,J$1=""),"",SUMIFS('All Donations'!$S$2:$S$4001,'All Donations'!$R$2:$R$4001,$AD128,'All Donations'!$T$2:$T$4001,J$1))</f>
        <v/>
      </c>
      <c r="K128" s="49">
        <f>IF(OR($AE128&lt;&gt;1,K$1=""),"",SUMIFS('All Donations'!$S$2:$S$4001,'All Donations'!$R$2:$R$4001,$AD128,'All Donations'!$T$2:$T$4001,K$1))</f>
        <v/>
      </c>
      <c r="L128" s="49">
        <f>IF(OR($AE128&lt;&gt;1,L$1=""),"",SUMIFS('All Donations'!$S$2:$S$4001,'All Donations'!$R$2:$R$4001,$AD128,'All Donations'!$T$2:$T$4001,L$1))</f>
        <v/>
      </c>
      <c r="M128" s="49">
        <f>IF(OR($AE128&lt;&gt;1,M$1=""),"",SUMIFS('All Donations'!$S$2:$S$4001,'All Donations'!$R$2:$R$4001,$AD128,'All Donations'!$T$2:$T$4001,M$1))</f>
        <v/>
      </c>
      <c r="N128" s="49">
        <f>IF(OR($AE128&lt;&gt;1,N$1=""),"",SUMIFS('All Donations'!$S$2:$S$4001,'All Donations'!$R$2:$R$4001,$AD128,'All Donations'!$T$2:$T$4001,N$1))</f>
        <v/>
      </c>
      <c r="O128" s="49">
        <f>IF(OR($AE128&lt;&gt;1,O$1=""),"",SUMIFS('All Donations'!$S$2:$S$4001,'All Donations'!$R$2:$R$4001,$AD128,'All Donations'!$T$2:$T$4001,O$1))</f>
        <v/>
      </c>
      <c r="P128" s="49">
        <f>IF(OR($AE128&lt;&gt;1,P$1=""),"",SUMIFS('All Donations'!$S$2:$S$4001,'All Donations'!$R$2:$R$4001,$AD128,'All Donations'!$T$2:$T$4001,P$1))</f>
        <v/>
      </c>
      <c r="Q128" s="49">
        <f>IF(OR($AE128&lt;&gt;1,Q$1=""),"",SUMIFS('All Donations'!$S$2:$S$4001,'All Donations'!$R$2:$R$4001,$AD128,'All Donations'!$T$2:$T$4001,Q$1))</f>
        <v/>
      </c>
      <c r="R128" s="49">
        <f>IF(OR($AE128&lt;&gt;1,R$1=""),"",SUMIFS('All Donations'!$S$2:$S$4001,'All Donations'!$R$2:$R$4001,$AD128,'All Donations'!$T$2:$T$4001,R$1))</f>
        <v/>
      </c>
      <c r="S128" s="49">
        <f>IF(OR($AE128&lt;&gt;1,S$1=""),"",SUMIFS('All Donations'!$S$2:$S$4001,'All Donations'!$R$2:$R$4001,$AD128,'All Donations'!$T$2:$T$4001,S$1))</f>
        <v/>
      </c>
      <c r="T128" s="49">
        <f>IF(OR($AE128&lt;&gt;1,T$1=""),"",SUMIFS('All Donations'!$S$2:$S$4001,'All Donations'!$R$2:$R$4001,$AD128,'All Donations'!$T$2:$T$4001,T$1))</f>
        <v/>
      </c>
      <c r="U128" s="49">
        <f>IF(OR($AE128&lt;&gt;1,U$1=""),"",SUMIFS('All Donations'!$S$2:$S$4001,'All Donations'!$R$2:$R$4001,$AD128,'All Donations'!$T$2:$T$4001,U$1))</f>
        <v/>
      </c>
      <c r="V128" s="49">
        <f>IF(OR($AE128&lt;&gt;1,V$1=""),"",SUMIFS('All Donations'!$S$2:$S$4001,'All Donations'!$R$2:$R$4001,$AD128,'All Donations'!$T$2:$T$4001,V$1))</f>
        <v/>
      </c>
      <c r="W128" s="49">
        <f>IF(OR($AE128&lt;&gt;1,W$1=""),"",SUMIFS('All Donations'!$S$2:$S$4001,'All Donations'!$R$2:$R$4001,$AD128,'All Donations'!$T$2:$T$4001,W$1))</f>
        <v/>
      </c>
      <c r="X128" s="49">
        <f>IF(OR($AE128&lt;&gt;1,X$1=""),"",SUMIFS('All Donations'!$S$2:$S$4001,'All Donations'!$R$2:$R$4001,$AD128,'All Donations'!$T$2:$T$4001,X$1))</f>
        <v/>
      </c>
      <c r="Y128" s="49">
        <f>IF(OR($AE128&lt;&gt;1,Y$1=""),"",SUMIFS('All Donations'!$S$2:$S$4001,'All Donations'!$R$2:$R$4001,$AD128,'All Donations'!$T$2:$T$4001,Y$1))</f>
        <v/>
      </c>
      <c r="Z128" s="49">
        <f>IF(OR($AE128&lt;&gt;1,Z$1=""),"",SUMIFS('All Donations'!$S$2:$S$4001,'All Donations'!$R$2:$R$4001,$AD128,'All Donations'!$T$2:$T$4001,Z$1))</f>
        <v/>
      </c>
      <c r="AA128" s="49">
        <f>IF(OR($AE128&lt;&gt;1,AA$1=""),"",SUMIFS('All Donations'!$S$2:$S$4001,'All Donations'!$R$2:$R$4001,$AD128,'All Donations'!$T$2:$T$4001,AA$1))</f>
        <v/>
      </c>
      <c r="AB128" s="49">
        <f>IF(OR($AE128&lt;&gt;1,AB$1=""),"",SUMIFS('All Donations'!$S$2:$S$4001,'All Donations'!$R$2:$R$4001,$AD128,'All Donations'!$T$2:$T$4001,AB$1))</f>
        <v/>
      </c>
      <c r="AC128" s="49">
        <f>IF(OR($AE128&lt;&gt;1,AC$1=""),"",SUMIFS('All Donations'!$S$2:$S$4001,'All Donations'!$R$2:$R$4001,$AD128,'All Donations'!$T$2:$T$4001,AC$1))</f>
        <v/>
      </c>
      <c r="AD128">
        <f>IF(AE128=1,'Roster'!A128,"")</f>
        <v/>
      </c>
      <c r="AE128">
        <f>IF(TRIM('Roster'!B128&amp;'Roster'!C128)&lt;&gt;"",1,0)</f>
        <v/>
      </c>
      <c r="AF128">
        <f>IF(AE128=1,LOWER(A128),"#")</f>
        <v/>
      </c>
      <c r="AG128">
        <f>IF(AE128=1,LOWER(TRIM(TRIM('Roster'!C128)&amp;", "&amp;TRIM('Roster'!B128))),"#")</f>
        <v/>
      </c>
      <c r="AH128">
        <f>IF(AND(AE128=1,TRIM('Roster'!F128)&lt;&gt;""),LOWER(TRIM('Roster'!F128)),"#")</f>
        <v/>
      </c>
      <c r="AI128">
        <f>IF(AE128=1,IF(MATCH(B128,$B$2:$B$701,0)=ROW()-1,1,0),0)</f>
        <v/>
      </c>
      <c r="AJ128">
        <f>AJ127+AI128</f>
        <v/>
      </c>
      <c r="AK128">
        <f>IF(AE128=1,D128+(1000-ROW())/10^7,-1)</f>
        <v/>
      </c>
      <c r="AL128">
        <f>IF(AE128=1,TRIM('Roster'!B128)&amp;" "&amp;LEFT(TRIM('Roster'!C128),1)&amp;".","")</f>
        <v/>
      </c>
      <c r="AM128">
        <f>IF(AE128=1,TRIM('Roster'!C128)&amp;", "&amp;TRIM('Roster'!B128)&amp;" ("&amp;B128&amp;") #"&amp;AD128,"")</f>
        <v/>
      </c>
      <c r="AN128">
        <f>IF(AE128=1,TRIM('Roster'!E128),"")</f>
        <v/>
      </c>
      <c r="AO128">
        <f>IF(AE128=1,ROUND(SUMIFS('All Donations'!$S$2:$S$4001,'All Donations'!$R$2:$R$4001,AD128,'All Donations'!$T$2:$T$4001,"&gt;="&amp;'Settings'!$C$23,'All Donations'!$T$2:$T$4001,"&lt;="&amp;'Settings'!$D$23),2),0)</f>
        <v/>
      </c>
      <c r="AQ128">
        <f>IF(AE128=1,ROUND(SUMIFS('All Donations'!$S$2:$S$4001,'All Donations'!$R$2:$R$4001,AD128,'All Donations'!$T$2:$T$4001,"&gt;="&amp;'Settings'!$C$25,'All Donations'!$T$2:$T$4001,"&lt;="&amp;'Settings'!$D$25),2),0)</f>
        <v/>
      </c>
      <c r="AR128">
        <f>IF(AE128=1,ROUND(SUMIFS('All Donations'!$S$2:$S$4001,'All Donations'!$R$2:$R$4001,AD128,'All Donations'!$T$2:$T$4001,"&gt;="&amp;'Settings'!$C$26,'All Donations'!$T$2:$T$4001,"&lt;="&amp;'Settings'!$D$26),2),0)</f>
        <v/>
      </c>
      <c r="AS128">
        <f>IF(AE128=1,ROUND(SUMIFS('All Donations'!$S$2:$S$4001,'All Donations'!$R$2:$R$4001,AD128,'All Donations'!$T$2:$T$4001,"&lt;="&amp;'Settings'!$D$27),2),0)</f>
        <v/>
      </c>
      <c r="AT128">
        <f>IF(AE128=1,ROUND(SUMIFS('All Donations'!$S$2:$S$4001,'All Donations'!$R$2:$R$4001,AD128,'All Donations'!$T$2:$T$4001,"&gt;="&amp;'Settings'!$C$28,'All Donations'!$T$2:$T$4001,"&lt;="&amp;'Settings'!$D$28),2),0)</f>
        <v/>
      </c>
      <c r="AU128">
        <f>IF(AE128=1,ROUND(SUMIFS('All Donations'!$S$2:$S$4001,'All Donations'!$R$2:$R$4001,AD128,'All Donations'!$T$2:$T$4001,"&gt;="&amp;'Settings'!$C$29,'All Donations'!$T$2:$T$4001,"&lt;="&amp;'Settings'!$D$29),2),0)</f>
        <v/>
      </c>
      <c r="AV128">
        <f>IF(AE128=1,ROUND(SUMIFS('All Donations'!$S$2:$S$4001,'All Donations'!$R$2:$R$4001,AD128,'All Donations'!$T$2:$T$4001,"&lt;="&amp;'Settings'!$D$30),2),0)</f>
        <v/>
      </c>
      <c r="AZ128">
        <f>IF(AE128=1,ROUND(SUMIFS('All Donations'!$S$2:$S$4001,'All Donations'!$R$2:$R$4001,AD128,'All Donations'!$T$2:$T$4001,"&lt;="&amp;'Settings'!$D$34),2),0)</f>
        <v/>
      </c>
    </row>
    <row r="129">
      <c r="A129">
        <f>IF(AE129=1,TRIM(TRIM('Roster'!B129)&amp;" "&amp;TRIM('Roster'!C129)),"")</f>
        <v/>
      </c>
      <c r="B129">
        <f>IF(AE129=1,IF(AN129="","(no teacher)",AN129&amp;" – "&amp;C129),"")</f>
        <v/>
      </c>
      <c r="C129">
        <f>IF(AE129=1,TRIM('Roster'!D129&amp;""),"")</f>
        <v/>
      </c>
      <c r="D129" s="48">
        <f>IF(AE129=1,ROUND(SUMIFS('All Donations'!$S$2:$S$4001,'All Donations'!$R$2:$R$4001,AD129),2),"")</f>
        <v/>
      </c>
      <c r="E129" s="48">
        <f>IF(AE129=1,ROUND(SUMIFS('All Donations'!$S$2:$S$4001,'All Donations'!$R$2:$R$4001,AD129,'All Donations'!$G$2:$G$4001,"OneCause"),2),"")</f>
        <v/>
      </c>
      <c r="F129" s="48">
        <f>IF(AE129=1,D129-E129,"")</f>
        <v/>
      </c>
      <c r="G129">
        <f>IF(AE129=1,COUNTIFS('All Donations'!$R$2:$R$4001,AD129,'All Donations'!$H$2:$H$4001,"OK"),"")</f>
        <v/>
      </c>
      <c r="H129">
        <f>IF(AE129&lt;&gt;1,"",IF(D129&gt;0,"Yes",""))</f>
        <v/>
      </c>
      <c r="I129" s="49">
        <f>IF(OR($AE129&lt;&gt;1,I$1=""),"",SUMIFS('All Donations'!$S$2:$S$4001,'All Donations'!$R$2:$R$4001,$AD129,'All Donations'!$T$2:$T$4001,I$1))</f>
        <v/>
      </c>
      <c r="J129" s="49">
        <f>IF(OR($AE129&lt;&gt;1,J$1=""),"",SUMIFS('All Donations'!$S$2:$S$4001,'All Donations'!$R$2:$R$4001,$AD129,'All Donations'!$T$2:$T$4001,J$1))</f>
        <v/>
      </c>
      <c r="K129" s="49">
        <f>IF(OR($AE129&lt;&gt;1,K$1=""),"",SUMIFS('All Donations'!$S$2:$S$4001,'All Donations'!$R$2:$R$4001,$AD129,'All Donations'!$T$2:$T$4001,K$1))</f>
        <v/>
      </c>
      <c r="L129" s="49">
        <f>IF(OR($AE129&lt;&gt;1,L$1=""),"",SUMIFS('All Donations'!$S$2:$S$4001,'All Donations'!$R$2:$R$4001,$AD129,'All Donations'!$T$2:$T$4001,L$1))</f>
        <v/>
      </c>
      <c r="M129" s="49">
        <f>IF(OR($AE129&lt;&gt;1,M$1=""),"",SUMIFS('All Donations'!$S$2:$S$4001,'All Donations'!$R$2:$R$4001,$AD129,'All Donations'!$T$2:$T$4001,M$1))</f>
        <v/>
      </c>
      <c r="N129" s="49">
        <f>IF(OR($AE129&lt;&gt;1,N$1=""),"",SUMIFS('All Donations'!$S$2:$S$4001,'All Donations'!$R$2:$R$4001,$AD129,'All Donations'!$T$2:$T$4001,N$1))</f>
        <v/>
      </c>
      <c r="O129" s="49">
        <f>IF(OR($AE129&lt;&gt;1,O$1=""),"",SUMIFS('All Donations'!$S$2:$S$4001,'All Donations'!$R$2:$R$4001,$AD129,'All Donations'!$T$2:$T$4001,O$1))</f>
        <v/>
      </c>
      <c r="P129" s="49">
        <f>IF(OR($AE129&lt;&gt;1,P$1=""),"",SUMIFS('All Donations'!$S$2:$S$4001,'All Donations'!$R$2:$R$4001,$AD129,'All Donations'!$T$2:$T$4001,P$1))</f>
        <v/>
      </c>
      <c r="Q129" s="49">
        <f>IF(OR($AE129&lt;&gt;1,Q$1=""),"",SUMIFS('All Donations'!$S$2:$S$4001,'All Donations'!$R$2:$R$4001,$AD129,'All Donations'!$T$2:$T$4001,Q$1))</f>
        <v/>
      </c>
      <c r="R129" s="49">
        <f>IF(OR($AE129&lt;&gt;1,R$1=""),"",SUMIFS('All Donations'!$S$2:$S$4001,'All Donations'!$R$2:$R$4001,$AD129,'All Donations'!$T$2:$T$4001,R$1))</f>
        <v/>
      </c>
      <c r="S129" s="49">
        <f>IF(OR($AE129&lt;&gt;1,S$1=""),"",SUMIFS('All Donations'!$S$2:$S$4001,'All Donations'!$R$2:$R$4001,$AD129,'All Donations'!$T$2:$T$4001,S$1))</f>
        <v/>
      </c>
      <c r="T129" s="49">
        <f>IF(OR($AE129&lt;&gt;1,T$1=""),"",SUMIFS('All Donations'!$S$2:$S$4001,'All Donations'!$R$2:$R$4001,$AD129,'All Donations'!$T$2:$T$4001,T$1))</f>
        <v/>
      </c>
      <c r="U129" s="49">
        <f>IF(OR($AE129&lt;&gt;1,U$1=""),"",SUMIFS('All Donations'!$S$2:$S$4001,'All Donations'!$R$2:$R$4001,$AD129,'All Donations'!$T$2:$T$4001,U$1))</f>
        <v/>
      </c>
      <c r="V129" s="49">
        <f>IF(OR($AE129&lt;&gt;1,V$1=""),"",SUMIFS('All Donations'!$S$2:$S$4001,'All Donations'!$R$2:$R$4001,$AD129,'All Donations'!$T$2:$T$4001,V$1))</f>
        <v/>
      </c>
      <c r="W129" s="49">
        <f>IF(OR($AE129&lt;&gt;1,W$1=""),"",SUMIFS('All Donations'!$S$2:$S$4001,'All Donations'!$R$2:$R$4001,$AD129,'All Donations'!$T$2:$T$4001,W$1))</f>
        <v/>
      </c>
      <c r="X129" s="49">
        <f>IF(OR($AE129&lt;&gt;1,X$1=""),"",SUMIFS('All Donations'!$S$2:$S$4001,'All Donations'!$R$2:$R$4001,$AD129,'All Donations'!$T$2:$T$4001,X$1))</f>
        <v/>
      </c>
      <c r="Y129" s="49">
        <f>IF(OR($AE129&lt;&gt;1,Y$1=""),"",SUMIFS('All Donations'!$S$2:$S$4001,'All Donations'!$R$2:$R$4001,$AD129,'All Donations'!$T$2:$T$4001,Y$1))</f>
        <v/>
      </c>
      <c r="Z129" s="49">
        <f>IF(OR($AE129&lt;&gt;1,Z$1=""),"",SUMIFS('All Donations'!$S$2:$S$4001,'All Donations'!$R$2:$R$4001,$AD129,'All Donations'!$T$2:$T$4001,Z$1))</f>
        <v/>
      </c>
      <c r="AA129" s="49">
        <f>IF(OR($AE129&lt;&gt;1,AA$1=""),"",SUMIFS('All Donations'!$S$2:$S$4001,'All Donations'!$R$2:$R$4001,$AD129,'All Donations'!$T$2:$T$4001,AA$1))</f>
        <v/>
      </c>
      <c r="AB129" s="49">
        <f>IF(OR($AE129&lt;&gt;1,AB$1=""),"",SUMIFS('All Donations'!$S$2:$S$4001,'All Donations'!$R$2:$R$4001,$AD129,'All Donations'!$T$2:$T$4001,AB$1))</f>
        <v/>
      </c>
      <c r="AC129" s="49">
        <f>IF(OR($AE129&lt;&gt;1,AC$1=""),"",SUMIFS('All Donations'!$S$2:$S$4001,'All Donations'!$R$2:$R$4001,$AD129,'All Donations'!$T$2:$T$4001,AC$1))</f>
        <v/>
      </c>
      <c r="AD129">
        <f>IF(AE129=1,'Roster'!A129,"")</f>
        <v/>
      </c>
      <c r="AE129">
        <f>IF(TRIM('Roster'!B129&amp;'Roster'!C129)&lt;&gt;"",1,0)</f>
        <v/>
      </c>
      <c r="AF129">
        <f>IF(AE129=1,LOWER(A129),"#")</f>
        <v/>
      </c>
      <c r="AG129">
        <f>IF(AE129=1,LOWER(TRIM(TRIM('Roster'!C129)&amp;", "&amp;TRIM('Roster'!B129))),"#")</f>
        <v/>
      </c>
      <c r="AH129">
        <f>IF(AND(AE129=1,TRIM('Roster'!F129)&lt;&gt;""),LOWER(TRIM('Roster'!F129)),"#")</f>
        <v/>
      </c>
      <c r="AI129">
        <f>IF(AE129=1,IF(MATCH(B129,$B$2:$B$701,0)=ROW()-1,1,0),0)</f>
        <v/>
      </c>
      <c r="AJ129">
        <f>AJ128+AI129</f>
        <v/>
      </c>
      <c r="AK129">
        <f>IF(AE129=1,D129+(1000-ROW())/10^7,-1)</f>
        <v/>
      </c>
      <c r="AL129">
        <f>IF(AE129=1,TRIM('Roster'!B129)&amp;" "&amp;LEFT(TRIM('Roster'!C129),1)&amp;".","")</f>
        <v/>
      </c>
      <c r="AM129">
        <f>IF(AE129=1,TRIM('Roster'!C129)&amp;", "&amp;TRIM('Roster'!B129)&amp;" ("&amp;B129&amp;") #"&amp;AD129,"")</f>
        <v/>
      </c>
      <c r="AN129">
        <f>IF(AE129=1,TRIM('Roster'!E129),"")</f>
        <v/>
      </c>
      <c r="AO129">
        <f>IF(AE129=1,ROUND(SUMIFS('All Donations'!$S$2:$S$4001,'All Donations'!$R$2:$R$4001,AD129,'All Donations'!$T$2:$T$4001,"&gt;="&amp;'Settings'!$C$23,'All Donations'!$T$2:$T$4001,"&lt;="&amp;'Settings'!$D$23),2),0)</f>
        <v/>
      </c>
      <c r="AQ129">
        <f>IF(AE129=1,ROUND(SUMIFS('All Donations'!$S$2:$S$4001,'All Donations'!$R$2:$R$4001,AD129,'All Donations'!$T$2:$T$4001,"&gt;="&amp;'Settings'!$C$25,'All Donations'!$T$2:$T$4001,"&lt;="&amp;'Settings'!$D$25),2),0)</f>
        <v/>
      </c>
      <c r="AR129">
        <f>IF(AE129=1,ROUND(SUMIFS('All Donations'!$S$2:$S$4001,'All Donations'!$R$2:$R$4001,AD129,'All Donations'!$T$2:$T$4001,"&gt;="&amp;'Settings'!$C$26,'All Donations'!$T$2:$T$4001,"&lt;="&amp;'Settings'!$D$26),2),0)</f>
        <v/>
      </c>
      <c r="AS129">
        <f>IF(AE129=1,ROUND(SUMIFS('All Donations'!$S$2:$S$4001,'All Donations'!$R$2:$R$4001,AD129,'All Donations'!$T$2:$T$4001,"&lt;="&amp;'Settings'!$D$27),2),0)</f>
        <v/>
      </c>
      <c r="AT129">
        <f>IF(AE129=1,ROUND(SUMIFS('All Donations'!$S$2:$S$4001,'All Donations'!$R$2:$R$4001,AD129,'All Donations'!$T$2:$T$4001,"&gt;="&amp;'Settings'!$C$28,'All Donations'!$T$2:$T$4001,"&lt;="&amp;'Settings'!$D$28),2),0)</f>
        <v/>
      </c>
      <c r="AU129">
        <f>IF(AE129=1,ROUND(SUMIFS('All Donations'!$S$2:$S$4001,'All Donations'!$R$2:$R$4001,AD129,'All Donations'!$T$2:$T$4001,"&gt;="&amp;'Settings'!$C$29,'All Donations'!$T$2:$T$4001,"&lt;="&amp;'Settings'!$D$29),2),0)</f>
        <v/>
      </c>
      <c r="AV129">
        <f>IF(AE129=1,ROUND(SUMIFS('All Donations'!$S$2:$S$4001,'All Donations'!$R$2:$R$4001,AD129,'All Donations'!$T$2:$T$4001,"&lt;="&amp;'Settings'!$D$30),2),0)</f>
        <v/>
      </c>
      <c r="AZ129">
        <f>IF(AE129=1,ROUND(SUMIFS('All Donations'!$S$2:$S$4001,'All Donations'!$R$2:$R$4001,AD129,'All Donations'!$T$2:$T$4001,"&lt;="&amp;'Settings'!$D$34),2),0)</f>
        <v/>
      </c>
    </row>
    <row r="130">
      <c r="A130">
        <f>IF(AE130=1,TRIM(TRIM('Roster'!B130)&amp;" "&amp;TRIM('Roster'!C130)),"")</f>
        <v/>
      </c>
      <c r="B130">
        <f>IF(AE130=1,IF(AN130="","(no teacher)",AN130&amp;" – "&amp;C130),"")</f>
        <v/>
      </c>
      <c r="C130">
        <f>IF(AE130=1,TRIM('Roster'!D130&amp;""),"")</f>
        <v/>
      </c>
      <c r="D130" s="48">
        <f>IF(AE130=1,ROUND(SUMIFS('All Donations'!$S$2:$S$4001,'All Donations'!$R$2:$R$4001,AD130),2),"")</f>
        <v/>
      </c>
      <c r="E130" s="48">
        <f>IF(AE130=1,ROUND(SUMIFS('All Donations'!$S$2:$S$4001,'All Donations'!$R$2:$R$4001,AD130,'All Donations'!$G$2:$G$4001,"OneCause"),2),"")</f>
        <v/>
      </c>
      <c r="F130" s="48">
        <f>IF(AE130=1,D130-E130,"")</f>
        <v/>
      </c>
      <c r="G130">
        <f>IF(AE130=1,COUNTIFS('All Donations'!$R$2:$R$4001,AD130,'All Donations'!$H$2:$H$4001,"OK"),"")</f>
        <v/>
      </c>
      <c r="H130">
        <f>IF(AE130&lt;&gt;1,"",IF(D130&gt;0,"Yes",""))</f>
        <v/>
      </c>
      <c r="I130" s="49">
        <f>IF(OR($AE130&lt;&gt;1,I$1=""),"",SUMIFS('All Donations'!$S$2:$S$4001,'All Donations'!$R$2:$R$4001,$AD130,'All Donations'!$T$2:$T$4001,I$1))</f>
        <v/>
      </c>
      <c r="J130" s="49">
        <f>IF(OR($AE130&lt;&gt;1,J$1=""),"",SUMIFS('All Donations'!$S$2:$S$4001,'All Donations'!$R$2:$R$4001,$AD130,'All Donations'!$T$2:$T$4001,J$1))</f>
        <v/>
      </c>
      <c r="K130" s="49">
        <f>IF(OR($AE130&lt;&gt;1,K$1=""),"",SUMIFS('All Donations'!$S$2:$S$4001,'All Donations'!$R$2:$R$4001,$AD130,'All Donations'!$T$2:$T$4001,K$1))</f>
        <v/>
      </c>
      <c r="L130" s="49">
        <f>IF(OR($AE130&lt;&gt;1,L$1=""),"",SUMIFS('All Donations'!$S$2:$S$4001,'All Donations'!$R$2:$R$4001,$AD130,'All Donations'!$T$2:$T$4001,L$1))</f>
        <v/>
      </c>
      <c r="M130" s="49">
        <f>IF(OR($AE130&lt;&gt;1,M$1=""),"",SUMIFS('All Donations'!$S$2:$S$4001,'All Donations'!$R$2:$R$4001,$AD130,'All Donations'!$T$2:$T$4001,M$1))</f>
        <v/>
      </c>
      <c r="N130" s="49">
        <f>IF(OR($AE130&lt;&gt;1,N$1=""),"",SUMIFS('All Donations'!$S$2:$S$4001,'All Donations'!$R$2:$R$4001,$AD130,'All Donations'!$T$2:$T$4001,N$1))</f>
        <v/>
      </c>
      <c r="O130" s="49">
        <f>IF(OR($AE130&lt;&gt;1,O$1=""),"",SUMIFS('All Donations'!$S$2:$S$4001,'All Donations'!$R$2:$R$4001,$AD130,'All Donations'!$T$2:$T$4001,O$1))</f>
        <v/>
      </c>
      <c r="P130" s="49">
        <f>IF(OR($AE130&lt;&gt;1,P$1=""),"",SUMIFS('All Donations'!$S$2:$S$4001,'All Donations'!$R$2:$R$4001,$AD130,'All Donations'!$T$2:$T$4001,P$1))</f>
        <v/>
      </c>
      <c r="Q130" s="49">
        <f>IF(OR($AE130&lt;&gt;1,Q$1=""),"",SUMIFS('All Donations'!$S$2:$S$4001,'All Donations'!$R$2:$R$4001,$AD130,'All Donations'!$T$2:$T$4001,Q$1))</f>
        <v/>
      </c>
      <c r="R130" s="49">
        <f>IF(OR($AE130&lt;&gt;1,R$1=""),"",SUMIFS('All Donations'!$S$2:$S$4001,'All Donations'!$R$2:$R$4001,$AD130,'All Donations'!$T$2:$T$4001,R$1))</f>
        <v/>
      </c>
      <c r="S130" s="49">
        <f>IF(OR($AE130&lt;&gt;1,S$1=""),"",SUMIFS('All Donations'!$S$2:$S$4001,'All Donations'!$R$2:$R$4001,$AD130,'All Donations'!$T$2:$T$4001,S$1))</f>
        <v/>
      </c>
      <c r="T130" s="49">
        <f>IF(OR($AE130&lt;&gt;1,T$1=""),"",SUMIFS('All Donations'!$S$2:$S$4001,'All Donations'!$R$2:$R$4001,$AD130,'All Donations'!$T$2:$T$4001,T$1))</f>
        <v/>
      </c>
      <c r="U130" s="49">
        <f>IF(OR($AE130&lt;&gt;1,U$1=""),"",SUMIFS('All Donations'!$S$2:$S$4001,'All Donations'!$R$2:$R$4001,$AD130,'All Donations'!$T$2:$T$4001,U$1))</f>
        <v/>
      </c>
      <c r="V130" s="49">
        <f>IF(OR($AE130&lt;&gt;1,V$1=""),"",SUMIFS('All Donations'!$S$2:$S$4001,'All Donations'!$R$2:$R$4001,$AD130,'All Donations'!$T$2:$T$4001,V$1))</f>
        <v/>
      </c>
      <c r="W130" s="49">
        <f>IF(OR($AE130&lt;&gt;1,W$1=""),"",SUMIFS('All Donations'!$S$2:$S$4001,'All Donations'!$R$2:$R$4001,$AD130,'All Donations'!$T$2:$T$4001,W$1))</f>
        <v/>
      </c>
      <c r="X130" s="49">
        <f>IF(OR($AE130&lt;&gt;1,X$1=""),"",SUMIFS('All Donations'!$S$2:$S$4001,'All Donations'!$R$2:$R$4001,$AD130,'All Donations'!$T$2:$T$4001,X$1))</f>
        <v/>
      </c>
      <c r="Y130" s="49">
        <f>IF(OR($AE130&lt;&gt;1,Y$1=""),"",SUMIFS('All Donations'!$S$2:$S$4001,'All Donations'!$R$2:$R$4001,$AD130,'All Donations'!$T$2:$T$4001,Y$1))</f>
        <v/>
      </c>
      <c r="Z130" s="49">
        <f>IF(OR($AE130&lt;&gt;1,Z$1=""),"",SUMIFS('All Donations'!$S$2:$S$4001,'All Donations'!$R$2:$R$4001,$AD130,'All Donations'!$T$2:$T$4001,Z$1))</f>
        <v/>
      </c>
      <c r="AA130" s="49">
        <f>IF(OR($AE130&lt;&gt;1,AA$1=""),"",SUMIFS('All Donations'!$S$2:$S$4001,'All Donations'!$R$2:$R$4001,$AD130,'All Donations'!$T$2:$T$4001,AA$1))</f>
        <v/>
      </c>
      <c r="AB130" s="49">
        <f>IF(OR($AE130&lt;&gt;1,AB$1=""),"",SUMIFS('All Donations'!$S$2:$S$4001,'All Donations'!$R$2:$R$4001,$AD130,'All Donations'!$T$2:$T$4001,AB$1))</f>
        <v/>
      </c>
      <c r="AC130" s="49">
        <f>IF(OR($AE130&lt;&gt;1,AC$1=""),"",SUMIFS('All Donations'!$S$2:$S$4001,'All Donations'!$R$2:$R$4001,$AD130,'All Donations'!$T$2:$T$4001,AC$1))</f>
        <v/>
      </c>
      <c r="AD130">
        <f>IF(AE130=1,'Roster'!A130,"")</f>
        <v/>
      </c>
      <c r="AE130">
        <f>IF(TRIM('Roster'!B130&amp;'Roster'!C130)&lt;&gt;"",1,0)</f>
        <v/>
      </c>
      <c r="AF130">
        <f>IF(AE130=1,LOWER(A130),"#")</f>
        <v/>
      </c>
      <c r="AG130">
        <f>IF(AE130=1,LOWER(TRIM(TRIM('Roster'!C130)&amp;", "&amp;TRIM('Roster'!B130))),"#")</f>
        <v/>
      </c>
      <c r="AH130">
        <f>IF(AND(AE130=1,TRIM('Roster'!F130)&lt;&gt;""),LOWER(TRIM('Roster'!F130)),"#")</f>
        <v/>
      </c>
      <c r="AI130">
        <f>IF(AE130=1,IF(MATCH(B130,$B$2:$B$701,0)=ROW()-1,1,0),0)</f>
        <v/>
      </c>
      <c r="AJ130">
        <f>AJ129+AI130</f>
        <v/>
      </c>
      <c r="AK130">
        <f>IF(AE130=1,D130+(1000-ROW())/10^7,-1)</f>
        <v/>
      </c>
      <c r="AL130">
        <f>IF(AE130=1,TRIM('Roster'!B130)&amp;" "&amp;LEFT(TRIM('Roster'!C130),1)&amp;".","")</f>
        <v/>
      </c>
      <c r="AM130">
        <f>IF(AE130=1,TRIM('Roster'!C130)&amp;", "&amp;TRIM('Roster'!B130)&amp;" ("&amp;B130&amp;") #"&amp;AD130,"")</f>
        <v/>
      </c>
      <c r="AN130">
        <f>IF(AE130=1,TRIM('Roster'!E130),"")</f>
        <v/>
      </c>
      <c r="AO130">
        <f>IF(AE130=1,ROUND(SUMIFS('All Donations'!$S$2:$S$4001,'All Donations'!$R$2:$R$4001,AD130,'All Donations'!$T$2:$T$4001,"&gt;="&amp;'Settings'!$C$23,'All Donations'!$T$2:$T$4001,"&lt;="&amp;'Settings'!$D$23),2),0)</f>
        <v/>
      </c>
      <c r="AQ130">
        <f>IF(AE130=1,ROUND(SUMIFS('All Donations'!$S$2:$S$4001,'All Donations'!$R$2:$R$4001,AD130,'All Donations'!$T$2:$T$4001,"&gt;="&amp;'Settings'!$C$25,'All Donations'!$T$2:$T$4001,"&lt;="&amp;'Settings'!$D$25),2),0)</f>
        <v/>
      </c>
      <c r="AR130">
        <f>IF(AE130=1,ROUND(SUMIFS('All Donations'!$S$2:$S$4001,'All Donations'!$R$2:$R$4001,AD130,'All Donations'!$T$2:$T$4001,"&gt;="&amp;'Settings'!$C$26,'All Donations'!$T$2:$T$4001,"&lt;="&amp;'Settings'!$D$26),2),0)</f>
        <v/>
      </c>
      <c r="AS130">
        <f>IF(AE130=1,ROUND(SUMIFS('All Donations'!$S$2:$S$4001,'All Donations'!$R$2:$R$4001,AD130,'All Donations'!$T$2:$T$4001,"&lt;="&amp;'Settings'!$D$27),2),0)</f>
        <v/>
      </c>
      <c r="AT130">
        <f>IF(AE130=1,ROUND(SUMIFS('All Donations'!$S$2:$S$4001,'All Donations'!$R$2:$R$4001,AD130,'All Donations'!$T$2:$T$4001,"&gt;="&amp;'Settings'!$C$28,'All Donations'!$T$2:$T$4001,"&lt;="&amp;'Settings'!$D$28),2),0)</f>
        <v/>
      </c>
      <c r="AU130">
        <f>IF(AE130=1,ROUND(SUMIFS('All Donations'!$S$2:$S$4001,'All Donations'!$R$2:$R$4001,AD130,'All Donations'!$T$2:$T$4001,"&gt;="&amp;'Settings'!$C$29,'All Donations'!$T$2:$T$4001,"&lt;="&amp;'Settings'!$D$29),2),0)</f>
        <v/>
      </c>
      <c r="AV130">
        <f>IF(AE130=1,ROUND(SUMIFS('All Donations'!$S$2:$S$4001,'All Donations'!$R$2:$R$4001,AD130,'All Donations'!$T$2:$T$4001,"&lt;="&amp;'Settings'!$D$30),2),0)</f>
        <v/>
      </c>
      <c r="AZ130">
        <f>IF(AE130=1,ROUND(SUMIFS('All Donations'!$S$2:$S$4001,'All Donations'!$R$2:$R$4001,AD130,'All Donations'!$T$2:$T$4001,"&lt;="&amp;'Settings'!$D$34),2),0)</f>
        <v/>
      </c>
    </row>
    <row r="131">
      <c r="A131">
        <f>IF(AE131=1,TRIM(TRIM('Roster'!B131)&amp;" "&amp;TRIM('Roster'!C131)),"")</f>
        <v/>
      </c>
      <c r="B131">
        <f>IF(AE131=1,IF(AN131="","(no teacher)",AN131&amp;" – "&amp;C131),"")</f>
        <v/>
      </c>
      <c r="C131">
        <f>IF(AE131=1,TRIM('Roster'!D131&amp;""),"")</f>
        <v/>
      </c>
      <c r="D131" s="48">
        <f>IF(AE131=1,ROUND(SUMIFS('All Donations'!$S$2:$S$4001,'All Donations'!$R$2:$R$4001,AD131),2),"")</f>
        <v/>
      </c>
      <c r="E131" s="48">
        <f>IF(AE131=1,ROUND(SUMIFS('All Donations'!$S$2:$S$4001,'All Donations'!$R$2:$R$4001,AD131,'All Donations'!$G$2:$G$4001,"OneCause"),2),"")</f>
        <v/>
      </c>
      <c r="F131" s="48">
        <f>IF(AE131=1,D131-E131,"")</f>
        <v/>
      </c>
      <c r="G131">
        <f>IF(AE131=1,COUNTIFS('All Donations'!$R$2:$R$4001,AD131,'All Donations'!$H$2:$H$4001,"OK"),"")</f>
        <v/>
      </c>
      <c r="H131">
        <f>IF(AE131&lt;&gt;1,"",IF(D131&gt;0,"Yes",""))</f>
        <v/>
      </c>
      <c r="I131" s="49">
        <f>IF(OR($AE131&lt;&gt;1,I$1=""),"",SUMIFS('All Donations'!$S$2:$S$4001,'All Donations'!$R$2:$R$4001,$AD131,'All Donations'!$T$2:$T$4001,I$1))</f>
        <v/>
      </c>
      <c r="J131" s="49">
        <f>IF(OR($AE131&lt;&gt;1,J$1=""),"",SUMIFS('All Donations'!$S$2:$S$4001,'All Donations'!$R$2:$R$4001,$AD131,'All Donations'!$T$2:$T$4001,J$1))</f>
        <v/>
      </c>
      <c r="K131" s="49">
        <f>IF(OR($AE131&lt;&gt;1,K$1=""),"",SUMIFS('All Donations'!$S$2:$S$4001,'All Donations'!$R$2:$R$4001,$AD131,'All Donations'!$T$2:$T$4001,K$1))</f>
        <v/>
      </c>
      <c r="L131" s="49">
        <f>IF(OR($AE131&lt;&gt;1,L$1=""),"",SUMIFS('All Donations'!$S$2:$S$4001,'All Donations'!$R$2:$R$4001,$AD131,'All Donations'!$T$2:$T$4001,L$1))</f>
        <v/>
      </c>
      <c r="M131" s="49">
        <f>IF(OR($AE131&lt;&gt;1,M$1=""),"",SUMIFS('All Donations'!$S$2:$S$4001,'All Donations'!$R$2:$R$4001,$AD131,'All Donations'!$T$2:$T$4001,M$1))</f>
        <v/>
      </c>
      <c r="N131" s="49">
        <f>IF(OR($AE131&lt;&gt;1,N$1=""),"",SUMIFS('All Donations'!$S$2:$S$4001,'All Donations'!$R$2:$R$4001,$AD131,'All Donations'!$T$2:$T$4001,N$1))</f>
        <v/>
      </c>
      <c r="O131" s="49">
        <f>IF(OR($AE131&lt;&gt;1,O$1=""),"",SUMIFS('All Donations'!$S$2:$S$4001,'All Donations'!$R$2:$R$4001,$AD131,'All Donations'!$T$2:$T$4001,O$1))</f>
        <v/>
      </c>
      <c r="P131" s="49">
        <f>IF(OR($AE131&lt;&gt;1,P$1=""),"",SUMIFS('All Donations'!$S$2:$S$4001,'All Donations'!$R$2:$R$4001,$AD131,'All Donations'!$T$2:$T$4001,P$1))</f>
        <v/>
      </c>
      <c r="Q131" s="49">
        <f>IF(OR($AE131&lt;&gt;1,Q$1=""),"",SUMIFS('All Donations'!$S$2:$S$4001,'All Donations'!$R$2:$R$4001,$AD131,'All Donations'!$T$2:$T$4001,Q$1))</f>
        <v/>
      </c>
      <c r="R131" s="49">
        <f>IF(OR($AE131&lt;&gt;1,R$1=""),"",SUMIFS('All Donations'!$S$2:$S$4001,'All Donations'!$R$2:$R$4001,$AD131,'All Donations'!$T$2:$T$4001,R$1))</f>
        <v/>
      </c>
      <c r="S131" s="49">
        <f>IF(OR($AE131&lt;&gt;1,S$1=""),"",SUMIFS('All Donations'!$S$2:$S$4001,'All Donations'!$R$2:$R$4001,$AD131,'All Donations'!$T$2:$T$4001,S$1))</f>
        <v/>
      </c>
      <c r="T131" s="49">
        <f>IF(OR($AE131&lt;&gt;1,T$1=""),"",SUMIFS('All Donations'!$S$2:$S$4001,'All Donations'!$R$2:$R$4001,$AD131,'All Donations'!$T$2:$T$4001,T$1))</f>
        <v/>
      </c>
      <c r="U131" s="49">
        <f>IF(OR($AE131&lt;&gt;1,U$1=""),"",SUMIFS('All Donations'!$S$2:$S$4001,'All Donations'!$R$2:$R$4001,$AD131,'All Donations'!$T$2:$T$4001,U$1))</f>
        <v/>
      </c>
      <c r="V131" s="49">
        <f>IF(OR($AE131&lt;&gt;1,V$1=""),"",SUMIFS('All Donations'!$S$2:$S$4001,'All Donations'!$R$2:$R$4001,$AD131,'All Donations'!$T$2:$T$4001,V$1))</f>
        <v/>
      </c>
      <c r="W131" s="49">
        <f>IF(OR($AE131&lt;&gt;1,W$1=""),"",SUMIFS('All Donations'!$S$2:$S$4001,'All Donations'!$R$2:$R$4001,$AD131,'All Donations'!$T$2:$T$4001,W$1))</f>
        <v/>
      </c>
      <c r="X131" s="49">
        <f>IF(OR($AE131&lt;&gt;1,X$1=""),"",SUMIFS('All Donations'!$S$2:$S$4001,'All Donations'!$R$2:$R$4001,$AD131,'All Donations'!$T$2:$T$4001,X$1))</f>
        <v/>
      </c>
      <c r="Y131" s="49">
        <f>IF(OR($AE131&lt;&gt;1,Y$1=""),"",SUMIFS('All Donations'!$S$2:$S$4001,'All Donations'!$R$2:$R$4001,$AD131,'All Donations'!$T$2:$T$4001,Y$1))</f>
        <v/>
      </c>
      <c r="Z131" s="49">
        <f>IF(OR($AE131&lt;&gt;1,Z$1=""),"",SUMIFS('All Donations'!$S$2:$S$4001,'All Donations'!$R$2:$R$4001,$AD131,'All Donations'!$T$2:$T$4001,Z$1))</f>
        <v/>
      </c>
      <c r="AA131" s="49">
        <f>IF(OR($AE131&lt;&gt;1,AA$1=""),"",SUMIFS('All Donations'!$S$2:$S$4001,'All Donations'!$R$2:$R$4001,$AD131,'All Donations'!$T$2:$T$4001,AA$1))</f>
        <v/>
      </c>
      <c r="AB131" s="49">
        <f>IF(OR($AE131&lt;&gt;1,AB$1=""),"",SUMIFS('All Donations'!$S$2:$S$4001,'All Donations'!$R$2:$R$4001,$AD131,'All Donations'!$T$2:$T$4001,AB$1))</f>
        <v/>
      </c>
      <c r="AC131" s="49">
        <f>IF(OR($AE131&lt;&gt;1,AC$1=""),"",SUMIFS('All Donations'!$S$2:$S$4001,'All Donations'!$R$2:$R$4001,$AD131,'All Donations'!$T$2:$T$4001,AC$1))</f>
        <v/>
      </c>
      <c r="AD131">
        <f>IF(AE131=1,'Roster'!A131,"")</f>
        <v/>
      </c>
      <c r="AE131">
        <f>IF(TRIM('Roster'!B131&amp;'Roster'!C131)&lt;&gt;"",1,0)</f>
        <v/>
      </c>
      <c r="AF131">
        <f>IF(AE131=1,LOWER(A131),"#")</f>
        <v/>
      </c>
      <c r="AG131">
        <f>IF(AE131=1,LOWER(TRIM(TRIM('Roster'!C131)&amp;", "&amp;TRIM('Roster'!B131))),"#")</f>
        <v/>
      </c>
      <c r="AH131">
        <f>IF(AND(AE131=1,TRIM('Roster'!F131)&lt;&gt;""),LOWER(TRIM('Roster'!F131)),"#")</f>
        <v/>
      </c>
      <c r="AI131">
        <f>IF(AE131=1,IF(MATCH(B131,$B$2:$B$701,0)=ROW()-1,1,0),0)</f>
        <v/>
      </c>
      <c r="AJ131">
        <f>AJ130+AI131</f>
        <v/>
      </c>
      <c r="AK131">
        <f>IF(AE131=1,D131+(1000-ROW())/10^7,-1)</f>
        <v/>
      </c>
      <c r="AL131">
        <f>IF(AE131=1,TRIM('Roster'!B131)&amp;" "&amp;LEFT(TRIM('Roster'!C131),1)&amp;".","")</f>
        <v/>
      </c>
      <c r="AM131">
        <f>IF(AE131=1,TRIM('Roster'!C131)&amp;", "&amp;TRIM('Roster'!B131)&amp;" ("&amp;B131&amp;") #"&amp;AD131,"")</f>
        <v/>
      </c>
      <c r="AN131">
        <f>IF(AE131=1,TRIM('Roster'!E131),"")</f>
        <v/>
      </c>
      <c r="AO131">
        <f>IF(AE131=1,ROUND(SUMIFS('All Donations'!$S$2:$S$4001,'All Donations'!$R$2:$R$4001,AD131,'All Donations'!$T$2:$T$4001,"&gt;="&amp;'Settings'!$C$23,'All Donations'!$T$2:$T$4001,"&lt;="&amp;'Settings'!$D$23),2),0)</f>
        <v/>
      </c>
      <c r="AQ131">
        <f>IF(AE131=1,ROUND(SUMIFS('All Donations'!$S$2:$S$4001,'All Donations'!$R$2:$R$4001,AD131,'All Donations'!$T$2:$T$4001,"&gt;="&amp;'Settings'!$C$25,'All Donations'!$T$2:$T$4001,"&lt;="&amp;'Settings'!$D$25),2),0)</f>
        <v/>
      </c>
      <c r="AR131">
        <f>IF(AE131=1,ROUND(SUMIFS('All Donations'!$S$2:$S$4001,'All Donations'!$R$2:$R$4001,AD131,'All Donations'!$T$2:$T$4001,"&gt;="&amp;'Settings'!$C$26,'All Donations'!$T$2:$T$4001,"&lt;="&amp;'Settings'!$D$26),2),0)</f>
        <v/>
      </c>
      <c r="AS131">
        <f>IF(AE131=1,ROUND(SUMIFS('All Donations'!$S$2:$S$4001,'All Donations'!$R$2:$R$4001,AD131,'All Donations'!$T$2:$T$4001,"&lt;="&amp;'Settings'!$D$27),2),0)</f>
        <v/>
      </c>
      <c r="AT131">
        <f>IF(AE131=1,ROUND(SUMIFS('All Donations'!$S$2:$S$4001,'All Donations'!$R$2:$R$4001,AD131,'All Donations'!$T$2:$T$4001,"&gt;="&amp;'Settings'!$C$28,'All Donations'!$T$2:$T$4001,"&lt;="&amp;'Settings'!$D$28),2),0)</f>
        <v/>
      </c>
      <c r="AU131">
        <f>IF(AE131=1,ROUND(SUMIFS('All Donations'!$S$2:$S$4001,'All Donations'!$R$2:$R$4001,AD131,'All Donations'!$T$2:$T$4001,"&gt;="&amp;'Settings'!$C$29,'All Donations'!$T$2:$T$4001,"&lt;="&amp;'Settings'!$D$29),2),0)</f>
        <v/>
      </c>
      <c r="AV131">
        <f>IF(AE131=1,ROUND(SUMIFS('All Donations'!$S$2:$S$4001,'All Donations'!$R$2:$R$4001,AD131,'All Donations'!$T$2:$T$4001,"&lt;="&amp;'Settings'!$D$30),2),0)</f>
        <v/>
      </c>
      <c r="AZ131">
        <f>IF(AE131=1,ROUND(SUMIFS('All Donations'!$S$2:$S$4001,'All Donations'!$R$2:$R$4001,AD131,'All Donations'!$T$2:$T$4001,"&lt;="&amp;'Settings'!$D$34),2),0)</f>
        <v/>
      </c>
    </row>
    <row r="132">
      <c r="A132">
        <f>IF(AE132=1,TRIM(TRIM('Roster'!B132)&amp;" "&amp;TRIM('Roster'!C132)),"")</f>
        <v/>
      </c>
      <c r="B132">
        <f>IF(AE132=1,IF(AN132="","(no teacher)",AN132&amp;" – "&amp;C132),"")</f>
        <v/>
      </c>
      <c r="C132">
        <f>IF(AE132=1,TRIM('Roster'!D132&amp;""),"")</f>
        <v/>
      </c>
      <c r="D132" s="48">
        <f>IF(AE132=1,ROUND(SUMIFS('All Donations'!$S$2:$S$4001,'All Donations'!$R$2:$R$4001,AD132),2),"")</f>
        <v/>
      </c>
      <c r="E132" s="48">
        <f>IF(AE132=1,ROUND(SUMIFS('All Donations'!$S$2:$S$4001,'All Donations'!$R$2:$R$4001,AD132,'All Donations'!$G$2:$G$4001,"OneCause"),2),"")</f>
        <v/>
      </c>
      <c r="F132" s="48">
        <f>IF(AE132=1,D132-E132,"")</f>
        <v/>
      </c>
      <c r="G132">
        <f>IF(AE132=1,COUNTIFS('All Donations'!$R$2:$R$4001,AD132,'All Donations'!$H$2:$H$4001,"OK"),"")</f>
        <v/>
      </c>
      <c r="H132">
        <f>IF(AE132&lt;&gt;1,"",IF(D132&gt;0,"Yes",""))</f>
        <v/>
      </c>
      <c r="I132" s="49">
        <f>IF(OR($AE132&lt;&gt;1,I$1=""),"",SUMIFS('All Donations'!$S$2:$S$4001,'All Donations'!$R$2:$R$4001,$AD132,'All Donations'!$T$2:$T$4001,I$1))</f>
        <v/>
      </c>
      <c r="J132" s="49">
        <f>IF(OR($AE132&lt;&gt;1,J$1=""),"",SUMIFS('All Donations'!$S$2:$S$4001,'All Donations'!$R$2:$R$4001,$AD132,'All Donations'!$T$2:$T$4001,J$1))</f>
        <v/>
      </c>
      <c r="K132" s="49">
        <f>IF(OR($AE132&lt;&gt;1,K$1=""),"",SUMIFS('All Donations'!$S$2:$S$4001,'All Donations'!$R$2:$R$4001,$AD132,'All Donations'!$T$2:$T$4001,K$1))</f>
        <v/>
      </c>
      <c r="L132" s="49">
        <f>IF(OR($AE132&lt;&gt;1,L$1=""),"",SUMIFS('All Donations'!$S$2:$S$4001,'All Donations'!$R$2:$R$4001,$AD132,'All Donations'!$T$2:$T$4001,L$1))</f>
        <v/>
      </c>
      <c r="M132" s="49">
        <f>IF(OR($AE132&lt;&gt;1,M$1=""),"",SUMIFS('All Donations'!$S$2:$S$4001,'All Donations'!$R$2:$R$4001,$AD132,'All Donations'!$T$2:$T$4001,M$1))</f>
        <v/>
      </c>
      <c r="N132" s="49">
        <f>IF(OR($AE132&lt;&gt;1,N$1=""),"",SUMIFS('All Donations'!$S$2:$S$4001,'All Donations'!$R$2:$R$4001,$AD132,'All Donations'!$T$2:$T$4001,N$1))</f>
        <v/>
      </c>
      <c r="O132" s="49">
        <f>IF(OR($AE132&lt;&gt;1,O$1=""),"",SUMIFS('All Donations'!$S$2:$S$4001,'All Donations'!$R$2:$R$4001,$AD132,'All Donations'!$T$2:$T$4001,O$1))</f>
        <v/>
      </c>
      <c r="P132" s="49">
        <f>IF(OR($AE132&lt;&gt;1,P$1=""),"",SUMIFS('All Donations'!$S$2:$S$4001,'All Donations'!$R$2:$R$4001,$AD132,'All Donations'!$T$2:$T$4001,P$1))</f>
        <v/>
      </c>
      <c r="Q132" s="49">
        <f>IF(OR($AE132&lt;&gt;1,Q$1=""),"",SUMIFS('All Donations'!$S$2:$S$4001,'All Donations'!$R$2:$R$4001,$AD132,'All Donations'!$T$2:$T$4001,Q$1))</f>
        <v/>
      </c>
      <c r="R132" s="49">
        <f>IF(OR($AE132&lt;&gt;1,R$1=""),"",SUMIFS('All Donations'!$S$2:$S$4001,'All Donations'!$R$2:$R$4001,$AD132,'All Donations'!$T$2:$T$4001,R$1))</f>
        <v/>
      </c>
      <c r="S132" s="49">
        <f>IF(OR($AE132&lt;&gt;1,S$1=""),"",SUMIFS('All Donations'!$S$2:$S$4001,'All Donations'!$R$2:$R$4001,$AD132,'All Donations'!$T$2:$T$4001,S$1))</f>
        <v/>
      </c>
      <c r="T132" s="49">
        <f>IF(OR($AE132&lt;&gt;1,T$1=""),"",SUMIFS('All Donations'!$S$2:$S$4001,'All Donations'!$R$2:$R$4001,$AD132,'All Donations'!$T$2:$T$4001,T$1))</f>
        <v/>
      </c>
      <c r="U132" s="49">
        <f>IF(OR($AE132&lt;&gt;1,U$1=""),"",SUMIFS('All Donations'!$S$2:$S$4001,'All Donations'!$R$2:$R$4001,$AD132,'All Donations'!$T$2:$T$4001,U$1))</f>
        <v/>
      </c>
      <c r="V132" s="49">
        <f>IF(OR($AE132&lt;&gt;1,V$1=""),"",SUMIFS('All Donations'!$S$2:$S$4001,'All Donations'!$R$2:$R$4001,$AD132,'All Donations'!$T$2:$T$4001,V$1))</f>
        <v/>
      </c>
      <c r="W132" s="49">
        <f>IF(OR($AE132&lt;&gt;1,W$1=""),"",SUMIFS('All Donations'!$S$2:$S$4001,'All Donations'!$R$2:$R$4001,$AD132,'All Donations'!$T$2:$T$4001,W$1))</f>
        <v/>
      </c>
      <c r="X132" s="49">
        <f>IF(OR($AE132&lt;&gt;1,X$1=""),"",SUMIFS('All Donations'!$S$2:$S$4001,'All Donations'!$R$2:$R$4001,$AD132,'All Donations'!$T$2:$T$4001,X$1))</f>
        <v/>
      </c>
      <c r="Y132" s="49">
        <f>IF(OR($AE132&lt;&gt;1,Y$1=""),"",SUMIFS('All Donations'!$S$2:$S$4001,'All Donations'!$R$2:$R$4001,$AD132,'All Donations'!$T$2:$T$4001,Y$1))</f>
        <v/>
      </c>
      <c r="Z132" s="49">
        <f>IF(OR($AE132&lt;&gt;1,Z$1=""),"",SUMIFS('All Donations'!$S$2:$S$4001,'All Donations'!$R$2:$R$4001,$AD132,'All Donations'!$T$2:$T$4001,Z$1))</f>
        <v/>
      </c>
      <c r="AA132" s="49">
        <f>IF(OR($AE132&lt;&gt;1,AA$1=""),"",SUMIFS('All Donations'!$S$2:$S$4001,'All Donations'!$R$2:$R$4001,$AD132,'All Donations'!$T$2:$T$4001,AA$1))</f>
        <v/>
      </c>
      <c r="AB132" s="49">
        <f>IF(OR($AE132&lt;&gt;1,AB$1=""),"",SUMIFS('All Donations'!$S$2:$S$4001,'All Donations'!$R$2:$R$4001,$AD132,'All Donations'!$T$2:$T$4001,AB$1))</f>
        <v/>
      </c>
      <c r="AC132" s="49">
        <f>IF(OR($AE132&lt;&gt;1,AC$1=""),"",SUMIFS('All Donations'!$S$2:$S$4001,'All Donations'!$R$2:$R$4001,$AD132,'All Donations'!$T$2:$T$4001,AC$1))</f>
        <v/>
      </c>
      <c r="AD132">
        <f>IF(AE132=1,'Roster'!A132,"")</f>
        <v/>
      </c>
      <c r="AE132">
        <f>IF(TRIM('Roster'!B132&amp;'Roster'!C132)&lt;&gt;"",1,0)</f>
        <v/>
      </c>
      <c r="AF132">
        <f>IF(AE132=1,LOWER(A132),"#")</f>
        <v/>
      </c>
      <c r="AG132">
        <f>IF(AE132=1,LOWER(TRIM(TRIM('Roster'!C132)&amp;", "&amp;TRIM('Roster'!B132))),"#")</f>
        <v/>
      </c>
      <c r="AH132">
        <f>IF(AND(AE132=1,TRIM('Roster'!F132)&lt;&gt;""),LOWER(TRIM('Roster'!F132)),"#")</f>
        <v/>
      </c>
      <c r="AI132">
        <f>IF(AE132=1,IF(MATCH(B132,$B$2:$B$701,0)=ROW()-1,1,0),0)</f>
        <v/>
      </c>
      <c r="AJ132">
        <f>AJ131+AI132</f>
        <v/>
      </c>
      <c r="AK132">
        <f>IF(AE132=1,D132+(1000-ROW())/10^7,-1)</f>
        <v/>
      </c>
      <c r="AL132">
        <f>IF(AE132=1,TRIM('Roster'!B132)&amp;" "&amp;LEFT(TRIM('Roster'!C132),1)&amp;".","")</f>
        <v/>
      </c>
      <c r="AM132">
        <f>IF(AE132=1,TRIM('Roster'!C132)&amp;", "&amp;TRIM('Roster'!B132)&amp;" ("&amp;B132&amp;") #"&amp;AD132,"")</f>
        <v/>
      </c>
      <c r="AN132">
        <f>IF(AE132=1,TRIM('Roster'!E132),"")</f>
        <v/>
      </c>
      <c r="AO132">
        <f>IF(AE132=1,ROUND(SUMIFS('All Donations'!$S$2:$S$4001,'All Donations'!$R$2:$R$4001,AD132,'All Donations'!$T$2:$T$4001,"&gt;="&amp;'Settings'!$C$23,'All Donations'!$T$2:$T$4001,"&lt;="&amp;'Settings'!$D$23),2),0)</f>
        <v/>
      </c>
      <c r="AQ132">
        <f>IF(AE132=1,ROUND(SUMIFS('All Donations'!$S$2:$S$4001,'All Donations'!$R$2:$R$4001,AD132,'All Donations'!$T$2:$T$4001,"&gt;="&amp;'Settings'!$C$25,'All Donations'!$T$2:$T$4001,"&lt;="&amp;'Settings'!$D$25),2),0)</f>
        <v/>
      </c>
      <c r="AR132">
        <f>IF(AE132=1,ROUND(SUMIFS('All Donations'!$S$2:$S$4001,'All Donations'!$R$2:$R$4001,AD132,'All Donations'!$T$2:$T$4001,"&gt;="&amp;'Settings'!$C$26,'All Donations'!$T$2:$T$4001,"&lt;="&amp;'Settings'!$D$26),2),0)</f>
        <v/>
      </c>
      <c r="AS132">
        <f>IF(AE132=1,ROUND(SUMIFS('All Donations'!$S$2:$S$4001,'All Donations'!$R$2:$R$4001,AD132,'All Donations'!$T$2:$T$4001,"&lt;="&amp;'Settings'!$D$27),2),0)</f>
        <v/>
      </c>
      <c r="AT132">
        <f>IF(AE132=1,ROUND(SUMIFS('All Donations'!$S$2:$S$4001,'All Donations'!$R$2:$R$4001,AD132,'All Donations'!$T$2:$T$4001,"&gt;="&amp;'Settings'!$C$28,'All Donations'!$T$2:$T$4001,"&lt;="&amp;'Settings'!$D$28),2),0)</f>
        <v/>
      </c>
      <c r="AU132">
        <f>IF(AE132=1,ROUND(SUMIFS('All Donations'!$S$2:$S$4001,'All Donations'!$R$2:$R$4001,AD132,'All Donations'!$T$2:$T$4001,"&gt;="&amp;'Settings'!$C$29,'All Donations'!$T$2:$T$4001,"&lt;="&amp;'Settings'!$D$29),2),0)</f>
        <v/>
      </c>
      <c r="AV132">
        <f>IF(AE132=1,ROUND(SUMIFS('All Donations'!$S$2:$S$4001,'All Donations'!$R$2:$R$4001,AD132,'All Donations'!$T$2:$T$4001,"&lt;="&amp;'Settings'!$D$30),2),0)</f>
        <v/>
      </c>
      <c r="AZ132">
        <f>IF(AE132=1,ROUND(SUMIFS('All Donations'!$S$2:$S$4001,'All Donations'!$R$2:$R$4001,AD132,'All Donations'!$T$2:$T$4001,"&lt;="&amp;'Settings'!$D$34),2),0)</f>
        <v/>
      </c>
    </row>
    <row r="133">
      <c r="A133">
        <f>IF(AE133=1,TRIM(TRIM('Roster'!B133)&amp;" "&amp;TRIM('Roster'!C133)),"")</f>
        <v/>
      </c>
      <c r="B133">
        <f>IF(AE133=1,IF(AN133="","(no teacher)",AN133&amp;" – "&amp;C133),"")</f>
        <v/>
      </c>
      <c r="C133">
        <f>IF(AE133=1,TRIM('Roster'!D133&amp;""),"")</f>
        <v/>
      </c>
      <c r="D133" s="48">
        <f>IF(AE133=1,ROUND(SUMIFS('All Donations'!$S$2:$S$4001,'All Donations'!$R$2:$R$4001,AD133),2),"")</f>
        <v/>
      </c>
      <c r="E133" s="48">
        <f>IF(AE133=1,ROUND(SUMIFS('All Donations'!$S$2:$S$4001,'All Donations'!$R$2:$R$4001,AD133,'All Donations'!$G$2:$G$4001,"OneCause"),2),"")</f>
        <v/>
      </c>
      <c r="F133" s="48">
        <f>IF(AE133=1,D133-E133,"")</f>
        <v/>
      </c>
      <c r="G133">
        <f>IF(AE133=1,COUNTIFS('All Donations'!$R$2:$R$4001,AD133,'All Donations'!$H$2:$H$4001,"OK"),"")</f>
        <v/>
      </c>
      <c r="H133">
        <f>IF(AE133&lt;&gt;1,"",IF(D133&gt;0,"Yes",""))</f>
        <v/>
      </c>
      <c r="I133" s="49">
        <f>IF(OR($AE133&lt;&gt;1,I$1=""),"",SUMIFS('All Donations'!$S$2:$S$4001,'All Donations'!$R$2:$R$4001,$AD133,'All Donations'!$T$2:$T$4001,I$1))</f>
        <v/>
      </c>
      <c r="J133" s="49">
        <f>IF(OR($AE133&lt;&gt;1,J$1=""),"",SUMIFS('All Donations'!$S$2:$S$4001,'All Donations'!$R$2:$R$4001,$AD133,'All Donations'!$T$2:$T$4001,J$1))</f>
        <v/>
      </c>
      <c r="K133" s="49">
        <f>IF(OR($AE133&lt;&gt;1,K$1=""),"",SUMIFS('All Donations'!$S$2:$S$4001,'All Donations'!$R$2:$R$4001,$AD133,'All Donations'!$T$2:$T$4001,K$1))</f>
        <v/>
      </c>
      <c r="L133" s="49">
        <f>IF(OR($AE133&lt;&gt;1,L$1=""),"",SUMIFS('All Donations'!$S$2:$S$4001,'All Donations'!$R$2:$R$4001,$AD133,'All Donations'!$T$2:$T$4001,L$1))</f>
        <v/>
      </c>
      <c r="M133" s="49">
        <f>IF(OR($AE133&lt;&gt;1,M$1=""),"",SUMIFS('All Donations'!$S$2:$S$4001,'All Donations'!$R$2:$R$4001,$AD133,'All Donations'!$T$2:$T$4001,M$1))</f>
        <v/>
      </c>
      <c r="N133" s="49">
        <f>IF(OR($AE133&lt;&gt;1,N$1=""),"",SUMIFS('All Donations'!$S$2:$S$4001,'All Donations'!$R$2:$R$4001,$AD133,'All Donations'!$T$2:$T$4001,N$1))</f>
        <v/>
      </c>
      <c r="O133" s="49">
        <f>IF(OR($AE133&lt;&gt;1,O$1=""),"",SUMIFS('All Donations'!$S$2:$S$4001,'All Donations'!$R$2:$R$4001,$AD133,'All Donations'!$T$2:$T$4001,O$1))</f>
        <v/>
      </c>
      <c r="P133" s="49">
        <f>IF(OR($AE133&lt;&gt;1,P$1=""),"",SUMIFS('All Donations'!$S$2:$S$4001,'All Donations'!$R$2:$R$4001,$AD133,'All Donations'!$T$2:$T$4001,P$1))</f>
        <v/>
      </c>
      <c r="Q133" s="49">
        <f>IF(OR($AE133&lt;&gt;1,Q$1=""),"",SUMIFS('All Donations'!$S$2:$S$4001,'All Donations'!$R$2:$R$4001,$AD133,'All Donations'!$T$2:$T$4001,Q$1))</f>
        <v/>
      </c>
      <c r="R133" s="49">
        <f>IF(OR($AE133&lt;&gt;1,R$1=""),"",SUMIFS('All Donations'!$S$2:$S$4001,'All Donations'!$R$2:$R$4001,$AD133,'All Donations'!$T$2:$T$4001,R$1))</f>
        <v/>
      </c>
      <c r="S133" s="49">
        <f>IF(OR($AE133&lt;&gt;1,S$1=""),"",SUMIFS('All Donations'!$S$2:$S$4001,'All Donations'!$R$2:$R$4001,$AD133,'All Donations'!$T$2:$T$4001,S$1))</f>
        <v/>
      </c>
      <c r="T133" s="49">
        <f>IF(OR($AE133&lt;&gt;1,T$1=""),"",SUMIFS('All Donations'!$S$2:$S$4001,'All Donations'!$R$2:$R$4001,$AD133,'All Donations'!$T$2:$T$4001,T$1))</f>
        <v/>
      </c>
      <c r="U133" s="49">
        <f>IF(OR($AE133&lt;&gt;1,U$1=""),"",SUMIFS('All Donations'!$S$2:$S$4001,'All Donations'!$R$2:$R$4001,$AD133,'All Donations'!$T$2:$T$4001,U$1))</f>
        <v/>
      </c>
      <c r="V133" s="49">
        <f>IF(OR($AE133&lt;&gt;1,V$1=""),"",SUMIFS('All Donations'!$S$2:$S$4001,'All Donations'!$R$2:$R$4001,$AD133,'All Donations'!$T$2:$T$4001,V$1))</f>
        <v/>
      </c>
      <c r="W133" s="49">
        <f>IF(OR($AE133&lt;&gt;1,W$1=""),"",SUMIFS('All Donations'!$S$2:$S$4001,'All Donations'!$R$2:$R$4001,$AD133,'All Donations'!$T$2:$T$4001,W$1))</f>
        <v/>
      </c>
      <c r="X133" s="49">
        <f>IF(OR($AE133&lt;&gt;1,X$1=""),"",SUMIFS('All Donations'!$S$2:$S$4001,'All Donations'!$R$2:$R$4001,$AD133,'All Donations'!$T$2:$T$4001,X$1))</f>
        <v/>
      </c>
      <c r="Y133" s="49">
        <f>IF(OR($AE133&lt;&gt;1,Y$1=""),"",SUMIFS('All Donations'!$S$2:$S$4001,'All Donations'!$R$2:$R$4001,$AD133,'All Donations'!$T$2:$T$4001,Y$1))</f>
        <v/>
      </c>
      <c r="Z133" s="49">
        <f>IF(OR($AE133&lt;&gt;1,Z$1=""),"",SUMIFS('All Donations'!$S$2:$S$4001,'All Donations'!$R$2:$R$4001,$AD133,'All Donations'!$T$2:$T$4001,Z$1))</f>
        <v/>
      </c>
      <c r="AA133" s="49">
        <f>IF(OR($AE133&lt;&gt;1,AA$1=""),"",SUMIFS('All Donations'!$S$2:$S$4001,'All Donations'!$R$2:$R$4001,$AD133,'All Donations'!$T$2:$T$4001,AA$1))</f>
        <v/>
      </c>
      <c r="AB133" s="49">
        <f>IF(OR($AE133&lt;&gt;1,AB$1=""),"",SUMIFS('All Donations'!$S$2:$S$4001,'All Donations'!$R$2:$R$4001,$AD133,'All Donations'!$T$2:$T$4001,AB$1))</f>
        <v/>
      </c>
      <c r="AC133" s="49">
        <f>IF(OR($AE133&lt;&gt;1,AC$1=""),"",SUMIFS('All Donations'!$S$2:$S$4001,'All Donations'!$R$2:$R$4001,$AD133,'All Donations'!$T$2:$T$4001,AC$1))</f>
        <v/>
      </c>
      <c r="AD133">
        <f>IF(AE133=1,'Roster'!A133,"")</f>
        <v/>
      </c>
      <c r="AE133">
        <f>IF(TRIM('Roster'!B133&amp;'Roster'!C133)&lt;&gt;"",1,0)</f>
        <v/>
      </c>
      <c r="AF133">
        <f>IF(AE133=1,LOWER(A133),"#")</f>
        <v/>
      </c>
      <c r="AG133">
        <f>IF(AE133=1,LOWER(TRIM(TRIM('Roster'!C133)&amp;", "&amp;TRIM('Roster'!B133))),"#")</f>
        <v/>
      </c>
      <c r="AH133">
        <f>IF(AND(AE133=1,TRIM('Roster'!F133)&lt;&gt;""),LOWER(TRIM('Roster'!F133)),"#")</f>
        <v/>
      </c>
      <c r="AI133">
        <f>IF(AE133=1,IF(MATCH(B133,$B$2:$B$701,0)=ROW()-1,1,0),0)</f>
        <v/>
      </c>
      <c r="AJ133">
        <f>AJ132+AI133</f>
        <v/>
      </c>
      <c r="AK133">
        <f>IF(AE133=1,D133+(1000-ROW())/10^7,-1)</f>
        <v/>
      </c>
      <c r="AL133">
        <f>IF(AE133=1,TRIM('Roster'!B133)&amp;" "&amp;LEFT(TRIM('Roster'!C133),1)&amp;".","")</f>
        <v/>
      </c>
      <c r="AM133">
        <f>IF(AE133=1,TRIM('Roster'!C133)&amp;", "&amp;TRIM('Roster'!B133)&amp;" ("&amp;B133&amp;") #"&amp;AD133,"")</f>
        <v/>
      </c>
      <c r="AN133">
        <f>IF(AE133=1,TRIM('Roster'!E133),"")</f>
        <v/>
      </c>
      <c r="AO133">
        <f>IF(AE133=1,ROUND(SUMIFS('All Donations'!$S$2:$S$4001,'All Donations'!$R$2:$R$4001,AD133,'All Donations'!$T$2:$T$4001,"&gt;="&amp;'Settings'!$C$23,'All Donations'!$T$2:$T$4001,"&lt;="&amp;'Settings'!$D$23),2),0)</f>
        <v/>
      </c>
      <c r="AQ133">
        <f>IF(AE133=1,ROUND(SUMIFS('All Donations'!$S$2:$S$4001,'All Donations'!$R$2:$R$4001,AD133,'All Donations'!$T$2:$T$4001,"&gt;="&amp;'Settings'!$C$25,'All Donations'!$T$2:$T$4001,"&lt;="&amp;'Settings'!$D$25),2),0)</f>
        <v/>
      </c>
      <c r="AR133">
        <f>IF(AE133=1,ROUND(SUMIFS('All Donations'!$S$2:$S$4001,'All Donations'!$R$2:$R$4001,AD133,'All Donations'!$T$2:$T$4001,"&gt;="&amp;'Settings'!$C$26,'All Donations'!$T$2:$T$4001,"&lt;="&amp;'Settings'!$D$26),2),0)</f>
        <v/>
      </c>
      <c r="AS133">
        <f>IF(AE133=1,ROUND(SUMIFS('All Donations'!$S$2:$S$4001,'All Donations'!$R$2:$R$4001,AD133,'All Donations'!$T$2:$T$4001,"&lt;="&amp;'Settings'!$D$27),2),0)</f>
        <v/>
      </c>
      <c r="AT133">
        <f>IF(AE133=1,ROUND(SUMIFS('All Donations'!$S$2:$S$4001,'All Donations'!$R$2:$R$4001,AD133,'All Donations'!$T$2:$T$4001,"&gt;="&amp;'Settings'!$C$28,'All Donations'!$T$2:$T$4001,"&lt;="&amp;'Settings'!$D$28),2),0)</f>
        <v/>
      </c>
      <c r="AU133">
        <f>IF(AE133=1,ROUND(SUMIFS('All Donations'!$S$2:$S$4001,'All Donations'!$R$2:$R$4001,AD133,'All Donations'!$T$2:$T$4001,"&gt;="&amp;'Settings'!$C$29,'All Donations'!$T$2:$T$4001,"&lt;="&amp;'Settings'!$D$29),2),0)</f>
        <v/>
      </c>
      <c r="AV133">
        <f>IF(AE133=1,ROUND(SUMIFS('All Donations'!$S$2:$S$4001,'All Donations'!$R$2:$R$4001,AD133,'All Donations'!$T$2:$T$4001,"&lt;="&amp;'Settings'!$D$30),2),0)</f>
        <v/>
      </c>
      <c r="AZ133">
        <f>IF(AE133=1,ROUND(SUMIFS('All Donations'!$S$2:$S$4001,'All Donations'!$R$2:$R$4001,AD133,'All Donations'!$T$2:$T$4001,"&lt;="&amp;'Settings'!$D$34),2),0)</f>
        <v/>
      </c>
    </row>
    <row r="134">
      <c r="A134">
        <f>IF(AE134=1,TRIM(TRIM('Roster'!B134)&amp;" "&amp;TRIM('Roster'!C134)),"")</f>
        <v/>
      </c>
      <c r="B134">
        <f>IF(AE134=1,IF(AN134="","(no teacher)",AN134&amp;" – "&amp;C134),"")</f>
        <v/>
      </c>
      <c r="C134">
        <f>IF(AE134=1,TRIM('Roster'!D134&amp;""),"")</f>
        <v/>
      </c>
      <c r="D134" s="48">
        <f>IF(AE134=1,ROUND(SUMIFS('All Donations'!$S$2:$S$4001,'All Donations'!$R$2:$R$4001,AD134),2),"")</f>
        <v/>
      </c>
      <c r="E134" s="48">
        <f>IF(AE134=1,ROUND(SUMIFS('All Donations'!$S$2:$S$4001,'All Donations'!$R$2:$R$4001,AD134,'All Donations'!$G$2:$G$4001,"OneCause"),2),"")</f>
        <v/>
      </c>
      <c r="F134" s="48">
        <f>IF(AE134=1,D134-E134,"")</f>
        <v/>
      </c>
      <c r="G134">
        <f>IF(AE134=1,COUNTIFS('All Donations'!$R$2:$R$4001,AD134,'All Donations'!$H$2:$H$4001,"OK"),"")</f>
        <v/>
      </c>
      <c r="H134">
        <f>IF(AE134&lt;&gt;1,"",IF(D134&gt;0,"Yes",""))</f>
        <v/>
      </c>
      <c r="I134" s="49">
        <f>IF(OR($AE134&lt;&gt;1,I$1=""),"",SUMIFS('All Donations'!$S$2:$S$4001,'All Donations'!$R$2:$R$4001,$AD134,'All Donations'!$T$2:$T$4001,I$1))</f>
        <v/>
      </c>
      <c r="J134" s="49">
        <f>IF(OR($AE134&lt;&gt;1,J$1=""),"",SUMIFS('All Donations'!$S$2:$S$4001,'All Donations'!$R$2:$R$4001,$AD134,'All Donations'!$T$2:$T$4001,J$1))</f>
        <v/>
      </c>
      <c r="K134" s="49">
        <f>IF(OR($AE134&lt;&gt;1,K$1=""),"",SUMIFS('All Donations'!$S$2:$S$4001,'All Donations'!$R$2:$R$4001,$AD134,'All Donations'!$T$2:$T$4001,K$1))</f>
        <v/>
      </c>
      <c r="L134" s="49">
        <f>IF(OR($AE134&lt;&gt;1,L$1=""),"",SUMIFS('All Donations'!$S$2:$S$4001,'All Donations'!$R$2:$R$4001,$AD134,'All Donations'!$T$2:$T$4001,L$1))</f>
        <v/>
      </c>
      <c r="M134" s="49">
        <f>IF(OR($AE134&lt;&gt;1,M$1=""),"",SUMIFS('All Donations'!$S$2:$S$4001,'All Donations'!$R$2:$R$4001,$AD134,'All Donations'!$T$2:$T$4001,M$1))</f>
        <v/>
      </c>
      <c r="N134" s="49">
        <f>IF(OR($AE134&lt;&gt;1,N$1=""),"",SUMIFS('All Donations'!$S$2:$S$4001,'All Donations'!$R$2:$R$4001,$AD134,'All Donations'!$T$2:$T$4001,N$1))</f>
        <v/>
      </c>
      <c r="O134" s="49">
        <f>IF(OR($AE134&lt;&gt;1,O$1=""),"",SUMIFS('All Donations'!$S$2:$S$4001,'All Donations'!$R$2:$R$4001,$AD134,'All Donations'!$T$2:$T$4001,O$1))</f>
        <v/>
      </c>
      <c r="P134" s="49">
        <f>IF(OR($AE134&lt;&gt;1,P$1=""),"",SUMIFS('All Donations'!$S$2:$S$4001,'All Donations'!$R$2:$R$4001,$AD134,'All Donations'!$T$2:$T$4001,P$1))</f>
        <v/>
      </c>
      <c r="Q134" s="49">
        <f>IF(OR($AE134&lt;&gt;1,Q$1=""),"",SUMIFS('All Donations'!$S$2:$S$4001,'All Donations'!$R$2:$R$4001,$AD134,'All Donations'!$T$2:$T$4001,Q$1))</f>
        <v/>
      </c>
      <c r="R134" s="49">
        <f>IF(OR($AE134&lt;&gt;1,R$1=""),"",SUMIFS('All Donations'!$S$2:$S$4001,'All Donations'!$R$2:$R$4001,$AD134,'All Donations'!$T$2:$T$4001,R$1))</f>
        <v/>
      </c>
      <c r="S134" s="49">
        <f>IF(OR($AE134&lt;&gt;1,S$1=""),"",SUMIFS('All Donations'!$S$2:$S$4001,'All Donations'!$R$2:$R$4001,$AD134,'All Donations'!$T$2:$T$4001,S$1))</f>
        <v/>
      </c>
      <c r="T134" s="49">
        <f>IF(OR($AE134&lt;&gt;1,T$1=""),"",SUMIFS('All Donations'!$S$2:$S$4001,'All Donations'!$R$2:$R$4001,$AD134,'All Donations'!$T$2:$T$4001,T$1))</f>
        <v/>
      </c>
      <c r="U134" s="49">
        <f>IF(OR($AE134&lt;&gt;1,U$1=""),"",SUMIFS('All Donations'!$S$2:$S$4001,'All Donations'!$R$2:$R$4001,$AD134,'All Donations'!$T$2:$T$4001,U$1))</f>
        <v/>
      </c>
      <c r="V134" s="49">
        <f>IF(OR($AE134&lt;&gt;1,V$1=""),"",SUMIFS('All Donations'!$S$2:$S$4001,'All Donations'!$R$2:$R$4001,$AD134,'All Donations'!$T$2:$T$4001,V$1))</f>
        <v/>
      </c>
      <c r="W134" s="49">
        <f>IF(OR($AE134&lt;&gt;1,W$1=""),"",SUMIFS('All Donations'!$S$2:$S$4001,'All Donations'!$R$2:$R$4001,$AD134,'All Donations'!$T$2:$T$4001,W$1))</f>
        <v/>
      </c>
      <c r="X134" s="49">
        <f>IF(OR($AE134&lt;&gt;1,X$1=""),"",SUMIFS('All Donations'!$S$2:$S$4001,'All Donations'!$R$2:$R$4001,$AD134,'All Donations'!$T$2:$T$4001,X$1))</f>
        <v/>
      </c>
      <c r="Y134" s="49">
        <f>IF(OR($AE134&lt;&gt;1,Y$1=""),"",SUMIFS('All Donations'!$S$2:$S$4001,'All Donations'!$R$2:$R$4001,$AD134,'All Donations'!$T$2:$T$4001,Y$1))</f>
        <v/>
      </c>
      <c r="Z134" s="49">
        <f>IF(OR($AE134&lt;&gt;1,Z$1=""),"",SUMIFS('All Donations'!$S$2:$S$4001,'All Donations'!$R$2:$R$4001,$AD134,'All Donations'!$T$2:$T$4001,Z$1))</f>
        <v/>
      </c>
      <c r="AA134" s="49">
        <f>IF(OR($AE134&lt;&gt;1,AA$1=""),"",SUMIFS('All Donations'!$S$2:$S$4001,'All Donations'!$R$2:$R$4001,$AD134,'All Donations'!$T$2:$T$4001,AA$1))</f>
        <v/>
      </c>
      <c r="AB134" s="49">
        <f>IF(OR($AE134&lt;&gt;1,AB$1=""),"",SUMIFS('All Donations'!$S$2:$S$4001,'All Donations'!$R$2:$R$4001,$AD134,'All Donations'!$T$2:$T$4001,AB$1))</f>
        <v/>
      </c>
      <c r="AC134" s="49">
        <f>IF(OR($AE134&lt;&gt;1,AC$1=""),"",SUMIFS('All Donations'!$S$2:$S$4001,'All Donations'!$R$2:$R$4001,$AD134,'All Donations'!$T$2:$T$4001,AC$1))</f>
        <v/>
      </c>
      <c r="AD134">
        <f>IF(AE134=1,'Roster'!A134,"")</f>
        <v/>
      </c>
      <c r="AE134">
        <f>IF(TRIM('Roster'!B134&amp;'Roster'!C134)&lt;&gt;"",1,0)</f>
        <v/>
      </c>
      <c r="AF134">
        <f>IF(AE134=1,LOWER(A134),"#")</f>
        <v/>
      </c>
      <c r="AG134">
        <f>IF(AE134=1,LOWER(TRIM(TRIM('Roster'!C134)&amp;", "&amp;TRIM('Roster'!B134))),"#")</f>
        <v/>
      </c>
      <c r="AH134">
        <f>IF(AND(AE134=1,TRIM('Roster'!F134)&lt;&gt;""),LOWER(TRIM('Roster'!F134)),"#")</f>
        <v/>
      </c>
      <c r="AI134">
        <f>IF(AE134=1,IF(MATCH(B134,$B$2:$B$701,0)=ROW()-1,1,0),0)</f>
        <v/>
      </c>
      <c r="AJ134">
        <f>AJ133+AI134</f>
        <v/>
      </c>
      <c r="AK134">
        <f>IF(AE134=1,D134+(1000-ROW())/10^7,-1)</f>
        <v/>
      </c>
      <c r="AL134">
        <f>IF(AE134=1,TRIM('Roster'!B134)&amp;" "&amp;LEFT(TRIM('Roster'!C134),1)&amp;".","")</f>
        <v/>
      </c>
      <c r="AM134">
        <f>IF(AE134=1,TRIM('Roster'!C134)&amp;", "&amp;TRIM('Roster'!B134)&amp;" ("&amp;B134&amp;") #"&amp;AD134,"")</f>
        <v/>
      </c>
      <c r="AN134">
        <f>IF(AE134=1,TRIM('Roster'!E134),"")</f>
        <v/>
      </c>
      <c r="AO134">
        <f>IF(AE134=1,ROUND(SUMIFS('All Donations'!$S$2:$S$4001,'All Donations'!$R$2:$R$4001,AD134,'All Donations'!$T$2:$T$4001,"&gt;="&amp;'Settings'!$C$23,'All Donations'!$T$2:$T$4001,"&lt;="&amp;'Settings'!$D$23),2),0)</f>
        <v/>
      </c>
      <c r="AQ134">
        <f>IF(AE134=1,ROUND(SUMIFS('All Donations'!$S$2:$S$4001,'All Donations'!$R$2:$R$4001,AD134,'All Donations'!$T$2:$T$4001,"&gt;="&amp;'Settings'!$C$25,'All Donations'!$T$2:$T$4001,"&lt;="&amp;'Settings'!$D$25),2),0)</f>
        <v/>
      </c>
      <c r="AR134">
        <f>IF(AE134=1,ROUND(SUMIFS('All Donations'!$S$2:$S$4001,'All Donations'!$R$2:$R$4001,AD134,'All Donations'!$T$2:$T$4001,"&gt;="&amp;'Settings'!$C$26,'All Donations'!$T$2:$T$4001,"&lt;="&amp;'Settings'!$D$26),2),0)</f>
        <v/>
      </c>
      <c r="AS134">
        <f>IF(AE134=1,ROUND(SUMIFS('All Donations'!$S$2:$S$4001,'All Donations'!$R$2:$R$4001,AD134,'All Donations'!$T$2:$T$4001,"&lt;="&amp;'Settings'!$D$27),2),0)</f>
        <v/>
      </c>
      <c r="AT134">
        <f>IF(AE134=1,ROUND(SUMIFS('All Donations'!$S$2:$S$4001,'All Donations'!$R$2:$R$4001,AD134,'All Donations'!$T$2:$T$4001,"&gt;="&amp;'Settings'!$C$28,'All Donations'!$T$2:$T$4001,"&lt;="&amp;'Settings'!$D$28),2),0)</f>
        <v/>
      </c>
      <c r="AU134">
        <f>IF(AE134=1,ROUND(SUMIFS('All Donations'!$S$2:$S$4001,'All Donations'!$R$2:$R$4001,AD134,'All Donations'!$T$2:$T$4001,"&gt;="&amp;'Settings'!$C$29,'All Donations'!$T$2:$T$4001,"&lt;="&amp;'Settings'!$D$29),2),0)</f>
        <v/>
      </c>
      <c r="AV134">
        <f>IF(AE134=1,ROUND(SUMIFS('All Donations'!$S$2:$S$4001,'All Donations'!$R$2:$R$4001,AD134,'All Donations'!$T$2:$T$4001,"&lt;="&amp;'Settings'!$D$30),2),0)</f>
        <v/>
      </c>
      <c r="AZ134">
        <f>IF(AE134=1,ROUND(SUMIFS('All Donations'!$S$2:$S$4001,'All Donations'!$R$2:$R$4001,AD134,'All Donations'!$T$2:$T$4001,"&lt;="&amp;'Settings'!$D$34),2),0)</f>
        <v/>
      </c>
    </row>
    <row r="135">
      <c r="A135">
        <f>IF(AE135=1,TRIM(TRIM('Roster'!B135)&amp;" "&amp;TRIM('Roster'!C135)),"")</f>
        <v/>
      </c>
      <c r="B135">
        <f>IF(AE135=1,IF(AN135="","(no teacher)",AN135&amp;" – "&amp;C135),"")</f>
        <v/>
      </c>
      <c r="C135">
        <f>IF(AE135=1,TRIM('Roster'!D135&amp;""),"")</f>
        <v/>
      </c>
      <c r="D135" s="48">
        <f>IF(AE135=1,ROUND(SUMIFS('All Donations'!$S$2:$S$4001,'All Donations'!$R$2:$R$4001,AD135),2),"")</f>
        <v/>
      </c>
      <c r="E135" s="48">
        <f>IF(AE135=1,ROUND(SUMIFS('All Donations'!$S$2:$S$4001,'All Donations'!$R$2:$R$4001,AD135,'All Donations'!$G$2:$G$4001,"OneCause"),2),"")</f>
        <v/>
      </c>
      <c r="F135" s="48">
        <f>IF(AE135=1,D135-E135,"")</f>
        <v/>
      </c>
      <c r="G135">
        <f>IF(AE135=1,COUNTIFS('All Donations'!$R$2:$R$4001,AD135,'All Donations'!$H$2:$H$4001,"OK"),"")</f>
        <v/>
      </c>
      <c r="H135">
        <f>IF(AE135&lt;&gt;1,"",IF(D135&gt;0,"Yes",""))</f>
        <v/>
      </c>
      <c r="I135" s="49">
        <f>IF(OR($AE135&lt;&gt;1,I$1=""),"",SUMIFS('All Donations'!$S$2:$S$4001,'All Donations'!$R$2:$R$4001,$AD135,'All Donations'!$T$2:$T$4001,I$1))</f>
        <v/>
      </c>
      <c r="J135" s="49">
        <f>IF(OR($AE135&lt;&gt;1,J$1=""),"",SUMIFS('All Donations'!$S$2:$S$4001,'All Donations'!$R$2:$R$4001,$AD135,'All Donations'!$T$2:$T$4001,J$1))</f>
        <v/>
      </c>
      <c r="K135" s="49">
        <f>IF(OR($AE135&lt;&gt;1,K$1=""),"",SUMIFS('All Donations'!$S$2:$S$4001,'All Donations'!$R$2:$R$4001,$AD135,'All Donations'!$T$2:$T$4001,K$1))</f>
        <v/>
      </c>
      <c r="L135" s="49">
        <f>IF(OR($AE135&lt;&gt;1,L$1=""),"",SUMIFS('All Donations'!$S$2:$S$4001,'All Donations'!$R$2:$R$4001,$AD135,'All Donations'!$T$2:$T$4001,L$1))</f>
        <v/>
      </c>
      <c r="M135" s="49">
        <f>IF(OR($AE135&lt;&gt;1,M$1=""),"",SUMIFS('All Donations'!$S$2:$S$4001,'All Donations'!$R$2:$R$4001,$AD135,'All Donations'!$T$2:$T$4001,M$1))</f>
        <v/>
      </c>
      <c r="N135" s="49">
        <f>IF(OR($AE135&lt;&gt;1,N$1=""),"",SUMIFS('All Donations'!$S$2:$S$4001,'All Donations'!$R$2:$R$4001,$AD135,'All Donations'!$T$2:$T$4001,N$1))</f>
        <v/>
      </c>
      <c r="O135" s="49">
        <f>IF(OR($AE135&lt;&gt;1,O$1=""),"",SUMIFS('All Donations'!$S$2:$S$4001,'All Donations'!$R$2:$R$4001,$AD135,'All Donations'!$T$2:$T$4001,O$1))</f>
        <v/>
      </c>
      <c r="P135" s="49">
        <f>IF(OR($AE135&lt;&gt;1,P$1=""),"",SUMIFS('All Donations'!$S$2:$S$4001,'All Donations'!$R$2:$R$4001,$AD135,'All Donations'!$T$2:$T$4001,P$1))</f>
        <v/>
      </c>
      <c r="Q135" s="49">
        <f>IF(OR($AE135&lt;&gt;1,Q$1=""),"",SUMIFS('All Donations'!$S$2:$S$4001,'All Donations'!$R$2:$R$4001,$AD135,'All Donations'!$T$2:$T$4001,Q$1))</f>
        <v/>
      </c>
      <c r="R135" s="49">
        <f>IF(OR($AE135&lt;&gt;1,R$1=""),"",SUMIFS('All Donations'!$S$2:$S$4001,'All Donations'!$R$2:$R$4001,$AD135,'All Donations'!$T$2:$T$4001,R$1))</f>
        <v/>
      </c>
      <c r="S135" s="49">
        <f>IF(OR($AE135&lt;&gt;1,S$1=""),"",SUMIFS('All Donations'!$S$2:$S$4001,'All Donations'!$R$2:$R$4001,$AD135,'All Donations'!$T$2:$T$4001,S$1))</f>
        <v/>
      </c>
      <c r="T135" s="49">
        <f>IF(OR($AE135&lt;&gt;1,T$1=""),"",SUMIFS('All Donations'!$S$2:$S$4001,'All Donations'!$R$2:$R$4001,$AD135,'All Donations'!$T$2:$T$4001,T$1))</f>
        <v/>
      </c>
      <c r="U135" s="49">
        <f>IF(OR($AE135&lt;&gt;1,U$1=""),"",SUMIFS('All Donations'!$S$2:$S$4001,'All Donations'!$R$2:$R$4001,$AD135,'All Donations'!$T$2:$T$4001,U$1))</f>
        <v/>
      </c>
      <c r="V135" s="49">
        <f>IF(OR($AE135&lt;&gt;1,V$1=""),"",SUMIFS('All Donations'!$S$2:$S$4001,'All Donations'!$R$2:$R$4001,$AD135,'All Donations'!$T$2:$T$4001,V$1))</f>
        <v/>
      </c>
      <c r="W135" s="49">
        <f>IF(OR($AE135&lt;&gt;1,W$1=""),"",SUMIFS('All Donations'!$S$2:$S$4001,'All Donations'!$R$2:$R$4001,$AD135,'All Donations'!$T$2:$T$4001,W$1))</f>
        <v/>
      </c>
      <c r="X135" s="49">
        <f>IF(OR($AE135&lt;&gt;1,X$1=""),"",SUMIFS('All Donations'!$S$2:$S$4001,'All Donations'!$R$2:$R$4001,$AD135,'All Donations'!$T$2:$T$4001,X$1))</f>
        <v/>
      </c>
      <c r="Y135" s="49">
        <f>IF(OR($AE135&lt;&gt;1,Y$1=""),"",SUMIFS('All Donations'!$S$2:$S$4001,'All Donations'!$R$2:$R$4001,$AD135,'All Donations'!$T$2:$T$4001,Y$1))</f>
        <v/>
      </c>
      <c r="Z135" s="49">
        <f>IF(OR($AE135&lt;&gt;1,Z$1=""),"",SUMIFS('All Donations'!$S$2:$S$4001,'All Donations'!$R$2:$R$4001,$AD135,'All Donations'!$T$2:$T$4001,Z$1))</f>
        <v/>
      </c>
      <c r="AA135" s="49">
        <f>IF(OR($AE135&lt;&gt;1,AA$1=""),"",SUMIFS('All Donations'!$S$2:$S$4001,'All Donations'!$R$2:$R$4001,$AD135,'All Donations'!$T$2:$T$4001,AA$1))</f>
        <v/>
      </c>
      <c r="AB135" s="49">
        <f>IF(OR($AE135&lt;&gt;1,AB$1=""),"",SUMIFS('All Donations'!$S$2:$S$4001,'All Donations'!$R$2:$R$4001,$AD135,'All Donations'!$T$2:$T$4001,AB$1))</f>
        <v/>
      </c>
      <c r="AC135" s="49">
        <f>IF(OR($AE135&lt;&gt;1,AC$1=""),"",SUMIFS('All Donations'!$S$2:$S$4001,'All Donations'!$R$2:$R$4001,$AD135,'All Donations'!$T$2:$T$4001,AC$1))</f>
        <v/>
      </c>
      <c r="AD135">
        <f>IF(AE135=1,'Roster'!A135,"")</f>
        <v/>
      </c>
      <c r="AE135">
        <f>IF(TRIM('Roster'!B135&amp;'Roster'!C135)&lt;&gt;"",1,0)</f>
        <v/>
      </c>
      <c r="AF135">
        <f>IF(AE135=1,LOWER(A135),"#")</f>
        <v/>
      </c>
      <c r="AG135">
        <f>IF(AE135=1,LOWER(TRIM(TRIM('Roster'!C135)&amp;", "&amp;TRIM('Roster'!B135))),"#")</f>
        <v/>
      </c>
      <c r="AH135">
        <f>IF(AND(AE135=1,TRIM('Roster'!F135)&lt;&gt;""),LOWER(TRIM('Roster'!F135)),"#")</f>
        <v/>
      </c>
      <c r="AI135">
        <f>IF(AE135=1,IF(MATCH(B135,$B$2:$B$701,0)=ROW()-1,1,0),0)</f>
        <v/>
      </c>
      <c r="AJ135">
        <f>AJ134+AI135</f>
        <v/>
      </c>
      <c r="AK135">
        <f>IF(AE135=1,D135+(1000-ROW())/10^7,-1)</f>
        <v/>
      </c>
      <c r="AL135">
        <f>IF(AE135=1,TRIM('Roster'!B135)&amp;" "&amp;LEFT(TRIM('Roster'!C135),1)&amp;".","")</f>
        <v/>
      </c>
      <c r="AM135">
        <f>IF(AE135=1,TRIM('Roster'!C135)&amp;", "&amp;TRIM('Roster'!B135)&amp;" ("&amp;B135&amp;") #"&amp;AD135,"")</f>
        <v/>
      </c>
      <c r="AN135">
        <f>IF(AE135=1,TRIM('Roster'!E135),"")</f>
        <v/>
      </c>
      <c r="AO135">
        <f>IF(AE135=1,ROUND(SUMIFS('All Donations'!$S$2:$S$4001,'All Donations'!$R$2:$R$4001,AD135,'All Donations'!$T$2:$T$4001,"&gt;="&amp;'Settings'!$C$23,'All Donations'!$T$2:$T$4001,"&lt;="&amp;'Settings'!$D$23),2),0)</f>
        <v/>
      </c>
      <c r="AQ135">
        <f>IF(AE135=1,ROUND(SUMIFS('All Donations'!$S$2:$S$4001,'All Donations'!$R$2:$R$4001,AD135,'All Donations'!$T$2:$T$4001,"&gt;="&amp;'Settings'!$C$25,'All Donations'!$T$2:$T$4001,"&lt;="&amp;'Settings'!$D$25),2),0)</f>
        <v/>
      </c>
      <c r="AR135">
        <f>IF(AE135=1,ROUND(SUMIFS('All Donations'!$S$2:$S$4001,'All Donations'!$R$2:$R$4001,AD135,'All Donations'!$T$2:$T$4001,"&gt;="&amp;'Settings'!$C$26,'All Donations'!$T$2:$T$4001,"&lt;="&amp;'Settings'!$D$26),2),0)</f>
        <v/>
      </c>
      <c r="AS135">
        <f>IF(AE135=1,ROUND(SUMIFS('All Donations'!$S$2:$S$4001,'All Donations'!$R$2:$R$4001,AD135,'All Donations'!$T$2:$T$4001,"&lt;="&amp;'Settings'!$D$27),2),0)</f>
        <v/>
      </c>
      <c r="AT135">
        <f>IF(AE135=1,ROUND(SUMIFS('All Donations'!$S$2:$S$4001,'All Donations'!$R$2:$R$4001,AD135,'All Donations'!$T$2:$T$4001,"&gt;="&amp;'Settings'!$C$28,'All Donations'!$T$2:$T$4001,"&lt;="&amp;'Settings'!$D$28),2),0)</f>
        <v/>
      </c>
      <c r="AU135">
        <f>IF(AE135=1,ROUND(SUMIFS('All Donations'!$S$2:$S$4001,'All Donations'!$R$2:$R$4001,AD135,'All Donations'!$T$2:$T$4001,"&gt;="&amp;'Settings'!$C$29,'All Donations'!$T$2:$T$4001,"&lt;="&amp;'Settings'!$D$29),2),0)</f>
        <v/>
      </c>
      <c r="AV135">
        <f>IF(AE135=1,ROUND(SUMIFS('All Donations'!$S$2:$S$4001,'All Donations'!$R$2:$R$4001,AD135,'All Donations'!$T$2:$T$4001,"&lt;="&amp;'Settings'!$D$30),2),0)</f>
        <v/>
      </c>
      <c r="AZ135">
        <f>IF(AE135=1,ROUND(SUMIFS('All Donations'!$S$2:$S$4001,'All Donations'!$R$2:$R$4001,AD135,'All Donations'!$T$2:$T$4001,"&lt;="&amp;'Settings'!$D$34),2),0)</f>
        <v/>
      </c>
    </row>
    <row r="136">
      <c r="A136">
        <f>IF(AE136=1,TRIM(TRIM('Roster'!B136)&amp;" "&amp;TRIM('Roster'!C136)),"")</f>
        <v/>
      </c>
      <c r="B136">
        <f>IF(AE136=1,IF(AN136="","(no teacher)",AN136&amp;" – "&amp;C136),"")</f>
        <v/>
      </c>
      <c r="C136">
        <f>IF(AE136=1,TRIM('Roster'!D136&amp;""),"")</f>
        <v/>
      </c>
      <c r="D136" s="48">
        <f>IF(AE136=1,ROUND(SUMIFS('All Donations'!$S$2:$S$4001,'All Donations'!$R$2:$R$4001,AD136),2),"")</f>
        <v/>
      </c>
      <c r="E136" s="48">
        <f>IF(AE136=1,ROUND(SUMIFS('All Donations'!$S$2:$S$4001,'All Donations'!$R$2:$R$4001,AD136,'All Donations'!$G$2:$G$4001,"OneCause"),2),"")</f>
        <v/>
      </c>
      <c r="F136" s="48">
        <f>IF(AE136=1,D136-E136,"")</f>
        <v/>
      </c>
      <c r="G136">
        <f>IF(AE136=1,COUNTIFS('All Donations'!$R$2:$R$4001,AD136,'All Donations'!$H$2:$H$4001,"OK"),"")</f>
        <v/>
      </c>
      <c r="H136">
        <f>IF(AE136&lt;&gt;1,"",IF(D136&gt;0,"Yes",""))</f>
        <v/>
      </c>
      <c r="I136" s="49">
        <f>IF(OR($AE136&lt;&gt;1,I$1=""),"",SUMIFS('All Donations'!$S$2:$S$4001,'All Donations'!$R$2:$R$4001,$AD136,'All Donations'!$T$2:$T$4001,I$1))</f>
        <v/>
      </c>
      <c r="J136" s="49">
        <f>IF(OR($AE136&lt;&gt;1,J$1=""),"",SUMIFS('All Donations'!$S$2:$S$4001,'All Donations'!$R$2:$R$4001,$AD136,'All Donations'!$T$2:$T$4001,J$1))</f>
        <v/>
      </c>
      <c r="K136" s="49">
        <f>IF(OR($AE136&lt;&gt;1,K$1=""),"",SUMIFS('All Donations'!$S$2:$S$4001,'All Donations'!$R$2:$R$4001,$AD136,'All Donations'!$T$2:$T$4001,K$1))</f>
        <v/>
      </c>
      <c r="L136" s="49">
        <f>IF(OR($AE136&lt;&gt;1,L$1=""),"",SUMIFS('All Donations'!$S$2:$S$4001,'All Donations'!$R$2:$R$4001,$AD136,'All Donations'!$T$2:$T$4001,L$1))</f>
        <v/>
      </c>
      <c r="M136" s="49">
        <f>IF(OR($AE136&lt;&gt;1,M$1=""),"",SUMIFS('All Donations'!$S$2:$S$4001,'All Donations'!$R$2:$R$4001,$AD136,'All Donations'!$T$2:$T$4001,M$1))</f>
        <v/>
      </c>
      <c r="N136" s="49">
        <f>IF(OR($AE136&lt;&gt;1,N$1=""),"",SUMIFS('All Donations'!$S$2:$S$4001,'All Donations'!$R$2:$R$4001,$AD136,'All Donations'!$T$2:$T$4001,N$1))</f>
        <v/>
      </c>
      <c r="O136" s="49">
        <f>IF(OR($AE136&lt;&gt;1,O$1=""),"",SUMIFS('All Donations'!$S$2:$S$4001,'All Donations'!$R$2:$R$4001,$AD136,'All Donations'!$T$2:$T$4001,O$1))</f>
        <v/>
      </c>
      <c r="P136" s="49">
        <f>IF(OR($AE136&lt;&gt;1,P$1=""),"",SUMIFS('All Donations'!$S$2:$S$4001,'All Donations'!$R$2:$R$4001,$AD136,'All Donations'!$T$2:$T$4001,P$1))</f>
        <v/>
      </c>
      <c r="Q136" s="49">
        <f>IF(OR($AE136&lt;&gt;1,Q$1=""),"",SUMIFS('All Donations'!$S$2:$S$4001,'All Donations'!$R$2:$R$4001,$AD136,'All Donations'!$T$2:$T$4001,Q$1))</f>
        <v/>
      </c>
      <c r="R136" s="49">
        <f>IF(OR($AE136&lt;&gt;1,R$1=""),"",SUMIFS('All Donations'!$S$2:$S$4001,'All Donations'!$R$2:$R$4001,$AD136,'All Donations'!$T$2:$T$4001,R$1))</f>
        <v/>
      </c>
      <c r="S136" s="49">
        <f>IF(OR($AE136&lt;&gt;1,S$1=""),"",SUMIFS('All Donations'!$S$2:$S$4001,'All Donations'!$R$2:$R$4001,$AD136,'All Donations'!$T$2:$T$4001,S$1))</f>
        <v/>
      </c>
      <c r="T136" s="49">
        <f>IF(OR($AE136&lt;&gt;1,T$1=""),"",SUMIFS('All Donations'!$S$2:$S$4001,'All Donations'!$R$2:$R$4001,$AD136,'All Donations'!$T$2:$T$4001,T$1))</f>
        <v/>
      </c>
      <c r="U136" s="49">
        <f>IF(OR($AE136&lt;&gt;1,U$1=""),"",SUMIFS('All Donations'!$S$2:$S$4001,'All Donations'!$R$2:$R$4001,$AD136,'All Donations'!$T$2:$T$4001,U$1))</f>
        <v/>
      </c>
      <c r="V136" s="49">
        <f>IF(OR($AE136&lt;&gt;1,V$1=""),"",SUMIFS('All Donations'!$S$2:$S$4001,'All Donations'!$R$2:$R$4001,$AD136,'All Donations'!$T$2:$T$4001,V$1))</f>
        <v/>
      </c>
      <c r="W136" s="49">
        <f>IF(OR($AE136&lt;&gt;1,W$1=""),"",SUMIFS('All Donations'!$S$2:$S$4001,'All Donations'!$R$2:$R$4001,$AD136,'All Donations'!$T$2:$T$4001,W$1))</f>
        <v/>
      </c>
      <c r="X136" s="49">
        <f>IF(OR($AE136&lt;&gt;1,X$1=""),"",SUMIFS('All Donations'!$S$2:$S$4001,'All Donations'!$R$2:$R$4001,$AD136,'All Donations'!$T$2:$T$4001,X$1))</f>
        <v/>
      </c>
      <c r="Y136" s="49">
        <f>IF(OR($AE136&lt;&gt;1,Y$1=""),"",SUMIFS('All Donations'!$S$2:$S$4001,'All Donations'!$R$2:$R$4001,$AD136,'All Donations'!$T$2:$T$4001,Y$1))</f>
        <v/>
      </c>
      <c r="Z136" s="49">
        <f>IF(OR($AE136&lt;&gt;1,Z$1=""),"",SUMIFS('All Donations'!$S$2:$S$4001,'All Donations'!$R$2:$R$4001,$AD136,'All Donations'!$T$2:$T$4001,Z$1))</f>
        <v/>
      </c>
      <c r="AA136" s="49">
        <f>IF(OR($AE136&lt;&gt;1,AA$1=""),"",SUMIFS('All Donations'!$S$2:$S$4001,'All Donations'!$R$2:$R$4001,$AD136,'All Donations'!$T$2:$T$4001,AA$1))</f>
        <v/>
      </c>
      <c r="AB136" s="49">
        <f>IF(OR($AE136&lt;&gt;1,AB$1=""),"",SUMIFS('All Donations'!$S$2:$S$4001,'All Donations'!$R$2:$R$4001,$AD136,'All Donations'!$T$2:$T$4001,AB$1))</f>
        <v/>
      </c>
      <c r="AC136" s="49">
        <f>IF(OR($AE136&lt;&gt;1,AC$1=""),"",SUMIFS('All Donations'!$S$2:$S$4001,'All Donations'!$R$2:$R$4001,$AD136,'All Donations'!$T$2:$T$4001,AC$1))</f>
        <v/>
      </c>
      <c r="AD136">
        <f>IF(AE136=1,'Roster'!A136,"")</f>
        <v/>
      </c>
      <c r="AE136">
        <f>IF(TRIM('Roster'!B136&amp;'Roster'!C136)&lt;&gt;"",1,0)</f>
        <v/>
      </c>
      <c r="AF136">
        <f>IF(AE136=1,LOWER(A136),"#")</f>
        <v/>
      </c>
      <c r="AG136">
        <f>IF(AE136=1,LOWER(TRIM(TRIM('Roster'!C136)&amp;", "&amp;TRIM('Roster'!B136))),"#")</f>
        <v/>
      </c>
      <c r="AH136">
        <f>IF(AND(AE136=1,TRIM('Roster'!F136)&lt;&gt;""),LOWER(TRIM('Roster'!F136)),"#")</f>
        <v/>
      </c>
      <c r="AI136">
        <f>IF(AE136=1,IF(MATCH(B136,$B$2:$B$701,0)=ROW()-1,1,0),0)</f>
        <v/>
      </c>
      <c r="AJ136">
        <f>AJ135+AI136</f>
        <v/>
      </c>
      <c r="AK136">
        <f>IF(AE136=1,D136+(1000-ROW())/10^7,-1)</f>
        <v/>
      </c>
      <c r="AL136">
        <f>IF(AE136=1,TRIM('Roster'!B136)&amp;" "&amp;LEFT(TRIM('Roster'!C136),1)&amp;".","")</f>
        <v/>
      </c>
      <c r="AM136">
        <f>IF(AE136=1,TRIM('Roster'!C136)&amp;", "&amp;TRIM('Roster'!B136)&amp;" ("&amp;B136&amp;") #"&amp;AD136,"")</f>
        <v/>
      </c>
      <c r="AN136">
        <f>IF(AE136=1,TRIM('Roster'!E136),"")</f>
        <v/>
      </c>
      <c r="AO136">
        <f>IF(AE136=1,ROUND(SUMIFS('All Donations'!$S$2:$S$4001,'All Donations'!$R$2:$R$4001,AD136,'All Donations'!$T$2:$T$4001,"&gt;="&amp;'Settings'!$C$23,'All Donations'!$T$2:$T$4001,"&lt;="&amp;'Settings'!$D$23),2),0)</f>
        <v/>
      </c>
      <c r="AQ136">
        <f>IF(AE136=1,ROUND(SUMIFS('All Donations'!$S$2:$S$4001,'All Donations'!$R$2:$R$4001,AD136,'All Donations'!$T$2:$T$4001,"&gt;="&amp;'Settings'!$C$25,'All Donations'!$T$2:$T$4001,"&lt;="&amp;'Settings'!$D$25),2),0)</f>
        <v/>
      </c>
      <c r="AR136">
        <f>IF(AE136=1,ROUND(SUMIFS('All Donations'!$S$2:$S$4001,'All Donations'!$R$2:$R$4001,AD136,'All Donations'!$T$2:$T$4001,"&gt;="&amp;'Settings'!$C$26,'All Donations'!$T$2:$T$4001,"&lt;="&amp;'Settings'!$D$26),2),0)</f>
        <v/>
      </c>
      <c r="AS136">
        <f>IF(AE136=1,ROUND(SUMIFS('All Donations'!$S$2:$S$4001,'All Donations'!$R$2:$R$4001,AD136,'All Donations'!$T$2:$T$4001,"&lt;="&amp;'Settings'!$D$27),2),0)</f>
        <v/>
      </c>
      <c r="AT136">
        <f>IF(AE136=1,ROUND(SUMIFS('All Donations'!$S$2:$S$4001,'All Donations'!$R$2:$R$4001,AD136,'All Donations'!$T$2:$T$4001,"&gt;="&amp;'Settings'!$C$28,'All Donations'!$T$2:$T$4001,"&lt;="&amp;'Settings'!$D$28),2),0)</f>
        <v/>
      </c>
      <c r="AU136">
        <f>IF(AE136=1,ROUND(SUMIFS('All Donations'!$S$2:$S$4001,'All Donations'!$R$2:$R$4001,AD136,'All Donations'!$T$2:$T$4001,"&gt;="&amp;'Settings'!$C$29,'All Donations'!$T$2:$T$4001,"&lt;="&amp;'Settings'!$D$29),2),0)</f>
        <v/>
      </c>
      <c r="AV136">
        <f>IF(AE136=1,ROUND(SUMIFS('All Donations'!$S$2:$S$4001,'All Donations'!$R$2:$R$4001,AD136,'All Donations'!$T$2:$T$4001,"&lt;="&amp;'Settings'!$D$30),2),0)</f>
        <v/>
      </c>
      <c r="AZ136">
        <f>IF(AE136=1,ROUND(SUMIFS('All Donations'!$S$2:$S$4001,'All Donations'!$R$2:$R$4001,AD136,'All Donations'!$T$2:$T$4001,"&lt;="&amp;'Settings'!$D$34),2),0)</f>
        <v/>
      </c>
    </row>
    <row r="137">
      <c r="A137">
        <f>IF(AE137=1,TRIM(TRIM('Roster'!B137)&amp;" "&amp;TRIM('Roster'!C137)),"")</f>
        <v/>
      </c>
      <c r="B137">
        <f>IF(AE137=1,IF(AN137="","(no teacher)",AN137&amp;" – "&amp;C137),"")</f>
        <v/>
      </c>
      <c r="C137">
        <f>IF(AE137=1,TRIM('Roster'!D137&amp;""),"")</f>
        <v/>
      </c>
      <c r="D137" s="48">
        <f>IF(AE137=1,ROUND(SUMIFS('All Donations'!$S$2:$S$4001,'All Donations'!$R$2:$R$4001,AD137),2),"")</f>
        <v/>
      </c>
      <c r="E137" s="48">
        <f>IF(AE137=1,ROUND(SUMIFS('All Donations'!$S$2:$S$4001,'All Donations'!$R$2:$R$4001,AD137,'All Donations'!$G$2:$G$4001,"OneCause"),2),"")</f>
        <v/>
      </c>
      <c r="F137" s="48">
        <f>IF(AE137=1,D137-E137,"")</f>
        <v/>
      </c>
      <c r="G137">
        <f>IF(AE137=1,COUNTIFS('All Donations'!$R$2:$R$4001,AD137,'All Donations'!$H$2:$H$4001,"OK"),"")</f>
        <v/>
      </c>
      <c r="H137">
        <f>IF(AE137&lt;&gt;1,"",IF(D137&gt;0,"Yes",""))</f>
        <v/>
      </c>
      <c r="I137" s="49">
        <f>IF(OR($AE137&lt;&gt;1,I$1=""),"",SUMIFS('All Donations'!$S$2:$S$4001,'All Donations'!$R$2:$R$4001,$AD137,'All Donations'!$T$2:$T$4001,I$1))</f>
        <v/>
      </c>
      <c r="J137" s="49">
        <f>IF(OR($AE137&lt;&gt;1,J$1=""),"",SUMIFS('All Donations'!$S$2:$S$4001,'All Donations'!$R$2:$R$4001,$AD137,'All Donations'!$T$2:$T$4001,J$1))</f>
        <v/>
      </c>
      <c r="K137" s="49">
        <f>IF(OR($AE137&lt;&gt;1,K$1=""),"",SUMIFS('All Donations'!$S$2:$S$4001,'All Donations'!$R$2:$R$4001,$AD137,'All Donations'!$T$2:$T$4001,K$1))</f>
        <v/>
      </c>
      <c r="L137" s="49">
        <f>IF(OR($AE137&lt;&gt;1,L$1=""),"",SUMIFS('All Donations'!$S$2:$S$4001,'All Donations'!$R$2:$R$4001,$AD137,'All Donations'!$T$2:$T$4001,L$1))</f>
        <v/>
      </c>
      <c r="M137" s="49">
        <f>IF(OR($AE137&lt;&gt;1,M$1=""),"",SUMIFS('All Donations'!$S$2:$S$4001,'All Donations'!$R$2:$R$4001,$AD137,'All Donations'!$T$2:$T$4001,M$1))</f>
        <v/>
      </c>
      <c r="N137" s="49">
        <f>IF(OR($AE137&lt;&gt;1,N$1=""),"",SUMIFS('All Donations'!$S$2:$S$4001,'All Donations'!$R$2:$R$4001,$AD137,'All Donations'!$T$2:$T$4001,N$1))</f>
        <v/>
      </c>
      <c r="O137" s="49">
        <f>IF(OR($AE137&lt;&gt;1,O$1=""),"",SUMIFS('All Donations'!$S$2:$S$4001,'All Donations'!$R$2:$R$4001,$AD137,'All Donations'!$T$2:$T$4001,O$1))</f>
        <v/>
      </c>
      <c r="P137" s="49">
        <f>IF(OR($AE137&lt;&gt;1,P$1=""),"",SUMIFS('All Donations'!$S$2:$S$4001,'All Donations'!$R$2:$R$4001,$AD137,'All Donations'!$T$2:$T$4001,P$1))</f>
        <v/>
      </c>
      <c r="Q137" s="49">
        <f>IF(OR($AE137&lt;&gt;1,Q$1=""),"",SUMIFS('All Donations'!$S$2:$S$4001,'All Donations'!$R$2:$R$4001,$AD137,'All Donations'!$T$2:$T$4001,Q$1))</f>
        <v/>
      </c>
      <c r="R137" s="49">
        <f>IF(OR($AE137&lt;&gt;1,R$1=""),"",SUMIFS('All Donations'!$S$2:$S$4001,'All Donations'!$R$2:$R$4001,$AD137,'All Donations'!$T$2:$T$4001,R$1))</f>
        <v/>
      </c>
      <c r="S137" s="49">
        <f>IF(OR($AE137&lt;&gt;1,S$1=""),"",SUMIFS('All Donations'!$S$2:$S$4001,'All Donations'!$R$2:$R$4001,$AD137,'All Donations'!$T$2:$T$4001,S$1))</f>
        <v/>
      </c>
      <c r="T137" s="49">
        <f>IF(OR($AE137&lt;&gt;1,T$1=""),"",SUMIFS('All Donations'!$S$2:$S$4001,'All Donations'!$R$2:$R$4001,$AD137,'All Donations'!$T$2:$T$4001,T$1))</f>
        <v/>
      </c>
      <c r="U137" s="49">
        <f>IF(OR($AE137&lt;&gt;1,U$1=""),"",SUMIFS('All Donations'!$S$2:$S$4001,'All Donations'!$R$2:$R$4001,$AD137,'All Donations'!$T$2:$T$4001,U$1))</f>
        <v/>
      </c>
      <c r="V137" s="49">
        <f>IF(OR($AE137&lt;&gt;1,V$1=""),"",SUMIFS('All Donations'!$S$2:$S$4001,'All Donations'!$R$2:$R$4001,$AD137,'All Donations'!$T$2:$T$4001,V$1))</f>
        <v/>
      </c>
      <c r="W137" s="49">
        <f>IF(OR($AE137&lt;&gt;1,W$1=""),"",SUMIFS('All Donations'!$S$2:$S$4001,'All Donations'!$R$2:$R$4001,$AD137,'All Donations'!$T$2:$T$4001,W$1))</f>
        <v/>
      </c>
      <c r="X137" s="49">
        <f>IF(OR($AE137&lt;&gt;1,X$1=""),"",SUMIFS('All Donations'!$S$2:$S$4001,'All Donations'!$R$2:$R$4001,$AD137,'All Donations'!$T$2:$T$4001,X$1))</f>
        <v/>
      </c>
      <c r="Y137" s="49">
        <f>IF(OR($AE137&lt;&gt;1,Y$1=""),"",SUMIFS('All Donations'!$S$2:$S$4001,'All Donations'!$R$2:$R$4001,$AD137,'All Donations'!$T$2:$T$4001,Y$1))</f>
        <v/>
      </c>
      <c r="Z137" s="49">
        <f>IF(OR($AE137&lt;&gt;1,Z$1=""),"",SUMIFS('All Donations'!$S$2:$S$4001,'All Donations'!$R$2:$R$4001,$AD137,'All Donations'!$T$2:$T$4001,Z$1))</f>
        <v/>
      </c>
      <c r="AA137" s="49">
        <f>IF(OR($AE137&lt;&gt;1,AA$1=""),"",SUMIFS('All Donations'!$S$2:$S$4001,'All Donations'!$R$2:$R$4001,$AD137,'All Donations'!$T$2:$T$4001,AA$1))</f>
        <v/>
      </c>
      <c r="AB137" s="49">
        <f>IF(OR($AE137&lt;&gt;1,AB$1=""),"",SUMIFS('All Donations'!$S$2:$S$4001,'All Donations'!$R$2:$R$4001,$AD137,'All Donations'!$T$2:$T$4001,AB$1))</f>
        <v/>
      </c>
      <c r="AC137" s="49">
        <f>IF(OR($AE137&lt;&gt;1,AC$1=""),"",SUMIFS('All Donations'!$S$2:$S$4001,'All Donations'!$R$2:$R$4001,$AD137,'All Donations'!$T$2:$T$4001,AC$1))</f>
        <v/>
      </c>
      <c r="AD137">
        <f>IF(AE137=1,'Roster'!A137,"")</f>
        <v/>
      </c>
      <c r="AE137">
        <f>IF(TRIM('Roster'!B137&amp;'Roster'!C137)&lt;&gt;"",1,0)</f>
        <v/>
      </c>
      <c r="AF137">
        <f>IF(AE137=1,LOWER(A137),"#")</f>
        <v/>
      </c>
      <c r="AG137">
        <f>IF(AE137=1,LOWER(TRIM(TRIM('Roster'!C137)&amp;", "&amp;TRIM('Roster'!B137))),"#")</f>
        <v/>
      </c>
      <c r="AH137">
        <f>IF(AND(AE137=1,TRIM('Roster'!F137)&lt;&gt;""),LOWER(TRIM('Roster'!F137)),"#")</f>
        <v/>
      </c>
      <c r="AI137">
        <f>IF(AE137=1,IF(MATCH(B137,$B$2:$B$701,0)=ROW()-1,1,0),0)</f>
        <v/>
      </c>
      <c r="AJ137">
        <f>AJ136+AI137</f>
        <v/>
      </c>
      <c r="AK137">
        <f>IF(AE137=1,D137+(1000-ROW())/10^7,-1)</f>
        <v/>
      </c>
      <c r="AL137">
        <f>IF(AE137=1,TRIM('Roster'!B137)&amp;" "&amp;LEFT(TRIM('Roster'!C137),1)&amp;".","")</f>
        <v/>
      </c>
      <c r="AM137">
        <f>IF(AE137=1,TRIM('Roster'!C137)&amp;", "&amp;TRIM('Roster'!B137)&amp;" ("&amp;B137&amp;") #"&amp;AD137,"")</f>
        <v/>
      </c>
      <c r="AN137">
        <f>IF(AE137=1,TRIM('Roster'!E137),"")</f>
        <v/>
      </c>
      <c r="AO137">
        <f>IF(AE137=1,ROUND(SUMIFS('All Donations'!$S$2:$S$4001,'All Donations'!$R$2:$R$4001,AD137,'All Donations'!$T$2:$T$4001,"&gt;="&amp;'Settings'!$C$23,'All Donations'!$T$2:$T$4001,"&lt;="&amp;'Settings'!$D$23),2),0)</f>
        <v/>
      </c>
      <c r="AQ137">
        <f>IF(AE137=1,ROUND(SUMIFS('All Donations'!$S$2:$S$4001,'All Donations'!$R$2:$R$4001,AD137,'All Donations'!$T$2:$T$4001,"&gt;="&amp;'Settings'!$C$25,'All Donations'!$T$2:$T$4001,"&lt;="&amp;'Settings'!$D$25),2),0)</f>
        <v/>
      </c>
      <c r="AR137">
        <f>IF(AE137=1,ROUND(SUMIFS('All Donations'!$S$2:$S$4001,'All Donations'!$R$2:$R$4001,AD137,'All Donations'!$T$2:$T$4001,"&gt;="&amp;'Settings'!$C$26,'All Donations'!$T$2:$T$4001,"&lt;="&amp;'Settings'!$D$26),2),0)</f>
        <v/>
      </c>
      <c r="AS137">
        <f>IF(AE137=1,ROUND(SUMIFS('All Donations'!$S$2:$S$4001,'All Donations'!$R$2:$R$4001,AD137,'All Donations'!$T$2:$T$4001,"&lt;="&amp;'Settings'!$D$27),2),0)</f>
        <v/>
      </c>
      <c r="AT137">
        <f>IF(AE137=1,ROUND(SUMIFS('All Donations'!$S$2:$S$4001,'All Donations'!$R$2:$R$4001,AD137,'All Donations'!$T$2:$T$4001,"&gt;="&amp;'Settings'!$C$28,'All Donations'!$T$2:$T$4001,"&lt;="&amp;'Settings'!$D$28),2),0)</f>
        <v/>
      </c>
      <c r="AU137">
        <f>IF(AE137=1,ROUND(SUMIFS('All Donations'!$S$2:$S$4001,'All Donations'!$R$2:$R$4001,AD137,'All Donations'!$T$2:$T$4001,"&gt;="&amp;'Settings'!$C$29,'All Donations'!$T$2:$T$4001,"&lt;="&amp;'Settings'!$D$29),2),0)</f>
        <v/>
      </c>
      <c r="AV137">
        <f>IF(AE137=1,ROUND(SUMIFS('All Donations'!$S$2:$S$4001,'All Donations'!$R$2:$R$4001,AD137,'All Donations'!$T$2:$T$4001,"&lt;="&amp;'Settings'!$D$30),2),0)</f>
        <v/>
      </c>
      <c r="AZ137">
        <f>IF(AE137=1,ROUND(SUMIFS('All Donations'!$S$2:$S$4001,'All Donations'!$R$2:$R$4001,AD137,'All Donations'!$T$2:$T$4001,"&lt;="&amp;'Settings'!$D$34),2),0)</f>
        <v/>
      </c>
    </row>
    <row r="138">
      <c r="A138">
        <f>IF(AE138=1,TRIM(TRIM('Roster'!B138)&amp;" "&amp;TRIM('Roster'!C138)),"")</f>
        <v/>
      </c>
      <c r="B138">
        <f>IF(AE138=1,IF(AN138="","(no teacher)",AN138&amp;" – "&amp;C138),"")</f>
        <v/>
      </c>
      <c r="C138">
        <f>IF(AE138=1,TRIM('Roster'!D138&amp;""),"")</f>
        <v/>
      </c>
      <c r="D138" s="48">
        <f>IF(AE138=1,ROUND(SUMIFS('All Donations'!$S$2:$S$4001,'All Donations'!$R$2:$R$4001,AD138),2),"")</f>
        <v/>
      </c>
      <c r="E138" s="48">
        <f>IF(AE138=1,ROUND(SUMIFS('All Donations'!$S$2:$S$4001,'All Donations'!$R$2:$R$4001,AD138,'All Donations'!$G$2:$G$4001,"OneCause"),2),"")</f>
        <v/>
      </c>
      <c r="F138" s="48">
        <f>IF(AE138=1,D138-E138,"")</f>
        <v/>
      </c>
      <c r="G138">
        <f>IF(AE138=1,COUNTIFS('All Donations'!$R$2:$R$4001,AD138,'All Donations'!$H$2:$H$4001,"OK"),"")</f>
        <v/>
      </c>
      <c r="H138">
        <f>IF(AE138&lt;&gt;1,"",IF(D138&gt;0,"Yes",""))</f>
        <v/>
      </c>
      <c r="I138" s="49">
        <f>IF(OR($AE138&lt;&gt;1,I$1=""),"",SUMIFS('All Donations'!$S$2:$S$4001,'All Donations'!$R$2:$R$4001,$AD138,'All Donations'!$T$2:$T$4001,I$1))</f>
        <v/>
      </c>
      <c r="J138" s="49">
        <f>IF(OR($AE138&lt;&gt;1,J$1=""),"",SUMIFS('All Donations'!$S$2:$S$4001,'All Donations'!$R$2:$R$4001,$AD138,'All Donations'!$T$2:$T$4001,J$1))</f>
        <v/>
      </c>
      <c r="K138" s="49">
        <f>IF(OR($AE138&lt;&gt;1,K$1=""),"",SUMIFS('All Donations'!$S$2:$S$4001,'All Donations'!$R$2:$R$4001,$AD138,'All Donations'!$T$2:$T$4001,K$1))</f>
        <v/>
      </c>
      <c r="L138" s="49">
        <f>IF(OR($AE138&lt;&gt;1,L$1=""),"",SUMIFS('All Donations'!$S$2:$S$4001,'All Donations'!$R$2:$R$4001,$AD138,'All Donations'!$T$2:$T$4001,L$1))</f>
        <v/>
      </c>
      <c r="M138" s="49">
        <f>IF(OR($AE138&lt;&gt;1,M$1=""),"",SUMIFS('All Donations'!$S$2:$S$4001,'All Donations'!$R$2:$R$4001,$AD138,'All Donations'!$T$2:$T$4001,M$1))</f>
        <v/>
      </c>
      <c r="N138" s="49">
        <f>IF(OR($AE138&lt;&gt;1,N$1=""),"",SUMIFS('All Donations'!$S$2:$S$4001,'All Donations'!$R$2:$R$4001,$AD138,'All Donations'!$T$2:$T$4001,N$1))</f>
        <v/>
      </c>
      <c r="O138" s="49">
        <f>IF(OR($AE138&lt;&gt;1,O$1=""),"",SUMIFS('All Donations'!$S$2:$S$4001,'All Donations'!$R$2:$R$4001,$AD138,'All Donations'!$T$2:$T$4001,O$1))</f>
        <v/>
      </c>
      <c r="P138" s="49">
        <f>IF(OR($AE138&lt;&gt;1,P$1=""),"",SUMIFS('All Donations'!$S$2:$S$4001,'All Donations'!$R$2:$R$4001,$AD138,'All Donations'!$T$2:$T$4001,P$1))</f>
        <v/>
      </c>
      <c r="Q138" s="49">
        <f>IF(OR($AE138&lt;&gt;1,Q$1=""),"",SUMIFS('All Donations'!$S$2:$S$4001,'All Donations'!$R$2:$R$4001,$AD138,'All Donations'!$T$2:$T$4001,Q$1))</f>
        <v/>
      </c>
      <c r="R138" s="49">
        <f>IF(OR($AE138&lt;&gt;1,R$1=""),"",SUMIFS('All Donations'!$S$2:$S$4001,'All Donations'!$R$2:$R$4001,$AD138,'All Donations'!$T$2:$T$4001,R$1))</f>
        <v/>
      </c>
      <c r="S138" s="49">
        <f>IF(OR($AE138&lt;&gt;1,S$1=""),"",SUMIFS('All Donations'!$S$2:$S$4001,'All Donations'!$R$2:$R$4001,$AD138,'All Donations'!$T$2:$T$4001,S$1))</f>
        <v/>
      </c>
      <c r="T138" s="49">
        <f>IF(OR($AE138&lt;&gt;1,T$1=""),"",SUMIFS('All Donations'!$S$2:$S$4001,'All Donations'!$R$2:$R$4001,$AD138,'All Donations'!$T$2:$T$4001,T$1))</f>
        <v/>
      </c>
      <c r="U138" s="49">
        <f>IF(OR($AE138&lt;&gt;1,U$1=""),"",SUMIFS('All Donations'!$S$2:$S$4001,'All Donations'!$R$2:$R$4001,$AD138,'All Donations'!$T$2:$T$4001,U$1))</f>
        <v/>
      </c>
      <c r="V138" s="49">
        <f>IF(OR($AE138&lt;&gt;1,V$1=""),"",SUMIFS('All Donations'!$S$2:$S$4001,'All Donations'!$R$2:$R$4001,$AD138,'All Donations'!$T$2:$T$4001,V$1))</f>
        <v/>
      </c>
      <c r="W138" s="49">
        <f>IF(OR($AE138&lt;&gt;1,W$1=""),"",SUMIFS('All Donations'!$S$2:$S$4001,'All Donations'!$R$2:$R$4001,$AD138,'All Donations'!$T$2:$T$4001,W$1))</f>
        <v/>
      </c>
      <c r="X138" s="49">
        <f>IF(OR($AE138&lt;&gt;1,X$1=""),"",SUMIFS('All Donations'!$S$2:$S$4001,'All Donations'!$R$2:$R$4001,$AD138,'All Donations'!$T$2:$T$4001,X$1))</f>
        <v/>
      </c>
      <c r="Y138" s="49">
        <f>IF(OR($AE138&lt;&gt;1,Y$1=""),"",SUMIFS('All Donations'!$S$2:$S$4001,'All Donations'!$R$2:$R$4001,$AD138,'All Donations'!$T$2:$T$4001,Y$1))</f>
        <v/>
      </c>
      <c r="Z138" s="49">
        <f>IF(OR($AE138&lt;&gt;1,Z$1=""),"",SUMIFS('All Donations'!$S$2:$S$4001,'All Donations'!$R$2:$R$4001,$AD138,'All Donations'!$T$2:$T$4001,Z$1))</f>
        <v/>
      </c>
      <c r="AA138" s="49">
        <f>IF(OR($AE138&lt;&gt;1,AA$1=""),"",SUMIFS('All Donations'!$S$2:$S$4001,'All Donations'!$R$2:$R$4001,$AD138,'All Donations'!$T$2:$T$4001,AA$1))</f>
        <v/>
      </c>
      <c r="AB138" s="49">
        <f>IF(OR($AE138&lt;&gt;1,AB$1=""),"",SUMIFS('All Donations'!$S$2:$S$4001,'All Donations'!$R$2:$R$4001,$AD138,'All Donations'!$T$2:$T$4001,AB$1))</f>
        <v/>
      </c>
      <c r="AC138" s="49">
        <f>IF(OR($AE138&lt;&gt;1,AC$1=""),"",SUMIFS('All Donations'!$S$2:$S$4001,'All Donations'!$R$2:$R$4001,$AD138,'All Donations'!$T$2:$T$4001,AC$1))</f>
        <v/>
      </c>
      <c r="AD138">
        <f>IF(AE138=1,'Roster'!A138,"")</f>
        <v/>
      </c>
      <c r="AE138">
        <f>IF(TRIM('Roster'!B138&amp;'Roster'!C138)&lt;&gt;"",1,0)</f>
        <v/>
      </c>
      <c r="AF138">
        <f>IF(AE138=1,LOWER(A138),"#")</f>
        <v/>
      </c>
      <c r="AG138">
        <f>IF(AE138=1,LOWER(TRIM(TRIM('Roster'!C138)&amp;", "&amp;TRIM('Roster'!B138))),"#")</f>
        <v/>
      </c>
      <c r="AH138">
        <f>IF(AND(AE138=1,TRIM('Roster'!F138)&lt;&gt;""),LOWER(TRIM('Roster'!F138)),"#")</f>
        <v/>
      </c>
      <c r="AI138">
        <f>IF(AE138=1,IF(MATCH(B138,$B$2:$B$701,0)=ROW()-1,1,0),0)</f>
        <v/>
      </c>
      <c r="AJ138">
        <f>AJ137+AI138</f>
        <v/>
      </c>
      <c r="AK138">
        <f>IF(AE138=1,D138+(1000-ROW())/10^7,-1)</f>
        <v/>
      </c>
      <c r="AL138">
        <f>IF(AE138=1,TRIM('Roster'!B138)&amp;" "&amp;LEFT(TRIM('Roster'!C138),1)&amp;".","")</f>
        <v/>
      </c>
      <c r="AM138">
        <f>IF(AE138=1,TRIM('Roster'!C138)&amp;", "&amp;TRIM('Roster'!B138)&amp;" ("&amp;B138&amp;") #"&amp;AD138,"")</f>
        <v/>
      </c>
      <c r="AN138">
        <f>IF(AE138=1,TRIM('Roster'!E138),"")</f>
        <v/>
      </c>
      <c r="AO138">
        <f>IF(AE138=1,ROUND(SUMIFS('All Donations'!$S$2:$S$4001,'All Donations'!$R$2:$R$4001,AD138,'All Donations'!$T$2:$T$4001,"&gt;="&amp;'Settings'!$C$23,'All Donations'!$T$2:$T$4001,"&lt;="&amp;'Settings'!$D$23),2),0)</f>
        <v/>
      </c>
      <c r="AQ138">
        <f>IF(AE138=1,ROUND(SUMIFS('All Donations'!$S$2:$S$4001,'All Donations'!$R$2:$R$4001,AD138,'All Donations'!$T$2:$T$4001,"&gt;="&amp;'Settings'!$C$25,'All Donations'!$T$2:$T$4001,"&lt;="&amp;'Settings'!$D$25),2),0)</f>
        <v/>
      </c>
      <c r="AR138">
        <f>IF(AE138=1,ROUND(SUMIFS('All Donations'!$S$2:$S$4001,'All Donations'!$R$2:$R$4001,AD138,'All Donations'!$T$2:$T$4001,"&gt;="&amp;'Settings'!$C$26,'All Donations'!$T$2:$T$4001,"&lt;="&amp;'Settings'!$D$26),2),0)</f>
        <v/>
      </c>
      <c r="AS138">
        <f>IF(AE138=1,ROUND(SUMIFS('All Donations'!$S$2:$S$4001,'All Donations'!$R$2:$R$4001,AD138,'All Donations'!$T$2:$T$4001,"&lt;="&amp;'Settings'!$D$27),2),0)</f>
        <v/>
      </c>
      <c r="AT138">
        <f>IF(AE138=1,ROUND(SUMIFS('All Donations'!$S$2:$S$4001,'All Donations'!$R$2:$R$4001,AD138,'All Donations'!$T$2:$T$4001,"&gt;="&amp;'Settings'!$C$28,'All Donations'!$T$2:$T$4001,"&lt;="&amp;'Settings'!$D$28),2),0)</f>
        <v/>
      </c>
      <c r="AU138">
        <f>IF(AE138=1,ROUND(SUMIFS('All Donations'!$S$2:$S$4001,'All Donations'!$R$2:$R$4001,AD138,'All Donations'!$T$2:$T$4001,"&gt;="&amp;'Settings'!$C$29,'All Donations'!$T$2:$T$4001,"&lt;="&amp;'Settings'!$D$29),2),0)</f>
        <v/>
      </c>
      <c r="AV138">
        <f>IF(AE138=1,ROUND(SUMIFS('All Donations'!$S$2:$S$4001,'All Donations'!$R$2:$R$4001,AD138,'All Donations'!$T$2:$T$4001,"&lt;="&amp;'Settings'!$D$30),2),0)</f>
        <v/>
      </c>
      <c r="AZ138">
        <f>IF(AE138=1,ROUND(SUMIFS('All Donations'!$S$2:$S$4001,'All Donations'!$R$2:$R$4001,AD138,'All Donations'!$T$2:$T$4001,"&lt;="&amp;'Settings'!$D$34),2),0)</f>
        <v/>
      </c>
    </row>
    <row r="139">
      <c r="A139">
        <f>IF(AE139=1,TRIM(TRIM('Roster'!B139)&amp;" "&amp;TRIM('Roster'!C139)),"")</f>
        <v/>
      </c>
      <c r="B139">
        <f>IF(AE139=1,IF(AN139="","(no teacher)",AN139&amp;" – "&amp;C139),"")</f>
        <v/>
      </c>
      <c r="C139">
        <f>IF(AE139=1,TRIM('Roster'!D139&amp;""),"")</f>
        <v/>
      </c>
      <c r="D139" s="48">
        <f>IF(AE139=1,ROUND(SUMIFS('All Donations'!$S$2:$S$4001,'All Donations'!$R$2:$R$4001,AD139),2),"")</f>
        <v/>
      </c>
      <c r="E139" s="48">
        <f>IF(AE139=1,ROUND(SUMIFS('All Donations'!$S$2:$S$4001,'All Donations'!$R$2:$R$4001,AD139,'All Donations'!$G$2:$G$4001,"OneCause"),2),"")</f>
        <v/>
      </c>
      <c r="F139" s="48">
        <f>IF(AE139=1,D139-E139,"")</f>
        <v/>
      </c>
      <c r="G139">
        <f>IF(AE139=1,COUNTIFS('All Donations'!$R$2:$R$4001,AD139,'All Donations'!$H$2:$H$4001,"OK"),"")</f>
        <v/>
      </c>
      <c r="H139">
        <f>IF(AE139&lt;&gt;1,"",IF(D139&gt;0,"Yes",""))</f>
        <v/>
      </c>
      <c r="I139" s="49">
        <f>IF(OR($AE139&lt;&gt;1,I$1=""),"",SUMIFS('All Donations'!$S$2:$S$4001,'All Donations'!$R$2:$R$4001,$AD139,'All Donations'!$T$2:$T$4001,I$1))</f>
        <v/>
      </c>
      <c r="J139" s="49">
        <f>IF(OR($AE139&lt;&gt;1,J$1=""),"",SUMIFS('All Donations'!$S$2:$S$4001,'All Donations'!$R$2:$R$4001,$AD139,'All Donations'!$T$2:$T$4001,J$1))</f>
        <v/>
      </c>
      <c r="K139" s="49">
        <f>IF(OR($AE139&lt;&gt;1,K$1=""),"",SUMIFS('All Donations'!$S$2:$S$4001,'All Donations'!$R$2:$R$4001,$AD139,'All Donations'!$T$2:$T$4001,K$1))</f>
        <v/>
      </c>
      <c r="L139" s="49">
        <f>IF(OR($AE139&lt;&gt;1,L$1=""),"",SUMIFS('All Donations'!$S$2:$S$4001,'All Donations'!$R$2:$R$4001,$AD139,'All Donations'!$T$2:$T$4001,L$1))</f>
        <v/>
      </c>
      <c r="M139" s="49">
        <f>IF(OR($AE139&lt;&gt;1,M$1=""),"",SUMIFS('All Donations'!$S$2:$S$4001,'All Donations'!$R$2:$R$4001,$AD139,'All Donations'!$T$2:$T$4001,M$1))</f>
        <v/>
      </c>
      <c r="N139" s="49">
        <f>IF(OR($AE139&lt;&gt;1,N$1=""),"",SUMIFS('All Donations'!$S$2:$S$4001,'All Donations'!$R$2:$R$4001,$AD139,'All Donations'!$T$2:$T$4001,N$1))</f>
        <v/>
      </c>
      <c r="O139" s="49">
        <f>IF(OR($AE139&lt;&gt;1,O$1=""),"",SUMIFS('All Donations'!$S$2:$S$4001,'All Donations'!$R$2:$R$4001,$AD139,'All Donations'!$T$2:$T$4001,O$1))</f>
        <v/>
      </c>
      <c r="P139" s="49">
        <f>IF(OR($AE139&lt;&gt;1,P$1=""),"",SUMIFS('All Donations'!$S$2:$S$4001,'All Donations'!$R$2:$R$4001,$AD139,'All Donations'!$T$2:$T$4001,P$1))</f>
        <v/>
      </c>
      <c r="Q139" s="49">
        <f>IF(OR($AE139&lt;&gt;1,Q$1=""),"",SUMIFS('All Donations'!$S$2:$S$4001,'All Donations'!$R$2:$R$4001,$AD139,'All Donations'!$T$2:$T$4001,Q$1))</f>
        <v/>
      </c>
      <c r="R139" s="49">
        <f>IF(OR($AE139&lt;&gt;1,R$1=""),"",SUMIFS('All Donations'!$S$2:$S$4001,'All Donations'!$R$2:$R$4001,$AD139,'All Donations'!$T$2:$T$4001,R$1))</f>
        <v/>
      </c>
      <c r="S139" s="49">
        <f>IF(OR($AE139&lt;&gt;1,S$1=""),"",SUMIFS('All Donations'!$S$2:$S$4001,'All Donations'!$R$2:$R$4001,$AD139,'All Donations'!$T$2:$T$4001,S$1))</f>
        <v/>
      </c>
      <c r="T139" s="49">
        <f>IF(OR($AE139&lt;&gt;1,T$1=""),"",SUMIFS('All Donations'!$S$2:$S$4001,'All Donations'!$R$2:$R$4001,$AD139,'All Donations'!$T$2:$T$4001,T$1))</f>
        <v/>
      </c>
      <c r="U139" s="49">
        <f>IF(OR($AE139&lt;&gt;1,U$1=""),"",SUMIFS('All Donations'!$S$2:$S$4001,'All Donations'!$R$2:$R$4001,$AD139,'All Donations'!$T$2:$T$4001,U$1))</f>
        <v/>
      </c>
      <c r="V139" s="49">
        <f>IF(OR($AE139&lt;&gt;1,V$1=""),"",SUMIFS('All Donations'!$S$2:$S$4001,'All Donations'!$R$2:$R$4001,$AD139,'All Donations'!$T$2:$T$4001,V$1))</f>
        <v/>
      </c>
      <c r="W139" s="49">
        <f>IF(OR($AE139&lt;&gt;1,W$1=""),"",SUMIFS('All Donations'!$S$2:$S$4001,'All Donations'!$R$2:$R$4001,$AD139,'All Donations'!$T$2:$T$4001,W$1))</f>
        <v/>
      </c>
      <c r="X139" s="49">
        <f>IF(OR($AE139&lt;&gt;1,X$1=""),"",SUMIFS('All Donations'!$S$2:$S$4001,'All Donations'!$R$2:$R$4001,$AD139,'All Donations'!$T$2:$T$4001,X$1))</f>
        <v/>
      </c>
      <c r="Y139" s="49">
        <f>IF(OR($AE139&lt;&gt;1,Y$1=""),"",SUMIFS('All Donations'!$S$2:$S$4001,'All Donations'!$R$2:$R$4001,$AD139,'All Donations'!$T$2:$T$4001,Y$1))</f>
        <v/>
      </c>
      <c r="Z139" s="49">
        <f>IF(OR($AE139&lt;&gt;1,Z$1=""),"",SUMIFS('All Donations'!$S$2:$S$4001,'All Donations'!$R$2:$R$4001,$AD139,'All Donations'!$T$2:$T$4001,Z$1))</f>
        <v/>
      </c>
      <c r="AA139" s="49">
        <f>IF(OR($AE139&lt;&gt;1,AA$1=""),"",SUMIFS('All Donations'!$S$2:$S$4001,'All Donations'!$R$2:$R$4001,$AD139,'All Donations'!$T$2:$T$4001,AA$1))</f>
        <v/>
      </c>
      <c r="AB139" s="49">
        <f>IF(OR($AE139&lt;&gt;1,AB$1=""),"",SUMIFS('All Donations'!$S$2:$S$4001,'All Donations'!$R$2:$R$4001,$AD139,'All Donations'!$T$2:$T$4001,AB$1))</f>
        <v/>
      </c>
      <c r="AC139" s="49">
        <f>IF(OR($AE139&lt;&gt;1,AC$1=""),"",SUMIFS('All Donations'!$S$2:$S$4001,'All Donations'!$R$2:$R$4001,$AD139,'All Donations'!$T$2:$T$4001,AC$1))</f>
        <v/>
      </c>
      <c r="AD139">
        <f>IF(AE139=1,'Roster'!A139,"")</f>
        <v/>
      </c>
      <c r="AE139">
        <f>IF(TRIM('Roster'!B139&amp;'Roster'!C139)&lt;&gt;"",1,0)</f>
        <v/>
      </c>
      <c r="AF139">
        <f>IF(AE139=1,LOWER(A139),"#")</f>
        <v/>
      </c>
      <c r="AG139">
        <f>IF(AE139=1,LOWER(TRIM(TRIM('Roster'!C139)&amp;", "&amp;TRIM('Roster'!B139))),"#")</f>
        <v/>
      </c>
      <c r="AH139">
        <f>IF(AND(AE139=1,TRIM('Roster'!F139)&lt;&gt;""),LOWER(TRIM('Roster'!F139)),"#")</f>
        <v/>
      </c>
      <c r="AI139">
        <f>IF(AE139=1,IF(MATCH(B139,$B$2:$B$701,0)=ROW()-1,1,0),0)</f>
        <v/>
      </c>
      <c r="AJ139">
        <f>AJ138+AI139</f>
        <v/>
      </c>
      <c r="AK139">
        <f>IF(AE139=1,D139+(1000-ROW())/10^7,-1)</f>
        <v/>
      </c>
      <c r="AL139">
        <f>IF(AE139=1,TRIM('Roster'!B139)&amp;" "&amp;LEFT(TRIM('Roster'!C139),1)&amp;".","")</f>
        <v/>
      </c>
      <c r="AM139">
        <f>IF(AE139=1,TRIM('Roster'!C139)&amp;", "&amp;TRIM('Roster'!B139)&amp;" ("&amp;B139&amp;") #"&amp;AD139,"")</f>
        <v/>
      </c>
      <c r="AN139">
        <f>IF(AE139=1,TRIM('Roster'!E139),"")</f>
        <v/>
      </c>
      <c r="AO139">
        <f>IF(AE139=1,ROUND(SUMIFS('All Donations'!$S$2:$S$4001,'All Donations'!$R$2:$R$4001,AD139,'All Donations'!$T$2:$T$4001,"&gt;="&amp;'Settings'!$C$23,'All Donations'!$T$2:$T$4001,"&lt;="&amp;'Settings'!$D$23),2),0)</f>
        <v/>
      </c>
      <c r="AQ139">
        <f>IF(AE139=1,ROUND(SUMIFS('All Donations'!$S$2:$S$4001,'All Donations'!$R$2:$R$4001,AD139,'All Donations'!$T$2:$T$4001,"&gt;="&amp;'Settings'!$C$25,'All Donations'!$T$2:$T$4001,"&lt;="&amp;'Settings'!$D$25),2),0)</f>
        <v/>
      </c>
      <c r="AR139">
        <f>IF(AE139=1,ROUND(SUMIFS('All Donations'!$S$2:$S$4001,'All Donations'!$R$2:$R$4001,AD139,'All Donations'!$T$2:$T$4001,"&gt;="&amp;'Settings'!$C$26,'All Donations'!$T$2:$T$4001,"&lt;="&amp;'Settings'!$D$26),2),0)</f>
        <v/>
      </c>
      <c r="AS139">
        <f>IF(AE139=1,ROUND(SUMIFS('All Donations'!$S$2:$S$4001,'All Donations'!$R$2:$R$4001,AD139,'All Donations'!$T$2:$T$4001,"&lt;="&amp;'Settings'!$D$27),2),0)</f>
        <v/>
      </c>
      <c r="AT139">
        <f>IF(AE139=1,ROUND(SUMIFS('All Donations'!$S$2:$S$4001,'All Donations'!$R$2:$R$4001,AD139,'All Donations'!$T$2:$T$4001,"&gt;="&amp;'Settings'!$C$28,'All Donations'!$T$2:$T$4001,"&lt;="&amp;'Settings'!$D$28),2),0)</f>
        <v/>
      </c>
      <c r="AU139">
        <f>IF(AE139=1,ROUND(SUMIFS('All Donations'!$S$2:$S$4001,'All Donations'!$R$2:$R$4001,AD139,'All Donations'!$T$2:$T$4001,"&gt;="&amp;'Settings'!$C$29,'All Donations'!$T$2:$T$4001,"&lt;="&amp;'Settings'!$D$29),2),0)</f>
        <v/>
      </c>
      <c r="AV139">
        <f>IF(AE139=1,ROUND(SUMIFS('All Donations'!$S$2:$S$4001,'All Donations'!$R$2:$R$4001,AD139,'All Donations'!$T$2:$T$4001,"&lt;="&amp;'Settings'!$D$30),2),0)</f>
        <v/>
      </c>
      <c r="AZ139">
        <f>IF(AE139=1,ROUND(SUMIFS('All Donations'!$S$2:$S$4001,'All Donations'!$R$2:$R$4001,AD139,'All Donations'!$T$2:$T$4001,"&lt;="&amp;'Settings'!$D$34),2),0)</f>
        <v/>
      </c>
    </row>
    <row r="140">
      <c r="A140">
        <f>IF(AE140=1,TRIM(TRIM('Roster'!B140)&amp;" "&amp;TRIM('Roster'!C140)),"")</f>
        <v/>
      </c>
      <c r="B140">
        <f>IF(AE140=1,IF(AN140="","(no teacher)",AN140&amp;" – "&amp;C140),"")</f>
        <v/>
      </c>
      <c r="C140">
        <f>IF(AE140=1,TRIM('Roster'!D140&amp;""),"")</f>
        <v/>
      </c>
      <c r="D140" s="48">
        <f>IF(AE140=1,ROUND(SUMIFS('All Donations'!$S$2:$S$4001,'All Donations'!$R$2:$R$4001,AD140),2),"")</f>
        <v/>
      </c>
      <c r="E140" s="48">
        <f>IF(AE140=1,ROUND(SUMIFS('All Donations'!$S$2:$S$4001,'All Donations'!$R$2:$R$4001,AD140,'All Donations'!$G$2:$G$4001,"OneCause"),2),"")</f>
        <v/>
      </c>
      <c r="F140" s="48">
        <f>IF(AE140=1,D140-E140,"")</f>
        <v/>
      </c>
      <c r="G140">
        <f>IF(AE140=1,COUNTIFS('All Donations'!$R$2:$R$4001,AD140,'All Donations'!$H$2:$H$4001,"OK"),"")</f>
        <v/>
      </c>
      <c r="H140">
        <f>IF(AE140&lt;&gt;1,"",IF(D140&gt;0,"Yes",""))</f>
        <v/>
      </c>
      <c r="I140" s="49">
        <f>IF(OR($AE140&lt;&gt;1,I$1=""),"",SUMIFS('All Donations'!$S$2:$S$4001,'All Donations'!$R$2:$R$4001,$AD140,'All Donations'!$T$2:$T$4001,I$1))</f>
        <v/>
      </c>
      <c r="J140" s="49">
        <f>IF(OR($AE140&lt;&gt;1,J$1=""),"",SUMIFS('All Donations'!$S$2:$S$4001,'All Donations'!$R$2:$R$4001,$AD140,'All Donations'!$T$2:$T$4001,J$1))</f>
        <v/>
      </c>
      <c r="K140" s="49">
        <f>IF(OR($AE140&lt;&gt;1,K$1=""),"",SUMIFS('All Donations'!$S$2:$S$4001,'All Donations'!$R$2:$R$4001,$AD140,'All Donations'!$T$2:$T$4001,K$1))</f>
        <v/>
      </c>
      <c r="L140" s="49">
        <f>IF(OR($AE140&lt;&gt;1,L$1=""),"",SUMIFS('All Donations'!$S$2:$S$4001,'All Donations'!$R$2:$R$4001,$AD140,'All Donations'!$T$2:$T$4001,L$1))</f>
        <v/>
      </c>
      <c r="M140" s="49">
        <f>IF(OR($AE140&lt;&gt;1,M$1=""),"",SUMIFS('All Donations'!$S$2:$S$4001,'All Donations'!$R$2:$R$4001,$AD140,'All Donations'!$T$2:$T$4001,M$1))</f>
        <v/>
      </c>
      <c r="N140" s="49">
        <f>IF(OR($AE140&lt;&gt;1,N$1=""),"",SUMIFS('All Donations'!$S$2:$S$4001,'All Donations'!$R$2:$R$4001,$AD140,'All Donations'!$T$2:$T$4001,N$1))</f>
        <v/>
      </c>
      <c r="O140" s="49">
        <f>IF(OR($AE140&lt;&gt;1,O$1=""),"",SUMIFS('All Donations'!$S$2:$S$4001,'All Donations'!$R$2:$R$4001,$AD140,'All Donations'!$T$2:$T$4001,O$1))</f>
        <v/>
      </c>
      <c r="P140" s="49">
        <f>IF(OR($AE140&lt;&gt;1,P$1=""),"",SUMIFS('All Donations'!$S$2:$S$4001,'All Donations'!$R$2:$R$4001,$AD140,'All Donations'!$T$2:$T$4001,P$1))</f>
        <v/>
      </c>
      <c r="Q140" s="49">
        <f>IF(OR($AE140&lt;&gt;1,Q$1=""),"",SUMIFS('All Donations'!$S$2:$S$4001,'All Donations'!$R$2:$R$4001,$AD140,'All Donations'!$T$2:$T$4001,Q$1))</f>
        <v/>
      </c>
      <c r="R140" s="49">
        <f>IF(OR($AE140&lt;&gt;1,R$1=""),"",SUMIFS('All Donations'!$S$2:$S$4001,'All Donations'!$R$2:$R$4001,$AD140,'All Donations'!$T$2:$T$4001,R$1))</f>
        <v/>
      </c>
      <c r="S140" s="49">
        <f>IF(OR($AE140&lt;&gt;1,S$1=""),"",SUMIFS('All Donations'!$S$2:$S$4001,'All Donations'!$R$2:$R$4001,$AD140,'All Donations'!$T$2:$T$4001,S$1))</f>
        <v/>
      </c>
      <c r="T140" s="49">
        <f>IF(OR($AE140&lt;&gt;1,T$1=""),"",SUMIFS('All Donations'!$S$2:$S$4001,'All Donations'!$R$2:$R$4001,$AD140,'All Donations'!$T$2:$T$4001,T$1))</f>
        <v/>
      </c>
      <c r="U140" s="49">
        <f>IF(OR($AE140&lt;&gt;1,U$1=""),"",SUMIFS('All Donations'!$S$2:$S$4001,'All Donations'!$R$2:$R$4001,$AD140,'All Donations'!$T$2:$T$4001,U$1))</f>
        <v/>
      </c>
      <c r="V140" s="49">
        <f>IF(OR($AE140&lt;&gt;1,V$1=""),"",SUMIFS('All Donations'!$S$2:$S$4001,'All Donations'!$R$2:$R$4001,$AD140,'All Donations'!$T$2:$T$4001,V$1))</f>
        <v/>
      </c>
      <c r="W140" s="49">
        <f>IF(OR($AE140&lt;&gt;1,W$1=""),"",SUMIFS('All Donations'!$S$2:$S$4001,'All Donations'!$R$2:$R$4001,$AD140,'All Donations'!$T$2:$T$4001,W$1))</f>
        <v/>
      </c>
      <c r="X140" s="49">
        <f>IF(OR($AE140&lt;&gt;1,X$1=""),"",SUMIFS('All Donations'!$S$2:$S$4001,'All Donations'!$R$2:$R$4001,$AD140,'All Donations'!$T$2:$T$4001,X$1))</f>
        <v/>
      </c>
      <c r="Y140" s="49">
        <f>IF(OR($AE140&lt;&gt;1,Y$1=""),"",SUMIFS('All Donations'!$S$2:$S$4001,'All Donations'!$R$2:$R$4001,$AD140,'All Donations'!$T$2:$T$4001,Y$1))</f>
        <v/>
      </c>
      <c r="Z140" s="49">
        <f>IF(OR($AE140&lt;&gt;1,Z$1=""),"",SUMIFS('All Donations'!$S$2:$S$4001,'All Donations'!$R$2:$R$4001,$AD140,'All Donations'!$T$2:$T$4001,Z$1))</f>
        <v/>
      </c>
      <c r="AA140" s="49">
        <f>IF(OR($AE140&lt;&gt;1,AA$1=""),"",SUMIFS('All Donations'!$S$2:$S$4001,'All Donations'!$R$2:$R$4001,$AD140,'All Donations'!$T$2:$T$4001,AA$1))</f>
        <v/>
      </c>
      <c r="AB140" s="49">
        <f>IF(OR($AE140&lt;&gt;1,AB$1=""),"",SUMIFS('All Donations'!$S$2:$S$4001,'All Donations'!$R$2:$R$4001,$AD140,'All Donations'!$T$2:$T$4001,AB$1))</f>
        <v/>
      </c>
      <c r="AC140" s="49">
        <f>IF(OR($AE140&lt;&gt;1,AC$1=""),"",SUMIFS('All Donations'!$S$2:$S$4001,'All Donations'!$R$2:$R$4001,$AD140,'All Donations'!$T$2:$T$4001,AC$1))</f>
        <v/>
      </c>
      <c r="AD140">
        <f>IF(AE140=1,'Roster'!A140,"")</f>
        <v/>
      </c>
      <c r="AE140">
        <f>IF(TRIM('Roster'!B140&amp;'Roster'!C140)&lt;&gt;"",1,0)</f>
        <v/>
      </c>
      <c r="AF140">
        <f>IF(AE140=1,LOWER(A140),"#")</f>
        <v/>
      </c>
      <c r="AG140">
        <f>IF(AE140=1,LOWER(TRIM(TRIM('Roster'!C140)&amp;", "&amp;TRIM('Roster'!B140))),"#")</f>
        <v/>
      </c>
      <c r="AH140">
        <f>IF(AND(AE140=1,TRIM('Roster'!F140)&lt;&gt;""),LOWER(TRIM('Roster'!F140)),"#")</f>
        <v/>
      </c>
      <c r="AI140">
        <f>IF(AE140=1,IF(MATCH(B140,$B$2:$B$701,0)=ROW()-1,1,0),0)</f>
        <v/>
      </c>
      <c r="AJ140">
        <f>AJ139+AI140</f>
        <v/>
      </c>
      <c r="AK140">
        <f>IF(AE140=1,D140+(1000-ROW())/10^7,-1)</f>
        <v/>
      </c>
      <c r="AL140">
        <f>IF(AE140=1,TRIM('Roster'!B140)&amp;" "&amp;LEFT(TRIM('Roster'!C140),1)&amp;".","")</f>
        <v/>
      </c>
      <c r="AM140">
        <f>IF(AE140=1,TRIM('Roster'!C140)&amp;", "&amp;TRIM('Roster'!B140)&amp;" ("&amp;B140&amp;") #"&amp;AD140,"")</f>
        <v/>
      </c>
      <c r="AN140">
        <f>IF(AE140=1,TRIM('Roster'!E140),"")</f>
        <v/>
      </c>
      <c r="AO140">
        <f>IF(AE140=1,ROUND(SUMIFS('All Donations'!$S$2:$S$4001,'All Donations'!$R$2:$R$4001,AD140,'All Donations'!$T$2:$T$4001,"&gt;="&amp;'Settings'!$C$23,'All Donations'!$T$2:$T$4001,"&lt;="&amp;'Settings'!$D$23),2),0)</f>
        <v/>
      </c>
      <c r="AQ140">
        <f>IF(AE140=1,ROUND(SUMIFS('All Donations'!$S$2:$S$4001,'All Donations'!$R$2:$R$4001,AD140,'All Donations'!$T$2:$T$4001,"&gt;="&amp;'Settings'!$C$25,'All Donations'!$T$2:$T$4001,"&lt;="&amp;'Settings'!$D$25),2),0)</f>
        <v/>
      </c>
      <c r="AR140">
        <f>IF(AE140=1,ROUND(SUMIFS('All Donations'!$S$2:$S$4001,'All Donations'!$R$2:$R$4001,AD140,'All Donations'!$T$2:$T$4001,"&gt;="&amp;'Settings'!$C$26,'All Donations'!$T$2:$T$4001,"&lt;="&amp;'Settings'!$D$26),2),0)</f>
        <v/>
      </c>
      <c r="AS140">
        <f>IF(AE140=1,ROUND(SUMIFS('All Donations'!$S$2:$S$4001,'All Donations'!$R$2:$R$4001,AD140,'All Donations'!$T$2:$T$4001,"&lt;="&amp;'Settings'!$D$27),2),0)</f>
        <v/>
      </c>
      <c r="AT140">
        <f>IF(AE140=1,ROUND(SUMIFS('All Donations'!$S$2:$S$4001,'All Donations'!$R$2:$R$4001,AD140,'All Donations'!$T$2:$T$4001,"&gt;="&amp;'Settings'!$C$28,'All Donations'!$T$2:$T$4001,"&lt;="&amp;'Settings'!$D$28),2),0)</f>
        <v/>
      </c>
      <c r="AU140">
        <f>IF(AE140=1,ROUND(SUMIFS('All Donations'!$S$2:$S$4001,'All Donations'!$R$2:$R$4001,AD140,'All Donations'!$T$2:$T$4001,"&gt;="&amp;'Settings'!$C$29,'All Donations'!$T$2:$T$4001,"&lt;="&amp;'Settings'!$D$29),2),0)</f>
        <v/>
      </c>
      <c r="AV140">
        <f>IF(AE140=1,ROUND(SUMIFS('All Donations'!$S$2:$S$4001,'All Donations'!$R$2:$R$4001,AD140,'All Donations'!$T$2:$T$4001,"&lt;="&amp;'Settings'!$D$30),2),0)</f>
        <v/>
      </c>
      <c r="AZ140">
        <f>IF(AE140=1,ROUND(SUMIFS('All Donations'!$S$2:$S$4001,'All Donations'!$R$2:$R$4001,AD140,'All Donations'!$T$2:$T$4001,"&lt;="&amp;'Settings'!$D$34),2),0)</f>
        <v/>
      </c>
    </row>
    <row r="141">
      <c r="A141">
        <f>IF(AE141=1,TRIM(TRIM('Roster'!B141)&amp;" "&amp;TRIM('Roster'!C141)),"")</f>
        <v/>
      </c>
      <c r="B141">
        <f>IF(AE141=1,IF(AN141="","(no teacher)",AN141&amp;" – "&amp;C141),"")</f>
        <v/>
      </c>
      <c r="C141">
        <f>IF(AE141=1,TRIM('Roster'!D141&amp;""),"")</f>
        <v/>
      </c>
      <c r="D141" s="48">
        <f>IF(AE141=1,ROUND(SUMIFS('All Donations'!$S$2:$S$4001,'All Donations'!$R$2:$R$4001,AD141),2),"")</f>
        <v/>
      </c>
      <c r="E141" s="48">
        <f>IF(AE141=1,ROUND(SUMIFS('All Donations'!$S$2:$S$4001,'All Donations'!$R$2:$R$4001,AD141,'All Donations'!$G$2:$G$4001,"OneCause"),2),"")</f>
        <v/>
      </c>
      <c r="F141" s="48">
        <f>IF(AE141=1,D141-E141,"")</f>
        <v/>
      </c>
      <c r="G141">
        <f>IF(AE141=1,COUNTIFS('All Donations'!$R$2:$R$4001,AD141,'All Donations'!$H$2:$H$4001,"OK"),"")</f>
        <v/>
      </c>
      <c r="H141">
        <f>IF(AE141&lt;&gt;1,"",IF(D141&gt;0,"Yes",""))</f>
        <v/>
      </c>
      <c r="I141" s="49">
        <f>IF(OR($AE141&lt;&gt;1,I$1=""),"",SUMIFS('All Donations'!$S$2:$S$4001,'All Donations'!$R$2:$R$4001,$AD141,'All Donations'!$T$2:$T$4001,I$1))</f>
        <v/>
      </c>
      <c r="J141" s="49">
        <f>IF(OR($AE141&lt;&gt;1,J$1=""),"",SUMIFS('All Donations'!$S$2:$S$4001,'All Donations'!$R$2:$R$4001,$AD141,'All Donations'!$T$2:$T$4001,J$1))</f>
        <v/>
      </c>
      <c r="K141" s="49">
        <f>IF(OR($AE141&lt;&gt;1,K$1=""),"",SUMIFS('All Donations'!$S$2:$S$4001,'All Donations'!$R$2:$R$4001,$AD141,'All Donations'!$T$2:$T$4001,K$1))</f>
        <v/>
      </c>
      <c r="L141" s="49">
        <f>IF(OR($AE141&lt;&gt;1,L$1=""),"",SUMIFS('All Donations'!$S$2:$S$4001,'All Donations'!$R$2:$R$4001,$AD141,'All Donations'!$T$2:$T$4001,L$1))</f>
        <v/>
      </c>
      <c r="M141" s="49">
        <f>IF(OR($AE141&lt;&gt;1,M$1=""),"",SUMIFS('All Donations'!$S$2:$S$4001,'All Donations'!$R$2:$R$4001,$AD141,'All Donations'!$T$2:$T$4001,M$1))</f>
        <v/>
      </c>
      <c r="N141" s="49">
        <f>IF(OR($AE141&lt;&gt;1,N$1=""),"",SUMIFS('All Donations'!$S$2:$S$4001,'All Donations'!$R$2:$R$4001,$AD141,'All Donations'!$T$2:$T$4001,N$1))</f>
        <v/>
      </c>
      <c r="O141" s="49">
        <f>IF(OR($AE141&lt;&gt;1,O$1=""),"",SUMIFS('All Donations'!$S$2:$S$4001,'All Donations'!$R$2:$R$4001,$AD141,'All Donations'!$T$2:$T$4001,O$1))</f>
        <v/>
      </c>
      <c r="P141" s="49">
        <f>IF(OR($AE141&lt;&gt;1,P$1=""),"",SUMIFS('All Donations'!$S$2:$S$4001,'All Donations'!$R$2:$R$4001,$AD141,'All Donations'!$T$2:$T$4001,P$1))</f>
        <v/>
      </c>
      <c r="Q141" s="49">
        <f>IF(OR($AE141&lt;&gt;1,Q$1=""),"",SUMIFS('All Donations'!$S$2:$S$4001,'All Donations'!$R$2:$R$4001,$AD141,'All Donations'!$T$2:$T$4001,Q$1))</f>
        <v/>
      </c>
      <c r="R141" s="49">
        <f>IF(OR($AE141&lt;&gt;1,R$1=""),"",SUMIFS('All Donations'!$S$2:$S$4001,'All Donations'!$R$2:$R$4001,$AD141,'All Donations'!$T$2:$T$4001,R$1))</f>
        <v/>
      </c>
      <c r="S141" s="49">
        <f>IF(OR($AE141&lt;&gt;1,S$1=""),"",SUMIFS('All Donations'!$S$2:$S$4001,'All Donations'!$R$2:$R$4001,$AD141,'All Donations'!$T$2:$T$4001,S$1))</f>
        <v/>
      </c>
      <c r="T141" s="49">
        <f>IF(OR($AE141&lt;&gt;1,T$1=""),"",SUMIFS('All Donations'!$S$2:$S$4001,'All Donations'!$R$2:$R$4001,$AD141,'All Donations'!$T$2:$T$4001,T$1))</f>
        <v/>
      </c>
      <c r="U141" s="49">
        <f>IF(OR($AE141&lt;&gt;1,U$1=""),"",SUMIFS('All Donations'!$S$2:$S$4001,'All Donations'!$R$2:$R$4001,$AD141,'All Donations'!$T$2:$T$4001,U$1))</f>
        <v/>
      </c>
      <c r="V141" s="49">
        <f>IF(OR($AE141&lt;&gt;1,V$1=""),"",SUMIFS('All Donations'!$S$2:$S$4001,'All Donations'!$R$2:$R$4001,$AD141,'All Donations'!$T$2:$T$4001,V$1))</f>
        <v/>
      </c>
      <c r="W141" s="49">
        <f>IF(OR($AE141&lt;&gt;1,W$1=""),"",SUMIFS('All Donations'!$S$2:$S$4001,'All Donations'!$R$2:$R$4001,$AD141,'All Donations'!$T$2:$T$4001,W$1))</f>
        <v/>
      </c>
      <c r="X141" s="49">
        <f>IF(OR($AE141&lt;&gt;1,X$1=""),"",SUMIFS('All Donations'!$S$2:$S$4001,'All Donations'!$R$2:$R$4001,$AD141,'All Donations'!$T$2:$T$4001,X$1))</f>
        <v/>
      </c>
      <c r="Y141" s="49">
        <f>IF(OR($AE141&lt;&gt;1,Y$1=""),"",SUMIFS('All Donations'!$S$2:$S$4001,'All Donations'!$R$2:$R$4001,$AD141,'All Donations'!$T$2:$T$4001,Y$1))</f>
        <v/>
      </c>
      <c r="Z141" s="49">
        <f>IF(OR($AE141&lt;&gt;1,Z$1=""),"",SUMIFS('All Donations'!$S$2:$S$4001,'All Donations'!$R$2:$R$4001,$AD141,'All Donations'!$T$2:$T$4001,Z$1))</f>
        <v/>
      </c>
      <c r="AA141" s="49">
        <f>IF(OR($AE141&lt;&gt;1,AA$1=""),"",SUMIFS('All Donations'!$S$2:$S$4001,'All Donations'!$R$2:$R$4001,$AD141,'All Donations'!$T$2:$T$4001,AA$1))</f>
        <v/>
      </c>
      <c r="AB141" s="49">
        <f>IF(OR($AE141&lt;&gt;1,AB$1=""),"",SUMIFS('All Donations'!$S$2:$S$4001,'All Donations'!$R$2:$R$4001,$AD141,'All Donations'!$T$2:$T$4001,AB$1))</f>
        <v/>
      </c>
      <c r="AC141" s="49">
        <f>IF(OR($AE141&lt;&gt;1,AC$1=""),"",SUMIFS('All Donations'!$S$2:$S$4001,'All Donations'!$R$2:$R$4001,$AD141,'All Donations'!$T$2:$T$4001,AC$1))</f>
        <v/>
      </c>
      <c r="AD141">
        <f>IF(AE141=1,'Roster'!A141,"")</f>
        <v/>
      </c>
      <c r="AE141">
        <f>IF(TRIM('Roster'!B141&amp;'Roster'!C141)&lt;&gt;"",1,0)</f>
        <v/>
      </c>
      <c r="AF141">
        <f>IF(AE141=1,LOWER(A141),"#")</f>
        <v/>
      </c>
      <c r="AG141">
        <f>IF(AE141=1,LOWER(TRIM(TRIM('Roster'!C141)&amp;", "&amp;TRIM('Roster'!B141))),"#")</f>
        <v/>
      </c>
      <c r="AH141">
        <f>IF(AND(AE141=1,TRIM('Roster'!F141)&lt;&gt;""),LOWER(TRIM('Roster'!F141)),"#")</f>
        <v/>
      </c>
      <c r="AI141">
        <f>IF(AE141=1,IF(MATCH(B141,$B$2:$B$701,0)=ROW()-1,1,0),0)</f>
        <v/>
      </c>
      <c r="AJ141">
        <f>AJ140+AI141</f>
        <v/>
      </c>
      <c r="AK141">
        <f>IF(AE141=1,D141+(1000-ROW())/10^7,-1)</f>
        <v/>
      </c>
      <c r="AL141">
        <f>IF(AE141=1,TRIM('Roster'!B141)&amp;" "&amp;LEFT(TRIM('Roster'!C141),1)&amp;".","")</f>
        <v/>
      </c>
      <c r="AM141">
        <f>IF(AE141=1,TRIM('Roster'!C141)&amp;", "&amp;TRIM('Roster'!B141)&amp;" ("&amp;B141&amp;") #"&amp;AD141,"")</f>
        <v/>
      </c>
      <c r="AN141">
        <f>IF(AE141=1,TRIM('Roster'!E141),"")</f>
        <v/>
      </c>
      <c r="AO141">
        <f>IF(AE141=1,ROUND(SUMIFS('All Donations'!$S$2:$S$4001,'All Donations'!$R$2:$R$4001,AD141,'All Donations'!$T$2:$T$4001,"&gt;="&amp;'Settings'!$C$23,'All Donations'!$T$2:$T$4001,"&lt;="&amp;'Settings'!$D$23),2),0)</f>
        <v/>
      </c>
      <c r="AQ141">
        <f>IF(AE141=1,ROUND(SUMIFS('All Donations'!$S$2:$S$4001,'All Donations'!$R$2:$R$4001,AD141,'All Donations'!$T$2:$T$4001,"&gt;="&amp;'Settings'!$C$25,'All Donations'!$T$2:$T$4001,"&lt;="&amp;'Settings'!$D$25),2),0)</f>
        <v/>
      </c>
      <c r="AR141">
        <f>IF(AE141=1,ROUND(SUMIFS('All Donations'!$S$2:$S$4001,'All Donations'!$R$2:$R$4001,AD141,'All Donations'!$T$2:$T$4001,"&gt;="&amp;'Settings'!$C$26,'All Donations'!$T$2:$T$4001,"&lt;="&amp;'Settings'!$D$26),2),0)</f>
        <v/>
      </c>
      <c r="AS141">
        <f>IF(AE141=1,ROUND(SUMIFS('All Donations'!$S$2:$S$4001,'All Donations'!$R$2:$R$4001,AD141,'All Donations'!$T$2:$T$4001,"&lt;="&amp;'Settings'!$D$27),2),0)</f>
        <v/>
      </c>
      <c r="AT141">
        <f>IF(AE141=1,ROUND(SUMIFS('All Donations'!$S$2:$S$4001,'All Donations'!$R$2:$R$4001,AD141,'All Donations'!$T$2:$T$4001,"&gt;="&amp;'Settings'!$C$28,'All Donations'!$T$2:$T$4001,"&lt;="&amp;'Settings'!$D$28),2),0)</f>
        <v/>
      </c>
      <c r="AU141">
        <f>IF(AE141=1,ROUND(SUMIFS('All Donations'!$S$2:$S$4001,'All Donations'!$R$2:$R$4001,AD141,'All Donations'!$T$2:$T$4001,"&gt;="&amp;'Settings'!$C$29,'All Donations'!$T$2:$T$4001,"&lt;="&amp;'Settings'!$D$29),2),0)</f>
        <v/>
      </c>
      <c r="AV141">
        <f>IF(AE141=1,ROUND(SUMIFS('All Donations'!$S$2:$S$4001,'All Donations'!$R$2:$R$4001,AD141,'All Donations'!$T$2:$T$4001,"&lt;="&amp;'Settings'!$D$30),2),0)</f>
        <v/>
      </c>
      <c r="AZ141">
        <f>IF(AE141=1,ROUND(SUMIFS('All Donations'!$S$2:$S$4001,'All Donations'!$R$2:$R$4001,AD141,'All Donations'!$T$2:$T$4001,"&lt;="&amp;'Settings'!$D$34),2),0)</f>
        <v/>
      </c>
    </row>
    <row r="142">
      <c r="A142">
        <f>IF(AE142=1,TRIM(TRIM('Roster'!B142)&amp;" "&amp;TRIM('Roster'!C142)),"")</f>
        <v/>
      </c>
      <c r="B142">
        <f>IF(AE142=1,IF(AN142="","(no teacher)",AN142&amp;" – "&amp;C142),"")</f>
        <v/>
      </c>
      <c r="C142">
        <f>IF(AE142=1,TRIM('Roster'!D142&amp;""),"")</f>
        <v/>
      </c>
      <c r="D142" s="48">
        <f>IF(AE142=1,ROUND(SUMIFS('All Donations'!$S$2:$S$4001,'All Donations'!$R$2:$R$4001,AD142),2),"")</f>
        <v/>
      </c>
      <c r="E142" s="48">
        <f>IF(AE142=1,ROUND(SUMIFS('All Donations'!$S$2:$S$4001,'All Donations'!$R$2:$R$4001,AD142,'All Donations'!$G$2:$G$4001,"OneCause"),2),"")</f>
        <v/>
      </c>
      <c r="F142" s="48">
        <f>IF(AE142=1,D142-E142,"")</f>
        <v/>
      </c>
      <c r="G142">
        <f>IF(AE142=1,COUNTIFS('All Donations'!$R$2:$R$4001,AD142,'All Donations'!$H$2:$H$4001,"OK"),"")</f>
        <v/>
      </c>
      <c r="H142">
        <f>IF(AE142&lt;&gt;1,"",IF(D142&gt;0,"Yes",""))</f>
        <v/>
      </c>
      <c r="I142" s="49">
        <f>IF(OR($AE142&lt;&gt;1,I$1=""),"",SUMIFS('All Donations'!$S$2:$S$4001,'All Donations'!$R$2:$R$4001,$AD142,'All Donations'!$T$2:$T$4001,I$1))</f>
        <v/>
      </c>
      <c r="J142" s="49">
        <f>IF(OR($AE142&lt;&gt;1,J$1=""),"",SUMIFS('All Donations'!$S$2:$S$4001,'All Donations'!$R$2:$R$4001,$AD142,'All Donations'!$T$2:$T$4001,J$1))</f>
        <v/>
      </c>
      <c r="K142" s="49">
        <f>IF(OR($AE142&lt;&gt;1,K$1=""),"",SUMIFS('All Donations'!$S$2:$S$4001,'All Donations'!$R$2:$R$4001,$AD142,'All Donations'!$T$2:$T$4001,K$1))</f>
        <v/>
      </c>
      <c r="L142" s="49">
        <f>IF(OR($AE142&lt;&gt;1,L$1=""),"",SUMIFS('All Donations'!$S$2:$S$4001,'All Donations'!$R$2:$R$4001,$AD142,'All Donations'!$T$2:$T$4001,L$1))</f>
        <v/>
      </c>
      <c r="M142" s="49">
        <f>IF(OR($AE142&lt;&gt;1,M$1=""),"",SUMIFS('All Donations'!$S$2:$S$4001,'All Donations'!$R$2:$R$4001,$AD142,'All Donations'!$T$2:$T$4001,M$1))</f>
        <v/>
      </c>
      <c r="N142" s="49">
        <f>IF(OR($AE142&lt;&gt;1,N$1=""),"",SUMIFS('All Donations'!$S$2:$S$4001,'All Donations'!$R$2:$R$4001,$AD142,'All Donations'!$T$2:$T$4001,N$1))</f>
        <v/>
      </c>
      <c r="O142" s="49">
        <f>IF(OR($AE142&lt;&gt;1,O$1=""),"",SUMIFS('All Donations'!$S$2:$S$4001,'All Donations'!$R$2:$R$4001,$AD142,'All Donations'!$T$2:$T$4001,O$1))</f>
        <v/>
      </c>
      <c r="P142" s="49">
        <f>IF(OR($AE142&lt;&gt;1,P$1=""),"",SUMIFS('All Donations'!$S$2:$S$4001,'All Donations'!$R$2:$R$4001,$AD142,'All Donations'!$T$2:$T$4001,P$1))</f>
        <v/>
      </c>
      <c r="Q142" s="49">
        <f>IF(OR($AE142&lt;&gt;1,Q$1=""),"",SUMIFS('All Donations'!$S$2:$S$4001,'All Donations'!$R$2:$R$4001,$AD142,'All Donations'!$T$2:$T$4001,Q$1))</f>
        <v/>
      </c>
      <c r="R142" s="49">
        <f>IF(OR($AE142&lt;&gt;1,R$1=""),"",SUMIFS('All Donations'!$S$2:$S$4001,'All Donations'!$R$2:$R$4001,$AD142,'All Donations'!$T$2:$T$4001,R$1))</f>
        <v/>
      </c>
      <c r="S142" s="49">
        <f>IF(OR($AE142&lt;&gt;1,S$1=""),"",SUMIFS('All Donations'!$S$2:$S$4001,'All Donations'!$R$2:$R$4001,$AD142,'All Donations'!$T$2:$T$4001,S$1))</f>
        <v/>
      </c>
      <c r="T142" s="49">
        <f>IF(OR($AE142&lt;&gt;1,T$1=""),"",SUMIFS('All Donations'!$S$2:$S$4001,'All Donations'!$R$2:$R$4001,$AD142,'All Donations'!$T$2:$T$4001,T$1))</f>
        <v/>
      </c>
      <c r="U142" s="49">
        <f>IF(OR($AE142&lt;&gt;1,U$1=""),"",SUMIFS('All Donations'!$S$2:$S$4001,'All Donations'!$R$2:$R$4001,$AD142,'All Donations'!$T$2:$T$4001,U$1))</f>
        <v/>
      </c>
      <c r="V142" s="49">
        <f>IF(OR($AE142&lt;&gt;1,V$1=""),"",SUMIFS('All Donations'!$S$2:$S$4001,'All Donations'!$R$2:$R$4001,$AD142,'All Donations'!$T$2:$T$4001,V$1))</f>
        <v/>
      </c>
      <c r="W142" s="49">
        <f>IF(OR($AE142&lt;&gt;1,W$1=""),"",SUMIFS('All Donations'!$S$2:$S$4001,'All Donations'!$R$2:$R$4001,$AD142,'All Donations'!$T$2:$T$4001,W$1))</f>
        <v/>
      </c>
      <c r="X142" s="49">
        <f>IF(OR($AE142&lt;&gt;1,X$1=""),"",SUMIFS('All Donations'!$S$2:$S$4001,'All Donations'!$R$2:$R$4001,$AD142,'All Donations'!$T$2:$T$4001,X$1))</f>
        <v/>
      </c>
      <c r="Y142" s="49">
        <f>IF(OR($AE142&lt;&gt;1,Y$1=""),"",SUMIFS('All Donations'!$S$2:$S$4001,'All Donations'!$R$2:$R$4001,$AD142,'All Donations'!$T$2:$T$4001,Y$1))</f>
        <v/>
      </c>
      <c r="Z142" s="49">
        <f>IF(OR($AE142&lt;&gt;1,Z$1=""),"",SUMIFS('All Donations'!$S$2:$S$4001,'All Donations'!$R$2:$R$4001,$AD142,'All Donations'!$T$2:$T$4001,Z$1))</f>
        <v/>
      </c>
      <c r="AA142" s="49">
        <f>IF(OR($AE142&lt;&gt;1,AA$1=""),"",SUMIFS('All Donations'!$S$2:$S$4001,'All Donations'!$R$2:$R$4001,$AD142,'All Donations'!$T$2:$T$4001,AA$1))</f>
        <v/>
      </c>
      <c r="AB142" s="49">
        <f>IF(OR($AE142&lt;&gt;1,AB$1=""),"",SUMIFS('All Donations'!$S$2:$S$4001,'All Donations'!$R$2:$R$4001,$AD142,'All Donations'!$T$2:$T$4001,AB$1))</f>
        <v/>
      </c>
      <c r="AC142" s="49">
        <f>IF(OR($AE142&lt;&gt;1,AC$1=""),"",SUMIFS('All Donations'!$S$2:$S$4001,'All Donations'!$R$2:$R$4001,$AD142,'All Donations'!$T$2:$T$4001,AC$1))</f>
        <v/>
      </c>
      <c r="AD142">
        <f>IF(AE142=1,'Roster'!A142,"")</f>
        <v/>
      </c>
      <c r="AE142">
        <f>IF(TRIM('Roster'!B142&amp;'Roster'!C142)&lt;&gt;"",1,0)</f>
        <v/>
      </c>
      <c r="AF142">
        <f>IF(AE142=1,LOWER(A142),"#")</f>
        <v/>
      </c>
      <c r="AG142">
        <f>IF(AE142=1,LOWER(TRIM(TRIM('Roster'!C142)&amp;", "&amp;TRIM('Roster'!B142))),"#")</f>
        <v/>
      </c>
      <c r="AH142">
        <f>IF(AND(AE142=1,TRIM('Roster'!F142)&lt;&gt;""),LOWER(TRIM('Roster'!F142)),"#")</f>
        <v/>
      </c>
      <c r="AI142">
        <f>IF(AE142=1,IF(MATCH(B142,$B$2:$B$701,0)=ROW()-1,1,0),0)</f>
        <v/>
      </c>
      <c r="AJ142">
        <f>AJ141+AI142</f>
        <v/>
      </c>
      <c r="AK142">
        <f>IF(AE142=1,D142+(1000-ROW())/10^7,-1)</f>
        <v/>
      </c>
      <c r="AL142">
        <f>IF(AE142=1,TRIM('Roster'!B142)&amp;" "&amp;LEFT(TRIM('Roster'!C142),1)&amp;".","")</f>
        <v/>
      </c>
      <c r="AM142">
        <f>IF(AE142=1,TRIM('Roster'!C142)&amp;", "&amp;TRIM('Roster'!B142)&amp;" ("&amp;B142&amp;") #"&amp;AD142,"")</f>
        <v/>
      </c>
      <c r="AN142">
        <f>IF(AE142=1,TRIM('Roster'!E142),"")</f>
        <v/>
      </c>
      <c r="AO142">
        <f>IF(AE142=1,ROUND(SUMIFS('All Donations'!$S$2:$S$4001,'All Donations'!$R$2:$R$4001,AD142,'All Donations'!$T$2:$T$4001,"&gt;="&amp;'Settings'!$C$23,'All Donations'!$T$2:$T$4001,"&lt;="&amp;'Settings'!$D$23),2),0)</f>
        <v/>
      </c>
      <c r="AQ142">
        <f>IF(AE142=1,ROUND(SUMIFS('All Donations'!$S$2:$S$4001,'All Donations'!$R$2:$R$4001,AD142,'All Donations'!$T$2:$T$4001,"&gt;="&amp;'Settings'!$C$25,'All Donations'!$T$2:$T$4001,"&lt;="&amp;'Settings'!$D$25),2),0)</f>
        <v/>
      </c>
      <c r="AR142">
        <f>IF(AE142=1,ROUND(SUMIFS('All Donations'!$S$2:$S$4001,'All Donations'!$R$2:$R$4001,AD142,'All Donations'!$T$2:$T$4001,"&gt;="&amp;'Settings'!$C$26,'All Donations'!$T$2:$T$4001,"&lt;="&amp;'Settings'!$D$26),2),0)</f>
        <v/>
      </c>
      <c r="AS142">
        <f>IF(AE142=1,ROUND(SUMIFS('All Donations'!$S$2:$S$4001,'All Donations'!$R$2:$R$4001,AD142,'All Donations'!$T$2:$T$4001,"&lt;="&amp;'Settings'!$D$27),2),0)</f>
        <v/>
      </c>
      <c r="AT142">
        <f>IF(AE142=1,ROUND(SUMIFS('All Donations'!$S$2:$S$4001,'All Donations'!$R$2:$R$4001,AD142,'All Donations'!$T$2:$T$4001,"&gt;="&amp;'Settings'!$C$28,'All Donations'!$T$2:$T$4001,"&lt;="&amp;'Settings'!$D$28),2),0)</f>
        <v/>
      </c>
      <c r="AU142">
        <f>IF(AE142=1,ROUND(SUMIFS('All Donations'!$S$2:$S$4001,'All Donations'!$R$2:$R$4001,AD142,'All Donations'!$T$2:$T$4001,"&gt;="&amp;'Settings'!$C$29,'All Donations'!$T$2:$T$4001,"&lt;="&amp;'Settings'!$D$29),2),0)</f>
        <v/>
      </c>
      <c r="AV142">
        <f>IF(AE142=1,ROUND(SUMIFS('All Donations'!$S$2:$S$4001,'All Donations'!$R$2:$R$4001,AD142,'All Donations'!$T$2:$T$4001,"&lt;="&amp;'Settings'!$D$30),2),0)</f>
        <v/>
      </c>
      <c r="AZ142">
        <f>IF(AE142=1,ROUND(SUMIFS('All Donations'!$S$2:$S$4001,'All Donations'!$R$2:$R$4001,AD142,'All Donations'!$T$2:$T$4001,"&lt;="&amp;'Settings'!$D$34),2),0)</f>
        <v/>
      </c>
    </row>
    <row r="143">
      <c r="A143">
        <f>IF(AE143=1,TRIM(TRIM('Roster'!B143)&amp;" "&amp;TRIM('Roster'!C143)),"")</f>
        <v/>
      </c>
      <c r="B143">
        <f>IF(AE143=1,IF(AN143="","(no teacher)",AN143&amp;" – "&amp;C143),"")</f>
        <v/>
      </c>
      <c r="C143">
        <f>IF(AE143=1,TRIM('Roster'!D143&amp;""),"")</f>
        <v/>
      </c>
      <c r="D143" s="48">
        <f>IF(AE143=1,ROUND(SUMIFS('All Donations'!$S$2:$S$4001,'All Donations'!$R$2:$R$4001,AD143),2),"")</f>
        <v/>
      </c>
      <c r="E143" s="48">
        <f>IF(AE143=1,ROUND(SUMIFS('All Donations'!$S$2:$S$4001,'All Donations'!$R$2:$R$4001,AD143,'All Donations'!$G$2:$G$4001,"OneCause"),2),"")</f>
        <v/>
      </c>
      <c r="F143" s="48">
        <f>IF(AE143=1,D143-E143,"")</f>
        <v/>
      </c>
      <c r="G143">
        <f>IF(AE143=1,COUNTIFS('All Donations'!$R$2:$R$4001,AD143,'All Donations'!$H$2:$H$4001,"OK"),"")</f>
        <v/>
      </c>
      <c r="H143">
        <f>IF(AE143&lt;&gt;1,"",IF(D143&gt;0,"Yes",""))</f>
        <v/>
      </c>
      <c r="I143" s="49">
        <f>IF(OR($AE143&lt;&gt;1,I$1=""),"",SUMIFS('All Donations'!$S$2:$S$4001,'All Donations'!$R$2:$R$4001,$AD143,'All Donations'!$T$2:$T$4001,I$1))</f>
        <v/>
      </c>
      <c r="J143" s="49">
        <f>IF(OR($AE143&lt;&gt;1,J$1=""),"",SUMIFS('All Donations'!$S$2:$S$4001,'All Donations'!$R$2:$R$4001,$AD143,'All Donations'!$T$2:$T$4001,J$1))</f>
        <v/>
      </c>
      <c r="K143" s="49">
        <f>IF(OR($AE143&lt;&gt;1,K$1=""),"",SUMIFS('All Donations'!$S$2:$S$4001,'All Donations'!$R$2:$R$4001,$AD143,'All Donations'!$T$2:$T$4001,K$1))</f>
        <v/>
      </c>
      <c r="L143" s="49">
        <f>IF(OR($AE143&lt;&gt;1,L$1=""),"",SUMIFS('All Donations'!$S$2:$S$4001,'All Donations'!$R$2:$R$4001,$AD143,'All Donations'!$T$2:$T$4001,L$1))</f>
        <v/>
      </c>
      <c r="M143" s="49">
        <f>IF(OR($AE143&lt;&gt;1,M$1=""),"",SUMIFS('All Donations'!$S$2:$S$4001,'All Donations'!$R$2:$R$4001,$AD143,'All Donations'!$T$2:$T$4001,M$1))</f>
        <v/>
      </c>
      <c r="N143" s="49">
        <f>IF(OR($AE143&lt;&gt;1,N$1=""),"",SUMIFS('All Donations'!$S$2:$S$4001,'All Donations'!$R$2:$R$4001,$AD143,'All Donations'!$T$2:$T$4001,N$1))</f>
        <v/>
      </c>
      <c r="O143" s="49">
        <f>IF(OR($AE143&lt;&gt;1,O$1=""),"",SUMIFS('All Donations'!$S$2:$S$4001,'All Donations'!$R$2:$R$4001,$AD143,'All Donations'!$T$2:$T$4001,O$1))</f>
        <v/>
      </c>
      <c r="P143" s="49">
        <f>IF(OR($AE143&lt;&gt;1,P$1=""),"",SUMIFS('All Donations'!$S$2:$S$4001,'All Donations'!$R$2:$R$4001,$AD143,'All Donations'!$T$2:$T$4001,P$1))</f>
        <v/>
      </c>
      <c r="Q143" s="49">
        <f>IF(OR($AE143&lt;&gt;1,Q$1=""),"",SUMIFS('All Donations'!$S$2:$S$4001,'All Donations'!$R$2:$R$4001,$AD143,'All Donations'!$T$2:$T$4001,Q$1))</f>
        <v/>
      </c>
      <c r="R143" s="49">
        <f>IF(OR($AE143&lt;&gt;1,R$1=""),"",SUMIFS('All Donations'!$S$2:$S$4001,'All Donations'!$R$2:$R$4001,$AD143,'All Donations'!$T$2:$T$4001,R$1))</f>
        <v/>
      </c>
      <c r="S143" s="49">
        <f>IF(OR($AE143&lt;&gt;1,S$1=""),"",SUMIFS('All Donations'!$S$2:$S$4001,'All Donations'!$R$2:$R$4001,$AD143,'All Donations'!$T$2:$T$4001,S$1))</f>
        <v/>
      </c>
      <c r="T143" s="49">
        <f>IF(OR($AE143&lt;&gt;1,T$1=""),"",SUMIFS('All Donations'!$S$2:$S$4001,'All Donations'!$R$2:$R$4001,$AD143,'All Donations'!$T$2:$T$4001,T$1))</f>
        <v/>
      </c>
      <c r="U143" s="49">
        <f>IF(OR($AE143&lt;&gt;1,U$1=""),"",SUMIFS('All Donations'!$S$2:$S$4001,'All Donations'!$R$2:$R$4001,$AD143,'All Donations'!$T$2:$T$4001,U$1))</f>
        <v/>
      </c>
      <c r="V143" s="49">
        <f>IF(OR($AE143&lt;&gt;1,V$1=""),"",SUMIFS('All Donations'!$S$2:$S$4001,'All Donations'!$R$2:$R$4001,$AD143,'All Donations'!$T$2:$T$4001,V$1))</f>
        <v/>
      </c>
      <c r="W143" s="49">
        <f>IF(OR($AE143&lt;&gt;1,W$1=""),"",SUMIFS('All Donations'!$S$2:$S$4001,'All Donations'!$R$2:$R$4001,$AD143,'All Donations'!$T$2:$T$4001,W$1))</f>
        <v/>
      </c>
      <c r="X143" s="49">
        <f>IF(OR($AE143&lt;&gt;1,X$1=""),"",SUMIFS('All Donations'!$S$2:$S$4001,'All Donations'!$R$2:$R$4001,$AD143,'All Donations'!$T$2:$T$4001,X$1))</f>
        <v/>
      </c>
      <c r="Y143" s="49">
        <f>IF(OR($AE143&lt;&gt;1,Y$1=""),"",SUMIFS('All Donations'!$S$2:$S$4001,'All Donations'!$R$2:$R$4001,$AD143,'All Donations'!$T$2:$T$4001,Y$1))</f>
        <v/>
      </c>
      <c r="Z143" s="49">
        <f>IF(OR($AE143&lt;&gt;1,Z$1=""),"",SUMIFS('All Donations'!$S$2:$S$4001,'All Donations'!$R$2:$R$4001,$AD143,'All Donations'!$T$2:$T$4001,Z$1))</f>
        <v/>
      </c>
      <c r="AA143" s="49">
        <f>IF(OR($AE143&lt;&gt;1,AA$1=""),"",SUMIFS('All Donations'!$S$2:$S$4001,'All Donations'!$R$2:$R$4001,$AD143,'All Donations'!$T$2:$T$4001,AA$1))</f>
        <v/>
      </c>
      <c r="AB143" s="49">
        <f>IF(OR($AE143&lt;&gt;1,AB$1=""),"",SUMIFS('All Donations'!$S$2:$S$4001,'All Donations'!$R$2:$R$4001,$AD143,'All Donations'!$T$2:$T$4001,AB$1))</f>
        <v/>
      </c>
      <c r="AC143" s="49">
        <f>IF(OR($AE143&lt;&gt;1,AC$1=""),"",SUMIFS('All Donations'!$S$2:$S$4001,'All Donations'!$R$2:$R$4001,$AD143,'All Donations'!$T$2:$T$4001,AC$1))</f>
        <v/>
      </c>
      <c r="AD143">
        <f>IF(AE143=1,'Roster'!A143,"")</f>
        <v/>
      </c>
      <c r="AE143">
        <f>IF(TRIM('Roster'!B143&amp;'Roster'!C143)&lt;&gt;"",1,0)</f>
        <v/>
      </c>
      <c r="AF143">
        <f>IF(AE143=1,LOWER(A143),"#")</f>
        <v/>
      </c>
      <c r="AG143">
        <f>IF(AE143=1,LOWER(TRIM(TRIM('Roster'!C143)&amp;", "&amp;TRIM('Roster'!B143))),"#")</f>
        <v/>
      </c>
      <c r="AH143">
        <f>IF(AND(AE143=1,TRIM('Roster'!F143)&lt;&gt;""),LOWER(TRIM('Roster'!F143)),"#")</f>
        <v/>
      </c>
      <c r="AI143">
        <f>IF(AE143=1,IF(MATCH(B143,$B$2:$B$701,0)=ROW()-1,1,0),0)</f>
        <v/>
      </c>
      <c r="AJ143">
        <f>AJ142+AI143</f>
        <v/>
      </c>
      <c r="AK143">
        <f>IF(AE143=1,D143+(1000-ROW())/10^7,-1)</f>
        <v/>
      </c>
      <c r="AL143">
        <f>IF(AE143=1,TRIM('Roster'!B143)&amp;" "&amp;LEFT(TRIM('Roster'!C143),1)&amp;".","")</f>
        <v/>
      </c>
      <c r="AM143">
        <f>IF(AE143=1,TRIM('Roster'!C143)&amp;", "&amp;TRIM('Roster'!B143)&amp;" ("&amp;B143&amp;") #"&amp;AD143,"")</f>
        <v/>
      </c>
      <c r="AN143">
        <f>IF(AE143=1,TRIM('Roster'!E143),"")</f>
        <v/>
      </c>
      <c r="AO143">
        <f>IF(AE143=1,ROUND(SUMIFS('All Donations'!$S$2:$S$4001,'All Donations'!$R$2:$R$4001,AD143,'All Donations'!$T$2:$T$4001,"&gt;="&amp;'Settings'!$C$23,'All Donations'!$T$2:$T$4001,"&lt;="&amp;'Settings'!$D$23),2),0)</f>
        <v/>
      </c>
      <c r="AQ143">
        <f>IF(AE143=1,ROUND(SUMIFS('All Donations'!$S$2:$S$4001,'All Donations'!$R$2:$R$4001,AD143,'All Donations'!$T$2:$T$4001,"&gt;="&amp;'Settings'!$C$25,'All Donations'!$T$2:$T$4001,"&lt;="&amp;'Settings'!$D$25),2),0)</f>
        <v/>
      </c>
      <c r="AR143">
        <f>IF(AE143=1,ROUND(SUMIFS('All Donations'!$S$2:$S$4001,'All Donations'!$R$2:$R$4001,AD143,'All Donations'!$T$2:$T$4001,"&gt;="&amp;'Settings'!$C$26,'All Donations'!$T$2:$T$4001,"&lt;="&amp;'Settings'!$D$26),2),0)</f>
        <v/>
      </c>
      <c r="AS143">
        <f>IF(AE143=1,ROUND(SUMIFS('All Donations'!$S$2:$S$4001,'All Donations'!$R$2:$R$4001,AD143,'All Donations'!$T$2:$T$4001,"&lt;="&amp;'Settings'!$D$27),2),0)</f>
        <v/>
      </c>
      <c r="AT143">
        <f>IF(AE143=1,ROUND(SUMIFS('All Donations'!$S$2:$S$4001,'All Donations'!$R$2:$R$4001,AD143,'All Donations'!$T$2:$T$4001,"&gt;="&amp;'Settings'!$C$28,'All Donations'!$T$2:$T$4001,"&lt;="&amp;'Settings'!$D$28),2),0)</f>
        <v/>
      </c>
      <c r="AU143">
        <f>IF(AE143=1,ROUND(SUMIFS('All Donations'!$S$2:$S$4001,'All Donations'!$R$2:$R$4001,AD143,'All Donations'!$T$2:$T$4001,"&gt;="&amp;'Settings'!$C$29,'All Donations'!$T$2:$T$4001,"&lt;="&amp;'Settings'!$D$29),2),0)</f>
        <v/>
      </c>
      <c r="AV143">
        <f>IF(AE143=1,ROUND(SUMIFS('All Donations'!$S$2:$S$4001,'All Donations'!$R$2:$R$4001,AD143,'All Donations'!$T$2:$T$4001,"&lt;="&amp;'Settings'!$D$30),2),0)</f>
        <v/>
      </c>
      <c r="AZ143">
        <f>IF(AE143=1,ROUND(SUMIFS('All Donations'!$S$2:$S$4001,'All Donations'!$R$2:$R$4001,AD143,'All Donations'!$T$2:$T$4001,"&lt;="&amp;'Settings'!$D$34),2),0)</f>
        <v/>
      </c>
    </row>
    <row r="144">
      <c r="A144">
        <f>IF(AE144=1,TRIM(TRIM('Roster'!B144)&amp;" "&amp;TRIM('Roster'!C144)),"")</f>
        <v/>
      </c>
      <c r="B144">
        <f>IF(AE144=1,IF(AN144="","(no teacher)",AN144&amp;" – "&amp;C144),"")</f>
        <v/>
      </c>
      <c r="C144">
        <f>IF(AE144=1,TRIM('Roster'!D144&amp;""),"")</f>
        <v/>
      </c>
      <c r="D144" s="48">
        <f>IF(AE144=1,ROUND(SUMIFS('All Donations'!$S$2:$S$4001,'All Donations'!$R$2:$R$4001,AD144),2),"")</f>
        <v/>
      </c>
      <c r="E144" s="48">
        <f>IF(AE144=1,ROUND(SUMIFS('All Donations'!$S$2:$S$4001,'All Donations'!$R$2:$R$4001,AD144,'All Donations'!$G$2:$G$4001,"OneCause"),2),"")</f>
        <v/>
      </c>
      <c r="F144" s="48">
        <f>IF(AE144=1,D144-E144,"")</f>
        <v/>
      </c>
      <c r="G144">
        <f>IF(AE144=1,COUNTIFS('All Donations'!$R$2:$R$4001,AD144,'All Donations'!$H$2:$H$4001,"OK"),"")</f>
        <v/>
      </c>
      <c r="H144">
        <f>IF(AE144&lt;&gt;1,"",IF(D144&gt;0,"Yes",""))</f>
        <v/>
      </c>
      <c r="I144" s="49">
        <f>IF(OR($AE144&lt;&gt;1,I$1=""),"",SUMIFS('All Donations'!$S$2:$S$4001,'All Donations'!$R$2:$R$4001,$AD144,'All Donations'!$T$2:$T$4001,I$1))</f>
        <v/>
      </c>
      <c r="J144" s="49">
        <f>IF(OR($AE144&lt;&gt;1,J$1=""),"",SUMIFS('All Donations'!$S$2:$S$4001,'All Donations'!$R$2:$R$4001,$AD144,'All Donations'!$T$2:$T$4001,J$1))</f>
        <v/>
      </c>
      <c r="K144" s="49">
        <f>IF(OR($AE144&lt;&gt;1,K$1=""),"",SUMIFS('All Donations'!$S$2:$S$4001,'All Donations'!$R$2:$R$4001,$AD144,'All Donations'!$T$2:$T$4001,K$1))</f>
        <v/>
      </c>
      <c r="L144" s="49">
        <f>IF(OR($AE144&lt;&gt;1,L$1=""),"",SUMIFS('All Donations'!$S$2:$S$4001,'All Donations'!$R$2:$R$4001,$AD144,'All Donations'!$T$2:$T$4001,L$1))</f>
        <v/>
      </c>
      <c r="M144" s="49">
        <f>IF(OR($AE144&lt;&gt;1,M$1=""),"",SUMIFS('All Donations'!$S$2:$S$4001,'All Donations'!$R$2:$R$4001,$AD144,'All Donations'!$T$2:$T$4001,M$1))</f>
        <v/>
      </c>
      <c r="N144" s="49">
        <f>IF(OR($AE144&lt;&gt;1,N$1=""),"",SUMIFS('All Donations'!$S$2:$S$4001,'All Donations'!$R$2:$R$4001,$AD144,'All Donations'!$T$2:$T$4001,N$1))</f>
        <v/>
      </c>
      <c r="O144" s="49">
        <f>IF(OR($AE144&lt;&gt;1,O$1=""),"",SUMIFS('All Donations'!$S$2:$S$4001,'All Donations'!$R$2:$R$4001,$AD144,'All Donations'!$T$2:$T$4001,O$1))</f>
        <v/>
      </c>
      <c r="P144" s="49">
        <f>IF(OR($AE144&lt;&gt;1,P$1=""),"",SUMIFS('All Donations'!$S$2:$S$4001,'All Donations'!$R$2:$R$4001,$AD144,'All Donations'!$T$2:$T$4001,P$1))</f>
        <v/>
      </c>
      <c r="Q144" s="49">
        <f>IF(OR($AE144&lt;&gt;1,Q$1=""),"",SUMIFS('All Donations'!$S$2:$S$4001,'All Donations'!$R$2:$R$4001,$AD144,'All Donations'!$T$2:$T$4001,Q$1))</f>
        <v/>
      </c>
      <c r="R144" s="49">
        <f>IF(OR($AE144&lt;&gt;1,R$1=""),"",SUMIFS('All Donations'!$S$2:$S$4001,'All Donations'!$R$2:$R$4001,$AD144,'All Donations'!$T$2:$T$4001,R$1))</f>
        <v/>
      </c>
      <c r="S144" s="49">
        <f>IF(OR($AE144&lt;&gt;1,S$1=""),"",SUMIFS('All Donations'!$S$2:$S$4001,'All Donations'!$R$2:$R$4001,$AD144,'All Donations'!$T$2:$T$4001,S$1))</f>
        <v/>
      </c>
      <c r="T144" s="49">
        <f>IF(OR($AE144&lt;&gt;1,T$1=""),"",SUMIFS('All Donations'!$S$2:$S$4001,'All Donations'!$R$2:$R$4001,$AD144,'All Donations'!$T$2:$T$4001,T$1))</f>
        <v/>
      </c>
      <c r="U144" s="49">
        <f>IF(OR($AE144&lt;&gt;1,U$1=""),"",SUMIFS('All Donations'!$S$2:$S$4001,'All Donations'!$R$2:$R$4001,$AD144,'All Donations'!$T$2:$T$4001,U$1))</f>
        <v/>
      </c>
      <c r="V144" s="49">
        <f>IF(OR($AE144&lt;&gt;1,V$1=""),"",SUMIFS('All Donations'!$S$2:$S$4001,'All Donations'!$R$2:$R$4001,$AD144,'All Donations'!$T$2:$T$4001,V$1))</f>
        <v/>
      </c>
      <c r="W144" s="49">
        <f>IF(OR($AE144&lt;&gt;1,W$1=""),"",SUMIFS('All Donations'!$S$2:$S$4001,'All Donations'!$R$2:$R$4001,$AD144,'All Donations'!$T$2:$T$4001,W$1))</f>
        <v/>
      </c>
      <c r="X144" s="49">
        <f>IF(OR($AE144&lt;&gt;1,X$1=""),"",SUMIFS('All Donations'!$S$2:$S$4001,'All Donations'!$R$2:$R$4001,$AD144,'All Donations'!$T$2:$T$4001,X$1))</f>
        <v/>
      </c>
      <c r="Y144" s="49">
        <f>IF(OR($AE144&lt;&gt;1,Y$1=""),"",SUMIFS('All Donations'!$S$2:$S$4001,'All Donations'!$R$2:$R$4001,$AD144,'All Donations'!$T$2:$T$4001,Y$1))</f>
        <v/>
      </c>
      <c r="Z144" s="49">
        <f>IF(OR($AE144&lt;&gt;1,Z$1=""),"",SUMIFS('All Donations'!$S$2:$S$4001,'All Donations'!$R$2:$R$4001,$AD144,'All Donations'!$T$2:$T$4001,Z$1))</f>
        <v/>
      </c>
      <c r="AA144" s="49">
        <f>IF(OR($AE144&lt;&gt;1,AA$1=""),"",SUMIFS('All Donations'!$S$2:$S$4001,'All Donations'!$R$2:$R$4001,$AD144,'All Donations'!$T$2:$T$4001,AA$1))</f>
        <v/>
      </c>
      <c r="AB144" s="49">
        <f>IF(OR($AE144&lt;&gt;1,AB$1=""),"",SUMIFS('All Donations'!$S$2:$S$4001,'All Donations'!$R$2:$R$4001,$AD144,'All Donations'!$T$2:$T$4001,AB$1))</f>
        <v/>
      </c>
      <c r="AC144" s="49">
        <f>IF(OR($AE144&lt;&gt;1,AC$1=""),"",SUMIFS('All Donations'!$S$2:$S$4001,'All Donations'!$R$2:$R$4001,$AD144,'All Donations'!$T$2:$T$4001,AC$1))</f>
        <v/>
      </c>
      <c r="AD144">
        <f>IF(AE144=1,'Roster'!A144,"")</f>
        <v/>
      </c>
      <c r="AE144">
        <f>IF(TRIM('Roster'!B144&amp;'Roster'!C144)&lt;&gt;"",1,0)</f>
        <v/>
      </c>
      <c r="AF144">
        <f>IF(AE144=1,LOWER(A144),"#")</f>
        <v/>
      </c>
      <c r="AG144">
        <f>IF(AE144=1,LOWER(TRIM(TRIM('Roster'!C144)&amp;", "&amp;TRIM('Roster'!B144))),"#")</f>
        <v/>
      </c>
      <c r="AH144">
        <f>IF(AND(AE144=1,TRIM('Roster'!F144)&lt;&gt;""),LOWER(TRIM('Roster'!F144)),"#")</f>
        <v/>
      </c>
      <c r="AI144">
        <f>IF(AE144=1,IF(MATCH(B144,$B$2:$B$701,0)=ROW()-1,1,0),0)</f>
        <v/>
      </c>
      <c r="AJ144">
        <f>AJ143+AI144</f>
        <v/>
      </c>
      <c r="AK144">
        <f>IF(AE144=1,D144+(1000-ROW())/10^7,-1)</f>
        <v/>
      </c>
      <c r="AL144">
        <f>IF(AE144=1,TRIM('Roster'!B144)&amp;" "&amp;LEFT(TRIM('Roster'!C144),1)&amp;".","")</f>
        <v/>
      </c>
      <c r="AM144">
        <f>IF(AE144=1,TRIM('Roster'!C144)&amp;", "&amp;TRIM('Roster'!B144)&amp;" ("&amp;B144&amp;") #"&amp;AD144,"")</f>
        <v/>
      </c>
      <c r="AN144">
        <f>IF(AE144=1,TRIM('Roster'!E144),"")</f>
        <v/>
      </c>
      <c r="AO144">
        <f>IF(AE144=1,ROUND(SUMIFS('All Donations'!$S$2:$S$4001,'All Donations'!$R$2:$R$4001,AD144,'All Donations'!$T$2:$T$4001,"&gt;="&amp;'Settings'!$C$23,'All Donations'!$T$2:$T$4001,"&lt;="&amp;'Settings'!$D$23),2),0)</f>
        <v/>
      </c>
      <c r="AQ144">
        <f>IF(AE144=1,ROUND(SUMIFS('All Donations'!$S$2:$S$4001,'All Donations'!$R$2:$R$4001,AD144,'All Donations'!$T$2:$T$4001,"&gt;="&amp;'Settings'!$C$25,'All Donations'!$T$2:$T$4001,"&lt;="&amp;'Settings'!$D$25),2),0)</f>
        <v/>
      </c>
      <c r="AR144">
        <f>IF(AE144=1,ROUND(SUMIFS('All Donations'!$S$2:$S$4001,'All Donations'!$R$2:$R$4001,AD144,'All Donations'!$T$2:$T$4001,"&gt;="&amp;'Settings'!$C$26,'All Donations'!$T$2:$T$4001,"&lt;="&amp;'Settings'!$D$26),2),0)</f>
        <v/>
      </c>
      <c r="AS144">
        <f>IF(AE144=1,ROUND(SUMIFS('All Donations'!$S$2:$S$4001,'All Donations'!$R$2:$R$4001,AD144,'All Donations'!$T$2:$T$4001,"&lt;="&amp;'Settings'!$D$27),2),0)</f>
        <v/>
      </c>
      <c r="AT144">
        <f>IF(AE144=1,ROUND(SUMIFS('All Donations'!$S$2:$S$4001,'All Donations'!$R$2:$R$4001,AD144,'All Donations'!$T$2:$T$4001,"&gt;="&amp;'Settings'!$C$28,'All Donations'!$T$2:$T$4001,"&lt;="&amp;'Settings'!$D$28),2),0)</f>
        <v/>
      </c>
      <c r="AU144">
        <f>IF(AE144=1,ROUND(SUMIFS('All Donations'!$S$2:$S$4001,'All Donations'!$R$2:$R$4001,AD144,'All Donations'!$T$2:$T$4001,"&gt;="&amp;'Settings'!$C$29,'All Donations'!$T$2:$T$4001,"&lt;="&amp;'Settings'!$D$29),2),0)</f>
        <v/>
      </c>
      <c r="AV144">
        <f>IF(AE144=1,ROUND(SUMIFS('All Donations'!$S$2:$S$4001,'All Donations'!$R$2:$R$4001,AD144,'All Donations'!$T$2:$T$4001,"&lt;="&amp;'Settings'!$D$30),2),0)</f>
        <v/>
      </c>
      <c r="AZ144">
        <f>IF(AE144=1,ROUND(SUMIFS('All Donations'!$S$2:$S$4001,'All Donations'!$R$2:$R$4001,AD144,'All Donations'!$T$2:$T$4001,"&lt;="&amp;'Settings'!$D$34),2),0)</f>
        <v/>
      </c>
    </row>
    <row r="145">
      <c r="A145">
        <f>IF(AE145=1,TRIM(TRIM('Roster'!B145)&amp;" "&amp;TRIM('Roster'!C145)),"")</f>
        <v/>
      </c>
      <c r="B145">
        <f>IF(AE145=1,IF(AN145="","(no teacher)",AN145&amp;" – "&amp;C145),"")</f>
        <v/>
      </c>
      <c r="C145">
        <f>IF(AE145=1,TRIM('Roster'!D145&amp;""),"")</f>
        <v/>
      </c>
      <c r="D145" s="48">
        <f>IF(AE145=1,ROUND(SUMIFS('All Donations'!$S$2:$S$4001,'All Donations'!$R$2:$R$4001,AD145),2),"")</f>
        <v/>
      </c>
      <c r="E145" s="48">
        <f>IF(AE145=1,ROUND(SUMIFS('All Donations'!$S$2:$S$4001,'All Donations'!$R$2:$R$4001,AD145,'All Donations'!$G$2:$G$4001,"OneCause"),2),"")</f>
        <v/>
      </c>
      <c r="F145" s="48">
        <f>IF(AE145=1,D145-E145,"")</f>
        <v/>
      </c>
      <c r="G145">
        <f>IF(AE145=1,COUNTIFS('All Donations'!$R$2:$R$4001,AD145,'All Donations'!$H$2:$H$4001,"OK"),"")</f>
        <v/>
      </c>
      <c r="H145">
        <f>IF(AE145&lt;&gt;1,"",IF(D145&gt;0,"Yes",""))</f>
        <v/>
      </c>
      <c r="I145" s="49">
        <f>IF(OR($AE145&lt;&gt;1,I$1=""),"",SUMIFS('All Donations'!$S$2:$S$4001,'All Donations'!$R$2:$R$4001,$AD145,'All Donations'!$T$2:$T$4001,I$1))</f>
        <v/>
      </c>
      <c r="J145" s="49">
        <f>IF(OR($AE145&lt;&gt;1,J$1=""),"",SUMIFS('All Donations'!$S$2:$S$4001,'All Donations'!$R$2:$R$4001,$AD145,'All Donations'!$T$2:$T$4001,J$1))</f>
        <v/>
      </c>
      <c r="K145" s="49">
        <f>IF(OR($AE145&lt;&gt;1,K$1=""),"",SUMIFS('All Donations'!$S$2:$S$4001,'All Donations'!$R$2:$R$4001,$AD145,'All Donations'!$T$2:$T$4001,K$1))</f>
        <v/>
      </c>
      <c r="L145" s="49">
        <f>IF(OR($AE145&lt;&gt;1,L$1=""),"",SUMIFS('All Donations'!$S$2:$S$4001,'All Donations'!$R$2:$R$4001,$AD145,'All Donations'!$T$2:$T$4001,L$1))</f>
        <v/>
      </c>
      <c r="M145" s="49">
        <f>IF(OR($AE145&lt;&gt;1,M$1=""),"",SUMIFS('All Donations'!$S$2:$S$4001,'All Donations'!$R$2:$R$4001,$AD145,'All Donations'!$T$2:$T$4001,M$1))</f>
        <v/>
      </c>
      <c r="N145" s="49">
        <f>IF(OR($AE145&lt;&gt;1,N$1=""),"",SUMIFS('All Donations'!$S$2:$S$4001,'All Donations'!$R$2:$R$4001,$AD145,'All Donations'!$T$2:$T$4001,N$1))</f>
        <v/>
      </c>
      <c r="O145" s="49">
        <f>IF(OR($AE145&lt;&gt;1,O$1=""),"",SUMIFS('All Donations'!$S$2:$S$4001,'All Donations'!$R$2:$R$4001,$AD145,'All Donations'!$T$2:$T$4001,O$1))</f>
        <v/>
      </c>
      <c r="P145" s="49">
        <f>IF(OR($AE145&lt;&gt;1,P$1=""),"",SUMIFS('All Donations'!$S$2:$S$4001,'All Donations'!$R$2:$R$4001,$AD145,'All Donations'!$T$2:$T$4001,P$1))</f>
        <v/>
      </c>
      <c r="Q145" s="49">
        <f>IF(OR($AE145&lt;&gt;1,Q$1=""),"",SUMIFS('All Donations'!$S$2:$S$4001,'All Donations'!$R$2:$R$4001,$AD145,'All Donations'!$T$2:$T$4001,Q$1))</f>
        <v/>
      </c>
      <c r="R145" s="49">
        <f>IF(OR($AE145&lt;&gt;1,R$1=""),"",SUMIFS('All Donations'!$S$2:$S$4001,'All Donations'!$R$2:$R$4001,$AD145,'All Donations'!$T$2:$T$4001,R$1))</f>
        <v/>
      </c>
      <c r="S145" s="49">
        <f>IF(OR($AE145&lt;&gt;1,S$1=""),"",SUMIFS('All Donations'!$S$2:$S$4001,'All Donations'!$R$2:$R$4001,$AD145,'All Donations'!$T$2:$T$4001,S$1))</f>
        <v/>
      </c>
      <c r="T145" s="49">
        <f>IF(OR($AE145&lt;&gt;1,T$1=""),"",SUMIFS('All Donations'!$S$2:$S$4001,'All Donations'!$R$2:$R$4001,$AD145,'All Donations'!$T$2:$T$4001,T$1))</f>
        <v/>
      </c>
      <c r="U145" s="49">
        <f>IF(OR($AE145&lt;&gt;1,U$1=""),"",SUMIFS('All Donations'!$S$2:$S$4001,'All Donations'!$R$2:$R$4001,$AD145,'All Donations'!$T$2:$T$4001,U$1))</f>
        <v/>
      </c>
      <c r="V145" s="49">
        <f>IF(OR($AE145&lt;&gt;1,V$1=""),"",SUMIFS('All Donations'!$S$2:$S$4001,'All Donations'!$R$2:$R$4001,$AD145,'All Donations'!$T$2:$T$4001,V$1))</f>
        <v/>
      </c>
      <c r="W145" s="49">
        <f>IF(OR($AE145&lt;&gt;1,W$1=""),"",SUMIFS('All Donations'!$S$2:$S$4001,'All Donations'!$R$2:$R$4001,$AD145,'All Donations'!$T$2:$T$4001,W$1))</f>
        <v/>
      </c>
      <c r="X145" s="49">
        <f>IF(OR($AE145&lt;&gt;1,X$1=""),"",SUMIFS('All Donations'!$S$2:$S$4001,'All Donations'!$R$2:$R$4001,$AD145,'All Donations'!$T$2:$T$4001,X$1))</f>
        <v/>
      </c>
      <c r="Y145" s="49">
        <f>IF(OR($AE145&lt;&gt;1,Y$1=""),"",SUMIFS('All Donations'!$S$2:$S$4001,'All Donations'!$R$2:$R$4001,$AD145,'All Donations'!$T$2:$T$4001,Y$1))</f>
        <v/>
      </c>
      <c r="Z145" s="49">
        <f>IF(OR($AE145&lt;&gt;1,Z$1=""),"",SUMIFS('All Donations'!$S$2:$S$4001,'All Donations'!$R$2:$R$4001,$AD145,'All Donations'!$T$2:$T$4001,Z$1))</f>
        <v/>
      </c>
      <c r="AA145" s="49">
        <f>IF(OR($AE145&lt;&gt;1,AA$1=""),"",SUMIFS('All Donations'!$S$2:$S$4001,'All Donations'!$R$2:$R$4001,$AD145,'All Donations'!$T$2:$T$4001,AA$1))</f>
        <v/>
      </c>
      <c r="AB145" s="49">
        <f>IF(OR($AE145&lt;&gt;1,AB$1=""),"",SUMIFS('All Donations'!$S$2:$S$4001,'All Donations'!$R$2:$R$4001,$AD145,'All Donations'!$T$2:$T$4001,AB$1))</f>
        <v/>
      </c>
      <c r="AC145" s="49">
        <f>IF(OR($AE145&lt;&gt;1,AC$1=""),"",SUMIFS('All Donations'!$S$2:$S$4001,'All Donations'!$R$2:$R$4001,$AD145,'All Donations'!$T$2:$T$4001,AC$1))</f>
        <v/>
      </c>
      <c r="AD145">
        <f>IF(AE145=1,'Roster'!A145,"")</f>
        <v/>
      </c>
      <c r="AE145">
        <f>IF(TRIM('Roster'!B145&amp;'Roster'!C145)&lt;&gt;"",1,0)</f>
        <v/>
      </c>
      <c r="AF145">
        <f>IF(AE145=1,LOWER(A145),"#")</f>
        <v/>
      </c>
      <c r="AG145">
        <f>IF(AE145=1,LOWER(TRIM(TRIM('Roster'!C145)&amp;", "&amp;TRIM('Roster'!B145))),"#")</f>
        <v/>
      </c>
      <c r="AH145">
        <f>IF(AND(AE145=1,TRIM('Roster'!F145)&lt;&gt;""),LOWER(TRIM('Roster'!F145)),"#")</f>
        <v/>
      </c>
      <c r="AI145">
        <f>IF(AE145=1,IF(MATCH(B145,$B$2:$B$701,0)=ROW()-1,1,0),0)</f>
        <v/>
      </c>
      <c r="AJ145">
        <f>AJ144+AI145</f>
        <v/>
      </c>
      <c r="AK145">
        <f>IF(AE145=1,D145+(1000-ROW())/10^7,-1)</f>
        <v/>
      </c>
      <c r="AL145">
        <f>IF(AE145=1,TRIM('Roster'!B145)&amp;" "&amp;LEFT(TRIM('Roster'!C145),1)&amp;".","")</f>
        <v/>
      </c>
      <c r="AM145">
        <f>IF(AE145=1,TRIM('Roster'!C145)&amp;", "&amp;TRIM('Roster'!B145)&amp;" ("&amp;B145&amp;") #"&amp;AD145,"")</f>
        <v/>
      </c>
      <c r="AN145">
        <f>IF(AE145=1,TRIM('Roster'!E145),"")</f>
        <v/>
      </c>
      <c r="AO145">
        <f>IF(AE145=1,ROUND(SUMIFS('All Donations'!$S$2:$S$4001,'All Donations'!$R$2:$R$4001,AD145,'All Donations'!$T$2:$T$4001,"&gt;="&amp;'Settings'!$C$23,'All Donations'!$T$2:$T$4001,"&lt;="&amp;'Settings'!$D$23),2),0)</f>
        <v/>
      </c>
      <c r="AQ145">
        <f>IF(AE145=1,ROUND(SUMIFS('All Donations'!$S$2:$S$4001,'All Donations'!$R$2:$R$4001,AD145,'All Donations'!$T$2:$T$4001,"&gt;="&amp;'Settings'!$C$25,'All Donations'!$T$2:$T$4001,"&lt;="&amp;'Settings'!$D$25),2),0)</f>
        <v/>
      </c>
      <c r="AR145">
        <f>IF(AE145=1,ROUND(SUMIFS('All Donations'!$S$2:$S$4001,'All Donations'!$R$2:$R$4001,AD145,'All Donations'!$T$2:$T$4001,"&gt;="&amp;'Settings'!$C$26,'All Donations'!$T$2:$T$4001,"&lt;="&amp;'Settings'!$D$26),2),0)</f>
        <v/>
      </c>
      <c r="AS145">
        <f>IF(AE145=1,ROUND(SUMIFS('All Donations'!$S$2:$S$4001,'All Donations'!$R$2:$R$4001,AD145,'All Donations'!$T$2:$T$4001,"&lt;="&amp;'Settings'!$D$27),2),0)</f>
        <v/>
      </c>
      <c r="AT145">
        <f>IF(AE145=1,ROUND(SUMIFS('All Donations'!$S$2:$S$4001,'All Donations'!$R$2:$R$4001,AD145,'All Donations'!$T$2:$T$4001,"&gt;="&amp;'Settings'!$C$28,'All Donations'!$T$2:$T$4001,"&lt;="&amp;'Settings'!$D$28),2),0)</f>
        <v/>
      </c>
      <c r="AU145">
        <f>IF(AE145=1,ROUND(SUMIFS('All Donations'!$S$2:$S$4001,'All Donations'!$R$2:$R$4001,AD145,'All Donations'!$T$2:$T$4001,"&gt;="&amp;'Settings'!$C$29,'All Donations'!$T$2:$T$4001,"&lt;="&amp;'Settings'!$D$29),2),0)</f>
        <v/>
      </c>
      <c r="AV145">
        <f>IF(AE145=1,ROUND(SUMIFS('All Donations'!$S$2:$S$4001,'All Donations'!$R$2:$R$4001,AD145,'All Donations'!$T$2:$T$4001,"&lt;="&amp;'Settings'!$D$30),2),0)</f>
        <v/>
      </c>
      <c r="AZ145">
        <f>IF(AE145=1,ROUND(SUMIFS('All Donations'!$S$2:$S$4001,'All Donations'!$R$2:$R$4001,AD145,'All Donations'!$T$2:$T$4001,"&lt;="&amp;'Settings'!$D$34),2),0)</f>
        <v/>
      </c>
    </row>
    <row r="146">
      <c r="A146">
        <f>IF(AE146=1,TRIM(TRIM('Roster'!B146)&amp;" "&amp;TRIM('Roster'!C146)),"")</f>
        <v/>
      </c>
      <c r="B146">
        <f>IF(AE146=1,IF(AN146="","(no teacher)",AN146&amp;" – "&amp;C146),"")</f>
        <v/>
      </c>
      <c r="C146">
        <f>IF(AE146=1,TRIM('Roster'!D146&amp;""),"")</f>
        <v/>
      </c>
      <c r="D146" s="48">
        <f>IF(AE146=1,ROUND(SUMIFS('All Donations'!$S$2:$S$4001,'All Donations'!$R$2:$R$4001,AD146),2),"")</f>
        <v/>
      </c>
      <c r="E146" s="48">
        <f>IF(AE146=1,ROUND(SUMIFS('All Donations'!$S$2:$S$4001,'All Donations'!$R$2:$R$4001,AD146,'All Donations'!$G$2:$G$4001,"OneCause"),2),"")</f>
        <v/>
      </c>
      <c r="F146" s="48">
        <f>IF(AE146=1,D146-E146,"")</f>
        <v/>
      </c>
      <c r="G146">
        <f>IF(AE146=1,COUNTIFS('All Donations'!$R$2:$R$4001,AD146,'All Donations'!$H$2:$H$4001,"OK"),"")</f>
        <v/>
      </c>
      <c r="H146">
        <f>IF(AE146&lt;&gt;1,"",IF(D146&gt;0,"Yes",""))</f>
        <v/>
      </c>
      <c r="I146" s="49">
        <f>IF(OR($AE146&lt;&gt;1,I$1=""),"",SUMIFS('All Donations'!$S$2:$S$4001,'All Donations'!$R$2:$R$4001,$AD146,'All Donations'!$T$2:$T$4001,I$1))</f>
        <v/>
      </c>
      <c r="J146" s="49">
        <f>IF(OR($AE146&lt;&gt;1,J$1=""),"",SUMIFS('All Donations'!$S$2:$S$4001,'All Donations'!$R$2:$R$4001,$AD146,'All Donations'!$T$2:$T$4001,J$1))</f>
        <v/>
      </c>
      <c r="K146" s="49">
        <f>IF(OR($AE146&lt;&gt;1,K$1=""),"",SUMIFS('All Donations'!$S$2:$S$4001,'All Donations'!$R$2:$R$4001,$AD146,'All Donations'!$T$2:$T$4001,K$1))</f>
        <v/>
      </c>
      <c r="L146" s="49">
        <f>IF(OR($AE146&lt;&gt;1,L$1=""),"",SUMIFS('All Donations'!$S$2:$S$4001,'All Donations'!$R$2:$R$4001,$AD146,'All Donations'!$T$2:$T$4001,L$1))</f>
        <v/>
      </c>
      <c r="M146" s="49">
        <f>IF(OR($AE146&lt;&gt;1,M$1=""),"",SUMIFS('All Donations'!$S$2:$S$4001,'All Donations'!$R$2:$R$4001,$AD146,'All Donations'!$T$2:$T$4001,M$1))</f>
        <v/>
      </c>
      <c r="N146" s="49">
        <f>IF(OR($AE146&lt;&gt;1,N$1=""),"",SUMIFS('All Donations'!$S$2:$S$4001,'All Donations'!$R$2:$R$4001,$AD146,'All Donations'!$T$2:$T$4001,N$1))</f>
        <v/>
      </c>
      <c r="O146" s="49">
        <f>IF(OR($AE146&lt;&gt;1,O$1=""),"",SUMIFS('All Donations'!$S$2:$S$4001,'All Donations'!$R$2:$R$4001,$AD146,'All Donations'!$T$2:$T$4001,O$1))</f>
        <v/>
      </c>
      <c r="P146" s="49">
        <f>IF(OR($AE146&lt;&gt;1,P$1=""),"",SUMIFS('All Donations'!$S$2:$S$4001,'All Donations'!$R$2:$R$4001,$AD146,'All Donations'!$T$2:$T$4001,P$1))</f>
        <v/>
      </c>
      <c r="Q146" s="49">
        <f>IF(OR($AE146&lt;&gt;1,Q$1=""),"",SUMIFS('All Donations'!$S$2:$S$4001,'All Donations'!$R$2:$R$4001,$AD146,'All Donations'!$T$2:$T$4001,Q$1))</f>
        <v/>
      </c>
      <c r="R146" s="49">
        <f>IF(OR($AE146&lt;&gt;1,R$1=""),"",SUMIFS('All Donations'!$S$2:$S$4001,'All Donations'!$R$2:$R$4001,$AD146,'All Donations'!$T$2:$T$4001,R$1))</f>
        <v/>
      </c>
      <c r="S146" s="49">
        <f>IF(OR($AE146&lt;&gt;1,S$1=""),"",SUMIFS('All Donations'!$S$2:$S$4001,'All Donations'!$R$2:$R$4001,$AD146,'All Donations'!$T$2:$T$4001,S$1))</f>
        <v/>
      </c>
      <c r="T146" s="49">
        <f>IF(OR($AE146&lt;&gt;1,T$1=""),"",SUMIFS('All Donations'!$S$2:$S$4001,'All Donations'!$R$2:$R$4001,$AD146,'All Donations'!$T$2:$T$4001,T$1))</f>
        <v/>
      </c>
      <c r="U146" s="49">
        <f>IF(OR($AE146&lt;&gt;1,U$1=""),"",SUMIFS('All Donations'!$S$2:$S$4001,'All Donations'!$R$2:$R$4001,$AD146,'All Donations'!$T$2:$T$4001,U$1))</f>
        <v/>
      </c>
      <c r="V146" s="49">
        <f>IF(OR($AE146&lt;&gt;1,V$1=""),"",SUMIFS('All Donations'!$S$2:$S$4001,'All Donations'!$R$2:$R$4001,$AD146,'All Donations'!$T$2:$T$4001,V$1))</f>
        <v/>
      </c>
      <c r="W146" s="49">
        <f>IF(OR($AE146&lt;&gt;1,W$1=""),"",SUMIFS('All Donations'!$S$2:$S$4001,'All Donations'!$R$2:$R$4001,$AD146,'All Donations'!$T$2:$T$4001,W$1))</f>
        <v/>
      </c>
      <c r="X146" s="49">
        <f>IF(OR($AE146&lt;&gt;1,X$1=""),"",SUMIFS('All Donations'!$S$2:$S$4001,'All Donations'!$R$2:$R$4001,$AD146,'All Donations'!$T$2:$T$4001,X$1))</f>
        <v/>
      </c>
      <c r="Y146" s="49">
        <f>IF(OR($AE146&lt;&gt;1,Y$1=""),"",SUMIFS('All Donations'!$S$2:$S$4001,'All Donations'!$R$2:$R$4001,$AD146,'All Donations'!$T$2:$T$4001,Y$1))</f>
        <v/>
      </c>
      <c r="Z146" s="49">
        <f>IF(OR($AE146&lt;&gt;1,Z$1=""),"",SUMIFS('All Donations'!$S$2:$S$4001,'All Donations'!$R$2:$R$4001,$AD146,'All Donations'!$T$2:$T$4001,Z$1))</f>
        <v/>
      </c>
      <c r="AA146" s="49">
        <f>IF(OR($AE146&lt;&gt;1,AA$1=""),"",SUMIFS('All Donations'!$S$2:$S$4001,'All Donations'!$R$2:$R$4001,$AD146,'All Donations'!$T$2:$T$4001,AA$1))</f>
        <v/>
      </c>
      <c r="AB146" s="49">
        <f>IF(OR($AE146&lt;&gt;1,AB$1=""),"",SUMIFS('All Donations'!$S$2:$S$4001,'All Donations'!$R$2:$R$4001,$AD146,'All Donations'!$T$2:$T$4001,AB$1))</f>
        <v/>
      </c>
      <c r="AC146" s="49">
        <f>IF(OR($AE146&lt;&gt;1,AC$1=""),"",SUMIFS('All Donations'!$S$2:$S$4001,'All Donations'!$R$2:$R$4001,$AD146,'All Donations'!$T$2:$T$4001,AC$1))</f>
        <v/>
      </c>
      <c r="AD146">
        <f>IF(AE146=1,'Roster'!A146,"")</f>
        <v/>
      </c>
      <c r="AE146">
        <f>IF(TRIM('Roster'!B146&amp;'Roster'!C146)&lt;&gt;"",1,0)</f>
        <v/>
      </c>
      <c r="AF146">
        <f>IF(AE146=1,LOWER(A146),"#")</f>
        <v/>
      </c>
      <c r="AG146">
        <f>IF(AE146=1,LOWER(TRIM(TRIM('Roster'!C146)&amp;", "&amp;TRIM('Roster'!B146))),"#")</f>
        <v/>
      </c>
      <c r="AH146">
        <f>IF(AND(AE146=1,TRIM('Roster'!F146)&lt;&gt;""),LOWER(TRIM('Roster'!F146)),"#")</f>
        <v/>
      </c>
      <c r="AI146">
        <f>IF(AE146=1,IF(MATCH(B146,$B$2:$B$701,0)=ROW()-1,1,0),0)</f>
        <v/>
      </c>
      <c r="AJ146">
        <f>AJ145+AI146</f>
        <v/>
      </c>
      <c r="AK146">
        <f>IF(AE146=1,D146+(1000-ROW())/10^7,-1)</f>
        <v/>
      </c>
      <c r="AL146">
        <f>IF(AE146=1,TRIM('Roster'!B146)&amp;" "&amp;LEFT(TRIM('Roster'!C146),1)&amp;".","")</f>
        <v/>
      </c>
      <c r="AM146">
        <f>IF(AE146=1,TRIM('Roster'!C146)&amp;", "&amp;TRIM('Roster'!B146)&amp;" ("&amp;B146&amp;") #"&amp;AD146,"")</f>
        <v/>
      </c>
      <c r="AN146">
        <f>IF(AE146=1,TRIM('Roster'!E146),"")</f>
        <v/>
      </c>
      <c r="AO146">
        <f>IF(AE146=1,ROUND(SUMIFS('All Donations'!$S$2:$S$4001,'All Donations'!$R$2:$R$4001,AD146,'All Donations'!$T$2:$T$4001,"&gt;="&amp;'Settings'!$C$23,'All Donations'!$T$2:$T$4001,"&lt;="&amp;'Settings'!$D$23),2),0)</f>
        <v/>
      </c>
      <c r="AQ146">
        <f>IF(AE146=1,ROUND(SUMIFS('All Donations'!$S$2:$S$4001,'All Donations'!$R$2:$R$4001,AD146,'All Donations'!$T$2:$T$4001,"&gt;="&amp;'Settings'!$C$25,'All Donations'!$T$2:$T$4001,"&lt;="&amp;'Settings'!$D$25),2),0)</f>
        <v/>
      </c>
      <c r="AR146">
        <f>IF(AE146=1,ROUND(SUMIFS('All Donations'!$S$2:$S$4001,'All Donations'!$R$2:$R$4001,AD146,'All Donations'!$T$2:$T$4001,"&gt;="&amp;'Settings'!$C$26,'All Donations'!$T$2:$T$4001,"&lt;="&amp;'Settings'!$D$26),2),0)</f>
        <v/>
      </c>
      <c r="AS146">
        <f>IF(AE146=1,ROUND(SUMIFS('All Donations'!$S$2:$S$4001,'All Donations'!$R$2:$R$4001,AD146,'All Donations'!$T$2:$T$4001,"&lt;="&amp;'Settings'!$D$27),2),0)</f>
        <v/>
      </c>
      <c r="AT146">
        <f>IF(AE146=1,ROUND(SUMIFS('All Donations'!$S$2:$S$4001,'All Donations'!$R$2:$R$4001,AD146,'All Donations'!$T$2:$T$4001,"&gt;="&amp;'Settings'!$C$28,'All Donations'!$T$2:$T$4001,"&lt;="&amp;'Settings'!$D$28),2),0)</f>
        <v/>
      </c>
      <c r="AU146">
        <f>IF(AE146=1,ROUND(SUMIFS('All Donations'!$S$2:$S$4001,'All Donations'!$R$2:$R$4001,AD146,'All Donations'!$T$2:$T$4001,"&gt;="&amp;'Settings'!$C$29,'All Donations'!$T$2:$T$4001,"&lt;="&amp;'Settings'!$D$29),2),0)</f>
        <v/>
      </c>
      <c r="AV146">
        <f>IF(AE146=1,ROUND(SUMIFS('All Donations'!$S$2:$S$4001,'All Donations'!$R$2:$R$4001,AD146,'All Donations'!$T$2:$T$4001,"&lt;="&amp;'Settings'!$D$30),2),0)</f>
        <v/>
      </c>
      <c r="AZ146">
        <f>IF(AE146=1,ROUND(SUMIFS('All Donations'!$S$2:$S$4001,'All Donations'!$R$2:$R$4001,AD146,'All Donations'!$T$2:$T$4001,"&lt;="&amp;'Settings'!$D$34),2),0)</f>
        <v/>
      </c>
    </row>
    <row r="147">
      <c r="A147">
        <f>IF(AE147=1,TRIM(TRIM('Roster'!B147)&amp;" "&amp;TRIM('Roster'!C147)),"")</f>
        <v/>
      </c>
      <c r="B147">
        <f>IF(AE147=1,IF(AN147="","(no teacher)",AN147&amp;" – "&amp;C147),"")</f>
        <v/>
      </c>
      <c r="C147">
        <f>IF(AE147=1,TRIM('Roster'!D147&amp;""),"")</f>
        <v/>
      </c>
      <c r="D147" s="48">
        <f>IF(AE147=1,ROUND(SUMIFS('All Donations'!$S$2:$S$4001,'All Donations'!$R$2:$R$4001,AD147),2),"")</f>
        <v/>
      </c>
      <c r="E147" s="48">
        <f>IF(AE147=1,ROUND(SUMIFS('All Donations'!$S$2:$S$4001,'All Donations'!$R$2:$R$4001,AD147,'All Donations'!$G$2:$G$4001,"OneCause"),2),"")</f>
        <v/>
      </c>
      <c r="F147" s="48">
        <f>IF(AE147=1,D147-E147,"")</f>
        <v/>
      </c>
      <c r="G147">
        <f>IF(AE147=1,COUNTIFS('All Donations'!$R$2:$R$4001,AD147,'All Donations'!$H$2:$H$4001,"OK"),"")</f>
        <v/>
      </c>
      <c r="H147">
        <f>IF(AE147&lt;&gt;1,"",IF(D147&gt;0,"Yes",""))</f>
        <v/>
      </c>
      <c r="I147" s="49">
        <f>IF(OR($AE147&lt;&gt;1,I$1=""),"",SUMIFS('All Donations'!$S$2:$S$4001,'All Donations'!$R$2:$R$4001,$AD147,'All Donations'!$T$2:$T$4001,I$1))</f>
        <v/>
      </c>
      <c r="J147" s="49">
        <f>IF(OR($AE147&lt;&gt;1,J$1=""),"",SUMIFS('All Donations'!$S$2:$S$4001,'All Donations'!$R$2:$R$4001,$AD147,'All Donations'!$T$2:$T$4001,J$1))</f>
        <v/>
      </c>
      <c r="K147" s="49">
        <f>IF(OR($AE147&lt;&gt;1,K$1=""),"",SUMIFS('All Donations'!$S$2:$S$4001,'All Donations'!$R$2:$R$4001,$AD147,'All Donations'!$T$2:$T$4001,K$1))</f>
        <v/>
      </c>
      <c r="L147" s="49">
        <f>IF(OR($AE147&lt;&gt;1,L$1=""),"",SUMIFS('All Donations'!$S$2:$S$4001,'All Donations'!$R$2:$R$4001,$AD147,'All Donations'!$T$2:$T$4001,L$1))</f>
        <v/>
      </c>
      <c r="M147" s="49">
        <f>IF(OR($AE147&lt;&gt;1,M$1=""),"",SUMIFS('All Donations'!$S$2:$S$4001,'All Donations'!$R$2:$R$4001,$AD147,'All Donations'!$T$2:$T$4001,M$1))</f>
        <v/>
      </c>
      <c r="N147" s="49">
        <f>IF(OR($AE147&lt;&gt;1,N$1=""),"",SUMIFS('All Donations'!$S$2:$S$4001,'All Donations'!$R$2:$R$4001,$AD147,'All Donations'!$T$2:$T$4001,N$1))</f>
        <v/>
      </c>
      <c r="O147" s="49">
        <f>IF(OR($AE147&lt;&gt;1,O$1=""),"",SUMIFS('All Donations'!$S$2:$S$4001,'All Donations'!$R$2:$R$4001,$AD147,'All Donations'!$T$2:$T$4001,O$1))</f>
        <v/>
      </c>
      <c r="P147" s="49">
        <f>IF(OR($AE147&lt;&gt;1,P$1=""),"",SUMIFS('All Donations'!$S$2:$S$4001,'All Donations'!$R$2:$R$4001,$AD147,'All Donations'!$T$2:$T$4001,P$1))</f>
        <v/>
      </c>
      <c r="Q147" s="49">
        <f>IF(OR($AE147&lt;&gt;1,Q$1=""),"",SUMIFS('All Donations'!$S$2:$S$4001,'All Donations'!$R$2:$R$4001,$AD147,'All Donations'!$T$2:$T$4001,Q$1))</f>
        <v/>
      </c>
      <c r="R147" s="49">
        <f>IF(OR($AE147&lt;&gt;1,R$1=""),"",SUMIFS('All Donations'!$S$2:$S$4001,'All Donations'!$R$2:$R$4001,$AD147,'All Donations'!$T$2:$T$4001,R$1))</f>
        <v/>
      </c>
      <c r="S147" s="49">
        <f>IF(OR($AE147&lt;&gt;1,S$1=""),"",SUMIFS('All Donations'!$S$2:$S$4001,'All Donations'!$R$2:$R$4001,$AD147,'All Donations'!$T$2:$T$4001,S$1))</f>
        <v/>
      </c>
      <c r="T147" s="49">
        <f>IF(OR($AE147&lt;&gt;1,T$1=""),"",SUMIFS('All Donations'!$S$2:$S$4001,'All Donations'!$R$2:$R$4001,$AD147,'All Donations'!$T$2:$T$4001,T$1))</f>
        <v/>
      </c>
      <c r="U147" s="49">
        <f>IF(OR($AE147&lt;&gt;1,U$1=""),"",SUMIFS('All Donations'!$S$2:$S$4001,'All Donations'!$R$2:$R$4001,$AD147,'All Donations'!$T$2:$T$4001,U$1))</f>
        <v/>
      </c>
      <c r="V147" s="49">
        <f>IF(OR($AE147&lt;&gt;1,V$1=""),"",SUMIFS('All Donations'!$S$2:$S$4001,'All Donations'!$R$2:$R$4001,$AD147,'All Donations'!$T$2:$T$4001,V$1))</f>
        <v/>
      </c>
      <c r="W147" s="49">
        <f>IF(OR($AE147&lt;&gt;1,W$1=""),"",SUMIFS('All Donations'!$S$2:$S$4001,'All Donations'!$R$2:$R$4001,$AD147,'All Donations'!$T$2:$T$4001,W$1))</f>
        <v/>
      </c>
      <c r="X147" s="49">
        <f>IF(OR($AE147&lt;&gt;1,X$1=""),"",SUMIFS('All Donations'!$S$2:$S$4001,'All Donations'!$R$2:$R$4001,$AD147,'All Donations'!$T$2:$T$4001,X$1))</f>
        <v/>
      </c>
      <c r="Y147" s="49">
        <f>IF(OR($AE147&lt;&gt;1,Y$1=""),"",SUMIFS('All Donations'!$S$2:$S$4001,'All Donations'!$R$2:$R$4001,$AD147,'All Donations'!$T$2:$T$4001,Y$1))</f>
        <v/>
      </c>
      <c r="Z147" s="49">
        <f>IF(OR($AE147&lt;&gt;1,Z$1=""),"",SUMIFS('All Donations'!$S$2:$S$4001,'All Donations'!$R$2:$R$4001,$AD147,'All Donations'!$T$2:$T$4001,Z$1))</f>
        <v/>
      </c>
      <c r="AA147" s="49">
        <f>IF(OR($AE147&lt;&gt;1,AA$1=""),"",SUMIFS('All Donations'!$S$2:$S$4001,'All Donations'!$R$2:$R$4001,$AD147,'All Donations'!$T$2:$T$4001,AA$1))</f>
        <v/>
      </c>
      <c r="AB147" s="49">
        <f>IF(OR($AE147&lt;&gt;1,AB$1=""),"",SUMIFS('All Donations'!$S$2:$S$4001,'All Donations'!$R$2:$R$4001,$AD147,'All Donations'!$T$2:$T$4001,AB$1))</f>
        <v/>
      </c>
      <c r="AC147" s="49">
        <f>IF(OR($AE147&lt;&gt;1,AC$1=""),"",SUMIFS('All Donations'!$S$2:$S$4001,'All Donations'!$R$2:$R$4001,$AD147,'All Donations'!$T$2:$T$4001,AC$1))</f>
        <v/>
      </c>
      <c r="AD147">
        <f>IF(AE147=1,'Roster'!A147,"")</f>
        <v/>
      </c>
      <c r="AE147">
        <f>IF(TRIM('Roster'!B147&amp;'Roster'!C147)&lt;&gt;"",1,0)</f>
        <v/>
      </c>
      <c r="AF147">
        <f>IF(AE147=1,LOWER(A147),"#")</f>
        <v/>
      </c>
      <c r="AG147">
        <f>IF(AE147=1,LOWER(TRIM(TRIM('Roster'!C147)&amp;", "&amp;TRIM('Roster'!B147))),"#")</f>
        <v/>
      </c>
      <c r="AH147">
        <f>IF(AND(AE147=1,TRIM('Roster'!F147)&lt;&gt;""),LOWER(TRIM('Roster'!F147)),"#")</f>
        <v/>
      </c>
      <c r="AI147">
        <f>IF(AE147=1,IF(MATCH(B147,$B$2:$B$701,0)=ROW()-1,1,0),0)</f>
        <v/>
      </c>
      <c r="AJ147">
        <f>AJ146+AI147</f>
        <v/>
      </c>
      <c r="AK147">
        <f>IF(AE147=1,D147+(1000-ROW())/10^7,-1)</f>
        <v/>
      </c>
      <c r="AL147">
        <f>IF(AE147=1,TRIM('Roster'!B147)&amp;" "&amp;LEFT(TRIM('Roster'!C147),1)&amp;".","")</f>
        <v/>
      </c>
      <c r="AM147">
        <f>IF(AE147=1,TRIM('Roster'!C147)&amp;", "&amp;TRIM('Roster'!B147)&amp;" ("&amp;B147&amp;") #"&amp;AD147,"")</f>
        <v/>
      </c>
      <c r="AN147">
        <f>IF(AE147=1,TRIM('Roster'!E147),"")</f>
        <v/>
      </c>
      <c r="AO147">
        <f>IF(AE147=1,ROUND(SUMIFS('All Donations'!$S$2:$S$4001,'All Donations'!$R$2:$R$4001,AD147,'All Donations'!$T$2:$T$4001,"&gt;="&amp;'Settings'!$C$23,'All Donations'!$T$2:$T$4001,"&lt;="&amp;'Settings'!$D$23),2),0)</f>
        <v/>
      </c>
      <c r="AQ147">
        <f>IF(AE147=1,ROUND(SUMIFS('All Donations'!$S$2:$S$4001,'All Donations'!$R$2:$R$4001,AD147,'All Donations'!$T$2:$T$4001,"&gt;="&amp;'Settings'!$C$25,'All Donations'!$T$2:$T$4001,"&lt;="&amp;'Settings'!$D$25),2),0)</f>
        <v/>
      </c>
      <c r="AR147">
        <f>IF(AE147=1,ROUND(SUMIFS('All Donations'!$S$2:$S$4001,'All Donations'!$R$2:$R$4001,AD147,'All Donations'!$T$2:$T$4001,"&gt;="&amp;'Settings'!$C$26,'All Donations'!$T$2:$T$4001,"&lt;="&amp;'Settings'!$D$26),2),0)</f>
        <v/>
      </c>
      <c r="AS147">
        <f>IF(AE147=1,ROUND(SUMIFS('All Donations'!$S$2:$S$4001,'All Donations'!$R$2:$R$4001,AD147,'All Donations'!$T$2:$T$4001,"&lt;="&amp;'Settings'!$D$27),2),0)</f>
        <v/>
      </c>
      <c r="AT147">
        <f>IF(AE147=1,ROUND(SUMIFS('All Donations'!$S$2:$S$4001,'All Donations'!$R$2:$R$4001,AD147,'All Donations'!$T$2:$T$4001,"&gt;="&amp;'Settings'!$C$28,'All Donations'!$T$2:$T$4001,"&lt;="&amp;'Settings'!$D$28),2),0)</f>
        <v/>
      </c>
      <c r="AU147">
        <f>IF(AE147=1,ROUND(SUMIFS('All Donations'!$S$2:$S$4001,'All Donations'!$R$2:$R$4001,AD147,'All Donations'!$T$2:$T$4001,"&gt;="&amp;'Settings'!$C$29,'All Donations'!$T$2:$T$4001,"&lt;="&amp;'Settings'!$D$29),2),0)</f>
        <v/>
      </c>
      <c r="AV147">
        <f>IF(AE147=1,ROUND(SUMIFS('All Donations'!$S$2:$S$4001,'All Donations'!$R$2:$R$4001,AD147,'All Donations'!$T$2:$T$4001,"&lt;="&amp;'Settings'!$D$30),2),0)</f>
        <v/>
      </c>
      <c r="AZ147">
        <f>IF(AE147=1,ROUND(SUMIFS('All Donations'!$S$2:$S$4001,'All Donations'!$R$2:$R$4001,AD147,'All Donations'!$T$2:$T$4001,"&lt;="&amp;'Settings'!$D$34),2),0)</f>
        <v/>
      </c>
    </row>
    <row r="148">
      <c r="A148">
        <f>IF(AE148=1,TRIM(TRIM('Roster'!B148)&amp;" "&amp;TRIM('Roster'!C148)),"")</f>
        <v/>
      </c>
      <c r="B148">
        <f>IF(AE148=1,IF(AN148="","(no teacher)",AN148&amp;" – "&amp;C148),"")</f>
        <v/>
      </c>
      <c r="C148">
        <f>IF(AE148=1,TRIM('Roster'!D148&amp;""),"")</f>
        <v/>
      </c>
      <c r="D148" s="48">
        <f>IF(AE148=1,ROUND(SUMIFS('All Donations'!$S$2:$S$4001,'All Donations'!$R$2:$R$4001,AD148),2),"")</f>
        <v/>
      </c>
      <c r="E148" s="48">
        <f>IF(AE148=1,ROUND(SUMIFS('All Donations'!$S$2:$S$4001,'All Donations'!$R$2:$R$4001,AD148,'All Donations'!$G$2:$G$4001,"OneCause"),2),"")</f>
        <v/>
      </c>
      <c r="F148" s="48">
        <f>IF(AE148=1,D148-E148,"")</f>
        <v/>
      </c>
      <c r="G148">
        <f>IF(AE148=1,COUNTIFS('All Donations'!$R$2:$R$4001,AD148,'All Donations'!$H$2:$H$4001,"OK"),"")</f>
        <v/>
      </c>
      <c r="H148">
        <f>IF(AE148&lt;&gt;1,"",IF(D148&gt;0,"Yes",""))</f>
        <v/>
      </c>
      <c r="I148" s="49">
        <f>IF(OR($AE148&lt;&gt;1,I$1=""),"",SUMIFS('All Donations'!$S$2:$S$4001,'All Donations'!$R$2:$R$4001,$AD148,'All Donations'!$T$2:$T$4001,I$1))</f>
        <v/>
      </c>
      <c r="J148" s="49">
        <f>IF(OR($AE148&lt;&gt;1,J$1=""),"",SUMIFS('All Donations'!$S$2:$S$4001,'All Donations'!$R$2:$R$4001,$AD148,'All Donations'!$T$2:$T$4001,J$1))</f>
        <v/>
      </c>
      <c r="K148" s="49">
        <f>IF(OR($AE148&lt;&gt;1,K$1=""),"",SUMIFS('All Donations'!$S$2:$S$4001,'All Donations'!$R$2:$R$4001,$AD148,'All Donations'!$T$2:$T$4001,K$1))</f>
        <v/>
      </c>
      <c r="L148" s="49">
        <f>IF(OR($AE148&lt;&gt;1,L$1=""),"",SUMIFS('All Donations'!$S$2:$S$4001,'All Donations'!$R$2:$R$4001,$AD148,'All Donations'!$T$2:$T$4001,L$1))</f>
        <v/>
      </c>
      <c r="M148" s="49">
        <f>IF(OR($AE148&lt;&gt;1,M$1=""),"",SUMIFS('All Donations'!$S$2:$S$4001,'All Donations'!$R$2:$R$4001,$AD148,'All Donations'!$T$2:$T$4001,M$1))</f>
        <v/>
      </c>
      <c r="N148" s="49">
        <f>IF(OR($AE148&lt;&gt;1,N$1=""),"",SUMIFS('All Donations'!$S$2:$S$4001,'All Donations'!$R$2:$R$4001,$AD148,'All Donations'!$T$2:$T$4001,N$1))</f>
        <v/>
      </c>
      <c r="O148" s="49">
        <f>IF(OR($AE148&lt;&gt;1,O$1=""),"",SUMIFS('All Donations'!$S$2:$S$4001,'All Donations'!$R$2:$R$4001,$AD148,'All Donations'!$T$2:$T$4001,O$1))</f>
        <v/>
      </c>
      <c r="P148" s="49">
        <f>IF(OR($AE148&lt;&gt;1,P$1=""),"",SUMIFS('All Donations'!$S$2:$S$4001,'All Donations'!$R$2:$R$4001,$AD148,'All Donations'!$T$2:$T$4001,P$1))</f>
        <v/>
      </c>
      <c r="Q148" s="49">
        <f>IF(OR($AE148&lt;&gt;1,Q$1=""),"",SUMIFS('All Donations'!$S$2:$S$4001,'All Donations'!$R$2:$R$4001,$AD148,'All Donations'!$T$2:$T$4001,Q$1))</f>
        <v/>
      </c>
      <c r="R148" s="49">
        <f>IF(OR($AE148&lt;&gt;1,R$1=""),"",SUMIFS('All Donations'!$S$2:$S$4001,'All Donations'!$R$2:$R$4001,$AD148,'All Donations'!$T$2:$T$4001,R$1))</f>
        <v/>
      </c>
      <c r="S148" s="49">
        <f>IF(OR($AE148&lt;&gt;1,S$1=""),"",SUMIFS('All Donations'!$S$2:$S$4001,'All Donations'!$R$2:$R$4001,$AD148,'All Donations'!$T$2:$T$4001,S$1))</f>
        <v/>
      </c>
      <c r="T148" s="49">
        <f>IF(OR($AE148&lt;&gt;1,T$1=""),"",SUMIFS('All Donations'!$S$2:$S$4001,'All Donations'!$R$2:$R$4001,$AD148,'All Donations'!$T$2:$T$4001,T$1))</f>
        <v/>
      </c>
      <c r="U148" s="49">
        <f>IF(OR($AE148&lt;&gt;1,U$1=""),"",SUMIFS('All Donations'!$S$2:$S$4001,'All Donations'!$R$2:$R$4001,$AD148,'All Donations'!$T$2:$T$4001,U$1))</f>
        <v/>
      </c>
      <c r="V148" s="49">
        <f>IF(OR($AE148&lt;&gt;1,V$1=""),"",SUMIFS('All Donations'!$S$2:$S$4001,'All Donations'!$R$2:$R$4001,$AD148,'All Donations'!$T$2:$T$4001,V$1))</f>
        <v/>
      </c>
      <c r="W148" s="49">
        <f>IF(OR($AE148&lt;&gt;1,W$1=""),"",SUMIFS('All Donations'!$S$2:$S$4001,'All Donations'!$R$2:$R$4001,$AD148,'All Donations'!$T$2:$T$4001,W$1))</f>
        <v/>
      </c>
      <c r="X148" s="49">
        <f>IF(OR($AE148&lt;&gt;1,X$1=""),"",SUMIFS('All Donations'!$S$2:$S$4001,'All Donations'!$R$2:$R$4001,$AD148,'All Donations'!$T$2:$T$4001,X$1))</f>
        <v/>
      </c>
      <c r="Y148" s="49">
        <f>IF(OR($AE148&lt;&gt;1,Y$1=""),"",SUMIFS('All Donations'!$S$2:$S$4001,'All Donations'!$R$2:$R$4001,$AD148,'All Donations'!$T$2:$T$4001,Y$1))</f>
        <v/>
      </c>
      <c r="Z148" s="49">
        <f>IF(OR($AE148&lt;&gt;1,Z$1=""),"",SUMIFS('All Donations'!$S$2:$S$4001,'All Donations'!$R$2:$R$4001,$AD148,'All Donations'!$T$2:$T$4001,Z$1))</f>
        <v/>
      </c>
      <c r="AA148" s="49">
        <f>IF(OR($AE148&lt;&gt;1,AA$1=""),"",SUMIFS('All Donations'!$S$2:$S$4001,'All Donations'!$R$2:$R$4001,$AD148,'All Donations'!$T$2:$T$4001,AA$1))</f>
        <v/>
      </c>
      <c r="AB148" s="49">
        <f>IF(OR($AE148&lt;&gt;1,AB$1=""),"",SUMIFS('All Donations'!$S$2:$S$4001,'All Donations'!$R$2:$R$4001,$AD148,'All Donations'!$T$2:$T$4001,AB$1))</f>
        <v/>
      </c>
      <c r="AC148" s="49">
        <f>IF(OR($AE148&lt;&gt;1,AC$1=""),"",SUMIFS('All Donations'!$S$2:$S$4001,'All Donations'!$R$2:$R$4001,$AD148,'All Donations'!$T$2:$T$4001,AC$1))</f>
        <v/>
      </c>
      <c r="AD148">
        <f>IF(AE148=1,'Roster'!A148,"")</f>
        <v/>
      </c>
      <c r="AE148">
        <f>IF(TRIM('Roster'!B148&amp;'Roster'!C148)&lt;&gt;"",1,0)</f>
        <v/>
      </c>
      <c r="AF148">
        <f>IF(AE148=1,LOWER(A148),"#")</f>
        <v/>
      </c>
      <c r="AG148">
        <f>IF(AE148=1,LOWER(TRIM(TRIM('Roster'!C148)&amp;", "&amp;TRIM('Roster'!B148))),"#")</f>
        <v/>
      </c>
      <c r="AH148">
        <f>IF(AND(AE148=1,TRIM('Roster'!F148)&lt;&gt;""),LOWER(TRIM('Roster'!F148)),"#")</f>
        <v/>
      </c>
      <c r="AI148">
        <f>IF(AE148=1,IF(MATCH(B148,$B$2:$B$701,0)=ROW()-1,1,0),0)</f>
        <v/>
      </c>
      <c r="AJ148">
        <f>AJ147+AI148</f>
        <v/>
      </c>
      <c r="AK148">
        <f>IF(AE148=1,D148+(1000-ROW())/10^7,-1)</f>
        <v/>
      </c>
      <c r="AL148">
        <f>IF(AE148=1,TRIM('Roster'!B148)&amp;" "&amp;LEFT(TRIM('Roster'!C148),1)&amp;".","")</f>
        <v/>
      </c>
      <c r="AM148">
        <f>IF(AE148=1,TRIM('Roster'!C148)&amp;", "&amp;TRIM('Roster'!B148)&amp;" ("&amp;B148&amp;") #"&amp;AD148,"")</f>
        <v/>
      </c>
      <c r="AN148">
        <f>IF(AE148=1,TRIM('Roster'!E148),"")</f>
        <v/>
      </c>
      <c r="AO148">
        <f>IF(AE148=1,ROUND(SUMIFS('All Donations'!$S$2:$S$4001,'All Donations'!$R$2:$R$4001,AD148,'All Donations'!$T$2:$T$4001,"&gt;="&amp;'Settings'!$C$23,'All Donations'!$T$2:$T$4001,"&lt;="&amp;'Settings'!$D$23),2),0)</f>
        <v/>
      </c>
      <c r="AQ148">
        <f>IF(AE148=1,ROUND(SUMIFS('All Donations'!$S$2:$S$4001,'All Donations'!$R$2:$R$4001,AD148,'All Donations'!$T$2:$T$4001,"&gt;="&amp;'Settings'!$C$25,'All Donations'!$T$2:$T$4001,"&lt;="&amp;'Settings'!$D$25),2),0)</f>
        <v/>
      </c>
      <c r="AR148">
        <f>IF(AE148=1,ROUND(SUMIFS('All Donations'!$S$2:$S$4001,'All Donations'!$R$2:$R$4001,AD148,'All Donations'!$T$2:$T$4001,"&gt;="&amp;'Settings'!$C$26,'All Donations'!$T$2:$T$4001,"&lt;="&amp;'Settings'!$D$26),2),0)</f>
        <v/>
      </c>
      <c r="AS148">
        <f>IF(AE148=1,ROUND(SUMIFS('All Donations'!$S$2:$S$4001,'All Donations'!$R$2:$R$4001,AD148,'All Donations'!$T$2:$T$4001,"&lt;="&amp;'Settings'!$D$27),2),0)</f>
        <v/>
      </c>
      <c r="AT148">
        <f>IF(AE148=1,ROUND(SUMIFS('All Donations'!$S$2:$S$4001,'All Donations'!$R$2:$R$4001,AD148,'All Donations'!$T$2:$T$4001,"&gt;="&amp;'Settings'!$C$28,'All Donations'!$T$2:$T$4001,"&lt;="&amp;'Settings'!$D$28),2),0)</f>
        <v/>
      </c>
      <c r="AU148">
        <f>IF(AE148=1,ROUND(SUMIFS('All Donations'!$S$2:$S$4001,'All Donations'!$R$2:$R$4001,AD148,'All Donations'!$T$2:$T$4001,"&gt;="&amp;'Settings'!$C$29,'All Donations'!$T$2:$T$4001,"&lt;="&amp;'Settings'!$D$29),2),0)</f>
        <v/>
      </c>
      <c r="AV148">
        <f>IF(AE148=1,ROUND(SUMIFS('All Donations'!$S$2:$S$4001,'All Donations'!$R$2:$R$4001,AD148,'All Donations'!$T$2:$T$4001,"&lt;="&amp;'Settings'!$D$30),2),0)</f>
        <v/>
      </c>
      <c r="AZ148">
        <f>IF(AE148=1,ROUND(SUMIFS('All Donations'!$S$2:$S$4001,'All Donations'!$R$2:$R$4001,AD148,'All Donations'!$T$2:$T$4001,"&lt;="&amp;'Settings'!$D$34),2),0)</f>
        <v/>
      </c>
    </row>
    <row r="149">
      <c r="A149">
        <f>IF(AE149=1,TRIM(TRIM('Roster'!B149)&amp;" "&amp;TRIM('Roster'!C149)),"")</f>
        <v/>
      </c>
      <c r="B149">
        <f>IF(AE149=1,IF(AN149="","(no teacher)",AN149&amp;" – "&amp;C149),"")</f>
        <v/>
      </c>
      <c r="C149">
        <f>IF(AE149=1,TRIM('Roster'!D149&amp;""),"")</f>
        <v/>
      </c>
      <c r="D149" s="48">
        <f>IF(AE149=1,ROUND(SUMIFS('All Donations'!$S$2:$S$4001,'All Donations'!$R$2:$R$4001,AD149),2),"")</f>
        <v/>
      </c>
      <c r="E149" s="48">
        <f>IF(AE149=1,ROUND(SUMIFS('All Donations'!$S$2:$S$4001,'All Donations'!$R$2:$R$4001,AD149,'All Donations'!$G$2:$G$4001,"OneCause"),2),"")</f>
        <v/>
      </c>
      <c r="F149" s="48">
        <f>IF(AE149=1,D149-E149,"")</f>
        <v/>
      </c>
      <c r="G149">
        <f>IF(AE149=1,COUNTIFS('All Donations'!$R$2:$R$4001,AD149,'All Donations'!$H$2:$H$4001,"OK"),"")</f>
        <v/>
      </c>
      <c r="H149">
        <f>IF(AE149&lt;&gt;1,"",IF(D149&gt;0,"Yes",""))</f>
        <v/>
      </c>
      <c r="I149" s="49">
        <f>IF(OR($AE149&lt;&gt;1,I$1=""),"",SUMIFS('All Donations'!$S$2:$S$4001,'All Donations'!$R$2:$R$4001,$AD149,'All Donations'!$T$2:$T$4001,I$1))</f>
        <v/>
      </c>
      <c r="J149" s="49">
        <f>IF(OR($AE149&lt;&gt;1,J$1=""),"",SUMIFS('All Donations'!$S$2:$S$4001,'All Donations'!$R$2:$R$4001,$AD149,'All Donations'!$T$2:$T$4001,J$1))</f>
        <v/>
      </c>
      <c r="K149" s="49">
        <f>IF(OR($AE149&lt;&gt;1,K$1=""),"",SUMIFS('All Donations'!$S$2:$S$4001,'All Donations'!$R$2:$R$4001,$AD149,'All Donations'!$T$2:$T$4001,K$1))</f>
        <v/>
      </c>
      <c r="L149" s="49">
        <f>IF(OR($AE149&lt;&gt;1,L$1=""),"",SUMIFS('All Donations'!$S$2:$S$4001,'All Donations'!$R$2:$R$4001,$AD149,'All Donations'!$T$2:$T$4001,L$1))</f>
        <v/>
      </c>
      <c r="M149" s="49">
        <f>IF(OR($AE149&lt;&gt;1,M$1=""),"",SUMIFS('All Donations'!$S$2:$S$4001,'All Donations'!$R$2:$R$4001,$AD149,'All Donations'!$T$2:$T$4001,M$1))</f>
        <v/>
      </c>
      <c r="N149" s="49">
        <f>IF(OR($AE149&lt;&gt;1,N$1=""),"",SUMIFS('All Donations'!$S$2:$S$4001,'All Donations'!$R$2:$R$4001,$AD149,'All Donations'!$T$2:$T$4001,N$1))</f>
        <v/>
      </c>
      <c r="O149" s="49">
        <f>IF(OR($AE149&lt;&gt;1,O$1=""),"",SUMIFS('All Donations'!$S$2:$S$4001,'All Donations'!$R$2:$R$4001,$AD149,'All Donations'!$T$2:$T$4001,O$1))</f>
        <v/>
      </c>
      <c r="P149" s="49">
        <f>IF(OR($AE149&lt;&gt;1,P$1=""),"",SUMIFS('All Donations'!$S$2:$S$4001,'All Donations'!$R$2:$R$4001,$AD149,'All Donations'!$T$2:$T$4001,P$1))</f>
        <v/>
      </c>
      <c r="Q149" s="49">
        <f>IF(OR($AE149&lt;&gt;1,Q$1=""),"",SUMIFS('All Donations'!$S$2:$S$4001,'All Donations'!$R$2:$R$4001,$AD149,'All Donations'!$T$2:$T$4001,Q$1))</f>
        <v/>
      </c>
      <c r="R149" s="49">
        <f>IF(OR($AE149&lt;&gt;1,R$1=""),"",SUMIFS('All Donations'!$S$2:$S$4001,'All Donations'!$R$2:$R$4001,$AD149,'All Donations'!$T$2:$T$4001,R$1))</f>
        <v/>
      </c>
      <c r="S149" s="49">
        <f>IF(OR($AE149&lt;&gt;1,S$1=""),"",SUMIFS('All Donations'!$S$2:$S$4001,'All Donations'!$R$2:$R$4001,$AD149,'All Donations'!$T$2:$T$4001,S$1))</f>
        <v/>
      </c>
      <c r="T149" s="49">
        <f>IF(OR($AE149&lt;&gt;1,T$1=""),"",SUMIFS('All Donations'!$S$2:$S$4001,'All Donations'!$R$2:$R$4001,$AD149,'All Donations'!$T$2:$T$4001,T$1))</f>
        <v/>
      </c>
      <c r="U149" s="49">
        <f>IF(OR($AE149&lt;&gt;1,U$1=""),"",SUMIFS('All Donations'!$S$2:$S$4001,'All Donations'!$R$2:$R$4001,$AD149,'All Donations'!$T$2:$T$4001,U$1))</f>
        <v/>
      </c>
      <c r="V149" s="49">
        <f>IF(OR($AE149&lt;&gt;1,V$1=""),"",SUMIFS('All Donations'!$S$2:$S$4001,'All Donations'!$R$2:$R$4001,$AD149,'All Donations'!$T$2:$T$4001,V$1))</f>
        <v/>
      </c>
      <c r="W149" s="49">
        <f>IF(OR($AE149&lt;&gt;1,W$1=""),"",SUMIFS('All Donations'!$S$2:$S$4001,'All Donations'!$R$2:$R$4001,$AD149,'All Donations'!$T$2:$T$4001,W$1))</f>
        <v/>
      </c>
      <c r="X149" s="49">
        <f>IF(OR($AE149&lt;&gt;1,X$1=""),"",SUMIFS('All Donations'!$S$2:$S$4001,'All Donations'!$R$2:$R$4001,$AD149,'All Donations'!$T$2:$T$4001,X$1))</f>
        <v/>
      </c>
      <c r="Y149" s="49">
        <f>IF(OR($AE149&lt;&gt;1,Y$1=""),"",SUMIFS('All Donations'!$S$2:$S$4001,'All Donations'!$R$2:$R$4001,$AD149,'All Donations'!$T$2:$T$4001,Y$1))</f>
        <v/>
      </c>
      <c r="Z149" s="49">
        <f>IF(OR($AE149&lt;&gt;1,Z$1=""),"",SUMIFS('All Donations'!$S$2:$S$4001,'All Donations'!$R$2:$R$4001,$AD149,'All Donations'!$T$2:$T$4001,Z$1))</f>
        <v/>
      </c>
      <c r="AA149" s="49">
        <f>IF(OR($AE149&lt;&gt;1,AA$1=""),"",SUMIFS('All Donations'!$S$2:$S$4001,'All Donations'!$R$2:$R$4001,$AD149,'All Donations'!$T$2:$T$4001,AA$1))</f>
        <v/>
      </c>
      <c r="AB149" s="49">
        <f>IF(OR($AE149&lt;&gt;1,AB$1=""),"",SUMIFS('All Donations'!$S$2:$S$4001,'All Donations'!$R$2:$R$4001,$AD149,'All Donations'!$T$2:$T$4001,AB$1))</f>
        <v/>
      </c>
      <c r="AC149" s="49">
        <f>IF(OR($AE149&lt;&gt;1,AC$1=""),"",SUMIFS('All Donations'!$S$2:$S$4001,'All Donations'!$R$2:$R$4001,$AD149,'All Donations'!$T$2:$T$4001,AC$1))</f>
        <v/>
      </c>
      <c r="AD149">
        <f>IF(AE149=1,'Roster'!A149,"")</f>
        <v/>
      </c>
      <c r="AE149">
        <f>IF(TRIM('Roster'!B149&amp;'Roster'!C149)&lt;&gt;"",1,0)</f>
        <v/>
      </c>
      <c r="AF149">
        <f>IF(AE149=1,LOWER(A149),"#")</f>
        <v/>
      </c>
      <c r="AG149">
        <f>IF(AE149=1,LOWER(TRIM(TRIM('Roster'!C149)&amp;", "&amp;TRIM('Roster'!B149))),"#")</f>
        <v/>
      </c>
      <c r="AH149">
        <f>IF(AND(AE149=1,TRIM('Roster'!F149)&lt;&gt;""),LOWER(TRIM('Roster'!F149)),"#")</f>
        <v/>
      </c>
      <c r="AI149">
        <f>IF(AE149=1,IF(MATCH(B149,$B$2:$B$701,0)=ROW()-1,1,0),0)</f>
        <v/>
      </c>
      <c r="AJ149">
        <f>AJ148+AI149</f>
        <v/>
      </c>
      <c r="AK149">
        <f>IF(AE149=1,D149+(1000-ROW())/10^7,-1)</f>
        <v/>
      </c>
      <c r="AL149">
        <f>IF(AE149=1,TRIM('Roster'!B149)&amp;" "&amp;LEFT(TRIM('Roster'!C149),1)&amp;".","")</f>
        <v/>
      </c>
      <c r="AM149">
        <f>IF(AE149=1,TRIM('Roster'!C149)&amp;", "&amp;TRIM('Roster'!B149)&amp;" ("&amp;B149&amp;") #"&amp;AD149,"")</f>
        <v/>
      </c>
      <c r="AN149">
        <f>IF(AE149=1,TRIM('Roster'!E149),"")</f>
        <v/>
      </c>
      <c r="AO149">
        <f>IF(AE149=1,ROUND(SUMIFS('All Donations'!$S$2:$S$4001,'All Donations'!$R$2:$R$4001,AD149,'All Donations'!$T$2:$T$4001,"&gt;="&amp;'Settings'!$C$23,'All Donations'!$T$2:$T$4001,"&lt;="&amp;'Settings'!$D$23),2),0)</f>
        <v/>
      </c>
      <c r="AQ149">
        <f>IF(AE149=1,ROUND(SUMIFS('All Donations'!$S$2:$S$4001,'All Donations'!$R$2:$R$4001,AD149,'All Donations'!$T$2:$T$4001,"&gt;="&amp;'Settings'!$C$25,'All Donations'!$T$2:$T$4001,"&lt;="&amp;'Settings'!$D$25),2),0)</f>
        <v/>
      </c>
      <c r="AR149">
        <f>IF(AE149=1,ROUND(SUMIFS('All Donations'!$S$2:$S$4001,'All Donations'!$R$2:$R$4001,AD149,'All Donations'!$T$2:$T$4001,"&gt;="&amp;'Settings'!$C$26,'All Donations'!$T$2:$T$4001,"&lt;="&amp;'Settings'!$D$26),2),0)</f>
        <v/>
      </c>
      <c r="AS149">
        <f>IF(AE149=1,ROUND(SUMIFS('All Donations'!$S$2:$S$4001,'All Donations'!$R$2:$R$4001,AD149,'All Donations'!$T$2:$T$4001,"&lt;="&amp;'Settings'!$D$27),2),0)</f>
        <v/>
      </c>
      <c r="AT149">
        <f>IF(AE149=1,ROUND(SUMIFS('All Donations'!$S$2:$S$4001,'All Donations'!$R$2:$R$4001,AD149,'All Donations'!$T$2:$T$4001,"&gt;="&amp;'Settings'!$C$28,'All Donations'!$T$2:$T$4001,"&lt;="&amp;'Settings'!$D$28),2),0)</f>
        <v/>
      </c>
      <c r="AU149">
        <f>IF(AE149=1,ROUND(SUMIFS('All Donations'!$S$2:$S$4001,'All Donations'!$R$2:$R$4001,AD149,'All Donations'!$T$2:$T$4001,"&gt;="&amp;'Settings'!$C$29,'All Donations'!$T$2:$T$4001,"&lt;="&amp;'Settings'!$D$29),2),0)</f>
        <v/>
      </c>
      <c r="AV149">
        <f>IF(AE149=1,ROUND(SUMIFS('All Donations'!$S$2:$S$4001,'All Donations'!$R$2:$R$4001,AD149,'All Donations'!$T$2:$T$4001,"&lt;="&amp;'Settings'!$D$30),2),0)</f>
        <v/>
      </c>
      <c r="AZ149">
        <f>IF(AE149=1,ROUND(SUMIFS('All Donations'!$S$2:$S$4001,'All Donations'!$R$2:$R$4001,AD149,'All Donations'!$T$2:$T$4001,"&lt;="&amp;'Settings'!$D$34),2),0)</f>
        <v/>
      </c>
    </row>
    <row r="150">
      <c r="A150">
        <f>IF(AE150=1,TRIM(TRIM('Roster'!B150)&amp;" "&amp;TRIM('Roster'!C150)),"")</f>
        <v/>
      </c>
      <c r="B150">
        <f>IF(AE150=1,IF(AN150="","(no teacher)",AN150&amp;" – "&amp;C150),"")</f>
        <v/>
      </c>
      <c r="C150">
        <f>IF(AE150=1,TRIM('Roster'!D150&amp;""),"")</f>
        <v/>
      </c>
      <c r="D150" s="48">
        <f>IF(AE150=1,ROUND(SUMIFS('All Donations'!$S$2:$S$4001,'All Donations'!$R$2:$R$4001,AD150),2),"")</f>
        <v/>
      </c>
      <c r="E150" s="48">
        <f>IF(AE150=1,ROUND(SUMIFS('All Donations'!$S$2:$S$4001,'All Donations'!$R$2:$R$4001,AD150,'All Donations'!$G$2:$G$4001,"OneCause"),2),"")</f>
        <v/>
      </c>
      <c r="F150" s="48">
        <f>IF(AE150=1,D150-E150,"")</f>
        <v/>
      </c>
      <c r="G150">
        <f>IF(AE150=1,COUNTIFS('All Donations'!$R$2:$R$4001,AD150,'All Donations'!$H$2:$H$4001,"OK"),"")</f>
        <v/>
      </c>
      <c r="H150">
        <f>IF(AE150&lt;&gt;1,"",IF(D150&gt;0,"Yes",""))</f>
        <v/>
      </c>
      <c r="I150" s="49">
        <f>IF(OR($AE150&lt;&gt;1,I$1=""),"",SUMIFS('All Donations'!$S$2:$S$4001,'All Donations'!$R$2:$R$4001,$AD150,'All Donations'!$T$2:$T$4001,I$1))</f>
        <v/>
      </c>
      <c r="J150" s="49">
        <f>IF(OR($AE150&lt;&gt;1,J$1=""),"",SUMIFS('All Donations'!$S$2:$S$4001,'All Donations'!$R$2:$R$4001,$AD150,'All Donations'!$T$2:$T$4001,J$1))</f>
        <v/>
      </c>
      <c r="K150" s="49">
        <f>IF(OR($AE150&lt;&gt;1,K$1=""),"",SUMIFS('All Donations'!$S$2:$S$4001,'All Donations'!$R$2:$R$4001,$AD150,'All Donations'!$T$2:$T$4001,K$1))</f>
        <v/>
      </c>
      <c r="L150" s="49">
        <f>IF(OR($AE150&lt;&gt;1,L$1=""),"",SUMIFS('All Donations'!$S$2:$S$4001,'All Donations'!$R$2:$R$4001,$AD150,'All Donations'!$T$2:$T$4001,L$1))</f>
        <v/>
      </c>
      <c r="M150" s="49">
        <f>IF(OR($AE150&lt;&gt;1,M$1=""),"",SUMIFS('All Donations'!$S$2:$S$4001,'All Donations'!$R$2:$R$4001,$AD150,'All Donations'!$T$2:$T$4001,M$1))</f>
        <v/>
      </c>
      <c r="N150" s="49">
        <f>IF(OR($AE150&lt;&gt;1,N$1=""),"",SUMIFS('All Donations'!$S$2:$S$4001,'All Donations'!$R$2:$R$4001,$AD150,'All Donations'!$T$2:$T$4001,N$1))</f>
        <v/>
      </c>
      <c r="O150" s="49">
        <f>IF(OR($AE150&lt;&gt;1,O$1=""),"",SUMIFS('All Donations'!$S$2:$S$4001,'All Donations'!$R$2:$R$4001,$AD150,'All Donations'!$T$2:$T$4001,O$1))</f>
        <v/>
      </c>
      <c r="P150" s="49">
        <f>IF(OR($AE150&lt;&gt;1,P$1=""),"",SUMIFS('All Donations'!$S$2:$S$4001,'All Donations'!$R$2:$R$4001,$AD150,'All Donations'!$T$2:$T$4001,P$1))</f>
        <v/>
      </c>
      <c r="Q150" s="49">
        <f>IF(OR($AE150&lt;&gt;1,Q$1=""),"",SUMIFS('All Donations'!$S$2:$S$4001,'All Donations'!$R$2:$R$4001,$AD150,'All Donations'!$T$2:$T$4001,Q$1))</f>
        <v/>
      </c>
      <c r="R150" s="49">
        <f>IF(OR($AE150&lt;&gt;1,R$1=""),"",SUMIFS('All Donations'!$S$2:$S$4001,'All Donations'!$R$2:$R$4001,$AD150,'All Donations'!$T$2:$T$4001,R$1))</f>
        <v/>
      </c>
      <c r="S150" s="49">
        <f>IF(OR($AE150&lt;&gt;1,S$1=""),"",SUMIFS('All Donations'!$S$2:$S$4001,'All Donations'!$R$2:$R$4001,$AD150,'All Donations'!$T$2:$T$4001,S$1))</f>
        <v/>
      </c>
      <c r="T150" s="49">
        <f>IF(OR($AE150&lt;&gt;1,T$1=""),"",SUMIFS('All Donations'!$S$2:$S$4001,'All Donations'!$R$2:$R$4001,$AD150,'All Donations'!$T$2:$T$4001,T$1))</f>
        <v/>
      </c>
      <c r="U150" s="49">
        <f>IF(OR($AE150&lt;&gt;1,U$1=""),"",SUMIFS('All Donations'!$S$2:$S$4001,'All Donations'!$R$2:$R$4001,$AD150,'All Donations'!$T$2:$T$4001,U$1))</f>
        <v/>
      </c>
      <c r="V150" s="49">
        <f>IF(OR($AE150&lt;&gt;1,V$1=""),"",SUMIFS('All Donations'!$S$2:$S$4001,'All Donations'!$R$2:$R$4001,$AD150,'All Donations'!$T$2:$T$4001,V$1))</f>
        <v/>
      </c>
      <c r="W150" s="49">
        <f>IF(OR($AE150&lt;&gt;1,W$1=""),"",SUMIFS('All Donations'!$S$2:$S$4001,'All Donations'!$R$2:$R$4001,$AD150,'All Donations'!$T$2:$T$4001,W$1))</f>
        <v/>
      </c>
      <c r="X150" s="49">
        <f>IF(OR($AE150&lt;&gt;1,X$1=""),"",SUMIFS('All Donations'!$S$2:$S$4001,'All Donations'!$R$2:$R$4001,$AD150,'All Donations'!$T$2:$T$4001,X$1))</f>
        <v/>
      </c>
      <c r="Y150" s="49">
        <f>IF(OR($AE150&lt;&gt;1,Y$1=""),"",SUMIFS('All Donations'!$S$2:$S$4001,'All Donations'!$R$2:$R$4001,$AD150,'All Donations'!$T$2:$T$4001,Y$1))</f>
        <v/>
      </c>
      <c r="Z150" s="49">
        <f>IF(OR($AE150&lt;&gt;1,Z$1=""),"",SUMIFS('All Donations'!$S$2:$S$4001,'All Donations'!$R$2:$R$4001,$AD150,'All Donations'!$T$2:$T$4001,Z$1))</f>
        <v/>
      </c>
      <c r="AA150" s="49">
        <f>IF(OR($AE150&lt;&gt;1,AA$1=""),"",SUMIFS('All Donations'!$S$2:$S$4001,'All Donations'!$R$2:$R$4001,$AD150,'All Donations'!$T$2:$T$4001,AA$1))</f>
        <v/>
      </c>
      <c r="AB150" s="49">
        <f>IF(OR($AE150&lt;&gt;1,AB$1=""),"",SUMIFS('All Donations'!$S$2:$S$4001,'All Donations'!$R$2:$R$4001,$AD150,'All Donations'!$T$2:$T$4001,AB$1))</f>
        <v/>
      </c>
      <c r="AC150" s="49">
        <f>IF(OR($AE150&lt;&gt;1,AC$1=""),"",SUMIFS('All Donations'!$S$2:$S$4001,'All Donations'!$R$2:$R$4001,$AD150,'All Donations'!$T$2:$T$4001,AC$1))</f>
        <v/>
      </c>
      <c r="AD150">
        <f>IF(AE150=1,'Roster'!A150,"")</f>
        <v/>
      </c>
      <c r="AE150">
        <f>IF(TRIM('Roster'!B150&amp;'Roster'!C150)&lt;&gt;"",1,0)</f>
        <v/>
      </c>
      <c r="AF150">
        <f>IF(AE150=1,LOWER(A150),"#")</f>
        <v/>
      </c>
      <c r="AG150">
        <f>IF(AE150=1,LOWER(TRIM(TRIM('Roster'!C150)&amp;", "&amp;TRIM('Roster'!B150))),"#")</f>
        <v/>
      </c>
      <c r="AH150">
        <f>IF(AND(AE150=1,TRIM('Roster'!F150)&lt;&gt;""),LOWER(TRIM('Roster'!F150)),"#")</f>
        <v/>
      </c>
      <c r="AI150">
        <f>IF(AE150=1,IF(MATCH(B150,$B$2:$B$701,0)=ROW()-1,1,0),0)</f>
        <v/>
      </c>
      <c r="AJ150">
        <f>AJ149+AI150</f>
        <v/>
      </c>
      <c r="AK150">
        <f>IF(AE150=1,D150+(1000-ROW())/10^7,-1)</f>
        <v/>
      </c>
      <c r="AL150">
        <f>IF(AE150=1,TRIM('Roster'!B150)&amp;" "&amp;LEFT(TRIM('Roster'!C150),1)&amp;".","")</f>
        <v/>
      </c>
      <c r="AM150">
        <f>IF(AE150=1,TRIM('Roster'!C150)&amp;", "&amp;TRIM('Roster'!B150)&amp;" ("&amp;B150&amp;") #"&amp;AD150,"")</f>
        <v/>
      </c>
      <c r="AN150">
        <f>IF(AE150=1,TRIM('Roster'!E150),"")</f>
        <v/>
      </c>
      <c r="AO150">
        <f>IF(AE150=1,ROUND(SUMIFS('All Donations'!$S$2:$S$4001,'All Donations'!$R$2:$R$4001,AD150,'All Donations'!$T$2:$T$4001,"&gt;="&amp;'Settings'!$C$23,'All Donations'!$T$2:$T$4001,"&lt;="&amp;'Settings'!$D$23),2),0)</f>
        <v/>
      </c>
      <c r="AQ150">
        <f>IF(AE150=1,ROUND(SUMIFS('All Donations'!$S$2:$S$4001,'All Donations'!$R$2:$R$4001,AD150,'All Donations'!$T$2:$T$4001,"&gt;="&amp;'Settings'!$C$25,'All Donations'!$T$2:$T$4001,"&lt;="&amp;'Settings'!$D$25),2),0)</f>
        <v/>
      </c>
      <c r="AR150">
        <f>IF(AE150=1,ROUND(SUMIFS('All Donations'!$S$2:$S$4001,'All Donations'!$R$2:$R$4001,AD150,'All Donations'!$T$2:$T$4001,"&gt;="&amp;'Settings'!$C$26,'All Donations'!$T$2:$T$4001,"&lt;="&amp;'Settings'!$D$26),2),0)</f>
        <v/>
      </c>
      <c r="AS150">
        <f>IF(AE150=1,ROUND(SUMIFS('All Donations'!$S$2:$S$4001,'All Donations'!$R$2:$R$4001,AD150,'All Donations'!$T$2:$T$4001,"&lt;="&amp;'Settings'!$D$27),2),0)</f>
        <v/>
      </c>
      <c r="AT150">
        <f>IF(AE150=1,ROUND(SUMIFS('All Donations'!$S$2:$S$4001,'All Donations'!$R$2:$R$4001,AD150,'All Donations'!$T$2:$T$4001,"&gt;="&amp;'Settings'!$C$28,'All Donations'!$T$2:$T$4001,"&lt;="&amp;'Settings'!$D$28),2),0)</f>
        <v/>
      </c>
      <c r="AU150">
        <f>IF(AE150=1,ROUND(SUMIFS('All Donations'!$S$2:$S$4001,'All Donations'!$R$2:$R$4001,AD150,'All Donations'!$T$2:$T$4001,"&gt;="&amp;'Settings'!$C$29,'All Donations'!$T$2:$T$4001,"&lt;="&amp;'Settings'!$D$29),2),0)</f>
        <v/>
      </c>
      <c r="AV150">
        <f>IF(AE150=1,ROUND(SUMIFS('All Donations'!$S$2:$S$4001,'All Donations'!$R$2:$R$4001,AD150,'All Donations'!$T$2:$T$4001,"&lt;="&amp;'Settings'!$D$30),2),0)</f>
        <v/>
      </c>
      <c r="AZ150">
        <f>IF(AE150=1,ROUND(SUMIFS('All Donations'!$S$2:$S$4001,'All Donations'!$R$2:$R$4001,AD150,'All Donations'!$T$2:$T$4001,"&lt;="&amp;'Settings'!$D$34),2),0)</f>
        <v/>
      </c>
    </row>
    <row r="151">
      <c r="A151">
        <f>IF(AE151=1,TRIM(TRIM('Roster'!B151)&amp;" "&amp;TRIM('Roster'!C151)),"")</f>
        <v/>
      </c>
      <c r="B151">
        <f>IF(AE151=1,IF(AN151="","(no teacher)",AN151&amp;" – "&amp;C151),"")</f>
        <v/>
      </c>
      <c r="C151">
        <f>IF(AE151=1,TRIM('Roster'!D151&amp;""),"")</f>
        <v/>
      </c>
      <c r="D151" s="48">
        <f>IF(AE151=1,ROUND(SUMIFS('All Donations'!$S$2:$S$4001,'All Donations'!$R$2:$R$4001,AD151),2),"")</f>
        <v/>
      </c>
      <c r="E151" s="48">
        <f>IF(AE151=1,ROUND(SUMIFS('All Donations'!$S$2:$S$4001,'All Donations'!$R$2:$R$4001,AD151,'All Donations'!$G$2:$G$4001,"OneCause"),2),"")</f>
        <v/>
      </c>
      <c r="F151" s="48">
        <f>IF(AE151=1,D151-E151,"")</f>
        <v/>
      </c>
      <c r="G151">
        <f>IF(AE151=1,COUNTIFS('All Donations'!$R$2:$R$4001,AD151,'All Donations'!$H$2:$H$4001,"OK"),"")</f>
        <v/>
      </c>
      <c r="H151">
        <f>IF(AE151&lt;&gt;1,"",IF(D151&gt;0,"Yes",""))</f>
        <v/>
      </c>
      <c r="I151" s="49">
        <f>IF(OR($AE151&lt;&gt;1,I$1=""),"",SUMIFS('All Donations'!$S$2:$S$4001,'All Donations'!$R$2:$R$4001,$AD151,'All Donations'!$T$2:$T$4001,I$1))</f>
        <v/>
      </c>
      <c r="J151" s="49">
        <f>IF(OR($AE151&lt;&gt;1,J$1=""),"",SUMIFS('All Donations'!$S$2:$S$4001,'All Donations'!$R$2:$R$4001,$AD151,'All Donations'!$T$2:$T$4001,J$1))</f>
        <v/>
      </c>
      <c r="K151" s="49">
        <f>IF(OR($AE151&lt;&gt;1,K$1=""),"",SUMIFS('All Donations'!$S$2:$S$4001,'All Donations'!$R$2:$R$4001,$AD151,'All Donations'!$T$2:$T$4001,K$1))</f>
        <v/>
      </c>
      <c r="L151" s="49">
        <f>IF(OR($AE151&lt;&gt;1,L$1=""),"",SUMIFS('All Donations'!$S$2:$S$4001,'All Donations'!$R$2:$R$4001,$AD151,'All Donations'!$T$2:$T$4001,L$1))</f>
        <v/>
      </c>
      <c r="M151" s="49">
        <f>IF(OR($AE151&lt;&gt;1,M$1=""),"",SUMIFS('All Donations'!$S$2:$S$4001,'All Donations'!$R$2:$R$4001,$AD151,'All Donations'!$T$2:$T$4001,M$1))</f>
        <v/>
      </c>
      <c r="N151" s="49">
        <f>IF(OR($AE151&lt;&gt;1,N$1=""),"",SUMIFS('All Donations'!$S$2:$S$4001,'All Donations'!$R$2:$R$4001,$AD151,'All Donations'!$T$2:$T$4001,N$1))</f>
        <v/>
      </c>
      <c r="O151" s="49">
        <f>IF(OR($AE151&lt;&gt;1,O$1=""),"",SUMIFS('All Donations'!$S$2:$S$4001,'All Donations'!$R$2:$R$4001,$AD151,'All Donations'!$T$2:$T$4001,O$1))</f>
        <v/>
      </c>
      <c r="P151" s="49">
        <f>IF(OR($AE151&lt;&gt;1,P$1=""),"",SUMIFS('All Donations'!$S$2:$S$4001,'All Donations'!$R$2:$R$4001,$AD151,'All Donations'!$T$2:$T$4001,P$1))</f>
        <v/>
      </c>
      <c r="Q151" s="49">
        <f>IF(OR($AE151&lt;&gt;1,Q$1=""),"",SUMIFS('All Donations'!$S$2:$S$4001,'All Donations'!$R$2:$R$4001,$AD151,'All Donations'!$T$2:$T$4001,Q$1))</f>
        <v/>
      </c>
      <c r="R151" s="49">
        <f>IF(OR($AE151&lt;&gt;1,R$1=""),"",SUMIFS('All Donations'!$S$2:$S$4001,'All Donations'!$R$2:$R$4001,$AD151,'All Donations'!$T$2:$T$4001,R$1))</f>
        <v/>
      </c>
      <c r="S151" s="49">
        <f>IF(OR($AE151&lt;&gt;1,S$1=""),"",SUMIFS('All Donations'!$S$2:$S$4001,'All Donations'!$R$2:$R$4001,$AD151,'All Donations'!$T$2:$T$4001,S$1))</f>
        <v/>
      </c>
      <c r="T151" s="49">
        <f>IF(OR($AE151&lt;&gt;1,T$1=""),"",SUMIFS('All Donations'!$S$2:$S$4001,'All Donations'!$R$2:$R$4001,$AD151,'All Donations'!$T$2:$T$4001,T$1))</f>
        <v/>
      </c>
      <c r="U151" s="49">
        <f>IF(OR($AE151&lt;&gt;1,U$1=""),"",SUMIFS('All Donations'!$S$2:$S$4001,'All Donations'!$R$2:$R$4001,$AD151,'All Donations'!$T$2:$T$4001,U$1))</f>
        <v/>
      </c>
      <c r="V151" s="49">
        <f>IF(OR($AE151&lt;&gt;1,V$1=""),"",SUMIFS('All Donations'!$S$2:$S$4001,'All Donations'!$R$2:$R$4001,$AD151,'All Donations'!$T$2:$T$4001,V$1))</f>
        <v/>
      </c>
      <c r="W151" s="49">
        <f>IF(OR($AE151&lt;&gt;1,W$1=""),"",SUMIFS('All Donations'!$S$2:$S$4001,'All Donations'!$R$2:$R$4001,$AD151,'All Donations'!$T$2:$T$4001,W$1))</f>
        <v/>
      </c>
      <c r="X151" s="49">
        <f>IF(OR($AE151&lt;&gt;1,X$1=""),"",SUMIFS('All Donations'!$S$2:$S$4001,'All Donations'!$R$2:$R$4001,$AD151,'All Donations'!$T$2:$T$4001,X$1))</f>
        <v/>
      </c>
      <c r="Y151" s="49">
        <f>IF(OR($AE151&lt;&gt;1,Y$1=""),"",SUMIFS('All Donations'!$S$2:$S$4001,'All Donations'!$R$2:$R$4001,$AD151,'All Donations'!$T$2:$T$4001,Y$1))</f>
        <v/>
      </c>
      <c r="Z151" s="49">
        <f>IF(OR($AE151&lt;&gt;1,Z$1=""),"",SUMIFS('All Donations'!$S$2:$S$4001,'All Donations'!$R$2:$R$4001,$AD151,'All Donations'!$T$2:$T$4001,Z$1))</f>
        <v/>
      </c>
      <c r="AA151" s="49">
        <f>IF(OR($AE151&lt;&gt;1,AA$1=""),"",SUMIFS('All Donations'!$S$2:$S$4001,'All Donations'!$R$2:$R$4001,$AD151,'All Donations'!$T$2:$T$4001,AA$1))</f>
        <v/>
      </c>
      <c r="AB151" s="49">
        <f>IF(OR($AE151&lt;&gt;1,AB$1=""),"",SUMIFS('All Donations'!$S$2:$S$4001,'All Donations'!$R$2:$R$4001,$AD151,'All Donations'!$T$2:$T$4001,AB$1))</f>
        <v/>
      </c>
      <c r="AC151" s="49">
        <f>IF(OR($AE151&lt;&gt;1,AC$1=""),"",SUMIFS('All Donations'!$S$2:$S$4001,'All Donations'!$R$2:$R$4001,$AD151,'All Donations'!$T$2:$T$4001,AC$1))</f>
        <v/>
      </c>
      <c r="AD151">
        <f>IF(AE151=1,'Roster'!A151,"")</f>
        <v/>
      </c>
      <c r="AE151">
        <f>IF(TRIM('Roster'!B151&amp;'Roster'!C151)&lt;&gt;"",1,0)</f>
        <v/>
      </c>
      <c r="AF151">
        <f>IF(AE151=1,LOWER(A151),"#")</f>
        <v/>
      </c>
      <c r="AG151">
        <f>IF(AE151=1,LOWER(TRIM(TRIM('Roster'!C151)&amp;", "&amp;TRIM('Roster'!B151))),"#")</f>
        <v/>
      </c>
      <c r="AH151">
        <f>IF(AND(AE151=1,TRIM('Roster'!F151)&lt;&gt;""),LOWER(TRIM('Roster'!F151)),"#")</f>
        <v/>
      </c>
      <c r="AI151">
        <f>IF(AE151=1,IF(MATCH(B151,$B$2:$B$701,0)=ROW()-1,1,0),0)</f>
        <v/>
      </c>
      <c r="AJ151">
        <f>AJ150+AI151</f>
        <v/>
      </c>
      <c r="AK151">
        <f>IF(AE151=1,D151+(1000-ROW())/10^7,-1)</f>
        <v/>
      </c>
      <c r="AL151">
        <f>IF(AE151=1,TRIM('Roster'!B151)&amp;" "&amp;LEFT(TRIM('Roster'!C151),1)&amp;".","")</f>
        <v/>
      </c>
      <c r="AM151">
        <f>IF(AE151=1,TRIM('Roster'!C151)&amp;", "&amp;TRIM('Roster'!B151)&amp;" ("&amp;B151&amp;") #"&amp;AD151,"")</f>
        <v/>
      </c>
      <c r="AN151">
        <f>IF(AE151=1,TRIM('Roster'!E151),"")</f>
        <v/>
      </c>
      <c r="AO151">
        <f>IF(AE151=1,ROUND(SUMIFS('All Donations'!$S$2:$S$4001,'All Donations'!$R$2:$R$4001,AD151,'All Donations'!$T$2:$T$4001,"&gt;="&amp;'Settings'!$C$23,'All Donations'!$T$2:$T$4001,"&lt;="&amp;'Settings'!$D$23),2),0)</f>
        <v/>
      </c>
      <c r="AQ151">
        <f>IF(AE151=1,ROUND(SUMIFS('All Donations'!$S$2:$S$4001,'All Donations'!$R$2:$R$4001,AD151,'All Donations'!$T$2:$T$4001,"&gt;="&amp;'Settings'!$C$25,'All Donations'!$T$2:$T$4001,"&lt;="&amp;'Settings'!$D$25),2),0)</f>
        <v/>
      </c>
      <c r="AR151">
        <f>IF(AE151=1,ROUND(SUMIFS('All Donations'!$S$2:$S$4001,'All Donations'!$R$2:$R$4001,AD151,'All Donations'!$T$2:$T$4001,"&gt;="&amp;'Settings'!$C$26,'All Donations'!$T$2:$T$4001,"&lt;="&amp;'Settings'!$D$26),2),0)</f>
        <v/>
      </c>
      <c r="AS151">
        <f>IF(AE151=1,ROUND(SUMIFS('All Donations'!$S$2:$S$4001,'All Donations'!$R$2:$R$4001,AD151,'All Donations'!$T$2:$T$4001,"&lt;="&amp;'Settings'!$D$27),2),0)</f>
        <v/>
      </c>
      <c r="AT151">
        <f>IF(AE151=1,ROUND(SUMIFS('All Donations'!$S$2:$S$4001,'All Donations'!$R$2:$R$4001,AD151,'All Donations'!$T$2:$T$4001,"&gt;="&amp;'Settings'!$C$28,'All Donations'!$T$2:$T$4001,"&lt;="&amp;'Settings'!$D$28),2),0)</f>
        <v/>
      </c>
      <c r="AU151">
        <f>IF(AE151=1,ROUND(SUMIFS('All Donations'!$S$2:$S$4001,'All Donations'!$R$2:$R$4001,AD151,'All Donations'!$T$2:$T$4001,"&gt;="&amp;'Settings'!$C$29,'All Donations'!$T$2:$T$4001,"&lt;="&amp;'Settings'!$D$29),2),0)</f>
        <v/>
      </c>
      <c r="AV151">
        <f>IF(AE151=1,ROUND(SUMIFS('All Donations'!$S$2:$S$4001,'All Donations'!$R$2:$R$4001,AD151,'All Donations'!$T$2:$T$4001,"&lt;="&amp;'Settings'!$D$30),2),0)</f>
        <v/>
      </c>
      <c r="AZ151">
        <f>IF(AE151=1,ROUND(SUMIFS('All Donations'!$S$2:$S$4001,'All Donations'!$R$2:$R$4001,AD151,'All Donations'!$T$2:$T$4001,"&lt;="&amp;'Settings'!$D$34),2),0)</f>
        <v/>
      </c>
    </row>
    <row r="152">
      <c r="A152">
        <f>IF(AE152=1,TRIM(TRIM('Roster'!B152)&amp;" "&amp;TRIM('Roster'!C152)),"")</f>
        <v/>
      </c>
      <c r="B152">
        <f>IF(AE152=1,IF(AN152="","(no teacher)",AN152&amp;" – "&amp;C152),"")</f>
        <v/>
      </c>
      <c r="C152">
        <f>IF(AE152=1,TRIM('Roster'!D152&amp;""),"")</f>
        <v/>
      </c>
      <c r="D152" s="48">
        <f>IF(AE152=1,ROUND(SUMIFS('All Donations'!$S$2:$S$4001,'All Donations'!$R$2:$R$4001,AD152),2),"")</f>
        <v/>
      </c>
      <c r="E152" s="48">
        <f>IF(AE152=1,ROUND(SUMIFS('All Donations'!$S$2:$S$4001,'All Donations'!$R$2:$R$4001,AD152,'All Donations'!$G$2:$G$4001,"OneCause"),2),"")</f>
        <v/>
      </c>
      <c r="F152" s="48">
        <f>IF(AE152=1,D152-E152,"")</f>
        <v/>
      </c>
      <c r="G152">
        <f>IF(AE152=1,COUNTIFS('All Donations'!$R$2:$R$4001,AD152,'All Donations'!$H$2:$H$4001,"OK"),"")</f>
        <v/>
      </c>
      <c r="H152">
        <f>IF(AE152&lt;&gt;1,"",IF(D152&gt;0,"Yes",""))</f>
        <v/>
      </c>
      <c r="I152" s="49">
        <f>IF(OR($AE152&lt;&gt;1,I$1=""),"",SUMIFS('All Donations'!$S$2:$S$4001,'All Donations'!$R$2:$R$4001,$AD152,'All Donations'!$T$2:$T$4001,I$1))</f>
        <v/>
      </c>
      <c r="J152" s="49">
        <f>IF(OR($AE152&lt;&gt;1,J$1=""),"",SUMIFS('All Donations'!$S$2:$S$4001,'All Donations'!$R$2:$R$4001,$AD152,'All Donations'!$T$2:$T$4001,J$1))</f>
        <v/>
      </c>
      <c r="K152" s="49">
        <f>IF(OR($AE152&lt;&gt;1,K$1=""),"",SUMIFS('All Donations'!$S$2:$S$4001,'All Donations'!$R$2:$R$4001,$AD152,'All Donations'!$T$2:$T$4001,K$1))</f>
        <v/>
      </c>
      <c r="L152" s="49">
        <f>IF(OR($AE152&lt;&gt;1,L$1=""),"",SUMIFS('All Donations'!$S$2:$S$4001,'All Donations'!$R$2:$R$4001,$AD152,'All Donations'!$T$2:$T$4001,L$1))</f>
        <v/>
      </c>
      <c r="M152" s="49">
        <f>IF(OR($AE152&lt;&gt;1,M$1=""),"",SUMIFS('All Donations'!$S$2:$S$4001,'All Donations'!$R$2:$R$4001,$AD152,'All Donations'!$T$2:$T$4001,M$1))</f>
        <v/>
      </c>
      <c r="N152" s="49">
        <f>IF(OR($AE152&lt;&gt;1,N$1=""),"",SUMIFS('All Donations'!$S$2:$S$4001,'All Donations'!$R$2:$R$4001,$AD152,'All Donations'!$T$2:$T$4001,N$1))</f>
        <v/>
      </c>
      <c r="O152" s="49">
        <f>IF(OR($AE152&lt;&gt;1,O$1=""),"",SUMIFS('All Donations'!$S$2:$S$4001,'All Donations'!$R$2:$R$4001,$AD152,'All Donations'!$T$2:$T$4001,O$1))</f>
        <v/>
      </c>
      <c r="P152" s="49">
        <f>IF(OR($AE152&lt;&gt;1,P$1=""),"",SUMIFS('All Donations'!$S$2:$S$4001,'All Donations'!$R$2:$R$4001,$AD152,'All Donations'!$T$2:$T$4001,P$1))</f>
        <v/>
      </c>
      <c r="Q152" s="49">
        <f>IF(OR($AE152&lt;&gt;1,Q$1=""),"",SUMIFS('All Donations'!$S$2:$S$4001,'All Donations'!$R$2:$R$4001,$AD152,'All Donations'!$T$2:$T$4001,Q$1))</f>
        <v/>
      </c>
      <c r="R152" s="49">
        <f>IF(OR($AE152&lt;&gt;1,R$1=""),"",SUMIFS('All Donations'!$S$2:$S$4001,'All Donations'!$R$2:$R$4001,$AD152,'All Donations'!$T$2:$T$4001,R$1))</f>
        <v/>
      </c>
      <c r="S152" s="49">
        <f>IF(OR($AE152&lt;&gt;1,S$1=""),"",SUMIFS('All Donations'!$S$2:$S$4001,'All Donations'!$R$2:$R$4001,$AD152,'All Donations'!$T$2:$T$4001,S$1))</f>
        <v/>
      </c>
      <c r="T152" s="49">
        <f>IF(OR($AE152&lt;&gt;1,T$1=""),"",SUMIFS('All Donations'!$S$2:$S$4001,'All Donations'!$R$2:$R$4001,$AD152,'All Donations'!$T$2:$T$4001,T$1))</f>
        <v/>
      </c>
      <c r="U152" s="49">
        <f>IF(OR($AE152&lt;&gt;1,U$1=""),"",SUMIFS('All Donations'!$S$2:$S$4001,'All Donations'!$R$2:$R$4001,$AD152,'All Donations'!$T$2:$T$4001,U$1))</f>
        <v/>
      </c>
      <c r="V152" s="49">
        <f>IF(OR($AE152&lt;&gt;1,V$1=""),"",SUMIFS('All Donations'!$S$2:$S$4001,'All Donations'!$R$2:$R$4001,$AD152,'All Donations'!$T$2:$T$4001,V$1))</f>
        <v/>
      </c>
      <c r="W152" s="49">
        <f>IF(OR($AE152&lt;&gt;1,W$1=""),"",SUMIFS('All Donations'!$S$2:$S$4001,'All Donations'!$R$2:$R$4001,$AD152,'All Donations'!$T$2:$T$4001,W$1))</f>
        <v/>
      </c>
      <c r="X152" s="49">
        <f>IF(OR($AE152&lt;&gt;1,X$1=""),"",SUMIFS('All Donations'!$S$2:$S$4001,'All Donations'!$R$2:$R$4001,$AD152,'All Donations'!$T$2:$T$4001,X$1))</f>
        <v/>
      </c>
      <c r="Y152" s="49">
        <f>IF(OR($AE152&lt;&gt;1,Y$1=""),"",SUMIFS('All Donations'!$S$2:$S$4001,'All Donations'!$R$2:$R$4001,$AD152,'All Donations'!$T$2:$T$4001,Y$1))</f>
        <v/>
      </c>
      <c r="Z152" s="49">
        <f>IF(OR($AE152&lt;&gt;1,Z$1=""),"",SUMIFS('All Donations'!$S$2:$S$4001,'All Donations'!$R$2:$R$4001,$AD152,'All Donations'!$T$2:$T$4001,Z$1))</f>
        <v/>
      </c>
      <c r="AA152" s="49">
        <f>IF(OR($AE152&lt;&gt;1,AA$1=""),"",SUMIFS('All Donations'!$S$2:$S$4001,'All Donations'!$R$2:$R$4001,$AD152,'All Donations'!$T$2:$T$4001,AA$1))</f>
        <v/>
      </c>
      <c r="AB152" s="49">
        <f>IF(OR($AE152&lt;&gt;1,AB$1=""),"",SUMIFS('All Donations'!$S$2:$S$4001,'All Donations'!$R$2:$R$4001,$AD152,'All Donations'!$T$2:$T$4001,AB$1))</f>
        <v/>
      </c>
      <c r="AC152" s="49">
        <f>IF(OR($AE152&lt;&gt;1,AC$1=""),"",SUMIFS('All Donations'!$S$2:$S$4001,'All Donations'!$R$2:$R$4001,$AD152,'All Donations'!$T$2:$T$4001,AC$1))</f>
        <v/>
      </c>
      <c r="AD152">
        <f>IF(AE152=1,'Roster'!A152,"")</f>
        <v/>
      </c>
      <c r="AE152">
        <f>IF(TRIM('Roster'!B152&amp;'Roster'!C152)&lt;&gt;"",1,0)</f>
        <v/>
      </c>
      <c r="AF152">
        <f>IF(AE152=1,LOWER(A152),"#")</f>
        <v/>
      </c>
      <c r="AG152">
        <f>IF(AE152=1,LOWER(TRIM(TRIM('Roster'!C152)&amp;", "&amp;TRIM('Roster'!B152))),"#")</f>
        <v/>
      </c>
      <c r="AH152">
        <f>IF(AND(AE152=1,TRIM('Roster'!F152)&lt;&gt;""),LOWER(TRIM('Roster'!F152)),"#")</f>
        <v/>
      </c>
      <c r="AI152">
        <f>IF(AE152=1,IF(MATCH(B152,$B$2:$B$701,0)=ROW()-1,1,0),0)</f>
        <v/>
      </c>
      <c r="AJ152">
        <f>AJ151+AI152</f>
        <v/>
      </c>
      <c r="AK152">
        <f>IF(AE152=1,D152+(1000-ROW())/10^7,-1)</f>
        <v/>
      </c>
      <c r="AL152">
        <f>IF(AE152=1,TRIM('Roster'!B152)&amp;" "&amp;LEFT(TRIM('Roster'!C152),1)&amp;".","")</f>
        <v/>
      </c>
      <c r="AM152">
        <f>IF(AE152=1,TRIM('Roster'!C152)&amp;", "&amp;TRIM('Roster'!B152)&amp;" ("&amp;B152&amp;") #"&amp;AD152,"")</f>
        <v/>
      </c>
      <c r="AN152">
        <f>IF(AE152=1,TRIM('Roster'!E152),"")</f>
        <v/>
      </c>
      <c r="AO152">
        <f>IF(AE152=1,ROUND(SUMIFS('All Donations'!$S$2:$S$4001,'All Donations'!$R$2:$R$4001,AD152,'All Donations'!$T$2:$T$4001,"&gt;="&amp;'Settings'!$C$23,'All Donations'!$T$2:$T$4001,"&lt;="&amp;'Settings'!$D$23),2),0)</f>
        <v/>
      </c>
      <c r="AQ152">
        <f>IF(AE152=1,ROUND(SUMIFS('All Donations'!$S$2:$S$4001,'All Donations'!$R$2:$R$4001,AD152,'All Donations'!$T$2:$T$4001,"&gt;="&amp;'Settings'!$C$25,'All Donations'!$T$2:$T$4001,"&lt;="&amp;'Settings'!$D$25),2),0)</f>
        <v/>
      </c>
      <c r="AR152">
        <f>IF(AE152=1,ROUND(SUMIFS('All Donations'!$S$2:$S$4001,'All Donations'!$R$2:$R$4001,AD152,'All Donations'!$T$2:$T$4001,"&gt;="&amp;'Settings'!$C$26,'All Donations'!$T$2:$T$4001,"&lt;="&amp;'Settings'!$D$26),2),0)</f>
        <v/>
      </c>
      <c r="AS152">
        <f>IF(AE152=1,ROUND(SUMIFS('All Donations'!$S$2:$S$4001,'All Donations'!$R$2:$R$4001,AD152,'All Donations'!$T$2:$T$4001,"&lt;="&amp;'Settings'!$D$27),2),0)</f>
        <v/>
      </c>
      <c r="AT152">
        <f>IF(AE152=1,ROUND(SUMIFS('All Donations'!$S$2:$S$4001,'All Donations'!$R$2:$R$4001,AD152,'All Donations'!$T$2:$T$4001,"&gt;="&amp;'Settings'!$C$28,'All Donations'!$T$2:$T$4001,"&lt;="&amp;'Settings'!$D$28),2),0)</f>
        <v/>
      </c>
      <c r="AU152">
        <f>IF(AE152=1,ROUND(SUMIFS('All Donations'!$S$2:$S$4001,'All Donations'!$R$2:$R$4001,AD152,'All Donations'!$T$2:$T$4001,"&gt;="&amp;'Settings'!$C$29,'All Donations'!$T$2:$T$4001,"&lt;="&amp;'Settings'!$D$29),2),0)</f>
        <v/>
      </c>
      <c r="AV152">
        <f>IF(AE152=1,ROUND(SUMIFS('All Donations'!$S$2:$S$4001,'All Donations'!$R$2:$R$4001,AD152,'All Donations'!$T$2:$T$4001,"&lt;="&amp;'Settings'!$D$30),2),0)</f>
        <v/>
      </c>
      <c r="AZ152">
        <f>IF(AE152=1,ROUND(SUMIFS('All Donations'!$S$2:$S$4001,'All Donations'!$R$2:$R$4001,AD152,'All Donations'!$T$2:$T$4001,"&lt;="&amp;'Settings'!$D$34),2),0)</f>
        <v/>
      </c>
    </row>
    <row r="153">
      <c r="A153">
        <f>IF(AE153=1,TRIM(TRIM('Roster'!B153)&amp;" "&amp;TRIM('Roster'!C153)),"")</f>
        <v/>
      </c>
      <c r="B153">
        <f>IF(AE153=1,IF(AN153="","(no teacher)",AN153&amp;" – "&amp;C153),"")</f>
        <v/>
      </c>
      <c r="C153">
        <f>IF(AE153=1,TRIM('Roster'!D153&amp;""),"")</f>
        <v/>
      </c>
      <c r="D153" s="48">
        <f>IF(AE153=1,ROUND(SUMIFS('All Donations'!$S$2:$S$4001,'All Donations'!$R$2:$R$4001,AD153),2),"")</f>
        <v/>
      </c>
      <c r="E153" s="48">
        <f>IF(AE153=1,ROUND(SUMIFS('All Donations'!$S$2:$S$4001,'All Donations'!$R$2:$R$4001,AD153,'All Donations'!$G$2:$G$4001,"OneCause"),2),"")</f>
        <v/>
      </c>
      <c r="F153" s="48">
        <f>IF(AE153=1,D153-E153,"")</f>
        <v/>
      </c>
      <c r="G153">
        <f>IF(AE153=1,COUNTIFS('All Donations'!$R$2:$R$4001,AD153,'All Donations'!$H$2:$H$4001,"OK"),"")</f>
        <v/>
      </c>
      <c r="H153">
        <f>IF(AE153&lt;&gt;1,"",IF(D153&gt;0,"Yes",""))</f>
        <v/>
      </c>
      <c r="I153" s="49">
        <f>IF(OR($AE153&lt;&gt;1,I$1=""),"",SUMIFS('All Donations'!$S$2:$S$4001,'All Donations'!$R$2:$R$4001,$AD153,'All Donations'!$T$2:$T$4001,I$1))</f>
        <v/>
      </c>
      <c r="J153" s="49">
        <f>IF(OR($AE153&lt;&gt;1,J$1=""),"",SUMIFS('All Donations'!$S$2:$S$4001,'All Donations'!$R$2:$R$4001,$AD153,'All Donations'!$T$2:$T$4001,J$1))</f>
        <v/>
      </c>
      <c r="K153" s="49">
        <f>IF(OR($AE153&lt;&gt;1,K$1=""),"",SUMIFS('All Donations'!$S$2:$S$4001,'All Donations'!$R$2:$R$4001,$AD153,'All Donations'!$T$2:$T$4001,K$1))</f>
        <v/>
      </c>
      <c r="L153" s="49">
        <f>IF(OR($AE153&lt;&gt;1,L$1=""),"",SUMIFS('All Donations'!$S$2:$S$4001,'All Donations'!$R$2:$R$4001,$AD153,'All Donations'!$T$2:$T$4001,L$1))</f>
        <v/>
      </c>
      <c r="M153" s="49">
        <f>IF(OR($AE153&lt;&gt;1,M$1=""),"",SUMIFS('All Donations'!$S$2:$S$4001,'All Donations'!$R$2:$R$4001,$AD153,'All Donations'!$T$2:$T$4001,M$1))</f>
        <v/>
      </c>
      <c r="N153" s="49">
        <f>IF(OR($AE153&lt;&gt;1,N$1=""),"",SUMIFS('All Donations'!$S$2:$S$4001,'All Donations'!$R$2:$R$4001,$AD153,'All Donations'!$T$2:$T$4001,N$1))</f>
        <v/>
      </c>
      <c r="O153" s="49">
        <f>IF(OR($AE153&lt;&gt;1,O$1=""),"",SUMIFS('All Donations'!$S$2:$S$4001,'All Donations'!$R$2:$R$4001,$AD153,'All Donations'!$T$2:$T$4001,O$1))</f>
        <v/>
      </c>
      <c r="P153" s="49">
        <f>IF(OR($AE153&lt;&gt;1,P$1=""),"",SUMIFS('All Donations'!$S$2:$S$4001,'All Donations'!$R$2:$R$4001,$AD153,'All Donations'!$T$2:$T$4001,P$1))</f>
        <v/>
      </c>
      <c r="Q153" s="49">
        <f>IF(OR($AE153&lt;&gt;1,Q$1=""),"",SUMIFS('All Donations'!$S$2:$S$4001,'All Donations'!$R$2:$R$4001,$AD153,'All Donations'!$T$2:$T$4001,Q$1))</f>
        <v/>
      </c>
      <c r="R153" s="49">
        <f>IF(OR($AE153&lt;&gt;1,R$1=""),"",SUMIFS('All Donations'!$S$2:$S$4001,'All Donations'!$R$2:$R$4001,$AD153,'All Donations'!$T$2:$T$4001,R$1))</f>
        <v/>
      </c>
      <c r="S153" s="49">
        <f>IF(OR($AE153&lt;&gt;1,S$1=""),"",SUMIFS('All Donations'!$S$2:$S$4001,'All Donations'!$R$2:$R$4001,$AD153,'All Donations'!$T$2:$T$4001,S$1))</f>
        <v/>
      </c>
      <c r="T153" s="49">
        <f>IF(OR($AE153&lt;&gt;1,T$1=""),"",SUMIFS('All Donations'!$S$2:$S$4001,'All Donations'!$R$2:$R$4001,$AD153,'All Donations'!$T$2:$T$4001,T$1))</f>
        <v/>
      </c>
      <c r="U153" s="49">
        <f>IF(OR($AE153&lt;&gt;1,U$1=""),"",SUMIFS('All Donations'!$S$2:$S$4001,'All Donations'!$R$2:$R$4001,$AD153,'All Donations'!$T$2:$T$4001,U$1))</f>
        <v/>
      </c>
      <c r="V153" s="49">
        <f>IF(OR($AE153&lt;&gt;1,V$1=""),"",SUMIFS('All Donations'!$S$2:$S$4001,'All Donations'!$R$2:$R$4001,$AD153,'All Donations'!$T$2:$T$4001,V$1))</f>
        <v/>
      </c>
      <c r="W153" s="49">
        <f>IF(OR($AE153&lt;&gt;1,W$1=""),"",SUMIFS('All Donations'!$S$2:$S$4001,'All Donations'!$R$2:$R$4001,$AD153,'All Donations'!$T$2:$T$4001,W$1))</f>
        <v/>
      </c>
      <c r="X153" s="49">
        <f>IF(OR($AE153&lt;&gt;1,X$1=""),"",SUMIFS('All Donations'!$S$2:$S$4001,'All Donations'!$R$2:$R$4001,$AD153,'All Donations'!$T$2:$T$4001,X$1))</f>
        <v/>
      </c>
      <c r="Y153" s="49">
        <f>IF(OR($AE153&lt;&gt;1,Y$1=""),"",SUMIFS('All Donations'!$S$2:$S$4001,'All Donations'!$R$2:$R$4001,$AD153,'All Donations'!$T$2:$T$4001,Y$1))</f>
        <v/>
      </c>
      <c r="Z153" s="49">
        <f>IF(OR($AE153&lt;&gt;1,Z$1=""),"",SUMIFS('All Donations'!$S$2:$S$4001,'All Donations'!$R$2:$R$4001,$AD153,'All Donations'!$T$2:$T$4001,Z$1))</f>
        <v/>
      </c>
      <c r="AA153" s="49">
        <f>IF(OR($AE153&lt;&gt;1,AA$1=""),"",SUMIFS('All Donations'!$S$2:$S$4001,'All Donations'!$R$2:$R$4001,$AD153,'All Donations'!$T$2:$T$4001,AA$1))</f>
        <v/>
      </c>
      <c r="AB153" s="49">
        <f>IF(OR($AE153&lt;&gt;1,AB$1=""),"",SUMIFS('All Donations'!$S$2:$S$4001,'All Donations'!$R$2:$R$4001,$AD153,'All Donations'!$T$2:$T$4001,AB$1))</f>
        <v/>
      </c>
      <c r="AC153" s="49">
        <f>IF(OR($AE153&lt;&gt;1,AC$1=""),"",SUMIFS('All Donations'!$S$2:$S$4001,'All Donations'!$R$2:$R$4001,$AD153,'All Donations'!$T$2:$T$4001,AC$1))</f>
        <v/>
      </c>
      <c r="AD153">
        <f>IF(AE153=1,'Roster'!A153,"")</f>
        <v/>
      </c>
      <c r="AE153">
        <f>IF(TRIM('Roster'!B153&amp;'Roster'!C153)&lt;&gt;"",1,0)</f>
        <v/>
      </c>
      <c r="AF153">
        <f>IF(AE153=1,LOWER(A153),"#")</f>
        <v/>
      </c>
      <c r="AG153">
        <f>IF(AE153=1,LOWER(TRIM(TRIM('Roster'!C153)&amp;", "&amp;TRIM('Roster'!B153))),"#")</f>
        <v/>
      </c>
      <c r="AH153">
        <f>IF(AND(AE153=1,TRIM('Roster'!F153)&lt;&gt;""),LOWER(TRIM('Roster'!F153)),"#")</f>
        <v/>
      </c>
      <c r="AI153">
        <f>IF(AE153=1,IF(MATCH(B153,$B$2:$B$701,0)=ROW()-1,1,0),0)</f>
        <v/>
      </c>
      <c r="AJ153">
        <f>AJ152+AI153</f>
        <v/>
      </c>
      <c r="AK153">
        <f>IF(AE153=1,D153+(1000-ROW())/10^7,-1)</f>
        <v/>
      </c>
      <c r="AL153">
        <f>IF(AE153=1,TRIM('Roster'!B153)&amp;" "&amp;LEFT(TRIM('Roster'!C153),1)&amp;".","")</f>
        <v/>
      </c>
      <c r="AM153">
        <f>IF(AE153=1,TRIM('Roster'!C153)&amp;", "&amp;TRIM('Roster'!B153)&amp;" ("&amp;B153&amp;") #"&amp;AD153,"")</f>
        <v/>
      </c>
      <c r="AN153">
        <f>IF(AE153=1,TRIM('Roster'!E153),"")</f>
        <v/>
      </c>
      <c r="AO153">
        <f>IF(AE153=1,ROUND(SUMIFS('All Donations'!$S$2:$S$4001,'All Donations'!$R$2:$R$4001,AD153,'All Donations'!$T$2:$T$4001,"&gt;="&amp;'Settings'!$C$23,'All Donations'!$T$2:$T$4001,"&lt;="&amp;'Settings'!$D$23),2),0)</f>
        <v/>
      </c>
      <c r="AQ153">
        <f>IF(AE153=1,ROUND(SUMIFS('All Donations'!$S$2:$S$4001,'All Donations'!$R$2:$R$4001,AD153,'All Donations'!$T$2:$T$4001,"&gt;="&amp;'Settings'!$C$25,'All Donations'!$T$2:$T$4001,"&lt;="&amp;'Settings'!$D$25),2),0)</f>
        <v/>
      </c>
      <c r="AR153">
        <f>IF(AE153=1,ROUND(SUMIFS('All Donations'!$S$2:$S$4001,'All Donations'!$R$2:$R$4001,AD153,'All Donations'!$T$2:$T$4001,"&gt;="&amp;'Settings'!$C$26,'All Donations'!$T$2:$T$4001,"&lt;="&amp;'Settings'!$D$26),2),0)</f>
        <v/>
      </c>
      <c r="AS153">
        <f>IF(AE153=1,ROUND(SUMIFS('All Donations'!$S$2:$S$4001,'All Donations'!$R$2:$R$4001,AD153,'All Donations'!$T$2:$T$4001,"&lt;="&amp;'Settings'!$D$27),2),0)</f>
        <v/>
      </c>
      <c r="AT153">
        <f>IF(AE153=1,ROUND(SUMIFS('All Donations'!$S$2:$S$4001,'All Donations'!$R$2:$R$4001,AD153,'All Donations'!$T$2:$T$4001,"&gt;="&amp;'Settings'!$C$28,'All Donations'!$T$2:$T$4001,"&lt;="&amp;'Settings'!$D$28),2),0)</f>
        <v/>
      </c>
      <c r="AU153">
        <f>IF(AE153=1,ROUND(SUMIFS('All Donations'!$S$2:$S$4001,'All Donations'!$R$2:$R$4001,AD153,'All Donations'!$T$2:$T$4001,"&gt;="&amp;'Settings'!$C$29,'All Donations'!$T$2:$T$4001,"&lt;="&amp;'Settings'!$D$29),2),0)</f>
        <v/>
      </c>
      <c r="AV153">
        <f>IF(AE153=1,ROUND(SUMIFS('All Donations'!$S$2:$S$4001,'All Donations'!$R$2:$R$4001,AD153,'All Donations'!$T$2:$T$4001,"&lt;="&amp;'Settings'!$D$30),2),0)</f>
        <v/>
      </c>
      <c r="AZ153">
        <f>IF(AE153=1,ROUND(SUMIFS('All Donations'!$S$2:$S$4001,'All Donations'!$R$2:$R$4001,AD153,'All Donations'!$T$2:$T$4001,"&lt;="&amp;'Settings'!$D$34),2),0)</f>
        <v/>
      </c>
    </row>
    <row r="154">
      <c r="A154">
        <f>IF(AE154=1,TRIM(TRIM('Roster'!B154)&amp;" "&amp;TRIM('Roster'!C154)),"")</f>
        <v/>
      </c>
      <c r="B154">
        <f>IF(AE154=1,IF(AN154="","(no teacher)",AN154&amp;" – "&amp;C154),"")</f>
        <v/>
      </c>
      <c r="C154">
        <f>IF(AE154=1,TRIM('Roster'!D154&amp;""),"")</f>
        <v/>
      </c>
      <c r="D154" s="48">
        <f>IF(AE154=1,ROUND(SUMIFS('All Donations'!$S$2:$S$4001,'All Donations'!$R$2:$R$4001,AD154),2),"")</f>
        <v/>
      </c>
      <c r="E154" s="48">
        <f>IF(AE154=1,ROUND(SUMIFS('All Donations'!$S$2:$S$4001,'All Donations'!$R$2:$R$4001,AD154,'All Donations'!$G$2:$G$4001,"OneCause"),2),"")</f>
        <v/>
      </c>
      <c r="F154" s="48">
        <f>IF(AE154=1,D154-E154,"")</f>
        <v/>
      </c>
      <c r="G154">
        <f>IF(AE154=1,COUNTIFS('All Donations'!$R$2:$R$4001,AD154,'All Donations'!$H$2:$H$4001,"OK"),"")</f>
        <v/>
      </c>
      <c r="H154">
        <f>IF(AE154&lt;&gt;1,"",IF(D154&gt;0,"Yes",""))</f>
        <v/>
      </c>
      <c r="I154" s="49">
        <f>IF(OR($AE154&lt;&gt;1,I$1=""),"",SUMIFS('All Donations'!$S$2:$S$4001,'All Donations'!$R$2:$R$4001,$AD154,'All Donations'!$T$2:$T$4001,I$1))</f>
        <v/>
      </c>
      <c r="J154" s="49">
        <f>IF(OR($AE154&lt;&gt;1,J$1=""),"",SUMIFS('All Donations'!$S$2:$S$4001,'All Donations'!$R$2:$R$4001,$AD154,'All Donations'!$T$2:$T$4001,J$1))</f>
        <v/>
      </c>
      <c r="K154" s="49">
        <f>IF(OR($AE154&lt;&gt;1,K$1=""),"",SUMIFS('All Donations'!$S$2:$S$4001,'All Donations'!$R$2:$R$4001,$AD154,'All Donations'!$T$2:$T$4001,K$1))</f>
        <v/>
      </c>
      <c r="L154" s="49">
        <f>IF(OR($AE154&lt;&gt;1,L$1=""),"",SUMIFS('All Donations'!$S$2:$S$4001,'All Donations'!$R$2:$R$4001,$AD154,'All Donations'!$T$2:$T$4001,L$1))</f>
        <v/>
      </c>
      <c r="M154" s="49">
        <f>IF(OR($AE154&lt;&gt;1,M$1=""),"",SUMIFS('All Donations'!$S$2:$S$4001,'All Donations'!$R$2:$R$4001,$AD154,'All Donations'!$T$2:$T$4001,M$1))</f>
        <v/>
      </c>
      <c r="N154" s="49">
        <f>IF(OR($AE154&lt;&gt;1,N$1=""),"",SUMIFS('All Donations'!$S$2:$S$4001,'All Donations'!$R$2:$R$4001,$AD154,'All Donations'!$T$2:$T$4001,N$1))</f>
        <v/>
      </c>
      <c r="O154" s="49">
        <f>IF(OR($AE154&lt;&gt;1,O$1=""),"",SUMIFS('All Donations'!$S$2:$S$4001,'All Donations'!$R$2:$R$4001,$AD154,'All Donations'!$T$2:$T$4001,O$1))</f>
        <v/>
      </c>
      <c r="P154" s="49">
        <f>IF(OR($AE154&lt;&gt;1,P$1=""),"",SUMIFS('All Donations'!$S$2:$S$4001,'All Donations'!$R$2:$R$4001,$AD154,'All Donations'!$T$2:$T$4001,P$1))</f>
        <v/>
      </c>
      <c r="Q154" s="49">
        <f>IF(OR($AE154&lt;&gt;1,Q$1=""),"",SUMIFS('All Donations'!$S$2:$S$4001,'All Donations'!$R$2:$R$4001,$AD154,'All Donations'!$T$2:$T$4001,Q$1))</f>
        <v/>
      </c>
      <c r="R154" s="49">
        <f>IF(OR($AE154&lt;&gt;1,R$1=""),"",SUMIFS('All Donations'!$S$2:$S$4001,'All Donations'!$R$2:$R$4001,$AD154,'All Donations'!$T$2:$T$4001,R$1))</f>
        <v/>
      </c>
      <c r="S154" s="49">
        <f>IF(OR($AE154&lt;&gt;1,S$1=""),"",SUMIFS('All Donations'!$S$2:$S$4001,'All Donations'!$R$2:$R$4001,$AD154,'All Donations'!$T$2:$T$4001,S$1))</f>
        <v/>
      </c>
      <c r="T154" s="49">
        <f>IF(OR($AE154&lt;&gt;1,T$1=""),"",SUMIFS('All Donations'!$S$2:$S$4001,'All Donations'!$R$2:$R$4001,$AD154,'All Donations'!$T$2:$T$4001,T$1))</f>
        <v/>
      </c>
      <c r="U154" s="49">
        <f>IF(OR($AE154&lt;&gt;1,U$1=""),"",SUMIFS('All Donations'!$S$2:$S$4001,'All Donations'!$R$2:$R$4001,$AD154,'All Donations'!$T$2:$T$4001,U$1))</f>
        <v/>
      </c>
      <c r="V154" s="49">
        <f>IF(OR($AE154&lt;&gt;1,V$1=""),"",SUMIFS('All Donations'!$S$2:$S$4001,'All Donations'!$R$2:$R$4001,$AD154,'All Donations'!$T$2:$T$4001,V$1))</f>
        <v/>
      </c>
      <c r="W154" s="49">
        <f>IF(OR($AE154&lt;&gt;1,W$1=""),"",SUMIFS('All Donations'!$S$2:$S$4001,'All Donations'!$R$2:$R$4001,$AD154,'All Donations'!$T$2:$T$4001,W$1))</f>
        <v/>
      </c>
      <c r="X154" s="49">
        <f>IF(OR($AE154&lt;&gt;1,X$1=""),"",SUMIFS('All Donations'!$S$2:$S$4001,'All Donations'!$R$2:$R$4001,$AD154,'All Donations'!$T$2:$T$4001,X$1))</f>
        <v/>
      </c>
      <c r="Y154" s="49">
        <f>IF(OR($AE154&lt;&gt;1,Y$1=""),"",SUMIFS('All Donations'!$S$2:$S$4001,'All Donations'!$R$2:$R$4001,$AD154,'All Donations'!$T$2:$T$4001,Y$1))</f>
        <v/>
      </c>
      <c r="Z154" s="49">
        <f>IF(OR($AE154&lt;&gt;1,Z$1=""),"",SUMIFS('All Donations'!$S$2:$S$4001,'All Donations'!$R$2:$R$4001,$AD154,'All Donations'!$T$2:$T$4001,Z$1))</f>
        <v/>
      </c>
      <c r="AA154" s="49">
        <f>IF(OR($AE154&lt;&gt;1,AA$1=""),"",SUMIFS('All Donations'!$S$2:$S$4001,'All Donations'!$R$2:$R$4001,$AD154,'All Donations'!$T$2:$T$4001,AA$1))</f>
        <v/>
      </c>
      <c r="AB154" s="49">
        <f>IF(OR($AE154&lt;&gt;1,AB$1=""),"",SUMIFS('All Donations'!$S$2:$S$4001,'All Donations'!$R$2:$R$4001,$AD154,'All Donations'!$T$2:$T$4001,AB$1))</f>
        <v/>
      </c>
      <c r="AC154" s="49">
        <f>IF(OR($AE154&lt;&gt;1,AC$1=""),"",SUMIFS('All Donations'!$S$2:$S$4001,'All Donations'!$R$2:$R$4001,$AD154,'All Donations'!$T$2:$T$4001,AC$1))</f>
        <v/>
      </c>
      <c r="AD154">
        <f>IF(AE154=1,'Roster'!A154,"")</f>
        <v/>
      </c>
      <c r="AE154">
        <f>IF(TRIM('Roster'!B154&amp;'Roster'!C154)&lt;&gt;"",1,0)</f>
        <v/>
      </c>
      <c r="AF154">
        <f>IF(AE154=1,LOWER(A154),"#")</f>
        <v/>
      </c>
      <c r="AG154">
        <f>IF(AE154=1,LOWER(TRIM(TRIM('Roster'!C154)&amp;", "&amp;TRIM('Roster'!B154))),"#")</f>
        <v/>
      </c>
      <c r="AH154">
        <f>IF(AND(AE154=1,TRIM('Roster'!F154)&lt;&gt;""),LOWER(TRIM('Roster'!F154)),"#")</f>
        <v/>
      </c>
      <c r="AI154">
        <f>IF(AE154=1,IF(MATCH(B154,$B$2:$B$701,0)=ROW()-1,1,0),0)</f>
        <v/>
      </c>
      <c r="AJ154">
        <f>AJ153+AI154</f>
        <v/>
      </c>
      <c r="AK154">
        <f>IF(AE154=1,D154+(1000-ROW())/10^7,-1)</f>
        <v/>
      </c>
      <c r="AL154">
        <f>IF(AE154=1,TRIM('Roster'!B154)&amp;" "&amp;LEFT(TRIM('Roster'!C154),1)&amp;".","")</f>
        <v/>
      </c>
      <c r="AM154">
        <f>IF(AE154=1,TRIM('Roster'!C154)&amp;", "&amp;TRIM('Roster'!B154)&amp;" ("&amp;B154&amp;") #"&amp;AD154,"")</f>
        <v/>
      </c>
      <c r="AN154">
        <f>IF(AE154=1,TRIM('Roster'!E154),"")</f>
        <v/>
      </c>
      <c r="AO154">
        <f>IF(AE154=1,ROUND(SUMIFS('All Donations'!$S$2:$S$4001,'All Donations'!$R$2:$R$4001,AD154,'All Donations'!$T$2:$T$4001,"&gt;="&amp;'Settings'!$C$23,'All Donations'!$T$2:$T$4001,"&lt;="&amp;'Settings'!$D$23),2),0)</f>
        <v/>
      </c>
      <c r="AQ154">
        <f>IF(AE154=1,ROUND(SUMIFS('All Donations'!$S$2:$S$4001,'All Donations'!$R$2:$R$4001,AD154,'All Donations'!$T$2:$T$4001,"&gt;="&amp;'Settings'!$C$25,'All Donations'!$T$2:$T$4001,"&lt;="&amp;'Settings'!$D$25),2),0)</f>
        <v/>
      </c>
      <c r="AR154">
        <f>IF(AE154=1,ROUND(SUMIFS('All Donations'!$S$2:$S$4001,'All Donations'!$R$2:$R$4001,AD154,'All Donations'!$T$2:$T$4001,"&gt;="&amp;'Settings'!$C$26,'All Donations'!$T$2:$T$4001,"&lt;="&amp;'Settings'!$D$26),2),0)</f>
        <v/>
      </c>
      <c r="AS154">
        <f>IF(AE154=1,ROUND(SUMIFS('All Donations'!$S$2:$S$4001,'All Donations'!$R$2:$R$4001,AD154,'All Donations'!$T$2:$T$4001,"&lt;="&amp;'Settings'!$D$27),2),0)</f>
        <v/>
      </c>
      <c r="AT154">
        <f>IF(AE154=1,ROUND(SUMIFS('All Donations'!$S$2:$S$4001,'All Donations'!$R$2:$R$4001,AD154,'All Donations'!$T$2:$T$4001,"&gt;="&amp;'Settings'!$C$28,'All Donations'!$T$2:$T$4001,"&lt;="&amp;'Settings'!$D$28),2),0)</f>
        <v/>
      </c>
      <c r="AU154">
        <f>IF(AE154=1,ROUND(SUMIFS('All Donations'!$S$2:$S$4001,'All Donations'!$R$2:$R$4001,AD154,'All Donations'!$T$2:$T$4001,"&gt;="&amp;'Settings'!$C$29,'All Donations'!$T$2:$T$4001,"&lt;="&amp;'Settings'!$D$29),2),0)</f>
        <v/>
      </c>
      <c r="AV154">
        <f>IF(AE154=1,ROUND(SUMIFS('All Donations'!$S$2:$S$4001,'All Donations'!$R$2:$R$4001,AD154,'All Donations'!$T$2:$T$4001,"&lt;="&amp;'Settings'!$D$30),2),0)</f>
        <v/>
      </c>
      <c r="AZ154">
        <f>IF(AE154=1,ROUND(SUMIFS('All Donations'!$S$2:$S$4001,'All Donations'!$R$2:$R$4001,AD154,'All Donations'!$T$2:$T$4001,"&lt;="&amp;'Settings'!$D$34),2),0)</f>
        <v/>
      </c>
    </row>
    <row r="155">
      <c r="A155">
        <f>IF(AE155=1,TRIM(TRIM('Roster'!B155)&amp;" "&amp;TRIM('Roster'!C155)),"")</f>
        <v/>
      </c>
      <c r="B155">
        <f>IF(AE155=1,IF(AN155="","(no teacher)",AN155&amp;" – "&amp;C155),"")</f>
        <v/>
      </c>
      <c r="C155">
        <f>IF(AE155=1,TRIM('Roster'!D155&amp;""),"")</f>
        <v/>
      </c>
      <c r="D155" s="48">
        <f>IF(AE155=1,ROUND(SUMIFS('All Donations'!$S$2:$S$4001,'All Donations'!$R$2:$R$4001,AD155),2),"")</f>
        <v/>
      </c>
      <c r="E155" s="48">
        <f>IF(AE155=1,ROUND(SUMIFS('All Donations'!$S$2:$S$4001,'All Donations'!$R$2:$R$4001,AD155,'All Donations'!$G$2:$G$4001,"OneCause"),2),"")</f>
        <v/>
      </c>
      <c r="F155" s="48">
        <f>IF(AE155=1,D155-E155,"")</f>
        <v/>
      </c>
      <c r="G155">
        <f>IF(AE155=1,COUNTIFS('All Donations'!$R$2:$R$4001,AD155,'All Donations'!$H$2:$H$4001,"OK"),"")</f>
        <v/>
      </c>
      <c r="H155">
        <f>IF(AE155&lt;&gt;1,"",IF(D155&gt;0,"Yes",""))</f>
        <v/>
      </c>
      <c r="I155" s="49">
        <f>IF(OR($AE155&lt;&gt;1,I$1=""),"",SUMIFS('All Donations'!$S$2:$S$4001,'All Donations'!$R$2:$R$4001,$AD155,'All Donations'!$T$2:$T$4001,I$1))</f>
        <v/>
      </c>
      <c r="J155" s="49">
        <f>IF(OR($AE155&lt;&gt;1,J$1=""),"",SUMIFS('All Donations'!$S$2:$S$4001,'All Donations'!$R$2:$R$4001,$AD155,'All Donations'!$T$2:$T$4001,J$1))</f>
        <v/>
      </c>
      <c r="K155" s="49">
        <f>IF(OR($AE155&lt;&gt;1,K$1=""),"",SUMIFS('All Donations'!$S$2:$S$4001,'All Donations'!$R$2:$R$4001,$AD155,'All Donations'!$T$2:$T$4001,K$1))</f>
        <v/>
      </c>
      <c r="L155" s="49">
        <f>IF(OR($AE155&lt;&gt;1,L$1=""),"",SUMIFS('All Donations'!$S$2:$S$4001,'All Donations'!$R$2:$R$4001,$AD155,'All Donations'!$T$2:$T$4001,L$1))</f>
        <v/>
      </c>
      <c r="M155" s="49">
        <f>IF(OR($AE155&lt;&gt;1,M$1=""),"",SUMIFS('All Donations'!$S$2:$S$4001,'All Donations'!$R$2:$R$4001,$AD155,'All Donations'!$T$2:$T$4001,M$1))</f>
        <v/>
      </c>
      <c r="N155" s="49">
        <f>IF(OR($AE155&lt;&gt;1,N$1=""),"",SUMIFS('All Donations'!$S$2:$S$4001,'All Donations'!$R$2:$R$4001,$AD155,'All Donations'!$T$2:$T$4001,N$1))</f>
        <v/>
      </c>
      <c r="O155" s="49">
        <f>IF(OR($AE155&lt;&gt;1,O$1=""),"",SUMIFS('All Donations'!$S$2:$S$4001,'All Donations'!$R$2:$R$4001,$AD155,'All Donations'!$T$2:$T$4001,O$1))</f>
        <v/>
      </c>
      <c r="P155" s="49">
        <f>IF(OR($AE155&lt;&gt;1,P$1=""),"",SUMIFS('All Donations'!$S$2:$S$4001,'All Donations'!$R$2:$R$4001,$AD155,'All Donations'!$T$2:$T$4001,P$1))</f>
        <v/>
      </c>
      <c r="Q155" s="49">
        <f>IF(OR($AE155&lt;&gt;1,Q$1=""),"",SUMIFS('All Donations'!$S$2:$S$4001,'All Donations'!$R$2:$R$4001,$AD155,'All Donations'!$T$2:$T$4001,Q$1))</f>
        <v/>
      </c>
      <c r="R155" s="49">
        <f>IF(OR($AE155&lt;&gt;1,R$1=""),"",SUMIFS('All Donations'!$S$2:$S$4001,'All Donations'!$R$2:$R$4001,$AD155,'All Donations'!$T$2:$T$4001,R$1))</f>
        <v/>
      </c>
      <c r="S155" s="49">
        <f>IF(OR($AE155&lt;&gt;1,S$1=""),"",SUMIFS('All Donations'!$S$2:$S$4001,'All Donations'!$R$2:$R$4001,$AD155,'All Donations'!$T$2:$T$4001,S$1))</f>
        <v/>
      </c>
      <c r="T155" s="49">
        <f>IF(OR($AE155&lt;&gt;1,T$1=""),"",SUMIFS('All Donations'!$S$2:$S$4001,'All Donations'!$R$2:$R$4001,$AD155,'All Donations'!$T$2:$T$4001,T$1))</f>
        <v/>
      </c>
      <c r="U155" s="49">
        <f>IF(OR($AE155&lt;&gt;1,U$1=""),"",SUMIFS('All Donations'!$S$2:$S$4001,'All Donations'!$R$2:$R$4001,$AD155,'All Donations'!$T$2:$T$4001,U$1))</f>
        <v/>
      </c>
      <c r="V155" s="49">
        <f>IF(OR($AE155&lt;&gt;1,V$1=""),"",SUMIFS('All Donations'!$S$2:$S$4001,'All Donations'!$R$2:$R$4001,$AD155,'All Donations'!$T$2:$T$4001,V$1))</f>
        <v/>
      </c>
      <c r="W155" s="49">
        <f>IF(OR($AE155&lt;&gt;1,W$1=""),"",SUMIFS('All Donations'!$S$2:$S$4001,'All Donations'!$R$2:$R$4001,$AD155,'All Donations'!$T$2:$T$4001,W$1))</f>
        <v/>
      </c>
      <c r="X155" s="49">
        <f>IF(OR($AE155&lt;&gt;1,X$1=""),"",SUMIFS('All Donations'!$S$2:$S$4001,'All Donations'!$R$2:$R$4001,$AD155,'All Donations'!$T$2:$T$4001,X$1))</f>
        <v/>
      </c>
      <c r="Y155" s="49">
        <f>IF(OR($AE155&lt;&gt;1,Y$1=""),"",SUMIFS('All Donations'!$S$2:$S$4001,'All Donations'!$R$2:$R$4001,$AD155,'All Donations'!$T$2:$T$4001,Y$1))</f>
        <v/>
      </c>
      <c r="Z155" s="49">
        <f>IF(OR($AE155&lt;&gt;1,Z$1=""),"",SUMIFS('All Donations'!$S$2:$S$4001,'All Donations'!$R$2:$R$4001,$AD155,'All Donations'!$T$2:$T$4001,Z$1))</f>
        <v/>
      </c>
      <c r="AA155" s="49">
        <f>IF(OR($AE155&lt;&gt;1,AA$1=""),"",SUMIFS('All Donations'!$S$2:$S$4001,'All Donations'!$R$2:$R$4001,$AD155,'All Donations'!$T$2:$T$4001,AA$1))</f>
        <v/>
      </c>
      <c r="AB155" s="49">
        <f>IF(OR($AE155&lt;&gt;1,AB$1=""),"",SUMIFS('All Donations'!$S$2:$S$4001,'All Donations'!$R$2:$R$4001,$AD155,'All Donations'!$T$2:$T$4001,AB$1))</f>
        <v/>
      </c>
      <c r="AC155" s="49">
        <f>IF(OR($AE155&lt;&gt;1,AC$1=""),"",SUMIFS('All Donations'!$S$2:$S$4001,'All Donations'!$R$2:$R$4001,$AD155,'All Donations'!$T$2:$T$4001,AC$1))</f>
        <v/>
      </c>
      <c r="AD155">
        <f>IF(AE155=1,'Roster'!A155,"")</f>
        <v/>
      </c>
      <c r="AE155">
        <f>IF(TRIM('Roster'!B155&amp;'Roster'!C155)&lt;&gt;"",1,0)</f>
        <v/>
      </c>
      <c r="AF155">
        <f>IF(AE155=1,LOWER(A155),"#")</f>
        <v/>
      </c>
      <c r="AG155">
        <f>IF(AE155=1,LOWER(TRIM(TRIM('Roster'!C155)&amp;", "&amp;TRIM('Roster'!B155))),"#")</f>
        <v/>
      </c>
      <c r="AH155">
        <f>IF(AND(AE155=1,TRIM('Roster'!F155)&lt;&gt;""),LOWER(TRIM('Roster'!F155)),"#")</f>
        <v/>
      </c>
      <c r="AI155">
        <f>IF(AE155=1,IF(MATCH(B155,$B$2:$B$701,0)=ROW()-1,1,0),0)</f>
        <v/>
      </c>
      <c r="AJ155">
        <f>AJ154+AI155</f>
        <v/>
      </c>
      <c r="AK155">
        <f>IF(AE155=1,D155+(1000-ROW())/10^7,-1)</f>
        <v/>
      </c>
      <c r="AL155">
        <f>IF(AE155=1,TRIM('Roster'!B155)&amp;" "&amp;LEFT(TRIM('Roster'!C155),1)&amp;".","")</f>
        <v/>
      </c>
      <c r="AM155">
        <f>IF(AE155=1,TRIM('Roster'!C155)&amp;", "&amp;TRIM('Roster'!B155)&amp;" ("&amp;B155&amp;") #"&amp;AD155,"")</f>
        <v/>
      </c>
      <c r="AN155">
        <f>IF(AE155=1,TRIM('Roster'!E155),"")</f>
        <v/>
      </c>
      <c r="AO155">
        <f>IF(AE155=1,ROUND(SUMIFS('All Donations'!$S$2:$S$4001,'All Donations'!$R$2:$R$4001,AD155,'All Donations'!$T$2:$T$4001,"&gt;="&amp;'Settings'!$C$23,'All Donations'!$T$2:$T$4001,"&lt;="&amp;'Settings'!$D$23),2),0)</f>
        <v/>
      </c>
      <c r="AQ155">
        <f>IF(AE155=1,ROUND(SUMIFS('All Donations'!$S$2:$S$4001,'All Donations'!$R$2:$R$4001,AD155,'All Donations'!$T$2:$T$4001,"&gt;="&amp;'Settings'!$C$25,'All Donations'!$T$2:$T$4001,"&lt;="&amp;'Settings'!$D$25),2),0)</f>
        <v/>
      </c>
      <c r="AR155">
        <f>IF(AE155=1,ROUND(SUMIFS('All Donations'!$S$2:$S$4001,'All Donations'!$R$2:$R$4001,AD155,'All Donations'!$T$2:$T$4001,"&gt;="&amp;'Settings'!$C$26,'All Donations'!$T$2:$T$4001,"&lt;="&amp;'Settings'!$D$26),2),0)</f>
        <v/>
      </c>
      <c r="AS155">
        <f>IF(AE155=1,ROUND(SUMIFS('All Donations'!$S$2:$S$4001,'All Donations'!$R$2:$R$4001,AD155,'All Donations'!$T$2:$T$4001,"&lt;="&amp;'Settings'!$D$27),2),0)</f>
        <v/>
      </c>
      <c r="AT155">
        <f>IF(AE155=1,ROUND(SUMIFS('All Donations'!$S$2:$S$4001,'All Donations'!$R$2:$R$4001,AD155,'All Donations'!$T$2:$T$4001,"&gt;="&amp;'Settings'!$C$28,'All Donations'!$T$2:$T$4001,"&lt;="&amp;'Settings'!$D$28),2),0)</f>
        <v/>
      </c>
      <c r="AU155">
        <f>IF(AE155=1,ROUND(SUMIFS('All Donations'!$S$2:$S$4001,'All Donations'!$R$2:$R$4001,AD155,'All Donations'!$T$2:$T$4001,"&gt;="&amp;'Settings'!$C$29,'All Donations'!$T$2:$T$4001,"&lt;="&amp;'Settings'!$D$29),2),0)</f>
        <v/>
      </c>
      <c r="AV155">
        <f>IF(AE155=1,ROUND(SUMIFS('All Donations'!$S$2:$S$4001,'All Donations'!$R$2:$R$4001,AD155,'All Donations'!$T$2:$T$4001,"&lt;="&amp;'Settings'!$D$30),2),0)</f>
        <v/>
      </c>
      <c r="AZ155">
        <f>IF(AE155=1,ROUND(SUMIFS('All Donations'!$S$2:$S$4001,'All Donations'!$R$2:$R$4001,AD155,'All Donations'!$T$2:$T$4001,"&lt;="&amp;'Settings'!$D$34),2),0)</f>
        <v/>
      </c>
    </row>
    <row r="156">
      <c r="A156">
        <f>IF(AE156=1,TRIM(TRIM('Roster'!B156)&amp;" "&amp;TRIM('Roster'!C156)),"")</f>
        <v/>
      </c>
      <c r="B156">
        <f>IF(AE156=1,IF(AN156="","(no teacher)",AN156&amp;" – "&amp;C156),"")</f>
        <v/>
      </c>
      <c r="C156">
        <f>IF(AE156=1,TRIM('Roster'!D156&amp;""),"")</f>
        <v/>
      </c>
      <c r="D156" s="48">
        <f>IF(AE156=1,ROUND(SUMIFS('All Donations'!$S$2:$S$4001,'All Donations'!$R$2:$R$4001,AD156),2),"")</f>
        <v/>
      </c>
      <c r="E156" s="48">
        <f>IF(AE156=1,ROUND(SUMIFS('All Donations'!$S$2:$S$4001,'All Donations'!$R$2:$R$4001,AD156,'All Donations'!$G$2:$G$4001,"OneCause"),2),"")</f>
        <v/>
      </c>
      <c r="F156" s="48">
        <f>IF(AE156=1,D156-E156,"")</f>
        <v/>
      </c>
      <c r="G156">
        <f>IF(AE156=1,COUNTIFS('All Donations'!$R$2:$R$4001,AD156,'All Donations'!$H$2:$H$4001,"OK"),"")</f>
        <v/>
      </c>
      <c r="H156">
        <f>IF(AE156&lt;&gt;1,"",IF(D156&gt;0,"Yes",""))</f>
        <v/>
      </c>
      <c r="I156" s="49">
        <f>IF(OR($AE156&lt;&gt;1,I$1=""),"",SUMIFS('All Donations'!$S$2:$S$4001,'All Donations'!$R$2:$R$4001,$AD156,'All Donations'!$T$2:$T$4001,I$1))</f>
        <v/>
      </c>
      <c r="J156" s="49">
        <f>IF(OR($AE156&lt;&gt;1,J$1=""),"",SUMIFS('All Donations'!$S$2:$S$4001,'All Donations'!$R$2:$R$4001,$AD156,'All Donations'!$T$2:$T$4001,J$1))</f>
        <v/>
      </c>
      <c r="K156" s="49">
        <f>IF(OR($AE156&lt;&gt;1,K$1=""),"",SUMIFS('All Donations'!$S$2:$S$4001,'All Donations'!$R$2:$R$4001,$AD156,'All Donations'!$T$2:$T$4001,K$1))</f>
        <v/>
      </c>
      <c r="L156" s="49">
        <f>IF(OR($AE156&lt;&gt;1,L$1=""),"",SUMIFS('All Donations'!$S$2:$S$4001,'All Donations'!$R$2:$R$4001,$AD156,'All Donations'!$T$2:$T$4001,L$1))</f>
        <v/>
      </c>
      <c r="M156" s="49">
        <f>IF(OR($AE156&lt;&gt;1,M$1=""),"",SUMIFS('All Donations'!$S$2:$S$4001,'All Donations'!$R$2:$R$4001,$AD156,'All Donations'!$T$2:$T$4001,M$1))</f>
        <v/>
      </c>
      <c r="N156" s="49">
        <f>IF(OR($AE156&lt;&gt;1,N$1=""),"",SUMIFS('All Donations'!$S$2:$S$4001,'All Donations'!$R$2:$R$4001,$AD156,'All Donations'!$T$2:$T$4001,N$1))</f>
        <v/>
      </c>
      <c r="O156" s="49">
        <f>IF(OR($AE156&lt;&gt;1,O$1=""),"",SUMIFS('All Donations'!$S$2:$S$4001,'All Donations'!$R$2:$R$4001,$AD156,'All Donations'!$T$2:$T$4001,O$1))</f>
        <v/>
      </c>
      <c r="P156" s="49">
        <f>IF(OR($AE156&lt;&gt;1,P$1=""),"",SUMIFS('All Donations'!$S$2:$S$4001,'All Donations'!$R$2:$R$4001,$AD156,'All Donations'!$T$2:$T$4001,P$1))</f>
        <v/>
      </c>
      <c r="Q156" s="49">
        <f>IF(OR($AE156&lt;&gt;1,Q$1=""),"",SUMIFS('All Donations'!$S$2:$S$4001,'All Donations'!$R$2:$R$4001,$AD156,'All Donations'!$T$2:$T$4001,Q$1))</f>
        <v/>
      </c>
      <c r="R156" s="49">
        <f>IF(OR($AE156&lt;&gt;1,R$1=""),"",SUMIFS('All Donations'!$S$2:$S$4001,'All Donations'!$R$2:$R$4001,$AD156,'All Donations'!$T$2:$T$4001,R$1))</f>
        <v/>
      </c>
      <c r="S156" s="49">
        <f>IF(OR($AE156&lt;&gt;1,S$1=""),"",SUMIFS('All Donations'!$S$2:$S$4001,'All Donations'!$R$2:$R$4001,$AD156,'All Donations'!$T$2:$T$4001,S$1))</f>
        <v/>
      </c>
      <c r="T156" s="49">
        <f>IF(OR($AE156&lt;&gt;1,T$1=""),"",SUMIFS('All Donations'!$S$2:$S$4001,'All Donations'!$R$2:$R$4001,$AD156,'All Donations'!$T$2:$T$4001,T$1))</f>
        <v/>
      </c>
      <c r="U156" s="49">
        <f>IF(OR($AE156&lt;&gt;1,U$1=""),"",SUMIFS('All Donations'!$S$2:$S$4001,'All Donations'!$R$2:$R$4001,$AD156,'All Donations'!$T$2:$T$4001,U$1))</f>
        <v/>
      </c>
      <c r="V156" s="49">
        <f>IF(OR($AE156&lt;&gt;1,V$1=""),"",SUMIFS('All Donations'!$S$2:$S$4001,'All Donations'!$R$2:$R$4001,$AD156,'All Donations'!$T$2:$T$4001,V$1))</f>
        <v/>
      </c>
      <c r="W156" s="49">
        <f>IF(OR($AE156&lt;&gt;1,W$1=""),"",SUMIFS('All Donations'!$S$2:$S$4001,'All Donations'!$R$2:$R$4001,$AD156,'All Donations'!$T$2:$T$4001,W$1))</f>
        <v/>
      </c>
      <c r="X156" s="49">
        <f>IF(OR($AE156&lt;&gt;1,X$1=""),"",SUMIFS('All Donations'!$S$2:$S$4001,'All Donations'!$R$2:$R$4001,$AD156,'All Donations'!$T$2:$T$4001,X$1))</f>
        <v/>
      </c>
      <c r="Y156" s="49">
        <f>IF(OR($AE156&lt;&gt;1,Y$1=""),"",SUMIFS('All Donations'!$S$2:$S$4001,'All Donations'!$R$2:$R$4001,$AD156,'All Donations'!$T$2:$T$4001,Y$1))</f>
        <v/>
      </c>
      <c r="Z156" s="49">
        <f>IF(OR($AE156&lt;&gt;1,Z$1=""),"",SUMIFS('All Donations'!$S$2:$S$4001,'All Donations'!$R$2:$R$4001,$AD156,'All Donations'!$T$2:$T$4001,Z$1))</f>
        <v/>
      </c>
      <c r="AA156" s="49">
        <f>IF(OR($AE156&lt;&gt;1,AA$1=""),"",SUMIFS('All Donations'!$S$2:$S$4001,'All Donations'!$R$2:$R$4001,$AD156,'All Donations'!$T$2:$T$4001,AA$1))</f>
        <v/>
      </c>
      <c r="AB156" s="49">
        <f>IF(OR($AE156&lt;&gt;1,AB$1=""),"",SUMIFS('All Donations'!$S$2:$S$4001,'All Donations'!$R$2:$R$4001,$AD156,'All Donations'!$T$2:$T$4001,AB$1))</f>
        <v/>
      </c>
      <c r="AC156" s="49">
        <f>IF(OR($AE156&lt;&gt;1,AC$1=""),"",SUMIFS('All Donations'!$S$2:$S$4001,'All Donations'!$R$2:$R$4001,$AD156,'All Donations'!$T$2:$T$4001,AC$1))</f>
        <v/>
      </c>
      <c r="AD156">
        <f>IF(AE156=1,'Roster'!A156,"")</f>
        <v/>
      </c>
      <c r="AE156">
        <f>IF(TRIM('Roster'!B156&amp;'Roster'!C156)&lt;&gt;"",1,0)</f>
        <v/>
      </c>
      <c r="AF156">
        <f>IF(AE156=1,LOWER(A156),"#")</f>
        <v/>
      </c>
      <c r="AG156">
        <f>IF(AE156=1,LOWER(TRIM(TRIM('Roster'!C156)&amp;", "&amp;TRIM('Roster'!B156))),"#")</f>
        <v/>
      </c>
      <c r="AH156">
        <f>IF(AND(AE156=1,TRIM('Roster'!F156)&lt;&gt;""),LOWER(TRIM('Roster'!F156)),"#")</f>
        <v/>
      </c>
      <c r="AI156">
        <f>IF(AE156=1,IF(MATCH(B156,$B$2:$B$701,0)=ROW()-1,1,0),0)</f>
        <v/>
      </c>
      <c r="AJ156">
        <f>AJ155+AI156</f>
        <v/>
      </c>
      <c r="AK156">
        <f>IF(AE156=1,D156+(1000-ROW())/10^7,-1)</f>
        <v/>
      </c>
      <c r="AL156">
        <f>IF(AE156=1,TRIM('Roster'!B156)&amp;" "&amp;LEFT(TRIM('Roster'!C156),1)&amp;".","")</f>
        <v/>
      </c>
      <c r="AM156">
        <f>IF(AE156=1,TRIM('Roster'!C156)&amp;", "&amp;TRIM('Roster'!B156)&amp;" ("&amp;B156&amp;") #"&amp;AD156,"")</f>
        <v/>
      </c>
      <c r="AN156">
        <f>IF(AE156=1,TRIM('Roster'!E156),"")</f>
        <v/>
      </c>
      <c r="AO156">
        <f>IF(AE156=1,ROUND(SUMIFS('All Donations'!$S$2:$S$4001,'All Donations'!$R$2:$R$4001,AD156,'All Donations'!$T$2:$T$4001,"&gt;="&amp;'Settings'!$C$23,'All Donations'!$T$2:$T$4001,"&lt;="&amp;'Settings'!$D$23),2),0)</f>
        <v/>
      </c>
      <c r="AQ156">
        <f>IF(AE156=1,ROUND(SUMIFS('All Donations'!$S$2:$S$4001,'All Donations'!$R$2:$R$4001,AD156,'All Donations'!$T$2:$T$4001,"&gt;="&amp;'Settings'!$C$25,'All Donations'!$T$2:$T$4001,"&lt;="&amp;'Settings'!$D$25),2),0)</f>
        <v/>
      </c>
      <c r="AR156">
        <f>IF(AE156=1,ROUND(SUMIFS('All Donations'!$S$2:$S$4001,'All Donations'!$R$2:$R$4001,AD156,'All Donations'!$T$2:$T$4001,"&gt;="&amp;'Settings'!$C$26,'All Donations'!$T$2:$T$4001,"&lt;="&amp;'Settings'!$D$26),2),0)</f>
        <v/>
      </c>
      <c r="AS156">
        <f>IF(AE156=1,ROUND(SUMIFS('All Donations'!$S$2:$S$4001,'All Donations'!$R$2:$R$4001,AD156,'All Donations'!$T$2:$T$4001,"&lt;="&amp;'Settings'!$D$27),2),0)</f>
        <v/>
      </c>
      <c r="AT156">
        <f>IF(AE156=1,ROUND(SUMIFS('All Donations'!$S$2:$S$4001,'All Donations'!$R$2:$R$4001,AD156,'All Donations'!$T$2:$T$4001,"&gt;="&amp;'Settings'!$C$28,'All Donations'!$T$2:$T$4001,"&lt;="&amp;'Settings'!$D$28),2),0)</f>
        <v/>
      </c>
      <c r="AU156">
        <f>IF(AE156=1,ROUND(SUMIFS('All Donations'!$S$2:$S$4001,'All Donations'!$R$2:$R$4001,AD156,'All Donations'!$T$2:$T$4001,"&gt;="&amp;'Settings'!$C$29,'All Donations'!$T$2:$T$4001,"&lt;="&amp;'Settings'!$D$29),2),0)</f>
        <v/>
      </c>
      <c r="AV156">
        <f>IF(AE156=1,ROUND(SUMIFS('All Donations'!$S$2:$S$4001,'All Donations'!$R$2:$R$4001,AD156,'All Donations'!$T$2:$T$4001,"&lt;="&amp;'Settings'!$D$30),2),0)</f>
        <v/>
      </c>
      <c r="AZ156">
        <f>IF(AE156=1,ROUND(SUMIFS('All Donations'!$S$2:$S$4001,'All Donations'!$R$2:$R$4001,AD156,'All Donations'!$T$2:$T$4001,"&lt;="&amp;'Settings'!$D$34),2),0)</f>
        <v/>
      </c>
    </row>
    <row r="157">
      <c r="A157">
        <f>IF(AE157=1,TRIM(TRIM('Roster'!B157)&amp;" "&amp;TRIM('Roster'!C157)),"")</f>
        <v/>
      </c>
      <c r="B157">
        <f>IF(AE157=1,IF(AN157="","(no teacher)",AN157&amp;" – "&amp;C157),"")</f>
        <v/>
      </c>
      <c r="C157">
        <f>IF(AE157=1,TRIM('Roster'!D157&amp;""),"")</f>
        <v/>
      </c>
      <c r="D157" s="48">
        <f>IF(AE157=1,ROUND(SUMIFS('All Donations'!$S$2:$S$4001,'All Donations'!$R$2:$R$4001,AD157),2),"")</f>
        <v/>
      </c>
      <c r="E157" s="48">
        <f>IF(AE157=1,ROUND(SUMIFS('All Donations'!$S$2:$S$4001,'All Donations'!$R$2:$R$4001,AD157,'All Donations'!$G$2:$G$4001,"OneCause"),2),"")</f>
        <v/>
      </c>
      <c r="F157" s="48">
        <f>IF(AE157=1,D157-E157,"")</f>
        <v/>
      </c>
      <c r="G157">
        <f>IF(AE157=1,COUNTIFS('All Donations'!$R$2:$R$4001,AD157,'All Donations'!$H$2:$H$4001,"OK"),"")</f>
        <v/>
      </c>
      <c r="H157">
        <f>IF(AE157&lt;&gt;1,"",IF(D157&gt;0,"Yes",""))</f>
        <v/>
      </c>
      <c r="I157" s="49">
        <f>IF(OR($AE157&lt;&gt;1,I$1=""),"",SUMIFS('All Donations'!$S$2:$S$4001,'All Donations'!$R$2:$R$4001,$AD157,'All Donations'!$T$2:$T$4001,I$1))</f>
        <v/>
      </c>
      <c r="J157" s="49">
        <f>IF(OR($AE157&lt;&gt;1,J$1=""),"",SUMIFS('All Donations'!$S$2:$S$4001,'All Donations'!$R$2:$R$4001,$AD157,'All Donations'!$T$2:$T$4001,J$1))</f>
        <v/>
      </c>
      <c r="K157" s="49">
        <f>IF(OR($AE157&lt;&gt;1,K$1=""),"",SUMIFS('All Donations'!$S$2:$S$4001,'All Donations'!$R$2:$R$4001,$AD157,'All Donations'!$T$2:$T$4001,K$1))</f>
        <v/>
      </c>
      <c r="L157" s="49">
        <f>IF(OR($AE157&lt;&gt;1,L$1=""),"",SUMIFS('All Donations'!$S$2:$S$4001,'All Donations'!$R$2:$R$4001,$AD157,'All Donations'!$T$2:$T$4001,L$1))</f>
        <v/>
      </c>
      <c r="M157" s="49">
        <f>IF(OR($AE157&lt;&gt;1,M$1=""),"",SUMIFS('All Donations'!$S$2:$S$4001,'All Donations'!$R$2:$R$4001,$AD157,'All Donations'!$T$2:$T$4001,M$1))</f>
        <v/>
      </c>
      <c r="N157" s="49">
        <f>IF(OR($AE157&lt;&gt;1,N$1=""),"",SUMIFS('All Donations'!$S$2:$S$4001,'All Donations'!$R$2:$R$4001,$AD157,'All Donations'!$T$2:$T$4001,N$1))</f>
        <v/>
      </c>
      <c r="O157" s="49">
        <f>IF(OR($AE157&lt;&gt;1,O$1=""),"",SUMIFS('All Donations'!$S$2:$S$4001,'All Donations'!$R$2:$R$4001,$AD157,'All Donations'!$T$2:$T$4001,O$1))</f>
        <v/>
      </c>
      <c r="P157" s="49">
        <f>IF(OR($AE157&lt;&gt;1,P$1=""),"",SUMIFS('All Donations'!$S$2:$S$4001,'All Donations'!$R$2:$R$4001,$AD157,'All Donations'!$T$2:$T$4001,P$1))</f>
        <v/>
      </c>
      <c r="Q157" s="49">
        <f>IF(OR($AE157&lt;&gt;1,Q$1=""),"",SUMIFS('All Donations'!$S$2:$S$4001,'All Donations'!$R$2:$R$4001,$AD157,'All Donations'!$T$2:$T$4001,Q$1))</f>
        <v/>
      </c>
      <c r="R157" s="49">
        <f>IF(OR($AE157&lt;&gt;1,R$1=""),"",SUMIFS('All Donations'!$S$2:$S$4001,'All Donations'!$R$2:$R$4001,$AD157,'All Donations'!$T$2:$T$4001,R$1))</f>
        <v/>
      </c>
      <c r="S157" s="49">
        <f>IF(OR($AE157&lt;&gt;1,S$1=""),"",SUMIFS('All Donations'!$S$2:$S$4001,'All Donations'!$R$2:$R$4001,$AD157,'All Donations'!$T$2:$T$4001,S$1))</f>
        <v/>
      </c>
      <c r="T157" s="49">
        <f>IF(OR($AE157&lt;&gt;1,T$1=""),"",SUMIFS('All Donations'!$S$2:$S$4001,'All Donations'!$R$2:$R$4001,$AD157,'All Donations'!$T$2:$T$4001,T$1))</f>
        <v/>
      </c>
      <c r="U157" s="49">
        <f>IF(OR($AE157&lt;&gt;1,U$1=""),"",SUMIFS('All Donations'!$S$2:$S$4001,'All Donations'!$R$2:$R$4001,$AD157,'All Donations'!$T$2:$T$4001,U$1))</f>
        <v/>
      </c>
      <c r="V157" s="49">
        <f>IF(OR($AE157&lt;&gt;1,V$1=""),"",SUMIFS('All Donations'!$S$2:$S$4001,'All Donations'!$R$2:$R$4001,$AD157,'All Donations'!$T$2:$T$4001,V$1))</f>
        <v/>
      </c>
      <c r="W157" s="49">
        <f>IF(OR($AE157&lt;&gt;1,W$1=""),"",SUMIFS('All Donations'!$S$2:$S$4001,'All Donations'!$R$2:$R$4001,$AD157,'All Donations'!$T$2:$T$4001,W$1))</f>
        <v/>
      </c>
      <c r="X157" s="49">
        <f>IF(OR($AE157&lt;&gt;1,X$1=""),"",SUMIFS('All Donations'!$S$2:$S$4001,'All Donations'!$R$2:$R$4001,$AD157,'All Donations'!$T$2:$T$4001,X$1))</f>
        <v/>
      </c>
      <c r="Y157" s="49">
        <f>IF(OR($AE157&lt;&gt;1,Y$1=""),"",SUMIFS('All Donations'!$S$2:$S$4001,'All Donations'!$R$2:$R$4001,$AD157,'All Donations'!$T$2:$T$4001,Y$1))</f>
        <v/>
      </c>
      <c r="Z157" s="49">
        <f>IF(OR($AE157&lt;&gt;1,Z$1=""),"",SUMIFS('All Donations'!$S$2:$S$4001,'All Donations'!$R$2:$R$4001,$AD157,'All Donations'!$T$2:$T$4001,Z$1))</f>
        <v/>
      </c>
      <c r="AA157" s="49">
        <f>IF(OR($AE157&lt;&gt;1,AA$1=""),"",SUMIFS('All Donations'!$S$2:$S$4001,'All Donations'!$R$2:$R$4001,$AD157,'All Donations'!$T$2:$T$4001,AA$1))</f>
        <v/>
      </c>
      <c r="AB157" s="49">
        <f>IF(OR($AE157&lt;&gt;1,AB$1=""),"",SUMIFS('All Donations'!$S$2:$S$4001,'All Donations'!$R$2:$R$4001,$AD157,'All Donations'!$T$2:$T$4001,AB$1))</f>
        <v/>
      </c>
      <c r="AC157" s="49">
        <f>IF(OR($AE157&lt;&gt;1,AC$1=""),"",SUMIFS('All Donations'!$S$2:$S$4001,'All Donations'!$R$2:$R$4001,$AD157,'All Donations'!$T$2:$T$4001,AC$1))</f>
        <v/>
      </c>
      <c r="AD157">
        <f>IF(AE157=1,'Roster'!A157,"")</f>
        <v/>
      </c>
      <c r="AE157">
        <f>IF(TRIM('Roster'!B157&amp;'Roster'!C157)&lt;&gt;"",1,0)</f>
        <v/>
      </c>
      <c r="AF157">
        <f>IF(AE157=1,LOWER(A157),"#")</f>
        <v/>
      </c>
      <c r="AG157">
        <f>IF(AE157=1,LOWER(TRIM(TRIM('Roster'!C157)&amp;", "&amp;TRIM('Roster'!B157))),"#")</f>
        <v/>
      </c>
      <c r="AH157">
        <f>IF(AND(AE157=1,TRIM('Roster'!F157)&lt;&gt;""),LOWER(TRIM('Roster'!F157)),"#")</f>
        <v/>
      </c>
      <c r="AI157">
        <f>IF(AE157=1,IF(MATCH(B157,$B$2:$B$701,0)=ROW()-1,1,0),0)</f>
        <v/>
      </c>
      <c r="AJ157">
        <f>AJ156+AI157</f>
        <v/>
      </c>
      <c r="AK157">
        <f>IF(AE157=1,D157+(1000-ROW())/10^7,-1)</f>
        <v/>
      </c>
      <c r="AL157">
        <f>IF(AE157=1,TRIM('Roster'!B157)&amp;" "&amp;LEFT(TRIM('Roster'!C157),1)&amp;".","")</f>
        <v/>
      </c>
      <c r="AM157">
        <f>IF(AE157=1,TRIM('Roster'!C157)&amp;", "&amp;TRIM('Roster'!B157)&amp;" ("&amp;B157&amp;") #"&amp;AD157,"")</f>
        <v/>
      </c>
      <c r="AN157">
        <f>IF(AE157=1,TRIM('Roster'!E157),"")</f>
        <v/>
      </c>
      <c r="AO157">
        <f>IF(AE157=1,ROUND(SUMIFS('All Donations'!$S$2:$S$4001,'All Donations'!$R$2:$R$4001,AD157,'All Donations'!$T$2:$T$4001,"&gt;="&amp;'Settings'!$C$23,'All Donations'!$T$2:$T$4001,"&lt;="&amp;'Settings'!$D$23),2),0)</f>
        <v/>
      </c>
      <c r="AQ157">
        <f>IF(AE157=1,ROUND(SUMIFS('All Donations'!$S$2:$S$4001,'All Donations'!$R$2:$R$4001,AD157,'All Donations'!$T$2:$T$4001,"&gt;="&amp;'Settings'!$C$25,'All Donations'!$T$2:$T$4001,"&lt;="&amp;'Settings'!$D$25),2),0)</f>
        <v/>
      </c>
      <c r="AR157">
        <f>IF(AE157=1,ROUND(SUMIFS('All Donations'!$S$2:$S$4001,'All Donations'!$R$2:$R$4001,AD157,'All Donations'!$T$2:$T$4001,"&gt;="&amp;'Settings'!$C$26,'All Donations'!$T$2:$T$4001,"&lt;="&amp;'Settings'!$D$26),2),0)</f>
        <v/>
      </c>
      <c r="AS157">
        <f>IF(AE157=1,ROUND(SUMIFS('All Donations'!$S$2:$S$4001,'All Donations'!$R$2:$R$4001,AD157,'All Donations'!$T$2:$T$4001,"&lt;="&amp;'Settings'!$D$27),2),0)</f>
        <v/>
      </c>
      <c r="AT157">
        <f>IF(AE157=1,ROUND(SUMIFS('All Donations'!$S$2:$S$4001,'All Donations'!$R$2:$R$4001,AD157,'All Donations'!$T$2:$T$4001,"&gt;="&amp;'Settings'!$C$28,'All Donations'!$T$2:$T$4001,"&lt;="&amp;'Settings'!$D$28),2),0)</f>
        <v/>
      </c>
      <c r="AU157">
        <f>IF(AE157=1,ROUND(SUMIFS('All Donations'!$S$2:$S$4001,'All Donations'!$R$2:$R$4001,AD157,'All Donations'!$T$2:$T$4001,"&gt;="&amp;'Settings'!$C$29,'All Donations'!$T$2:$T$4001,"&lt;="&amp;'Settings'!$D$29),2),0)</f>
        <v/>
      </c>
      <c r="AV157">
        <f>IF(AE157=1,ROUND(SUMIFS('All Donations'!$S$2:$S$4001,'All Donations'!$R$2:$R$4001,AD157,'All Donations'!$T$2:$T$4001,"&lt;="&amp;'Settings'!$D$30),2),0)</f>
        <v/>
      </c>
      <c r="AZ157">
        <f>IF(AE157=1,ROUND(SUMIFS('All Donations'!$S$2:$S$4001,'All Donations'!$R$2:$R$4001,AD157,'All Donations'!$T$2:$T$4001,"&lt;="&amp;'Settings'!$D$34),2),0)</f>
        <v/>
      </c>
    </row>
    <row r="158">
      <c r="A158">
        <f>IF(AE158=1,TRIM(TRIM('Roster'!B158)&amp;" "&amp;TRIM('Roster'!C158)),"")</f>
        <v/>
      </c>
      <c r="B158">
        <f>IF(AE158=1,IF(AN158="","(no teacher)",AN158&amp;" – "&amp;C158),"")</f>
        <v/>
      </c>
      <c r="C158">
        <f>IF(AE158=1,TRIM('Roster'!D158&amp;""),"")</f>
        <v/>
      </c>
      <c r="D158" s="48">
        <f>IF(AE158=1,ROUND(SUMIFS('All Donations'!$S$2:$S$4001,'All Donations'!$R$2:$R$4001,AD158),2),"")</f>
        <v/>
      </c>
      <c r="E158" s="48">
        <f>IF(AE158=1,ROUND(SUMIFS('All Donations'!$S$2:$S$4001,'All Donations'!$R$2:$R$4001,AD158,'All Donations'!$G$2:$G$4001,"OneCause"),2),"")</f>
        <v/>
      </c>
      <c r="F158" s="48">
        <f>IF(AE158=1,D158-E158,"")</f>
        <v/>
      </c>
      <c r="G158">
        <f>IF(AE158=1,COUNTIFS('All Donations'!$R$2:$R$4001,AD158,'All Donations'!$H$2:$H$4001,"OK"),"")</f>
        <v/>
      </c>
      <c r="H158">
        <f>IF(AE158&lt;&gt;1,"",IF(D158&gt;0,"Yes",""))</f>
        <v/>
      </c>
      <c r="I158" s="49">
        <f>IF(OR($AE158&lt;&gt;1,I$1=""),"",SUMIFS('All Donations'!$S$2:$S$4001,'All Donations'!$R$2:$R$4001,$AD158,'All Donations'!$T$2:$T$4001,I$1))</f>
        <v/>
      </c>
      <c r="J158" s="49">
        <f>IF(OR($AE158&lt;&gt;1,J$1=""),"",SUMIFS('All Donations'!$S$2:$S$4001,'All Donations'!$R$2:$R$4001,$AD158,'All Donations'!$T$2:$T$4001,J$1))</f>
        <v/>
      </c>
      <c r="K158" s="49">
        <f>IF(OR($AE158&lt;&gt;1,K$1=""),"",SUMIFS('All Donations'!$S$2:$S$4001,'All Donations'!$R$2:$R$4001,$AD158,'All Donations'!$T$2:$T$4001,K$1))</f>
        <v/>
      </c>
      <c r="L158" s="49">
        <f>IF(OR($AE158&lt;&gt;1,L$1=""),"",SUMIFS('All Donations'!$S$2:$S$4001,'All Donations'!$R$2:$R$4001,$AD158,'All Donations'!$T$2:$T$4001,L$1))</f>
        <v/>
      </c>
      <c r="M158" s="49">
        <f>IF(OR($AE158&lt;&gt;1,M$1=""),"",SUMIFS('All Donations'!$S$2:$S$4001,'All Donations'!$R$2:$R$4001,$AD158,'All Donations'!$T$2:$T$4001,M$1))</f>
        <v/>
      </c>
      <c r="N158" s="49">
        <f>IF(OR($AE158&lt;&gt;1,N$1=""),"",SUMIFS('All Donations'!$S$2:$S$4001,'All Donations'!$R$2:$R$4001,$AD158,'All Donations'!$T$2:$T$4001,N$1))</f>
        <v/>
      </c>
      <c r="O158" s="49">
        <f>IF(OR($AE158&lt;&gt;1,O$1=""),"",SUMIFS('All Donations'!$S$2:$S$4001,'All Donations'!$R$2:$R$4001,$AD158,'All Donations'!$T$2:$T$4001,O$1))</f>
        <v/>
      </c>
      <c r="P158" s="49">
        <f>IF(OR($AE158&lt;&gt;1,P$1=""),"",SUMIFS('All Donations'!$S$2:$S$4001,'All Donations'!$R$2:$R$4001,$AD158,'All Donations'!$T$2:$T$4001,P$1))</f>
        <v/>
      </c>
      <c r="Q158" s="49">
        <f>IF(OR($AE158&lt;&gt;1,Q$1=""),"",SUMIFS('All Donations'!$S$2:$S$4001,'All Donations'!$R$2:$R$4001,$AD158,'All Donations'!$T$2:$T$4001,Q$1))</f>
        <v/>
      </c>
      <c r="R158" s="49">
        <f>IF(OR($AE158&lt;&gt;1,R$1=""),"",SUMIFS('All Donations'!$S$2:$S$4001,'All Donations'!$R$2:$R$4001,$AD158,'All Donations'!$T$2:$T$4001,R$1))</f>
        <v/>
      </c>
      <c r="S158" s="49">
        <f>IF(OR($AE158&lt;&gt;1,S$1=""),"",SUMIFS('All Donations'!$S$2:$S$4001,'All Donations'!$R$2:$R$4001,$AD158,'All Donations'!$T$2:$T$4001,S$1))</f>
        <v/>
      </c>
      <c r="T158" s="49">
        <f>IF(OR($AE158&lt;&gt;1,T$1=""),"",SUMIFS('All Donations'!$S$2:$S$4001,'All Donations'!$R$2:$R$4001,$AD158,'All Donations'!$T$2:$T$4001,T$1))</f>
        <v/>
      </c>
      <c r="U158" s="49">
        <f>IF(OR($AE158&lt;&gt;1,U$1=""),"",SUMIFS('All Donations'!$S$2:$S$4001,'All Donations'!$R$2:$R$4001,$AD158,'All Donations'!$T$2:$T$4001,U$1))</f>
        <v/>
      </c>
      <c r="V158" s="49">
        <f>IF(OR($AE158&lt;&gt;1,V$1=""),"",SUMIFS('All Donations'!$S$2:$S$4001,'All Donations'!$R$2:$R$4001,$AD158,'All Donations'!$T$2:$T$4001,V$1))</f>
        <v/>
      </c>
      <c r="W158" s="49">
        <f>IF(OR($AE158&lt;&gt;1,W$1=""),"",SUMIFS('All Donations'!$S$2:$S$4001,'All Donations'!$R$2:$R$4001,$AD158,'All Donations'!$T$2:$T$4001,W$1))</f>
        <v/>
      </c>
      <c r="X158" s="49">
        <f>IF(OR($AE158&lt;&gt;1,X$1=""),"",SUMIFS('All Donations'!$S$2:$S$4001,'All Donations'!$R$2:$R$4001,$AD158,'All Donations'!$T$2:$T$4001,X$1))</f>
        <v/>
      </c>
      <c r="Y158" s="49">
        <f>IF(OR($AE158&lt;&gt;1,Y$1=""),"",SUMIFS('All Donations'!$S$2:$S$4001,'All Donations'!$R$2:$R$4001,$AD158,'All Donations'!$T$2:$T$4001,Y$1))</f>
        <v/>
      </c>
      <c r="Z158" s="49">
        <f>IF(OR($AE158&lt;&gt;1,Z$1=""),"",SUMIFS('All Donations'!$S$2:$S$4001,'All Donations'!$R$2:$R$4001,$AD158,'All Donations'!$T$2:$T$4001,Z$1))</f>
        <v/>
      </c>
      <c r="AA158" s="49">
        <f>IF(OR($AE158&lt;&gt;1,AA$1=""),"",SUMIFS('All Donations'!$S$2:$S$4001,'All Donations'!$R$2:$R$4001,$AD158,'All Donations'!$T$2:$T$4001,AA$1))</f>
        <v/>
      </c>
      <c r="AB158" s="49">
        <f>IF(OR($AE158&lt;&gt;1,AB$1=""),"",SUMIFS('All Donations'!$S$2:$S$4001,'All Donations'!$R$2:$R$4001,$AD158,'All Donations'!$T$2:$T$4001,AB$1))</f>
        <v/>
      </c>
      <c r="AC158" s="49">
        <f>IF(OR($AE158&lt;&gt;1,AC$1=""),"",SUMIFS('All Donations'!$S$2:$S$4001,'All Donations'!$R$2:$R$4001,$AD158,'All Donations'!$T$2:$T$4001,AC$1))</f>
        <v/>
      </c>
      <c r="AD158">
        <f>IF(AE158=1,'Roster'!A158,"")</f>
        <v/>
      </c>
      <c r="AE158">
        <f>IF(TRIM('Roster'!B158&amp;'Roster'!C158)&lt;&gt;"",1,0)</f>
        <v/>
      </c>
      <c r="AF158">
        <f>IF(AE158=1,LOWER(A158),"#")</f>
        <v/>
      </c>
      <c r="AG158">
        <f>IF(AE158=1,LOWER(TRIM(TRIM('Roster'!C158)&amp;", "&amp;TRIM('Roster'!B158))),"#")</f>
        <v/>
      </c>
      <c r="AH158">
        <f>IF(AND(AE158=1,TRIM('Roster'!F158)&lt;&gt;""),LOWER(TRIM('Roster'!F158)),"#")</f>
        <v/>
      </c>
      <c r="AI158">
        <f>IF(AE158=1,IF(MATCH(B158,$B$2:$B$701,0)=ROW()-1,1,0),0)</f>
        <v/>
      </c>
      <c r="AJ158">
        <f>AJ157+AI158</f>
        <v/>
      </c>
      <c r="AK158">
        <f>IF(AE158=1,D158+(1000-ROW())/10^7,-1)</f>
        <v/>
      </c>
      <c r="AL158">
        <f>IF(AE158=1,TRIM('Roster'!B158)&amp;" "&amp;LEFT(TRIM('Roster'!C158),1)&amp;".","")</f>
        <v/>
      </c>
      <c r="AM158">
        <f>IF(AE158=1,TRIM('Roster'!C158)&amp;", "&amp;TRIM('Roster'!B158)&amp;" ("&amp;B158&amp;") #"&amp;AD158,"")</f>
        <v/>
      </c>
      <c r="AN158">
        <f>IF(AE158=1,TRIM('Roster'!E158),"")</f>
        <v/>
      </c>
      <c r="AO158">
        <f>IF(AE158=1,ROUND(SUMIFS('All Donations'!$S$2:$S$4001,'All Donations'!$R$2:$R$4001,AD158,'All Donations'!$T$2:$T$4001,"&gt;="&amp;'Settings'!$C$23,'All Donations'!$T$2:$T$4001,"&lt;="&amp;'Settings'!$D$23),2),0)</f>
        <v/>
      </c>
      <c r="AQ158">
        <f>IF(AE158=1,ROUND(SUMIFS('All Donations'!$S$2:$S$4001,'All Donations'!$R$2:$R$4001,AD158,'All Donations'!$T$2:$T$4001,"&gt;="&amp;'Settings'!$C$25,'All Donations'!$T$2:$T$4001,"&lt;="&amp;'Settings'!$D$25),2),0)</f>
        <v/>
      </c>
      <c r="AR158">
        <f>IF(AE158=1,ROUND(SUMIFS('All Donations'!$S$2:$S$4001,'All Donations'!$R$2:$R$4001,AD158,'All Donations'!$T$2:$T$4001,"&gt;="&amp;'Settings'!$C$26,'All Donations'!$T$2:$T$4001,"&lt;="&amp;'Settings'!$D$26),2),0)</f>
        <v/>
      </c>
      <c r="AS158">
        <f>IF(AE158=1,ROUND(SUMIFS('All Donations'!$S$2:$S$4001,'All Donations'!$R$2:$R$4001,AD158,'All Donations'!$T$2:$T$4001,"&lt;="&amp;'Settings'!$D$27),2),0)</f>
        <v/>
      </c>
      <c r="AT158">
        <f>IF(AE158=1,ROUND(SUMIFS('All Donations'!$S$2:$S$4001,'All Donations'!$R$2:$R$4001,AD158,'All Donations'!$T$2:$T$4001,"&gt;="&amp;'Settings'!$C$28,'All Donations'!$T$2:$T$4001,"&lt;="&amp;'Settings'!$D$28),2),0)</f>
        <v/>
      </c>
      <c r="AU158">
        <f>IF(AE158=1,ROUND(SUMIFS('All Donations'!$S$2:$S$4001,'All Donations'!$R$2:$R$4001,AD158,'All Donations'!$T$2:$T$4001,"&gt;="&amp;'Settings'!$C$29,'All Donations'!$T$2:$T$4001,"&lt;="&amp;'Settings'!$D$29),2),0)</f>
        <v/>
      </c>
      <c r="AV158">
        <f>IF(AE158=1,ROUND(SUMIFS('All Donations'!$S$2:$S$4001,'All Donations'!$R$2:$R$4001,AD158,'All Donations'!$T$2:$T$4001,"&lt;="&amp;'Settings'!$D$30),2),0)</f>
        <v/>
      </c>
      <c r="AZ158">
        <f>IF(AE158=1,ROUND(SUMIFS('All Donations'!$S$2:$S$4001,'All Donations'!$R$2:$R$4001,AD158,'All Donations'!$T$2:$T$4001,"&lt;="&amp;'Settings'!$D$34),2),0)</f>
        <v/>
      </c>
    </row>
    <row r="159">
      <c r="A159">
        <f>IF(AE159=1,TRIM(TRIM('Roster'!B159)&amp;" "&amp;TRIM('Roster'!C159)),"")</f>
        <v/>
      </c>
      <c r="B159">
        <f>IF(AE159=1,IF(AN159="","(no teacher)",AN159&amp;" – "&amp;C159),"")</f>
        <v/>
      </c>
      <c r="C159">
        <f>IF(AE159=1,TRIM('Roster'!D159&amp;""),"")</f>
        <v/>
      </c>
      <c r="D159" s="48">
        <f>IF(AE159=1,ROUND(SUMIFS('All Donations'!$S$2:$S$4001,'All Donations'!$R$2:$R$4001,AD159),2),"")</f>
        <v/>
      </c>
      <c r="E159" s="48">
        <f>IF(AE159=1,ROUND(SUMIFS('All Donations'!$S$2:$S$4001,'All Donations'!$R$2:$R$4001,AD159,'All Donations'!$G$2:$G$4001,"OneCause"),2),"")</f>
        <v/>
      </c>
      <c r="F159" s="48">
        <f>IF(AE159=1,D159-E159,"")</f>
        <v/>
      </c>
      <c r="G159">
        <f>IF(AE159=1,COUNTIFS('All Donations'!$R$2:$R$4001,AD159,'All Donations'!$H$2:$H$4001,"OK"),"")</f>
        <v/>
      </c>
      <c r="H159">
        <f>IF(AE159&lt;&gt;1,"",IF(D159&gt;0,"Yes",""))</f>
        <v/>
      </c>
      <c r="I159" s="49">
        <f>IF(OR($AE159&lt;&gt;1,I$1=""),"",SUMIFS('All Donations'!$S$2:$S$4001,'All Donations'!$R$2:$R$4001,$AD159,'All Donations'!$T$2:$T$4001,I$1))</f>
        <v/>
      </c>
      <c r="J159" s="49">
        <f>IF(OR($AE159&lt;&gt;1,J$1=""),"",SUMIFS('All Donations'!$S$2:$S$4001,'All Donations'!$R$2:$R$4001,$AD159,'All Donations'!$T$2:$T$4001,J$1))</f>
        <v/>
      </c>
      <c r="K159" s="49">
        <f>IF(OR($AE159&lt;&gt;1,K$1=""),"",SUMIFS('All Donations'!$S$2:$S$4001,'All Donations'!$R$2:$R$4001,$AD159,'All Donations'!$T$2:$T$4001,K$1))</f>
        <v/>
      </c>
      <c r="L159" s="49">
        <f>IF(OR($AE159&lt;&gt;1,L$1=""),"",SUMIFS('All Donations'!$S$2:$S$4001,'All Donations'!$R$2:$R$4001,$AD159,'All Donations'!$T$2:$T$4001,L$1))</f>
        <v/>
      </c>
      <c r="M159" s="49">
        <f>IF(OR($AE159&lt;&gt;1,M$1=""),"",SUMIFS('All Donations'!$S$2:$S$4001,'All Donations'!$R$2:$R$4001,$AD159,'All Donations'!$T$2:$T$4001,M$1))</f>
        <v/>
      </c>
      <c r="N159" s="49">
        <f>IF(OR($AE159&lt;&gt;1,N$1=""),"",SUMIFS('All Donations'!$S$2:$S$4001,'All Donations'!$R$2:$R$4001,$AD159,'All Donations'!$T$2:$T$4001,N$1))</f>
        <v/>
      </c>
      <c r="O159" s="49">
        <f>IF(OR($AE159&lt;&gt;1,O$1=""),"",SUMIFS('All Donations'!$S$2:$S$4001,'All Donations'!$R$2:$R$4001,$AD159,'All Donations'!$T$2:$T$4001,O$1))</f>
        <v/>
      </c>
      <c r="P159" s="49">
        <f>IF(OR($AE159&lt;&gt;1,P$1=""),"",SUMIFS('All Donations'!$S$2:$S$4001,'All Donations'!$R$2:$R$4001,$AD159,'All Donations'!$T$2:$T$4001,P$1))</f>
        <v/>
      </c>
      <c r="Q159" s="49">
        <f>IF(OR($AE159&lt;&gt;1,Q$1=""),"",SUMIFS('All Donations'!$S$2:$S$4001,'All Donations'!$R$2:$R$4001,$AD159,'All Donations'!$T$2:$T$4001,Q$1))</f>
        <v/>
      </c>
      <c r="R159" s="49">
        <f>IF(OR($AE159&lt;&gt;1,R$1=""),"",SUMIFS('All Donations'!$S$2:$S$4001,'All Donations'!$R$2:$R$4001,$AD159,'All Donations'!$T$2:$T$4001,R$1))</f>
        <v/>
      </c>
      <c r="S159" s="49">
        <f>IF(OR($AE159&lt;&gt;1,S$1=""),"",SUMIFS('All Donations'!$S$2:$S$4001,'All Donations'!$R$2:$R$4001,$AD159,'All Donations'!$T$2:$T$4001,S$1))</f>
        <v/>
      </c>
      <c r="T159" s="49">
        <f>IF(OR($AE159&lt;&gt;1,T$1=""),"",SUMIFS('All Donations'!$S$2:$S$4001,'All Donations'!$R$2:$R$4001,$AD159,'All Donations'!$T$2:$T$4001,T$1))</f>
        <v/>
      </c>
      <c r="U159" s="49">
        <f>IF(OR($AE159&lt;&gt;1,U$1=""),"",SUMIFS('All Donations'!$S$2:$S$4001,'All Donations'!$R$2:$R$4001,$AD159,'All Donations'!$T$2:$T$4001,U$1))</f>
        <v/>
      </c>
      <c r="V159" s="49">
        <f>IF(OR($AE159&lt;&gt;1,V$1=""),"",SUMIFS('All Donations'!$S$2:$S$4001,'All Donations'!$R$2:$R$4001,$AD159,'All Donations'!$T$2:$T$4001,V$1))</f>
        <v/>
      </c>
      <c r="W159" s="49">
        <f>IF(OR($AE159&lt;&gt;1,W$1=""),"",SUMIFS('All Donations'!$S$2:$S$4001,'All Donations'!$R$2:$R$4001,$AD159,'All Donations'!$T$2:$T$4001,W$1))</f>
        <v/>
      </c>
      <c r="X159" s="49">
        <f>IF(OR($AE159&lt;&gt;1,X$1=""),"",SUMIFS('All Donations'!$S$2:$S$4001,'All Donations'!$R$2:$R$4001,$AD159,'All Donations'!$T$2:$T$4001,X$1))</f>
        <v/>
      </c>
      <c r="Y159" s="49">
        <f>IF(OR($AE159&lt;&gt;1,Y$1=""),"",SUMIFS('All Donations'!$S$2:$S$4001,'All Donations'!$R$2:$R$4001,$AD159,'All Donations'!$T$2:$T$4001,Y$1))</f>
        <v/>
      </c>
      <c r="Z159" s="49">
        <f>IF(OR($AE159&lt;&gt;1,Z$1=""),"",SUMIFS('All Donations'!$S$2:$S$4001,'All Donations'!$R$2:$R$4001,$AD159,'All Donations'!$T$2:$T$4001,Z$1))</f>
        <v/>
      </c>
      <c r="AA159" s="49">
        <f>IF(OR($AE159&lt;&gt;1,AA$1=""),"",SUMIFS('All Donations'!$S$2:$S$4001,'All Donations'!$R$2:$R$4001,$AD159,'All Donations'!$T$2:$T$4001,AA$1))</f>
        <v/>
      </c>
      <c r="AB159" s="49">
        <f>IF(OR($AE159&lt;&gt;1,AB$1=""),"",SUMIFS('All Donations'!$S$2:$S$4001,'All Donations'!$R$2:$R$4001,$AD159,'All Donations'!$T$2:$T$4001,AB$1))</f>
        <v/>
      </c>
      <c r="AC159" s="49">
        <f>IF(OR($AE159&lt;&gt;1,AC$1=""),"",SUMIFS('All Donations'!$S$2:$S$4001,'All Donations'!$R$2:$R$4001,$AD159,'All Donations'!$T$2:$T$4001,AC$1))</f>
        <v/>
      </c>
      <c r="AD159">
        <f>IF(AE159=1,'Roster'!A159,"")</f>
        <v/>
      </c>
      <c r="AE159">
        <f>IF(TRIM('Roster'!B159&amp;'Roster'!C159)&lt;&gt;"",1,0)</f>
        <v/>
      </c>
      <c r="AF159">
        <f>IF(AE159=1,LOWER(A159),"#")</f>
        <v/>
      </c>
      <c r="AG159">
        <f>IF(AE159=1,LOWER(TRIM(TRIM('Roster'!C159)&amp;", "&amp;TRIM('Roster'!B159))),"#")</f>
        <v/>
      </c>
      <c r="AH159">
        <f>IF(AND(AE159=1,TRIM('Roster'!F159)&lt;&gt;""),LOWER(TRIM('Roster'!F159)),"#")</f>
        <v/>
      </c>
      <c r="AI159">
        <f>IF(AE159=1,IF(MATCH(B159,$B$2:$B$701,0)=ROW()-1,1,0),0)</f>
        <v/>
      </c>
      <c r="AJ159">
        <f>AJ158+AI159</f>
        <v/>
      </c>
      <c r="AK159">
        <f>IF(AE159=1,D159+(1000-ROW())/10^7,-1)</f>
        <v/>
      </c>
      <c r="AL159">
        <f>IF(AE159=1,TRIM('Roster'!B159)&amp;" "&amp;LEFT(TRIM('Roster'!C159),1)&amp;".","")</f>
        <v/>
      </c>
      <c r="AM159">
        <f>IF(AE159=1,TRIM('Roster'!C159)&amp;", "&amp;TRIM('Roster'!B159)&amp;" ("&amp;B159&amp;") #"&amp;AD159,"")</f>
        <v/>
      </c>
      <c r="AN159">
        <f>IF(AE159=1,TRIM('Roster'!E159),"")</f>
        <v/>
      </c>
      <c r="AO159">
        <f>IF(AE159=1,ROUND(SUMIFS('All Donations'!$S$2:$S$4001,'All Donations'!$R$2:$R$4001,AD159,'All Donations'!$T$2:$T$4001,"&gt;="&amp;'Settings'!$C$23,'All Donations'!$T$2:$T$4001,"&lt;="&amp;'Settings'!$D$23),2),0)</f>
        <v/>
      </c>
      <c r="AQ159">
        <f>IF(AE159=1,ROUND(SUMIFS('All Donations'!$S$2:$S$4001,'All Donations'!$R$2:$R$4001,AD159,'All Donations'!$T$2:$T$4001,"&gt;="&amp;'Settings'!$C$25,'All Donations'!$T$2:$T$4001,"&lt;="&amp;'Settings'!$D$25),2),0)</f>
        <v/>
      </c>
      <c r="AR159">
        <f>IF(AE159=1,ROUND(SUMIFS('All Donations'!$S$2:$S$4001,'All Donations'!$R$2:$R$4001,AD159,'All Donations'!$T$2:$T$4001,"&gt;="&amp;'Settings'!$C$26,'All Donations'!$T$2:$T$4001,"&lt;="&amp;'Settings'!$D$26),2),0)</f>
        <v/>
      </c>
      <c r="AS159">
        <f>IF(AE159=1,ROUND(SUMIFS('All Donations'!$S$2:$S$4001,'All Donations'!$R$2:$R$4001,AD159,'All Donations'!$T$2:$T$4001,"&lt;="&amp;'Settings'!$D$27),2),0)</f>
        <v/>
      </c>
      <c r="AT159">
        <f>IF(AE159=1,ROUND(SUMIFS('All Donations'!$S$2:$S$4001,'All Donations'!$R$2:$R$4001,AD159,'All Donations'!$T$2:$T$4001,"&gt;="&amp;'Settings'!$C$28,'All Donations'!$T$2:$T$4001,"&lt;="&amp;'Settings'!$D$28),2),0)</f>
        <v/>
      </c>
      <c r="AU159">
        <f>IF(AE159=1,ROUND(SUMIFS('All Donations'!$S$2:$S$4001,'All Donations'!$R$2:$R$4001,AD159,'All Donations'!$T$2:$T$4001,"&gt;="&amp;'Settings'!$C$29,'All Donations'!$T$2:$T$4001,"&lt;="&amp;'Settings'!$D$29),2),0)</f>
        <v/>
      </c>
      <c r="AV159">
        <f>IF(AE159=1,ROUND(SUMIFS('All Donations'!$S$2:$S$4001,'All Donations'!$R$2:$R$4001,AD159,'All Donations'!$T$2:$T$4001,"&lt;="&amp;'Settings'!$D$30),2),0)</f>
        <v/>
      </c>
      <c r="AZ159">
        <f>IF(AE159=1,ROUND(SUMIFS('All Donations'!$S$2:$S$4001,'All Donations'!$R$2:$R$4001,AD159,'All Donations'!$T$2:$T$4001,"&lt;="&amp;'Settings'!$D$34),2),0)</f>
        <v/>
      </c>
    </row>
    <row r="160">
      <c r="A160">
        <f>IF(AE160=1,TRIM(TRIM('Roster'!B160)&amp;" "&amp;TRIM('Roster'!C160)),"")</f>
        <v/>
      </c>
      <c r="B160">
        <f>IF(AE160=1,IF(AN160="","(no teacher)",AN160&amp;" – "&amp;C160),"")</f>
        <v/>
      </c>
      <c r="C160">
        <f>IF(AE160=1,TRIM('Roster'!D160&amp;""),"")</f>
        <v/>
      </c>
      <c r="D160" s="48">
        <f>IF(AE160=1,ROUND(SUMIFS('All Donations'!$S$2:$S$4001,'All Donations'!$R$2:$R$4001,AD160),2),"")</f>
        <v/>
      </c>
      <c r="E160" s="48">
        <f>IF(AE160=1,ROUND(SUMIFS('All Donations'!$S$2:$S$4001,'All Donations'!$R$2:$R$4001,AD160,'All Donations'!$G$2:$G$4001,"OneCause"),2),"")</f>
        <v/>
      </c>
      <c r="F160" s="48">
        <f>IF(AE160=1,D160-E160,"")</f>
        <v/>
      </c>
      <c r="G160">
        <f>IF(AE160=1,COUNTIFS('All Donations'!$R$2:$R$4001,AD160,'All Donations'!$H$2:$H$4001,"OK"),"")</f>
        <v/>
      </c>
      <c r="H160">
        <f>IF(AE160&lt;&gt;1,"",IF(D160&gt;0,"Yes",""))</f>
        <v/>
      </c>
      <c r="I160" s="49">
        <f>IF(OR($AE160&lt;&gt;1,I$1=""),"",SUMIFS('All Donations'!$S$2:$S$4001,'All Donations'!$R$2:$R$4001,$AD160,'All Donations'!$T$2:$T$4001,I$1))</f>
        <v/>
      </c>
      <c r="J160" s="49">
        <f>IF(OR($AE160&lt;&gt;1,J$1=""),"",SUMIFS('All Donations'!$S$2:$S$4001,'All Donations'!$R$2:$R$4001,$AD160,'All Donations'!$T$2:$T$4001,J$1))</f>
        <v/>
      </c>
      <c r="K160" s="49">
        <f>IF(OR($AE160&lt;&gt;1,K$1=""),"",SUMIFS('All Donations'!$S$2:$S$4001,'All Donations'!$R$2:$R$4001,$AD160,'All Donations'!$T$2:$T$4001,K$1))</f>
        <v/>
      </c>
      <c r="L160" s="49">
        <f>IF(OR($AE160&lt;&gt;1,L$1=""),"",SUMIFS('All Donations'!$S$2:$S$4001,'All Donations'!$R$2:$R$4001,$AD160,'All Donations'!$T$2:$T$4001,L$1))</f>
        <v/>
      </c>
      <c r="M160" s="49">
        <f>IF(OR($AE160&lt;&gt;1,M$1=""),"",SUMIFS('All Donations'!$S$2:$S$4001,'All Donations'!$R$2:$R$4001,$AD160,'All Donations'!$T$2:$T$4001,M$1))</f>
        <v/>
      </c>
      <c r="N160" s="49">
        <f>IF(OR($AE160&lt;&gt;1,N$1=""),"",SUMIFS('All Donations'!$S$2:$S$4001,'All Donations'!$R$2:$R$4001,$AD160,'All Donations'!$T$2:$T$4001,N$1))</f>
        <v/>
      </c>
      <c r="O160" s="49">
        <f>IF(OR($AE160&lt;&gt;1,O$1=""),"",SUMIFS('All Donations'!$S$2:$S$4001,'All Donations'!$R$2:$R$4001,$AD160,'All Donations'!$T$2:$T$4001,O$1))</f>
        <v/>
      </c>
      <c r="P160" s="49">
        <f>IF(OR($AE160&lt;&gt;1,P$1=""),"",SUMIFS('All Donations'!$S$2:$S$4001,'All Donations'!$R$2:$R$4001,$AD160,'All Donations'!$T$2:$T$4001,P$1))</f>
        <v/>
      </c>
      <c r="Q160" s="49">
        <f>IF(OR($AE160&lt;&gt;1,Q$1=""),"",SUMIFS('All Donations'!$S$2:$S$4001,'All Donations'!$R$2:$R$4001,$AD160,'All Donations'!$T$2:$T$4001,Q$1))</f>
        <v/>
      </c>
      <c r="R160" s="49">
        <f>IF(OR($AE160&lt;&gt;1,R$1=""),"",SUMIFS('All Donations'!$S$2:$S$4001,'All Donations'!$R$2:$R$4001,$AD160,'All Donations'!$T$2:$T$4001,R$1))</f>
        <v/>
      </c>
      <c r="S160" s="49">
        <f>IF(OR($AE160&lt;&gt;1,S$1=""),"",SUMIFS('All Donations'!$S$2:$S$4001,'All Donations'!$R$2:$R$4001,$AD160,'All Donations'!$T$2:$T$4001,S$1))</f>
        <v/>
      </c>
      <c r="T160" s="49">
        <f>IF(OR($AE160&lt;&gt;1,T$1=""),"",SUMIFS('All Donations'!$S$2:$S$4001,'All Donations'!$R$2:$R$4001,$AD160,'All Donations'!$T$2:$T$4001,T$1))</f>
        <v/>
      </c>
      <c r="U160" s="49">
        <f>IF(OR($AE160&lt;&gt;1,U$1=""),"",SUMIFS('All Donations'!$S$2:$S$4001,'All Donations'!$R$2:$R$4001,$AD160,'All Donations'!$T$2:$T$4001,U$1))</f>
        <v/>
      </c>
      <c r="V160" s="49">
        <f>IF(OR($AE160&lt;&gt;1,V$1=""),"",SUMIFS('All Donations'!$S$2:$S$4001,'All Donations'!$R$2:$R$4001,$AD160,'All Donations'!$T$2:$T$4001,V$1))</f>
        <v/>
      </c>
      <c r="W160" s="49">
        <f>IF(OR($AE160&lt;&gt;1,W$1=""),"",SUMIFS('All Donations'!$S$2:$S$4001,'All Donations'!$R$2:$R$4001,$AD160,'All Donations'!$T$2:$T$4001,W$1))</f>
        <v/>
      </c>
      <c r="X160" s="49">
        <f>IF(OR($AE160&lt;&gt;1,X$1=""),"",SUMIFS('All Donations'!$S$2:$S$4001,'All Donations'!$R$2:$R$4001,$AD160,'All Donations'!$T$2:$T$4001,X$1))</f>
        <v/>
      </c>
      <c r="Y160" s="49">
        <f>IF(OR($AE160&lt;&gt;1,Y$1=""),"",SUMIFS('All Donations'!$S$2:$S$4001,'All Donations'!$R$2:$R$4001,$AD160,'All Donations'!$T$2:$T$4001,Y$1))</f>
        <v/>
      </c>
      <c r="Z160" s="49">
        <f>IF(OR($AE160&lt;&gt;1,Z$1=""),"",SUMIFS('All Donations'!$S$2:$S$4001,'All Donations'!$R$2:$R$4001,$AD160,'All Donations'!$T$2:$T$4001,Z$1))</f>
        <v/>
      </c>
      <c r="AA160" s="49">
        <f>IF(OR($AE160&lt;&gt;1,AA$1=""),"",SUMIFS('All Donations'!$S$2:$S$4001,'All Donations'!$R$2:$R$4001,$AD160,'All Donations'!$T$2:$T$4001,AA$1))</f>
        <v/>
      </c>
      <c r="AB160" s="49">
        <f>IF(OR($AE160&lt;&gt;1,AB$1=""),"",SUMIFS('All Donations'!$S$2:$S$4001,'All Donations'!$R$2:$R$4001,$AD160,'All Donations'!$T$2:$T$4001,AB$1))</f>
        <v/>
      </c>
      <c r="AC160" s="49">
        <f>IF(OR($AE160&lt;&gt;1,AC$1=""),"",SUMIFS('All Donations'!$S$2:$S$4001,'All Donations'!$R$2:$R$4001,$AD160,'All Donations'!$T$2:$T$4001,AC$1))</f>
        <v/>
      </c>
      <c r="AD160">
        <f>IF(AE160=1,'Roster'!A160,"")</f>
        <v/>
      </c>
      <c r="AE160">
        <f>IF(TRIM('Roster'!B160&amp;'Roster'!C160)&lt;&gt;"",1,0)</f>
        <v/>
      </c>
      <c r="AF160">
        <f>IF(AE160=1,LOWER(A160),"#")</f>
        <v/>
      </c>
      <c r="AG160">
        <f>IF(AE160=1,LOWER(TRIM(TRIM('Roster'!C160)&amp;", "&amp;TRIM('Roster'!B160))),"#")</f>
        <v/>
      </c>
      <c r="AH160">
        <f>IF(AND(AE160=1,TRIM('Roster'!F160)&lt;&gt;""),LOWER(TRIM('Roster'!F160)),"#")</f>
        <v/>
      </c>
      <c r="AI160">
        <f>IF(AE160=1,IF(MATCH(B160,$B$2:$B$701,0)=ROW()-1,1,0),0)</f>
        <v/>
      </c>
      <c r="AJ160">
        <f>AJ159+AI160</f>
        <v/>
      </c>
      <c r="AK160">
        <f>IF(AE160=1,D160+(1000-ROW())/10^7,-1)</f>
        <v/>
      </c>
      <c r="AL160">
        <f>IF(AE160=1,TRIM('Roster'!B160)&amp;" "&amp;LEFT(TRIM('Roster'!C160),1)&amp;".","")</f>
        <v/>
      </c>
      <c r="AM160">
        <f>IF(AE160=1,TRIM('Roster'!C160)&amp;", "&amp;TRIM('Roster'!B160)&amp;" ("&amp;B160&amp;") #"&amp;AD160,"")</f>
        <v/>
      </c>
      <c r="AN160">
        <f>IF(AE160=1,TRIM('Roster'!E160),"")</f>
        <v/>
      </c>
      <c r="AO160">
        <f>IF(AE160=1,ROUND(SUMIFS('All Donations'!$S$2:$S$4001,'All Donations'!$R$2:$R$4001,AD160,'All Donations'!$T$2:$T$4001,"&gt;="&amp;'Settings'!$C$23,'All Donations'!$T$2:$T$4001,"&lt;="&amp;'Settings'!$D$23),2),0)</f>
        <v/>
      </c>
      <c r="AQ160">
        <f>IF(AE160=1,ROUND(SUMIFS('All Donations'!$S$2:$S$4001,'All Donations'!$R$2:$R$4001,AD160,'All Donations'!$T$2:$T$4001,"&gt;="&amp;'Settings'!$C$25,'All Donations'!$T$2:$T$4001,"&lt;="&amp;'Settings'!$D$25),2),0)</f>
        <v/>
      </c>
      <c r="AR160">
        <f>IF(AE160=1,ROUND(SUMIFS('All Donations'!$S$2:$S$4001,'All Donations'!$R$2:$R$4001,AD160,'All Donations'!$T$2:$T$4001,"&gt;="&amp;'Settings'!$C$26,'All Donations'!$T$2:$T$4001,"&lt;="&amp;'Settings'!$D$26),2),0)</f>
        <v/>
      </c>
      <c r="AS160">
        <f>IF(AE160=1,ROUND(SUMIFS('All Donations'!$S$2:$S$4001,'All Donations'!$R$2:$R$4001,AD160,'All Donations'!$T$2:$T$4001,"&lt;="&amp;'Settings'!$D$27),2),0)</f>
        <v/>
      </c>
      <c r="AT160">
        <f>IF(AE160=1,ROUND(SUMIFS('All Donations'!$S$2:$S$4001,'All Donations'!$R$2:$R$4001,AD160,'All Donations'!$T$2:$T$4001,"&gt;="&amp;'Settings'!$C$28,'All Donations'!$T$2:$T$4001,"&lt;="&amp;'Settings'!$D$28),2),0)</f>
        <v/>
      </c>
      <c r="AU160">
        <f>IF(AE160=1,ROUND(SUMIFS('All Donations'!$S$2:$S$4001,'All Donations'!$R$2:$R$4001,AD160,'All Donations'!$T$2:$T$4001,"&gt;="&amp;'Settings'!$C$29,'All Donations'!$T$2:$T$4001,"&lt;="&amp;'Settings'!$D$29),2),0)</f>
        <v/>
      </c>
      <c r="AV160">
        <f>IF(AE160=1,ROUND(SUMIFS('All Donations'!$S$2:$S$4001,'All Donations'!$R$2:$R$4001,AD160,'All Donations'!$T$2:$T$4001,"&lt;="&amp;'Settings'!$D$30),2),0)</f>
        <v/>
      </c>
      <c r="AZ160">
        <f>IF(AE160=1,ROUND(SUMIFS('All Donations'!$S$2:$S$4001,'All Donations'!$R$2:$R$4001,AD160,'All Donations'!$T$2:$T$4001,"&lt;="&amp;'Settings'!$D$34),2),0)</f>
        <v/>
      </c>
    </row>
    <row r="161">
      <c r="A161">
        <f>IF(AE161=1,TRIM(TRIM('Roster'!B161)&amp;" "&amp;TRIM('Roster'!C161)),"")</f>
        <v/>
      </c>
      <c r="B161">
        <f>IF(AE161=1,IF(AN161="","(no teacher)",AN161&amp;" – "&amp;C161),"")</f>
        <v/>
      </c>
      <c r="C161">
        <f>IF(AE161=1,TRIM('Roster'!D161&amp;""),"")</f>
        <v/>
      </c>
      <c r="D161" s="48">
        <f>IF(AE161=1,ROUND(SUMIFS('All Donations'!$S$2:$S$4001,'All Donations'!$R$2:$R$4001,AD161),2),"")</f>
        <v/>
      </c>
      <c r="E161" s="48">
        <f>IF(AE161=1,ROUND(SUMIFS('All Donations'!$S$2:$S$4001,'All Donations'!$R$2:$R$4001,AD161,'All Donations'!$G$2:$G$4001,"OneCause"),2),"")</f>
        <v/>
      </c>
      <c r="F161" s="48">
        <f>IF(AE161=1,D161-E161,"")</f>
        <v/>
      </c>
      <c r="G161">
        <f>IF(AE161=1,COUNTIFS('All Donations'!$R$2:$R$4001,AD161,'All Donations'!$H$2:$H$4001,"OK"),"")</f>
        <v/>
      </c>
      <c r="H161">
        <f>IF(AE161&lt;&gt;1,"",IF(D161&gt;0,"Yes",""))</f>
        <v/>
      </c>
      <c r="I161" s="49">
        <f>IF(OR($AE161&lt;&gt;1,I$1=""),"",SUMIFS('All Donations'!$S$2:$S$4001,'All Donations'!$R$2:$R$4001,$AD161,'All Donations'!$T$2:$T$4001,I$1))</f>
        <v/>
      </c>
      <c r="J161" s="49">
        <f>IF(OR($AE161&lt;&gt;1,J$1=""),"",SUMIFS('All Donations'!$S$2:$S$4001,'All Donations'!$R$2:$R$4001,$AD161,'All Donations'!$T$2:$T$4001,J$1))</f>
        <v/>
      </c>
      <c r="K161" s="49">
        <f>IF(OR($AE161&lt;&gt;1,K$1=""),"",SUMIFS('All Donations'!$S$2:$S$4001,'All Donations'!$R$2:$R$4001,$AD161,'All Donations'!$T$2:$T$4001,K$1))</f>
        <v/>
      </c>
      <c r="L161" s="49">
        <f>IF(OR($AE161&lt;&gt;1,L$1=""),"",SUMIFS('All Donations'!$S$2:$S$4001,'All Donations'!$R$2:$R$4001,$AD161,'All Donations'!$T$2:$T$4001,L$1))</f>
        <v/>
      </c>
      <c r="M161" s="49">
        <f>IF(OR($AE161&lt;&gt;1,M$1=""),"",SUMIFS('All Donations'!$S$2:$S$4001,'All Donations'!$R$2:$R$4001,$AD161,'All Donations'!$T$2:$T$4001,M$1))</f>
        <v/>
      </c>
      <c r="N161" s="49">
        <f>IF(OR($AE161&lt;&gt;1,N$1=""),"",SUMIFS('All Donations'!$S$2:$S$4001,'All Donations'!$R$2:$R$4001,$AD161,'All Donations'!$T$2:$T$4001,N$1))</f>
        <v/>
      </c>
      <c r="O161" s="49">
        <f>IF(OR($AE161&lt;&gt;1,O$1=""),"",SUMIFS('All Donations'!$S$2:$S$4001,'All Donations'!$R$2:$R$4001,$AD161,'All Donations'!$T$2:$T$4001,O$1))</f>
        <v/>
      </c>
      <c r="P161" s="49">
        <f>IF(OR($AE161&lt;&gt;1,P$1=""),"",SUMIFS('All Donations'!$S$2:$S$4001,'All Donations'!$R$2:$R$4001,$AD161,'All Donations'!$T$2:$T$4001,P$1))</f>
        <v/>
      </c>
      <c r="Q161" s="49">
        <f>IF(OR($AE161&lt;&gt;1,Q$1=""),"",SUMIFS('All Donations'!$S$2:$S$4001,'All Donations'!$R$2:$R$4001,$AD161,'All Donations'!$T$2:$T$4001,Q$1))</f>
        <v/>
      </c>
      <c r="R161" s="49">
        <f>IF(OR($AE161&lt;&gt;1,R$1=""),"",SUMIFS('All Donations'!$S$2:$S$4001,'All Donations'!$R$2:$R$4001,$AD161,'All Donations'!$T$2:$T$4001,R$1))</f>
        <v/>
      </c>
      <c r="S161" s="49">
        <f>IF(OR($AE161&lt;&gt;1,S$1=""),"",SUMIFS('All Donations'!$S$2:$S$4001,'All Donations'!$R$2:$R$4001,$AD161,'All Donations'!$T$2:$T$4001,S$1))</f>
        <v/>
      </c>
      <c r="T161" s="49">
        <f>IF(OR($AE161&lt;&gt;1,T$1=""),"",SUMIFS('All Donations'!$S$2:$S$4001,'All Donations'!$R$2:$R$4001,$AD161,'All Donations'!$T$2:$T$4001,T$1))</f>
        <v/>
      </c>
      <c r="U161" s="49">
        <f>IF(OR($AE161&lt;&gt;1,U$1=""),"",SUMIFS('All Donations'!$S$2:$S$4001,'All Donations'!$R$2:$R$4001,$AD161,'All Donations'!$T$2:$T$4001,U$1))</f>
        <v/>
      </c>
      <c r="V161" s="49">
        <f>IF(OR($AE161&lt;&gt;1,V$1=""),"",SUMIFS('All Donations'!$S$2:$S$4001,'All Donations'!$R$2:$R$4001,$AD161,'All Donations'!$T$2:$T$4001,V$1))</f>
        <v/>
      </c>
      <c r="W161" s="49">
        <f>IF(OR($AE161&lt;&gt;1,W$1=""),"",SUMIFS('All Donations'!$S$2:$S$4001,'All Donations'!$R$2:$R$4001,$AD161,'All Donations'!$T$2:$T$4001,W$1))</f>
        <v/>
      </c>
      <c r="X161" s="49">
        <f>IF(OR($AE161&lt;&gt;1,X$1=""),"",SUMIFS('All Donations'!$S$2:$S$4001,'All Donations'!$R$2:$R$4001,$AD161,'All Donations'!$T$2:$T$4001,X$1))</f>
        <v/>
      </c>
      <c r="Y161" s="49">
        <f>IF(OR($AE161&lt;&gt;1,Y$1=""),"",SUMIFS('All Donations'!$S$2:$S$4001,'All Donations'!$R$2:$R$4001,$AD161,'All Donations'!$T$2:$T$4001,Y$1))</f>
        <v/>
      </c>
      <c r="Z161" s="49">
        <f>IF(OR($AE161&lt;&gt;1,Z$1=""),"",SUMIFS('All Donations'!$S$2:$S$4001,'All Donations'!$R$2:$R$4001,$AD161,'All Donations'!$T$2:$T$4001,Z$1))</f>
        <v/>
      </c>
      <c r="AA161" s="49">
        <f>IF(OR($AE161&lt;&gt;1,AA$1=""),"",SUMIFS('All Donations'!$S$2:$S$4001,'All Donations'!$R$2:$R$4001,$AD161,'All Donations'!$T$2:$T$4001,AA$1))</f>
        <v/>
      </c>
      <c r="AB161" s="49">
        <f>IF(OR($AE161&lt;&gt;1,AB$1=""),"",SUMIFS('All Donations'!$S$2:$S$4001,'All Donations'!$R$2:$R$4001,$AD161,'All Donations'!$T$2:$T$4001,AB$1))</f>
        <v/>
      </c>
      <c r="AC161" s="49">
        <f>IF(OR($AE161&lt;&gt;1,AC$1=""),"",SUMIFS('All Donations'!$S$2:$S$4001,'All Donations'!$R$2:$R$4001,$AD161,'All Donations'!$T$2:$T$4001,AC$1))</f>
        <v/>
      </c>
      <c r="AD161">
        <f>IF(AE161=1,'Roster'!A161,"")</f>
        <v/>
      </c>
      <c r="AE161">
        <f>IF(TRIM('Roster'!B161&amp;'Roster'!C161)&lt;&gt;"",1,0)</f>
        <v/>
      </c>
      <c r="AF161">
        <f>IF(AE161=1,LOWER(A161),"#")</f>
        <v/>
      </c>
      <c r="AG161">
        <f>IF(AE161=1,LOWER(TRIM(TRIM('Roster'!C161)&amp;", "&amp;TRIM('Roster'!B161))),"#")</f>
        <v/>
      </c>
      <c r="AH161">
        <f>IF(AND(AE161=1,TRIM('Roster'!F161)&lt;&gt;""),LOWER(TRIM('Roster'!F161)),"#")</f>
        <v/>
      </c>
      <c r="AI161">
        <f>IF(AE161=1,IF(MATCH(B161,$B$2:$B$701,0)=ROW()-1,1,0),0)</f>
        <v/>
      </c>
      <c r="AJ161">
        <f>AJ160+AI161</f>
        <v/>
      </c>
      <c r="AK161">
        <f>IF(AE161=1,D161+(1000-ROW())/10^7,-1)</f>
        <v/>
      </c>
      <c r="AL161">
        <f>IF(AE161=1,TRIM('Roster'!B161)&amp;" "&amp;LEFT(TRIM('Roster'!C161),1)&amp;".","")</f>
        <v/>
      </c>
      <c r="AM161">
        <f>IF(AE161=1,TRIM('Roster'!C161)&amp;", "&amp;TRIM('Roster'!B161)&amp;" ("&amp;B161&amp;") #"&amp;AD161,"")</f>
        <v/>
      </c>
      <c r="AN161">
        <f>IF(AE161=1,TRIM('Roster'!E161),"")</f>
        <v/>
      </c>
      <c r="AO161">
        <f>IF(AE161=1,ROUND(SUMIFS('All Donations'!$S$2:$S$4001,'All Donations'!$R$2:$R$4001,AD161,'All Donations'!$T$2:$T$4001,"&gt;="&amp;'Settings'!$C$23,'All Donations'!$T$2:$T$4001,"&lt;="&amp;'Settings'!$D$23),2),0)</f>
        <v/>
      </c>
      <c r="AQ161">
        <f>IF(AE161=1,ROUND(SUMIFS('All Donations'!$S$2:$S$4001,'All Donations'!$R$2:$R$4001,AD161,'All Donations'!$T$2:$T$4001,"&gt;="&amp;'Settings'!$C$25,'All Donations'!$T$2:$T$4001,"&lt;="&amp;'Settings'!$D$25),2),0)</f>
        <v/>
      </c>
      <c r="AR161">
        <f>IF(AE161=1,ROUND(SUMIFS('All Donations'!$S$2:$S$4001,'All Donations'!$R$2:$R$4001,AD161,'All Donations'!$T$2:$T$4001,"&gt;="&amp;'Settings'!$C$26,'All Donations'!$T$2:$T$4001,"&lt;="&amp;'Settings'!$D$26),2),0)</f>
        <v/>
      </c>
      <c r="AS161">
        <f>IF(AE161=1,ROUND(SUMIFS('All Donations'!$S$2:$S$4001,'All Donations'!$R$2:$R$4001,AD161,'All Donations'!$T$2:$T$4001,"&lt;="&amp;'Settings'!$D$27),2),0)</f>
        <v/>
      </c>
      <c r="AT161">
        <f>IF(AE161=1,ROUND(SUMIFS('All Donations'!$S$2:$S$4001,'All Donations'!$R$2:$R$4001,AD161,'All Donations'!$T$2:$T$4001,"&gt;="&amp;'Settings'!$C$28,'All Donations'!$T$2:$T$4001,"&lt;="&amp;'Settings'!$D$28),2),0)</f>
        <v/>
      </c>
      <c r="AU161">
        <f>IF(AE161=1,ROUND(SUMIFS('All Donations'!$S$2:$S$4001,'All Donations'!$R$2:$R$4001,AD161,'All Donations'!$T$2:$T$4001,"&gt;="&amp;'Settings'!$C$29,'All Donations'!$T$2:$T$4001,"&lt;="&amp;'Settings'!$D$29),2),0)</f>
        <v/>
      </c>
      <c r="AV161">
        <f>IF(AE161=1,ROUND(SUMIFS('All Donations'!$S$2:$S$4001,'All Donations'!$R$2:$R$4001,AD161,'All Donations'!$T$2:$T$4001,"&lt;="&amp;'Settings'!$D$30),2),0)</f>
        <v/>
      </c>
      <c r="AZ161">
        <f>IF(AE161=1,ROUND(SUMIFS('All Donations'!$S$2:$S$4001,'All Donations'!$R$2:$R$4001,AD161,'All Donations'!$T$2:$T$4001,"&lt;="&amp;'Settings'!$D$34),2),0)</f>
        <v/>
      </c>
    </row>
    <row r="162">
      <c r="A162">
        <f>IF(AE162=1,TRIM(TRIM('Roster'!B162)&amp;" "&amp;TRIM('Roster'!C162)),"")</f>
        <v/>
      </c>
      <c r="B162">
        <f>IF(AE162=1,IF(AN162="","(no teacher)",AN162&amp;" – "&amp;C162),"")</f>
        <v/>
      </c>
      <c r="C162">
        <f>IF(AE162=1,TRIM('Roster'!D162&amp;""),"")</f>
        <v/>
      </c>
      <c r="D162" s="48">
        <f>IF(AE162=1,ROUND(SUMIFS('All Donations'!$S$2:$S$4001,'All Donations'!$R$2:$R$4001,AD162),2),"")</f>
        <v/>
      </c>
      <c r="E162" s="48">
        <f>IF(AE162=1,ROUND(SUMIFS('All Donations'!$S$2:$S$4001,'All Donations'!$R$2:$R$4001,AD162,'All Donations'!$G$2:$G$4001,"OneCause"),2),"")</f>
        <v/>
      </c>
      <c r="F162" s="48">
        <f>IF(AE162=1,D162-E162,"")</f>
        <v/>
      </c>
      <c r="G162">
        <f>IF(AE162=1,COUNTIFS('All Donations'!$R$2:$R$4001,AD162,'All Donations'!$H$2:$H$4001,"OK"),"")</f>
        <v/>
      </c>
      <c r="H162">
        <f>IF(AE162&lt;&gt;1,"",IF(D162&gt;0,"Yes",""))</f>
        <v/>
      </c>
      <c r="I162" s="49">
        <f>IF(OR($AE162&lt;&gt;1,I$1=""),"",SUMIFS('All Donations'!$S$2:$S$4001,'All Donations'!$R$2:$R$4001,$AD162,'All Donations'!$T$2:$T$4001,I$1))</f>
        <v/>
      </c>
      <c r="J162" s="49">
        <f>IF(OR($AE162&lt;&gt;1,J$1=""),"",SUMIFS('All Donations'!$S$2:$S$4001,'All Donations'!$R$2:$R$4001,$AD162,'All Donations'!$T$2:$T$4001,J$1))</f>
        <v/>
      </c>
      <c r="K162" s="49">
        <f>IF(OR($AE162&lt;&gt;1,K$1=""),"",SUMIFS('All Donations'!$S$2:$S$4001,'All Donations'!$R$2:$R$4001,$AD162,'All Donations'!$T$2:$T$4001,K$1))</f>
        <v/>
      </c>
      <c r="L162" s="49">
        <f>IF(OR($AE162&lt;&gt;1,L$1=""),"",SUMIFS('All Donations'!$S$2:$S$4001,'All Donations'!$R$2:$R$4001,$AD162,'All Donations'!$T$2:$T$4001,L$1))</f>
        <v/>
      </c>
      <c r="M162" s="49">
        <f>IF(OR($AE162&lt;&gt;1,M$1=""),"",SUMIFS('All Donations'!$S$2:$S$4001,'All Donations'!$R$2:$R$4001,$AD162,'All Donations'!$T$2:$T$4001,M$1))</f>
        <v/>
      </c>
      <c r="N162" s="49">
        <f>IF(OR($AE162&lt;&gt;1,N$1=""),"",SUMIFS('All Donations'!$S$2:$S$4001,'All Donations'!$R$2:$R$4001,$AD162,'All Donations'!$T$2:$T$4001,N$1))</f>
        <v/>
      </c>
      <c r="O162" s="49">
        <f>IF(OR($AE162&lt;&gt;1,O$1=""),"",SUMIFS('All Donations'!$S$2:$S$4001,'All Donations'!$R$2:$R$4001,$AD162,'All Donations'!$T$2:$T$4001,O$1))</f>
        <v/>
      </c>
      <c r="P162" s="49">
        <f>IF(OR($AE162&lt;&gt;1,P$1=""),"",SUMIFS('All Donations'!$S$2:$S$4001,'All Donations'!$R$2:$R$4001,$AD162,'All Donations'!$T$2:$T$4001,P$1))</f>
        <v/>
      </c>
      <c r="Q162" s="49">
        <f>IF(OR($AE162&lt;&gt;1,Q$1=""),"",SUMIFS('All Donations'!$S$2:$S$4001,'All Donations'!$R$2:$R$4001,$AD162,'All Donations'!$T$2:$T$4001,Q$1))</f>
        <v/>
      </c>
      <c r="R162" s="49">
        <f>IF(OR($AE162&lt;&gt;1,R$1=""),"",SUMIFS('All Donations'!$S$2:$S$4001,'All Donations'!$R$2:$R$4001,$AD162,'All Donations'!$T$2:$T$4001,R$1))</f>
        <v/>
      </c>
      <c r="S162" s="49">
        <f>IF(OR($AE162&lt;&gt;1,S$1=""),"",SUMIFS('All Donations'!$S$2:$S$4001,'All Donations'!$R$2:$R$4001,$AD162,'All Donations'!$T$2:$T$4001,S$1))</f>
        <v/>
      </c>
      <c r="T162" s="49">
        <f>IF(OR($AE162&lt;&gt;1,T$1=""),"",SUMIFS('All Donations'!$S$2:$S$4001,'All Donations'!$R$2:$R$4001,$AD162,'All Donations'!$T$2:$T$4001,T$1))</f>
        <v/>
      </c>
      <c r="U162" s="49">
        <f>IF(OR($AE162&lt;&gt;1,U$1=""),"",SUMIFS('All Donations'!$S$2:$S$4001,'All Donations'!$R$2:$R$4001,$AD162,'All Donations'!$T$2:$T$4001,U$1))</f>
        <v/>
      </c>
      <c r="V162" s="49">
        <f>IF(OR($AE162&lt;&gt;1,V$1=""),"",SUMIFS('All Donations'!$S$2:$S$4001,'All Donations'!$R$2:$R$4001,$AD162,'All Donations'!$T$2:$T$4001,V$1))</f>
        <v/>
      </c>
      <c r="W162" s="49">
        <f>IF(OR($AE162&lt;&gt;1,W$1=""),"",SUMIFS('All Donations'!$S$2:$S$4001,'All Donations'!$R$2:$R$4001,$AD162,'All Donations'!$T$2:$T$4001,W$1))</f>
        <v/>
      </c>
      <c r="X162" s="49">
        <f>IF(OR($AE162&lt;&gt;1,X$1=""),"",SUMIFS('All Donations'!$S$2:$S$4001,'All Donations'!$R$2:$R$4001,$AD162,'All Donations'!$T$2:$T$4001,X$1))</f>
        <v/>
      </c>
      <c r="Y162" s="49">
        <f>IF(OR($AE162&lt;&gt;1,Y$1=""),"",SUMIFS('All Donations'!$S$2:$S$4001,'All Donations'!$R$2:$R$4001,$AD162,'All Donations'!$T$2:$T$4001,Y$1))</f>
        <v/>
      </c>
      <c r="Z162" s="49">
        <f>IF(OR($AE162&lt;&gt;1,Z$1=""),"",SUMIFS('All Donations'!$S$2:$S$4001,'All Donations'!$R$2:$R$4001,$AD162,'All Donations'!$T$2:$T$4001,Z$1))</f>
        <v/>
      </c>
      <c r="AA162" s="49">
        <f>IF(OR($AE162&lt;&gt;1,AA$1=""),"",SUMIFS('All Donations'!$S$2:$S$4001,'All Donations'!$R$2:$R$4001,$AD162,'All Donations'!$T$2:$T$4001,AA$1))</f>
        <v/>
      </c>
      <c r="AB162" s="49">
        <f>IF(OR($AE162&lt;&gt;1,AB$1=""),"",SUMIFS('All Donations'!$S$2:$S$4001,'All Donations'!$R$2:$R$4001,$AD162,'All Donations'!$T$2:$T$4001,AB$1))</f>
        <v/>
      </c>
      <c r="AC162" s="49">
        <f>IF(OR($AE162&lt;&gt;1,AC$1=""),"",SUMIFS('All Donations'!$S$2:$S$4001,'All Donations'!$R$2:$R$4001,$AD162,'All Donations'!$T$2:$T$4001,AC$1))</f>
        <v/>
      </c>
      <c r="AD162">
        <f>IF(AE162=1,'Roster'!A162,"")</f>
        <v/>
      </c>
      <c r="AE162">
        <f>IF(TRIM('Roster'!B162&amp;'Roster'!C162)&lt;&gt;"",1,0)</f>
        <v/>
      </c>
      <c r="AF162">
        <f>IF(AE162=1,LOWER(A162),"#")</f>
        <v/>
      </c>
      <c r="AG162">
        <f>IF(AE162=1,LOWER(TRIM(TRIM('Roster'!C162)&amp;", "&amp;TRIM('Roster'!B162))),"#")</f>
        <v/>
      </c>
      <c r="AH162">
        <f>IF(AND(AE162=1,TRIM('Roster'!F162)&lt;&gt;""),LOWER(TRIM('Roster'!F162)),"#")</f>
        <v/>
      </c>
      <c r="AI162">
        <f>IF(AE162=1,IF(MATCH(B162,$B$2:$B$701,0)=ROW()-1,1,0),0)</f>
        <v/>
      </c>
      <c r="AJ162">
        <f>AJ161+AI162</f>
        <v/>
      </c>
      <c r="AK162">
        <f>IF(AE162=1,D162+(1000-ROW())/10^7,-1)</f>
        <v/>
      </c>
      <c r="AL162">
        <f>IF(AE162=1,TRIM('Roster'!B162)&amp;" "&amp;LEFT(TRIM('Roster'!C162),1)&amp;".","")</f>
        <v/>
      </c>
      <c r="AM162">
        <f>IF(AE162=1,TRIM('Roster'!C162)&amp;", "&amp;TRIM('Roster'!B162)&amp;" ("&amp;B162&amp;") #"&amp;AD162,"")</f>
        <v/>
      </c>
      <c r="AN162">
        <f>IF(AE162=1,TRIM('Roster'!E162),"")</f>
        <v/>
      </c>
      <c r="AO162">
        <f>IF(AE162=1,ROUND(SUMIFS('All Donations'!$S$2:$S$4001,'All Donations'!$R$2:$R$4001,AD162,'All Donations'!$T$2:$T$4001,"&gt;="&amp;'Settings'!$C$23,'All Donations'!$T$2:$T$4001,"&lt;="&amp;'Settings'!$D$23),2),0)</f>
        <v/>
      </c>
      <c r="AQ162">
        <f>IF(AE162=1,ROUND(SUMIFS('All Donations'!$S$2:$S$4001,'All Donations'!$R$2:$R$4001,AD162,'All Donations'!$T$2:$T$4001,"&gt;="&amp;'Settings'!$C$25,'All Donations'!$T$2:$T$4001,"&lt;="&amp;'Settings'!$D$25),2),0)</f>
        <v/>
      </c>
      <c r="AR162">
        <f>IF(AE162=1,ROUND(SUMIFS('All Donations'!$S$2:$S$4001,'All Donations'!$R$2:$R$4001,AD162,'All Donations'!$T$2:$T$4001,"&gt;="&amp;'Settings'!$C$26,'All Donations'!$T$2:$T$4001,"&lt;="&amp;'Settings'!$D$26),2),0)</f>
        <v/>
      </c>
      <c r="AS162">
        <f>IF(AE162=1,ROUND(SUMIFS('All Donations'!$S$2:$S$4001,'All Donations'!$R$2:$R$4001,AD162,'All Donations'!$T$2:$T$4001,"&lt;="&amp;'Settings'!$D$27),2),0)</f>
        <v/>
      </c>
      <c r="AT162">
        <f>IF(AE162=1,ROUND(SUMIFS('All Donations'!$S$2:$S$4001,'All Donations'!$R$2:$R$4001,AD162,'All Donations'!$T$2:$T$4001,"&gt;="&amp;'Settings'!$C$28,'All Donations'!$T$2:$T$4001,"&lt;="&amp;'Settings'!$D$28),2),0)</f>
        <v/>
      </c>
      <c r="AU162">
        <f>IF(AE162=1,ROUND(SUMIFS('All Donations'!$S$2:$S$4001,'All Donations'!$R$2:$R$4001,AD162,'All Donations'!$T$2:$T$4001,"&gt;="&amp;'Settings'!$C$29,'All Donations'!$T$2:$T$4001,"&lt;="&amp;'Settings'!$D$29),2),0)</f>
        <v/>
      </c>
      <c r="AV162">
        <f>IF(AE162=1,ROUND(SUMIFS('All Donations'!$S$2:$S$4001,'All Donations'!$R$2:$R$4001,AD162,'All Donations'!$T$2:$T$4001,"&lt;="&amp;'Settings'!$D$30),2),0)</f>
        <v/>
      </c>
      <c r="AZ162">
        <f>IF(AE162=1,ROUND(SUMIFS('All Donations'!$S$2:$S$4001,'All Donations'!$R$2:$R$4001,AD162,'All Donations'!$T$2:$T$4001,"&lt;="&amp;'Settings'!$D$34),2),0)</f>
        <v/>
      </c>
    </row>
    <row r="163">
      <c r="A163">
        <f>IF(AE163=1,TRIM(TRIM('Roster'!B163)&amp;" "&amp;TRIM('Roster'!C163)),"")</f>
        <v/>
      </c>
      <c r="B163">
        <f>IF(AE163=1,IF(AN163="","(no teacher)",AN163&amp;" – "&amp;C163),"")</f>
        <v/>
      </c>
      <c r="C163">
        <f>IF(AE163=1,TRIM('Roster'!D163&amp;""),"")</f>
        <v/>
      </c>
      <c r="D163" s="48">
        <f>IF(AE163=1,ROUND(SUMIFS('All Donations'!$S$2:$S$4001,'All Donations'!$R$2:$R$4001,AD163),2),"")</f>
        <v/>
      </c>
      <c r="E163" s="48">
        <f>IF(AE163=1,ROUND(SUMIFS('All Donations'!$S$2:$S$4001,'All Donations'!$R$2:$R$4001,AD163,'All Donations'!$G$2:$G$4001,"OneCause"),2),"")</f>
        <v/>
      </c>
      <c r="F163" s="48">
        <f>IF(AE163=1,D163-E163,"")</f>
        <v/>
      </c>
      <c r="G163">
        <f>IF(AE163=1,COUNTIFS('All Donations'!$R$2:$R$4001,AD163,'All Donations'!$H$2:$H$4001,"OK"),"")</f>
        <v/>
      </c>
      <c r="H163">
        <f>IF(AE163&lt;&gt;1,"",IF(D163&gt;0,"Yes",""))</f>
        <v/>
      </c>
      <c r="I163" s="49">
        <f>IF(OR($AE163&lt;&gt;1,I$1=""),"",SUMIFS('All Donations'!$S$2:$S$4001,'All Donations'!$R$2:$R$4001,$AD163,'All Donations'!$T$2:$T$4001,I$1))</f>
        <v/>
      </c>
      <c r="J163" s="49">
        <f>IF(OR($AE163&lt;&gt;1,J$1=""),"",SUMIFS('All Donations'!$S$2:$S$4001,'All Donations'!$R$2:$R$4001,$AD163,'All Donations'!$T$2:$T$4001,J$1))</f>
        <v/>
      </c>
      <c r="K163" s="49">
        <f>IF(OR($AE163&lt;&gt;1,K$1=""),"",SUMIFS('All Donations'!$S$2:$S$4001,'All Donations'!$R$2:$R$4001,$AD163,'All Donations'!$T$2:$T$4001,K$1))</f>
        <v/>
      </c>
      <c r="L163" s="49">
        <f>IF(OR($AE163&lt;&gt;1,L$1=""),"",SUMIFS('All Donations'!$S$2:$S$4001,'All Donations'!$R$2:$R$4001,$AD163,'All Donations'!$T$2:$T$4001,L$1))</f>
        <v/>
      </c>
      <c r="M163" s="49">
        <f>IF(OR($AE163&lt;&gt;1,M$1=""),"",SUMIFS('All Donations'!$S$2:$S$4001,'All Donations'!$R$2:$R$4001,$AD163,'All Donations'!$T$2:$T$4001,M$1))</f>
        <v/>
      </c>
      <c r="N163" s="49">
        <f>IF(OR($AE163&lt;&gt;1,N$1=""),"",SUMIFS('All Donations'!$S$2:$S$4001,'All Donations'!$R$2:$R$4001,$AD163,'All Donations'!$T$2:$T$4001,N$1))</f>
        <v/>
      </c>
      <c r="O163" s="49">
        <f>IF(OR($AE163&lt;&gt;1,O$1=""),"",SUMIFS('All Donations'!$S$2:$S$4001,'All Donations'!$R$2:$R$4001,$AD163,'All Donations'!$T$2:$T$4001,O$1))</f>
        <v/>
      </c>
      <c r="P163" s="49">
        <f>IF(OR($AE163&lt;&gt;1,P$1=""),"",SUMIFS('All Donations'!$S$2:$S$4001,'All Donations'!$R$2:$R$4001,$AD163,'All Donations'!$T$2:$T$4001,P$1))</f>
        <v/>
      </c>
      <c r="Q163" s="49">
        <f>IF(OR($AE163&lt;&gt;1,Q$1=""),"",SUMIFS('All Donations'!$S$2:$S$4001,'All Donations'!$R$2:$R$4001,$AD163,'All Donations'!$T$2:$T$4001,Q$1))</f>
        <v/>
      </c>
      <c r="R163" s="49">
        <f>IF(OR($AE163&lt;&gt;1,R$1=""),"",SUMIFS('All Donations'!$S$2:$S$4001,'All Donations'!$R$2:$R$4001,$AD163,'All Donations'!$T$2:$T$4001,R$1))</f>
        <v/>
      </c>
      <c r="S163" s="49">
        <f>IF(OR($AE163&lt;&gt;1,S$1=""),"",SUMIFS('All Donations'!$S$2:$S$4001,'All Donations'!$R$2:$R$4001,$AD163,'All Donations'!$T$2:$T$4001,S$1))</f>
        <v/>
      </c>
      <c r="T163" s="49">
        <f>IF(OR($AE163&lt;&gt;1,T$1=""),"",SUMIFS('All Donations'!$S$2:$S$4001,'All Donations'!$R$2:$R$4001,$AD163,'All Donations'!$T$2:$T$4001,T$1))</f>
        <v/>
      </c>
      <c r="U163" s="49">
        <f>IF(OR($AE163&lt;&gt;1,U$1=""),"",SUMIFS('All Donations'!$S$2:$S$4001,'All Donations'!$R$2:$R$4001,$AD163,'All Donations'!$T$2:$T$4001,U$1))</f>
        <v/>
      </c>
      <c r="V163" s="49">
        <f>IF(OR($AE163&lt;&gt;1,V$1=""),"",SUMIFS('All Donations'!$S$2:$S$4001,'All Donations'!$R$2:$R$4001,$AD163,'All Donations'!$T$2:$T$4001,V$1))</f>
        <v/>
      </c>
      <c r="W163" s="49">
        <f>IF(OR($AE163&lt;&gt;1,W$1=""),"",SUMIFS('All Donations'!$S$2:$S$4001,'All Donations'!$R$2:$R$4001,$AD163,'All Donations'!$T$2:$T$4001,W$1))</f>
        <v/>
      </c>
      <c r="X163" s="49">
        <f>IF(OR($AE163&lt;&gt;1,X$1=""),"",SUMIFS('All Donations'!$S$2:$S$4001,'All Donations'!$R$2:$R$4001,$AD163,'All Donations'!$T$2:$T$4001,X$1))</f>
        <v/>
      </c>
      <c r="Y163" s="49">
        <f>IF(OR($AE163&lt;&gt;1,Y$1=""),"",SUMIFS('All Donations'!$S$2:$S$4001,'All Donations'!$R$2:$R$4001,$AD163,'All Donations'!$T$2:$T$4001,Y$1))</f>
        <v/>
      </c>
      <c r="Z163" s="49">
        <f>IF(OR($AE163&lt;&gt;1,Z$1=""),"",SUMIFS('All Donations'!$S$2:$S$4001,'All Donations'!$R$2:$R$4001,$AD163,'All Donations'!$T$2:$T$4001,Z$1))</f>
        <v/>
      </c>
      <c r="AA163" s="49">
        <f>IF(OR($AE163&lt;&gt;1,AA$1=""),"",SUMIFS('All Donations'!$S$2:$S$4001,'All Donations'!$R$2:$R$4001,$AD163,'All Donations'!$T$2:$T$4001,AA$1))</f>
        <v/>
      </c>
      <c r="AB163" s="49">
        <f>IF(OR($AE163&lt;&gt;1,AB$1=""),"",SUMIFS('All Donations'!$S$2:$S$4001,'All Donations'!$R$2:$R$4001,$AD163,'All Donations'!$T$2:$T$4001,AB$1))</f>
        <v/>
      </c>
      <c r="AC163" s="49">
        <f>IF(OR($AE163&lt;&gt;1,AC$1=""),"",SUMIFS('All Donations'!$S$2:$S$4001,'All Donations'!$R$2:$R$4001,$AD163,'All Donations'!$T$2:$T$4001,AC$1))</f>
        <v/>
      </c>
      <c r="AD163">
        <f>IF(AE163=1,'Roster'!A163,"")</f>
        <v/>
      </c>
      <c r="AE163">
        <f>IF(TRIM('Roster'!B163&amp;'Roster'!C163)&lt;&gt;"",1,0)</f>
        <v/>
      </c>
      <c r="AF163">
        <f>IF(AE163=1,LOWER(A163),"#")</f>
        <v/>
      </c>
      <c r="AG163">
        <f>IF(AE163=1,LOWER(TRIM(TRIM('Roster'!C163)&amp;", "&amp;TRIM('Roster'!B163))),"#")</f>
        <v/>
      </c>
      <c r="AH163">
        <f>IF(AND(AE163=1,TRIM('Roster'!F163)&lt;&gt;""),LOWER(TRIM('Roster'!F163)),"#")</f>
        <v/>
      </c>
      <c r="AI163">
        <f>IF(AE163=1,IF(MATCH(B163,$B$2:$B$701,0)=ROW()-1,1,0),0)</f>
        <v/>
      </c>
      <c r="AJ163">
        <f>AJ162+AI163</f>
        <v/>
      </c>
      <c r="AK163">
        <f>IF(AE163=1,D163+(1000-ROW())/10^7,-1)</f>
        <v/>
      </c>
      <c r="AL163">
        <f>IF(AE163=1,TRIM('Roster'!B163)&amp;" "&amp;LEFT(TRIM('Roster'!C163),1)&amp;".","")</f>
        <v/>
      </c>
      <c r="AM163">
        <f>IF(AE163=1,TRIM('Roster'!C163)&amp;", "&amp;TRIM('Roster'!B163)&amp;" ("&amp;B163&amp;") #"&amp;AD163,"")</f>
        <v/>
      </c>
      <c r="AN163">
        <f>IF(AE163=1,TRIM('Roster'!E163),"")</f>
        <v/>
      </c>
      <c r="AO163">
        <f>IF(AE163=1,ROUND(SUMIFS('All Donations'!$S$2:$S$4001,'All Donations'!$R$2:$R$4001,AD163,'All Donations'!$T$2:$T$4001,"&gt;="&amp;'Settings'!$C$23,'All Donations'!$T$2:$T$4001,"&lt;="&amp;'Settings'!$D$23),2),0)</f>
        <v/>
      </c>
      <c r="AQ163">
        <f>IF(AE163=1,ROUND(SUMIFS('All Donations'!$S$2:$S$4001,'All Donations'!$R$2:$R$4001,AD163,'All Donations'!$T$2:$T$4001,"&gt;="&amp;'Settings'!$C$25,'All Donations'!$T$2:$T$4001,"&lt;="&amp;'Settings'!$D$25),2),0)</f>
        <v/>
      </c>
      <c r="AR163">
        <f>IF(AE163=1,ROUND(SUMIFS('All Donations'!$S$2:$S$4001,'All Donations'!$R$2:$R$4001,AD163,'All Donations'!$T$2:$T$4001,"&gt;="&amp;'Settings'!$C$26,'All Donations'!$T$2:$T$4001,"&lt;="&amp;'Settings'!$D$26),2),0)</f>
        <v/>
      </c>
      <c r="AS163">
        <f>IF(AE163=1,ROUND(SUMIFS('All Donations'!$S$2:$S$4001,'All Donations'!$R$2:$R$4001,AD163,'All Donations'!$T$2:$T$4001,"&lt;="&amp;'Settings'!$D$27),2),0)</f>
        <v/>
      </c>
      <c r="AT163">
        <f>IF(AE163=1,ROUND(SUMIFS('All Donations'!$S$2:$S$4001,'All Donations'!$R$2:$R$4001,AD163,'All Donations'!$T$2:$T$4001,"&gt;="&amp;'Settings'!$C$28,'All Donations'!$T$2:$T$4001,"&lt;="&amp;'Settings'!$D$28),2),0)</f>
        <v/>
      </c>
      <c r="AU163">
        <f>IF(AE163=1,ROUND(SUMIFS('All Donations'!$S$2:$S$4001,'All Donations'!$R$2:$R$4001,AD163,'All Donations'!$T$2:$T$4001,"&gt;="&amp;'Settings'!$C$29,'All Donations'!$T$2:$T$4001,"&lt;="&amp;'Settings'!$D$29),2),0)</f>
        <v/>
      </c>
      <c r="AV163">
        <f>IF(AE163=1,ROUND(SUMIFS('All Donations'!$S$2:$S$4001,'All Donations'!$R$2:$R$4001,AD163,'All Donations'!$T$2:$T$4001,"&lt;="&amp;'Settings'!$D$30),2),0)</f>
        <v/>
      </c>
      <c r="AZ163">
        <f>IF(AE163=1,ROUND(SUMIFS('All Donations'!$S$2:$S$4001,'All Donations'!$R$2:$R$4001,AD163,'All Donations'!$T$2:$T$4001,"&lt;="&amp;'Settings'!$D$34),2),0)</f>
        <v/>
      </c>
    </row>
    <row r="164">
      <c r="A164">
        <f>IF(AE164=1,TRIM(TRIM('Roster'!B164)&amp;" "&amp;TRIM('Roster'!C164)),"")</f>
        <v/>
      </c>
      <c r="B164">
        <f>IF(AE164=1,IF(AN164="","(no teacher)",AN164&amp;" – "&amp;C164),"")</f>
        <v/>
      </c>
      <c r="C164">
        <f>IF(AE164=1,TRIM('Roster'!D164&amp;""),"")</f>
        <v/>
      </c>
      <c r="D164" s="48">
        <f>IF(AE164=1,ROUND(SUMIFS('All Donations'!$S$2:$S$4001,'All Donations'!$R$2:$R$4001,AD164),2),"")</f>
        <v/>
      </c>
      <c r="E164" s="48">
        <f>IF(AE164=1,ROUND(SUMIFS('All Donations'!$S$2:$S$4001,'All Donations'!$R$2:$R$4001,AD164,'All Donations'!$G$2:$G$4001,"OneCause"),2),"")</f>
        <v/>
      </c>
      <c r="F164" s="48">
        <f>IF(AE164=1,D164-E164,"")</f>
        <v/>
      </c>
      <c r="G164">
        <f>IF(AE164=1,COUNTIFS('All Donations'!$R$2:$R$4001,AD164,'All Donations'!$H$2:$H$4001,"OK"),"")</f>
        <v/>
      </c>
      <c r="H164">
        <f>IF(AE164&lt;&gt;1,"",IF(D164&gt;0,"Yes",""))</f>
        <v/>
      </c>
      <c r="I164" s="49">
        <f>IF(OR($AE164&lt;&gt;1,I$1=""),"",SUMIFS('All Donations'!$S$2:$S$4001,'All Donations'!$R$2:$R$4001,$AD164,'All Donations'!$T$2:$T$4001,I$1))</f>
        <v/>
      </c>
      <c r="J164" s="49">
        <f>IF(OR($AE164&lt;&gt;1,J$1=""),"",SUMIFS('All Donations'!$S$2:$S$4001,'All Donations'!$R$2:$R$4001,$AD164,'All Donations'!$T$2:$T$4001,J$1))</f>
        <v/>
      </c>
      <c r="K164" s="49">
        <f>IF(OR($AE164&lt;&gt;1,K$1=""),"",SUMIFS('All Donations'!$S$2:$S$4001,'All Donations'!$R$2:$R$4001,$AD164,'All Donations'!$T$2:$T$4001,K$1))</f>
        <v/>
      </c>
      <c r="L164" s="49">
        <f>IF(OR($AE164&lt;&gt;1,L$1=""),"",SUMIFS('All Donations'!$S$2:$S$4001,'All Donations'!$R$2:$R$4001,$AD164,'All Donations'!$T$2:$T$4001,L$1))</f>
        <v/>
      </c>
      <c r="M164" s="49">
        <f>IF(OR($AE164&lt;&gt;1,M$1=""),"",SUMIFS('All Donations'!$S$2:$S$4001,'All Donations'!$R$2:$R$4001,$AD164,'All Donations'!$T$2:$T$4001,M$1))</f>
        <v/>
      </c>
      <c r="N164" s="49">
        <f>IF(OR($AE164&lt;&gt;1,N$1=""),"",SUMIFS('All Donations'!$S$2:$S$4001,'All Donations'!$R$2:$R$4001,$AD164,'All Donations'!$T$2:$T$4001,N$1))</f>
        <v/>
      </c>
      <c r="O164" s="49">
        <f>IF(OR($AE164&lt;&gt;1,O$1=""),"",SUMIFS('All Donations'!$S$2:$S$4001,'All Donations'!$R$2:$R$4001,$AD164,'All Donations'!$T$2:$T$4001,O$1))</f>
        <v/>
      </c>
      <c r="P164" s="49">
        <f>IF(OR($AE164&lt;&gt;1,P$1=""),"",SUMIFS('All Donations'!$S$2:$S$4001,'All Donations'!$R$2:$R$4001,$AD164,'All Donations'!$T$2:$T$4001,P$1))</f>
        <v/>
      </c>
      <c r="Q164" s="49">
        <f>IF(OR($AE164&lt;&gt;1,Q$1=""),"",SUMIFS('All Donations'!$S$2:$S$4001,'All Donations'!$R$2:$R$4001,$AD164,'All Donations'!$T$2:$T$4001,Q$1))</f>
        <v/>
      </c>
      <c r="R164" s="49">
        <f>IF(OR($AE164&lt;&gt;1,R$1=""),"",SUMIFS('All Donations'!$S$2:$S$4001,'All Donations'!$R$2:$R$4001,$AD164,'All Donations'!$T$2:$T$4001,R$1))</f>
        <v/>
      </c>
      <c r="S164" s="49">
        <f>IF(OR($AE164&lt;&gt;1,S$1=""),"",SUMIFS('All Donations'!$S$2:$S$4001,'All Donations'!$R$2:$R$4001,$AD164,'All Donations'!$T$2:$T$4001,S$1))</f>
        <v/>
      </c>
      <c r="T164" s="49">
        <f>IF(OR($AE164&lt;&gt;1,T$1=""),"",SUMIFS('All Donations'!$S$2:$S$4001,'All Donations'!$R$2:$R$4001,$AD164,'All Donations'!$T$2:$T$4001,T$1))</f>
        <v/>
      </c>
      <c r="U164" s="49">
        <f>IF(OR($AE164&lt;&gt;1,U$1=""),"",SUMIFS('All Donations'!$S$2:$S$4001,'All Donations'!$R$2:$R$4001,$AD164,'All Donations'!$T$2:$T$4001,U$1))</f>
        <v/>
      </c>
      <c r="V164" s="49">
        <f>IF(OR($AE164&lt;&gt;1,V$1=""),"",SUMIFS('All Donations'!$S$2:$S$4001,'All Donations'!$R$2:$R$4001,$AD164,'All Donations'!$T$2:$T$4001,V$1))</f>
        <v/>
      </c>
      <c r="W164" s="49">
        <f>IF(OR($AE164&lt;&gt;1,W$1=""),"",SUMIFS('All Donations'!$S$2:$S$4001,'All Donations'!$R$2:$R$4001,$AD164,'All Donations'!$T$2:$T$4001,W$1))</f>
        <v/>
      </c>
      <c r="X164" s="49">
        <f>IF(OR($AE164&lt;&gt;1,X$1=""),"",SUMIFS('All Donations'!$S$2:$S$4001,'All Donations'!$R$2:$R$4001,$AD164,'All Donations'!$T$2:$T$4001,X$1))</f>
        <v/>
      </c>
      <c r="Y164" s="49">
        <f>IF(OR($AE164&lt;&gt;1,Y$1=""),"",SUMIFS('All Donations'!$S$2:$S$4001,'All Donations'!$R$2:$R$4001,$AD164,'All Donations'!$T$2:$T$4001,Y$1))</f>
        <v/>
      </c>
      <c r="Z164" s="49">
        <f>IF(OR($AE164&lt;&gt;1,Z$1=""),"",SUMIFS('All Donations'!$S$2:$S$4001,'All Donations'!$R$2:$R$4001,$AD164,'All Donations'!$T$2:$T$4001,Z$1))</f>
        <v/>
      </c>
      <c r="AA164" s="49">
        <f>IF(OR($AE164&lt;&gt;1,AA$1=""),"",SUMIFS('All Donations'!$S$2:$S$4001,'All Donations'!$R$2:$R$4001,$AD164,'All Donations'!$T$2:$T$4001,AA$1))</f>
        <v/>
      </c>
      <c r="AB164" s="49">
        <f>IF(OR($AE164&lt;&gt;1,AB$1=""),"",SUMIFS('All Donations'!$S$2:$S$4001,'All Donations'!$R$2:$R$4001,$AD164,'All Donations'!$T$2:$T$4001,AB$1))</f>
        <v/>
      </c>
      <c r="AC164" s="49">
        <f>IF(OR($AE164&lt;&gt;1,AC$1=""),"",SUMIFS('All Donations'!$S$2:$S$4001,'All Donations'!$R$2:$R$4001,$AD164,'All Donations'!$T$2:$T$4001,AC$1))</f>
        <v/>
      </c>
      <c r="AD164">
        <f>IF(AE164=1,'Roster'!A164,"")</f>
        <v/>
      </c>
      <c r="AE164">
        <f>IF(TRIM('Roster'!B164&amp;'Roster'!C164)&lt;&gt;"",1,0)</f>
        <v/>
      </c>
      <c r="AF164">
        <f>IF(AE164=1,LOWER(A164),"#")</f>
        <v/>
      </c>
      <c r="AG164">
        <f>IF(AE164=1,LOWER(TRIM(TRIM('Roster'!C164)&amp;", "&amp;TRIM('Roster'!B164))),"#")</f>
        <v/>
      </c>
      <c r="AH164">
        <f>IF(AND(AE164=1,TRIM('Roster'!F164)&lt;&gt;""),LOWER(TRIM('Roster'!F164)),"#")</f>
        <v/>
      </c>
      <c r="AI164">
        <f>IF(AE164=1,IF(MATCH(B164,$B$2:$B$701,0)=ROW()-1,1,0),0)</f>
        <v/>
      </c>
      <c r="AJ164">
        <f>AJ163+AI164</f>
        <v/>
      </c>
      <c r="AK164">
        <f>IF(AE164=1,D164+(1000-ROW())/10^7,-1)</f>
        <v/>
      </c>
      <c r="AL164">
        <f>IF(AE164=1,TRIM('Roster'!B164)&amp;" "&amp;LEFT(TRIM('Roster'!C164),1)&amp;".","")</f>
        <v/>
      </c>
      <c r="AM164">
        <f>IF(AE164=1,TRIM('Roster'!C164)&amp;", "&amp;TRIM('Roster'!B164)&amp;" ("&amp;B164&amp;") #"&amp;AD164,"")</f>
        <v/>
      </c>
      <c r="AN164">
        <f>IF(AE164=1,TRIM('Roster'!E164),"")</f>
        <v/>
      </c>
      <c r="AO164">
        <f>IF(AE164=1,ROUND(SUMIFS('All Donations'!$S$2:$S$4001,'All Donations'!$R$2:$R$4001,AD164,'All Donations'!$T$2:$T$4001,"&gt;="&amp;'Settings'!$C$23,'All Donations'!$T$2:$T$4001,"&lt;="&amp;'Settings'!$D$23),2),0)</f>
        <v/>
      </c>
      <c r="AQ164">
        <f>IF(AE164=1,ROUND(SUMIFS('All Donations'!$S$2:$S$4001,'All Donations'!$R$2:$R$4001,AD164,'All Donations'!$T$2:$T$4001,"&gt;="&amp;'Settings'!$C$25,'All Donations'!$T$2:$T$4001,"&lt;="&amp;'Settings'!$D$25),2),0)</f>
        <v/>
      </c>
      <c r="AR164">
        <f>IF(AE164=1,ROUND(SUMIFS('All Donations'!$S$2:$S$4001,'All Donations'!$R$2:$R$4001,AD164,'All Donations'!$T$2:$T$4001,"&gt;="&amp;'Settings'!$C$26,'All Donations'!$T$2:$T$4001,"&lt;="&amp;'Settings'!$D$26),2),0)</f>
        <v/>
      </c>
      <c r="AS164">
        <f>IF(AE164=1,ROUND(SUMIFS('All Donations'!$S$2:$S$4001,'All Donations'!$R$2:$R$4001,AD164,'All Donations'!$T$2:$T$4001,"&lt;="&amp;'Settings'!$D$27),2),0)</f>
        <v/>
      </c>
      <c r="AT164">
        <f>IF(AE164=1,ROUND(SUMIFS('All Donations'!$S$2:$S$4001,'All Donations'!$R$2:$R$4001,AD164,'All Donations'!$T$2:$T$4001,"&gt;="&amp;'Settings'!$C$28,'All Donations'!$T$2:$T$4001,"&lt;="&amp;'Settings'!$D$28),2),0)</f>
        <v/>
      </c>
      <c r="AU164">
        <f>IF(AE164=1,ROUND(SUMIFS('All Donations'!$S$2:$S$4001,'All Donations'!$R$2:$R$4001,AD164,'All Donations'!$T$2:$T$4001,"&gt;="&amp;'Settings'!$C$29,'All Donations'!$T$2:$T$4001,"&lt;="&amp;'Settings'!$D$29),2),0)</f>
        <v/>
      </c>
      <c r="AV164">
        <f>IF(AE164=1,ROUND(SUMIFS('All Donations'!$S$2:$S$4001,'All Donations'!$R$2:$R$4001,AD164,'All Donations'!$T$2:$T$4001,"&lt;="&amp;'Settings'!$D$30),2),0)</f>
        <v/>
      </c>
      <c r="AZ164">
        <f>IF(AE164=1,ROUND(SUMIFS('All Donations'!$S$2:$S$4001,'All Donations'!$R$2:$R$4001,AD164,'All Donations'!$T$2:$T$4001,"&lt;="&amp;'Settings'!$D$34),2),0)</f>
        <v/>
      </c>
    </row>
    <row r="165">
      <c r="A165">
        <f>IF(AE165=1,TRIM(TRIM('Roster'!B165)&amp;" "&amp;TRIM('Roster'!C165)),"")</f>
        <v/>
      </c>
      <c r="B165">
        <f>IF(AE165=1,IF(AN165="","(no teacher)",AN165&amp;" – "&amp;C165),"")</f>
        <v/>
      </c>
      <c r="C165">
        <f>IF(AE165=1,TRIM('Roster'!D165&amp;""),"")</f>
        <v/>
      </c>
      <c r="D165" s="48">
        <f>IF(AE165=1,ROUND(SUMIFS('All Donations'!$S$2:$S$4001,'All Donations'!$R$2:$R$4001,AD165),2),"")</f>
        <v/>
      </c>
      <c r="E165" s="48">
        <f>IF(AE165=1,ROUND(SUMIFS('All Donations'!$S$2:$S$4001,'All Donations'!$R$2:$R$4001,AD165,'All Donations'!$G$2:$G$4001,"OneCause"),2),"")</f>
        <v/>
      </c>
      <c r="F165" s="48">
        <f>IF(AE165=1,D165-E165,"")</f>
        <v/>
      </c>
      <c r="G165">
        <f>IF(AE165=1,COUNTIFS('All Donations'!$R$2:$R$4001,AD165,'All Donations'!$H$2:$H$4001,"OK"),"")</f>
        <v/>
      </c>
      <c r="H165">
        <f>IF(AE165&lt;&gt;1,"",IF(D165&gt;0,"Yes",""))</f>
        <v/>
      </c>
      <c r="I165" s="49">
        <f>IF(OR($AE165&lt;&gt;1,I$1=""),"",SUMIFS('All Donations'!$S$2:$S$4001,'All Donations'!$R$2:$R$4001,$AD165,'All Donations'!$T$2:$T$4001,I$1))</f>
        <v/>
      </c>
      <c r="J165" s="49">
        <f>IF(OR($AE165&lt;&gt;1,J$1=""),"",SUMIFS('All Donations'!$S$2:$S$4001,'All Donations'!$R$2:$R$4001,$AD165,'All Donations'!$T$2:$T$4001,J$1))</f>
        <v/>
      </c>
      <c r="K165" s="49">
        <f>IF(OR($AE165&lt;&gt;1,K$1=""),"",SUMIFS('All Donations'!$S$2:$S$4001,'All Donations'!$R$2:$R$4001,$AD165,'All Donations'!$T$2:$T$4001,K$1))</f>
        <v/>
      </c>
      <c r="L165" s="49">
        <f>IF(OR($AE165&lt;&gt;1,L$1=""),"",SUMIFS('All Donations'!$S$2:$S$4001,'All Donations'!$R$2:$R$4001,$AD165,'All Donations'!$T$2:$T$4001,L$1))</f>
        <v/>
      </c>
      <c r="M165" s="49">
        <f>IF(OR($AE165&lt;&gt;1,M$1=""),"",SUMIFS('All Donations'!$S$2:$S$4001,'All Donations'!$R$2:$R$4001,$AD165,'All Donations'!$T$2:$T$4001,M$1))</f>
        <v/>
      </c>
      <c r="N165" s="49">
        <f>IF(OR($AE165&lt;&gt;1,N$1=""),"",SUMIFS('All Donations'!$S$2:$S$4001,'All Donations'!$R$2:$R$4001,$AD165,'All Donations'!$T$2:$T$4001,N$1))</f>
        <v/>
      </c>
      <c r="O165" s="49">
        <f>IF(OR($AE165&lt;&gt;1,O$1=""),"",SUMIFS('All Donations'!$S$2:$S$4001,'All Donations'!$R$2:$R$4001,$AD165,'All Donations'!$T$2:$T$4001,O$1))</f>
        <v/>
      </c>
      <c r="P165" s="49">
        <f>IF(OR($AE165&lt;&gt;1,P$1=""),"",SUMIFS('All Donations'!$S$2:$S$4001,'All Donations'!$R$2:$R$4001,$AD165,'All Donations'!$T$2:$T$4001,P$1))</f>
        <v/>
      </c>
      <c r="Q165" s="49">
        <f>IF(OR($AE165&lt;&gt;1,Q$1=""),"",SUMIFS('All Donations'!$S$2:$S$4001,'All Donations'!$R$2:$R$4001,$AD165,'All Donations'!$T$2:$T$4001,Q$1))</f>
        <v/>
      </c>
      <c r="R165" s="49">
        <f>IF(OR($AE165&lt;&gt;1,R$1=""),"",SUMIFS('All Donations'!$S$2:$S$4001,'All Donations'!$R$2:$R$4001,$AD165,'All Donations'!$T$2:$T$4001,R$1))</f>
        <v/>
      </c>
      <c r="S165" s="49">
        <f>IF(OR($AE165&lt;&gt;1,S$1=""),"",SUMIFS('All Donations'!$S$2:$S$4001,'All Donations'!$R$2:$R$4001,$AD165,'All Donations'!$T$2:$T$4001,S$1))</f>
        <v/>
      </c>
      <c r="T165" s="49">
        <f>IF(OR($AE165&lt;&gt;1,T$1=""),"",SUMIFS('All Donations'!$S$2:$S$4001,'All Donations'!$R$2:$R$4001,$AD165,'All Donations'!$T$2:$T$4001,T$1))</f>
        <v/>
      </c>
      <c r="U165" s="49">
        <f>IF(OR($AE165&lt;&gt;1,U$1=""),"",SUMIFS('All Donations'!$S$2:$S$4001,'All Donations'!$R$2:$R$4001,$AD165,'All Donations'!$T$2:$T$4001,U$1))</f>
        <v/>
      </c>
      <c r="V165" s="49">
        <f>IF(OR($AE165&lt;&gt;1,V$1=""),"",SUMIFS('All Donations'!$S$2:$S$4001,'All Donations'!$R$2:$R$4001,$AD165,'All Donations'!$T$2:$T$4001,V$1))</f>
        <v/>
      </c>
      <c r="W165" s="49">
        <f>IF(OR($AE165&lt;&gt;1,W$1=""),"",SUMIFS('All Donations'!$S$2:$S$4001,'All Donations'!$R$2:$R$4001,$AD165,'All Donations'!$T$2:$T$4001,W$1))</f>
        <v/>
      </c>
      <c r="X165" s="49">
        <f>IF(OR($AE165&lt;&gt;1,X$1=""),"",SUMIFS('All Donations'!$S$2:$S$4001,'All Donations'!$R$2:$R$4001,$AD165,'All Donations'!$T$2:$T$4001,X$1))</f>
        <v/>
      </c>
      <c r="Y165" s="49">
        <f>IF(OR($AE165&lt;&gt;1,Y$1=""),"",SUMIFS('All Donations'!$S$2:$S$4001,'All Donations'!$R$2:$R$4001,$AD165,'All Donations'!$T$2:$T$4001,Y$1))</f>
        <v/>
      </c>
      <c r="Z165" s="49">
        <f>IF(OR($AE165&lt;&gt;1,Z$1=""),"",SUMIFS('All Donations'!$S$2:$S$4001,'All Donations'!$R$2:$R$4001,$AD165,'All Donations'!$T$2:$T$4001,Z$1))</f>
        <v/>
      </c>
      <c r="AA165" s="49">
        <f>IF(OR($AE165&lt;&gt;1,AA$1=""),"",SUMIFS('All Donations'!$S$2:$S$4001,'All Donations'!$R$2:$R$4001,$AD165,'All Donations'!$T$2:$T$4001,AA$1))</f>
        <v/>
      </c>
      <c r="AB165" s="49">
        <f>IF(OR($AE165&lt;&gt;1,AB$1=""),"",SUMIFS('All Donations'!$S$2:$S$4001,'All Donations'!$R$2:$R$4001,$AD165,'All Donations'!$T$2:$T$4001,AB$1))</f>
        <v/>
      </c>
      <c r="AC165" s="49">
        <f>IF(OR($AE165&lt;&gt;1,AC$1=""),"",SUMIFS('All Donations'!$S$2:$S$4001,'All Donations'!$R$2:$R$4001,$AD165,'All Donations'!$T$2:$T$4001,AC$1))</f>
        <v/>
      </c>
      <c r="AD165">
        <f>IF(AE165=1,'Roster'!A165,"")</f>
        <v/>
      </c>
      <c r="AE165">
        <f>IF(TRIM('Roster'!B165&amp;'Roster'!C165)&lt;&gt;"",1,0)</f>
        <v/>
      </c>
      <c r="AF165">
        <f>IF(AE165=1,LOWER(A165),"#")</f>
        <v/>
      </c>
      <c r="AG165">
        <f>IF(AE165=1,LOWER(TRIM(TRIM('Roster'!C165)&amp;", "&amp;TRIM('Roster'!B165))),"#")</f>
        <v/>
      </c>
      <c r="AH165">
        <f>IF(AND(AE165=1,TRIM('Roster'!F165)&lt;&gt;""),LOWER(TRIM('Roster'!F165)),"#")</f>
        <v/>
      </c>
      <c r="AI165">
        <f>IF(AE165=1,IF(MATCH(B165,$B$2:$B$701,0)=ROW()-1,1,0),0)</f>
        <v/>
      </c>
      <c r="AJ165">
        <f>AJ164+AI165</f>
        <v/>
      </c>
      <c r="AK165">
        <f>IF(AE165=1,D165+(1000-ROW())/10^7,-1)</f>
        <v/>
      </c>
      <c r="AL165">
        <f>IF(AE165=1,TRIM('Roster'!B165)&amp;" "&amp;LEFT(TRIM('Roster'!C165),1)&amp;".","")</f>
        <v/>
      </c>
      <c r="AM165">
        <f>IF(AE165=1,TRIM('Roster'!C165)&amp;", "&amp;TRIM('Roster'!B165)&amp;" ("&amp;B165&amp;") #"&amp;AD165,"")</f>
        <v/>
      </c>
      <c r="AN165">
        <f>IF(AE165=1,TRIM('Roster'!E165),"")</f>
        <v/>
      </c>
      <c r="AO165">
        <f>IF(AE165=1,ROUND(SUMIFS('All Donations'!$S$2:$S$4001,'All Donations'!$R$2:$R$4001,AD165,'All Donations'!$T$2:$T$4001,"&gt;="&amp;'Settings'!$C$23,'All Donations'!$T$2:$T$4001,"&lt;="&amp;'Settings'!$D$23),2),0)</f>
        <v/>
      </c>
      <c r="AQ165">
        <f>IF(AE165=1,ROUND(SUMIFS('All Donations'!$S$2:$S$4001,'All Donations'!$R$2:$R$4001,AD165,'All Donations'!$T$2:$T$4001,"&gt;="&amp;'Settings'!$C$25,'All Donations'!$T$2:$T$4001,"&lt;="&amp;'Settings'!$D$25),2),0)</f>
        <v/>
      </c>
      <c r="AR165">
        <f>IF(AE165=1,ROUND(SUMIFS('All Donations'!$S$2:$S$4001,'All Donations'!$R$2:$R$4001,AD165,'All Donations'!$T$2:$T$4001,"&gt;="&amp;'Settings'!$C$26,'All Donations'!$T$2:$T$4001,"&lt;="&amp;'Settings'!$D$26),2),0)</f>
        <v/>
      </c>
      <c r="AS165">
        <f>IF(AE165=1,ROUND(SUMIFS('All Donations'!$S$2:$S$4001,'All Donations'!$R$2:$R$4001,AD165,'All Donations'!$T$2:$T$4001,"&lt;="&amp;'Settings'!$D$27),2),0)</f>
        <v/>
      </c>
      <c r="AT165">
        <f>IF(AE165=1,ROUND(SUMIFS('All Donations'!$S$2:$S$4001,'All Donations'!$R$2:$R$4001,AD165,'All Donations'!$T$2:$T$4001,"&gt;="&amp;'Settings'!$C$28,'All Donations'!$T$2:$T$4001,"&lt;="&amp;'Settings'!$D$28),2),0)</f>
        <v/>
      </c>
      <c r="AU165">
        <f>IF(AE165=1,ROUND(SUMIFS('All Donations'!$S$2:$S$4001,'All Donations'!$R$2:$R$4001,AD165,'All Donations'!$T$2:$T$4001,"&gt;="&amp;'Settings'!$C$29,'All Donations'!$T$2:$T$4001,"&lt;="&amp;'Settings'!$D$29),2),0)</f>
        <v/>
      </c>
      <c r="AV165">
        <f>IF(AE165=1,ROUND(SUMIFS('All Donations'!$S$2:$S$4001,'All Donations'!$R$2:$R$4001,AD165,'All Donations'!$T$2:$T$4001,"&lt;="&amp;'Settings'!$D$30),2),0)</f>
        <v/>
      </c>
      <c r="AZ165">
        <f>IF(AE165=1,ROUND(SUMIFS('All Donations'!$S$2:$S$4001,'All Donations'!$R$2:$R$4001,AD165,'All Donations'!$T$2:$T$4001,"&lt;="&amp;'Settings'!$D$34),2),0)</f>
        <v/>
      </c>
    </row>
    <row r="166">
      <c r="A166">
        <f>IF(AE166=1,TRIM(TRIM('Roster'!B166)&amp;" "&amp;TRIM('Roster'!C166)),"")</f>
        <v/>
      </c>
      <c r="B166">
        <f>IF(AE166=1,IF(AN166="","(no teacher)",AN166&amp;" – "&amp;C166),"")</f>
        <v/>
      </c>
      <c r="C166">
        <f>IF(AE166=1,TRIM('Roster'!D166&amp;""),"")</f>
        <v/>
      </c>
      <c r="D166" s="48">
        <f>IF(AE166=1,ROUND(SUMIFS('All Donations'!$S$2:$S$4001,'All Donations'!$R$2:$R$4001,AD166),2),"")</f>
        <v/>
      </c>
      <c r="E166" s="48">
        <f>IF(AE166=1,ROUND(SUMIFS('All Donations'!$S$2:$S$4001,'All Donations'!$R$2:$R$4001,AD166,'All Donations'!$G$2:$G$4001,"OneCause"),2),"")</f>
        <v/>
      </c>
      <c r="F166" s="48">
        <f>IF(AE166=1,D166-E166,"")</f>
        <v/>
      </c>
      <c r="G166">
        <f>IF(AE166=1,COUNTIFS('All Donations'!$R$2:$R$4001,AD166,'All Donations'!$H$2:$H$4001,"OK"),"")</f>
        <v/>
      </c>
      <c r="H166">
        <f>IF(AE166&lt;&gt;1,"",IF(D166&gt;0,"Yes",""))</f>
        <v/>
      </c>
      <c r="I166" s="49">
        <f>IF(OR($AE166&lt;&gt;1,I$1=""),"",SUMIFS('All Donations'!$S$2:$S$4001,'All Donations'!$R$2:$R$4001,$AD166,'All Donations'!$T$2:$T$4001,I$1))</f>
        <v/>
      </c>
      <c r="J166" s="49">
        <f>IF(OR($AE166&lt;&gt;1,J$1=""),"",SUMIFS('All Donations'!$S$2:$S$4001,'All Donations'!$R$2:$R$4001,$AD166,'All Donations'!$T$2:$T$4001,J$1))</f>
        <v/>
      </c>
      <c r="K166" s="49">
        <f>IF(OR($AE166&lt;&gt;1,K$1=""),"",SUMIFS('All Donations'!$S$2:$S$4001,'All Donations'!$R$2:$R$4001,$AD166,'All Donations'!$T$2:$T$4001,K$1))</f>
        <v/>
      </c>
      <c r="L166" s="49">
        <f>IF(OR($AE166&lt;&gt;1,L$1=""),"",SUMIFS('All Donations'!$S$2:$S$4001,'All Donations'!$R$2:$R$4001,$AD166,'All Donations'!$T$2:$T$4001,L$1))</f>
        <v/>
      </c>
      <c r="M166" s="49">
        <f>IF(OR($AE166&lt;&gt;1,M$1=""),"",SUMIFS('All Donations'!$S$2:$S$4001,'All Donations'!$R$2:$R$4001,$AD166,'All Donations'!$T$2:$T$4001,M$1))</f>
        <v/>
      </c>
      <c r="N166" s="49">
        <f>IF(OR($AE166&lt;&gt;1,N$1=""),"",SUMIFS('All Donations'!$S$2:$S$4001,'All Donations'!$R$2:$R$4001,$AD166,'All Donations'!$T$2:$T$4001,N$1))</f>
        <v/>
      </c>
      <c r="O166" s="49">
        <f>IF(OR($AE166&lt;&gt;1,O$1=""),"",SUMIFS('All Donations'!$S$2:$S$4001,'All Donations'!$R$2:$R$4001,$AD166,'All Donations'!$T$2:$T$4001,O$1))</f>
        <v/>
      </c>
      <c r="P166" s="49">
        <f>IF(OR($AE166&lt;&gt;1,P$1=""),"",SUMIFS('All Donations'!$S$2:$S$4001,'All Donations'!$R$2:$R$4001,$AD166,'All Donations'!$T$2:$T$4001,P$1))</f>
        <v/>
      </c>
      <c r="Q166" s="49">
        <f>IF(OR($AE166&lt;&gt;1,Q$1=""),"",SUMIFS('All Donations'!$S$2:$S$4001,'All Donations'!$R$2:$R$4001,$AD166,'All Donations'!$T$2:$T$4001,Q$1))</f>
        <v/>
      </c>
      <c r="R166" s="49">
        <f>IF(OR($AE166&lt;&gt;1,R$1=""),"",SUMIFS('All Donations'!$S$2:$S$4001,'All Donations'!$R$2:$R$4001,$AD166,'All Donations'!$T$2:$T$4001,R$1))</f>
        <v/>
      </c>
      <c r="S166" s="49">
        <f>IF(OR($AE166&lt;&gt;1,S$1=""),"",SUMIFS('All Donations'!$S$2:$S$4001,'All Donations'!$R$2:$R$4001,$AD166,'All Donations'!$T$2:$T$4001,S$1))</f>
        <v/>
      </c>
      <c r="T166" s="49">
        <f>IF(OR($AE166&lt;&gt;1,T$1=""),"",SUMIFS('All Donations'!$S$2:$S$4001,'All Donations'!$R$2:$R$4001,$AD166,'All Donations'!$T$2:$T$4001,T$1))</f>
        <v/>
      </c>
      <c r="U166" s="49">
        <f>IF(OR($AE166&lt;&gt;1,U$1=""),"",SUMIFS('All Donations'!$S$2:$S$4001,'All Donations'!$R$2:$R$4001,$AD166,'All Donations'!$T$2:$T$4001,U$1))</f>
        <v/>
      </c>
      <c r="V166" s="49">
        <f>IF(OR($AE166&lt;&gt;1,V$1=""),"",SUMIFS('All Donations'!$S$2:$S$4001,'All Donations'!$R$2:$R$4001,$AD166,'All Donations'!$T$2:$T$4001,V$1))</f>
        <v/>
      </c>
      <c r="W166" s="49">
        <f>IF(OR($AE166&lt;&gt;1,W$1=""),"",SUMIFS('All Donations'!$S$2:$S$4001,'All Donations'!$R$2:$R$4001,$AD166,'All Donations'!$T$2:$T$4001,W$1))</f>
        <v/>
      </c>
      <c r="X166" s="49">
        <f>IF(OR($AE166&lt;&gt;1,X$1=""),"",SUMIFS('All Donations'!$S$2:$S$4001,'All Donations'!$R$2:$R$4001,$AD166,'All Donations'!$T$2:$T$4001,X$1))</f>
        <v/>
      </c>
      <c r="Y166" s="49">
        <f>IF(OR($AE166&lt;&gt;1,Y$1=""),"",SUMIFS('All Donations'!$S$2:$S$4001,'All Donations'!$R$2:$R$4001,$AD166,'All Donations'!$T$2:$T$4001,Y$1))</f>
        <v/>
      </c>
      <c r="Z166" s="49">
        <f>IF(OR($AE166&lt;&gt;1,Z$1=""),"",SUMIFS('All Donations'!$S$2:$S$4001,'All Donations'!$R$2:$R$4001,$AD166,'All Donations'!$T$2:$T$4001,Z$1))</f>
        <v/>
      </c>
      <c r="AA166" s="49">
        <f>IF(OR($AE166&lt;&gt;1,AA$1=""),"",SUMIFS('All Donations'!$S$2:$S$4001,'All Donations'!$R$2:$R$4001,$AD166,'All Donations'!$T$2:$T$4001,AA$1))</f>
        <v/>
      </c>
      <c r="AB166" s="49">
        <f>IF(OR($AE166&lt;&gt;1,AB$1=""),"",SUMIFS('All Donations'!$S$2:$S$4001,'All Donations'!$R$2:$R$4001,$AD166,'All Donations'!$T$2:$T$4001,AB$1))</f>
        <v/>
      </c>
      <c r="AC166" s="49">
        <f>IF(OR($AE166&lt;&gt;1,AC$1=""),"",SUMIFS('All Donations'!$S$2:$S$4001,'All Donations'!$R$2:$R$4001,$AD166,'All Donations'!$T$2:$T$4001,AC$1))</f>
        <v/>
      </c>
      <c r="AD166">
        <f>IF(AE166=1,'Roster'!A166,"")</f>
        <v/>
      </c>
      <c r="AE166">
        <f>IF(TRIM('Roster'!B166&amp;'Roster'!C166)&lt;&gt;"",1,0)</f>
        <v/>
      </c>
      <c r="AF166">
        <f>IF(AE166=1,LOWER(A166),"#")</f>
        <v/>
      </c>
      <c r="AG166">
        <f>IF(AE166=1,LOWER(TRIM(TRIM('Roster'!C166)&amp;", "&amp;TRIM('Roster'!B166))),"#")</f>
        <v/>
      </c>
      <c r="AH166">
        <f>IF(AND(AE166=1,TRIM('Roster'!F166)&lt;&gt;""),LOWER(TRIM('Roster'!F166)),"#")</f>
        <v/>
      </c>
      <c r="AI166">
        <f>IF(AE166=1,IF(MATCH(B166,$B$2:$B$701,0)=ROW()-1,1,0),0)</f>
        <v/>
      </c>
      <c r="AJ166">
        <f>AJ165+AI166</f>
        <v/>
      </c>
      <c r="AK166">
        <f>IF(AE166=1,D166+(1000-ROW())/10^7,-1)</f>
        <v/>
      </c>
      <c r="AL166">
        <f>IF(AE166=1,TRIM('Roster'!B166)&amp;" "&amp;LEFT(TRIM('Roster'!C166),1)&amp;".","")</f>
        <v/>
      </c>
      <c r="AM166">
        <f>IF(AE166=1,TRIM('Roster'!C166)&amp;", "&amp;TRIM('Roster'!B166)&amp;" ("&amp;B166&amp;") #"&amp;AD166,"")</f>
        <v/>
      </c>
      <c r="AN166">
        <f>IF(AE166=1,TRIM('Roster'!E166),"")</f>
        <v/>
      </c>
      <c r="AO166">
        <f>IF(AE166=1,ROUND(SUMIFS('All Donations'!$S$2:$S$4001,'All Donations'!$R$2:$R$4001,AD166,'All Donations'!$T$2:$T$4001,"&gt;="&amp;'Settings'!$C$23,'All Donations'!$T$2:$T$4001,"&lt;="&amp;'Settings'!$D$23),2),0)</f>
        <v/>
      </c>
      <c r="AQ166">
        <f>IF(AE166=1,ROUND(SUMIFS('All Donations'!$S$2:$S$4001,'All Donations'!$R$2:$R$4001,AD166,'All Donations'!$T$2:$T$4001,"&gt;="&amp;'Settings'!$C$25,'All Donations'!$T$2:$T$4001,"&lt;="&amp;'Settings'!$D$25),2),0)</f>
        <v/>
      </c>
      <c r="AR166">
        <f>IF(AE166=1,ROUND(SUMIFS('All Donations'!$S$2:$S$4001,'All Donations'!$R$2:$R$4001,AD166,'All Donations'!$T$2:$T$4001,"&gt;="&amp;'Settings'!$C$26,'All Donations'!$T$2:$T$4001,"&lt;="&amp;'Settings'!$D$26),2),0)</f>
        <v/>
      </c>
      <c r="AS166">
        <f>IF(AE166=1,ROUND(SUMIFS('All Donations'!$S$2:$S$4001,'All Donations'!$R$2:$R$4001,AD166,'All Donations'!$T$2:$T$4001,"&lt;="&amp;'Settings'!$D$27),2),0)</f>
        <v/>
      </c>
      <c r="AT166">
        <f>IF(AE166=1,ROUND(SUMIFS('All Donations'!$S$2:$S$4001,'All Donations'!$R$2:$R$4001,AD166,'All Donations'!$T$2:$T$4001,"&gt;="&amp;'Settings'!$C$28,'All Donations'!$T$2:$T$4001,"&lt;="&amp;'Settings'!$D$28),2),0)</f>
        <v/>
      </c>
      <c r="AU166">
        <f>IF(AE166=1,ROUND(SUMIFS('All Donations'!$S$2:$S$4001,'All Donations'!$R$2:$R$4001,AD166,'All Donations'!$T$2:$T$4001,"&gt;="&amp;'Settings'!$C$29,'All Donations'!$T$2:$T$4001,"&lt;="&amp;'Settings'!$D$29),2),0)</f>
        <v/>
      </c>
      <c r="AV166">
        <f>IF(AE166=1,ROUND(SUMIFS('All Donations'!$S$2:$S$4001,'All Donations'!$R$2:$R$4001,AD166,'All Donations'!$T$2:$T$4001,"&lt;="&amp;'Settings'!$D$30),2),0)</f>
        <v/>
      </c>
      <c r="AZ166">
        <f>IF(AE166=1,ROUND(SUMIFS('All Donations'!$S$2:$S$4001,'All Donations'!$R$2:$R$4001,AD166,'All Donations'!$T$2:$T$4001,"&lt;="&amp;'Settings'!$D$34),2),0)</f>
        <v/>
      </c>
    </row>
    <row r="167">
      <c r="A167">
        <f>IF(AE167=1,TRIM(TRIM('Roster'!B167)&amp;" "&amp;TRIM('Roster'!C167)),"")</f>
        <v/>
      </c>
      <c r="B167">
        <f>IF(AE167=1,IF(AN167="","(no teacher)",AN167&amp;" – "&amp;C167),"")</f>
        <v/>
      </c>
      <c r="C167">
        <f>IF(AE167=1,TRIM('Roster'!D167&amp;""),"")</f>
        <v/>
      </c>
      <c r="D167" s="48">
        <f>IF(AE167=1,ROUND(SUMIFS('All Donations'!$S$2:$S$4001,'All Donations'!$R$2:$R$4001,AD167),2),"")</f>
        <v/>
      </c>
      <c r="E167" s="48">
        <f>IF(AE167=1,ROUND(SUMIFS('All Donations'!$S$2:$S$4001,'All Donations'!$R$2:$R$4001,AD167,'All Donations'!$G$2:$G$4001,"OneCause"),2),"")</f>
        <v/>
      </c>
      <c r="F167" s="48">
        <f>IF(AE167=1,D167-E167,"")</f>
        <v/>
      </c>
      <c r="G167">
        <f>IF(AE167=1,COUNTIFS('All Donations'!$R$2:$R$4001,AD167,'All Donations'!$H$2:$H$4001,"OK"),"")</f>
        <v/>
      </c>
      <c r="H167">
        <f>IF(AE167&lt;&gt;1,"",IF(D167&gt;0,"Yes",""))</f>
        <v/>
      </c>
      <c r="I167" s="49">
        <f>IF(OR($AE167&lt;&gt;1,I$1=""),"",SUMIFS('All Donations'!$S$2:$S$4001,'All Donations'!$R$2:$R$4001,$AD167,'All Donations'!$T$2:$T$4001,I$1))</f>
        <v/>
      </c>
      <c r="J167" s="49">
        <f>IF(OR($AE167&lt;&gt;1,J$1=""),"",SUMIFS('All Donations'!$S$2:$S$4001,'All Donations'!$R$2:$R$4001,$AD167,'All Donations'!$T$2:$T$4001,J$1))</f>
        <v/>
      </c>
      <c r="K167" s="49">
        <f>IF(OR($AE167&lt;&gt;1,K$1=""),"",SUMIFS('All Donations'!$S$2:$S$4001,'All Donations'!$R$2:$R$4001,$AD167,'All Donations'!$T$2:$T$4001,K$1))</f>
        <v/>
      </c>
      <c r="L167" s="49">
        <f>IF(OR($AE167&lt;&gt;1,L$1=""),"",SUMIFS('All Donations'!$S$2:$S$4001,'All Donations'!$R$2:$R$4001,$AD167,'All Donations'!$T$2:$T$4001,L$1))</f>
        <v/>
      </c>
      <c r="M167" s="49">
        <f>IF(OR($AE167&lt;&gt;1,M$1=""),"",SUMIFS('All Donations'!$S$2:$S$4001,'All Donations'!$R$2:$R$4001,$AD167,'All Donations'!$T$2:$T$4001,M$1))</f>
        <v/>
      </c>
      <c r="N167" s="49">
        <f>IF(OR($AE167&lt;&gt;1,N$1=""),"",SUMIFS('All Donations'!$S$2:$S$4001,'All Donations'!$R$2:$R$4001,$AD167,'All Donations'!$T$2:$T$4001,N$1))</f>
        <v/>
      </c>
      <c r="O167" s="49">
        <f>IF(OR($AE167&lt;&gt;1,O$1=""),"",SUMIFS('All Donations'!$S$2:$S$4001,'All Donations'!$R$2:$R$4001,$AD167,'All Donations'!$T$2:$T$4001,O$1))</f>
        <v/>
      </c>
      <c r="P167" s="49">
        <f>IF(OR($AE167&lt;&gt;1,P$1=""),"",SUMIFS('All Donations'!$S$2:$S$4001,'All Donations'!$R$2:$R$4001,$AD167,'All Donations'!$T$2:$T$4001,P$1))</f>
        <v/>
      </c>
      <c r="Q167" s="49">
        <f>IF(OR($AE167&lt;&gt;1,Q$1=""),"",SUMIFS('All Donations'!$S$2:$S$4001,'All Donations'!$R$2:$R$4001,$AD167,'All Donations'!$T$2:$T$4001,Q$1))</f>
        <v/>
      </c>
      <c r="R167" s="49">
        <f>IF(OR($AE167&lt;&gt;1,R$1=""),"",SUMIFS('All Donations'!$S$2:$S$4001,'All Donations'!$R$2:$R$4001,$AD167,'All Donations'!$T$2:$T$4001,R$1))</f>
        <v/>
      </c>
      <c r="S167" s="49">
        <f>IF(OR($AE167&lt;&gt;1,S$1=""),"",SUMIFS('All Donations'!$S$2:$S$4001,'All Donations'!$R$2:$R$4001,$AD167,'All Donations'!$T$2:$T$4001,S$1))</f>
        <v/>
      </c>
      <c r="T167" s="49">
        <f>IF(OR($AE167&lt;&gt;1,T$1=""),"",SUMIFS('All Donations'!$S$2:$S$4001,'All Donations'!$R$2:$R$4001,$AD167,'All Donations'!$T$2:$T$4001,T$1))</f>
        <v/>
      </c>
      <c r="U167" s="49">
        <f>IF(OR($AE167&lt;&gt;1,U$1=""),"",SUMIFS('All Donations'!$S$2:$S$4001,'All Donations'!$R$2:$R$4001,$AD167,'All Donations'!$T$2:$T$4001,U$1))</f>
        <v/>
      </c>
      <c r="V167" s="49">
        <f>IF(OR($AE167&lt;&gt;1,V$1=""),"",SUMIFS('All Donations'!$S$2:$S$4001,'All Donations'!$R$2:$R$4001,$AD167,'All Donations'!$T$2:$T$4001,V$1))</f>
        <v/>
      </c>
      <c r="W167" s="49">
        <f>IF(OR($AE167&lt;&gt;1,W$1=""),"",SUMIFS('All Donations'!$S$2:$S$4001,'All Donations'!$R$2:$R$4001,$AD167,'All Donations'!$T$2:$T$4001,W$1))</f>
        <v/>
      </c>
      <c r="X167" s="49">
        <f>IF(OR($AE167&lt;&gt;1,X$1=""),"",SUMIFS('All Donations'!$S$2:$S$4001,'All Donations'!$R$2:$R$4001,$AD167,'All Donations'!$T$2:$T$4001,X$1))</f>
        <v/>
      </c>
      <c r="Y167" s="49">
        <f>IF(OR($AE167&lt;&gt;1,Y$1=""),"",SUMIFS('All Donations'!$S$2:$S$4001,'All Donations'!$R$2:$R$4001,$AD167,'All Donations'!$T$2:$T$4001,Y$1))</f>
        <v/>
      </c>
      <c r="Z167" s="49">
        <f>IF(OR($AE167&lt;&gt;1,Z$1=""),"",SUMIFS('All Donations'!$S$2:$S$4001,'All Donations'!$R$2:$R$4001,$AD167,'All Donations'!$T$2:$T$4001,Z$1))</f>
        <v/>
      </c>
      <c r="AA167" s="49">
        <f>IF(OR($AE167&lt;&gt;1,AA$1=""),"",SUMIFS('All Donations'!$S$2:$S$4001,'All Donations'!$R$2:$R$4001,$AD167,'All Donations'!$T$2:$T$4001,AA$1))</f>
        <v/>
      </c>
      <c r="AB167" s="49">
        <f>IF(OR($AE167&lt;&gt;1,AB$1=""),"",SUMIFS('All Donations'!$S$2:$S$4001,'All Donations'!$R$2:$R$4001,$AD167,'All Donations'!$T$2:$T$4001,AB$1))</f>
        <v/>
      </c>
      <c r="AC167" s="49">
        <f>IF(OR($AE167&lt;&gt;1,AC$1=""),"",SUMIFS('All Donations'!$S$2:$S$4001,'All Donations'!$R$2:$R$4001,$AD167,'All Donations'!$T$2:$T$4001,AC$1))</f>
        <v/>
      </c>
      <c r="AD167">
        <f>IF(AE167=1,'Roster'!A167,"")</f>
        <v/>
      </c>
      <c r="AE167">
        <f>IF(TRIM('Roster'!B167&amp;'Roster'!C167)&lt;&gt;"",1,0)</f>
        <v/>
      </c>
      <c r="AF167">
        <f>IF(AE167=1,LOWER(A167),"#")</f>
        <v/>
      </c>
      <c r="AG167">
        <f>IF(AE167=1,LOWER(TRIM(TRIM('Roster'!C167)&amp;", "&amp;TRIM('Roster'!B167))),"#")</f>
        <v/>
      </c>
      <c r="AH167">
        <f>IF(AND(AE167=1,TRIM('Roster'!F167)&lt;&gt;""),LOWER(TRIM('Roster'!F167)),"#")</f>
        <v/>
      </c>
      <c r="AI167">
        <f>IF(AE167=1,IF(MATCH(B167,$B$2:$B$701,0)=ROW()-1,1,0),0)</f>
        <v/>
      </c>
      <c r="AJ167">
        <f>AJ166+AI167</f>
        <v/>
      </c>
      <c r="AK167">
        <f>IF(AE167=1,D167+(1000-ROW())/10^7,-1)</f>
        <v/>
      </c>
      <c r="AL167">
        <f>IF(AE167=1,TRIM('Roster'!B167)&amp;" "&amp;LEFT(TRIM('Roster'!C167),1)&amp;".","")</f>
        <v/>
      </c>
      <c r="AM167">
        <f>IF(AE167=1,TRIM('Roster'!C167)&amp;", "&amp;TRIM('Roster'!B167)&amp;" ("&amp;B167&amp;") #"&amp;AD167,"")</f>
        <v/>
      </c>
      <c r="AN167">
        <f>IF(AE167=1,TRIM('Roster'!E167),"")</f>
        <v/>
      </c>
      <c r="AO167">
        <f>IF(AE167=1,ROUND(SUMIFS('All Donations'!$S$2:$S$4001,'All Donations'!$R$2:$R$4001,AD167,'All Donations'!$T$2:$T$4001,"&gt;="&amp;'Settings'!$C$23,'All Donations'!$T$2:$T$4001,"&lt;="&amp;'Settings'!$D$23),2),0)</f>
        <v/>
      </c>
      <c r="AQ167">
        <f>IF(AE167=1,ROUND(SUMIFS('All Donations'!$S$2:$S$4001,'All Donations'!$R$2:$R$4001,AD167,'All Donations'!$T$2:$T$4001,"&gt;="&amp;'Settings'!$C$25,'All Donations'!$T$2:$T$4001,"&lt;="&amp;'Settings'!$D$25),2),0)</f>
        <v/>
      </c>
      <c r="AR167">
        <f>IF(AE167=1,ROUND(SUMIFS('All Donations'!$S$2:$S$4001,'All Donations'!$R$2:$R$4001,AD167,'All Donations'!$T$2:$T$4001,"&gt;="&amp;'Settings'!$C$26,'All Donations'!$T$2:$T$4001,"&lt;="&amp;'Settings'!$D$26),2),0)</f>
        <v/>
      </c>
      <c r="AS167">
        <f>IF(AE167=1,ROUND(SUMIFS('All Donations'!$S$2:$S$4001,'All Donations'!$R$2:$R$4001,AD167,'All Donations'!$T$2:$T$4001,"&lt;="&amp;'Settings'!$D$27),2),0)</f>
        <v/>
      </c>
      <c r="AT167">
        <f>IF(AE167=1,ROUND(SUMIFS('All Donations'!$S$2:$S$4001,'All Donations'!$R$2:$R$4001,AD167,'All Donations'!$T$2:$T$4001,"&gt;="&amp;'Settings'!$C$28,'All Donations'!$T$2:$T$4001,"&lt;="&amp;'Settings'!$D$28),2),0)</f>
        <v/>
      </c>
      <c r="AU167">
        <f>IF(AE167=1,ROUND(SUMIFS('All Donations'!$S$2:$S$4001,'All Donations'!$R$2:$R$4001,AD167,'All Donations'!$T$2:$T$4001,"&gt;="&amp;'Settings'!$C$29,'All Donations'!$T$2:$T$4001,"&lt;="&amp;'Settings'!$D$29),2),0)</f>
        <v/>
      </c>
      <c r="AV167">
        <f>IF(AE167=1,ROUND(SUMIFS('All Donations'!$S$2:$S$4001,'All Donations'!$R$2:$R$4001,AD167,'All Donations'!$T$2:$T$4001,"&lt;="&amp;'Settings'!$D$30),2),0)</f>
        <v/>
      </c>
      <c r="AZ167">
        <f>IF(AE167=1,ROUND(SUMIFS('All Donations'!$S$2:$S$4001,'All Donations'!$R$2:$R$4001,AD167,'All Donations'!$T$2:$T$4001,"&lt;="&amp;'Settings'!$D$34),2),0)</f>
        <v/>
      </c>
    </row>
    <row r="168">
      <c r="A168">
        <f>IF(AE168=1,TRIM(TRIM('Roster'!B168)&amp;" "&amp;TRIM('Roster'!C168)),"")</f>
        <v/>
      </c>
      <c r="B168">
        <f>IF(AE168=1,IF(AN168="","(no teacher)",AN168&amp;" – "&amp;C168),"")</f>
        <v/>
      </c>
      <c r="C168">
        <f>IF(AE168=1,TRIM('Roster'!D168&amp;""),"")</f>
        <v/>
      </c>
      <c r="D168" s="48">
        <f>IF(AE168=1,ROUND(SUMIFS('All Donations'!$S$2:$S$4001,'All Donations'!$R$2:$R$4001,AD168),2),"")</f>
        <v/>
      </c>
      <c r="E168" s="48">
        <f>IF(AE168=1,ROUND(SUMIFS('All Donations'!$S$2:$S$4001,'All Donations'!$R$2:$R$4001,AD168,'All Donations'!$G$2:$G$4001,"OneCause"),2),"")</f>
        <v/>
      </c>
      <c r="F168" s="48">
        <f>IF(AE168=1,D168-E168,"")</f>
        <v/>
      </c>
      <c r="G168">
        <f>IF(AE168=1,COUNTIFS('All Donations'!$R$2:$R$4001,AD168,'All Donations'!$H$2:$H$4001,"OK"),"")</f>
        <v/>
      </c>
      <c r="H168">
        <f>IF(AE168&lt;&gt;1,"",IF(D168&gt;0,"Yes",""))</f>
        <v/>
      </c>
      <c r="I168" s="49">
        <f>IF(OR($AE168&lt;&gt;1,I$1=""),"",SUMIFS('All Donations'!$S$2:$S$4001,'All Donations'!$R$2:$R$4001,$AD168,'All Donations'!$T$2:$T$4001,I$1))</f>
        <v/>
      </c>
      <c r="J168" s="49">
        <f>IF(OR($AE168&lt;&gt;1,J$1=""),"",SUMIFS('All Donations'!$S$2:$S$4001,'All Donations'!$R$2:$R$4001,$AD168,'All Donations'!$T$2:$T$4001,J$1))</f>
        <v/>
      </c>
      <c r="K168" s="49">
        <f>IF(OR($AE168&lt;&gt;1,K$1=""),"",SUMIFS('All Donations'!$S$2:$S$4001,'All Donations'!$R$2:$R$4001,$AD168,'All Donations'!$T$2:$T$4001,K$1))</f>
        <v/>
      </c>
      <c r="L168" s="49">
        <f>IF(OR($AE168&lt;&gt;1,L$1=""),"",SUMIFS('All Donations'!$S$2:$S$4001,'All Donations'!$R$2:$R$4001,$AD168,'All Donations'!$T$2:$T$4001,L$1))</f>
        <v/>
      </c>
      <c r="M168" s="49">
        <f>IF(OR($AE168&lt;&gt;1,M$1=""),"",SUMIFS('All Donations'!$S$2:$S$4001,'All Donations'!$R$2:$R$4001,$AD168,'All Donations'!$T$2:$T$4001,M$1))</f>
        <v/>
      </c>
      <c r="N168" s="49">
        <f>IF(OR($AE168&lt;&gt;1,N$1=""),"",SUMIFS('All Donations'!$S$2:$S$4001,'All Donations'!$R$2:$R$4001,$AD168,'All Donations'!$T$2:$T$4001,N$1))</f>
        <v/>
      </c>
      <c r="O168" s="49">
        <f>IF(OR($AE168&lt;&gt;1,O$1=""),"",SUMIFS('All Donations'!$S$2:$S$4001,'All Donations'!$R$2:$R$4001,$AD168,'All Donations'!$T$2:$T$4001,O$1))</f>
        <v/>
      </c>
      <c r="P168" s="49">
        <f>IF(OR($AE168&lt;&gt;1,P$1=""),"",SUMIFS('All Donations'!$S$2:$S$4001,'All Donations'!$R$2:$R$4001,$AD168,'All Donations'!$T$2:$T$4001,P$1))</f>
        <v/>
      </c>
      <c r="Q168" s="49">
        <f>IF(OR($AE168&lt;&gt;1,Q$1=""),"",SUMIFS('All Donations'!$S$2:$S$4001,'All Donations'!$R$2:$R$4001,$AD168,'All Donations'!$T$2:$T$4001,Q$1))</f>
        <v/>
      </c>
      <c r="R168" s="49">
        <f>IF(OR($AE168&lt;&gt;1,R$1=""),"",SUMIFS('All Donations'!$S$2:$S$4001,'All Donations'!$R$2:$R$4001,$AD168,'All Donations'!$T$2:$T$4001,R$1))</f>
        <v/>
      </c>
      <c r="S168" s="49">
        <f>IF(OR($AE168&lt;&gt;1,S$1=""),"",SUMIFS('All Donations'!$S$2:$S$4001,'All Donations'!$R$2:$R$4001,$AD168,'All Donations'!$T$2:$T$4001,S$1))</f>
        <v/>
      </c>
      <c r="T168" s="49">
        <f>IF(OR($AE168&lt;&gt;1,T$1=""),"",SUMIFS('All Donations'!$S$2:$S$4001,'All Donations'!$R$2:$R$4001,$AD168,'All Donations'!$T$2:$T$4001,T$1))</f>
        <v/>
      </c>
      <c r="U168" s="49">
        <f>IF(OR($AE168&lt;&gt;1,U$1=""),"",SUMIFS('All Donations'!$S$2:$S$4001,'All Donations'!$R$2:$R$4001,$AD168,'All Donations'!$T$2:$T$4001,U$1))</f>
        <v/>
      </c>
      <c r="V168" s="49">
        <f>IF(OR($AE168&lt;&gt;1,V$1=""),"",SUMIFS('All Donations'!$S$2:$S$4001,'All Donations'!$R$2:$R$4001,$AD168,'All Donations'!$T$2:$T$4001,V$1))</f>
        <v/>
      </c>
      <c r="W168" s="49">
        <f>IF(OR($AE168&lt;&gt;1,W$1=""),"",SUMIFS('All Donations'!$S$2:$S$4001,'All Donations'!$R$2:$R$4001,$AD168,'All Donations'!$T$2:$T$4001,W$1))</f>
        <v/>
      </c>
      <c r="X168" s="49">
        <f>IF(OR($AE168&lt;&gt;1,X$1=""),"",SUMIFS('All Donations'!$S$2:$S$4001,'All Donations'!$R$2:$R$4001,$AD168,'All Donations'!$T$2:$T$4001,X$1))</f>
        <v/>
      </c>
      <c r="Y168" s="49">
        <f>IF(OR($AE168&lt;&gt;1,Y$1=""),"",SUMIFS('All Donations'!$S$2:$S$4001,'All Donations'!$R$2:$R$4001,$AD168,'All Donations'!$T$2:$T$4001,Y$1))</f>
        <v/>
      </c>
      <c r="Z168" s="49">
        <f>IF(OR($AE168&lt;&gt;1,Z$1=""),"",SUMIFS('All Donations'!$S$2:$S$4001,'All Donations'!$R$2:$R$4001,$AD168,'All Donations'!$T$2:$T$4001,Z$1))</f>
        <v/>
      </c>
      <c r="AA168" s="49">
        <f>IF(OR($AE168&lt;&gt;1,AA$1=""),"",SUMIFS('All Donations'!$S$2:$S$4001,'All Donations'!$R$2:$R$4001,$AD168,'All Donations'!$T$2:$T$4001,AA$1))</f>
        <v/>
      </c>
      <c r="AB168" s="49">
        <f>IF(OR($AE168&lt;&gt;1,AB$1=""),"",SUMIFS('All Donations'!$S$2:$S$4001,'All Donations'!$R$2:$R$4001,$AD168,'All Donations'!$T$2:$T$4001,AB$1))</f>
        <v/>
      </c>
      <c r="AC168" s="49">
        <f>IF(OR($AE168&lt;&gt;1,AC$1=""),"",SUMIFS('All Donations'!$S$2:$S$4001,'All Donations'!$R$2:$R$4001,$AD168,'All Donations'!$T$2:$T$4001,AC$1))</f>
        <v/>
      </c>
      <c r="AD168">
        <f>IF(AE168=1,'Roster'!A168,"")</f>
        <v/>
      </c>
      <c r="AE168">
        <f>IF(TRIM('Roster'!B168&amp;'Roster'!C168)&lt;&gt;"",1,0)</f>
        <v/>
      </c>
      <c r="AF168">
        <f>IF(AE168=1,LOWER(A168),"#")</f>
        <v/>
      </c>
      <c r="AG168">
        <f>IF(AE168=1,LOWER(TRIM(TRIM('Roster'!C168)&amp;", "&amp;TRIM('Roster'!B168))),"#")</f>
        <v/>
      </c>
      <c r="AH168">
        <f>IF(AND(AE168=1,TRIM('Roster'!F168)&lt;&gt;""),LOWER(TRIM('Roster'!F168)),"#")</f>
        <v/>
      </c>
      <c r="AI168">
        <f>IF(AE168=1,IF(MATCH(B168,$B$2:$B$701,0)=ROW()-1,1,0),0)</f>
        <v/>
      </c>
      <c r="AJ168">
        <f>AJ167+AI168</f>
        <v/>
      </c>
      <c r="AK168">
        <f>IF(AE168=1,D168+(1000-ROW())/10^7,-1)</f>
        <v/>
      </c>
      <c r="AL168">
        <f>IF(AE168=1,TRIM('Roster'!B168)&amp;" "&amp;LEFT(TRIM('Roster'!C168),1)&amp;".","")</f>
        <v/>
      </c>
      <c r="AM168">
        <f>IF(AE168=1,TRIM('Roster'!C168)&amp;", "&amp;TRIM('Roster'!B168)&amp;" ("&amp;B168&amp;") #"&amp;AD168,"")</f>
        <v/>
      </c>
      <c r="AN168">
        <f>IF(AE168=1,TRIM('Roster'!E168),"")</f>
        <v/>
      </c>
      <c r="AO168">
        <f>IF(AE168=1,ROUND(SUMIFS('All Donations'!$S$2:$S$4001,'All Donations'!$R$2:$R$4001,AD168,'All Donations'!$T$2:$T$4001,"&gt;="&amp;'Settings'!$C$23,'All Donations'!$T$2:$T$4001,"&lt;="&amp;'Settings'!$D$23),2),0)</f>
        <v/>
      </c>
      <c r="AQ168">
        <f>IF(AE168=1,ROUND(SUMIFS('All Donations'!$S$2:$S$4001,'All Donations'!$R$2:$R$4001,AD168,'All Donations'!$T$2:$T$4001,"&gt;="&amp;'Settings'!$C$25,'All Donations'!$T$2:$T$4001,"&lt;="&amp;'Settings'!$D$25),2),0)</f>
        <v/>
      </c>
      <c r="AR168">
        <f>IF(AE168=1,ROUND(SUMIFS('All Donations'!$S$2:$S$4001,'All Donations'!$R$2:$R$4001,AD168,'All Donations'!$T$2:$T$4001,"&gt;="&amp;'Settings'!$C$26,'All Donations'!$T$2:$T$4001,"&lt;="&amp;'Settings'!$D$26),2),0)</f>
        <v/>
      </c>
      <c r="AS168">
        <f>IF(AE168=1,ROUND(SUMIFS('All Donations'!$S$2:$S$4001,'All Donations'!$R$2:$R$4001,AD168,'All Donations'!$T$2:$T$4001,"&lt;="&amp;'Settings'!$D$27),2),0)</f>
        <v/>
      </c>
      <c r="AT168">
        <f>IF(AE168=1,ROUND(SUMIFS('All Donations'!$S$2:$S$4001,'All Donations'!$R$2:$R$4001,AD168,'All Donations'!$T$2:$T$4001,"&gt;="&amp;'Settings'!$C$28,'All Donations'!$T$2:$T$4001,"&lt;="&amp;'Settings'!$D$28),2),0)</f>
        <v/>
      </c>
      <c r="AU168">
        <f>IF(AE168=1,ROUND(SUMIFS('All Donations'!$S$2:$S$4001,'All Donations'!$R$2:$R$4001,AD168,'All Donations'!$T$2:$T$4001,"&gt;="&amp;'Settings'!$C$29,'All Donations'!$T$2:$T$4001,"&lt;="&amp;'Settings'!$D$29),2),0)</f>
        <v/>
      </c>
      <c r="AV168">
        <f>IF(AE168=1,ROUND(SUMIFS('All Donations'!$S$2:$S$4001,'All Donations'!$R$2:$R$4001,AD168,'All Donations'!$T$2:$T$4001,"&lt;="&amp;'Settings'!$D$30),2),0)</f>
        <v/>
      </c>
      <c r="AZ168">
        <f>IF(AE168=1,ROUND(SUMIFS('All Donations'!$S$2:$S$4001,'All Donations'!$R$2:$R$4001,AD168,'All Donations'!$T$2:$T$4001,"&lt;="&amp;'Settings'!$D$34),2),0)</f>
        <v/>
      </c>
    </row>
    <row r="169">
      <c r="A169">
        <f>IF(AE169=1,TRIM(TRIM('Roster'!B169)&amp;" "&amp;TRIM('Roster'!C169)),"")</f>
        <v/>
      </c>
      <c r="B169">
        <f>IF(AE169=1,IF(AN169="","(no teacher)",AN169&amp;" – "&amp;C169),"")</f>
        <v/>
      </c>
      <c r="C169">
        <f>IF(AE169=1,TRIM('Roster'!D169&amp;""),"")</f>
        <v/>
      </c>
      <c r="D169" s="48">
        <f>IF(AE169=1,ROUND(SUMIFS('All Donations'!$S$2:$S$4001,'All Donations'!$R$2:$R$4001,AD169),2),"")</f>
        <v/>
      </c>
      <c r="E169" s="48">
        <f>IF(AE169=1,ROUND(SUMIFS('All Donations'!$S$2:$S$4001,'All Donations'!$R$2:$R$4001,AD169,'All Donations'!$G$2:$G$4001,"OneCause"),2),"")</f>
        <v/>
      </c>
      <c r="F169" s="48">
        <f>IF(AE169=1,D169-E169,"")</f>
        <v/>
      </c>
      <c r="G169">
        <f>IF(AE169=1,COUNTIFS('All Donations'!$R$2:$R$4001,AD169,'All Donations'!$H$2:$H$4001,"OK"),"")</f>
        <v/>
      </c>
      <c r="H169">
        <f>IF(AE169&lt;&gt;1,"",IF(D169&gt;0,"Yes",""))</f>
        <v/>
      </c>
      <c r="I169" s="49">
        <f>IF(OR($AE169&lt;&gt;1,I$1=""),"",SUMIFS('All Donations'!$S$2:$S$4001,'All Donations'!$R$2:$R$4001,$AD169,'All Donations'!$T$2:$T$4001,I$1))</f>
        <v/>
      </c>
      <c r="J169" s="49">
        <f>IF(OR($AE169&lt;&gt;1,J$1=""),"",SUMIFS('All Donations'!$S$2:$S$4001,'All Donations'!$R$2:$R$4001,$AD169,'All Donations'!$T$2:$T$4001,J$1))</f>
        <v/>
      </c>
      <c r="K169" s="49">
        <f>IF(OR($AE169&lt;&gt;1,K$1=""),"",SUMIFS('All Donations'!$S$2:$S$4001,'All Donations'!$R$2:$R$4001,$AD169,'All Donations'!$T$2:$T$4001,K$1))</f>
        <v/>
      </c>
      <c r="L169" s="49">
        <f>IF(OR($AE169&lt;&gt;1,L$1=""),"",SUMIFS('All Donations'!$S$2:$S$4001,'All Donations'!$R$2:$R$4001,$AD169,'All Donations'!$T$2:$T$4001,L$1))</f>
        <v/>
      </c>
      <c r="M169" s="49">
        <f>IF(OR($AE169&lt;&gt;1,M$1=""),"",SUMIFS('All Donations'!$S$2:$S$4001,'All Donations'!$R$2:$R$4001,$AD169,'All Donations'!$T$2:$T$4001,M$1))</f>
        <v/>
      </c>
      <c r="N169" s="49">
        <f>IF(OR($AE169&lt;&gt;1,N$1=""),"",SUMIFS('All Donations'!$S$2:$S$4001,'All Donations'!$R$2:$R$4001,$AD169,'All Donations'!$T$2:$T$4001,N$1))</f>
        <v/>
      </c>
      <c r="O169" s="49">
        <f>IF(OR($AE169&lt;&gt;1,O$1=""),"",SUMIFS('All Donations'!$S$2:$S$4001,'All Donations'!$R$2:$R$4001,$AD169,'All Donations'!$T$2:$T$4001,O$1))</f>
        <v/>
      </c>
      <c r="P169" s="49">
        <f>IF(OR($AE169&lt;&gt;1,P$1=""),"",SUMIFS('All Donations'!$S$2:$S$4001,'All Donations'!$R$2:$R$4001,$AD169,'All Donations'!$T$2:$T$4001,P$1))</f>
        <v/>
      </c>
      <c r="Q169" s="49">
        <f>IF(OR($AE169&lt;&gt;1,Q$1=""),"",SUMIFS('All Donations'!$S$2:$S$4001,'All Donations'!$R$2:$R$4001,$AD169,'All Donations'!$T$2:$T$4001,Q$1))</f>
        <v/>
      </c>
      <c r="R169" s="49">
        <f>IF(OR($AE169&lt;&gt;1,R$1=""),"",SUMIFS('All Donations'!$S$2:$S$4001,'All Donations'!$R$2:$R$4001,$AD169,'All Donations'!$T$2:$T$4001,R$1))</f>
        <v/>
      </c>
      <c r="S169" s="49">
        <f>IF(OR($AE169&lt;&gt;1,S$1=""),"",SUMIFS('All Donations'!$S$2:$S$4001,'All Donations'!$R$2:$R$4001,$AD169,'All Donations'!$T$2:$T$4001,S$1))</f>
        <v/>
      </c>
      <c r="T169" s="49">
        <f>IF(OR($AE169&lt;&gt;1,T$1=""),"",SUMIFS('All Donations'!$S$2:$S$4001,'All Donations'!$R$2:$R$4001,$AD169,'All Donations'!$T$2:$T$4001,T$1))</f>
        <v/>
      </c>
      <c r="U169" s="49">
        <f>IF(OR($AE169&lt;&gt;1,U$1=""),"",SUMIFS('All Donations'!$S$2:$S$4001,'All Donations'!$R$2:$R$4001,$AD169,'All Donations'!$T$2:$T$4001,U$1))</f>
        <v/>
      </c>
      <c r="V169" s="49">
        <f>IF(OR($AE169&lt;&gt;1,V$1=""),"",SUMIFS('All Donations'!$S$2:$S$4001,'All Donations'!$R$2:$R$4001,$AD169,'All Donations'!$T$2:$T$4001,V$1))</f>
        <v/>
      </c>
      <c r="W169" s="49">
        <f>IF(OR($AE169&lt;&gt;1,W$1=""),"",SUMIFS('All Donations'!$S$2:$S$4001,'All Donations'!$R$2:$R$4001,$AD169,'All Donations'!$T$2:$T$4001,W$1))</f>
        <v/>
      </c>
      <c r="X169" s="49">
        <f>IF(OR($AE169&lt;&gt;1,X$1=""),"",SUMIFS('All Donations'!$S$2:$S$4001,'All Donations'!$R$2:$R$4001,$AD169,'All Donations'!$T$2:$T$4001,X$1))</f>
        <v/>
      </c>
      <c r="Y169" s="49">
        <f>IF(OR($AE169&lt;&gt;1,Y$1=""),"",SUMIFS('All Donations'!$S$2:$S$4001,'All Donations'!$R$2:$R$4001,$AD169,'All Donations'!$T$2:$T$4001,Y$1))</f>
        <v/>
      </c>
      <c r="Z169" s="49">
        <f>IF(OR($AE169&lt;&gt;1,Z$1=""),"",SUMIFS('All Donations'!$S$2:$S$4001,'All Donations'!$R$2:$R$4001,$AD169,'All Donations'!$T$2:$T$4001,Z$1))</f>
        <v/>
      </c>
      <c r="AA169" s="49">
        <f>IF(OR($AE169&lt;&gt;1,AA$1=""),"",SUMIFS('All Donations'!$S$2:$S$4001,'All Donations'!$R$2:$R$4001,$AD169,'All Donations'!$T$2:$T$4001,AA$1))</f>
        <v/>
      </c>
      <c r="AB169" s="49">
        <f>IF(OR($AE169&lt;&gt;1,AB$1=""),"",SUMIFS('All Donations'!$S$2:$S$4001,'All Donations'!$R$2:$R$4001,$AD169,'All Donations'!$T$2:$T$4001,AB$1))</f>
        <v/>
      </c>
      <c r="AC169" s="49">
        <f>IF(OR($AE169&lt;&gt;1,AC$1=""),"",SUMIFS('All Donations'!$S$2:$S$4001,'All Donations'!$R$2:$R$4001,$AD169,'All Donations'!$T$2:$T$4001,AC$1))</f>
        <v/>
      </c>
      <c r="AD169">
        <f>IF(AE169=1,'Roster'!A169,"")</f>
        <v/>
      </c>
      <c r="AE169">
        <f>IF(TRIM('Roster'!B169&amp;'Roster'!C169)&lt;&gt;"",1,0)</f>
        <v/>
      </c>
      <c r="AF169">
        <f>IF(AE169=1,LOWER(A169),"#")</f>
        <v/>
      </c>
      <c r="AG169">
        <f>IF(AE169=1,LOWER(TRIM(TRIM('Roster'!C169)&amp;", "&amp;TRIM('Roster'!B169))),"#")</f>
        <v/>
      </c>
      <c r="AH169">
        <f>IF(AND(AE169=1,TRIM('Roster'!F169)&lt;&gt;""),LOWER(TRIM('Roster'!F169)),"#")</f>
        <v/>
      </c>
      <c r="AI169">
        <f>IF(AE169=1,IF(MATCH(B169,$B$2:$B$701,0)=ROW()-1,1,0),0)</f>
        <v/>
      </c>
      <c r="AJ169">
        <f>AJ168+AI169</f>
        <v/>
      </c>
      <c r="AK169">
        <f>IF(AE169=1,D169+(1000-ROW())/10^7,-1)</f>
        <v/>
      </c>
      <c r="AL169">
        <f>IF(AE169=1,TRIM('Roster'!B169)&amp;" "&amp;LEFT(TRIM('Roster'!C169),1)&amp;".","")</f>
        <v/>
      </c>
      <c r="AM169">
        <f>IF(AE169=1,TRIM('Roster'!C169)&amp;", "&amp;TRIM('Roster'!B169)&amp;" ("&amp;B169&amp;") #"&amp;AD169,"")</f>
        <v/>
      </c>
      <c r="AN169">
        <f>IF(AE169=1,TRIM('Roster'!E169),"")</f>
        <v/>
      </c>
      <c r="AO169">
        <f>IF(AE169=1,ROUND(SUMIFS('All Donations'!$S$2:$S$4001,'All Donations'!$R$2:$R$4001,AD169,'All Donations'!$T$2:$T$4001,"&gt;="&amp;'Settings'!$C$23,'All Donations'!$T$2:$T$4001,"&lt;="&amp;'Settings'!$D$23),2),0)</f>
        <v/>
      </c>
      <c r="AQ169">
        <f>IF(AE169=1,ROUND(SUMIFS('All Donations'!$S$2:$S$4001,'All Donations'!$R$2:$R$4001,AD169,'All Donations'!$T$2:$T$4001,"&gt;="&amp;'Settings'!$C$25,'All Donations'!$T$2:$T$4001,"&lt;="&amp;'Settings'!$D$25),2),0)</f>
        <v/>
      </c>
      <c r="AR169">
        <f>IF(AE169=1,ROUND(SUMIFS('All Donations'!$S$2:$S$4001,'All Donations'!$R$2:$R$4001,AD169,'All Donations'!$T$2:$T$4001,"&gt;="&amp;'Settings'!$C$26,'All Donations'!$T$2:$T$4001,"&lt;="&amp;'Settings'!$D$26),2),0)</f>
        <v/>
      </c>
      <c r="AS169">
        <f>IF(AE169=1,ROUND(SUMIFS('All Donations'!$S$2:$S$4001,'All Donations'!$R$2:$R$4001,AD169,'All Donations'!$T$2:$T$4001,"&lt;="&amp;'Settings'!$D$27),2),0)</f>
        <v/>
      </c>
      <c r="AT169">
        <f>IF(AE169=1,ROUND(SUMIFS('All Donations'!$S$2:$S$4001,'All Donations'!$R$2:$R$4001,AD169,'All Donations'!$T$2:$T$4001,"&gt;="&amp;'Settings'!$C$28,'All Donations'!$T$2:$T$4001,"&lt;="&amp;'Settings'!$D$28),2),0)</f>
        <v/>
      </c>
      <c r="AU169">
        <f>IF(AE169=1,ROUND(SUMIFS('All Donations'!$S$2:$S$4001,'All Donations'!$R$2:$R$4001,AD169,'All Donations'!$T$2:$T$4001,"&gt;="&amp;'Settings'!$C$29,'All Donations'!$T$2:$T$4001,"&lt;="&amp;'Settings'!$D$29),2),0)</f>
        <v/>
      </c>
      <c r="AV169">
        <f>IF(AE169=1,ROUND(SUMIFS('All Donations'!$S$2:$S$4001,'All Donations'!$R$2:$R$4001,AD169,'All Donations'!$T$2:$T$4001,"&lt;="&amp;'Settings'!$D$30),2),0)</f>
        <v/>
      </c>
      <c r="AZ169">
        <f>IF(AE169=1,ROUND(SUMIFS('All Donations'!$S$2:$S$4001,'All Donations'!$R$2:$R$4001,AD169,'All Donations'!$T$2:$T$4001,"&lt;="&amp;'Settings'!$D$34),2),0)</f>
        <v/>
      </c>
    </row>
    <row r="170">
      <c r="A170">
        <f>IF(AE170=1,TRIM(TRIM('Roster'!B170)&amp;" "&amp;TRIM('Roster'!C170)),"")</f>
        <v/>
      </c>
      <c r="B170">
        <f>IF(AE170=1,IF(AN170="","(no teacher)",AN170&amp;" – "&amp;C170),"")</f>
        <v/>
      </c>
      <c r="C170">
        <f>IF(AE170=1,TRIM('Roster'!D170&amp;""),"")</f>
        <v/>
      </c>
      <c r="D170" s="48">
        <f>IF(AE170=1,ROUND(SUMIFS('All Donations'!$S$2:$S$4001,'All Donations'!$R$2:$R$4001,AD170),2),"")</f>
        <v/>
      </c>
      <c r="E170" s="48">
        <f>IF(AE170=1,ROUND(SUMIFS('All Donations'!$S$2:$S$4001,'All Donations'!$R$2:$R$4001,AD170,'All Donations'!$G$2:$G$4001,"OneCause"),2),"")</f>
        <v/>
      </c>
      <c r="F170" s="48">
        <f>IF(AE170=1,D170-E170,"")</f>
        <v/>
      </c>
      <c r="G170">
        <f>IF(AE170=1,COUNTIFS('All Donations'!$R$2:$R$4001,AD170,'All Donations'!$H$2:$H$4001,"OK"),"")</f>
        <v/>
      </c>
      <c r="H170">
        <f>IF(AE170&lt;&gt;1,"",IF(D170&gt;0,"Yes",""))</f>
        <v/>
      </c>
      <c r="I170" s="49">
        <f>IF(OR($AE170&lt;&gt;1,I$1=""),"",SUMIFS('All Donations'!$S$2:$S$4001,'All Donations'!$R$2:$R$4001,$AD170,'All Donations'!$T$2:$T$4001,I$1))</f>
        <v/>
      </c>
      <c r="J170" s="49">
        <f>IF(OR($AE170&lt;&gt;1,J$1=""),"",SUMIFS('All Donations'!$S$2:$S$4001,'All Donations'!$R$2:$R$4001,$AD170,'All Donations'!$T$2:$T$4001,J$1))</f>
        <v/>
      </c>
      <c r="K170" s="49">
        <f>IF(OR($AE170&lt;&gt;1,K$1=""),"",SUMIFS('All Donations'!$S$2:$S$4001,'All Donations'!$R$2:$R$4001,$AD170,'All Donations'!$T$2:$T$4001,K$1))</f>
        <v/>
      </c>
      <c r="L170" s="49">
        <f>IF(OR($AE170&lt;&gt;1,L$1=""),"",SUMIFS('All Donations'!$S$2:$S$4001,'All Donations'!$R$2:$R$4001,$AD170,'All Donations'!$T$2:$T$4001,L$1))</f>
        <v/>
      </c>
      <c r="M170" s="49">
        <f>IF(OR($AE170&lt;&gt;1,M$1=""),"",SUMIFS('All Donations'!$S$2:$S$4001,'All Donations'!$R$2:$R$4001,$AD170,'All Donations'!$T$2:$T$4001,M$1))</f>
        <v/>
      </c>
      <c r="N170" s="49">
        <f>IF(OR($AE170&lt;&gt;1,N$1=""),"",SUMIFS('All Donations'!$S$2:$S$4001,'All Donations'!$R$2:$R$4001,$AD170,'All Donations'!$T$2:$T$4001,N$1))</f>
        <v/>
      </c>
      <c r="O170" s="49">
        <f>IF(OR($AE170&lt;&gt;1,O$1=""),"",SUMIFS('All Donations'!$S$2:$S$4001,'All Donations'!$R$2:$R$4001,$AD170,'All Donations'!$T$2:$T$4001,O$1))</f>
        <v/>
      </c>
      <c r="P170" s="49">
        <f>IF(OR($AE170&lt;&gt;1,P$1=""),"",SUMIFS('All Donations'!$S$2:$S$4001,'All Donations'!$R$2:$R$4001,$AD170,'All Donations'!$T$2:$T$4001,P$1))</f>
        <v/>
      </c>
      <c r="Q170" s="49">
        <f>IF(OR($AE170&lt;&gt;1,Q$1=""),"",SUMIFS('All Donations'!$S$2:$S$4001,'All Donations'!$R$2:$R$4001,$AD170,'All Donations'!$T$2:$T$4001,Q$1))</f>
        <v/>
      </c>
      <c r="R170" s="49">
        <f>IF(OR($AE170&lt;&gt;1,R$1=""),"",SUMIFS('All Donations'!$S$2:$S$4001,'All Donations'!$R$2:$R$4001,$AD170,'All Donations'!$T$2:$T$4001,R$1))</f>
        <v/>
      </c>
      <c r="S170" s="49">
        <f>IF(OR($AE170&lt;&gt;1,S$1=""),"",SUMIFS('All Donations'!$S$2:$S$4001,'All Donations'!$R$2:$R$4001,$AD170,'All Donations'!$T$2:$T$4001,S$1))</f>
        <v/>
      </c>
      <c r="T170" s="49">
        <f>IF(OR($AE170&lt;&gt;1,T$1=""),"",SUMIFS('All Donations'!$S$2:$S$4001,'All Donations'!$R$2:$R$4001,$AD170,'All Donations'!$T$2:$T$4001,T$1))</f>
        <v/>
      </c>
      <c r="U170" s="49">
        <f>IF(OR($AE170&lt;&gt;1,U$1=""),"",SUMIFS('All Donations'!$S$2:$S$4001,'All Donations'!$R$2:$R$4001,$AD170,'All Donations'!$T$2:$T$4001,U$1))</f>
        <v/>
      </c>
      <c r="V170" s="49">
        <f>IF(OR($AE170&lt;&gt;1,V$1=""),"",SUMIFS('All Donations'!$S$2:$S$4001,'All Donations'!$R$2:$R$4001,$AD170,'All Donations'!$T$2:$T$4001,V$1))</f>
        <v/>
      </c>
      <c r="W170" s="49">
        <f>IF(OR($AE170&lt;&gt;1,W$1=""),"",SUMIFS('All Donations'!$S$2:$S$4001,'All Donations'!$R$2:$R$4001,$AD170,'All Donations'!$T$2:$T$4001,W$1))</f>
        <v/>
      </c>
      <c r="X170" s="49">
        <f>IF(OR($AE170&lt;&gt;1,X$1=""),"",SUMIFS('All Donations'!$S$2:$S$4001,'All Donations'!$R$2:$R$4001,$AD170,'All Donations'!$T$2:$T$4001,X$1))</f>
        <v/>
      </c>
      <c r="Y170" s="49">
        <f>IF(OR($AE170&lt;&gt;1,Y$1=""),"",SUMIFS('All Donations'!$S$2:$S$4001,'All Donations'!$R$2:$R$4001,$AD170,'All Donations'!$T$2:$T$4001,Y$1))</f>
        <v/>
      </c>
      <c r="Z170" s="49">
        <f>IF(OR($AE170&lt;&gt;1,Z$1=""),"",SUMIFS('All Donations'!$S$2:$S$4001,'All Donations'!$R$2:$R$4001,$AD170,'All Donations'!$T$2:$T$4001,Z$1))</f>
        <v/>
      </c>
      <c r="AA170" s="49">
        <f>IF(OR($AE170&lt;&gt;1,AA$1=""),"",SUMIFS('All Donations'!$S$2:$S$4001,'All Donations'!$R$2:$R$4001,$AD170,'All Donations'!$T$2:$T$4001,AA$1))</f>
        <v/>
      </c>
      <c r="AB170" s="49">
        <f>IF(OR($AE170&lt;&gt;1,AB$1=""),"",SUMIFS('All Donations'!$S$2:$S$4001,'All Donations'!$R$2:$R$4001,$AD170,'All Donations'!$T$2:$T$4001,AB$1))</f>
        <v/>
      </c>
      <c r="AC170" s="49">
        <f>IF(OR($AE170&lt;&gt;1,AC$1=""),"",SUMIFS('All Donations'!$S$2:$S$4001,'All Donations'!$R$2:$R$4001,$AD170,'All Donations'!$T$2:$T$4001,AC$1))</f>
        <v/>
      </c>
      <c r="AD170">
        <f>IF(AE170=1,'Roster'!A170,"")</f>
        <v/>
      </c>
      <c r="AE170">
        <f>IF(TRIM('Roster'!B170&amp;'Roster'!C170)&lt;&gt;"",1,0)</f>
        <v/>
      </c>
      <c r="AF170">
        <f>IF(AE170=1,LOWER(A170),"#")</f>
        <v/>
      </c>
      <c r="AG170">
        <f>IF(AE170=1,LOWER(TRIM(TRIM('Roster'!C170)&amp;", "&amp;TRIM('Roster'!B170))),"#")</f>
        <v/>
      </c>
      <c r="AH170">
        <f>IF(AND(AE170=1,TRIM('Roster'!F170)&lt;&gt;""),LOWER(TRIM('Roster'!F170)),"#")</f>
        <v/>
      </c>
      <c r="AI170">
        <f>IF(AE170=1,IF(MATCH(B170,$B$2:$B$701,0)=ROW()-1,1,0),0)</f>
        <v/>
      </c>
      <c r="AJ170">
        <f>AJ169+AI170</f>
        <v/>
      </c>
      <c r="AK170">
        <f>IF(AE170=1,D170+(1000-ROW())/10^7,-1)</f>
        <v/>
      </c>
      <c r="AL170">
        <f>IF(AE170=1,TRIM('Roster'!B170)&amp;" "&amp;LEFT(TRIM('Roster'!C170),1)&amp;".","")</f>
        <v/>
      </c>
      <c r="AM170">
        <f>IF(AE170=1,TRIM('Roster'!C170)&amp;", "&amp;TRIM('Roster'!B170)&amp;" ("&amp;B170&amp;") #"&amp;AD170,"")</f>
        <v/>
      </c>
      <c r="AN170">
        <f>IF(AE170=1,TRIM('Roster'!E170),"")</f>
        <v/>
      </c>
      <c r="AO170">
        <f>IF(AE170=1,ROUND(SUMIFS('All Donations'!$S$2:$S$4001,'All Donations'!$R$2:$R$4001,AD170,'All Donations'!$T$2:$T$4001,"&gt;="&amp;'Settings'!$C$23,'All Donations'!$T$2:$T$4001,"&lt;="&amp;'Settings'!$D$23),2),0)</f>
        <v/>
      </c>
      <c r="AQ170">
        <f>IF(AE170=1,ROUND(SUMIFS('All Donations'!$S$2:$S$4001,'All Donations'!$R$2:$R$4001,AD170,'All Donations'!$T$2:$T$4001,"&gt;="&amp;'Settings'!$C$25,'All Donations'!$T$2:$T$4001,"&lt;="&amp;'Settings'!$D$25),2),0)</f>
        <v/>
      </c>
      <c r="AR170">
        <f>IF(AE170=1,ROUND(SUMIFS('All Donations'!$S$2:$S$4001,'All Donations'!$R$2:$R$4001,AD170,'All Donations'!$T$2:$T$4001,"&gt;="&amp;'Settings'!$C$26,'All Donations'!$T$2:$T$4001,"&lt;="&amp;'Settings'!$D$26),2),0)</f>
        <v/>
      </c>
      <c r="AS170">
        <f>IF(AE170=1,ROUND(SUMIFS('All Donations'!$S$2:$S$4001,'All Donations'!$R$2:$R$4001,AD170,'All Donations'!$T$2:$T$4001,"&lt;="&amp;'Settings'!$D$27),2),0)</f>
        <v/>
      </c>
      <c r="AT170">
        <f>IF(AE170=1,ROUND(SUMIFS('All Donations'!$S$2:$S$4001,'All Donations'!$R$2:$R$4001,AD170,'All Donations'!$T$2:$T$4001,"&gt;="&amp;'Settings'!$C$28,'All Donations'!$T$2:$T$4001,"&lt;="&amp;'Settings'!$D$28),2),0)</f>
        <v/>
      </c>
      <c r="AU170">
        <f>IF(AE170=1,ROUND(SUMIFS('All Donations'!$S$2:$S$4001,'All Donations'!$R$2:$R$4001,AD170,'All Donations'!$T$2:$T$4001,"&gt;="&amp;'Settings'!$C$29,'All Donations'!$T$2:$T$4001,"&lt;="&amp;'Settings'!$D$29),2),0)</f>
        <v/>
      </c>
      <c r="AV170">
        <f>IF(AE170=1,ROUND(SUMIFS('All Donations'!$S$2:$S$4001,'All Donations'!$R$2:$R$4001,AD170,'All Donations'!$T$2:$T$4001,"&lt;="&amp;'Settings'!$D$30),2),0)</f>
        <v/>
      </c>
      <c r="AZ170">
        <f>IF(AE170=1,ROUND(SUMIFS('All Donations'!$S$2:$S$4001,'All Donations'!$R$2:$R$4001,AD170,'All Donations'!$T$2:$T$4001,"&lt;="&amp;'Settings'!$D$34),2),0)</f>
        <v/>
      </c>
    </row>
    <row r="171">
      <c r="A171">
        <f>IF(AE171=1,TRIM(TRIM('Roster'!B171)&amp;" "&amp;TRIM('Roster'!C171)),"")</f>
        <v/>
      </c>
      <c r="B171">
        <f>IF(AE171=1,IF(AN171="","(no teacher)",AN171&amp;" – "&amp;C171),"")</f>
        <v/>
      </c>
      <c r="C171">
        <f>IF(AE171=1,TRIM('Roster'!D171&amp;""),"")</f>
        <v/>
      </c>
      <c r="D171" s="48">
        <f>IF(AE171=1,ROUND(SUMIFS('All Donations'!$S$2:$S$4001,'All Donations'!$R$2:$R$4001,AD171),2),"")</f>
        <v/>
      </c>
      <c r="E171" s="48">
        <f>IF(AE171=1,ROUND(SUMIFS('All Donations'!$S$2:$S$4001,'All Donations'!$R$2:$R$4001,AD171,'All Donations'!$G$2:$G$4001,"OneCause"),2),"")</f>
        <v/>
      </c>
      <c r="F171" s="48">
        <f>IF(AE171=1,D171-E171,"")</f>
        <v/>
      </c>
      <c r="G171">
        <f>IF(AE171=1,COUNTIFS('All Donations'!$R$2:$R$4001,AD171,'All Donations'!$H$2:$H$4001,"OK"),"")</f>
        <v/>
      </c>
      <c r="H171">
        <f>IF(AE171&lt;&gt;1,"",IF(D171&gt;0,"Yes",""))</f>
        <v/>
      </c>
      <c r="I171" s="49">
        <f>IF(OR($AE171&lt;&gt;1,I$1=""),"",SUMIFS('All Donations'!$S$2:$S$4001,'All Donations'!$R$2:$R$4001,$AD171,'All Donations'!$T$2:$T$4001,I$1))</f>
        <v/>
      </c>
      <c r="J171" s="49">
        <f>IF(OR($AE171&lt;&gt;1,J$1=""),"",SUMIFS('All Donations'!$S$2:$S$4001,'All Donations'!$R$2:$R$4001,$AD171,'All Donations'!$T$2:$T$4001,J$1))</f>
        <v/>
      </c>
      <c r="K171" s="49">
        <f>IF(OR($AE171&lt;&gt;1,K$1=""),"",SUMIFS('All Donations'!$S$2:$S$4001,'All Donations'!$R$2:$R$4001,$AD171,'All Donations'!$T$2:$T$4001,K$1))</f>
        <v/>
      </c>
      <c r="L171" s="49">
        <f>IF(OR($AE171&lt;&gt;1,L$1=""),"",SUMIFS('All Donations'!$S$2:$S$4001,'All Donations'!$R$2:$R$4001,$AD171,'All Donations'!$T$2:$T$4001,L$1))</f>
        <v/>
      </c>
      <c r="M171" s="49">
        <f>IF(OR($AE171&lt;&gt;1,M$1=""),"",SUMIFS('All Donations'!$S$2:$S$4001,'All Donations'!$R$2:$R$4001,$AD171,'All Donations'!$T$2:$T$4001,M$1))</f>
        <v/>
      </c>
      <c r="N171" s="49">
        <f>IF(OR($AE171&lt;&gt;1,N$1=""),"",SUMIFS('All Donations'!$S$2:$S$4001,'All Donations'!$R$2:$R$4001,$AD171,'All Donations'!$T$2:$T$4001,N$1))</f>
        <v/>
      </c>
      <c r="O171" s="49">
        <f>IF(OR($AE171&lt;&gt;1,O$1=""),"",SUMIFS('All Donations'!$S$2:$S$4001,'All Donations'!$R$2:$R$4001,$AD171,'All Donations'!$T$2:$T$4001,O$1))</f>
        <v/>
      </c>
      <c r="P171" s="49">
        <f>IF(OR($AE171&lt;&gt;1,P$1=""),"",SUMIFS('All Donations'!$S$2:$S$4001,'All Donations'!$R$2:$R$4001,$AD171,'All Donations'!$T$2:$T$4001,P$1))</f>
        <v/>
      </c>
      <c r="Q171" s="49">
        <f>IF(OR($AE171&lt;&gt;1,Q$1=""),"",SUMIFS('All Donations'!$S$2:$S$4001,'All Donations'!$R$2:$R$4001,$AD171,'All Donations'!$T$2:$T$4001,Q$1))</f>
        <v/>
      </c>
      <c r="R171" s="49">
        <f>IF(OR($AE171&lt;&gt;1,R$1=""),"",SUMIFS('All Donations'!$S$2:$S$4001,'All Donations'!$R$2:$R$4001,$AD171,'All Donations'!$T$2:$T$4001,R$1))</f>
        <v/>
      </c>
      <c r="S171" s="49">
        <f>IF(OR($AE171&lt;&gt;1,S$1=""),"",SUMIFS('All Donations'!$S$2:$S$4001,'All Donations'!$R$2:$R$4001,$AD171,'All Donations'!$T$2:$T$4001,S$1))</f>
        <v/>
      </c>
      <c r="T171" s="49">
        <f>IF(OR($AE171&lt;&gt;1,T$1=""),"",SUMIFS('All Donations'!$S$2:$S$4001,'All Donations'!$R$2:$R$4001,$AD171,'All Donations'!$T$2:$T$4001,T$1))</f>
        <v/>
      </c>
      <c r="U171" s="49">
        <f>IF(OR($AE171&lt;&gt;1,U$1=""),"",SUMIFS('All Donations'!$S$2:$S$4001,'All Donations'!$R$2:$R$4001,$AD171,'All Donations'!$T$2:$T$4001,U$1))</f>
        <v/>
      </c>
      <c r="V171" s="49">
        <f>IF(OR($AE171&lt;&gt;1,V$1=""),"",SUMIFS('All Donations'!$S$2:$S$4001,'All Donations'!$R$2:$R$4001,$AD171,'All Donations'!$T$2:$T$4001,V$1))</f>
        <v/>
      </c>
      <c r="W171" s="49">
        <f>IF(OR($AE171&lt;&gt;1,W$1=""),"",SUMIFS('All Donations'!$S$2:$S$4001,'All Donations'!$R$2:$R$4001,$AD171,'All Donations'!$T$2:$T$4001,W$1))</f>
        <v/>
      </c>
      <c r="X171" s="49">
        <f>IF(OR($AE171&lt;&gt;1,X$1=""),"",SUMIFS('All Donations'!$S$2:$S$4001,'All Donations'!$R$2:$R$4001,$AD171,'All Donations'!$T$2:$T$4001,X$1))</f>
        <v/>
      </c>
      <c r="Y171" s="49">
        <f>IF(OR($AE171&lt;&gt;1,Y$1=""),"",SUMIFS('All Donations'!$S$2:$S$4001,'All Donations'!$R$2:$R$4001,$AD171,'All Donations'!$T$2:$T$4001,Y$1))</f>
        <v/>
      </c>
      <c r="Z171" s="49">
        <f>IF(OR($AE171&lt;&gt;1,Z$1=""),"",SUMIFS('All Donations'!$S$2:$S$4001,'All Donations'!$R$2:$R$4001,$AD171,'All Donations'!$T$2:$T$4001,Z$1))</f>
        <v/>
      </c>
      <c r="AA171" s="49">
        <f>IF(OR($AE171&lt;&gt;1,AA$1=""),"",SUMIFS('All Donations'!$S$2:$S$4001,'All Donations'!$R$2:$R$4001,$AD171,'All Donations'!$T$2:$T$4001,AA$1))</f>
        <v/>
      </c>
      <c r="AB171" s="49">
        <f>IF(OR($AE171&lt;&gt;1,AB$1=""),"",SUMIFS('All Donations'!$S$2:$S$4001,'All Donations'!$R$2:$R$4001,$AD171,'All Donations'!$T$2:$T$4001,AB$1))</f>
        <v/>
      </c>
      <c r="AC171" s="49">
        <f>IF(OR($AE171&lt;&gt;1,AC$1=""),"",SUMIFS('All Donations'!$S$2:$S$4001,'All Donations'!$R$2:$R$4001,$AD171,'All Donations'!$T$2:$T$4001,AC$1))</f>
        <v/>
      </c>
      <c r="AD171">
        <f>IF(AE171=1,'Roster'!A171,"")</f>
        <v/>
      </c>
      <c r="AE171">
        <f>IF(TRIM('Roster'!B171&amp;'Roster'!C171)&lt;&gt;"",1,0)</f>
        <v/>
      </c>
      <c r="AF171">
        <f>IF(AE171=1,LOWER(A171),"#")</f>
        <v/>
      </c>
      <c r="AG171">
        <f>IF(AE171=1,LOWER(TRIM(TRIM('Roster'!C171)&amp;", "&amp;TRIM('Roster'!B171))),"#")</f>
        <v/>
      </c>
      <c r="AH171">
        <f>IF(AND(AE171=1,TRIM('Roster'!F171)&lt;&gt;""),LOWER(TRIM('Roster'!F171)),"#")</f>
        <v/>
      </c>
      <c r="AI171">
        <f>IF(AE171=1,IF(MATCH(B171,$B$2:$B$701,0)=ROW()-1,1,0),0)</f>
        <v/>
      </c>
      <c r="AJ171">
        <f>AJ170+AI171</f>
        <v/>
      </c>
      <c r="AK171">
        <f>IF(AE171=1,D171+(1000-ROW())/10^7,-1)</f>
        <v/>
      </c>
      <c r="AL171">
        <f>IF(AE171=1,TRIM('Roster'!B171)&amp;" "&amp;LEFT(TRIM('Roster'!C171),1)&amp;".","")</f>
        <v/>
      </c>
      <c r="AM171">
        <f>IF(AE171=1,TRIM('Roster'!C171)&amp;", "&amp;TRIM('Roster'!B171)&amp;" ("&amp;B171&amp;") #"&amp;AD171,"")</f>
        <v/>
      </c>
      <c r="AN171">
        <f>IF(AE171=1,TRIM('Roster'!E171),"")</f>
        <v/>
      </c>
      <c r="AO171">
        <f>IF(AE171=1,ROUND(SUMIFS('All Donations'!$S$2:$S$4001,'All Donations'!$R$2:$R$4001,AD171,'All Donations'!$T$2:$T$4001,"&gt;="&amp;'Settings'!$C$23,'All Donations'!$T$2:$T$4001,"&lt;="&amp;'Settings'!$D$23),2),0)</f>
        <v/>
      </c>
      <c r="AQ171">
        <f>IF(AE171=1,ROUND(SUMIFS('All Donations'!$S$2:$S$4001,'All Donations'!$R$2:$R$4001,AD171,'All Donations'!$T$2:$T$4001,"&gt;="&amp;'Settings'!$C$25,'All Donations'!$T$2:$T$4001,"&lt;="&amp;'Settings'!$D$25),2),0)</f>
        <v/>
      </c>
      <c r="AR171">
        <f>IF(AE171=1,ROUND(SUMIFS('All Donations'!$S$2:$S$4001,'All Donations'!$R$2:$R$4001,AD171,'All Donations'!$T$2:$T$4001,"&gt;="&amp;'Settings'!$C$26,'All Donations'!$T$2:$T$4001,"&lt;="&amp;'Settings'!$D$26),2),0)</f>
        <v/>
      </c>
      <c r="AS171">
        <f>IF(AE171=1,ROUND(SUMIFS('All Donations'!$S$2:$S$4001,'All Donations'!$R$2:$R$4001,AD171,'All Donations'!$T$2:$T$4001,"&lt;="&amp;'Settings'!$D$27),2),0)</f>
        <v/>
      </c>
      <c r="AT171">
        <f>IF(AE171=1,ROUND(SUMIFS('All Donations'!$S$2:$S$4001,'All Donations'!$R$2:$R$4001,AD171,'All Donations'!$T$2:$T$4001,"&gt;="&amp;'Settings'!$C$28,'All Donations'!$T$2:$T$4001,"&lt;="&amp;'Settings'!$D$28),2),0)</f>
        <v/>
      </c>
      <c r="AU171">
        <f>IF(AE171=1,ROUND(SUMIFS('All Donations'!$S$2:$S$4001,'All Donations'!$R$2:$R$4001,AD171,'All Donations'!$T$2:$T$4001,"&gt;="&amp;'Settings'!$C$29,'All Donations'!$T$2:$T$4001,"&lt;="&amp;'Settings'!$D$29),2),0)</f>
        <v/>
      </c>
      <c r="AV171">
        <f>IF(AE171=1,ROUND(SUMIFS('All Donations'!$S$2:$S$4001,'All Donations'!$R$2:$R$4001,AD171,'All Donations'!$T$2:$T$4001,"&lt;="&amp;'Settings'!$D$30),2),0)</f>
        <v/>
      </c>
      <c r="AZ171">
        <f>IF(AE171=1,ROUND(SUMIFS('All Donations'!$S$2:$S$4001,'All Donations'!$R$2:$R$4001,AD171,'All Donations'!$T$2:$T$4001,"&lt;="&amp;'Settings'!$D$34),2),0)</f>
        <v/>
      </c>
    </row>
    <row r="172">
      <c r="A172">
        <f>IF(AE172=1,TRIM(TRIM('Roster'!B172)&amp;" "&amp;TRIM('Roster'!C172)),"")</f>
        <v/>
      </c>
      <c r="B172">
        <f>IF(AE172=1,IF(AN172="","(no teacher)",AN172&amp;" – "&amp;C172),"")</f>
        <v/>
      </c>
      <c r="C172">
        <f>IF(AE172=1,TRIM('Roster'!D172&amp;""),"")</f>
        <v/>
      </c>
      <c r="D172" s="48">
        <f>IF(AE172=1,ROUND(SUMIFS('All Donations'!$S$2:$S$4001,'All Donations'!$R$2:$R$4001,AD172),2),"")</f>
        <v/>
      </c>
      <c r="E172" s="48">
        <f>IF(AE172=1,ROUND(SUMIFS('All Donations'!$S$2:$S$4001,'All Donations'!$R$2:$R$4001,AD172,'All Donations'!$G$2:$G$4001,"OneCause"),2),"")</f>
        <v/>
      </c>
      <c r="F172" s="48">
        <f>IF(AE172=1,D172-E172,"")</f>
        <v/>
      </c>
      <c r="G172">
        <f>IF(AE172=1,COUNTIFS('All Donations'!$R$2:$R$4001,AD172,'All Donations'!$H$2:$H$4001,"OK"),"")</f>
        <v/>
      </c>
      <c r="H172">
        <f>IF(AE172&lt;&gt;1,"",IF(D172&gt;0,"Yes",""))</f>
        <v/>
      </c>
      <c r="I172" s="49">
        <f>IF(OR($AE172&lt;&gt;1,I$1=""),"",SUMIFS('All Donations'!$S$2:$S$4001,'All Donations'!$R$2:$R$4001,$AD172,'All Donations'!$T$2:$T$4001,I$1))</f>
        <v/>
      </c>
      <c r="J172" s="49">
        <f>IF(OR($AE172&lt;&gt;1,J$1=""),"",SUMIFS('All Donations'!$S$2:$S$4001,'All Donations'!$R$2:$R$4001,$AD172,'All Donations'!$T$2:$T$4001,J$1))</f>
        <v/>
      </c>
      <c r="K172" s="49">
        <f>IF(OR($AE172&lt;&gt;1,K$1=""),"",SUMIFS('All Donations'!$S$2:$S$4001,'All Donations'!$R$2:$R$4001,$AD172,'All Donations'!$T$2:$T$4001,K$1))</f>
        <v/>
      </c>
      <c r="L172" s="49">
        <f>IF(OR($AE172&lt;&gt;1,L$1=""),"",SUMIFS('All Donations'!$S$2:$S$4001,'All Donations'!$R$2:$R$4001,$AD172,'All Donations'!$T$2:$T$4001,L$1))</f>
        <v/>
      </c>
      <c r="M172" s="49">
        <f>IF(OR($AE172&lt;&gt;1,M$1=""),"",SUMIFS('All Donations'!$S$2:$S$4001,'All Donations'!$R$2:$R$4001,$AD172,'All Donations'!$T$2:$T$4001,M$1))</f>
        <v/>
      </c>
      <c r="N172" s="49">
        <f>IF(OR($AE172&lt;&gt;1,N$1=""),"",SUMIFS('All Donations'!$S$2:$S$4001,'All Donations'!$R$2:$R$4001,$AD172,'All Donations'!$T$2:$T$4001,N$1))</f>
        <v/>
      </c>
      <c r="O172" s="49">
        <f>IF(OR($AE172&lt;&gt;1,O$1=""),"",SUMIFS('All Donations'!$S$2:$S$4001,'All Donations'!$R$2:$R$4001,$AD172,'All Donations'!$T$2:$T$4001,O$1))</f>
        <v/>
      </c>
      <c r="P172" s="49">
        <f>IF(OR($AE172&lt;&gt;1,P$1=""),"",SUMIFS('All Donations'!$S$2:$S$4001,'All Donations'!$R$2:$R$4001,$AD172,'All Donations'!$T$2:$T$4001,P$1))</f>
        <v/>
      </c>
      <c r="Q172" s="49">
        <f>IF(OR($AE172&lt;&gt;1,Q$1=""),"",SUMIFS('All Donations'!$S$2:$S$4001,'All Donations'!$R$2:$R$4001,$AD172,'All Donations'!$T$2:$T$4001,Q$1))</f>
        <v/>
      </c>
      <c r="R172" s="49">
        <f>IF(OR($AE172&lt;&gt;1,R$1=""),"",SUMIFS('All Donations'!$S$2:$S$4001,'All Donations'!$R$2:$R$4001,$AD172,'All Donations'!$T$2:$T$4001,R$1))</f>
        <v/>
      </c>
      <c r="S172" s="49">
        <f>IF(OR($AE172&lt;&gt;1,S$1=""),"",SUMIFS('All Donations'!$S$2:$S$4001,'All Donations'!$R$2:$R$4001,$AD172,'All Donations'!$T$2:$T$4001,S$1))</f>
        <v/>
      </c>
      <c r="T172" s="49">
        <f>IF(OR($AE172&lt;&gt;1,T$1=""),"",SUMIFS('All Donations'!$S$2:$S$4001,'All Donations'!$R$2:$R$4001,$AD172,'All Donations'!$T$2:$T$4001,T$1))</f>
        <v/>
      </c>
      <c r="U172" s="49">
        <f>IF(OR($AE172&lt;&gt;1,U$1=""),"",SUMIFS('All Donations'!$S$2:$S$4001,'All Donations'!$R$2:$R$4001,$AD172,'All Donations'!$T$2:$T$4001,U$1))</f>
        <v/>
      </c>
      <c r="V172" s="49">
        <f>IF(OR($AE172&lt;&gt;1,V$1=""),"",SUMIFS('All Donations'!$S$2:$S$4001,'All Donations'!$R$2:$R$4001,$AD172,'All Donations'!$T$2:$T$4001,V$1))</f>
        <v/>
      </c>
      <c r="W172" s="49">
        <f>IF(OR($AE172&lt;&gt;1,W$1=""),"",SUMIFS('All Donations'!$S$2:$S$4001,'All Donations'!$R$2:$R$4001,$AD172,'All Donations'!$T$2:$T$4001,W$1))</f>
        <v/>
      </c>
      <c r="X172" s="49">
        <f>IF(OR($AE172&lt;&gt;1,X$1=""),"",SUMIFS('All Donations'!$S$2:$S$4001,'All Donations'!$R$2:$R$4001,$AD172,'All Donations'!$T$2:$T$4001,X$1))</f>
        <v/>
      </c>
      <c r="Y172" s="49">
        <f>IF(OR($AE172&lt;&gt;1,Y$1=""),"",SUMIFS('All Donations'!$S$2:$S$4001,'All Donations'!$R$2:$R$4001,$AD172,'All Donations'!$T$2:$T$4001,Y$1))</f>
        <v/>
      </c>
      <c r="Z172" s="49">
        <f>IF(OR($AE172&lt;&gt;1,Z$1=""),"",SUMIFS('All Donations'!$S$2:$S$4001,'All Donations'!$R$2:$R$4001,$AD172,'All Donations'!$T$2:$T$4001,Z$1))</f>
        <v/>
      </c>
      <c r="AA172" s="49">
        <f>IF(OR($AE172&lt;&gt;1,AA$1=""),"",SUMIFS('All Donations'!$S$2:$S$4001,'All Donations'!$R$2:$R$4001,$AD172,'All Donations'!$T$2:$T$4001,AA$1))</f>
        <v/>
      </c>
      <c r="AB172" s="49">
        <f>IF(OR($AE172&lt;&gt;1,AB$1=""),"",SUMIFS('All Donations'!$S$2:$S$4001,'All Donations'!$R$2:$R$4001,$AD172,'All Donations'!$T$2:$T$4001,AB$1))</f>
        <v/>
      </c>
      <c r="AC172" s="49">
        <f>IF(OR($AE172&lt;&gt;1,AC$1=""),"",SUMIFS('All Donations'!$S$2:$S$4001,'All Donations'!$R$2:$R$4001,$AD172,'All Donations'!$T$2:$T$4001,AC$1))</f>
        <v/>
      </c>
      <c r="AD172">
        <f>IF(AE172=1,'Roster'!A172,"")</f>
        <v/>
      </c>
      <c r="AE172">
        <f>IF(TRIM('Roster'!B172&amp;'Roster'!C172)&lt;&gt;"",1,0)</f>
        <v/>
      </c>
      <c r="AF172">
        <f>IF(AE172=1,LOWER(A172),"#")</f>
        <v/>
      </c>
      <c r="AG172">
        <f>IF(AE172=1,LOWER(TRIM(TRIM('Roster'!C172)&amp;", "&amp;TRIM('Roster'!B172))),"#")</f>
        <v/>
      </c>
      <c r="AH172">
        <f>IF(AND(AE172=1,TRIM('Roster'!F172)&lt;&gt;""),LOWER(TRIM('Roster'!F172)),"#")</f>
        <v/>
      </c>
      <c r="AI172">
        <f>IF(AE172=1,IF(MATCH(B172,$B$2:$B$701,0)=ROW()-1,1,0),0)</f>
        <v/>
      </c>
      <c r="AJ172">
        <f>AJ171+AI172</f>
        <v/>
      </c>
      <c r="AK172">
        <f>IF(AE172=1,D172+(1000-ROW())/10^7,-1)</f>
        <v/>
      </c>
      <c r="AL172">
        <f>IF(AE172=1,TRIM('Roster'!B172)&amp;" "&amp;LEFT(TRIM('Roster'!C172),1)&amp;".","")</f>
        <v/>
      </c>
      <c r="AM172">
        <f>IF(AE172=1,TRIM('Roster'!C172)&amp;", "&amp;TRIM('Roster'!B172)&amp;" ("&amp;B172&amp;") #"&amp;AD172,"")</f>
        <v/>
      </c>
      <c r="AN172">
        <f>IF(AE172=1,TRIM('Roster'!E172),"")</f>
        <v/>
      </c>
      <c r="AO172">
        <f>IF(AE172=1,ROUND(SUMIFS('All Donations'!$S$2:$S$4001,'All Donations'!$R$2:$R$4001,AD172,'All Donations'!$T$2:$T$4001,"&gt;="&amp;'Settings'!$C$23,'All Donations'!$T$2:$T$4001,"&lt;="&amp;'Settings'!$D$23),2),0)</f>
        <v/>
      </c>
      <c r="AQ172">
        <f>IF(AE172=1,ROUND(SUMIFS('All Donations'!$S$2:$S$4001,'All Donations'!$R$2:$R$4001,AD172,'All Donations'!$T$2:$T$4001,"&gt;="&amp;'Settings'!$C$25,'All Donations'!$T$2:$T$4001,"&lt;="&amp;'Settings'!$D$25),2),0)</f>
        <v/>
      </c>
      <c r="AR172">
        <f>IF(AE172=1,ROUND(SUMIFS('All Donations'!$S$2:$S$4001,'All Donations'!$R$2:$R$4001,AD172,'All Donations'!$T$2:$T$4001,"&gt;="&amp;'Settings'!$C$26,'All Donations'!$T$2:$T$4001,"&lt;="&amp;'Settings'!$D$26),2),0)</f>
        <v/>
      </c>
      <c r="AS172">
        <f>IF(AE172=1,ROUND(SUMIFS('All Donations'!$S$2:$S$4001,'All Donations'!$R$2:$R$4001,AD172,'All Donations'!$T$2:$T$4001,"&lt;="&amp;'Settings'!$D$27),2),0)</f>
        <v/>
      </c>
      <c r="AT172">
        <f>IF(AE172=1,ROUND(SUMIFS('All Donations'!$S$2:$S$4001,'All Donations'!$R$2:$R$4001,AD172,'All Donations'!$T$2:$T$4001,"&gt;="&amp;'Settings'!$C$28,'All Donations'!$T$2:$T$4001,"&lt;="&amp;'Settings'!$D$28),2),0)</f>
        <v/>
      </c>
      <c r="AU172">
        <f>IF(AE172=1,ROUND(SUMIFS('All Donations'!$S$2:$S$4001,'All Donations'!$R$2:$R$4001,AD172,'All Donations'!$T$2:$T$4001,"&gt;="&amp;'Settings'!$C$29,'All Donations'!$T$2:$T$4001,"&lt;="&amp;'Settings'!$D$29),2),0)</f>
        <v/>
      </c>
      <c r="AV172">
        <f>IF(AE172=1,ROUND(SUMIFS('All Donations'!$S$2:$S$4001,'All Donations'!$R$2:$R$4001,AD172,'All Donations'!$T$2:$T$4001,"&lt;="&amp;'Settings'!$D$30),2),0)</f>
        <v/>
      </c>
      <c r="AZ172">
        <f>IF(AE172=1,ROUND(SUMIFS('All Donations'!$S$2:$S$4001,'All Donations'!$R$2:$R$4001,AD172,'All Donations'!$T$2:$T$4001,"&lt;="&amp;'Settings'!$D$34),2),0)</f>
        <v/>
      </c>
    </row>
    <row r="173">
      <c r="A173">
        <f>IF(AE173=1,TRIM(TRIM('Roster'!B173)&amp;" "&amp;TRIM('Roster'!C173)),"")</f>
        <v/>
      </c>
      <c r="B173">
        <f>IF(AE173=1,IF(AN173="","(no teacher)",AN173&amp;" – "&amp;C173),"")</f>
        <v/>
      </c>
      <c r="C173">
        <f>IF(AE173=1,TRIM('Roster'!D173&amp;""),"")</f>
        <v/>
      </c>
      <c r="D173" s="48">
        <f>IF(AE173=1,ROUND(SUMIFS('All Donations'!$S$2:$S$4001,'All Donations'!$R$2:$R$4001,AD173),2),"")</f>
        <v/>
      </c>
      <c r="E173" s="48">
        <f>IF(AE173=1,ROUND(SUMIFS('All Donations'!$S$2:$S$4001,'All Donations'!$R$2:$R$4001,AD173,'All Donations'!$G$2:$G$4001,"OneCause"),2),"")</f>
        <v/>
      </c>
      <c r="F173" s="48">
        <f>IF(AE173=1,D173-E173,"")</f>
        <v/>
      </c>
      <c r="G173">
        <f>IF(AE173=1,COUNTIFS('All Donations'!$R$2:$R$4001,AD173,'All Donations'!$H$2:$H$4001,"OK"),"")</f>
        <v/>
      </c>
      <c r="H173">
        <f>IF(AE173&lt;&gt;1,"",IF(D173&gt;0,"Yes",""))</f>
        <v/>
      </c>
      <c r="I173" s="49">
        <f>IF(OR($AE173&lt;&gt;1,I$1=""),"",SUMIFS('All Donations'!$S$2:$S$4001,'All Donations'!$R$2:$R$4001,$AD173,'All Donations'!$T$2:$T$4001,I$1))</f>
        <v/>
      </c>
      <c r="J173" s="49">
        <f>IF(OR($AE173&lt;&gt;1,J$1=""),"",SUMIFS('All Donations'!$S$2:$S$4001,'All Donations'!$R$2:$R$4001,$AD173,'All Donations'!$T$2:$T$4001,J$1))</f>
        <v/>
      </c>
      <c r="K173" s="49">
        <f>IF(OR($AE173&lt;&gt;1,K$1=""),"",SUMIFS('All Donations'!$S$2:$S$4001,'All Donations'!$R$2:$R$4001,$AD173,'All Donations'!$T$2:$T$4001,K$1))</f>
        <v/>
      </c>
      <c r="L173" s="49">
        <f>IF(OR($AE173&lt;&gt;1,L$1=""),"",SUMIFS('All Donations'!$S$2:$S$4001,'All Donations'!$R$2:$R$4001,$AD173,'All Donations'!$T$2:$T$4001,L$1))</f>
        <v/>
      </c>
      <c r="M173" s="49">
        <f>IF(OR($AE173&lt;&gt;1,M$1=""),"",SUMIFS('All Donations'!$S$2:$S$4001,'All Donations'!$R$2:$R$4001,$AD173,'All Donations'!$T$2:$T$4001,M$1))</f>
        <v/>
      </c>
      <c r="N173" s="49">
        <f>IF(OR($AE173&lt;&gt;1,N$1=""),"",SUMIFS('All Donations'!$S$2:$S$4001,'All Donations'!$R$2:$R$4001,$AD173,'All Donations'!$T$2:$T$4001,N$1))</f>
        <v/>
      </c>
      <c r="O173" s="49">
        <f>IF(OR($AE173&lt;&gt;1,O$1=""),"",SUMIFS('All Donations'!$S$2:$S$4001,'All Donations'!$R$2:$R$4001,$AD173,'All Donations'!$T$2:$T$4001,O$1))</f>
        <v/>
      </c>
      <c r="P173" s="49">
        <f>IF(OR($AE173&lt;&gt;1,P$1=""),"",SUMIFS('All Donations'!$S$2:$S$4001,'All Donations'!$R$2:$R$4001,$AD173,'All Donations'!$T$2:$T$4001,P$1))</f>
        <v/>
      </c>
      <c r="Q173" s="49">
        <f>IF(OR($AE173&lt;&gt;1,Q$1=""),"",SUMIFS('All Donations'!$S$2:$S$4001,'All Donations'!$R$2:$R$4001,$AD173,'All Donations'!$T$2:$T$4001,Q$1))</f>
        <v/>
      </c>
      <c r="R173" s="49">
        <f>IF(OR($AE173&lt;&gt;1,R$1=""),"",SUMIFS('All Donations'!$S$2:$S$4001,'All Donations'!$R$2:$R$4001,$AD173,'All Donations'!$T$2:$T$4001,R$1))</f>
        <v/>
      </c>
      <c r="S173" s="49">
        <f>IF(OR($AE173&lt;&gt;1,S$1=""),"",SUMIFS('All Donations'!$S$2:$S$4001,'All Donations'!$R$2:$R$4001,$AD173,'All Donations'!$T$2:$T$4001,S$1))</f>
        <v/>
      </c>
      <c r="T173" s="49">
        <f>IF(OR($AE173&lt;&gt;1,T$1=""),"",SUMIFS('All Donations'!$S$2:$S$4001,'All Donations'!$R$2:$R$4001,$AD173,'All Donations'!$T$2:$T$4001,T$1))</f>
        <v/>
      </c>
      <c r="U173" s="49">
        <f>IF(OR($AE173&lt;&gt;1,U$1=""),"",SUMIFS('All Donations'!$S$2:$S$4001,'All Donations'!$R$2:$R$4001,$AD173,'All Donations'!$T$2:$T$4001,U$1))</f>
        <v/>
      </c>
      <c r="V173" s="49">
        <f>IF(OR($AE173&lt;&gt;1,V$1=""),"",SUMIFS('All Donations'!$S$2:$S$4001,'All Donations'!$R$2:$R$4001,$AD173,'All Donations'!$T$2:$T$4001,V$1))</f>
        <v/>
      </c>
      <c r="W173" s="49">
        <f>IF(OR($AE173&lt;&gt;1,W$1=""),"",SUMIFS('All Donations'!$S$2:$S$4001,'All Donations'!$R$2:$R$4001,$AD173,'All Donations'!$T$2:$T$4001,W$1))</f>
        <v/>
      </c>
      <c r="X173" s="49">
        <f>IF(OR($AE173&lt;&gt;1,X$1=""),"",SUMIFS('All Donations'!$S$2:$S$4001,'All Donations'!$R$2:$R$4001,$AD173,'All Donations'!$T$2:$T$4001,X$1))</f>
        <v/>
      </c>
      <c r="Y173" s="49">
        <f>IF(OR($AE173&lt;&gt;1,Y$1=""),"",SUMIFS('All Donations'!$S$2:$S$4001,'All Donations'!$R$2:$R$4001,$AD173,'All Donations'!$T$2:$T$4001,Y$1))</f>
        <v/>
      </c>
      <c r="Z173" s="49">
        <f>IF(OR($AE173&lt;&gt;1,Z$1=""),"",SUMIFS('All Donations'!$S$2:$S$4001,'All Donations'!$R$2:$R$4001,$AD173,'All Donations'!$T$2:$T$4001,Z$1))</f>
        <v/>
      </c>
      <c r="AA173" s="49">
        <f>IF(OR($AE173&lt;&gt;1,AA$1=""),"",SUMIFS('All Donations'!$S$2:$S$4001,'All Donations'!$R$2:$R$4001,$AD173,'All Donations'!$T$2:$T$4001,AA$1))</f>
        <v/>
      </c>
      <c r="AB173" s="49">
        <f>IF(OR($AE173&lt;&gt;1,AB$1=""),"",SUMIFS('All Donations'!$S$2:$S$4001,'All Donations'!$R$2:$R$4001,$AD173,'All Donations'!$T$2:$T$4001,AB$1))</f>
        <v/>
      </c>
      <c r="AC173" s="49">
        <f>IF(OR($AE173&lt;&gt;1,AC$1=""),"",SUMIFS('All Donations'!$S$2:$S$4001,'All Donations'!$R$2:$R$4001,$AD173,'All Donations'!$T$2:$T$4001,AC$1))</f>
        <v/>
      </c>
      <c r="AD173">
        <f>IF(AE173=1,'Roster'!A173,"")</f>
        <v/>
      </c>
      <c r="AE173">
        <f>IF(TRIM('Roster'!B173&amp;'Roster'!C173)&lt;&gt;"",1,0)</f>
        <v/>
      </c>
      <c r="AF173">
        <f>IF(AE173=1,LOWER(A173),"#")</f>
        <v/>
      </c>
      <c r="AG173">
        <f>IF(AE173=1,LOWER(TRIM(TRIM('Roster'!C173)&amp;", "&amp;TRIM('Roster'!B173))),"#")</f>
        <v/>
      </c>
      <c r="AH173">
        <f>IF(AND(AE173=1,TRIM('Roster'!F173)&lt;&gt;""),LOWER(TRIM('Roster'!F173)),"#")</f>
        <v/>
      </c>
      <c r="AI173">
        <f>IF(AE173=1,IF(MATCH(B173,$B$2:$B$701,0)=ROW()-1,1,0),0)</f>
        <v/>
      </c>
      <c r="AJ173">
        <f>AJ172+AI173</f>
        <v/>
      </c>
      <c r="AK173">
        <f>IF(AE173=1,D173+(1000-ROW())/10^7,-1)</f>
        <v/>
      </c>
      <c r="AL173">
        <f>IF(AE173=1,TRIM('Roster'!B173)&amp;" "&amp;LEFT(TRIM('Roster'!C173),1)&amp;".","")</f>
        <v/>
      </c>
      <c r="AM173">
        <f>IF(AE173=1,TRIM('Roster'!C173)&amp;", "&amp;TRIM('Roster'!B173)&amp;" ("&amp;B173&amp;") #"&amp;AD173,"")</f>
        <v/>
      </c>
      <c r="AN173">
        <f>IF(AE173=1,TRIM('Roster'!E173),"")</f>
        <v/>
      </c>
      <c r="AO173">
        <f>IF(AE173=1,ROUND(SUMIFS('All Donations'!$S$2:$S$4001,'All Donations'!$R$2:$R$4001,AD173,'All Donations'!$T$2:$T$4001,"&gt;="&amp;'Settings'!$C$23,'All Donations'!$T$2:$T$4001,"&lt;="&amp;'Settings'!$D$23),2),0)</f>
        <v/>
      </c>
      <c r="AQ173">
        <f>IF(AE173=1,ROUND(SUMIFS('All Donations'!$S$2:$S$4001,'All Donations'!$R$2:$R$4001,AD173,'All Donations'!$T$2:$T$4001,"&gt;="&amp;'Settings'!$C$25,'All Donations'!$T$2:$T$4001,"&lt;="&amp;'Settings'!$D$25),2),0)</f>
        <v/>
      </c>
      <c r="AR173">
        <f>IF(AE173=1,ROUND(SUMIFS('All Donations'!$S$2:$S$4001,'All Donations'!$R$2:$R$4001,AD173,'All Donations'!$T$2:$T$4001,"&gt;="&amp;'Settings'!$C$26,'All Donations'!$T$2:$T$4001,"&lt;="&amp;'Settings'!$D$26),2),0)</f>
        <v/>
      </c>
      <c r="AS173">
        <f>IF(AE173=1,ROUND(SUMIFS('All Donations'!$S$2:$S$4001,'All Donations'!$R$2:$R$4001,AD173,'All Donations'!$T$2:$T$4001,"&lt;="&amp;'Settings'!$D$27),2),0)</f>
        <v/>
      </c>
      <c r="AT173">
        <f>IF(AE173=1,ROUND(SUMIFS('All Donations'!$S$2:$S$4001,'All Donations'!$R$2:$R$4001,AD173,'All Donations'!$T$2:$T$4001,"&gt;="&amp;'Settings'!$C$28,'All Donations'!$T$2:$T$4001,"&lt;="&amp;'Settings'!$D$28),2),0)</f>
        <v/>
      </c>
      <c r="AU173">
        <f>IF(AE173=1,ROUND(SUMIFS('All Donations'!$S$2:$S$4001,'All Donations'!$R$2:$R$4001,AD173,'All Donations'!$T$2:$T$4001,"&gt;="&amp;'Settings'!$C$29,'All Donations'!$T$2:$T$4001,"&lt;="&amp;'Settings'!$D$29),2),0)</f>
        <v/>
      </c>
      <c r="AV173">
        <f>IF(AE173=1,ROUND(SUMIFS('All Donations'!$S$2:$S$4001,'All Donations'!$R$2:$R$4001,AD173,'All Donations'!$T$2:$T$4001,"&lt;="&amp;'Settings'!$D$30),2),0)</f>
        <v/>
      </c>
      <c r="AZ173">
        <f>IF(AE173=1,ROUND(SUMIFS('All Donations'!$S$2:$S$4001,'All Donations'!$R$2:$R$4001,AD173,'All Donations'!$T$2:$T$4001,"&lt;="&amp;'Settings'!$D$34),2),0)</f>
        <v/>
      </c>
    </row>
    <row r="174">
      <c r="A174">
        <f>IF(AE174=1,TRIM(TRIM('Roster'!B174)&amp;" "&amp;TRIM('Roster'!C174)),"")</f>
        <v/>
      </c>
      <c r="B174">
        <f>IF(AE174=1,IF(AN174="","(no teacher)",AN174&amp;" – "&amp;C174),"")</f>
        <v/>
      </c>
      <c r="C174">
        <f>IF(AE174=1,TRIM('Roster'!D174&amp;""),"")</f>
        <v/>
      </c>
      <c r="D174" s="48">
        <f>IF(AE174=1,ROUND(SUMIFS('All Donations'!$S$2:$S$4001,'All Donations'!$R$2:$R$4001,AD174),2),"")</f>
        <v/>
      </c>
      <c r="E174" s="48">
        <f>IF(AE174=1,ROUND(SUMIFS('All Donations'!$S$2:$S$4001,'All Donations'!$R$2:$R$4001,AD174,'All Donations'!$G$2:$G$4001,"OneCause"),2),"")</f>
        <v/>
      </c>
      <c r="F174" s="48">
        <f>IF(AE174=1,D174-E174,"")</f>
        <v/>
      </c>
      <c r="G174">
        <f>IF(AE174=1,COUNTIFS('All Donations'!$R$2:$R$4001,AD174,'All Donations'!$H$2:$H$4001,"OK"),"")</f>
        <v/>
      </c>
      <c r="H174">
        <f>IF(AE174&lt;&gt;1,"",IF(D174&gt;0,"Yes",""))</f>
        <v/>
      </c>
      <c r="I174" s="49">
        <f>IF(OR($AE174&lt;&gt;1,I$1=""),"",SUMIFS('All Donations'!$S$2:$S$4001,'All Donations'!$R$2:$R$4001,$AD174,'All Donations'!$T$2:$T$4001,I$1))</f>
        <v/>
      </c>
      <c r="J174" s="49">
        <f>IF(OR($AE174&lt;&gt;1,J$1=""),"",SUMIFS('All Donations'!$S$2:$S$4001,'All Donations'!$R$2:$R$4001,$AD174,'All Donations'!$T$2:$T$4001,J$1))</f>
        <v/>
      </c>
      <c r="K174" s="49">
        <f>IF(OR($AE174&lt;&gt;1,K$1=""),"",SUMIFS('All Donations'!$S$2:$S$4001,'All Donations'!$R$2:$R$4001,$AD174,'All Donations'!$T$2:$T$4001,K$1))</f>
        <v/>
      </c>
      <c r="L174" s="49">
        <f>IF(OR($AE174&lt;&gt;1,L$1=""),"",SUMIFS('All Donations'!$S$2:$S$4001,'All Donations'!$R$2:$R$4001,$AD174,'All Donations'!$T$2:$T$4001,L$1))</f>
        <v/>
      </c>
      <c r="M174" s="49">
        <f>IF(OR($AE174&lt;&gt;1,M$1=""),"",SUMIFS('All Donations'!$S$2:$S$4001,'All Donations'!$R$2:$R$4001,$AD174,'All Donations'!$T$2:$T$4001,M$1))</f>
        <v/>
      </c>
      <c r="N174" s="49">
        <f>IF(OR($AE174&lt;&gt;1,N$1=""),"",SUMIFS('All Donations'!$S$2:$S$4001,'All Donations'!$R$2:$R$4001,$AD174,'All Donations'!$T$2:$T$4001,N$1))</f>
        <v/>
      </c>
      <c r="O174" s="49">
        <f>IF(OR($AE174&lt;&gt;1,O$1=""),"",SUMIFS('All Donations'!$S$2:$S$4001,'All Donations'!$R$2:$R$4001,$AD174,'All Donations'!$T$2:$T$4001,O$1))</f>
        <v/>
      </c>
      <c r="P174" s="49">
        <f>IF(OR($AE174&lt;&gt;1,P$1=""),"",SUMIFS('All Donations'!$S$2:$S$4001,'All Donations'!$R$2:$R$4001,$AD174,'All Donations'!$T$2:$T$4001,P$1))</f>
        <v/>
      </c>
      <c r="Q174" s="49">
        <f>IF(OR($AE174&lt;&gt;1,Q$1=""),"",SUMIFS('All Donations'!$S$2:$S$4001,'All Donations'!$R$2:$R$4001,$AD174,'All Donations'!$T$2:$T$4001,Q$1))</f>
        <v/>
      </c>
      <c r="R174" s="49">
        <f>IF(OR($AE174&lt;&gt;1,R$1=""),"",SUMIFS('All Donations'!$S$2:$S$4001,'All Donations'!$R$2:$R$4001,$AD174,'All Donations'!$T$2:$T$4001,R$1))</f>
        <v/>
      </c>
      <c r="S174" s="49">
        <f>IF(OR($AE174&lt;&gt;1,S$1=""),"",SUMIFS('All Donations'!$S$2:$S$4001,'All Donations'!$R$2:$R$4001,$AD174,'All Donations'!$T$2:$T$4001,S$1))</f>
        <v/>
      </c>
      <c r="T174" s="49">
        <f>IF(OR($AE174&lt;&gt;1,T$1=""),"",SUMIFS('All Donations'!$S$2:$S$4001,'All Donations'!$R$2:$R$4001,$AD174,'All Donations'!$T$2:$T$4001,T$1))</f>
        <v/>
      </c>
      <c r="U174" s="49">
        <f>IF(OR($AE174&lt;&gt;1,U$1=""),"",SUMIFS('All Donations'!$S$2:$S$4001,'All Donations'!$R$2:$R$4001,$AD174,'All Donations'!$T$2:$T$4001,U$1))</f>
        <v/>
      </c>
      <c r="V174" s="49">
        <f>IF(OR($AE174&lt;&gt;1,V$1=""),"",SUMIFS('All Donations'!$S$2:$S$4001,'All Donations'!$R$2:$R$4001,$AD174,'All Donations'!$T$2:$T$4001,V$1))</f>
        <v/>
      </c>
      <c r="W174" s="49">
        <f>IF(OR($AE174&lt;&gt;1,W$1=""),"",SUMIFS('All Donations'!$S$2:$S$4001,'All Donations'!$R$2:$R$4001,$AD174,'All Donations'!$T$2:$T$4001,W$1))</f>
        <v/>
      </c>
      <c r="X174" s="49">
        <f>IF(OR($AE174&lt;&gt;1,X$1=""),"",SUMIFS('All Donations'!$S$2:$S$4001,'All Donations'!$R$2:$R$4001,$AD174,'All Donations'!$T$2:$T$4001,X$1))</f>
        <v/>
      </c>
      <c r="Y174" s="49">
        <f>IF(OR($AE174&lt;&gt;1,Y$1=""),"",SUMIFS('All Donations'!$S$2:$S$4001,'All Donations'!$R$2:$R$4001,$AD174,'All Donations'!$T$2:$T$4001,Y$1))</f>
        <v/>
      </c>
      <c r="Z174" s="49">
        <f>IF(OR($AE174&lt;&gt;1,Z$1=""),"",SUMIFS('All Donations'!$S$2:$S$4001,'All Donations'!$R$2:$R$4001,$AD174,'All Donations'!$T$2:$T$4001,Z$1))</f>
        <v/>
      </c>
      <c r="AA174" s="49">
        <f>IF(OR($AE174&lt;&gt;1,AA$1=""),"",SUMIFS('All Donations'!$S$2:$S$4001,'All Donations'!$R$2:$R$4001,$AD174,'All Donations'!$T$2:$T$4001,AA$1))</f>
        <v/>
      </c>
      <c r="AB174" s="49">
        <f>IF(OR($AE174&lt;&gt;1,AB$1=""),"",SUMIFS('All Donations'!$S$2:$S$4001,'All Donations'!$R$2:$R$4001,$AD174,'All Donations'!$T$2:$T$4001,AB$1))</f>
        <v/>
      </c>
      <c r="AC174" s="49">
        <f>IF(OR($AE174&lt;&gt;1,AC$1=""),"",SUMIFS('All Donations'!$S$2:$S$4001,'All Donations'!$R$2:$R$4001,$AD174,'All Donations'!$T$2:$T$4001,AC$1))</f>
        <v/>
      </c>
      <c r="AD174">
        <f>IF(AE174=1,'Roster'!A174,"")</f>
        <v/>
      </c>
      <c r="AE174">
        <f>IF(TRIM('Roster'!B174&amp;'Roster'!C174)&lt;&gt;"",1,0)</f>
        <v/>
      </c>
      <c r="AF174">
        <f>IF(AE174=1,LOWER(A174),"#")</f>
        <v/>
      </c>
      <c r="AG174">
        <f>IF(AE174=1,LOWER(TRIM(TRIM('Roster'!C174)&amp;", "&amp;TRIM('Roster'!B174))),"#")</f>
        <v/>
      </c>
      <c r="AH174">
        <f>IF(AND(AE174=1,TRIM('Roster'!F174)&lt;&gt;""),LOWER(TRIM('Roster'!F174)),"#")</f>
        <v/>
      </c>
      <c r="AI174">
        <f>IF(AE174=1,IF(MATCH(B174,$B$2:$B$701,0)=ROW()-1,1,0),0)</f>
        <v/>
      </c>
      <c r="AJ174">
        <f>AJ173+AI174</f>
        <v/>
      </c>
      <c r="AK174">
        <f>IF(AE174=1,D174+(1000-ROW())/10^7,-1)</f>
        <v/>
      </c>
      <c r="AL174">
        <f>IF(AE174=1,TRIM('Roster'!B174)&amp;" "&amp;LEFT(TRIM('Roster'!C174),1)&amp;".","")</f>
        <v/>
      </c>
      <c r="AM174">
        <f>IF(AE174=1,TRIM('Roster'!C174)&amp;", "&amp;TRIM('Roster'!B174)&amp;" ("&amp;B174&amp;") #"&amp;AD174,"")</f>
        <v/>
      </c>
      <c r="AN174">
        <f>IF(AE174=1,TRIM('Roster'!E174),"")</f>
        <v/>
      </c>
      <c r="AO174">
        <f>IF(AE174=1,ROUND(SUMIFS('All Donations'!$S$2:$S$4001,'All Donations'!$R$2:$R$4001,AD174,'All Donations'!$T$2:$T$4001,"&gt;="&amp;'Settings'!$C$23,'All Donations'!$T$2:$T$4001,"&lt;="&amp;'Settings'!$D$23),2),0)</f>
        <v/>
      </c>
      <c r="AQ174">
        <f>IF(AE174=1,ROUND(SUMIFS('All Donations'!$S$2:$S$4001,'All Donations'!$R$2:$R$4001,AD174,'All Donations'!$T$2:$T$4001,"&gt;="&amp;'Settings'!$C$25,'All Donations'!$T$2:$T$4001,"&lt;="&amp;'Settings'!$D$25),2),0)</f>
        <v/>
      </c>
      <c r="AR174">
        <f>IF(AE174=1,ROUND(SUMIFS('All Donations'!$S$2:$S$4001,'All Donations'!$R$2:$R$4001,AD174,'All Donations'!$T$2:$T$4001,"&gt;="&amp;'Settings'!$C$26,'All Donations'!$T$2:$T$4001,"&lt;="&amp;'Settings'!$D$26),2),0)</f>
        <v/>
      </c>
      <c r="AS174">
        <f>IF(AE174=1,ROUND(SUMIFS('All Donations'!$S$2:$S$4001,'All Donations'!$R$2:$R$4001,AD174,'All Donations'!$T$2:$T$4001,"&lt;="&amp;'Settings'!$D$27),2),0)</f>
        <v/>
      </c>
      <c r="AT174">
        <f>IF(AE174=1,ROUND(SUMIFS('All Donations'!$S$2:$S$4001,'All Donations'!$R$2:$R$4001,AD174,'All Donations'!$T$2:$T$4001,"&gt;="&amp;'Settings'!$C$28,'All Donations'!$T$2:$T$4001,"&lt;="&amp;'Settings'!$D$28),2),0)</f>
        <v/>
      </c>
      <c r="AU174">
        <f>IF(AE174=1,ROUND(SUMIFS('All Donations'!$S$2:$S$4001,'All Donations'!$R$2:$R$4001,AD174,'All Donations'!$T$2:$T$4001,"&gt;="&amp;'Settings'!$C$29,'All Donations'!$T$2:$T$4001,"&lt;="&amp;'Settings'!$D$29),2),0)</f>
        <v/>
      </c>
      <c r="AV174">
        <f>IF(AE174=1,ROUND(SUMIFS('All Donations'!$S$2:$S$4001,'All Donations'!$R$2:$R$4001,AD174,'All Donations'!$T$2:$T$4001,"&lt;="&amp;'Settings'!$D$30),2),0)</f>
        <v/>
      </c>
      <c r="AZ174">
        <f>IF(AE174=1,ROUND(SUMIFS('All Donations'!$S$2:$S$4001,'All Donations'!$R$2:$R$4001,AD174,'All Donations'!$T$2:$T$4001,"&lt;="&amp;'Settings'!$D$34),2),0)</f>
        <v/>
      </c>
    </row>
    <row r="175">
      <c r="A175">
        <f>IF(AE175=1,TRIM(TRIM('Roster'!B175)&amp;" "&amp;TRIM('Roster'!C175)),"")</f>
        <v/>
      </c>
      <c r="B175">
        <f>IF(AE175=1,IF(AN175="","(no teacher)",AN175&amp;" – "&amp;C175),"")</f>
        <v/>
      </c>
      <c r="C175">
        <f>IF(AE175=1,TRIM('Roster'!D175&amp;""),"")</f>
        <v/>
      </c>
      <c r="D175" s="48">
        <f>IF(AE175=1,ROUND(SUMIFS('All Donations'!$S$2:$S$4001,'All Donations'!$R$2:$R$4001,AD175),2),"")</f>
        <v/>
      </c>
      <c r="E175" s="48">
        <f>IF(AE175=1,ROUND(SUMIFS('All Donations'!$S$2:$S$4001,'All Donations'!$R$2:$R$4001,AD175,'All Donations'!$G$2:$G$4001,"OneCause"),2),"")</f>
        <v/>
      </c>
      <c r="F175" s="48">
        <f>IF(AE175=1,D175-E175,"")</f>
        <v/>
      </c>
      <c r="G175">
        <f>IF(AE175=1,COUNTIFS('All Donations'!$R$2:$R$4001,AD175,'All Donations'!$H$2:$H$4001,"OK"),"")</f>
        <v/>
      </c>
      <c r="H175">
        <f>IF(AE175&lt;&gt;1,"",IF(D175&gt;0,"Yes",""))</f>
        <v/>
      </c>
      <c r="I175" s="49">
        <f>IF(OR($AE175&lt;&gt;1,I$1=""),"",SUMIFS('All Donations'!$S$2:$S$4001,'All Donations'!$R$2:$R$4001,$AD175,'All Donations'!$T$2:$T$4001,I$1))</f>
        <v/>
      </c>
      <c r="J175" s="49">
        <f>IF(OR($AE175&lt;&gt;1,J$1=""),"",SUMIFS('All Donations'!$S$2:$S$4001,'All Donations'!$R$2:$R$4001,$AD175,'All Donations'!$T$2:$T$4001,J$1))</f>
        <v/>
      </c>
      <c r="K175" s="49">
        <f>IF(OR($AE175&lt;&gt;1,K$1=""),"",SUMIFS('All Donations'!$S$2:$S$4001,'All Donations'!$R$2:$R$4001,$AD175,'All Donations'!$T$2:$T$4001,K$1))</f>
        <v/>
      </c>
      <c r="L175" s="49">
        <f>IF(OR($AE175&lt;&gt;1,L$1=""),"",SUMIFS('All Donations'!$S$2:$S$4001,'All Donations'!$R$2:$R$4001,$AD175,'All Donations'!$T$2:$T$4001,L$1))</f>
        <v/>
      </c>
      <c r="M175" s="49">
        <f>IF(OR($AE175&lt;&gt;1,M$1=""),"",SUMIFS('All Donations'!$S$2:$S$4001,'All Donations'!$R$2:$R$4001,$AD175,'All Donations'!$T$2:$T$4001,M$1))</f>
        <v/>
      </c>
      <c r="N175" s="49">
        <f>IF(OR($AE175&lt;&gt;1,N$1=""),"",SUMIFS('All Donations'!$S$2:$S$4001,'All Donations'!$R$2:$R$4001,$AD175,'All Donations'!$T$2:$T$4001,N$1))</f>
        <v/>
      </c>
      <c r="O175" s="49">
        <f>IF(OR($AE175&lt;&gt;1,O$1=""),"",SUMIFS('All Donations'!$S$2:$S$4001,'All Donations'!$R$2:$R$4001,$AD175,'All Donations'!$T$2:$T$4001,O$1))</f>
        <v/>
      </c>
      <c r="P175" s="49">
        <f>IF(OR($AE175&lt;&gt;1,P$1=""),"",SUMIFS('All Donations'!$S$2:$S$4001,'All Donations'!$R$2:$R$4001,$AD175,'All Donations'!$T$2:$T$4001,P$1))</f>
        <v/>
      </c>
      <c r="Q175" s="49">
        <f>IF(OR($AE175&lt;&gt;1,Q$1=""),"",SUMIFS('All Donations'!$S$2:$S$4001,'All Donations'!$R$2:$R$4001,$AD175,'All Donations'!$T$2:$T$4001,Q$1))</f>
        <v/>
      </c>
      <c r="R175" s="49">
        <f>IF(OR($AE175&lt;&gt;1,R$1=""),"",SUMIFS('All Donations'!$S$2:$S$4001,'All Donations'!$R$2:$R$4001,$AD175,'All Donations'!$T$2:$T$4001,R$1))</f>
        <v/>
      </c>
      <c r="S175" s="49">
        <f>IF(OR($AE175&lt;&gt;1,S$1=""),"",SUMIFS('All Donations'!$S$2:$S$4001,'All Donations'!$R$2:$R$4001,$AD175,'All Donations'!$T$2:$T$4001,S$1))</f>
        <v/>
      </c>
      <c r="T175" s="49">
        <f>IF(OR($AE175&lt;&gt;1,T$1=""),"",SUMIFS('All Donations'!$S$2:$S$4001,'All Donations'!$R$2:$R$4001,$AD175,'All Donations'!$T$2:$T$4001,T$1))</f>
        <v/>
      </c>
      <c r="U175" s="49">
        <f>IF(OR($AE175&lt;&gt;1,U$1=""),"",SUMIFS('All Donations'!$S$2:$S$4001,'All Donations'!$R$2:$R$4001,$AD175,'All Donations'!$T$2:$T$4001,U$1))</f>
        <v/>
      </c>
      <c r="V175" s="49">
        <f>IF(OR($AE175&lt;&gt;1,V$1=""),"",SUMIFS('All Donations'!$S$2:$S$4001,'All Donations'!$R$2:$R$4001,$AD175,'All Donations'!$T$2:$T$4001,V$1))</f>
        <v/>
      </c>
      <c r="W175" s="49">
        <f>IF(OR($AE175&lt;&gt;1,W$1=""),"",SUMIFS('All Donations'!$S$2:$S$4001,'All Donations'!$R$2:$R$4001,$AD175,'All Donations'!$T$2:$T$4001,W$1))</f>
        <v/>
      </c>
      <c r="X175" s="49">
        <f>IF(OR($AE175&lt;&gt;1,X$1=""),"",SUMIFS('All Donations'!$S$2:$S$4001,'All Donations'!$R$2:$R$4001,$AD175,'All Donations'!$T$2:$T$4001,X$1))</f>
        <v/>
      </c>
      <c r="Y175" s="49">
        <f>IF(OR($AE175&lt;&gt;1,Y$1=""),"",SUMIFS('All Donations'!$S$2:$S$4001,'All Donations'!$R$2:$R$4001,$AD175,'All Donations'!$T$2:$T$4001,Y$1))</f>
        <v/>
      </c>
      <c r="Z175" s="49">
        <f>IF(OR($AE175&lt;&gt;1,Z$1=""),"",SUMIFS('All Donations'!$S$2:$S$4001,'All Donations'!$R$2:$R$4001,$AD175,'All Donations'!$T$2:$T$4001,Z$1))</f>
        <v/>
      </c>
      <c r="AA175" s="49">
        <f>IF(OR($AE175&lt;&gt;1,AA$1=""),"",SUMIFS('All Donations'!$S$2:$S$4001,'All Donations'!$R$2:$R$4001,$AD175,'All Donations'!$T$2:$T$4001,AA$1))</f>
        <v/>
      </c>
      <c r="AB175" s="49">
        <f>IF(OR($AE175&lt;&gt;1,AB$1=""),"",SUMIFS('All Donations'!$S$2:$S$4001,'All Donations'!$R$2:$R$4001,$AD175,'All Donations'!$T$2:$T$4001,AB$1))</f>
        <v/>
      </c>
      <c r="AC175" s="49">
        <f>IF(OR($AE175&lt;&gt;1,AC$1=""),"",SUMIFS('All Donations'!$S$2:$S$4001,'All Donations'!$R$2:$R$4001,$AD175,'All Donations'!$T$2:$T$4001,AC$1))</f>
        <v/>
      </c>
      <c r="AD175">
        <f>IF(AE175=1,'Roster'!A175,"")</f>
        <v/>
      </c>
      <c r="AE175">
        <f>IF(TRIM('Roster'!B175&amp;'Roster'!C175)&lt;&gt;"",1,0)</f>
        <v/>
      </c>
      <c r="AF175">
        <f>IF(AE175=1,LOWER(A175),"#")</f>
        <v/>
      </c>
      <c r="AG175">
        <f>IF(AE175=1,LOWER(TRIM(TRIM('Roster'!C175)&amp;", "&amp;TRIM('Roster'!B175))),"#")</f>
        <v/>
      </c>
      <c r="AH175">
        <f>IF(AND(AE175=1,TRIM('Roster'!F175)&lt;&gt;""),LOWER(TRIM('Roster'!F175)),"#")</f>
        <v/>
      </c>
      <c r="AI175">
        <f>IF(AE175=1,IF(MATCH(B175,$B$2:$B$701,0)=ROW()-1,1,0),0)</f>
        <v/>
      </c>
      <c r="AJ175">
        <f>AJ174+AI175</f>
        <v/>
      </c>
      <c r="AK175">
        <f>IF(AE175=1,D175+(1000-ROW())/10^7,-1)</f>
        <v/>
      </c>
      <c r="AL175">
        <f>IF(AE175=1,TRIM('Roster'!B175)&amp;" "&amp;LEFT(TRIM('Roster'!C175),1)&amp;".","")</f>
        <v/>
      </c>
      <c r="AM175">
        <f>IF(AE175=1,TRIM('Roster'!C175)&amp;", "&amp;TRIM('Roster'!B175)&amp;" ("&amp;B175&amp;") #"&amp;AD175,"")</f>
        <v/>
      </c>
      <c r="AN175">
        <f>IF(AE175=1,TRIM('Roster'!E175),"")</f>
        <v/>
      </c>
      <c r="AO175">
        <f>IF(AE175=1,ROUND(SUMIFS('All Donations'!$S$2:$S$4001,'All Donations'!$R$2:$R$4001,AD175,'All Donations'!$T$2:$T$4001,"&gt;="&amp;'Settings'!$C$23,'All Donations'!$T$2:$T$4001,"&lt;="&amp;'Settings'!$D$23),2),0)</f>
        <v/>
      </c>
      <c r="AQ175">
        <f>IF(AE175=1,ROUND(SUMIFS('All Donations'!$S$2:$S$4001,'All Donations'!$R$2:$R$4001,AD175,'All Donations'!$T$2:$T$4001,"&gt;="&amp;'Settings'!$C$25,'All Donations'!$T$2:$T$4001,"&lt;="&amp;'Settings'!$D$25),2),0)</f>
        <v/>
      </c>
      <c r="AR175">
        <f>IF(AE175=1,ROUND(SUMIFS('All Donations'!$S$2:$S$4001,'All Donations'!$R$2:$R$4001,AD175,'All Donations'!$T$2:$T$4001,"&gt;="&amp;'Settings'!$C$26,'All Donations'!$T$2:$T$4001,"&lt;="&amp;'Settings'!$D$26),2),0)</f>
        <v/>
      </c>
      <c r="AS175">
        <f>IF(AE175=1,ROUND(SUMIFS('All Donations'!$S$2:$S$4001,'All Donations'!$R$2:$R$4001,AD175,'All Donations'!$T$2:$T$4001,"&lt;="&amp;'Settings'!$D$27),2),0)</f>
        <v/>
      </c>
      <c r="AT175">
        <f>IF(AE175=1,ROUND(SUMIFS('All Donations'!$S$2:$S$4001,'All Donations'!$R$2:$R$4001,AD175,'All Donations'!$T$2:$T$4001,"&gt;="&amp;'Settings'!$C$28,'All Donations'!$T$2:$T$4001,"&lt;="&amp;'Settings'!$D$28),2),0)</f>
        <v/>
      </c>
      <c r="AU175">
        <f>IF(AE175=1,ROUND(SUMIFS('All Donations'!$S$2:$S$4001,'All Donations'!$R$2:$R$4001,AD175,'All Donations'!$T$2:$T$4001,"&gt;="&amp;'Settings'!$C$29,'All Donations'!$T$2:$T$4001,"&lt;="&amp;'Settings'!$D$29),2),0)</f>
        <v/>
      </c>
      <c r="AV175">
        <f>IF(AE175=1,ROUND(SUMIFS('All Donations'!$S$2:$S$4001,'All Donations'!$R$2:$R$4001,AD175,'All Donations'!$T$2:$T$4001,"&lt;="&amp;'Settings'!$D$30),2),0)</f>
        <v/>
      </c>
      <c r="AZ175">
        <f>IF(AE175=1,ROUND(SUMIFS('All Donations'!$S$2:$S$4001,'All Donations'!$R$2:$R$4001,AD175,'All Donations'!$T$2:$T$4001,"&lt;="&amp;'Settings'!$D$34),2),0)</f>
        <v/>
      </c>
    </row>
    <row r="176">
      <c r="A176">
        <f>IF(AE176=1,TRIM(TRIM('Roster'!B176)&amp;" "&amp;TRIM('Roster'!C176)),"")</f>
        <v/>
      </c>
      <c r="B176">
        <f>IF(AE176=1,IF(AN176="","(no teacher)",AN176&amp;" – "&amp;C176),"")</f>
        <v/>
      </c>
      <c r="C176">
        <f>IF(AE176=1,TRIM('Roster'!D176&amp;""),"")</f>
        <v/>
      </c>
      <c r="D176" s="48">
        <f>IF(AE176=1,ROUND(SUMIFS('All Donations'!$S$2:$S$4001,'All Donations'!$R$2:$R$4001,AD176),2),"")</f>
        <v/>
      </c>
      <c r="E176" s="48">
        <f>IF(AE176=1,ROUND(SUMIFS('All Donations'!$S$2:$S$4001,'All Donations'!$R$2:$R$4001,AD176,'All Donations'!$G$2:$G$4001,"OneCause"),2),"")</f>
        <v/>
      </c>
      <c r="F176" s="48">
        <f>IF(AE176=1,D176-E176,"")</f>
        <v/>
      </c>
      <c r="G176">
        <f>IF(AE176=1,COUNTIFS('All Donations'!$R$2:$R$4001,AD176,'All Donations'!$H$2:$H$4001,"OK"),"")</f>
        <v/>
      </c>
      <c r="H176">
        <f>IF(AE176&lt;&gt;1,"",IF(D176&gt;0,"Yes",""))</f>
        <v/>
      </c>
      <c r="I176" s="49">
        <f>IF(OR($AE176&lt;&gt;1,I$1=""),"",SUMIFS('All Donations'!$S$2:$S$4001,'All Donations'!$R$2:$R$4001,$AD176,'All Donations'!$T$2:$T$4001,I$1))</f>
        <v/>
      </c>
      <c r="J176" s="49">
        <f>IF(OR($AE176&lt;&gt;1,J$1=""),"",SUMIFS('All Donations'!$S$2:$S$4001,'All Donations'!$R$2:$R$4001,$AD176,'All Donations'!$T$2:$T$4001,J$1))</f>
        <v/>
      </c>
      <c r="K176" s="49">
        <f>IF(OR($AE176&lt;&gt;1,K$1=""),"",SUMIFS('All Donations'!$S$2:$S$4001,'All Donations'!$R$2:$R$4001,$AD176,'All Donations'!$T$2:$T$4001,K$1))</f>
        <v/>
      </c>
      <c r="L176" s="49">
        <f>IF(OR($AE176&lt;&gt;1,L$1=""),"",SUMIFS('All Donations'!$S$2:$S$4001,'All Donations'!$R$2:$R$4001,$AD176,'All Donations'!$T$2:$T$4001,L$1))</f>
        <v/>
      </c>
      <c r="M176" s="49">
        <f>IF(OR($AE176&lt;&gt;1,M$1=""),"",SUMIFS('All Donations'!$S$2:$S$4001,'All Donations'!$R$2:$R$4001,$AD176,'All Donations'!$T$2:$T$4001,M$1))</f>
        <v/>
      </c>
      <c r="N176" s="49">
        <f>IF(OR($AE176&lt;&gt;1,N$1=""),"",SUMIFS('All Donations'!$S$2:$S$4001,'All Donations'!$R$2:$R$4001,$AD176,'All Donations'!$T$2:$T$4001,N$1))</f>
        <v/>
      </c>
      <c r="O176" s="49">
        <f>IF(OR($AE176&lt;&gt;1,O$1=""),"",SUMIFS('All Donations'!$S$2:$S$4001,'All Donations'!$R$2:$R$4001,$AD176,'All Donations'!$T$2:$T$4001,O$1))</f>
        <v/>
      </c>
      <c r="P176" s="49">
        <f>IF(OR($AE176&lt;&gt;1,P$1=""),"",SUMIFS('All Donations'!$S$2:$S$4001,'All Donations'!$R$2:$R$4001,$AD176,'All Donations'!$T$2:$T$4001,P$1))</f>
        <v/>
      </c>
      <c r="Q176" s="49">
        <f>IF(OR($AE176&lt;&gt;1,Q$1=""),"",SUMIFS('All Donations'!$S$2:$S$4001,'All Donations'!$R$2:$R$4001,$AD176,'All Donations'!$T$2:$T$4001,Q$1))</f>
        <v/>
      </c>
      <c r="R176" s="49">
        <f>IF(OR($AE176&lt;&gt;1,R$1=""),"",SUMIFS('All Donations'!$S$2:$S$4001,'All Donations'!$R$2:$R$4001,$AD176,'All Donations'!$T$2:$T$4001,R$1))</f>
        <v/>
      </c>
      <c r="S176" s="49">
        <f>IF(OR($AE176&lt;&gt;1,S$1=""),"",SUMIFS('All Donations'!$S$2:$S$4001,'All Donations'!$R$2:$R$4001,$AD176,'All Donations'!$T$2:$T$4001,S$1))</f>
        <v/>
      </c>
      <c r="T176" s="49">
        <f>IF(OR($AE176&lt;&gt;1,T$1=""),"",SUMIFS('All Donations'!$S$2:$S$4001,'All Donations'!$R$2:$R$4001,$AD176,'All Donations'!$T$2:$T$4001,T$1))</f>
        <v/>
      </c>
      <c r="U176" s="49">
        <f>IF(OR($AE176&lt;&gt;1,U$1=""),"",SUMIFS('All Donations'!$S$2:$S$4001,'All Donations'!$R$2:$R$4001,$AD176,'All Donations'!$T$2:$T$4001,U$1))</f>
        <v/>
      </c>
      <c r="V176" s="49">
        <f>IF(OR($AE176&lt;&gt;1,V$1=""),"",SUMIFS('All Donations'!$S$2:$S$4001,'All Donations'!$R$2:$R$4001,$AD176,'All Donations'!$T$2:$T$4001,V$1))</f>
        <v/>
      </c>
      <c r="W176" s="49">
        <f>IF(OR($AE176&lt;&gt;1,W$1=""),"",SUMIFS('All Donations'!$S$2:$S$4001,'All Donations'!$R$2:$R$4001,$AD176,'All Donations'!$T$2:$T$4001,W$1))</f>
        <v/>
      </c>
      <c r="X176" s="49">
        <f>IF(OR($AE176&lt;&gt;1,X$1=""),"",SUMIFS('All Donations'!$S$2:$S$4001,'All Donations'!$R$2:$R$4001,$AD176,'All Donations'!$T$2:$T$4001,X$1))</f>
        <v/>
      </c>
      <c r="Y176" s="49">
        <f>IF(OR($AE176&lt;&gt;1,Y$1=""),"",SUMIFS('All Donations'!$S$2:$S$4001,'All Donations'!$R$2:$R$4001,$AD176,'All Donations'!$T$2:$T$4001,Y$1))</f>
        <v/>
      </c>
      <c r="Z176" s="49">
        <f>IF(OR($AE176&lt;&gt;1,Z$1=""),"",SUMIFS('All Donations'!$S$2:$S$4001,'All Donations'!$R$2:$R$4001,$AD176,'All Donations'!$T$2:$T$4001,Z$1))</f>
        <v/>
      </c>
      <c r="AA176" s="49">
        <f>IF(OR($AE176&lt;&gt;1,AA$1=""),"",SUMIFS('All Donations'!$S$2:$S$4001,'All Donations'!$R$2:$R$4001,$AD176,'All Donations'!$T$2:$T$4001,AA$1))</f>
        <v/>
      </c>
      <c r="AB176" s="49">
        <f>IF(OR($AE176&lt;&gt;1,AB$1=""),"",SUMIFS('All Donations'!$S$2:$S$4001,'All Donations'!$R$2:$R$4001,$AD176,'All Donations'!$T$2:$T$4001,AB$1))</f>
        <v/>
      </c>
      <c r="AC176" s="49">
        <f>IF(OR($AE176&lt;&gt;1,AC$1=""),"",SUMIFS('All Donations'!$S$2:$S$4001,'All Donations'!$R$2:$R$4001,$AD176,'All Donations'!$T$2:$T$4001,AC$1))</f>
        <v/>
      </c>
      <c r="AD176">
        <f>IF(AE176=1,'Roster'!A176,"")</f>
        <v/>
      </c>
      <c r="AE176">
        <f>IF(TRIM('Roster'!B176&amp;'Roster'!C176)&lt;&gt;"",1,0)</f>
        <v/>
      </c>
      <c r="AF176">
        <f>IF(AE176=1,LOWER(A176),"#")</f>
        <v/>
      </c>
      <c r="AG176">
        <f>IF(AE176=1,LOWER(TRIM(TRIM('Roster'!C176)&amp;", "&amp;TRIM('Roster'!B176))),"#")</f>
        <v/>
      </c>
      <c r="AH176">
        <f>IF(AND(AE176=1,TRIM('Roster'!F176)&lt;&gt;""),LOWER(TRIM('Roster'!F176)),"#")</f>
        <v/>
      </c>
      <c r="AI176">
        <f>IF(AE176=1,IF(MATCH(B176,$B$2:$B$701,0)=ROW()-1,1,0),0)</f>
        <v/>
      </c>
      <c r="AJ176">
        <f>AJ175+AI176</f>
        <v/>
      </c>
      <c r="AK176">
        <f>IF(AE176=1,D176+(1000-ROW())/10^7,-1)</f>
        <v/>
      </c>
      <c r="AL176">
        <f>IF(AE176=1,TRIM('Roster'!B176)&amp;" "&amp;LEFT(TRIM('Roster'!C176),1)&amp;".","")</f>
        <v/>
      </c>
      <c r="AM176">
        <f>IF(AE176=1,TRIM('Roster'!C176)&amp;", "&amp;TRIM('Roster'!B176)&amp;" ("&amp;B176&amp;") #"&amp;AD176,"")</f>
        <v/>
      </c>
      <c r="AN176">
        <f>IF(AE176=1,TRIM('Roster'!E176),"")</f>
        <v/>
      </c>
      <c r="AO176">
        <f>IF(AE176=1,ROUND(SUMIFS('All Donations'!$S$2:$S$4001,'All Donations'!$R$2:$R$4001,AD176,'All Donations'!$T$2:$T$4001,"&gt;="&amp;'Settings'!$C$23,'All Donations'!$T$2:$T$4001,"&lt;="&amp;'Settings'!$D$23),2),0)</f>
        <v/>
      </c>
      <c r="AQ176">
        <f>IF(AE176=1,ROUND(SUMIFS('All Donations'!$S$2:$S$4001,'All Donations'!$R$2:$R$4001,AD176,'All Donations'!$T$2:$T$4001,"&gt;="&amp;'Settings'!$C$25,'All Donations'!$T$2:$T$4001,"&lt;="&amp;'Settings'!$D$25),2),0)</f>
        <v/>
      </c>
      <c r="AR176">
        <f>IF(AE176=1,ROUND(SUMIFS('All Donations'!$S$2:$S$4001,'All Donations'!$R$2:$R$4001,AD176,'All Donations'!$T$2:$T$4001,"&gt;="&amp;'Settings'!$C$26,'All Donations'!$T$2:$T$4001,"&lt;="&amp;'Settings'!$D$26),2),0)</f>
        <v/>
      </c>
      <c r="AS176">
        <f>IF(AE176=1,ROUND(SUMIFS('All Donations'!$S$2:$S$4001,'All Donations'!$R$2:$R$4001,AD176,'All Donations'!$T$2:$T$4001,"&lt;="&amp;'Settings'!$D$27),2),0)</f>
        <v/>
      </c>
      <c r="AT176">
        <f>IF(AE176=1,ROUND(SUMIFS('All Donations'!$S$2:$S$4001,'All Donations'!$R$2:$R$4001,AD176,'All Donations'!$T$2:$T$4001,"&gt;="&amp;'Settings'!$C$28,'All Donations'!$T$2:$T$4001,"&lt;="&amp;'Settings'!$D$28),2),0)</f>
        <v/>
      </c>
      <c r="AU176">
        <f>IF(AE176=1,ROUND(SUMIFS('All Donations'!$S$2:$S$4001,'All Donations'!$R$2:$R$4001,AD176,'All Donations'!$T$2:$T$4001,"&gt;="&amp;'Settings'!$C$29,'All Donations'!$T$2:$T$4001,"&lt;="&amp;'Settings'!$D$29),2),0)</f>
        <v/>
      </c>
      <c r="AV176">
        <f>IF(AE176=1,ROUND(SUMIFS('All Donations'!$S$2:$S$4001,'All Donations'!$R$2:$R$4001,AD176,'All Donations'!$T$2:$T$4001,"&lt;="&amp;'Settings'!$D$30),2),0)</f>
        <v/>
      </c>
      <c r="AZ176">
        <f>IF(AE176=1,ROUND(SUMIFS('All Donations'!$S$2:$S$4001,'All Donations'!$R$2:$R$4001,AD176,'All Donations'!$T$2:$T$4001,"&lt;="&amp;'Settings'!$D$34),2),0)</f>
        <v/>
      </c>
    </row>
    <row r="177">
      <c r="A177">
        <f>IF(AE177=1,TRIM(TRIM('Roster'!B177)&amp;" "&amp;TRIM('Roster'!C177)),"")</f>
        <v/>
      </c>
      <c r="B177">
        <f>IF(AE177=1,IF(AN177="","(no teacher)",AN177&amp;" – "&amp;C177),"")</f>
        <v/>
      </c>
      <c r="C177">
        <f>IF(AE177=1,TRIM('Roster'!D177&amp;""),"")</f>
        <v/>
      </c>
      <c r="D177" s="48">
        <f>IF(AE177=1,ROUND(SUMIFS('All Donations'!$S$2:$S$4001,'All Donations'!$R$2:$R$4001,AD177),2),"")</f>
        <v/>
      </c>
      <c r="E177" s="48">
        <f>IF(AE177=1,ROUND(SUMIFS('All Donations'!$S$2:$S$4001,'All Donations'!$R$2:$R$4001,AD177,'All Donations'!$G$2:$G$4001,"OneCause"),2),"")</f>
        <v/>
      </c>
      <c r="F177" s="48">
        <f>IF(AE177=1,D177-E177,"")</f>
        <v/>
      </c>
      <c r="G177">
        <f>IF(AE177=1,COUNTIFS('All Donations'!$R$2:$R$4001,AD177,'All Donations'!$H$2:$H$4001,"OK"),"")</f>
        <v/>
      </c>
      <c r="H177">
        <f>IF(AE177&lt;&gt;1,"",IF(D177&gt;0,"Yes",""))</f>
        <v/>
      </c>
      <c r="I177" s="49">
        <f>IF(OR($AE177&lt;&gt;1,I$1=""),"",SUMIFS('All Donations'!$S$2:$S$4001,'All Donations'!$R$2:$R$4001,$AD177,'All Donations'!$T$2:$T$4001,I$1))</f>
        <v/>
      </c>
      <c r="J177" s="49">
        <f>IF(OR($AE177&lt;&gt;1,J$1=""),"",SUMIFS('All Donations'!$S$2:$S$4001,'All Donations'!$R$2:$R$4001,$AD177,'All Donations'!$T$2:$T$4001,J$1))</f>
        <v/>
      </c>
      <c r="K177" s="49">
        <f>IF(OR($AE177&lt;&gt;1,K$1=""),"",SUMIFS('All Donations'!$S$2:$S$4001,'All Donations'!$R$2:$R$4001,$AD177,'All Donations'!$T$2:$T$4001,K$1))</f>
        <v/>
      </c>
      <c r="L177" s="49">
        <f>IF(OR($AE177&lt;&gt;1,L$1=""),"",SUMIFS('All Donations'!$S$2:$S$4001,'All Donations'!$R$2:$R$4001,$AD177,'All Donations'!$T$2:$T$4001,L$1))</f>
        <v/>
      </c>
      <c r="M177" s="49">
        <f>IF(OR($AE177&lt;&gt;1,M$1=""),"",SUMIFS('All Donations'!$S$2:$S$4001,'All Donations'!$R$2:$R$4001,$AD177,'All Donations'!$T$2:$T$4001,M$1))</f>
        <v/>
      </c>
      <c r="N177" s="49">
        <f>IF(OR($AE177&lt;&gt;1,N$1=""),"",SUMIFS('All Donations'!$S$2:$S$4001,'All Donations'!$R$2:$R$4001,$AD177,'All Donations'!$T$2:$T$4001,N$1))</f>
        <v/>
      </c>
      <c r="O177" s="49">
        <f>IF(OR($AE177&lt;&gt;1,O$1=""),"",SUMIFS('All Donations'!$S$2:$S$4001,'All Donations'!$R$2:$R$4001,$AD177,'All Donations'!$T$2:$T$4001,O$1))</f>
        <v/>
      </c>
      <c r="P177" s="49">
        <f>IF(OR($AE177&lt;&gt;1,P$1=""),"",SUMIFS('All Donations'!$S$2:$S$4001,'All Donations'!$R$2:$R$4001,$AD177,'All Donations'!$T$2:$T$4001,P$1))</f>
        <v/>
      </c>
      <c r="Q177" s="49">
        <f>IF(OR($AE177&lt;&gt;1,Q$1=""),"",SUMIFS('All Donations'!$S$2:$S$4001,'All Donations'!$R$2:$R$4001,$AD177,'All Donations'!$T$2:$T$4001,Q$1))</f>
        <v/>
      </c>
      <c r="R177" s="49">
        <f>IF(OR($AE177&lt;&gt;1,R$1=""),"",SUMIFS('All Donations'!$S$2:$S$4001,'All Donations'!$R$2:$R$4001,$AD177,'All Donations'!$T$2:$T$4001,R$1))</f>
        <v/>
      </c>
      <c r="S177" s="49">
        <f>IF(OR($AE177&lt;&gt;1,S$1=""),"",SUMIFS('All Donations'!$S$2:$S$4001,'All Donations'!$R$2:$R$4001,$AD177,'All Donations'!$T$2:$T$4001,S$1))</f>
        <v/>
      </c>
      <c r="T177" s="49">
        <f>IF(OR($AE177&lt;&gt;1,T$1=""),"",SUMIFS('All Donations'!$S$2:$S$4001,'All Donations'!$R$2:$R$4001,$AD177,'All Donations'!$T$2:$T$4001,T$1))</f>
        <v/>
      </c>
      <c r="U177" s="49">
        <f>IF(OR($AE177&lt;&gt;1,U$1=""),"",SUMIFS('All Donations'!$S$2:$S$4001,'All Donations'!$R$2:$R$4001,$AD177,'All Donations'!$T$2:$T$4001,U$1))</f>
        <v/>
      </c>
      <c r="V177" s="49">
        <f>IF(OR($AE177&lt;&gt;1,V$1=""),"",SUMIFS('All Donations'!$S$2:$S$4001,'All Donations'!$R$2:$R$4001,$AD177,'All Donations'!$T$2:$T$4001,V$1))</f>
        <v/>
      </c>
      <c r="W177" s="49">
        <f>IF(OR($AE177&lt;&gt;1,W$1=""),"",SUMIFS('All Donations'!$S$2:$S$4001,'All Donations'!$R$2:$R$4001,$AD177,'All Donations'!$T$2:$T$4001,W$1))</f>
        <v/>
      </c>
      <c r="X177" s="49">
        <f>IF(OR($AE177&lt;&gt;1,X$1=""),"",SUMIFS('All Donations'!$S$2:$S$4001,'All Donations'!$R$2:$R$4001,$AD177,'All Donations'!$T$2:$T$4001,X$1))</f>
        <v/>
      </c>
      <c r="Y177" s="49">
        <f>IF(OR($AE177&lt;&gt;1,Y$1=""),"",SUMIFS('All Donations'!$S$2:$S$4001,'All Donations'!$R$2:$R$4001,$AD177,'All Donations'!$T$2:$T$4001,Y$1))</f>
        <v/>
      </c>
      <c r="Z177" s="49">
        <f>IF(OR($AE177&lt;&gt;1,Z$1=""),"",SUMIFS('All Donations'!$S$2:$S$4001,'All Donations'!$R$2:$R$4001,$AD177,'All Donations'!$T$2:$T$4001,Z$1))</f>
        <v/>
      </c>
      <c r="AA177" s="49">
        <f>IF(OR($AE177&lt;&gt;1,AA$1=""),"",SUMIFS('All Donations'!$S$2:$S$4001,'All Donations'!$R$2:$R$4001,$AD177,'All Donations'!$T$2:$T$4001,AA$1))</f>
        <v/>
      </c>
      <c r="AB177" s="49">
        <f>IF(OR($AE177&lt;&gt;1,AB$1=""),"",SUMIFS('All Donations'!$S$2:$S$4001,'All Donations'!$R$2:$R$4001,$AD177,'All Donations'!$T$2:$T$4001,AB$1))</f>
        <v/>
      </c>
      <c r="AC177" s="49">
        <f>IF(OR($AE177&lt;&gt;1,AC$1=""),"",SUMIFS('All Donations'!$S$2:$S$4001,'All Donations'!$R$2:$R$4001,$AD177,'All Donations'!$T$2:$T$4001,AC$1))</f>
        <v/>
      </c>
      <c r="AD177">
        <f>IF(AE177=1,'Roster'!A177,"")</f>
        <v/>
      </c>
      <c r="AE177">
        <f>IF(TRIM('Roster'!B177&amp;'Roster'!C177)&lt;&gt;"",1,0)</f>
        <v/>
      </c>
      <c r="AF177">
        <f>IF(AE177=1,LOWER(A177),"#")</f>
        <v/>
      </c>
      <c r="AG177">
        <f>IF(AE177=1,LOWER(TRIM(TRIM('Roster'!C177)&amp;", "&amp;TRIM('Roster'!B177))),"#")</f>
        <v/>
      </c>
      <c r="AH177">
        <f>IF(AND(AE177=1,TRIM('Roster'!F177)&lt;&gt;""),LOWER(TRIM('Roster'!F177)),"#")</f>
        <v/>
      </c>
      <c r="AI177">
        <f>IF(AE177=1,IF(MATCH(B177,$B$2:$B$701,0)=ROW()-1,1,0),0)</f>
        <v/>
      </c>
      <c r="AJ177">
        <f>AJ176+AI177</f>
        <v/>
      </c>
      <c r="AK177">
        <f>IF(AE177=1,D177+(1000-ROW())/10^7,-1)</f>
        <v/>
      </c>
      <c r="AL177">
        <f>IF(AE177=1,TRIM('Roster'!B177)&amp;" "&amp;LEFT(TRIM('Roster'!C177),1)&amp;".","")</f>
        <v/>
      </c>
      <c r="AM177">
        <f>IF(AE177=1,TRIM('Roster'!C177)&amp;", "&amp;TRIM('Roster'!B177)&amp;" ("&amp;B177&amp;") #"&amp;AD177,"")</f>
        <v/>
      </c>
      <c r="AN177">
        <f>IF(AE177=1,TRIM('Roster'!E177),"")</f>
        <v/>
      </c>
      <c r="AO177">
        <f>IF(AE177=1,ROUND(SUMIFS('All Donations'!$S$2:$S$4001,'All Donations'!$R$2:$R$4001,AD177,'All Donations'!$T$2:$T$4001,"&gt;="&amp;'Settings'!$C$23,'All Donations'!$T$2:$T$4001,"&lt;="&amp;'Settings'!$D$23),2),0)</f>
        <v/>
      </c>
      <c r="AQ177">
        <f>IF(AE177=1,ROUND(SUMIFS('All Donations'!$S$2:$S$4001,'All Donations'!$R$2:$R$4001,AD177,'All Donations'!$T$2:$T$4001,"&gt;="&amp;'Settings'!$C$25,'All Donations'!$T$2:$T$4001,"&lt;="&amp;'Settings'!$D$25),2),0)</f>
        <v/>
      </c>
      <c r="AR177">
        <f>IF(AE177=1,ROUND(SUMIFS('All Donations'!$S$2:$S$4001,'All Donations'!$R$2:$R$4001,AD177,'All Donations'!$T$2:$T$4001,"&gt;="&amp;'Settings'!$C$26,'All Donations'!$T$2:$T$4001,"&lt;="&amp;'Settings'!$D$26),2),0)</f>
        <v/>
      </c>
      <c r="AS177">
        <f>IF(AE177=1,ROUND(SUMIFS('All Donations'!$S$2:$S$4001,'All Donations'!$R$2:$R$4001,AD177,'All Donations'!$T$2:$T$4001,"&lt;="&amp;'Settings'!$D$27),2),0)</f>
        <v/>
      </c>
      <c r="AT177">
        <f>IF(AE177=1,ROUND(SUMIFS('All Donations'!$S$2:$S$4001,'All Donations'!$R$2:$R$4001,AD177,'All Donations'!$T$2:$T$4001,"&gt;="&amp;'Settings'!$C$28,'All Donations'!$T$2:$T$4001,"&lt;="&amp;'Settings'!$D$28),2),0)</f>
        <v/>
      </c>
      <c r="AU177">
        <f>IF(AE177=1,ROUND(SUMIFS('All Donations'!$S$2:$S$4001,'All Donations'!$R$2:$R$4001,AD177,'All Donations'!$T$2:$T$4001,"&gt;="&amp;'Settings'!$C$29,'All Donations'!$T$2:$T$4001,"&lt;="&amp;'Settings'!$D$29),2),0)</f>
        <v/>
      </c>
      <c r="AV177">
        <f>IF(AE177=1,ROUND(SUMIFS('All Donations'!$S$2:$S$4001,'All Donations'!$R$2:$R$4001,AD177,'All Donations'!$T$2:$T$4001,"&lt;="&amp;'Settings'!$D$30),2),0)</f>
        <v/>
      </c>
      <c r="AZ177">
        <f>IF(AE177=1,ROUND(SUMIFS('All Donations'!$S$2:$S$4001,'All Donations'!$R$2:$R$4001,AD177,'All Donations'!$T$2:$T$4001,"&lt;="&amp;'Settings'!$D$34),2),0)</f>
        <v/>
      </c>
    </row>
    <row r="178">
      <c r="A178">
        <f>IF(AE178=1,TRIM(TRIM('Roster'!B178)&amp;" "&amp;TRIM('Roster'!C178)),"")</f>
        <v/>
      </c>
      <c r="B178">
        <f>IF(AE178=1,IF(AN178="","(no teacher)",AN178&amp;" – "&amp;C178),"")</f>
        <v/>
      </c>
      <c r="C178">
        <f>IF(AE178=1,TRIM('Roster'!D178&amp;""),"")</f>
        <v/>
      </c>
      <c r="D178" s="48">
        <f>IF(AE178=1,ROUND(SUMIFS('All Donations'!$S$2:$S$4001,'All Donations'!$R$2:$R$4001,AD178),2),"")</f>
        <v/>
      </c>
      <c r="E178" s="48">
        <f>IF(AE178=1,ROUND(SUMIFS('All Donations'!$S$2:$S$4001,'All Donations'!$R$2:$R$4001,AD178,'All Donations'!$G$2:$G$4001,"OneCause"),2),"")</f>
        <v/>
      </c>
      <c r="F178" s="48">
        <f>IF(AE178=1,D178-E178,"")</f>
        <v/>
      </c>
      <c r="G178">
        <f>IF(AE178=1,COUNTIFS('All Donations'!$R$2:$R$4001,AD178,'All Donations'!$H$2:$H$4001,"OK"),"")</f>
        <v/>
      </c>
      <c r="H178">
        <f>IF(AE178&lt;&gt;1,"",IF(D178&gt;0,"Yes",""))</f>
        <v/>
      </c>
      <c r="I178" s="49">
        <f>IF(OR($AE178&lt;&gt;1,I$1=""),"",SUMIFS('All Donations'!$S$2:$S$4001,'All Donations'!$R$2:$R$4001,$AD178,'All Donations'!$T$2:$T$4001,I$1))</f>
        <v/>
      </c>
      <c r="J178" s="49">
        <f>IF(OR($AE178&lt;&gt;1,J$1=""),"",SUMIFS('All Donations'!$S$2:$S$4001,'All Donations'!$R$2:$R$4001,$AD178,'All Donations'!$T$2:$T$4001,J$1))</f>
        <v/>
      </c>
      <c r="K178" s="49">
        <f>IF(OR($AE178&lt;&gt;1,K$1=""),"",SUMIFS('All Donations'!$S$2:$S$4001,'All Donations'!$R$2:$R$4001,$AD178,'All Donations'!$T$2:$T$4001,K$1))</f>
        <v/>
      </c>
      <c r="L178" s="49">
        <f>IF(OR($AE178&lt;&gt;1,L$1=""),"",SUMIFS('All Donations'!$S$2:$S$4001,'All Donations'!$R$2:$R$4001,$AD178,'All Donations'!$T$2:$T$4001,L$1))</f>
        <v/>
      </c>
      <c r="M178" s="49">
        <f>IF(OR($AE178&lt;&gt;1,M$1=""),"",SUMIFS('All Donations'!$S$2:$S$4001,'All Donations'!$R$2:$R$4001,$AD178,'All Donations'!$T$2:$T$4001,M$1))</f>
        <v/>
      </c>
      <c r="N178" s="49">
        <f>IF(OR($AE178&lt;&gt;1,N$1=""),"",SUMIFS('All Donations'!$S$2:$S$4001,'All Donations'!$R$2:$R$4001,$AD178,'All Donations'!$T$2:$T$4001,N$1))</f>
        <v/>
      </c>
      <c r="O178" s="49">
        <f>IF(OR($AE178&lt;&gt;1,O$1=""),"",SUMIFS('All Donations'!$S$2:$S$4001,'All Donations'!$R$2:$R$4001,$AD178,'All Donations'!$T$2:$T$4001,O$1))</f>
        <v/>
      </c>
      <c r="P178" s="49">
        <f>IF(OR($AE178&lt;&gt;1,P$1=""),"",SUMIFS('All Donations'!$S$2:$S$4001,'All Donations'!$R$2:$R$4001,$AD178,'All Donations'!$T$2:$T$4001,P$1))</f>
        <v/>
      </c>
      <c r="Q178" s="49">
        <f>IF(OR($AE178&lt;&gt;1,Q$1=""),"",SUMIFS('All Donations'!$S$2:$S$4001,'All Donations'!$R$2:$R$4001,$AD178,'All Donations'!$T$2:$T$4001,Q$1))</f>
        <v/>
      </c>
      <c r="R178" s="49">
        <f>IF(OR($AE178&lt;&gt;1,R$1=""),"",SUMIFS('All Donations'!$S$2:$S$4001,'All Donations'!$R$2:$R$4001,$AD178,'All Donations'!$T$2:$T$4001,R$1))</f>
        <v/>
      </c>
      <c r="S178" s="49">
        <f>IF(OR($AE178&lt;&gt;1,S$1=""),"",SUMIFS('All Donations'!$S$2:$S$4001,'All Donations'!$R$2:$R$4001,$AD178,'All Donations'!$T$2:$T$4001,S$1))</f>
        <v/>
      </c>
      <c r="T178" s="49">
        <f>IF(OR($AE178&lt;&gt;1,T$1=""),"",SUMIFS('All Donations'!$S$2:$S$4001,'All Donations'!$R$2:$R$4001,$AD178,'All Donations'!$T$2:$T$4001,T$1))</f>
        <v/>
      </c>
      <c r="U178" s="49">
        <f>IF(OR($AE178&lt;&gt;1,U$1=""),"",SUMIFS('All Donations'!$S$2:$S$4001,'All Donations'!$R$2:$R$4001,$AD178,'All Donations'!$T$2:$T$4001,U$1))</f>
        <v/>
      </c>
      <c r="V178" s="49">
        <f>IF(OR($AE178&lt;&gt;1,V$1=""),"",SUMIFS('All Donations'!$S$2:$S$4001,'All Donations'!$R$2:$R$4001,$AD178,'All Donations'!$T$2:$T$4001,V$1))</f>
        <v/>
      </c>
      <c r="W178" s="49">
        <f>IF(OR($AE178&lt;&gt;1,W$1=""),"",SUMIFS('All Donations'!$S$2:$S$4001,'All Donations'!$R$2:$R$4001,$AD178,'All Donations'!$T$2:$T$4001,W$1))</f>
        <v/>
      </c>
      <c r="X178" s="49">
        <f>IF(OR($AE178&lt;&gt;1,X$1=""),"",SUMIFS('All Donations'!$S$2:$S$4001,'All Donations'!$R$2:$R$4001,$AD178,'All Donations'!$T$2:$T$4001,X$1))</f>
        <v/>
      </c>
      <c r="Y178" s="49">
        <f>IF(OR($AE178&lt;&gt;1,Y$1=""),"",SUMIFS('All Donations'!$S$2:$S$4001,'All Donations'!$R$2:$R$4001,$AD178,'All Donations'!$T$2:$T$4001,Y$1))</f>
        <v/>
      </c>
      <c r="Z178" s="49">
        <f>IF(OR($AE178&lt;&gt;1,Z$1=""),"",SUMIFS('All Donations'!$S$2:$S$4001,'All Donations'!$R$2:$R$4001,$AD178,'All Donations'!$T$2:$T$4001,Z$1))</f>
        <v/>
      </c>
      <c r="AA178" s="49">
        <f>IF(OR($AE178&lt;&gt;1,AA$1=""),"",SUMIFS('All Donations'!$S$2:$S$4001,'All Donations'!$R$2:$R$4001,$AD178,'All Donations'!$T$2:$T$4001,AA$1))</f>
        <v/>
      </c>
      <c r="AB178" s="49">
        <f>IF(OR($AE178&lt;&gt;1,AB$1=""),"",SUMIFS('All Donations'!$S$2:$S$4001,'All Donations'!$R$2:$R$4001,$AD178,'All Donations'!$T$2:$T$4001,AB$1))</f>
        <v/>
      </c>
      <c r="AC178" s="49">
        <f>IF(OR($AE178&lt;&gt;1,AC$1=""),"",SUMIFS('All Donations'!$S$2:$S$4001,'All Donations'!$R$2:$R$4001,$AD178,'All Donations'!$T$2:$T$4001,AC$1))</f>
        <v/>
      </c>
      <c r="AD178">
        <f>IF(AE178=1,'Roster'!A178,"")</f>
        <v/>
      </c>
      <c r="AE178">
        <f>IF(TRIM('Roster'!B178&amp;'Roster'!C178)&lt;&gt;"",1,0)</f>
        <v/>
      </c>
      <c r="AF178">
        <f>IF(AE178=1,LOWER(A178),"#")</f>
        <v/>
      </c>
      <c r="AG178">
        <f>IF(AE178=1,LOWER(TRIM(TRIM('Roster'!C178)&amp;", "&amp;TRIM('Roster'!B178))),"#")</f>
        <v/>
      </c>
      <c r="AH178">
        <f>IF(AND(AE178=1,TRIM('Roster'!F178)&lt;&gt;""),LOWER(TRIM('Roster'!F178)),"#")</f>
        <v/>
      </c>
      <c r="AI178">
        <f>IF(AE178=1,IF(MATCH(B178,$B$2:$B$701,0)=ROW()-1,1,0),0)</f>
        <v/>
      </c>
      <c r="AJ178">
        <f>AJ177+AI178</f>
        <v/>
      </c>
      <c r="AK178">
        <f>IF(AE178=1,D178+(1000-ROW())/10^7,-1)</f>
        <v/>
      </c>
      <c r="AL178">
        <f>IF(AE178=1,TRIM('Roster'!B178)&amp;" "&amp;LEFT(TRIM('Roster'!C178),1)&amp;".","")</f>
        <v/>
      </c>
      <c r="AM178">
        <f>IF(AE178=1,TRIM('Roster'!C178)&amp;", "&amp;TRIM('Roster'!B178)&amp;" ("&amp;B178&amp;") #"&amp;AD178,"")</f>
        <v/>
      </c>
      <c r="AN178">
        <f>IF(AE178=1,TRIM('Roster'!E178),"")</f>
        <v/>
      </c>
      <c r="AO178">
        <f>IF(AE178=1,ROUND(SUMIFS('All Donations'!$S$2:$S$4001,'All Donations'!$R$2:$R$4001,AD178,'All Donations'!$T$2:$T$4001,"&gt;="&amp;'Settings'!$C$23,'All Donations'!$T$2:$T$4001,"&lt;="&amp;'Settings'!$D$23),2),0)</f>
        <v/>
      </c>
      <c r="AQ178">
        <f>IF(AE178=1,ROUND(SUMIFS('All Donations'!$S$2:$S$4001,'All Donations'!$R$2:$R$4001,AD178,'All Donations'!$T$2:$T$4001,"&gt;="&amp;'Settings'!$C$25,'All Donations'!$T$2:$T$4001,"&lt;="&amp;'Settings'!$D$25),2),0)</f>
        <v/>
      </c>
      <c r="AR178">
        <f>IF(AE178=1,ROUND(SUMIFS('All Donations'!$S$2:$S$4001,'All Donations'!$R$2:$R$4001,AD178,'All Donations'!$T$2:$T$4001,"&gt;="&amp;'Settings'!$C$26,'All Donations'!$T$2:$T$4001,"&lt;="&amp;'Settings'!$D$26),2),0)</f>
        <v/>
      </c>
      <c r="AS178">
        <f>IF(AE178=1,ROUND(SUMIFS('All Donations'!$S$2:$S$4001,'All Donations'!$R$2:$R$4001,AD178,'All Donations'!$T$2:$T$4001,"&lt;="&amp;'Settings'!$D$27),2),0)</f>
        <v/>
      </c>
      <c r="AT178">
        <f>IF(AE178=1,ROUND(SUMIFS('All Donations'!$S$2:$S$4001,'All Donations'!$R$2:$R$4001,AD178,'All Donations'!$T$2:$T$4001,"&gt;="&amp;'Settings'!$C$28,'All Donations'!$T$2:$T$4001,"&lt;="&amp;'Settings'!$D$28),2),0)</f>
        <v/>
      </c>
      <c r="AU178">
        <f>IF(AE178=1,ROUND(SUMIFS('All Donations'!$S$2:$S$4001,'All Donations'!$R$2:$R$4001,AD178,'All Donations'!$T$2:$T$4001,"&gt;="&amp;'Settings'!$C$29,'All Donations'!$T$2:$T$4001,"&lt;="&amp;'Settings'!$D$29),2),0)</f>
        <v/>
      </c>
      <c r="AV178">
        <f>IF(AE178=1,ROUND(SUMIFS('All Donations'!$S$2:$S$4001,'All Donations'!$R$2:$R$4001,AD178,'All Donations'!$T$2:$T$4001,"&lt;="&amp;'Settings'!$D$30),2),0)</f>
        <v/>
      </c>
      <c r="AZ178">
        <f>IF(AE178=1,ROUND(SUMIFS('All Donations'!$S$2:$S$4001,'All Donations'!$R$2:$R$4001,AD178,'All Donations'!$T$2:$T$4001,"&lt;="&amp;'Settings'!$D$34),2),0)</f>
        <v/>
      </c>
    </row>
    <row r="179">
      <c r="A179">
        <f>IF(AE179=1,TRIM(TRIM('Roster'!B179)&amp;" "&amp;TRIM('Roster'!C179)),"")</f>
        <v/>
      </c>
      <c r="B179">
        <f>IF(AE179=1,IF(AN179="","(no teacher)",AN179&amp;" – "&amp;C179),"")</f>
        <v/>
      </c>
      <c r="C179">
        <f>IF(AE179=1,TRIM('Roster'!D179&amp;""),"")</f>
        <v/>
      </c>
      <c r="D179" s="48">
        <f>IF(AE179=1,ROUND(SUMIFS('All Donations'!$S$2:$S$4001,'All Donations'!$R$2:$R$4001,AD179),2),"")</f>
        <v/>
      </c>
      <c r="E179" s="48">
        <f>IF(AE179=1,ROUND(SUMIFS('All Donations'!$S$2:$S$4001,'All Donations'!$R$2:$R$4001,AD179,'All Donations'!$G$2:$G$4001,"OneCause"),2),"")</f>
        <v/>
      </c>
      <c r="F179" s="48">
        <f>IF(AE179=1,D179-E179,"")</f>
        <v/>
      </c>
      <c r="G179">
        <f>IF(AE179=1,COUNTIFS('All Donations'!$R$2:$R$4001,AD179,'All Donations'!$H$2:$H$4001,"OK"),"")</f>
        <v/>
      </c>
      <c r="H179">
        <f>IF(AE179&lt;&gt;1,"",IF(D179&gt;0,"Yes",""))</f>
        <v/>
      </c>
      <c r="I179" s="49">
        <f>IF(OR($AE179&lt;&gt;1,I$1=""),"",SUMIFS('All Donations'!$S$2:$S$4001,'All Donations'!$R$2:$R$4001,$AD179,'All Donations'!$T$2:$T$4001,I$1))</f>
        <v/>
      </c>
      <c r="J179" s="49">
        <f>IF(OR($AE179&lt;&gt;1,J$1=""),"",SUMIFS('All Donations'!$S$2:$S$4001,'All Donations'!$R$2:$R$4001,$AD179,'All Donations'!$T$2:$T$4001,J$1))</f>
        <v/>
      </c>
      <c r="K179" s="49">
        <f>IF(OR($AE179&lt;&gt;1,K$1=""),"",SUMIFS('All Donations'!$S$2:$S$4001,'All Donations'!$R$2:$R$4001,$AD179,'All Donations'!$T$2:$T$4001,K$1))</f>
        <v/>
      </c>
      <c r="L179" s="49">
        <f>IF(OR($AE179&lt;&gt;1,L$1=""),"",SUMIFS('All Donations'!$S$2:$S$4001,'All Donations'!$R$2:$R$4001,$AD179,'All Donations'!$T$2:$T$4001,L$1))</f>
        <v/>
      </c>
      <c r="M179" s="49">
        <f>IF(OR($AE179&lt;&gt;1,M$1=""),"",SUMIFS('All Donations'!$S$2:$S$4001,'All Donations'!$R$2:$R$4001,$AD179,'All Donations'!$T$2:$T$4001,M$1))</f>
        <v/>
      </c>
      <c r="N179" s="49">
        <f>IF(OR($AE179&lt;&gt;1,N$1=""),"",SUMIFS('All Donations'!$S$2:$S$4001,'All Donations'!$R$2:$R$4001,$AD179,'All Donations'!$T$2:$T$4001,N$1))</f>
        <v/>
      </c>
      <c r="O179" s="49">
        <f>IF(OR($AE179&lt;&gt;1,O$1=""),"",SUMIFS('All Donations'!$S$2:$S$4001,'All Donations'!$R$2:$R$4001,$AD179,'All Donations'!$T$2:$T$4001,O$1))</f>
        <v/>
      </c>
      <c r="P179" s="49">
        <f>IF(OR($AE179&lt;&gt;1,P$1=""),"",SUMIFS('All Donations'!$S$2:$S$4001,'All Donations'!$R$2:$R$4001,$AD179,'All Donations'!$T$2:$T$4001,P$1))</f>
        <v/>
      </c>
      <c r="Q179" s="49">
        <f>IF(OR($AE179&lt;&gt;1,Q$1=""),"",SUMIFS('All Donations'!$S$2:$S$4001,'All Donations'!$R$2:$R$4001,$AD179,'All Donations'!$T$2:$T$4001,Q$1))</f>
        <v/>
      </c>
      <c r="R179" s="49">
        <f>IF(OR($AE179&lt;&gt;1,R$1=""),"",SUMIFS('All Donations'!$S$2:$S$4001,'All Donations'!$R$2:$R$4001,$AD179,'All Donations'!$T$2:$T$4001,R$1))</f>
        <v/>
      </c>
      <c r="S179" s="49">
        <f>IF(OR($AE179&lt;&gt;1,S$1=""),"",SUMIFS('All Donations'!$S$2:$S$4001,'All Donations'!$R$2:$R$4001,$AD179,'All Donations'!$T$2:$T$4001,S$1))</f>
        <v/>
      </c>
      <c r="T179" s="49">
        <f>IF(OR($AE179&lt;&gt;1,T$1=""),"",SUMIFS('All Donations'!$S$2:$S$4001,'All Donations'!$R$2:$R$4001,$AD179,'All Donations'!$T$2:$T$4001,T$1))</f>
        <v/>
      </c>
      <c r="U179" s="49">
        <f>IF(OR($AE179&lt;&gt;1,U$1=""),"",SUMIFS('All Donations'!$S$2:$S$4001,'All Donations'!$R$2:$R$4001,$AD179,'All Donations'!$T$2:$T$4001,U$1))</f>
        <v/>
      </c>
      <c r="V179" s="49">
        <f>IF(OR($AE179&lt;&gt;1,V$1=""),"",SUMIFS('All Donations'!$S$2:$S$4001,'All Donations'!$R$2:$R$4001,$AD179,'All Donations'!$T$2:$T$4001,V$1))</f>
        <v/>
      </c>
      <c r="W179" s="49">
        <f>IF(OR($AE179&lt;&gt;1,W$1=""),"",SUMIFS('All Donations'!$S$2:$S$4001,'All Donations'!$R$2:$R$4001,$AD179,'All Donations'!$T$2:$T$4001,W$1))</f>
        <v/>
      </c>
      <c r="X179" s="49">
        <f>IF(OR($AE179&lt;&gt;1,X$1=""),"",SUMIFS('All Donations'!$S$2:$S$4001,'All Donations'!$R$2:$R$4001,$AD179,'All Donations'!$T$2:$T$4001,X$1))</f>
        <v/>
      </c>
      <c r="Y179" s="49">
        <f>IF(OR($AE179&lt;&gt;1,Y$1=""),"",SUMIFS('All Donations'!$S$2:$S$4001,'All Donations'!$R$2:$R$4001,$AD179,'All Donations'!$T$2:$T$4001,Y$1))</f>
        <v/>
      </c>
      <c r="Z179" s="49">
        <f>IF(OR($AE179&lt;&gt;1,Z$1=""),"",SUMIFS('All Donations'!$S$2:$S$4001,'All Donations'!$R$2:$R$4001,$AD179,'All Donations'!$T$2:$T$4001,Z$1))</f>
        <v/>
      </c>
      <c r="AA179" s="49">
        <f>IF(OR($AE179&lt;&gt;1,AA$1=""),"",SUMIFS('All Donations'!$S$2:$S$4001,'All Donations'!$R$2:$R$4001,$AD179,'All Donations'!$T$2:$T$4001,AA$1))</f>
        <v/>
      </c>
      <c r="AB179" s="49">
        <f>IF(OR($AE179&lt;&gt;1,AB$1=""),"",SUMIFS('All Donations'!$S$2:$S$4001,'All Donations'!$R$2:$R$4001,$AD179,'All Donations'!$T$2:$T$4001,AB$1))</f>
        <v/>
      </c>
      <c r="AC179" s="49">
        <f>IF(OR($AE179&lt;&gt;1,AC$1=""),"",SUMIFS('All Donations'!$S$2:$S$4001,'All Donations'!$R$2:$R$4001,$AD179,'All Donations'!$T$2:$T$4001,AC$1))</f>
        <v/>
      </c>
      <c r="AD179">
        <f>IF(AE179=1,'Roster'!A179,"")</f>
        <v/>
      </c>
      <c r="AE179">
        <f>IF(TRIM('Roster'!B179&amp;'Roster'!C179)&lt;&gt;"",1,0)</f>
        <v/>
      </c>
      <c r="AF179">
        <f>IF(AE179=1,LOWER(A179),"#")</f>
        <v/>
      </c>
      <c r="AG179">
        <f>IF(AE179=1,LOWER(TRIM(TRIM('Roster'!C179)&amp;", "&amp;TRIM('Roster'!B179))),"#")</f>
        <v/>
      </c>
      <c r="AH179">
        <f>IF(AND(AE179=1,TRIM('Roster'!F179)&lt;&gt;""),LOWER(TRIM('Roster'!F179)),"#")</f>
        <v/>
      </c>
      <c r="AI179">
        <f>IF(AE179=1,IF(MATCH(B179,$B$2:$B$701,0)=ROW()-1,1,0),0)</f>
        <v/>
      </c>
      <c r="AJ179">
        <f>AJ178+AI179</f>
        <v/>
      </c>
      <c r="AK179">
        <f>IF(AE179=1,D179+(1000-ROW())/10^7,-1)</f>
        <v/>
      </c>
      <c r="AL179">
        <f>IF(AE179=1,TRIM('Roster'!B179)&amp;" "&amp;LEFT(TRIM('Roster'!C179),1)&amp;".","")</f>
        <v/>
      </c>
      <c r="AM179">
        <f>IF(AE179=1,TRIM('Roster'!C179)&amp;", "&amp;TRIM('Roster'!B179)&amp;" ("&amp;B179&amp;") #"&amp;AD179,"")</f>
        <v/>
      </c>
      <c r="AN179">
        <f>IF(AE179=1,TRIM('Roster'!E179),"")</f>
        <v/>
      </c>
      <c r="AO179">
        <f>IF(AE179=1,ROUND(SUMIFS('All Donations'!$S$2:$S$4001,'All Donations'!$R$2:$R$4001,AD179,'All Donations'!$T$2:$T$4001,"&gt;="&amp;'Settings'!$C$23,'All Donations'!$T$2:$T$4001,"&lt;="&amp;'Settings'!$D$23),2),0)</f>
        <v/>
      </c>
      <c r="AQ179">
        <f>IF(AE179=1,ROUND(SUMIFS('All Donations'!$S$2:$S$4001,'All Donations'!$R$2:$R$4001,AD179,'All Donations'!$T$2:$T$4001,"&gt;="&amp;'Settings'!$C$25,'All Donations'!$T$2:$T$4001,"&lt;="&amp;'Settings'!$D$25),2),0)</f>
        <v/>
      </c>
      <c r="AR179">
        <f>IF(AE179=1,ROUND(SUMIFS('All Donations'!$S$2:$S$4001,'All Donations'!$R$2:$R$4001,AD179,'All Donations'!$T$2:$T$4001,"&gt;="&amp;'Settings'!$C$26,'All Donations'!$T$2:$T$4001,"&lt;="&amp;'Settings'!$D$26),2),0)</f>
        <v/>
      </c>
      <c r="AS179">
        <f>IF(AE179=1,ROUND(SUMIFS('All Donations'!$S$2:$S$4001,'All Donations'!$R$2:$R$4001,AD179,'All Donations'!$T$2:$T$4001,"&lt;="&amp;'Settings'!$D$27),2),0)</f>
        <v/>
      </c>
      <c r="AT179">
        <f>IF(AE179=1,ROUND(SUMIFS('All Donations'!$S$2:$S$4001,'All Donations'!$R$2:$R$4001,AD179,'All Donations'!$T$2:$T$4001,"&gt;="&amp;'Settings'!$C$28,'All Donations'!$T$2:$T$4001,"&lt;="&amp;'Settings'!$D$28),2),0)</f>
        <v/>
      </c>
      <c r="AU179">
        <f>IF(AE179=1,ROUND(SUMIFS('All Donations'!$S$2:$S$4001,'All Donations'!$R$2:$R$4001,AD179,'All Donations'!$T$2:$T$4001,"&gt;="&amp;'Settings'!$C$29,'All Donations'!$T$2:$T$4001,"&lt;="&amp;'Settings'!$D$29),2),0)</f>
        <v/>
      </c>
      <c r="AV179">
        <f>IF(AE179=1,ROUND(SUMIFS('All Donations'!$S$2:$S$4001,'All Donations'!$R$2:$R$4001,AD179,'All Donations'!$T$2:$T$4001,"&lt;="&amp;'Settings'!$D$30),2),0)</f>
        <v/>
      </c>
      <c r="AZ179">
        <f>IF(AE179=1,ROUND(SUMIFS('All Donations'!$S$2:$S$4001,'All Donations'!$R$2:$R$4001,AD179,'All Donations'!$T$2:$T$4001,"&lt;="&amp;'Settings'!$D$34),2),0)</f>
        <v/>
      </c>
    </row>
    <row r="180">
      <c r="A180">
        <f>IF(AE180=1,TRIM(TRIM('Roster'!B180)&amp;" "&amp;TRIM('Roster'!C180)),"")</f>
        <v/>
      </c>
      <c r="B180">
        <f>IF(AE180=1,IF(AN180="","(no teacher)",AN180&amp;" – "&amp;C180),"")</f>
        <v/>
      </c>
      <c r="C180">
        <f>IF(AE180=1,TRIM('Roster'!D180&amp;""),"")</f>
        <v/>
      </c>
      <c r="D180" s="48">
        <f>IF(AE180=1,ROUND(SUMIFS('All Donations'!$S$2:$S$4001,'All Donations'!$R$2:$R$4001,AD180),2),"")</f>
        <v/>
      </c>
      <c r="E180" s="48">
        <f>IF(AE180=1,ROUND(SUMIFS('All Donations'!$S$2:$S$4001,'All Donations'!$R$2:$R$4001,AD180,'All Donations'!$G$2:$G$4001,"OneCause"),2),"")</f>
        <v/>
      </c>
      <c r="F180" s="48">
        <f>IF(AE180=1,D180-E180,"")</f>
        <v/>
      </c>
      <c r="G180">
        <f>IF(AE180=1,COUNTIFS('All Donations'!$R$2:$R$4001,AD180,'All Donations'!$H$2:$H$4001,"OK"),"")</f>
        <v/>
      </c>
      <c r="H180">
        <f>IF(AE180&lt;&gt;1,"",IF(D180&gt;0,"Yes",""))</f>
        <v/>
      </c>
      <c r="I180" s="49">
        <f>IF(OR($AE180&lt;&gt;1,I$1=""),"",SUMIFS('All Donations'!$S$2:$S$4001,'All Donations'!$R$2:$R$4001,$AD180,'All Donations'!$T$2:$T$4001,I$1))</f>
        <v/>
      </c>
      <c r="J180" s="49">
        <f>IF(OR($AE180&lt;&gt;1,J$1=""),"",SUMIFS('All Donations'!$S$2:$S$4001,'All Donations'!$R$2:$R$4001,$AD180,'All Donations'!$T$2:$T$4001,J$1))</f>
        <v/>
      </c>
      <c r="K180" s="49">
        <f>IF(OR($AE180&lt;&gt;1,K$1=""),"",SUMIFS('All Donations'!$S$2:$S$4001,'All Donations'!$R$2:$R$4001,$AD180,'All Donations'!$T$2:$T$4001,K$1))</f>
        <v/>
      </c>
      <c r="L180" s="49">
        <f>IF(OR($AE180&lt;&gt;1,L$1=""),"",SUMIFS('All Donations'!$S$2:$S$4001,'All Donations'!$R$2:$R$4001,$AD180,'All Donations'!$T$2:$T$4001,L$1))</f>
        <v/>
      </c>
      <c r="M180" s="49">
        <f>IF(OR($AE180&lt;&gt;1,M$1=""),"",SUMIFS('All Donations'!$S$2:$S$4001,'All Donations'!$R$2:$R$4001,$AD180,'All Donations'!$T$2:$T$4001,M$1))</f>
        <v/>
      </c>
      <c r="N180" s="49">
        <f>IF(OR($AE180&lt;&gt;1,N$1=""),"",SUMIFS('All Donations'!$S$2:$S$4001,'All Donations'!$R$2:$R$4001,$AD180,'All Donations'!$T$2:$T$4001,N$1))</f>
        <v/>
      </c>
      <c r="O180" s="49">
        <f>IF(OR($AE180&lt;&gt;1,O$1=""),"",SUMIFS('All Donations'!$S$2:$S$4001,'All Donations'!$R$2:$R$4001,$AD180,'All Donations'!$T$2:$T$4001,O$1))</f>
        <v/>
      </c>
      <c r="P180" s="49">
        <f>IF(OR($AE180&lt;&gt;1,P$1=""),"",SUMIFS('All Donations'!$S$2:$S$4001,'All Donations'!$R$2:$R$4001,$AD180,'All Donations'!$T$2:$T$4001,P$1))</f>
        <v/>
      </c>
      <c r="Q180" s="49">
        <f>IF(OR($AE180&lt;&gt;1,Q$1=""),"",SUMIFS('All Donations'!$S$2:$S$4001,'All Donations'!$R$2:$R$4001,$AD180,'All Donations'!$T$2:$T$4001,Q$1))</f>
        <v/>
      </c>
      <c r="R180" s="49">
        <f>IF(OR($AE180&lt;&gt;1,R$1=""),"",SUMIFS('All Donations'!$S$2:$S$4001,'All Donations'!$R$2:$R$4001,$AD180,'All Donations'!$T$2:$T$4001,R$1))</f>
        <v/>
      </c>
      <c r="S180" s="49">
        <f>IF(OR($AE180&lt;&gt;1,S$1=""),"",SUMIFS('All Donations'!$S$2:$S$4001,'All Donations'!$R$2:$R$4001,$AD180,'All Donations'!$T$2:$T$4001,S$1))</f>
        <v/>
      </c>
      <c r="T180" s="49">
        <f>IF(OR($AE180&lt;&gt;1,T$1=""),"",SUMIFS('All Donations'!$S$2:$S$4001,'All Donations'!$R$2:$R$4001,$AD180,'All Donations'!$T$2:$T$4001,T$1))</f>
        <v/>
      </c>
      <c r="U180" s="49">
        <f>IF(OR($AE180&lt;&gt;1,U$1=""),"",SUMIFS('All Donations'!$S$2:$S$4001,'All Donations'!$R$2:$R$4001,$AD180,'All Donations'!$T$2:$T$4001,U$1))</f>
        <v/>
      </c>
      <c r="V180" s="49">
        <f>IF(OR($AE180&lt;&gt;1,V$1=""),"",SUMIFS('All Donations'!$S$2:$S$4001,'All Donations'!$R$2:$R$4001,$AD180,'All Donations'!$T$2:$T$4001,V$1))</f>
        <v/>
      </c>
      <c r="W180" s="49">
        <f>IF(OR($AE180&lt;&gt;1,W$1=""),"",SUMIFS('All Donations'!$S$2:$S$4001,'All Donations'!$R$2:$R$4001,$AD180,'All Donations'!$T$2:$T$4001,W$1))</f>
        <v/>
      </c>
      <c r="X180" s="49">
        <f>IF(OR($AE180&lt;&gt;1,X$1=""),"",SUMIFS('All Donations'!$S$2:$S$4001,'All Donations'!$R$2:$R$4001,$AD180,'All Donations'!$T$2:$T$4001,X$1))</f>
        <v/>
      </c>
      <c r="Y180" s="49">
        <f>IF(OR($AE180&lt;&gt;1,Y$1=""),"",SUMIFS('All Donations'!$S$2:$S$4001,'All Donations'!$R$2:$R$4001,$AD180,'All Donations'!$T$2:$T$4001,Y$1))</f>
        <v/>
      </c>
      <c r="Z180" s="49">
        <f>IF(OR($AE180&lt;&gt;1,Z$1=""),"",SUMIFS('All Donations'!$S$2:$S$4001,'All Donations'!$R$2:$R$4001,$AD180,'All Donations'!$T$2:$T$4001,Z$1))</f>
        <v/>
      </c>
      <c r="AA180" s="49">
        <f>IF(OR($AE180&lt;&gt;1,AA$1=""),"",SUMIFS('All Donations'!$S$2:$S$4001,'All Donations'!$R$2:$R$4001,$AD180,'All Donations'!$T$2:$T$4001,AA$1))</f>
        <v/>
      </c>
      <c r="AB180" s="49">
        <f>IF(OR($AE180&lt;&gt;1,AB$1=""),"",SUMIFS('All Donations'!$S$2:$S$4001,'All Donations'!$R$2:$R$4001,$AD180,'All Donations'!$T$2:$T$4001,AB$1))</f>
        <v/>
      </c>
      <c r="AC180" s="49">
        <f>IF(OR($AE180&lt;&gt;1,AC$1=""),"",SUMIFS('All Donations'!$S$2:$S$4001,'All Donations'!$R$2:$R$4001,$AD180,'All Donations'!$T$2:$T$4001,AC$1))</f>
        <v/>
      </c>
      <c r="AD180">
        <f>IF(AE180=1,'Roster'!A180,"")</f>
        <v/>
      </c>
      <c r="AE180">
        <f>IF(TRIM('Roster'!B180&amp;'Roster'!C180)&lt;&gt;"",1,0)</f>
        <v/>
      </c>
      <c r="AF180">
        <f>IF(AE180=1,LOWER(A180),"#")</f>
        <v/>
      </c>
      <c r="AG180">
        <f>IF(AE180=1,LOWER(TRIM(TRIM('Roster'!C180)&amp;", "&amp;TRIM('Roster'!B180))),"#")</f>
        <v/>
      </c>
      <c r="AH180">
        <f>IF(AND(AE180=1,TRIM('Roster'!F180)&lt;&gt;""),LOWER(TRIM('Roster'!F180)),"#")</f>
        <v/>
      </c>
      <c r="AI180">
        <f>IF(AE180=1,IF(MATCH(B180,$B$2:$B$701,0)=ROW()-1,1,0),0)</f>
        <v/>
      </c>
      <c r="AJ180">
        <f>AJ179+AI180</f>
        <v/>
      </c>
      <c r="AK180">
        <f>IF(AE180=1,D180+(1000-ROW())/10^7,-1)</f>
        <v/>
      </c>
      <c r="AL180">
        <f>IF(AE180=1,TRIM('Roster'!B180)&amp;" "&amp;LEFT(TRIM('Roster'!C180),1)&amp;".","")</f>
        <v/>
      </c>
      <c r="AM180">
        <f>IF(AE180=1,TRIM('Roster'!C180)&amp;", "&amp;TRIM('Roster'!B180)&amp;" ("&amp;B180&amp;") #"&amp;AD180,"")</f>
        <v/>
      </c>
      <c r="AN180">
        <f>IF(AE180=1,TRIM('Roster'!E180),"")</f>
        <v/>
      </c>
      <c r="AO180">
        <f>IF(AE180=1,ROUND(SUMIFS('All Donations'!$S$2:$S$4001,'All Donations'!$R$2:$R$4001,AD180,'All Donations'!$T$2:$T$4001,"&gt;="&amp;'Settings'!$C$23,'All Donations'!$T$2:$T$4001,"&lt;="&amp;'Settings'!$D$23),2),0)</f>
        <v/>
      </c>
      <c r="AQ180">
        <f>IF(AE180=1,ROUND(SUMIFS('All Donations'!$S$2:$S$4001,'All Donations'!$R$2:$R$4001,AD180,'All Donations'!$T$2:$T$4001,"&gt;="&amp;'Settings'!$C$25,'All Donations'!$T$2:$T$4001,"&lt;="&amp;'Settings'!$D$25),2),0)</f>
        <v/>
      </c>
      <c r="AR180">
        <f>IF(AE180=1,ROUND(SUMIFS('All Donations'!$S$2:$S$4001,'All Donations'!$R$2:$R$4001,AD180,'All Donations'!$T$2:$T$4001,"&gt;="&amp;'Settings'!$C$26,'All Donations'!$T$2:$T$4001,"&lt;="&amp;'Settings'!$D$26),2),0)</f>
        <v/>
      </c>
      <c r="AS180">
        <f>IF(AE180=1,ROUND(SUMIFS('All Donations'!$S$2:$S$4001,'All Donations'!$R$2:$R$4001,AD180,'All Donations'!$T$2:$T$4001,"&lt;="&amp;'Settings'!$D$27),2),0)</f>
        <v/>
      </c>
      <c r="AT180">
        <f>IF(AE180=1,ROUND(SUMIFS('All Donations'!$S$2:$S$4001,'All Donations'!$R$2:$R$4001,AD180,'All Donations'!$T$2:$T$4001,"&gt;="&amp;'Settings'!$C$28,'All Donations'!$T$2:$T$4001,"&lt;="&amp;'Settings'!$D$28),2),0)</f>
        <v/>
      </c>
      <c r="AU180">
        <f>IF(AE180=1,ROUND(SUMIFS('All Donations'!$S$2:$S$4001,'All Donations'!$R$2:$R$4001,AD180,'All Donations'!$T$2:$T$4001,"&gt;="&amp;'Settings'!$C$29,'All Donations'!$T$2:$T$4001,"&lt;="&amp;'Settings'!$D$29),2),0)</f>
        <v/>
      </c>
      <c r="AV180">
        <f>IF(AE180=1,ROUND(SUMIFS('All Donations'!$S$2:$S$4001,'All Donations'!$R$2:$R$4001,AD180,'All Donations'!$T$2:$T$4001,"&lt;="&amp;'Settings'!$D$30),2),0)</f>
        <v/>
      </c>
      <c r="AZ180">
        <f>IF(AE180=1,ROUND(SUMIFS('All Donations'!$S$2:$S$4001,'All Donations'!$R$2:$R$4001,AD180,'All Donations'!$T$2:$T$4001,"&lt;="&amp;'Settings'!$D$34),2),0)</f>
        <v/>
      </c>
    </row>
    <row r="181">
      <c r="A181">
        <f>IF(AE181=1,TRIM(TRIM('Roster'!B181)&amp;" "&amp;TRIM('Roster'!C181)),"")</f>
        <v/>
      </c>
      <c r="B181">
        <f>IF(AE181=1,IF(AN181="","(no teacher)",AN181&amp;" – "&amp;C181),"")</f>
        <v/>
      </c>
      <c r="C181">
        <f>IF(AE181=1,TRIM('Roster'!D181&amp;""),"")</f>
        <v/>
      </c>
      <c r="D181" s="48">
        <f>IF(AE181=1,ROUND(SUMIFS('All Donations'!$S$2:$S$4001,'All Donations'!$R$2:$R$4001,AD181),2),"")</f>
        <v/>
      </c>
      <c r="E181" s="48">
        <f>IF(AE181=1,ROUND(SUMIFS('All Donations'!$S$2:$S$4001,'All Donations'!$R$2:$R$4001,AD181,'All Donations'!$G$2:$G$4001,"OneCause"),2),"")</f>
        <v/>
      </c>
      <c r="F181" s="48">
        <f>IF(AE181=1,D181-E181,"")</f>
        <v/>
      </c>
      <c r="G181">
        <f>IF(AE181=1,COUNTIFS('All Donations'!$R$2:$R$4001,AD181,'All Donations'!$H$2:$H$4001,"OK"),"")</f>
        <v/>
      </c>
      <c r="H181">
        <f>IF(AE181&lt;&gt;1,"",IF(D181&gt;0,"Yes",""))</f>
        <v/>
      </c>
      <c r="I181" s="49">
        <f>IF(OR($AE181&lt;&gt;1,I$1=""),"",SUMIFS('All Donations'!$S$2:$S$4001,'All Donations'!$R$2:$R$4001,$AD181,'All Donations'!$T$2:$T$4001,I$1))</f>
        <v/>
      </c>
      <c r="J181" s="49">
        <f>IF(OR($AE181&lt;&gt;1,J$1=""),"",SUMIFS('All Donations'!$S$2:$S$4001,'All Donations'!$R$2:$R$4001,$AD181,'All Donations'!$T$2:$T$4001,J$1))</f>
        <v/>
      </c>
      <c r="K181" s="49">
        <f>IF(OR($AE181&lt;&gt;1,K$1=""),"",SUMIFS('All Donations'!$S$2:$S$4001,'All Donations'!$R$2:$R$4001,$AD181,'All Donations'!$T$2:$T$4001,K$1))</f>
        <v/>
      </c>
      <c r="L181" s="49">
        <f>IF(OR($AE181&lt;&gt;1,L$1=""),"",SUMIFS('All Donations'!$S$2:$S$4001,'All Donations'!$R$2:$R$4001,$AD181,'All Donations'!$T$2:$T$4001,L$1))</f>
        <v/>
      </c>
      <c r="M181" s="49">
        <f>IF(OR($AE181&lt;&gt;1,M$1=""),"",SUMIFS('All Donations'!$S$2:$S$4001,'All Donations'!$R$2:$R$4001,$AD181,'All Donations'!$T$2:$T$4001,M$1))</f>
        <v/>
      </c>
      <c r="N181" s="49">
        <f>IF(OR($AE181&lt;&gt;1,N$1=""),"",SUMIFS('All Donations'!$S$2:$S$4001,'All Donations'!$R$2:$R$4001,$AD181,'All Donations'!$T$2:$T$4001,N$1))</f>
        <v/>
      </c>
      <c r="O181" s="49">
        <f>IF(OR($AE181&lt;&gt;1,O$1=""),"",SUMIFS('All Donations'!$S$2:$S$4001,'All Donations'!$R$2:$R$4001,$AD181,'All Donations'!$T$2:$T$4001,O$1))</f>
        <v/>
      </c>
      <c r="P181" s="49">
        <f>IF(OR($AE181&lt;&gt;1,P$1=""),"",SUMIFS('All Donations'!$S$2:$S$4001,'All Donations'!$R$2:$R$4001,$AD181,'All Donations'!$T$2:$T$4001,P$1))</f>
        <v/>
      </c>
      <c r="Q181" s="49">
        <f>IF(OR($AE181&lt;&gt;1,Q$1=""),"",SUMIFS('All Donations'!$S$2:$S$4001,'All Donations'!$R$2:$R$4001,$AD181,'All Donations'!$T$2:$T$4001,Q$1))</f>
        <v/>
      </c>
      <c r="R181" s="49">
        <f>IF(OR($AE181&lt;&gt;1,R$1=""),"",SUMIFS('All Donations'!$S$2:$S$4001,'All Donations'!$R$2:$R$4001,$AD181,'All Donations'!$T$2:$T$4001,R$1))</f>
        <v/>
      </c>
      <c r="S181" s="49">
        <f>IF(OR($AE181&lt;&gt;1,S$1=""),"",SUMIFS('All Donations'!$S$2:$S$4001,'All Donations'!$R$2:$R$4001,$AD181,'All Donations'!$T$2:$T$4001,S$1))</f>
        <v/>
      </c>
      <c r="T181" s="49">
        <f>IF(OR($AE181&lt;&gt;1,T$1=""),"",SUMIFS('All Donations'!$S$2:$S$4001,'All Donations'!$R$2:$R$4001,$AD181,'All Donations'!$T$2:$T$4001,T$1))</f>
        <v/>
      </c>
      <c r="U181" s="49">
        <f>IF(OR($AE181&lt;&gt;1,U$1=""),"",SUMIFS('All Donations'!$S$2:$S$4001,'All Donations'!$R$2:$R$4001,$AD181,'All Donations'!$T$2:$T$4001,U$1))</f>
        <v/>
      </c>
      <c r="V181" s="49">
        <f>IF(OR($AE181&lt;&gt;1,V$1=""),"",SUMIFS('All Donations'!$S$2:$S$4001,'All Donations'!$R$2:$R$4001,$AD181,'All Donations'!$T$2:$T$4001,V$1))</f>
        <v/>
      </c>
      <c r="W181" s="49">
        <f>IF(OR($AE181&lt;&gt;1,W$1=""),"",SUMIFS('All Donations'!$S$2:$S$4001,'All Donations'!$R$2:$R$4001,$AD181,'All Donations'!$T$2:$T$4001,W$1))</f>
        <v/>
      </c>
      <c r="X181" s="49">
        <f>IF(OR($AE181&lt;&gt;1,X$1=""),"",SUMIFS('All Donations'!$S$2:$S$4001,'All Donations'!$R$2:$R$4001,$AD181,'All Donations'!$T$2:$T$4001,X$1))</f>
        <v/>
      </c>
      <c r="Y181" s="49">
        <f>IF(OR($AE181&lt;&gt;1,Y$1=""),"",SUMIFS('All Donations'!$S$2:$S$4001,'All Donations'!$R$2:$R$4001,$AD181,'All Donations'!$T$2:$T$4001,Y$1))</f>
        <v/>
      </c>
      <c r="Z181" s="49">
        <f>IF(OR($AE181&lt;&gt;1,Z$1=""),"",SUMIFS('All Donations'!$S$2:$S$4001,'All Donations'!$R$2:$R$4001,$AD181,'All Donations'!$T$2:$T$4001,Z$1))</f>
        <v/>
      </c>
      <c r="AA181" s="49">
        <f>IF(OR($AE181&lt;&gt;1,AA$1=""),"",SUMIFS('All Donations'!$S$2:$S$4001,'All Donations'!$R$2:$R$4001,$AD181,'All Donations'!$T$2:$T$4001,AA$1))</f>
        <v/>
      </c>
      <c r="AB181" s="49">
        <f>IF(OR($AE181&lt;&gt;1,AB$1=""),"",SUMIFS('All Donations'!$S$2:$S$4001,'All Donations'!$R$2:$R$4001,$AD181,'All Donations'!$T$2:$T$4001,AB$1))</f>
        <v/>
      </c>
      <c r="AC181" s="49">
        <f>IF(OR($AE181&lt;&gt;1,AC$1=""),"",SUMIFS('All Donations'!$S$2:$S$4001,'All Donations'!$R$2:$R$4001,$AD181,'All Donations'!$T$2:$T$4001,AC$1))</f>
        <v/>
      </c>
      <c r="AD181">
        <f>IF(AE181=1,'Roster'!A181,"")</f>
        <v/>
      </c>
      <c r="AE181">
        <f>IF(TRIM('Roster'!B181&amp;'Roster'!C181)&lt;&gt;"",1,0)</f>
        <v/>
      </c>
      <c r="AF181">
        <f>IF(AE181=1,LOWER(A181),"#")</f>
        <v/>
      </c>
      <c r="AG181">
        <f>IF(AE181=1,LOWER(TRIM(TRIM('Roster'!C181)&amp;", "&amp;TRIM('Roster'!B181))),"#")</f>
        <v/>
      </c>
      <c r="AH181">
        <f>IF(AND(AE181=1,TRIM('Roster'!F181)&lt;&gt;""),LOWER(TRIM('Roster'!F181)),"#")</f>
        <v/>
      </c>
      <c r="AI181">
        <f>IF(AE181=1,IF(MATCH(B181,$B$2:$B$701,0)=ROW()-1,1,0),0)</f>
        <v/>
      </c>
      <c r="AJ181">
        <f>AJ180+AI181</f>
        <v/>
      </c>
      <c r="AK181">
        <f>IF(AE181=1,D181+(1000-ROW())/10^7,-1)</f>
        <v/>
      </c>
      <c r="AL181">
        <f>IF(AE181=1,TRIM('Roster'!B181)&amp;" "&amp;LEFT(TRIM('Roster'!C181),1)&amp;".","")</f>
        <v/>
      </c>
      <c r="AM181">
        <f>IF(AE181=1,TRIM('Roster'!C181)&amp;", "&amp;TRIM('Roster'!B181)&amp;" ("&amp;B181&amp;") #"&amp;AD181,"")</f>
        <v/>
      </c>
      <c r="AN181">
        <f>IF(AE181=1,TRIM('Roster'!E181),"")</f>
        <v/>
      </c>
      <c r="AO181">
        <f>IF(AE181=1,ROUND(SUMIFS('All Donations'!$S$2:$S$4001,'All Donations'!$R$2:$R$4001,AD181,'All Donations'!$T$2:$T$4001,"&gt;="&amp;'Settings'!$C$23,'All Donations'!$T$2:$T$4001,"&lt;="&amp;'Settings'!$D$23),2),0)</f>
        <v/>
      </c>
      <c r="AQ181">
        <f>IF(AE181=1,ROUND(SUMIFS('All Donations'!$S$2:$S$4001,'All Donations'!$R$2:$R$4001,AD181,'All Donations'!$T$2:$T$4001,"&gt;="&amp;'Settings'!$C$25,'All Donations'!$T$2:$T$4001,"&lt;="&amp;'Settings'!$D$25),2),0)</f>
        <v/>
      </c>
      <c r="AR181">
        <f>IF(AE181=1,ROUND(SUMIFS('All Donations'!$S$2:$S$4001,'All Donations'!$R$2:$R$4001,AD181,'All Donations'!$T$2:$T$4001,"&gt;="&amp;'Settings'!$C$26,'All Donations'!$T$2:$T$4001,"&lt;="&amp;'Settings'!$D$26),2),0)</f>
        <v/>
      </c>
      <c r="AS181">
        <f>IF(AE181=1,ROUND(SUMIFS('All Donations'!$S$2:$S$4001,'All Donations'!$R$2:$R$4001,AD181,'All Donations'!$T$2:$T$4001,"&lt;="&amp;'Settings'!$D$27),2),0)</f>
        <v/>
      </c>
      <c r="AT181">
        <f>IF(AE181=1,ROUND(SUMIFS('All Donations'!$S$2:$S$4001,'All Donations'!$R$2:$R$4001,AD181,'All Donations'!$T$2:$T$4001,"&gt;="&amp;'Settings'!$C$28,'All Donations'!$T$2:$T$4001,"&lt;="&amp;'Settings'!$D$28),2),0)</f>
        <v/>
      </c>
      <c r="AU181">
        <f>IF(AE181=1,ROUND(SUMIFS('All Donations'!$S$2:$S$4001,'All Donations'!$R$2:$R$4001,AD181,'All Donations'!$T$2:$T$4001,"&gt;="&amp;'Settings'!$C$29,'All Donations'!$T$2:$T$4001,"&lt;="&amp;'Settings'!$D$29),2),0)</f>
        <v/>
      </c>
      <c r="AV181">
        <f>IF(AE181=1,ROUND(SUMIFS('All Donations'!$S$2:$S$4001,'All Donations'!$R$2:$R$4001,AD181,'All Donations'!$T$2:$T$4001,"&lt;="&amp;'Settings'!$D$30),2),0)</f>
        <v/>
      </c>
      <c r="AZ181">
        <f>IF(AE181=1,ROUND(SUMIFS('All Donations'!$S$2:$S$4001,'All Donations'!$R$2:$R$4001,AD181,'All Donations'!$T$2:$T$4001,"&lt;="&amp;'Settings'!$D$34),2),0)</f>
        <v/>
      </c>
    </row>
    <row r="182">
      <c r="A182">
        <f>IF(AE182=1,TRIM(TRIM('Roster'!B182)&amp;" "&amp;TRIM('Roster'!C182)),"")</f>
        <v/>
      </c>
      <c r="B182">
        <f>IF(AE182=1,IF(AN182="","(no teacher)",AN182&amp;" – "&amp;C182),"")</f>
        <v/>
      </c>
      <c r="C182">
        <f>IF(AE182=1,TRIM('Roster'!D182&amp;""),"")</f>
        <v/>
      </c>
      <c r="D182" s="48">
        <f>IF(AE182=1,ROUND(SUMIFS('All Donations'!$S$2:$S$4001,'All Donations'!$R$2:$R$4001,AD182),2),"")</f>
        <v/>
      </c>
      <c r="E182" s="48">
        <f>IF(AE182=1,ROUND(SUMIFS('All Donations'!$S$2:$S$4001,'All Donations'!$R$2:$R$4001,AD182,'All Donations'!$G$2:$G$4001,"OneCause"),2),"")</f>
        <v/>
      </c>
      <c r="F182" s="48">
        <f>IF(AE182=1,D182-E182,"")</f>
        <v/>
      </c>
      <c r="G182">
        <f>IF(AE182=1,COUNTIFS('All Donations'!$R$2:$R$4001,AD182,'All Donations'!$H$2:$H$4001,"OK"),"")</f>
        <v/>
      </c>
      <c r="H182">
        <f>IF(AE182&lt;&gt;1,"",IF(D182&gt;0,"Yes",""))</f>
        <v/>
      </c>
      <c r="I182" s="49">
        <f>IF(OR($AE182&lt;&gt;1,I$1=""),"",SUMIFS('All Donations'!$S$2:$S$4001,'All Donations'!$R$2:$R$4001,$AD182,'All Donations'!$T$2:$T$4001,I$1))</f>
        <v/>
      </c>
      <c r="J182" s="49">
        <f>IF(OR($AE182&lt;&gt;1,J$1=""),"",SUMIFS('All Donations'!$S$2:$S$4001,'All Donations'!$R$2:$R$4001,$AD182,'All Donations'!$T$2:$T$4001,J$1))</f>
        <v/>
      </c>
      <c r="K182" s="49">
        <f>IF(OR($AE182&lt;&gt;1,K$1=""),"",SUMIFS('All Donations'!$S$2:$S$4001,'All Donations'!$R$2:$R$4001,$AD182,'All Donations'!$T$2:$T$4001,K$1))</f>
        <v/>
      </c>
      <c r="L182" s="49">
        <f>IF(OR($AE182&lt;&gt;1,L$1=""),"",SUMIFS('All Donations'!$S$2:$S$4001,'All Donations'!$R$2:$R$4001,$AD182,'All Donations'!$T$2:$T$4001,L$1))</f>
        <v/>
      </c>
      <c r="M182" s="49">
        <f>IF(OR($AE182&lt;&gt;1,M$1=""),"",SUMIFS('All Donations'!$S$2:$S$4001,'All Donations'!$R$2:$R$4001,$AD182,'All Donations'!$T$2:$T$4001,M$1))</f>
        <v/>
      </c>
      <c r="N182" s="49">
        <f>IF(OR($AE182&lt;&gt;1,N$1=""),"",SUMIFS('All Donations'!$S$2:$S$4001,'All Donations'!$R$2:$R$4001,$AD182,'All Donations'!$T$2:$T$4001,N$1))</f>
        <v/>
      </c>
      <c r="O182" s="49">
        <f>IF(OR($AE182&lt;&gt;1,O$1=""),"",SUMIFS('All Donations'!$S$2:$S$4001,'All Donations'!$R$2:$R$4001,$AD182,'All Donations'!$T$2:$T$4001,O$1))</f>
        <v/>
      </c>
      <c r="P182" s="49">
        <f>IF(OR($AE182&lt;&gt;1,P$1=""),"",SUMIFS('All Donations'!$S$2:$S$4001,'All Donations'!$R$2:$R$4001,$AD182,'All Donations'!$T$2:$T$4001,P$1))</f>
        <v/>
      </c>
      <c r="Q182" s="49">
        <f>IF(OR($AE182&lt;&gt;1,Q$1=""),"",SUMIFS('All Donations'!$S$2:$S$4001,'All Donations'!$R$2:$R$4001,$AD182,'All Donations'!$T$2:$T$4001,Q$1))</f>
        <v/>
      </c>
      <c r="R182" s="49">
        <f>IF(OR($AE182&lt;&gt;1,R$1=""),"",SUMIFS('All Donations'!$S$2:$S$4001,'All Donations'!$R$2:$R$4001,$AD182,'All Donations'!$T$2:$T$4001,R$1))</f>
        <v/>
      </c>
      <c r="S182" s="49">
        <f>IF(OR($AE182&lt;&gt;1,S$1=""),"",SUMIFS('All Donations'!$S$2:$S$4001,'All Donations'!$R$2:$R$4001,$AD182,'All Donations'!$T$2:$T$4001,S$1))</f>
        <v/>
      </c>
      <c r="T182" s="49">
        <f>IF(OR($AE182&lt;&gt;1,T$1=""),"",SUMIFS('All Donations'!$S$2:$S$4001,'All Donations'!$R$2:$R$4001,$AD182,'All Donations'!$T$2:$T$4001,T$1))</f>
        <v/>
      </c>
      <c r="U182" s="49">
        <f>IF(OR($AE182&lt;&gt;1,U$1=""),"",SUMIFS('All Donations'!$S$2:$S$4001,'All Donations'!$R$2:$R$4001,$AD182,'All Donations'!$T$2:$T$4001,U$1))</f>
        <v/>
      </c>
      <c r="V182" s="49">
        <f>IF(OR($AE182&lt;&gt;1,V$1=""),"",SUMIFS('All Donations'!$S$2:$S$4001,'All Donations'!$R$2:$R$4001,$AD182,'All Donations'!$T$2:$T$4001,V$1))</f>
        <v/>
      </c>
      <c r="W182" s="49">
        <f>IF(OR($AE182&lt;&gt;1,W$1=""),"",SUMIFS('All Donations'!$S$2:$S$4001,'All Donations'!$R$2:$R$4001,$AD182,'All Donations'!$T$2:$T$4001,W$1))</f>
        <v/>
      </c>
      <c r="X182" s="49">
        <f>IF(OR($AE182&lt;&gt;1,X$1=""),"",SUMIFS('All Donations'!$S$2:$S$4001,'All Donations'!$R$2:$R$4001,$AD182,'All Donations'!$T$2:$T$4001,X$1))</f>
        <v/>
      </c>
      <c r="Y182" s="49">
        <f>IF(OR($AE182&lt;&gt;1,Y$1=""),"",SUMIFS('All Donations'!$S$2:$S$4001,'All Donations'!$R$2:$R$4001,$AD182,'All Donations'!$T$2:$T$4001,Y$1))</f>
        <v/>
      </c>
      <c r="Z182" s="49">
        <f>IF(OR($AE182&lt;&gt;1,Z$1=""),"",SUMIFS('All Donations'!$S$2:$S$4001,'All Donations'!$R$2:$R$4001,$AD182,'All Donations'!$T$2:$T$4001,Z$1))</f>
        <v/>
      </c>
      <c r="AA182" s="49">
        <f>IF(OR($AE182&lt;&gt;1,AA$1=""),"",SUMIFS('All Donations'!$S$2:$S$4001,'All Donations'!$R$2:$R$4001,$AD182,'All Donations'!$T$2:$T$4001,AA$1))</f>
        <v/>
      </c>
      <c r="AB182" s="49">
        <f>IF(OR($AE182&lt;&gt;1,AB$1=""),"",SUMIFS('All Donations'!$S$2:$S$4001,'All Donations'!$R$2:$R$4001,$AD182,'All Donations'!$T$2:$T$4001,AB$1))</f>
        <v/>
      </c>
      <c r="AC182" s="49">
        <f>IF(OR($AE182&lt;&gt;1,AC$1=""),"",SUMIFS('All Donations'!$S$2:$S$4001,'All Donations'!$R$2:$R$4001,$AD182,'All Donations'!$T$2:$T$4001,AC$1))</f>
        <v/>
      </c>
      <c r="AD182">
        <f>IF(AE182=1,'Roster'!A182,"")</f>
        <v/>
      </c>
      <c r="AE182">
        <f>IF(TRIM('Roster'!B182&amp;'Roster'!C182)&lt;&gt;"",1,0)</f>
        <v/>
      </c>
      <c r="AF182">
        <f>IF(AE182=1,LOWER(A182),"#")</f>
        <v/>
      </c>
      <c r="AG182">
        <f>IF(AE182=1,LOWER(TRIM(TRIM('Roster'!C182)&amp;", "&amp;TRIM('Roster'!B182))),"#")</f>
        <v/>
      </c>
      <c r="AH182">
        <f>IF(AND(AE182=1,TRIM('Roster'!F182)&lt;&gt;""),LOWER(TRIM('Roster'!F182)),"#")</f>
        <v/>
      </c>
      <c r="AI182">
        <f>IF(AE182=1,IF(MATCH(B182,$B$2:$B$701,0)=ROW()-1,1,0),0)</f>
        <v/>
      </c>
      <c r="AJ182">
        <f>AJ181+AI182</f>
        <v/>
      </c>
      <c r="AK182">
        <f>IF(AE182=1,D182+(1000-ROW())/10^7,-1)</f>
        <v/>
      </c>
      <c r="AL182">
        <f>IF(AE182=1,TRIM('Roster'!B182)&amp;" "&amp;LEFT(TRIM('Roster'!C182),1)&amp;".","")</f>
        <v/>
      </c>
      <c r="AM182">
        <f>IF(AE182=1,TRIM('Roster'!C182)&amp;", "&amp;TRIM('Roster'!B182)&amp;" ("&amp;B182&amp;") #"&amp;AD182,"")</f>
        <v/>
      </c>
      <c r="AN182">
        <f>IF(AE182=1,TRIM('Roster'!E182),"")</f>
        <v/>
      </c>
      <c r="AO182">
        <f>IF(AE182=1,ROUND(SUMIFS('All Donations'!$S$2:$S$4001,'All Donations'!$R$2:$R$4001,AD182,'All Donations'!$T$2:$T$4001,"&gt;="&amp;'Settings'!$C$23,'All Donations'!$T$2:$T$4001,"&lt;="&amp;'Settings'!$D$23),2),0)</f>
        <v/>
      </c>
      <c r="AQ182">
        <f>IF(AE182=1,ROUND(SUMIFS('All Donations'!$S$2:$S$4001,'All Donations'!$R$2:$R$4001,AD182,'All Donations'!$T$2:$T$4001,"&gt;="&amp;'Settings'!$C$25,'All Donations'!$T$2:$T$4001,"&lt;="&amp;'Settings'!$D$25),2),0)</f>
        <v/>
      </c>
      <c r="AR182">
        <f>IF(AE182=1,ROUND(SUMIFS('All Donations'!$S$2:$S$4001,'All Donations'!$R$2:$R$4001,AD182,'All Donations'!$T$2:$T$4001,"&gt;="&amp;'Settings'!$C$26,'All Donations'!$T$2:$T$4001,"&lt;="&amp;'Settings'!$D$26),2),0)</f>
        <v/>
      </c>
      <c r="AS182">
        <f>IF(AE182=1,ROUND(SUMIFS('All Donations'!$S$2:$S$4001,'All Donations'!$R$2:$R$4001,AD182,'All Donations'!$T$2:$T$4001,"&lt;="&amp;'Settings'!$D$27),2),0)</f>
        <v/>
      </c>
      <c r="AT182">
        <f>IF(AE182=1,ROUND(SUMIFS('All Donations'!$S$2:$S$4001,'All Donations'!$R$2:$R$4001,AD182,'All Donations'!$T$2:$T$4001,"&gt;="&amp;'Settings'!$C$28,'All Donations'!$T$2:$T$4001,"&lt;="&amp;'Settings'!$D$28),2),0)</f>
        <v/>
      </c>
      <c r="AU182">
        <f>IF(AE182=1,ROUND(SUMIFS('All Donations'!$S$2:$S$4001,'All Donations'!$R$2:$R$4001,AD182,'All Donations'!$T$2:$T$4001,"&gt;="&amp;'Settings'!$C$29,'All Donations'!$T$2:$T$4001,"&lt;="&amp;'Settings'!$D$29),2),0)</f>
        <v/>
      </c>
      <c r="AV182">
        <f>IF(AE182=1,ROUND(SUMIFS('All Donations'!$S$2:$S$4001,'All Donations'!$R$2:$R$4001,AD182,'All Donations'!$T$2:$T$4001,"&lt;="&amp;'Settings'!$D$30),2),0)</f>
        <v/>
      </c>
      <c r="AZ182">
        <f>IF(AE182=1,ROUND(SUMIFS('All Donations'!$S$2:$S$4001,'All Donations'!$R$2:$R$4001,AD182,'All Donations'!$T$2:$T$4001,"&lt;="&amp;'Settings'!$D$34),2),0)</f>
        <v/>
      </c>
    </row>
    <row r="183">
      <c r="A183">
        <f>IF(AE183=1,TRIM(TRIM('Roster'!B183)&amp;" "&amp;TRIM('Roster'!C183)),"")</f>
        <v/>
      </c>
      <c r="B183">
        <f>IF(AE183=1,IF(AN183="","(no teacher)",AN183&amp;" – "&amp;C183),"")</f>
        <v/>
      </c>
      <c r="C183">
        <f>IF(AE183=1,TRIM('Roster'!D183&amp;""),"")</f>
        <v/>
      </c>
      <c r="D183" s="48">
        <f>IF(AE183=1,ROUND(SUMIFS('All Donations'!$S$2:$S$4001,'All Donations'!$R$2:$R$4001,AD183),2),"")</f>
        <v/>
      </c>
      <c r="E183" s="48">
        <f>IF(AE183=1,ROUND(SUMIFS('All Donations'!$S$2:$S$4001,'All Donations'!$R$2:$R$4001,AD183,'All Donations'!$G$2:$G$4001,"OneCause"),2),"")</f>
        <v/>
      </c>
      <c r="F183" s="48">
        <f>IF(AE183=1,D183-E183,"")</f>
        <v/>
      </c>
      <c r="G183">
        <f>IF(AE183=1,COUNTIFS('All Donations'!$R$2:$R$4001,AD183,'All Donations'!$H$2:$H$4001,"OK"),"")</f>
        <v/>
      </c>
      <c r="H183">
        <f>IF(AE183&lt;&gt;1,"",IF(D183&gt;0,"Yes",""))</f>
        <v/>
      </c>
      <c r="I183" s="49">
        <f>IF(OR($AE183&lt;&gt;1,I$1=""),"",SUMIFS('All Donations'!$S$2:$S$4001,'All Donations'!$R$2:$R$4001,$AD183,'All Donations'!$T$2:$T$4001,I$1))</f>
        <v/>
      </c>
      <c r="J183" s="49">
        <f>IF(OR($AE183&lt;&gt;1,J$1=""),"",SUMIFS('All Donations'!$S$2:$S$4001,'All Donations'!$R$2:$R$4001,$AD183,'All Donations'!$T$2:$T$4001,J$1))</f>
        <v/>
      </c>
      <c r="K183" s="49">
        <f>IF(OR($AE183&lt;&gt;1,K$1=""),"",SUMIFS('All Donations'!$S$2:$S$4001,'All Donations'!$R$2:$R$4001,$AD183,'All Donations'!$T$2:$T$4001,K$1))</f>
        <v/>
      </c>
      <c r="L183" s="49">
        <f>IF(OR($AE183&lt;&gt;1,L$1=""),"",SUMIFS('All Donations'!$S$2:$S$4001,'All Donations'!$R$2:$R$4001,$AD183,'All Donations'!$T$2:$T$4001,L$1))</f>
        <v/>
      </c>
      <c r="M183" s="49">
        <f>IF(OR($AE183&lt;&gt;1,M$1=""),"",SUMIFS('All Donations'!$S$2:$S$4001,'All Donations'!$R$2:$R$4001,$AD183,'All Donations'!$T$2:$T$4001,M$1))</f>
        <v/>
      </c>
      <c r="N183" s="49">
        <f>IF(OR($AE183&lt;&gt;1,N$1=""),"",SUMIFS('All Donations'!$S$2:$S$4001,'All Donations'!$R$2:$R$4001,$AD183,'All Donations'!$T$2:$T$4001,N$1))</f>
        <v/>
      </c>
      <c r="O183" s="49">
        <f>IF(OR($AE183&lt;&gt;1,O$1=""),"",SUMIFS('All Donations'!$S$2:$S$4001,'All Donations'!$R$2:$R$4001,$AD183,'All Donations'!$T$2:$T$4001,O$1))</f>
        <v/>
      </c>
      <c r="P183" s="49">
        <f>IF(OR($AE183&lt;&gt;1,P$1=""),"",SUMIFS('All Donations'!$S$2:$S$4001,'All Donations'!$R$2:$R$4001,$AD183,'All Donations'!$T$2:$T$4001,P$1))</f>
        <v/>
      </c>
      <c r="Q183" s="49">
        <f>IF(OR($AE183&lt;&gt;1,Q$1=""),"",SUMIFS('All Donations'!$S$2:$S$4001,'All Donations'!$R$2:$R$4001,$AD183,'All Donations'!$T$2:$T$4001,Q$1))</f>
        <v/>
      </c>
      <c r="R183" s="49">
        <f>IF(OR($AE183&lt;&gt;1,R$1=""),"",SUMIFS('All Donations'!$S$2:$S$4001,'All Donations'!$R$2:$R$4001,$AD183,'All Donations'!$T$2:$T$4001,R$1))</f>
        <v/>
      </c>
      <c r="S183" s="49">
        <f>IF(OR($AE183&lt;&gt;1,S$1=""),"",SUMIFS('All Donations'!$S$2:$S$4001,'All Donations'!$R$2:$R$4001,$AD183,'All Donations'!$T$2:$T$4001,S$1))</f>
        <v/>
      </c>
      <c r="T183" s="49">
        <f>IF(OR($AE183&lt;&gt;1,T$1=""),"",SUMIFS('All Donations'!$S$2:$S$4001,'All Donations'!$R$2:$R$4001,$AD183,'All Donations'!$T$2:$T$4001,T$1))</f>
        <v/>
      </c>
      <c r="U183" s="49">
        <f>IF(OR($AE183&lt;&gt;1,U$1=""),"",SUMIFS('All Donations'!$S$2:$S$4001,'All Donations'!$R$2:$R$4001,$AD183,'All Donations'!$T$2:$T$4001,U$1))</f>
        <v/>
      </c>
      <c r="V183" s="49">
        <f>IF(OR($AE183&lt;&gt;1,V$1=""),"",SUMIFS('All Donations'!$S$2:$S$4001,'All Donations'!$R$2:$R$4001,$AD183,'All Donations'!$T$2:$T$4001,V$1))</f>
        <v/>
      </c>
      <c r="W183" s="49">
        <f>IF(OR($AE183&lt;&gt;1,W$1=""),"",SUMIFS('All Donations'!$S$2:$S$4001,'All Donations'!$R$2:$R$4001,$AD183,'All Donations'!$T$2:$T$4001,W$1))</f>
        <v/>
      </c>
      <c r="X183" s="49">
        <f>IF(OR($AE183&lt;&gt;1,X$1=""),"",SUMIFS('All Donations'!$S$2:$S$4001,'All Donations'!$R$2:$R$4001,$AD183,'All Donations'!$T$2:$T$4001,X$1))</f>
        <v/>
      </c>
      <c r="Y183" s="49">
        <f>IF(OR($AE183&lt;&gt;1,Y$1=""),"",SUMIFS('All Donations'!$S$2:$S$4001,'All Donations'!$R$2:$R$4001,$AD183,'All Donations'!$T$2:$T$4001,Y$1))</f>
        <v/>
      </c>
      <c r="Z183" s="49">
        <f>IF(OR($AE183&lt;&gt;1,Z$1=""),"",SUMIFS('All Donations'!$S$2:$S$4001,'All Donations'!$R$2:$R$4001,$AD183,'All Donations'!$T$2:$T$4001,Z$1))</f>
        <v/>
      </c>
      <c r="AA183" s="49">
        <f>IF(OR($AE183&lt;&gt;1,AA$1=""),"",SUMIFS('All Donations'!$S$2:$S$4001,'All Donations'!$R$2:$R$4001,$AD183,'All Donations'!$T$2:$T$4001,AA$1))</f>
        <v/>
      </c>
      <c r="AB183" s="49">
        <f>IF(OR($AE183&lt;&gt;1,AB$1=""),"",SUMIFS('All Donations'!$S$2:$S$4001,'All Donations'!$R$2:$R$4001,$AD183,'All Donations'!$T$2:$T$4001,AB$1))</f>
        <v/>
      </c>
      <c r="AC183" s="49">
        <f>IF(OR($AE183&lt;&gt;1,AC$1=""),"",SUMIFS('All Donations'!$S$2:$S$4001,'All Donations'!$R$2:$R$4001,$AD183,'All Donations'!$T$2:$T$4001,AC$1))</f>
        <v/>
      </c>
      <c r="AD183">
        <f>IF(AE183=1,'Roster'!A183,"")</f>
        <v/>
      </c>
      <c r="AE183">
        <f>IF(TRIM('Roster'!B183&amp;'Roster'!C183)&lt;&gt;"",1,0)</f>
        <v/>
      </c>
      <c r="AF183">
        <f>IF(AE183=1,LOWER(A183),"#")</f>
        <v/>
      </c>
      <c r="AG183">
        <f>IF(AE183=1,LOWER(TRIM(TRIM('Roster'!C183)&amp;", "&amp;TRIM('Roster'!B183))),"#")</f>
        <v/>
      </c>
      <c r="AH183">
        <f>IF(AND(AE183=1,TRIM('Roster'!F183)&lt;&gt;""),LOWER(TRIM('Roster'!F183)),"#")</f>
        <v/>
      </c>
      <c r="AI183">
        <f>IF(AE183=1,IF(MATCH(B183,$B$2:$B$701,0)=ROW()-1,1,0),0)</f>
        <v/>
      </c>
      <c r="AJ183">
        <f>AJ182+AI183</f>
        <v/>
      </c>
      <c r="AK183">
        <f>IF(AE183=1,D183+(1000-ROW())/10^7,-1)</f>
        <v/>
      </c>
      <c r="AL183">
        <f>IF(AE183=1,TRIM('Roster'!B183)&amp;" "&amp;LEFT(TRIM('Roster'!C183),1)&amp;".","")</f>
        <v/>
      </c>
      <c r="AM183">
        <f>IF(AE183=1,TRIM('Roster'!C183)&amp;", "&amp;TRIM('Roster'!B183)&amp;" ("&amp;B183&amp;") #"&amp;AD183,"")</f>
        <v/>
      </c>
      <c r="AN183">
        <f>IF(AE183=1,TRIM('Roster'!E183),"")</f>
        <v/>
      </c>
      <c r="AO183">
        <f>IF(AE183=1,ROUND(SUMIFS('All Donations'!$S$2:$S$4001,'All Donations'!$R$2:$R$4001,AD183,'All Donations'!$T$2:$T$4001,"&gt;="&amp;'Settings'!$C$23,'All Donations'!$T$2:$T$4001,"&lt;="&amp;'Settings'!$D$23),2),0)</f>
        <v/>
      </c>
      <c r="AQ183">
        <f>IF(AE183=1,ROUND(SUMIFS('All Donations'!$S$2:$S$4001,'All Donations'!$R$2:$R$4001,AD183,'All Donations'!$T$2:$T$4001,"&gt;="&amp;'Settings'!$C$25,'All Donations'!$T$2:$T$4001,"&lt;="&amp;'Settings'!$D$25),2),0)</f>
        <v/>
      </c>
      <c r="AR183">
        <f>IF(AE183=1,ROUND(SUMIFS('All Donations'!$S$2:$S$4001,'All Donations'!$R$2:$R$4001,AD183,'All Donations'!$T$2:$T$4001,"&gt;="&amp;'Settings'!$C$26,'All Donations'!$T$2:$T$4001,"&lt;="&amp;'Settings'!$D$26),2),0)</f>
        <v/>
      </c>
      <c r="AS183">
        <f>IF(AE183=1,ROUND(SUMIFS('All Donations'!$S$2:$S$4001,'All Donations'!$R$2:$R$4001,AD183,'All Donations'!$T$2:$T$4001,"&lt;="&amp;'Settings'!$D$27),2),0)</f>
        <v/>
      </c>
      <c r="AT183">
        <f>IF(AE183=1,ROUND(SUMIFS('All Donations'!$S$2:$S$4001,'All Donations'!$R$2:$R$4001,AD183,'All Donations'!$T$2:$T$4001,"&gt;="&amp;'Settings'!$C$28,'All Donations'!$T$2:$T$4001,"&lt;="&amp;'Settings'!$D$28),2),0)</f>
        <v/>
      </c>
      <c r="AU183">
        <f>IF(AE183=1,ROUND(SUMIFS('All Donations'!$S$2:$S$4001,'All Donations'!$R$2:$R$4001,AD183,'All Donations'!$T$2:$T$4001,"&gt;="&amp;'Settings'!$C$29,'All Donations'!$T$2:$T$4001,"&lt;="&amp;'Settings'!$D$29),2),0)</f>
        <v/>
      </c>
      <c r="AV183">
        <f>IF(AE183=1,ROUND(SUMIFS('All Donations'!$S$2:$S$4001,'All Donations'!$R$2:$R$4001,AD183,'All Donations'!$T$2:$T$4001,"&lt;="&amp;'Settings'!$D$30),2),0)</f>
        <v/>
      </c>
      <c r="AZ183">
        <f>IF(AE183=1,ROUND(SUMIFS('All Donations'!$S$2:$S$4001,'All Donations'!$R$2:$R$4001,AD183,'All Donations'!$T$2:$T$4001,"&lt;="&amp;'Settings'!$D$34),2),0)</f>
        <v/>
      </c>
    </row>
    <row r="184">
      <c r="A184">
        <f>IF(AE184=1,TRIM(TRIM('Roster'!B184)&amp;" "&amp;TRIM('Roster'!C184)),"")</f>
        <v/>
      </c>
      <c r="B184">
        <f>IF(AE184=1,IF(AN184="","(no teacher)",AN184&amp;" – "&amp;C184),"")</f>
        <v/>
      </c>
      <c r="C184">
        <f>IF(AE184=1,TRIM('Roster'!D184&amp;""),"")</f>
        <v/>
      </c>
      <c r="D184" s="48">
        <f>IF(AE184=1,ROUND(SUMIFS('All Donations'!$S$2:$S$4001,'All Donations'!$R$2:$R$4001,AD184),2),"")</f>
        <v/>
      </c>
      <c r="E184" s="48">
        <f>IF(AE184=1,ROUND(SUMIFS('All Donations'!$S$2:$S$4001,'All Donations'!$R$2:$R$4001,AD184,'All Donations'!$G$2:$G$4001,"OneCause"),2),"")</f>
        <v/>
      </c>
      <c r="F184" s="48">
        <f>IF(AE184=1,D184-E184,"")</f>
        <v/>
      </c>
      <c r="G184">
        <f>IF(AE184=1,COUNTIFS('All Donations'!$R$2:$R$4001,AD184,'All Donations'!$H$2:$H$4001,"OK"),"")</f>
        <v/>
      </c>
      <c r="H184">
        <f>IF(AE184&lt;&gt;1,"",IF(D184&gt;0,"Yes",""))</f>
        <v/>
      </c>
      <c r="I184" s="49">
        <f>IF(OR($AE184&lt;&gt;1,I$1=""),"",SUMIFS('All Donations'!$S$2:$S$4001,'All Donations'!$R$2:$R$4001,$AD184,'All Donations'!$T$2:$T$4001,I$1))</f>
        <v/>
      </c>
      <c r="J184" s="49">
        <f>IF(OR($AE184&lt;&gt;1,J$1=""),"",SUMIFS('All Donations'!$S$2:$S$4001,'All Donations'!$R$2:$R$4001,$AD184,'All Donations'!$T$2:$T$4001,J$1))</f>
        <v/>
      </c>
      <c r="K184" s="49">
        <f>IF(OR($AE184&lt;&gt;1,K$1=""),"",SUMIFS('All Donations'!$S$2:$S$4001,'All Donations'!$R$2:$R$4001,$AD184,'All Donations'!$T$2:$T$4001,K$1))</f>
        <v/>
      </c>
      <c r="L184" s="49">
        <f>IF(OR($AE184&lt;&gt;1,L$1=""),"",SUMIFS('All Donations'!$S$2:$S$4001,'All Donations'!$R$2:$R$4001,$AD184,'All Donations'!$T$2:$T$4001,L$1))</f>
        <v/>
      </c>
      <c r="M184" s="49">
        <f>IF(OR($AE184&lt;&gt;1,M$1=""),"",SUMIFS('All Donations'!$S$2:$S$4001,'All Donations'!$R$2:$R$4001,$AD184,'All Donations'!$T$2:$T$4001,M$1))</f>
        <v/>
      </c>
      <c r="N184" s="49">
        <f>IF(OR($AE184&lt;&gt;1,N$1=""),"",SUMIFS('All Donations'!$S$2:$S$4001,'All Donations'!$R$2:$R$4001,$AD184,'All Donations'!$T$2:$T$4001,N$1))</f>
        <v/>
      </c>
      <c r="O184" s="49">
        <f>IF(OR($AE184&lt;&gt;1,O$1=""),"",SUMIFS('All Donations'!$S$2:$S$4001,'All Donations'!$R$2:$R$4001,$AD184,'All Donations'!$T$2:$T$4001,O$1))</f>
        <v/>
      </c>
      <c r="P184" s="49">
        <f>IF(OR($AE184&lt;&gt;1,P$1=""),"",SUMIFS('All Donations'!$S$2:$S$4001,'All Donations'!$R$2:$R$4001,$AD184,'All Donations'!$T$2:$T$4001,P$1))</f>
        <v/>
      </c>
      <c r="Q184" s="49">
        <f>IF(OR($AE184&lt;&gt;1,Q$1=""),"",SUMIFS('All Donations'!$S$2:$S$4001,'All Donations'!$R$2:$R$4001,$AD184,'All Donations'!$T$2:$T$4001,Q$1))</f>
        <v/>
      </c>
      <c r="R184" s="49">
        <f>IF(OR($AE184&lt;&gt;1,R$1=""),"",SUMIFS('All Donations'!$S$2:$S$4001,'All Donations'!$R$2:$R$4001,$AD184,'All Donations'!$T$2:$T$4001,R$1))</f>
        <v/>
      </c>
      <c r="S184" s="49">
        <f>IF(OR($AE184&lt;&gt;1,S$1=""),"",SUMIFS('All Donations'!$S$2:$S$4001,'All Donations'!$R$2:$R$4001,$AD184,'All Donations'!$T$2:$T$4001,S$1))</f>
        <v/>
      </c>
      <c r="T184" s="49">
        <f>IF(OR($AE184&lt;&gt;1,T$1=""),"",SUMIFS('All Donations'!$S$2:$S$4001,'All Donations'!$R$2:$R$4001,$AD184,'All Donations'!$T$2:$T$4001,T$1))</f>
        <v/>
      </c>
      <c r="U184" s="49">
        <f>IF(OR($AE184&lt;&gt;1,U$1=""),"",SUMIFS('All Donations'!$S$2:$S$4001,'All Donations'!$R$2:$R$4001,$AD184,'All Donations'!$T$2:$T$4001,U$1))</f>
        <v/>
      </c>
      <c r="V184" s="49">
        <f>IF(OR($AE184&lt;&gt;1,V$1=""),"",SUMIFS('All Donations'!$S$2:$S$4001,'All Donations'!$R$2:$R$4001,$AD184,'All Donations'!$T$2:$T$4001,V$1))</f>
        <v/>
      </c>
      <c r="W184" s="49">
        <f>IF(OR($AE184&lt;&gt;1,W$1=""),"",SUMIFS('All Donations'!$S$2:$S$4001,'All Donations'!$R$2:$R$4001,$AD184,'All Donations'!$T$2:$T$4001,W$1))</f>
        <v/>
      </c>
      <c r="X184" s="49">
        <f>IF(OR($AE184&lt;&gt;1,X$1=""),"",SUMIFS('All Donations'!$S$2:$S$4001,'All Donations'!$R$2:$R$4001,$AD184,'All Donations'!$T$2:$T$4001,X$1))</f>
        <v/>
      </c>
      <c r="Y184" s="49">
        <f>IF(OR($AE184&lt;&gt;1,Y$1=""),"",SUMIFS('All Donations'!$S$2:$S$4001,'All Donations'!$R$2:$R$4001,$AD184,'All Donations'!$T$2:$T$4001,Y$1))</f>
        <v/>
      </c>
      <c r="Z184" s="49">
        <f>IF(OR($AE184&lt;&gt;1,Z$1=""),"",SUMIFS('All Donations'!$S$2:$S$4001,'All Donations'!$R$2:$R$4001,$AD184,'All Donations'!$T$2:$T$4001,Z$1))</f>
        <v/>
      </c>
      <c r="AA184" s="49">
        <f>IF(OR($AE184&lt;&gt;1,AA$1=""),"",SUMIFS('All Donations'!$S$2:$S$4001,'All Donations'!$R$2:$R$4001,$AD184,'All Donations'!$T$2:$T$4001,AA$1))</f>
        <v/>
      </c>
      <c r="AB184" s="49">
        <f>IF(OR($AE184&lt;&gt;1,AB$1=""),"",SUMIFS('All Donations'!$S$2:$S$4001,'All Donations'!$R$2:$R$4001,$AD184,'All Donations'!$T$2:$T$4001,AB$1))</f>
        <v/>
      </c>
      <c r="AC184" s="49">
        <f>IF(OR($AE184&lt;&gt;1,AC$1=""),"",SUMIFS('All Donations'!$S$2:$S$4001,'All Donations'!$R$2:$R$4001,$AD184,'All Donations'!$T$2:$T$4001,AC$1))</f>
        <v/>
      </c>
      <c r="AD184">
        <f>IF(AE184=1,'Roster'!A184,"")</f>
        <v/>
      </c>
      <c r="AE184">
        <f>IF(TRIM('Roster'!B184&amp;'Roster'!C184)&lt;&gt;"",1,0)</f>
        <v/>
      </c>
      <c r="AF184">
        <f>IF(AE184=1,LOWER(A184),"#")</f>
        <v/>
      </c>
      <c r="AG184">
        <f>IF(AE184=1,LOWER(TRIM(TRIM('Roster'!C184)&amp;", "&amp;TRIM('Roster'!B184))),"#")</f>
        <v/>
      </c>
      <c r="AH184">
        <f>IF(AND(AE184=1,TRIM('Roster'!F184)&lt;&gt;""),LOWER(TRIM('Roster'!F184)),"#")</f>
        <v/>
      </c>
      <c r="AI184">
        <f>IF(AE184=1,IF(MATCH(B184,$B$2:$B$701,0)=ROW()-1,1,0),0)</f>
        <v/>
      </c>
      <c r="AJ184">
        <f>AJ183+AI184</f>
        <v/>
      </c>
      <c r="AK184">
        <f>IF(AE184=1,D184+(1000-ROW())/10^7,-1)</f>
        <v/>
      </c>
      <c r="AL184">
        <f>IF(AE184=1,TRIM('Roster'!B184)&amp;" "&amp;LEFT(TRIM('Roster'!C184),1)&amp;".","")</f>
        <v/>
      </c>
      <c r="AM184">
        <f>IF(AE184=1,TRIM('Roster'!C184)&amp;", "&amp;TRIM('Roster'!B184)&amp;" ("&amp;B184&amp;") #"&amp;AD184,"")</f>
        <v/>
      </c>
      <c r="AN184">
        <f>IF(AE184=1,TRIM('Roster'!E184),"")</f>
        <v/>
      </c>
      <c r="AO184">
        <f>IF(AE184=1,ROUND(SUMIFS('All Donations'!$S$2:$S$4001,'All Donations'!$R$2:$R$4001,AD184,'All Donations'!$T$2:$T$4001,"&gt;="&amp;'Settings'!$C$23,'All Donations'!$T$2:$T$4001,"&lt;="&amp;'Settings'!$D$23),2),0)</f>
        <v/>
      </c>
      <c r="AQ184">
        <f>IF(AE184=1,ROUND(SUMIFS('All Donations'!$S$2:$S$4001,'All Donations'!$R$2:$R$4001,AD184,'All Donations'!$T$2:$T$4001,"&gt;="&amp;'Settings'!$C$25,'All Donations'!$T$2:$T$4001,"&lt;="&amp;'Settings'!$D$25),2),0)</f>
        <v/>
      </c>
      <c r="AR184">
        <f>IF(AE184=1,ROUND(SUMIFS('All Donations'!$S$2:$S$4001,'All Donations'!$R$2:$R$4001,AD184,'All Donations'!$T$2:$T$4001,"&gt;="&amp;'Settings'!$C$26,'All Donations'!$T$2:$T$4001,"&lt;="&amp;'Settings'!$D$26),2),0)</f>
        <v/>
      </c>
      <c r="AS184">
        <f>IF(AE184=1,ROUND(SUMIFS('All Donations'!$S$2:$S$4001,'All Donations'!$R$2:$R$4001,AD184,'All Donations'!$T$2:$T$4001,"&lt;="&amp;'Settings'!$D$27),2),0)</f>
        <v/>
      </c>
      <c r="AT184">
        <f>IF(AE184=1,ROUND(SUMIFS('All Donations'!$S$2:$S$4001,'All Donations'!$R$2:$R$4001,AD184,'All Donations'!$T$2:$T$4001,"&gt;="&amp;'Settings'!$C$28,'All Donations'!$T$2:$T$4001,"&lt;="&amp;'Settings'!$D$28),2),0)</f>
        <v/>
      </c>
      <c r="AU184">
        <f>IF(AE184=1,ROUND(SUMIFS('All Donations'!$S$2:$S$4001,'All Donations'!$R$2:$R$4001,AD184,'All Donations'!$T$2:$T$4001,"&gt;="&amp;'Settings'!$C$29,'All Donations'!$T$2:$T$4001,"&lt;="&amp;'Settings'!$D$29),2),0)</f>
        <v/>
      </c>
      <c r="AV184">
        <f>IF(AE184=1,ROUND(SUMIFS('All Donations'!$S$2:$S$4001,'All Donations'!$R$2:$R$4001,AD184,'All Donations'!$T$2:$T$4001,"&lt;="&amp;'Settings'!$D$30),2),0)</f>
        <v/>
      </c>
      <c r="AZ184">
        <f>IF(AE184=1,ROUND(SUMIFS('All Donations'!$S$2:$S$4001,'All Donations'!$R$2:$R$4001,AD184,'All Donations'!$T$2:$T$4001,"&lt;="&amp;'Settings'!$D$34),2),0)</f>
        <v/>
      </c>
    </row>
    <row r="185">
      <c r="A185">
        <f>IF(AE185=1,TRIM(TRIM('Roster'!B185)&amp;" "&amp;TRIM('Roster'!C185)),"")</f>
        <v/>
      </c>
      <c r="B185">
        <f>IF(AE185=1,IF(AN185="","(no teacher)",AN185&amp;" – "&amp;C185),"")</f>
        <v/>
      </c>
      <c r="C185">
        <f>IF(AE185=1,TRIM('Roster'!D185&amp;""),"")</f>
        <v/>
      </c>
      <c r="D185" s="48">
        <f>IF(AE185=1,ROUND(SUMIFS('All Donations'!$S$2:$S$4001,'All Donations'!$R$2:$R$4001,AD185),2),"")</f>
        <v/>
      </c>
      <c r="E185" s="48">
        <f>IF(AE185=1,ROUND(SUMIFS('All Donations'!$S$2:$S$4001,'All Donations'!$R$2:$R$4001,AD185,'All Donations'!$G$2:$G$4001,"OneCause"),2),"")</f>
        <v/>
      </c>
      <c r="F185" s="48">
        <f>IF(AE185=1,D185-E185,"")</f>
        <v/>
      </c>
      <c r="G185">
        <f>IF(AE185=1,COUNTIFS('All Donations'!$R$2:$R$4001,AD185,'All Donations'!$H$2:$H$4001,"OK"),"")</f>
        <v/>
      </c>
      <c r="H185">
        <f>IF(AE185&lt;&gt;1,"",IF(D185&gt;0,"Yes",""))</f>
        <v/>
      </c>
      <c r="I185" s="49">
        <f>IF(OR($AE185&lt;&gt;1,I$1=""),"",SUMIFS('All Donations'!$S$2:$S$4001,'All Donations'!$R$2:$R$4001,$AD185,'All Donations'!$T$2:$T$4001,I$1))</f>
        <v/>
      </c>
      <c r="J185" s="49">
        <f>IF(OR($AE185&lt;&gt;1,J$1=""),"",SUMIFS('All Donations'!$S$2:$S$4001,'All Donations'!$R$2:$R$4001,$AD185,'All Donations'!$T$2:$T$4001,J$1))</f>
        <v/>
      </c>
      <c r="K185" s="49">
        <f>IF(OR($AE185&lt;&gt;1,K$1=""),"",SUMIFS('All Donations'!$S$2:$S$4001,'All Donations'!$R$2:$R$4001,$AD185,'All Donations'!$T$2:$T$4001,K$1))</f>
        <v/>
      </c>
      <c r="L185" s="49">
        <f>IF(OR($AE185&lt;&gt;1,L$1=""),"",SUMIFS('All Donations'!$S$2:$S$4001,'All Donations'!$R$2:$R$4001,$AD185,'All Donations'!$T$2:$T$4001,L$1))</f>
        <v/>
      </c>
      <c r="M185" s="49">
        <f>IF(OR($AE185&lt;&gt;1,M$1=""),"",SUMIFS('All Donations'!$S$2:$S$4001,'All Donations'!$R$2:$R$4001,$AD185,'All Donations'!$T$2:$T$4001,M$1))</f>
        <v/>
      </c>
      <c r="N185" s="49">
        <f>IF(OR($AE185&lt;&gt;1,N$1=""),"",SUMIFS('All Donations'!$S$2:$S$4001,'All Donations'!$R$2:$R$4001,$AD185,'All Donations'!$T$2:$T$4001,N$1))</f>
        <v/>
      </c>
      <c r="O185" s="49">
        <f>IF(OR($AE185&lt;&gt;1,O$1=""),"",SUMIFS('All Donations'!$S$2:$S$4001,'All Donations'!$R$2:$R$4001,$AD185,'All Donations'!$T$2:$T$4001,O$1))</f>
        <v/>
      </c>
      <c r="P185" s="49">
        <f>IF(OR($AE185&lt;&gt;1,P$1=""),"",SUMIFS('All Donations'!$S$2:$S$4001,'All Donations'!$R$2:$R$4001,$AD185,'All Donations'!$T$2:$T$4001,P$1))</f>
        <v/>
      </c>
      <c r="Q185" s="49">
        <f>IF(OR($AE185&lt;&gt;1,Q$1=""),"",SUMIFS('All Donations'!$S$2:$S$4001,'All Donations'!$R$2:$R$4001,$AD185,'All Donations'!$T$2:$T$4001,Q$1))</f>
        <v/>
      </c>
      <c r="R185" s="49">
        <f>IF(OR($AE185&lt;&gt;1,R$1=""),"",SUMIFS('All Donations'!$S$2:$S$4001,'All Donations'!$R$2:$R$4001,$AD185,'All Donations'!$T$2:$T$4001,R$1))</f>
        <v/>
      </c>
      <c r="S185" s="49">
        <f>IF(OR($AE185&lt;&gt;1,S$1=""),"",SUMIFS('All Donations'!$S$2:$S$4001,'All Donations'!$R$2:$R$4001,$AD185,'All Donations'!$T$2:$T$4001,S$1))</f>
        <v/>
      </c>
      <c r="T185" s="49">
        <f>IF(OR($AE185&lt;&gt;1,T$1=""),"",SUMIFS('All Donations'!$S$2:$S$4001,'All Donations'!$R$2:$R$4001,$AD185,'All Donations'!$T$2:$T$4001,T$1))</f>
        <v/>
      </c>
      <c r="U185" s="49">
        <f>IF(OR($AE185&lt;&gt;1,U$1=""),"",SUMIFS('All Donations'!$S$2:$S$4001,'All Donations'!$R$2:$R$4001,$AD185,'All Donations'!$T$2:$T$4001,U$1))</f>
        <v/>
      </c>
      <c r="V185" s="49">
        <f>IF(OR($AE185&lt;&gt;1,V$1=""),"",SUMIFS('All Donations'!$S$2:$S$4001,'All Donations'!$R$2:$R$4001,$AD185,'All Donations'!$T$2:$T$4001,V$1))</f>
        <v/>
      </c>
      <c r="W185" s="49">
        <f>IF(OR($AE185&lt;&gt;1,W$1=""),"",SUMIFS('All Donations'!$S$2:$S$4001,'All Donations'!$R$2:$R$4001,$AD185,'All Donations'!$T$2:$T$4001,W$1))</f>
        <v/>
      </c>
      <c r="X185" s="49">
        <f>IF(OR($AE185&lt;&gt;1,X$1=""),"",SUMIFS('All Donations'!$S$2:$S$4001,'All Donations'!$R$2:$R$4001,$AD185,'All Donations'!$T$2:$T$4001,X$1))</f>
        <v/>
      </c>
      <c r="Y185" s="49">
        <f>IF(OR($AE185&lt;&gt;1,Y$1=""),"",SUMIFS('All Donations'!$S$2:$S$4001,'All Donations'!$R$2:$R$4001,$AD185,'All Donations'!$T$2:$T$4001,Y$1))</f>
        <v/>
      </c>
      <c r="Z185" s="49">
        <f>IF(OR($AE185&lt;&gt;1,Z$1=""),"",SUMIFS('All Donations'!$S$2:$S$4001,'All Donations'!$R$2:$R$4001,$AD185,'All Donations'!$T$2:$T$4001,Z$1))</f>
        <v/>
      </c>
      <c r="AA185" s="49">
        <f>IF(OR($AE185&lt;&gt;1,AA$1=""),"",SUMIFS('All Donations'!$S$2:$S$4001,'All Donations'!$R$2:$R$4001,$AD185,'All Donations'!$T$2:$T$4001,AA$1))</f>
        <v/>
      </c>
      <c r="AB185" s="49">
        <f>IF(OR($AE185&lt;&gt;1,AB$1=""),"",SUMIFS('All Donations'!$S$2:$S$4001,'All Donations'!$R$2:$R$4001,$AD185,'All Donations'!$T$2:$T$4001,AB$1))</f>
        <v/>
      </c>
      <c r="AC185" s="49">
        <f>IF(OR($AE185&lt;&gt;1,AC$1=""),"",SUMIFS('All Donations'!$S$2:$S$4001,'All Donations'!$R$2:$R$4001,$AD185,'All Donations'!$T$2:$T$4001,AC$1))</f>
        <v/>
      </c>
      <c r="AD185">
        <f>IF(AE185=1,'Roster'!A185,"")</f>
        <v/>
      </c>
      <c r="AE185">
        <f>IF(TRIM('Roster'!B185&amp;'Roster'!C185)&lt;&gt;"",1,0)</f>
        <v/>
      </c>
      <c r="AF185">
        <f>IF(AE185=1,LOWER(A185),"#")</f>
        <v/>
      </c>
      <c r="AG185">
        <f>IF(AE185=1,LOWER(TRIM(TRIM('Roster'!C185)&amp;", "&amp;TRIM('Roster'!B185))),"#")</f>
        <v/>
      </c>
      <c r="AH185">
        <f>IF(AND(AE185=1,TRIM('Roster'!F185)&lt;&gt;""),LOWER(TRIM('Roster'!F185)),"#")</f>
        <v/>
      </c>
      <c r="AI185">
        <f>IF(AE185=1,IF(MATCH(B185,$B$2:$B$701,0)=ROW()-1,1,0),0)</f>
        <v/>
      </c>
      <c r="AJ185">
        <f>AJ184+AI185</f>
        <v/>
      </c>
      <c r="AK185">
        <f>IF(AE185=1,D185+(1000-ROW())/10^7,-1)</f>
        <v/>
      </c>
      <c r="AL185">
        <f>IF(AE185=1,TRIM('Roster'!B185)&amp;" "&amp;LEFT(TRIM('Roster'!C185),1)&amp;".","")</f>
        <v/>
      </c>
      <c r="AM185">
        <f>IF(AE185=1,TRIM('Roster'!C185)&amp;", "&amp;TRIM('Roster'!B185)&amp;" ("&amp;B185&amp;") #"&amp;AD185,"")</f>
        <v/>
      </c>
      <c r="AN185">
        <f>IF(AE185=1,TRIM('Roster'!E185),"")</f>
        <v/>
      </c>
      <c r="AO185">
        <f>IF(AE185=1,ROUND(SUMIFS('All Donations'!$S$2:$S$4001,'All Donations'!$R$2:$R$4001,AD185,'All Donations'!$T$2:$T$4001,"&gt;="&amp;'Settings'!$C$23,'All Donations'!$T$2:$T$4001,"&lt;="&amp;'Settings'!$D$23),2),0)</f>
        <v/>
      </c>
      <c r="AQ185">
        <f>IF(AE185=1,ROUND(SUMIFS('All Donations'!$S$2:$S$4001,'All Donations'!$R$2:$R$4001,AD185,'All Donations'!$T$2:$T$4001,"&gt;="&amp;'Settings'!$C$25,'All Donations'!$T$2:$T$4001,"&lt;="&amp;'Settings'!$D$25),2),0)</f>
        <v/>
      </c>
      <c r="AR185">
        <f>IF(AE185=1,ROUND(SUMIFS('All Donations'!$S$2:$S$4001,'All Donations'!$R$2:$R$4001,AD185,'All Donations'!$T$2:$T$4001,"&gt;="&amp;'Settings'!$C$26,'All Donations'!$T$2:$T$4001,"&lt;="&amp;'Settings'!$D$26),2),0)</f>
        <v/>
      </c>
      <c r="AS185">
        <f>IF(AE185=1,ROUND(SUMIFS('All Donations'!$S$2:$S$4001,'All Donations'!$R$2:$R$4001,AD185,'All Donations'!$T$2:$T$4001,"&lt;="&amp;'Settings'!$D$27),2),0)</f>
        <v/>
      </c>
      <c r="AT185">
        <f>IF(AE185=1,ROUND(SUMIFS('All Donations'!$S$2:$S$4001,'All Donations'!$R$2:$R$4001,AD185,'All Donations'!$T$2:$T$4001,"&gt;="&amp;'Settings'!$C$28,'All Donations'!$T$2:$T$4001,"&lt;="&amp;'Settings'!$D$28),2),0)</f>
        <v/>
      </c>
      <c r="AU185">
        <f>IF(AE185=1,ROUND(SUMIFS('All Donations'!$S$2:$S$4001,'All Donations'!$R$2:$R$4001,AD185,'All Donations'!$T$2:$T$4001,"&gt;="&amp;'Settings'!$C$29,'All Donations'!$T$2:$T$4001,"&lt;="&amp;'Settings'!$D$29),2),0)</f>
        <v/>
      </c>
      <c r="AV185">
        <f>IF(AE185=1,ROUND(SUMIFS('All Donations'!$S$2:$S$4001,'All Donations'!$R$2:$R$4001,AD185,'All Donations'!$T$2:$T$4001,"&lt;="&amp;'Settings'!$D$30),2),0)</f>
        <v/>
      </c>
      <c r="AZ185">
        <f>IF(AE185=1,ROUND(SUMIFS('All Donations'!$S$2:$S$4001,'All Donations'!$R$2:$R$4001,AD185,'All Donations'!$T$2:$T$4001,"&lt;="&amp;'Settings'!$D$34),2),0)</f>
        <v/>
      </c>
    </row>
    <row r="186">
      <c r="A186">
        <f>IF(AE186=1,TRIM(TRIM('Roster'!B186)&amp;" "&amp;TRIM('Roster'!C186)),"")</f>
        <v/>
      </c>
      <c r="B186">
        <f>IF(AE186=1,IF(AN186="","(no teacher)",AN186&amp;" – "&amp;C186),"")</f>
        <v/>
      </c>
      <c r="C186">
        <f>IF(AE186=1,TRIM('Roster'!D186&amp;""),"")</f>
        <v/>
      </c>
      <c r="D186" s="48">
        <f>IF(AE186=1,ROUND(SUMIFS('All Donations'!$S$2:$S$4001,'All Donations'!$R$2:$R$4001,AD186),2),"")</f>
        <v/>
      </c>
      <c r="E186" s="48">
        <f>IF(AE186=1,ROUND(SUMIFS('All Donations'!$S$2:$S$4001,'All Donations'!$R$2:$R$4001,AD186,'All Donations'!$G$2:$G$4001,"OneCause"),2),"")</f>
        <v/>
      </c>
      <c r="F186" s="48">
        <f>IF(AE186=1,D186-E186,"")</f>
        <v/>
      </c>
      <c r="G186">
        <f>IF(AE186=1,COUNTIFS('All Donations'!$R$2:$R$4001,AD186,'All Donations'!$H$2:$H$4001,"OK"),"")</f>
        <v/>
      </c>
      <c r="H186">
        <f>IF(AE186&lt;&gt;1,"",IF(D186&gt;0,"Yes",""))</f>
        <v/>
      </c>
      <c r="I186" s="49">
        <f>IF(OR($AE186&lt;&gt;1,I$1=""),"",SUMIFS('All Donations'!$S$2:$S$4001,'All Donations'!$R$2:$R$4001,$AD186,'All Donations'!$T$2:$T$4001,I$1))</f>
        <v/>
      </c>
      <c r="J186" s="49">
        <f>IF(OR($AE186&lt;&gt;1,J$1=""),"",SUMIFS('All Donations'!$S$2:$S$4001,'All Donations'!$R$2:$R$4001,$AD186,'All Donations'!$T$2:$T$4001,J$1))</f>
        <v/>
      </c>
      <c r="K186" s="49">
        <f>IF(OR($AE186&lt;&gt;1,K$1=""),"",SUMIFS('All Donations'!$S$2:$S$4001,'All Donations'!$R$2:$R$4001,$AD186,'All Donations'!$T$2:$T$4001,K$1))</f>
        <v/>
      </c>
      <c r="L186" s="49">
        <f>IF(OR($AE186&lt;&gt;1,L$1=""),"",SUMIFS('All Donations'!$S$2:$S$4001,'All Donations'!$R$2:$R$4001,$AD186,'All Donations'!$T$2:$T$4001,L$1))</f>
        <v/>
      </c>
      <c r="M186" s="49">
        <f>IF(OR($AE186&lt;&gt;1,M$1=""),"",SUMIFS('All Donations'!$S$2:$S$4001,'All Donations'!$R$2:$R$4001,$AD186,'All Donations'!$T$2:$T$4001,M$1))</f>
        <v/>
      </c>
      <c r="N186" s="49">
        <f>IF(OR($AE186&lt;&gt;1,N$1=""),"",SUMIFS('All Donations'!$S$2:$S$4001,'All Donations'!$R$2:$R$4001,$AD186,'All Donations'!$T$2:$T$4001,N$1))</f>
        <v/>
      </c>
      <c r="O186" s="49">
        <f>IF(OR($AE186&lt;&gt;1,O$1=""),"",SUMIFS('All Donations'!$S$2:$S$4001,'All Donations'!$R$2:$R$4001,$AD186,'All Donations'!$T$2:$T$4001,O$1))</f>
        <v/>
      </c>
      <c r="P186" s="49">
        <f>IF(OR($AE186&lt;&gt;1,P$1=""),"",SUMIFS('All Donations'!$S$2:$S$4001,'All Donations'!$R$2:$R$4001,$AD186,'All Donations'!$T$2:$T$4001,P$1))</f>
        <v/>
      </c>
      <c r="Q186" s="49">
        <f>IF(OR($AE186&lt;&gt;1,Q$1=""),"",SUMIFS('All Donations'!$S$2:$S$4001,'All Donations'!$R$2:$R$4001,$AD186,'All Donations'!$T$2:$T$4001,Q$1))</f>
        <v/>
      </c>
      <c r="R186" s="49">
        <f>IF(OR($AE186&lt;&gt;1,R$1=""),"",SUMIFS('All Donations'!$S$2:$S$4001,'All Donations'!$R$2:$R$4001,$AD186,'All Donations'!$T$2:$T$4001,R$1))</f>
        <v/>
      </c>
      <c r="S186" s="49">
        <f>IF(OR($AE186&lt;&gt;1,S$1=""),"",SUMIFS('All Donations'!$S$2:$S$4001,'All Donations'!$R$2:$R$4001,$AD186,'All Donations'!$T$2:$T$4001,S$1))</f>
        <v/>
      </c>
      <c r="T186" s="49">
        <f>IF(OR($AE186&lt;&gt;1,T$1=""),"",SUMIFS('All Donations'!$S$2:$S$4001,'All Donations'!$R$2:$R$4001,$AD186,'All Donations'!$T$2:$T$4001,T$1))</f>
        <v/>
      </c>
      <c r="U186" s="49">
        <f>IF(OR($AE186&lt;&gt;1,U$1=""),"",SUMIFS('All Donations'!$S$2:$S$4001,'All Donations'!$R$2:$R$4001,$AD186,'All Donations'!$T$2:$T$4001,U$1))</f>
        <v/>
      </c>
      <c r="V186" s="49">
        <f>IF(OR($AE186&lt;&gt;1,V$1=""),"",SUMIFS('All Donations'!$S$2:$S$4001,'All Donations'!$R$2:$R$4001,$AD186,'All Donations'!$T$2:$T$4001,V$1))</f>
        <v/>
      </c>
      <c r="W186" s="49">
        <f>IF(OR($AE186&lt;&gt;1,W$1=""),"",SUMIFS('All Donations'!$S$2:$S$4001,'All Donations'!$R$2:$R$4001,$AD186,'All Donations'!$T$2:$T$4001,W$1))</f>
        <v/>
      </c>
      <c r="X186" s="49">
        <f>IF(OR($AE186&lt;&gt;1,X$1=""),"",SUMIFS('All Donations'!$S$2:$S$4001,'All Donations'!$R$2:$R$4001,$AD186,'All Donations'!$T$2:$T$4001,X$1))</f>
        <v/>
      </c>
      <c r="Y186" s="49">
        <f>IF(OR($AE186&lt;&gt;1,Y$1=""),"",SUMIFS('All Donations'!$S$2:$S$4001,'All Donations'!$R$2:$R$4001,$AD186,'All Donations'!$T$2:$T$4001,Y$1))</f>
        <v/>
      </c>
      <c r="Z186" s="49">
        <f>IF(OR($AE186&lt;&gt;1,Z$1=""),"",SUMIFS('All Donations'!$S$2:$S$4001,'All Donations'!$R$2:$R$4001,$AD186,'All Donations'!$T$2:$T$4001,Z$1))</f>
        <v/>
      </c>
      <c r="AA186" s="49">
        <f>IF(OR($AE186&lt;&gt;1,AA$1=""),"",SUMIFS('All Donations'!$S$2:$S$4001,'All Donations'!$R$2:$R$4001,$AD186,'All Donations'!$T$2:$T$4001,AA$1))</f>
        <v/>
      </c>
      <c r="AB186" s="49">
        <f>IF(OR($AE186&lt;&gt;1,AB$1=""),"",SUMIFS('All Donations'!$S$2:$S$4001,'All Donations'!$R$2:$R$4001,$AD186,'All Donations'!$T$2:$T$4001,AB$1))</f>
        <v/>
      </c>
      <c r="AC186" s="49">
        <f>IF(OR($AE186&lt;&gt;1,AC$1=""),"",SUMIFS('All Donations'!$S$2:$S$4001,'All Donations'!$R$2:$R$4001,$AD186,'All Donations'!$T$2:$T$4001,AC$1))</f>
        <v/>
      </c>
      <c r="AD186">
        <f>IF(AE186=1,'Roster'!A186,"")</f>
        <v/>
      </c>
      <c r="AE186">
        <f>IF(TRIM('Roster'!B186&amp;'Roster'!C186)&lt;&gt;"",1,0)</f>
        <v/>
      </c>
      <c r="AF186">
        <f>IF(AE186=1,LOWER(A186),"#")</f>
        <v/>
      </c>
      <c r="AG186">
        <f>IF(AE186=1,LOWER(TRIM(TRIM('Roster'!C186)&amp;", "&amp;TRIM('Roster'!B186))),"#")</f>
        <v/>
      </c>
      <c r="AH186">
        <f>IF(AND(AE186=1,TRIM('Roster'!F186)&lt;&gt;""),LOWER(TRIM('Roster'!F186)),"#")</f>
        <v/>
      </c>
      <c r="AI186">
        <f>IF(AE186=1,IF(MATCH(B186,$B$2:$B$701,0)=ROW()-1,1,0),0)</f>
        <v/>
      </c>
      <c r="AJ186">
        <f>AJ185+AI186</f>
        <v/>
      </c>
      <c r="AK186">
        <f>IF(AE186=1,D186+(1000-ROW())/10^7,-1)</f>
        <v/>
      </c>
      <c r="AL186">
        <f>IF(AE186=1,TRIM('Roster'!B186)&amp;" "&amp;LEFT(TRIM('Roster'!C186),1)&amp;".","")</f>
        <v/>
      </c>
      <c r="AM186">
        <f>IF(AE186=1,TRIM('Roster'!C186)&amp;", "&amp;TRIM('Roster'!B186)&amp;" ("&amp;B186&amp;") #"&amp;AD186,"")</f>
        <v/>
      </c>
      <c r="AN186">
        <f>IF(AE186=1,TRIM('Roster'!E186),"")</f>
        <v/>
      </c>
      <c r="AO186">
        <f>IF(AE186=1,ROUND(SUMIFS('All Donations'!$S$2:$S$4001,'All Donations'!$R$2:$R$4001,AD186,'All Donations'!$T$2:$T$4001,"&gt;="&amp;'Settings'!$C$23,'All Donations'!$T$2:$T$4001,"&lt;="&amp;'Settings'!$D$23),2),0)</f>
        <v/>
      </c>
      <c r="AQ186">
        <f>IF(AE186=1,ROUND(SUMIFS('All Donations'!$S$2:$S$4001,'All Donations'!$R$2:$R$4001,AD186,'All Donations'!$T$2:$T$4001,"&gt;="&amp;'Settings'!$C$25,'All Donations'!$T$2:$T$4001,"&lt;="&amp;'Settings'!$D$25),2),0)</f>
        <v/>
      </c>
      <c r="AR186">
        <f>IF(AE186=1,ROUND(SUMIFS('All Donations'!$S$2:$S$4001,'All Donations'!$R$2:$R$4001,AD186,'All Donations'!$T$2:$T$4001,"&gt;="&amp;'Settings'!$C$26,'All Donations'!$T$2:$T$4001,"&lt;="&amp;'Settings'!$D$26),2),0)</f>
        <v/>
      </c>
      <c r="AS186">
        <f>IF(AE186=1,ROUND(SUMIFS('All Donations'!$S$2:$S$4001,'All Donations'!$R$2:$R$4001,AD186,'All Donations'!$T$2:$T$4001,"&lt;="&amp;'Settings'!$D$27),2),0)</f>
        <v/>
      </c>
      <c r="AT186">
        <f>IF(AE186=1,ROUND(SUMIFS('All Donations'!$S$2:$S$4001,'All Donations'!$R$2:$R$4001,AD186,'All Donations'!$T$2:$T$4001,"&gt;="&amp;'Settings'!$C$28,'All Donations'!$T$2:$T$4001,"&lt;="&amp;'Settings'!$D$28),2),0)</f>
        <v/>
      </c>
      <c r="AU186">
        <f>IF(AE186=1,ROUND(SUMIFS('All Donations'!$S$2:$S$4001,'All Donations'!$R$2:$R$4001,AD186,'All Donations'!$T$2:$T$4001,"&gt;="&amp;'Settings'!$C$29,'All Donations'!$T$2:$T$4001,"&lt;="&amp;'Settings'!$D$29),2),0)</f>
        <v/>
      </c>
      <c r="AV186">
        <f>IF(AE186=1,ROUND(SUMIFS('All Donations'!$S$2:$S$4001,'All Donations'!$R$2:$R$4001,AD186,'All Donations'!$T$2:$T$4001,"&lt;="&amp;'Settings'!$D$30),2),0)</f>
        <v/>
      </c>
      <c r="AZ186">
        <f>IF(AE186=1,ROUND(SUMIFS('All Donations'!$S$2:$S$4001,'All Donations'!$R$2:$R$4001,AD186,'All Donations'!$T$2:$T$4001,"&lt;="&amp;'Settings'!$D$34),2),0)</f>
        <v/>
      </c>
    </row>
    <row r="187">
      <c r="A187">
        <f>IF(AE187=1,TRIM(TRIM('Roster'!B187)&amp;" "&amp;TRIM('Roster'!C187)),"")</f>
        <v/>
      </c>
      <c r="B187">
        <f>IF(AE187=1,IF(AN187="","(no teacher)",AN187&amp;" – "&amp;C187),"")</f>
        <v/>
      </c>
      <c r="C187">
        <f>IF(AE187=1,TRIM('Roster'!D187&amp;""),"")</f>
        <v/>
      </c>
      <c r="D187" s="48">
        <f>IF(AE187=1,ROUND(SUMIFS('All Donations'!$S$2:$S$4001,'All Donations'!$R$2:$R$4001,AD187),2),"")</f>
        <v/>
      </c>
      <c r="E187" s="48">
        <f>IF(AE187=1,ROUND(SUMIFS('All Donations'!$S$2:$S$4001,'All Donations'!$R$2:$R$4001,AD187,'All Donations'!$G$2:$G$4001,"OneCause"),2),"")</f>
        <v/>
      </c>
      <c r="F187" s="48">
        <f>IF(AE187=1,D187-E187,"")</f>
        <v/>
      </c>
      <c r="G187">
        <f>IF(AE187=1,COUNTIFS('All Donations'!$R$2:$R$4001,AD187,'All Donations'!$H$2:$H$4001,"OK"),"")</f>
        <v/>
      </c>
      <c r="H187">
        <f>IF(AE187&lt;&gt;1,"",IF(D187&gt;0,"Yes",""))</f>
        <v/>
      </c>
      <c r="I187" s="49">
        <f>IF(OR($AE187&lt;&gt;1,I$1=""),"",SUMIFS('All Donations'!$S$2:$S$4001,'All Donations'!$R$2:$R$4001,$AD187,'All Donations'!$T$2:$T$4001,I$1))</f>
        <v/>
      </c>
      <c r="J187" s="49">
        <f>IF(OR($AE187&lt;&gt;1,J$1=""),"",SUMIFS('All Donations'!$S$2:$S$4001,'All Donations'!$R$2:$R$4001,$AD187,'All Donations'!$T$2:$T$4001,J$1))</f>
        <v/>
      </c>
      <c r="K187" s="49">
        <f>IF(OR($AE187&lt;&gt;1,K$1=""),"",SUMIFS('All Donations'!$S$2:$S$4001,'All Donations'!$R$2:$R$4001,$AD187,'All Donations'!$T$2:$T$4001,K$1))</f>
        <v/>
      </c>
      <c r="L187" s="49">
        <f>IF(OR($AE187&lt;&gt;1,L$1=""),"",SUMIFS('All Donations'!$S$2:$S$4001,'All Donations'!$R$2:$R$4001,$AD187,'All Donations'!$T$2:$T$4001,L$1))</f>
        <v/>
      </c>
      <c r="M187" s="49">
        <f>IF(OR($AE187&lt;&gt;1,M$1=""),"",SUMIFS('All Donations'!$S$2:$S$4001,'All Donations'!$R$2:$R$4001,$AD187,'All Donations'!$T$2:$T$4001,M$1))</f>
        <v/>
      </c>
      <c r="N187" s="49">
        <f>IF(OR($AE187&lt;&gt;1,N$1=""),"",SUMIFS('All Donations'!$S$2:$S$4001,'All Donations'!$R$2:$R$4001,$AD187,'All Donations'!$T$2:$T$4001,N$1))</f>
        <v/>
      </c>
      <c r="O187" s="49">
        <f>IF(OR($AE187&lt;&gt;1,O$1=""),"",SUMIFS('All Donations'!$S$2:$S$4001,'All Donations'!$R$2:$R$4001,$AD187,'All Donations'!$T$2:$T$4001,O$1))</f>
        <v/>
      </c>
      <c r="P187" s="49">
        <f>IF(OR($AE187&lt;&gt;1,P$1=""),"",SUMIFS('All Donations'!$S$2:$S$4001,'All Donations'!$R$2:$R$4001,$AD187,'All Donations'!$T$2:$T$4001,P$1))</f>
        <v/>
      </c>
      <c r="Q187" s="49">
        <f>IF(OR($AE187&lt;&gt;1,Q$1=""),"",SUMIFS('All Donations'!$S$2:$S$4001,'All Donations'!$R$2:$R$4001,$AD187,'All Donations'!$T$2:$T$4001,Q$1))</f>
        <v/>
      </c>
      <c r="R187" s="49">
        <f>IF(OR($AE187&lt;&gt;1,R$1=""),"",SUMIFS('All Donations'!$S$2:$S$4001,'All Donations'!$R$2:$R$4001,$AD187,'All Donations'!$T$2:$T$4001,R$1))</f>
        <v/>
      </c>
      <c r="S187" s="49">
        <f>IF(OR($AE187&lt;&gt;1,S$1=""),"",SUMIFS('All Donations'!$S$2:$S$4001,'All Donations'!$R$2:$R$4001,$AD187,'All Donations'!$T$2:$T$4001,S$1))</f>
        <v/>
      </c>
      <c r="T187" s="49">
        <f>IF(OR($AE187&lt;&gt;1,T$1=""),"",SUMIFS('All Donations'!$S$2:$S$4001,'All Donations'!$R$2:$R$4001,$AD187,'All Donations'!$T$2:$T$4001,T$1))</f>
        <v/>
      </c>
      <c r="U187" s="49">
        <f>IF(OR($AE187&lt;&gt;1,U$1=""),"",SUMIFS('All Donations'!$S$2:$S$4001,'All Donations'!$R$2:$R$4001,$AD187,'All Donations'!$T$2:$T$4001,U$1))</f>
        <v/>
      </c>
      <c r="V187" s="49">
        <f>IF(OR($AE187&lt;&gt;1,V$1=""),"",SUMIFS('All Donations'!$S$2:$S$4001,'All Donations'!$R$2:$R$4001,$AD187,'All Donations'!$T$2:$T$4001,V$1))</f>
        <v/>
      </c>
      <c r="W187" s="49">
        <f>IF(OR($AE187&lt;&gt;1,W$1=""),"",SUMIFS('All Donations'!$S$2:$S$4001,'All Donations'!$R$2:$R$4001,$AD187,'All Donations'!$T$2:$T$4001,W$1))</f>
        <v/>
      </c>
      <c r="X187" s="49">
        <f>IF(OR($AE187&lt;&gt;1,X$1=""),"",SUMIFS('All Donations'!$S$2:$S$4001,'All Donations'!$R$2:$R$4001,$AD187,'All Donations'!$T$2:$T$4001,X$1))</f>
        <v/>
      </c>
      <c r="Y187" s="49">
        <f>IF(OR($AE187&lt;&gt;1,Y$1=""),"",SUMIFS('All Donations'!$S$2:$S$4001,'All Donations'!$R$2:$R$4001,$AD187,'All Donations'!$T$2:$T$4001,Y$1))</f>
        <v/>
      </c>
      <c r="Z187" s="49">
        <f>IF(OR($AE187&lt;&gt;1,Z$1=""),"",SUMIFS('All Donations'!$S$2:$S$4001,'All Donations'!$R$2:$R$4001,$AD187,'All Donations'!$T$2:$T$4001,Z$1))</f>
        <v/>
      </c>
      <c r="AA187" s="49">
        <f>IF(OR($AE187&lt;&gt;1,AA$1=""),"",SUMIFS('All Donations'!$S$2:$S$4001,'All Donations'!$R$2:$R$4001,$AD187,'All Donations'!$T$2:$T$4001,AA$1))</f>
        <v/>
      </c>
      <c r="AB187" s="49">
        <f>IF(OR($AE187&lt;&gt;1,AB$1=""),"",SUMIFS('All Donations'!$S$2:$S$4001,'All Donations'!$R$2:$R$4001,$AD187,'All Donations'!$T$2:$T$4001,AB$1))</f>
        <v/>
      </c>
      <c r="AC187" s="49">
        <f>IF(OR($AE187&lt;&gt;1,AC$1=""),"",SUMIFS('All Donations'!$S$2:$S$4001,'All Donations'!$R$2:$R$4001,$AD187,'All Donations'!$T$2:$T$4001,AC$1))</f>
        <v/>
      </c>
      <c r="AD187">
        <f>IF(AE187=1,'Roster'!A187,"")</f>
        <v/>
      </c>
      <c r="AE187">
        <f>IF(TRIM('Roster'!B187&amp;'Roster'!C187)&lt;&gt;"",1,0)</f>
        <v/>
      </c>
      <c r="AF187">
        <f>IF(AE187=1,LOWER(A187),"#")</f>
        <v/>
      </c>
      <c r="AG187">
        <f>IF(AE187=1,LOWER(TRIM(TRIM('Roster'!C187)&amp;", "&amp;TRIM('Roster'!B187))),"#")</f>
        <v/>
      </c>
      <c r="AH187">
        <f>IF(AND(AE187=1,TRIM('Roster'!F187)&lt;&gt;""),LOWER(TRIM('Roster'!F187)),"#")</f>
        <v/>
      </c>
      <c r="AI187">
        <f>IF(AE187=1,IF(MATCH(B187,$B$2:$B$701,0)=ROW()-1,1,0),0)</f>
        <v/>
      </c>
      <c r="AJ187">
        <f>AJ186+AI187</f>
        <v/>
      </c>
      <c r="AK187">
        <f>IF(AE187=1,D187+(1000-ROW())/10^7,-1)</f>
        <v/>
      </c>
      <c r="AL187">
        <f>IF(AE187=1,TRIM('Roster'!B187)&amp;" "&amp;LEFT(TRIM('Roster'!C187),1)&amp;".","")</f>
        <v/>
      </c>
      <c r="AM187">
        <f>IF(AE187=1,TRIM('Roster'!C187)&amp;", "&amp;TRIM('Roster'!B187)&amp;" ("&amp;B187&amp;") #"&amp;AD187,"")</f>
        <v/>
      </c>
      <c r="AN187">
        <f>IF(AE187=1,TRIM('Roster'!E187),"")</f>
        <v/>
      </c>
      <c r="AO187">
        <f>IF(AE187=1,ROUND(SUMIFS('All Donations'!$S$2:$S$4001,'All Donations'!$R$2:$R$4001,AD187,'All Donations'!$T$2:$T$4001,"&gt;="&amp;'Settings'!$C$23,'All Donations'!$T$2:$T$4001,"&lt;="&amp;'Settings'!$D$23),2),0)</f>
        <v/>
      </c>
      <c r="AQ187">
        <f>IF(AE187=1,ROUND(SUMIFS('All Donations'!$S$2:$S$4001,'All Donations'!$R$2:$R$4001,AD187,'All Donations'!$T$2:$T$4001,"&gt;="&amp;'Settings'!$C$25,'All Donations'!$T$2:$T$4001,"&lt;="&amp;'Settings'!$D$25),2),0)</f>
        <v/>
      </c>
      <c r="AR187">
        <f>IF(AE187=1,ROUND(SUMIFS('All Donations'!$S$2:$S$4001,'All Donations'!$R$2:$R$4001,AD187,'All Donations'!$T$2:$T$4001,"&gt;="&amp;'Settings'!$C$26,'All Donations'!$T$2:$T$4001,"&lt;="&amp;'Settings'!$D$26),2),0)</f>
        <v/>
      </c>
      <c r="AS187">
        <f>IF(AE187=1,ROUND(SUMIFS('All Donations'!$S$2:$S$4001,'All Donations'!$R$2:$R$4001,AD187,'All Donations'!$T$2:$T$4001,"&lt;="&amp;'Settings'!$D$27),2),0)</f>
        <v/>
      </c>
      <c r="AT187">
        <f>IF(AE187=1,ROUND(SUMIFS('All Donations'!$S$2:$S$4001,'All Donations'!$R$2:$R$4001,AD187,'All Donations'!$T$2:$T$4001,"&gt;="&amp;'Settings'!$C$28,'All Donations'!$T$2:$T$4001,"&lt;="&amp;'Settings'!$D$28),2),0)</f>
        <v/>
      </c>
      <c r="AU187">
        <f>IF(AE187=1,ROUND(SUMIFS('All Donations'!$S$2:$S$4001,'All Donations'!$R$2:$R$4001,AD187,'All Donations'!$T$2:$T$4001,"&gt;="&amp;'Settings'!$C$29,'All Donations'!$T$2:$T$4001,"&lt;="&amp;'Settings'!$D$29),2),0)</f>
        <v/>
      </c>
      <c r="AV187">
        <f>IF(AE187=1,ROUND(SUMIFS('All Donations'!$S$2:$S$4001,'All Donations'!$R$2:$R$4001,AD187,'All Donations'!$T$2:$T$4001,"&lt;="&amp;'Settings'!$D$30),2),0)</f>
        <v/>
      </c>
      <c r="AZ187">
        <f>IF(AE187=1,ROUND(SUMIFS('All Donations'!$S$2:$S$4001,'All Donations'!$R$2:$R$4001,AD187,'All Donations'!$T$2:$T$4001,"&lt;="&amp;'Settings'!$D$34),2),0)</f>
        <v/>
      </c>
    </row>
    <row r="188">
      <c r="A188">
        <f>IF(AE188=1,TRIM(TRIM('Roster'!B188)&amp;" "&amp;TRIM('Roster'!C188)),"")</f>
        <v/>
      </c>
      <c r="B188">
        <f>IF(AE188=1,IF(AN188="","(no teacher)",AN188&amp;" – "&amp;C188),"")</f>
        <v/>
      </c>
      <c r="C188">
        <f>IF(AE188=1,TRIM('Roster'!D188&amp;""),"")</f>
        <v/>
      </c>
      <c r="D188" s="48">
        <f>IF(AE188=1,ROUND(SUMIFS('All Donations'!$S$2:$S$4001,'All Donations'!$R$2:$R$4001,AD188),2),"")</f>
        <v/>
      </c>
      <c r="E188" s="48">
        <f>IF(AE188=1,ROUND(SUMIFS('All Donations'!$S$2:$S$4001,'All Donations'!$R$2:$R$4001,AD188,'All Donations'!$G$2:$G$4001,"OneCause"),2),"")</f>
        <v/>
      </c>
      <c r="F188" s="48">
        <f>IF(AE188=1,D188-E188,"")</f>
        <v/>
      </c>
      <c r="G188">
        <f>IF(AE188=1,COUNTIFS('All Donations'!$R$2:$R$4001,AD188,'All Donations'!$H$2:$H$4001,"OK"),"")</f>
        <v/>
      </c>
      <c r="H188">
        <f>IF(AE188&lt;&gt;1,"",IF(D188&gt;0,"Yes",""))</f>
        <v/>
      </c>
      <c r="I188" s="49">
        <f>IF(OR($AE188&lt;&gt;1,I$1=""),"",SUMIFS('All Donations'!$S$2:$S$4001,'All Donations'!$R$2:$R$4001,$AD188,'All Donations'!$T$2:$T$4001,I$1))</f>
        <v/>
      </c>
      <c r="J188" s="49">
        <f>IF(OR($AE188&lt;&gt;1,J$1=""),"",SUMIFS('All Donations'!$S$2:$S$4001,'All Donations'!$R$2:$R$4001,$AD188,'All Donations'!$T$2:$T$4001,J$1))</f>
        <v/>
      </c>
      <c r="K188" s="49">
        <f>IF(OR($AE188&lt;&gt;1,K$1=""),"",SUMIFS('All Donations'!$S$2:$S$4001,'All Donations'!$R$2:$R$4001,$AD188,'All Donations'!$T$2:$T$4001,K$1))</f>
        <v/>
      </c>
      <c r="L188" s="49">
        <f>IF(OR($AE188&lt;&gt;1,L$1=""),"",SUMIFS('All Donations'!$S$2:$S$4001,'All Donations'!$R$2:$R$4001,$AD188,'All Donations'!$T$2:$T$4001,L$1))</f>
        <v/>
      </c>
      <c r="M188" s="49">
        <f>IF(OR($AE188&lt;&gt;1,M$1=""),"",SUMIFS('All Donations'!$S$2:$S$4001,'All Donations'!$R$2:$R$4001,$AD188,'All Donations'!$T$2:$T$4001,M$1))</f>
        <v/>
      </c>
      <c r="N188" s="49">
        <f>IF(OR($AE188&lt;&gt;1,N$1=""),"",SUMIFS('All Donations'!$S$2:$S$4001,'All Donations'!$R$2:$R$4001,$AD188,'All Donations'!$T$2:$T$4001,N$1))</f>
        <v/>
      </c>
      <c r="O188" s="49">
        <f>IF(OR($AE188&lt;&gt;1,O$1=""),"",SUMIFS('All Donations'!$S$2:$S$4001,'All Donations'!$R$2:$R$4001,$AD188,'All Donations'!$T$2:$T$4001,O$1))</f>
        <v/>
      </c>
      <c r="P188" s="49">
        <f>IF(OR($AE188&lt;&gt;1,P$1=""),"",SUMIFS('All Donations'!$S$2:$S$4001,'All Donations'!$R$2:$R$4001,$AD188,'All Donations'!$T$2:$T$4001,P$1))</f>
        <v/>
      </c>
      <c r="Q188" s="49">
        <f>IF(OR($AE188&lt;&gt;1,Q$1=""),"",SUMIFS('All Donations'!$S$2:$S$4001,'All Donations'!$R$2:$R$4001,$AD188,'All Donations'!$T$2:$T$4001,Q$1))</f>
        <v/>
      </c>
      <c r="R188" s="49">
        <f>IF(OR($AE188&lt;&gt;1,R$1=""),"",SUMIFS('All Donations'!$S$2:$S$4001,'All Donations'!$R$2:$R$4001,$AD188,'All Donations'!$T$2:$T$4001,R$1))</f>
        <v/>
      </c>
      <c r="S188" s="49">
        <f>IF(OR($AE188&lt;&gt;1,S$1=""),"",SUMIFS('All Donations'!$S$2:$S$4001,'All Donations'!$R$2:$R$4001,$AD188,'All Donations'!$T$2:$T$4001,S$1))</f>
        <v/>
      </c>
      <c r="T188" s="49">
        <f>IF(OR($AE188&lt;&gt;1,T$1=""),"",SUMIFS('All Donations'!$S$2:$S$4001,'All Donations'!$R$2:$R$4001,$AD188,'All Donations'!$T$2:$T$4001,T$1))</f>
        <v/>
      </c>
      <c r="U188" s="49">
        <f>IF(OR($AE188&lt;&gt;1,U$1=""),"",SUMIFS('All Donations'!$S$2:$S$4001,'All Donations'!$R$2:$R$4001,$AD188,'All Donations'!$T$2:$T$4001,U$1))</f>
        <v/>
      </c>
      <c r="V188" s="49">
        <f>IF(OR($AE188&lt;&gt;1,V$1=""),"",SUMIFS('All Donations'!$S$2:$S$4001,'All Donations'!$R$2:$R$4001,$AD188,'All Donations'!$T$2:$T$4001,V$1))</f>
        <v/>
      </c>
      <c r="W188" s="49">
        <f>IF(OR($AE188&lt;&gt;1,W$1=""),"",SUMIFS('All Donations'!$S$2:$S$4001,'All Donations'!$R$2:$R$4001,$AD188,'All Donations'!$T$2:$T$4001,W$1))</f>
        <v/>
      </c>
      <c r="X188" s="49">
        <f>IF(OR($AE188&lt;&gt;1,X$1=""),"",SUMIFS('All Donations'!$S$2:$S$4001,'All Donations'!$R$2:$R$4001,$AD188,'All Donations'!$T$2:$T$4001,X$1))</f>
        <v/>
      </c>
      <c r="Y188" s="49">
        <f>IF(OR($AE188&lt;&gt;1,Y$1=""),"",SUMIFS('All Donations'!$S$2:$S$4001,'All Donations'!$R$2:$R$4001,$AD188,'All Donations'!$T$2:$T$4001,Y$1))</f>
        <v/>
      </c>
      <c r="Z188" s="49">
        <f>IF(OR($AE188&lt;&gt;1,Z$1=""),"",SUMIFS('All Donations'!$S$2:$S$4001,'All Donations'!$R$2:$R$4001,$AD188,'All Donations'!$T$2:$T$4001,Z$1))</f>
        <v/>
      </c>
      <c r="AA188" s="49">
        <f>IF(OR($AE188&lt;&gt;1,AA$1=""),"",SUMIFS('All Donations'!$S$2:$S$4001,'All Donations'!$R$2:$R$4001,$AD188,'All Donations'!$T$2:$T$4001,AA$1))</f>
        <v/>
      </c>
      <c r="AB188" s="49">
        <f>IF(OR($AE188&lt;&gt;1,AB$1=""),"",SUMIFS('All Donations'!$S$2:$S$4001,'All Donations'!$R$2:$R$4001,$AD188,'All Donations'!$T$2:$T$4001,AB$1))</f>
        <v/>
      </c>
      <c r="AC188" s="49">
        <f>IF(OR($AE188&lt;&gt;1,AC$1=""),"",SUMIFS('All Donations'!$S$2:$S$4001,'All Donations'!$R$2:$R$4001,$AD188,'All Donations'!$T$2:$T$4001,AC$1))</f>
        <v/>
      </c>
      <c r="AD188">
        <f>IF(AE188=1,'Roster'!A188,"")</f>
        <v/>
      </c>
      <c r="AE188">
        <f>IF(TRIM('Roster'!B188&amp;'Roster'!C188)&lt;&gt;"",1,0)</f>
        <v/>
      </c>
      <c r="AF188">
        <f>IF(AE188=1,LOWER(A188),"#")</f>
        <v/>
      </c>
      <c r="AG188">
        <f>IF(AE188=1,LOWER(TRIM(TRIM('Roster'!C188)&amp;", "&amp;TRIM('Roster'!B188))),"#")</f>
        <v/>
      </c>
      <c r="AH188">
        <f>IF(AND(AE188=1,TRIM('Roster'!F188)&lt;&gt;""),LOWER(TRIM('Roster'!F188)),"#")</f>
        <v/>
      </c>
      <c r="AI188">
        <f>IF(AE188=1,IF(MATCH(B188,$B$2:$B$701,0)=ROW()-1,1,0),0)</f>
        <v/>
      </c>
      <c r="AJ188">
        <f>AJ187+AI188</f>
        <v/>
      </c>
      <c r="AK188">
        <f>IF(AE188=1,D188+(1000-ROW())/10^7,-1)</f>
        <v/>
      </c>
      <c r="AL188">
        <f>IF(AE188=1,TRIM('Roster'!B188)&amp;" "&amp;LEFT(TRIM('Roster'!C188),1)&amp;".","")</f>
        <v/>
      </c>
      <c r="AM188">
        <f>IF(AE188=1,TRIM('Roster'!C188)&amp;", "&amp;TRIM('Roster'!B188)&amp;" ("&amp;B188&amp;") #"&amp;AD188,"")</f>
        <v/>
      </c>
      <c r="AN188">
        <f>IF(AE188=1,TRIM('Roster'!E188),"")</f>
        <v/>
      </c>
      <c r="AO188">
        <f>IF(AE188=1,ROUND(SUMIFS('All Donations'!$S$2:$S$4001,'All Donations'!$R$2:$R$4001,AD188,'All Donations'!$T$2:$T$4001,"&gt;="&amp;'Settings'!$C$23,'All Donations'!$T$2:$T$4001,"&lt;="&amp;'Settings'!$D$23),2),0)</f>
        <v/>
      </c>
      <c r="AQ188">
        <f>IF(AE188=1,ROUND(SUMIFS('All Donations'!$S$2:$S$4001,'All Donations'!$R$2:$R$4001,AD188,'All Donations'!$T$2:$T$4001,"&gt;="&amp;'Settings'!$C$25,'All Donations'!$T$2:$T$4001,"&lt;="&amp;'Settings'!$D$25),2),0)</f>
        <v/>
      </c>
      <c r="AR188">
        <f>IF(AE188=1,ROUND(SUMIFS('All Donations'!$S$2:$S$4001,'All Donations'!$R$2:$R$4001,AD188,'All Donations'!$T$2:$T$4001,"&gt;="&amp;'Settings'!$C$26,'All Donations'!$T$2:$T$4001,"&lt;="&amp;'Settings'!$D$26),2),0)</f>
        <v/>
      </c>
      <c r="AS188">
        <f>IF(AE188=1,ROUND(SUMIFS('All Donations'!$S$2:$S$4001,'All Donations'!$R$2:$R$4001,AD188,'All Donations'!$T$2:$T$4001,"&lt;="&amp;'Settings'!$D$27),2),0)</f>
        <v/>
      </c>
      <c r="AT188">
        <f>IF(AE188=1,ROUND(SUMIFS('All Donations'!$S$2:$S$4001,'All Donations'!$R$2:$R$4001,AD188,'All Donations'!$T$2:$T$4001,"&gt;="&amp;'Settings'!$C$28,'All Donations'!$T$2:$T$4001,"&lt;="&amp;'Settings'!$D$28),2),0)</f>
        <v/>
      </c>
      <c r="AU188">
        <f>IF(AE188=1,ROUND(SUMIFS('All Donations'!$S$2:$S$4001,'All Donations'!$R$2:$R$4001,AD188,'All Donations'!$T$2:$T$4001,"&gt;="&amp;'Settings'!$C$29,'All Donations'!$T$2:$T$4001,"&lt;="&amp;'Settings'!$D$29),2),0)</f>
        <v/>
      </c>
      <c r="AV188">
        <f>IF(AE188=1,ROUND(SUMIFS('All Donations'!$S$2:$S$4001,'All Donations'!$R$2:$R$4001,AD188,'All Donations'!$T$2:$T$4001,"&lt;="&amp;'Settings'!$D$30),2),0)</f>
        <v/>
      </c>
      <c r="AZ188">
        <f>IF(AE188=1,ROUND(SUMIFS('All Donations'!$S$2:$S$4001,'All Donations'!$R$2:$R$4001,AD188,'All Donations'!$T$2:$T$4001,"&lt;="&amp;'Settings'!$D$34),2),0)</f>
        <v/>
      </c>
    </row>
    <row r="189">
      <c r="A189">
        <f>IF(AE189=1,TRIM(TRIM('Roster'!B189)&amp;" "&amp;TRIM('Roster'!C189)),"")</f>
        <v/>
      </c>
      <c r="B189">
        <f>IF(AE189=1,IF(AN189="","(no teacher)",AN189&amp;" – "&amp;C189),"")</f>
        <v/>
      </c>
      <c r="C189">
        <f>IF(AE189=1,TRIM('Roster'!D189&amp;""),"")</f>
        <v/>
      </c>
      <c r="D189" s="48">
        <f>IF(AE189=1,ROUND(SUMIFS('All Donations'!$S$2:$S$4001,'All Donations'!$R$2:$R$4001,AD189),2),"")</f>
        <v/>
      </c>
      <c r="E189" s="48">
        <f>IF(AE189=1,ROUND(SUMIFS('All Donations'!$S$2:$S$4001,'All Donations'!$R$2:$R$4001,AD189,'All Donations'!$G$2:$G$4001,"OneCause"),2),"")</f>
        <v/>
      </c>
      <c r="F189" s="48">
        <f>IF(AE189=1,D189-E189,"")</f>
        <v/>
      </c>
      <c r="G189">
        <f>IF(AE189=1,COUNTIFS('All Donations'!$R$2:$R$4001,AD189,'All Donations'!$H$2:$H$4001,"OK"),"")</f>
        <v/>
      </c>
      <c r="H189">
        <f>IF(AE189&lt;&gt;1,"",IF(D189&gt;0,"Yes",""))</f>
        <v/>
      </c>
      <c r="I189" s="49">
        <f>IF(OR($AE189&lt;&gt;1,I$1=""),"",SUMIFS('All Donations'!$S$2:$S$4001,'All Donations'!$R$2:$R$4001,$AD189,'All Donations'!$T$2:$T$4001,I$1))</f>
        <v/>
      </c>
      <c r="J189" s="49">
        <f>IF(OR($AE189&lt;&gt;1,J$1=""),"",SUMIFS('All Donations'!$S$2:$S$4001,'All Donations'!$R$2:$R$4001,$AD189,'All Donations'!$T$2:$T$4001,J$1))</f>
        <v/>
      </c>
      <c r="K189" s="49">
        <f>IF(OR($AE189&lt;&gt;1,K$1=""),"",SUMIFS('All Donations'!$S$2:$S$4001,'All Donations'!$R$2:$R$4001,$AD189,'All Donations'!$T$2:$T$4001,K$1))</f>
        <v/>
      </c>
      <c r="L189" s="49">
        <f>IF(OR($AE189&lt;&gt;1,L$1=""),"",SUMIFS('All Donations'!$S$2:$S$4001,'All Donations'!$R$2:$R$4001,$AD189,'All Donations'!$T$2:$T$4001,L$1))</f>
        <v/>
      </c>
      <c r="M189" s="49">
        <f>IF(OR($AE189&lt;&gt;1,M$1=""),"",SUMIFS('All Donations'!$S$2:$S$4001,'All Donations'!$R$2:$R$4001,$AD189,'All Donations'!$T$2:$T$4001,M$1))</f>
        <v/>
      </c>
      <c r="N189" s="49">
        <f>IF(OR($AE189&lt;&gt;1,N$1=""),"",SUMIFS('All Donations'!$S$2:$S$4001,'All Donations'!$R$2:$R$4001,$AD189,'All Donations'!$T$2:$T$4001,N$1))</f>
        <v/>
      </c>
      <c r="O189" s="49">
        <f>IF(OR($AE189&lt;&gt;1,O$1=""),"",SUMIFS('All Donations'!$S$2:$S$4001,'All Donations'!$R$2:$R$4001,$AD189,'All Donations'!$T$2:$T$4001,O$1))</f>
        <v/>
      </c>
      <c r="P189" s="49">
        <f>IF(OR($AE189&lt;&gt;1,P$1=""),"",SUMIFS('All Donations'!$S$2:$S$4001,'All Donations'!$R$2:$R$4001,$AD189,'All Donations'!$T$2:$T$4001,P$1))</f>
        <v/>
      </c>
      <c r="Q189" s="49">
        <f>IF(OR($AE189&lt;&gt;1,Q$1=""),"",SUMIFS('All Donations'!$S$2:$S$4001,'All Donations'!$R$2:$R$4001,$AD189,'All Donations'!$T$2:$T$4001,Q$1))</f>
        <v/>
      </c>
      <c r="R189" s="49">
        <f>IF(OR($AE189&lt;&gt;1,R$1=""),"",SUMIFS('All Donations'!$S$2:$S$4001,'All Donations'!$R$2:$R$4001,$AD189,'All Donations'!$T$2:$T$4001,R$1))</f>
        <v/>
      </c>
      <c r="S189" s="49">
        <f>IF(OR($AE189&lt;&gt;1,S$1=""),"",SUMIFS('All Donations'!$S$2:$S$4001,'All Donations'!$R$2:$R$4001,$AD189,'All Donations'!$T$2:$T$4001,S$1))</f>
        <v/>
      </c>
      <c r="T189" s="49">
        <f>IF(OR($AE189&lt;&gt;1,T$1=""),"",SUMIFS('All Donations'!$S$2:$S$4001,'All Donations'!$R$2:$R$4001,$AD189,'All Donations'!$T$2:$T$4001,T$1))</f>
        <v/>
      </c>
      <c r="U189" s="49">
        <f>IF(OR($AE189&lt;&gt;1,U$1=""),"",SUMIFS('All Donations'!$S$2:$S$4001,'All Donations'!$R$2:$R$4001,$AD189,'All Donations'!$T$2:$T$4001,U$1))</f>
        <v/>
      </c>
      <c r="V189" s="49">
        <f>IF(OR($AE189&lt;&gt;1,V$1=""),"",SUMIFS('All Donations'!$S$2:$S$4001,'All Donations'!$R$2:$R$4001,$AD189,'All Donations'!$T$2:$T$4001,V$1))</f>
        <v/>
      </c>
      <c r="W189" s="49">
        <f>IF(OR($AE189&lt;&gt;1,W$1=""),"",SUMIFS('All Donations'!$S$2:$S$4001,'All Donations'!$R$2:$R$4001,$AD189,'All Donations'!$T$2:$T$4001,W$1))</f>
        <v/>
      </c>
      <c r="X189" s="49">
        <f>IF(OR($AE189&lt;&gt;1,X$1=""),"",SUMIFS('All Donations'!$S$2:$S$4001,'All Donations'!$R$2:$R$4001,$AD189,'All Donations'!$T$2:$T$4001,X$1))</f>
        <v/>
      </c>
      <c r="Y189" s="49">
        <f>IF(OR($AE189&lt;&gt;1,Y$1=""),"",SUMIFS('All Donations'!$S$2:$S$4001,'All Donations'!$R$2:$R$4001,$AD189,'All Donations'!$T$2:$T$4001,Y$1))</f>
        <v/>
      </c>
      <c r="Z189" s="49">
        <f>IF(OR($AE189&lt;&gt;1,Z$1=""),"",SUMIFS('All Donations'!$S$2:$S$4001,'All Donations'!$R$2:$R$4001,$AD189,'All Donations'!$T$2:$T$4001,Z$1))</f>
        <v/>
      </c>
      <c r="AA189" s="49">
        <f>IF(OR($AE189&lt;&gt;1,AA$1=""),"",SUMIFS('All Donations'!$S$2:$S$4001,'All Donations'!$R$2:$R$4001,$AD189,'All Donations'!$T$2:$T$4001,AA$1))</f>
        <v/>
      </c>
      <c r="AB189" s="49">
        <f>IF(OR($AE189&lt;&gt;1,AB$1=""),"",SUMIFS('All Donations'!$S$2:$S$4001,'All Donations'!$R$2:$R$4001,$AD189,'All Donations'!$T$2:$T$4001,AB$1))</f>
        <v/>
      </c>
      <c r="AC189" s="49">
        <f>IF(OR($AE189&lt;&gt;1,AC$1=""),"",SUMIFS('All Donations'!$S$2:$S$4001,'All Donations'!$R$2:$R$4001,$AD189,'All Donations'!$T$2:$T$4001,AC$1))</f>
        <v/>
      </c>
      <c r="AD189">
        <f>IF(AE189=1,'Roster'!A189,"")</f>
        <v/>
      </c>
      <c r="AE189">
        <f>IF(TRIM('Roster'!B189&amp;'Roster'!C189)&lt;&gt;"",1,0)</f>
        <v/>
      </c>
      <c r="AF189">
        <f>IF(AE189=1,LOWER(A189),"#")</f>
        <v/>
      </c>
      <c r="AG189">
        <f>IF(AE189=1,LOWER(TRIM(TRIM('Roster'!C189)&amp;", "&amp;TRIM('Roster'!B189))),"#")</f>
        <v/>
      </c>
      <c r="AH189">
        <f>IF(AND(AE189=1,TRIM('Roster'!F189)&lt;&gt;""),LOWER(TRIM('Roster'!F189)),"#")</f>
        <v/>
      </c>
      <c r="AI189">
        <f>IF(AE189=1,IF(MATCH(B189,$B$2:$B$701,0)=ROW()-1,1,0),0)</f>
        <v/>
      </c>
      <c r="AJ189">
        <f>AJ188+AI189</f>
        <v/>
      </c>
      <c r="AK189">
        <f>IF(AE189=1,D189+(1000-ROW())/10^7,-1)</f>
        <v/>
      </c>
      <c r="AL189">
        <f>IF(AE189=1,TRIM('Roster'!B189)&amp;" "&amp;LEFT(TRIM('Roster'!C189),1)&amp;".","")</f>
        <v/>
      </c>
      <c r="AM189">
        <f>IF(AE189=1,TRIM('Roster'!C189)&amp;", "&amp;TRIM('Roster'!B189)&amp;" ("&amp;B189&amp;") #"&amp;AD189,"")</f>
        <v/>
      </c>
      <c r="AN189">
        <f>IF(AE189=1,TRIM('Roster'!E189),"")</f>
        <v/>
      </c>
      <c r="AO189">
        <f>IF(AE189=1,ROUND(SUMIFS('All Donations'!$S$2:$S$4001,'All Donations'!$R$2:$R$4001,AD189,'All Donations'!$T$2:$T$4001,"&gt;="&amp;'Settings'!$C$23,'All Donations'!$T$2:$T$4001,"&lt;="&amp;'Settings'!$D$23),2),0)</f>
        <v/>
      </c>
      <c r="AQ189">
        <f>IF(AE189=1,ROUND(SUMIFS('All Donations'!$S$2:$S$4001,'All Donations'!$R$2:$R$4001,AD189,'All Donations'!$T$2:$T$4001,"&gt;="&amp;'Settings'!$C$25,'All Donations'!$T$2:$T$4001,"&lt;="&amp;'Settings'!$D$25),2),0)</f>
        <v/>
      </c>
      <c r="AR189">
        <f>IF(AE189=1,ROUND(SUMIFS('All Donations'!$S$2:$S$4001,'All Donations'!$R$2:$R$4001,AD189,'All Donations'!$T$2:$T$4001,"&gt;="&amp;'Settings'!$C$26,'All Donations'!$T$2:$T$4001,"&lt;="&amp;'Settings'!$D$26),2),0)</f>
        <v/>
      </c>
      <c r="AS189">
        <f>IF(AE189=1,ROUND(SUMIFS('All Donations'!$S$2:$S$4001,'All Donations'!$R$2:$R$4001,AD189,'All Donations'!$T$2:$T$4001,"&lt;="&amp;'Settings'!$D$27),2),0)</f>
        <v/>
      </c>
      <c r="AT189">
        <f>IF(AE189=1,ROUND(SUMIFS('All Donations'!$S$2:$S$4001,'All Donations'!$R$2:$R$4001,AD189,'All Donations'!$T$2:$T$4001,"&gt;="&amp;'Settings'!$C$28,'All Donations'!$T$2:$T$4001,"&lt;="&amp;'Settings'!$D$28),2),0)</f>
        <v/>
      </c>
      <c r="AU189">
        <f>IF(AE189=1,ROUND(SUMIFS('All Donations'!$S$2:$S$4001,'All Donations'!$R$2:$R$4001,AD189,'All Donations'!$T$2:$T$4001,"&gt;="&amp;'Settings'!$C$29,'All Donations'!$T$2:$T$4001,"&lt;="&amp;'Settings'!$D$29),2),0)</f>
        <v/>
      </c>
      <c r="AV189">
        <f>IF(AE189=1,ROUND(SUMIFS('All Donations'!$S$2:$S$4001,'All Donations'!$R$2:$R$4001,AD189,'All Donations'!$T$2:$T$4001,"&lt;="&amp;'Settings'!$D$30),2),0)</f>
        <v/>
      </c>
      <c r="AZ189">
        <f>IF(AE189=1,ROUND(SUMIFS('All Donations'!$S$2:$S$4001,'All Donations'!$R$2:$R$4001,AD189,'All Donations'!$T$2:$T$4001,"&lt;="&amp;'Settings'!$D$34),2),0)</f>
        <v/>
      </c>
    </row>
    <row r="190">
      <c r="A190">
        <f>IF(AE190=1,TRIM(TRIM('Roster'!B190)&amp;" "&amp;TRIM('Roster'!C190)),"")</f>
        <v/>
      </c>
      <c r="B190">
        <f>IF(AE190=1,IF(AN190="","(no teacher)",AN190&amp;" – "&amp;C190),"")</f>
        <v/>
      </c>
      <c r="C190">
        <f>IF(AE190=1,TRIM('Roster'!D190&amp;""),"")</f>
        <v/>
      </c>
      <c r="D190" s="48">
        <f>IF(AE190=1,ROUND(SUMIFS('All Donations'!$S$2:$S$4001,'All Donations'!$R$2:$R$4001,AD190),2),"")</f>
        <v/>
      </c>
      <c r="E190" s="48">
        <f>IF(AE190=1,ROUND(SUMIFS('All Donations'!$S$2:$S$4001,'All Donations'!$R$2:$R$4001,AD190,'All Donations'!$G$2:$G$4001,"OneCause"),2),"")</f>
        <v/>
      </c>
      <c r="F190" s="48">
        <f>IF(AE190=1,D190-E190,"")</f>
        <v/>
      </c>
      <c r="G190">
        <f>IF(AE190=1,COUNTIFS('All Donations'!$R$2:$R$4001,AD190,'All Donations'!$H$2:$H$4001,"OK"),"")</f>
        <v/>
      </c>
      <c r="H190">
        <f>IF(AE190&lt;&gt;1,"",IF(D190&gt;0,"Yes",""))</f>
        <v/>
      </c>
      <c r="I190" s="49">
        <f>IF(OR($AE190&lt;&gt;1,I$1=""),"",SUMIFS('All Donations'!$S$2:$S$4001,'All Donations'!$R$2:$R$4001,$AD190,'All Donations'!$T$2:$T$4001,I$1))</f>
        <v/>
      </c>
      <c r="J190" s="49">
        <f>IF(OR($AE190&lt;&gt;1,J$1=""),"",SUMIFS('All Donations'!$S$2:$S$4001,'All Donations'!$R$2:$R$4001,$AD190,'All Donations'!$T$2:$T$4001,J$1))</f>
        <v/>
      </c>
      <c r="K190" s="49">
        <f>IF(OR($AE190&lt;&gt;1,K$1=""),"",SUMIFS('All Donations'!$S$2:$S$4001,'All Donations'!$R$2:$R$4001,$AD190,'All Donations'!$T$2:$T$4001,K$1))</f>
        <v/>
      </c>
      <c r="L190" s="49">
        <f>IF(OR($AE190&lt;&gt;1,L$1=""),"",SUMIFS('All Donations'!$S$2:$S$4001,'All Donations'!$R$2:$R$4001,$AD190,'All Donations'!$T$2:$T$4001,L$1))</f>
        <v/>
      </c>
      <c r="M190" s="49">
        <f>IF(OR($AE190&lt;&gt;1,M$1=""),"",SUMIFS('All Donations'!$S$2:$S$4001,'All Donations'!$R$2:$R$4001,$AD190,'All Donations'!$T$2:$T$4001,M$1))</f>
        <v/>
      </c>
      <c r="N190" s="49">
        <f>IF(OR($AE190&lt;&gt;1,N$1=""),"",SUMIFS('All Donations'!$S$2:$S$4001,'All Donations'!$R$2:$R$4001,$AD190,'All Donations'!$T$2:$T$4001,N$1))</f>
        <v/>
      </c>
      <c r="O190" s="49">
        <f>IF(OR($AE190&lt;&gt;1,O$1=""),"",SUMIFS('All Donations'!$S$2:$S$4001,'All Donations'!$R$2:$R$4001,$AD190,'All Donations'!$T$2:$T$4001,O$1))</f>
        <v/>
      </c>
      <c r="P190" s="49">
        <f>IF(OR($AE190&lt;&gt;1,P$1=""),"",SUMIFS('All Donations'!$S$2:$S$4001,'All Donations'!$R$2:$R$4001,$AD190,'All Donations'!$T$2:$T$4001,P$1))</f>
        <v/>
      </c>
      <c r="Q190" s="49">
        <f>IF(OR($AE190&lt;&gt;1,Q$1=""),"",SUMIFS('All Donations'!$S$2:$S$4001,'All Donations'!$R$2:$R$4001,$AD190,'All Donations'!$T$2:$T$4001,Q$1))</f>
        <v/>
      </c>
      <c r="R190" s="49">
        <f>IF(OR($AE190&lt;&gt;1,R$1=""),"",SUMIFS('All Donations'!$S$2:$S$4001,'All Donations'!$R$2:$R$4001,$AD190,'All Donations'!$T$2:$T$4001,R$1))</f>
        <v/>
      </c>
      <c r="S190" s="49">
        <f>IF(OR($AE190&lt;&gt;1,S$1=""),"",SUMIFS('All Donations'!$S$2:$S$4001,'All Donations'!$R$2:$R$4001,$AD190,'All Donations'!$T$2:$T$4001,S$1))</f>
        <v/>
      </c>
      <c r="T190" s="49">
        <f>IF(OR($AE190&lt;&gt;1,T$1=""),"",SUMIFS('All Donations'!$S$2:$S$4001,'All Donations'!$R$2:$R$4001,$AD190,'All Donations'!$T$2:$T$4001,T$1))</f>
        <v/>
      </c>
      <c r="U190" s="49">
        <f>IF(OR($AE190&lt;&gt;1,U$1=""),"",SUMIFS('All Donations'!$S$2:$S$4001,'All Donations'!$R$2:$R$4001,$AD190,'All Donations'!$T$2:$T$4001,U$1))</f>
        <v/>
      </c>
      <c r="V190" s="49">
        <f>IF(OR($AE190&lt;&gt;1,V$1=""),"",SUMIFS('All Donations'!$S$2:$S$4001,'All Donations'!$R$2:$R$4001,$AD190,'All Donations'!$T$2:$T$4001,V$1))</f>
        <v/>
      </c>
      <c r="W190" s="49">
        <f>IF(OR($AE190&lt;&gt;1,W$1=""),"",SUMIFS('All Donations'!$S$2:$S$4001,'All Donations'!$R$2:$R$4001,$AD190,'All Donations'!$T$2:$T$4001,W$1))</f>
        <v/>
      </c>
      <c r="X190" s="49">
        <f>IF(OR($AE190&lt;&gt;1,X$1=""),"",SUMIFS('All Donations'!$S$2:$S$4001,'All Donations'!$R$2:$R$4001,$AD190,'All Donations'!$T$2:$T$4001,X$1))</f>
        <v/>
      </c>
      <c r="Y190" s="49">
        <f>IF(OR($AE190&lt;&gt;1,Y$1=""),"",SUMIFS('All Donations'!$S$2:$S$4001,'All Donations'!$R$2:$R$4001,$AD190,'All Donations'!$T$2:$T$4001,Y$1))</f>
        <v/>
      </c>
      <c r="Z190" s="49">
        <f>IF(OR($AE190&lt;&gt;1,Z$1=""),"",SUMIFS('All Donations'!$S$2:$S$4001,'All Donations'!$R$2:$R$4001,$AD190,'All Donations'!$T$2:$T$4001,Z$1))</f>
        <v/>
      </c>
      <c r="AA190" s="49">
        <f>IF(OR($AE190&lt;&gt;1,AA$1=""),"",SUMIFS('All Donations'!$S$2:$S$4001,'All Donations'!$R$2:$R$4001,$AD190,'All Donations'!$T$2:$T$4001,AA$1))</f>
        <v/>
      </c>
      <c r="AB190" s="49">
        <f>IF(OR($AE190&lt;&gt;1,AB$1=""),"",SUMIFS('All Donations'!$S$2:$S$4001,'All Donations'!$R$2:$R$4001,$AD190,'All Donations'!$T$2:$T$4001,AB$1))</f>
        <v/>
      </c>
      <c r="AC190" s="49">
        <f>IF(OR($AE190&lt;&gt;1,AC$1=""),"",SUMIFS('All Donations'!$S$2:$S$4001,'All Donations'!$R$2:$R$4001,$AD190,'All Donations'!$T$2:$T$4001,AC$1))</f>
        <v/>
      </c>
      <c r="AD190">
        <f>IF(AE190=1,'Roster'!A190,"")</f>
        <v/>
      </c>
      <c r="AE190">
        <f>IF(TRIM('Roster'!B190&amp;'Roster'!C190)&lt;&gt;"",1,0)</f>
        <v/>
      </c>
      <c r="AF190">
        <f>IF(AE190=1,LOWER(A190),"#")</f>
        <v/>
      </c>
      <c r="AG190">
        <f>IF(AE190=1,LOWER(TRIM(TRIM('Roster'!C190)&amp;", "&amp;TRIM('Roster'!B190))),"#")</f>
        <v/>
      </c>
      <c r="AH190">
        <f>IF(AND(AE190=1,TRIM('Roster'!F190)&lt;&gt;""),LOWER(TRIM('Roster'!F190)),"#")</f>
        <v/>
      </c>
      <c r="AI190">
        <f>IF(AE190=1,IF(MATCH(B190,$B$2:$B$701,0)=ROW()-1,1,0),0)</f>
        <v/>
      </c>
      <c r="AJ190">
        <f>AJ189+AI190</f>
        <v/>
      </c>
      <c r="AK190">
        <f>IF(AE190=1,D190+(1000-ROW())/10^7,-1)</f>
        <v/>
      </c>
      <c r="AL190">
        <f>IF(AE190=1,TRIM('Roster'!B190)&amp;" "&amp;LEFT(TRIM('Roster'!C190),1)&amp;".","")</f>
        <v/>
      </c>
      <c r="AM190">
        <f>IF(AE190=1,TRIM('Roster'!C190)&amp;", "&amp;TRIM('Roster'!B190)&amp;" ("&amp;B190&amp;") #"&amp;AD190,"")</f>
        <v/>
      </c>
      <c r="AN190">
        <f>IF(AE190=1,TRIM('Roster'!E190),"")</f>
        <v/>
      </c>
      <c r="AO190">
        <f>IF(AE190=1,ROUND(SUMIFS('All Donations'!$S$2:$S$4001,'All Donations'!$R$2:$R$4001,AD190,'All Donations'!$T$2:$T$4001,"&gt;="&amp;'Settings'!$C$23,'All Donations'!$T$2:$T$4001,"&lt;="&amp;'Settings'!$D$23),2),0)</f>
        <v/>
      </c>
      <c r="AQ190">
        <f>IF(AE190=1,ROUND(SUMIFS('All Donations'!$S$2:$S$4001,'All Donations'!$R$2:$R$4001,AD190,'All Donations'!$T$2:$T$4001,"&gt;="&amp;'Settings'!$C$25,'All Donations'!$T$2:$T$4001,"&lt;="&amp;'Settings'!$D$25),2),0)</f>
        <v/>
      </c>
      <c r="AR190">
        <f>IF(AE190=1,ROUND(SUMIFS('All Donations'!$S$2:$S$4001,'All Donations'!$R$2:$R$4001,AD190,'All Donations'!$T$2:$T$4001,"&gt;="&amp;'Settings'!$C$26,'All Donations'!$T$2:$T$4001,"&lt;="&amp;'Settings'!$D$26),2),0)</f>
        <v/>
      </c>
      <c r="AS190">
        <f>IF(AE190=1,ROUND(SUMIFS('All Donations'!$S$2:$S$4001,'All Donations'!$R$2:$R$4001,AD190,'All Donations'!$T$2:$T$4001,"&lt;="&amp;'Settings'!$D$27),2),0)</f>
        <v/>
      </c>
      <c r="AT190">
        <f>IF(AE190=1,ROUND(SUMIFS('All Donations'!$S$2:$S$4001,'All Donations'!$R$2:$R$4001,AD190,'All Donations'!$T$2:$T$4001,"&gt;="&amp;'Settings'!$C$28,'All Donations'!$T$2:$T$4001,"&lt;="&amp;'Settings'!$D$28),2),0)</f>
        <v/>
      </c>
      <c r="AU190">
        <f>IF(AE190=1,ROUND(SUMIFS('All Donations'!$S$2:$S$4001,'All Donations'!$R$2:$R$4001,AD190,'All Donations'!$T$2:$T$4001,"&gt;="&amp;'Settings'!$C$29,'All Donations'!$T$2:$T$4001,"&lt;="&amp;'Settings'!$D$29),2),0)</f>
        <v/>
      </c>
      <c r="AV190">
        <f>IF(AE190=1,ROUND(SUMIFS('All Donations'!$S$2:$S$4001,'All Donations'!$R$2:$R$4001,AD190,'All Donations'!$T$2:$T$4001,"&lt;="&amp;'Settings'!$D$30),2),0)</f>
        <v/>
      </c>
      <c r="AZ190">
        <f>IF(AE190=1,ROUND(SUMIFS('All Donations'!$S$2:$S$4001,'All Donations'!$R$2:$R$4001,AD190,'All Donations'!$T$2:$T$4001,"&lt;="&amp;'Settings'!$D$34),2),0)</f>
        <v/>
      </c>
    </row>
    <row r="191">
      <c r="A191">
        <f>IF(AE191=1,TRIM(TRIM('Roster'!B191)&amp;" "&amp;TRIM('Roster'!C191)),"")</f>
        <v/>
      </c>
      <c r="B191">
        <f>IF(AE191=1,IF(AN191="","(no teacher)",AN191&amp;" – "&amp;C191),"")</f>
        <v/>
      </c>
      <c r="C191">
        <f>IF(AE191=1,TRIM('Roster'!D191&amp;""),"")</f>
        <v/>
      </c>
      <c r="D191" s="48">
        <f>IF(AE191=1,ROUND(SUMIFS('All Donations'!$S$2:$S$4001,'All Donations'!$R$2:$R$4001,AD191),2),"")</f>
        <v/>
      </c>
      <c r="E191" s="48">
        <f>IF(AE191=1,ROUND(SUMIFS('All Donations'!$S$2:$S$4001,'All Donations'!$R$2:$R$4001,AD191,'All Donations'!$G$2:$G$4001,"OneCause"),2),"")</f>
        <v/>
      </c>
      <c r="F191" s="48">
        <f>IF(AE191=1,D191-E191,"")</f>
        <v/>
      </c>
      <c r="G191">
        <f>IF(AE191=1,COUNTIFS('All Donations'!$R$2:$R$4001,AD191,'All Donations'!$H$2:$H$4001,"OK"),"")</f>
        <v/>
      </c>
      <c r="H191">
        <f>IF(AE191&lt;&gt;1,"",IF(D191&gt;0,"Yes",""))</f>
        <v/>
      </c>
      <c r="I191" s="49">
        <f>IF(OR($AE191&lt;&gt;1,I$1=""),"",SUMIFS('All Donations'!$S$2:$S$4001,'All Donations'!$R$2:$R$4001,$AD191,'All Donations'!$T$2:$T$4001,I$1))</f>
        <v/>
      </c>
      <c r="J191" s="49">
        <f>IF(OR($AE191&lt;&gt;1,J$1=""),"",SUMIFS('All Donations'!$S$2:$S$4001,'All Donations'!$R$2:$R$4001,$AD191,'All Donations'!$T$2:$T$4001,J$1))</f>
        <v/>
      </c>
      <c r="K191" s="49">
        <f>IF(OR($AE191&lt;&gt;1,K$1=""),"",SUMIFS('All Donations'!$S$2:$S$4001,'All Donations'!$R$2:$R$4001,$AD191,'All Donations'!$T$2:$T$4001,K$1))</f>
        <v/>
      </c>
      <c r="L191" s="49">
        <f>IF(OR($AE191&lt;&gt;1,L$1=""),"",SUMIFS('All Donations'!$S$2:$S$4001,'All Donations'!$R$2:$R$4001,$AD191,'All Donations'!$T$2:$T$4001,L$1))</f>
        <v/>
      </c>
      <c r="M191" s="49">
        <f>IF(OR($AE191&lt;&gt;1,M$1=""),"",SUMIFS('All Donations'!$S$2:$S$4001,'All Donations'!$R$2:$R$4001,$AD191,'All Donations'!$T$2:$T$4001,M$1))</f>
        <v/>
      </c>
      <c r="N191" s="49">
        <f>IF(OR($AE191&lt;&gt;1,N$1=""),"",SUMIFS('All Donations'!$S$2:$S$4001,'All Donations'!$R$2:$R$4001,$AD191,'All Donations'!$T$2:$T$4001,N$1))</f>
        <v/>
      </c>
      <c r="O191" s="49">
        <f>IF(OR($AE191&lt;&gt;1,O$1=""),"",SUMIFS('All Donations'!$S$2:$S$4001,'All Donations'!$R$2:$R$4001,$AD191,'All Donations'!$T$2:$T$4001,O$1))</f>
        <v/>
      </c>
      <c r="P191" s="49">
        <f>IF(OR($AE191&lt;&gt;1,P$1=""),"",SUMIFS('All Donations'!$S$2:$S$4001,'All Donations'!$R$2:$R$4001,$AD191,'All Donations'!$T$2:$T$4001,P$1))</f>
        <v/>
      </c>
      <c r="Q191" s="49">
        <f>IF(OR($AE191&lt;&gt;1,Q$1=""),"",SUMIFS('All Donations'!$S$2:$S$4001,'All Donations'!$R$2:$R$4001,$AD191,'All Donations'!$T$2:$T$4001,Q$1))</f>
        <v/>
      </c>
      <c r="R191" s="49">
        <f>IF(OR($AE191&lt;&gt;1,R$1=""),"",SUMIFS('All Donations'!$S$2:$S$4001,'All Donations'!$R$2:$R$4001,$AD191,'All Donations'!$T$2:$T$4001,R$1))</f>
        <v/>
      </c>
      <c r="S191" s="49">
        <f>IF(OR($AE191&lt;&gt;1,S$1=""),"",SUMIFS('All Donations'!$S$2:$S$4001,'All Donations'!$R$2:$R$4001,$AD191,'All Donations'!$T$2:$T$4001,S$1))</f>
        <v/>
      </c>
      <c r="T191" s="49">
        <f>IF(OR($AE191&lt;&gt;1,T$1=""),"",SUMIFS('All Donations'!$S$2:$S$4001,'All Donations'!$R$2:$R$4001,$AD191,'All Donations'!$T$2:$T$4001,T$1))</f>
        <v/>
      </c>
      <c r="U191" s="49">
        <f>IF(OR($AE191&lt;&gt;1,U$1=""),"",SUMIFS('All Donations'!$S$2:$S$4001,'All Donations'!$R$2:$R$4001,$AD191,'All Donations'!$T$2:$T$4001,U$1))</f>
        <v/>
      </c>
      <c r="V191" s="49">
        <f>IF(OR($AE191&lt;&gt;1,V$1=""),"",SUMIFS('All Donations'!$S$2:$S$4001,'All Donations'!$R$2:$R$4001,$AD191,'All Donations'!$T$2:$T$4001,V$1))</f>
        <v/>
      </c>
      <c r="W191" s="49">
        <f>IF(OR($AE191&lt;&gt;1,W$1=""),"",SUMIFS('All Donations'!$S$2:$S$4001,'All Donations'!$R$2:$R$4001,$AD191,'All Donations'!$T$2:$T$4001,W$1))</f>
        <v/>
      </c>
      <c r="X191" s="49">
        <f>IF(OR($AE191&lt;&gt;1,X$1=""),"",SUMIFS('All Donations'!$S$2:$S$4001,'All Donations'!$R$2:$R$4001,$AD191,'All Donations'!$T$2:$T$4001,X$1))</f>
        <v/>
      </c>
      <c r="Y191" s="49">
        <f>IF(OR($AE191&lt;&gt;1,Y$1=""),"",SUMIFS('All Donations'!$S$2:$S$4001,'All Donations'!$R$2:$R$4001,$AD191,'All Donations'!$T$2:$T$4001,Y$1))</f>
        <v/>
      </c>
      <c r="Z191" s="49">
        <f>IF(OR($AE191&lt;&gt;1,Z$1=""),"",SUMIFS('All Donations'!$S$2:$S$4001,'All Donations'!$R$2:$R$4001,$AD191,'All Donations'!$T$2:$T$4001,Z$1))</f>
        <v/>
      </c>
      <c r="AA191" s="49">
        <f>IF(OR($AE191&lt;&gt;1,AA$1=""),"",SUMIFS('All Donations'!$S$2:$S$4001,'All Donations'!$R$2:$R$4001,$AD191,'All Donations'!$T$2:$T$4001,AA$1))</f>
        <v/>
      </c>
      <c r="AB191" s="49">
        <f>IF(OR($AE191&lt;&gt;1,AB$1=""),"",SUMIFS('All Donations'!$S$2:$S$4001,'All Donations'!$R$2:$R$4001,$AD191,'All Donations'!$T$2:$T$4001,AB$1))</f>
        <v/>
      </c>
      <c r="AC191" s="49">
        <f>IF(OR($AE191&lt;&gt;1,AC$1=""),"",SUMIFS('All Donations'!$S$2:$S$4001,'All Donations'!$R$2:$R$4001,$AD191,'All Donations'!$T$2:$T$4001,AC$1))</f>
        <v/>
      </c>
      <c r="AD191">
        <f>IF(AE191=1,'Roster'!A191,"")</f>
        <v/>
      </c>
      <c r="AE191">
        <f>IF(TRIM('Roster'!B191&amp;'Roster'!C191)&lt;&gt;"",1,0)</f>
        <v/>
      </c>
      <c r="AF191">
        <f>IF(AE191=1,LOWER(A191),"#")</f>
        <v/>
      </c>
      <c r="AG191">
        <f>IF(AE191=1,LOWER(TRIM(TRIM('Roster'!C191)&amp;", "&amp;TRIM('Roster'!B191))),"#")</f>
        <v/>
      </c>
      <c r="AH191">
        <f>IF(AND(AE191=1,TRIM('Roster'!F191)&lt;&gt;""),LOWER(TRIM('Roster'!F191)),"#")</f>
        <v/>
      </c>
      <c r="AI191">
        <f>IF(AE191=1,IF(MATCH(B191,$B$2:$B$701,0)=ROW()-1,1,0),0)</f>
        <v/>
      </c>
      <c r="AJ191">
        <f>AJ190+AI191</f>
        <v/>
      </c>
      <c r="AK191">
        <f>IF(AE191=1,D191+(1000-ROW())/10^7,-1)</f>
        <v/>
      </c>
      <c r="AL191">
        <f>IF(AE191=1,TRIM('Roster'!B191)&amp;" "&amp;LEFT(TRIM('Roster'!C191),1)&amp;".","")</f>
        <v/>
      </c>
      <c r="AM191">
        <f>IF(AE191=1,TRIM('Roster'!C191)&amp;", "&amp;TRIM('Roster'!B191)&amp;" ("&amp;B191&amp;") #"&amp;AD191,"")</f>
        <v/>
      </c>
      <c r="AN191">
        <f>IF(AE191=1,TRIM('Roster'!E191),"")</f>
        <v/>
      </c>
      <c r="AO191">
        <f>IF(AE191=1,ROUND(SUMIFS('All Donations'!$S$2:$S$4001,'All Donations'!$R$2:$R$4001,AD191,'All Donations'!$T$2:$T$4001,"&gt;="&amp;'Settings'!$C$23,'All Donations'!$T$2:$T$4001,"&lt;="&amp;'Settings'!$D$23),2),0)</f>
        <v/>
      </c>
      <c r="AQ191">
        <f>IF(AE191=1,ROUND(SUMIFS('All Donations'!$S$2:$S$4001,'All Donations'!$R$2:$R$4001,AD191,'All Donations'!$T$2:$T$4001,"&gt;="&amp;'Settings'!$C$25,'All Donations'!$T$2:$T$4001,"&lt;="&amp;'Settings'!$D$25),2),0)</f>
        <v/>
      </c>
      <c r="AR191">
        <f>IF(AE191=1,ROUND(SUMIFS('All Donations'!$S$2:$S$4001,'All Donations'!$R$2:$R$4001,AD191,'All Donations'!$T$2:$T$4001,"&gt;="&amp;'Settings'!$C$26,'All Donations'!$T$2:$T$4001,"&lt;="&amp;'Settings'!$D$26),2),0)</f>
        <v/>
      </c>
      <c r="AS191">
        <f>IF(AE191=1,ROUND(SUMIFS('All Donations'!$S$2:$S$4001,'All Donations'!$R$2:$R$4001,AD191,'All Donations'!$T$2:$T$4001,"&lt;="&amp;'Settings'!$D$27),2),0)</f>
        <v/>
      </c>
      <c r="AT191">
        <f>IF(AE191=1,ROUND(SUMIFS('All Donations'!$S$2:$S$4001,'All Donations'!$R$2:$R$4001,AD191,'All Donations'!$T$2:$T$4001,"&gt;="&amp;'Settings'!$C$28,'All Donations'!$T$2:$T$4001,"&lt;="&amp;'Settings'!$D$28),2),0)</f>
        <v/>
      </c>
      <c r="AU191">
        <f>IF(AE191=1,ROUND(SUMIFS('All Donations'!$S$2:$S$4001,'All Donations'!$R$2:$R$4001,AD191,'All Donations'!$T$2:$T$4001,"&gt;="&amp;'Settings'!$C$29,'All Donations'!$T$2:$T$4001,"&lt;="&amp;'Settings'!$D$29),2),0)</f>
        <v/>
      </c>
      <c r="AV191">
        <f>IF(AE191=1,ROUND(SUMIFS('All Donations'!$S$2:$S$4001,'All Donations'!$R$2:$R$4001,AD191,'All Donations'!$T$2:$T$4001,"&lt;="&amp;'Settings'!$D$30),2),0)</f>
        <v/>
      </c>
      <c r="AZ191">
        <f>IF(AE191=1,ROUND(SUMIFS('All Donations'!$S$2:$S$4001,'All Donations'!$R$2:$R$4001,AD191,'All Donations'!$T$2:$T$4001,"&lt;="&amp;'Settings'!$D$34),2),0)</f>
        <v/>
      </c>
    </row>
    <row r="192">
      <c r="A192">
        <f>IF(AE192=1,TRIM(TRIM('Roster'!B192)&amp;" "&amp;TRIM('Roster'!C192)),"")</f>
        <v/>
      </c>
      <c r="B192">
        <f>IF(AE192=1,IF(AN192="","(no teacher)",AN192&amp;" – "&amp;C192),"")</f>
        <v/>
      </c>
      <c r="C192">
        <f>IF(AE192=1,TRIM('Roster'!D192&amp;""),"")</f>
        <v/>
      </c>
      <c r="D192" s="48">
        <f>IF(AE192=1,ROUND(SUMIFS('All Donations'!$S$2:$S$4001,'All Donations'!$R$2:$R$4001,AD192),2),"")</f>
        <v/>
      </c>
      <c r="E192" s="48">
        <f>IF(AE192=1,ROUND(SUMIFS('All Donations'!$S$2:$S$4001,'All Donations'!$R$2:$R$4001,AD192,'All Donations'!$G$2:$G$4001,"OneCause"),2),"")</f>
        <v/>
      </c>
      <c r="F192" s="48">
        <f>IF(AE192=1,D192-E192,"")</f>
        <v/>
      </c>
      <c r="G192">
        <f>IF(AE192=1,COUNTIFS('All Donations'!$R$2:$R$4001,AD192,'All Donations'!$H$2:$H$4001,"OK"),"")</f>
        <v/>
      </c>
      <c r="H192">
        <f>IF(AE192&lt;&gt;1,"",IF(D192&gt;0,"Yes",""))</f>
        <v/>
      </c>
      <c r="I192" s="49">
        <f>IF(OR($AE192&lt;&gt;1,I$1=""),"",SUMIFS('All Donations'!$S$2:$S$4001,'All Donations'!$R$2:$R$4001,$AD192,'All Donations'!$T$2:$T$4001,I$1))</f>
        <v/>
      </c>
      <c r="J192" s="49">
        <f>IF(OR($AE192&lt;&gt;1,J$1=""),"",SUMIFS('All Donations'!$S$2:$S$4001,'All Donations'!$R$2:$R$4001,$AD192,'All Donations'!$T$2:$T$4001,J$1))</f>
        <v/>
      </c>
      <c r="K192" s="49">
        <f>IF(OR($AE192&lt;&gt;1,K$1=""),"",SUMIFS('All Donations'!$S$2:$S$4001,'All Donations'!$R$2:$R$4001,$AD192,'All Donations'!$T$2:$T$4001,K$1))</f>
        <v/>
      </c>
      <c r="L192" s="49">
        <f>IF(OR($AE192&lt;&gt;1,L$1=""),"",SUMIFS('All Donations'!$S$2:$S$4001,'All Donations'!$R$2:$R$4001,$AD192,'All Donations'!$T$2:$T$4001,L$1))</f>
        <v/>
      </c>
      <c r="M192" s="49">
        <f>IF(OR($AE192&lt;&gt;1,M$1=""),"",SUMIFS('All Donations'!$S$2:$S$4001,'All Donations'!$R$2:$R$4001,$AD192,'All Donations'!$T$2:$T$4001,M$1))</f>
        <v/>
      </c>
      <c r="N192" s="49">
        <f>IF(OR($AE192&lt;&gt;1,N$1=""),"",SUMIFS('All Donations'!$S$2:$S$4001,'All Donations'!$R$2:$R$4001,$AD192,'All Donations'!$T$2:$T$4001,N$1))</f>
        <v/>
      </c>
      <c r="O192" s="49">
        <f>IF(OR($AE192&lt;&gt;1,O$1=""),"",SUMIFS('All Donations'!$S$2:$S$4001,'All Donations'!$R$2:$R$4001,$AD192,'All Donations'!$T$2:$T$4001,O$1))</f>
        <v/>
      </c>
      <c r="P192" s="49">
        <f>IF(OR($AE192&lt;&gt;1,P$1=""),"",SUMIFS('All Donations'!$S$2:$S$4001,'All Donations'!$R$2:$R$4001,$AD192,'All Donations'!$T$2:$T$4001,P$1))</f>
        <v/>
      </c>
      <c r="Q192" s="49">
        <f>IF(OR($AE192&lt;&gt;1,Q$1=""),"",SUMIFS('All Donations'!$S$2:$S$4001,'All Donations'!$R$2:$R$4001,$AD192,'All Donations'!$T$2:$T$4001,Q$1))</f>
        <v/>
      </c>
      <c r="R192" s="49">
        <f>IF(OR($AE192&lt;&gt;1,R$1=""),"",SUMIFS('All Donations'!$S$2:$S$4001,'All Donations'!$R$2:$R$4001,$AD192,'All Donations'!$T$2:$T$4001,R$1))</f>
        <v/>
      </c>
      <c r="S192" s="49">
        <f>IF(OR($AE192&lt;&gt;1,S$1=""),"",SUMIFS('All Donations'!$S$2:$S$4001,'All Donations'!$R$2:$R$4001,$AD192,'All Donations'!$T$2:$T$4001,S$1))</f>
        <v/>
      </c>
      <c r="T192" s="49">
        <f>IF(OR($AE192&lt;&gt;1,T$1=""),"",SUMIFS('All Donations'!$S$2:$S$4001,'All Donations'!$R$2:$R$4001,$AD192,'All Donations'!$T$2:$T$4001,T$1))</f>
        <v/>
      </c>
      <c r="U192" s="49">
        <f>IF(OR($AE192&lt;&gt;1,U$1=""),"",SUMIFS('All Donations'!$S$2:$S$4001,'All Donations'!$R$2:$R$4001,$AD192,'All Donations'!$T$2:$T$4001,U$1))</f>
        <v/>
      </c>
      <c r="V192" s="49">
        <f>IF(OR($AE192&lt;&gt;1,V$1=""),"",SUMIFS('All Donations'!$S$2:$S$4001,'All Donations'!$R$2:$R$4001,$AD192,'All Donations'!$T$2:$T$4001,V$1))</f>
        <v/>
      </c>
      <c r="W192" s="49">
        <f>IF(OR($AE192&lt;&gt;1,W$1=""),"",SUMIFS('All Donations'!$S$2:$S$4001,'All Donations'!$R$2:$R$4001,$AD192,'All Donations'!$T$2:$T$4001,W$1))</f>
        <v/>
      </c>
      <c r="X192" s="49">
        <f>IF(OR($AE192&lt;&gt;1,X$1=""),"",SUMIFS('All Donations'!$S$2:$S$4001,'All Donations'!$R$2:$R$4001,$AD192,'All Donations'!$T$2:$T$4001,X$1))</f>
        <v/>
      </c>
      <c r="Y192" s="49">
        <f>IF(OR($AE192&lt;&gt;1,Y$1=""),"",SUMIFS('All Donations'!$S$2:$S$4001,'All Donations'!$R$2:$R$4001,$AD192,'All Donations'!$T$2:$T$4001,Y$1))</f>
        <v/>
      </c>
      <c r="Z192" s="49">
        <f>IF(OR($AE192&lt;&gt;1,Z$1=""),"",SUMIFS('All Donations'!$S$2:$S$4001,'All Donations'!$R$2:$R$4001,$AD192,'All Donations'!$T$2:$T$4001,Z$1))</f>
        <v/>
      </c>
      <c r="AA192" s="49">
        <f>IF(OR($AE192&lt;&gt;1,AA$1=""),"",SUMIFS('All Donations'!$S$2:$S$4001,'All Donations'!$R$2:$R$4001,$AD192,'All Donations'!$T$2:$T$4001,AA$1))</f>
        <v/>
      </c>
      <c r="AB192" s="49">
        <f>IF(OR($AE192&lt;&gt;1,AB$1=""),"",SUMIFS('All Donations'!$S$2:$S$4001,'All Donations'!$R$2:$R$4001,$AD192,'All Donations'!$T$2:$T$4001,AB$1))</f>
        <v/>
      </c>
      <c r="AC192" s="49">
        <f>IF(OR($AE192&lt;&gt;1,AC$1=""),"",SUMIFS('All Donations'!$S$2:$S$4001,'All Donations'!$R$2:$R$4001,$AD192,'All Donations'!$T$2:$T$4001,AC$1))</f>
        <v/>
      </c>
      <c r="AD192">
        <f>IF(AE192=1,'Roster'!A192,"")</f>
        <v/>
      </c>
      <c r="AE192">
        <f>IF(TRIM('Roster'!B192&amp;'Roster'!C192)&lt;&gt;"",1,0)</f>
        <v/>
      </c>
      <c r="AF192">
        <f>IF(AE192=1,LOWER(A192),"#")</f>
        <v/>
      </c>
      <c r="AG192">
        <f>IF(AE192=1,LOWER(TRIM(TRIM('Roster'!C192)&amp;", "&amp;TRIM('Roster'!B192))),"#")</f>
        <v/>
      </c>
      <c r="AH192">
        <f>IF(AND(AE192=1,TRIM('Roster'!F192)&lt;&gt;""),LOWER(TRIM('Roster'!F192)),"#")</f>
        <v/>
      </c>
      <c r="AI192">
        <f>IF(AE192=1,IF(MATCH(B192,$B$2:$B$701,0)=ROW()-1,1,0),0)</f>
        <v/>
      </c>
      <c r="AJ192">
        <f>AJ191+AI192</f>
        <v/>
      </c>
      <c r="AK192">
        <f>IF(AE192=1,D192+(1000-ROW())/10^7,-1)</f>
        <v/>
      </c>
      <c r="AL192">
        <f>IF(AE192=1,TRIM('Roster'!B192)&amp;" "&amp;LEFT(TRIM('Roster'!C192),1)&amp;".","")</f>
        <v/>
      </c>
      <c r="AM192">
        <f>IF(AE192=1,TRIM('Roster'!C192)&amp;", "&amp;TRIM('Roster'!B192)&amp;" ("&amp;B192&amp;") #"&amp;AD192,"")</f>
        <v/>
      </c>
      <c r="AN192">
        <f>IF(AE192=1,TRIM('Roster'!E192),"")</f>
        <v/>
      </c>
      <c r="AO192">
        <f>IF(AE192=1,ROUND(SUMIFS('All Donations'!$S$2:$S$4001,'All Donations'!$R$2:$R$4001,AD192,'All Donations'!$T$2:$T$4001,"&gt;="&amp;'Settings'!$C$23,'All Donations'!$T$2:$T$4001,"&lt;="&amp;'Settings'!$D$23),2),0)</f>
        <v/>
      </c>
      <c r="AQ192">
        <f>IF(AE192=1,ROUND(SUMIFS('All Donations'!$S$2:$S$4001,'All Donations'!$R$2:$R$4001,AD192,'All Donations'!$T$2:$T$4001,"&gt;="&amp;'Settings'!$C$25,'All Donations'!$T$2:$T$4001,"&lt;="&amp;'Settings'!$D$25),2),0)</f>
        <v/>
      </c>
      <c r="AR192">
        <f>IF(AE192=1,ROUND(SUMIFS('All Donations'!$S$2:$S$4001,'All Donations'!$R$2:$R$4001,AD192,'All Donations'!$T$2:$T$4001,"&gt;="&amp;'Settings'!$C$26,'All Donations'!$T$2:$T$4001,"&lt;="&amp;'Settings'!$D$26),2),0)</f>
        <v/>
      </c>
      <c r="AS192">
        <f>IF(AE192=1,ROUND(SUMIFS('All Donations'!$S$2:$S$4001,'All Donations'!$R$2:$R$4001,AD192,'All Donations'!$T$2:$T$4001,"&lt;="&amp;'Settings'!$D$27),2),0)</f>
        <v/>
      </c>
      <c r="AT192">
        <f>IF(AE192=1,ROUND(SUMIFS('All Donations'!$S$2:$S$4001,'All Donations'!$R$2:$R$4001,AD192,'All Donations'!$T$2:$T$4001,"&gt;="&amp;'Settings'!$C$28,'All Donations'!$T$2:$T$4001,"&lt;="&amp;'Settings'!$D$28),2),0)</f>
        <v/>
      </c>
      <c r="AU192">
        <f>IF(AE192=1,ROUND(SUMIFS('All Donations'!$S$2:$S$4001,'All Donations'!$R$2:$R$4001,AD192,'All Donations'!$T$2:$T$4001,"&gt;="&amp;'Settings'!$C$29,'All Donations'!$T$2:$T$4001,"&lt;="&amp;'Settings'!$D$29),2),0)</f>
        <v/>
      </c>
      <c r="AV192">
        <f>IF(AE192=1,ROUND(SUMIFS('All Donations'!$S$2:$S$4001,'All Donations'!$R$2:$R$4001,AD192,'All Donations'!$T$2:$T$4001,"&lt;="&amp;'Settings'!$D$30),2),0)</f>
        <v/>
      </c>
      <c r="AZ192">
        <f>IF(AE192=1,ROUND(SUMIFS('All Donations'!$S$2:$S$4001,'All Donations'!$R$2:$R$4001,AD192,'All Donations'!$T$2:$T$4001,"&lt;="&amp;'Settings'!$D$34),2),0)</f>
        <v/>
      </c>
    </row>
    <row r="193">
      <c r="A193">
        <f>IF(AE193=1,TRIM(TRIM('Roster'!B193)&amp;" "&amp;TRIM('Roster'!C193)),"")</f>
        <v/>
      </c>
      <c r="B193">
        <f>IF(AE193=1,IF(AN193="","(no teacher)",AN193&amp;" – "&amp;C193),"")</f>
        <v/>
      </c>
      <c r="C193">
        <f>IF(AE193=1,TRIM('Roster'!D193&amp;""),"")</f>
        <v/>
      </c>
      <c r="D193" s="48">
        <f>IF(AE193=1,ROUND(SUMIFS('All Donations'!$S$2:$S$4001,'All Donations'!$R$2:$R$4001,AD193),2),"")</f>
        <v/>
      </c>
      <c r="E193" s="48">
        <f>IF(AE193=1,ROUND(SUMIFS('All Donations'!$S$2:$S$4001,'All Donations'!$R$2:$R$4001,AD193,'All Donations'!$G$2:$G$4001,"OneCause"),2),"")</f>
        <v/>
      </c>
      <c r="F193" s="48">
        <f>IF(AE193=1,D193-E193,"")</f>
        <v/>
      </c>
      <c r="G193">
        <f>IF(AE193=1,COUNTIFS('All Donations'!$R$2:$R$4001,AD193,'All Donations'!$H$2:$H$4001,"OK"),"")</f>
        <v/>
      </c>
      <c r="H193">
        <f>IF(AE193&lt;&gt;1,"",IF(D193&gt;0,"Yes",""))</f>
        <v/>
      </c>
      <c r="I193" s="49">
        <f>IF(OR($AE193&lt;&gt;1,I$1=""),"",SUMIFS('All Donations'!$S$2:$S$4001,'All Donations'!$R$2:$R$4001,$AD193,'All Donations'!$T$2:$T$4001,I$1))</f>
        <v/>
      </c>
      <c r="J193" s="49">
        <f>IF(OR($AE193&lt;&gt;1,J$1=""),"",SUMIFS('All Donations'!$S$2:$S$4001,'All Donations'!$R$2:$R$4001,$AD193,'All Donations'!$T$2:$T$4001,J$1))</f>
        <v/>
      </c>
      <c r="K193" s="49">
        <f>IF(OR($AE193&lt;&gt;1,K$1=""),"",SUMIFS('All Donations'!$S$2:$S$4001,'All Donations'!$R$2:$R$4001,$AD193,'All Donations'!$T$2:$T$4001,K$1))</f>
        <v/>
      </c>
      <c r="L193" s="49">
        <f>IF(OR($AE193&lt;&gt;1,L$1=""),"",SUMIFS('All Donations'!$S$2:$S$4001,'All Donations'!$R$2:$R$4001,$AD193,'All Donations'!$T$2:$T$4001,L$1))</f>
        <v/>
      </c>
      <c r="M193" s="49">
        <f>IF(OR($AE193&lt;&gt;1,M$1=""),"",SUMIFS('All Donations'!$S$2:$S$4001,'All Donations'!$R$2:$R$4001,$AD193,'All Donations'!$T$2:$T$4001,M$1))</f>
        <v/>
      </c>
      <c r="N193" s="49">
        <f>IF(OR($AE193&lt;&gt;1,N$1=""),"",SUMIFS('All Donations'!$S$2:$S$4001,'All Donations'!$R$2:$R$4001,$AD193,'All Donations'!$T$2:$T$4001,N$1))</f>
        <v/>
      </c>
      <c r="O193" s="49">
        <f>IF(OR($AE193&lt;&gt;1,O$1=""),"",SUMIFS('All Donations'!$S$2:$S$4001,'All Donations'!$R$2:$R$4001,$AD193,'All Donations'!$T$2:$T$4001,O$1))</f>
        <v/>
      </c>
      <c r="P193" s="49">
        <f>IF(OR($AE193&lt;&gt;1,P$1=""),"",SUMIFS('All Donations'!$S$2:$S$4001,'All Donations'!$R$2:$R$4001,$AD193,'All Donations'!$T$2:$T$4001,P$1))</f>
        <v/>
      </c>
      <c r="Q193" s="49">
        <f>IF(OR($AE193&lt;&gt;1,Q$1=""),"",SUMIFS('All Donations'!$S$2:$S$4001,'All Donations'!$R$2:$R$4001,$AD193,'All Donations'!$T$2:$T$4001,Q$1))</f>
        <v/>
      </c>
      <c r="R193" s="49">
        <f>IF(OR($AE193&lt;&gt;1,R$1=""),"",SUMIFS('All Donations'!$S$2:$S$4001,'All Donations'!$R$2:$R$4001,$AD193,'All Donations'!$T$2:$T$4001,R$1))</f>
        <v/>
      </c>
      <c r="S193" s="49">
        <f>IF(OR($AE193&lt;&gt;1,S$1=""),"",SUMIFS('All Donations'!$S$2:$S$4001,'All Donations'!$R$2:$R$4001,$AD193,'All Donations'!$T$2:$T$4001,S$1))</f>
        <v/>
      </c>
      <c r="T193" s="49">
        <f>IF(OR($AE193&lt;&gt;1,T$1=""),"",SUMIFS('All Donations'!$S$2:$S$4001,'All Donations'!$R$2:$R$4001,$AD193,'All Donations'!$T$2:$T$4001,T$1))</f>
        <v/>
      </c>
      <c r="U193" s="49">
        <f>IF(OR($AE193&lt;&gt;1,U$1=""),"",SUMIFS('All Donations'!$S$2:$S$4001,'All Donations'!$R$2:$R$4001,$AD193,'All Donations'!$T$2:$T$4001,U$1))</f>
        <v/>
      </c>
      <c r="V193" s="49">
        <f>IF(OR($AE193&lt;&gt;1,V$1=""),"",SUMIFS('All Donations'!$S$2:$S$4001,'All Donations'!$R$2:$R$4001,$AD193,'All Donations'!$T$2:$T$4001,V$1))</f>
        <v/>
      </c>
      <c r="W193" s="49">
        <f>IF(OR($AE193&lt;&gt;1,W$1=""),"",SUMIFS('All Donations'!$S$2:$S$4001,'All Donations'!$R$2:$R$4001,$AD193,'All Donations'!$T$2:$T$4001,W$1))</f>
        <v/>
      </c>
      <c r="X193" s="49">
        <f>IF(OR($AE193&lt;&gt;1,X$1=""),"",SUMIFS('All Donations'!$S$2:$S$4001,'All Donations'!$R$2:$R$4001,$AD193,'All Donations'!$T$2:$T$4001,X$1))</f>
        <v/>
      </c>
      <c r="Y193" s="49">
        <f>IF(OR($AE193&lt;&gt;1,Y$1=""),"",SUMIFS('All Donations'!$S$2:$S$4001,'All Donations'!$R$2:$R$4001,$AD193,'All Donations'!$T$2:$T$4001,Y$1))</f>
        <v/>
      </c>
      <c r="Z193" s="49">
        <f>IF(OR($AE193&lt;&gt;1,Z$1=""),"",SUMIFS('All Donations'!$S$2:$S$4001,'All Donations'!$R$2:$R$4001,$AD193,'All Donations'!$T$2:$T$4001,Z$1))</f>
        <v/>
      </c>
      <c r="AA193" s="49">
        <f>IF(OR($AE193&lt;&gt;1,AA$1=""),"",SUMIFS('All Donations'!$S$2:$S$4001,'All Donations'!$R$2:$R$4001,$AD193,'All Donations'!$T$2:$T$4001,AA$1))</f>
        <v/>
      </c>
      <c r="AB193" s="49">
        <f>IF(OR($AE193&lt;&gt;1,AB$1=""),"",SUMIFS('All Donations'!$S$2:$S$4001,'All Donations'!$R$2:$R$4001,$AD193,'All Donations'!$T$2:$T$4001,AB$1))</f>
        <v/>
      </c>
      <c r="AC193" s="49">
        <f>IF(OR($AE193&lt;&gt;1,AC$1=""),"",SUMIFS('All Donations'!$S$2:$S$4001,'All Donations'!$R$2:$R$4001,$AD193,'All Donations'!$T$2:$T$4001,AC$1))</f>
        <v/>
      </c>
      <c r="AD193">
        <f>IF(AE193=1,'Roster'!A193,"")</f>
        <v/>
      </c>
      <c r="AE193">
        <f>IF(TRIM('Roster'!B193&amp;'Roster'!C193)&lt;&gt;"",1,0)</f>
        <v/>
      </c>
      <c r="AF193">
        <f>IF(AE193=1,LOWER(A193),"#")</f>
        <v/>
      </c>
      <c r="AG193">
        <f>IF(AE193=1,LOWER(TRIM(TRIM('Roster'!C193)&amp;", "&amp;TRIM('Roster'!B193))),"#")</f>
        <v/>
      </c>
      <c r="AH193">
        <f>IF(AND(AE193=1,TRIM('Roster'!F193)&lt;&gt;""),LOWER(TRIM('Roster'!F193)),"#")</f>
        <v/>
      </c>
      <c r="AI193">
        <f>IF(AE193=1,IF(MATCH(B193,$B$2:$B$701,0)=ROW()-1,1,0),0)</f>
        <v/>
      </c>
      <c r="AJ193">
        <f>AJ192+AI193</f>
        <v/>
      </c>
      <c r="AK193">
        <f>IF(AE193=1,D193+(1000-ROW())/10^7,-1)</f>
        <v/>
      </c>
      <c r="AL193">
        <f>IF(AE193=1,TRIM('Roster'!B193)&amp;" "&amp;LEFT(TRIM('Roster'!C193),1)&amp;".","")</f>
        <v/>
      </c>
      <c r="AM193">
        <f>IF(AE193=1,TRIM('Roster'!C193)&amp;", "&amp;TRIM('Roster'!B193)&amp;" ("&amp;B193&amp;") #"&amp;AD193,"")</f>
        <v/>
      </c>
      <c r="AN193">
        <f>IF(AE193=1,TRIM('Roster'!E193),"")</f>
        <v/>
      </c>
      <c r="AO193">
        <f>IF(AE193=1,ROUND(SUMIFS('All Donations'!$S$2:$S$4001,'All Donations'!$R$2:$R$4001,AD193,'All Donations'!$T$2:$T$4001,"&gt;="&amp;'Settings'!$C$23,'All Donations'!$T$2:$T$4001,"&lt;="&amp;'Settings'!$D$23),2),0)</f>
        <v/>
      </c>
      <c r="AQ193">
        <f>IF(AE193=1,ROUND(SUMIFS('All Donations'!$S$2:$S$4001,'All Donations'!$R$2:$R$4001,AD193,'All Donations'!$T$2:$T$4001,"&gt;="&amp;'Settings'!$C$25,'All Donations'!$T$2:$T$4001,"&lt;="&amp;'Settings'!$D$25),2),0)</f>
        <v/>
      </c>
      <c r="AR193">
        <f>IF(AE193=1,ROUND(SUMIFS('All Donations'!$S$2:$S$4001,'All Donations'!$R$2:$R$4001,AD193,'All Donations'!$T$2:$T$4001,"&gt;="&amp;'Settings'!$C$26,'All Donations'!$T$2:$T$4001,"&lt;="&amp;'Settings'!$D$26),2),0)</f>
        <v/>
      </c>
      <c r="AS193">
        <f>IF(AE193=1,ROUND(SUMIFS('All Donations'!$S$2:$S$4001,'All Donations'!$R$2:$R$4001,AD193,'All Donations'!$T$2:$T$4001,"&lt;="&amp;'Settings'!$D$27),2),0)</f>
        <v/>
      </c>
      <c r="AT193">
        <f>IF(AE193=1,ROUND(SUMIFS('All Donations'!$S$2:$S$4001,'All Donations'!$R$2:$R$4001,AD193,'All Donations'!$T$2:$T$4001,"&gt;="&amp;'Settings'!$C$28,'All Donations'!$T$2:$T$4001,"&lt;="&amp;'Settings'!$D$28),2),0)</f>
        <v/>
      </c>
      <c r="AU193">
        <f>IF(AE193=1,ROUND(SUMIFS('All Donations'!$S$2:$S$4001,'All Donations'!$R$2:$R$4001,AD193,'All Donations'!$T$2:$T$4001,"&gt;="&amp;'Settings'!$C$29,'All Donations'!$T$2:$T$4001,"&lt;="&amp;'Settings'!$D$29),2),0)</f>
        <v/>
      </c>
      <c r="AV193">
        <f>IF(AE193=1,ROUND(SUMIFS('All Donations'!$S$2:$S$4001,'All Donations'!$R$2:$R$4001,AD193,'All Donations'!$T$2:$T$4001,"&lt;="&amp;'Settings'!$D$30),2),0)</f>
        <v/>
      </c>
      <c r="AZ193">
        <f>IF(AE193=1,ROUND(SUMIFS('All Donations'!$S$2:$S$4001,'All Donations'!$R$2:$R$4001,AD193,'All Donations'!$T$2:$T$4001,"&lt;="&amp;'Settings'!$D$34),2),0)</f>
        <v/>
      </c>
    </row>
    <row r="194">
      <c r="A194">
        <f>IF(AE194=1,TRIM(TRIM('Roster'!B194)&amp;" "&amp;TRIM('Roster'!C194)),"")</f>
        <v/>
      </c>
      <c r="B194">
        <f>IF(AE194=1,IF(AN194="","(no teacher)",AN194&amp;" – "&amp;C194),"")</f>
        <v/>
      </c>
      <c r="C194">
        <f>IF(AE194=1,TRIM('Roster'!D194&amp;""),"")</f>
        <v/>
      </c>
      <c r="D194" s="48">
        <f>IF(AE194=1,ROUND(SUMIFS('All Donations'!$S$2:$S$4001,'All Donations'!$R$2:$R$4001,AD194),2),"")</f>
        <v/>
      </c>
      <c r="E194" s="48">
        <f>IF(AE194=1,ROUND(SUMIFS('All Donations'!$S$2:$S$4001,'All Donations'!$R$2:$R$4001,AD194,'All Donations'!$G$2:$G$4001,"OneCause"),2),"")</f>
        <v/>
      </c>
      <c r="F194" s="48">
        <f>IF(AE194=1,D194-E194,"")</f>
        <v/>
      </c>
      <c r="G194">
        <f>IF(AE194=1,COUNTIFS('All Donations'!$R$2:$R$4001,AD194,'All Donations'!$H$2:$H$4001,"OK"),"")</f>
        <v/>
      </c>
      <c r="H194">
        <f>IF(AE194&lt;&gt;1,"",IF(D194&gt;0,"Yes",""))</f>
        <v/>
      </c>
      <c r="I194" s="49">
        <f>IF(OR($AE194&lt;&gt;1,I$1=""),"",SUMIFS('All Donations'!$S$2:$S$4001,'All Donations'!$R$2:$R$4001,$AD194,'All Donations'!$T$2:$T$4001,I$1))</f>
        <v/>
      </c>
      <c r="J194" s="49">
        <f>IF(OR($AE194&lt;&gt;1,J$1=""),"",SUMIFS('All Donations'!$S$2:$S$4001,'All Donations'!$R$2:$R$4001,$AD194,'All Donations'!$T$2:$T$4001,J$1))</f>
        <v/>
      </c>
      <c r="K194" s="49">
        <f>IF(OR($AE194&lt;&gt;1,K$1=""),"",SUMIFS('All Donations'!$S$2:$S$4001,'All Donations'!$R$2:$R$4001,$AD194,'All Donations'!$T$2:$T$4001,K$1))</f>
        <v/>
      </c>
      <c r="L194" s="49">
        <f>IF(OR($AE194&lt;&gt;1,L$1=""),"",SUMIFS('All Donations'!$S$2:$S$4001,'All Donations'!$R$2:$R$4001,$AD194,'All Donations'!$T$2:$T$4001,L$1))</f>
        <v/>
      </c>
      <c r="M194" s="49">
        <f>IF(OR($AE194&lt;&gt;1,M$1=""),"",SUMIFS('All Donations'!$S$2:$S$4001,'All Donations'!$R$2:$R$4001,$AD194,'All Donations'!$T$2:$T$4001,M$1))</f>
        <v/>
      </c>
      <c r="N194" s="49">
        <f>IF(OR($AE194&lt;&gt;1,N$1=""),"",SUMIFS('All Donations'!$S$2:$S$4001,'All Donations'!$R$2:$R$4001,$AD194,'All Donations'!$T$2:$T$4001,N$1))</f>
        <v/>
      </c>
      <c r="O194" s="49">
        <f>IF(OR($AE194&lt;&gt;1,O$1=""),"",SUMIFS('All Donations'!$S$2:$S$4001,'All Donations'!$R$2:$R$4001,$AD194,'All Donations'!$T$2:$T$4001,O$1))</f>
        <v/>
      </c>
      <c r="P194" s="49">
        <f>IF(OR($AE194&lt;&gt;1,P$1=""),"",SUMIFS('All Donations'!$S$2:$S$4001,'All Donations'!$R$2:$R$4001,$AD194,'All Donations'!$T$2:$T$4001,P$1))</f>
        <v/>
      </c>
      <c r="Q194" s="49">
        <f>IF(OR($AE194&lt;&gt;1,Q$1=""),"",SUMIFS('All Donations'!$S$2:$S$4001,'All Donations'!$R$2:$R$4001,$AD194,'All Donations'!$T$2:$T$4001,Q$1))</f>
        <v/>
      </c>
      <c r="R194" s="49">
        <f>IF(OR($AE194&lt;&gt;1,R$1=""),"",SUMIFS('All Donations'!$S$2:$S$4001,'All Donations'!$R$2:$R$4001,$AD194,'All Donations'!$T$2:$T$4001,R$1))</f>
        <v/>
      </c>
      <c r="S194" s="49">
        <f>IF(OR($AE194&lt;&gt;1,S$1=""),"",SUMIFS('All Donations'!$S$2:$S$4001,'All Donations'!$R$2:$R$4001,$AD194,'All Donations'!$T$2:$T$4001,S$1))</f>
        <v/>
      </c>
      <c r="T194" s="49">
        <f>IF(OR($AE194&lt;&gt;1,T$1=""),"",SUMIFS('All Donations'!$S$2:$S$4001,'All Donations'!$R$2:$R$4001,$AD194,'All Donations'!$T$2:$T$4001,T$1))</f>
        <v/>
      </c>
      <c r="U194" s="49">
        <f>IF(OR($AE194&lt;&gt;1,U$1=""),"",SUMIFS('All Donations'!$S$2:$S$4001,'All Donations'!$R$2:$R$4001,$AD194,'All Donations'!$T$2:$T$4001,U$1))</f>
        <v/>
      </c>
      <c r="V194" s="49">
        <f>IF(OR($AE194&lt;&gt;1,V$1=""),"",SUMIFS('All Donations'!$S$2:$S$4001,'All Donations'!$R$2:$R$4001,$AD194,'All Donations'!$T$2:$T$4001,V$1))</f>
        <v/>
      </c>
      <c r="W194" s="49">
        <f>IF(OR($AE194&lt;&gt;1,W$1=""),"",SUMIFS('All Donations'!$S$2:$S$4001,'All Donations'!$R$2:$R$4001,$AD194,'All Donations'!$T$2:$T$4001,W$1))</f>
        <v/>
      </c>
      <c r="X194" s="49">
        <f>IF(OR($AE194&lt;&gt;1,X$1=""),"",SUMIFS('All Donations'!$S$2:$S$4001,'All Donations'!$R$2:$R$4001,$AD194,'All Donations'!$T$2:$T$4001,X$1))</f>
        <v/>
      </c>
      <c r="Y194" s="49">
        <f>IF(OR($AE194&lt;&gt;1,Y$1=""),"",SUMIFS('All Donations'!$S$2:$S$4001,'All Donations'!$R$2:$R$4001,$AD194,'All Donations'!$T$2:$T$4001,Y$1))</f>
        <v/>
      </c>
      <c r="Z194" s="49">
        <f>IF(OR($AE194&lt;&gt;1,Z$1=""),"",SUMIFS('All Donations'!$S$2:$S$4001,'All Donations'!$R$2:$R$4001,$AD194,'All Donations'!$T$2:$T$4001,Z$1))</f>
        <v/>
      </c>
      <c r="AA194" s="49">
        <f>IF(OR($AE194&lt;&gt;1,AA$1=""),"",SUMIFS('All Donations'!$S$2:$S$4001,'All Donations'!$R$2:$R$4001,$AD194,'All Donations'!$T$2:$T$4001,AA$1))</f>
        <v/>
      </c>
      <c r="AB194" s="49">
        <f>IF(OR($AE194&lt;&gt;1,AB$1=""),"",SUMIFS('All Donations'!$S$2:$S$4001,'All Donations'!$R$2:$R$4001,$AD194,'All Donations'!$T$2:$T$4001,AB$1))</f>
        <v/>
      </c>
      <c r="AC194" s="49">
        <f>IF(OR($AE194&lt;&gt;1,AC$1=""),"",SUMIFS('All Donations'!$S$2:$S$4001,'All Donations'!$R$2:$R$4001,$AD194,'All Donations'!$T$2:$T$4001,AC$1))</f>
        <v/>
      </c>
      <c r="AD194">
        <f>IF(AE194=1,'Roster'!A194,"")</f>
        <v/>
      </c>
      <c r="AE194">
        <f>IF(TRIM('Roster'!B194&amp;'Roster'!C194)&lt;&gt;"",1,0)</f>
        <v/>
      </c>
      <c r="AF194">
        <f>IF(AE194=1,LOWER(A194),"#")</f>
        <v/>
      </c>
      <c r="AG194">
        <f>IF(AE194=1,LOWER(TRIM(TRIM('Roster'!C194)&amp;", "&amp;TRIM('Roster'!B194))),"#")</f>
        <v/>
      </c>
      <c r="AH194">
        <f>IF(AND(AE194=1,TRIM('Roster'!F194)&lt;&gt;""),LOWER(TRIM('Roster'!F194)),"#")</f>
        <v/>
      </c>
      <c r="AI194">
        <f>IF(AE194=1,IF(MATCH(B194,$B$2:$B$701,0)=ROW()-1,1,0),0)</f>
        <v/>
      </c>
      <c r="AJ194">
        <f>AJ193+AI194</f>
        <v/>
      </c>
      <c r="AK194">
        <f>IF(AE194=1,D194+(1000-ROW())/10^7,-1)</f>
        <v/>
      </c>
      <c r="AL194">
        <f>IF(AE194=1,TRIM('Roster'!B194)&amp;" "&amp;LEFT(TRIM('Roster'!C194),1)&amp;".","")</f>
        <v/>
      </c>
      <c r="AM194">
        <f>IF(AE194=1,TRIM('Roster'!C194)&amp;", "&amp;TRIM('Roster'!B194)&amp;" ("&amp;B194&amp;") #"&amp;AD194,"")</f>
        <v/>
      </c>
      <c r="AN194">
        <f>IF(AE194=1,TRIM('Roster'!E194),"")</f>
        <v/>
      </c>
      <c r="AO194">
        <f>IF(AE194=1,ROUND(SUMIFS('All Donations'!$S$2:$S$4001,'All Donations'!$R$2:$R$4001,AD194,'All Donations'!$T$2:$T$4001,"&gt;="&amp;'Settings'!$C$23,'All Donations'!$T$2:$T$4001,"&lt;="&amp;'Settings'!$D$23),2),0)</f>
        <v/>
      </c>
      <c r="AQ194">
        <f>IF(AE194=1,ROUND(SUMIFS('All Donations'!$S$2:$S$4001,'All Donations'!$R$2:$R$4001,AD194,'All Donations'!$T$2:$T$4001,"&gt;="&amp;'Settings'!$C$25,'All Donations'!$T$2:$T$4001,"&lt;="&amp;'Settings'!$D$25),2),0)</f>
        <v/>
      </c>
      <c r="AR194">
        <f>IF(AE194=1,ROUND(SUMIFS('All Donations'!$S$2:$S$4001,'All Donations'!$R$2:$R$4001,AD194,'All Donations'!$T$2:$T$4001,"&gt;="&amp;'Settings'!$C$26,'All Donations'!$T$2:$T$4001,"&lt;="&amp;'Settings'!$D$26),2),0)</f>
        <v/>
      </c>
      <c r="AS194">
        <f>IF(AE194=1,ROUND(SUMIFS('All Donations'!$S$2:$S$4001,'All Donations'!$R$2:$R$4001,AD194,'All Donations'!$T$2:$T$4001,"&lt;="&amp;'Settings'!$D$27),2),0)</f>
        <v/>
      </c>
      <c r="AT194">
        <f>IF(AE194=1,ROUND(SUMIFS('All Donations'!$S$2:$S$4001,'All Donations'!$R$2:$R$4001,AD194,'All Donations'!$T$2:$T$4001,"&gt;="&amp;'Settings'!$C$28,'All Donations'!$T$2:$T$4001,"&lt;="&amp;'Settings'!$D$28),2),0)</f>
        <v/>
      </c>
      <c r="AU194">
        <f>IF(AE194=1,ROUND(SUMIFS('All Donations'!$S$2:$S$4001,'All Donations'!$R$2:$R$4001,AD194,'All Donations'!$T$2:$T$4001,"&gt;="&amp;'Settings'!$C$29,'All Donations'!$T$2:$T$4001,"&lt;="&amp;'Settings'!$D$29),2),0)</f>
        <v/>
      </c>
      <c r="AV194">
        <f>IF(AE194=1,ROUND(SUMIFS('All Donations'!$S$2:$S$4001,'All Donations'!$R$2:$R$4001,AD194,'All Donations'!$T$2:$T$4001,"&lt;="&amp;'Settings'!$D$30),2),0)</f>
        <v/>
      </c>
      <c r="AZ194">
        <f>IF(AE194=1,ROUND(SUMIFS('All Donations'!$S$2:$S$4001,'All Donations'!$R$2:$R$4001,AD194,'All Donations'!$T$2:$T$4001,"&lt;="&amp;'Settings'!$D$34),2),0)</f>
        <v/>
      </c>
    </row>
    <row r="195">
      <c r="A195">
        <f>IF(AE195=1,TRIM(TRIM('Roster'!B195)&amp;" "&amp;TRIM('Roster'!C195)),"")</f>
        <v/>
      </c>
      <c r="B195">
        <f>IF(AE195=1,IF(AN195="","(no teacher)",AN195&amp;" – "&amp;C195),"")</f>
        <v/>
      </c>
      <c r="C195">
        <f>IF(AE195=1,TRIM('Roster'!D195&amp;""),"")</f>
        <v/>
      </c>
      <c r="D195" s="48">
        <f>IF(AE195=1,ROUND(SUMIFS('All Donations'!$S$2:$S$4001,'All Donations'!$R$2:$R$4001,AD195),2),"")</f>
        <v/>
      </c>
      <c r="E195" s="48">
        <f>IF(AE195=1,ROUND(SUMIFS('All Donations'!$S$2:$S$4001,'All Donations'!$R$2:$R$4001,AD195,'All Donations'!$G$2:$G$4001,"OneCause"),2),"")</f>
        <v/>
      </c>
      <c r="F195" s="48">
        <f>IF(AE195=1,D195-E195,"")</f>
        <v/>
      </c>
      <c r="G195">
        <f>IF(AE195=1,COUNTIFS('All Donations'!$R$2:$R$4001,AD195,'All Donations'!$H$2:$H$4001,"OK"),"")</f>
        <v/>
      </c>
      <c r="H195">
        <f>IF(AE195&lt;&gt;1,"",IF(D195&gt;0,"Yes",""))</f>
        <v/>
      </c>
      <c r="I195" s="49">
        <f>IF(OR($AE195&lt;&gt;1,I$1=""),"",SUMIFS('All Donations'!$S$2:$S$4001,'All Donations'!$R$2:$R$4001,$AD195,'All Donations'!$T$2:$T$4001,I$1))</f>
        <v/>
      </c>
      <c r="J195" s="49">
        <f>IF(OR($AE195&lt;&gt;1,J$1=""),"",SUMIFS('All Donations'!$S$2:$S$4001,'All Donations'!$R$2:$R$4001,$AD195,'All Donations'!$T$2:$T$4001,J$1))</f>
        <v/>
      </c>
      <c r="K195" s="49">
        <f>IF(OR($AE195&lt;&gt;1,K$1=""),"",SUMIFS('All Donations'!$S$2:$S$4001,'All Donations'!$R$2:$R$4001,$AD195,'All Donations'!$T$2:$T$4001,K$1))</f>
        <v/>
      </c>
      <c r="L195" s="49">
        <f>IF(OR($AE195&lt;&gt;1,L$1=""),"",SUMIFS('All Donations'!$S$2:$S$4001,'All Donations'!$R$2:$R$4001,$AD195,'All Donations'!$T$2:$T$4001,L$1))</f>
        <v/>
      </c>
      <c r="M195" s="49">
        <f>IF(OR($AE195&lt;&gt;1,M$1=""),"",SUMIFS('All Donations'!$S$2:$S$4001,'All Donations'!$R$2:$R$4001,$AD195,'All Donations'!$T$2:$T$4001,M$1))</f>
        <v/>
      </c>
      <c r="N195" s="49">
        <f>IF(OR($AE195&lt;&gt;1,N$1=""),"",SUMIFS('All Donations'!$S$2:$S$4001,'All Donations'!$R$2:$R$4001,$AD195,'All Donations'!$T$2:$T$4001,N$1))</f>
        <v/>
      </c>
      <c r="O195" s="49">
        <f>IF(OR($AE195&lt;&gt;1,O$1=""),"",SUMIFS('All Donations'!$S$2:$S$4001,'All Donations'!$R$2:$R$4001,$AD195,'All Donations'!$T$2:$T$4001,O$1))</f>
        <v/>
      </c>
      <c r="P195" s="49">
        <f>IF(OR($AE195&lt;&gt;1,P$1=""),"",SUMIFS('All Donations'!$S$2:$S$4001,'All Donations'!$R$2:$R$4001,$AD195,'All Donations'!$T$2:$T$4001,P$1))</f>
        <v/>
      </c>
      <c r="Q195" s="49">
        <f>IF(OR($AE195&lt;&gt;1,Q$1=""),"",SUMIFS('All Donations'!$S$2:$S$4001,'All Donations'!$R$2:$R$4001,$AD195,'All Donations'!$T$2:$T$4001,Q$1))</f>
        <v/>
      </c>
      <c r="R195" s="49">
        <f>IF(OR($AE195&lt;&gt;1,R$1=""),"",SUMIFS('All Donations'!$S$2:$S$4001,'All Donations'!$R$2:$R$4001,$AD195,'All Donations'!$T$2:$T$4001,R$1))</f>
        <v/>
      </c>
      <c r="S195" s="49">
        <f>IF(OR($AE195&lt;&gt;1,S$1=""),"",SUMIFS('All Donations'!$S$2:$S$4001,'All Donations'!$R$2:$R$4001,$AD195,'All Donations'!$T$2:$T$4001,S$1))</f>
        <v/>
      </c>
      <c r="T195" s="49">
        <f>IF(OR($AE195&lt;&gt;1,T$1=""),"",SUMIFS('All Donations'!$S$2:$S$4001,'All Donations'!$R$2:$R$4001,$AD195,'All Donations'!$T$2:$T$4001,T$1))</f>
        <v/>
      </c>
      <c r="U195" s="49">
        <f>IF(OR($AE195&lt;&gt;1,U$1=""),"",SUMIFS('All Donations'!$S$2:$S$4001,'All Donations'!$R$2:$R$4001,$AD195,'All Donations'!$T$2:$T$4001,U$1))</f>
        <v/>
      </c>
      <c r="V195" s="49">
        <f>IF(OR($AE195&lt;&gt;1,V$1=""),"",SUMIFS('All Donations'!$S$2:$S$4001,'All Donations'!$R$2:$R$4001,$AD195,'All Donations'!$T$2:$T$4001,V$1))</f>
        <v/>
      </c>
      <c r="W195" s="49">
        <f>IF(OR($AE195&lt;&gt;1,W$1=""),"",SUMIFS('All Donations'!$S$2:$S$4001,'All Donations'!$R$2:$R$4001,$AD195,'All Donations'!$T$2:$T$4001,W$1))</f>
        <v/>
      </c>
      <c r="X195" s="49">
        <f>IF(OR($AE195&lt;&gt;1,X$1=""),"",SUMIFS('All Donations'!$S$2:$S$4001,'All Donations'!$R$2:$R$4001,$AD195,'All Donations'!$T$2:$T$4001,X$1))</f>
        <v/>
      </c>
      <c r="Y195" s="49">
        <f>IF(OR($AE195&lt;&gt;1,Y$1=""),"",SUMIFS('All Donations'!$S$2:$S$4001,'All Donations'!$R$2:$R$4001,$AD195,'All Donations'!$T$2:$T$4001,Y$1))</f>
        <v/>
      </c>
      <c r="Z195" s="49">
        <f>IF(OR($AE195&lt;&gt;1,Z$1=""),"",SUMIFS('All Donations'!$S$2:$S$4001,'All Donations'!$R$2:$R$4001,$AD195,'All Donations'!$T$2:$T$4001,Z$1))</f>
        <v/>
      </c>
      <c r="AA195" s="49">
        <f>IF(OR($AE195&lt;&gt;1,AA$1=""),"",SUMIFS('All Donations'!$S$2:$S$4001,'All Donations'!$R$2:$R$4001,$AD195,'All Donations'!$T$2:$T$4001,AA$1))</f>
        <v/>
      </c>
      <c r="AB195" s="49">
        <f>IF(OR($AE195&lt;&gt;1,AB$1=""),"",SUMIFS('All Donations'!$S$2:$S$4001,'All Donations'!$R$2:$R$4001,$AD195,'All Donations'!$T$2:$T$4001,AB$1))</f>
        <v/>
      </c>
      <c r="AC195" s="49">
        <f>IF(OR($AE195&lt;&gt;1,AC$1=""),"",SUMIFS('All Donations'!$S$2:$S$4001,'All Donations'!$R$2:$R$4001,$AD195,'All Donations'!$T$2:$T$4001,AC$1))</f>
        <v/>
      </c>
      <c r="AD195">
        <f>IF(AE195=1,'Roster'!A195,"")</f>
        <v/>
      </c>
      <c r="AE195">
        <f>IF(TRIM('Roster'!B195&amp;'Roster'!C195)&lt;&gt;"",1,0)</f>
        <v/>
      </c>
      <c r="AF195">
        <f>IF(AE195=1,LOWER(A195),"#")</f>
        <v/>
      </c>
      <c r="AG195">
        <f>IF(AE195=1,LOWER(TRIM(TRIM('Roster'!C195)&amp;", "&amp;TRIM('Roster'!B195))),"#")</f>
        <v/>
      </c>
      <c r="AH195">
        <f>IF(AND(AE195=1,TRIM('Roster'!F195)&lt;&gt;""),LOWER(TRIM('Roster'!F195)),"#")</f>
        <v/>
      </c>
      <c r="AI195">
        <f>IF(AE195=1,IF(MATCH(B195,$B$2:$B$701,0)=ROW()-1,1,0),0)</f>
        <v/>
      </c>
      <c r="AJ195">
        <f>AJ194+AI195</f>
        <v/>
      </c>
      <c r="AK195">
        <f>IF(AE195=1,D195+(1000-ROW())/10^7,-1)</f>
        <v/>
      </c>
      <c r="AL195">
        <f>IF(AE195=1,TRIM('Roster'!B195)&amp;" "&amp;LEFT(TRIM('Roster'!C195),1)&amp;".","")</f>
        <v/>
      </c>
      <c r="AM195">
        <f>IF(AE195=1,TRIM('Roster'!C195)&amp;", "&amp;TRIM('Roster'!B195)&amp;" ("&amp;B195&amp;") #"&amp;AD195,"")</f>
        <v/>
      </c>
      <c r="AN195">
        <f>IF(AE195=1,TRIM('Roster'!E195),"")</f>
        <v/>
      </c>
      <c r="AO195">
        <f>IF(AE195=1,ROUND(SUMIFS('All Donations'!$S$2:$S$4001,'All Donations'!$R$2:$R$4001,AD195,'All Donations'!$T$2:$T$4001,"&gt;="&amp;'Settings'!$C$23,'All Donations'!$T$2:$T$4001,"&lt;="&amp;'Settings'!$D$23),2),0)</f>
        <v/>
      </c>
      <c r="AQ195">
        <f>IF(AE195=1,ROUND(SUMIFS('All Donations'!$S$2:$S$4001,'All Donations'!$R$2:$R$4001,AD195,'All Donations'!$T$2:$T$4001,"&gt;="&amp;'Settings'!$C$25,'All Donations'!$T$2:$T$4001,"&lt;="&amp;'Settings'!$D$25),2),0)</f>
        <v/>
      </c>
      <c r="AR195">
        <f>IF(AE195=1,ROUND(SUMIFS('All Donations'!$S$2:$S$4001,'All Donations'!$R$2:$R$4001,AD195,'All Donations'!$T$2:$T$4001,"&gt;="&amp;'Settings'!$C$26,'All Donations'!$T$2:$T$4001,"&lt;="&amp;'Settings'!$D$26),2),0)</f>
        <v/>
      </c>
      <c r="AS195">
        <f>IF(AE195=1,ROUND(SUMIFS('All Donations'!$S$2:$S$4001,'All Donations'!$R$2:$R$4001,AD195,'All Donations'!$T$2:$T$4001,"&lt;="&amp;'Settings'!$D$27),2),0)</f>
        <v/>
      </c>
      <c r="AT195">
        <f>IF(AE195=1,ROUND(SUMIFS('All Donations'!$S$2:$S$4001,'All Donations'!$R$2:$R$4001,AD195,'All Donations'!$T$2:$T$4001,"&gt;="&amp;'Settings'!$C$28,'All Donations'!$T$2:$T$4001,"&lt;="&amp;'Settings'!$D$28),2),0)</f>
        <v/>
      </c>
      <c r="AU195">
        <f>IF(AE195=1,ROUND(SUMIFS('All Donations'!$S$2:$S$4001,'All Donations'!$R$2:$R$4001,AD195,'All Donations'!$T$2:$T$4001,"&gt;="&amp;'Settings'!$C$29,'All Donations'!$T$2:$T$4001,"&lt;="&amp;'Settings'!$D$29),2),0)</f>
        <v/>
      </c>
      <c r="AV195">
        <f>IF(AE195=1,ROUND(SUMIFS('All Donations'!$S$2:$S$4001,'All Donations'!$R$2:$R$4001,AD195,'All Donations'!$T$2:$T$4001,"&lt;="&amp;'Settings'!$D$30),2),0)</f>
        <v/>
      </c>
      <c r="AZ195">
        <f>IF(AE195=1,ROUND(SUMIFS('All Donations'!$S$2:$S$4001,'All Donations'!$R$2:$R$4001,AD195,'All Donations'!$T$2:$T$4001,"&lt;="&amp;'Settings'!$D$34),2),0)</f>
        <v/>
      </c>
    </row>
    <row r="196">
      <c r="A196">
        <f>IF(AE196=1,TRIM(TRIM('Roster'!B196)&amp;" "&amp;TRIM('Roster'!C196)),"")</f>
        <v/>
      </c>
      <c r="B196">
        <f>IF(AE196=1,IF(AN196="","(no teacher)",AN196&amp;" – "&amp;C196),"")</f>
        <v/>
      </c>
      <c r="C196">
        <f>IF(AE196=1,TRIM('Roster'!D196&amp;""),"")</f>
        <v/>
      </c>
      <c r="D196" s="48">
        <f>IF(AE196=1,ROUND(SUMIFS('All Donations'!$S$2:$S$4001,'All Donations'!$R$2:$R$4001,AD196),2),"")</f>
        <v/>
      </c>
      <c r="E196" s="48">
        <f>IF(AE196=1,ROUND(SUMIFS('All Donations'!$S$2:$S$4001,'All Donations'!$R$2:$R$4001,AD196,'All Donations'!$G$2:$G$4001,"OneCause"),2),"")</f>
        <v/>
      </c>
      <c r="F196" s="48">
        <f>IF(AE196=1,D196-E196,"")</f>
        <v/>
      </c>
      <c r="G196">
        <f>IF(AE196=1,COUNTIFS('All Donations'!$R$2:$R$4001,AD196,'All Donations'!$H$2:$H$4001,"OK"),"")</f>
        <v/>
      </c>
      <c r="H196">
        <f>IF(AE196&lt;&gt;1,"",IF(D196&gt;0,"Yes",""))</f>
        <v/>
      </c>
      <c r="I196" s="49">
        <f>IF(OR($AE196&lt;&gt;1,I$1=""),"",SUMIFS('All Donations'!$S$2:$S$4001,'All Donations'!$R$2:$R$4001,$AD196,'All Donations'!$T$2:$T$4001,I$1))</f>
        <v/>
      </c>
      <c r="J196" s="49">
        <f>IF(OR($AE196&lt;&gt;1,J$1=""),"",SUMIFS('All Donations'!$S$2:$S$4001,'All Donations'!$R$2:$R$4001,$AD196,'All Donations'!$T$2:$T$4001,J$1))</f>
        <v/>
      </c>
      <c r="K196" s="49">
        <f>IF(OR($AE196&lt;&gt;1,K$1=""),"",SUMIFS('All Donations'!$S$2:$S$4001,'All Donations'!$R$2:$R$4001,$AD196,'All Donations'!$T$2:$T$4001,K$1))</f>
        <v/>
      </c>
      <c r="L196" s="49">
        <f>IF(OR($AE196&lt;&gt;1,L$1=""),"",SUMIFS('All Donations'!$S$2:$S$4001,'All Donations'!$R$2:$R$4001,$AD196,'All Donations'!$T$2:$T$4001,L$1))</f>
        <v/>
      </c>
      <c r="M196" s="49">
        <f>IF(OR($AE196&lt;&gt;1,M$1=""),"",SUMIFS('All Donations'!$S$2:$S$4001,'All Donations'!$R$2:$R$4001,$AD196,'All Donations'!$T$2:$T$4001,M$1))</f>
        <v/>
      </c>
      <c r="N196" s="49">
        <f>IF(OR($AE196&lt;&gt;1,N$1=""),"",SUMIFS('All Donations'!$S$2:$S$4001,'All Donations'!$R$2:$R$4001,$AD196,'All Donations'!$T$2:$T$4001,N$1))</f>
        <v/>
      </c>
      <c r="O196" s="49">
        <f>IF(OR($AE196&lt;&gt;1,O$1=""),"",SUMIFS('All Donations'!$S$2:$S$4001,'All Donations'!$R$2:$R$4001,$AD196,'All Donations'!$T$2:$T$4001,O$1))</f>
        <v/>
      </c>
      <c r="P196" s="49">
        <f>IF(OR($AE196&lt;&gt;1,P$1=""),"",SUMIFS('All Donations'!$S$2:$S$4001,'All Donations'!$R$2:$R$4001,$AD196,'All Donations'!$T$2:$T$4001,P$1))</f>
        <v/>
      </c>
      <c r="Q196" s="49">
        <f>IF(OR($AE196&lt;&gt;1,Q$1=""),"",SUMIFS('All Donations'!$S$2:$S$4001,'All Donations'!$R$2:$R$4001,$AD196,'All Donations'!$T$2:$T$4001,Q$1))</f>
        <v/>
      </c>
      <c r="R196" s="49">
        <f>IF(OR($AE196&lt;&gt;1,R$1=""),"",SUMIFS('All Donations'!$S$2:$S$4001,'All Donations'!$R$2:$R$4001,$AD196,'All Donations'!$T$2:$T$4001,R$1))</f>
        <v/>
      </c>
      <c r="S196" s="49">
        <f>IF(OR($AE196&lt;&gt;1,S$1=""),"",SUMIFS('All Donations'!$S$2:$S$4001,'All Donations'!$R$2:$R$4001,$AD196,'All Donations'!$T$2:$T$4001,S$1))</f>
        <v/>
      </c>
      <c r="T196" s="49">
        <f>IF(OR($AE196&lt;&gt;1,T$1=""),"",SUMIFS('All Donations'!$S$2:$S$4001,'All Donations'!$R$2:$R$4001,$AD196,'All Donations'!$T$2:$T$4001,T$1))</f>
        <v/>
      </c>
      <c r="U196" s="49">
        <f>IF(OR($AE196&lt;&gt;1,U$1=""),"",SUMIFS('All Donations'!$S$2:$S$4001,'All Donations'!$R$2:$R$4001,$AD196,'All Donations'!$T$2:$T$4001,U$1))</f>
        <v/>
      </c>
      <c r="V196" s="49">
        <f>IF(OR($AE196&lt;&gt;1,V$1=""),"",SUMIFS('All Donations'!$S$2:$S$4001,'All Donations'!$R$2:$R$4001,$AD196,'All Donations'!$T$2:$T$4001,V$1))</f>
        <v/>
      </c>
      <c r="W196" s="49">
        <f>IF(OR($AE196&lt;&gt;1,W$1=""),"",SUMIFS('All Donations'!$S$2:$S$4001,'All Donations'!$R$2:$R$4001,$AD196,'All Donations'!$T$2:$T$4001,W$1))</f>
        <v/>
      </c>
      <c r="X196" s="49">
        <f>IF(OR($AE196&lt;&gt;1,X$1=""),"",SUMIFS('All Donations'!$S$2:$S$4001,'All Donations'!$R$2:$R$4001,$AD196,'All Donations'!$T$2:$T$4001,X$1))</f>
        <v/>
      </c>
      <c r="Y196" s="49">
        <f>IF(OR($AE196&lt;&gt;1,Y$1=""),"",SUMIFS('All Donations'!$S$2:$S$4001,'All Donations'!$R$2:$R$4001,$AD196,'All Donations'!$T$2:$T$4001,Y$1))</f>
        <v/>
      </c>
      <c r="Z196" s="49">
        <f>IF(OR($AE196&lt;&gt;1,Z$1=""),"",SUMIFS('All Donations'!$S$2:$S$4001,'All Donations'!$R$2:$R$4001,$AD196,'All Donations'!$T$2:$T$4001,Z$1))</f>
        <v/>
      </c>
      <c r="AA196" s="49">
        <f>IF(OR($AE196&lt;&gt;1,AA$1=""),"",SUMIFS('All Donations'!$S$2:$S$4001,'All Donations'!$R$2:$R$4001,$AD196,'All Donations'!$T$2:$T$4001,AA$1))</f>
        <v/>
      </c>
      <c r="AB196" s="49">
        <f>IF(OR($AE196&lt;&gt;1,AB$1=""),"",SUMIFS('All Donations'!$S$2:$S$4001,'All Donations'!$R$2:$R$4001,$AD196,'All Donations'!$T$2:$T$4001,AB$1))</f>
        <v/>
      </c>
      <c r="AC196" s="49">
        <f>IF(OR($AE196&lt;&gt;1,AC$1=""),"",SUMIFS('All Donations'!$S$2:$S$4001,'All Donations'!$R$2:$R$4001,$AD196,'All Donations'!$T$2:$T$4001,AC$1))</f>
        <v/>
      </c>
      <c r="AD196">
        <f>IF(AE196=1,'Roster'!A196,"")</f>
        <v/>
      </c>
      <c r="AE196">
        <f>IF(TRIM('Roster'!B196&amp;'Roster'!C196)&lt;&gt;"",1,0)</f>
        <v/>
      </c>
      <c r="AF196">
        <f>IF(AE196=1,LOWER(A196),"#")</f>
        <v/>
      </c>
      <c r="AG196">
        <f>IF(AE196=1,LOWER(TRIM(TRIM('Roster'!C196)&amp;", "&amp;TRIM('Roster'!B196))),"#")</f>
        <v/>
      </c>
      <c r="AH196">
        <f>IF(AND(AE196=1,TRIM('Roster'!F196)&lt;&gt;""),LOWER(TRIM('Roster'!F196)),"#")</f>
        <v/>
      </c>
      <c r="AI196">
        <f>IF(AE196=1,IF(MATCH(B196,$B$2:$B$701,0)=ROW()-1,1,0),0)</f>
        <v/>
      </c>
      <c r="AJ196">
        <f>AJ195+AI196</f>
        <v/>
      </c>
      <c r="AK196">
        <f>IF(AE196=1,D196+(1000-ROW())/10^7,-1)</f>
        <v/>
      </c>
      <c r="AL196">
        <f>IF(AE196=1,TRIM('Roster'!B196)&amp;" "&amp;LEFT(TRIM('Roster'!C196),1)&amp;".","")</f>
        <v/>
      </c>
      <c r="AM196">
        <f>IF(AE196=1,TRIM('Roster'!C196)&amp;", "&amp;TRIM('Roster'!B196)&amp;" ("&amp;B196&amp;") #"&amp;AD196,"")</f>
        <v/>
      </c>
      <c r="AN196">
        <f>IF(AE196=1,TRIM('Roster'!E196),"")</f>
        <v/>
      </c>
      <c r="AO196">
        <f>IF(AE196=1,ROUND(SUMIFS('All Donations'!$S$2:$S$4001,'All Donations'!$R$2:$R$4001,AD196,'All Donations'!$T$2:$T$4001,"&gt;="&amp;'Settings'!$C$23,'All Donations'!$T$2:$T$4001,"&lt;="&amp;'Settings'!$D$23),2),0)</f>
        <v/>
      </c>
      <c r="AQ196">
        <f>IF(AE196=1,ROUND(SUMIFS('All Donations'!$S$2:$S$4001,'All Donations'!$R$2:$R$4001,AD196,'All Donations'!$T$2:$T$4001,"&gt;="&amp;'Settings'!$C$25,'All Donations'!$T$2:$T$4001,"&lt;="&amp;'Settings'!$D$25),2),0)</f>
        <v/>
      </c>
      <c r="AR196">
        <f>IF(AE196=1,ROUND(SUMIFS('All Donations'!$S$2:$S$4001,'All Donations'!$R$2:$R$4001,AD196,'All Donations'!$T$2:$T$4001,"&gt;="&amp;'Settings'!$C$26,'All Donations'!$T$2:$T$4001,"&lt;="&amp;'Settings'!$D$26),2),0)</f>
        <v/>
      </c>
      <c r="AS196">
        <f>IF(AE196=1,ROUND(SUMIFS('All Donations'!$S$2:$S$4001,'All Donations'!$R$2:$R$4001,AD196,'All Donations'!$T$2:$T$4001,"&lt;="&amp;'Settings'!$D$27),2),0)</f>
        <v/>
      </c>
      <c r="AT196">
        <f>IF(AE196=1,ROUND(SUMIFS('All Donations'!$S$2:$S$4001,'All Donations'!$R$2:$R$4001,AD196,'All Donations'!$T$2:$T$4001,"&gt;="&amp;'Settings'!$C$28,'All Donations'!$T$2:$T$4001,"&lt;="&amp;'Settings'!$D$28),2),0)</f>
        <v/>
      </c>
      <c r="AU196">
        <f>IF(AE196=1,ROUND(SUMIFS('All Donations'!$S$2:$S$4001,'All Donations'!$R$2:$R$4001,AD196,'All Donations'!$T$2:$T$4001,"&gt;="&amp;'Settings'!$C$29,'All Donations'!$T$2:$T$4001,"&lt;="&amp;'Settings'!$D$29),2),0)</f>
        <v/>
      </c>
      <c r="AV196">
        <f>IF(AE196=1,ROUND(SUMIFS('All Donations'!$S$2:$S$4001,'All Donations'!$R$2:$R$4001,AD196,'All Donations'!$T$2:$T$4001,"&lt;="&amp;'Settings'!$D$30),2),0)</f>
        <v/>
      </c>
      <c r="AZ196">
        <f>IF(AE196=1,ROUND(SUMIFS('All Donations'!$S$2:$S$4001,'All Donations'!$R$2:$R$4001,AD196,'All Donations'!$T$2:$T$4001,"&lt;="&amp;'Settings'!$D$34),2),0)</f>
        <v/>
      </c>
    </row>
    <row r="197">
      <c r="A197">
        <f>IF(AE197=1,TRIM(TRIM('Roster'!B197)&amp;" "&amp;TRIM('Roster'!C197)),"")</f>
        <v/>
      </c>
      <c r="B197">
        <f>IF(AE197=1,IF(AN197="","(no teacher)",AN197&amp;" – "&amp;C197),"")</f>
        <v/>
      </c>
      <c r="C197">
        <f>IF(AE197=1,TRIM('Roster'!D197&amp;""),"")</f>
        <v/>
      </c>
      <c r="D197" s="48">
        <f>IF(AE197=1,ROUND(SUMIFS('All Donations'!$S$2:$S$4001,'All Donations'!$R$2:$R$4001,AD197),2),"")</f>
        <v/>
      </c>
      <c r="E197" s="48">
        <f>IF(AE197=1,ROUND(SUMIFS('All Donations'!$S$2:$S$4001,'All Donations'!$R$2:$R$4001,AD197,'All Donations'!$G$2:$G$4001,"OneCause"),2),"")</f>
        <v/>
      </c>
      <c r="F197" s="48">
        <f>IF(AE197=1,D197-E197,"")</f>
        <v/>
      </c>
      <c r="G197">
        <f>IF(AE197=1,COUNTIFS('All Donations'!$R$2:$R$4001,AD197,'All Donations'!$H$2:$H$4001,"OK"),"")</f>
        <v/>
      </c>
      <c r="H197">
        <f>IF(AE197&lt;&gt;1,"",IF(D197&gt;0,"Yes",""))</f>
        <v/>
      </c>
      <c r="I197" s="49">
        <f>IF(OR($AE197&lt;&gt;1,I$1=""),"",SUMIFS('All Donations'!$S$2:$S$4001,'All Donations'!$R$2:$R$4001,$AD197,'All Donations'!$T$2:$T$4001,I$1))</f>
        <v/>
      </c>
      <c r="J197" s="49">
        <f>IF(OR($AE197&lt;&gt;1,J$1=""),"",SUMIFS('All Donations'!$S$2:$S$4001,'All Donations'!$R$2:$R$4001,$AD197,'All Donations'!$T$2:$T$4001,J$1))</f>
        <v/>
      </c>
      <c r="K197" s="49">
        <f>IF(OR($AE197&lt;&gt;1,K$1=""),"",SUMIFS('All Donations'!$S$2:$S$4001,'All Donations'!$R$2:$R$4001,$AD197,'All Donations'!$T$2:$T$4001,K$1))</f>
        <v/>
      </c>
      <c r="L197" s="49">
        <f>IF(OR($AE197&lt;&gt;1,L$1=""),"",SUMIFS('All Donations'!$S$2:$S$4001,'All Donations'!$R$2:$R$4001,$AD197,'All Donations'!$T$2:$T$4001,L$1))</f>
        <v/>
      </c>
      <c r="M197" s="49">
        <f>IF(OR($AE197&lt;&gt;1,M$1=""),"",SUMIFS('All Donations'!$S$2:$S$4001,'All Donations'!$R$2:$R$4001,$AD197,'All Donations'!$T$2:$T$4001,M$1))</f>
        <v/>
      </c>
      <c r="N197" s="49">
        <f>IF(OR($AE197&lt;&gt;1,N$1=""),"",SUMIFS('All Donations'!$S$2:$S$4001,'All Donations'!$R$2:$R$4001,$AD197,'All Donations'!$T$2:$T$4001,N$1))</f>
        <v/>
      </c>
      <c r="O197" s="49">
        <f>IF(OR($AE197&lt;&gt;1,O$1=""),"",SUMIFS('All Donations'!$S$2:$S$4001,'All Donations'!$R$2:$R$4001,$AD197,'All Donations'!$T$2:$T$4001,O$1))</f>
        <v/>
      </c>
      <c r="P197" s="49">
        <f>IF(OR($AE197&lt;&gt;1,P$1=""),"",SUMIFS('All Donations'!$S$2:$S$4001,'All Donations'!$R$2:$R$4001,$AD197,'All Donations'!$T$2:$T$4001,P$1))</f>
        <v/>
      </c>
      <c r="Q197" s="49">
        <f>IF(OR($AE197&lt;&gt;1,Q$1=""),"",SUMIFS('All Donations'!$S$2:$S$4001,'All Donations'!$R$2:$R$4001,$AD197,'All Donations'!$T$2:$T$4001,Q$1))</f>
        <v/>
      </c>
      <c r="R197" s="49">
        <f>IF(OR($AE197&lt;&gt;1,R$1=""),"",SUMIFS('All Donations'!$S$2:$S$4001,'All Donations'!$R$2:$R$4001,$AD197,'All Donations'!$T$2:$T$4001,R$1))</f>
        <v/>
      </c>
      <c r="S197" s="49">
        <f>IF(OR($AE197&lt;&gt;1,S$1=""),"",SUMIFS('All Donations'!$S$2:$S$4001,'All Donations'!$R$2:$R$4001,$AD197,'All Donations'!$T$2:$T$4001,S$1))</f>
        <v/>
      </c>
      <c r="T197" s="49">
        <f>IF(OR($AE197&lt;&gt;1,T$1=""),"",SUMIFS('All Donations'!$S$2:$S$4001,'All Donations'!$R$2:$R$4001,$AD197,'All Donations'!$T$2:$T$4001,T$1))</f>
        <v/>
      </c>
      <c r="U197" s="49">
        <f>IF(OR($AE197&lt;&gt;1,U$1=""),"",SUMIFS('All Donations'!$S$2:$S$4001,'All Donations'!$R$2:$R$4001,$AD197,'All Donations'!$T$2:$T$4001,U$1))</f>
        <v/>
      </c>
      <c r="V197" s="49">
        <f>IF(OR($AE197&lt;&gt;1,V$1=""),"",SUMIFS('All Donations'!$S$2:$S$4001,'All Donations'!$R$2:$R$4001,$AD197,'All Donations'!$T$2:$T$4001,V$1))</f>
        <v/>
      </c>
      <c r="W197" s="49">
        <f>IF(OR($AE197&lt;&gt;1,W$1=""),"",SUMIFS('All Donations'!$S$2:$S$4001,'All Donations'!$R$2:$R$4001,$AD197,'All Donations'!$T$2:$T$4001,W$1))</f>
        <v/>
      </c>
      <c r="X197" s="49">
        <f>IF(OR($AE197&lt;&gt;1,X$1=""),"",SUMIFS('All Donations'!$S$2:$S$4001,'All Donations'!$R$2:$R$4001,$AD197,'All Donations'!$T$2:$T$4001,X$1))</f>
        <v/>
      </c>
      <c r="Y197" s="49">
        <f>IF(OR($AE197&lt;&gt;1,Y$1=""),"",SUMIFS('All Donations'!$S$2:$S$4001,'All Donations'!$R$2:$R$4001,$AD197,'All Donations'!$T$2:$T$4001,Y$1))</f>
        <v/>
      </c>
      <c r="Z197" s="49">
        <f>IF(OR($AE197&lt;&gt;1,Z$1=""),"",SUMIFS('All Donations'!$S$2:$S$4001,'All Donations'!$R$2:$R$4001,$AD197,'All Donations'!$T$2:$T$4001,Z$1))</f>
        <v/>
      </c>
      <c r="AA197" s="49">
        <f>IF(OR($AE197&lt;&gt;1,AA$1=""),"",SUMIFS('All Donations'!$S$2:$S$4001,'All Donations'!$R$2:$R$4001,$AD197,'All Donations'!$T$2:$T$4001,AA$1))</f>
        <v/>
      </c>
      <c r="AB197" s="49">
        <f>IF(OR($AE197&lt;&gt;1,AB$1=""),"",SUMIFS('All Donations'!$S$2:$S$4001,'All Donations'!$R$2:$R$4001,$AD197,'All Donations'!$T$2:$T$4001,AB$1))</f>
        <v/>
      </c>
      <c r="AC197" s="49">
        <f>IF(OR($AE197&lt;&gt;1,AC$1=""),"",SUMIFS('All Donations'!$S$2:$S$4001,'All Donations'!$R$2:$R$4001,$AD197,'All Donations'!$T$2:$T$4001,AC$1))</f>
        <v/>
      </c>
      <c r="AD197">
        <f>IF(AE197=1,'Roster'!A197,"")</f>
        <v/>
      </c>
      <c r="AE197">
        <f>IF(TRIM('Roster'!B197&amp;'Roster'!C197)&lt;&gt;"",1,0)</f>
        <v/>
      </c>
      <c r="AF197">
        <f>IF(AE197=1,LOWER(A197),"#")</f>
        <v/>
      </c>
      <c r="AG197">
        <f>IF(AE197=1,LOWER(TRIM(TRIM('Roster'!C197)&amp;", "&amp;TRIM('Roster'!B197))),"#")</f>
        <v/>
      </c>
      <c r="AH197">
        <f>IF(AND(AE197=1,TRIM('Roster'!F197)&lt;&gt;""),LOWER(TRIM('Roster'!F197)),"#")</f>
        <v/>
      </c>
      <c r="AI197">
        <f>IF(AE197=1,IF(MATCH(B197,$B$2:$B$701,0)=ROW()-1,1,0),0)</f>
        <v/>
      </c>
      <c r="AJ197">
        <f>AJ196+AI197</f>
        <v/>
      </c>
      <c r="AK197">
        <f>IF(AE197=1,D197+(1000-ROW())/10^7,-1)</f>
        <v/>
      </c>
      <c r="AL197">
        <f>IF(AE197=1,TRIM('Roster'!B197)&amp;" "&amp;LEFT(TRIM('Roster'!C197),1)&amp;".","")</f>
        <v/>
      </c>
      <c r="AM197">
        <f>IF(AE197=1,TRIM('Roster'!C197)&amp;", "&amp;TRIM('Roster'!B197)&amp;" ("&amp;B197&amp;") #"&amp;AD197,"")</f>
        <v/>
      </c>
      <c r="AN197">
        <f>IF(AE197=1,TRIM('Roster'!E197),"")</f>
        <v/>
      </c>
      <c r="AO197">
        <f>IF(AE197=1,ROUND(SUMIFS('All Donations'!$S$2:$S$4001,'All Donations'!$R$2:$R$4001,AD197,'All Donations'!$T$2:$T$4001,"&gt;="&amp;'Settings'!$C$23,'All Donations'!$T$2:$T$4001,"&lt;="&amp;'Settings'!$D$23),2),0)</f>
        <v/>
      </c>
      <c r="AQ197">
        <f>IF(AE197=1,ROUND(SUMIFS('All Donations'!$S$2:$S$4001,'All Donations'!$R$2:$R$4001,AD197,'All Donations'!$T$2:$T$4001,"&gt;="&amp;'Settings'!$C$25,'All Donations'!$T$2:$T$4001,"&lt;="&amp;'Settings'!$D$25),2),0)</f>
        <v/>
      </c>
      <c r="AR197">
        <f>IF(AE197=1,ROUND(SUMIFS('All Donations'!$S$2:$S$4001,'All Donations'!$R$2:$R$4001,AD197,'All Donations'!$T$2:$T$4001,"&gt;="&amp;'Settings'!$C$26,'All Donations'!$T$2:$T$4001,"&lt;="&amp;'Settings'!$D$26),2),0)</f>
        <v/>
      </c>
      <c r="AS197">
        <f>IF(AE197=1,ROUND(SUMIFS('All Donations'!$S$2:$S$4001,'All Donations'!$R$2:$R$4001,AD197,'All Donations'!$T$2:$T$4001,"&lt;="&amp;'Settings'!$D$27),2),0)</f>
        <v/>
      </c>
      <c r="AT197">
        <f>IF(AE197=1,ROUND(SUMIFS('All Donations'!$S$2:$S$4001,'All Donations'!$R$2:$R$4001,AD197,'All Donations'!$T$2:$T$4001,"&gt;="&amp;'Settings'!$C$28,'All Donations'!$T$2:$T$4001,"&lt;="&amp;'Settings'!$D$28),2),0)</f>
        <v/>
      </c>
      <c r="AU197">
        <f>IF(AE197=1,ROUND(SUMIFS('All Donations'!$S$2:$S$4001,'All Donations'!$R$2:$R$4001,AD197,'All Donations'!$T$2:$T$4001,"&gt;="&amp;'Settings'!$C$29,'All Donations'!$T$2:$T$4001,"&lt;="&amp;'Settings'!$D$29),2),0)</f>
        <v/>
      </c>
      <c r="AV197">
        <f>IF(AE197=1,ROUND(SUMIFS('All Donations'!$S$2:$S$4001,'All Donations'!$R$2:$R$4001,AD197,'All Donations'!$T$2:$T$4001,"&lt;="&amp;'Settings'!$D$30),2),0)</f>
        <v/>
      </c>
      <c r="AZ197">
        <f>IF(AE197=1,ROUND(SUMIFS('All Donations'!$S$2:$S$4001,'All Donations'!$R$2:$R$4001,AD197,'All Donations'!$T$2:$T$4001,"&lt;="&amp;'Settings'!$D$34),2),0)</f>
        <v/>
      </c>
    </row>
    <row r="198">
      <c r="A198">
        <f>IF(AE198=1,TRIM(TRIM('Roster'!B198)&amp;" "&amp;TRIM('Roster'!C198)),"")</f>
        <v/>
      </c>
      <c r="B198">
        <f>IF(AE198=1,IF(AN198="","(no teacher)",AN198&amp;" – "&amp;C198),"")</f>
        <v/>
      </c>
      <c r="C198">
        <f>IF(AE198=1,TRIM('Roster'!D198&amp;""),"")</f>
        <v/>
      </c>
      <c r="D198" s="48">
        <f>IF(AE198=1,ROUND(SUMIFS('All Donations'!$S$2:$S$4001,'All Donations'!$R$2:$R$4001,AD198),2),"")</f>
        <v/>
      </c>
      <c r="E198" s="48">
        <f>IF(AE198=1,ROUND(SUMIFS('All Donations'!$S$2:$S$4001,'All Donations'!$R$2:$R$4001,AD198,'All Donations'!$G$2:$G$4001,"OneCause"),2),"")</f>
        <v/>
      </c>
      <c r="F198" s="48">
        <f>IF(AE198=1,D198-E198,"")</f>
        <v/>
      </c>
      <c r="G198">
        <f>IF(AE198=1,COUNTIFS('All Donations'!$R$2:$R$4001,AD198,'All Donations'!$H$2:$H$4001,"OK"),"")</f>
        <v/>
      </c>
      <c r="H198">
        <f>IF(AE198&lt;&gt;1,"",IF(D198&gt;0,"Yes",""))</f>
        <v/>
      </c>
      <c r="I198" s="49">
        <f>IF(OR($AE198&lt;&gt;1,I$1=""),"",SUMIFS('All Donations'!$S$2:$S$4001,'All Donations'!$R$2:$R$4001,$AD198,'All Donations'!$T$2:$T$4001,I$1))</f>
        <v/>
      </c>
      <c r="J198" s="49">
        <f>IF(OR($AE198&lt;&gt;1,J$1=""),"",SUMIFS('All Donations'!$S$2:$S$4001,'All Donations'!$R$2:$R$4001,$AD198,'All Donations'!$T$2:$T$4001,J$1))</f>
        <v/>
      </c>
      <c r="K198" s="49">
        <f>IF(OR($AE198&lt;&gt;1,K$1=""),"",SUMIFS('All Donations'!$S$2:$S$4001,'All Donations'!$R$2:$R$4001,$AD198,'All Donations'!$T$2:$T$4001,K$1))</f>
        <v/>
      </c>
      <c r="L198" s="49">
        <f>IF(OR($AE198&lt;&gt;1,L$1=""),"",SUMIFS('All Donations'!$S$2:$S$4001,'All Donations'!$R$2:$R$4001,$AD198,'All Donations'!$T$2:$T$4001,L$1))</f>
        <v/>
      </c>
      <c r="M198" s="49">
        <f>IF(OR($AE198&lt;&gt;1,M$1=""),"",SUMIFS('All Donations'!$S$2:$S$4001,'All Donations'!$R$2:$R$4001,$AD198,'All Donations'!$T$2:$T$4001,M$1))</f>
        <v/>
      </c>
      <c r="N198" s="49">
        <f>IF(OR($AE198&lt;&gt;1,N$1=""),"",SUMIFS('All Donations'!$S$2:$S$4001,'All Donations'!$R$2:$R$4001,$AD198,'All Donations'!$T$2:$T$4001,N$1))</f>
        <v/>
      </c>
      <c r="O198" s="49">
        <f>IF(OR($AE198&lt;&gt;1,O$1=""),"",SUMIFS('All Donations'!$S$2:$S$4001,'All Donations'!$R$2:$R$4001,$AD198,'All Donations'!$T$2:$T$4001,O$1))</f>
        <v/>
      </c>
      <c r="P198" s="49">
        <f>IF(OR($AE198&lt;&gt;1,P$1=""),"",SUMIFS('All Donations'!$S$2:$S$4001,'All Donations'!$R$2:$R$4001,$AD198,'All Donations'!$T$2:$T$4001,P$1))</f>
        <v/>
      </c>
      <c r="Q198" s="49">
        <f>IF(OR($AE198&lt;&gt;1,Q$1=""),"",SUMIFS('All Donations'!$S$2:$S$4001,'All Donations'!$R$2:$R$4001,$AD198,'All Donations'!$T$2:$T$4001,Q$1))</f>
        <v/>
      </c>
      <c r="R198" s="49">
        <f>IF(OR($AE198&lt;&gt;1,R$1=""),"",SUMIFS('All Donations'!$S$2:$S$4001,'All Donations'!$R$2:$R$4001,$AD198,'All Donations'!$T$2:$T$4001,R$1))</f>
        <v/>
      </c>
      <c r="S198" s="49">
        <f>IF(OR($AE198&lt;&gt;1,S$1=""),"",SUMIFS('All Donations'!$S$2:$S$4001,'All Donations'!$R$2:$R$4001,$AD198,'All Donations'!$T$2:$T$4001,S$1))</f>
        <v/>
      </c>
      <c r="T198" s="49">
        <f>IF(OR($AE198&lt;&gt;1,T$1=""),"",SUMIFS('All Donations'!$S$2:$S$4001,'All Donations'!$R$2:$R$4001,$AD198,'All Donations'!$T$2:$T$4001,T$1))</f>
        <v/>
      </c>
      <c r="U198" s="49">
        <f>IF(OR($AE198&lt;&gt;1,U$1=""),"",SUMIFS('All Donations'!$S$2:$S$4001,'All Donations'!$R$2:$R$4001,$AD198,'All Donations'!$T$2:$T$4001,U$1))</f>
        <v/>
      </c>
      <c r="V198" s="49">
        <f>IF(OR($AE198&lt;&gt;1,V$1=""),"",SUMIFS('All Donations'!$S$2:$S$4001,'All Donations'!$R$2:$R$4001,$AD198,'All Donations'!$T$2:$T$4001,V$1))</f>
        <v/>
      </c>
      <c r="W198" s="49">
        <f>IF(OR($AE198&lt;&gt;1,W$1=""),"",SUMIFS('All Donations'!$S$2:$S$4001,'All Donations'!$R$2:$R$4001,$AD198,'All Donations'!$T$2:$T$4001,W$1))</f>
        <v/>
      </c>
      <c r="X198" s="49">
        <f>IF(OR($AE198&lt;&gt;1,X$1=""),"",SUMIFS('All Donations'!$S$2:$S$4001,'All Donations'!$R$2:$R$4001,$AD198,'All Donations'!$T$2:$T$4001,X$1))</f>
        <v/>
      </c>
      <c r="Y198" s="49">
        <f>IF(OR($AE198&lt;&gt;1,Y$1=""),"",SUMIFS('All Donations'!$S$2:$S$4001,'All Donations'!$R$2:$R$4001,$AD198,'All Donations'!$T$2:$T$4001,Y$1))</f>
        <v/>
      </c>
      <c r="Z198" s="49">
        <f>IF(OR($AE198&lt;&gt;1,Z$1=""),"",SUMIFS('All Donations'!$S$2:$S$4001,'All Donations'!$R$2:$R$4001,$AD198,'All Donations'!$T$2:$T$4001,Z$1))</f>
        <v/>
      </c>
      <c r="AA198" s="49">
        <f>IF(OR($AE198&lt;&gt;1,AA$1=""),"",SUMIFS('All Donations'!$S$2:$S$4001,'All Donations'!$R$2:$R$4001,$AD198,'All Donations'!$T$2:$T$4001,AA$1))</f>
        <v/>
      </c>
      <c r="AB198" s="49">
        <f>IF(OR($AE198&lt;&gt;1,AB$1=""),"",SUMIFS('All Donations'!$S$2:$S$4001,'All Donations'!$R$2:$R$4001,$AD198,'All Donations'!$T$2:$T$4001,AB$1))</f>
        <v/>
      </c>
      <c r="AC198" s="49">
        <f>IF(OR($AE198&lt;&gt;1,AC$1=""),"",SUMIFS('All Donations'!$S$2:$S$4001,'All Donations'!$R$2:$R$4001,$AD198,'All Donations'!$T$2:$T$4001,AC$1))</f>
        <v/>
      </c>
      <c r="AD198">
        <f>IF(AE198=1,'Roster'!A198,"")</f>
        <v/>
      </c>
      <c r="AE198">
        <f>IF(TRIM('Roster'!B198&amp;'Roster'!C198)&lt;&gt;"",1,0)</f>
        <v/>
      </c>
      <c r="AF198">
        <f>IF(AE198=1,LOWER(A198),"#")</f>
        <v/>
      </c>
      <c r="AG198">
        <f>IF(AE198=1,LOWER(TRIM(TRIM('Roster'!C198)&amp;", "&amp;TRIM('Roster'!B198))),"#")</f>
        <v/>
      </c>
      <c r="AH198">
        <f>IF(AND(AE198=1,TRIM('Roster'!F198)&lt;&gt;""),LOWER(TRIM('Roster'!F198)),"#")</f>
        <v/>
      </c>
      <c r="AI198">
        <f>IF(AE198=1,IF(MATCH(B198,$B$2:$B$701,0)=ROW()-1,1,0),0)</f>
        <v/>
      </c>
      <c r="AJ198">
        <f>AJ197+AI198</f>
        <v/>
      </c>
      <c r="AK198">
        <f>IF(AE198=1,D198+(1000-ROW())/10^7,-1)</f>
        <v/>
      </c>
      <c r="AL198">
        <f>IF(AE198=1,TRIM('Roster'!B198)&amp;" "&amp;LEFT(TRIM('Roster'!C198),1)&amp;".","")</f>
        <v/>
      </c>
      <c r="AM198">
        <f>IF(AE198=1,TRIM('Roster'!C198)&amp;", "&amp;TRIM('Roster'!B198)&amp;" ("&amp;B198&amp;") #"&amp;AD198,"")</f>
        <v/>
      </c>
      <c r="AN198">
        <f>IF(AE198=1,TRIM('Roster'!E198),"")</f>
        <v/>
      </c>
      <c r="AO198">
        <f>IF(AE198=1,ROUND(SUMIFS('All Donations'!$S$2:$S$4001,'All Donations'!$R$2:$R$4001,AD198,'All Donations'!$T$2:$T$4001,"&gt;="&amp;'Settings'!$C$23,'All Donations'!$T$2:$T$4001,"&lt;="&amp;'Settings'!$D$23),2),0)</f>
        <v/>
      </c>
      <c r="AQ198">
        <f>IF(AE198=1,ROUND(SUMIFS('All Donations'!$S$2:$S$4001,'All Donations'!$R$2:$R$4001,AD198,'All Donations'!$T$2:$T$4001,"&gt;="&amp;'Settings'!$C$25,'All Donations'!$T$2:$T$4001,"&lt;="&amp;'Settings'!$D$25),2),0)</f>
        <v/>
      </c>
      <c r="AR198">
        <f>IF(AE198=1,ROUND(SUMIFS('All Donations'!$S$2:$S$4001,'All Donations'!$R$2:$R$4001,AD198,'All Donations'!$T$2:$T$4001,"&gt;="&amp;'Settings'!$C$26,'All Donations'!$T$2:$T$4001,"&lt;="&amp;'Settings'!$D$26),2),0)</f>
        <v/>
      </c>
      <c r="AS198">
        <f>IF(AE198=1,ROUND(SUMIFS('All Donations'!$S$2:$S$4001,'All Donations'!$R$2:$R$4001,AD198,'All Donations'!$T$2:$T$4001,"&lt;="&amp;'Settings'!$D$27),2),0)</f>
        <v/>
      </c>
      <c r="AT198">
        <f>IF(AE198=1,ROUND(SUMIFS('All Donations'!$S$2:$S$4001,'All Donations'!$R$2:$R$4001,AD198,'All Donations'!$T$2:$T$4001,"&gt;="&amp;'Settings'!$C$28,'All Donations'!$T$2:$T$4001,"&lt;="&amp;'Settings'!$D$28),2),0)</f>
        <v/>
      </c>
      <c r="AU198">
        <f>IF(AE198=1,ROUND(SUMIFS('All Donations'!$S$2:$S$4001,'All Donations'!$R$2:$R$4001,AD198,'All Donations'!$T$2:$T$4001,"&gt;="&amp;'Settings'!$C$29,'All Donations'!$T$2:$T$4001,"&lt;="&amp;'Settings'!$D$29),2),0)</f>
        <v/>
      </c>
      <c r="AV198">
        <f>IF(AE198=1,ROUND(SUMIFS('All Donations'!$S$2:$S$4001,'All Donations'!$R$2:$R$4001,AD198,'All Donations'!$T$2:$T$4001,"&lt;="&amp;'Settings'!$D$30),2),0)</f>
        <v/>
      </c>
      <c r="AZ198">
        <f>IF(AE198=1,ROUND(SUMIFS('All Donations'!$S$2:$S$4001,'All Donations'!$R$2:$R$4001,AD198,'All Donations'!$T$2:$T$4001,"&lt;="&amp;'Settings'!$D$34),2),0)</f>
        <v/>
      </c>
    </row>
    <row r="199">
      <c r="A199">
        <f>IF(AE199=1,TRIM(TRIM('Roster'!B199)&amp;" "&amp;TRIM('Roster'!C199)),"")</f>
        <v/>
      </c>
      <c r="B199">
        <f>IF(AE199=1,IF(AN199="","(no teacher)",AN199&amp;" – "&amp;C199),"")</f>
        <v/>
      </c>
      <c r="C199">
        <f>IF(AE199=1,TRIM('Roster'!D199&amp;""),"")</f>
        <v/>
      </c>
      <c r="D199" s="48">
        <f>IF(AE199=1,ROUND(SUMIFS('All Donations'!$S$2:$S$4001,'All Donations'!$R$2:$R$4001,AD199),2),"")</f>
        <v/>
      </c>
      <c r="E199" s="48">
        <f>IF(AE199=1,ROUND(SUMIFS('All Donations'!$S$2:$S$4001,'All Donations'!$R$2:$R$4001,AD199,'All Donations'!$G$2:$G$4001,"OneCause"),2),"")</f>
        <v/>
      </c>
      <c r="F199" s="48">
        <f>IF(AE199=1,D199-E199,"")</f>
        <v/>
      </c>
      <c r="G199">
        <f>IF(AE199=1,COUNTIFS('All Donations'!$R$2:$R$4001,AD199,'All Donations'!$H$2:$H$4001,"OK"),"")</f>
        <v/>
      </c>
      <c r="H199">
        <f>IF(AE199&lt;&gt;1,"",IF(D199&gt;0,"Yes",""))</f>
        <v/>
      </c>
      <c r="I199" s="49">
        <f>IF(OR($AE199&lt;&gt;1,I$1=""),"",SUMIFS('All Donations'!$S$2:$S$4001,'All Donations'!$R$2:$R$4001,$AD199,'All Donations'!$T$2:$T$4001,I$1))</f>
        <v/>
      </c>
      <c r="J199" s="49">
        <f>IF(OR($AE199&lt;&gt;1,J$1=""),"",SUMIFS('All Donations'!$S$2:$S$4001,'All Donations'!$R$2:$R$4001,$AD199,'All Donations'!$T$2:$T$4001,J$1))</f>
        <v/>
      </c>
      <c r="K199" s="49">
        <f>IF(OR($AE199&lt;&gt;1,K$1=""),"",SUMIFS('All Donations'!$S$2:$S$4001,'All Donations'!$R$2:$R$4001,$AD199,'All Donations'!$T$2:$T$4001,K$1))</f>
        <v/>
      </c>
      <c r="L199" s="49">
        <f>IF(OR($AE199&lt;&gt;1,L$1=""),"",SUMIFS('All Donations'!$S$2:$S$4001,'All Donations'!$R$2:$R$4001,$AD199,'All Donations'!$T$2:$T$4001,L$1))</f>
        <v/>
      </c>
      <c r="M199" s="49">
        <f>IF(OR($AE199&lt;&gt;1,M$1=""),"",SUMIFS('All Donations'!$S$2:$S$4001,'All Donations'!$R$2:$R$4001,$AD199,'All Donations'!$T$2:$T$4001,M$1))</f>
        <v/>
      </c>
      <c r="N199" s="49">
        <f>IF(OR($AE199&lt;&gt;1,N$1=""),"",SUMIFS('All Donations'!$S$2:$S$4001,'All Donations'!$R$2:$R$4001,$AD199,'All Donations'!$T$2:$T$4001,N$1))</f>
        <v/>
      </c>
      <c r="O199" s="49">
        <f>IF(OR($AE199&lt;&gt;1,O$1=""),"",SUMIFS('All Donations'!$S$2:$S$4001,'All Donations'!$R$2:$R$4001,$AD199,'All Donations'!$T$2:$T$4001,O$1))</f>
        <v/>
      </c>
      <c r="P199" s="49">
        <f>IF(OR($AE199&lt;&gt;1,P$1=""),"",SUMIFS('All Donations'!$S$2:$S$4001,'All Donations'!$R$2:$R$4001,$AD199,'All Donations'!$T$2:$T$4001,P$1))</f>
        <v/>
      </c>
      <c r="Q199" s="49">
        <f>IF(OR($AE199&lt;&gt;1,Q$1=""),"",SUMIFS('All Donations'!$S$2:$S$4001,'All Donations'!$R$2:$R$4001,$AD199,'All Donations'!$T$2:$T$4001,Q$1))</f>
        <v/>
      </c>
      <c r="R199" s="49">
        <f>IF(OR($AE199&lt;&gt;1,R$1=""),"",SUMIFS('All Donations'!$S$2:$S$4001,'All Donations'!$R$2:$R$4001,$AD199,'All Donations'!$T$2:$T$4001,R$1))</f>
        <v/>
      </c>
      <c r="S199" s="49">
        <f>IF(OR($AE199&lt;&gt;1,S$1=""),"",SUMIFS('All Donations'!$S$2:$S$4001,'All Donations'!$R$2:$R$4001,$AD199,'All Donations'!$T$2:$T$4001,S$1))</f>
        <v/>
      </c>
      <c r="T199" s="49">
        <f>IF(OR($AE199&lt;&gt;1,T$1=""),"",SUMIFS('All Donations'!$S$2:$S$4001,'All Donations'!$R$2:$R$4001,$AD199,'All Donations'!$T$2:$T$4001,T$1))</f>
        <v/>
      </c>
      <c r="U199" s="49">
        <f>IF(OR($AE199&lt;&gt;1,U$1=""),"",SUMIFS('All Donations'!$S$2:$S$4001,'All Donations'!$R$2:$R$4001,$AD199,'All Donations'!$T$2:$T$4001,U$1))</f>
        <v/>
      </c>
      <c r="V199" s="49">
        <f>IF(OR($AE199&lt;&gt;1,V$1=""),"",SUMIFS('All Donations'!$S$2:$S$4001,'All Donations'!$R$2:$R$4001,$AD199,'All Donations'!$T$2:$T$4001,V$1))</f>
        <v/>
      </c>
      <c r="W199" s="49">
        <f>IF(OR($AE199&lt;&gt;1,W$1=""),"",SUMIFS('All Donations'!$S$2:$S$4001,'All Donations'!$R$2:$R$4001,$AD199,'All Donations'!$T$2:$T$4001,W$1))</f>
        <v/>
      </c>
      <c r="X199" s="49">
        <f>IF(OR($AE199&lt;&gt;1,X$1=""),"",SUMIFS('All Donations'!$S$2:$S$4001,'All Donations'!$R$2:$R$4001,$AD199,'All Donations'!$T$2:$T$4001,X$1))</f>
        <v/>
      </c>
      <c r="Y199" s="49">
        <f>IF(OR($AE199&lt;&gt;1,Y$1=""),"",SUMIFS('All Donations'!$S$2:$S$4001,'All Donations'!$R$2:$R$4001,$AD199,'All Donations'!$T$2:$T$4001,Y$1))</f>
        <v/>
      </c>
      <c r="Z199" s="49">
        <f>IF(OR($AE199&lt;&gt;1,Z$1=""),"",SUMIFS('All Donations'!$S$2:$S$4001,'All Donations'!$R$2:$R$4001,$AD199,'All Donations'!$T$2:$T$4001,Z$1))</f>
        <v/>
      </c>
      <c r="AA199" s="49">
        <f>IF(OR($AE199&lt;&gt;1,AA$1=""),"",SUMIFS('All Donations'!$S$2:$S$4001,'All Donations'!$R$2:$R$4001,$AD199,'All Donations'!$T$2:$T$4001,AA$1))</f>
        <v/>
      </c>
      <c r="AB199" s="49">
        <f>IF(OR($AE199&lt;&gt;1,AB$1=""),"",SUMIFS('All Donations'!$S$2:$S$4001,'All Donations'!$R$2:$R$4001,$AD199,'All Donations'!$T$2:$T$4001,AB$1))</f>
        <v/>
      </c>
      <c r="AC199" s="49">
        <f>IF(OR($AE199&lt;&gt;1,AC$1=""),"",SUMIFS('All Donations'!$S$2:$S$4001,'All Donations'!$R$2:$R$4001,$AD199,'All Donations'!$T$2:$T$4001,AC$1))</f>
        <v/>
      </c>
      <c r="AD199">
        <f>IF(AE199=1,'Roster'!A199,"")</f>
        <v/>
      </c>
      <c r="AE199">
        <f>IF(TRIM('Roster'!B199&amp;'Roster'!C199)&lt;&gt;"",1,0)</f>
        <v/>
      </c>
      <c r="AF199">
        <f>IF(AE199=1,LOWER(A199),"#")</f>
        <v/>
      </c>
      <c r="AG199">
        <f>IF(AE199=1,LOWER(TRIM(TRIM('Roster'!C199)&amp;", "&amp;TRIM('Roster'!B199))),"#")</f>
        <v/>
      </c>
      <c r="AH199">
        <f>IF(AND(AE199=1,TRIM('Roster'!F199)&lt;&gt;""),LOWER(TRIM('Roster'!F199)),"#")</f>
        <v/>
      </c>
      <c r="AI199">
        <f>IF(AE199=1,IF(MATCH(B199,$B$2:$B$701,0)=ROW()-1,1,0),0)</f>
        <v/>
      </c>
      <c r="AJ199">
        <f>AJ198+AI199</f>
        <v/>
      </c>
      <c r="AK199">
        <f>IF(AE199=1,D199+(1000-ROW())/10^7,-1)</f>
        <v/>
      </c>
      <c r="AL199">
        <f>IF(AE199=1,TRIM('Roster'!B199)&amp;" "&amp;LEFT(TRIM('Roster'!C199),1)&amp;".","")</f>
        <v/>
      </c>
      <c r="AM199">
        <f>IF(AE199=1,TRIM('Roster'!C199)&amp;", "&amp;TRIM('Roster'!B199)&amp;" ("&amp;B199&amp;") #"&amp;AD199,"")</f>
        <v/>
      </c>
      <c r="AN199">
        <f>IF(AE199=1,TRIM('Roster'!E199),"")</f>
        <v/>
      </c>
      <c r="AO199">
        <f>IF(AE199=1,ROUND(SUMIFS('All Donations'!$S$2:$S$4001,'All Donations'!$R$2:$R$4001,AD199,'All Donations'!$T$2:$T$4001,"&gt;="&amp;'Settings'!$C$23,'All Donations'!$T$2:$T$4001,"&lt;="&amp;'Settings'!$D$23),2),0)</f>
        <v/>
      </c>
      <c r="AQ199">
        <f>IF(AE199=1,ROUND(SUMIFS('All Donations'!$S$2:$S$4001,'All Donations'!$R$2:$R$4001,AD199,'All Donations'!$T$2:$T$4001,"&gt;="&amp;'Settings'!$C$25,'All Donations'!$T$2:$T$4001,"&lt;="&amp;'Settings'!$D$25),2),0)</f>
        <v/>
      </c>
      <c r="AR199">
        <f>IF(AE199=1,ROUND(SUMIFS('All Donations'!$S$2:$S$4001,'All Donations'!$R$2:$R$4001,AD199,'All Donations'!$T$2:$T$4001,"&gt;="&amp;'Settings'!$C$26,'All Donations'!$T$2:$T$4001,"&lt;="&amp;'Settings'!$D$26),2),0)</f>
        <v/>
      </c>
      <c r="AS199">
        <f>IF(AE199=1,ROUND(SUMIFS('All Donations'!$S$2:$S$4001,'All Donations'!$R$2:$R$4001,AD199,'All Donations'!$T$2:$T$4001,"&lt;="&amp;'Settings'!$D$27),2),0)</f>
        <v/>
      </c>
      <c r="AT199">
        <f>IF(AE199=1,ROUND(SUMIFS('All Donations'!$S$2:$S$4001,'All Donations'!$R$2:$R$4001,AD199,'All Donations'!$T$2:$T$4001,"&gt;="&amp;'Settings'!$C$28,'All Donations'!$T$2:$T$4001,"&lt;="&amp;'Settings'!$D$28),2),0)</f>
        <v/>
      </c>
      <c r="AU199">
        <f>IF(AE199=1,ROUND(SUMIFS('All Donations'!$S$2:$S$4001,'All Donations'!$R$2:$R$4001,AD199,'All Donations'!$T$2:$T$4001,"&gt;="&amp;'Settings'!$C$29,'All Donations'!$T$2:$T$4001,"&lt;="&amp;'Settings'!$D$29),2),0)</f>
        <v/>
      </c>
      <c r="AV199">
        <f>IF(AE199=1,ROUND(SUMIFS('All Donations'!$S$2:$S$4001,'All Donations'!$R$2:$R$4001,AD199,'All Donations'!$T$2:$T$4001,"&lt;="&amp;'Settings'!$D$30),2),0)</f>
        <v/>
      </c>
      <c r="AZ199">
        <f>IF(AE199=1,ROUND(SUMIFS('All Donations'!$S$2:$S$4001,'All Donations'!$R$2:$R$4001,AD199,'All Donations'!$T$2:$T$4001,"&lt;="&amp;'Settings'!$D$34),2),0)</f>
        <v/>
      </c>
    </row>
    <row r="200">
      <c r="A200">
        <f>IF(AE200=1,TRIM(TRIM('Roster'!B200)&amp;" "&amp;TRIM('Roster'!C200)),"")</f>
        <v/>
      </c>
      <c r="B200">
        <f>IF(AE200=1,IF(AN200="","(no teacher)",AN200&amp;" – "&amp;C200),"")</f>
        <v/>
      </c>
      <c r="C200">
        <f>IF(AE200=1,TRIM('Roster'!D200&amp;""),"")</f>
        <v/>
      </c>
      <c r="D200" s="48">
        <f>IF(AE200=1,ROUND(SUMIFS('All Donations'!$S$2:$S$4001,'All Donations'!$R$2:$R$4001,AD200),2),"")</f>
        <v/>
      </c>
      <c r="E200" s="48">
        <f>IF(AE200=1,ROUND(SUMIFS('All Donations'!$S$2:$S$4001,'All Donations'!$R$2:$R$4001,AD200,'All Donations'!$G$2:$G$4001,"OneCause"),2),"")</f>
        <v/>
      </c>
      <c r="F200" s="48">
        <f>IF(AE200=1,D200-E200,"")</f>
        <v/>
      </c>
      <c r="G200">
        <f>IF(AE200=1,COUNTIFS('All Donations'!$R$2:$R$4001,AD200,'All Donations'!$H$2:$H$4001,"OK"),"")</f>
        <v/>
      </c>
      <c r="H200">
        <f>IF(AE200&lt;&gt;1,"",IF(D200&gt;0,"Yes",""))</f>
        <v/>
      </c>
      <c r="I200" s="49">
        <f>IF(OR($AE200&lt;&gt;1,I$1=""),"",SUMIFS('All Donations'!$S$2:$S$4001,'All Donations'!$R$2:$R$4001,$AD200,'All Donations'!$T$2:$T$4001,I$1))</f>
        <v/>
      </c>
      <c r="J200" s="49">
        <f>IF(OR($AE200&lt;&gt;1,J$1=""),"",SUMIFS('All Donations'!$S$2:$S$4001,'All Donations'!$R$2:$R$4001,$AD200,'All Donations'!$T$2:$T$4001,J$1))</f>
        <v/>
      </c>
      <c r="K200" s="49">
        <f>IF(OR($AE200&lt;&gt;1,K$1=""),"",SUMIFS('All Donations'!$S$2:$S$4001,'All Donations'!$R$2:$R$4001,$AD200,'All Donations'!$T$2:$T$4001,K$1))</f>
        <v/>
      </c>
      <c r="L200" s="49">
        <f>IF(OR($AE200&lt;&gt;1,L$1=""),"",SUMIFS('All Donations'!$S$2:$S$4001,'All Donations'!$R$2:$R$4001,$AD200,'All Donations'!$T$2:$T$4001,L$1))</f>
        <v/>
      </c>
      <c r="M200" s="49">
        <f>IF(OR($AE200&lt;&gt;1,M$1=""),"",SUMIFS('All Donations'!$S$2:$S$4001,'All Donations'!$R$2:$R$4001,$AD200,'All Donations'!$T$2:$T$4001,M$1))</f>
        <v/>
      </c>
      <c r="N200" s="49">
        <f>IF(OR($AE200&lt;&gt;1,N$1=""),"",SUMIFS('All Donations'!$S$2:$S$4001,'All Donations'!$R$2:$R$4001,$AD200,'All Donations'!$T$2:$T$4001,N$1))</f>
        <v/>
      </c>
      <c r="O200" s="49">
        <f>IF(OR($AE200&lt;&gt;1,O$1=""),"",SUMIFS('All Donations'!$S$2:$S$4001,'All Donations'!$R$2:$R$4001,$AD200,'All Donations'!$T$2:$T$4001,O$1))</f>
        <v/>
      </c>
      <c r="P200" s="49">
        <f>IF(OR($AE200&lt;&gt;1,P$1=""),"",SUMIFS('All Donations'!$S$2:$S$4001,'All Donations'!$R$2:$R$4001,$AD200,'All Donations'!$T$2:$T$4001,P$1))</f>
        <v/>
      </c>
      <c r="Q200" s="49">
        <f>IF(OR($AE200&lt;&gt;1,Q$1=""),"",SUMIFS('All Donations'!$S$2:$S$4001,'All Donations'!$R$2:$R$4001,$AD200,'All Donations'!$T$2:$T$4001,Q$1))</f>
        <v/>
      </c>
      <c r="R200" s="49">
        <f>IF(OR($AE200&lt;&gt;1,R$1=""),"",SUMIFS('All Donations'!$S$2:$S$4001,'All Donations'!$R$2:$R$4001,$AD200,'All Donations'!$T$2:$T$4001,R$1))</f>
        <v/>
      </c>
      <c r="S200" s="49">
        <f>IF(OR($AE200&lt;&gt;1,S$1=""),"",SUMIFS('All Donations'!$S$2:$S$4001,'All Donations'!$R$2:$R$4001,$AD200,'All Donations'!$T$2:$T$4001,S$1))</f>
        <v/>
      </c>
      <c r="T200" s="49">
        <f>IF(OR($AE200&lt;&gt;1,T$1=""),"",SUMIFS('All Donations'!$S$2:$S$4001,'All Donations'!$R$2:$R$4001,$AD200,'All Donations'!$T$2:$T$4001,T$1))</f>
        <v/>
      </c>
      <c r="U200" s="49">
        <f>IF(OR($AE200&lt;&gt;1,U$1=""),"",SUMIFS('All Donations'!$S$2:$S$4001,'All Donations'!$R$2:$R$4001,$AD200,'All Donations'!$T$2:$T$4001,U$1))</f>
        <v/>
      </c>
      <c r="V200" s="49">
        <f>IF(OR($AE200&lt;&gt;1,V$1=""),"",SUMIFS('All Donations'!$S$2:$S$4001,'All Donations'!$R$2:$R$4001,$AD200,'All Donations'!$T$2:$T$4001,V$1))</f>
        <v/>
      </c>
      <c r="W200" s="49">
        <f>IF(OR($AE200&lt;&gt;1,W$1=""),"",SUMIFS('All Donations'!$S$2:$S$4001,'All Donations'!$R$2:$R$4001,$AD200,'All Donations'!$T$2:$T$4001,W$1))</f>
        <v/>
      </c>
      <c r="X200" s="49">
        <f>IF(OR($AE200&lt;&gt;1,X$1=""),"",SUMIFS('All Donations'!$S$2:$S$4001,'All Donations'!$R$2:$R$4001,$AD200,'All Donations'!$T$2:$T$4001,X$1))</f>
        <v/>
      </c>
      <c r="Y200" s="49">
        <f>IF(OR($AE200&lt;&gt;1,Y$1=""),"",SUMIFS('All Donations'!$S$2:$S$4001,'All Donations'!$R$2:$R$4001,$AD200,'All Donations'!$T$2:$T$4001,Y$1))</f>
        <v/>
      </c>
      <c r="Z200" s="49">
        <f>IF(OR($AE200&lt;&gt;1,Z$1=""),"",SUMIFS('All Donations'!$S$2:$S$4001,'All Donations'!$R$2:$R$4001,$AD200,'All Donations'!$T$2:$T$4001,Z$1))</f>
        <v/>
      </c>
      <c r="AA200" s="49">
        <f>IF(OR($AE200&lt;&gt;1,AA$1=""),"",SUMIFS('All Donations'!$S$2:$S$4001,'All Donations'!$R$2:$R$4001,$AD200,'All Donations'!$T$2:$T$4001,AA$1))</f>
        <v/>
      </c>
      <c r="AB200" s="49">
        <f>IF(OR($AE200&lt;&gt;1,AB$1=""),"",SUMIFS('All Donations'!$S$2:$S$4001,'All Donations'!$R$2:$R$4001,$AD200,'All Donations'!$T$2:$T$4001,AB$1))</f>
        <v/>
      </c>
      <c r="AC200" s="49">
        <f>IF(OR($AE200&lt;&gt;1,AC$1=""),"",SUMIFS('All Donations'!$S$2:$S$4001,'All Donations'!$R$2:$R$4001,$AD200,'All Donations'!$T$2:$T$4001,AC$1))</f>
        <v/>
      </c>
      <c r="AD200">
        <f>IF(AE200=1,'Roster'!A200,"")</f>
        <v/>
      </c>
      <c r="AE200">
        <f>IF(TRIM('Roster'!B200&amp;'Roster'!C200)&lt;&gt;"",1,0)</f>
        <v/>
      </c>
      <c r="AF200">
        <f>IF(AE200=1,LOWER(A200),"#")</f>
        <v/>
      </c>
      <c r="AG200">
        <f>IF(AE200=1,LOWER(TRIM(TRIM('Roster'!C200)&amp;", "&amp;TRIM('Roster'!B200))),"#")</f>
        <v/>
      </c>
      <c r="AH200">
        <f>IF(AND(AE200=1,TRIM('Roster'!F200)&lt;&gt;""),LOWER(TRIM('Roster'!F200)),"#")</f>
        <v/>
      </c>
      <c r="AI200">
        <f>IF(AE200=1,IF(MATCH(B200,$B$2:$B$701,0)=ROW()-1,1,0),0)</f>
        <v/>
      </c>
      <c r="AJ200">
        <f>AJ199+AI200</f>
        <v/>
      </c>
      <c r="AK200">
        <f>IF(AE200=1,D200+(1000-ROW())/10^7,-1)</f>
        <v/>
      </c>
      <c r="AL200">
        <f>IF(AE200=1,TRIM('Roster'!B200)&amp;" "&amp;LEFT(TRIM('Roster'!C200),1)&amp;".","")</f>
        <v/>
      </c>
      <c r="AM200">
        <f>IF(AE200=1,TRIM('Roster'!C200)&amp;", "&amp;TRIM('Roster'!B200)&amp;" ("&amp;B200&amp;") #"&amp;AD200,"")</f>
        <v/>
      </c>
      <c r="AN200">
        <f>IF(AE200=1,TRIM('Roster'!E200),"")</f>
        <v/>
      </c>
      <c r="AO200">
        <f>IF(AE200=1,ROUND(SUMIFS('All Donations'!$S$2:$S$4001,'All Donations'!$R$2:$R$4001,AD200,'All Donations'!$T$2:$T$4001,"&gt;="&amp;'Settings'!$C$23,'All Donations'!$T$2:$T$4001,"&lt;="&amp;'Settings'!$D$23),2),0)</f>
        <v/>
      </c>
      <c r="AQ200">
        <f>IF(AE200=1,ROUND(SUMIFS('All Donations'!$S$2:$S$4001,'All Donations'!$R$2:$R$4001,AD200,'All Donations'!$T$2:$T$4001,"&gt;="&amp;'Settings'!$C$25,'All Donations'!$T$2:$T$4001,"&lt;="&amp;'Settings'!$D$25),2),0)</f>
        <v/>
      </c>
      <c r="AR200">
        <f>IF(AE200=1,ROUND(SUMIFS('All Donations'!$S$2:$S$4001,'All Donations'!$R$2:$R$4001,AD200,'All Donations'!$T$2:$T$4001,"&gt;="&amp;'Settings'!$C$26,'All Donations'!$T$2:$T$4001,"&lt;="&amp;'Settings'!$D$26),2),0)</f>
        <v/>
      </c>
      <c r="AS200">
        <f>IF(AE200=1,ROUND(SUMIFS('All Donations'!$S$2:$S$4001,'All Donations'!$R$2:$R$4001,AD200,'All Donations'!$T$2:$T$4001,"&lt;="&amp;'Settings'!$D$27),2),0)</f>
        <v/>
      </c>
      <c r="AT200">
        <f>IF(AE200=1,ROUND(SUMIFS('All Donations'!$S$2:$S$4001,'All Donations'!$R$2:$R$4001,AD200,'All Donations'!$T$2:$T$4001,"&gt;="&amp;'Settings'!$C$28,'All Donations'!$T$2:$T$4001,"&lt;="&amp;'Settings'!$D$28),2),0)</f>
        <v/>
      </c>
      <c r="AU200">
        <f>IF(AE200=1,ROUND(SUMIFS('All Donations'!$S$2:$S$4001,'All Donations'!$R$2:$R$4001,AD200,'All Donations'!$T$2:$T$4001,"&gt;="&amp;'Settings'!$C$29,'All Donations'!$T$2:$T$4001,"&lt;="&amp;'Settings'!$D$29),2),0)</f>
        <v/>
      </c>
      <c r="AV200">
        <f>IF(AE200=1,ROUND(SUMIFS('All Donations'!$S$2:$S$4001,'All Donations'!$R$2:$R$4001,AD200,'All Donations'!$T$2:$T$4001,"&lt;="&amp;'Settings'!$D$30),2),0)</f>
        <v/>
      </c>
      <c r="AZ200">
        <f>IF(AE200=1,ROUND(SUMIFS('All Donations'!$S$2:$S$4001,'All Donations'!$R$2:$R$4001,AD200,'All Donations'!$T$2:$T$4001,"&lt;="&amp;'Settings'!$D$34),2),0)</f>
        <v/>
      </c>
    </row>
    <row r="201">
      <c r="A201">
        <f>IF(AE201=1,TRIM(TRIM('Roster'!B201)&amp;" "&amp;TRIM('Roster'!C201)),"")</f>
        <v/>
      </c>
      <c r="B201">
        <f>IF(AE201=1,IF(AN201="","(no teacher)",AN201&amp;" – "&amp;C201),"")</f>
        <v/>
      </c>
      <c r="C201">
        <f>IF(AE201=1,TRIM('Roster'!D201&amp;""),"")</f>
        <v/>
      </c>
      <c r="D201" s="48">
        <f>IF(AE201=1,ROUND(SUMIFS('All Donations'!$S$2:$S$4001,'All Donations'!$R$2:$R$4001,AD201),2),"")</f>
        <v/>
      </c>
      <c r="E201" s="48">
        <f>IF(AE201=1,ROUND(SUMIFS('All Donations'!$S$2:$S$4001,'All Donations'!$R$2:$R$4001,AD201,'All Donations'!$G$2:$G$4001,"OneCause"),2),"")</f>
        <v/>
      </c>
      <c r="F201" s="48">
        <f>IF(AE201=1,D201-E201,"")</f>
        <v/>
      </c>
      <c r="G201">
        <f>IF(AE201=1,COUNTIFS('All Donations'!$R$2:$R$4001,AD201,'All Donations'!$H$2:$H$4001,"OK"),"")</f>
        <v/>
      </c>
      <c r="H201">
        <f>IF(AE201&lt;&gt;1,"",IF(D201&gt;0,"Yes",""))</f>
        <v/>
      </c>
      <c r="I201" s="49">
        <f>IF(OR($AE201&lt;&gt;1,I$1=""),"",SUMIFS('All Donations'!$S$2:$S$4001,'All Donations'!$R$2:$R$4001,$AD201,'All Donations'!$T$2:$T$4001,I$1))</f>
        <v/>
      </c>
      <c r="J201" s="49">
        <f>IF(OR($AE201&lt;&gt;1,J$1=""),"",SUMIFS('All Donations'!$S$2:$S$4001,'All Donations'!$R$2:$R$4001,$AD201,'All Donations'!$T$2:$T$4001,J$1))</f>
        <v/>
      </c>
      <c r="K201" s="49">
        <f>IF(OR($AE201&lt;&gt;1,K$1=""),"",SUMIFS('All Donations'!$S$2:$S$4001,'All Donations'!$R$2:$R$4001,$AD201,'All Donations'!$T$2:$T$4001,K$1))</f>
        <v/>
      </c>
      <c r="L201" s="49">
        <f>IF(OR($AE201&lt;&gt;1,L$1=""),"",SUMIFS('All Donations'!$S$2:$S$4001,'All Donations'!$R$2:$R$4001,$AD201,'All Donations'!$T$2:$T$4001,L$1))</f>
        <v/>
      </c>
      <c r="M201" s="49">
        <f>IF(OR($AE201&lt;&gt;1,M$1=""),"",SUMIFS('All Donations'!$S$2:$S$4001,'All Donations'!$R$2:$R$4001,$AD201,'All Donations'!$T$2:$T$4001,M$1))</f>
        <v/>
      </c>
      <c r="N201" s="49">
        <f>IF(OR($AE201&lt;&gt;1,N$1=""),"",SUMIFS('All Donations'!$S$2:$S$4001,'All Donations'!$R$2:$R$4001,$AD201,'All Donations'!$T$2:$T$4001,N$1))</f>
        <v/>
      </c>
      <c r="O201" s="49">
        <f>IF(OR($AE201&lt;&gt;1,O$1=""),"",SUMIFS('All Donations'!$S$2:$S$4001,'All Donations'!$R$2:$R$4001,$AD201,'All Donations'!$T$2:$T$4001,O$1))</f>
        <v/>
      </c>
      <c r="P201" s="49">
        <f>IF(OR($AE201&lt;&gt;1,P$1=""),"",SUMIFS('All Donations'!$S$2:$S$4001,'All Donations'!$R$2:$R$4001,$AD201,'All Donations'!$T$2:$T$4001,P$1))</f>
        <v/>
      </c>
      <c r="Q201" s="49">
        <f>IF(OR($AE201&lt;&gt;1,Q$1=""),"",SUMIFS('All Donations'!$S$2:$S$4001,'All Donations'!$R$2:$R$4001,$AD201,'All Donations'!$T$2:$T$4001,Q$1))</f>
        <v/>
      </c>
      <c r="R201" s="49">
        <f>IF(OR($AE201&lt;&gt;1,R$1=""),"",SUMIFS('All Donations'!$S$2:$S$4001,'All Donations'!$R$2:$R$4001,$AD201,'All Donations'!$T$2:$T$4001,R$1))</f>
        <v/>
      </c>
      <c r="S201" s="49">
        <f>IF(OR($AE201&lt;&gt;1,S$1=""),"",SUMIFS('All Donations'!$S$2:$S$4001,'All Donations'!$R$2:$R$4001,$AD201,'All Donations'!$T$2:$T$4001,S$1))</f>
        <v/>
      </c>
      <c r="T201" s="49">
        <f>IF(OR($AE201&lt;&gt;1,T$1=""),"",SUMIFS('All Donations'!$S$2:$S$4001,'All Donations'!$R$2:$R$4001,$AD201,'All Donations'!$T$2:$T$4001,T$1))</f>
        <v/>
      </c>
      <c r="U201" s="49">
        <f>IF(OR($AE201&lt;&gt;1,U$1=""),"",SUMIFS('All Donations'!$S$2:$S$4001,'All Donations'!$R$2:$R$4001,$AD201,'All Donations'!$T$2:$T$4001,U$1))</f>
        <v/>
      </c>
      <c r="V201" s="49">
        <f>IF(OR($AE201&lt;&gt;1,V$1=""),"",SUMIFS('All Donations'!$S$2:$S$4001,'All Donations'!$R$2:$R$4001,$AD201,'All Donations'!$T$2:$T$4001,V$1))</f>
        <v/>
      </c>
      <c r="W201" s="49">
        <f>IF(OR($AE201&lt;&gt;1,W$1=""),"",SUMIFS('All Donations'!$S$2:$S$4001,'All Donations'!$R$2:$R$4001,$AD201,'All Donations'!$T$2:$T$4001,W$1))</f>
        <v/>
      </c>
      <c r="X201" s="49">
        <f>IF(OR($AE201&lt;&gt;1,X$1=""),"",SUMIFS('All Donations'!$S$2:$S$4001,'All Donations'!$R$2:$R$4001,$AD201,'All Donations'!$T$2:$T$4001,X$1))</f>
        <v/>
      </c>
      <c r="Y201" s="49">
        <f>IF(OR($AE201&lt;&gt;1,Y$1=""),"",SUMIFS('All Donations'!$S$2:$S$4001,'All Donations'!$R$2:$R$4001,$AD201,'All Donations'!$T$2:$T$4001,Y$1))</f>
        <v/>
      </c>
      <c r="Z201" s="49">
        <f>IF(OR($AE201&lt;&gt;1,Z$1=""),"",SUMIFS('All Donations'!$S$2:$S$4001,'All Donations'!$R$2:$R$4001,$AD201,'All Donations'!$T$2:$T$4001,Z$1))</f>
        <v/>
      </c>
      <c r="AA201" s="49">
        <f>IF(OR($AE201&lt;&gt;1,AA$1=""),"",SUMIFS('All Donations'!$S$2:$S$4001,'All Donations'!$R$2:$R$4001,$AD201,'All Donations'!$T$2:$T$4001,AA$1))</f>
        <v/>
      </c>
      <c r="AB201" s="49">
        <f>IF(OR($AE201&lt;&gt;1,AB$1=""),"",SUMIFS('All Donations'!$S$2:$S$4001,'All Donations'!$R$2:$R$4001,$AD201,'All Donations'!$T$2:$T$4001,AB$1))</f>
        <v/>
      </c>
      <c r="AC201" s="49">
        <f>IF(OR($AE201&lt;&gt;1,AC$1=""),"",SUMIFS('All Donations'!$S$2:$S$4001,'All Donations'!$R$2:$R$4001,$AD201,'All Donations'!$T$2:$T$4001,AC$1))</f>
        <v/>
      </c>
      <c r="AD201">
        <f>IF(AE201=1,'Roster'!A201,"")</f>
        <v/>
      </c>
      <c r="AE201">
        <f>IF(TRIM('Roster'!B201&amp;'Roster'!C201)&lt;&gt;"",1,0)</f>
        <v/>
      </c>
      <c r="AF201">
        <f>IF(AE201=1,LOWER(A201),"#")</f>
        <v/>
      </c>
      <c r="AG201">
        <f>IF(AE201=1,LOWER(TRIM(TRIM('Roster'!C201)&amp;", "&amp;TRIM('Roster'!B201))),"#")</f>
        <v/>
      </c>
      <c r="AH201">
        <f>IF(AND(AE201=1,TRIM('Roster'!F201)&lt;&gt;""),LOWER(TRIM('Roster'!F201)),"#")</f>
        <v/>
      </c>
      <c r="AI201">
        <f>IF(AE201=1,IF(MATCH(B201,$B$2:$B$701,0)=ROW()-1,1,0),0)</f>
        <v/>
      </c>
      <c r="AJ201">
        <f>AJ200+AI201</f>
        <v/>
      </c>
      <c r="AK201">
        <f>IF(AE201=1,D201+(1000-ROW())/10^7,-1)</f>
        <v/>
      </c>
      <c r="AL201">
        <f>IF(AE201=1,TRIM('Roster'!B201)&amp;" "&amp;LEFT(TRIM('Roster'!C201),1)&amp;".","")</f>
        <v/>
      </c>
      <c r="AM201">
        <f>IF(AE201=1,TRIM('Roster'!C201)&amp;", "&amp;TRIM('Roster'!B201)&amp;" ("&amp;B201&amp;") #"&amp;AD201,"")</f>
        <v/>
      </c>
      <c r="AN201">
        <f>IF(AE201=1,TRIM('Roster'!E201),"")</f>
        <v/>
      </c>
      <c r="AO201">
        <f>IF(AE201=1,ROUND(SUMIFS('All Donations'!$S$2:$S$4001,'All Donations'!$R$2:$R$4001,AD201,'All Donations'!$T$2:$T$4001,"&gt;="&amp;'Settings'!$C$23,'All Donations'!$T$2:$T$4001,"&lt;="&amp;'Settings'!$D$23),2),0)</f>
        <v/>
      </c>
      <c r="AQ201">
        <f>IF(AE201=1,ROUND(SUMIFS('All Donations'!$S$2:$S$4001,'All Donations'!$R$2:$R$4001,AD201,'All Donations'!$T$2:$T$4001,"&gt;="&amp;'Settings'!$C$25,'All Donations'!$T$2:$T$4001,"&lt;="&amp;'Settings'!$D$25),2),0)</f>
        <v/>
      </c>
      <c r="AR201">
        <f>IF(AE201=1,ROUND(SUMIFS('All Donations'!$S$2:$S$4001,'All Donations'!$R$2:$R$4001,AD201,'All Donations'!$T$2:$T$4001,"&gt;="&amp;'Settings'!$C$26,'All Donations'!$T$2:$T$4001,"&lt;="&amp;'Settings'!$D$26),2),0)</f>
        <v/>
      </c>
      <c r="AS201">
        <f>IF(AE201=1,ROUND(SUMIFS('All Donations'!$S$2:$S$4001,'All Donations'!$R$2:$R$4001,AD201,'All Donations'!$T$2:$T$4001,"&lt;="&amp;'Settings'!$D$27),2),0)</f>
        <v/>
      </c>
      <c r="AT201">
        <f>IF(AE201=1,ROUND(SUMIFS('All Donations'!$S$2:$S$4001,'All Donations'!$R$2:$R$4001,AD201,'All Donations'!$T$2:$T$4001,"&gt;="&amp;'Settings'!$C$28,'All Donations'!$T$2:$T$4001,"&lt;="&amp;'Settings'!$D$28),2),0)</f>
        <v/>
      </c>
      <c r="AU201">
        <f>IF(AE201=1,ROUND(SUMIFS('All Donations'!$S$2:$S$4001,'All Donations'!$R$2:$R$4001,AD201,'All Donations'!$T$2:$T$4001,"&gt;="&amp;'Settings'!$C$29,'All Donations'!$T$2:$T$4001,"&lt;="&amp;'Settings'!$D$29),2),0)</f>
        <v/>
      </c>
      <c r="AV201">
        <f>IF(AE201=1,ROUND(SUMIFS('All Donations'!$S$2:$S$4001,'All Donations'!$R$2:$R$4001,AD201,'All Donations'!$T$2:$T$4001,"&lt;="&amp;'Settings'!$D$30),2),0)</f>
        <v/>
      </c>
      <c r="AZ201">
        <f>IF(AE201=1,ROUND(SUMIFS('All Donations'!$S$2:$S$4001,'All Donations'!$R$2:$R$4001,AD201,'All Donations'!$T$2:$T$4001,"&lt;="&amp;'Settings'!$D$34),2),0)</f>
        <v/>
      </c>
    </row>
    <row r="202">
      <c r="A202">
        <f>IF(AE202=1,TRIM(TRIM('Roster'!B202)&amp;" "&amp;TRIM('Roster'!C202)),"")</f>
        <v/>
      </c>
      <c r="B202">
        <f>IF(AE202=1,IF(AN202="","(no teacher)",AN202&amp;" – "&amp;C202),"")</f>
        <v/>
      </c>
      <c r="C202">
        <f>IF(AE202=1,TRIM('Roster'!D202&amp;""),"")</f>
        <v/>
      </c>
      <c r="D202" s="48">
        <f>IF(AE202=1,ROUND(SUMIFS('All Donations'!$S$2:$S$4001,'All Donations'!$R$2:$R$4001,AD202),2),"")</f>
        <v/>
      </c>
      <c r="E202" s="48">
        <f>IF(AE202=1,ROUND(SUMIFS('All Donations'!$S$2:$S$4001,'All Donations'!$R$2:$R$4001,AD202,'All Donations'!$G$2:$G$4001,"OneCause"),2),"")</f>
        <v/>
      </c>
      <c r="F202" s="48">
        <f>IF(AE202=1,D202-E202,"")</f>
        <v/>
      </c>
      <c r="G202">
        <f>IF(AE202=1,COUNTIFS('All Donations'!$R$2:$R$4001,AD202,'All Donations'!$H$2:$H$4001,"OK"),"")</f>
        <v/>
      </c>
      <c r="H202">
        <f>IF(AE202&lt;&gt;1,"",IF(D202&gt;0,"Yes",""))</f>
        <v/>
      </c>
      <c r="I202" s="49">
        <f>IF(OR($AE202&lt;&gt;1,I$1=""),"",SUMIFS('All Donations'!$S$2:$S$4001,'All Donations'!$R$2:$R$4001,$AD202,'All Donations'!$T$2:$T$4001,I$1))</f>
        <v/>
      </c>
      <c r="J202" s="49">
        <f>IF(OR($AE202&lt;&gt;1,J$1=""),"",SUMIFS('All Donations'!$S$2:$S$4001,'All Donations'!$R$2:$R$4001,$AD202,'All Donations'!$T$2:$T$4001,J$1))</f>
        <v/>
      </c>
      <c r="K202" s="49">
        <f>IF(OR($AE202&lt;&gt;1,K$1=""),"",SUMIFS('All Donations'!$S$2:$S$4001,'All Donations'!$R$2:$R$4001,$AD202,'All Donations'!$T$2:$T$4001,K$1))</f>
        <v/>
      </c>
      <c r="L202" s="49">
        <f>IF(OR($AE202&lt;&gt;1,L$1=""),"",SUMIFS('All Donations'!$S$2:$S$4001,'All Donations'!$R$2:$R$4001,$AD202,'All Donations'!$T$2:$T$4001,L$1))</f>
        <v/>
      </c>
      <c r="M202" s="49">
        <f>IF(OR($AE202&lt;&gt;1,M$1=""),"",SUMIFS('All Donations'!$S$2:$S$4001,'All Donations'!$R$2:$R$4001,$AD202,'All Donations'!$T$2:$T$4001,M$1))</f>
        <v/>
      </c>
      <c r="N202" s="49">
        <f>IF(OR($AE202&lt;&gt;1,N$1=""),"",SUMIFS('All Donations'!$S$2:$S$4001,'All Donations'!$R$2:$R$4001,$AD202,'All Donations'!$T$2:$T$4001,N$1))</f>
        <v/>
      </c>
      <c r="O202" s="49">
        <f>IF(OR($AE202&lt;&gt;1,O$1=""),"",SUMIFS('All Donations'!$S$2:$S$4001,'All Donations'!$R$2:$R$4001,$AD202,'All Donations'!$T$2:$T$4001,O$1))</f>
        <v/>
      </c>
      <c r="P202" s="49">
        <f>IF(OR($AE202&lt;&gt;1,P$1=""),"",SUMIFS('All Donations'!$S$2:$S$4001,'All Donations'!$R$2:$R$4001,$AD202,'All Donations'!$T$2:$T$4001,P$1))</f>
        <v/>
      </c>
      <c r="Q202" s="49">
        <f>IF(OR($AE202&lt;&gt;1,Q$1=""),"",SUMIFS('All Donations'!$S$2:$S$4001,'All Donations'!$R$2:$R$4001,$AD202,'All Donations'!$T$2:$T$4001,Q$1))</f>
        <v/>
      </c>
      <c r="R202" s="49">
        <f>IF(OR($AE202&lt;&gt;1,R$1=""),"",SUMIFS('All Donations'!$S$2:$S$4001,'All Donations'!$R$2:$R$4001,$AD202,'All Donations'!$T$2:$T$4001,R$1))</f>
        <v/>
      </c>
      <c r="S202" s="49">
        <f>IF(OR($AE202&lt;&gt;1,S$1=""),"",SUMIFS('All Donations'!$S$2:$S$4001,'All Donations'!$R$2:$R$4001,$AD202,'All Donations'!$T$2:$T$4001,S$1))</f>
        <v/>
      </c>
      <c r="T202" s="49">
        <f>IF(OR($AE202&lt;&gt;1,T$1=""),"",SUMIFS('All Donations'!$S$2:$S$4001,'All Donations'!$R$2:$R$4001,$AD202,'All Donations'!$T$2:$T$4001,T$1))</f>
        <v/>
      </c>
      <c r="U202" s="49">
        <f>IF(OR($AE202&lt;&gt;1,U$1=""),"",SUMIFS('All Donations'!$S$2:$S$4001,'All Donations'!$R$2:$R$4001,$AD202,'All Donations'!$T$2:$T$4001,U$1))</f>
        <v/>
      </c>
      <c r="V202" s="49">
        <f>IF(OR($AE202&lt;&gt;1,V$1=""),"",SUMIFS('All Donations'!$S$2:$S$4001,'All Donations'!$R$2:$R$4001,$AD202,'All Donations'!$T$2:$T$4001,V$1))</f>
        <v/>
      </c>
      <c r="W202" s="49">
        <f>IF(OR($AE202&lt;&gt;1,W$1=""),"",SUMIFS('All Donations'!$S$2:$S$4001,'All Donations'!$R$2:$R$4001,$AD202,'All Donations'!$T$2:$T$4001,W$1))</f>
        <v/>
      </c>
      <c r="X202" s="49">
        <f>IF(OR($AE202&lt;&gt;1,X$1=""),"",SUMIFS('All Donations'!$S$2:$S$4001,'All Donations'!$R$2:$R$4001,$AD202,'All Donations'!$T$2:$T$4001,X$1))</f>
        <v/>
      </c>
      <c r="Y202" s="49">
        <f>IF(OR($AE202&lt;&gt;1,Y$1=""),"",SUMIFS('All Donations'!$S$2:$S$4001,'All Donations'!$R$2:$R$4001,$AD202,'All Donations'!$T$2:$T$4001,Y$1))</f>
        <v/>
      </c>
      <c r="Z202" s="49">
        <f>IF(OR($AE202&lt;&gt;1,Z$1=""),"",SUMIFS('All Donations'!$S$2:$S$4001,'All Donations'!$R$2:$R$4001,$AD202,'All Donations'!$T$2:$T$4001,Z$1))</f>
        <v/>
      </c>
      <c r="AA202" s="49">
        <f>IF(OR($AE202&lt;&gt;1,AA$1=""),"",SUMIFS('All Donations'!$S$2:$S$4001,'All Donations'!$R$2:$R$4001,$AD202,'All Donations'!$T$2:$T$4001,AA$1))</f>
        <v/>
      </c>
      <c r="AB202" s="49">
        <f>IF(OR($AE202&lt;&gt;1,AB$1=""),"",SUMIFS('All Donations'!$S$2:$S$4001,'All Donations'!$R$2:$R$4001,$AD202,'All Donations'!$T$2:$T$4001,AB$1))</f>
        <v/>
      </c>
      <c r="AC202" s="49">
        <f>IF(OR($AE202&lt;&gt;1,AC$1=""),"",SUMIFS('All Donations'!$S$2:$S$4001,'All Donations'!$R$2:$R$4001,$AD202,'All Donations'!$T$2:$T$4001,AC$1))</f>
        <v/>
      </c>
      <c r="AD202">
        <f>IF(AE202=1,'Roster'!A202,"")</f>
        <v/>
      </c>
      <c r="AE202">
        <f>IF(TRIM('Roster'!B202&amp;'Roster'!C202)&lt;&gt;"",1,0)</f>
        <v/>
      </c>
      <c r="AF202">
        <f>IF(AE202=1,LOWER(A202),"#")</f>
        <v/>
      </c>
      <c r="AG202">
        <f>IF(AE202=1,LOWER(TRIM(TRIM('Roster'!C202)&amp;", "&amp;TRIM('Roster'!B202))),"#")</f>
        <v/>
      </c>
      <c r="AH202">
        <f>IF(AND(AE202=1,TRIM('Roster'!F202)&lt;&gt;""),LOWER(TRIM('Roster'!F202)),"#")</f>
        <v/>
      </c>
      <c r="AI202">
        <f>IF(AE202=1,IF(MATCH(B202,$B$2:$B$701,0)=ROW()-1,1,0),0)</f>
        <v/>
      </c>
      <c r="AJ202">
        <f>AJ201+AI202</f>
        <v/>
      </c>
      <c r="AK202">
        <f>IF(AE202=1,D202+(1000-ROW())/10^7,-1)</f>
        <v/>
      </c>
      <c r="AL202">
        <f>IF(AE202=1,TRIM('Roster'!B202)&amp;" "&amp;LEFT(TRIM('Roster'!C202),1)&amp;".","")</f>
        <v/>
      </c>
      <c r="AM202">
        <f>IF(AE202=1,TRIM('Roster'!C202)&amp;", "&amp;TRIM('Roster'!B202)&amp;" ("&amp;B202&amp;") #"&amp;AD202,"")</f>
        <v/>
      </c>
      <c r="AN202">
        <f>IF(AE202=1,TRIM('Roster'!E202),"")</f>
        <v/>
      </c>
      <c r="AO202">
        <f>IF(AE202=1,ROUND(SUMIFS('All Donations'!$S$2:$S$4001,'All Donations'!$R$2:$R$4001,AD202,'All Donations'!$T$2:$T$4001,"&gt;="&amp;'Settings'!$C$23,'All Donations'!$T$2:$T$4001,"&lt;="&amp;'Settings'!$D$23),2),0)</f>
        <v/>
      </c>
      <c r="AQ202">
        <f>IF(AE202=1,ROUND(SUMIFS('All Donations'!$S$2:$S$4001,'All Donations'!$R$2:$R$4001,AD202,'All Donations'!$T$2:$T$4001,"&gt;="&amp;'Settings'!$C$25,'All Donations'!$T$2:$T$4001,"&lt;="&amp;'Settings'!$D$25),2),0)</f>
        <v/>
      </c>
      <c r="AR202">
        <f>IF(AE202=1,ROUND(SUMIFS('All Donations'!$S$2:$S$4001,'All Donations'!$R$2:$R$4001,AD202,'All Donations'!$T$2:$T$4001,"&gt;="&amp;'Settings'!$C$26,'All Donations'!$T$2:$T$4001,"&lt;="&amp;'Settings'!$D$26),2),0)</f>
        <v/>
      </c>
      <c r="AS202">
        <f>IF(AE202=1,ROUND(SUMIFS('All Donations'!$S$2:$S$4001,'All Donations'!$R$2:$R$4001,AD202,'All Donations'!$T$2:$T$4001,"&lt;="&amp;'Settings'!$D$27),2),0)</f>
        <v/>
      </c>
      <c r="AT202">
        <f>IF(AE202=1,ROUND(SUMIFS('All Donations'!$S$2:$S$4001,'All Donations'!$R$2:$R$4001,AD202,'All Donations'!$T$2:$T$4001,"&gt;="&amp;'Settings'!$C$28,'All Donations'!$T$2:$T$4001,"&lt;="&amp;'Settings'!$D$28),2),0)</f>
        <v/>
      </c>
      <c r="AU202">
        <f>IF(AE202=1,ROUND(SUMIFS('All Donations'!$S$2:$S$4001,'All Donations'!$R$2:$R$4001,AD202,'All Donations'!$T$2:$T$4001,"&gt;="&amp;'Settings'!$C$29,'All Donations'!$T$2:$T$4001,"&lt;="&amp;'Settings'!$D$29),2),0)</f>
        <v/>
      </c>
      <c r="AV202">
        <f>IF(AE202=1,ROUND(SUMIFS('All Donations'!$S$2:$S$4001,'All Donations'!$R$2:$R$4001,AD202,'All Donations'!$T$2:$T$4001,"&lt;="&amp;'Settings'!$D$30),2),0)</f>
        <v/>
      </c>
      <c r="AZ202">
        <f>IF(AE202=1,ROUND(SUMIFS('All Donations'!$S$2:$S$4001,'All Donations'!$R$2:$R$4001,AD202,'All Donations'!$T$2:$T$4001,"&lt;="&amp;'Settings'!$D$34),2),0)</f>
        <v/>
      </c>
    </row>
    <row r="203">
      <c r="A203">
        <f>IF(AE203=1,TRIM(TRIM('Roster'!B203)&amp;" "&amp;TRIM('Roster'!C203)),"")</f>
        <v/>
      </c>
      <c r="B203">
        <f>IF(AE203=1,IF(AN203="","(no teacher)",AN203&amp;" – "&amp;C203),"")</f>
        <v/>
      </c>
      <c r="C203">
        <f>IF(AE203=1,TRIM('Roster'!D203&amp;""),"")</f>
        <v/>
      </c>
      <c r="D203" s="48">
        <f>IF(AE203=1,ROUND(SUMIFS('All Donations'!$S$2:$S$4001,'All Donations'!$R$2:$R$4001,AD203),2),"")</f>
        <v/>
      </c>
      <c r="E203" s="48">
        <f>IF(AE203=1,ROUND(SUMIFS('All Donations'!$S$2:$S$4001,'All Donations'!$R$2:$R$4001,AD203,'All Donations'!$G$2:$G$4001,"OneCause"),2),"")</f>
        <v/>
      </c>
      <c r="F203" s="48">
        <f>IF(AE203=1,D203-E203,"")</f>
        <v/>
      </c>
      <c r="G203">
        <f>IF(AE203=1,COUNTIFS('All Donations'!$R$2:$R$4001,AD203,'All Donations'!$H$2:$H$4001,"OK"),"")</f>
        <v/>
      </c>
      <c r="H203">
        <f>IF(AE203&lt;&gt;1,"",IF(D203&gt;0,"Yes",""))</f>
        <v/>
      </c>
      <c r="I203" s="49">
        <f>IF(OR($AE203&lt;&gt;1,I$1=""),"",SUMIFS('All Donations'!$S$2:$S$4001,'All Donations'!$R$2:$R$4001,$AD203,'All Donations'!$T$2:$T$4001,I$1))</f>
        <v/>
      </c>
      <c r="J203" s="49">
        <f>IF(OR($AE203&lt;&gt;1,J$1=""),"",SUMIFS('All Donations'!$S$2:$S$4001,'All Donations'!$R$2:$R$4001,$AD203,'All Donations'!$T$2:$T$4001,J$1))</f>
        <v/>
      </c>
      <c r="K203" s="49">
        <f>IF(OR($AE203&lt;&gt;1,K$1=""),"",SUMIFS('All Donations'!$S$2:$S$4001,'All Donations'!$R$2:$R$4001,$AD203,'All Donations'!$T$2:$T$4001,K$1))</f>
        <v/>
      </c>
      <c r="L203" s="49">
        <f>IF(OR($AE203&lt;&gt;1,L$1=""),"",SUMIFS('All Donations'!$S$2:$S$4001,'All Donations'!$R$2:$R$4001,$AD203,'All Donations'!$T$2:$T$4001,L$1))</f>
        <v/>
      </c>
      <c r="M203" s="49">
        <f>IF(OR($AE203&lt;&gt;1,M$1=""),"",SUMIFS('All Donations'!$S$2:$S$4001,'All Donations'!$R$2:$R$4001,$AD203,'All Donations'!$T$2:$T$4001,M$1))</f>
        <v/>
      </c>
      <c r="N203" s="49">
        <f>IF(OR($AE203&lt;&gt;1,N$1=""),"",SUMIFS('All Donations'!$S$2:$S$4001,'All Donations'!$R$2:$R$4001,$AD203,'All Donations'!$T$2:$T$4001,N$1))</f>
        <v/>
      </c>
      <c r="O203" s="49">
        <f>IF(OR($AE203&lt;&gt;1,O$1=""),"",SUMIFS('All Donations'!$S$2:$S$4001,'All Donations'!$R$2:$R$4001,$AD203,'All Donations'!$T$2:$T$4001,O$1))</f>
        <v/>
      </c>
      <c r="P203" s="49">
        <f>IF(OR($AE203&lt;&gt;1,P$1=""),"",SUMIFS('All Donations'!$S$2:$S$4001,'All Donations'!$R$2:$R$4001,$AD203,'All Donations'!$T$2:$T$4001,P$1))</f>
        <v/>
      </c>
      <c r="Q203" s="49">
        <f>IF(OR($AE203&lt;&gt;1,Q$1=""),"",SUMIFS('All Donations'!$S$2:$S$4001,'All Donations'!$R$2:$R$4001,$AD203,'All Donations'!$T$2:$T$4001,Q$1))</f>
        <v/>
      </c>
      <c r="R203" s="49">
        <f>IF(OR($AE203&lt;&gt;1,R$1=""),"",SUMIFS('All Donations'!$S$2:$S$4001,'All Donations'!$R$2:$R$4001,$AD203,'All Donations'!$T$2:$T$4001,R$1))</f>
        <v/>
      </c>
      <c r="S203" s="49">
        <f>IF(OR($AE203&lt;&gt;1,S$1=""),"",SUMIFS('All Donations'!$S$2:$S$4001,'All Donations'!$R$2:$R$4001,$AD203,'All Donations'!$T$2:$T$4001,S$1))</f>
        <v/>
      </c>
      <c r="T203" s="49">
        <f>IF(OR($AE203&lt;&gt;1,T$1=""),"",SUMIFS('All Donations'!$S$2:$S$4001,'All Donations'!$R$2:$R$4001,$AD203,'All Donations'!$T$2:$T$4001,T$1))</f>
        <v/>
      </c>
      <c r="U203" s="49">
        <f>IF(OR($AE203&lt;&gt;1,U$1=""),"",SUMIFS('All Donations'!$S$2:$S$4001,'All Donations'!$R$2:$R$4001,$AD203,'All Donations'!$T$2:$T$4001,U$1))</f>
        <v/>
      </c>
      <c r="V203" s="49">
        <f>IF(OR($AE203&lt;&gt;1,V$1=""),"",SUMIFS('All Donations'!$S$2:$S$4001,'All Donations'!$R$2:$R$4001,$AD203,'All Donations'!$T$2:$T$4001,V$1))</f>
        <v/>
      </c>
      <c r="W203" s="49">
        <f>IF(OR($AE203&lt;&gt;1,W$1=""),"",SUMIFS('All Donations'!$S$2:$S$4001,'All Donations'!$R$2:$R$4001,$AD203,'All Donations'!$T$2:$T$4001,W$1))</f>
        <v/>
      </c>
      <c r="X203" s="49">
        <f>IF(OR($AE203&lt;&gt;1,X$1=""),"",SUMIFS('All Donations'!$S$2:$S$4001,'All Donations'!$R$2:$R$4001,$AD203,'All Donations'!$T$2:$T$4001,X$1))</f>
        <v/>
      </c>
      <c r="Y203" s="49">
        <f>IF(OR($AE203&lt;&gt;1,Y$1=""),"",SUMIFS('All Donations'!$S$2:$S$4001,'All Donations'!$R$2:$R$4001,$AD203,'All Donations'!$T$2:$T$4001,Y$1))</f>
        <v/>
      </c>
      <c r="Z203" s="49">
        <f>IF(OR($AE203&lt;&gt;1,Z$1=""),"",SUMIFS('All Donations'!$S$2:$S$4001,'All Donations'!$R$2:$R$4001,$AD203,'All Donations'!$T$2:$T$4001,Z$1))</f>
        <v/>
      </c>
      <c r="AA203" s="49">
        <f>IF(OR($AE203&lt;&gt;1,AA$1=""),"",SUMIFS('All Donations'!$S$2:$S$4001,'All Donations'!$R$2:$R$4001,$AD203,'All Donations'!$T$2:$T$4001,AA$1))</f>
        <v/>
      </c>
      <c r="AB203" s="49">
        <f>IF(OR($AE203&lt;&gt;1,AB$1=""),"",SUMIFS('All Donations'!$S$2:$S$4001,'All Donations'!$R$2:$R$4001,$AD203,'All Donations'!$T$2:$T$4001,AB$1))</f>
        <v/>
      </c>
      <c r="AC203" s="49">
        <f>IF(OR($AE203&lt;&gt;1,AC$1=""),"",SUMIFS('All Donations'!$S$2:$S$4001,'All Donations'!$R$2:$R$4001,$AD203,'All Donations'!$T$2:$T$4001,AC$1))</f>
        <v/>
      </c>
      <c r="AD203">
        <f>IF(AE203=1,'Roster'!A203,"")</f>
        <v/>
      </c>
      <c r="AE203">
        <f>IF(TRIM('Roster'!B203&amp;'Roster'!C203)&lt;&gt;"",1,0)</f>
        <v/>
      </c>
      <c r="AF203">
        <f>IF(AE203=1,LOWER(A203),"#")</f>
        <v/>
      </c>
      <c r="AG203">
        <f>IF(AE203=1,LOWER(TRIM(TRIM('Roster'!C203)&amp;", "&amp;TRIM('Roster'!B203))),"#")</f>
        <v/>
      </c>
      <c r="AH203">
        <f>IF(AND(AE203=1,TRIM('Roster'!F203)&lt;&gt;""),LOWER(TRIM('Roster'!F203)),"#")</f>
        <v/>
      </c>
      <c r="AI203">
        <f>IF(AE203=1,IF(MATCH(B203,$B$2:$B$701,0)=ROW()-1,1,0),0)</f>
        <v/>
      </c>
      <c r="AJ203">
        <f>AJ202+AI203</f>
        <v/>
      </c>
      <c r="AK203">
        <f>IF(AE203=1,D203+(1000-ROW())/10^7,-1)</f>
        <v/>
      </c>
      <c r="AL203">
        <f>IF(AE203=1,TRIM('Roster'!B203)&amp;" "&amp;LEFT(TRIM('Roster'!C203),1)&amp;".","")</f>
        <v/>
      </c>
      <c r="AM203">
        <f>IF(AE203=1,TRIM('Roster'!C203)&amp;", "&amp;TRIM('Roster'!B203)&amp;" ("&amp;B203&amp;") #"&amp;AD203,"")</f>
        <v/>
      </c>
      <c r="AN203">
        <f>IF(AE203=1,TRIM('Roster'!E203),"")</f>
        <v/>
      </c>
      <c r="AO203">
        <f>IF(AE203=1,ROUND(SUMIFS('All Donations'!$S$2:$S$4001,'All Donations'!$R$2:$R$4001,AD203,'All Donations'!$T$2:$T$4001,"&gt;="&amp;'Settings'!$C$23,'All Donations'!$T$2:$T$4001,"&lt;="&amp;'Settings'!$D$23),2),0)</f>
        <v/>
      </c>
      <c r="AQ203">
        <f>IF(AE203=1,ROUND(SUMIFS('All Donations'!$S$2:$S$4001,'All Donations'!$R$2:$R$4001,AD203,'All Donations'!$T$2:$T$4001,"&gt;="&amp;'Settings'!$C$25,'All Donations'!$T$2:$T$4001,"&lt;="&amp;'Settings'!$D$25),2),0)</f>
        <v/>
      </c>
      <c r="AR203">
        <f>IF(AE203=1,ROUND(SUMIFS('All Donations'!$S$2:$S$4001,'All Donations'!$R$2:$R$4001,AD203,'All Donations'!$T$2:$T$4001,"&gt;="&amp;'Settings'!$C$26,'All Donations'!$T$2:$T$4001,"&lt;="&amp;'Settings'!$D$26),2),0)</f>
        <v/>
      </c>
      <c r="AS203">
        <f>IF(AE203=1,ROUND(SUMIFS('All Donations'!$S$2:$S$4001,'All Donations'!$R$2:$R$4001,AD203,'All Donations'!$T$2:$T$4001,"&lt;="&amp;'Settings'!$D$27),2),0)</f>
        <v/>
      </c>
      <c r="AT203">
        <f>IF(AE203=1,ROUND(SUMIFS('All Donations'!$S$2:$S$4001,'All Donations'!$R$2:$R$4001,AD203,'All Donations'!$T$2:$T$4001,"&gt;="&amp;'Settings'!$C$28,'All Donations'!$T$2:$T$4001,"&lt;="&amp;'Settings'!$D$28),2),0)</f>
        <v/>
      </c>
      <c r="AU203">
        <f>IF(AE203=1,ROUND(SUMIFS('All Donations'!$S$2:$S$4001,'All Donations'!$R$2:$R$4001,AD203,'All Donations'!$T$2:$T$4001,"&gt;="&amp;'Settings'!$C$29,'All Donations'!$T$2:$T$4001,"&lt;="&amp;'Settings'!$D$29),2),0)</f>
        <v/>
      </c>
      <c r="AV203">
        <f>IF(AE203=1,ROUND(SUMIFS('All Donations'!$S$2:$S$4001,'All Donations'!$R$2:$R$4001,AD203,'All Donations'!$T$2:$T$4001,"&lt;="&amp;'Settings'!$D$30),2),0)</f>
        <v/>
      </c>
      <c r="AZ203">
        <f>IF(AE203=1,ROUND(SUMIFS('All Donations'!$S$2:$S$4001,'All Donations'!$R$2:$R$4001,AD203,'All Donations'!$T$2:$T$4001,"&lt;="&amp;'Settings'!$D$34),2),0)</f>
        <v/>
      </c>
    </row>
    <row r="204">
      <c r="A204">
        <f>IF(AE204=1,TRIM(TRIM('Roster'!B204)&amp;" "&amp;TRIM('Roster'!C204)),"")</f>
        <v/>
      </c>
      <c r="B204">
        <f>IF(AE204=1,IF(AN204="","(no teacher)",AN204&amp;" – "&amp;C204),"")</f>
        <v/>
      </c>
      <c r="C204">
        <f>IF(AE204=1,TRIM('Roster'!D204&amp;""),"")</f>
        <v/>
      </c>
      <c r="D204" s="48">
        <f>IF(AE204=1,ROUND(SUMIFS('All Donations'!$S$2:$S$4001,'All Donations'!$R$2:$R$4001,AD204),2),"")</f>
        <v/>
      </c>
      <c r="E204" s="48">
        <f>IF(AE204=1,ROUND(SUMIFS('All Donations'!$S$2:$S$4001,'All Donations'!$R$2:$R$4001,AD204,'All Donations'!$G$2:$G$4001,"OneCause"),2),"")</f>
        <v/>
      </c>
      <c r="F204" s="48">
        <f>IF(AE204=1,D204-E204,"")</f>
        <v/>
      </c>
      <c r="G204">
        <f>IF(AE204=1,COUNTIFS('All Donations'!$R$2:$R$4001,AD204,'All Donations'!$H$2:$H$4001,"OK"),"")</f>
        <v/>
      </c>
      <c r="H204">
        <f>IF(AE204&lt;&gt;1,"",IF(D204&gt;0,"Yes",""))</f>
        <v/>
      </c>
      <c r="I204" s="49">
        <f>IF(OR($AE204&lt;&gt;1,I$1=""),"",SUMIFS('All Donations'!$S$2:$S$4001,'All Donations'!$R$2:$R$4001,$AD204,'All Donations'!$T$2:$T$4001,I$1))</f>
        <v/>
      </c>
      <c r="J204" s="49">
        <f>IF(OR($AE204&lt;&gt;1,J$1=""),"",SUMIFS('All Donations'!$S$2:$S$4001,'All Donations'!$R$2:$R$4001,$AD204,'All Donations'!$T$2:$T$4001,J$1))</f>
        <v/>
      </c>
      <c r="K204" s="49">
        <f>IF(OR($AE204&lt;&gt;1,K$1=""),"",SUMIFS('All Donations'!$S$2:$S$4001,'All Donations'!$R$2:$R$4001,$AD204,'All Donations'!$T$2:$T$4001,K$1))</f>
        <v/>
      </c>
      <c r="L204" s="49">
        <f>IF(OR($AE204&lt;&gt;1,L$1=""),"",SUMIFS('All Donations'!$S$2:$S$4001,'All Donations'!$R$2:$R$4001,$AD204,'All Donations'!$T$2:$T$4001,L$1))</f>
        <v/>
      </c>
      <c r="M204" s="49">
        <f>IF(OR($AE204&lt;&gt;1,M$1=""),"",SUMIFS('All Donations'!$S$2:$S$4001,'All Donations'!$R$2:$R$4001,$AD204,'All Donations'!$T$2:$T$4001,M$1))</f>
        <v/>
      </c>
      <c r="N204" s="49">
        <f>IF(OR($AE204&lt;&gt;1,N$1=""),"",SUMIFS('All Donations'!$S$2:$S$4001,'All Donations'!$R$2:$R$4001,$AD204,'All Donations'!$T$2:$T$4001,N$1))</f>
        <v/>
      </c>
      <c r="O204" s="49">
        <f>IF(OR($AE204&lt;&gt;1,O$1=""),"",SUMIFS('All Donations'!$S$2:$S$4001,'All Donations'!$R$2:$R$4001,$AD204,'All Donations'!$T$2:$T$4001,O$1))</f>
        <v/>
      </c>
      <c r="P204" s="49">
        <f>IF(OR($AE204&lt;&gt;1,P$1=""),"",SUMIFS('All Donations'!$S$2:$S$4001,'All Donations'!$R$2:$R$4001,$AD204,'All Donations'!$T$2:$T$4001,P$1))</f>
        <v/>
      </c>
      <c r="Q204" s="49">
        <f>IF(OR($AE204&lt;&gt;1,Q$1=""),"",SUMIFS('All Donations'!$S$2:$S$4001,'All Donations'!$R$2:$R$4001,$AD204,'All Donations'!$T$2:$T$4001,Q$1))</f>
        <v/>
      </c>
      <c r="R204" s="49">
        <f>IF(OR($AE204&lt;&gt;1,R$1=""),"",SUMIFS('All Donations'!$S$2:$S$4001,'All Donations'!$R$2:$R$4001,$AD204,'All Donations'!$T$2:$T$4001,R$1))</f>
        <v/>
      </c>
      <c r="S204" s="49">
        <f>IF(OR($AE204&lt;&gt;1,S$1=""),"",SUMIFS('All Donations'!$S$2:$S$4001,'All Donations'!$R$2:$R$4001,$AD204,'All Donations'!$T$2:$T$4001,S$1))</f>
        <v/>
      </c>
      <c r="T204" s="49">
        <f>IF(OR($AE204&lt;&gt;1,T$1=""),"",SUMIFS('All Donations'!$S$2:$S$4001,'All Donations'!$R$2:$R$4001,$AD204,'All Donations'!$T$2:$T$4001,T$1))</f>
        <v/>
      </c>
      <c r="U204" s="49">
        <f>IF(OR($AE204&lt;&gt;1,U$1=""),"",SUMIFS('All Donations'!$S$2:$S$4001,'All Donations'!$R$2:$R$4001,$AD204,'All Donations'!$T$2:$T$4001,U$1))</f>
        <v/>
      </c>
      <c r="V204" s="49">
        <f>IF(OR($AE204&lt;&gt;1,V$1=""),"",SUMIFS('All Donations'!$S$2:$S$4001,'All Donations'!$R$2:$R$4001,$AD204,'All Donations'!$T$2:$T$4001,V$1))</f>
        <v/>
      </c>
      <c r="W204" s="49">
        <f>IF(OR($AE204&lt;&gt;1,W$1=""),"",SUMIFS('All Donations'!$S$2:$S$4001,'All Donations'!$R$2:$R$4001,$AD204,'All Donations'!$T$2:$T$4001,W$1))</f>
        <v/>
      </c>
      <c r="X204" s="49">
        <f>IF(OR($AE204&lt;&gt;1,X$1=""),"",SUMIFS('All Donations'!$S$2:$S$4001,'All Donations'!$R$2:$R$4001,$AD204,'All Donations'!$T$2:$T$4001,X$1))</f>
        <v/>
      </c>
      <c r="Y204" s="49">
        <f>IF(OR($AE204&lt;&gt;1,Y$1=""),"",SUMIFS('All Donations'!$S$2:$S$4001,'All Donations'!$R$2:$R$4001,$AD204,'All Donations'!$T$2:$T$4001,Y$1))</f>
        <v/>
      </c>
      <c r="Z204" s="49">
        <f>IF(OR($AE204&lt;&gt;1,Z$1=""),"",SUMIFS('All Donations'!$S$2:$S$4001,'All Donations'!$R$2:$R$4001,$AD204,'All Donations'!$T$2:$T$4001,Z$1))</f>
        <v/>
      </c>
      <c r="AA204" s="49">
        <f>IF(OR($AE204&lt;&gt;1,AA$1=""),"",SUMIFS('All Donations'!$S$2:$S$4001,'All Donations'!$R$2:$R$4001,$AD204,'All Donations'!$T$2:$T$4001,AA$1))</f>
        <v/>
      </c>
      <c r="AB204" s="49">
        <f>IF(OR($AE204&lt;&gt;1,AB$1=""),"",SUMIFS('All Donations'!$S$2:$S$4001,'All Donations'!$R$2:$R$4001,$AD204,'All Donations'!$T$2:$T$4001,AB$1))</f>
        <v/>
      </c>
      <c r="AC204" s="49">
        <f>IF(OR($AE204&lt;&gt;1,AC$1=""),"",SUMIFS('All Donations'!$S$2:$S$4001,'All Donations'!$R$2:$R$4001,$AD204,'All Donations'!$T$2:$T$4001,AC$1))</f>
        <v/>
      </c>
      <c r="AD204">
        <f>IF(AE204=1,'Roster'!A204,"")</f>
        <v/>
      </c>
      <c r="AE204">
        <f>IF(TRIM('Roster'!B204&amp;'Roster'!C204)&lt;&gt;"",1,0)</f>
        <v/>
      </c>
      <c r="AF204">
        <f>IF(AE204=1,LOWER(A204),"#")</f>
        <v/>
      </c>
      <c r="AG204">
        <f>IF(AE204=1,LOWER(TRIM(TRIM('Roster'!C204)&amp;", "&amp;TRIM('Roster'!B204))),"#")</f>
        <v/>
      </c>
      <c r="AH204">
        <f>IF(AND(AE204=1,TRIM('Roster'!F204)&lt;&gt;""),LOWER(TRIM('Roster'!F204)),"#")</f>
        <v/>
      </c>
      <c r="AI204">
        <f>IF(AE204=1,IF(MATCH(B204,$B$2:$B$701,0)=ROW()-1,1,0),0)</f>
        <v/>
      </c>
      <c r="AJ204">
        <f>AJ203+AI204</f>
        <v/>
      </c>
      <c r="AK204">
        <f>IF(AE204=1,D204+(1000-ROW())/10^7,-1)</f>
        <v/>
      </c>
      <c r="AL204">
        <f>IF(AE204=1,TRIM('Roster'!B204)&amp;" "&amp;LEFT(TRIM('Roster'!C204),1)&amp;".","")</f>
        <v/>
      </c>
      <c r="AM204">
        <f>IF(AE204=1,TRIM('Roster'!C204)&amp;", "&amp;TRIM('Roster'!B204)&amp;" ("&amp;B204&amp;") #"&amp;AD204,"")</f>
        <v/>
      </c>
      <c r="AN204">
        <f>IF(AE204=1,TRIM('Roster'!E204),"")</f>
        <v/>
      </c>
      <c r="AO204">
        <f>IF(AE204=1,ROUND(SUMIFS('All Donations'!$S$2:$S$4001,'All Donations'!$R$2:$R$4001,AD204,'All Donations'!$T$2:$T$4001,"&gt;="&amp;'Settings'!$C$23,'All Donations'!$T$2:$T$4001,"&lt;="&amp;'Settings'!$D$23),2),0)</f>
        <v/>
      </c>
      <c r="AQ204">
        <f>IF(AE204=1,ROUND(SUMIFS('All Donations'!$S$2:$S$4001,'All Donations'!$R$2:$R$4001,AD204,'All Donations'!$T$2:$T$4001,"&gt;="&amp;'Settings'!$C$25,'All Donations'!$T$2:$T$4001,"&lt;="&amp;'Settings'!$D$25),2),0)</f>
        <v/>
      </c>
      <c r="AR204">
        <f>IF(AE204=1,ROUND(SUMIFS('All Donations'!$S$2:$S$4001,'All Donations'!$R$2:$R$4001,AD204,'All Donations'!$T$2:$T$4001,"&gt;="&amp;'Settings'!$C$26,'All Donations'!$T$2:$T$4001,"&lt;="&amp;'Settings'!$D$26),2),0)</f>
        <v/>
      </c>
      <c r="AS204">
        <f>IF(AE204=1,ROUND(SUMIFS('All Donations'!$S$2:$S$4001,'All Donations'!$R$2:$R$4001,AD204,'All Donations'!$T$2:$T$4001,"&lt;="&amp;'Settings'!$D$27),2),0)</f>
        <v/>
      </c>
      <c r="AT204">
        <f>IF(AE204=1,ROUND(SUMIFS('All Donations'!$S$2:$S$4001,'All Donations'!$R$2:$R$4001,AD204,'All Donations'!$T$2:$T$4001,"&gt;="&amp;'Settings'!$C$28,'All Donations'!$T$2:$T$4001,"&lt;="&amp;'Settings'!$D$28),2),0)</f>
        <v/>
      </c>
      <c r="AU204">
        <f>IF(AE204=1,ROUND(SUMIFS('All Donations'!$S$2:$S$4001,'All Donations'!$R$2:$R$4001,AD204,'All Donations'!$T$2:$T$4001,"&gt;="&amp;'Settings'!$C$29,'All Donations'!$T$2:$T$4001,"&lt;="&amp;'Settings'!$D$29),2),0)</f>
        <v/>
      </c>
      <c r="AV204">
        <f>IF(AE204=1,ROUND(SUMIFS('All Donations'!$S$2:$S$4001,'All Donations'!$R$2:$R$4001,AD204,'All Donations'!$T$2:$T$4001,"&lt;="&amp;'Settings'!$D$30),2),0)</f>
        <v/>
      </c>
      <c r="AZ204">
        <f>IF(AE204=1,ROUND(SUMIFS('All Donations'!$S$2:$S$4001,'All Donations'!$R$2:$R$4001,AD204,'All Donations'!$T$2:$T$4001,"&lt;="&amp;'Settings'!$D$34),2),0)</f>
        <v/>
      </c>
    </row>
    <row r="205">
      <c r="A205">
        <f>IF(AE205=1,TRIM(TRIM('Roster'!B205)&amp;" "&amp;TRIM('Roster'!C205)),"")</f>
        <v/>
      </c>
      <c r="B205">
        <f>IF(AE205=1,IF(AN205="","(no teacher)",AN205&amp;" – "&amp;C205),"")</f>
        <v/>
      </c>
      <c r="C205">
        <f>IF(AE205=1,TRIM('Roster'!D205&amp;""),"")</f>
        <v/>
      </c>
      <c r="D205" s="48">
        <f>IF(AE205=1,ROUND(SUMIFS('All Donations'!$S$2:$S$4001,'All Donations'!$R$2:$R$4001,AD205),2),"")</f>
        <v/>
      </c>
      <c r="E205" s="48">
        <f>IF(AE205=1,ROUND(SUMIFS('All Donations'!$S$2:$S$4001,'All Donations'!$R$2:$R$4001,AD205,'All Donations'!$G$2:$G$4001,"OneCause"),2),"")</f>
        <v/>
      </c>
      <c r="F205" s="48">
        <f>IF(AE205=1,D205-E205,"")</f>
        <v/>
      </c>
      <c r="G205">
        <f>IF(AE205=1,COUNTIFS('All Donations'!$R$2:$R$4001,AD205,'All Donations'!$H$2:$H$4001,"OK"),"")</f>
        <v/>
      </c>
      <c r="H205">
        <f>IF(AE205&lt;&gt;1,"",IF(D205&gt;0,"Yes",""))</f>
        <v/>
      </c>
      <c r="I205" s="49">
        <f>IF(OR($AE205&lt;&gt;1,I$1=""),"",SUMIFS('All Donations'!$S$2:$S$4001,'All Donations'!$R$2:$R$4001,$AD205,'All Donations'!$T$2:$T$4001,I$1))</f>
        <v/>
      </c>
      <c r="J205" s="49">
        <f>IF(OR($AE205&lt;&gt;1,J$1=""),"",SUMIFS('All Donations'!$S$2:$S$4001,'All Donations'!$R$2:$R$4001,$AD205,'All Donations'!$T$2:$T$4001,J$1))</f>
        <v/>
      </c>
      <c r="K205" s="49">
        <f>IF(OR($AE205&lt;&gt;1,K$1=""),"",SUMIFS('All Donations'!$S$2:$S$4001,'All Donations'!$R$2:$R$4001,$AD205,'All Donations'!$T$2:$T$4001,K$1))</f>
        <v/>
      </c>
      <c r="L205" s="49">
        <f>IF(OR($AE205&lt;&gt;1,L$1=""),"",SUMIFS('All Donations'!$S$2:$S$4001,'All Donations'!$R$2:$R$4001,$AD205,'All Donations'!$T$2:$T$4001,L$1))</f>
        <v/>
      </c>
      <c r="M205" s="49">
        <f>IF(OR($AE205&lt;&gt;1,M$1=""),"",SUMIFS('All Donations'!$S$2:$S$4001,'All Donations'!$R$2:$R$4001,$AD205,'All Donations'!$T$2:$T$4001,M$1))</f>
        <v/>
      </c>
      <c r="N205" s="49">
        <f>IF(OR($AE205&lt;&gt;1,N$1=""),"",SUMIFS('All Donations'!$S$2:$S$4001,'All Donations'!$R$2:$R$4001,$AD205,'All Donations'!$T$2:$T$4001,N$1))</f>
        <v/>
      </c>
      <c r="O205" s="49">
        <f>IF(OR($AE205&lt;&gt;1,O$1=""),"",SUMIFS('All Donations'!$S$2:$S$4001,'All Donations'!$R$2:$R$4001,$AD205,'All Donations'!$T$2:$T$4001,O$1))</f>
        <v/>
      </c>
      <c r="P205" s="49">
        <f>IF(OR($AE205&lt;&gt;1,P$1=""),"",SUMIFS('All Donations'!$S$2:$S$4001,'All Donations'!$R$2:$R$4001,$AD205,'All Donations'!$T$2:$T$4001,P$1))</f>
        <v/>
      </c>
      <c r="Q205" s="49">
        <f>IF(OR($AE205&lt;&gt;1,Q$1=""),"",SUMIFS('All Donations'!$S$2:$S$4001,'All Donations'!$R$2:$R$4001,$AD205,'All Donations'!$T$2:$T$4001,Q$1))</f>
        <v/>
      </c>
      <c r="R205" s="49">
        <f>IF(OR($AE205&lt;&gt;1,R$1=""),"",SUMIFS('All Donations'!$S$2:$S$4001,'All Donations'!$R$2:$R$4001,$AD205,'All Donations'!$T$2:$T$4001,R$1))</f>
        <v/>
      </c>
      <c r="S205" s="49">
        <f>IF(OR($AE205&lt;&gt;1,S$1=""),"",SUMIFS('All Donations'!$S$2:$S$4001,'All Donations'!$R$2:$R$4001,$AD205,'All Donations'!$T$2:$T$4001,S$1))</f>
        <v/>
      </c>
      <c r="T205" s="49">
        <f>IF(OR($AE205&lt;&gt;1,T$1=""),"",SUMIFS('All Donations'!$S$2:$S$4001,'All Donations'!$R$2:$R$4001,$AD205,'All Donations'!$T$2:$T$4001,T$1))</f>
        <v/>
      </c>
      <c r="U205" s="49">
        <f>IF(OR($AE205&lt;&gt;1,U$1=""),"",SUMIFS('All Donations'!$S$2:$S$4001,'All Donations'!$R$2:$R$4001,$AD205,'All Donations'!$T$2:$T$4001,U$1))</f>
        <v/>
      </c>
      <c r="V205" s="49">
        <f>IF(OR($AE205&lt;&gt;1,V$1=""),"",SUMIFS('All Donations'!$S$2:$S$4001,'All Donations'!$R$2:$R$4001,$AD205,'All Donations'!$T$2:$T$4001,V$1))</f>
        <v/>
      </c>
      <c r="W205" s="49">
        <f>IF(OR($AE205&lt;&gt;1,W$1=""),"",SUMIFS('All Donations'!$S$2:$S$4001,'All Donations'!$R$2:$R$4001,$AD205,'All Donations'!$T$2:$T$4001,W$1))</f>
        <v/>
      </c>
      <c r="X205" s="49">
        <f>IF(OR($AE205&lt;&gt;1,X$1=""),"",SUMIFS('All Donations'!$S$2:$S$4001,'All Donations'!$R$2:$R$4001,$AD205,'All Donations'!$T$2:$T$4001,X$1))</f>
        <v/>
      </c>
      <c r="Y205" s="49">
        <f>IF(OR($AE205&lt;&gt;1,Y$1=""),"",SUMIFS('All Donations'!$S$2:$S$4001,'All Donations'!$R$2:$R$4001,$AD205,'All Donations'!$T$2:$T$4001,Y$1))</f>
        <v/>
      </c>
      <c r="Z205" s="49">
        <f>IF(OR($AE205&lt;&gt;1,Z$1=""),"",SUMIFS('All Donations'!$S$2:$S$4001,'All Donations'!$R$2:$R$4001,$AD205,'All Donations'!$T$2:$T$4001,Z$1))</f>
        <v/>
      </c>
      <c r="AA205" s="49">
        <f>IF(OR($AE205&lt;&gt;1,AA$1=""),"",SUMIFS('All Donations'!$S$2:$S$4001,'All Donations'!$R$2:$R$4001,$AD205,'All Donations'!$T$2:$T$4001,AA$1))</f>
        <v/>
      </c>
      <c r="AB205" s="49">
        <f>IF(OR($AE205&lt;&gt;1,AB$1=""),"",SUMIFS('All Donations'!$S$2:$S$4001,'All Donations'!$R$2:$R$4001,$AD205,'All Donations'!$T$2:$T$4001,AB$1))</f>
        <v/>
      </c>
      <c r="AC205" s="49">
        <f>IF(OR($AE205&lt;&gt;1,AC$1=""),"",SUMIFS('All Donations'!$S$2:$S$4001,'All Donations'!$R$2:$R$4001,$AD205,'All Donations'!$T$2:$T$4001,AC$1))</f>
        <v/>
      </c>
      <c r="AD205">
        <f>IF(AE205=1,'Roster'!A205,"")</f>
        <v/>
      </c>
      <c r="AE205">
        <f>IF(TRIM('Roster'!B205&amp;'Roster'!C205)&lt;&gt;"",1,0)</f>
        <v/>
      </c>
      <c r="AF205">
        <f>IF(AE205=1,LOWER(A205),"#")</f>
        <v/>
      </c>
      <c r="AG205">
        <f>IF(AE205=1,LOWER(TRIM(TRIM('Roster'!C205)&amp;", "&amp;TRIM('Roster'!B205))),"#")</f>
        <v/>
      </c>
      <c r="AH205">
        <f>IF(AND(AE205=1,TRIM('Roster'!F205)&lt;&gt;""),LOWER(TRIM('Roster'!F205)),"#")</f>
        <v/>
      </c>
      <c r="AI205">
        <f>IF(AE205=1,IF(MATCH(B205,$B$2:$B$701,0)=ROW()-1,1,0),0)</f>
        <v/>
      </c>
      <c r="AJ205">
        <f>AJ204+AI205</f>
        <v/>
      </c>
      <c r="AK205">
        <f>IF(AE205=1,D205+(1000-ROW())/10^7,-1)</f>
        <v/>
      </c>
      <c r="AL205">
        <f>IF(AE205=1,TRIM('Roster'!B205)&amp;" "&amp;LEFT(TRIM('Roster'!C205),1)&amp;".","")</f>
        <v/>
      </c>
      <c r="AM205">
        <f>IF(AE205=1,TRIM('Roster'!C205)&amp;", "&amp;TRIM('Roster'!B205)&amp;" ("&amp;B205&amp;") #"&amp;AD205,"")</f>
        <v/>
      </c>
      <c r="AN205">
        <f>IF(AE205=1,TRIM('Roster'!E205),"")</f>
        <v/>
      </c>
      <c r="AO205">
        <f>IF(AE205=1,ROUND(SUMIFS('All Donations'!$S$2:$S$4001,'All Donations'!$R$2:$R$4001,AD205,'All Donations'!$T$2:$T$4001,"&gt;="&amp;'Settings'!$C$23,'All Donations'!$T$2:$T$4001,"&lt;="&amp;'Settings'!$D$23),2),0)</f>
        <v/>
      </c>
      <c r="AQ205">
        <f>IF(AE205=1,ROUND(SUMIFS('All Donations'!$S$2:$S$4001,'All Donations'!$R$2:$R$4001,AD205,'All Donations'!$T$2:$T$4001,"&gt;="&amp;'Settings'!$C$25,'All Donations'!$T$2:$T$4001,"&lt;="&amp;'Settings'!$D$25),2),0)</f>
        <v/>
      </c>
      <c r="AR205">
        <f>IF(AE205=1,ROUND(SUMIFS('All Donations'!$S$2:$S$4001,'All Donations'!$R$2:$R$4001,AD205,'All Donations'!$T$2:$T$4001,"&gt;="&amp;'Settings'!$C$26,'All Donations'!$T$2:$T$4001,"&lt;="&amp;'Settings'!$D$26),2),0)</f>
        <v/>
      </c>
      <c r="AS205">
        <f>IF(AE205=1,ROUND(SUMIFS('All Donations'!$S$2:$S$4001,'All Donations'!$R$2:$R$4001,AD205,'All Donations'!$T$2:$T$4001,"&lt;="&amp;'Settings'!$D$27),2),0)</f>
        <v/>
      </c>
      <c r="AT205">
        <f>IF(AE205=1,ROUND(SUMIFS('All Donations'!$S$2:$S$4001,'All Donations'!$R$2:$R$4001,AD205,'All Donations'!$T$2:$T$4001,"&gt;="&amp;'Settings'!$C$28,'All Donations'!$T$2:$T$4001,"&lt;="&amp;'Settings'!$D$28),2),0)</f>
        <v/>
      </c>
      <c r="AU205">
        <f>IF(AE205=1,ROUND(SUMIFS('All Donations'!$S$2:$S$4001,'All Donations'!$R$2:$R$4001,AD205,'All Donations'!$T$2:$T$4001,"&gt;="&amp;'Settings'!$C$29,'All Donations'!$T$2:$T$4001,"&lt;="&amp;'Settings'!$D$29),2),0)</f>
        <v/>
      </c>
      <c r="AV205">
        <f>IF(AE205=1,ROUND(SUMIFS('All Donations'!$S$2:$S$4001,'All Donations'!$R$2:$R$4001,AD205,'All Donations'!$T$2:$T$4001,"&lt;="&amp;'Settings'!$D$30),2),0)</f>
        <v/>
      </c>
      <c r="AZ205">
        <f>IF(AE205=1,ROUND(SUMIFS('All Donations'!$S$2:$S$4001,'All Donations'!$R$2:$R$4001,AD205,'All Donations'!$T$2:$T$4001,"&lt;="&amp;'Settings'!$D$34),2),0)</f>
        <v/>
      </c>
    </row>
    <row r="206">
      <c r="A206">
        <f>IF(AE206=1,TRIM(TRIM('Roster'!B206)&amp;" "&amp;TRIM('Roster'!C206)),"")</f>
        <v/>
      </c>
      <c r="B206">
        <f>IF(AE206=1,IF(AN206="","(no teacher)",AN206&amp;" – "&amp;C206),"")</f>
        <v/>
      </c>
      <c r="C206">
        <f>IF(AE206=1,TRIM('Roster'!D206&amp;""),"")</f>
        <v/>
      </c>
      <c r="D206" s="48">
        <f>IF(AE206=1,ROUND(SUMIFS('All Donations'!$S$2:$S$4001,'All Donations'!$R$2:$R$4001,AD206),2),"")</f>
        <v/>
      </c>
      <c r="E206" s="48">
        <f>IF(AE206=1,ROUND(SUMIFS('All Donations'!$S$2:$S$4001,'All Donations'!$R$2:$R$4001,AD206,'All Donations'!$G$2:$G$4001,"OneCause"),2),"")</f>
        <v/>
      </c>
      <c r="F206" s="48">
        <f>IF(AE206=1,D206-E206,"")</f>
        <v/>
      </c>
      <c r="G206">
        <f>IF(AE206=1,COUNTIFS('All Donations'!$R$2:$R$4001,AD206,'All Donations'!$H$2:$H$4001,"OK"),"")</f>
        <v/>
      </c>
      <c r="H206">
        <f>IF(AE206&lt;&gt;1,"",IF(D206&gt;0,"Yes",""))</f>
        <v/>
      </c>
      <c r="I206" s="49">
        <f>IF(OR($AE206&lt;&gt;1,I$1=""),"",SUMIFS('All Donations'!$S$2:$S$4001,'All Donations'!$R$2:$R$4001,$AD206,'All Donations'!$T$2:$T$4001,I$1))</f>
        <v/>
      </c>
      <c r="J206" s="49">
        <f>IF(OR($AE206&lt;&gt;1,J$1=""),"",SUMIFS('All Donations'!$S$2:$S$4001,'All Donations'!$R$2:$R$4001,$AD206,'All Donations'!$T$2:$T$4001,J$1))</f>
        <v/>
      </c>
      <c r="K206" s="49">
        <f>IF(OR($AE206&lt;&gt;1,K$1=""),"",SUMIFS('All Donations'!$S$2:$S$4001,'All Donations'!$R$2:$R$4001,$AD206,'All Donations'!$T$2:$T$4001,K$1))</f>
        <v/>
      </c>
      <c r="L206" s="49">
        <f>IF(OR($AE206&lt;&gt;1,L$1=""),"",SUMIFS('All Donations'!$S$2:$S$4001,'All Donations'!$R$2:$R$4001,$AD206,'All Donations'!$T$2:$T$4001,L$1))</f>
        <v/>
      </c>
      <c r="M206" s="49">
        <f>IF(OR($AE206&lt;&gt;1,M$1=""),"",SUMIFS('All Donations'!$S$2:$S$4001,'All Donations'!$R$2:$R$4001,$AD206,'All Donations'!$T$2:$T$4001,M$1))</f>
        <v/>
      </c>
      <c r="N206" s="49">
        <f>IF(OR($AE206&lt;&gt;1,N$1=""),"",SUMIFS('All Donations'!$S$2:$S$4001,'All Donations'!$R$2:$R$4001,$AD206,'All Donations'!$T$2:$T$4001,N$1))</f>
        <v/>
      </c>
      <c r="O206" s="49">
        <f>IF(OR($AE206&lt;&gt;1,O$1=""),"",SUMIFS('All Donations'!$S$2:$S$4001,'All Donations'!$R$2:$R$4001,$AD206,'All Donations'!$T$2:$T$4001,O$1))</f>
        <v/>
      </c>
      <c r="P206" s="49">
        <f>IF(OR($AE206&lt;&gt;1,P$1=""),"",SUMIFS('All Donations'!$S$2:$S$4001,'All Donations'!$R$2:$R$4001,$AD206,'All Donations'!$T$2:$T$4001,P$1))</f>
        <v/>
      </c>
      <c r="Q206" s="49">
        <f>IF(OR($AE206&lt;&gt;1,Q$1=""),"",SUMIFS('All Donations'!$S$2:$S$4001,'All Donations'!$R$2:$R$4001,$AD206,'All Donations'!$T$2:$T$4001,Q$1))</f>
        <v/>
      </c>
      <c r="R206" s="49">
        <f>IF(OR($AE206&lt;&gt;1,R$1=""),"",SUMIFS('All Donations'!$S$2:$S$4001,'All Donations'!$R$2:$R$4001,$AD206,'All Donations'!$T$2:$T$4001,R$1))</f>
        <v/>
      </c>
      <c r="S206" s="49">
        <f>IF(OR($AE206&lt;&gt;1,S$1=""),"",SUMIFS('All Donations'!$S$2:$S$4001,'All Donations'!$R$2:$R$4001,$AD206,'All Donations'!$T$2:$T$4001,S$1))</f>
        <v/>
      </c>
      <c r="T206" s="49">
        <f>IF(OR($AE206&lt;&gt;1,T$1=""),"",SUMIFS('All Donations'!$S$2:$S$4001,'All Donations'!$R$2:$R$4001,$AD206,'All Donations'!$T$2:$T$4001,T$1))</f>
        <v/>
      </c>
      <c r="U206" s="49">
        <f>IF(OR($AE206&lt;&gt;1,U$1=""),"",SUMIFS('All Donations'!$S$2:$S$4001,'All Donations'!$R$2:$R$4001,$AD206,'All Donations'!$T$2:$T$4001,U$1))</f>
        <v/>
      </c>
      <c r="V206" s="49">
        <f>IF(OR($AE206&lt;&gt;1,V$1=""),"",SUMIFS('All Donations'!$S$2:$S$4001,'All Donations'!$R$2:$R$4001,$AD206,'All Donations'!$T$2:$T$4001,V$1))</f>
        <v/>
      </c>
      <c r="W206" s="49">
        <f>IF(OR($AE206&lt;&gt;1,W$1=""),"",SUMIFS('All Donations'!$S$2:$S$4001,'All Donations'!$R$2:$R$4001,$AD206,'All Donations'!$T$2:$T$4001,W$1))</f>
        <v/>
      </c>
      <c r="X206" s="49">
        <f>IF(OR($AE206&lt;&gt;1,X$1=""),"",SUMIFS('All Donations'!$S$2:$S$4001,'All Donations'!$R$2:$R$4001,$AD206,'All Donations'!$T$2:$T$4001,X$1))</f>
        <v/>
      </c>
      <c r="Y206" s="49">
        <f>IF(OR($AE206&lt;&gt;1,Y$1=""),"",SUMIFS('All Donations'!$S$2:$S$4001,'All Donations'!$R$2:$R$4001,$AD206,'All Donations'!$T$2:$T$4001,Y$1))</f>
        <v/>
      </c>
      <c r="Z206" s="49">
        <f>IF(OR($AE206&lt;&gt;1,Z$1=""),"",SUMIFS('All Donations'!$S$2:$S$4001,'All Donations'!$R$2:$R$4001,$AD206,'All Donations'!$T$2:$T$4001,Z$1))</f>
        <v/>
      </c>
      <c r="AA206" s="49">
        <f>IF(OR($AE206&lt;&gt;1,AA$1=""),"",SUMIFS('All Donations'!$S$2:$S$4001,'All Donations'!$R$2:$R$4001,$AD206,'All Donations'!$T$2:$T$4001,AA$1))</f>
        <v/>
      </c>
      <c r="AB206" s="49">
        <f>IF(OR($AE206&lt;&gt;1,AB$1=""),"",SUMIFS('All Donations'!$S$2:$S$4001,'All Donations'!$R$2:$R$4001,$AD206,'All Donations'!$T$2:$T$4001,AB$1))</f>
        <v/>
      </c>
      <c r="AC206" s="49">
        <f>IF(OR($AE206&lt;&gt;1,AC$1=""),"",SUMIFS('All Donations'!$S$2:$S$4001,'All Donations'!$R$2:$R$4001,$AD206,'All Donations'!$T$2:$T$4001,AC$1))</f>
        <v/>
      </c>
      <c r="AD206">
        <f>IF(AE206=1,'Roster'!A206,"")</f>
        <v/>
      </c>
      <c r="AE206">
        <f>IF(TRIM('Roster'!B206&amp;'Roster'!C206)&lt;&gt;"",1,0)</f>
        <v/>
      </c>
      <c r="AF206">
        <f>IF(AE206=1,LOWER(A206),"#")</f>
        <v/>
      </c>
      <c r="AG206">
        <f>IF(AE206=1,LOWER(TRIM(TRIM('Roster'!C206)&amp;", "&amp;TRIM('Roster'!B206))),"#")</f>
        <v/>
      </c>
      <c r="AH206">
        <f>IF(AND(AE206=1,TRIM('Roster'!F206)&lt;&gt;""),LOWER(TRIM('Roster'!F206)),"#")</f>
        <v/>
      </c>
      <c r="AI206">
        <f>IF(AE206=1,IF(MATCH(B206,$B$2:$B$701,0)=ROW()-1,1,0),0)</f>
        <v/>
      </c>
      <c r="AJ206">
        <f>AJ205+AI206</f>
        <v/>
      </c>
      <c r="AK206">
        <f>IF(AE206=1,D206+(1000-ROW())/10^7,-1)</f>
        <v/>
      </c>
      <c r="AL206">
        <f>IF(AE206=1,TRIM('Roster'!B206)&amp;" "&amp;LEFT(TRIM('Roster'!C206),1)&amp;".","")</f>
        <v/>
      </c>
      <c r="AM206">
        <f>IF(AE206=1,TRIM('Roster'!C206)&amp;", "&amp;TRIM('Roster'!B206)&amp;" ("&amp;B206&amp;") #"&amp;AD206,"")</f>
        <v/>
      </c>
      <c r="AN206">
        <f>IF(AE206=1,TRIM('Roster'!E206),"")</f>
        <v/>
      </c>
      <c r="AO206">
        <f>IF(AE206=1,ROUND(SUMIFS('All Donations'!$S$2:$S$4001,'All Donations'!$R$2:$R$4001,AD206,'All Donations'!$T$2:$T$4001,"&gt;="&amp;'Settings'!$C$23,'All Donations'!$T$2:$T$4001,"&lt;="&amp;'Settings'!$D$23),2),0)</f>
        <v/>
      </c>
      <c r="AQ206">
        <f>IF(AE206=1,ROUND(SUMIFS('All Donations'!$S$2:$S$4001,'All Donations'!$R$2:$R$4001,AD206,'All Donations'!$T$2:$T$4001,"&gt;="&amp;'Settings'!$C$25,'All Donations'!$T$2:$T$4001,"&lt;="&amp;'Settings'!$D$25),2),0)</f>
        <v/>
      </c>
      <c r="AR206">
        <f>IF(AE206=1,ROUND(SUMIFS('All Donations'!$S$2:$S$4001,'All Donations'!$R$2:$R$4001,AD206,'All Donations'!$T$2:$T$4001,"&gt;="&amp;'Settings'!$C$26,'All Donations'!$T$2:$T$4001,"&lt;="&amp;'Settings'!$D$26),2),0)</f>
        <v/>
      </c>
      <c r="AS206">
        <f>IF(AE206=1,ROUND(SUMIFS('All Donations'!$S$2:$S$4001,'All Donations'!$R$2:$R$4001,AD206,'All Donations'!$T$2:$T$4001,"&lt;="&amp;'Settings'!$D$27),2),0)</f>
        <v/>
      </c>
      <c r="AT206">
        <f>IF(AE206=1,ROUND(SUMIFS('All Donations'!$S$2:$S$4001,'All Donations'!$R$2:$R$4001,AD206,'All Donations'!$T$2:$T$4001,"&gt;="&amp;'Settings'!$C$28,'All Donations'!$T$2:$T$4001,"&lt;="&amp;'Settings'!$D$28),2),0)</f>
        <v/>
      </c>
      <c r="AU206">
        <f>IF(AE206=1,ROUND(SUMIFS('All Donations'!$S$2:$S$4001,'All Donations'!$R$2:$R$4001,AD206,'All Donations'!$T$2:$T$4001,"&gt;="&amp;'Settings'!$C$29,'All Donations'!$T$2:$T$4001,"&lt;="&amp;'Settings'!$D$29),2),0)</f>
        <v/>
      </c>
      <c r="AV206">
        <f>IF(AE206=1,ROUND(SUMIFS('All Donations'!$S$2:$S$4001,'All Donations'!$R$2:$R$4001,AD206,'All Donations'!$T$2:$T$4001,"&lt;="&amp;'Settings'!$D$30),2),0)</f>
        <v/>
      </c>
      <c r="AZ206">
        <f>IF(AE206=1,ROUND(SUMIFS('All Donations'!$S$2:$S$4001,'All Donations'!$R$2:$R$4001,AD206,'All Donations'!$T$2:$T$4001,"&lt;="&amp;'Settings'!$D$34),2),0)</f>
        <v/>
      </c>
    </row>
    <row r="207">
      <c r="A207">
        <f>IF(AE207=1,TRIM(TRIM('Roster'!B207)&amp;" "&amp;TRIM('Roster'!C207)),"")</f>
        <v/>
      </c>
      <c r="B207">
        <f>IF(AE207=1,IF(AN207="","(no teacher)",AN207&amp;" – "&amp;C207),"")</f>
        <v/>
      </c>
      <c r="C207">
        <f>IF(AE207=1,TRIM('Roster'!D207&amp;""),"")</f>
        <v/>
      </c>
      <c r="D207" s="48">
        <f>IF(AE207=1,ROUND(SUMIFS('All Donations'!$S$2:$S$4001,'All Donations'!$R$2:$R$4001,AD207),2),"")</f>
        <v/>
      </c>
      <c r="E207" s="48">
        <f>IF(AE207=1,ROUND(SUMIFS('All Donations'!$S$2:$S$4001,'All Donations'!$R$2:$R$4001,AD207,'All Donations'!$G$2:$G$4001,"OneCause"),2),"")</f>
        <v/>
      </c>
      <c r="F207" s="48">
        <f>IF(AE207=1,D207-E207,"")</f>
        <v/>
      </c>
      <c r="G207">
        <f>IF(AE207=1,COUNTIFS('All Donations'!$R$2:$R$4001,AD207,'All Donations'!$H$2:$H$4001,"OK"),"")</f>
        <v/>
      </c>
      <c r="H207">
        <f>IF(AE207&lt;&gt;1,"",IF(D207&gt;0,"Yes",""))</f>
        <v/>
      </c>
      <c r="I207" s="49">
        <f>IF(OR($AE207&lt;&gt;1,I$1=""),"",SUMIFS('All Donations'!$S$2:$S$4001,'All Donations'!$R$2:$R$4001,$AD207,'All Donations'!$T$2:$T$4001,I$1))</f>
        <v/>
      </c>
      <c r="J207" s="49">
        <f>IF(OR($AE207&lt;&gt;1,J$1=""),"",SUMIFS('All Donations'!$S$2:$S$4001,'All Donations'!$R$2:$R$4001,$AD207,'All Donations'!$T$2:$T$4001,J$1))</f>
        <v/>
      </c>
      <c r="K207" s="49">
        <f>IF(OR($AE207&lt;&gt;1,K$1=""),"",SUMIFS('All Donations'!$S$2:$S$4001,'All Donations'!$R$2:$R$4001,$AD207,'All Donations'!$T$2:$T$4001,K$1))</f>
        <v/>
      </c>
      <c r="L207" s="49">
        <f>IF(OR($AE207&lt;&gt;1,L$1=""),"",SUMIFS('All Donations'!$S$2:$S$4001,'All Donations'!$R$2:$R$4001,$AD207,'All Donations'!$T$2:$T$4001,L$1))</f>
        <v/>
      </c>
      <c r="M207" s="49">
        <f>IF(OR($AE207&lt;&gt;1,M$1=""),"",SUMIFS('All Donations'!$S$2:$S$4001,'All Donations'!$R$2:$R$4001,$AD207,'All Donations'!$T$2:$T$4001,M$1))</f>
        <v/>
      </c>
      <c r="N207" s="49">
        <f>IF(OR($AE207&lt;&gt;1,N$1=""),"",SUMIFS('All Donations'!$S$2:$S$4001,'All Donations'!$R$2:$R$4001,$AD207,'All Donations'!$T$2:$T$4001,N$1))</f>
        <v/>
      </c>
      <c r="O207" s="49">
        <f>IF(OR($AE207&lt;&gt;1,O$1=""),"",SUMIFS('All Donations'!$S$2:$S$4001,'All Donations'!$R$2:$R$4001,$AD207,'All Donations'!$T$2:$T$4001,O$1))</f>
        <v/>
      </c>
      <c r="P207" s="49">
        <f>IF(OR($AE207&lt;&gt;1,P$1=""),"",SUMIFS('All Donations'!$S$2:$S$4001,'All Donations'!$R$2:$R$4001,$AD207,'All Donations'!$T$2:$T$4001,P$1))</f>
        <v/>
      </c>
      <c r="Q207" s="49">
        <f>IF(OR($AE207&lt;&gt;1,Q$1=""),"",SUMIFS('All Donations'!$S$2:$S$4001,'All Donations'!$R$2:$R$4001,$AD207,'All Donations'!$T$2:$T$4001,Q$1))</f>
        <v/>
      </c>
      <c r="R207" s="49">
        <f>IF(OR($AE207&lt;&gt;1,R$1=""),"",SUMIFS('All Donations'!$S$2:$S$4001,'All Donations'!$R$2:$R$4001,$AD207,'All Donations'!$T$2:$T$4001,R$1))</f>
        <v/>
      </c>
      <c r="S207" s="49">
        <f>IF(OR($AE207&lt;&gt;1,S$1=""),"",SUMIFS('All Donations'!$S$2:$S$4001,'All Donations'!$R$2:$R$4001,$AD207,'All Donations'!$T$2:$T$4001,S$1))</f>
        <v/>
      </c>
      <c r="T207" s="49">
        <f>IF(OR($AE207&lt;&gt;1,T$1=""),"",SUMIFS('All Donations'!$S$2:$S$4001,'All Donations'!$R$2:$R$4001,$AD207,'All Donations'!$T$2:$T$4001,T$1))</f>
        <v/>
      </c>
      <c r="U207" s="49">
        <f>IF(OR($AE207&lt;&gt;1,U$1=""),"",SUMIFS('All Donations'!$S$2:$S$4001,'All Donations'!$R$2:$R$4001,$AD207,'All Donations'!$T$2:$T$4001,U$1))</f>
        <v/>
      </c>
      <c r="V207" s="49">
        <f>IF(OR($AE207&lt;&gt;1,V$1=""),"",SUMIFS('All Donations'!$S$2:$S$4001,'All Donations'!$R$2:$R$4001,$AD207,'All Donations'!$T$2:$T$4001,V$1))</f>
        <v/>
      </c>
      <c r="W207" s="49">
        <f>IF(OR($AE207&lt;&gt;1,W$1=""),"",SUMIFS('All Donations'!$S$2:$S$4001,'All Donations'!$R$2:$R$4001,$AD207,'All Donations'!$T$2:$T$4001,W$1))</f>
        <v/>
      </c>
      <c r="X207" s="49">
        <f>IF(OR($AE207&lt;&gt;1,X$1=""),"",SUMIFS('All Donations'!$S$2:$S$4001,'All Donations'!$R$2:$R$4001,$AD207,'All Donations'!$T$2:$T$4001,X$1))</f>
        <v/>
      </c>
      <c r="Y207" s="49">
        <f>IF(OR($AE207&lt;&gt;1,Y$1=""),"",SUMIFS('All Donations'!$S$2:$S$4001,'All Donations'!$R$2:$R$4001,$AD207,'All Donations'!$T$2:$T$4001,Y$1))</f>
        <v/>
      </c>
      <c r="Z207" s="49">
        <f>IF(OR($AE207&lt;&gt;1,Z$1=""),"",SUMIFS('All Donations'!$S$2:$S$4001,'All Donations'!$R$2:$R$4001,$AD207,'All Donations'!$T$2:$T$4001,Z$1))</f>
        <v/>
      </c>
      <c r="AA207" s="49">
        <f>IF(OR($AE207&lt;&gt;1,AA$1=""),"",SUMIFS('All Donations'!$S$2:$S$4001,'All Donations'!$R$2:$R$4001,$AD207,'All Donations'!$T$2:$T$4001,AA$1))</f>
        <v/>
      </c>
      <c r="AB207" s="49">
        <f>IF(OR($AE207&lt;&gt;1,AB$1=""),"",SUMIFS('All Donations'!$S$2:$S$4001,'All Donations'!$R$2:$R$4001,$AD207,'All Donations'!$T$2:$T$4001,AB$1))</f>
        <v/>
      </c>
      <c r="AC207" s="49">
        <f>IF(OR($AE207&lt;&gt;1,AC$1=""),"",SUMIFS('All Donations'!$S$2:$S$4001,'All Donations'!$R$2:$R$4001,$AD207,'All Donations'!$T$2:$T$4001,AC$1))</f>
        <v/>
      </c>
      <c r="AD207">
        <f>IF(AE207=1,'Roster'!A207,"")</f>
        <v/>
      </c>
      <c r="AE207">
        <f>IF(TRIM('Roster'!B207&amp;'Roster'!C207)&lt;&gt;"",1,0)</f>
        <v/>
      </c>
      <c r="AF207">
        <f>IF(AE207=1,LOWER(A207),"#")</f>
        <v/>
      </c>
      <c r="AG207">
        <f>IF(AE207=1,LOWER(TRIM(TRIM('Roster'!C207)&amp;", "&amp;TRIM('Roster'!B207))),"#")</f>
        <v/>
      </c>
      <c r="AH207">
        <f>IF(AND(AE207=1,TRIM('Roster'!F207)&lt;&gt;""),LOWER(TRIM('Roster'!F207)),"#")</f>
        <v/>
      </c>
      <c r="AI207">
        <f>IF(AE207=1,IF(MATCH(B207,$B$2:$B$701,0)=ROW()-1,1,0),0)</f>
        <v/>
      </c>
      <c r="AJ207">
        <f>AJ206+AI207</f>
        <v/>
      </c>
      <c r="AK207">
        <f>IF(AE207=1,D207+(1000-ROW())/10^7,-1)</f>
        <v/>
      </c>
      <c r="AL207">
        <f>IF(AE207=1,TRIM('Roster'!B207)&amp;" "&amp;LEFT(TRIM('Roster'!C207),1)&amp;".","")</f>
        <v/>
      </c>
      <c r="AM207">
        <f>IF(AE207=1,TRIM('Roster'!C207)&amp;", "&amp;TRIM('Roster'!B207)&amp;" ("&amp;B207&amp;") #"&amp;AD207,"")</f>
        <v/>
      </c>
      <c r="AN207">
        <f>IF(AE207=1,TRIM('Roster'!E207),"")</f>
        <v/>
      </c>
      <c r="AO207">
        <f>IF(AE207=1,ROUND(SUMIFS('All Donations'!$S$2:$S$4001,'All Donations'!$R$2:$R$4001,AD207,'All Donations'!$T$2:$T$4001,"&gt;="&amp;'Settings'!$C$23,'All Donations'!$T$2:$T$4001,"&lt;="&amp;'Settings'!$D$23),2),0)</f>
        <v/>
      </c>
      <c r="AQ207">
        <f>IF(AE207=1,ROUND(SUMIFS('All Donations'!$S$2:$S$4001,'All Donations'!$R$2:$R$4001,AD207,'All Donations'!$T$2:$T$4001,"&gt;="&amp;'Settings'!$C$25,'All Donations'!$T$2:$T$4001,"&lt;="&amp;'Settings'!$D$25),2),0)</f>
        <v/>
      </c>
      <c r="AR207">
        <f>IF(AE207=1,ROUND(SUMIFS('All Donations'!$S$2:$S$4001,'All Donations'!$R$2:$R$4001,AD207,'All Donations'!$T$2:$T$4001,"&gt;="&amp;'Settings'!$C$26,'All Donations'!$T$2:$T$4001,"&lt;="&amp;'Settings'!$D$26),2),0)</f>
        <v/>
      </c>
      <c r="AS207">
        <f>IF(AE207=1,ROUND(SUMIFS('All Donations'!$S$2:$S$4001,'All Donations'!$R$2:$R$4001,AD207,'All Donations'!$T$2:$T$4001,"&lt;="&amp;'Settings'!$D$27),2),0)</f>
        <v/>
      </c>
      <c r="AT207">
        <f>IF(AE207=1,ROUND(SUMIFS('All Donations'!$S$2:$S$4001,'All Donations'!$R$2:$R$4001,AD207,'All Donations'!$T$2:$T$4001,"&gt;="&amp;'Settings'!$C$28,'All Donations'!$T$2:$T$4001,"&lt;="&amp;'Settings'!$D$28),2),0)</f>
        <v/>
      </c>
      <c r="AU207">
        <f>IF(AE207=1,ROUND(SUMIFS('All Donations'!$S$2:$S$4001,'All Donations'!$R$2:$R$4001,AD207,'All Donations'!$T$2:$T$4001,"&gt;="&amp;'Settings'!$C$29,'All Donations'!$T$2:$T$4001,"&lt;="&amp;'Settings'!$D$29),2),0)</f>
        <v/>
      </c>
      <c r="AV207">
        <f>IF(AE207=1,ROUND(SUMIFS('All Donations'!$S$2:$S$4001,'All Donations'!$R$2:$R$4001,AD207,'All Donations'!$T$2:$T$4001,"&lt;="&amp;'Settings'!$D$30),2),0)</f>
        <v/>
      </c>
      <c r="AZ207">
        <f>IF(AE207=1,ROUND(SUMIFS('All Donations'!$S$2:$S$4001,'All Donations'!$R$2:$R$4001,AD207,'All Donations'!$T$2:$T$4001,"&lt;="&amp;'Settings'!$D$34),2),0)</f>
        <v/>
      </c>
    </row>
    <row r="208">
      <c r="A208">
        <f>IF(AE208=1,TRIM(TRIM('Roster'!B208)&amp;" "&amp;TRIM('Roster'!C208)),"")</f>
        <v/>
      </c>
      <c r="B208">
        <f>IF(AE208=1,IF(AN208="","(no teacher)",AN208&amp;" – "&amp;C208),"")</f>
        <v/>
      </c>
      <c r="C208">
        <f>IF(AE208=1,TRIM('Roster'!D208&amp;""),"")</f>
        <v/>
      </c>
      <c r="D208" s="48">
        <f>IF(AE208=1,ROUND(SUMIFS('All Donations'!$S$2:$S$4001,'All Donations'!$R$2:$R$4001,AD208),2),"")</f>
        <v/>
      </c>
      <c r="E208" s="48">
        <f>IF(AE208=1,ROUND(SUMIFS('All Donations'!$S$2:$S$4001,'All Donations'!$R$2:$R$4001,AD208,'All Donations'!$G$2:$G$4001,"OneCause"),2),"")</f>
        <v/>
      </c>
      <c r="F208" s="48">
        <f>IF(AE208=1,D208-E208,"")</f>
        <v/>
      </c>
      <c r="G208">
        <f>IF(AE208=1,COUNTIFS('All Donations'!$R$2:$R$4001,AD208,'All Donations'!$H$2:$H$4001,"OK"),"")</f>
        <v/>
      </c>
      <c r="H208">
        <f>IF(AE208&lt;&gt;1,"",IF(D208&gt;0,"Yes",""))</f>
        <v/>
      </c>
      <c r="I208" s="49">
        <f>IF(OR($AE208&lt;&gt;1,I$1=""),"",SUMIFS('All Donations'!$S$2:$S$4001,'All Donations'!$R$2:$R$4001,$AD208,'All Donations'!$T$2:$T$4001,I$1))</f>
        <v/>
      </c>
      <c r="J208" s="49">
        <f>IF(OR($AE208&lt;&gt;1,J$1=""),"",SUMIFS('All Donations'!$S$2:$S$4001,'All Donations'!$R$2:$R$4001,$AD208,'All Donations'!$T$2:$T$4001,J$1))</f>
        <v/>
      </c>
      <c r="K208" s="49">
        <f>IF(OR($AE208&lt;&gt;1,K$1=""),"",SUMIFS('All Donations'!$S$2:$S$4001,'All Donations'!$R$2:$R$4001,$AD208,'All Donations'!$T$2:$T$4001,K$1))</f>
        <v/>
      </c>
      <c r="L208" s="49">
        <f>IF(OR($AE208&lt;&gt;1,L$1=""),"",SUMIFS('All Donations'!$S$2:$S$4001,'All Donations'!$R$2:$R$4001,$AD208,'All Donations'!$T$2:$T$4001,L$1))</f>
        <v/>
      </c>
      <c r="M208" s="49">
        <f>IF(OR($AE208&lt;&gt;1,M$1=""),"",SUMIFS('All Donations'!$S$2:$S$4001,'All Donations'!$R$2:$R$4001,$AD208,'All Donations'!$T$2:$T$4001,M$1))</f>
        <v/>
      </c>
      <c r="N208" s="49">
        <f>IF(OR($AE208&lt;&gt;1,N$1=""),"",SUMIFS('All Donations'!$S$2:$S$4001,'All Donations'!$R$2:$R$4001,$AD208,'All Donations'!$T$2:$T$4001,N$1))</f>
        <v/>
      </c>
      <c r="O208" s="49">
        <f>IF(OR($AE208&lt;&gt;1,O$1=""),"",SUMIFS('All Donations'!$S$2:$S$4001,'All Donations'!$R$2:$R$4001,$AD208,'All Donations'!$T$2:$T$4001,O$1))</f>
        <v/>
      </c>
      <c r="P208" s="49">
        <f>IF(OR($AE208&lt;&gt;1,P$1=""),"",SUMIFS('All Donations'!$S$2:$S$4001,'All Donations'!$R$2:$R$4001,$AD208,'All Donations'!$T$2:$T$4001,P$1))</f>
        <v/>
      </c>
      <c r="Q208" s="49">
        <f>IF(OR($AE208&lt;&gt;1,Q$1=""),"",SUMIFS('All Donations'!$S$2:$S$4001,'All Donations'!$R$2:$R$4001,$AD208,'All Donations'!$T$2:$T$4001,Q$1))</f>
        <v/>
      </c>
      <c r="R208" s="49">
        <f>IF(OR($AE208&lt;&gt;1,R$1=""),"",SUMIFS('All Donations'!$S$2:$S$4001,'All Donations'!$R$2:$R$4001,$AD208,'All Donations'!$T$2:$T$4001,R$1))</f>
        <v/>
      </c>
      <c r="S208" s="49">
        <f>IF(OR($AE208&lt;&gt;1,S$1=""),"",SUMIFS('All Donations'!$S$2:$S$4001,'All Donations'!$R$2:$R$4001,$AD208,'All Donations'!$T$2:$T$4001,S$1))</f>
        <v/>
      </c>
      <c r="T208" s="49">
        <f>IF(OR($AE208&lt;&gt;1,T$1=""),"",SUMIFS('All Donations'!$S$2:$S$4001,'All Donations'!$R$2:$R$4001,$AD208,'All Donations'!$T$2:$T$4001,T$1))</f>
        <v/>
      </c>
      <c r="U208" s="49">
        <f>IF(OR($AE208&lt;&gt;1,U$1=""),"",SUMIFS('All Donations'!$S$2:$S$4001,'All Donations'!$R$2:$R$4001,$AD208,'All Donations'!$T$2:$T$4001,U$1))</f>
        <v/>
      </c>
      <c r="V208" s="49">
        <f>IF(OR($AE208&lt;&gt;1,V$1=""),"",SUMIFS('All Donations'!$S$2:$S$4001,'All Donations'!$R$2:$R$4001,$AD208,'All Donations'!$T$2:$T$4001,V$1))</f>
        <v/>
      </c>
      <c r="W208" s="49">
        <f>IF(OR($AE208&lt;&gt;1,W$1=""),"",SUMIFS('All Donations'!$S$2:$S$4001,'All Donations'!$R$2:$R$4001,$AD208,'All Donations'!$T$2:$T$4001,W$1))</f>
        <v/>
      </c>
      <c r="X208" s="49">
        <f>IF(OR($AE208&lt;&gt;1,X$1=""),"",SUMIFS('All Donations'!$S$2:$S$4001,'All Donations'!$R$2:$R$4001,$AD208,'All Donations'!$T$2:$T$4001,X$1))</f>
        <v/>
      </c>
      <c r="Y208" s="49">
        <f>IF(OR($AE208&lt;&gt;1,Y$1=""),"",SUMIFS('All Donations'!$S$2:$S$4001,'All Donations'!$R$2:$R$4001,$AD208,'All Donations'!$T$2:$T$4001,Y$1))</f>
        <v/>
      </c>
      <c r="Z208" s="49">
        <f>IF(OR($AE208&lt;&gt;1,Z$1=""),"",SUMIFS('All Donations'!$S$2:$S$4001,'All Donations'!$R$2:$R$4001,$AD208,'All Donations'!$T$2:$T$4001,Z$1))</f>
        <v/>
      </c>
      <c r="AA208" s="49">
        <f>IF(OR($AE208&lt;&gt;1,AA$1=""),"",SUMIFS('All Donations'!$S$2:$S$4001,'All Donations'!$R$2:$R$4001,$AD208,'All Donations'!$T$2:$T$4001,AA$1))</f>
        <v/>
      </c>
      <c r="AB208" s="49">
        <f>IF(OR($AE208&lt;&gt;1,AB$1=""),"",SUMIFS('All Donations'!$S$2:$S$4001,'All Donations'!$R$2:$R$4001,$AD208,'All Donations'!$T$2:$T$4001,AB$1))</f>
        <v/>
      </c>
      <c r="AC208" s="49">
        <f>IF(OR($AE208&lt;&gt;1,AC$1=""),"",SUMIFS('All Donations'!$S$2:$S$4001,'All Donations'!$R$2:$R$4001,$AD208,'All Donations'!$T$2:$T$4001,AC$1))</f>
        <v/>
      </c>
      <c r="AD208">
        <f>IF(AE208=1,'Roster'!A208,"")</f>
        <v/>
      </c>
      <c r="AE208">
        <f>IF(TRIM('Roster'!B208&amp;'Roster'!C208)&lt;&gt;"",1,0)</f>
        <v/>
      </c>
      <c r="AF208">
        <f>IF(AE208=1,LOWER(A208),"#")</f>
        <v/>
      </c>
      <c r="AG208">
        <f>IF(AE208=1,LOWER(TRIM(TRIM('Roster'!C208)&amp;", "&amp;TRIM('Roster'!B208))),"#")</f>
        <v/>
      </c>
      <c r="AH208">
        <f>IF(AND(AE208=1,TRIM('Roster'!F208)&lt;&gt;""),LOWER(TRIM('Roster'!F208)),"#")</f>
        <v/>
      </c>
      <c r="AI208">
        <f>IF(AE208=1,IF(MATCH(B208,$B$2:$B$701,0)=ROW()-1,1,0),0)</f>
        <v/>
      </c>
      <c r="AJ208">
        <f>AJ207+AI208</f>
        <v/>
      </c>
      <c r="AK208">
        <f>IF(AE208=1,D208+(1000-ROW())/10^7,-1)</f>
        <v/>
      </c>
      <c r="AL208">
        <f>IF(AE208=1,TRIM('Roster'!B208)&amp;" "&amp;LEFT(TRIM('Roster'!C208),1)&amp;".","")</f>
        <v/>
      </c>
      <c r="AM208">
        <f>IF(AE208=1,TRIM('Roster'!C208)&amp;", "&amp;TRIM('Roster'!B208)&amp;" ("&amp;B208&amp;") #"&amp;AD208,"")</f>
        <v/>
      </c>
      <c r="AN208">
        <f>IF(AE208=1,TRIM('Roster'!E208),"")</f>
        <v/>
      </c>
      <c r="AO208">
        <f>IF(AE208=1,ROUND(SUMIFS('All Donations'!$S$2:$S$4001,'All Donations'!$R$2:$R$4001,AD208,'All Donations'!$T$2:$T$4001,"&gt;="&amp;'Settings'!$C$23,'All Donations'!$T$2:$T$4001,"&lt;="&amp;'Settings'!$D$23),2),0)</f>
        <v/>
      </c>
      <c r="AQ208">
        <f>IF(AE208=1,ROUND(SUMIFS('All Donations'!$S$2:$S$4001,'All Donations'!$R$2:$R$4001,AD208,'All Donations'!$T$2:$T$4001,"&gt;="&amp;'Settings'!$C$25,'All Donations'!$T$2:$T$4001,"&lt;="&amp;'Settings'!$D$25),2),0)</f>
        <v/>
      </c>
      <c r="AR208">
        <f>IF(AE208=1,ROUND(SUMIFS('All Donations'!$S$2:$S$4001,'All Donations'!$R$2:$R$4001,AD208,'All Donations'!$T$2:$T$4001,"&gt;="&amp;'Settings'!$C$26,'All Donations'!$T$2:$T$4001,"&lt;="&amp;'Settings'!$D$26),2),0)</f>
        <v/>
      </c>
      <c r="AS208">
        <f>IF(AE208=1,ROUND(SUMIFS('All Donations'!$S$2:$S$4001,'All Donations'!$R$2:$R$4001,AD208,'All Donations'!$T$2:$T$4001,"&lt;="&amp;'Settings'!$D$27),2),0)</f>
        <v/>
      </c>
      <c r="AT208">
        <f>IF(AE208=1,ROUND(SUMIFS('All Donations'!$S$2:$S$4001,'All Donations'!$R$2:$R$4001,AD208,'All Donations'!$T$2:$T$4001,"&gt;="&amp;'Settings'!$C$28,'All Donations'!$T$2:$T$4001,"&lt;="&amp;'Settings'!$D$28),2),0)</f>
        <v/>
      </c>
      <c r="AU208">
        <f>IF(AE208=1,ROUND(SUMIFS('All Donations'!$S$2:$S$4001,'All Donations'!$R$2:$R$4001,AD208,'All Donations'!$T$2:$T$4001,"&gt;="&amp;'Settings'!$C$29,'All Donations'!$T$2:$T$4001,"&lt;="&amp;'Settings'!$D$29),2),0)</f>
        <v/>
      </c>
      <c r="AV208">
        <f>IF(AE208=1,ROUND(SUMIFS('All Donations'!$S$2:$S$4001,'All Donations'!$R$2:$R$4001,AD208,'All Donations'!$T$2:$T$4001,"&lt;="&amp;'Settings'!$D$30),2),0)</f>
        <v/>
      </c>
      <c r="AZ208">
        <f>IF(AE208=1,ROUND(SUMIFS('All Donations'!$S$2:$S$4001,'All Donations'!$R$2:$R$4001,AD208,'All Donations'!$T$2:$T$4001,"&lt;="&amp;'Settings'!$D$34),2),0)</f>
        <v/>
      </c>
    </row>
    <row r="209">
      <c r="A209">
        <f>IF(AE209=1,TRIM(TRIM('Roster'!B209)&amp;" "&amp;TRIM('Roster'!C209)),"")</f>
        <v/>
      </c>
      <c r="B209">
        <f>IF(AE209=1,IF(AN209="","(no teacher)",AN209&amp;" – "&amp;C209),"")</f>
        <v/>
      </c>
      <c r="C209">
        <f>IF(AE209=1,TRIM('Roster'!D209&amp;""),"")</f>
        <v/>
      </c>
      <c r="D209" s="48">
        <f>IF(AE209=1,ROUND(SUMIFS('All Donations'!$S$2:$S$4001,'All Donations'!$R$2:$R$4001,AD209),2),"")</f>
        <v/>
      </c>
      <c r="E209" s="48">
        <f>IF(AE209=1,ROUND(SUMIFS('All Donations'!$S$2:$S$4001,'All Donations'!$R$2:$R$4001,AD209,'All Donations'!$G$2:$G$4001,"OneCause"),2),"")</f>
        <v/>
      </c>
      <c r="F209" s="48">
        <f>IF(AE209=1,D209-E209,"")</f>
        <v/>
      </c>
      <c r="G209">
        <f>IF(AE209=1,COUNTIFS('All Donations'!$R$2:$R$4001,AD209,'All Donations'!$H$2:$H$4001,"OK"),"")</f>
        <v/>
      </c>
      <c r="H209">
        <f>IF(AE209&lt;&gt;1,"",IF(D209&gt;0,"Yes",""))</f>
        <v/>
      </c>
      <c r="I209" s="49">
        <f>IF(OR($AE209&lt;&gt;1,I$1=""),"",SUMIFS('All Donations'!$S$2:$S$4001,'All Donations'!$R$2:$R$4001,$AD209,'All Donations'!$T$2:$T$4001,I$1))</f>
        <v/>
      </c>
      <c r="J209" s="49">
        <f>IF(OR($AE209&lt;&gt;1,J$1=""),"",SUMIFS('All Donations'!$S$2:$S$4001,'All Donations'!$R$2:$R$4001,$AD209,'All Donations'!$T$2:$T$4001,J$1))</f>
        <v/>
      </c>
      <c r="K209" s="49">
        <f>IF(OR($AE209&lt;&gt;1,K$1=""),"",SUMIFS('All Donations'!$S$2:$S$4001,'All Donations'!$R$2:$R$4001,$AD209,'All Donations'!$T$2:$T$4001,K$1))</f>
        <v/>
      </c>
      <c r="L209" s="49">
        <f>IF(OR($AE209&lt;&gt;1,L$1=""),"",SUMIFS('All Donations'!$S$2:$S$4001,'All Donations'!$R$2:$R$4001,$AD209,'All Donations'!$T$2:$T$4001,L$1))</f>
        <v/>
      </c>
      <c r="M209" s="49">
        <f>IF(OR($AE209&lt;&gt;1,M$1=""),"",SUMIFS('All Donations'!$S$2:$S$4001,'All Donations'!$R$2:$R$4001,$AD209,'All Donations'!$T$2:$T$4001,M$1))</f>
        <v/>
      </c>
      <c r="N209" s="49">
        <f>IF(OR($AE209&lt;&gt;1,N$1=""),"",SUMIFS('All Donations'!$S$2:$S$4001,'All Donations'!$R$2:$R$4001,$AD209,'All Donations'!$T$2:$T$4001,N$1))</f>
        <v/>
      </c>
      <c r="O209" s="49">
        <f>IF(OR($AE209&lt;&gt;1,O$1=""),"",SUMIFS('All Donations'!$S$2:$S$4001,'All Donations'!$R$2:$R$4001,$AD209,'All Donations'!$T$2:$T$4001,O$1))</f>
        <v/>
      </c>
      <c r="P209" s="49">
        <f>IF(OR($AE209&lt;&gt;1,P$1=""),"",SUMIFS('All Donations'!$S$2:$S$4001,'All Donations'!$R$2:$R$4001,$AD209,'All Donations'!$T$2:$T$4001,P$1))</f>
        <v/>
      </c>
      <c r="Q209" s="49">
        <f>IF(OR($AE209&lt;&gt;1,Q$1=""),"",SUMIFS('All Donations'!$S$2:$S$4001,'All Donations'!$R$2:$R$4001,$AD209,'All Donations'!$T$2:$T$4001,Q$1))</f>
        <v/>
      </c>
      <c r="R209" s="49">
        <f>IF(OR($AE209&lt;&gt;1,R$1=""),"",SUMIFS('All Donations'!$S$2:$S$4001,'All Donations'!$R$2:$R$4001,$AD209,'All Donations'!$T$2:$T$4001,R$1))</f>
        <v/>
      </c>
      <c r="S209" s="49">
        <f>IF(OR($AE209&lt;&gt;1,S$1=""),"",SUMIFS('All Donations'!$S$2:$S$4001,'All Donations'!$R$2:$R$4001,$AD209,'All Donations'!$T$2:$T$4001,S$1))</f>
        <v/>
      </c>
      <c r="T209" s="49">
        <f>IF(OR($AE209&lt;&gt;1,T$1=""),"",SUMIFS('All Donations'!$S$2:$S$4001,'All Donations'!$R$2:$R$4001,$AD209,'All Donations'!$T$2:$T$4001,T$1))</f>
        <v/>
      </c>
      <c r="U209" s="49">
        <f>IF(OR($AE209&lt;&gt;1,U$1=""),"",SUMIFS('All Donations'!$S$2:$S$4001,'All Donations'!$R$2:$R$4001,$AD209,'All Donations'!$T$2:$T$4001,U$1))</f>
        <v/>
      </c>
      <c r="V209" s="49">
        <f>IF(OR($AE209&lt;&gt;1,V$1=""),"",SUMIFS('All Donations'!$S$2:$S$4001,'All Donations'!$R$2:$R$4001,$AD209,'All Donations'!$T$2:$T$4001,V$1))</f>
        <v/>
      </c>
      <c r="W209" s="49">
        <f>IF(OR($AE209&lt;&gt;1,W$1=""),"",SUMIFS('All Donations'!$S$2:$S$4001,'All Donations'!$R$2:$R$4001,$AD209,'All Donations'!$T$2:$T$4001,W$1))</f>
        <v/>
      </c>
      <c r="X209" s="49">
        <f>IF(OR($AE209&lt;&gt;1,X$1=""),"",SUMIFS('All Donations'!$S$2:$S$4001,'All Donations'!$R$2:$R$4001,$AD209,'All Donations'!$T$2:$T$4001,X$1))</f>
        <v/>
      </c>
      <c r="Y209" s="49">
        <f>IF(OR($AE209&lt;&gt;1,Y$1=""),"",SUMIFS('All Donations'!$S$2:$S$4001,'All Donations'!$R$2:$R$4001,$AD209,'All Donations'!$T$2:$T$4001,Y$1))</f>
        <v/>
      </c>
      <c r="Z209" s="49">
        <f>IF(OR($AE209&lt;&gt;1,Z$1=""),"",SUMIFS('All Donations'!$S$2:$S$4001,'All Donations'!$R$2:$R$4001,$AD209,'All Donations'!$T$2:$T$4001,Z$1))</f>
        <v/>
      </c>
      <c r="AA209" s="49">
        <f>IF(OR($AE209&lt;&gt;1,AA$1=""),"",SUMIFS('All Donations'!$S$2:$S$4001,'All Donations'!$R$2:$R$4001,$AD209,'All Donations'!$T$2:$T$4001,AA$1))</f>
        <v/>
      </c>
      <c r="AB209" s="49">
        <f>IF(OR($AE209&lt;&gt;1,AB$1=""),"",SUMIFS('All Donations'!$S$2:$S$4001,'All Donations'!$R$2:$R$4001,$AD209,'All Donations'!$T$2:$T$4001,AB$1))</f>
        <v/>
      </c>
      <c r="AC209" s="49">
        <f>IF(OR($AE209&lt;&gt;1,AC$1=""),"",SUMIFS('All Donations'!$S$2:$S$4001,'All Donations'!$R$2:$R$4001,$AD209,'All Donations'!$T$2:$T$4001,AC$1))</f>
        <v/>
      </c>
      <c r="AD209">
        <f>IF(AE209=1,'Roster'!A209,"")</f>
        <v/>
      </c>
      <c r="AE209">
        <f>IF(TRIM('Roster'!B209&amp;'Roster'!C209)&lt;&gt;"",1,0)</f>
        <v/>
      </c>
      <c r="AF209">
        <f>IF(AE209=1,LOWER(A209),"#")</f>
        <v/>
      </c>
      <c r="AG209">
        <f>IF(AE209=1,LOWER(TRIM(TRIM('Roster'!C209)&amp;", "&amp;TRIM('Roster'!B209))),"#")</f>
        <v/>
      </c>
      <c r="AH209">
        <f>IF(AND(AE209=1,TRIM('Roster'!F209)&lt;&gt;""),LOWER(TRIM('Roster'!F209)),"#")</f>
        <v/>
      </c>
      <c r="AI209">
        <f>IF(AE209=1,IF(MATCH(B209,$B$2:$B$701,0)=ROW()-1,1,0),0)</f>
        <v/>
      </c>
      <c r="AJ209">
        <f>AJ208+AI209</f>
        <v/>
      </c>
      <c r="AK209">
        <f>IF(AE209=1,D209+(1000-ROW())/10^7,-1)</f>
        <v/>
      </c>
      <c r="AL209">
        <f>IF(AE209=1,TRIM('Roster'!B209)&amp;" "&amp;LEFT(TRIM('Roster'!C209),1)&amp;".","")</f>
        <v/>
      </c>
      <c r="AM209">
        <f>IF(AE209=1,TRIM('Roster'!C209)&amp;", "&amp;TRIM('Roster'!B209)&amp;" ("&amp;B209&amp;") #"&amp;AD209,"")</f>
        <v/>
      </c>
      <c r="AN209">
        <f>IF(AE209=1,TRIM('Roster'!E209),"")</f>
        <v/>
      </c>
      <c r="AO209">
        <f>IF(AE209=1,ROUND(SUMIFS('All Donations'!$S$2:$S$4001,'All Donations'!$R$2:$R$4001,AD209,'All Donations'!$T$2:$T$4001,"&gt;="&amp;'Settings'!$C$23,'All Donations'!$T$2:$T$4001,"&lt;="&amp;'Settings'!$D$23),2),0)</f>
        <v/>
      </c>
      <c r="AQ209">
        <f>IF(AE209=1,ROUND(SUMIFS('All Donations'!$S$2:$S$4001,'All Donations'!$R$2:$R$4001,AD209,'All Donations'!$T$2:$T$4001,"&gt;="&amp;'Settings'!$C$25,'All Donations'!$T$2:$T$4001,"&lt;="&amp;'Settings'!$D$25),2),0)</f>
        <v/>
      </c>
      <c r="AR209">
        <f>IF(AE209=1,ROUND(SUMIFS('All Donations'!$S$2:$S$4001,'All Donations'!$R$2:$R$4001,AD209,'All Donations'!$T$2:$T$4001,"&gt;="&amp;'Settings'!$C$26,'All Donations'!$T$2:$T$4001,"&lt;="&amp;'Settings'!$D$26),2),0)</f>
        <v/>
      </c>
      <c r="AS209">
        <f>IF(AE209=1,ROUND(SUMIFS('All Donations'!$S$2:$S$4001,'All Donations'!$R$2:$R$4001,AD209,'All Donations'!$T$2:$T$4001,"&lt;="&amp;'Settings'!$D$27),2),0)</f>
        <v/>
      </c>
      <c r="AT209">
        <f>IF(AE209=1,ROUND(SUMIFS('All Donations'!$S$2:$S$4001,'All Donations'!$R$2:$R$4001,AD209,'All Donations'!$T$2:$T$4001,"&gt;="&amp;'Settings'!$C$28,'All Donations'!$T$2:$T$4001,"&lt;="&amp;'Settings'!$D$28),2),0)</f>
        <v/>
      </c>
      <c r="AU209">
        <f>IF(AE209=1,ROUND(SUMIFS('All Donations'!$S$2:$S$4001,'All Donations'!$R$2:$R$4001,AD209,'All Donations'!$T$2:$T$4001,"&gt;="&amp;'Settings'!$C$29,'All Donations'!$T$2:$T$4001,"&lt;="&amp;'Settings'!$D$29),2),0)</f>
        <v/>
      </c>
      <c r="AV209">
        <f>IF(AE209=1,ROUND(SUMIFS('All Donations'!$S$2:$S$4001,'All Donations'!$R$2:$R$4001,AD209,'All Donations'!$T$2:$T$4001,"&lt;="&amp;'Settings'!$D$30),2),0)</f>
        <v/>
      </c>
      <c r="AZ209">
        <f>IF(AE209=1,ROUND(SUMIFS('All Donations'!$S$2:$S$4001,'All Donations'!$R$2:$R$4001,AD209,'All Donations'!$T$2:$T$4001,"&lt;="&amp;'Settings'!$D$34),2),0)</f>
        <v/>
      </c>
    </row>
    <row r="210">
      <c r="A210">
        <f>IF(AE210=1,TRIM(TRIM('Roster'!B210)&amp;" "&amp;TRIM('Roster'!C210)),"")</f>
        <v/>
      </c>
      <c r="B210">
        <f>IF(AE210=1,IF(AN210="","(no teacher)",AN210&amp;" – "&amp;C210),"")</f>
        <v/>
      </c>
      <c r="C210">
        <f>IF(AE210=1,TRIM('Roster'!D210&amp;""),"")</f>
        <v/>
      </c>
      <c r="D210" s="48">
        <f>IF(AE210=1,ROUND(SUMIFS('All Donations'!$S$2:$S$4001,'All Donations'!$R$2:$R$4001,AD210),2),"")</f>
        <v/>
      </c>
      <c r="E210" s="48">
        <f>IF(AE210=1,ROUND(SUMIFS('All Donations'!$S$2:$S$4001,'All Donations'!$R$2:$R$4001,AD210,'All Donations'!$G$2:$G$4001,"OneCause"),2),"")</f>
        <v/>
      </c>
      <c r="F210" s="48">
        <f>IF(AE210=1,D210-E210,"")</f>
        <v/>
      </c>
      <c r="G210">
        <f>IF(AE210=1,COUNTIFS('All Donations'!$R$2:$R$4001,AD210,'All Donations'!$H$2:$H$4001,"OK"),"")</f>
        <v/>
      </c>
      <c r="H210">
        <f>IF(AE210&lt;&gt;1,"",IF(D210&gt;0,"Yes",""))</f>
        <v/>
      </c>
      <c r="I210" s="49">
        <f>IF(OR($AE210&lt;&gt;1,I$1=""),"",SUMIFS('All Donations'!$S$2:$S$4001,'All Donations'!$R$2:$R$4001,$AD210,'All Donations'!$T$2:$T$4001,I$1))</f>
        <v/>
      </c>
      <c r="J210" s="49">
        <f>IF(OR($AE210&lt;&gt;1,J$1=""),"",SUMIFS('All Donations'!$S$2:$S$4001,'All Donations'!$R$2:$R$4001,$AD210,'All Donations'!$T$2:$T$4001,J$1))</f>
        <v/>
      </c>
      <c r="K210" s="49">
        <f>IF(OR($AE210&lt;&gt;1,K$1=""),"",SUMIFS('All Donations'!$S$2:$S$4001,'All Donations'!$R$2:$R$4001,$AD210,'All Donations'!$T$2:$T$4001,K$1))</f>
        <v/>
      </c>
      <c r="L210" s="49">
        <f>IF(OR($AE210&lt;&gt;1,L$1=""),"",SUMIFS('All Donations'!$S$2:$S$4001,'All Donations'!$R$2:$R$4001,$AD210,'All Donations'!$T$2:$T$4001,L$1))</f>
        <v/>
      </c>
      <c r="M210" s="49">
        <f>IF(OR($AE210&lt;&gt;1,M$1=""),"",SUMIFS('All Donations'!$S$2:$S$4001,'All Donations'!$R$2:$R$4001,$AD210,'All Donations'!$T$2:$T$4001,M$1))</f>
        <v/>
      </c>
      <c r="N210" s="49">
        <f>IF(OR($AE210&lt;&gt;1,N$1=""),"",SUMIFS('All Donations'!$S$2:$S$4001,'All Donations'!$R$2:$R$4001,$AD210,'All Donations'!$T$2:$T$4001,N$1))</f>
        <v/>
      </c>
      <c r="O210" s="49">
        <f>IF(OR($AE210&lt;&gt;1,O$1=""),"",SUMIFS('All Donations'!$S$2:$S$4001,'All Donations'!$R$2:$R$4001,$AD210,'All Donations'!$T$2:$T$4001,O$1))</f>
        <v/>
      </c>
      <c r="P210" s="49">
        <f>IF(OR($AE210&lt;&gt;1,P$1=""),"",SUMIFS('All Donations'!$S$2:$S$4001,'All Donations'!$R$2:$R$4001,$AD210,'All Donations'!$T$2:$T$4001,P$1))</f>
        <v/>
      </c>
      <c r="Q210" s="49">
        <f>IF(OR($AE210&lt;&gt;1,Q$1=""),"",SUMIFS('All Donations'!$S$2:$S$4001,'All Donations'!$R$2:$R$4001,$AD210,'All Donations'!$T$2:$T$4001,Q$1))</f>
        <v/>
      </c>
      <c r="R210" s="49">
        <f>IF(OR($AE210&lt;&gt;1,R$1=""),"",SUMIFS('All Donations'!$S$2:$S$4001,'All Donations'!$R$2:$R$4001,$AD210,'All Donations'!$T$2:$T$4001,R$1))</f>
        <v/>
      </c>
      <c r="S210" s="49">
        <f>IF(OR($AE210&lt;&gt;1,S$1=""),"",SUMIFS('All Donations'!$S$2:$S$4001,'All Donations'!$R$2:$R$4001,$AD210,'All Donations'!$T$2:$T$4001,S$1))</f>
        <v/>
      </c>
      <c r="T210" s="49">
        <f>IF(OR($AE210&lt;&gt;1,T$1=""),"",SUMIFS('All Donations'!$S$2:$S$4001,'All Donations'!$R$2:$R$4001,$AD210,'All Donations'!$T$2:$T$4001,T$1))</f>
        <v/>
      </c>
      <c r="U210" s="49">
        <f>IF(OR($AE210&lt;&gt;1,U$1=""),"",SUMIFS('All Donations'!$S$2:$S$4001,'All Donations'!$R$2:$R$4001,$AD210,'All Donations'!$T$2:$T$4001,U$1))</f>
        <v/>
      </c>
      <c r="V210" s="49">
        <f>IF(OR($AE210&lt;&gt;1,V$1=""),"",SUMIFS('All Donations'!$S$2:$S$4001,'All Donations'!$R$2:$R$4001,$AD210,'All Donations'!$T$2:$T$4001,V$1))</f>
        <v/>
      </c>
      <c r="W210" s="49">
        <f>IF(OR($AE210&lt;&gt;1,W$1=""),"",SUMIFS('All Donations'!$S$2:$S$4001,'All Donations'!$R$2:$R$4001,$AD210,'All Donations'!$T$2:$T$4001,W$1))</f>
        <v/>
      </c>
      <c r="X210" s="49">
        <f>IF(OR($AE210&lt;&gt;1,X$1=""),"",SUMIFS('All Donations'!$S$2:$S$4001,'All Donations'!$R$2:$R$4001,$AD210,'All Donations'!$T$2:$T$4001,X$1))</f>
        <v/>
      </c>
      <c r="Y210" s="49">
        <f>IF(OR($AE210&lt;&gt;1,Y$1=""),"",SUMIFS('All Donations'!$S$2:$S$4001,'All Donations'!$R$2:$R$4001,$AD210,'All Donations'!$T$2:$T$4001,Y$1))</f>
        <v/>
      </c>
      <c r="Z210" s="49">
        <f>IF(OR($AE210&lt;&gt;1,Z$1=""),"",SUMIFS('All Donations'!$S$2:$S$4001,'All Donations'!$R$2:$R$4001,$AD210,'All Donations'!$T$2:$T$4001,Z$1))</f>
        <v/>
      </c>
      <c r="AA210" s="49">
        <f>IF(OR($AE210&lt;&gt;1,AA$1=""),"",SUMIFS('All Donations'!$S$2:$S$4001,'All Donations'!$R$2:$R$4001,$AD210,'All Donations'!$T$2:$T$4001,AA$1))</f>
        <v/>
      </c>
      <c r="AB210" s="49">
        <f>IF(OR($AE210&lt;&gt;1,AB$1=""),"",SUMIFS('All Donations'!$S$2:$S$4001,'All Donations'!$R$2:$R$4001,$AD210,'All Donations'!$T$2:$T$4001,AB$1))</f>
        <v/>
      </c>
      <c r="AC210" s="49">
        <f>IF(OR($AE210&lt;&gt;1,AC$1=""),"",SUMIFS('All Donations'!$S$2:$S$4001,'All Donations'!$R$2:$R$4001,$AD210,'All Donations'!$T$2:$T$4001,AC$1))</f>
        <v/>
      </c>
      <c r="AD210">
        <f>IF(AE210=1,'Roster'!A210,"")</f>
        <v/>
      </c>
      <c r="AE210">
        <f>IF(TRIM('Roster'!B210&amp;'Roster'!C210)&lt;&gt;"",1,0)</f>
        <v/>
      </c>
      <c r="AF210">
        <f>IF(AE210=1,LOWER(A210),"#")</f>
        <v/>
      </c>
      <c r="AG210">
        <f>IF(AE210=1,LOWER(TRIM(TRIM('Roster'!C210)&amp;", "&amp;TRIM('Roster'!B210))),"#")</f>
        <v/>
      </c>
      <c r="AH210">
        <f>IF(AND(AE210=1,TRIM('Roster'!F210)&lt;&gt;""),LOWER(TRIM('Roster'!F210)),"#")</f>
        <v/>
      </c>
      <c r="AI210">
        <f>IF(AE210=1,IF(MATCH(B210,$B$2:$B$701,0)=ROW()-1,1,0),0)</f>
        <v/>
      </c>
      <c r="AJ210">
        <f>AJ209+AI210</f>
        <v/>
      </c>
      <c r="AK210">
        <f>IF(AE210=1,D210+(1000-ROW())/10^7,-1)</f>
        <v/>
      </c>
      <c r="AL210">
        <f>IF(AE210=1,TRIM('Roster'!B210)&amp;" "&amp;LEFT(TRIM('Roster'!C210),1)&amp;".","")</f>
        <v/>
      </c>
      <c r="AM210">
        <f>IF(AE210=1,TRIM('Roster'!C210)&amp;", "&amp;TRIM('Roster'!B210)&amp;" ("&amp;B210&amp;") #"&amp;AD210,"")</f>
        <v/>
      </c>
      <c r="AN210">
        <f>IF(AE210=1,TRIM('Roster'!E210),"")</f>
        <v/>
      </c>
      <c r="AO210">
        <f>IF(AE210=1,ROUND(SUMIFS('All Donations'!$S$2:$S$4001,'All Donations'!$R$2:$R$4001,AD210,'All Donations'!$T$2:$T$4001,"&gt;="&amp;'Settings'!$C$23,'All Donations'!$T$2:$T$4001,"&lt;="&amp;'Settings'!$D$23),2),0)</f>
        <v/>
      </c>
      <c r="AQ210">
        <f>IF(AE210=1,ROUND(SUMIFS('All Donations'!$S$2:$S$4001,'All Donations'!$R$2:$R$4001,AD210,'All Donations'!$T$2:$T$4001,"&gt;="&amp;'Settings'!$C$25,'All Donations'!$T$2:$T$4001,"&lt;="&amp;'Settings'!$D$25),2),0)</f>
        <v/>
      </c>
      <c r="AR210">
        <f>IF(AE210=1,ROUND(SUMIFS('All Donations'!$S$2:$S$4001,'All Donations'!$R$2:$R$4001,AD210,'All Donations'!$T$2:$T$4001,"&gt;="&amp;'Settings'!$C$26,'All Donations'!$T$2:$T$4001,"&lt;="&amp;'Settings'!$D$26),2),0)</f>
        <v/>
      </c>
      <c r="AS210">
        <f>IF(AE210=1,ROUND(SUMIFS('All Donations'!$S$2:$S$4001,'All Donations'!$R$2:$R$4001,AD210,'All Donations'!$T$2:$T$4001,"&lt;="&amp;'Settings'!$D$27),2),0)</f>
        <v/>
      </c>
      <c r="AT210">
        <f>IF(AE210=1,ROUND(SUMIFS('All Donations'!$S$2:$S$4001,'All Donations'!$R$2:$R$4001,AD210,'All Donations'!$T$2:$T$4001,"&gt;="&amp;'Settings'!$C$28,'All Donations'!$T$2:$T$4001,"&lt;="&amp;'Settings'!$D$28),2),0)</f>
        <v/>
      </c>
      <c r="AU210">
        <f>IF(AE210=1,ROUND(SUMIFS('All Donations'!$S$2:$S$4001,'All Donations'!$R$2:$R$4001,AD210,'All Donations'!$T$2:$T$4001,"&gt;="&amp;'Settings'!$C$29,'All Donations'!$T$2:$T$4001,"&lt;="&amp;'Settings'!$D$29),2),0)</f>
        <v/>
      </c>
      <c r="AV210">
        <f>IF(AE210=1,ROUND(SUMIFS('All Donations'!$S$2:$S$4001,'All Donations'!$R$2:$R$4001,AD210,'All Donations'!$T$2:$T$4001,"&lt;="&amp;'Settings'!$D$30),2),0)</f>
        <v/>
      </c>
      <c r="AZ210">
        <f>IF(AE210=1,ROUND(SUMIFS('All Donations'!$S$2:$S$4001,'All Donations'!$R$2:$R$4001,AD210,'All Donations'!$T$2:$T$4001,"&lt;="&amp;'Settings'!$D$34),2),0)</f>
        <v/>
      </c>
    </row>
    <row r="211">
      <c r="A211">
        <f>IF(AE211=1,TRIM(TRIM('Roster'!B211)&amp;" "&amp;TRIM('Roster'!C211)),"")</f>
        <v/>
      </c>
      <c r="B211">
        <f>IF(AE211=1,IF(AN211="","(no teacher)",AN211&amp;" – "&amp;C211),"")</f>
        <v/>
      </c>
      <c r="C211">
        <f>IF(AE211=1,TRIM('Roster'!D211&amp;""),"")</f>
        <v/>
      </c>
      <c r="D211" s="48">
        <f>IF(AE211=1,ROUND(SUMIFS('All Donations'!$S$2:$S$4001,'All Donations'!$R$2:$R$4001,AD211),2),"")</f>
        <v/>
      </c>
      <c r="E211" s="48">
        <f>IF(AE211=1,ROUND(SUMIFS('All Donations'!$S$2:$S$4001,'All Donations'!$R$2:$R$4001,AD211,'All Donations'!$G$2:$G$4001,"OneCause"),2),"")</f>
        <v/>
      </c>
      <c r="F211" s="48">
        <f>IF(AE211=1,D211-E211,"")</f>
        <v/>
      </c>
      <c r="G211">
        <f>IF(AE211=1,COUNTIFS('All Donations'!$R$2:$R$4001,AD211,'All Donations'!$H$2:$H$4001,"OK"),"")</f>
        <v/>
      </c>
      <c r="H211">
        <f>IF(AE211&lt;&gt;1,"",IF(D211&gt;0,"Yes",""))</f>
        <v/>
      </c>
      <c r="I211" s="49">
        <f>IF(OR($AE211&lt;&gt;1,I$1=""),"",SUMIFS('All Donations'!$S$2:$S$4001,'All Donations'!$R$2:$R$4001,$AD211,'All Donations'!$T$2:$T$4001,I$1))</f>
        <v/>
      </c>
      <c r="J211" s="49">
        <f>IF(OR($AE211&lt;&gt;1,J$1=""),"",SUMIFS('All Donations'!$S$2:$S$4001,'All Donations'!$R$2:$R$4001,$AD211,'All Donations'!$T$2:$T$4001,J$1))</f>
        <v/>
      </c>
      <c r="K211" s="49">
        <f>IF(OR($AE211&lt;&gt;1,K$1=""),"",SUMIFS('All Donations'!$S$2:$S$4001,'All Donations'!$R$2:$R$4001,$AD211,'All Donations'!$T$2:$T$4001,K$1))</f>
        <v/>
      </c>
      <c r="L211" s="49">
        <f>IF(OR($AE211&lt;&gt;1,L$1=""),"",SUMIFS('All Donations'!$S$2:$S$4001,'All Donations'!$R$2:$R$4001,$AD211,'All Donations'!$T$2:$T$4001,L$1))</f>
        <v/>
      </c>
      <c r="M211" s="49">
        <f>IF(OR($AE211&lt;&gt;1,M$1=""),"",SUMIFS('All Donations'!$S$2:$S$4001,'All Donations'!$R$2:$R$4001,$AD211,'All Donations'!$T$2:$T$4001,M$1))</f>
        <v/>
      </c>
      <c r="N211" s="49">
        <f>IF(OR($AE211&lt;&gt;1,N$1=""),"",SUMIFS('All Donations'!$S$2:$S$4001,'All Donations'!$R$2:$R$4001,$AD211,'All Donations'!$T$2:$T$4001,N$1))</f>
        <v/>
      </c>
      <c r="O211" s="49">
        <f>IF(OR($AE211&lt;&gt;1,O$1=""),"",SUMIFS('All Donations'!$S$2:$S$4001,'All Donations'!$R$2:$R$4001,$AD211,'All Donations'!$T$2:$T$4001,O$1))</f>
        <v/>
      </c>
      <c r="P211" s="49">
        <f>IF(OR($AE211&lt;&gt;1,P$1=""),"",SUMIFS('All Donations'!$S$2:$S$4001,'All Donations'!$R$2:$R$4001,$AD211,'All Donations'!$T$2:$T$4001,P$1))</f>
        <v/>
      </c>
      <c r="Q211" s="49">
        <f>IF(OR($AE211&lt;&gt;1,Q$1=""),"",SUMIFS('All Donations'!$S$2:$S$4001,'All Donations'!$R$2:$R$4001,$AD211,'All Donations'!$T$2:$T$4001,Q$1))</f>
        <v/>
      </c>
      <c r="R211" s="49">
        <f>IF(OR($AE211&lt;&gt;1,R$1=""),"",SUMIFS('All Donations'!$S$2:$S$4001,'All Donations'!$R$2:$R$4001,$AD211,'All Donations'!$T$2:$T$4001,R$1))</f>
        <v/>
      </c>
      <c r="S211" s="49">
        <f>IF(OR($AE211&lt;&gt;1,S$1=""),"",SUMIFS('All Donations'!$S$2:$S$4001,'All Donations'!$R$2:$R$4001,$AD211,'All Donations'!$T$2:$T$4001,S$1))</f>
        <v/>
      </c>
      <c r="T211" s="49">
        <f>IF(OR($AE211&lt;&gt;1,T$1=""),"",SUMIFS('All Donations'!$S$2:$S$4001,'All Donations'!$R$2:$R$4001,$AD211,'All Donations'!$T$2:$T$4001,T$1))</f>
        <v/>
      </c>
      <c r="U211" s="49">
        <f>IF(OR($AE211&lt;&gt;1,U$1=""),"",SUMIFS('All Donations'!$S$2:$S$4001,'All Donations'!$R$2:$R$4001,$AD211,'All Donations'!$T$2:$T$4001,U$1))</f>
        <v/>
      </c>
      <c r="V211" s="49">
        <f>IF(OR($AE211&lt;&gt;1,V$1=""),"",SUMIFS('All Donations'!$S$2:$S$4001,'All Donations'!$R$2:$R$4001,$AD211,'All Donations'!$T$2:$T$4001,V$1))</f>
        <v/>
      </c>
      <c r="W211" s="49">
        <f>IF(OR($AE211&lt;&gt;1,W$1=""),"",SUMIFS('All Donations'!$S$2:$S$4001,'All Donations'!$R$2:$R$4001,$AD211,'All Donations'!$T$2:$T$4001,W$1))</f>
        <v/>
      </c>
      <c r="X211" s="49">
        <f>IF(OR($AE211&lt;&gt;1,X$1=""),"",SUMIFS('All Donations'!$S$2:$S$4001,'All Donations'!$R$2:$R$4001,$AD211,'All Donations'!$T$2:$T$4001,X$1))</f>
        <v/>
      </c>
      <c r="Y211" s="49">
        <f>IF(OR($AE211&lt;&gt;1,Y$1=""),"",SUMIFS('All Donations'!$S$2:$S$4001,'All Donations'!$R$2:$R$4001,$AD211,'All Donations'!$T$2:$T$4001,Y$1))</f>
        <v/>
      </c>
      <c r="Z211" s="49">
        <f>IF(OR($AE211&lt;&gt;1,Z$1=""),"",SUMIFS('All Donations'!$S$2:$S$4001,'All Donations'!$R$2:$R$4001,$AD211,'All Donations'!$T$2:$T$4001,Z$1))</f>
        <v/>
      </c>
      <c r="AA211" s="49">
        <f>IF(OR($AE211&lt;&gt;1,AA$1=""),"",SUMIFS('All Donations'!$S$2:$S$4001,'All Donations'!$R$2:$R$4001,$AD211,'All Donations'!$T$2:$T$4001,AA$1))</f>
        <v/>
      </c>
      <c r="AB211" s="49">
        <f>IF(OR($AE211&lt;&gt;1,AB$1=""),"",SUMIFS('All Donations'!$S$2:$S$4001,'All Donations'!$R$2:$R$4001,$AD211,'All Donations'!$T$2:$T$4001,AB$1))</f>
        <v/>
      </c>
      <c r="AC211" s="49">
        <f>IF(OR($AE211&lt;&gt;1,AC$1=""),"",SUMIFS('All Donations'!$S$2:$S$4001,'All Donations'!$R$2:$R$4001,$AD211,'All Donations'!$T$2:$T$4001,AC$1))</f>
        <v/>
      </c>
      <c r="AD211">
        <f>IF(AE211=1,'Roster'!A211,"")</f>
        <v/>
      </c>
      <c r="AE211">
        <f>IF(TRIM('Roster'!B211&amp;'Roster'!C211)&lt;&gt;"",1,0)</f>
        <v/>
      </c>
      <c r="AF211">
        <f>IF(AE211=1,LOWER(A211),"#")</f>
        <v/>
      </c>
      <c r="AG211">
        <f>IF(AE211=1,LOWER(TRIM(TRIM('Roster'!C211)&amp;", "&amp;TRIM('Roster'!B211))),"#")</f>
        <v/>
      </c>
      <c r="AH211">
        <f>IF(AND(AE211=1,TRIM('Roster'!F211)&lt;&gt;""),LOWER(TRIM('Roster'!F211)),"#")</f>
        <v/>
      </c>
      <c r="AI211">
        <f>IF(AE211=1,IF(MATCH(B211,$B$2:$B$701,0)=ROW()-1,1,0),0)</f>
        <v/>
      </c>
      <c r="AJ211">
        <f>AJ210+AI211</f>
        <v/>
      </c>
      <c r="AK211">
        <f>IF(AE211=1,D211+(1000-ROW())/10^7,-1)</f>
        <v/>
      </c>
      <c r="AL211">
        <f>IF(AE211=1,TRIM('Roster'!B211)&amp;" "&amp;LEFT(TRIM('Roster'!C211),1)&amp;".","")</f>
        <v/>
      </c>
      <c r="AM211">
        <f>IF(AE211=1,TRIM('Roster'!C211)&amp;", "&amp;TRIM('Roster'!B211)&amp;" ("&amp;B211&amp;") #"&amp;AD211,"")</f>
        <v/>
      </c>
      <c r="AN211">
        <f>IF(AE211=1,TRIM('Roster'!E211),"")</f>
        <v/>
      </c>
      <c r="AO211">
        <f>IF(AE211=1,ROUND(SUMIFS('All Donations'!$S$2:$S$4001,'All Donations'!$R$2:$R$4001,AD211,'All Donations'!$T$2:$T$4001,"&gt;="&amp;'Settings'!$C$23,'All Donations'!$T$2:$T$4001,"&lt;="&amp;'Settings'!$D$23),2),0)</f>
        <v/>
      </c>
      <c r="AQ211">
        <f>IF(AE211=1,ROUND(SUMIFS('All Donations'!$S$2:$S$4001,'All Donations'!$R$2:$R$4001,AD211,'All Donations'!$T$2:$T$4001,"&gt;="&amp;'Settings'!$C$25,'All Donations'!$T$2:$T$4001,"&lt;="&amp;'Settings'!$D$25),2),0)</f>
        <v/>
      </c>
      <c r="AR211">
        <f>IF(AE211=1,ROUND(SUMIFS('All Donations'!$S$2:$S$4001,'All Donations'!$R$2:$R$4001,AD211,'All Donations'!$T$2:$T$4001,"&gt;="&amp;'Settings'!$C$26,'All Donations'!$T$2:$T$4001,"&lt;="&amp;'Settings'!$D$26),2),0)</f>
        <v/>
      </c>
      <c r="AS211">
        <f>IF(AE211=1,ROUND(SUMIFS('All Donations'!$S$2:$S$4001,'All Donations'!$R$2:$R$4001,AD211,'All Donations'!$T$2:$T$4001,"&lt;="&amp;'Settings'!$D$27),2),0)</f>
        <v/>
      </c>
      <c r="AT211">
        <f>IF(AE211=1,ROUND(SUMIFS('All Donations'!$S$2:$S$4001,'All Donations'!$R$2:$R$4001,AD211,'All Donations'!$T$2:$T$4001,"&gt;="&amp;'Settings'!$C$28,'All Donations'!$T$2:$T$4001,"&lt;="&amp;'Settings'!$D$28),2),0)</f>
        <v/>
      </c>
      <c r="AU211">
        <f>IF(AE211=1,ROUND(SUMIFS('All Donations'!$S$2:$S$4001,'All Donations'!$R$2:$R$4001,AD211,'All Donations'!$T$2:$T$4001,"&gt;="&amp;'Settings'!$C$29,'All Donations'!$T$2:$T$4001,"&lt;="&amp;'Settings'!$D$29),2),0)</f>
        <v/>
      </c>
      <c r="AV211">
        <f>IF(AE211=1,ROUND(SUMIFS('All Donations'!$S$2:$S$4001,'All Donations'!$R$2:$R$4001,AD211,'All Donations'!$T$2:$T$4001,"&lt;="&amp;'Settings'!$D$30),2),0)</f>
        <v/>
      </c>
      <c r="AZ211">
        <f>IF(AE211=1,ROUND(SUMIFS('All Donations'!$S$2:$S$4001,'All Donations'!$R$2:$R$4001,AD211,'All Donations'!$T$2:$T$4001,"&lt;="&amp;'Settings'!$D$34),2),0)</f>
        <v/>
      </c>
    </row>
    <row r="212">
      <c r="A212">
        <f>IF(AE212=1,TRIM(TRIM('Roster'!B212)&amp;" "&amp;TRIM('Roster'!C212)),"")</f>
        <v/>
      </c>
      <c r="B212">
        <f>IF(AE212=1,IF(AN212="","(no teacher)",AN212&amp;" – "&amp;C212),"")</f>
        <v/>
      </c>
      <c r="C212">
        <f>IF(AE212=1,TRIM('Roster'!D212&amp;""),"")</f>
        <v/>
      </c>
      <c r="D212" s="48">
        <f>IF(AE212=1,ROUND(SUMIFS('All Donations'!$S$2:$S$4001,'All Donations'!$R$2:$R$4001,AD212),2),"")</f>
        <v/>
      </c>
      <c r="E212" s="48">
        <f>IF(AE212=1,ROUND(SUMIFS('All Donations'!$S$2:$S$4001,'All Donations'!$R$2:$R$4001,AD212,'All Donations'!$G$2:$G$4001,"OneCause"),2),"")</f>
        <v/>
      </c>
      <c r="F212" s="48">
        <f>IF(AE212=1,D212-E212,"")</f>
        <v/>
      </c>
      <c r="G212">
        <f>IF(AE212=1,COUNTIFS('All Donations'!$R$2:$R$4001,AD212,'All Donations'!$H$2:$H$4001,"OK"),"")</f>
        <v/>
      </c>
      <c r="H212">
        <f>IF(AE212&lt;&gt;1,"",IF(D212&gt;0,"Yes",""))</f>
        <v/>
      </c>
      <c r="I212" s="49">
        <f>IF(OR($AE212&lt;&gt;1,I$1=""),"",SUMIFS('All Donations'!$S$2:$S$4001,'All Donations'!$R$2:$R$4001,$AD212,'All Donations'!$T$2:$T$4001,I$1))</f>
        <v/>
      </c>
      <c r="J212" s="49">
        <f>IF(OR($AE212&lt;&gt;1,J$1=""),"",SUMIFS('All Donations'!$S$2:$S$4001,'All Donations'!$R$2:$R$4001,$AD212,'All Donations'!$T$2:$T$4001,J$1))</f>
        <v/>
      </c>
      <c r="K212" s="49">
        <f>IF(OR($AE212&lt;&gt;1,K$1=""),"",SUMIFS('All Donations'!$S$2:$S$4001,'All Donations'!$R$2:$R$4001,$AD212,'All Donations'!$T$2:$T$4001,K$1))</f>
        <v/>
      </c>
      <c r="L212" s="49">
        <f>IF(OR($AE212&lt;&gt;1,L$1=""),"",SUMIFS('All Donations'!$S$2:$S$4001,'All Donations'!$R$2:$R$4001,$AD212,'All Donations'!$T$2:$T$4001,L$1))</f>
        <v/>
      </c>
      <c r="M212" s="49">
        <f>IF(OR($AE212&lt;&gt;1,M$1=""),"",SUMIFS('All Donations'!$S$2:$S$4001,'All Donations'!$R$2:$R$4001,$AD212,'All Donations'!$T$2:$T$4001,M$1))</f>
        <v/>
      </c>
      <c r="N212" s="49">
        <f>IF(OR($AE212&lt;&gt;1,N$1=""),"",SUMIFS('All Donations'!$S$2:$S$4001,'All Donations'!$R$2:$R$4001,$AD212,'All Donations'!$T$2:$T$4001,N$1))</f>
        <v/>
      </c>
      <c r="O212" s="49">
        <f>IF(OR($AE212&lt;&gt;1,O$1=""),"",SUMIFS('All Donations'!$S$2:$S$4001,'All Donations'!$R$2:$R$4001,$AD212,'All Donations'!$T$2:$T$4001,O$1))</f>
        <v/>
      </c>
      <c r="P212" s="49">
        <f>IF(OR($AE212&lt;&gt;1,P$1=""),"",SUMIFS('All Donations'!$S$2:$S$4001,'All Donations'!$R$2:$R$4001,$AD212,'All Donations'!$T$2:$T$4001,P$1))</f>
        <v/>
      </c>
      <c r="Q212" s="49">
        <f>IF(OR($AE212&lt;&gt;1,Q$1=""),"",SUMIFS('All Donations'!$S$2:$S$4001,'All Donations'!$R$2:$R$4001,$AD212,'All Donations'!$T$2:$T$4001,Q$1))</f>
        <v/>
      </c>
      <c r="R212" s="49">
        <f>IF(OR($AE212&lt;&gt;1,R$1=""),"",SUMIFS('All Donations'!$S$2:$S$4001,'All Donations'!$R$2:$R$4001,$AD212,'All Donations'!$T$2:$T$4001,R$1))</f>
        <v/>
      </c>
      <c r="S212" s="49">
        <f>IF(OR($AE212&lt;&gt;1,S$1=""),"",SUMIFS('All Donations'!$S$2:$S$4001,'All Donations'!$R$2:$R$4001,$AD212,'All Donations'!$T$2:$T$4001,S$1))</f>
        <v/>
      </c>
      <c r="T212" s="49">
        <f>IF(OR($AE212&lt;&gt;1,T$1=""),"",SUMIFS('All Donations'!$S$2:$S$4001,'All Donations'!$R$2:$R$4001,$AD212,'All Donations'!$T$2:$T$4001,T$1))</f>
        <v/>
      </c>
      <c r="U212" s="49">
        <f>IF(OR($AE212&lt;&gt;1,U$1=""),"",SUMIFS('All Donations'!$S$2:$S$4001,'All Donations'!$R$2:$R$4001,$AD212,'All Donations'!$T$2:$T$4001,U$1))</f>
        <v/>
      </c>
      <c r="V212" s="49">
        <f>IF(OR($AE212&lt;&gt;1,V$1=""),"",SUMIFS('All Donations'!$S$2:$S$4001,'All Donations'!$R$2:$R$4001,$AD212,'All Donations'!$T$2:$T$4001,V$1))</f>
        <v/>
      </c>
      <c r="W212" s="49">
        <f>IF(OR($AE212&lt;&gt;1,W$1=""),"",SUMIFS('All Donations'!$S$2:$S$4001,'All Donations'!$R$2:$R$4001,$AD212,'All Donations'!$T$2:$T$4001,W$1))</f>
        <v/>
      </c>
      <c r="X212" s="49">
        <f>IF(OR($AE212&lt;&gt;1,X$1=""),"",SUMIFS('All Donations'!$S$2:$S$4001,'All Donations'!$R$2:$R$4001,$AD212,'All Donations'!$T$2:$T$4001,X$1))</f>
        <v/>
      </c>
      <c r="Y212" s="49">
        <f>IF(OR($AE212&lt;&gt;1,Y$1=""),"",SUMIFS('All Donations'!$S$2:$S$4001,'All Donations'!$R$2:$R$4001,$AD212,'All Donations'!$T$2:$T$4001,Y$1))</f>
        <v/>
      </c>
      <c r="Z212" s="49">
        <f>IF(OR($AE212&lt;&gt;1,Z$1=""),"",SUMIFS('All Donations'!$S$2:$S$4001,'All Donations'!$R$2:$R$4001,$AD212,'All Donations'!$T$2:$T$4001,Z$1))</f>
        <v/>
      </c>
      <c r="AA212" s="49">
        <f>IF(OR($AE212&lt;&gt;1,AA$1=""),"",SUMIFS('All Donations'!$S$2:$S$4001,'All Donations'!$R$2:$R$4001,$AD212,'All Donations'!$T$2:$T$4001,AA$1))</f>
        <v/>
      </c>
      <c r="AB212" s="49">
        <f>IF(OR($AE212&lt;&gt;1,AB$1=""),"",SUMIFS('All Donations'!$S$2:$S$4001,'All Donations'!$R$2:$R$4001,$AD212,'All Donations'!$T$2:$T$4001,AB$1))</f>
        <v/>
      </c>
      <c r="AC212" s="49">
        <f>IF(OR($AE212&lt;&gt;1,AC$1=""),"",SUMIFS('All Donations'!$S$2:$S$4001,'All Donations'!$R$2:$R$4001,$AD212,'All Donations'!$T$2:$T$4001,AC$1))</f>
        <v/>
      </c>
      <c r="AD212">
        <f>IF(AE212=1,'Roster'!A212,"")</f>
        <v/>
      </c>
      <c r="AE212">
        <f>IF(TRIM('Roster'!B212&amp;'Roster'!C212)&lt;&gt;"",1,0)</f>
        <v/>
      </c>
      <c r="AF212">
        <f>IF(AE212=1,LOWER(A212),"#")</f>
        <v/>
      </c>
      <c r="AG212">
        <f>IF(AE212=1,LOWER(TRIM(TRIM('Roster'!C212)&amp;", "&amp;TRIM('Roster'!B212))),"#")</f>
        <v/>
      </c>
      <c r="AH212">
        <f>IF(AND(AE212=1,TRIM('Roster'!F212)&lt;&gt;""),LOWER(TRIM('Roster'!F212)),"#")</f>
        <v/>
      </c>
      <c r="AI212">
        <f>IF(AE212=1,IF(MATCH(B212,$B$2:$B$701,0)=ROW()-1,1,0),0)</f>
        <v/>
      </c>
      <c r="AJ212">
        <f>AJ211+AI212</f>
        <v/>
      </c>
      <c r="AK212">
        <f>IF(AE212=1,D212+(1000-ROW())/10^7,-1)</f>
        <v/>
      </c>
      <c r="AL212">
        <f>IF(AE212=1,TRIM('Roster'!B212)&amp;" "&amp;LEFT(TRIM('Roster'!C212),1)&amp;".","")</f>
        <v/>
      </c>
      <c r="AM212">
        <f>IF(AE212=1,TRIM('Roster'!C212)&amp;", "&amp;TRIM('Roster'!B212)&amp;" ("&amp;B212&amp;") #"&amp;AD212,"")</f>
        <v/>
      </c>
      <c r="AN212">
        <f>IF(AE212=1,TRIM('Roster'!E212),"")</f>
        <v/>
      </c>
      <c r="AO212">
        <f>IF(AE212=1,ROUND(SUMIFS('All Donations'!$S$2:$S$4001,'All Donations'!$R$2:$R$4001,AD212,'All Donations'!$T$2:$T$4001,"&gt;="&amp;'Settings'!$C$23,'All Donations'!$T$2:$T$4001,"&lt;="&amp;'Settings'!$D$23),2),0)</f>
        <v/>
      </c>
      <c r="AQ212">
        <f>IF(AE212=1,ROUND(SUMIFS('All Donations'!$S$2:$S$4001,'All Donations'!$R$2:$R$4001,AD212,'All Donations'!$T$2:$T$4001,"&gt;="&amp;'Settings'!$C$25,'All Donations'!$T$2:$T$4001,"&lt;="&amp;'Settings'!$D$25),2),0)</f>
        <v/>
      </c>
      <c r="AR212">
        <f>IF(AE212=1,ROUND(SUMIFS('All Donations'!$S$2:$S$4001,'All Donations'!$R$2:$R$4001,AD212,'All Donations'!$T$2:$T$4001,"&gt;="&amp;'Settings'!$C$26,'All Donations'!$T$2:$T$4001,"&lt;="&amp;'Settings'!$D$26),2),0)</f>
        <v/>
      </c>
      <c r="AS212">
        <f>IF(AE212=1,ROUND(SUMIFS('All Donations'!$S$2:$S$4001,'All Donations'!$R$2:$R$4001,AD212,'All Donations'!$T$2:$T$4001,"&lt;="&amp;'Settings'!$D$27),2),0)</f>
        <v/>
      </c>
      <c r="AT212">
        <f>IF(AE212=1,ROUND(SUMIFS('All Donations'!$S$2:$S$4001,'All Donations'!$R$2:$R$4001,AD212,'All Donations'!$T$2:$T$4001,"&gt;="&amp;'Settings'!$C$28,'All Donations'!$T$2:$T$4001,"&lt;="&amp;'Settings'!$D$28),2),0)</f>
        <v/>
      </c>
      <c r="AU212">
        <f>IF(AE212=1,ROUND(SUMIFS('All Donations'!$S$2:$S$4001,'All Donations'!$R$2:$R$4001,AD212,'All Donations'!$T$2:$T$4001,"&gt;="&amp;'Settings'!$C$29,'All Donations'!$T$2:$T$4001,"&lt;="&amp;'Settings'!$D$29),2),0)</f>
        <v/>
      </c>
      <c r="AV212">
        <f>IF(AE212=1,ROUND(SUMIFS('All Donations'!$S$2:$S$4001,'All Donations'!$R$2:$R$4001,AD212,'All Donations'!$T$2:$T$4001,"&lt;="&amp;'Settings'!$D$30),2),0)</f>
        <v/>
      </c>
      <c r="AZ212">
        <f>IF(AE212=1,ROUND(SUMIFS('All Donations'!$S$2:$S$4001,'All Donations'!$R$2:$R$4001,AD212,'All Donations'!$T$2:$T$4001,"&lt;="&amp;'Settings'!$D$34),2),0)</f>
        <v/>
      </c>
    </row>
    <row r="213">
      <c r="A213">
        <f>IF(AE213=1,TRIM(TRIM('Roster'!B213)&amp;" "&amp;TRIM('Roster'!C213)),"")</f>
        <v/>
      </c>
      <c r="B213">
        <f>IF(AE213=1,IF(AN213="","(no teacher)",AN213&amp;" – "&amp;C213),"")</f>
        <v/>
      </c>
      <c r="C213">
        <f>IF(AE213=1,TRIM('Roster'!D213&amp;""),"")</f>
        <v/>
      </c>
      <c r="D213" s="48">
        <f>IF(AE213=1,ROUND(SUMIFS('All Donations'!$S$2:$S$4001,'All Donations'!$R$2:$R$4001,AD213),2),"")</f>
        <v/>
      </c>
      <c r="E213" s="48">
        <f>IF(AE213=1,ROUND(SUMIFS('All Donations'!$S$2:$S$4001,'All Donations'!$R$2:$R$4001,AD213,'All Donations'!$G$2:$G$4001,"OneCause"),2),"")</f>
        <v/>
      </c>
      <c r="F213" s="48">
        <f>IF(AE213=1,D213-E213,"")</f>
        <v/>
      </c>
      <c r="G213">
        <f>IF(AE213=1,COUNTIFS('All Donations'!$R$2:$R$4001,AD213,'All Donations'!$H$2:$H$4001,"OK"),"")</f>
        <v/>
      </c>
      <c r="H213">
        <f>IF(AE213&lt;&gt;1,"",IF(D213&gt;0,"Yes",""))</f>
        <v/>
      </c>
      <c r="I213" s="49">
        <f>IF(OR($AE213&lt;&gt;1,I$1=""),"",SUMIFS('All Donations'!$S$2:$S$4001,'All Donations'!$R$2:$R$4001,$AD213,'All Donations'!$T$2:$T$4001,I$1))</f>
        <v/>
      </c>
      <c r="J213" s="49">
        <f>IF(OR($AE213&lt;&gt;1,J$1=""),"",SUMIFS('All Donations'!$S$2:$S$4001,'All Donations'!$R$2:$R$4001,$AD213,'All Donations'!$T$2:$T$4001,J$1))</f>
        <v/>
      </c>
      <c r="K213" s="49">
        <f>IF(OR($AE213&lt;&gt;1,K$1=""),"",SUMIFS('All Donations'!$S$2:$S$4001,'All Donations'!$R$2:$R$4001,$AD213,'All Donations'!$T$2:$T$4001,K$1))</f>
        <v/>
      </c>
      <c r="L213" s="49">
        <f>IF(OR($AE213&lt;&gt;1,L$1=""),"",SUMIFS('All Donations'!$S$2:$S$4001,'All Donations'!$R$2:$R$4001,$AD213,'All Donations'!$T$2:$T$4001,L$1))</f>
        <v/>
      </c>
      <c r="M213" s="49">
        <f>IF(OR($AE213&lt;&gt;1,M$1=""),"",SUMIFS('All Donations'!$S$2:$S$4001,'All Donations'!$R$2:$R$4001,$AD213,'All Donations'!$T$2:$T$4001,M$1))</f>
        <v/>
      </c>
      <c r="N213" s="49">
        <f>IF(OR($AE213&lt;&gt;1,N$1=""),"",SUMIFS('All Donations'!$S$2:$S$4001,'All Donations'!$R$2:$R$4001,$AD213,'All Donations'!$T$2:$T$4001,N$1))</f>
        <v/>
      </c>
      <c r="O213" s="49">
        <f>IF(OR($AE213&lt;&gt;1,O$1=""),"",SUMIFS('All Donations'!$S$2:$S$4001,'All Donations'!$R$2:$R$4001,$AD213,'All Donations'!$T$2:$T$4001,O$1))</f>
        <v/>
      </c>
      <c r="P213" s="49">
        <f>IF(OR($AE213&lt;&gt;1,P$1=""),"",SUMIFS('All Donations'!$S$2:$S$4001,'All Donations'!$R$2:$R$4001,$AD213,'All Donations'!$T$2:$T$4001,P$1))</f>
        <v/>
      </c>
      <c r="Q213" s="49">
        <f>IF(OR($AE213&lt;&gt;1,Q$1=""),"",SUMIFS('All Donations'!$S$2:$S$4001,'All Donations'!$R$2:$R$4001,$AD213,'All Donations'!$T$2:$T$4001,Q$1))</f>
        <v/>
      </c>
      <c r="R213" s="49">
        <f>IF(OR($AE213&lt;&gt;1,R$1=""),"",SUMIFS('All Donations'!$S$2:$S$4001,'All Donations'!$R$2:$R$4001,$AD213,'All Donations'!$T$2:$T$4001,R$1))</f>
        <v/>
      </c>
      <c r="S213" s="49">
        <f>IF(OR($AE213&lt;&gt;1,S$1=""),"",SUMIFS('All Donations'!$S$2:$S$4001,'All Donations'!$R$2:$R$4001,$AD213,'All Donations'!$T$2:$T$4001,S$1))</f>
        <v/>
      </c>
      <c r="T213" s="49">
        <f>IF(OR($AE213&lt;&gt;1,T$1=""),"",SUMIFS('All Donations'!$S$2:$S$4001,'All Donations'!$R$2:$R$4001,$AD213,'All Donations'!$T$2:$T$4001,T$1))</f>
        <v/>
      </c>
      <c r="U213" s="49">
        <f>IF(OR($AE213&lt;&gt;1,U$1=""),"",SUMIFS('All Donations'!$S$2:$S$4001,'All Donations'!$R$2:$R$4001,$AD213,'All Donations'!$T$2:$T$4001,U$1))</f>
        <v/>
      </c>
      <c r="V213" s="49">
        <f>IF(OR($AE213&lt;&gt;1,V$1=""),"",SUMIFS('All Donations'!$S$2:$S$4001,'All Donations'!$R$2:$R$4001,$AD213,'All Donations'!$T$2:$T$4001,V$1))</f>
        <v/>
      </c>
      <c r="W213" s="49">
        <f>IF(OR($AE213&lt;&gt;1,W$1=""),"",SUMIFS('All Donations'!$S$2:$S$4001,'All Donations'!$R$2:$R$4001,$AD213,'All Donations'!$T$2:$T$4001,W$1))</f>
        <v/>
      </c>
      <c r="X213" s="49">
        <f>IF(OR($AE213&lt;&gt;1,X$1=""),"",SUMIFS('All Donations'!$S$2:$S$4001,'All Donations'!$R$2:$R$4001,$AD213,'All Donations'!$T$2:$T$4001,X$1))</f>
        <v/>
      </c>
      <c r="Y213" s="49">
        <f>IF(OR($AE213&lt;&gt;1,Y$1=""),"",SUMIFS('All Donations'!$S$2:$S$4001,'All Donations'!$R$2:$R$4001,$AD213,'All Donations'!$T$2:$T$4001,Y$1))</f>
        <v/>
      </c>
      <c r="Z213" s="49">
        <f>IF(OR($AE213&lt;&gt;1,Z$1=""),"",SUMIFS('All Donations'!$S$2:$S$4001,'All Donations'!$R$2:$R$4001,$AD213,'All Donations'!$T$2:$T$4001,Z$1))</f>
        <v/>
      </c>
      <c r="AA213" s="49">
        <f>IF(OR($AE213&lt;&gt;1,AA$1=""),"",SUMIFS('All Donations'!$S$2:$S$4001,'All Donations'!$R$2:$R$4001,$AD213,'All Donations'!$T$2:$T$4001,AA$1))</f>
        <v/>
      </c>
      <c r="AB213" s="49">
        <f>IF(OR($AE213&lt;&gt;1,AB$1=""),"",SUMIFS('All Donations'!$S$2:$S$4001,'All Donations'!$R$2:$R$4001,$AD213,'All Donations'!$T$2:$T$4001,AB$1))</f>
        <v/>
      </c>
      <c r="AC213" s="49">
        <f>IF(OR($AE213&lt;&gt;1,AC$1=""),"",SUMIFS('All Donations'!$S$2:$S$4001,'All Donations'!$R$2:$R$4001,$AD213,'All Donations'!$T$2:$T$4001,AC$1))</f>
        <v/>
      </c>
      <c r="AD213">
        <f>IF(AE213=1,'Roster'!A213,"")</f>
        <v/>
      </c>
      <c r="AE213">
        <f>IF(TRIM('Roster'!B213&amp;'Roster'!C213)&lt;&gt;"",1,0)</f>
        <v/>
      </c>
      <c r="AF213">
        <f>IF(AE213=1,LOWER(A213),"#")</f>
        <v/>
      </c>
      <c r="AG213">
        <f>IF(AE213=1,LOWER(TRIM(TRIM('Roster'!C213)&amp;", "&amp;TRIM('Roster'!B213))),"#")</f>
        <v/>
      </c>
      <c r="AH213">
        <f>IF(AND(AE213=1,TRIM('Roster'!F213)&lt;&gt;""),LOWER(TRIM('Roster'!F213)),"#")</f>
        <v/>
      </c>
      <c r="AI213">
        <f>IF(AE213=1,IF(MATCH(B213,$B$2:$B$701,0)=ROW()-1,1,0),0)</f>
        <v/>
      </c>
      <c r="AJ213">
        <f>AJ212+AI213</f>
        <v/>
      </c>
      <c r="AK213">
        <f>IF(AE213=1,D213+(1000-ROW())/10^7,-1)</f>
        <v/>
      </c>
      <c r="AL213">
        <f>IF(AE213=1,TRIM('Roster'!B213)&amp;" "&amp;LEFT(TRIM('Roster'!C213),1)&amp;".","")</f>
        <v/>
      </c>
      <c r="AM213">
        <f>IF(AE213=1,TRIM('Roster'!C213)&amp;", "&amp;TRIM('Roster'!B213)&amp;" ("&amp;B213&amp;") #"&amp;AD213,"")</f>
        <v/>
      </c>
      <c r="AN213">
        <f>IF(AE213=1,TRIM('Roster'!E213),"")</f>
        <v/>
      </c>
      <c r="AO213">
        <f>IF(AE213=1,ROUND(SUMIFS('All Donations'!$S$2:$S$4001,'All Donations'!$R$2:$R$4001,AD213,'All Donations'!$T$2:$T$4001,"&gt;="&amp;'Settings'!$C$23,'All Donations'!$T$2:$T$4001,"&lt;="&amp;'Settings'!$D$23),2),0)</f>
        <v/>
      </c>
      <c r="AQ213">
        <f>IF(AE213=1,ROUND(SUMIFS('All Donations'!$S$2:$S$4001,'All Donations'!$R$2:$R$4001,AD213,'All Donations'!$T$2:$T$4001,"&gt;="&amp;'Settings'!$C$25,'All Donations'!$T$2:$T$4001,"&lt;="&amp;'Settings'!$D$25),2),0)</f>
        <v/>
      </c>
      <c r="AR213">
        <f>IF(AE213=1,ROUND(SUMIFS('All Donations'!$S$2:$S$4001,'All Donations'!$R$2:$R$4001,AD213,'All Donations'!$T$2:$T$4001,"&gt;="&amp;'Settings'!$C$26,'All Donations'!$T$2:$T$4001,"&lt;="&amp;'Settings'!$D$26),2),0)</f>
        <v/>
      </c>
      <c r="AS213">
        <f>IF(AE213=1,ROUND(SUMIFS('All Donations'!$S$2:$S$4001,'All Donations'!$R$2:$R$4001,AD213,'All Donations'!$T$2:$T$4001,"&lt;="&amp;'Settings'!$D$27),2),0)</f>
        <v/>
      </c>
      <c r="AT213">
        <f>IF(AE213=1,ROUND(SUMIFS('All Donations'!$S$2:$S$4001,'All Donations'!$R$2:$R$4001,AD213,'All Donations'!$T$2:$T$4001,"&gt;="&amp;'Settings'!$C$28,'All Donations'!$T$2:$T$4001,"&lt;="&amp;'Settings'!$D$28),2),0)</f>
        <v/>
      </c>
      <c r="AU213">
        <f>IF(AE213=1,ROUND(SUMIFS('All Donations'!$S$2:$S$4001,'All Donations'!$R$2:$R$4001,AD213,'All Donations'!$T$2:$T$4001,"&gt;="&amp;'Settings'!$C$29,'All Donations'!$T$2:$T$4001,"&lt;="&amp;'Settings'!$D$29),2),0)</f>
        <v/>
      </c>
      <c r="AV213">
        <f>IF(AE213=1,ROUND(SUMIFS('All Donations'!$S$2:$S$4001,'All Donations'!$R$2:$R$4001,AD213,'All Donations'!$T$2:$T$4001,"&lt;="&amp;'Settings'!$D$30),2),0)</f>
        <v/>
      </c>
      <c r="AZ213">
        <f>IF(AE213=1,ROUND(SUMIFS('All Donations'!$S$2:$S$4001,'All Donations'!$R$2:$R$4001,AD213,'All Donations'!$T$2:$T$4001,"&lt;="&amp;'Settings'!$D$34),2),0)</f>
        <v/>
      </c>
    </row>
    <row r="214">
      <c r="A214">
        <f>IF(AE214=1,TRIM(TRIM('Roster'!B214)&amp;" "&amp;TRIM('Roster'!C214)),"")</f>
        <v/>
      </c>
      <c r="B214">
        <f>IF(AE214=1,IF(AN214="","(no teacher)",AN214&amp;" – "&amp;C214),"")</f>
        <v/>
      </c>
      <c r="C214">
        <f>IF(AE214=1,TRIM('Roster'!D214&amp;""),"")</f>
        <v/>
      </c>
      <c r="D214" s="48">
        <f>IF(AE214=1,ROUND(SUMIFS('All Donations'!$S$2:$S$4001,'All Donations'!$R$2:$R$4001,AD214),2),"")</f>
        <v/>
      </c>
      <c r="E214" s="48">
        <f>IF(AE214=1,ROUND(SUMIFS('All Donations'!$S$2:$S$4001,'All Donations'!$R$2:$R$4001,AD214,'All Donations'!$G$2:$G$4001,"OneCause"),2),"")</f>
        <v/>
      </c>
      <c r="F214" s="48">
        <f>IF(AE214=1,D214-E214,"")</f>
        <v/>
      </c>
      <c r="G214">
        <f>IF(AE214=1,COUNTIFS('All Donations'!$R$2:$R$4001,AD214,'All Donations'!$H$2:$H$4001,"OK"),"")</f>
        <v/>
      </c>
      <c r="H214">
        <f>IF(AE214&lt;&gt;1,"",IF(D214&gt;0,"Yes",""))</f>
        <v/>
      </c>
      <c r="I214" s="49">
        <f>IF(OR($AE214&lt;&gt;1,I$1=""),"",SUMIFS('All Donations'!$S$2:$S$4001,'All Donations'!$R$2:$R$4001,$AD214,'All Donations'!$T$2:$T$4001,I$1))</f>
        <v/>
      </c>
      <c r="J214" s="49">
        <f>IF(OR($AE214&lt;&gt;1,J$1=""),"",SUMIFS('All Donations'!$S$2:$S$4001,'All Donations'!$R$2:$R$4001,$AD214,'All Donations'!$T$2:$T$4001,J$1))</f>
        <v/>
      </c>
      <c r="K214" s="49">
        <f>IF(OR($AE214&lt;&gt;1,K$1=""),"",SUMIFS('All Donations'!$S$2:$S$4001,'All Donations'!$R$2:$R$4001,$AD214,'All Donations'!$T$2:$T$4001,K$1))</f>
        <v/>
      </c>
      <c r="L214" s="49">
        <f>IF(OR($AE214&lt;&gt;1,L$1=""),"",SUMIFS('All Donations'!$S$2:$S$4001,'All Donations'!$R$2:$R$4001,$AD214,'All Donations'!$T$2:$T$4001,L$1))</f>
        <v/>
      </c>
      <c r="M214" s="49">
        <f>IF(OR($AE214&lt;&gt;1,M$1=""),"",SUMIFS('All Donations'!$S$2:$S$4001,'All Donations'!$R$2:$R$4001,$AD214,'All Donations'!$T$2:$T$4001,M$1))</f>
        <v/>
      </c>
      <c r="N214" s="49">
        <f>IF(OR($AE214&lt;&gt;1,N$1=""),"",SUMIFS('All Donations'!$S$2:$S$4001,'All Donations'!$R$2:$R$4001,$AD214,'All Donations'!$T$2:$T$4001,N$1))</f>
        <v/>
      </c>
      <c r="O214" s="49">
        <f>IF(OR($AE214&lt;&gt;1,O$1=""),"",SUMIFS('All Donations'!$S$2:$S$4001,'All Donations'!$R$2:$R$4001,$AD214,'All Donations'!$T$2:$T$4001,O$1))</f>
        <v/>
      </c>
      <c r="P214" s="49">
        <f>IF(OR($AE214&lt;&gt;1,P$1=""),"",SUMIFS('All Donations'!$S$2:$S$4001,'All Donations'!$R$2:$R$4001,$AD214,'All Donations'!$T$2:$T$4001,P$1))</f>
        <v/>
      </c>
      <c r="Q214" s="49">
        <f>IF(OR($AE214&lt;&gt;1,Q$1=""),"",SUMIFS('All Donations'!$S$2:$S$4001,'All Donations'!$R$2:$R$4001,$AD214,'All Donations'!$T$2:$T$4001,Q$1))</f>
        <v/>
      </c>
      <c r="R214" s="49">
        <f>IF(OR($AE214&lt;&gt;1,R$1=""),"",SUMIFS('All Donations'!$S$2:$S$4001,'All Donations'!$R$2:$R$4001,$AD214,'All Donations'!$T$2:$T$4001,R$1))</f>
        <v/>
      </c>
      <c r="S214" s="49">
        <f>IF(OR($AE214&lt;&gt;1,S$1=""),"",SUMIFS('All Donations'!$S$2:$S$4001,'All Donations'!$R$2:$R$4001,$AD214,'All Donations'!$T$2:$T$4001,S$1))</f>
        <v/>
      </c>
      <c r="T214" s="49">
        <f>IF(OR($AE214&lt;&gt;1,T$1=""),"",SUMIFS('All Donations'!$S$2:$S$4001,'All Donations'!$R$2:$R$4001,$AD214,'All Donations'!$T$2:$T$4001,T$1))</f>
        <v/>
      </c>
      <c r="U214" s="49">
        <f>IF(OR($AE214&lt;&gt;1,U$1=""),"",SUMIFS('All Donations'!$S$2:$S$4001,'All Donations'!$R$2:$R$4001,$AD214,'All Donations'!$T$2:$T$4001,U$1))</f>
        <v/>
      </c>
      <c r="V214" s="49">
        <f>IF(OR($AE214&lt;&gt;1,V$1=""),"",SUMIFS('All Donations'!$S$2:$S$4001,'All Donations'!$R$2:$R$4001,$AD214,'All Donations'!$T$2:$T$4001,V$1))</f>
        <v/>
      </c>
      <c r="W214" s="49">
        <f>IF(OR($AE214&lt;&gt;1,W$1=""),"",SUMIFS('All Donations'!$S$2:$S$4001,'All Donations'!$R$2:$R$4001,$AD214,'All Donations'!$T$2:$T$4001,W$1))</f>
        <v/>
      </c>
      <c r="X214" s="49">
        <f>IF(OR($AE214&lt;&gt;1,X$1=""),"",SUMIFS('All Donations'!$S$2:$S$4001,'All Donations'!$R$2:$R$4001,$AD214,'All Donations'!$T$2:$T$4001,X$1))</f>
        <v/>
      </c>
      <c r="Y214" s="49">
        <f>IF(OR($AE214&lt;&gt;1,Y$1=""),"",SUMIFS('All Donations'!$S$2:$S$4001,'All Donations'!$R$2:$R$4001,$AD214,'All Donations'!$T$2:$T$4001,Y$1))</f>
        <v/>
      </c>
      <c r="Z214" s="49">
        <f>IF(OR($AE214&lt;&gt;1,Z$1=""),"",SUMIFS('All Donations'!$S$2:$S$4001,'All Donations'!$R$2:$R$4001,$AD214,'All Donations'!$T$2:$T$4001,Z$1))</f>
        <v/>
      </c>
      <c r="AA214" s="49">
        <f>IF(OR($AE214&lt;&gt;1,AA$1=""),"",SUMIFS('All Donations'!$S$2:$S$4001,'All Donations'!$R$2:$R$4001,$AD214,'All Donations'!$T$2:$T$4001,AA$1))</f>
        <v/>
      </c>
      <c r="AB214" s="49">
        <f>IF(OR($AE214&lt;&gt;1,AB$1=""),"",SUMIFS('All Donations'!$S$2:$S$4001,'All Donations'!$R$2:$R$4001,$AD214,'All Donations'!$T$2:$T$4001,AB$1))</f>
        <v/>
      </c>
      <c r="AC214" s="49">
        <f>IF(OR($AE214&lt;&gt;1,AC$1=""),"",SUMIFS('All Donations'!$S$2:$S$4001,'All Donations'!$R$2:$R$4001,$AD214,'All Donations'!$T$2:$T$4001,AC$1))</f>
        <v/>
      </c>
      <c r="AD214">
        <f>IF(AE214=1,'Roster'!A214,"")</f>
        <v/>
      </c>
      <c r="AE214">
        <f>IF(TRIM('Roster'!B214&amp;'Roster'!C214)&lt;&gt;"",1,0)</f>
        <v/>
      </c>
      <c r="AF214">
        <f>IF(AE214=1,LOWER(A214),"#")</f>
        <v/>
      </c>
      <c r="AG214">
        <f>IF(AE214=1,LOWER(TRIM(TRIM('Roster'!C214)&amp;", "&amp;TRIM('Roster'!B214))),"#")</f>
        <v/>
      </c>
      <c r="AH214">
        <f>IF(AND(AE214=1,TRIM('Roster'!F214)&lt;&gt;""),LOWER(TRIM('Roster'!F214)),"#")</f>
        <v/>
      </c>
      <c r="AI214">
        <f>IF(AE214=1,IF(MATCH(B214,$B$2:$B$701,0)=ROW()-1,1,0),0)</f>
        <v/>
      </c>
      <c r="AJ214">
        <f>AJ213+AI214</f>
        <v/>
      </c>
      <c r="AK214">
        <f>IF(AE214=1,D214+(1000-ROW())/10^7,-1)</f>
        <v/>
      </c>
      <c r="AL214">
        <f>IF(AE214=1,TRIM('Roster'!B214)&amp;" "&amp;LEFT(TRIM('Roster'!C214),1)&amp;".","")</f>
        <v/>
      </c>
      <c r="AM214">
        <f>IF(AE214=1,TRIM('Roster'!C214)&amp;", "&amp;TRIM('Roster'!B214)&amp;" ("&amp;B214&amp;") #"&amp;AD214,"")</f>
        <v/>
      </c>
      <c r="AN214">
        <f>IF(AE214=1,TRIM('Roster'!E214),"")</f>
        <v/>
      </c>
      <c r="AO214">
        <f>IF(AE214=1,ROUND(SUMIFS('All Donations'!$S$2:$S$4001,'All Donations'!$R$2:$R$4001,AD214,'All Donations'!$T$2:$T$4001,"&gt;="&amp;'Settings'!$C$23,'All Donations'!$T$2:$T$4001,"&lt;="&amp;'Settings'!$D$23),2),0)</f>
        <v/>
      </c>
      <c r="AQ214">
        <f>IF(AE214=1,ROUND(SUMIFS('All Donations'!$S$2:$S$4001,'All Donations'!$R$2:$R$4001,AD214,'All Donations'!$T$2:$T$4001,"&gt;="&amp;'Settings'!$C$25,'All Donations'!$T$2:$T$4001,"&lt;="&amp;'Settings'!$D$25),2),0)</f>
        <v/>
      </c>
      <c r="AR214">
        <f>IF(AE214=1,ROUND(SUMIFS('All Donations'!$S$2:$S$4001,'All Donations'!$R$2:$R$4001,AD214,'All Donations'!$T$2:$T$4001,"&gt;="&amp;'Settings'!$C$26,'All Donations'!$T$2:$T$4001,"&lt;="&amp;'Settings'!$D$26),2),0)</f>
        <v/>
      </c>
      <c r="AS214">
        <f>IF(AE214=1,ROUND(SUMIFS('All Donations'!$S$2:$S$4001,'All Donations'!$R$2:$R$4001,AD214,'All Donations'!$T$2:$T$4001,"&lt;="&amp;'Settings'!$D$27),2),0)</f>
        <v/>
      </c>
      <c r="AT214">
        <f>IF(AE214=1,ROUND(SUMIFS('All Donations'!$S$2:$S$4001,'All Donations'!$R$2:$R$4001,AD214,'All Donations'!$T$2:$T$4001,"&gt;="&amp;'Settings'!$C$28,'All Donations'!$T$2:$T$4001,"&lt;="&amp;'Settings'!$D$28),2),0)</f>
        <v/>
      </c>
      <c r="AU214">
        <f>IF(AE214=1,ROUND(SUMIFS('All Donations'!$S$2:$S$4001,'All Donations'!$R$2:$R$4001,AD214,'All Donations'!$T$2:$T$4001,"&gt;="&amp;'Settings'!$C$29,'All Donations'!$T$2:$T$4001,"&lt;="&amp;'Settings'!$D$29),2),0)</f>
        <v/>
      </c>
      <c r="AV214">
        <f>IF(AE214=1,ROUND(SUMIFS('All Donations'!$S$2:$S$4001,'All Donations'!$R$2:$R$4001,AD214,'All Donations'!$T$2:$T$4001,"&lt;="&amp;'Settings'!$D$30),2),0)</f>
        <v/>
      </c>
      <c r="AZ214">
        <f>IF(AE214=1,ROUND(SUMIFS('All Donations'!$S$2:$S$4001,'All Donations'!$R$2:$R$4001,AD214,'All Donations'!$T$2:$T$4001,"&lt;="&amp;'Settings'!$D$34),2),0)</f>
        <v/>
      </c>
    </row>
    <row r="215">
      <c r="A215">
        <f>IF(AE215=1,TRIM(TRIM('Roster'!B215)&amp;" "&amp;TRIM('Roster'!C215)),"")</f>
        <v/>
      </c>
      <c r="B215">
        <f>IF(AE215=1,IF(AN215="","(no teacher)",AN215&amp;" – "&amp;C215),"")</f>
        <v/>
      </c>
      <c r="C215">
        <f>IF(AE215=1,TRIM('Roster'!D215&amp;""),"")</f>
        <v/>
      </c>
      <c r="D215" s="48">
        <f>IF(AE215=1,ROUND(SUMIFS('All Donations'!$S$2:$S$4001,'All Donations'!$R$2:$R$4001,AD215),2),"")</f>
        <v/>
      </c>
      <c r="E215" s="48">
        <f>IF(AE215=1,ROUND(SUMIFS('All Donations'!$S$2:$S$4001,'All Donations'!$R$2:$R$4001,AD215,'All Donations'!$G$2:$G$4001,"OneCause"),2),"")</f>
        <v/>
      </c>
      <c r="F215" s="48">
        <f>IF(AE215=1,D215-E215,"")</f>
        <v/>
      </c>
      <c r="G215">
        <f>IF(AE215=1,COUNTIFS('All Donations'!$R$2:$R$4001,AD215,'All Donations'!$H$2:$H$4001,"OK"),"")</f>
        <v/>
      </c>
      <c r="H215">
        <f>IF(AE215&lt;&gt;1,"",IF(D215&gt;0,"Yes",""))</f>
        <v/>
      </c>
      <c r="I215" s="49">
        <f>IF(OR($AE215&lt;&gt;1,I$1=""),"",SUMIFS('All Donations'!$S$2:$S$4001,'All Donations'!$R$2:$R$4001,$AD215,'All Donations'!$T$2:$T$4001,I$1))</f>
        <v/>
      </c>
      <c r="J215" s="49">
        <f>IF(OR($AE215&lt;&gt;1,J$1=""),"",SUMIFS('All Donations'!$S$2:$S$4001,'All Donations'!$R$2:$R$4001,$AD215,'All Donations'!$T$2:$T$4001,J$1))</f>
        <v/>
      </c>
      <c r="K215" s="49">
        <f>IF(OR($AE215&lt;&gt;1,K$1=""),"",SUMIFS('All Donations'!$S$2:$S$4001,'All Donations'!$R$2:$R$4001,$AD215,'All Donations'!$T$2:$T$4001,K$1))</f>
        <v/>
      </c>
      <c r="L215" s="49">
        <f>IF(OR($AE215&lt;&gt;1,L$1=""),"",SUMIFS('All Donations'!$S$2:$S$4001,'All Donations'!$R$2:$R$4001,$AD215,'All Donations'!$T$2:$T$4001,L$1))</f>
        <v/>
      </c>
      <c r="M215" s="49">
        <f>IF(OR($AE215&lt;&gt;1,M$1=""),"",SUMIFS('All Donations'!$S$2:$S$4001,'All Donations'!$R$2:$R$4001,$AD215,'All Donations'!$T$2:$T$4001,M$1))</f>
        <v/>
      </c>
      <c r="N215" s="49">
        <f>IF(OR($AE215&lt;&gt;1,N$1=""),"",SUMIFS('All Donations'!$S$2:$S$4001,'All Donations'!$R$2:$R$4001,$AD215,'All Donations'!$T$2:$T$4001,N$1))</f>
        <v/>
      </c>
      <c r="O215" s="49">
        <f>IF(OR($AE215&lt;&gt;1,O$1=""),"",SUMIFS('All Donations'!$S$2:$S$4001,'All Donations'!$R$2:$R$4001,$AD215,'All Donations'!$T$2:$T$4001,O$1))</f>
        <v/>
      </c>
      <c r="P215" s="49">
        <f>IF(OR($AE215&lt;&gt;1,P$1=""),"",SUMIFS('All Donations'!$S$2:$S$4001,'All Donations'!$R$2:$R$4001,$AD215,'All Donations'!$T$2:$T$4001,P$1))</f>
        <v/>
      </c>
      <c r="Q215" s="49">
        <f>IF(OR($AE215&lt;&gt;1,Q$1=""),"",SUMIFS('All Donations'!$S$2:$S$4001,'All Donations'!$R$2:$R$4001,$AD215,'All Donations'!$T$2:$T$4001,Q$1))</f>
        <v/>
      </c>
      <c r="R215" s="49">
        <f>IF(OR($AE215&lt;&gt;1,R$1=""),"",SUMIFS('All Donations'!$S$2:$S$4001,'All Donations'!$R$2:$R$4001,$AD215,'All Donations'!$T$2:$T$4001,R$1))</f>
        <v/>
      </c>
      <c r="S215" s="49">
        <f>IF(OR($AE215&lt;&gt;1,S$1=""),"",SUMIFS('All Donations'!$S$2:$S$4001,'All Donations'!$R$2:$R$4001,$AD215,'All Donations'!$T$2:$T$4001,S$1))</f>
        <v/>
      </c>
      <c r="T215" s="49">
        <f>IF(OR($AE215&lt;&gt;1,T$1=""),"",SUMIFS('All Donations'!$S$2:$S$4001,'All Donations'!$R$2:$R$4001,$AD215,'All Donations'!$T$2:$T$4001,T$1))</f>
        <v/>
      </c>
      <c r="U215" s="49">
        <f>IF(OR($AE215&lt;&gt;1,U$1=""),"",SUMIFS('All Donations'!$S$2:$S$4001,'All Donations'!$R$2:$R$4001,$AD215,'All Donations'!$T$2:$T$4001,U$1))</f>
        <v/>
      </c>
      <c r="V215" s="49">
        <f>IF(OR($AE215&lt;&gt;1,V$1=""),"",SUMIFS('All Donations'!$S$2:$S$4001,'All Donations'!$R$2:$R$4001,$AD215,'All Donations'!$T$2:$T$4001,V$1))</f>
        <v/>
      </c>
      <c r="W215" s="49">
        <f>IF(OR($AE215&lt;&gt;1,W$1=""),"",SUMIFS('All Donations'!$S$2:$S$4001,'All Donations'!$R$2:$R$4001,$AD215,'All Donations'!$T$2:$T$4001,W$1))</f>
        <v/>
      </c>
      <c r="X215" s="49">
        <f>IF(OR($AE215&lt;&gt;1,X$1=""),"",SUMIFS('All Donations'!$S$2:$S$4001,'All Donations'!$R$2:$R$4001,$AD215,'All Donations'!$T$2:$T$4001,X$1))</f>
        <v/>
      </c>
      <c r="Y215" s="49">
        <f>IF(OR($AE215&lt;&gt;1,Y$1=""),"",SUMIFS('All Donations'!$S$2:$S$4001,'All Donations'!$R$2:$R$4001,$AD215,'All Donations'!$T$2:$T$4001,Y$1))</f>
        <v/>
      </c>
      <c r="Z215" s="49">
        <f>IF(OR($AE215&lt;&gt;1,Z$1=""),"",SUMIFS('All Donations'!$S$2:$S$4001,'All Donations'!$R$2:$R$4001,$AD215,'All Donations'!$T$2:$T$4001,Z$1))</f>
        <v/>
      </c>
      <c r="AA215" s="49">
        <f>IF(OR($AE215&lt;&gt;1,AA$1=""),"",SUMIFS('All Donations'!$S$2:$S$4001,'All Donations'!$R$2:$R$4001,$AD215,'All Donations'!$T$2:$T$4001,AA$1))</f>
        <v/>
      </c>
      <c r="AB215" s="49">
        <f>IF(OR($AE215&lt;&gt;1,AB$1=""),"",SUMIFS('All Donations'!$S$2:$S$4001,'All Donations'!$R$2:$R$4001,$AD215,'All Donations'!$T$2:$T$4001,AB$1))</f>
        <v/>
      </c>
      <c r="AC215" s="49">
        <f>IF(OR($AE215&lt;&gt;1,AC$1=""),"",SUMIFS('All Donations'!$S$2:$S$4001,'All Donations'!$R$2:$R$4001,$AD215,'All Donations'!$T$2:$T$4001,AC$1))</f>
        <v/>
      </c>
      <c r="AD215">
        <f>IF(AE215=1,'Roster'!A215,"")</f>
        <v/>
      </c>
      <c r="AE215">
        <f>IF(TRIM('Roster'!B215&amp;'Roster'!C215)&lt;&gt;"",1,0)</f>
        <v/>
      </c>
      <c r="AF215">
        <f>IF(AE215=1,LOWER(A215),"#")</f>
        <v/>
      </c>
      <c r="AG215">
        <f>IF(AE215=1,LOWER(TRIM(TRIM('Roster'!C215)&amp;", "&amp;TRIM('Roster'!B215))),"#")</f>
        <v/>
      </c>
      <c r="AH215">
        <f>IF(AND(AE215=1,TRIM('Roster'!F215)&lt;&gt;""),LOWER(TRIM('Roster'!F215)),"#")</f>
        <v/>
      </c>
      <c r="AI215">
        <f>IF(AE215=1,IF(MATCH(B215,$B$2:$B$701,0)=ROW()-1,1,0),0)</f>
        <v/>
      </c>
      <c r="AJ215">
        <f>AJ214+AI215</f>
        <v/>
      </c>
      <c r="AK215">
        <f>IF(AE215=1,D215+(1000-ROW())/10^7,-1)</f>
        <v/>
      </c>
      <c r="AL215">
        <f>IF(AE215=1,TRIM('Roster'!B215)&amp;" "&amp;LEFT(TRIM('Roster'!C215),1)&amp;".","")</f>
        <v/>
      </c>
      <c r="AM215">
        <f>IF(AE215=1,TRIM('Roster'!C215)&amp;", "&amp;TRIM('Roster'!B215)&amp;" ("&amp;B215&amp;") #"&amp;AD215,"")</f>
        <v/>
      </c>
      <c r="AN215">
        <f>IF(AE215=1,TRIM('Roster'!E215),"")</f>
        <v/>
      </c>
      <c r="AO215">
        <f>IF(AE215=1,ROUND(SUMIFS('All Donations'!$S$2:$S$4001,'All Donations'!$R$2:$R$4001,AD215,'All Donations'!$T$2:$T$4001,"&gt;="&amp;'Settings'!$C$23,'All Donations'!$T$2:$T$4001,"&lt;="&amp;'Settings'!$D$23),2),0)</f>
        <v/>
      </c>
      <c r="AQ215">
        <f>IF(AE215=1,ROUND(SUMIFS('All Donations'!$S$2:$S$4001,'All Donations'!$R$2:$R$4001,AD215,'All Donations'!$T$2:$T$4001,"&gt;="&amp;'Settings'!$C$25,'All Donations'!$T$2:$T$4001,"&lt;="&amp;'Settings'!$D$25),2),0)</f>
        <v/>
      </c>
      <c r="AR215">
        <f>IF(AE215=1,ROUND(SUMIFS('All Donations'!$S$2:$S$4001,'All Donations'!$R$2:$R$4001,AD215,'All Donations'!$T$2:$T$4001,"&gt;="&amp;'Settings'!$C$26,'All Donations'!$T$2:$T$4001,"&lt;="&amp;'Settings'!$D$26),2),0)</f>
        <v/>
      </c>
      <c r="AS215">
        <f>IF(AE215=1,ROUND(SUMIFS('All Donations'!$S$2:$S$4001,'All Donations'!$R$2:$R$4001,AD215,'All Donations'!$T$2:$T$4001,"&lt;="&amp;'Settings'!$D$27),2),0)</f>
        <v/>
      </c>
      <c r="AT215">
        <f>IF(AE215=1,ROUND(SUMIFS('All Donations'!$S$2:$S$4001,'All Donations'!$R$2:$R$4001,AD215,'All Donations'!$T$2:$T$4001,"&gt;="&amp;'Settings'!$C$28,'All Donations'!$T$2:$T$4001,"&lt;="&amp;'Settings'!$D$28),2),0)</f>
        <v/>
      </c>
      <c r="AU215">
        <f>IF(AE215=1,ROUND(SUMIFS('All Donations'!$S$2:$S$4001,'All Donations'!$R$2:$R$4001,AD215,'All Donations'!$T$2:$T$4001,"&gt;="&amp;'Settings'!$C$29,'All Donations'!$T$2:$T$4001,"&lt;="&amp;'Settings'!$D$29),2),0)</f>
        <v/>
      </c>
      <c r="AV215">
        <f>IF(AE215=1,ROUND(SUMIFS('All Donations'!$S$2:$S$4001,'All Donations'!$R$2:$R$4001,AD215,'All Donations'!$T$2:$T$4001,"&lt;="&amp;'Settings'!$D$30),2),0)</f>
        <v/>
      </c>
      <c r="AZ215">
        <f>IF(AE215=1,ROUND(SUMIFS('All Donations'!$S$2:$S$4001,'All Donations'!$R$2:$R$4001,AD215,'All Donations'!$T$2:$T$4001,"&lt;="&amp;'Settings'!$D$34),2),0)</f>
        <v/>
      </c>
    </row>
    <row r="216">
      <c r="A216">
        <f>IF(AE216=1,TRIM(TRIM('Roster'!B216)&amp;" "&amp;TRIM('Roster'!C216)),"")</f>
        <v/>
      </c>
      <c r="B216">
        <f>IF(AE216=1,IF(AN216="","(no teacher)",AN216&amp;" – "&amp;C216),"")</f>
        <v/>
      </c>
      <c r="C216">
        <f>IF(AE216=1,TRIM('Roster'!D216&amp;""),"")</f>
        <v/>
      </c>
      <c r="D216" s="48">
        <f>IF(AE216=1,ROUND(SUMIFS('All Donations'!$S$2:$S$4001,'All Donations'!$R$2:$R$4001,AD216),2),"")</f>
        <v/>
      </c>
      <c r="E216" s="48">
        <f>IF(AE216=1,ROUND(SUMIFS('All Donations'!$S$2:$S$4001,'All Donations'!$R$2:$R$4001,AD216,'All Donations'!$G$2:$G$4001,"OneCause"),2),"")</f>
        <v/>
      </c>
      <c r="F216" s="48">
        <f>IF(AE216=1,D216-E216,"")</f>
        <v/>
      </c>
      <c r="G216">
        <f>IF(AE216=1,COUNTIFS('All Donations'!$R$2:$R$4001,AD216,'All Donations'!$H$2:$H$4001,"OK"),"")</f>
        <v/>
      </c>
      <c r="H216">
        <f>IF(AE216&lt;&gt;1,"",IF(D216&gt;0,"Yes",""))</f>
        <v/>
      </c>
      <c r="I216" s="49">
        <f>IF(OR($AE216&lt;&gt;1,I$1=""),"",SUMIFS('All Donations'!$S$2:$S$4001,'All Donations'!$R$2:$R$4001,$AD216,'All Donations'!$T$2:$T$4001,I$1))</f>
        <v/>
      </c>
      <c r="J216" s="49">
        <f>IF(OR($AE216&lt;&gt;1,J$1=""),"",SUMIFS('All Donations'!$S$2:$S$4001,'All Donations'!$R$2:$R$4001,$AD216,'All Donations'!$T$2:$T$4001,J$1))</f>
        <v/>
      </c>
      <c r="K216" s="49">
        <f>IF(OR($AE216&lt;&gt;1,K$1=""),"",SUMIFS('All Donations'!$S$2:$S$4001,'All Donations'!$R$2:$R$4001,$AD216,'All Donations'!$T$2:$T$4001,K$1))</f>
        <v/>
      </c>
      <c r="L216" s="49">
        <f>IF(OR($AE216&lt;&gt;1,L$1=""),"",SUMIFS('All Donations'!$S$2:$S$4001,'All Donations'!$R$2:$R$4001,$AD216,'All Donations'!$T$2:$T$4001,L$1))</f>
        <v/>
      </c>
      <c r="M216" s="49">
        <f>IF(OR($AE216&lt;&gt;1,M$1=""),"",SUMIFS('All Donations'!$S$2:$S$4001,'All Donations'!$R$2:$R$4001,$AD216,'All Donations'!$T$2:$T$4001,M$1))</f>
        <v/>
      </c>
      <c r="N216" s="49">
        <f>IF(OR($AE216&lt;&gt;1,N$1=""),"",SUMIFS('All Donations'!$S$2:$S$4001,'All Donations'!$R$2:$R$4001,$AD216,'All Donations'!$T$2:$T$4001,N$1))</f>
        <v/>
      </c>
      <c r="O216" s="49">
        <f>IF(OR($AE216&lt;&gt;1,O$1=""),"",SUMIFS('All Donations'!$S$2:$S$4001,'All Donations'!$R$2:$R$4001,$AD216,'All Donations'!$T$2:$T$4001,O$1))</f>
        <v/>
      </c>
      <c r="P216" s="49">
        <f>IF(OR($AE216&lt;&gt;1,P$1=""),"",SUMIFS('All Donations'!$S$2:$S$4001,'All Donations'!$R$2:$R$4001,$AD216,'All Donations'!$T$2:$T$4001,P$1))</f>
        <v/>
      </c>
      <c r="Q216" s="49">
        <f>IF(OR($AE216&lt;&gt;1,Q$1=""),"",SUMIFS('All Donations'!$S$2:$S$4001,'All Donations'!$R$2:$R$4001,$AD216,'All Donations'!$T$2:$T$4001,Q$1))</f>
        <v/>
      </c>
      <c r="R216" s="49">
        <f>IF(OR($AE216&lt;&gt;1,R$1=""),"",SUMIFS('All Donations'!$S$2:$S$4001,'All Donations'!$R$2:$R$4001,$AD216,'All Donations'!$T$2:$T$4001,R$1))</f>
        <v/>
      </c>
      <c r="S216" s="49">
        <f>IF(OR($AE216&lt;&gt;1,S$1=""),"",SUMIFS('All Donations'!$S$2:$S$4001,'All Donations'!$R$2:$R$4001,$AD216,'All Donations'!$T$2:$T$4001,S$1))</f>
        <v/>
      </c>
      <c r="T216" s="49">
        <f>IF(OR($AE216&lt;&gt;1,T$1=""),"",SUMIFS('All Donations'!$S$2:$S$4001,'All Donations'!$R$2:$R$4001,$AD216,'All Donations'!$T$2:$T$4001,T$1))</f>
        <v/>
      </c>
      <c r="U216" s="49">
        <f>IF(OR($AE216&lt;&gt;1,U$1=""),"",SUMIFS('All Donations'!$S$2:$S$4001,'All Donations'!$R$2:$R$4001,$AD216,'All Donations'!$T$2:$T$4001,U$1))</f>
        <v/>
      </c>
      <c r="V216" s="49">
        <f>IF(OR($AE216&lt;&gt;1,V$1=""),"",SUMIFS('All Donations'!$S$2:$S$4001,'All Donations'!$R$2:$R$4001,$AD216,'All Donations'!$T$2:$T$4001,V$1))</f>
        <v/>
      </c>
      <c r="W216" s="49">
        <f>IF(OR($AE216&lt;&gt;1,W$1=""),"",SUMIFS('All Donations'!$S$2:$S$4001,'All Donations'!$R$2:$R$4001,$AD216,'All Donations'!$T$2:$T$4001,W$1))</f>
        <v/>
      </c>
      <c r="X216" s="49">
        <f>IF(OR($AE216&lt;&gt;1,X$1=""),"",SUMIFS('All Donations'!$S$2:$S$4001,'All Donations'!$R$2:$R$4001,$AD216,'All Donations'!$T$2:$T$4001,X$1))</f>
        <v/>
      </c>
      <c r="Y216" s="49">
        <f>IF(OR($AE216&lt;&gt;1,Y$1=""),"",SUMIFS('All Donations'!$S$2:$S$4001,'All Donations'!$R$2:$R$4001,$AD216,'All Donations'!$T$2:$T$4001,Y$1))</f>
        <v/>
      </c>
      <c r="Z216" s="49">
        <f>IF(OR($AE216&lt;&gt;1,Z$1=""),"",SUMIFS('All Donations'!$S$2:$S$4001,'All Donations'!$R$2:$R$4001,$AD216,'All Donations'!$T$2:$T$4001,Z$1))</f>
        <v/>
      </c>
      <c r="AA216" s="49">
        <f>IF(OR($AE216&lt;&gt;1,AA$1=""),"",SUMIFS('All Donations'!$S$2:$S$4001,'All Donations'!$R$2:$R$4001,$AD216,'All Donations'!$T$2:$T$4001,AA$1))</f>
        <v/>
      </c>
      <c r="AB216" s="49">
        <f>IF(OR($AE216&lt;&gt;1,AB$1=""),"",SUMIFS('All Donations'!$S$2:$S$4001,'All Donations'!$R$2:$R$4001,$AD216,'All Donations'!$T$2:$T$4001,AB$1))</f>
        <v/>
      </c>
      <c r="AC216" s="49">
        <f>IF(OR($AE216&lt;&gt;1,AC$1=""),"",SUMIFS('All Donations'!$S$2:$S$4001,'All Donations'!$R$2:$R$4001,$AD216,'All Donations'!$T$2:$T$4001,AC$1))</f>
        <v/>
      </c>
      <c r="AD216">
        <f>IF(AE216=1,'Roster'!A216,"")</f>
        <v/>
      </c>
      <c r="AE216">
        <f>IF(TRIM('Roster'!B216&amp;'Roster'!C216)&lt;&gt;"",1,0)</f>
        <v/>
      </c>
      <c r="AF216">
        <f>IF(AE216=1,LOWER(A216),"#")</f>
        <v/>
      </c>
      <c r="AG216">
        <f>IF(AE216=1,LOWER(TRIM(TRIM('Roster'!C216)&amp;", "&amp;TRIM('Roster'!B216))),"#")</f>
        <v/>
      </c>
      <c r="AH216">
        <f>IF(AND(AE216=1,TRIM('Roster'!F216)&lt;&gt;""),LOWER(TRIM('Roster'!F216)),"#")</f>
        <v/>
      </c>
      <c r="AI216">
        <f>IF(AE216=1,IF(MATCH(B216,$B$2:$B$701,0)=ROW()-1,1,0),0)</f>
        <v/>
      </c>
      <c r="AJ216">
        <f>AJ215+AI216</f>
        <v/>
      </c>
      <c r="AK216">
        <f>IF(AE216=1,D216+(1000-ROW())/10^7,-1)</f>
        <v/>
      </c>
      <c r="AL216">
        <f>IF(AE216=1,TRIM('Roster'!B216)&amp;" "&amp;LEFT(TRIM('Roster'!C216),1)&amp;".","")</f>
        <v/>
      </c>
      <c r="AM216">
        <f>IF(AE216=1,TRIM('Roster'!C216)&amp;", "&amp;TRIM('Roster'!B216)&amp;" ("&amp;B216&amp;") #"&amp;AD216,"")</f>
        <v/>
      </c>
      <c r="AN216">
        <f>IF(AE216=1,TRIM('Roster'!E216),"")</f>
        <v/>
      </c>
      <c r="AO216">
        <f>IF(AE216=1,ROUND(SUMIFS('All Donations'!$S$2:$S$4001,'All Donations'!$R$2:$R$4001,AD216,'All Donations'!$T$2:$T$4001,"&gt;="&amp;'Settings'!$C$23,'All Donations'!$T$2:$T$4001,"&lt;="&amp;'Settings'!$D$23),2),0)</f>
        <v/>
      </c>
      <c r="AQ216">
        <f>IF(AE216=1,ROUND(SUMIFS('All Donations'!$S$2:$S$4001,'All Donations'!$R$2:$R$4001,AD216,'All Donations'!$T$2:$T$4001,"&gt;="&amp;'Settings'!$C$25,'All Donations'!$T$2:$T$4001,"&lt;="&amp;'Settings'!$D$25),2),0)</f>
        <v/>
      </c>
      <c r="AR216">
        <f>IF(AE216=1,ROUND(SUMIFS('All Donations'!$S$2:$S$4001,'All Donations'!$R$2:$R$4001,AD216,'All Donations'!$T$2:$T$4001,"&gt;="&amp;'Settings'!$C$26,'All Donations'!$T$2:$T$4001,"&lt;="&amp;'Settings'!$D$26),2),0)</f>
        <v/>
      </c>
      <c r="AS216">
        <f>IF(AE216=1,ROUND(SUMIFS('All Donations'!$S$2:$S$4001,'All Donations'!$R$2:$R$4001,AD216,'All Donations'!$T$2:$T$4001,"&lt;="&amp;'Settings'!$D$27),2),0)</f>
        <v/>
      </c>
      <c r="AT216">
        <f>IF(AE216=1,ROUND(SUMIFS('All Donations'!$S$2:$S$4001,'All Donations'!$R$2:$R$4001,AD216,'All Donations'!$T$2:$T$4001,"&gt;="&amp;'Settings'!$C$28,'All Donations'!$T$2:$T$4001,"&lt;="&amp;'Settings'!$D$28),2),0)</f>
        <v/>
      </c>
      <c r="AU216">
        <f>IF(AE216=1,ROUND(SUMIFS('All Donations'!$S$2:$S$4001,'All Donations'!$R$2:$R$4001,AD216,'All Donations'!$T$2:$T$4001,"&gt;="&amp;'Settings'!$C$29,'All Donations'!$T$2:$T$4001,"&lt;="&amp;'Settings'!$D$29),2),0)</f>
        <v/>
      </c>
      <c r="AV216">
        <f>IF(AE216=1,ROUND(SUMIFS('All Donations'!$S$2:$S$4001,'All Donations'!$R$2:$R$4001,AD216,'All Donations'!$T$2:$T$4001,"&lt;="&amp;'Settings'!$D$30),2),0)</f>
        <v/>
      </c>
      <c r="AZ216">
        <f>IF(AE216=1,ROUND(SUMIFS('All Donations'!$S$2:$S$4001,'All Donations'!$R$2:$R$4001,AD216,'All Donations'!$T$2:$T$4001,"&lt;="&amp;'Settings'!$D$34),2),0)</f>
        <v/>
      </c>
    </row>
    <row r="217">
      <c r="A217">
        <f>IF(AE217=1,TRIM(TRIM('Roster'!B217)&amp;" "&amp;TRIM('Roster'!C217)),"")</f>
        <v/>
      </c>
      <c r="B217">
        <f>IF(AE217=1,IF(AN217="","(no teacher)",AN217&amp;" – "&amp;C217),"")</f>
        <v/>
      </c>
      <c r="C217">
        <f>IF(AE217=1,TRIM('Roster'!D217&amp;""),"")</f>
        <v/>
      </c>
      <c r="D217" s="48">
        <f>IF(AE217=1,ROUND(SUMIFS('All Donations'!$S$2:$S$4001,'All Donations'!$R$2:$R$4001,AD217),2),"")</f>
        <v/>
      </c>
      <c r="E217" s="48">
        <f>IF(AE217=1,ROUND(SUMIFS('All Donations'!$S$2:$S$4001,'All Donations'!$R$2:$R$4001,AD217,'All Donations'!$G$2:$G$4001,"OneCause"),2),"")</f>
        <v/>
      </c>
      <c r="F217" s="48">
        <f>IF(AE217=1,D217-E217,"")</f>
        <v/>
      </c>
      <c r="G217">
        <f>IF(AE217=1,COUNTIFS('All Donations'!$R$2:$R$4001,AD217,'All Donations'!$H$2:$H$4001,"OK"),"")</f>
        <v/>
      </c>
      <c r="H217">
        <f>IF(AE217&lt;&gt;1,"",IF(D217&gt;0,"Yes",""))</f>
        <v/>
      </c>
      <c r="I217" s="49">
        <f>IF(OR($AE217&lt;&gt;1,I$1=""),"",SUMIFS('All Donations'!$S$2:$S$4001,'All Donations'!$R$2:$R$4001,$AD217,'All Donations'!$T$2:$T$4001,I$1))</f>
        <v/>
      </c>
      <c r="J217" s="49">
        <f>IF(OR($AE217&lt;&gt;1,J$1=""),"",SUMIFS('All Donations'!$S$2:$S$4001,'All Donations'!$R$2:$R$4001,$AD217,'All Donations'!$T$2:$T$4001,J$1))</f>
        <v/>
      </c>
      <c r="K217" s="49">
        <f>IF(OR($AE217&lt;&gt;1,K$1=""),"",SUMIFS('All Donations'!$S$2:$S$4001,'All Donations'!$R$2:$R$4001,$AD217,'All Donations'!$T$2:$T$4001,K$1))</f>
        <v/>
      </c>
      <c r="L217" s="49">
        <f>IF(OR($AE217&lt;&gt;1,L$1=""),"",SUMIFS('All Donations'!$S$2:$S$4001,'All Donations'!$R$2:$R$4001,$AD217,'All Donations'!$T$2:$T$4001,L$1))</f>
        <v/>
      </c>
      <c r="M217" s="49">
        <f>IF(OR($AE217&lt;&gt;1,M$1=""),"",SUMIFS('All Donations'!$S$2:$S$4001,'All Donations'!$R$2:$R$4001,$AD217,'All Donations'!$T$2:$T$4001,M$1))</f>
        <v/>
      </c>
      <c r="N217" s="49">
        <f>IF(OR($AE217&lt;&gt;1,N$1=""),"",SUMIFS('All Donations'!$S$2:$S$4001,'All Donations'!$R$2:$R$4001,$AD217,'All Donations'!$T$2:$T$4001,N$1))</f>
        <v/>
      </c>
      <c r="O217" s="49">
        <f>IF(OR($AE217&lt;&gt;1,O$1=""),"",SUMIFS('All Donations'!$S$2:$S$4001,'All Donations'!$R$2:$R$4001,$AD217,'All Donations'!$T$2:$T$4001,O$1))</f>
        <v/>
      </c>
      <c r="P217" s="49">
        <f>IF(OR($AE217&lt;&gt;1,P$1=""),"",SUMIFS('All Donations'!$S$2:$S$4001,'All Donations'!$R$2:$R$4001,$AD217,'All Donations'!$T$2:$T$4001,P$1))</f>
        <v/>
      </c>
      <c r="Q217" s="49">
        <f>IF(OR($AE217&lt;&gt;1,Q$1=""),"",SUMIFS('All Donations'!$S$2:$S$4001,'All Donations'!$R$2:$R$4001,$AD217,'All Donations'!$T$2:$T$4001,Q$1))</f>
        <v/>
      </c>
      <c r="R217" s="49">
        <f>IF(OR($AE217&lt;&gt;1,R$1=""),"",SUMIFS('All Donations'!$S$2:$S$4001,'All Donations'!$R$2:$R$4001,$AD217,'All Donations'!$T$2:$T$4001,R$1))</f>
        <v/>
      </c>
      <c r="S217" s="49">
        <f>IF(OR($AE217&lt;&gt;1,S$1=""),"",SUMIFS('All Donations'!$S$2:$S$4001,'All Donations'!$R$2:$R$4001,$AD217,'All Donations'!$T$2:$T$4001,S$1))</f>
        <v/>
      </c>
      <c r="T217" s="49">
        <f>IF(OR($AE217&lt;&gt;1,T$1=""),"",SUMIFS('All Donations'!$S$2:$S$4001,'All Donations'!$R$2:$R$4001,$AD217,'All Donations'!$T$2:$T$4001,T$1))</f>
        <v/>
      </c>
      <c r="U217" s="49">
        <f>IF(OR($AE217&lt;&gt;1,U$1=""),"",SUMIFS('All Donations'!$S$2:$S$4001,'All Donations'!$R$2:$R$4001,$AD217,'All Donations'!$T$2:$T$4001,U$1))</f>
        <v/>
      </c>
      <c r="V217" s="49">
        <f>IF(OR($AE217&lt;&gt;1,V$1=""),"",SUMIFS('All Donations'!$S$2:$S$4001,'All Donations'!$R$2:$R$4001,$AD217,'All Donations'!$T$2:$T$4001,V$1))</f>
        <v/>
      </c>
      <c r="W217" s="49">
        <f>IF(OR($AE217&lt;&gt;1,W$1=""),"",SUMIFS('All Donations'!$S$2:$S$4001,'All Donations'!$R$2:$R$4001,$AD217,'All Donations'!$T$2:$T$4001,W$1))</f>
        <v/>
      </c>
      <c r="X217" s="49">
        <f>IF(OR($AE217&lt;&gt;1,X$1=""),"",SUMIFS('All Donations'!$S$2:$S$4001,'All Donations'!$R$2:$R$4001,$AD217,'All Donations'!$T$2:$T$4001,X$1))</f>
        <v/>
      </c>
      <c r="Y217" s="49">
        <f>IF(OR($AE217&lt;&gt;1,Y$1=""),"",SUMIFS('All Donations'!$S$2:$S$4001,'All Donations'!$R$2:$R$4001,$AD217,'All Donations'!$T$2:$T$4001,Y$1))</f>
        <v/>
      </c>
      <c r="Z217" s="49">
        <f>IF(OR($AE217&lt;&gt;1,Z$1=""),"",SUMIFS('All Donations'!$S$2:$S$4001,'All Donations'!$R$2:$R$4001,$AD217,'All Donations'!$T$2:$T$4001,Z$1))</f>
        <v/>
      </c>
      <c r="AA217" s="49">
        <f>IF(OR($AE217&lt;&gt;1,AA$1=""),"",SUMIFS('All Donations'!$S$2:$S$4001,'All Donations'!$R$2:$R$4001,$AD217,'All Donations'!$T$2:$T$4001,AA$1))</f>
        <v/>
      </c>
      <c r="AB217" s="49">
        <f>IF(OR($AE217&lt;&gt;1,AB$1=""),"",SUMIFS('All Donations'!$S$2:$S$4001,'All Donations'!$R$2:$R$4001,$AD217,'All Donations'!$T$2:$T$4001,AB$1))</f>
        <v/>
      </c>
      <c r="AC217" s="49">
        <f>IF(OR($AE217&lt;&gt;1,AC$1=""),"",SUMIFS('All Donations'!$S$2:$S$4001,'All Donations'!$R$2:$R$4001,$AD217,'All Donations'!$T$2:$T$4001,AC$1))</f>
        <v/>
      </c>
      <c r="AD217">
        <f>IF(AE217=1,'Roster'!A217,"")</f>
        <v/>
      </c>
      <c r="AE217">
        <f>IF(TRIM('Roster'!B217&amp;'Roster'!C217)&lt;&gt;"",1,0)</f>
        <v/>
      </c>
      <c r="AF217">
        <f>IF(AE217=1,LOWER(A217),"#")</f>
        <v/>
      </c>
      <c r="AG217">
        <f>IF(AE217=1,LOWER(TRIM(TRIM('Roster'!C217)&amp;", "&amp;TRIM('Roster'!B217))),"#")</f>
        <v/>
      </c>
      <c r="AH217">
        <f>IF(AND(AE217=1,TRIM('Roster'!F217)&lt;&gt;""),LOWER(TRIM('Roster'!F217)),"#")</f>
        <v/>
      </c>
      <c r="AI217">
        <f>IF(AE217=1,IF(MATCH(B217,$B$2:$B$701,0)=ROW()-1,1,0),0)</f>
        <v/>
      </c>
      <c r="AJ217">
        <f>AJ216+AI217</f>
        <v/>
      </c>
      <c r="AK217">
        <f>IF(AE217=1,D217+(1000-ROW())/10^7,-1)</f>
        <v/>
      </c>
      <c r="AL217">
        <f>IF(AE217=1,TRIM('Roster'!B217)&amp;" "&amp;LEFT(TRIM('Roster'!C217),1)&amp;".","")</f>
        <v/>
      </c>
      <c r="AM217">
        <f>IF(AE217=1,TRIM('Roster'!C217)&amp;", "&amp;TRIM('Roster'!B217)&amp;" ("&amp;B217&amp;") #"&amp;AD217,"")</f>
        <v/>
      </c>
      <c r="AN217">
        <f>IF(AE217=1,TRIM('Roster'!E217),"")</f>
        <v/>
      </c>
      <c r="AO217">
        <f>IF(AE217=1,ROUND(SUMIFS('All Donations'!$S$2:$S$4001,'All Donations'!$R$2:$R$4001,AD217,'All Donations'!$T$2:$T$4001,"&gt;="&amp;'Settings'!$C$23,'All Donations'!$T$2:$T$4001,"&lt;="&amp;'Settings'!$D$23),2),0)</f>
        <v/>
      </c>
      <c r="AQ217">
        <f>IF(AE217=1,ROUND(SUMIFS('All Donations'!$S$2:$S$4001,'All Donations'!$R$2:$R$4001,AD217,'All Donations'!$T$2:$T$4001,"&gt;="&amp;'Settings'!$C$25,'All Donations'!$T$2:$T$4001,"&lt;="&amp;'Settings'!$D$25),2),0)</f>
        <v/>
      </c>
      <c r="AR217">
        <f>IF(AE217=1,ROUND(SUMIFS('All Donations'!$S$2:$S$4001,'All Donations'!$R$2:$R$4001,AD217,'All Donations'!$T$2:$T$4001,"&gt;="&amp;'Settings'!$C$26,'All Donations'!$T$2:$T$4001,"&lt;="&amp;'Settings'!$D$26),2),0)</f>
        <v/>
      </c>
      <c r="AS217">
        <f>IF(AE217=1,ROUND(SUMIFS('All Donations'!$S$2:$S$4001,'All Donations'!$R$2:$R$4001,AD217,'All Donations'!$T$2:$T$4001,"&lt;="&amp;'Settings'!$D$27),2),0)</f>
        <v/>
      </c>
      <c r="AT217">
        <f>IF(AE217=1,ROUND(SUMIFS('All Donations'!$S$2:$S$4001,'All Donations'!$R$2:$R$4001,AD217,'All Donations'!$T$2:$T$4001,"&gt;="&amp;'Settings'!$C$28,'All Donations'!$T$2:$T$4001,"&lt;="&amp;'Settings'!$D$28),2),0)</f>
        <v/>
      </c>
      <c r="AU217">
        <f>IF(AE217=1,ROUND(SUMIFS('All Donations'!$S$2:$S$4001,'All Donations'!$R$2:$R$4001,AD217,'All Donations'!$T$2:$T$4001,"&gt;="&amp;'Settings'!$C$29,'All Donations'!$T$2:$T$4001,"&lt;="&amp;'Settings'!$D$29),2),0)</f>
        <v/>
      </c>
      <c r="AV217">
        <f>IF(AE217=1,ROUND(SUMIFS('All Donations'!$S$2:$S$4001,'All Donations'!$R$2:$R$4001,AD217,'All Donations'!$T$2:$T$4001,"&lt;="&amp;'Settings'!$D$30),2),0)</f>
        <v/>
      </c>
      <c r="AZ217">
        <f>IF(AE217=1,ROUND(SUMIFS('All Donations'!$S$2:$S$4001,'All Donations'!$R$2:$R$4001,AD217,'All Donations'!$T$2:$T$4001,"&lt;="&amp;'Settings'!$D$34),2),0)</f>
        <v/>
      </c>
    </row>
    <row r="218">
      <c r="A218">
        <f>IF(AE218=1,TRIM(TRIM('Roster'!B218)&amp;" "&amp;TRIM('Roster'!C218)),"")</f>
        <v/>
      </c>
      <c r="B218">
        <f>IF(AE218=1,IF(AN218="","(no teacher)",AN218&amp;" – "&amp;C218),"")</f>
        <v/>
      </c>
      <c r="C218">
        <f>IF(AE218=1,TRIM('Roster'!D218&amp;""),"")</f>
        <v/>
      </c>
      <c r="D218" s="48">
        <f>IF(AE218=1,ROUND(SUMIFS('All Donations'!$S$2:$S$4001,'All Donations'!$R$2:$R$4001,AD218),2),"")</f>
        <v/>
      </c>
      <c r="E218" s="48">
        <f>IF(AE218=1,ROUND(SUMIFS('All Donations'!$S$2:$S$4001,'All Donations'!$R$2:$R$4001,AD218,'All Donations'!$G$2:$G$4001,"OneCause"),2),"")</f>
        <v/>
      </c>
      <c r="F218" s="48">
        <f>IF(AE218=1,D218-E218,"")</f>
        <v/>
      </c>
      <c r="G218">
        <f>IF(AE218=1,COUNTIFS('All Donations'!$R$2:$R$4001,AD218,'All Donations'!$H$2:$H$4001,"OK"),"")</f>
        <v/>
      </c>
      <c r="H218">
        <f>IF(AE218&lt;&gt;1,"",IF(D218&gt;0,"Yes",""))</f>
        <v/>
      </c>
      <c r="I218" s="49">
        <f>IF(OR($AE218&lt;&gt;1,I$1=""),"",SUMIFS('All Donations'!$S$2:$S$4001,'All Donations'!$R$2:$R$4001,$AD218,'All Donations'!$T$2:$T$4001,I$1))</f>
        <v/>
      </c>
      <c r="J218" s="49">
        <f>IF(OR($AE218&lt;&gt;1,J$1=""),"",SUMIFS('All Donations'!$S$2:$S$4001,'All Donations'!$R$2:$R$4001,$AD218,'All Donations'!$T$2:$T$4001,J$1))</f>
        <v/>
      </c>
      <c r="K218" s="49">
        <f>IF(OR($AE218&lt;&gt;1,K$1=""),"",SUMIFS('All Donations'!$S$2:$S$4001,'All Donations'!$R$2:$R$4001,$AD218,'All Donations'!$T$2:$T$4001,K$1))</f>
        <v/>
      </c>
      <c r="L218" s="49">
        <f>IF(OR($AE218&lt;&gt;1,L$1=""),"",SUMIFS('All Donations'!$S$2:$S$4001,'All Donations'!$R$2:$R$4001,$AD218,'All Donations'!$T$2:$T$4001,L$1))</f>
        <v/>
      </c>
      <c r="M218" s="49">
        <f>IF(OR($AE218&lt;&gt;1,M$1=""),"",SUMIFS('All Donations'!$S$2:$S$4001,'All Donations'!$R$2:$R$4001,$AD218,'All Donations'!$T$2:$T$4001,M$1))</f>
        <v/>
      </c>
      <c r="N218" s="49">
        <f>IF(OR($AE218&lt;&gt;1,N$1=""),"",SUMIFS('All Donations'!$S$2:$S$4001,'All Donations'!$R$2:$R$4001,$AD218,'All Donations'!$T$2:$T$4001,N$1))</f>
        <v/>
      </c>
      <c r="O218" s="49">
        <f>IF(OR($AE218&lt;&gt;1,O$1=""),"",SUMIFS('All Donations'!$S$2:$S$4001,'All Donations'!$R$2:$R$4001,$AD218,'All Donations'!$T$2:$T$4001,O$1))</f>
        <v/>
      </c>
      <c r="P218" s="49">
        <f>IF(OR($AE218&lt;&gt;1,P$1=""),"",SUMIFS('All Donations'!$S$2:$S$4001,'All Donations'!$R$2:$R$4001,$AD218,'All Donations'!$T$2:$T$4001,P$1))</f>
        <v/>
      </c>
      <c r="Q218" s="49">
        <f>IF(OR($AE218&lt;&gt;1,Q$1=""),"",SUMIFS('All Donations'!$S$2:$S$4001,'All Donations'!$R$2:$R$4001,$AD218,'All Donations'!$T$2:$T$4001,Q$1))</f>
        <v/>
      </c>
      <c r="R218" s="49">
        <f>IF(OR($AE218&lt;&gt;1,R$1=""),"",SUMIFS('All Donations'!$S$2:$S$4001,'All Donations'!$R$2:$R$4001,$AD218,'All Donations'!$T$2:$T$4001,R$1))</f>
        <v/>
      </c>
      <c r="S218" s="49">
        <f>IF(OR($AE218&lt;&gt;1,S$1=""),"",SUMIFS('All Donations'!$S$2:$S$4001,'All Donations'!$R$2:$R$4001,$AD218,'All Donations'!$T$2:$T$4001,S$1))</f>
        <v/>
      </c>
      <c r="T218" s="49">
        <f>IF(OR($AE218&lt;&gt;1,T$1=""),"",SUMIFS('All Donations'!$S$2:$S$4001,'All Donations'!$R$2:$R$4001,$AD218,'All Donations'!$T$2:$T$4001,T$1))</f>
        <v/>
      </c>
      <c r="U218" s="49">
        <f>IF(OR($AE218&lt;&gt;1,U$1=""),"",SUMIFS('All Donations'!$S$2:$S$4001,'All Donations'!$R$2:$R$4001,$AD218,'All Donations'!$T$2:$T$4001,U$1))</f>
        <v/>
      </c>
      <c r="V218" s="49">
        <f>IF(OR($AE218&lt;&gt;1,V$1=""),"",SUMIFS('All Donations'!$S$2:$S$4001,'All Donations'!$R$2:$R$4001,$AD218,'All Donations'!$T$2:$T$4001,V$1))</f>
        <v/>
      </c>
      <c r="W218" s="49">
        <f>IF(OR($AE218&lt;&gt;1,W$1=""),"",SUMIFS('All Donations'!$S$2:$S$4001,'All Donations'!$R$2:$R$4001,$AD218,'All Donations'!$T$2:$T$4001,W$1))</f>
        <v/>
      </c>
      <c r="X218" s="49">
        <f>IF(OR($AE218&lt;&gt;1,X$1=""),"",SUMIFS('All Donations'!$S$2:$S$4001,'All Donations'!$R$2:$R$4001,$AD218,'All Donations'!$T$2:$T$4001,X$1))</f>
        <v/>
      </c>
      <c r="Y218" s="49">
        <f>IF(OR($AE218&lt;&gt;1,Y$1=""),"",SUMIFS('All Donations'!$S$2:$S$4001,'All Donations'!$R$2:$R$4001,$AD218,'All Donations'!$T$2:$T$4001,Y$1))</f>
        <v/>
      </c>
      <c r="Z218" s="49">
        <f>IF(OR($AE218&lt;&gt;1,Z$1=""),"",SUMIFS('All Donations'!$S$2:$S$4001,'All Donations'!$R$2:$R$4001,$AD218,'All Donations'!$T$2:$T$4001,Z$1))</f>
        <v/>
      </c>
      <c r="AA218" s="49">
        <f>IF(OR($AE218&lt;&gt;1,AA$1=""),"",SUMIFS('All Donations'!$S$2:$S$4001,'All Donations'!$R$2:$R$4001,$AD218,'All Donations'!$T$2:$T$4001,AA$1))</f>
        <v/>
      </c>
      <c r="AB218" s="49">
        <f>IF(OR($AE218&lt;&gt;1,AB$1=""),"",SUMIFS('All Donations'!$S$2:$S$4001,'All Donations'!$R$2:$R$4001,$AD218,'All Donations'!$T$2:$T$4001,AB$1))</f>
        <v/>
      </c>
      <c r="AC218" s="49">
        <f>IF(OR($AE218&lt;&gt;1,AC$1=""),"",SUMIFS('All Donations'!$S$2:$S$4001,'All Donations'!$R$2:$R$4001,$AD218,'All Donations'!$T$2:$T$4001,AC$1))</f>
        <v/>
      </c>
      <c r="AD218">
        <f>IF(AE218=1,'Roster'!A218,"")</f>
        <v/>
      </c>
      <c r="AE218">
        <f>IF(TRIM('Roster'!B218&amp;'Roster'!C218)&lt;&gt;"",1,0)</f>
        <v/>
      </c>
      <c r="AF218">
        <f>IF(AE218=1,LOWER(A218),"#")</f>
        <v/>
      </c>
      <c r="AG218">
        <f>IF(AE218=1,LOWER(TRIM(TRIM('Roster'!C218)&amp;", "&amp;TRIM('Roster'!B218))),"#")</f>
        <v/>
      </c>
      <c r="AH218">
        <f>IF(AND(AE218=1,TRIM('Roster'!F218)&lt;&gt;""),LOWER(TRIM('Roster'!F218)),"#")</f>
        <v/>
      </c>
      <c r="AI218">
        <f>IF(AE218=1,IF(MATCH(B218,$B$2:$B$701,0)=ROW()-1,1,0),0)</f>
        <v/>
      </c>
      <c r="AJ218">
        <f>AJ217+AI218</f>
        <v/>
      </c>
      <c r="AK218">
        <f>IF(AE218=1,D218+(1000-ROW())/10^7,-1)</f>
        <v/>
      </c>
      <c r="AL218">
        <f>IF(AE218=1,TRIM('Roster'!B218)&amp;" "&amp;LEFT(TRIM('Roster'!C218),1)&amp;".","")</f>
        <v/>
      </c>
      <c r="AM218">
        <f>IF(AE218=1,TRIM('Roster'!C218)&amp;", "&amp;TRIM('Roster'!B218)&amp;" ("&amp;B218&amp;") #"&amp;AD218,"")</f>
        <v/>
      </c>
      <c r="AN218">
        <f>IF(AE218=1,TRIM('Roster'!E218),"")</f>
        <v/>
      </c>
      <c r="AO218">
        <f>IF(AE218=1,ROUND(SUMIFS('All Donations'!$S$2:$S$4001,'All Donations'!$R$2:$R$4001,AD218,'All Donations'!$T$2:$T$4001,"&gt;="&amp;'Settings'!$C$23,'All Donations'!$T$2:$T$4001,"&lt;="&amp;'Settings'!$D$23),2),0)</f>
        <v/>
      </c>
      <c r="AQ218">
        <f>IF(AE218=1,ROUND(SUMIFS('All Donations'!$S$2:$S$4001,'All Donations'!$R$2:$R$4001,AD218,'All Donations'!$T$2:$T$4001,"&gt;="&amp;'Settings'!$C$25,'All Donations'!$T$2:$T$4001,"&lt;="&amp;'Settings'!$D$25),2),0)</f>
        <v/>
      </c>
      <c r="AR218">
        <f>IF(AE218=1,ROUND(SUMIFS('All Donations'!$S$2:$S$4001,'All Donations'!$R$2:$R$4001,AD218,'All Donations'!$T$2:$T$4001,"&gt;="&amp;'Settings'!$C$26,'All Donations'!$T$2:$T$4001,"&lt;="&amp;'Settings'!$D$26),2),0)</f>
        <v/>
      </c>
      <c r="AS218">
        <f>IF(AE218=1,ROUND(SUMIFS('All Donations'!$S$2:$S$4001,'All Donations'!$R$2:$R$4001,AD218,'All Donations'!$T$2:$T$4001,"&lt;="&amp;'Settings'!$D$27),2),0)</f>
        <v/>
      </c>
      <c r="AT218">
        <f>IF(AE218=1,ROUND(SUMIFS('All Donations'!$S$2:$S$4001,'All Donations'!$R$2:$R$4001,AD218,'All Donations'!$T$2:$T$4001,"&gt;="&amp;'Settings'!$C$28,'All Donations'!$T$2:$T$4001,"&lt;="&amp;'Settings'!$D$28),2),0)</f>
        <v/>
      </c>
      <c r="AU218">
        <f>IF(AE218=1,ROUND(SUMIFS('All Donations'!$S$2:$S$4001,'All Donations'!$R$2:$R$4001,AD218,'All Donations'!$T$2:$T$4001,"&gt;="&amp;'Settings'!$C$29,'All Donations'!$T$2:$T$4001,"&lt;="&amp;'Settings'!$D$29),2),0)</f>
        <v/>
      </c>
      <c r="AV218">
        <f>IF(AE218=1,ROUND(SUMIFS('All Donations'!$S$2:$S$4001,'All Donations'!$R$2:$R$4001,AD218,'All Donations'!$T$2:$T$4001,"&lt;="&amp;'Settings'!$D$30),2),0)</f>
        <v/>
      </c>
      <c r="AZ218">
        <f>IF(AE218=1,ROUND(SUMIFS('All Donations'!$S$2:$S$4001,'All Donations'!$R$2:$R$4001,AD218,'All Donations'!$T$2:$T$4001,"&lt;="&amp;'Settings'!$D$34),2),0)</f>
        <v/>
      </c>
    </row>
    <row r="219">
      <c r="A219">
        <f>IF(AE219=1,TRIM(TRIM('Roster'!B219)&amp;" "&amp;TRIM('Roster'!C219)),"")</f>
        <v/>
      </c>
      <c r="B219">
        <f>IF(AE219=1,IF(AN219="","(no teacher)",AN219&amp;" – "&amp;C219),"")</f>
        <v/>
      </c>
      <c r="C219">
        <f>IF(AE219=1,TRIM('Roster'!D219&amp;""),"")</f>
        <v/>
      </c>
      <c r="D219" s="48">
        <f>IF(AE219=1,ROUND(SUMIFS('All Donations'!$S$2:$S$4001,'All Donations'!$R$2:$R$4001,AD219),2),"")</f>
        <v/>
      </c>
      <c r="E219" s="48">
        <f>IF(AE219=1,ROUND(SUMIFS('All Donations'!$S$2:$S$4001,'All Donations'!$R$2:$R$4001,AD219,'All Donations'!$G$2:$G$4001,"OneCause"),2),"")</f>
        <v/>
      </c>
      <c r="F219" s="48">
        <f>IF(AE219=1,D219-E219,"")</f>
        <v/>
      </c>
      <c r="G219">
        <f>IF(AE219=1,COUNTIFS('All Donations'!$R$2:$R$4001,AD219,'All Donations'!$H$2:$H$4001,"OK"),"")</f>
        <v/>
      </c>
      <c r="H219">
        <f>IF(AE219&lt;&gt;1,"",IF(D219&gt;0,"Yes",""))</f>
        <v/>
      </c>
      <c r="I219" s="49">
        <f>IF(OR($AE219&lt;&gt;1,I$1=""),"",SUMIFS('All Donations'!$S$2:$S$4001,'All Donations'!$R$2:$R$4001,$AD219,'All Donations'!$T$2:$T$4001,I$1))</f>
        <v/>
      </c>
      <c r="J219" s="49">
        <f>IF(OR($AE219&lt;&gt;1,J$1=""),"",SUMIFS('All Donations'!$S$2:$S$4001,'All Donations'!$R$2:$R$4001,$AD219,'All Donations'!$T$2:$T$4001,J$1))</f>
        <v/>
      </c>
      <c r="K219" s="49">
        <f>IF(OR($AE219&lt;&gt;1,K$1=""),"",SUMIFS('All Donations'!$S$2:$S$4001,'All Donations'!$R$2:$R$4001,$AD219,'All Donations'!$T$2:$T$4001,K$1))</f>
        <v/>
      </c>
      <c r="L219" s="49">
        <f>IF(OR($AE219&lt;&gt;1,L$1=""),"",SUMIFS('All Donations'!$S$2:$S$4001,'All Donations'!$R$2:$R$4001,$AD219,'All Donations'!$T$2:$T$4001,L$1))</f>
        <v/>
      </c>
      <c r="M219" s="49">
        <f>IF(OR($AE219&lt;&gt;1,M$1=""),"",SUMIFS('All Donations'!$S$2:$S$4001,'All Donations'!$R$2:$R$4001,$AD219,'All Donations'!$T$2:$T$4001,M$1))</f>
        <v/>
      </c>
      <c r="N219" s="49">
        <f>IF(OR($AE219&lt;&gt;1,N$1=""),"",SUMIFS('All Donations'!$S$2:$S$4001,'All Donations'!$R$2:$R$4001,$AD219,'All Donations'!$T$2:$T$4001,N$1))</f>
        <v/>
      </c>
      <c r="O219" s="49">
        <f>IF(OR($AE219&lt;&gt;1,O$1=""),"",SUMIFS('All Donations'!$S$2:$S$4001,'All Donations'!$R$2:$R$4001,$AD219,'All Donations'!$T$2:$T$4001,O$1))</f>
        <v/>
      </c>
      <c r="P219" s="49">
        <f>IF(OR($AE219&lt;&gt;1,P$1=""),"",SUMIFS('All Donations'!$S$2:$S$4001,'All Donations'!$R$2:$R$4001,$AD219,'All Donations'!$T$2:$T$4001,P$1))</f>
        <v/>
      </c>
      <c r="Q219" s="49">
        <f>IF(OR($AE219&lt;&gt;1,Q$1=""),"",SUMIFS('All Donations'!$S$2:$S$4001,'All Donations'!$R$2:$R$4001,$AD219,'All Donations'!$T$2:$T$4001,Q$1))</f>
        <v/>
      </c>
      <c r="R219" s="49">
        <f>IF(OR($AE219&lt;&gt;1,R$1=""),"",SUMIFS('All Donations'!$S$2:$S$4001,'All Donations'!$R$2:$R$4001,$AD219,'All Donations'!$T$2:$T$4001,R$1))</f>
        <v/>
      </c>
      <c r="S219" s="49">
        <f>IF(OR($AE219&lt;&gt;1,S$1=""),"",SUMIFS('All Donations'!$S$2:$S$4001,'All Donations'!$R$2:$R$4001,$AD219,'All Donations'!$T$2:$T$4001,S$1))</f>
        <v/>
      </c>
      <c r="T219" s="49">
        <f>IF(OR($AE219&lt;&gt;1,T$1=""),"",SUMIFS('All Donations'!$S$2:$S$4001,'All Donations'!$R$2:$R$4001,$AD219,'All Donations'!$T$2:$T$4001,T$1))</f>
        <v/>
      </c>
      <c r="U219" s="49">
        <f>IF(OR($AE219&lt;&gt;1,U$1=""),"",SUMIFS('All Donations'!$S$2:$S$4001,'All Donations'!$R$2:$R$4001,$AD219,'All Donations'!$T$2:$T$4001,U$1))</f>
        <v/>
      </c>
      <c r="V219" s="49">
        <f>IF(OR($AE219&lt;&gt;1,V$1=""),"",SUMIFS('All Donations'!$S$2:$S$4001,'All Donations'!$R$2:$R$4001,$AD219,'All Donations'!$T$2:$T$4001,V$1))</f>
        <v/>
      </c>
      <c r="W219" s="49">
        <f>IF(OR($AE219&lt;&gt;1,W$1=""),"",SUMIFS('All Donations'!$S$2:$S$4001,'All Donations'!$R$2:$R$4001,$AD219,'All Donations'!$T$2:$T$4001,W$1))</f>
        <v/>
      </c>
      <c r="X219" s="49">
        <f>IF(OR($AE219&lt;&gt;1,X$1=""),"",SUMIFS('All Donations'!$S$2:$S$4001,'All Donations'!$R$2:$R$4001,$AD219,'All Donations'!$T$2:$T$4001,X$1))</f>
        <v/>
      </c>
      <c r="Y219" s="49">
        <f>IF(OR($AE219&lt;&gt;1,Y$1=""),"",SUMIFS('All Donations'!$S$2:$S$4001,'All Donations'!$R$2:$R$4001,$AD219,'All Donations'!$T$2:$T$4001,Y$1))</f>
        <v/>
      </c>
      <c r="Z219" s="49">
        <f>IF(OR($AE219&lt;&gt;1,Z$1=""),"",SUMIFS('All Donations'!$S$2:$S$4001,'All Donations'!$R$2:$R$4001,$AD219,'All Donations'!$T$2:$T$4001,Z$1))</f>
        <v/>
      </c>
      <c r="AA219" s="49">
        <f>IF(OR($AE219&lt;&gt;1,AA$1=""),"",SUMIFS('All Donations'!$S$2:$S$4001,'All Donations'!$R$2:$R$4001,$AD219,'All Donations'!$T$2:$T$4001,AA$1))</f>
        <v/>
      </c>
      <c r="AB219" s="49">
        <f>IF(OR($AE219&lt;&gt;1,AB$1=""),"",SUMIFS('All Donations'!$S$2:$S$4001,'All Donations'!$R$2:$R$4001,$AD219,'All Donations'!$T$2:$T$4001,AB$1))</f>
        <v/>
      </c>
      <c r="AC219" s="49">
        <f>IF(OR($AE219&lt;&gt;1,AC$1=""),"",SUMIFS('All Donations'!$S$2:$S$4001,'All Donations'!$R$2:$R$4001,$AD219,'All Donations'!$T$2:$T$4001,AC$1))</f>
        <v/>
      </c>
      <c r="AD219">
        <f>IF(AE219=1,'Roster'!A219,"")</f>
        <v/>
      </c>
      <c r="AE219">
        <f>IF(TRIM('Roster'!B219&amp;'Roster'!C219)&lt;&gt;"",1,0)</f>
        <v/>
      </c>
      <c r="AF219">
        <f>IF(AE219=1,LOWER(A219),"#")</f>
        <v/>
      </c>
      <c r="AG219">
        <f>IF(AE219=1,LOWER(TRIM(TRIM('Roster'!C219)&amp;", "&amp;TRIM('Roster'!B219))),"#")</f>
        <v/>
      </c>
      <c r="AH219">
        <f>IF(AND(AE219=1,TRIM('Roster'!F219)&lt;&gt;""),LOWER(TRIM('Roster'!F219)),"#")</f>
        <v/>
      </c>
      <c r="AI219">
        <f>IF(AE219=1,IF(MATCH(B219,$B$2:$B$701,0)=ROW()-1,1,0),0)</f>
        <v/>
      </c>
      <c r="AJ219">
        <f>AJ218+AI219</f>
        <v/>
      </c>
      <c r="AK219">
        <f>IF(AE219=1,D219+(1000-ROW())/10^7,-1)</f>
        <v/>
      </c>
      <c r="AL219">
        <f>IF(AE219=1,TRIM('Roster'!B219)&amp;" "&amp;LEFT(TRIM('Roster'!C219),1)&amp;".","")</f>
        <v/>
      </c>
      <c r="AM219">
        <f>IF(AE219=1,TRIM('Roster'!C219)&amp;", "&amp;TRIM('Roster'!B219)&amp;" ("&amp;B219&amp;") #"&amp;AD219,"")</f>
        <v/>
      </c>
      <c r="AN219">
        <f>IF(AE219=1,TRIM('Roster'!E219),"")</f>
        <v/>
      </c>
      <c r="AO219">
        <f>IF(AE219=1,ROUND(SUMIFS('All Donations'!$S$2:$S$4001,'All Donations'!$R$2:$R$4001,AD219,'All Donations'!$T$2:$T$4001,"&gt;="&amp;'Settings'!$C$23,'All Donations'!$T$2:$T$4001,"&lt;="&amp;'Settings'!$D$23),2),0)</f>
        <v/>
      </c>
      <c r="AQ219">
        <f>IF(AE219=1,ROUND(SUMIFS('All Donations'!$S$2:$S$4001,'All Donations'!$R$2:$R$4001,AD219,'All Donations'!$T$2:$T$4001,"&gt;="&amp;'Settings'!$C$25,'All Donations'!$T$2:$T$4001,"&lt;="&amp;'Settings'!$D$25),2),0)</f>
        <v/>
      </c>
      <c r="AR219">
        <f>IF(AE219=1,ROUND(SUMIFS('All Donations'!$S$2:$S$4001,'All Donations'!$R$2:$R$4001,AD219,'All Donations'!$T$2:$T$4001,"&gt;="&amp;'Settings'!$C$26,'All Donations'!$T$2:$T$4001,"&lt;="&amp;'Settings'!$D$26),2),0)</f>
        <v/>
      </c>
      <c r="AS219">
        <f>IF(AE219=1,ROUND(SUMIFS('All Donations'!$S$2:$S$4001,'All Donations'!$R$2:$R$4001,AD219,'All Donations'!$T$2:$T$4001,"&lt;="&amp;'Settings'!$D$27),2),0)</f>
        <v/>
      </c>
      <c r="AT219">
        <f>IF(AE219=1,ROUND(SUMIFS('All Donations'!$S$2:$S$4001,'All Donations'!$R$2:$R$4001,AD219,'All Donations'!$T$2:$T$4001,"&gt;="&amp;'Settings'!$C$28,'All Donations'!$T$2:$T$4001,"&lt;="&amp;'Settings'!$D$28),2),0)</f>
        <v/>
      </c>
      <c r="AU219">
        <f>IF(AE219=1,ROUND(SUMIFS('All Donations'!$S$2:$S$4001,'All Donations'!$R$2:$R$4001,AD219,'All Donations'!$T$2:$T$4001,"&gt;="&amp;'Settings'!$C$29,'All Donations'!$T$2:$T$4001,"&lt;="&amp;'Settings'!$D$29),2),0)</f>
        <v/>
      </c>
      <c r="AV219">
        <f>IF(AE219=1,ROUND(SUMIFS('All Donations'!$S$2:$S$4001,'All Donations'!$R$2:$R$4001,AD219,'All Donations'!$T$2:$T$4001,"&lt;="&amp;'Settings'!$D$30),2),0)</f>
        <v/>
      </c>
      <c r="AZ219">
        <f>IF(AE219=1,ROUND(SUMIFS('All Donations'!$S$2:$S$4001,'All Donations'!$R$2:$R$4001,AD219,'All Donations'!$T$2:$T$4001,"&lt;="&amp;'Settings'!$D$34),2),0)</f>
        <v/>
      </c>
    </row>
    <row r="220">
      <c r="A220">
        <f>IF(AE220=1,TRIM(TRIM('Roster'!B220)&amp;" "&amp;TRIM('Roster'!C220)),"")</f>
        <v/>
      </c>
      <c r="B220">
        <f>IF(AE220=1,IF(AN220="","(no teacher)",AN220&amp;" – "&amp;C220),"")</f>
        <v/>
      </c>
      <c r="C220">
        <f>IF(AE220=1,TRIM('Roster'!D220&amp;""),"")</f>
        <v/>
      </c>
      <c r="D220" s="48">
        <f>IF(AE220=1,ROUND(SUMIFS('All Donations'!$S$2:$S$4001,'All Donations'!$R$2:$R$4001,AD220),2),"")</f>
        <v/>
      </c>
      <c r="E220" s="48">
        <f>IF(AE220=1,ROUND(SUMIFS('All Donations'!$S$2:$S$4001,'All Donations'!$R$2:$R$4001,AD220,'All Donations'!$G$2:$G$4001,"OneCause"),2),"")</f>
        <v/>
      </c>
      <c r="F220" s="48">
        <f>IF(AE220=1,D220-E220,"")</f>
        <v/>
      </c>
      <c r="G220">
        <f>IF(AE220=1,COUNTIFS('All Donations'!$R$2:$R$4001,AD220,'All Donations'!$H$2:$H$4001,"OK"),"")</f>
        <v/>
      </c>
      <c r="H220">
        <f>IF(AE220&lt;&gt;1,"",IF(D220&gt;0,"Yes",""))</f>
        <v/>
      </c>
      <c r="I220" s="49">
        <f>IF(OR($AE220&lt;&gt;1,I$1=""),"",SUMIFS('All Donations'!$S$2:$S$4001,'All Donations'!$R$2:$R$4001,$AD220,'All Donations'!$T$2:$T$4001,I$1))</f>
        <v/>
      </c>
      <c r="J220" s="49">
        <f>IF(OR($AE220&lt;&gt;1,J$1=""),"",SUMIFS('All Donations'!$S$2:$S$4001,'All Donations'!$R$2:$R$4001,$AD220,'All Donations'!$T$2:$T$4001,J$1))</f>
        <v/>
      </c>
      <c r="K220" s="49">
        <f>IF(OR($AE220&lt;&gt;1,K$1=""),"",SUMIFS('All Donations'!$S$2:$S$4001,'All Donations'!$R$2:$R$4001,$AD220,'All Donations'!$T$2:$T$4001,K$1))</f>
        <v/>
      </c>
      <c r="L220" s="49">
        <f>IF(OR($AE220&lt;&gt;1,L$1=""),"",SUMIFS('All Donations'!$S$2:$S$4001,'All Donations'!$R$2:$R$4001,$AD220,'All Donations'!$T$2:$T$4001,L$1))</f>
        <v/>
      </c>
      <c r="M220" s="49">
        <f>IF(OR($AE220&lt;&gt;1,M$1=""),"",SUMIFS('All Donations'!$S$2:$S$4001,'All Donations'!$R$2:$R$4001,$AD220,'All Donations'!$T$2:$T$4001,M$1))</f>
        <v/>
      </c>
      <c r="N220" s="49">
        <f>IF(OR($AE220&lt;&gt;1,N$1=""),"",SUMIFS('All Donations'!$S$2:$S$4001,'All Donations'!$R$2:$R$4001,$AD220,'All Donations'!$T$2:$T$4001,N$1))</f>
        <v/>
      </c>
      <c r="O220" s="49">
        <f>IF(OR($AE220&lt;&gt;1,O$1=""),"",SUMIFS('All Donations'!$S$2:$S$4001,'All Donations'!$R$2:$R$4001,$AD220,'All Donations'!$T$2:$T$4001,O$1))</f>
        <v/>
      </c>
      <c r="P220" s="49">
        <f>IF(OR($AE220&lt;&gt;1,P$1=""),"",SUMIFS('All Donations'!$S$2:$S$4001,'All Donations'!$R$2:$R$4001,$AD220,'All Donations'!$T$2:$T$4001,P$1))</f>
        <v/>
      </c>
      <c r="Q220" s="49">
        <f>IF(OR($AE220&lt;&gt;1,Q$1=""),"",SUMIFS('All Donations'!$S$2:$S$4001,'All Donations'!$R$2:$R$4001,$AD220,'All Donations'!$T$2:$T$4001,Q$1))</f>
        <v/>
      </c>
      <c r="R220" s="49">
        <f>IF(OR($AE220&lt;&gt;1,R$1=""),"",SUMIFS('All Donations'!$S$2:$S$4001,'All Donations'!$R$2:$R$4001,$AD220,'All Donations'!$T$2:$T$4001,R$1))</f>
        <v/>
      </c>
      <c r="S220" s="49">
        <f>IF(OR($AE220&lt;&gt;1,S$1=""),"",SUMIFS('All Donations'!$S$2:$S$4001,'All Donations'!$R$2:$R$4001,$AD220,'All Donations'!$T$2:$T$4001,S$1))</f>
        <v/>
      </c>
      <c r="T220" s="49">
        <f>IF(OR($AE220&lt;&gt;1,T$1=""),"",SUMIFS('All Donations'!$S$2:$S$4001,'All Donations'!$R$2:$R$4001,$AD220,'All Donations'!$T$2:$T$4001,T$1))</f>
        <v/>
      </c>
      <c r="U220" s="49">
        <f>IF(OR($AE220&lt;&gt;1,U$1=""),"",SUMIFS('All Donations'!$S$2:$S$4001,'All Donations'!$R$2:$R$4001,$AD220,'All Donations'!$T$2:$T$4001,U$1))</f>
        <v/>
      </c>
      <c r="V220" s="49">
        <f>IF(OR($AE220&lt;&gt;1,V$1=""),"",SUMIFS('All Donations'!$S$2:$S$4001,'All Donations'!$R$2:$R$4001,$AD220,'All Donations'!$T$2:$T$4001,V$1))</f>
        <v/>
      </c>
      <c r="W220" s="49">
        <f>IF(OR($AE220&lt;&gt;1,W$1=""),"",SUMIFS('All Donations'!$S$2:$S$4001,'All Donations'!$R$2:$R$4001,$AD220,'All Donations'!$T$2:$T$4001,W$1))</f>
        <v/>
      </c>
      <c r="X220" s="49">
        <f>IF(OR($AE220&lt;&gt;1,X$1=""),"",SUMIFS('All Donations'!$S$2:$S$4001,'All Donations'!$R$2:$R$4001,$AD220,'All Donations'!$T$2:$T$4001,X$1))</f>
        <v/>
      </c>
      <c r="Y220" s="49">
        <f>IF(OR($AE220&lt;&gt;1,Y$1=""),"",SUMIFS('All Donations'!$S$2:$S$4001,'All Donations'!$R$2:$R$4001,$AD220,'All Donations'!$T$2:$T$4001,Y$1))</f>
        <v/>
      </c>
      <c r="Z220" s="49">
        <f>IF(OR($AE220&lt;&gt;1,Z$1=""),"",SUMIFS('All Donations'!$S$2:$S$4001,'All Donations'!$R$2:$R$4001,$AD220,'All Donations'!$T$2:$T$4001,Z$1))</f>
        <v/>
      </c>
      <c r="AA220" s="49">
        <f>IF(OR($AE220&lt;&gt;1,AA$1=""),"",SUMIFS('All Donations'!$S$2:$S$4001,'All Donations'!$R$2:$R$4001,$AD220,'All Donations'!$T$2:$T$4001,AA$1))</f>
        <v/>
      </c>
      <c r="AB220" s="49">
        <f>IF(OR($AE220&lt;&gt;1,AB$1=""),"",SUMIFS('All Donations'!$S$2:$S$4001,'All Donations'!$R$2:$R$4001,$AD220,'All Donations'!$T$2:$T$4001,AB$1))</f>
        <v/>
      </c>
      <c r="AC220" s="49">
        <f>IF(OR($AE220&lt;&gt;1,AC$1=""),"",SUMIFS('All Donations'!$S$2:$S$4001,'All Donations'!$R$2:$R$4001,$AD220,'All Donations'!$T$2:$T$4001,AC$1))</f>
        <v/>
      </c>
      <c r="AD220">
        <f>IF(AE220=1,'Roster'!A220,"")</f>
        <v/>
      </c>
      <c r="AE220">
        <f>IF(TRIM('Roster'!B220&amp;'Roster'!C220)&lt;&gt;"",1,0)</f>
        <v/>
      </c>
      <c r="AF220">
        <f>IF(AE220=1,LOWER(A220),"#")</f>
        <v/>
      </c>
      <c r="AG220">
        <f>IF(AE220=1,LOWER(TRIM(TRIM('Roster'!C220)&amp;", "&amp;TRIM('Roster'!B220))),"#")</f>
        <v/>
      </c>
      <c r="AH220">
        <f>IF(AND(AE220=1,TRIM('Roster'!F220)&lt;&gt;""),LOWER(TRIM('Roster'!F220)),"#")</f>
        <v/>
      </c>
      <c r="AI220">
        <f>IF(AE220=1,IF(MATCH(B220,$B$2:$B$701,0)=ROW()-1,1,0),0)</f>
        <v/>
      </c>
      <c r="AJ220">
        <f>AJ219+AI220</f>
        <v/>
      </c>
      <c r="AK220">
        <f>IF(AE220=1,D220+(1000-ROW())/10^7,-1)</f>
        <v/>
      </c>
      <c r="AL220">
        <f>IF(AE220=1,TRIM('Roster'!B220)&amp;" "&amp;LEFT(TRIM('Roster'!C220),1)&amp;".","")</f>
        <v/>
      </c>
      <c r="AM220">
        <f>IF(AE220=1,TRIM('Roster'!C220)&amp;", "&amp;TRIM('Roster'!B220)&amp;" ("&amp;B220&amp;") #"&amp;AD220,"")</f>
        <v/>
      </c>
      <c r="AN220">
        <f>IF(AE220=1,TRIM('Roster'!E220),"")</f>
        <v/>
      </c>
      <c r="AO220">
        <f>IF(AE220=1,ROUND(SUMIFS('All Donations'!$S$2:$S$4001,'All Donations'!$R$2:$R$4001,AD220,'All Donations'!$T$2:$T$4001,"&gt;="&amp;'Settings'!$C$23,'All Donations'!$T$2:$T$4001,"&lt;="&amp;'Settings'!$D$23),2),0)</f>
        <v/>
      </c>
      <c r="AQ220">
        <f>IF(AE220=1,ROUND(SUMIFS('All Donations'!$S$2:$S$4001,'All Donations'!$R$2:$R$4001,AD220,'All Donations'!$T$2:$T$4001,"&gt;="&amp;'Settings'!$C$25,'All Donations'!$T$2:$T$4001,"&lt;="&amp;'Settings'!$D$25),2),0)</f>
        <v/>
      </c>
      <c r="AR220">
        <f>IF(AE220=1,ROUND(SUMIFS('All Donations'!$S$2:$S$4001,'All Donations'!$R$2:$R$4001,AD220,'All Donations'!$T$2:$T$4001,"&gt;="&amp;'Settings'!$C$26,'All Donations'!$T$2:$T$4001,"&lt;="&amp;'Settings'!$D$26),2),0)</f>
        <v/>
      </c>
      <c r="AS220">
        <f>IF(AE220=1,ROUND(SUMIFS('All Donations'!$S$2:$S$4001,'All Donations'!$R$2:$R$4001,AD220,'All Donations'!$T$2:$T$4001,"&lt;="&amp;'Settings'!$D$27),2),0)</f>
        <v/>
      </c>
      <c r="AT220">
        <f>IF(AE220=1,ROUND(SUMIFS('All Donations'!$S$2:$S$4001,'All Donations'!$R$2:$R$4001,AD220,'All Donations'!$T$2:$T$4001,"&gt;="&amp;'Settings'!$C$28,'All Donations'!$T$2:$T$4001,"&lt;="&amp;'Settings'!$D$28),2),0)</f>
        <v/>
      </c>
      <c r="AU220">
        <f>IF(AE220=1,ROUND(SUMIFS('All Donations'!$S$2:$S$4001,'All Donations'!$R$2:$R$4001,AD220,'All Donations'!$T$2:$T$4001,"&gt;="&amp;'Settings'!$C$29,'All Donations'!$T$2:$T$4001,"&lt;="&amp;'Settings'!$D$29),2),0)</f>
        <v/>
      </c>
      <c r="AV220">
        <f>IF(AE220=1,ROUND(SUMIFS('All Donations'!$S$2:$S$4001,'All Donations'!$R$2:$R$4001,AD220,'All Donations'!$T$2:$T$4001,"&lt;="&amp;'Settings'!$D$30),2),0)</f>
        <v/>
      </c>
      <c r="AZ220">
        <f>IF(AE220=1,ROUND(SUMIFS('All Donations'!$S$2:$S$4001,'All Donations'!$R$2:$R$4001,AD220,'All Donations'!$T$2:$T$4001,"&lt;="&amp;'Settings'!$D$34),2),0)</f>
        <v/>
      </c>
    </row>
    <row r="221">
      <c r="A221">
        <f>IF(AE221=1,TRIM(TRIM('Roster'!B221)&amp;" "&amp;TRIM('Roster'!C221)),"")</f>
        <v/>
      </c>
      <c r="B221">
        <f>IF(AE221=1,IF(AN221="","(no teacher)",AN221&amp;" – "&amp;C221),"")</f>
        <v/>
      </c>
      <c r="C221">
        <f>IF(AE221=1,TRIM('Roster'!D221&amp;""),"")</f>
        <v/>
      </c>
      <c r="D221" s="48">
        <f>IF(AE221=1,ROUND(SUMIFS('All Donations'!$S$2:$S$4001,'All Donations'!$R$2:$R$4001,AD221),2),"")</f>
        <v/>
      </c>
      <c r="E221" s="48">
        <f>IF(AE221=1,ROUND(SUMIFS('All Donations'!$S$2:$S$4001,'All Donations'!$R$2:$R$4001,AD221,'All Donations'!$G$2:$G$4001,"OneCause"),2),"")</f>
        <v/>
      </c>
      <c r="F221" s="48">
        <f>IF(AE221=1,D221-E221,"")</f>
        <v/>
      </c>
      <c r="G221">
        <f>IF(AE221=1,COUNTIFS('All Donations'!$R$2:$R$4001,AD221,'All Donations'!$H$2:$H$4001,"OK"),"")</f>
        <v/>
      </c>
      <c r="H221">
        <f>IF(AE221&lt;&gt;1,"",IF(D221&gt;0,"Yes",""))</f>
        <v/>
      </c>
      <c r="I221" s="49">
        <f>IF(OR($AE221&lt;&gt;1,I$1=""),"",SUMIFS('All Donations'!$S$2:$S$4001,'All Donations'!$R$2:$R$4001,$AD221,'All Donations'!$T$2:$T$4001,I$1))</f>
        <v/>
      </c>
      <c r="J221" s="49">
        <f>IF(OR($AE221&lt;&gt;1,J$1=""),"",SUMIFS('All Donations'!$S$2:$S$4001,'All Donations'!$R$2:$R$4001,$AD221,'All Donations'!$T$2:$T$4001,J$1))</f>
        <v/>
      </c>
      <c r="K221" s="49">
        <f>IF(OR($AE221&lt;&gt;1,K$1=""),"",SUMIFS('All Donations'!$S$2:$S$4001,'All Donations'!$R$2:$R$4001,$AD221,'All Donations'!$T$2:$T$4001,K$1))</f>
        <v/>
      </c>
      <c r="L221" s="49">
        <f>IF(OR($AE221&lt;&gt;1,L$1=""),"",SUMIFS('All Donations'!$S$2:$S$4001,'All Donations'!$R$2:$R$4001,$AD221,'All Donations'!$T$2:$T$4001,L$1))</f>
        <v/>
      </c>
      <c r="M221" s="49">
        <f>IF(OR($AE221&lt;&gt;1,M$1=""),"",SUMIFS('All Donations'!$S$2:$S$4001,'All Donations'!$R$2:$R$4001,$AD221,'All Donations'!$T$2:$T$4001,M$1))</f>
        <v/>
      </c>
      <c r="N221" s="49">
        <f>IF(OR($AE221&lt;&gt;1,N$1=""),"",SUMIFS('All Donations'!$S$2:$S$4001,'All Donations'!$R$2:$R$4001,$AD221,'All Donations'!$T$2:$T$4001,N$1))</f>
        <v/>
      </c>
      <c r="O221" s="49">
        <f>IF(OR($AE221&lt;&gt;1,O$1=""),"",SUMIFS('All Donations'!$S$2:$S$4001,'All Donations'!$R$2:$R$4001,$AD221,'All Donations'!$T$2:$T$4001,O$1))</f>
        <v/>
      </c>
      <c r="P221" s="49">
        <f>IF(OR($AE221&lt;&gt;1,P$1=""),"",SUMIFS('All Donations'!$S$2:$S$4001,'All Donations'!$R$2:$R$4001,$AD221,'All Donations'!$T$2:$T$4001,P$1))</f>
        <v/>
      </c>
      <c r="Q221" s="49">
        <f>IF(OR($AE221&lt;&gt;1,Q$1=""),"",SUMIFS('All Donations'!$S$2:$S$4001,'All Donations'!$R$2:$R$4001,$AD221,'All Donations'!$T$2:$T$4001,Q$1))</f>
        <v/>
      </c>
      <c r="R221" s="49">
        <f>IF(OR($AE221&lt;&gt;1,R$1=""),"",SUMIFS('All Donations'!$S$2:$S$4001,'All Donations'!$R$2:$R$4001,$AD221,'All Donations'!$T$2:$T$4001,R$1))</f>
        <v/>
      </c>
      <c r="S221" s="49">
        <f>IF(OR($AE221&lt;&gt;1,S$1=""),"",SUMIFS('All Donations'!$S$2:$S$4001,'All Donations'!$R$2:$R$4001,$AD221,'All Donations'!$T$2:$T$4001,S$1))</f>
        <v/>
      </c>
      <c r="T221" s="49">
        <f>IF(OR($AE221&lt;&gt;1,T$1=""),"",SUMIFS('All Donations'!$S$2:$S$4001,'All Donations'!$R$2:$R$4001,$AD221,'All Donations'!$T$2:$T$4001,T$1))</f>
        <v/>
      </c>
      <c r="U221" s="49">
        <f>IF(OR($AE221&lt;&gt;1,U$1=""),"",SUMIFS('All Donations'!$S$2:$S$4001,'All Donations'!$R$2:$R$4001,$AD221,'All Donations'!$T$2:$T$4001,U$1))</f>
        <v/>
      </c>
      <c r="V221" s="49">
        <f>IF(OR($AE221&lt;&gt;1,V$1=""),"",SUMIFS('All Donations'!$S$2:$S$4001,'All Donations'!$R$2:$R$4001,$AD221,'All Donations'!$T$2:$T$4001,V$1))</f>
        <v/>
      </c>
      <c r="W221" s="49">
        <f>IF(OR($AE221&lt;&gt;1,W$1=""),"",SUMIFS('All Donations'!$S$2:$S$4001,'All Donations'!$R$2:$R$4001,$AD221,'All Donations'!$T$2:$T$4001,W$1))</f>
        <v/>
      </c>
      <c r="X221" s="49">
        <f>IF(OR($AE221&lt;&gt;1,X$1=""),"",SUMIFS('All Donations'!$S$2:$S$4001,'All Donations'!$R$2:$R$4001,$AD221,'All Donations'!$T$2:$T$4001,X$1))</f>
        <v/>
      </c>
      <c r="Y221" s="49">
        <f>IF(OR($AE221&lt;&gt;1,Y$1=""),"",SUMIFS('All Donations'!$S$2:$S$4001,'All Donations'!$R$2:$R$4001,$AD221,'All Donations'!$T$2:$T$4001,Y$1))</f>
        <v/>
      </c>
      <c r="Z221" s="49">
        <f>IF(OR($AE221&lt;&gt;1,Z$1=""),"",SUMIFS('All Donations'!$S$2:$S$4001,'All Donations'!$R$2:$R$4001,$AD221,'All Donations'!$T$2:$T$4001,Z$1))</f>
        <v/>
      </c>
      <c r="AA221" s="49">
        <f>IF(OR($AE221&lt;&gt;1,AA$1=""),"",SUMIFS('All Donations'!$S$2:$S$4001,'All Donations'!$R$2:$R$4001,$AD221,'All Donations'!$T$2:$T$4001,AA$1))</f>
        <v/>
      </c>
      <c r="AB221" s="49">
        <f>IF(OR($AE221&lt;&gt;1,AB$1=""),"",SUMIFS('All Donations'!$S$2:$S$4001,'All Donations'!$R$2:$R$4001,$AD221,'All Donations'!$T$2:$T$4001,AB$1))</f>
        <v/>
      </c>
      <c r="AC221" s="49">
        <f>IF(OR($AE221&lt;&gt;1,AC$1=""),"",SUMIFS('All Donations'!$S$2:$S$4001,'All Donations'!$R$2:$R$4001,$AD221,'All Donations'!$T$2:$T$4001,AC$1))</f>
        <v/>
      </c>
      <c r="AD221">
        <f>IF(AE221=1,'Roster'!A221,"")</f>
        <v/>
      </c>
      <c r="AE221">
        <f>IF(TRIM('Roster'!B221&amp;'Roster'!C221)&lt;&gt;"",1,0)</f>
        <v/>
      </c>
      <c r="AF221">
        <f>IF(AE221=1,LOWER(A221),"#")</f>
        <v/>
      </c>
      <c r="AG221">
        <f>IF(AE221=1,LOWER(TRIM(TRIM('Roster'!C221)&amp;", "&amp;TRIM('Roster'!B221))),"#")</f>
        <v/>
      </c>
      <c r="AH221">
        <f>IF(AND(AE221=1,TRIM('Roster'!F221)&lt;&gt;""),LOWER(TRIM('Roster'!F221)),"#")</f>
        <v/>
      </c>
      <c r="AI221">
        <f>IF(AE221=1,IF(MATCH(B221,$B$2:$B$701,0)=ROW()-1,1,0),0)</f>
        <v/>
      </c>
      <c r="AJ221">
        <f>AJ220+AI221</f>
        <v/>
      </c>
      <c r="AK221">
        <f>IF(AE221=1,D221+(1000-ROW())/10^7,-1)</f>
        <v/>
      </c>
      <c r="AL221">
        <f>IF(AE221=1,TRIM('Roster'!B221)&amp;" "&amp;LEFT(TRIM('Roster'!C221),1)&amp;".","")</f>
        <v/>
      </c>
      <c r="AM221">
        <f>IF(AE221=1,TRIM('Roster'!C221)&amp;", "&amp;TRIM('Roster'!B221)&amp;" ("&amp;B221&amp;") #"&amp;AD221,"")</f>
        <v/>
      </c>
      <c r="AN221">
        <f>IF(AE221=1,TRIM('Roster'!E221),"")</f>
        <v/>
      </c>
      <c r="AO221">
        <f>IF(AE221=1,ROUND(SUMIFS('All Donations'!$S$2:$S$4001,'All Donations'!$R$2:$R$4001,AD221,'All Donations'!$T$2:$T$4001,"&gt;="&amp;'Settings'!$C$23,'All Donations'!$T$2:$T$4001,"&lt;="&amp;'Settings'!$D$23),2),0)</f>
        <v/>
      </c>
      <c r="AQ221">
        <f>IF(AE221=1,ROUND(SUMIFS('All Donations'!$S$2:$S$4001,'All Donations'!$R$2:$R$4001,AD221,'All Donations'!$T$2:$T$4001,"&gt;="&amp;'Settings'!$C$25,'All Donations'!$T$2:$T$4001,"&lt;="&amp;'Settings'!$D$25),2),0)</f>
        <v/>
      </c>
      <c r="AR221">
        <f>IF(AE221=1,ROUND(SUMIFS('All Donations'!$S$2:$S$4001,'All Donations'!$R$2:$R$4001,AD221,'All Donations'!$T$2:$T$4001,"&gt;="&amp;'Settings'!$C$26,'All Donations'!$T$2:$T$4001,"&lt;="&amp;'Settings'!$D$26),2),0)</f>
        <v/>
      </c>
      <c r="AS221">
        <f>IF(AE221=1,ROUND(SUMIFS('All Donations'!$S$2:$S$4001,'All Donations'!$R$2:$R$4001,AD221,'All Donations'!$T$2:$T$4001,"&lt;="&amp;'Settings'!$D$27),2),0)</f>
        <v/>
      </c>
      <c r="AT221">
        <f>IF(AE221=1,ROUND(SUMIFS('All Donations'!$S$2:$S$4001,'All Donations'!$R$2:$R$4001,AD221,'All Donations'!$T$2:$T$4001,"&gt;="&amp;'Settings'!$C$28,'All Donations'!$T$2:$T$4001,"&lt;="&amp;'Settings'!$D$28),2),0)</f>
        <v/>
      </c>
      <c r="AU221">
        <f>IF(AE221=1,ROUND(SUMIFS('All Donations'!$S$2:$S$4001,'All Donations'!$R$2:$R$4001,AD221,'All Donations'!$T$2:$T$4001,"&gt;="&amp;'Settings'!$C$29,'All Donations'!$T$2:$T$4001,"&lt;="&amp;'Settings'!$D$29),2),0)</f>
        <v/>
      </c>
      <c r="AV221">
        <f>IF(AE221=1,ROUND(SUMIFS('All Donations'!$S$2:$S$4001,'All Donations'!$R$2:$R$4001,AD221,'All Donations'!$T$2:$T$4001,"&lt;="&amp;'Settings'!$D$30),2),0)</f>
        <v/>
      </c>
      <c r="AZ221">
        <f>IF(AE221=1,ROUND(SUMIFS('All Donations'!$S$2:$S$4001,'All Donations'!$R$2:$R$4001,AD221,'All Donations'!$T$2:$T$4001,"&lt;="&amp;'Settings'!$D$34),2),0)</f>
        <v/>
      </c>
    </row>
    <row r="222">
      <c r="A222">
        <f>IF(AE222=1,TRIM(TRIM('Roster'!B222)&amp;" "&amp;TRIM('Roster'!C222)),"")</f>
        <v/>
      </c>
      <c r="B222">
        <f>IF(AE222=1,IF(AN222="","(no teacher)",AN222&amp;" – "&amp;C222),"")</f>
        <v/>
      </c>
      <c r="C222">
        <f>IF(AE222=1,TRIM('Roster'!D222&amp;""),"")</f>
        <v/>
      </c>
      <c r="D222" s="48">
        <f>IF(AE222=1,ROUND(SUMIFS('All Donations'!$S$2:$S$4001,'All Donations'!$R$2:$R$4001,AD222),2),"")</f>
        <v/>
      </c>
      <c r="E222" s="48">
        <f>IF(AE222=1,ROUND(SUMIFS('All Donations'!$S$2:$S$4001,'All Donations'!$R$2:$R$4001,AD222,'All Donations'!$G$2:$G$4001,"OneCause"),2),"")</f>
        <v/>
      </c>
      <c r="F222" s="48">
        <f>IF(AE222=1,D222-E222,"")</f>
        <v/>
      </c>
      <c r="G222">
        <f>IF(AE222=1,COUNTIFS('All Donations'!$R$2:$R$4001,AD222,'All Donations'!$H$2:$H$4001,"OK"),"")</f>
        <v/>
      </c>
      <c r="H222">
        <f>IF(AE222&lt;&gt;1,"",IF(D222&gt;0,"Yes",""))</f>
        <v/>
      </c>
      <c r="I222" s="49">
        <f>IF(OR($AE222&lt;&gt;1,I$1=""),"",SUMIFS('All Donations'!$S$2:$S$4001,'All Donations'!$R$2:$R$4001,$AD222,'All Donations'!$T$2:$T$4001,I$1))</f>
        <v/>
      </c>
      <c r="J222" s="49">
        <f>IF(OR($AE222&lt;&gt;1,J$1=""),"",SUMIFS('All Donations'!$S$2:$S$4001,'All Donations'!$R$2:$R$4001,$AD222,'All Donations'!$T$2:$T$4001,J$1))</f>
        <v/>
      </c>
      <c r="K222" s="49">
        <f>IF(OR($AE222&lt;&gt;1,K$1=""),"",SUMIFS('All Donations'!$S$2:$S$4001,'All Donations'!$R$2:$R$4001,$AD222,'All Donations'!$T$2:$T$4001,K$1))</f>
        <v/>
      </c>
      <c r="L222" s="49">
        <f>IF(OR($AE222&lt;&gt;1,L$1=""),"",SUMIFS('All Donations'!$S$2:$S$4001,'All Donations'!$R$2:$R$4001,$AD222,'All Donations'!$T$2:$T$4001,L$1))</f>
        <v/>
      </c>
      <c r="M222" s="49">
        <f>IF(OR($AE222&lt;&gt;1,M$1=""),"",SUMIFS('All Donations'!$S$2:$S$4001,'All Donations'!$R$2:$R$4001,$AD222,'All Donations'!$T$2:$T$4001,M$1))</f>
        <v/>
      </c>
      <c r="N222" s="49">
        <f>IF(OR($AE222&lt;&gt;1,N$1=""),"",SUMIFS('All Donations'!$S$2:$S$4001,'All Donations'!$R$2:$R$4001,$AD222,'All Donations'!$T$2:$T$4001,N$1))</f>
        <v/>
      </c>
      <c r="O222" s="49">
        <f>IF(OR($AE222&lt;&gt;1,O$1=""),"",SUMIFS('All Donations'!$S$2:$S$4001,'All Donations'!$R$2:$R$4001,$AD222,'All Donations'!$T$2:$T$4001,O$1))</f>
        <v/>
      </c>
      <c r="P222" s="49">
        <f>IF(OR($AE222&lt;&gt;1,P$1=""),"",SUMIFS('All Donations'!$S$2:$S$4001,'All Donations'!$R$2:$R$4001,$AD222,'All Donations'!$T$2:$T$4001,P$1))</f>
        <v/>
      </c>
      <c r="Q222" s="49">
        <f>IF(OR($AE222&lt;&gt;1,Q$1=""),"",SUMIFS('All Donations'!$S$2:$S$4001,'All Donations'!$R$2:$R$4001,$AD222,'All Donations'!$T$2:$T$4001,Q$1))</f>
        <v/>
      </c>
      <c r="R222" s="49">
        <f>IF(OR($AE222&lt;&gt;1,R$1=""),"",SUMIFS('All Donations'!$S$2:$S$4001,'All Donations'!$R$2:$R$4001,$AD222,'All Donations'!$T$2:$T$4001,R$1))</f>
        <v/>
      </c>
      <c r="S222" s="49">
        <f>IF(OR($AE222&lt;&gt;1,S$1=""),"",SUMIFS('All Donations'!$S$2:$S$4001,'All Donations'!$R$2:$R$4001,$AD222,'All Donations'!$T$2:$T$4001,S$1))</f>
        <v/>
      </c>
      <c r="T222" s="49">
        <f>IF(OR($AE222&lt;&gt;1,T$1=""),"",SUMIFS('All Donations'!$S$2:$S$4001,'All Donations'!$R$2:$R$4001,$AD222,'All Donations'!$T$2:$T$4001,T$1))</f>
        <v/>
      </c>
      <c r="U222" s="49">
        <f>IF(OR($AE222&lt;&gt;1,U$1=""),"",SUMIFS('All Donations'!$S$2:$S$4001,'All Donations'!$R$2:$R$4001,$AD222,'All Donations'!$T$2:$T$4001,U$1))</f>
        <v/>
      </c>
      <c r="V222" s="49">
        <f>IF(OR($AE222&lt;&gt;1,V$1=""),"",SUMIFS('All Donations'!$S$2:$S$4001,'All Donations'!$R$2:$R$4001,$AD222,'All Donations'!$T$2:$T$4001,V$1))</f>
        <v/>
      </c>
      <c r="W222" s="49">
        <f>IF(OR($AE222&lt;&gt;1,W$1=""),"",SUMIFS('All Donations'!$S$2:$S$4001,'All Donations'!$R$2:$R$4001,$AD222,'All Donations'!$T$2:$T$4001,W$1))</f>
        <v/>
      </c>
      <c r="X222" s="49">
        <f>IF(OR($AE222&lt;&gt;1,X$1=""),"",SUMIFS('All Donations'!$S$2:$S$4001,'All Donations'!$R$2:$R$4001,$AD222,'All Donations'!$T$2:$T$4001,X$1))</f>
        <v/>
      </c>
      <c r="Y222" s="49">
        <f>IF(OR($AE222&lt;&gt;1,Y$1=""),"",SUMIFS('All Donations'!$S$2:$S$4001,'All Donations'!$R$2:$R$4001,$AD222,'All Donations'!$T$2:$T$4001,Y$1))</f>
        <v/>
      </c>
      <c r="Z222" s="49">
        <f>IF(OR($AE222&lt;&gt;1,Z$1=""),"",SUMIFS('All Donations'!$S$2:$S$4001,'All Donations'!$R$2:$R$4001,$AD222,'All Donations'!$T$2:$T$4001,Z$1))</f>
        <v/>
      </c>
      <c r="AA222" s="49">
        <f>IF(OR($AE222&lt;&gt;1,AA$1=""),"",SUMIFS('All Donations'!$S$2:$S$4001,'All Donations'!$R$2:$R$4001,$AD222,'All Donations'!$T$2:$T$4001,AA$1))</f>
        <v/>
      </c>
      <c r="AB222" s="49">
        <f>IF(OR($AE222&lt;&gt;1,AB$1=""),"",SUMIFS('All Donations'!$S$2:$S$4001,'All Donations'!$R$2:$R$4001,$AD222,'All Donations'!$T$2:$T$4001,AB$1))</f>
        <v/>
      </c>
      <c r="AC222" s="49">
        <f>IF(OR($AE222&lt;&gt;1,AC$1=""),"",SUMIFS('All Donations'!$S$2:$S$4001,'All Donations'!$R$2:$R$4001,$AD222,'All Donations'!$T$2:$T$4001,AC$1))</f>
        <v/>
      </c>
      <c r="AD222">
        <f>IF(AE222=1,'Roster'!A222,"")</f>
        <v/>
      </c>
      <c r="AE222">
        <f>IF(TRIM('Roster'!B222&amp;'Roster'!C222)&lt;&gt;"",1,0)</f>
        <v/>
      </c>
      <c r="AF222">
        <f>IF(AE222=1,LOWER(A222),"#")</f>
        <v/>
      </c>
      <c r="AG222">
        <f>IF(AE222=1,LOWER(TRIM(TRIM('Roster'!C222)&amp;", "&amp;TRIM('Roster'!B222))),"#")</f>
        <v/>
      </c>
      <c r="AH222">
        <f>IF(AND(AE222=1,TRIM('Roster'!F222)&lt;&gt;""),LOWER(TRIM('Roster'!F222)),"#")</f>
        <v/>
      </c>
      <c r="AI222">
        <f>IF(AE222=1,IF(MATCH(B222,$B$2:$B$701,0)=ROW()-1,1,0),0)</f>
        <v/>
      </c>
      <c r="AJ222">
        <f>AJ221+AI222</f>
        <v/>
      </c>
      <c r="AK222">
        <f>IF(AE222=1,D222+(1000-ROW())/10^7,-1)</f>
        <v/>
      </c>
      <c r="AL222">
        <f>IF(AE222=1,TRIM('Roster'!B222)&amp;" "&amp;LEFT(TRIM('Roster'!C222),1)&amp;".","")</f>
        <v/>
      </c>
      <c r="AM222">
        <f>IF(AE222=1,TRIM('Roster'!C222)&amp;", "&amp;TRIM('Roster'!B222)&amp;" ("&amp;B222&amp;") #"&amp;AD222,"")</f>
        <v/>
      </c>
      <c r="AN222">
        <f>IF(AE222=1,TRIM('Roster'!E222),"")</f>
        <v/>
      </c>
      <c r="AO222">
        <f>IF(AE222=1,ROUND(SUMIFS('All Donations'!$S$2:$S$4001,'All Donations'!$R$2:$R$4001,AD222,'All Donations'!$T$2:$T$4001,"&gt;="&amp;'Settings'!$C$23,'All Donations'!$T$2:$T$4001,"&lt;="&amp;'Settings'!$D$23),2),0)</f>
        <v/>
      </c>
      <c r="AQ222">
        <f>IF(AE222=1,ROUND(SUMIFS('All Donations'!$S$2:$S$4001,'All Donations'!$R$2:$R$4001,AD222,'All Donations'!$T$2:$T$4001,"&gt;="&amp;'Settings'!$C$25,'All Donations'!$T$2:$T$4001,"&lt;="&amp;'Settings'!$D$25),2),0)</f>
        <v/>
      </c>
      <c r="AR222">
        <f>IF(AE222=1,ROUND(SUMIFS('All Donations'!$S$2:$S$4001,'All Donations'!$R$2:$R$4001,AD222,'All Donations'!$T$2:$T$4001,"&gt;="&amp;'Settings'!$C$26,'All Donations'!$T$2:$T$4001,"&lt;="&amp;'Settings'!$D$26),2),0)</f>
        <v/>
      </c>
      <c r="AS222">
        <f>IF(AE222=1,ROUND(SUMIFS('All Donations'!$S$2:$S$4001,'All Donations'!$R$2:$R$4001,AD222,'All Donations'!$T$2:$T$4001,"&lt;="&amp;'Settings'!$D$27),2),0)</f>
        <v/>
      </c>
      <c r="AT222">
        <f>IF(AE222=1,ROUND(SUMIFS('All Donations'!$S$2:$S$4001,'All Donations'!$R$2:$R$4001,AD222,'All Donations'!$T$2:$T$4001,"&gt;="&amp;'Settings'!$C$28,'All Donations'!$T$2:$T$4001,"&lt;="&amp;'Settings'!$D$28),2),0)</f>
        <v/>
      </c>
      <c r="AU222">
        <f>IF(AE222=1,ROUND(SUMIFS('All Donations'!$S$2:$S$4001,'All Donations'!$R$2:$R$4001,AD222,'All Donations'!$T$2:$T$4001,"&gt;="&amp;'Settings'!$C$29,'All Donations'!$T$2:$T$4001,"&lt;="&amp;'Settings'!$D$29),2),0)</f>
        <v/>
      </c>
      <c r="AV222">
        <f>IF(AE222=1,ROUND(SUMIFS('All Donations'!$S$2:$S$4001,'All Donations'!$R$2:$R$4001,AD222,'All Donations'!$T$2:$T$4001,"&lt;="&amp;'Settings'!$D$30),2),0)</f>
        <v/>
      </c>
      <c r="AZ222">
        <f>IF(AE222=1,ROUND(SUMIFS('All Donations'!$S$2:$S$4001,'All Donations'!$R$2:$R$4001,AD222,'All Donations'!$T$2:$T$4001,"&lt;="&amp;'Settings'!$D$34),2),0)</f>
        <v/>
      </c>
    </row>
    <row r="223">
      <c r="A223">
        <f>IF(AE223=1,TRIM(TRIM('Roster'!B223)&amp;" "&amp;TRIM('Roster'!C223)),"")</f>
        <v/>
      </c>
      <c r="B223">
        <f>IF(AE223=1,IF(AN223="","(no teacher)",AN223&amp;" – "&amp;C223),"")</f>
        <v/>
      </c>
      <c r="C223">
        <f>IF(AE223=1,TRIM('Roster'!D223&amp;""),"")</f>
        <v/>
      </c>
      <c r="D223" s="48">
        <f>IF(AE223=1,ROUND(SUMIFS('All Donations'!$S$2:$S$4001,'All Donations'!$R$2:$R$4001,AD223),2),"")</f>
        <v/>
      </c>
      <c r="E223" s="48">
        <f>IF(AE223=1,ROUND(SUMIFS('All Donations'!$S$2:$S$4001,'All Donations'!$R$2:$R$4001,AD223,'All Donations'!$G$2:$G$4001,"OneCause"),2),"")</f>
        <v/>
      </c>
      <c r="F223" s="48">
        <f>IF(AE223=1,D223-E223,"")</f>
        <v/>
      </c>
      <c r="G223">
        <f>IF(AE223=1,COUNTIFS('All Donations'!$R$2:$R$4001,AD223,'All Donations'!$H$2:$H$4001,"OK"),"")</f>
        <v/>
      </c>
      <c r="H223">
        <f>IF(AE223&lt;&gt;1,"",IF(D223&gt;0,"Yes",""))</f>
        <v/>
      </c>
      <c r="I223" s="49">
        <f>IF(OR($AE223&lt;&gt;1,I$1=""),"",SUMIFS('All Donations'!$S$2:$S$4001,'All Donations'!$R$2:$R$4001,$AD223,'All Donations'!$T$2:$T$4001,I$1))</f>
        <v/>
      </c>
      <c r="J223" s="49">
        <f>IF(OR($AE223&lt;&gt;1,J$1=""),"",SUMIFS('All Donations'!$S$2:$S$4001,'All Donations'!$R$2:$R$4001,$AD223,'All Donations'!$T$2:$T$4001,J$1))</f>
        <v/>
      </c>
      <c r="K223" s="49">
        <f>IF(OR($AE223&lt;&gt;1,K$1=""),"",SUMIFS('All Donations'!$S$2:$S$4001,'All Donations'!$R$2:$R$4001,$AD223,'All Donations'!$T$2:$T$4001,K$1))</f>
        <v/>
      </c>
      <c r="L223" s="49">
        <f>IF(OR($AE223&lt;&gt;1,L$1=""),"",SUMIFS('All Donations'!$S$2:$S$4001,'All Donations'!$R$2:$R$4001,$AD223,'All Donations'!$T$2:$T$4001,L$1))</f>
        <v/>
      </c>
      <c r="M223" s="49">
        <f>IF(OR($AE223&lt;&gt;1,M$1=""),"",SUMIFS('All Donations'!$S$2:$S$4001,'All Donations'!$R$2:$R$4001,$AD223,'All Donations'!$T$2:$T$4001,M$1))</f>
        <v/>
      </c>
      <c r="N223" s="49">
        <f>IF(OR($AE223&lt;&gt;1,N$1=""),"",SUMIFS('All Donations'!$S$2:$S$4001,'All Donations'!$R$2:$R$4001,$AD223,'All Donations'!$T$2:$T$4001,N$1))</f>
        <v/>
      </c>
      <c r="O223" s="49">
        <f>IF(OR($AE223&lt;&gt;1,O$1=""),"",SUMIFS('All Donations'!$S$2:$S$4001,'All Donations'!$R$2:$R$4001,$AD223,'All Donations'!$T$2:$T$4001,O$1))</f>
        <v/>
      </c>
      <c r="P223" s="49">
        <f>IF(OR($AE223&lt;&gt;1,P$1=""),"",SUMIFS('All Donations'!$S$2:$S$4001,'All Donations'!$R$2:$R$4001,$AD223,'All Donations'!$T$2:$T$4001,P$1))</f>
        <v/>
      </c>
      <c r="Q223" s="49">
        <f>IF(OR($AE223&lt;&gt;1,Q$1=""),"",SUMIFS('All Donations'!$S$2:$S$4001,'All Donations'!$R$2:$R$4001,$AD223,'All Donations'!$T$2:$T$4001,Q$1))</f>
        <v/>
      </c>
      <c r="R223" s="49">
        <f>IF(OR($AE223&lt;&gt;1,R$1=""),"",SUMIFS('All Donations'!$S$2:$S$4001,'All Donations'!$R$2:$R$4001,$AD223,'All Donations'!$T$2:$T$4001,R$1))</f>
        <v/>
      </c>
      <c r="S223" s="49">
        <f>IF(OR($AE223&lt;&gt;1,S$1=""),"",SUMIFS('All Donations'!$S$2:$S$4001,'All Donations'!$R$2:$R$4001,$AD223,'All Donations'!$T$2:$T$4001,S$1))</f>
        <v/>
      </c>
      <c r="T223" s="49">
        <f>IF(OR($AE223&lt;&gt;1,T$1=""),"",SUMIFS('All Donations'!$S$2:$S$4001,'All Donations'!$R$2:$R$4001,$AD223,'All Donations'!$T$2:$T$4001,T$1))</f>
        <v/>
      </c>
      <c r="U223" s="49">
        <f>IF(OR($AE223&lt;&gt;1,U$1=""),"",SUMIFS('All Donations'!$S$2:$S$4001,'All Donations'!$R$2:$R$4001,$AD223,'All Donations'!$T$2:$T$4001,U$1))</f>
        <v/>
      </c>
      <c r="V223" s="49">
        <f>IF(OR($AE223&lt;&gt;1,V$1=""),"",SUMIFS('All Donations'!$S$2:$S$4001,'All Donations'!$R$2:$R$4001,$AD223,'All Donations'!$T$2:$T$4001,V$1))</f>
        <v/>
      </c>
      <c r="W223" s="49">
        <f>IF(OR($AE223&lt;&gt;1,W$1=""),"",SUMIFS('All Donations'!$S$2:$S$4001,'All Donations'!$R$2:$R$4001,$AD223,'All Donations'!$T$2:$T$4001,W$1))</f>
        <v/>
      </c>
      <c r="X223" s="49">
        <f>IF(OR($AE223&lt;&gt;1,X$1=""),"",SUMIFS('All Donations'!$S$2:$S$4001,'All Donations'!$R$2:$R$4001,$AD223,'All Donations'!$T$2:$T$4001,X$1))</f>
        <v/>
      </c>
      <c r="Y223" s="49">
        <f>IF(OR($AE223&lt;&gt;1,Y$1=""),"",SUMIFS('All Donations'!$S$2:$S$4001,'All Donations'!$R$2:$R$4001,$AD223,'All Donations'!$T$2:$T$4001,Y$1))</f>
        <v/>
      </c>
      <c r="Z223" s="49">
        <f>IF(OR($AE223&lt;&gt;1,Z$1=""),"",SUMIFS('All Donations'!$S$2:$S$4001,'All Donations'!$R$2:$R$4001,$AD223,'All Donations'!$T$2:$T$4001,Z$1))</f>
        <v/>
      </c>
      <c r="AA223" s="49">
        <f>IF(OR($AE223&lt;&gt;1,AA$1=""),"",SUMIFS('All Donations'!$S$2:$S$4001,'All Donations'!$R$2:$R$4001,$AD223,'All Donations'!$T$2:$T$4001,AA$1))</f>
        <v/>
      </c>
      <c r="AB223" s="49">
        <f>IF(OR($AE223&lt;&gt;1,AB$1=""),"",SUMIFS('All Donations'!$S$2:$S$4001,'All Donations'!$R$2:$R$4001,$AD223,'All Donations'!$T$2:$T$4001,AB$1))</f>
        <v/>
      </c>
      <c r="AC223" s="49">
        <f>IF(OR($AE223&lt;&gt;1,AC$1=""),"",SUMIFS('All Donations'!$S$2:$S$4001,'All Donations'!$R$2:$R$4001,$AD223,'All Donations'!$T$2:$T$4001,AC$1))</f>
        <v/>
      </c>
      <c r="AD223">
        <f>IF(AE223=1,'Roster'!A223,"")</f>
        <v/>
      </c>
      <c r="AE223">
        <f>IF(TRIM('Roster'!B223&amp;'Roster'!C223)&lt;&gt;"",1,0)</f>
        <v/>
      </c>
      <c r="AF223">
        <f>IF(AE223=1,LOWER(A223),"#")</f>
        <v/>
      </c>
      <c r="AG223">
        <f>IF(AE223=1,LOWER(TRIM(TRIM('Roster'!C223)&amp;", "&amp;TRIM('Roster'!B223))),"#")</f>
        <v/>
      </c>
      <c r="AH223">
        <f>IF(AND(AE223=1,TRIM('Roster'!F223)&lt;&gt;""),LOWER(TRIM('Roster'!F223)),"#")</f>
        <v/>
      </c>
      <c r="AI223">
        <f>IF(AE223=1,IF(MATCH(B223,$B$2:$B$701,0)=ROW()-1,1,0),0)</f>
        <v/>
      </c>
      <c r="AJ223">
        <f>AJ222+AI223</f>
        <v/>
      </c>
      <c r="AK223">
        <f>IF(AE223=1,D223+(1000-ROW())/10^7,-1)</f>
        <v/>
      </c>
      <c r="AL223">
        <f>IF(AE223=1,TRIM('Roster'!B223)&amp;" "&amp;LEFT(TRIM('Roster'!C223),1)&amp;".","")</f>
        <v/>
      </c>
      <c r="AM223">
        <f>IF(AE223=1,TRIM('Roster'!C223)&amp;", "&amp;TRIM('Roster'!B223)&amp;" ("&amp;B223&amp;") #"&amp;AD223,"")</f>
        <v/>
      </c>
      <c r="AN223">
        <f>IF(AE223=1,TRIM('Roster'!E223),"")</f>
        <v/>
      </c>
      <c r="AO223">
        <f>IF(AE223=1,ROUND(SUMIFS('All Donations'!$S$2:$S$4001,'All Donations'!$R$2:$R$4001,AD223,'All Donations'!$T$2:$T$4001,"&gt;="&amp;'Settings'!$C$23,'All Donations'!$T$2:$T$4001,"&lt;="&amp;'Settings'!$D$23),2),0)</f>
        <v/>
      </c>
      <c r="AQ223">
        <f>IF(AE223=1,ROUND(SUMIFS('All Donations'!$S$2:$S$4001,'All Donations'!$R$2:$R$4001,AD223,'All Donations'!$T$2:$T$4001,"&gt;="&amp;'Settings'!$C$25,'All Donations'!$T$2:$T$4001,"&lt;="&amp;'Settings'!$D$25),2),0)</f>
        <v/>
      </c>
      <c r="AR223">
        <f>IF(AE223=1,ROUND(SUMIFS('All Donations'!$S$2:$S$4001,'All Donations'!$R$2:$R$4001,AD223,'All Donations'!$T$2:$T$4001,"&gt;="&amp;'Settings'!$C$26,'All Donations'!$T$2:$T$4001,"&lt;="&amp;'Settings'!$D$26),2),0)</f>
        <v/>
      </c>
      <c r="AS223">
        <f>IF(AE223=1,ROUND(SUMIFS('All Donations'!$S$2:$S$4001,'All Donations'!$R$2:$R$4001,AD223,'All Donations'!$T$2:$T$4001,"&lt;="&amp;'Settings'!$D$27),2),0)</f>
        <v/>
      </c>
      <c r="AT223">
        <f>IF(AE223=1,ROUND(SUMIFS('All Donations'!$S$2:$S$4001,'All Donations'!$R$2:$R$4001,AD223,'All Donations'!$T$2:$T$4001,"&gt;="&amp;'Settings'!$C$28,'All Donations'!$T$2:$T$4001,"&lt;="&amp;'Settings'!$D$28),2),0)</f>
        <v/>
      </c>
      <c r="AU223">
        <f>IF(AE223=1,ROUND(SUMIFS('All Donations'!$S$2:$S$4001,'All Donations'!$R$2:$R$4001,AD223,'All Donations'!$T$2:$T$4001,"&gt;="&amp;'Settings'!$C$29,'All Donations'!$T$2:$T$4001,"&lt;="&amp;'Settings'!$D$29),2),0)</f>
        <v/>
      </c>
      <c r="AV223">
        <f>IF(AE223=1,ROUND(SUMIFS('All Donations'!$S$2:$S$4001,'All Donations'!$R$2:$R$4001,AD223,'All Donations'!$T$2:$T$4001,"&lt;="&amp;'Settings'!$D$30),2),0)</f>
        <v/>
      </c>
      <c r="AZ223">
        <f>IF(AE223=1,ROUND(SUMIFS('All Donations'!$S$2:$S$4001,'All Donations'!$R$2:$R$4001,AD223,'All Donations'!$T$2:$T$4001,"&lt;="&amp;'Settings'!$D$34),2),0)</f>
        <v/>
      </c>
    </row>
    <row r="224">
      <c r="A224">
        <f>IF(AE224=1,TRIM(TRIM('Roster'!B224)&amp;" "&amp;TRIM('Roster'!C224)),"")</f>
        <v/>
      </c>
      <c r="B224">
        <f>IF(AE224=1,IF(AN224="","(no teacher)",AN224&amp;" – "&amp;C224),"")</f>
        <v/>
      </c>
      <c r="C224">
        <f>IF(AE224=1,TRIM('Roster'!D224&amp;""),"")</f>
        <v/>
      </c>
      <c r="D224" s="48">
        <f>IF(AE224=1,ROUND(SUMIFS('All Donations'!$S$2:$S$4001,'All Donations'!$R$2:$R$4001,AD224),2),"")</f>
        <v/>
      </c>
      <c r="E224" s="48">
        <f>IF(AE224=1,ROUND(SUMIFS('All Donations'!$S$2:$S$4001,'All Donations'!$R$2:$R$4001,AD224,'All Donations'!$G$2:$G$4001,"OneCause"),2),"")</f>
        <v/>
      </c>
      <c r="F224" s="48">
        <f>IF(AE224=1,D224-E224,"")</f>
        <v/>
      </c>
      <c r="G224">
        <f>IF(AE224=1,COUNTIFS('All Donations'!$R$2:$R$4001,AD224,'All Donations'!$H$2:$H$4001,"OK"),"")</f>
        <v/>
      </c>
      <c r="H224">
        <f>IF(AE224&lt;&gt;1,"",IF(D224&gt;0,"Yes",""))</f>
        <v/>
      </c>
      <c r="I224" s="49">
        <f>IF(OR($AE224&lt;&gt;1,I$1=""),"",SUMIFS('All Donations'!$S$2:$S$4001,'All Donations'!$R$2:$R$4001,$AD224,'All Donations'!$T$2:$T$4001,I$1))</f>
        <v/>
      </c>
      <c r="J224" s="49">
        <f>IF(OR($AE224&lt;&gt;1,J$1=""),"",SUMIFS('All Donations'!$S$2:$S$4001,'All Donations'!$R$2:$R$4001,$AD224,'All Donations'!$T$2:$T$4001,J$1))</f>
        <v/>
      </c>
      <c r="K224" s="49">
        <f>IF(OR($AE224&lt;&gt;1,K$1=""),"",SUMIFS('All Donations'!$S$2:$S$4001,'All Donations'!$R$2:$R$4001,$AD224,'All Donations'!$T$2:$T$4001,K$1))</f>
        <v/>
      </c>
      <c r="L224" s="49">
        <f>IF(OR($AE224&lt;&gt;1,L$1=""),"",SUMIFS('All Donations'!$S$2:$S$4001,'All Donations'!$R$2:$R$4001,$AD224,'All Donations'!$T$2:$T$4001,L$1))</f>
        <v/>
      </c>
      <c r="M224" s="49">
        <f>IF(OR($AE224&lt;&gt;1,M$1=""),"",SUMIFS('All Donations'!$S$2:$S$4001,'All Donations'!$R$2:$R$4001,$AD224,'All Donations'!$T$2:$T$4001,M$1))</f>
        <v/>
      </c>
      <c r="N224" s="49">
        <f>IF(OR($AE224&lt;&gt;1,N$1=""),"",SUMIFS('All Donations'!$S$2:$S$4001,'All Donations'!$R$2:$R$4001,$AD224,'All Donations'!$T$2:$T$4001,N$1))</f>
        <v/>
      </c>
      <c r="O224" s="49">
        <f>IF(OR($AE224&lt;&gt;1,O$1=""),"",SUMIFS('All Donations'!$S$2:$S$4001,'All Donations'!$R$2:$R$4001,$AD224,'All Donations'!$T$2:$T$4001,O$1))</f>
        <v/>
      </c>
      <c r="P224" s="49">
        <f>IF(OR($AE224&lt;&gt;1,P$1=""),"",SUMIFS('All Donations'!$S$2:$S$4001,'All Donations'!$R$2:$R$4001,$AD224,'All Donations'!$T$2:$T$4001,P$1))</f>
        <v/>
      </c>
      <c r="Q224" s="49">
        <f>IF(OR($AE224&lt;&gt;1,Q$1=""),"",SUMIFS('All Donations'!$S$2:$S$4001,'All Donations'!$R$2:$R$4001,$AD224,'All Donations'!$T$2:$T$4001,Q$1))</f>
        <v/>
      </c>
      <c r="R224" s="49">
        <f>IF(OR($AE224&lt;&gt;1,R$1=""),"",SUMIFS('All Donations'!$S$2:$S$4001,'All Donations'!$R$2:$R$4001,$AD224,'All Donations'!$T$2:$T$4001,R$1))</f>
        <v/>
      </c>
      <c r="S224" s="49">
        <f>IF(OR($AE224&lt;&gt;1,S$1=""),"",SUMIFS('All Donations'!$S$2:$S$4001,'All Donations'!$R$2:$R$4001,$AD224,'All Donations'!$T$2:$T$4001,S$1))</f>
        <v/>
      </c>
      <c r="T224" s="49">
        <f>IF(OR($AE224&lt;&gt;1,T$1=""),"",SUMIFS('All Donations'!$S$2:$S$4001,'All Donations'!$R$2:$R$4001,$AD224,'All Donations'!$T$2:$T$4001,T$1))</f>
        <v/>
      </c>
      <c r="U224" s="49">
        <f>IF(OR($AE224&lt;&gt;1,U$1=""),"",SUMIFS('All Donations'!$S$2:$S$4001,'All Donations'!$R$2:$R$4001,$AD224,'All Donations'!$T$2:$T$4001,U$1))</f>
        <v/>
      </c>
      <c r="V224" s="49">
        <f>IF(OR($AE224&lt;&gt;1,V$1=""),"",SUMIFS('All Donations'!$S$2:$S$4001,'All Donations'!$R$2:$R$4001,$AD224,'All Donations'!$T$2:$T$4001,V$1))</f>
        <v/>
      </c>
      <c r="W224" s="49">
        <f>IF(OR($AE224&lt;&gt;1,W$1=""),"",SUMIFS('All Donations'!$S$2:$S$4001,'All Donations'!$R$2:$R$4001,$AD224,'All Donations'!$T$2:$T$4001,W$1))</f>
        <v/>
      </c>
      <c r="X224" s="49">
        <f>IF(OR($AE224&lt;&gt;1,X$1=""),"",SUMIFS('All Donations'!$S$2:$S$4001,'All Donations'!$R$2:$R$4001,$AD224,'All Donations'!$T$2:$T$4001,X$1))</f>
        <v/>
      </c>
      <c r="Y224" s="49">
        <f>IF(OR($AE224&lt;&gt;1,Y$1=""),"",SUMIFS('All Donations'!$S$2:$S$4001,'All Donations'!$R$2:$R$4001,$AD224,'All Donations'!$T$2:$T$4001,Y$1))</f>
        <v/>
      </c>
      <c r="Z224" s="49">
        <f>IF(OR($AE224&lt;&gt;1,Z$1=""),"",SUMIFS('All Donations'!$S$2:$S$4001,'All Donations'!$R$2:$R$4001,$AD224,'All Donations'!$T$2:$T$4001,Z$1))</f>
        <v/>
      </c>
      <c r="AA224" s="49">
        <f>IF(OR($AE224&lt;&gt;1,AA$1=""),"",SUMIFS('All Donations'!$S$2:$S$4001,'All Donations'!$R$2:$R$4001,$AD224,'All Donations'!$T$2:$T$4001,AA$1))</f>
        <v/>
      </c>
      <c r="AB224" s="49">
        <f>IF(OR($AE224&lt;&gt;1,AB$1=""),"",SUMIFS('All Donations'!$S$2:$S$4001,'All Donations'!$R$2:$R$4001,$AD224,'All Donations'!$T$2:$T$4001,AB$1))</f>
        <v/>
      </c>
      <c r="AC224" s="49">
        <f>IF(OR($AE224&lt;&gt;1,AC$1=""),"",SUMIFS('All Donations'!$S$2:$S$4001,'All Donations'!$R$2:$R$4001,$AD224,'All Donations'!$T$2:$T$4001,AC$1))</f>
        <v/>
      </c>
      <c r="AD224">
        <f>IF(AE224=1,'Roster'!A224,"")</f>
        <v/>
      </c>
      <c r="AE224">
        <f>IF(TRIM('Roster'!B224&amp;'Roster'!C224)&lt;&gt;"",1,0)</f>
        <v/>
      </c>
      <c r="AF224">
        <f>IF(AE224=1,LOWER(A224),"#")</f>
        <v/>
      </c>
      <c r="AG224">
        <f>IF(AE224=1,LOWER(TRIM(TRIM('Roster'!C224)&amp;", "&amp;TRIM('Roster'!B224))),"#")</f>
        <v/>
      </c>
      <c r="AH224">
        <f>IF(AND(AE224=1,TRIM('Roster'!F224)&lt;&gt;""),LOWER(TRIM('Roster'!F224)),"#")</f>
        <v/>
      </c>
      <c r="AI224">
        <f>IF(AE224=1,IF(MATCH(B224,$B$2:$B$701,0)=ROW()-1,1,0),0)</f>
        <v/>
      </c>
      <c r="AJ224">
        <f>AJ223+AI224</f>
        <v/>
      </c>
      <c r="AK224">
        <f>IF(AE224=1,D224+(1000-ROW())/10^7,-1)</f>
        <v/>
      </c>
      <c r="AL224">
        <f>IF(AE224=1,TRIM('Roster'!B224)&amp;" "&amp;LEFT(TRIM('Roster'!C224),1)&amp;".","")</f>
        <v/>
      </c>
      <c r="AM224">
        <f>IF(AE224=1,TRIM('Roster'!C224)&amp;", "&amp;TRIM('Roster'!B224)&amp;" ("&amp;B224&amp;") #"&amp;AD224,"")</f>
        <v/>
      </c>
      <c r="AN224">
        <f>IF(AE224=1,TRIM('Roster'!E224),"")</f>
        <v/>
      </c>
      <c r="AO224">
        <f>IF(AE224=1,ROUND(SUMIFS('All Donations'!$S$2:$S$4001,'All Donations'!$R$2:$R$4001,AD224,'All Donations'!$T$2:$T$4001,"&gt;="&amp;'Settings'!$C$23,'All Donations'!$T$2:$T$4001,"&lt;="&amp;'Settings'!$D$23),2),0)</f>
        <v/>
      </c>
      <c r="AQ224">
        <f>IF(AE224=1,ROUND(SUMIFS('All Donations'!$S$2:$S$4001,'All Donations'!$R$2:$R$4001,AD224,'All Donations'!$T$2:$T$4001,"&gt;="&amp;'Settings'!$C$25,'All Donations'!$T$2:$T$4001,"&lt;="&amp;'Settings'!$D$25),2),0)</f>
        <v/>
      </c>
      <c r="AR224">
        <f>IF(AE224=1,ROUND(SUMIFS('All Donations'!$S$2:$S$4001,'All Donations'!$R$2:$R$4001,AD224,'All Donations'!$T$2:$T$4001,"&gt;="&amp;'Settings'!$C$26,'All Donations'!$T$2:$T$4001,"&lt;="&amp;'Settings'!$D$26),2),0)</f>
        <v/>
      </c>
      <c r="AS224">
        <f>IF(AE224=1,ROUND(SUMIFS('All Donations'!$S$2:$S$4001,'All Donations'!$R$2:$R$4001,AD224,'All Donations'!$T$2:$T$4001,"&lt;="&amp;'Settings'!$D$27),2),0)</f>
        <v/>
      </c>
      <c r="AT224">
        <f>IF(AE224=1,ROUND(SUMIFS('All Donations'!$S$2:$S$4001,'All Donations'!$R$2:$R$4001,AD224,'All Donations'!$T$2:$T$4001,"&gt;="&amp;'Settings'!$C$28,'All Donations'!$T$2:$T$4001,"&lt;="&amp;'Settings'!$D$28),2),0)</f>
        <v/>
      </c>
      <c r="AU224">
        <f>IF(AE224=1,ROUND(SUMIFS('All Donations'!$S$2:$S$4001,'All Donations'!$R$2:$R$4001,AD224,'All Donations'!$T$2:$T$4001,"&gt;="&amp;'Settings'!$C$29,'All Donations'!$T$2:$T$4001,"&lt;="&amp;'Settings'!$D$29),2),0)</f>
        <v/>
      </c>
      <c r="AV224">
        <f>IF(AE224=1,ROUND(SUMIFS('All Donations'!$S$2:$S$4001,'All Donations'!$R$2:$R$4001,AD224,'All Donations'!$T$2:$T$4001,"&lt;="&amp;'Settings'!$D$30),2),0)</f>
        <v/>
      </c>
      <c r="AZ224">
        <f>IF(AE224=1,ROUND(SUMIFS('All Donations'!$S$2:$S$4001,'All Donations'!$R$2:$R$4001,AD224,'All Donations'!$T$2:$T$4001,"&lt;="&amp;'Settings'!$D$34),2),0)</f>
        <v/>
      </c>
    </row>
    <row r="225">
      <c r="A225">
        <f>IF(AE225=1,TRIM(TRIM('Roster'!B225)&amp;" "&amp;TRIM('Roster'!C225)),"")</f>
        <v/>
      </c>
      <c r="B225">
        <f>IF(AE225=1,IF(AN225="","(no teacher)",AN225&amp;" – "&amp;C225),"")</f>
        <v/>
      </c>
      <c r="C225">
        <f>IF(AE225=1,TRIM('Roster'!D225&amp;""),"")</f>
        <v/>
      </c>
      <c r="D225" s="48">
        <f>IF(AE225=1,ROUND(SUMIFS('All Donations'!$S$2:$S$4001,'All Donations'!$R$2:$R$4001,AD225),2),"")</f>
        <v/>
      </c>
      <c r="E225" s="48">
        <f>IF(AE225=1,ROUND(SUMIFS('All Donations'!$S$2:$S$4001,'All Donations'!$R$2:$R$4001,AD225,'All Donations'!$G$2:$G$4001,"OneCause"),2),"")</f>
        <v/>
      </c>
      <c r="F225" s="48">
        <f>IF(AE225=1,D225-E225,"")</f>
        <v/>
      </c>
      <c r="G225">
        <f>IF(AE225=1,COUNTIFS('All Donations'!$R$2:$R$4001,AD225,'All Donations'!$H$2:$H$4001,"OK"),"")</f>
        <v/>
      </c>
      <c r="H225">
        <f>IF(AE225&lt;&gt;1,"",IF(D225&gt;0,"Yes",""))</f>
        <v/>
      </c>
      <c r="I225" s="49">
        <f>IF(OR($AE225&lt;&gt;1,I$1=""),"",SUMIFS('All Donations'!$S$2:$S$4001,'All Donations'!$R$2:$R$4001,$AD225,'All Donations'!$T$2:$T$4001,I$1))</f>
        <v/>
      </c>
      <c r="J225" s="49">
        <f>IF(OR($AE225&lt;&gt;1,J$1=""),"",SUMIFS('All Donations'!$S$2:$S$4001,'All Donations'!$R$2:$R$4001,$AD225,'All Donations'!$T$2:$T$4001,J$1))</f>
        <v/>
      </c>
      <c r="K225" s="49">
        <f>IF(OR($AE225&lt;&gt;1,K$1=""),"",SUMIFS('All Donations'!$S$2:$S$4001,'All Donations'!$R$2:$R$4001,$AD225,'All Donations'!$T$2:$T$4001,K$1))</f>
        <v/>
      </c>
      <c r="L225" s="49">
        <f>IF(OR($AE225&lt;&gt;1,L$1=""),"",SUMIFS('All Donations'!$S$2:$S$4001,'All Donations'!$R$2:$R$4001,$AD225,'All Donations'!$T$2:$T$4001,L$1))</f>
        <v/>
      </c>
      <c r="M225" s="49">
        <f>IF(OR($AE225&lt;&gt;1,M$1=""),"",SUMIFS('All Donations'!$S$2:$S$4001,'All Donations'!$R$2:$R$4001,$AD225,'All Donations'!$T$2:$T$4001,M$1))</f>
        <v/>
      </c>
      <c r="N225" s="49">
        <f>IF(OR($AE225&lt;&gt;1,N$1=""),"",SUMIFS('All Donations'!$S$2:$S$4001,'All Donations'!$R$2:$R$4001,$AD225,'All Donations'!$T$2:$T$4001,N$1))</f>
        <v/>
      </c>
      <c r="O225" s="49">
        <f>IF(OR($AE225&lt;&gt;1,O$1=""),"",SUMIFS('All Donations'!$S$2:$S$4001,'All Donations'!$R$2:$R$4001,$AD225,'All Donations'!$T$2:$T$4001,O$1))</f>
        <v/>
      </c>
      <c r="P225" s="49">
        <f>IF(OR($AE225&lt;&gt;1,P$1=""),"",SUMIFS('All Donations'!$S$2:$S$4001,'All Donations'!$R$2:$R$4001,$AD225,'All Donations'!$T$2:$T$4001,P$1))</f>
        <v/>
      </c>
      <c r="Q225" s="49">
        <f>IF(OR($AE225&lt;&gt;1,Q$1=""),"",SUMIFS('All Donations'!$S$2:$S$4001,'All Donations'!$R$2:$R$4001,$AD225,'All Donations'!$T$2:$T$4001,Q$1))</f>
        <v/>
      </c>
      <c r="R225" s="49">
        <f>IF(OR($AE225&lt;&gt;1,R$1=""),"",SUMIFS('All Donations'!$S$2:$S$4001,'All Donations'!$R$2:$R$4001,$AD225,'All Donations'!$T$2:$T$4001,R$1))</f>
        <v/>
      </c>
      <c r="S225" s="49">
        <f>IF(OR($AE225&lt;&gt;1,S$1=""),"",SUMIFS('All Donations'!$S$2:$S$4001,'All Donations'!$R$2:$R$4001,$AD225,'All Donations'!$T$2:$T$4001,S$1))</f>
        <v/>
      </c>
      <c r="T225" s="49">
        <f>IF(OR($AE225&lt;&gt;1,T$1=""),"",SUMIFS('All Donations'!$S$2:$S$4001,'All Donations'!$R$2:$R$4001,$AD225,'All Donations'!$T$2:$T$4001,T$1))</f>
        <v/>
      </c>
      <c r="U225" s="49">
        <f>IF(OR($AE225&lt;&gt;1,U$1=""),"",SUMIFS('All Donations'!$S$2:$S$4001,'All Donations'!$R$2:$R$4001,$AD225,'All Donations'!$T$2:$T$4001,U$1))</f>
        <v/>
      </c>
      <c r="V225" s="49">
        <f>IF(OR($AE225&lt;&gt;1,V$1=""),"",SUMIFS('All Donations'!$S$2:$S$4001,'All Donations'!$R$2:$R$4001,$AD225,'All Donations'!$T$2:$T$4001,V$1))</f>
        <v/>
      </c>
      <c r="W225" s="49">
        <f>IF(OR($AE225&lt;&gt;1,W$1=""),"",SUMIFS('All Donations'!$S$2:$S$4001,'All Donations'!$R$2:$R$4001,$AD225,'All Donations'!$T$2:$T$4001,W$1))</f>
        <v/>
      </c>
      <c r="X225" s="49">
        <f>IF(OR($AE225&lt;&gt;1,X$1=""),"",SUMIFS('All Donations'!$S$2:$S$4001,'All Donations'!$R$2:$R$4001,$AD225,'All Donations'!$T$2:$T$4001,X$1))</f>
        <v/>
      </c>
      <c r="Y225" s="49">
        <f>IF(OR($AE225&lt;&gt;1,Y$1=""),"",SUMIFS('All Donations'!$S$2:$S$4001,'All Donations'!$R$2:$R$4001,$AD225,'All Donations'!$T$2:$T$4001,Y$1))</f>
        <v/>
      </c>
      <c r="Z225" s="49">
        <f>IF(OR($AE225&lt;&gt;1,Z$1=""),"",SUMIFS('All Donations'!$S$2:$S$4001,'All Donations'!$R$2:$R$4001,$AD225,'All Donations'!$T$2:$T$4001,Z$1))</f>
        <v/>
      </c>
      <c r="AA225" s="49">
        <f>IF(OR($AE225&lt;&gt;1,AA$1=""),"",SUMIFS('All Donations'!$S$2:$S$4001,'All Donations'!$R$2:$R$4001,$AD225,'All Donations'!$T$2:$T$4001,AA$1))</f>
        <v/>
      </c>
      <c r="AB225" s="49">
        <f>IF(OR($AE225&lt;&gt;1,AB$1=""),"",SUMIFS('All Donations'!$S$2:$S$4001,'All Donations'!$R$2:$R$4001,$AD225,'All Donations'!$T$2:$T$4001,AB$1))</f>
        <v/>
      </c>
      <c r="AC225" s="49">
        <f>IF(OR($AE225&lt;&gt;1,AC$1=""),"",SUMIFS('All Donations'!$S$2:$S$4001,'All Donations'!$R$2:$R$4001,$AD225,'All Donations'!$T$2:$T$4001,AC$1))</f>
        <v/>
      </c>
      <c r="AD225">
        <f>IF(AE225=1,'Roster'!A225,"")</f>
        <v/>
      </c>
      <c r="AE225">
        <f>IF(TRIM('Roster'!B225&amp;'Roster'!C225)&lt;&gt;"",1,0)</f>
        <v/>
      </c>
      <c r="AF225">
        <f>IF(AE225=1,LOWER(A225),"#")</f>
        <v/>
      </c>
      <c r="AG225">
        <f>IF(AE225=1,LOWER(TRIM(TRIM('Roster'!C225)&amp;", "&amp;TRIM('Roster'!B225))),"#")</f>
        <v/>
      </c>
      <c r="AH225">
        <f>IF(AND(AE225=1,TRIM('Roster'!F225)&lt;&gt;""),LOWER(TRIM('Roster'!F225)),"#")</f>
        <v/>
      </c>
      <c r="AI225">
        <f>IF(AE225=1,IF(MATCH(B225,$B$2:$B$701,0)=ROW()-1,1,0),0)</f>
        <v/>
      </c>
      <c r="AJ225">
        <f>AJ224+AI225</f>
        <v/>
      </c>
      <c r="AK225">
        <f>IF(AE225=1,D225+(1000-ROW())/10^7,-1)</f>
        <v/>
      </c>
      <c r="AL225">
        <f>IF(AE225=1,TRIM('Roster'!B225)&amp;" "&amp;LEFT(TRIM('Roster'!C225),1)&amp;".","")</f>
        <v/>
      </c>
      <c r="AM225">
        <f>IF(AE225=1,TRIM('Roster'!C225)&amp;", "&amp;TRIM('Roster'!B225)&amp;" ("&amp;B225&amp;") #"&amp;AD225,"")</f>
        <v/>
      </c>
      <c r="AN225">
        <f>IF(AE225=1,TRIM('Roster'!E225),"")</f>
        <v/>
      </c>
      <c r="AO225">
        <f>IF(AE225=1,ROUND(SUMIFS('All Donations'!$S$2:$S$4001,'All Donations'!$R$2:$R$4001,AD225,'All Donations'!$T$2:$T$4001,"&gt;="&amp;'Settings'!$C$23,'All Donations'!$T$2:$T$4001,"&lt;="&amp;'Settings'!$D$23),2),0)</f>
        <v/>
      </c>
      <c r="AQ225">
        <f>IF(AE225=1,ROUND(SUMIFS('All Donations'!$S$2:$S$4001,'All Donations'!$R$2:$R$4001,AD225,'All Donations'!$T$2:$T$4001,"&gt;="&amp;'Settings'!$C$25,'All Donations'!$T$2:$T$4001,"&lt;="&amp;'Settings'!$D$25),2),0)</f>
        <v/>
      </c>
      <c r="AR225">
        <f>IF(AE225=1,ROUND(SUMIFS('All Donations'!$S$2:$S$4001,'All Donations'!$R$2:$R$4001,AD225,'All Donations'!$T$2:$T$4001,"&gt;="&amp;'Settings'!$C$26,'All Donations'!$T$2:$T$4001,"&lt;="&amp;'Settings'!$D$26),2),0)</f>
        <v/>
      </c>
      <c r="AS225">
        <f>IF(AE225=1,ROUND(SUMIFS('All Donations'!$S$2:$S$4001,'All Donations'!$R$2:$R$4001,AD225,'All Donations'!$T$2:$T$4001,"&lt;="&amp;'Settings'!$D$27),2),0)</f>
        <v/>
      </c>
      <c r="AT225">
        <f>IF(AE225=1,ROUND(SUMIFS('All Donations'!$S$2:$S$4001,'All Donations'!$R$2:$R$4001,AD225,'All Donations'!$T$2:$T$4001,"&gt;="&amp;'Settings'!$C$28,'All Donations'!$T$2:$T$4001,"&lt;="&amp;'Settings'!$D$28),2),0)</f>
        <v/>
      </c>
      <c r="AU225">
        <f>IF(AE225=1,ROUND(SUMIFS('All Donations'!$S$2:$S$4001,'All Donations'!$R$2:$R$4001,AD225,'All Donations'!$T$2:$T$4001,"&gt;="&amp;'Settings'!$C$29,'All Donations'!$T$2:$T$4001,"&lt;="&amp;'Settings'!$D$29),2),0)</f>
        <v/>
      </c>
      <c r="AV225">
        <f>IF(AE225=1,ROUND(SUMIFS('All Donations'!$S$2:$S$4001,'All Donations'!$R$2:$R$4001,AD225,'All Donations'!$T$2:$T$4001,"&lt;="&amp;'Settings'!$D$30),2),0)</f>
        <v/>
      </c>
      <c r="AZ225">
        <f>IF(AE225=1,ROUND(SUMIFS('All Donations'!$S$2:$S$4001,'All Donations'!$R$2:$R$4001,AD225,'All Donations'!$T$2:$T$4001,"&lt;="&amp;'Settings'!$D$34),2),0)</f>
        <v/>
      </c>
    </row>
    <row r="226">
      <c r="A226">
        <f>IF(AE226=1,TRIM(TRIM('Roster'!B226)&amp;" "&amp;TRIM('Roster'!C226)),"")</f>
        <v/>
      </c>
      <c r="B226">
        <f>IF(AE226=1,IF(AN226="","(no teacher)",AN226&amp;" – "&amp;C226),"")</f>
        <v/>
      </c>
      <c r="C226">
        <f>IF(AE226=1,TRIM('Roster'!D226&amp;""),"")</f>
        <v/>
      </c>
      <c r="D226" s="48">
        <f>IF(AE226=1,ROUND(SUMIFS('All Donations'!$S$2:$S$4001,'All Donations'!$R$2:$R$4001,AD226),2),"")</f>
        <v/>
      </c>
      <c r="E226" s="48">
        <f>IF(AE226=1,ROUND(SUMIFS('All Donations'!$S$2:$S$4001,'All Donations'!$R$2:$R$4001,AD226,'All Donations'!$G$2:$G$4001,"OneCause"),2),"")</f>
        <v/>
      </c>
      <c r="F226" s="48">
        <f>IF(AE226=1,D226-E226,"")</f>
        <v/>
      </c>
      <c r="G226">
        <f>IF(AE226=1,COUNTIFS('All Donations'!$R$2:$R$4001,AD226,'All Donations'!$H$2:$H$4001,"OK"),"")</f>
        <v/>
      </c>
      <c r="H226">
        <f>IF(AE226&lt;&gt;1,"",IF(D226&gt;0,"Yes",""))</f>
        <v/>
      </c>
      <c r="I226" s="49">
        <f>IF(OR($AE226&lt;&gt;1,I$1=""),"",SUMIFS('All Donations'!$S$2:$S$4001,'All Donations'!$R$2:$R$4001,$AD226,'All Donations'!$T$2:$T$4001,I$1))</f>
        <v/>
      </c>
      <c r="J226" s="49">
        <f>IF(OR($AE226&lt;&gt;1,J$1=""),"",SUMIFS('All Donations'!$S$2:$S$4001,'All Donations'!$R$2:$R$4001,$AD226,'All Donations'!$T$2:$T$4001,J$1))</f>
        <v/>
      </c>
      <c r="K226" s="49">
        <f>IF(OR($AE226&lt;&gt;1,K$1=""),"",SUMIFS('All Donations'!$S$2:$S$4001,'All Donations'!$R$2:$R$4001,$AD226,'All Donations'!$T$2:$T$4001,K$1))</f>
        <v/>
      </c>
      <c r="L226" s="49">
        <f>IF(OR($AE226&lt;&gt;1,L$1=""),"",SUMIFS('All Donations'!$S$2:$S$4001,'All Donations'!$R$2:$R$4001,$AD226,'All Donations'!$T$2:$T$4001,L$1))</f>
        <v/>
      </c>
      <c r="M226" s="49">
        <f>IF(OR($AE226&lt;&gt;1,M$1=""),"",SUMIFS('All Donations'!$S$2:$S$4001,'All Donations'!$R$2:$R$4001,$AD226,'All Donations'!$T$2:$T$4001,M$1))</f>
        <v/>
      </c>
      <c r="N226" s="49">
        <f>IF(OR($AE226&lt;&gt;1,N$1=""),"",SUMIFS('All Donations'!$S$2:$S$4001,'All Donations'!$R$2:$R$4001,$AD226,'All Donations'!$T$2:$T$4001,N$1))</f>
        <v/>
      </c>
      <c r="O226" s="49">
        <f>IF(OR($AE226&lt;&gt;1,O$1=""),"",SUMIFS('All Donations'!$S$2:$S$4001,'All Donations'!$R$2:$R$4001,$AD226,'All Donations'!$T$2:$T$4001,O$1))</f>
        <v/>
      </c>
      <c r="P226" s="49">
        <f>IF(OR($AE226&lt;&gt;1,P$1=""),"",SUMIFS('All Donations'!$S$2:$S$4001,'All Donations'!$R$2:$R$4001,$AD226,'All Donations'!$T$2:$T$4001,P$1))</f>
        <v/>
      </c>
      <c r="Q226" s="49">
        <f>IF(OR($AE226&lt;&gt;1,Q$1=""),"",SUMIFS('All Donations'!$S$2:$S$4001,'All Donations'!$R$2:$R$4001,$AD226,'All Donations'!$T$2:$T$4001,Q$1))</f>
        <v/>
      </c>
      <c r="R226" s="49">
        <f>IF(OR($AE226&lt;&gt;1,R$1=""),"",SUMIFS('All Donations'!$S$2:$S$4001,'All Donations'!$R$2:$R$4001,$AD226,'All Donations'!$T$2:$T$4001,R$1))</f>
        <v/>
      </c>
      <c r="S226" s="49">
        <f>IF(OR($AE226&lt;&gt;1,S$1=""),"",SUMIFS('All Donations'!$S$2:$S$4001,'All Donations'!$R$2:$R$4001,$AD226,'All Donations'!$T$2:$T$4001,S$1))</f>
        <v/>
      </c>
      <c r="T226" s="49">
        <f>IF(OR($AE226&lt;&gt;1,T$1=""),"",SUMIFS('All Donations'!$S$2:$S$4001,'All Donations'!$R$2:$R$4001,$AD226,'All Donations'!$T$2:$T$4001,T$1))</f>
        <v/>
      </c>
      <c r="U226" s="49">
        <f>IF(OR($AE226&lt;&gt;1,U$1=""),"",SUMIFS('All Donations'!$S$2:$S$4001,'All Donations'!$R$2:$R$4001,$AD226,'All Donations'!$T$2:$T$4001,U$1))</f>
        <v/>
      </c>
      <c r="V226" s="49">
        <f>IF(OR($AE226&lt;&gt;1,V$1=""),"",SUMIFS('All Donations'!$S$2:$S$4001,'All Donations'!$R$2:$R$4001,$AD226,'All Donations'!$T$2:$T$4001,V$1))</f>
        <v/>
      </c>
      <c r="W226" s="49">
        <f>IF(OR($AE226&lt;&gt;1,W$1=""),"",SUMIFS('All Donations'!$S$2:$S$4001,'All Donations'!$R$2:$R$4001,$AD226,'All Donations'!$T$2:$T$4001,W$1))</f>
        <v/>
      </c>
      <c r="X226" s="49">
        <f>IF(OR($AE226&lt;&gt;1,X$1=""),"",SUMIFS('All Donations'!$S$2:$S$4001,'All Donations'!$R$2:$R$4001,$AD226,'All Donations'!$T$2:$T$4001,X$1))</f>
        <v/>
      </c>
      <c r="Y226" s="49">
        <f>IF(OR($AE226&lt;&gt;1,Y$1=""),"",SUMIFS('All Donations'!$S$2:$S$4001,'All Donations'!$R$2:$R$4001,$AD226,'All Donations'!$T$2:$T$4001,Y$1))</f>
        <v/>
      </c>
      <c r="Z226" s="49">
        <f>IF(OR($AE226&lt;&gt;1,Z$1=""),"",SUMIFS('All Donations'!$S$2:$S$4001,'All Donations'!$R$2:$R$4001,$AD226,'All Donations'!$T$2:$T$4001,Z$1))</f>
        <v/>
      </c>
      <c r="AA226" s="49">
        <f>IF(OR($AE226&lt;&gt;1,AA$1=""),"",SUMIFS('All Donations'!$S$2:$S$4001,'All Donations'!$R$2:$R$4001,$AD226,'All Donations'!$T$2:$T$4001,AA$1))</f>
        <v/>
      </c>
      <c r="AB226" s="49">
        <f>IF(OR($AE226&lt;&gt;1,AB$1=""),"",SUMIFS('All Donations'!$S$2:$S$4001,'All Donations'!$R$2:$R$4001,$AD226,'All Donations'!$T$2:$T$4001,AB$1))</f>
        <v/>
      </c>
      <c r="AC226" s="49">
        <f>IF(OR($AE226&lt;&gt;1,AC$1=""),"",SUMIFS('All Donations'!$S$2:$S$4001,'All Donations'!$R$2:$R$4001,$AD226,'All Donations'!$T$2:$T$4001,AC$1))</f>
        <v/>
      </c>
      <c r="AD226">
        <f>IF(AE226=1,'Roster'!A226,"")</f>
        <v/>
      </c>
      <c r="AE226">
        <f>IF(TRIM('Roster'!B226&amp;'Roster'!C226)&lt;&gt;"",1,0)</f>
        <v/>
      </c>
      <c r="AF226">
        <f>IF(AE226=1,LOWER(A226),"#")</f>
        <v/>
      </c>
      <c r="AG226">
        <f>IF(AE226=1,LOWER(TRIM(TRIM('Roster'!C226)&amp;", "&amp;TRIM('Roster'!B226))),"#")</f>
        <v/>
      </c>
      <c r="AH226">
        <f>IF(AND(AE226=1,TRIM('Roster'!F226)&lt;&gt;""),LOWER(TRIM('Roster'!F226)),"#")</f>
        <v/>
      </c>
      <c r="AI226">
        <f>IF(AE226=1,IF(MATCH(B226,$B$2:$B$701,0)=ROW()-1,1,0),0)</f>
        <v/>
      </c>
      <c r="AJ226">
        <f>AJ225+AI226</f>
        <v/>
      </c>
      <c r="AK226">
        <f>IF(AE226=1,D226+(1000-ROW())/10^7,-1)</f>
        <v/>
      </c>
      <c r="AL226">
        <f>IF(AE226=1,TRIM('Roster'!B226)&amp;" "&amp;LEFT(TRIM('Roster'!C226),1)&amp;".","")</f>
        <v/>
      </c>
      <c r="AM226">
        <f>IF(AE226=1,TRIM('Roster'!C226)&amp;", "&amp;TRIM('Roster'!B226)&amp;" ("&amp;B226&amp;") #"&amp;AD226,"")</f>
        <v/>
      </c>
      <c r="AN226">
        <f>IF(AE226=1,TRIM('Roster'!E226),"")</f>
        <v/>
      </c>
      <c r="AO226">
        <f>IF(AE226=1,ROUND(SUMIFS('All Donations'!$S$2:$S$4001,'All Donations'!$R$2:$R$4001,AD226,'All Donations'!$T$2:$T$4001,"&gt;="&amp;'Settings'!$C$23,'All Donations'!$T$2:$T$4001,"&lt;="&amp;'Settings'!$D$23),2),0)</f>
        <v/>
      </c>
      <c r="AQ226">
        <f>IF(AE226=1,ROUND(SUMIFS('All Donations'!$S$2:$S$4001,'All Donations'!$R$2:$R$4001,AD226,'All Donations'!$T$2:$T$4001,"&gt;="&amp;'Settings'!$C$25,'All Donations'!$T$2:$T$4001,"&lt;="&amp;'Settings'!$D$25),2),0)</f>
        <v/>
      </c>
      <c r="AR226">
        <f>IF(AE226=1,ROUND(SUMIFS('All Donations'!$S$2:$S$4001,'All Donations'!$R$2:$R$4001,AD226,'All Donations'!$T$2:$T$4001,"&gt;="&amp;'Settings'!$C$26,'All Donations'!$T$2:$T$4001,"&lt;="&amp;'Settings'!$D$26),2),0)</f>
        <v/>
      </c>
      <c r="AS226">
        <f>IF(AE226=1,ROUND(SUMIFS('All Donations'!$S$2:$S$4001,'All Donations'!$R$2:$R$4001,AD226,'All Donations'!$T$2:$T$4001,"&lt;="&amp;'Settings'!$D$27),2),0)</f>
        <v/>
      </c>
      <c r="AT226">
        <f>IF(AE226=1,ROUND(SUMIFS('All Donations'!$S$2:$S$4001,'All Donations'!$R$2:$R$4001,AD226,'All Donations'!$T$2:$T$4001,"&gt;="&amp;'Settings'!$C$28,'All Donations'!$T$2:$T$4001,"&lt;="&amp;'Settings'!$D$28),2),0)</f>
        <v/>
      </c>
      <c r="AU226">
        <f>IF(AE226=1,ROUND(SUMIFS('All Donations'!$S$2:$S$4001,'All Donations'!$R$2:$R$4001,AD226,'All Donations'!$T$2:$T$4001,"&gt;="&amp;'Settings'!$C$29,'All Donations'!$T$2:$T$4001,"&lt;="&amp;'Settings'!$D$29),2),0)</f>
        <v/>
      </c>
      <c r="AV226">
        <f>IF(AE226=1,ROUND(SUMIFS('All Donations'!$S$2:$S$4001,'All Donations'!$R$2:$R$4001,AD226,'All Donations'!$T$2:$T$4001,"&lt;="&amp;'Settings'!$D$30),2),0)</f>
        <v/>
      </c>
      <c r="AZ226">
        <f>IF(AE226=1,ROUND(SUMIFS('All Donations'!$S$2:$S$4001,'All Donations'!$R$2:$R$4001,AD226,'All Donations'!$T$2:$T$4001,"&lt;="&amp;'Settings'!$D$34),2),0)</f>
        <v/>
      </c>
    </row>
    <row r="227">
      <c r="A227">
        <f>IF(AE227=1,TRIM(TRIM('Roster'!B227)&amp;" "&amp;TRIM('Roster'!C227)),"")</f>
        <v/>
      </c>
      <c r="B227">
        <f>IF(AE227=1,IF(AN227="","(no teacher)",AN227&amp;" – "&amp;C227),"")</f>
        <v/>
      </c>
      <c r="C227">
        <f>IF(AE227=1,TRIM('Roster'!D227&amp;""),"")</f>
        <v/>
      </c>
      <c r="D227" s="48">
        <f>IF(AE227=1,ROUND(SUMIFS('All Donations'!$S$2:$S$4001,'All Donations'!$R$2:$R$4001,AD227),2),"")</f>
        <v/>
      </c>
      <c r="E227" s="48">
        <f>IF(AE227=1,ROUND(SUMIFS('All Donations'!$S$2:$S$4001,'All Donations'!$R$2:$R$4001,AD227,'All Donations'!$G$2:$G$4001,"OneCause"),2),"")</f>
        <v/>
      </c>
      <c r="F227" s="48">
        <f>IF(AE227=1,D227-E227,"")</f>
        <v/>
      </c>
      <c r="G227">
        <f>IF(AE227=1,COUNTIFS('All Donations'!$R$2:$R$4001,AD227,'All Donations'!$H$2:$H$4001,"OK"),"")</f>
        <v/>
      </c>
      <c r="H227">
        <f>IF(AE227&lt;&gt;1,"",IF(D227&gt;0,"Yes",""))</f>
        <v/>
      </c>
      <c r="I227" s="49">
        <f>IF(OR($AE227&lt;&gt;1,I$1=""),"",SUMIFS('All Donations'!$S$2:$S$4001,'All Donations'!$R$2:$R$4001,$AD227,'All Donations'!$T$2:$T$4001,I$1))</f>
        <v/>
      </c>
      <c r="J227" s="49">
        <f>IF(OR($AE227&lt;&gt;1,J$1=""),"",SUMIFS('All Donations'!$S$2:$S$4001,'All Donations'!$R$2:$R$4001,$AD227,'All Donations'!$T$2:$T$4001,J$1))</f>
        <v/>
      </c>
      <c r="K227" s="49">
        <f>IF(OR($AE227&lt;&gt;1,K$1=""),"",SUMIFS('All Donations'!$S$2:$S$4001,'All Donations'!$R$2:$R$4001,$AD227,'All Donations'!$T$2:$T$4001,K$1))</f>
        <v/>
      </c>
      <c r="L227" s="49">
        <f>IF(OR($AE227&lt;&gt;1,L$1=""),"",SUMIFS('All Donations'!$S$2:$S$4001,'All Donations'!$R$2:$R$4001,$AD227,'All Donations'!$T$2:$T$4001,L$1))</f>
        <v/>
      </c>
      <c r="M227" s="49">
        <f>IF(OR($AE227&lt;&gt;1,M$1=""),"",SUMIFS('All Donations'!$S$2:$S$4001,'All Donations'!$R$2:$R$4001,$AD227,'All Donations'!$T$2:$T$4001,M$1))</f>
        <v/>
      </c>
      <c r="N227" s="49">
        <f>IF(OR($AE227&lt;&gt;1,N$1=""),"",SUMIFS('All Donations'!$S$2:$S$4001,'All Donations'!$R$2:$R$4001,$AD227,'All Donations'!$T$2:$T$4001,N$1))</f>
        <v/>
      </c>
      <c r="O227" s="49">
        <f>IF(OR($AE227&lt;&gt;1,O$1=""),"",SUMIFS('All Donations'!$S$2:$S$4001,'All Donations'!$R$2:$R$4001,$AD227,'All Donations'!$T$2:$T$4001,O$1))</f>
        <v/>
      </c>
      <c r="P227" s="49">
        <f>IF(OR($AE227&lt;&gt;1,P$1=""),"",SUMIFS('All Donations'!$S$2:$S$4001,'All Donations'!$R$2:$R$4001,$AD227,'All Donations'!$T$2:$T$4001,P$1))</f>
        <v/>
      </c>
      <c r="Q227" s="49">
        <f>IF(OR($AE227&lt;&gt;1,Q$1=""),"",SUMIFS('All Donations'!$S$2:$S$4001,'All Donations'!$R$2:$R$4001,$AD227,'All Donations'!$T$2:$T$4001,Q$1))</f>
        <v/>
      </c>
      <c r="R227" s="49">
        <f>IF(OR($AE227&lt;&gt;1,R$1=""),"",SUMIFS('All Donations'!$S$2:$S$4001,'All Donations'!$R$2:$R$4001,$AD227,'All Donations'!$T$2:$T$4001,R$1))</f>
        <v/>
      </c>
      <c r="S227" s="49">
        <f>IF(OR($AE227&lt;&gt;1,S$1=""),"",SUMIFS('All Donations'!$S$2:$S$4001,'All Donations'!$R$2:$R$4001,$AD227,'All Donations'!$T$2:$T$4001,S$1))</f>
        <v/>
      </c>
      <c r="T227" s="49">
        <f>IF(OR($AE227&lt;&gt;1,T$1=""),"",SUMIFS('All Donations'!$S$2:$S$4001,'All Donations'!$R$2:$R$4001,$AD227,'All Donations'!$T$2:$T$4001,T$1))</f>
        <v/>
      </c>
      <c r="U227" s="49">
        <f>IF(OR($AE227&lt;&gt;1,U$1=""),"",SUMIFS('All Donations'!$S$2:$S$4001,'All Donations'!$R$2:$R$4001,$AD227,'All Donations'!$T$2:$T$4001,U$1))</f>
        <v/>
      </c>
      <c r="V227" s="49">
        <f>IF(OR($AE227&lt;&gt;1,V$1=""),"",SUMIFS('All Donations'!$S$2:$S$4001,'All Donations'!$R$2:$R$4001,$AD227,'All Donations'!$T$2:$T$4001,V$1))</f>
        <v/>
      </c>
      <c r="W227" s="49">
        <f>IF(OR($AE227&lt;&gt;1,W$1=""),"",SUMIFS('All Donations'!$S$2:$S$4001,'All Donations'!$R$2:$R$4001,$AD227,'All Donations'!$T$2:$T$4001,W$1))</f>
        <v/>
      </c>
      <c r="X227" s="49">
        <f>IF(OR($AE227&lt;&gt;1,X$1=""),"",SUMIFS('All Donations'!$S$2:$S$4001,'All Donations'!$R$2:$R$4001,$AD227,'All Donations'!$T$2:$T$4001,X$1))</f>
        <v/>
      </c>
      <c r="Y227" s="49">
        <f>IF(OR($AE227&lt;&gt;1,Y$1=""),"",SUMIFS('All Donations'!$S$2:$S$4001,'All Donations'!$R$2:$R$4001,$AD227,'All Donations'!$T$2:$T$4001,Y$1))</f>
        <v/>
      </c>
      <c r="Z227" s="49">
        <f>IF(OR($AE227&lt;&gt;1,Z$1=""),"",SUMIFS('All Donations'!$S$2:$S$4001,'All Donations'!$R$2:$R$4001,$AD227,'All Donations'!$T$2:$T$4001,Z$1))</f>
        <v/>
      </c>
      <c r="AA227" s="49">
        <f>IF(OR($AE227&lt;&gt;1,AA$1=""),"",SUMIFS('All Donations'!$S$2:$S$4001,'All Donations'!$R$2:$R$4001,$AD227,'All Donations'!$T$2:$T$4001,AA$1))</f>
        <v/>
      </c>
      <c r="AB227" s="49">
        <f>IF(OR($AE227&lt;&gt;1,AB$1=""),"",SUMIFS('All Donations'!$S$2:$S$4001,'All Donations'!$R$2:$R$4001,$AD227,'All Donations'!$T$2:$T$4001,AB$1))</f>
        <v/>
      </c>
      <c r="AC227" s="49">
        <f>IF(OR($AE227&lt;&gt;1,AC$1=""),"",SUMIFS('All Donations'!$S$2:$S$4001,'All Donations'!$R$2:$R$4001,$AD227,'All Donations'!$T$2:$T$4001,AC$1))</f>
        <v/>
      </c>
      <c r="AD227">
        <f>IF(AE227=1,'Roster'!A227,"")</f>
        <v/>
      </c>
      <c r="AE227">
        <f>IF(TRIM('Roster'!B227&amp;'Roster'!C227)&lt;&gt;"",1,0)</f>
        <v/>
      </c>
      <c r="AF227">
        <f>IF(AE227=1,LOWER(A227),"#")</f>
        <v/>
      </c>
      <c r="AG227">
        <f>IF(AE227=1,LOWER(TRIM(TRIM('Roster'!C227)&amp;", "&amp;TRIM('Roster'!B227))),"#")</f>
        <v/>
      </c>
      <c r="AH227">
        <f>IF(AND(AE227=1,TRIM('Roster'!F227)&lt;&gt;""),LOWER(TRIM('Roster'!F227)),"#")</f>
        <v/>
      </c>
      <c r="AI227">
        <f>IF(AE227=1,IF(MATCH(B227,$B$2:$B$701,0)=ROW()-1,1,0),0)</f>
        <v/>
      </c>
      <c r="AJ227">
        <f>AJ226+AI227</f>
        <v/>
      </c>
      <c r="AK227">
        <f>IF(AE227=1,D227+(1000-ROW())/10^7,-1)</f>
        <v/>
      </c>
      <c r="AL227">
        <f>IF(AE227=1,TRIM('Roster'!B227)&amp;" "&amp;LEFT(TRIM('Roster'!C227),1)&amp;".","")</f>
        <v/>
      </c>
      <c r="AM227">
        <f>IF(AE227=1,TRIM('Roster'!C227)&amp;", "&amp;TRIM('Roster'!B227)&amp;" ("&amp;B227&amp;") #"&amp;AD227,"")</f>
        <v/>
      </c>
      <c r="AN227">
        <f>IF(AE227=1,TRIM('Roster'!E227),"")</f>
        <v/>
      </c>
      <c r="AO227">
        <f>IF(AE227=1,ROUND(SUMIFS('All Donations'!$S$2:$S$4001,'All Donations'!$R$2:$R$4001,AD227,'All Donations'!$T$2:$T$4001,"&gt;="&amp;'Settings'!$C$23,'All Donations'!$T$2:$T$4001,"&lt;="&amp;'Settings'!$D$23),2),0)</f>
        <v/>
      </c>
      <c r="AQ227">
        <f>IF(AE227=1,ROUND(SUMIFS('All Donations'!$S$2:$S$4001,'All Donations'!$R$2:$R$4001,AD227,'All Donations'!$T$2:$T$4001,"&gt;="&amp;'Settings'!$C$25,'All Donations'!$T$2:$T$4001,"&lt;="&amp;'Settings'!$D$25),2),0)</f>
        <v/>
      </c>
      <c r="AR227">
        <f>IF(AE227=1,ROUND(SUMIFS('All Donations'!$S$2:$S$4001,'All Donations'!$R$2:$R$4001,AD227,'All Donations'!$T$2:$T$4001,"&gt;="&amp;'Settings'!$C$26,'All Donations'!$T$2:$T$4001,"&lt;="&amp;'Settings'!$D$26),2),0)</f>
        <v/>
      </c>
      <c r="AS227">
        <f>IF(AE227=1,ROUND(SUMIFS('All Donations'!$S$2:$S$4001,'All Donations'!$R$2:$R$4001,AD227,'All Donations'!$T$2:$T$4001,"&lt;="&amp;'Settings'!$D$27),2),0)</f>
        <v/>
      </c>
      <c r="AT227">
        <f>IF(AE227=1,ROUND(SUMIFS('All Donations'!$S$2:$S$4001,'All Donations'!$R$2:$R$4001,AD227,'All Donations'!$T$2:$T$4001,"&gt;="&amp;'Settings'!$C$28,'All Donations'!$T$2:$T$4001,"&lt;="&amp;'Settings'!$D$28),2),0)</f>
        <v/>
      </c>
      <c r="AU227">
        <f>IF(AE227=1,ROUND(SUMIFS('All Donations'!$S$2:$S$4001,'All Donations'!$R$2:$R$4001,AD227,'All Donations'!$T$2:$T$4001,"&gt;="&amp;'Settings'!$C$29,'All Donations'!$T$2:$T$4001,"&lt;="&amp;'Settings'!$D$29),2),0)</f>
        <v/>
      </c>
      <c r="AV227">
        <f>IF(AE227=1,ROUND(SUMIFS('All Donations'!$S$2:$S$4001,'All Donations'!$R$2:$R$4001,AD227,'All Donations'!$T$2:$T$4001,"&lt;="&amp;'Settings'!$D$30),2),0)</f>
        <v/>
      </c>
      <c r="AZ227">
        <f>IF(AE227=1,ROUND(SUMIFS('All Donations'!$S$2:$S$4001,'All Donations'!$R$2:$R$4001,AD227,'All Donations'!$T$2:$T$4001,"&lt;="&amp;'Settings'!$D$34),2),0)</f>
        <v/>
      </c>
    </row>
    <row r="228">
      <c r="A228">
        <f>IF(AE228=1,TRIM(TRIM('Roster'!B228)&amp;" "&amp;TRIM('Roster'!C228)),"")</f>
        <v/>
      </c>
      <c r="B228">
        <f>IF(AE228=1,IF(AN228="","(no teacher)",AN228&amp;" – "&amp;C228),"")</f>
        <v/>
      </c>
      <c r="C228">
        <f>IF(AE228=1,TRIM('Roster'!D228&amp;""),"")</f>
        <v/>
      </c>
      <c r="D228" s="48">
        <f>IF(AE228=1,ROUND(SUMIFS('All Donations'!$S$2:$S$4001,'All Donations'!$R$2:$R$4001,AD228),2),"")</f>
        <v/>
      </c>
      <c r="E228" s="48">
        <f>IF(AE228=1,ROUND(SUMIFS('All Donations'!$S$2:$S$4001,'All Donations'!$R$2:$R$4001,AD228,'All Donations'!$G$2:$G$4001,"OneCause"),2),"")</f>
        <v/>
      </c>
      <c r="F228" s="48">
        <f>IF(AE228=1,D228-E228,"")</f>
        <v/>
      </c>
      <c r="G228">
        <f>IF(AE228=1,COUNTIFS('All Donations'!$R$2:$R$4001,AD228,'All Donations'!$H$2:$H$4001,"OK"),"")</f>
        <v/>
      </c>
      <c r="H228">
        <f>IF(AE228&lt;&gt;1,"",IF(D228&gt;0,"Yes",""))</f>
        <v/>
      </c>
      <c r="I228" s="49">
        <f>IF(OR($AE228&lt;&gt;1,I$1=""),"",SUMIFS('All Donations'!$S$2:$S$4001,'All Donations'!$R$2:$R$4001,$AD228,'All Donations'!$T$2:$T$4001,I$1))</f>
        <v/>
      </c>
      <c r="J228" s="49">
        <f>IF(OR($AE228&lt;&gt;1,J$1=""),"",SUMIFS('All Donations'!$S$2:$S$4001,'All Donations'!$R$2:$R$4001,$AD228,'All Donations'!$T$2:$T$4001,J$1))</f>
        <v/>
      </c>
      <c r="K228" s="49">
        <f>IF(OR($AE228&lt;&gt;1,K$1=""),"",SUMIFS('All Donations'!$S$2:$S$4001,'All Donations'!$R$2:$R$4001,$AD228,'All Donations'!$T$2:$T$4001,K$1))</f>
        <v/>
      </c>
      <c r="L228" s="49">
        <f>IF(OR($AE228&lt;&gt;1,L$1=""),"",SUMIFS('All Donations'!$S$2:$S$4001,'All Donations'!$R$2:$R$4001,$AD228,'All Donations'!$T$2:$T$4001,L$1))</f>
        <v/>
      </c>
      <c r="M228" s="49">
        <f>IF(OR($AE228&lt;&gt;1,M$1=""),"",SUMIFS('All Donations'!$S$2:$S$4001,'All Donations'!$R$2:$R$4001,$AD228,'All Donations'!$T$2:$T$4001,M$1))</f>
        <v/>
      </c>
      <c r="N228" s="49">
        <f>IF(OR($AE228&lt;&gt;1,N$1=""),"",SUMIFS('All Donations'!$S$2:$S$4001,'All Donations'!$R$2:$R$4001,$AD228,'All Donations'!$T$2:$T$4001,N$1))</f>
        <v/>
      </c>
      <c r="O228" s="49">
        <f>IF(OR($AE228&lt;&gt;1,O$1=""),"",SUMIFS('All Donations'!$S$2:$S$4001,'All Donations'!$R$2:$R$4001,$AD228,'All Donations'!$T$2:$T$4001,O$1))</f>
        <v/>
      </c>
      <c r="P228" s="49">
        <f>IF(OR($AE228&lt;&gt;1,P$1=""),"",SUMIFS('All Donations'!$S$2:$S$4001,'All Donations'!$R$2:$R$4001,$AD228,'All Donations'!$T$2:$T$4001,P$1))</f>
        <v/>
      </c>
      <c r="Q228" s="49">
        <f>IF(OR($AE228&lt;&gt;1,Q$1=""),"",SUMIFS('All Donations'!$S$2:$S$4001,'All Donations'!$R$2:$R$4001,$AD228,'All Donations'!$T$2:$T$4001,Q$1))</f>
        <v/>
      </c>
      <c r="R228" s="49">
        <f>IF(OR($AE228&lt;&gt;1,R$1=""),"",SUMIFS('All Donations'!$S$2:$S$4001,'All Donations'!$R$2:$R$4001,$AD228,'All Donations'!$T$2:$T$4001,R$1))</f>
        <v/>
      </c>
      <c r="S228" s="49">
        <f>IF(OR($AE228&lt;&gt;1,S$1=""),"",SUMIFS('All Donations'!$S$2:$S$4001,'All Donations'!$R$2:$R$4001,$AD228,'All Donations'!$T$2:$T$4001,S$1))</f>
        <v/>
      </c>
      <c r="T228" s="49">
        <f>IF(OR($AE228&lt;&gt;1,T$1=""),"",SUMIFS('All Donations'!$S$2:$S$4001,'All Donations'!$R$2:$R$4001,$AD228,'All Donations'!$T$2:$T$4001,T$1))</f>
        <v/>
      </c>
      <c r="U228" s="49">
        <f>IF(OR($AE228&lt;&gt;1,U$1=""),"",SUMIFS('All Donations'!$S$2:$S$4001,'All Donations'!$R$2:$R$4001,$AD228,'All Donations'!$T$2:$T$4001,U$1))</f>
        <v/>
      </c>
      <c r="V228" s="49">
        <f>IF(OR($AE228&lt;&gt;1,V$1=""),"",SUMIFS('All Donations'!$S$2:$S$4001,'All Donations'!$R$2:$R$4001,$AD228,'All Donations'!$T$2:$T$4001,V$1))</f>
        <v/>
      </c>
      <c r="W228" s="49">
        <f>IF(OR($AE228&lt;&gt;1,W$1=""),"",SUMIFS('All Donations'!$S$2:$S$4001,'All Donations'!$R$2:$R$4001,$AD228,'All Donations'!$T$2:$T$4001,W$1))</f>
        <v/>
      </c>
      <c r="X228" s="49">
        <f>IF(OR($AE228&lt;&gt;1,X$1=""),"",SUMIFS('All Donations'!$S$2:$S$4001,'All Donations'!$R$2:$R$4001,$AD228,'All Donations'!$T$2:$T$4001,X$1))</f>
        <v/>
      </c>
      <c r="Y228" s="49">
        <f>IF(OR($AE228&lt;&gt;1,Y$1=""),"",SUMIFS('All Donations'!$S$2:$S$4001,'All Donations'!$R$2:$R$4001,$AD228,'All Donations'!$T$2:$T$4001,Y$1))</f>
        <v/>
      </c>
      <c r="Z228" s="49">
        <f>IF(OR($AE228&lt;&gt;1,Z$1=""),"",SUMIFS('All Donations'!$S$2:$S$4001,'All Donations'!$R$2:$R$4001,$AD228,'All Donations'!$T$2:$T$4001,Z$1))</f>
        <v/>
      </c>
      <c r="AA228" s="49">
        <f>IF(OR($AE228&lt;&gt;1,AA$1=""),"",SUMIFS('All Donations'!$S$2:$S$4001,'All Donations'!$R$2:$R$4001,$AD228,'All Donations'!$T$2:$T$4001,AA$1))</f>
        <v/>
      </c>
      <c r="AB228" s="49">
        <f>IF(OR($AE228&lt;&gt;1,AB$1=""),"",SUMIFS('All Donations'!$S$2:$S$4001,'All Donations'!$R$2:$R$4001,$AD228,'All Donations'!$T$2:$T$4001,AB$1))</f>
        <v/>
      </c>
      <c r="AC228" s="49">
        <f>IF(OR($AE228&lt;&gt;1,AC$1=""),"",SUMIFS('All Donations'!$S$2:$S$4001,'All Donations'!$R$2:$R$4001,$AD228,'All Donations'!$T$2:$T$4001,AC$1))</f>
        <v/>
      </c>
      <c r="AD228">
        <f>IF(AE228=1,'Roster'!A228,"")</f>
        <v/>
      </c>
      <c r="AE228">
        <f>IF(TRIM('Roster'!B228&amp;'Roster'!C228)&lt;&gt;"",1,0)</f>
        <v/>
      </c>
      <c r="AF228">
        <f>IF(AE228=1,LOWER(A228),"#")</f>
        <v/>
      </c>
      <c r="AG228">
        <f>IF(AE228=1,LOWER(TRIM(TRIM('Roster'!C228)&amp;", "&amp;TRIM('Roster'!B228))),"#")</f>
        <v/>
      </c>
      <c r="AH228">
        <f>IF(AND(AE228=1,TRIM('Roster'!F228)&lt;&gt;""),LOWER(TRIM('Roster'!F228)),"#")</f>
        <v/>
      </c>
      <c r="AI228">
        <f>IF(AE228=1,IF(MATCH(B228,$B$2:$B$701,0)=ROW()-1,1,0),0)</f>
        <v/>
      </c>
      <c r="AJ228">
        <f>AJ227+AI228</f>
        <v/>
      </c>
      <c r="AK228">
        <f>IF(AE228=1,D228+(1000-ROW())/10^7,-1)</f>
        <v/>
      </c>
      <c r="AL228">
        <f>IF(AE228=1,TRIM('Roster'!B228)&amp;" "&amp;LEFT(TRIM('Roster'!C228),1)&amp;".","")</f>
        <v/>
      </c>
      <c r="AM228">
        <f>IF(AE228=1,TRIM('Roster'!C228)&amp;", "&amp;TRIM('Roster'!B228)&amp;" ("&amp;B228&amp;") #"&amp;AD228,"")</f>
        <v/>
      </c>
      <c r="AN228">
        <f>IF(AE228=1,TRIM('Roster'!E228),"")</f>
        <v/>
      </c>
      <c r="AO228">
        <f>IF(AE228=1,ROUND(SUMIFS('All Donations'!$S$2:$S$4001,'All Donations'!$R$2:$R$4001,AD228,'All Donations'!$T$2:$T$4001,"&gt;="&amp;'Settings'!$C$23,'All Donations'!$T$2:$T$4001,"&lt;="&amp;'Settings'!$D$23),2),0)</f>
        <v/>
      </c>
      <c r="AQ228">
        <f>IF(AE228=1,ROUND(SUMIFS('All Donations'!$S$2:$S$4001,'All Donations'!$R$2:$R$4001,AD228,'All Donations'!$T$2:$T$4001,"&gt;="&amp;'Settings'!$C$25,'All Donations'!$T$2:$T$4001,"&lt;="&amp;'Settings'!$D$25),2),0)</f>
        <v/>
      </c>
      <c r="AR228">
        <f>IF(AE228=1,ROUND(SUMIFS('All Donations'!$S$2:$S$4001,'All Donations'!$R$2:$R$4001,AD228,'All Donations'!$T$2:$T$4001,"&gt;="&amp;'Settings'!$C$26,'All Donations'!$T$2:$T$4001,"&lt;="&amp;'Settings'!$D$26),2),0)</f>
        <v/>
      </c>
      <c r="AS228">
        <f>IF(AE228=1,ROUND(SUMIFS('All Donations'!$S$2:$S$4001,'All Donations'!$R$2:$R$4001,AD228,'All Donations'!$T$2:$T$4001,"&lt;="&amp;'Settings'!$D$27),2),0)</f>
        <v/>
      </c>
      <c r="AT228">
        <f>IF(AE228=1,ROUND(SUMIFS('All Donations'!$S$2:$S$4001,'All Donations'!$R$2:$R$4001,AD228,'All Donations'!$T$2:$T$4001,"&gt;="&amp;'Settings'!$C$28,'All Donations'!$T$2:$T$4001,"&lt;="&amp;'Settings'!$D$28),2),0)</f>
        <v/>
      </c>
      <c r="AU228">
        <f>IF(AE228=1,ROUND(SUMIFS('All Donations'!$S$2:$S$4001,'All Donations'!$R$2:$R$4001,AD228,'All Donations'!$T$2:$T$4001,"&gt;="&amp;'Settings'!$C$29,'All Donations'!$T$2:$T$4001,"&lt;="&amp;'Settings'!$D$29),2),0)</f>
        <v/>
      </c>
      <c r="AV228">
        <f>IF(AE228=1,ROUND(SUMIFS('All Donations'!$S$2:$S$4001,'All Donations'!$R$2:$R$4001,AD228,'All Donations'!$T$2:$T$4001,"&lt;="&amp;'Settings'!$D$30),2),0)</f>
        <v/>
      </c>
      <c r="AZ228">
        <f>IF(AE228=1,ROUND(SUMIFS('All Donations'!$S$2:$S$4001,'All Donations'!$R$2:$R$4001,AD228,'All Donations'!$T$2:$T$4001,"&lt;="&amp;'Settings'!$D$34),2),0)</f>
        <v/>
      </c>
    </row>
    <row r="229">
      <c r="A229">
        <f>IF(AE229=1,TRIM(TRIM('Roster'!B229)&amp;" "&amp;TRIM('Roster'!C229)),"")</f>
        <v/>
      </c>
      <c r="B229">
        <f>IF(AE229=1,IF(AN229="","(no teacher)",AN229&amp;" – "&amp;C229),"")</f>
        <v/>
      </c>
      <c r="C229">
        <f>IF(AE229=1,TRIM('Roster'!D229&amp;""),"")</f>
        <v/>
      </c>
      <c r="D229" s="48">
        <f>IF(AE229=1,ROUND(SUMIFS('All Donations'!$S$2:$S$4001,'All Donations'!$R$2:$R$4001,AD229),2),"")</f>
        <v/>
      </c>
      <c r="E229" s="48">
        <f>IF(AE229=1,ROUND(SUMIFS('All Donations'!$S$2:$S$4001,'All Donations'!$R$2:$R$4001,AD229,'All Donations'!$G$2:$G$4001,"OneCause"),2),"")</f>
        <v/>
      </c>
      <c r="F229" s="48">
        <f>IF(AE229=1,D229-E229,"")</f>
        <v/>
      </c>
      <c r="G229">
        <f>IF(AE229=1,COUNTIFS('All Donations'!$R$2:$R$4001,AD229,'All Donations'!$H$2:$H$4001,"OK"),"")</f>
        <v/>
      </c>
      <c r="H229">
        <f>IF(AE229&lt;&gt;1,"",IF(D229&gt;0,"Yes",""))</f>
        <v/>
      </c>
      <c r="I229" s="49">
        <f>IF(OR($AE229&lt;&gt;1,I$1=""),"",SUMIFS('All Donations'!$S$2:$S$4001,'All Donations'!$R$2:$R$4001,$AD229,'All Donations'!$T$2:$T$4001,I$1))</f>
        <v/>
      </c>
      <c r="J229" s="49">
        <f>IF(OR($AE229&lt;&gt;1,J$1=""),"",SUMIFS('All Donations'!$S$2:$S$4001,'All Donations'!$R$2:$R$4001,$AD229,'All Donations'!$T$2:$T$4001,J$1))</f>
        <v/>
      </c>
      <c r="K229" s="49">
        <f>IF(OR($AE229&lt;&gt;1,K$1=""),"",SUMIFS('All Donations'!$S$2:$S$4001,'All Donations'!$R$2:$R$4001,$AD229,'All Donations'!$T$2:$T$4001,K$1))</f>
        <v/>
      </c>
      <c r="L229" s="49">
        <f>IF(OR($AE229&lt;&gt;1,L$1=""),"",SUMIFS('All Donations'!$S$2:$S$4001,'All Donations'!$R$2:$R$4001,$AD229,'All Donations'!$T$2:$T$4001,L$1))</f>
        <v/>
      </c>
      <c r="M229" s="49">
        <f>IF(OR($AE229&lt;&gt;1,M$1=""),"",SUMIFS('All Donations'!$S$2:$S$4001,'All Donations'!$R$2:$R$4001,$AD229,'All Donations'!$T$2:$T$4001,M$1))</f>
        <v/>
      </c>
      <c r="N229" s="49">
        <f>IF(OR($AE229&lt;&gt;1,N$1=""),"",SUMIFS('All Donations'!$S$2:$S$4001,'All Donations'!$R$2:$R$4001,$AD229,'All Donations'!$T$2:$T$4001,N$1))</f>
        <v/>
      </c>
      <c r="O229" s="49">
        <f>IF(OR($AE229&lt;&gt;1,O$1=""),"",SUMIFS('All Donations'!$S$2:$S$4001,'All Donations'!$R$2:$R$4001,$AD229,'All Donations'!$T$2:$T$4001,O$1))</f>
        <v/>
      </c>
      <c r="P229" s="49">
        <f>IF(OR($AE229&lt;&gt;1,P$1=""),"",SUMIFS('All Donations'!$S$2:$S$4001,'All Donations'!$R$2:$R$4001,$AD229,'All Donations'!$T$2:$T$4001,P$1))</f>
        <v/>
      </c>
      <c r="Q229" s="49">
        <f>IF(OR($AE229&lt;&gt;1,Q$1=""),"",SUMIFS('All Donations'!$S$2:$S$4001,'All Donations'!$R$2:$R$4001,$AD229,'All Donations'!$T$2:$T$4001,Q$1))</f>
        <v/>
      </c>
      <c r="R229" s="49">
        <f>IF(OR($AE229&lt;&gt;1,R$1=""),"",SUMIFS('All Donations'!$S$2:$S$4001,'All Donations'!$R$2:$R$4001,$AD229,'All Donations'!$T$2:$T$4001,R$1))</f>
        <v/>
      </c>
      <c r="S229" s="49">
        <f>IF(OR($AE229&lt;&gt;1,S$1=""),"",SUMIFS('All Donations'!$S$2:$S$4001,'All Donations'!$R$2:$R$4001,$AD229,'All Donations'!$T$2:$T$4001,S$1))</f>
        <v/>
      </c>
      <c r="T229" s="49">
        <f>IF(OR($AE229&lt;&gt;1,T$1=""),"",SUMIFS('All Donations'!$S$2:$S$4001,'All Donations'!$R$2:$R$4001,$AD229,'All Donations'!$T$2:$T$4001,T$1))</f>
        <v/>
      </c>
      <c r="U229" s="49">
        <f>IF(OR($AE229&lt;&gt;1,U$1=""),"",SUMIFS('All Donations'!$S$2:$S$4001,'All Donations'!$R$2:$R$4001,$AD229,'All Donations'!$T$2:$T$4001,U$1))</f>
        <v/>
      </c>
      <c r="V229" s="49">
        <f>IF(OR($AE229&lt;&gt;1,V$1=""),"",SUMIFS('All Donations'!$S$2:$S$4001,'All Donations'!$R$2:$R$4001,$AD229,'All Donations'!$T$2:$T$4001,V$1))</f>
        <v/>
      </c>
      <c r="W229" s="49">
        <f>IF(OR($AE229&lt;&gt;1,W$1=""),"",SUMIFS('All Donations'!$S$2:$S$4001,'All Donations'!$R$2:$R$4001,$AD229,'All Donations'!$T$2:$T$4001,W$1))</f>
        <v/>
      </c>
      <c r="X229" s="49">
        <f>IF(OR($AE229&lt;&gt;1,X$1=""),"",SUMIFS('All Donations'!$S$2:$S$4001,'All Donations'!$R$2:$R$4001,$AD229,'All Donations'!$T$2:$T$4001,X$1))</f>
        <v/>
      </c>
      <c r="Y229" s="49">
        <f>IF(OR($AE229&lt;&gt;1,Y$1=""),"",SUMIFS('All Donations'!$S$2:$S$4001,'All Donations'!$R$2:$R$4001,$AD229,'All Donations'!$T$2:$T$4001,Y$1))</f>
        <v/>
      </c>
      <c r="Z229" s="49">
        <f>IF(OR($AE229&lt;&gt;1,Z$1=""),"",SUMIFS('All Donations'!$S$2:$S$4001,'All Donations'!$R$2:$R$4001,$AD229,'All Donations'!$T$2:$T$4001,Z$1))</f>
        <v/>
      </c>
      <c r="AA229" s="49">
        <f>IF(OR($AE229&lt;&gt;1,AA$1=""),"",SUMIFS('All Donations'!$S$2:$S$4001,'All Donations'!$R$2:$R$4001,$AD229,'All Donations'!$T$2:$T$4001,AA$1))</f>
        <v/>
      </c>
      <c r="AB229" s="49">
        <f>IF(OR($AE229&lt;&gt;1,AB$1=""),"",SUMIFS('All Donations'!$S$2:$S$4001,'All Donations'!$R$2:$R$4001,$AD229,'All Donations'!$T$2:$T$4001,AB$1))</f>
        <v/>
      </c>
      <c r="AC229" s="49">
        <f>IF(OR($AE229&lt;&gt;1,AC$1=""),"",SUMIFS('All Donations'!$S$2:$S$4001,'All Donations'!$R$2:$R$4001,$AD229,'All Donations'!$T$2:$T$4001,AC$1))</f>
        <v/>
      </c>
      <c r="AD229">
        <f>IF(AE229=1,'Roster'!A229,"")</f>
        <v/>
      </c>
      <c r="AE229">
        <f>IF(TRIM('Roster'!B229&amp;'Roster'!C229)&lt;&gt;"",1,0)</f>
        <v/>
      </c>
      <c r="AF229">
        <f>IF(AE229=1,LOWER(A229),"#")</f>
        <v/>
      </c>
      <c r="AG229">
        <f>IF(AE229=1,LOWER(TRIM(TRIM('Roster'!C229)&amp;", "&amp;TRIM('Roster'!B229))),"#")</f>
        <v/>
      </c>
      <c r="AH229">
        <f>IF(AND(AE229=1,TRIM('Roster'!F229)&lt;&gt;""),LOWER(TRIM('Roster'!F229)),"#")</f>
        <v/>
      </c>
      <c r="AI229">
        <f>IF(AE229=1,IF(MATCH(B229,$B$2:$B$701,0)=ROW()-1,1,0),0)</f>
        <v/>
      </c>
      <c r="AJ229">
        <f>AJ228+AI229</f>
        <v/>
      </c>
      <c r="AK229">
        <f>IF(AE229=1,D229+(1000-ROW())/10^7,-1)</f>
        <v/>
      </c>
      <c r="AL229">
        <f>IF(AE229=1,TRIM('Roster'!B229)&amp;" "&amp;LEFT(TRIM('Roster'!C229),1)&amp;".","")</f>
        <v/>
      </c>
      <c r="AM229">
        <f>IF(AE229=1,TRIM('Roster'!C229)&amp;", "&amp;TRIM('Roster'!B229)&amp;" ("&amp;B229&amp;") #"&amp;AD229,"")</f>
        <v/>
      </c>
      <c r="AN229">
        <f>IF(AE229=1,TRIM('Roster'!E229),"")</f>
        <v/>
      </c>
      <c r="AO229">
        <f>IF(AE229=1,ROUND(SUMIFS('All Donations'!$S$2:$S$4001,'All Donations'!$R$2:$R$4001,AD229,'All Donations'!$T$2:$T$4001,"&gt;="&amp;'Settings'!$C$23,'All Donations'!$T$2:$T$4001,"&lt;="&amp;'Settings'!$D$23),2),0)</f>
        <v/>
      </c>
      <c r="AQ229">
        <f>IF(AE229=1,ROUND(SUMIFS('All Donations'!$S$2:$S$4001,'All Donations'!$R$2:$R$4001,AD229,'All Donations'!$T$2:$T$4001,"&gt;="&amp;'Settings'!$C$25,'All Donations'!$T$2:$T$4001,"&lt;="&amp;'Settings'!$D$25),2),0)</f>
        <v/>
      </c>
      <c r="AR229">
        <f>IF(AE229=1,ROUND(SUMIFS('All Donations'!$S$2:$S$4001,'All Donations'!$R$2:$R$4001,AD229,'All Donations'!$T$2:$T$4001,"&gt;="&amp;'Settings'!$C$26,'All Donations'!$T$2:$T$4001,"&lt;="&amp;'Settings'!$D$26),2),0)</f>
        <v/>
      </c>
      <c r="AS229">
        <f>IF(AE229=1,ROUND(SUMIFS('All Donations'!$S$2:$S$4001,'All Donations'!$R$2:$R$4001,AD229,'All Donations'!$T$2:$T$4001,"&lt;="&amp;'Settings'!$D$27),2),0)</f>
        <v/>
      </c>
      <c r="AT229">
        <f>IF(AE229=1,ROUND(SUMIFS('All Donations'!$S$2:$S$4001,'All Donations'!$R$2:$R$4001,AD229,'All Donations'!$T$2:$T$4001,"&gt;="&amp;'Settings'!$C$28,'All Donations'!$T$2:$T$4001,"&lt;="&amp;'Settings'!$D$28),2),0)</f>
        <v/>
      </c>
      <c r="AU229">
        <f>IF(AE229=1,ROUND(SUMIFS('All Donations'!$S$2:$S$4001,'All Donations'!$R$2:$R$4001,AD229,'All Donations'!$T$2:$T$4001,"&gt;="&amp;'Settings'!$C$29,'All Donations'!$T$2:$T$4001,"&lt;="&amp;'Settings'!$D$29),2),0)</f>
        <v/>
      </c>
      <c r="AV229">
        <f>IF(AE229=1,ROUND(SUMIFS('All Donations'!$S$2:$S$4001,'All Donations'!$R$2:$R$4001,AD229,'All Donations'!$T$2:$T$4001,"&lt;="&amp;'Settings'!$D$30),2),0)</f>
        <v/>
      </c>
      <c r="AZ229">
        <f>IF(AE229=1,ROUND(SUMIFS('All Donations'!$S$2:$S$4001,'All Donations'!$R$2:$R$4001,AD229,'All Donations'!$T$2:$T$4001,"&lt;="&amp;'Settings'!$D$34),2),0)</f>
        <v/>
      </c>
    </row>
    <row r="230">
      <c r="A230">
        <f>IF(AE230=1,TRIM(TRIM('Roster'!B230)&amp;" "&amp;TRIM('Roster'!C230)),"")</f>
        <v/>
      </c>
      <c r="B230">
        <f>IF(AE230=1,IF(AN230="","(no teacher)",AN230&amp;" – "&amp;C230),"")</f>
        <v/>
      </c>
      <c r="C230">
        <f>IF(AE230=1,TRIM('Roster'!D230&amp;""),"")</f>
        <v/>
      </c>
      <c r="D230" s="48">
        <f>IF(AE230=1,ROUND(SUMIFS('All Donations'!$S$2:$S$4001,'All Donations'!$R$2:$R$4001,AD230),2),"")</f>
        <v/>
      </c>
      <c r="E230" s="48">
        <f>IF(AE230=1,ROUND(SUMIFS('All Donations'!$S$2:$S$4001,'All Donations'!$R$2:$R$4001,AD230,'All Donations'!$G$2:$G$4001,"OneCause"),2),"")</f>
        <v/>
      </c>
      <c r="F230" s="48">
        <f>IF(AE230=1,D230-E230,"")</f>
        <v/>
      </c>
      <c r="G230">
        <f>IF(AE230=1,COUNTIFS('All Donations'!$R$2:$R$4001,AD230,'All Donations'!$H$2:$H$4001,"OK"),"")</f>
        <v/>
      </c>
      <c r="H230">
        <f>IF(AE230&lt;&gt;1,"",IF(D230&gt;0,"Yes",""))</f>
        <v/>
      </c>
      <c r="I230" s="49">
        <f>IF(OR($AE230&lt;&gt;1,I$1=""),"",SUMIFS('All Donations'!$S$2:$S$4001,'All Donations'!$R$2:$R$4001,$AD230,'All Donations'!$T$2:$T$4001,I$1))</f>
        <v/>
      </c>
      <c r="J230" s="49">
        <f>IF(OR($AE230&lt;&gt;1,J$1=""),"",SUMIFS('All Donations'!$S$2:$S$4001,'All Donations'!$R$2:$R$4001,$AD230,'All Donations'!$T$2:$T$4001,J$1))</f>
        <v/>
      </c>
      <c r="K230" s="49">
        <f>IF(OR($AE230&lt;&gt;1,K$1=""),"",SUMIFS('All Donations'!$S$2:$S$4001,'All Donations'!$R$2:$R$4001,$AD230,'All Donations'!$T$2:$T$4001,K$1))</f>
        <v/>
      </c>
      <c r="L230" s="49">
        <f>IF(OR($AE230&lt;&gt;1,L$1=""),"",SUMIFS('All Donations'!$S$2:$S$4001,'All Donations'!$R$2:$R$4001,$AD230,'All Donations'!$T$2:$T$4001,L$1))</f>
        <v/>
      </c>
      <c r="M230" s="49">
        <f>IF(OR($AE230&lt;&gt;1,M$1=""),"",SUMIFS('All Donations'!$S$2:$S$4001,'All Donations'!$R$2:$R$4001,$AD230,'All Donations'!$T$2:$T$4001,M$1))</f>
        <v/>
      </c>
      <c r="N230" s="49">
        <f>IF(OR($AE230&lt;&gt;1,N$1=""),"",SUMIFS('All Donations'!$S$2:$S$4001,'All Donations'!$R$2:$R$4001,$AD230,'All Donations'!$T$2:$T$4001,N$1))</f>
        <v/>
      </c>
      <c r="O230" s="49">
        <f>IF(OR($AE230&lt;&gt;1,O$1=""),"",SUMIFS('All Donations'!$S$2:$S$4001,'All Donations'!$R$2:$R$4001,$AD230,'All Donations'!$T$2:$T$4001,O$1))</f>
        <v/>
      </c>
      <c r="P230" s="49">
        <f>IF(OR($AE230&lt;&gt;1,P$1=""),"",SUMIFS('All Donations'!$S$2:$S$4001,'All Donations'!$R$2:$R$4001,$AD230,'All Donations'!$T$2:$T$4001,P$1))</f>
        <v/>
      </c>
      <c r="Q230" s="49">
        <f>IF(OR($AE230&lt;&gt;1,Q$1=""),"",SUMIFS('All Donations'!$S$2:$S$4001,'All Donations'!$R$2:$R$4001,$AD230,'All Donations'!$T$2:$T$4001,Q$1))</f>
        <v/>
      </c>
      <c r="R230" s="49">
        <f>IF(OR($AE230&lt;&gt;1,R$1=""),"",SUMIFS('All Donations'!$S$2:$S$4001,'All Donations'!$R$2:$R$4001,$AD230,'All Donations'!$T$2:$T$4001,R$1))</f>
        <v/>
      </c>
      <c r="S230" s="49">
        <f>IF(OR($AE230&lt;&gt;1,S$1=""),"",SUMIFS('All Donations'!$S$2:$S$4001,'All Donations'!$R$2:$R$4001,$AD230,'All Donations'!$T$2:$T$4001,S$1))</f>
        <v/>
      </c>
      <c r="T230" s="49">
        <f>IF(OR($AE230&lt;&gt;1,T$1=""),"",SUMIFS('All Donations'!$S$2:$S$4001,'All Donations'!$R$2:$R$4001,$AD230,'All Donations'!$T$2:$T$4001,T$1))</f>
        <v/>
      </c>
      <c r="U230" s="49">
        <f>IF(OR($AE230&lt;&gt;1,U$1=""),"",SUMIFS('All Donations'!$S$2:$S$4001,'All Donations'!$R$2:$R$4001,$AD230,'All Donations'!$T$2:$T$4001,U$1))</f>
        <v/>
      </c>
      <c r="V230" s="49">
        <f>IF(OR($AE230&lt;&gt;1,V$1=""),"",SUMIFS('All Donations'!$S$2:$S$4001,'All Donations'!$R$2:$R$4001,$AD230,'All Donations'!$T$2:$T$4001,V$1))</f>
        <v/>
      </c>
      <c r="W230" s="49">
        <f>IF(OR($AE230&lt;&gt;1,W$1=""),"",SUMIFS('All Donations'!$S$2:$S$4001,'All Donations'!$R$2:$R$4001,$AD230,'All Donations'!$T$2:$T$4001,W$1))</f>
        <v/>
      </c>
      <c r="X230" s="49">
        <f>IF(OR($AE230&lt;&gt;1,X$1=""),"",SUMIFS('All Donations'!$S$2:$S$4001,'All Donations'!$R$2:$R$4001,$AD230,'All Donations'!$T$2:$T$4001,X$1))</f>
        <v/>
      </c>
      <c r="Y230" s="49">
        <f>IF(OR($AE230&lt;&gt;1,Y$1=""),"",SUMIFS('All Donations'!$S$2:$S$4001,'All Donations'!$R$2:$R$4001,$AD230,'All Donations'!$T$2:$T$4001,Y$1))</f>
        <v/>
      </c>
      <c r="Z230" s="49">
        <f>IF(OR($AE230&lt;&gt;1,Z$1=""),"",SUMIFS('All Donations'!$S$2:$S$4001,'All Donations'!$R$2:$R$4001,$AD230,'All Donations'!$T$2:$T$4001,Z$1))</f>
        <v/>
      </c>
      <c r="AA230" s="49">
        <f>IF(OR($AE230&lt;&gt;1,AA$1=""),"",SUMIFS('All Donations'!$S$2:$S$4001,'All Donations'!$R$2:$R$4001,$AD230,'All Donations'!$T$2:$T$4001,AA$1))</f>
        <v/>
      </c>
      <c r="AB230" s="49">
        <f>IF(OR($AE230&lt;&gt;1,AB$1=""),"",SUMIFS('All Donations'!$S$2:$S$4001,'All Donations'!$R$2:$R$4001,$AD230,'All Donations'!$T$2:$T$4001,AB$1))</f>
        <v/>
      </c>
      <c r="AC230" s="49">
        <f>IF(OR($AE230&lt;&gt;1,AC$1=""),"",SUMIFS('All Donations'!$S$2:$S$4001,'All Donations'!$R$2:$R$4001,$AD230,'All Donations'!$T$2:$T$4001,AC$1))</f>
        <v/>
      </c>
      <c r="AD230">
        <f>IF(AE230=1,'Roster'!A230,"")</f>
        <v/>
      </c>
      <c r="AE230">
        <f>IF(TRIM('Roster'!B230&amp;'Roster'!C230)&lt;&gt;"",1,0)</f>
        <v/>
      </c>
      <c r="AF230">
        <f>IF(AE230=1,LOWER(A230),"#")</f>
        <v/>
      </c>
      <c r="AG230">
        <f>IF(AE230=1,LOWER(TRIM(TRIM('Roster'!C230)&amp;", "&amp;TRIM('Roster'!B230))),"#")</f>
        <v/>
      </c>
      <c r="AH230">
        <f>IF(AND(AE230=1,TRIM('Roster'!F230)&lt;&gt;""),LOWER(TRIM('Roster'!F230)),"#")</f>
        <v/>
      </c>
      <c r="AI230">
        <f>IF(AE230=1,IF(MATCH(B230,$B$2:$B$701,0)=ROW()-1,1,0),0)</f>
        <v/>
      </c>
      <c r="AJ230">
        <f>AJ229+AI230</f>
        <v/>
      </c>
      <c r="AK230">
        <f>IF(AE230=1,D230+(1000-ROW())/10^7,-1)</f>
        <v/>
      </c>
      <c r="AL230">
        <f>IF(AE230=1,TRIM('Roster'!B230)&amp;" "&amp;LEFT(TRIM('Roster'!C230),1)&amp;".","")</f>
        <v/>
      </c>
      <c r="AM230">
        <f>IF(AE230=1,TRIM('Roster'!C230)&amp;", "&amp;TRIM('Roster'!B230)&amp;" ("&amp;B230&amp;") #"&amp;AD230,"")</f>
        <v/>
      </c>
      <c r="AN230">
        <f>IF(AE230=1,TRIM('Roster'!E230),"")</f>
        <v/>
      </c>
      <c r="AO230">
        <f>IF(AE230=1,ROUND(SUMIFS('All Donations'!$S$2:$S$4001,'All Donations'!$R$2:$R$4001,AD230,'All Donations'!$T$2:$T$4001,"&gt;="&amp;'Settings'!$C$23,'All Donations'!$T$2:$T$4001,"&lt;="&amp;'Settings'!$D$23),2),0)</f>
        <v/>
      </c>
      <c r="AQ230">
        <f>IF(AE230=1,ROUND(SUMIFS('All Donations'!$S$2:$S$4001,'All Donations'!$R$2:$R$4001,AD230,'All Donations'!$T$2:$T$4001,"&gt;="&amp;'Settings'!$C$25,'All Donations'!$T$2:$T$4001,"&lt;="&amp;'Settings'!$D$25),2),0)</f>
        <v/>
      </c>
      <c r="AR230">
        <f>IF(AE230=1,ROUND(SUMIFS('All Donations'!$S$2:$S$4001,'All Donations'!$R$2:$R$4001,AD230,'All Donations'!$T$2:$T$4001,"&gt;="&amp;'Settings'!$C$26,'All Donations'!$T$2:$T$4001,"&lt;="&amp;'Settings'!$D$26),2),0)</f>
        <v/>
      </c>
      <c r="AS230">
        <f>IF(AE230=1,ROUND(SUMIFS('All Donations'!$S$2:$S$4001,'All Donations'!$R$2:$R$4001,AD230,'All Donations'!$T$2:$T$4001,"&lt;="&amp;'Settings'!$D$27),2),0)</f>
        <v/>
      </c>
      <c r="AT230">
        <f>IF(AE230=1,ROUND(SUMIFS('All Donations'!$S$2:$S$4001,'All Donations'!$R$2:$R$4001,AD230,'All Donations'!$T$2:$T$4001,"&gt;="&amp;'Settings'!$C$28,'All Donations'!$T$2:$T$4001,"&lt;="&amp;'Settings'!$D$28),2),0)</f>
        <v/>
      </c>
      <c r="AU230">
        <f>IF(AE230=1,ROUND(SUMIFS('All Donations'!$S$2:$S$4001,'All Donations'!$R$2:$R$4001,AD230,'All Donations'!$T$2:$T$4001,"&gt;="&amp;'Settings'!$C$29,'All Donations'!$T$2:$T$4001,"&lt;="&amp;'Settings'!$D$29),2),0)</f>
        <v/>
      </c>
      <c r="AV230">
        <f>IF(AE230=1,ROUND(SUMIFS('All Donations'!$S$2:$S$4001,'All Donations'!$R$2:$R$4001,AD230,'All Donations'!$T$2:$T$4001,"&lt;="&amp;'Settings'!$D$30),2),0)</f>
        <v/>
      </c>
      <c r="AZ230">
        <f>IF(AE230=1,ROUND(SUMIFS('All Donations'!$S$2:$S$4001,'All Donations'!$R$2:$R$4001,AD230,'All Donations'!$T$2:$T$4001,"&lt;="&amp;'Settings'!$D$34),2),0)</f>
        <v/>
      </c>
    </row>
    <row r="231">
      <c r="A231">
        <f>IF(AE231=1,TRIM(TRIM('Roster'!B231)&amp;" "&amp;TRIM('Roster'!C231)),"")</f>
        <v/>
      </c>
      <c r="B231">
        <f>IF(AE231=1,IF(AN231="","(no teacher)",AN231&amp;" – "&amp;C231),"")</f>
        <v/>
      </c>
      <c r="C231">
        <f>IF(AE231=1,TRIM('Roster'!D231&amp;""),"")</f>
        <v/>
      </c>
      <c r="D231" s="48">
        <f>IF(AE231=1,ROUND(SUMIFS('All Donations'!$S$2:$S$4001,'All Donations'!$R$2:$R$4001,AD231),2),"")</f>
        <v/>
      </c>
      <c r="E231" s="48">
        <f>IF(AE231=1,ROUND(SUMIFS('All Donations'!$S$2:$S$4001,'All Donations'!$R$2:$R$4001,AD231,'All Donations'!$G$2:$G$4001,"OneCause"),2),"")</f>
        <v/>
      </c>
      <c r="F231" s="48">
        <f>IF(AE231=1,D231-E231,"")</f>
        <v/>
      </c>
      <c r="G231">
        <f>IF(AE231=1,COUNTIFS('All Donations'!$R$2:$R$4001,AD231,'All Donations'!$H$2:$H$4001,"OK"),"")</f>
        <v/>
      </c>
      <c r="H231">
        <f>IF(AE231&lt;&gt;1,"",IF(D231&gt;0,"Yes",""))</f>
        <v/>
      </c>
      <c r="I231" s="49">
        <f>IF(OR($AE231&lt;&gt;1,I$1=""),"",SUMIFS('All Donations'!$S$2:$S$4001,'All Donations'!$R$2:$R$4001,$AD231,'All Donations'!$T$2:$T$4001,I$1))</f>
        <v/>
      </c>
      <c r="J231" s="49">
        <f>IF(OR($AE231&lt;&gt;1,J$1=""),"",SUMIFS('All Donations'!$S$2:$S$4001,'All Donations'!$R$2:$R$4001,$AD231,'All Donations'!$T$2:$T$4001,J$1))</f>
        <v/>
      </c>
      <c r="K231" s="49">
        <f>IF(OR($AE231&lt;&gt;1,K$1=""),"",SUMIFS('All Donations'!$S$2:$S$4001,'All Donations'!$R$2:$R$4001,$AD231,'All Donations'!$T$2:$T$4001,K$1))</f>
        <v/>
      </c>
      <c r="L231" s="49">
        <f>IF(OR($AE231&lt;&gt;1,L$1=""),"",SUMIFS('All Donations'!$S$2:$S$4001,'All Donations'!$R$2:$R$4001,$AD231,'All Donations'!$T$2:$T$4001,L$1))</f>
        <v/>
      </c>
      <c r="M231" s="49">
        <f>IF(OR($AE231&lt;&gt;1,M$1=""),"",SUMIFS('All Donations'!$S$2:$S$4001,'All Donations'!$R$2:$R$4001,$AD231,'All Donations'!$T$2:$T$4001,M$1))</f>
        <v/>
      </c>
      <c r="N231" s="49">
        <f>IF(OR($AE231&lt;&gt;1,N$1=""),"",SUMIFS('All Donations'!$S$2:$S$4001,'All Donations'!$R$2:$R$4001,$AD231,'All Donations'!$T$2:$T$4001,N$1))</f>
        <v/>
      </c>
      <c r="O231" s="49">
        <f>IF(OR($AE231&lt;&gt;1,O$1=""),"",SUMIFS('All Donations'!$S$2:$S$4001,'All Donations'!$R$2:$R$4001,$AD231,'All Donations'!$T$2:$T$4001,O$1))</f>
        <v/>
      </c>
      <c r="P231" s="49">
        <f>IF(OR($AE231&lt;&gt;1,P$1=""),"",SUMIFS('All Donations'!$S$2:$S$4001,'All Donations'!$R$2:$R$4001,$AD231,'All Donations'!$T$2:$T$4001,P$1))</f>
        <v/>
      </c>
      <c r="Q231" s="49">
        <f>IF(OR($AE231&lt;&gt;1,Q$1=""),"",SUMIFS('All Donations'!$S$2:$S$4001,'All Donations'!$R$2:$R$4001,$AD231,'All Donations'!$T$2:$T$4001,Q$1))</f>
        <v/>
      </c>
      <c r="R231" s="49">
        <f>IF(OR($AE231&lt;&gt;1,R$1=""),"",SUMIFS('All Donations'!$S$2:$S$4001,'All Donations'!$R$2:$R$4001,$AD231,'All Donations'!$T$2:$T$4001,R$1))</f>
        <v/>
      </c>
      <c r="S231" s="49">
        <f>IF(OR($AE231&lt;&gt;1,S$1=""),"",SUMIFS('All Donations'!$S$2:$S$4001,'All Donations'!$R$2:$R$4001,$AD231,'All Donations'!$T$2:$T$4001,S$1))</f>
        <v/>
      </c>
      <c r="T231" s="49">
        <f>IF(OR($AE231&lt;&gt;1,T$1=""),"",SUMIFS('All Donations'!$S$2:$S$4001,'All Donations'!$R$2:$R$4001,$AD231,'All Donations'!$T$2:$T$4001,T$1))</f>
        <v/>
      </c>
      <c r="U231" s="49">
        <f>IF(OR($AE231&lt;&gt;1,U$1=""),"",SUMIFS('All Donations'!$S$2:$S$4001,'All Donations'!$R$2:$R$4001,$AD231,'All Donations'!$T$2:$T$4001,U$1))</f>
        <v/>
      </c>
      <c r="V231" s="49">
        <f>IF(OR($AE231&lt;&gt;1,V$1=""),"",SUMIFS('All Donations'!$S$2:$S$4001,'All Donations'!$R$2:$R$4001,$AD231,'All Donations'!$T$2:$T$4001,V$1))</f>
        <v/>
      </c>
      <c r="W231" s="49">
        <f>IF(OR($AE231&lt;&gt;1,W$1=""),"",SUMIFS('All Donations'!$S$2:$S$4001,'All Donations'!$R$2:$R$4001,$AD231,'All Donations'!$T$2:$T$4001,W$1))</f>
        <v/>
      </c>
      <c r="X231" s="49">
        <f>IF(OR($AE231&lt;&gt;1,X$1=""),"",SUMIFS('All Donations'!$S$2:$S$4001,'All Donations'!$R$2:$R$4001,$AD231,'All Donations'!$T$2:$T$4001,X$1))</f>
        <v/>
      </c>
      <c r="Y231" s="49">
        <f>IF(OR($AE231&lt;&gt;1,Y$1=""),"",SUMIFS('All Donations'!$S$2:$S$4001,'All Donations'!$R$2:$R$4001,$AD231,'All Donations'!$T$2:$T$4001,Y$1))</f>
        <v/>
      </c>
      <c r="Z231" s="49">
        <f>IF(OR($AE231&lt;&gt;1,Z$1=""),"",SUMIFS('All Donations'!$S$2:$S$4001,'All Donations'!$R$2:$R$4001,$AD231,'All Donations'!$T$2:$T$4001,Z$1))</f>
        <v/>
      </c>
      <c r="AA231" s="49">
        <f>IF(OR($AE231&lt;&gt;1,AA$1=""),"",SUMIFS('All Donations'!$S$2:$S$4001,'All Donations'!$R$2:$R$4001,$AD231,'All Donations'!$T$2:$T$4001,AA$1))</f>
        <v/>
      </c>
      <c r="AB231" s="49">
        <f>IF(OR($AE231&lt;&gt;1,AB$1=""),"",SUMIFS('All Donations'!$S$2:$S$4001,'All Donations'!$R$2:$R$4001,$AD231,'All Donations'!$T$2:$T$4001,AB$1))</f>
        <v/>
      </c>
      <c r="AC231" s="49">
        <f>IF(OR($AE231&lt;&gt;1,AC$1=""),"",SUMIFS('All Donations'!$S$2:$S$4001,'All Donations'!$R$2:$R$4001,$AD231,'All Donations'!$T$2:$T$4001,AC$1))</f>
        <v/>
      </c>
      <c r="AD231">
        <f>IF(AE231=1,'Roster'!A231,"")</f>
        <v/>
      </c>
      <c r="AE231">
        <f>IF(TRIM('Roster'!B231&amp;'Roster'!C231)&lt;&gt;"",1,0)</f>
        <v/>
      </c>
      <c r="AF231">
        <f>IF(AE231=1,LOWER(A231),"#")</f>
        <v/>
      </c>
      <c r="AG231">
        <f>IF(AE231=1,LOWER(TRIM(TRIM('Roster'!C231)&amp;", "&amp;TRIM('Roster'!B231))),"#")</f>
        <v/>
      </c>
      <c r="AH231">
        <f>IF(AND(AE231=1,TRIM('Roster'!F231)&lt;&gt;""),LOWER(TRIM('Roster'!F231)),"#")</f>
        <v/>
      </c>
      <c r="AI231">
        <f>IF(AE231=1,IF(MATCH(B231,$B$2:$B$701,0)=ROW()-1,1,0),0)</f>
        <v/>
      </c>
      <c r="AJ231">
        <f>AJ230+AI231</f>
        <v/>
      </c>
      <c r="AK231">
        <f>IF(AE231=1,D231+(1000-ROW())/10^7,-1)</f>
        <v/>
      </c>
      <c r="AL231">
        <f>IF(AE231=1,TRIM('Roster'!B231)&amp;" "&amp;LEFT(TRIM('Roster'!C231),1)&amp;".","")</f>
        <v/>
      </c>
      <c r="AM231">
        <f>IF(AE231=1,TRIM('Roster'!C231)&amp;", "&amp;TRIM('Roster'!B231)&amp;" ("&amp;B231&amp;") #"&amp;AD231,"")</f>
        <v/>
      </c>
      <c r="AN231">
        <f>IF(AE231=1,TRIM('Roster'!E231),"")</f>
        <v/>
      </c>
      <c r="AO231">
        <f>IF(AE231=1,ROUND(SUMIFS('All Donations'!$S$2:$S$4001,'All Donations'!$R$2:$R$4001,AD231,'All Donations'!$T$2:$T$4001,"&gt;="&amp;'Settings'!$C$23,'All Donations'!$T$2:$T$4001,"&lt;="&amp;'Settings'!$D$23),2),0)</f>
        <v/>
      </c>
      <c r="AQ231">
        <f>IF(AE231=1,ROUND(SUMIFS('All Donations'!$S$2:$S$4001,'All Donations'!$R$2:$R$4001,AD231,'All Donations'!$T$2:$T$4001,"&gt;="&amp;'Settings'!$C$25,'All Donations'!$T$2:$T$4001,"&lt;="&amp;'Settings'!$D$25),2),0)</f>
        <v/>
      </c>
      <c r="AR231">
        <f>IF(AE231=1,ROUND(SUMIFS('All Donations'!$S$2:$S$4001,'All Donations'!$R$2:$R$4001,AD231,'All Donations'!$T$2:$T$4001,"&gt;="&amp;'Settings'!$C$26,'All Donations'!$T$2:$T$4001,"&lt;="&amp;'Settings'!$D$26),2),0)</f>
        <v/>
      </c>
      <c r="AS231">
        <f>IF(AE231=1,ROUND(SUMIFS('All Donations'!$S$2:$S$4001,'All Donations'!$R$2:$R$4001,AD231,'All Donations'!$T$2:$T$4001,"&lt;="&amp;'Settings'!$D$27),2),0)</f>
        <v/>
      </c>
      <c r="AT231">
        <f>IF(AE231=1,ROUND(SUMIFS('All Donations'!$S$2:$S$4001,'All Donations'!$R$2:$R$4001,AD231,'All Donations'!$T$2:$T$4001,"&gt;="&amp;'Settings'!$C$28,'All Donations'!$T$2:$T$4001,"&lt;="&amp;'Settings'!$D$28),2),0)</f>
        <v/>
      </c>
      <c r="AU231">
        <f>IF(AE231=1,ROUND(SUMIFS('All Donations'!$S$2:$S$4001,'All Donations'!$R$2:$R$4001,AD231,'All Donations'!$T$2:$T$4001,"&gt;="&amp;'Settings'!$C$29,'All Donations'!$T$2:$T$4001,"&lt;="&amp;'Settings'!$D$29),2),0)</f>
        <v/>
      </c>
      <c r="AV231">
        <f>IF(AE231=1,ROUND(SUMIFS('All Donations'!$S$2:$S$4001,'All Donations'!$R$2:$R$4001,AD231,'All Donations'!$T$2:$T$4001,"&lt;="&amp;'Settings'!$D$30),2),0)</f>
        <v/>
      </c>
      <c r="AZ231">
        <f>IF(AE231=1,ROUND(SUMIFS('All Donations'!$S$2:$S$4001,'All Donations'!$R$2:$R$4001,AD231,'All Donations'!$T$2:$T$4001,"&lt;="&amp;'Settings'!$D$34),2),0)</f>
        <v/>
      </c>
    </row>
    <row r="232">
      <c r="A232">
        <f>IF(AE232=1,TRIM(TRIM('Roster'!B232)&amp;" "&amp;TRIM('Roster'!C232)),"")</f>
        <v/>
      </c>
      <c r="B232">
        <f>IF(AE232=1,IF(AN232="","(no teacher)",AN232&amp;" – "&amp;C232),"")</f>
        <v/>
      </c>
      <c r="C232">
        <f>IF(AE232=1,TRIM('Roster'!D232&amp;""),"")</f>
        <v/>
      </c>
      <c r="D232" s="48">
        <f>IF(AE232=1,ROUND(SUMIFS('All Donations'!$S$2:$S$4001,'All Donations'!$R$2:$R$4001,AD232),2),"")</f>
        <v/>
      </c>
      <c r="E232" s="48">
        <f>IF(AE232=1,ROUND(SUMIFS('All Donations'!$S$2:$S$4001,'All Donations'!$R$2:$R$4001,AD232,'All Donations'!$G$2:$G$4001,"OneCause"),2),"")</f>
        <v/>
      </c>
      <c r="F232" s="48">
        <f>IF(AE232=1,D232-E232,"")</f>
        <v/>
      </c>
      <c r="G232">
        <f>IF(AE232=1,COUNTIFS('All Donations'!$R$2:$R$4001,AD232,'All Donations'!$H$2:$H$4001,"OK"),"")</f>
        <v/>
      </c>
      <c r="H232">
        <f>IF(AE232&lt;&gt;1,"",IF(D232&gt;0,"Yes",""))</f>
        <v/>
      </c>
      <c r="I232" s="49">
        <f>IF(OR($AE232&lt;&gt;1,I$1=""),"",SUMIFS('All Donations'!$S$2:$S$4001,'All Donations'!$R$2:$R$4001,$AD232,'All Donations'!$T$2:$T$4001,I$1))</f>
        <v/>
      </c>
      <c r="J232" s="49">
        <f>IF(OR($AE232&lt;&gt;1,J$1=""),"",SUMIFS('All Donations'!$S$2:$S$4001,'All Donations'!$R$2:$R$4001,$AD232,'All Donations'!$T$2:$T$4001,J$1))</f>
        <v/>
      </c>
      <c r="K232" s="49">
        <f>IF(OR($AE232&lt;&gt;1,K$1=""),"",SUMIFS('All Donations'!$S$2:$S$4001,'All Donations'!$R$2:$R$4001,$AD232,'All Donations'!$T$2:$T$4001,K$1))</f>
        <v/>
      </c>
      <c r="L232" s="49">
        <f>IF(OR($AE232&lt;&gt;1,L$1=""),"",SUMIFS('All Donations'!$S$2:$S$4001,'All Donations'!$R$2:$R$4001,$AD232,'All Donations'!$T$2:$T$4001,L$1))</f>
        <v/>
      </c>
      <c r="M232" s="49">
        <f>IF(OR($AE232&lt;&gt;1,M$1=""),"",SUMIFS('All Donations'!$S$2:$S$4001,'All Donations'!$R$2:$R$4001,$AD232,'All Donations'!$T$2:$T$4001,M$1))</f>
        <v/>
      </c>
      <c r="N232" s="49">
        <f>IF(OR($AE232&lt;&gt;1,N$1=""),"",SUMIFS('All Donations'!$S$2:$S$4001,'All Donations'!$R$2:$R$4001,$AD232,'All Donations'!$T$2:$T$4001,N$1))</f>
        <v/>
      </c>
      <c r="O232" s="49">
        <f>IF(OR($AE232&lt;&gt;1,O$1=""),"",SUMIFS('All Donations'!$S$2:$S$4001,'All Donations'!$R$2:$R$4001,$AD232,'All Donations'!$T$2:$T$4001,O$1))</f>
        <v/>
      </c>
      <c r="P232" s="49">
        <f>IF(OR($AE232&lt;&gt;1,P$1=""),"",SUMIFS('All Donations'!$S$2:$S$4001,'All Donations'!$R$2:$R$4001,$AD232,'All Donations'!$T$2:$T$4001,P$1))</f>
        <v/>
      </c>
      <c r="Q232" s="49">
        <f>IF(OR($AE232&lt;&gt;1,Q$1=""),"",SUMIFS('All Donations'!$S$2:$S$4001,'All Donations'!$R$2:$R$4001,$AD232,'All Donations'!$T$2:$T$4001,Q$1))</f>
        <v/>
      </c>
      <c r="R232" s="49">
        <f>IF(OR($AE232&lt;&gt;1,R$1=""),"",SUMIFS('All Donations'!$S$2:$S$4001,'All Donations'!$R$2:$R$4001,$AD232,'All Donations'!$T$2:$T$4001,R$1))</f>
        <v/>
      </c>
      <c r="S232" s="49">
        <f>IF(OR($AE232&lt;&gt;1,S$1=""),"",SUMIFS('All Donations'!$S$2:$S$4001,'All Donations'!$R$2:$R$4001,$AD232,'All Donations'!$T$2:$T$4001,S$1))</f>
        <v/>
      </c>
      <c r="T232" s="49">
        <f>IF(OR($AE232&lt;&gt;1,T$1=""),"",SUMIFS('All Donations'!$S$2:$S$4001,'All Donations'!$R$2:$R$4001,$AD232,'All Donations'!$T$2:$T$4001,T$1))</f>
        <v/>
      </c>
      <c r="U232" s="49">
        <f>IF(OR($AE232&lt;&gt;1,U$1=""),"",SUMIFS('All Donations'!$S$2:$S$4001,'All Donations'!$R$2:$R$4001,$AD232,'All Donations'!$T$2:$T$4001,U$1))</f>
        <v/>
      </c>
      <c r="V232" s="49">
        <f>IF(OR($AE232&lt;&gt;1,V$1=""),"",SUMIFS('All Donations'!$S$2:$S$4001,'All Donations'!$R$2:$R$4001,$AD232,'All Donations'!$T$2:$T$4001,V$1))</f>
        <v/>
      </c>
      <c r="W232" s="49">
        <f>IF(OR($AE232&lt;&gt;1,W$1=""),"",SUMIFS('All Donations'!$S$2:$S$4001,'All Donations'!$R$2:$R$4001,$AD232,'All Donations'!$T$2:$T$4001,W$1))</f>
        <v/>
      </c>
      <c r="X232" s="49">
        <f>IF(OR($AE232&lt;&gt;1,X$1=""),"",SUMIFS('All Donations'!$S$2:$S$4001,'All Donations'!$R$2:$R$4001,$AD232,'All Donations'!$T$2:$T$4001,X$1))</f>
        <v/>
      </c>
      <c r="Y232" s="49">
        <f>IF(OR($AE232&lt;&gt;1,Y$1=""),"",SUMIFS('All Donations'!$S$2:$S$4001,'All Donations'!$R$2:$R$4001,$AD232,'All Donations'!$T$2:$T$4001,Y$1))</f>
        <v/>
      </c>
      <c r="Z232" s="49">
        <f>IF(OR($AE232&lt;&gt;1,Z$1=""),"",SUMIFS('All Donations'!$S$2:$S$4001,'All Donations'!$R$2:$R$4001,$AD232,'All Donations'!$T$2:$T$4001,Z$1))</f>
        <v/>
      </c>
      <c r="AA232" s="49">
        <f>IF(OR($AE232&lt;&gt;1,AA$1=""),"",SUMIFS('All Donations'!$S$2:$S$4001,'All Donations'!$R$2:$R$4001,$AD232,'All Donations'!$T$2:$T$4001,AA$1))</f>
        <v/>
      </c>
      <c r="AB232" s="49">
        <f>IF(OR($AE232&lt;&gt;1,AB$1=""),"",SUMIFS('All Donations'!$S$2:$S$4001,'All Donations'!$R$2:$R$4001,$AD232,'All Donations'!$T$2:$T$4001,AB$1))</f>
        <v/>
      </c>
      <c r="AC232" s="49">
        <f>IF(OR($AE232&lt;&gt;1,AC$1=""),"",SUMIFS('All Donations'!$S$2:$S$4001,'All Donations'!$R$2:$R$4001,$AD232,'All Donations'!$T$2:$T$4001,AC$1))</f>
        <v/>
      </c>
      <c r="AD232">
        <f>IF(AE232=1,'Roster'!A232,"")</f>
        <v/>
      </c>
      <c r="AE232">
        <f>IF(TRIM('Roster'!B232&amp;'Roster'!C232)&lt;&gt;"",1,0)</f>
        <v/>
      </c>
      <c r="AF232">
        <f>IF(AE232=1,LOWER(A232),"#")</f>
        <v/>
      </c>
      <c r="AG232">
        <f>IF(AE232=1,LOWER(TRIM(TRIM('Roster'!C232)&amp;", "&amp;TRIM('Roster'!B232))),"#")</f>
        <v/>
      </c>
      <c r="AH232">
        <f>IF(AND(AE232=1,TRIM('Roster'!F232)&lt;&gt;""),LOWER(TRIM('Roster'!F232)),"#")</f>
        <v/>
      </c>
      <c r="AI232">
        <f>IF(AE232=1,IF(MATCH(B232,$B$2:$B$701,0)=ROW()-1,1,0),0)</f>
        <v/>
      </c>
      <c r="AJ232">
        <f>AJ231+AI232</f>
        <v/>
      </c>
      <c r="AK232">
        <f>IF(AE232=1,D232+(1000-ROW())/10^7,-1)</f>
        <v/>
      </c>
      <c r="AL232">
        <f>IF(AE232=1,TRIM('Roster'!B232)&amp;" "&amp;LEFT(TRIM('Roster'!C232),1)&amp;".","")</f>
        <v/>
      </c>
      <c r="AM232">
        <f>IF(AE232=1,TRIM('Roster'!C232)&amp;", "&amp;TRIM('Roster'!B232)&amp;" ("&amp;B232&amp;") #"&amp;AD232,"")</f>
        <v/>
      </c>
      <c r="AN232">
        <f>IF(AE232=1,TRIM('Roster'!E232),"")</f>
        <v/>
      </c>
      <c r="AO232">
        <f>IF(AE232=1,ROUND(SUMIFS('All Donations'!$S$2:$S$4001,'All Donations'!$R$2:$R$4001,AD232,'All Donations'!$T$2:$T$4001,"&gt;="&amp;'Settings'!$C$23,'All Donations'!$T$2:$T$4001,"&lt;="&amp;'Settings'!$D$23),2),0)</f>
        <v/>
      </c>
      <c r="AQ232">
        <f>IF(AE232=1,ROUND(SUMIFS('All Donations'!$S$2:$S$4001,'All Donations'!$R$2:$R$4001,AD232,'All Donations'!$T$2:$T$4001,"&gt;="&amp;'Settings'!$C$25,'All Donations'!$T$2:$T$4001,"&lt;="&amp;'Settings'!$D$25),2),0)</f>
        <v/>
      </c>
      <c r="AR232">
        <f>IF(AE232=1,ROUND(SUMIFS('All Donations'!$S$2:$S$4001,'All Donations'!$R$2:$R$4001,AD232,'All Donations'!$T$2:$T$4001,"&gt;="&amp;'Settings'!$C$26,'All Donations'!$T$2:$T$4001,"&lt;="&amp;'Settings'!$D$26),2),0)</f>
        <v/>
      </c>
      <c r="AS232">
        <f>IF(AE232=1,ROUND(SUMIFS('All Donations'!$S$2:$S$4001,'All Donations'!$R$2:$R$4001,AD232,'All Donations'!$T$2:$T$4001,"&lt;="&amp;'Settings'!$D$27),2),0)</f>
        <v/>
      </c>
      <c r="AT232">
        <f>IF(AE232=1,ROUND(SUMIFS('All Donations'!$S$2:$S$4001,'All Donations'!$R$2:$R$4001,AD232,'All Donations'!$T$2:$T$4001,"&gt;="&amp;'Settings'!$C$28,'All Donations'!$T$2:$T$4001,"&lt;="&amp;'Settings'!$D$28),2),0)</f>
        <v/>
      </c>
      <c r="AU232">
        <f>IF(AE232=1,ROUND(SUMIFS('All Donations'!$S$2:$S$4001,'All Donations'!$R$2:$R$4001,AD232,'All Donations'!$T$2:$T$4001,"&gt;="&amp;'Settings'!$C$29,'All Donations'!$T$2:$T$4001,"&lt;="&amp;'Settings'!$D$29),2),0)</f>
        <v/>
      </c>
      <c r="AV232">
        <f>IF(AE232=1,ROUND(SUMIFS('All Donations'!$S$2:$S$4001,'All Donations'!$R$2:$R$4001,AD232,'All Donations'!$T$2:$T$4001,"&lt;="&amp;'Settings'!$D$30),2),0)</f>
        <v/>
      </c>
      <c r="AZ232">
        <f>IF(AE232=1,ROUND(SUMIFS('All Donations'!$S$2:$S$4001,'All Donations'!$R$2:$R$4001,AD232,'All Donations'!$T$2:$T$4001,"&lt;="&amp;'Settings'!$D$34),2),0)</f>
        <v/>
      </c>
    </row>
    <row r="233">
      <c r="A233">
        <f>IF(AE233=1,TRIM(TRIM('Roster'!B233)&amp;" "&amp;TRIM('Roster'!C233)),"")</f>
        <v/>
      </c>
      <c r="B233">
        <f>IF(AE233=1,IF(AN233="","(no teacher)",AN233&amp;" – "&amp;C233),"")</f>
        <v/>
      </c>
      <c r="C233">
        <f>IF(AE233=1,TRIM('Roster'!D233&amp;""),"")</f>
        <v/>
      </c>
      <c r="D233" s="48">
        <f>IF(AE233=1,ROUND(SUMIFS('All Donations'!$S$2:$S$4001,'All Donations'!$R$2:$R$4001,AD233),2),"")</f>
        <v/>
      </c>
      <c r="E233" s="48">
        <f>IF(AE233=1,ROUND(SUMIFS('All Donations'!$S$2:$S$4001,'All Donations'!$R$2:$R$4001,AD233,'All Donations'!$G$2:$G$4001,"OneCause"),2),"")</f>
        <v/>
      </c>
      <c r="F233" s="48">
        <f>IF(AE233=1,D233-E233,"")</f>
        <v/>
      </c>
      <c r="G233">
        <f>IF(AE233=1,COUNTIFS('All Donations'!$R$2:$R$4001,AD233,'All Donations'!$H$2:$H$4001,"OK"),"")</f>
        <v/>
      </c>
      <c r="H233">
        <f>IF(AE233&lt;&gt;1,"",IF(D233&gt;0,"Yes",""))</f>
        <v/>
      </c>
      <c r="I233" s="49">
        <f>IF(OR($AE233&lt;&gt;1,I$1=""),"",SUMIFS('All Donations'!$S$2:$S$4001,'All Donations'!$R$2:$R$4001,$AD233,'All Donations'!$T$2:$T$4001,I$1))</f>
        <v/>
      </c>
      <c r="J233" s="49">
        <f>IF(OR($AE233&lt;&gt;1,J$1=""),"",SUMIFS('All Donations'!$S$2:$S$4001,'All Donations'!$R$2:$R$4001,$AD233,'All Donations'!$T$2:$T$4001,J$1))</f>
        <v/>
      </c>
      <c r="K233" s="49">
        <f>IF(OR($AE233&lt;&gt;1,K$1=""),"",SUMIFS('All Donations'!$S$2:$S$4001,'All Donations'!$R$2:$R$4001,$AD233,'All Donations'!$T$2:$T$4001,K$1))</f>
        <v/>
      </c>
      <c r="L233" s="49">
        <f>IF(OR($AE233&lt;&gt;1,L$1=""),"",SUMIFS('All Donations'!$S$2:$S$4001,'All Donations'!$R$2:$R$4001,$AD233,'All Donations'!$T$2:$T$4001,L$1))</f>
        <v/>
      </c>
      <c r="M233" s="49">
        <f>IF(OR($AE233&lt;&gt;1,M$1=""),"",SUMIFS('All Donations'!$S$2:$S$4001,'All Donations'!$R$2:$R$4001,$AD233,'All Donations'!$T$2:$T$4001,M$1))</f>
        <v/>
      </c>
      <c r="N233" s="49">
        <f>IF(OR($AE233&lt;&gt;1,N$1=""),"",SUMIFS('All Donations'!$S$2:$S$4001,'All Donations'!$R$2:$R$4001,$AD233,'All Donations'!$T$2:$T$4001,N$1))</f>
        <v/>
      </c>
      <c r="O233" s="49">
        <f>IF(OR($AE233&lt;&gt;1,O$1=""),"",SUMIFS('All Donations'!$S$2:$S$4001,'All Donations'!$R$2:$R$4001,$AD233,'All Donations'!$T$2:$T$4001,O$1))</f>
        <v/>
      </c>
      <c r="P233" s="49">
        <f>IF(OR($AE233&lt;&gt;1,P$1=""),"",SUMIFS('All Donations'!$S$2:$S$4001,'All Donations'!$R$2:$R$4001,$AD233,'All Donations'!$T$2:$T$4001,P$1))</f>
        <v/>
      </c>
      <c r="Q233" s="49">
        <f>IF(OR($AE233&lt;&gt;1,Q$1=""),"",SUMIFS('All Donations'!$S$2:$S$4001,'All Donations'!$R$2:$R$4001,$AD233,'All Donations'!$T$2:$T$4001,Q$1))</f>
        <v/>
      </c>
      <c r="R233" s="49">
        <f>IF(OR($AE233&lt;&gt;1,R$1=""),"",SUMIFS('All Donations'!$S$2:$S$4001,'All Donations'!$R$2:$R$4001,$AD233,'All Donations'!$T$2:$T$4001,R$1))</f>
        <v/>
      </c>
      <c r="S233" s="49">
        <f>IF(OR($AE233&lt;&gt;1,S$1=""),"",SUMIFS('All Donations'!$S$2:$S$4001,'All Donations'!$R$2:$R$4001,$AD233,'All Donations'!$T$2:$T$4001,S$1))</f>
        <v/>
      </c>
      <c r="T233" s="49">
        <f>IF(OR($AE233&lt;&gt;1,T$1=""),"",SUMIFS('All Donations'!$S$2:$S$4001,'All Donations'!$R$2:$R$4001,$AD233,'All Donations'!$T$2:$T$4001,T$1))</f>
        <v/>
      </c>
      <c r="U233" s="49">
        <f>IF(OR($AE233&lt;&gt;1,U$1=""),"",SUMIFS('All Donations'!$S$2:$S$4001,'All Donations'!$R$2:$R$4001,$AD233,'All Donations'!$T$2:$T$4001,U$1))</f>
        <v/>
      </c>
      <c r="V233" s="49">
        <f>IF(OR($AE233&lt;&gt;1,V$1=""),"",SUMIFS('All Donations'!$S$2:$S$4001,'All Donations'!$R$2:$R$4001,$AD233,'All Donations'!$T$2:$T$4001,V$1))</f>
        <v/>
      </c>
      <c r="W233" s="49">
        <f>IF(OR($AE233&lt;&gt;1,W$1=""),"",SUMIFS('All Donations'!$S$2:$S$4001,'All Donations'!$R$2:$R$4001,$AD233,'All Donations'!$T$2:$T$4001,W$1))</f>
        <v/>
      </c>
      <c r="X233" s="49">
        <f>IF(OR($AE233&lt;&gt;1,X$1=""),"",SUMIFS('All Donations'!$S$2:$S$4001,'All Donations'!$R$2:$R$4001,$AD233,'All Donations'!$T$2:$T$4001,X$1))</f>
        <v/>
      </c>
      <c r="Y233" s="49">
        <f>IF(OR($AE233&lt;&gt;1,Y$1=""),"",SUMIFS('All Donations'!$S$2:$S$4001,'All Donations'!$R$2:$R$4001,$AD233,'All Donations'!$T$2:$T$4001,Y$1))</f>
        <v/>
      </c>
      <c r="Z233" s="49">
        <f>IF(OR($AE233&lt;&gt;1,Z$1=""),"",SUMIFS('All Donations'!$S$2:$S$4001,'All Donations'!$R$2:$R$4001,$AD233,'All Donations'!$T$2:$T$4001,Z$1))</f>
        <v/>
      </c>
      <c r="AA233" s="49">
        <f>IF(OR($AE233&lt;&gt;1,AA$1=""),"",SUMIFS('All Donations'!$S$2:$S$4001,'All Donations'!$R$2:$R$4001,$AD233,'All Donations'!$T$2:$T$4001,AA$1))</f>
        <v/>
      </c>
      <c r="AB233" s="49">
        <f>IF(OR($AE233&lt;&gt;1,AB$1=""),"",SUMIFS('All Donations'!$S$2:$S$4001,'All Donations'!$R$2:$R$4001,$AD233,'All Donations'!$T$2:$T$4001,AB$1))</f>
        <v/>
      </c>
      <c r="AC233" s="49">
        <f>IF(OR($AE233&lt;&gt;1,AC$1=""),"",SUMIFS('All Donations'!$S$2:$S$4001,'All Donations'!$R$2:$R$4001,$AD233,'All Donations'!$T$2:$T$4001,AC$1))</f>
        <v/>
      </c>
      <c r="AD233">
        <f>IF(AE233=1,'Roster'!A233,"")</f>
        <v/>
      </c>
      <c r="AE233">
        <f>IF(TRIM('Roster'!B233&amp;'Roster'!C233)&lt;&gt;"",1,0)</f>
        <v/>
      </c>
      <c r="AF233">
        <f>IF(AE233=1,LOWER(A233),"#")</f>
        <v/>
      </c>
      <c r="AG233">
        <f>IF(AE233=1,LOWER(TRIM(TRIM('Roster'!C233)&amp;", "&amp;TRIM('Roster'!B233))),"#")</f>
        <v/>
      </c>
      <c r="AH233">
        <f>IF(AND(AE233=1,TRIM('Roster'!F233)&lt;&gt;""),LOWER(TRIM('Roster'!F233)),"#")</f>
        <v/>
      </c>
      <c r="AI233">
        <f>IF(AE233=1,IF(MATCH(B233,$B$2:$B$701,0)=ROW()-1,1,0),0)</f>
        <v/>
      </c>
      <c r="AJ233">
        <f>AJ232+AI233</f>
        <v/>
      </c>
      <c r="AK233">
        <f>IF(AE233=1,D233+(1000-ROW())/10^7,-1)</f>
        <v/>
      </c>
      <c r="AL233">
        <f>IF(AE233=1,TRIM('Roster'!B233)&amp;" "&amp;LEFT(TRIM('Roster'!C233),1)&amp;".","")</f>
        <v/>
      </c>
      <c r="AM233">
        <f>IF(AE233=1,TRIM('Roster'!C233)&amp;", "&amp;TRIM('Roster'!B233)&amp;" ("&amp;B233&amp;") #"&amp;AD233,"")</f>
        <v/>
      </c>
      <c r="AN233">
        <f>IF(AE233=1,TRIM('Roster'!E233),"")</f>
        <v/>
      </c>
      <c r="AO233">
        <f>IF(AE233=1,ROUND(SUMIFS('All Donations'!$S$2:$S$4001,'All Donations'!$R$2:$R$4001,AD233,'All Donations'!$T$2:$T$4001,"&gt;="&amp;'Settings'!$C$23,'All Donations'!$T$2:$T$4001,"&lt;="&amp;'Settings'!$D$23),2),0)</f>
        <v/>
      </c>
      <c r="AQ233">
        <f>IF(AE233=1,ROUND(SUMIFS('All Donations'!$S$2:$S$4001,'All Donations'!$R$2:$R$4001,AD233,'All Donations'!$T$2:$T$4001,"&gt;="&amp;'Settings'!$C$25,'All Donations'!$T$2:$T$4001,"&lt;="&amp;'Settings'!$D$25),2),0)</f>
        <v/>
      </c>
      <c r="AR233">
        <f>IF(AE233=1,ROUND(SUMIFS('All Donations'!$S$2:$S$4001,'All Donations'!$R$2:$R$4001,AD233,'All Donations'!$T$2:$T$4001,"&gt;="&amp;'Settings'!$C$26,'All Donations'!$T$2:$T$4001,"&lt;="&amp;'Settings'!$D$26),2),0)</f>
        <v/>
      </c>
      <c r="AS233">
        <f>IF(AE233=1,ROUND(SUMIFS('All Donations'!$S$2:$S$4001,'All Donations'!$R$2:$R$4001,AD233,'All Donations'!$T$2:$T$4001,"&lt;="&amp;'Settings'!$D$27),2),0)</f>
        <v/>
      </c>
      <c r="AT233">
        <f>IF(AE233=1,ROUND(SUMIFS('All Donations'!$S$2:$S$4001,'All Donations'!$R$2:$R$4001,AD233,'All Donations'!$T$2:$T$4001,"&gt;="&amp;'Settings'!$C$28,'All Donations'!$T$2:$T$4001,"&lt;="&amp;'Settings'!$D$28),2),0)</f>
        <v/>
      </c>
      <c r="AU233">
        <f>IF(AE233=1,ROUND(SUMIFS('All Donations'!$S$2:$S$4001,'All Donations'!$R$2:$R$4001,AD233,'All Donations'!$T$2:$T$4001,"&gt;="&amp;'Settings'!$C$29,'All Donations'!$T$2:$T$4001,"&lt;="&amp;'Settings'!$D$29),2),0)</f>
        <v/>
      </c>
      <c r="AV233">
        <f>IF(AE233=1,ROUND(SUMIFS('All Donations'!$S$2:$S$4001,'All Donations'!$R$2:$R$4001,AD233,'All Donations'!$T$2:$T$4001,"&lt;="&amp;'Settings'!$D$30),2),0)</f>
        <v/>
      </c>
      <c r="AZ233">
        <f>IF(AE233=1,ROUND(SUMIFS('All Donations'!$S$2:$S$4001,'All Donations'!$R$2:$R$4001,AD233,'All Donations'!$T$2:$T$4001,"&lt;="&amp;'Settings'!$D$34),2),0)</f>
        <v/>
      </c>
    </row>
    <row r="234">
      <c r="A234">
        <f>IF(AE234=1,TRIM(TRIM('Roster'!B234)&amp;" "&amp;TRIM('Roster'!C234)),"")</f>
        <v/>
      </c>
      <c r="B234">
        <f>IF(AE234=1,IF(AN234="","(no teacher)",AN234&amp;" – "&amp;C234),"")</f>
        <v/>
      </c>
      <c r="C234">
        <f>IF(AE234=1,TRIM('Roster'!D234&amp;""),"")</f>
        <v/>
      </c>
      <c r="D234" s="48">
        <f>IF(AE234=1,ROUND(SUMIFS('All Donations'!$S$2:$S$4001,'All Donations'!$R$2:$R$4001,AD234),2),"")</f>
        <v/>
      </c>
      <c r="E234" s="48">
        <f>IF(AE234=1,ROUND(SUMIFS('All Donations'!$S$2:$S$4001,'All Donations'!$R$2:$R$4001,AD234,'All Donations'!$G$2:$G$4001,"OneCause"),2),"")</f>
        <v/>
      </c>
      <c r="F234" s="48">
        <f>IF(AE234=1,D234-E234,"")</f>
        <v/>
      </c>
      <c r="G234">
        <f>IF(AE234=1,COUNTIFS('All Donations'!$R$2:$R$4001,AD234,'All Donations'!$H$2:$H$4001,"OK"),"")</f>
        <v/>
      </c>
      <c r="H234">
        <f>IF(AE234&lt;&gt;1,"",IF(D234&gt;0,"Yes",""))</f>
        <v/>
      </c>
      <c r="I234" s="49">
        <f>IF(OR($AE234&lt;&gt;1,I$1=""),"",SUMIFS('All Donations'!$S$2:$S$4001,'All Donations'!$R$2:$R$4001,$AD234,'All Donations'!$T$2:$T$4001,I$1))</f>
        <v/>
      </c>
      <c r="J234" s="49">
        <f>IF(OR($AE234&lt;&gt;1,J$1=""),"",SUMIFS('All Donations'!$S$2:$S$4001,'All Donations'!$R$2:$R$4001,$AD234,'All Donations'!$T$2:$T$4001,J$1))</f>
        <v/>
      </c>
      <c r="K234" s="49">
        <f>IF(OR($AE234&lt;&gt;1,K$1=""),"",SUMIFS('All Donations'!$S$2:$S$4001,'All Donations'!$R$2:$R$4001,$AD234,'All Donations'!$T$2:$T$4001,K$1))</f>
        <v/>
      </c>
      <c r="L234" s="49">
        <f>IF(OR($AE234&lt;&gt;1,L$1=""),"",SUMIFS('All Donations'!$S$2:$S$4001,'All Donations'!$R$2:$R$4001,$AD234,'All Donations'!$T$2:$T$4001,L$1))</f>
        <v/>
      </c>
      <c r="M234" s="49">
        <f>IF(OR($AE234&lt;&gt;1,M$1=""),"",SUMIFS('All Donations'!$S$2:$S$4001,'All Donations'!$R$2:$R$4001,$AD234,'All Donations'!$T$2:$T$4001,M$1))</f>
        <v/>
      </c>
      <c r="N234" s="49">
        <f>IF(OR($AE234&lt;&gt;1,N$1=""),"",SUMIFS('All Donations'!$S$2:$S$4001,'All Donations'!$R$2:$R$4001,$AD234,'All Donations'!$T$2:$T$4001,N$1))</f>
        <v/>
      </c>
      <c r="O234" s="49">
        <f>IF(OR($AE234&lt;&gt;1,O$1=""),"",SUMIFS('All Donations'!$S$2:$S$4001,'All Donations'!$R$2:$R$4001,$AD234,'All Donations'!$T$2:$T$4001,O$1))</f>
        <v/>
      </c>
      <c r="P234" s="49">
        <f>IF(OR($AE234&lt;&gt;1,P$1=""),"",SUMIFS('All Donations'!$S$2:$S$4001,'All Donations'!$R$2:$R$4001,$AD234,'All Donations'!$T$2:$T$4001,P$1))</f>
        <v/>
      </c>
      <c r="Q234" s="49">
        <f>IF(OR($AE234&lt;&gt;1,Q$1=""),"",SUMIFS('All Donations'!$S$2:$S$4001,'All Donations'!$R$2:$R$4001,$AD234,'All Donations'!$T$2:$T$4001,Q$1))</f>
        <v/>
      </c>
      <c r="R234" s="49">
        <f>IF(OR($AE234&lt;&gt;1,R$1=""),"",SUMIFS('All Donations'!$S$2:$S$4001,'All Donations'!$R$2:$R$4001,$AD234,'All Donations'!$T$2:$T$4001,R$1))</f>
        <v/>
      </c>
      <c r="S234" s="49">
        <f>IF(OR($AE234&lt;&gt;1,S$1=""),"",SUMIFS('All Donations'!$S$2:$S$4001,'All Donations'!$R$2:$R$4001,$AD234,'All Donations'!$T$2:$T$4001,S$1))</f>
        <v/>
      </c>
      <c r="T234" s="49">
        <f>IF(OR($AE234&lt;&gt;1,T$1=""),"",SUMIFS('All Donations'!$S$2:$S$4001,'All Donations'!$R$2:$R$4001,$AD234,'All Donations'!$T$2:$T$4001,T$1))</f>
        <v/>
      </c>
      <c r="U234" s="49">
        <f>IF(OR($AE234&lt;&gt;1,U$1=""),"",SUMIFS('All Donations'!$S$2:$S$4001,'All Donations'!$R$2:$R$4001,$AD234,'All Donations'!$T$2:$T$4001,U$1))</f>
        <v/>
      </c>
      <c r="V234" s="49">
        <f>IF(OR($AE234&lt;&gt;1,V$1=""),"",SUMIFS('All Donations'!$S$2:$S$4001,'All Donations'!$R$2:$R$4001,$AD234,'All Donations'!$T$2:$T$4001,V$1))</f>
        <v/>
      </c>
      <c r="W234" s="49">
        <f>IF(OR($AE234&lt;&gt;1,W$1=""),"",SUMIFS('All Donations'!$S$2:$S$4001,'All Donations'!$R$2:$R$4001,$AD234,'All Donations'!$T$2:$T$4001,W$1))</f>
        <v/>
      </c>
      <c r="X234" s="49">
        <f>IF(OR($AE234&lt;&gt;1,X$1=""),"",SUMIFS('All Donations'!$S$2:$S$4001,'All Donations'!$R$2:$R$4001,$AD234,'All Donations'!$T$2:$T$4001,X$1))</f>
        <v/>
      </c>
      <c r="Y234" s="49">
        <f>IF(OR($AE234&lt;&gt;1,Y$1=""),"",SUMIFS('All Donations'!$S$2:$S$4001,'All Donations'!$R$2:$R$4001,$AD234,'All Donations'!$T$2:$T$4001,Y$1))</f>
        <v/>
      </c>
      <c r="Z234" s="49">
        <f>IF(OR($AE234&lt;&gt;1,Z$1=""),"",SUMIFS('All Donations'!$S$2:$S$4001,'All Donations'!$R$2:$R$4001,$AD234,'All Donations'!$T$2:$T$4001,Z$1))</f>
        <v/>
      </c>
      <c r="AA234" s="49">
        <f>IF(OR($AE234&lt;&gt;1,AA$1=""),"",SUMIFS('All Donations'!$S$2:$S$4001,'All Donations'!$R$2:$R$4001,$AD234,'All Donations'!$T$2:$T$4001,AA$1))</f>
        <v/>
      </c>
      <c r="AB234" s="49">
        <f>IF(OR($AE234&lt;&gt;1,AB$1=""),"",SUMIFS('All Donations'!$S$2:$S$4001,'All Donations'!$R$2:$R$4001,$AD234,'All Donations'!$T$2:$T$4001,AB$1))</f>
        <v/>
      </c>
      <c r="AC234" s="49">
        <f>IF(OR($AE234&lt;&gt;1,AC$1=""),"",SUMIFS('All Donations'!$S$2:$S$4001,'All Donations'!$R$2:$R$4001,$AD234,'All Donations'!$T$2:$T$4001,AC$1))</f>
        <v/>
      </c>
      <c r="AD234">
        <f>IF(AE234=1,'Roster'!A234,"")</f>
        <v/>
      </c>
      <c r="AE234">
        <f>IF(TRIM('Roster'!B234&amp;'Roster'!C234)&lt;&gt;"",1,0)</f>
        <v/>
      </c>
      <c r="AF234">
        <f>IF(AE234=1,LOWER(A234),"#")</f>
        <v/>
      </c>
      <c r="AG234">
        <f>IF(AE234=1,LOWER(TRIM(TRIM('Roster'!C234)&amp;", "&amp;TRIM('Roster'!B234))),"#")</f>
        <v/>
      </c>
      <c r="AH234">
        <f>IF(AND(AE234=1,TRIM('Roster'!F234)&lt;&gt;""),LOWER(TRIM('Roster'!F234)),"#")</f>
        <v/>
      </c>
      <c r="AI234">
        <f>IF(AE234=1,IF(MATCH(B234,$B$2:$B$701,0)=ROW()-1,1,0),0)</f>
        <v/>
      </c>
      <c r="AJ234">
        <f>AJ233+AI234</f>
        <v/>
      </c>
      <c r="AK234">
        <f>IF(AE234=1,D234+(1000-ROW())/10^7,-1)</f>
        <v/>
      </c>
      <c r="AL234">
        <f>IF(AE234=1,TRIM('Roster'!B234)&amp;" "&amp;LEFT(TRIM('Roster'!C234),1)&amp;".","")</f>
        <v/>
      </c>
      <c r="AM234">
        <f>IF(AE234=1,TRIM('Roster'!C234)&amp;", "&amp;TRIM('Roster'!B234)&amp;" ("&amp;B234&amp;") #"&amp;AD234,"")</f>
        <v/>
      </c>
      <c r="AN234">
        <f>IF(AE234=1,TRIM('Roster'!E234),"")</f>
        <v/>
      </c>
      <c r="AO234">
        <f>IF(AE234=1,ROUND(SUMIFS('All Donations'!$S$2:$S$4001,'All Donations'!$R$2:$R$4001,AD234,'All Donations'!$T$2:$T$4001,"&gt;="&amp;'Settings'!$C$23,'All Donations'!$T$2:$T$4001,"&lt;="&amp;'Settings'!$D$23),2),0)</f>
        <v/>
      </c>
      <c r="AQ234">
        <f>IF(AE234=1,ROUND(SUMIFS('All Donations'!$S$2:$S$4001,'All Donations'!$R$2:$R$4001,AD234,'All Donations'!$T$2:$T$4001,"&gt;="&amp;'Settings'!$C$25,'All Donations'!$T$2:$T$4001,"&lt;="&amp;'Settings'!$D$25),2),0)</f>
        <v/>
      </c>
      <c r="AR234">
        <f>IF(AE234=1,ROUND(SUMIFS('All Donations'!$S$2:$S$4001,'All Donations'!$R$2:$R$4001,AD234,'All Donations'!$T$2:$T$4001,"&gt;="&amp;'Settings'!$C$26,'All Donations'!$T$2:$T$4001,"&lt;="&amp;'Settings'!$D$26),2),0)</f>
        <v/>
      </c>
      <c r="AS234">
        <f>IF(AE234=1,ROUND(SUMIFS('All Donations'!$S$2:$S$4001,'All Donations'!$R$2:$R$4001,AD234,'All Donations'!$T$2:$T$4001,"&lt;="&amp;'Settings'!$D$27),2),0)</f>
        <v/>
      </c>
      <c r="AT234">
        <f>IF(AE234=1,ROUND(SUMIFS('All Donations'!$S$2:$S$4001,'All Donations'!$R$2:$R$4001,AD234,'All Donations'!$T$2:$T$4001,"&gt;="&amp;'Settings'!$C$28,'All Donations'!$T$2:$T$4001,"&lt;="&amp;'Settings'!$D$28),2),0)</f>
        <v/>
      </c>
      <c r="AU234">
        <f>IF(AE234=1,ROUND(SUMIFS('All Donations'!$S$2:$S$4001,'All Donations'!$R$2:$R$4001,AD234,'All Donations'!$T$2:$T$4001,"&gt;="&amp;'Settings'!$C$29,'All Donations'!$T$2:$T$4001,"&lt;="&amp;'Settings'!$D$29),2),0)</f>
        <v/>
      </c>
      <c r="AV234">
        <f>IF(AE234=1,ROUND(SUMIFS('All Donations'!$S$2:$S$4001,'All Donations'!$R$2:$R$4001,AD234,'All Donations'!$T$2:$T$4001,"&lt;="&amp;'Settings'!$D$30),2),0)</f>
        <v/>
      </c>
      <c r="AZ234">
        <f>IF(AE234=1,ROUND(SUMIFS('All Donations'!$S$2:$S$4001,'All Donations'!$R$2:$R$4001,AD234,'All Donations'!$T$2:$T$4001,"&lt;="&amp;'Settings'!$D$34),2),0)</f>
        <v/>
      </c>
    </row>
    <row r="235">
      <c r="A235">
        <f>IF(AE235=1,TRIM(TRIM('Roster'!B235)&amp;" "&amp;TRIM('Roster'!C235)),"")</f>
        <v/>
      </c>
      <c r="B235">
        <f>IF(AE235=1,IF(AN235="","(no teacher)",AN235&amp;" – "&amp;C235),"")</f>
        <v/>
      </c>
      <c r="C235">
        <f>IF(AE235=1,TRIM('Roster'!D235&amp;""),"")</f>
        <v/>
      </c>
      <c r="D235" s="48">
        <f>IF(AE235=1,ROUND(SUMIFS('All Donations'!$S$2:$S$4001,'All Donations'!$R$2:$R$4001,AD235),2),"")</f>
        <v/>
      </c>
      <c r="E235" s="48">
        <f>IF(AE235=1,ROUND(SUMIFS('All Donations'!$S$2:$S$4001,'All Donations'!$R$2:$R$4001,AD235,'All Donations'!$G$2:$G$4001,"OneCause"),2),"")</f>
        <v/>
      </c>
      <c r="F235" s="48">
        <f>IF(AE235=1,D235-E235,"")</f>
        <v/>
      </c>
      <c r="G235">
        <f>IF(AE235=1,COUNTIFS('All Donations'!$R$2:$R$4001,AD235,'All Donations'!$H$2:$H$4001,"OK"),"")</f>
        <v/>
      </c>
      <c r="H235">
        <f>IF(AE235&lt;&gt;1,"",IF(D235&gt;0,"Yes",""))</f>
        <v/>
      </c>
      <c r="I235" s="49">
        <f>IF(OR($AE235&lt;&gt;1,I$1=""),"",SUMIFS('All Donations'!$S$2:$S$4001,'All Donations'!$R$2:$R$4001,$AD235,'All Donations'!$T$2:$T$4001,I$1))</f>
        <v/>
      </c>
      <c r="J235" s="49">
        <f>IF(OR($AE235&lt;&gt;1,J$1=""),"",SUMIFS('All Donations'!$S$2:$S$4001,'All Donations'!$R$2:$R$4001,$AD235,'All Donations'!$T$2:$T$4001,J$1))</f>
        <v/>
      </c>
      <c r="K235" s="49">
        <f>IF(OR($AE235&lt;&gt;1,K$1=""),"",SUMIFS('All Donations'!$S$2:$S$4001,'All Donations'!$R$2:$R$4001,$AD235,'All Donations'!$T$2:$T$4001,K$1))</f>
        <v/>
      </c>
      <c r="L235" s="49">
        <f>IF(OR($AE235&lt;&gt;1,L$1=""),"",SUMIFS('All Donations'!$S$2:$S$4001,'All Donations'!$R$2:$R$4001,$AD235,'All Donations'!$T$2:$T$4001,L$1))</f>
        <v/>
      </c>
      <c r="M235" s="49">
        <f>IF(OR($AE235&lt;&gt;1,M$1=""),"",SUMIFS('All Donations'!$S$2:$S$4001,'All Donations'!$R$2:$R$4001,$AD235,'All Donations'!$T$2:$T$4001,M$1))</f>
        <v/>
      </c>
      <c r="N235" s="49">
        <f>IF(OR($AE235&lt;&gt;1,N$1=""),"",SUMIFS('All Donations'!$S$2:$S$4001,'All Donations'!$R$2:$R$4001,$AD235,'All Donations'!$T$2:$T$4001,N$1))</f>
        <v/>
      </c>
      <c r="O235" s="49">
        <f>IF(OR($AE235&lt;&gt;1,O$1=""),"",SUMIFS('All Donations'!$S$2:$S$4001,'All Donations'!$R$2:$R$4001,$AD235,'All Donations'!$T$2:$T$4001,O$1))</f>
        <v/>
      </c>
      <c r="P235" s="49">
        <f>IF(OR($AE235&lt;&gt;1,P$1=""),"",SUMIFS('All Donations'!$S$2:$S$4001,'All Donations'!$R$2:$R$4001,$AD235,'All Donations'!$T$2:$T$4001,P$1))</f>
        <v/>
      </c>
      <c r="Q235" s="49">
        <f>IF(OR($AE235&lt;&gt;1,Q$1=""),"",SUMIFS('All Donations'!$S$2:$S$4001,'All Donations'!$R$2:$R$4001,$AD235,'All Donations'!$T$2:$T$4001,Q$1))</f>
        <v/>
      </c>
      <c r="R235" s="49">
        <f>IF(OR($AE235&lt;&gt;1,R$1=""),"",SUMIFS('All Donations'!$S$2:$S$4001,'All Donations'!$R$2:$R$4001,$AD235,'All Donations'!$T$2:$T$4001,R$1))</f>
        <v/>
      </c>
      <c r="S235" s="49">
        <f>IF(OR($AE235&lt;&gt;1,S$1=""),"",SUMIFS('All Donations'!$S$2:$S$4001,'All Donations'!$R$2:$R$4001,$AD235,'All Donations'!$T$2:$T$4001,S$1))</f>
        <v/>
      </c>
      <c r="T235" s="49">
        <f>IF(OR($AE235&lt;&gt;1,T$1=""),"",SUMIFS('All Donations'!$S$2:$S$4001,'All Donations'!$R$2:$R$4001,$AD235,'All Donations'!$T$2:$T$4001,T$1))</f>
        <v/>
      </c>
      <c r="U235" s="49">
        <f>IF(OR($AE235&lt;&gt;1,U$1=""),"",SUMIFS('All Donations'!$S$2:$S$4001,'All Donations'!$R$2:$R$4001,$AD235,'All Donations'!$T$2:$T$4001,U$1))</f>
        <v/>
      </c>
      <c r="V235" s="49">
        <f>IF(OR($AE235&lt;&gt;1,V$1=""),"",SUMIFS('All Donations'!$S$2:$S$4001,'All Donations'!$R$2:$R$4001,$AD235,'All Donations'!$T$2:$T$4001,V$1))</f>
        <v/>
      </c>
      <c r="W235" s="49">
        <f>IF(OR($AE235&lt;&gt;1,W$1=""),"",SUMIFS('All Donations'!$S$2:$S$4001,'All Donations'!$R$2:$R$4001,$AD235,'All Donations'!$T$2:$T$4001,W$1))</f>
        <v/>
      </c>
      <c r="X235" s="49">
        <f>IF(OR($AE235&lt;&gt;1,X$1=""),"",SUMIFS('All Donations'!$S$2:$S$4001,'All Donations'!$R$2:$R$4001,$AD235,'All Donations'!$T$2:$T$4001,X$1))</f>
        <v/>
      </c>
      <c r="Y235" s="49">
        <f>IF(OR($AE235&lt;&gt;1,Y$1=""),"",SUMIFS('All Donations'!$S$2:$S$4001,'All Donations'!$R$2:$R$4001,$AD235,'All Donations'!$T$2:$T$4001,Y$1))</f>
        <v/>
      </c>
      <c r="Z235" s="49">
        <f>IF(OR($AE235&lt;&gt;1,Z$1=""),"",SUMIFS('All Donations'!$S$2:$S$4001,'All Donations'!$R$2:$R$4001,$AD235,'All Donations'!$T$2:$T$4001,Z$1))</f>
        <v/>
      </c>
      <c r="AA235" s="49">
        <f>IF(OR($AE235&lt;&gt;1,AA$1=""),"",SUMIFS('All Donations'!$S$2:$S$4001,'All Donations'!$R$2:$R$4001,$AD235,'All Donations'!$T$2:$T$4001,AA$1))</f>
        <v/>
      </c>
      <c r="AB235" s="49">
        <f>IF(OR($AE235&lt;&gt;1,AB$1=""),"",SUMIFS('All Donations'!$S$2:$S$4001,'All Donations'!$R$2:$R$4001,$AD235,'All Donations'!$T$2:$T$4001,AB$1))</f>
        <v/>
      </c>
      <c r="AC235" s="49">
        <f>IF(OR($AE235&lt;&gt;1,AC$1=""),"",SUMIFS('All Donations'!$S$2:$S$4001,'All Donations'!$R$2:$R$4001,$AD235,'All Donations'!$T$2:$T$4001,AC$1))</f>
        <v/>
      </c>
      <c r="AD235">
        <f>IF(AE235=1,'Roster'!A235,"")</f>
        <v/>
      </c>
      <c r="AE235">
        <f>IF(TRIM('Roster'!B235&amp;'Roster'!C235)&lt;&gt;"",1,0)</f>
        <v/>
      </c>
      <c r="AF235">
        <f>IF(AE235=1,LOWER(A235),"#")</f>
        <v/>
      </c>
      <c r="AG235">
        <f>IF(AE235=1,LOWER(TRIM(TRIM('Roster'!C235)&amp;", "&amp;TRIM('Roster'!B235))),"#")</f>
        <v/>
      </c>
      <c r="AH235">
        <f>IF(AND(AE235=1,TRIM('Roster'!F235)&lt;&gt;""),LOWER(TRIM('Roster'!F235)),"#")</f>
        <v/>
      </c>
      <c r="AI235">
        <f>IF(AE235=1,IF(MATCH(B235,$B$2:$B$701,0)=ROW()-1,1,0),0)</f>
        <v/>
      </c>
      <c r="AJ235">
        <f>AJ234+AI235</f>
        <v/>
      </c>
      <c r="AK235">
        <f>IF(AE235=1,D235+(1000-ROW())/10^7,-1)</f>
        <v/>
      </c>
      <c r="AL235">
        <f>IF(AE235=1,TRIM('Roster'!B235)&amp;" "&amp;LEFT(TRIM('Roster'!C235),1)&amp;".","")</f>
        <v/>
      </c>
      <c r="AM235">
        <f>IF(AE235=1,TRIM('Roster'!C235)&amp;", "&amp;TRIM('Roster'!B235)&amp;" ("&amp;B235&amp;") #"&amp;AD235,"")</f>
        <v/>
      </c>
      <c r="AN235">
        <f>IF(AE235=1,TRIM('Roster'!E235),"")</f>
        <v/>
      </c>
      <c r="AO235">
        <f>IF(AE235=1,ROUND(SUMIFS('All Donations'!$S$2:$S$4001,'All Donations'!$R$2:$R$4001,AD235,'All Donations'!$T$2:$T$4001,"&gt;="&amp;'Settings'!$C$23,'All Donations'!$T$2:$T$4001,"&lt;="&amp;'Settings'!$D$23),2),0)</f>
        <v/>
      </c>
      <c r="AQ235">
        <f>IF(AE235=1,ROUND(SUMIFS('All Donations'!$S$2:$S$4001,'All Donations'!$R$2:$R$4001,AD235,'All Donations'!$T$2:$T$4001,"&gt;="&amp;'Settings'!$C$25,'All Donations'!$T$2:$T$4001,"&lt;="&amp;'Settings'!$D$25),2),0)</f>
        <v/>
      </c>
      <c r="AR235">
        <f>IF(AE235=1,ROUND(SUMIFS('All Donations'!$S$2:$S$4001,'All Donations'!$R$2:$R$4001,AD235,'All Donations'!$T$2:$T$4001,"&gt;="&amp;'Settings'!$C$26,'All Donations'!$T$2:$T$4001,"&lt;="&amp;'Settings'!$D$26),2),0)</f>
        <v/>
      </c>
      <c r="AS235">
        <f>IF(AE235=1,ROUND(SUMIFS('All Donations'!$S$2:$S$4001,'All Donations'!$R$2:$R$4001,AD235,'All Donations'!$T$2:$T$4001,"&lt;="&amp;'Settings'!$D$27),2),0)</f>
        <v/>
      </c>
      <c r="AT235">
        <f>IF(AE235=1,ROUND(SUMIFS('All Donations'!$S$2:$S$4001,'All Donations'!$R$2:$R$4001,AD235,'All Donations'!$T$2:$T$4001,"&gt;="&amp;'Settings'!$C$28,'All Donations'!$T$2:$T$4001,"&lt;="&amp;'Settings'!$D$28),2),0)</f>
        <v/>
      </c>
      <c r="AU235">
        <f>IF(AE235=1,ROUND(SUMIFS('All Donations'!$S$2:$S$4001,'All Donations'!$R$2:$R$4001,AD235,'All Donations'!$T$2:$T$4001,"&gt;="&amp;'Settings'!$C$29,'All Donations'!$T$2:$T$4001,"&lt;="&amp;'Settings'!$D$29),2),0)</f>
        <v/>
      </c>
      <c r="AV235">
        <f>IF(AE235=1,ROUND(SUMIFS('All Donations'!$S$2:$S$4001,'All Donations'!$R$2:$R$4001,AD235,'All Donations'!$T$2:$T$4001,"&lt;="&amp;'Settings'!$D$30),2),0)</f>
        <v/>
      </c>
      <c r="AZ235">
        <f>IF(AE235=1,ROUND(SUMIFS('All Donations'!$S$2:$S$4001,'All Donations'!$R$2:$R$4001,AD235,'All Donations'!$T$2:$T$4001,"&lt;="&amp;'Settings'!$D$34),2),0)</f>
        <v/>
      </c>
    </row>
    <row r="236">
      <c r="A236">
        <f>IF(AE236=1,TRIM(TRIM('Roster'!B236)&amp;" "&amp;TRIM('Roster'!C236)),"")</f>
        <v/>
      </c>
      <c r="B236">
        <f>IF(AE236=1,IF(AN236="","(no teacher)",AN236&amp;" – "&amp;C236),"")</f>
        <v/>
      </c>
      <c r="C236">
        <f>IF(AE236=1,TRIM('Roster'!D236&amp;""),"")</f>
        <v/>
      </c>
      <c r="D236" s="48">
        <f>IF(AE236=1,ROUND(SUMIFS('All Donations'!$S$2:$S$4001,'All Donations'!$R$2:$R$4001,AD236),2),"")</f>
        <v/>
      </c>
      <c r="E236" s="48">
        <f>IF(AE236=1,ROUND(SUMIFS('All Donations'!$S$2:$S$4001,'All Donations'!$R$2:$R$4001,AD236,'All Donations'!$G$2:$G$4001,"OneCause"),2),"")</f>
        <v/>
      </c>
      <c r="F236" s="48">
        <f>IF(AE236=1,D236-E236,"")</f>
        <v/>
      </c>
      <c r="G236">
        <f>IF(AE236=1,COUNTIFS('All Donations'!$R$2:$R$4001,AD236,'All Donations'!$H$2:$H$4001,"OK"),"")</f>
        <v/>
      </c>
      <c r="H236">
        <f>IF(AE236&lt;&gt;1,"",IF(D236&gt;0,"Yes",""))</f>
        <v/>
      </c>
      <c r="I236" s="49">
        <f>IF(OR($AE236&lt;&gt;1,I$1=""),"",SUMIFS('All Donations'!$S$2:$S$4001,'All Donations'!$R$2:$R$4001,$AD236,'All Donations'!$T$2:$T$4001,I$1))</f>
        <v/>
      </c>
      <c r="J236" s="49">
        <f>IF(OR($AE236&lt;&gt;1,J$1=""),"",SUMIFS('All Donations'!$S$2:$S$4001,'All Donations'!$R$2:$R$4001,$AD236,'All Donations'!$T$2:$T$4001,J$1))</f>
        <v/>
      </c>
      <c r="K236" s="49">
        <f>IF(OR($AE236&lt;&gt;1,K$1=""),"",SUMIFS('All Donations'!$S$2:$S$4001,'All Donations'!$R$2:$R$4001,$AD236,'All Donations'!$T$2:$T$4001,K$1))</f>
        <v/>
      </c>
      <c r="L236" s="49">
        <f>IF(OR($AE236&lt;&gt;1,L$1=""),"",SUMIFS('All Donations'!$S$2:$S$4001,'All Donations'!$R$2:$R$4001,$AD236,'All Donations'!$T$2:$T$4001,L$1))</f>
        <v/>
      </c>
      <c r="M236" s="49">
        <f>IF(OR($AE236&lt;&gt;1,M$1=""),"",SUMIFS('All Donations'!$S$2:$S$4001,'All Donations'!$R$2:$R$4001,$AD236,'All Donations'!$T$2:$T$4001,M$1))</f>
        <v/>
      </c>
      <c r="N236" s="49">
        <f>IF(OR($AE236&lt;&gt;1,N$1=""),"",SUMIFS('All Donations'!$S$2:$S$4001,'All Donations'!$R$2:$R$4001,$AD236,'All Donations'!$T$2:$T$4001,N$1))</f>
        <v/>
      </c>
      <c r="O236" s="49">
        <f>IF(OR($AE236&lt;&gt;1,O$1=""),"",SUMIFS('All Donations'!$S$2:$S$4001,'All Donations'!$R$2:$R$4001,$AD236,'All Donations'!$T$2:$T$4001,O$1))</f>
        <v/>
      </c>
      <c r="P236" s="49">
        <f>IF(OR($AE236&lt;&gt;1,P$1=""),"",SUMIFS('All Donations'!$S$2:$S$4001,'All Donations'!$R$2:$R$4001,$AD236,'All Donations'!$T$2:$T$4001,P$1))</f>
        <v/>
      </c>
      <c r="Q236" s="49">
        <f>IF(OR($AE236&lt;&gt;1,Q$1=""),"",SUMIFS('All Donations'!$S$2:$S$4001,'All Donations'!$R$2:$R$4001,$AD236,'All Donations'!$T$2:$T$4001,Q$1))</f>
        <v/>
      </c>
      <c r="R236" s="49">
        <f>IF(OR($AE236&lt;&gt;1,R$1=""),"",SUMIFS('All Donations'!$S$2:$S$4001,'All Donations'!$R$2:$R$4001,$AD236,'All Donations'!$T$2:$T$4001,R$1))</f>
        <v/>
      </c>
      <c r="S236" s="49">
        <f>IF(OR($AE236&lt;&gt;1,S$1=""),"",SUMIFS('All Donations'!$S$2:$S$4001,'All Donations'!$R$2:$R$4001,$AD236,'All Donations'!$T$2:$T$4001,S$1))</f>
        <v/>
      </c>
      <c r="T236" s="49">
        <f>IF(OR($AE236&lt;&gt;1,T$1=""),"",SUMIFS('All Donations'!$S$2:$S$4001,'All Donations'!$R$2:$R$4001,$AD236,'All Donations'!$T$2:$T$4001,T$1))</f>
        <v/>
      </c>
      <c r="U236" s="49">
        <f>IF(OR($AE236&lt;&gt;1,U$1=""),"",SUMIFS('All Donations'!$S$2:$S$4001,'All Donations'!$R$2:$R$4001,$AD236,'All Donations'!$T$2:$T$4001,U$1))</f>
        <v/>
      </c>
      <c r="V236" s="49">
        <f>IF(OR($AE236&lt;&gt;1,V$1=""),"",SUMIFS('All Donations'!$S$2:$S$4001,'All Donations'!$R$2:$R$4001,$AD236,'All Donations'!$T$2:$T$4001,V$1))</f>
        <v/>
      </c>
      <c r="W236" s="49">
        <f>IF(OR($AE236&lt;&gt;1,W$1=""),"",SUMIFS('All Donations'!$S$2:$S$4001,'All Donations'!$R$2:$R$4001,$AD236,'All Donations'!$T$2:$T$4001,W$1))</f>
        <v/>
      </c>
      <c r="X236" s="49">
        <f>IF(OR($AE236&lt;&gt;1,X$1=""),"",SUMIFS('All Donations'!$S$2:$S$4001,'All Donations'!$R$2:$R$4001,$AD236,'All Donations'!$T$2:$T$4001,X$1))</f>
        <v/>
      </c>
      <c r="Y236" s="49">
        <f>IF(OR($AE236&lt;&gt;1,Y$1=""),"",SUMIFS('All Donations'!$S$2:$S$4001,'All Donations'!$R$2:$R$4001,$AD236,'All Donations'!$T$2:$T$4001,Y$1))</f>
        <v/>
      </c>
      <c r="Z236" s="49">
        <f>IF(OR($AE236&lt;&gt;1,Z$1=""),"",SUMIFS('All Donations'!$S$2:$S$4001,'All Donations'!$R$2:$R$4001,$AD236,'All Donations'!$T$2:$T$4001,Z$1))</f>
        <v/>
      </c>
      <c r="AA236" s="49">
        <f>IF(OR($AE236&lt;&gt;1,AA$1=""),"",SUMIFS('All Donations'!$S$2:$S$4001,'All Donations'!$R$2:$R$4001,$AD236,'All Donations'!$T$2:$T$4001,AA$1))</f>
        <v/>
      </c>
      <c r="AB236" s="49">
        <f>IF(OR($AE236&lt;&gt;1,AB$1=""),"",SUMIFS('All Donations'!$S$2:$S$4001,'All Donations'!$R$2:$R$4001,$AD236,'All Donations'!$T$2:$T$4001,AB$1))</f>
        <v/>
      </c>
      <c r="AC236" s="49">
        <f>IF(OR($AE236&lt;&gt;1,AC$1=""),"",SUMIFS('All Donations'!$S$2:$S$4001,'All Donations'!$R$2:$R$4001,$AD236,'All Donations'!$T$2:$T$4001,AC$1))</f>
        <v/>
      </c>
      <c r="AD236">
        <f>IF(AE236=1,'Roster'!A236,"")</f>
        <v/>
      </c>
      <c r="AE236">
        <f>IF(TRIM('Roster'!B236&amp;'Roster'!C236)&lt;&gt;"",1,0)</f>
        <v/>
      </c>
      <c r="AF236">
        <f>IF(AE236=1,LOWER(A236),"#")</f>
        <v/>
      </c>
      <c r="AG236">
        <f>IF(AE236=1,LOWER(TRIM(TRIM('Roster'!C236)&amp;", "&amp;TRIM('Roster'!B236))),"#")</f>
        <v/>
      </c>
      <c r="AH236">
        <f>IF(AND(AE236=1,TRIM('Roster'!F236)&lt;&gt;""),LOWER(TRIM('Roster'!F236)),"#")</f>
        <v/>
      </c>
      <c r="AI236">
        <f>IF(AE236=1,IF(MATCH(B236,$B$2:$B$701,0)=ROW()-1,1,0),0)</f>
        <v/>
      </c>
      <c r="AJ236">
        <f>AJ235+AI236</f>
        <v/>
      </c>
      <c r="AK236">
        <f>IF(AE236=1,D236+(1000-ROW())/10^7,-1)</f>
        <v/>
      </c>
      <c r="AL236">
        <f>IF(AE236=1,TRIM('Roster'!B236)&amp;" "&amp;LEFT(TRIM('Roster'!C236),1)&amp;".","")</f>
        <v/>
      </c>
      <c r="AM236">
        <f>IF(AE236=1,TRIM('Roster'!C236)&amp;", "&amp;TRIM('Roster'!B236)&amp;" ("&amp;B236&amp;") #"&amp;AD236,"")</f>
        <v/>
      </c>
      <c r="AN236">
        <f>IF(AE236=1,TRIM('Roster'!E236),"")</f>
        <v/>
      </c>
      <c r="AO236">
        <f>IF(AE236=1,ROUND(SUMIFS('All Donations'!$S$2:$S$4001,'All Donations'!$R$2:$R$4001,AD236,'All Donations'!$T$2:$T$4001,"&gt;="&amp;'Settings'!$C$23,'All Donations'!$T$2:$T$4001,"&lt;="&amp;'Settings'!$D$23),2),0)</f>
        <v/>
      </c>
      <c r="AQ236">
        <f>IF(AE236=1,ROUND(SUMIFS('All Donations'!$S$2:$S$4001,'All Donations'!$R$2:$R$4001,AD236,'All Donations'!$T$2:$T$4001,"&gt;="&amp;'Settings'!$C$25,'All Donations'!$T$2:$T$4001,"&lt;="&amp;'Settings'!$D$25),2),0)</f>
        <v/>
      </c>
      <c r="AR236">
        <f>IF(AE236=1,ROUND(SUMIFS('All Donations'!$S$2:$S$4001,'All Donations'!$R$2:$R$4001,AD236,'All Donations'!$T$2:$T$4001,"&gt;="&amp;'Settings'!$C$26,'All Donations'!$T$2:$T$4001,"&lt;="&amp;'Settings'!$D$26),2),0)</f>
        <v/>
      </c>
      <c r="AS236">
        <f>IF(AE236=1,ROUND(SUMIFS('All Donations'!$S$2:$S$4001,'All Donations'!$R$2:$R$4001,AD236,'All Donations'!$T$2:$T$4001,"&lt;="&amp;'Settings'!$D$27),2),0)</f>
        <v/>
      </c>
      <c r="AT236">
        <f>IF(AE236=1,ROUND(SUMIFS('All Donations'!$S$2:$S$4001,'All Donations'!$R$2:$R$4001,AD236,'All Donations'!$T$2:$T$4001,"&gt;="&amp;'Settings'!$C$28,'All Donations'!$T$2:$T$4001,"&lt;="&amp;'Settings'!$D$28),2),0)</f>
        <v/>
      </c>
      <c r="AU236">
        <f>IF(AE236=1,ROUND(SUMIFS('All Donations'!$S$2:$S$4001,'All Donations'!$R$2:$R$4001,AD236,'All Donations'!$T$2:$T$4001,"&gt;="&amp;'Settings'!$C$29,'All Donations'!$T$2:$T$4001,"&lt;="&amp;'Settings'!$D$29),2),0)</f>
        <v/>
      </c>
      <c r="AV236">
        <f>IF(AE236=1,ROUND(SUMIFS('All Donations'!$S$2:$S$4001,'All Donations'!$R$2:$R$4001,AD236,'All Donations'!$T$2:$T$4001,"&lt;="&amp;'Settings'!$D$30),2),0)</f>
        <v/>
      </c>
      <c r="AZ236">
        <f>IF(AE236=1,ROUND(SUMIFS('All Donations'!$S$2:$S$4001,'All Donations'!$R$2:$R$4001,AD236,'All Donations'!$T$2:$T$4001,"&lt;="&amp;'Settings'!$D$34),2),0)</f>
        <v/>
      </c>
    </row>
    <row r="237">
      <c r="A237">
        <f>IF(AE237=1,TRIM(TRIM('Roster'!B237)&amp;" "&amp;TRIM('Roster'!C237)),"")</f>
        <v/>
      </c>
      <c r="B237">
        <f>IF(AE237=1,IF(AN237="","(no teacher)",AN237&amp;" – "&amp;C237),"")</f>
        <v/>
      </c>
      <c r="C237">
        <f>IF(AE237=1,TRIM('Roster'!D237&amp;""),"")</f>
        <v/>
      </c>
      <c r="D237" s="48">
        <f>IF(AE237=1,ROUND(SUMIFS('All Donations'!$S$2:$S$4001,'All Donations'!$R$2:$R$4001,AD237),2),"")</f>
        <v/>
      </c>
      <c r="E237" s="48">
        <f>IF(AE237=1,ROUND(SUMIFS('All Donations'!$S$2:$S$4001,'All Donations'!$R$2:$R$4001,AD237,'All Donations'!$G$2:$G$4001,"OneCause"),2),"")</f>
        <v/>
      </c>
      <c r="F237" s="48">
        <f>IF(AE237=1,D237-E237,"")</f>
        <v/>
      </c>
      <c r="G237">
        <f>IF(AE237=1,COUNTIFS('All Donations'!$R$2:$R$4001,AD237,'All Donations'!$H$2:$H$4001,"OK"),"")</f>
        <v/>
      </c>
      <c r="H237">
        <f>IF(AE237&lt;&gt;1,"",IF(D237&gt;0,"Yes",""))</f>
        <v/>
      </c>
      <c r="I237" s="49">
        <f>IF(OR($AE237&lt;&gt;1,I$1=""),"",SUMIFS('All Donations'!$S$2:$S$4001,'All Donations'!$R$2:$R$4001,$AD237,'All Donations'!$T$2:$T$4001,I$1))</f>
        <v/>
      </c>
      <c r="J237" s="49">
        <f>IF(OR($AE237&lt;&gt;1,J$1=""),"",SUMIFS('All Donations'!$S$2:$S$4001,'All Donations'!$R$2:$R$4001,$AD237,'All Donations'!$T$2:$T$4001,J$1))</f>
        <v/>
      </c>
      <c r="K237" s="49">
        <f>IF(OR($AE237&lt;&gt;1,K$1=""),"",SUMIFS('All Donations'!$S$2:$S$4001,'All Donations'!$R$2:$R$4001,$AD237,'All Donations'!$T$2:$T$4001,K$1))</f>
        <v/>
      </c>
      <c r="L237" s="49">
        <f>IF(OR($AE237&lt;&gt;1,L$1=""),"",SUMIFS('All Donations'!$S$2:$S$4001,'All Donations'!$R$2:$R$4001,$AD237,'All Donations'!$T$2:$T$4001,L$1))</f>
        <v/>
      </c>
      <c r="M237" s="49">
        <f>IF(OR($AE237&lt;&gt;1,M$1=""),"",SUMIFS('All Donations'!$S$2:$S$4001,'All Donations'!$R$2:$R$4001,$AD237,'All Donations'!$T$2:$T$4001,M$1))</f>
        <v/>
      </c>
      <c r="N237" s="49">
        <f>IF(OR($AE237&lt;&gt;1,N$1=""),"",SUMIFS('All Donations'!$S$2:$S$4001,'All Donations'!$R$2:$R$4001,$AD237,'All Donations'!$T$2:$T$4001,N$1))</f>
        <v/>
      </c>
      <c r="O237" s="49">
        <f>IF(OR($AE237&lt;&gt;1,O$1=""),"",SUMIFS('All Donations'!$S$2:$S$4001,'All Donations'!$R$2:$R$4001,$AD237,'All Donations'!$T$2:$T$4001,O$1))</f>
        <v/>
      </c>
      <c r="P237" s="49">
        <f>IF(OR($AE237&lt;&gt;1,P$1=""),"",SUMIFS('All Donations'!$S$2:$S$4001,'All Donations'!$R$2:$R$4001,$AD237,'All Donations'!$T$2:$T$4001,P$1))</f>
        <v/>
      </c>
      <c r="Q237" s="49">
        <f>IF(OR($AE237&lt;&gt;1,Q$1=""),"",SUMIFS('All Donations'!$S$2:$S$4001,'All Donations'!$R$2:$R$4001,$AD237,'All Donations'!$T$2:$T$4001,Q$1))</f>
        <v/>
      </c>
      <c r="R237" s="49">
        <f>IF(OR($AE237&lt;&gt;1,R$1=""),"",SUMIFS('All Donations'!$S$2:$S$4001,'All Donations'!$R$2:$R$4001,$AD237,'All Donations'!$T$2:$T$4001,R$1))</f>
        <v/>
      </c>
      <c r="S237" s="49">
        <f>IF(OR($AE237&lt;&gt;1,S$1=""),"",SUMIFS('All Donations'!$S$2:$S$4001,'All Donations'!$R$2:$R$4001,$AD237,'All Donations'!$T$2:$T$4001,S$1))</f>
        <v/>
      </c>
      <c r="T237" s="49">
        <f>IF(OR($AE237&lt;&gt;1,T$1=""),"",SUMIFS('All Donations'!$S$2:$S$4001,'All Donations'!$R$2:$R$4001,$AD237,'All Donations'!$T$2:$T$4001,T$1))</f>
        <v/>
      </c>
      <c r="U237" s="49">
        <f>IF(OR($AE237&lt;&gt;1,U$1=""),"",SUMIFS('All Donations'!$S$2:$S$4001,'All Donations'!$R$2:$R$4001,$AD237,'All Donations'!$T$2:$T$4001,U$1))</f>
        <v/>
      </c>
      <c r="V237" s="49">
        <f>IF(OR($AE237&lt;&gt;1,V$1=""),"",SUMIFS('All Donations'!$S$2:$S$4001,'All Donations'!$R$2:$R$4001,$AD237,'All Donations'!$T$2:$T$4001,V$1))</f>
        <v/>
      </c>
      <c r="W237" s="49">
        <f>IF(OR($AE237&lt;&gt;1,W$1=""),"",SUMIFS('All Donations'!$S$2:$S$4001,'All Donations'!$R$2:$R$4001,$AD237,'All Donations'!$T$2:$T$4001,W$1))</f>
        <v/>
      </c>
      <c r="X237" s="49">
        <f>IF(OR($AE237&lt;&gt;1,X$1=""),"",SUMIFS('All Donations'!$S$2:$S$4001,'All Donations'!$R$2:$R$4001,$AD237,'All Donations'!$T$2:$T$4001,X$1))</f>
        <v/>
      </c>
      <c r="Y237" s="49">
        <f>IF(OR($AE237&lt;&gt;1,Y$1=""),"",SUMIFS('All Donations'!$S$2:$S$4001,'All Donations'!$R$2:$R$4001,$AD237,'All Donations'!$T$2:$T$4001,Y$1))</f>
        <v/>
      </c>
      <c r="Z237" s="49">
        <f>IF(OR($AE237&lt;&gt;1,Z$1=""),"",SUMIFS('All Donations'!$S$2:$S$4001,'All Donations'!$R$2:$R$4001,$AD237,'All Donations'!$T$2:$T$4001,Z$1))</f>
        <v/>
      </c>
      <c r="AA237" s="49">
        <f>IF(OR($AE237&lt;&gt;1,AA$1=""),"",SUMIFS('All Donations'!$S$2:$S$4001,'All Donations'!$R$2:$R$4001,$AD237,'All Donations'!$T$2:$T$4001,AA$1))</f>
        <v/>
      </c>
      <c r="AB237" s="49">
        <f>IF(OR($AE237&lt;&gt;1,AB$1=""),"",SUMIFS('All Donations'!$S$2:$S$4001,'All Donations'!$R$2:$R$4001,$AD237,'All Donations'!$T$2:$T$4001,AB$1))</f>
        <v/>
      </c>
      <c r="AC237" s="49">
        <f>IF(OR($AE237&lt;&gt;1,AC$1=""),"",SUMIFS('All Donations'!$S$2:$S$4001,'All Donations'!$R$2:$R$4001,$AD237,'All Donations'!$T$2:$T$4001,AC$1))</f>
        <v/>
      </c>
      <c r="AD237">
        <f>IF(AE237=1,'Roster'!A237,"")</f>
        <v/>
      </c>
      <c r="AE237">
        <f>IF(TRIM('Roster'!B237&amp;'Roster'!C237)&lt;&gt;"",1,0)</f>
        <v/>
      </c>
      <c r="AF237">
        <f>IF(AE237=1,LOWER(A237),"#")</f>
        <v/>
      </c>
      <c r="AG237">
        <f>IF(AE237=1,LOWER(TRIM(TRIM('Roster'!C237)&amp;", "&amp;TRIM('Roster'!B237))),"#")</f>
        <v/>
      </c>
      <c r="AH237">
        <f>IF(AND(AE237=1,TRIM('Roster'!F237)&lt;&gt;""),LOWER(TRIM('Roster'!F237)),"#")</f>
        <v/>
      </c>
      <c r="AI237">
        <f>IF(AE237=1,IF(MATCH(B237,$B$2:$B$701,0)=ROW()-1,1,0),0)</f>
        <v/>
      </c>
      <c r="AJ237">
        <f>AJ236+AI237</f>
        <v/>
      </c>
      <c r="AK237">
        <f>IF(AE237=1,D237+(1000-ROW())/10^7,-1)</f>
        <v/>
      </c>
      <c r="AL237">
        <f>IF(AE237=1,TRIM('Roster'!B237)&amp;" "&amp;LEFT(TRIM('Roster'!C237),1)&amp;".","")</f>
        <v/>
      </c>
      <c r="AM237">
        <f>IF(AE237=1,TRIM('Roster'!C237)&amp;", "&amp;TRIM('Roster'!B237)&amp;" ("&amp;B237&amp;") #"&amp;AD237,"")</f>
        <v/>
      </c>
      <c r="AN237">
        <f>IF(AE237=1,TRIM('Roster'!E237),"")</f>
        <v/>
      </c>
      <c r="AO237">
        <f>IF(AE237=1,ROUND(SUMIFS('All Donations'!$S$2:$S$4001,'All Donations'!$R$2:$R$4001,AD237,'All Donations'!$T$2:$T$4001,"&gt;="&amp;'Settings'!$C$23,'All Donations'!$T$2:$T$4001,"&lt;="&amp;'Settings'!$D$23),2),0)</f>
        <v/>
      </c>
      <c r="AQ237">
        <f>IF(AE237=1,ROUND(SUMIFS('All Donations'!$S$2:$S$4001,'All Donations'!$R$2:$R$4001,AD237,'All Donations'!$T$2:$T$4001,"&gt;="&amp;'Settings'!$C$25,'All Donations'!$T$2:$T$4001,"&lt;="&amp;'Settings'!$D$25),2),0)</f>
        <v/>
      </c>
      <c r="AR237">
        <f>IF(AE237=1,ROUND(SUMIFS('All Donations'!$S$2:$S$4001,'All Donations'!$R$2:$R$4001,AD237,'All Donations'!$T$2:$T$4001,"&gt;="&amp;'Settings'!$C$26,'All Donations'!$T$2:$T$4001,"&lt;="&amp;'Settings'!$D$26),2),0)</f>
        <v/>
      </c>
      <c r="AS237">
        <f>IF(AE237=1,ROUND(SUMIFS('All Donations'!$S$2:$S$4001,'All Donations'!$R$2:$R$4001,AD237,'All Donations'!$T$2:$T$4001,"&lt;="&amp;'Settings'!$D$27),2),0)</f>
        <v/>
      </c>
      <c r="AT237">
        <f>IF(AE237=1,ROUND(SUMIFS('All Donations'!$S$2:$S$4001,'All Donations'!$R$2:$R$4001,AD237,'All Donations'!$T$2:$T$4001,"&gt;="&amp;'Settings'!$C$28,'All Donations'!$T$2:$T$4001,"&lt;="&amp;'Settings'!$D$28),2),0)</f>
        <v/>
      </c>
      <c r="AU237">
        <f>IF(AE237=1,ROUND(SUMIFS('All Donations'!$S$2:$S$4001,'All Donations'!$R$2:$R$4001,AD237,'All Donations'!$T$2:$T$4001,"&gt;="&amp;'Settings'!$C$29,'All Donations'!$T$2:$T$4001,"&lt;="&amp;'Settings'!$D$29),2),0)</f>
        <v/>
      </c>
      <c r="AV237">
        <f>IF(AE237=1,ROUND(SUMIFS('All Donations'!$S$2:$S$4001,'All Donations'!$R$2:$R$4001,AD237,'All Donations'!$T$2:$T$4001,"&lt;="&amp;'Settings'!$D$30),2),0)</f>
        <v/>
      </c>
      <c r="AZ237">
        <f>IF(AE237=1,ROUND(SUMIFS('All Donations'!$S$2:$S$4001,'All Donations'!$R$2:$R$4001,AD237,'All Donations'!$T$2:$T$4001,"&lt;="&amp;'Settings'!$D$34),2),0)</f>
        <v/>
      </c>
    </row>
    <row r="238">
      <c r="A238">
        <f>IF(AE238=1,TRIM(TRIM('Roster'!B238)&amp;" "&amp;TRIM('Roster'!C238)),"")</f>
        <v/>
      </c>
      <c r="B238">
        <f>IF(AE238=1,IF(AN238="","(no teacher)",AN238&amp;" – "&amp;C238),"")</f>
        <v/>
      </c>
      <c r="C238">
        <f>IF(AE238=1,TRIM('Roster'!D238&amp;""),"")</f>
        <v/>
      </c>
      <c r="D238" s="48">
        <f>IF(AE238=1,ROUND(SUMIFS('All Donations'!$S$2:$S$4001,'All Donations'!$R$2:$R$4001,AD238),2),"")</f>
        <v/>
      </c>
      <c r="E238" s="48">
        <f>IF(AE238=1,ROUND(SUMIFS('All Donations'!$S$2:$S$4001,'All Donations'!$R$2:$R$4001,AD238,'All Donations'!$G$2:$G$4001,"OneCause"),2),"")</f>
        <v/>
      </c>
      <c r="F238" s="48">
        <f>IF(AE238=1,D238-E238,"")</f>
        <v/>
      </c>
      <c r="G238">
        <f>IF(AE238=1,COUNTIFS('All Donations'!$R$2:$R$4001,AD238,'All Donations'!$H$2:$H$4001,"OK"),"")</f>
        <v/>
      </c>
      <c r="H238">
        <f>IF(AE238&lt;&gt;1,"",IF(D238&gt;0,"Yes",""))</f>
        <v/>
      </c>
      <c r="I238" s="49">
        <f>IF(OR($AE238&lt;&gt;1,I$1=""),"",SUMIFS('All Donations'!$S$2:$S$4001,'All Donations'!$R$2:$R$4001,$AD238,'All Donations'!$T$2:$T$4001,I$1))</f>
        <v/>
      </c>
      <c r="J238" s="49">
        <f>IF(OR($AE238&lt;&gt;1,J$1=""),"",SUMIFS('All Donations'!$S$2:$S$4001,'All Donations'!$R$2:$R$4001,$AD238,'All Donations'!$T$2:$T$4001,J$1))</f>
        <v/>
      </c>
      <c r="K238" s="49">
        <f>IF(OR($AE238&lt;&gt;1,K$1=""),"",SUMIFS('All Donations'!$S$2:$S$4001,'All Donations'!$R$2:$R$4001,$AD238,'All Donations'!$T$2:$T$4001,K$1))</f>
        <v/>
      </c>
      <c r="L238" s="49">
        <f>IF(OR($AE238&lt;&gt;1,L$1=""),"",SUMIFS('All Donations'!$S$2:$S$4001,'All Donations'!$R$2:$R$4001,$AD238,'All Donations'!$T$2:$T$4001,L$1))</f>
        <v/>
      </c>
      <c r="M238" s="49">
        <f>IF(OR($AE238&lt;&gt;1,M$1=""),"",SUMIFS('All Donations'!$S$2:$S$4001,'All Donations'!$R$2:$R$4001,$AD238,'All Donations'!$T$2:$T$4001,M$1))</f>
        <v/>
      </c>
      <c r="N238" s="49">
        <f>IF(OR($AE238&lt;&gt;1,N$1=""),"",SUMIFS('All Donations'!$S$2:$S$4001,'All Donations'!$R$2:$R$4001,$AD238,'All Donations'!$T$2:$T$4001,N$1))</f>
        <v/>
      </c>
      <c r="O238" s="49">
        <f>IF(OR($AE238&lt;&gt;1,O$1=""),"",SUMIFS('All Donations'!$S$2:$S$4001,'All Donations'!$R$2:$R$4001,$AD238,'All Donations'!$T$2:$T$4001,O$1))</f>
        <v/>
      </c>
      <c r="P238" s="49">
        <f>IF(OR($AE238&lt;&gt;1,P$1=""),"",SUMIFS('All Donations'!$S$2:$S$4001,'All Donations'!$R$2:$R$4001,$AD238,'All Donations'!$T$2:$T$4001,P$1))</f>
        <v/>
      </c>
      <c r="Q238" s="49">
        <f>IF(OR($AE238&lt;&gt;1,Q$1=""),"",SUMIFS('All Donations'!$S$2:$S$4001,'All Donations'!$R$2:$R$4001,$AD238,'All Donations'!$T$2:$T$4001,Q$1))</f>
        <v/>
      </c>
      <c r="R238" s="49">
        <f>IF(OR($AE238&lt;&gt;1,R$1=""),"",SUMIFS('All Donations'!$S$2:$S$4001,'All Donations'!$R$2:$R$4001,$AD238,'All Donations'!$T$2:$T$4001,R$1))</f>
        <v/>
      </c>
      <c r="S238" s="49">
        <f>IF(OR($AE238&lt;&gt;1,S$1=""),"",SUMIFS('All Donations'!$S$2:$S$4001,'All Donations'!$R$2:$R$4001,$AD238,'All Donations'!$T$2:$T$4001,S$1))</f>
        <v/>
      </c>
      <c r="T238" s="49">
        <f>IF(OR($AE238&lt;&gt;1,T$1=""),"",SUMIFS('All Donations'!$S$2:$S$4001,'All Donations'!$R$2:$R$4001,$AD238,'All Donations'!$T$2:$T$4001,T$1))</f>
        <v/>
      </c>
      <c r="U238" s="49">
        <f>IF(OR($AE238&lt;&gt;1,U$1=""),"",SUMIFS('All Donations'!$S$2:$S$4001,'All Donations'!$R$2:$R$4001,$AD238,'All Donations'!$T$2:$T$4001,U$1))</f>
        <v/>
      </c>
      <c r="V238" s="49">
        <f>IF(OR($AE238&lt;&gt;1,V$1=""),"",SUMIFS('All Donations'!$S$2:$S$4001,'All Donations'!$R$2:$R$4001,$AD238,'All Donations'!$T$2:$T$4001,V$1))</f>
        <v/>
      </c>
      <c r="W238" s="49">
        <f>IF(OR($AE238&lt;&gt;1,W$1=""),"",SUMIFS('All Donations'!$S$2:$S$4001,'All Donations'!$R$2:$R$4001,$AD238,'All Donations'!$T$2:$T$4001,W$1))</f>
        <v/>
      </c>
      <c r="X238" s="49">
        <f>IF(OR($AE238&lt;&gt;1,X$1=""),"",SUMIFS('All Donations'!$S$2:$S$4001,'All Donations'!$R$2:$R$4001,$AD238,'All Donations'!$T$2:$T$4001,X$1))</f>
        <v/>
      </c>
      <c r="Y238" s="49">
        <f>IF(OR($AE238&lt;&gt;1,Y$1=""),"",SUMIFS('All Donations'!$S$2:$S$4001,'All Donations'!$R$2:$R$4001,$AD238,'All Donations'!$T$2:$T$4001,Y$1))</f>
        <v/>
      </c>
      <c r="Z238" s="49">
        <f>IF(OR($AE238&lt;&gt;1,Z$1=""),"",SUMIFS('All Donations'!$S$2:$S$4001,'All Donations'!$R$2:$R$4001,$AD238,'All Donations'!$T$2:$T$4001,Z$1))</f>
        <v/>
      </c>
      <c r="AA238" s="49">
        <f>IF(OR($AE238&lt;&gt;1,AA$1=""),"",SUMIFS('All Donations'!$S$2:$S$4001,'All Donations'!$R$2:$R$4001,$AD238,'All Donations'!$T$2:$T$4001,AA$1))</f>
        <v/>
      </c>
      <c r="AB238" s="49">
        <f>IF(OR($AE238&lt;&gt;1,AB$1=""),"",SUMIFS('All Donations'!$S$2:$S$4001,'All Donations'!$R$2:$R$4001,$AD238,'All Donations'!$T$2:$T$4001,AB$1))</f>
        <v/>
      </c>
      <c r="AC238" s="49">
        <f>IF(OR($AE238&lt;&gt;1,AC$1=""),"",SUMIFS('All Donations'!$S$2:$S$4001,'All Donations'!$R$2:$R$4001,$AD238,'All Donations'!$T$2:$T$4001,AC$1))</f>
        <v/>
      </c>
      <c r="AD238">
        <f>IF(AE238=1,'Roster'!A238,"")</f>
        <v/>
      </c>
      <c r="AE238">
        <f>IF(TRIM('Roster'!B238&amp;'Roster'!C238)&lt;&gt;"",1,0)</f>
        <v/>
      </c>
      <c r="AF238">
        <f>IF(AE238=1,LOWER(A238),"#")</f>
        <v/>
      </c>
      <c r="AG238">
        <f>IF(AE238=1,LOWER(TRIM(TRIM('Roster'!C238)&amp;", "&amp;TRIM('Roster'!B238))),"#")</f>
        <v/>
      </c>
      <c r="AH238">
        <f>IF(AND(AE238=1,TRIM('Roster'!F238)&lt;&gt;""),LOWER(TRIM('Roster'!F238)),"#")</f>
        <v/>
      </c>
      <c r="AI238">
        <f>IF(AE238=1,IF(MATCH(B238,$B$2:$B$701,0)=ROW()-1,1,0),0)</f>
        <v/>
      </c>
      <c r="AJ238">
        <f>AJ237+AI238</f>
        <v/>
      </c>
      <c r="AK238">
        <f>IF(AE238=1,D238+(1000-ROW())/10^7,-1)</f>
        <v/>
      </c>
      <c r="AL238">
        <f>IF(AE238=1,TRIM('Roster'!B238)&amp;" "&amp;LEFT(TRIM('Roster'!C238),1)&amp;".","")</f>
        <v/>
      </c>
      <c r="AM238">
        <f>IF(AE238=1,TRIM('Roster'!C238)&amp;", "&amp;TRIM('Roster'!B238)&amp;" ("&amp;B238&amp;") #"&amp;AD238,"")</f>
        <v/>
      </c>
      <c r="AN238">
        <f>IF(AE238=1,TRIM('Roster'!E238),"")</f>
        <v/>
      </c>
      <c r="AO238">
        <f>IF(AE238=1,ROUND(SUMIFS('All Donations'!$S$2:$S$4001,'All Donations'!$R$2:$R$4001,AD238,'All Donations'!$T$2:$T$4001,"&gt;="&amp;'Settings'!$C$23,'All Donations'!$T$2:$T$4001,"&lt;="&amp;'Settings'!$D$23),2),0)</f>
        <v/>
      </c>
      <c r="AQ238">
        <f>IF(AE238=1,ROUND(SUMIFS('All Donations'!$S$2:$S$4001,'All Donations'!$R$2:$R$4001,AD238,'All Donations'!$T$2:$T$4001,"&gt;="&amp;'Settings'!$C$25,'All Donations'!$T$2:$T$4001,"&lt;="&amp;'Settings'!$D$25),2),0)</f>
        <v/>
      </c>
      <c r="AR238">
        <f>IF(AE238=1,ROUND(SUMIFS('All Donations'!$S$2:$S$4001,'All Donations'!$R$2:$R$4001,AD238,'All Donations'!$T$2:$T$4001,"&gt;="&amp;'Settings'!$C$26,'All Donations'!$T$2:$T$4001,"&lt;="&amp;'Settings'!$D$26),2),0)</f>
        <v/>
      </c>
      <c r="AS238">
        <f>IF(AE238=1,ROUND(SUMIFS('All Donations'!$S$2:$S$4001,'All Donations'!$R$2:$R$4001,AD238,'All Donations'!$T$2:$T$4001,"&lt;="&amp;'Settings'!$D$27),2),0)</f>
        <v/>
      </c>
      <c r="AT238">
        <f>IF(AE238=1,ROUND(SUMIFS('All Donations'!$S$2:$S$4001,'All Donations'!$R$2:$R$4001,AD238,'All Donations'!$T$2:$T$4001,"&gt;="&amp;'Settings'!$C$28,'All Donations'!$T$2:$T$4001,"&lt;="&amp;'Settings'!$D$28),2),0)</f>
        <v/>
      </c>
      <c r="AU238">
        <f>IF(AE238=1,ROUND(SUMIFS('All Donations'!$S$2:$S$4001,'All Donations'!$R$2:$R$4001,AD238,'All Donations'!$T$2:$T$4001,"&gt;="&amp;'Settings'!$C$29,'All Donations'!$T$2:$T$4001,"&lt;="&amp;'Settings'!$D$29),2),0)</f>
        <v/>
      </c>
      <c r="AV238">
        <f>IF(AE238=1,ROUND(SUMIFS('All Donations'!$S$2:$S$4001,'All Donations'!$R$2:$R$4001,AD238,'All Donations'!$T$2:$T$4001,"&lt;="&amp;'Settings'!$D$30),2),0)</f>
        <v/>
      </c>
      <c r="AZ238">
        <f>IF(AE238=1,ROUND(SUMIFS('All Donations'!$S$2:$S$4001,'All Donations'!$R$2:$R$4001,AD238,'All Donations'!$T$2:$T$4001,"&lt;="&amp;'Settings'!$D$34),2),0)</f>
        <v/>
      </c>
    </row>
    <row r="239">
      <c r="A239">
        <f>IF(AE239=1,TRIM(TRIM('Roster'!B239)&amp;" "&amp;TRIM('Roster'!C239)),"")</f>
        <v/>
      </c>
      <c r="B239">
        <f>IF(AE239=1,IF(AN239="","(no teacher)",AN239&amp;" – "&amp;C239),"")</f>
        <v/>
      </c>
      <c r="C239">
        <f>IF(AE239=1,TRIM('Roster'!D239&amp;""),"")</f>
        <v/>
      </c>
      <c r="D239" s="48">
        <f>IF(AE239=1,ROUND(SUMIFS('All Donations'!$S$2:$S$4001,'All Donations'!$R$2:$R$4001,AD239),2),"")</f>
        <v/>
      </c>
      <c r="E239" s="48">
        <f>IF(AE239=1,ROUND(SUMIFS('All Donations'!$S$2:$S$4001,'All Donations'!$R$2:$R$4001,AD239,'All Donations'!$G$2:$G$4001,"OneCause"),2),"")</f>
        <v/>
      </c>
      <c r="F239" s="48">
        <f>IF(AE239=1,D239-E239,"")</f>
        <v/>
      </c>
      <c r="G239">
        <f>IF(AE239=1,COUNTIFS('All Donations'!$R$2:$R$4001,AD239,'All Donations'!$H$2:$H$4001,"OK"),"")</f>
        <v/>
      </c>
      <c r="H239">
        <f>IF(AE239&lt;&gt;1,"",IF(D239&gt;0,"Yes",""))</f>
        <v/>
      </c>
      <c r="I239" s="49">
        <f>IF(OR($AE239&lt;&gt;1,I$1=""),"",SUMIFS('All Donations'!$S$2:$S$4001,'All Donations'!$R$2:$R$4001,$AD239,'All Donations'!$T$2:$T$4001,I$1))</f>
        <v/>
      </c>
      <c r="J239" s="49">
        <f>IF(OR($AE239&lt;&gt;1,J$1=""),"",SUMIFS('All Donations'!$S$2:$S$4001,'All Donations'!$R$2:$R$4001,$AD239,'All Donations'!$T$2:$T$4001,J$1))</f>
        <v/>
      </c>
      <c r="K239" s="49">
        <f>IF(OR($AE239&lt;&gt;1,K$1=""),"",SUMIFS('All Donations'!$S$2:$S$4001,'All Donations'!$R$2:$R$4001,$AD239,'All Donations'!$T$2:$T$4001,K$1))</f>
        <v/>
      </c>
      <c r="L239" s="49">
        <f>IF(OR($AE239&lt;&gt;1,L$1=""),"",SUMIFS('All Donations'!$S$2:$S$4001,'All Donations'!$R$2:$R$4001,$AD239,'All Donations'!$T$2:$T$4001,L$1))</f>
        <v/>
      </c>
      <c r="M239" s="49">
        <f>IF(OR($AE239&lt;&gt;1,M$1=""),"",SUMIFS('All Donations'!$S$2:$S$4001,'All Donations'!$R$2:$R$4001,$AD239,'All Donations'!$T$2:$T$4001,M$1))</f>
        <v/>
      </c>
      <c r="N239" s="49">
        <f>IF(OR($AE239&lt;&gt;1,N$1=""),"",SUMIFS('All Donations'!$S$2:$S$4001,'All Donations'!$R$2:$R$4001,$AD239,'All Donations'!$T$2:$T$4001,N$1))</f>
        <v/>
      </c>
      <c r="O239" s="49">
        <f>IF(OR($AE239&lt;&gt;1,O$1=""),"",SUMIFS('All Donations'!$S$2:$S$4001,'All Donations'!$R$2:$R$4001,$AD239,'All Donations'!$T$2:$T$4001,O$1))</f>
        <v/>
      </c>
      <c r="P239" s="49">
        <f>IF(OR($AE239&lt;&gt;1,P$1=""),"",SUMIFS('All Donations'!$S$2:$S$4001,'All Donations'!$R$2:$R$4001,$AD239,'All Donations'!$T$2:$T$4001,P$1))</f>
        <v/>
      </c>
      <c r="Q239" s="49">
        <f>IF(OR($AE239&lt;&gt;1,Q$1=""),"",SUMIFS('All Donations'!$S$2:$S$4001,'All Donations'!$R$2:$R$4001,$AD239,'All Donations'!$T$2:$T$4001,Q$1))</f>
        <v/>
      </c>
      <c r="R239" s="49">
        <f>IF(OR($AE239&lt;&gt;1,R$1=""),"",SUMIFS('All Donations'!$S$2:$S$4001,'All Donations'!$R$2:$R$4001,$AD239,'All Donations'!$T$2:$T$4001,R$1))</f>
        <v/>
      </c>
      <c r="S239" s="49">
        <f>IF(OR($AE239&lt;&gt;1,S$1=""),"",SUMIFS('All Donations'!$S$2:$S$4001,'All Donations'!$R$2:$R$4001,$AD239,'All Donations'!$T$2:$T$4001,S$1))</f>
        <v/>
      </c>
      <c r="T239" s="49">
        <f>IF(OR($AE239&lt;&gt;1,T$1=""),"",SUMIFS('All Donations'!$S$2:$S$4001,'All Donations'!$R$2:$R$4001,$AD239,'All Donations'!$T$2:$T$4001,T$1))</f>
        <v/>
      </c>
      <c r="U239" s="49">
        <f>IF(OR($AE239&lt;&gt;1,U$1=""),"",SUMIFS('All Donations'!$S$2:$S$4001,'All Donations'!$R$2:$R$4001,$AD239,'All Donations'!$T$2:$T$4001,U$1))</f>
        <v/>
      </c>
      <c r="V239" s="49">
        <f>IF(OR($AE239&lt;&gt;1,V$1=""),"",SUMIFS('All Donations'!$S$2:$S$4001,'All Donations'!$R$2:$R$4001,$AD239,'All Donations'!$T$2:$T$4001,V$1))</f>
        <v/>
      </c>
      <c r="W239" s="49">
        <f>IF(OR($AE239&lt;&gt;1,W$1=""),"",SUMIFS('All Donations'!$S$2:$S$4001,'All Donations'!$R$2:$R$4001,$AD239,'All Donations'!$T$2:$T$4001,W$1))</f>
        <v/>
      </c>
      <c r="X239" s="49">
        <f>IF(OR($AE239&lt;&gt;1,X$1=""),"",SUMIFS('All Donations'!$S$2:$S$4001,'All Donations'!$R$2:$R$4001,$AD239,'All Donations'!$T$2:$T$4001,X$1))</f>
        <v/>
      </c>
      <c r="Y239" s="49">
        <f>IF(OR($AE239&lt;&gt;1,Y$1=""),"",SUMIFS('All Donations'!$S$2:$S$4001,'All Donations'!$R$2:$R$4001,$AD239,'All Donations'!$T$2:$T$4001,Y$1))</f>
        <v/>
      </c>
      <c r="Z239" s="49">
        <f>IF(OR($AE239&lt;&gt;1,Z$1=""),"",SUMIFS('All Donations'!$S$2:$S$4001,'All Donations'!$R$2:$R$4001,$AD239,'All Donations'!$T$2:$T$4001,Z$1))</f>
        <v/>
      </c>
      <c r="AA239" s="49">
        <f>IF(OR($AE239&lt;&gt;1,AA$1=""),"",SUMIFS('All Donations'!$S$2:$S$4001,'All Donations'!$R$2:$R$4001,$AD239,'All Donations'!$T$2:$T$4001,AA$1))</f>
        <v/>
      </c>
      <c r="AB239" s="49">
        <f>IF(OR($AE239&lt;&gt;1,AB$1=""),"",SUMIFS('All Donations'!$S$2:$S$4001,'All Donations'!$R$2:$R$4001,$AD239,'All Donations'!$T$2:$T$4001,AB$1))</f>
        <v/>
      </c>
      <c r="AC239" s="49">
        <f>IF(OR($AE239&lt;&gt;1,AC$1=""),"",SUMIFS('All Donations'!$S$2:$S$4001,'All Donations'!$R$2:$R$4001,$AD239,'All Donations'!$T$2:$T$4001,AC$1))</f>
        <v/>
      </c>
      <c r="AD239">
        <f>IF(AE239=1,'Roster'!A239,"")</f>
        <v/>
      </c>
      <c r="AE239">
        <f>IF(TRIM('Roster'!B239&amp;'Roster'!C239)&lt;&gt;"",1,0)</f>
        <v/>
      </c>
      <c r="AF239">
        <f>IF(AE239=1,LOWER(A239),"#")</f>
        <v/>
      </c>
      <c r="AG239">
        <f>IF(AE239=1,LOWER(TRIM(TRIM('Roster'!C239)&amp;", "&amp;TRIM('Roster'!B239))),"#")</f>
        <v/>
      </c>
      <c r="AH239">
        <f>IF(AND(AE239=1,TRIM('Roster'!F239)&lt;&gt;""),LOWER(TRIM('Roster'!F239)),"#")</f>
        <v/>
      </c>
      <c r="AI239">
        <f>IF(AE239=1,IF(MATCH(B239,$B$2:$B$701,0)=ROW()-1,1,0),0)</f>
        <v/>
      </c>
      <c r="AJ239">
        <f>AJ238+AI239</f>
        <v/>
      </c>
      <c r="AK239">
        <f>IF(AE239=1,D239+(1000-ROW())/10^7,-1)</f>
        <v/>
      </c>
      <c r="AL239">
        <f>IF(AE239=1,TRIM('Roster'!B239)&amp;" "&amp;LEFT(TRIM('Roster'!C239),1)&amp;".","")</f>
        <v/>
      </c>
      <c r="AM239">
        <f>IF(AE239=1,TRIM('Roster'!C239)&amp;", "&amp;TRIM('Roster'!B239)&amp;" ("&amp;B239&amp;") #"&amp;AD239,"")</f>
        <v/>
      </c>
      <c r="AN239">
        <f>IF(AE239=1,TRIM('Roster'!E239),"")</f>
        <v/>
      </c>
      <c r="AO239">
        <f>IF(AE239=1,ROUND(SUMIFS('All Donations'!$S$2:$S$4001,'All Donations'!$R$2:$R$4001,AD239,'All Donations'!$T$2:$T$4001,"&gt;="&amp;'Settings'!$C$23,'All Donations'!$T$2:$T$4001,"&lt;="&amp;'Settings'!$D$23),2),0)</f>
        <v/>
      </c>
      <c r="AQ239">
        <f>IF(AE239=1,ROUND(SUMIFS('All Donations'!$S$2:$S$4001,'All Donations'!$R$2:$R$4001,AD239,'All Donations'!$T$2:$T$4001,"&gt;="&amp;'Settings'!$C$25,'All Donations'!$T$2:$T$4001,"&lt;="&amp;'Settings'!$D$25),2),0)</f>
        <v/>
      </c>
      <c r="AR239">
        <f>IF(AE239=1,ROUND(SUMIFS('All Donations'!$S$2:$S$4001,'All Donations'!$R$2:$R$4001,AD239,'All Donations'!$T$2:$T$4001,"&gt;="&amp;'Settings'!$C$26,'All Donations'!$T$2:$T$4001,"&lt;="&amp;'Settings'!$D$26),2),0)</f>
        <v/>
      </c>
      <c r="AS239">
        <f>IF(AE239=1,ROUND(SUMIFS('All Donations'!$S$2:$S$4001,'All Donations'!$R$2:$R$4001,AD239,'All Donations'!$T$2:$T$4001,"&lt;="&amp;'Settings'!$D$27),2),0)</f>
        <v/>
      </c>
      <c r="AT239">
        <f>IF(AE239=1,ROUND(SUMIFS('All Donations'!$S$2:$S$4001,'All Donations'!$R$2:$R$4001,AD239,'All Donations'!$T$2:$T$4001,"&gt;="&amp;'Settings'!$C$28,'All Donations'!$T$2:$T$4001,"&lt;="&amp;'Settings'!$D$28),2),0)</f>
        <v/>
      </c>
      <c r="AU239">
        <f>IF(AE239=1,ROUND(SUMIFS('All Donations'!$S$2:$S$4001,'All Donations'!$R$2:$R$4001,AD239,'All Donations'!$T$2:$T$4001,"&gt;="&amp;'Settings'!$C$29,'All Donations'!$T$2:$T$4001,"&lt;="&amp;'Settings'!$D$29),2),0)</f>
        <v/>
      </c>
      <c r="AV239">
        <f>IF(AE239=1,ROUND(SUMIFS('All Donations'!$S$2:$S$4001,'All Donations'!$R$2:$R$4001,AD239,'All Donations'!$T$2:$T$4001,"&lt;="&amp;'Settings'!$D$30),2),0)</f>
        <v/>
      </c>
      <c r="AZ239">
        <f>IF(AE239=1,ROUND(SUMIFS('All Donations'!$S$2:$S$4001,'All Donations'!$R$2:$R$4001,AD239,'All Donations'!$T$2:$T$4001,"&lt;="&amp;'Settings'!$D$34),2),0)</f>
        <v/>
      </c>
    </row>
    <row r="240">
      <c r="A240">
        <f>IF(AE240=1,TRIM(TRIM('Roster'!B240)&amp;" "&amp;TRIM('Roster'!C240)),"")</f>
        <v/>
      </c>
      <c r="B240">
        <f>IF(AE240=1,IF(AN240="","(no teacher)",AN240&amp;" – "&amp;C240),"")</f>
        <v/>
      </c>
      <c r="C240">
        <f>IF(AE240=1,TRIM('Roster'!D240&amp;""),"")</f>
        <v/>
      </c>
      <c r="D240" s="48">
        <f>IF(AE240=1,ROUND(SUMIFS('All Donations'!$S$2:$S$4001,'All Donations'!$R$2:$R$4001,AD240),2),"")</f>
        <v/>
      </c>
      <c r="E240" s="48">
        <f>IF(AE240=1,ROUND(SUMIFS('All Donations'!$S$2:$S$4001,'All Donations'!$R$2:$R$4001,AD240,'All Donations'!$G$2:$G$4001,"OneCause"),2),"")</f>
        <v/>
      </c>
      <c r="F240" s="48">
        <f>IF(AE240=1,D240-E240,"")</f>
        <v/>
      </c>
      <c r="G240">
        <f>IF(AE240=1,COUNTIFS('All Donations'!$R$2:$R$4001,AD240,'All Donations'!$H$2:$H$4001,"OK"),"")</f>
        <v/>
      </c>
      <c r="H240">
        <f>IF(AE240&lt;&gt;1,"",IF(D240&gt;0,"Yes",""))</f>
        <v/>
      </c>
      <c r="I240" s="49">
        <f>IF(OR($AE240&lt;&gt;1,I$1=""),"",SUMIFS('All Donations'!$S$2:$S$4001,'All Donations'!$R$2:$R$4001,$AD240,'All Donations'!$T$2:$T$4001,I$1))</f>
        <v/>
      </c>
      <c r="J240" s="49">
        <f>IF(OR($AE240&lt;&gt;1,J$1=""),"",SUMIFS('All Donations'!$S$2:$S$4001,'All Donations'!$R$2:$R$4001,$AD240,'All Donations'!$T$2:$T$4001,J$1))</f>
        <v/>
      </c>
      <c r="K240" s="49">
        <f>IF(OR($AE240&lt;&gt;1,K$1=""),"",SUMIFS('All Donations'!$S$2:$S$4001,'All Donations'!$R$2:$R$4001,$AD240,'All Donations'!$T$2:$T$4001,K$1))</f>
        <v/>
      </c>
      <c r="L240" s="49">
        <f>IF(OR($AE240&lt;&gt;1,L$1=""),"",SUMIFS('All Donations'!$S$2:$S$4001,'All Donations'!$R$2:$R$4001,$AD240,'All Donations'!$T$2:$T$4001,L$1))</f>
        <v/>
      </c>
      <c r="M240" s="49">
        <f>IF(OR($AE240&lt;&gt;1,M$1=""),"",SUMIFS('All Donations'!$S$2:$S$4001,'All Donations'!$R$2:$R$4001,$AD240,'All Donations'!$T$2:$T$4001,M$1))</f>
        <v/>
      </c>
      <c r="N240" s="49">
        <f>IF(OR($AE240&lt;&gt;1,N$1=""),"",SUMIFS('All Donations'!$S$2:$S$4001,'All Donations'!$R$2:$R$4001,$AD240,'All Donations'!$T$2:$T$4001,N$1))</f>
        <v/>
      </c>
      <c r="O240" s="49">
        <f>IF(OR($AE240&lt;&gt;1,O$1=""),"",SUMIFS('All Donations'!$S$2:$S$4001,'All Donations'!$R$2:$R$4001,$AD240,'All Donations'!$T$2:$T$4001,O$1))</f>
        <v/>
      </c>
      <c r="P240" s="49">
        <f>IF(OR($AE240&lt;&gt;1,P$1=""),"",SUMIFS('All Donations'!$S$2:$S$4001,'All Donations'!$R$2:$R$4001,$AD240,'All Donations'!$T$2:$T$4001,P$1))</f>
        <v/>
      </c>
      <c r="Q240" s="49">
        <f>IF(OR($AE240&lt;&gt;1,Q$1=""),"",SUMIFS('All Donations'!$S$2:$S$4001,'All Donations'!$R$2:$R$4001,$AD240,'All Donations'!$T$2:$T$4001,Q$1))</f>
        <v/>
      </c>
      <c r="R240" s="49">
        <f>IF(OR($AE240&lt;&gt;1,R$1=""),"",SUMIFS('All Donations'!$S$2:$S$4001,'All Donations'!$R$2:$R$4001,$AD240,'All Donations'!$T$2:$T$4001,R$1))</f>
        <v/>
      </c>
      <c r="S240" s="49">
        <f>IF(OR($AE240&lt;&gt;1,S$1=""),"",SUMIFS('All Donations'!$S$2:$S$4001,'All Donations'!$R$2:$R$4001,$AD240,'All Donations'!$T$2:$T$4001,S$1))</f>
        <v/>
      </c>
      <c r="T240" s="49">
        <f>IF(OR($AE240&lt;&gt;1,T$1=""),"",SUMIFS('All Donations'!$S$2:$S$4001,'All Donations'!$R$2:$R$4001,$AD240,'All Donations'!$T$2:$T$4001,T$1))</f>
        <v/>
      </c>
      <c r="U240" s="49">
        <f>IF(OR($AE240&lt;&gt;1,U$1=""),"",SUMIFS('All Donations'!$S$2:$S$4001,'All Donations'!$R$2:$R$4001,$AD240,'All Donations'!$T$2:$T$4001,U$1))</f>
        <v/>
      </c>
      <c r="V240" s="49">
        <f>IF(OR($AE240&lt;&gt;1,V$1=""),"",SUMIFS('All Donations'!$S$2:$S$4001,'All Donations'!$R$2:$R$4001,$AD240,'All Donations'!$T$2:$T$4001,V$1))</f>
        <v/>
      </c>
      <c r="W240" s="49">
        <f>IF(OR($AE240&lt;&gt;1,W$1=""),"",SUMIFS('All Donations'!$S$2:$S$4001,'All Donations'!$R$2:$R$4001,$AD240,'All Donations'!$T$2:$T$4001,W$1))</f>
        <v/>
      </c>
      <c r="X240" s="49">
        <f>IF(OR($AE240&lt;&gt;1,X$1=""),"",SUMIFS('All Donations'!$S$2:$S$4001,'All Donations'!$R$2:$R$4001,$AD240,'All Donations'!$T$2:$T$4001,X$1))</f>
        <v/>
      </c>
      <c r="Y240" s="49">
        <f>IF(OR($AE240&lt;&gt;1,Y$1=""),"",SUMIFS('All Donations'!$S$2:$S$4001,'All Donations'!$R$2:$R$4001,$AD240,'All Donations'!$T$2:$T$4001,Y$1))</f>
        <v/>
      </c>
      <c r="Z240" s="49">
        <f>IF(OR($AE240&lt;&gt;1,Z$1=""),"",SUMIFS('All Donations'!$S$2:$S$4001,'All Donations'!$R$2:$R$4001,$AD240,'All Donations'!$T$2:$T$4001,Z$1))</f>
        <v/>
      </c>
      <c r="AA240" s="49">
        <f>IF(OR($AE240&lt;&gt;1,AA$1=""),"",SUMIFS('All Donations'!$S$2:$S$4001,'All Donations'!$R$2:$R$4001,$AD240,'All Donations'!$T$2:$T$4001,AA$1))</f>
        <v/>
      </c>
      <c r="AB240" s="49">
        <f>IF(OR($AE240&lt;&gt;1,AB$1=""),"",SUMIFS('All Donations'!$S$2:$S$4001,'All Donations'!$R$2:$R$4001,$AD240,'All Donations'!$T$2:$T$4001,AB$1))</f>
        <v/>
      </c>
      <c r="AC240" s="49">
        <f>IF(OR($AE240&lt;&gt;1,AC$1=""),"",SUMIFS('All Donations'!$S$2:$S$4001,'All Donations'!$R$2:$R$4001,$AD240,'All Donations'!$T$2:$T$4001,AC$1))</f>
        <v/>
      </c>
      <c r="AD240">
        <f>IF(AE240=1,'Roster'!A240,"")</f>
        <v/>
      </c>
      <c r="AE240">
        <f>IF(TRIM('Roster'!B240&amp;'Roster'!C240)&lt;&gt;"",1,0)</f>
        <v/>
      </c>
      <c r="AF240">
        <f>IF(AE240=1,LOWER(A240),"#")</f>
        <v/>
      </c>
      <c r="AG240">
        <f>IF(AE240=1,LOWER(TRIM(TRIM('Roster'!C240)&amp;", "&amp;TRIM('Roster'!B240))),"#")</f>
        <v/>
      </c>
      <c r="AH240">
        <f>IF(AND(AE240=1,TRIM('Roster'!F240)&lt;&gt;""),LOWER(TRIM('Roster'!F240)),"#")</f>
        <v/>
      </c>
      <c r="AI240">
        <f>IF(AE240=1,IF(MATCH(B240,$B$2:$B$701,0)=ROW()-1,1,0),0)</f>
        <v/>
      </c>
      <c r="AJ240">
        <f>AJ239+AI240</f>
        <v/>
      </c>
      <c r="AK240">
        <f>IF(AE240=1,D240+(1000-ROW())/10^7,-1)</f>
        <v/>
      </c>
      <c r="AL240">
        <f>IF(AE240=1,TRIM('Roster'!B240)&amp;" "&amp;LEFT(TRIM('Roster'!C240),1)&amp;".","")</f>
        <v/>
      </c>
      <c r="AM240">
        <f>IF(AE240=1,TRIM('Roster'!C240)&amp;", "&amp;TRIM('Roster'!B240)&amp;" ("&amp;B240&amp;") #"&amp;AD240,"")</f>
        <v/>
      </c>
      <c r="AN240">
        <f>IF(AE240=1,TRIM('Roster'!E240),"")</f>
        <v/>
      </c>
      <c r="AO240">
        <f>IF(AE240=1,ROUND(SUMIFS('All Donations'!$S$2:$S$4001,'All Donations'!$R$2:$R$4001,AD240,'All Donations'!$T$2:$T$4001,"&gt;="&amp;'Settings'!$C$23,'All Donations'!$T$2:$T$4001,"&lt;="&amp;'Settings'!$D$23),2),0)</f>
        <v/>
      </c>
      <c r="AQ240">
        <f>IF(AE240=1,ROUND(SUMIFS('All Donations'!$S$2:$S$4001,'All Donations'!$R$2:$R$4001,AD240,'All Donations'!$T$2:$T$4001,"&gt;="&amp;'Settings'!$C$25,'All Donations'!$T$2:$T$4001,"&lt;="&amp;'Settings'!$D$25),2),0)</f>
        <v/>
      </c>
      <c r="AR240">
        <f>IF(AE240=1,ROUND(SUMIFS('All Donations'!$S$2:$S$4001,'All Donations'!$R$2:$R$4001,AD240,'All Donations'!$T$2:$T$4001,"&gt;="&amp;'Settings'!$C$26,'All Donations'!$T$2:$T$4001,"&lt;="&amp;'Settings'!$D$26),2),0)</f>
        <v/>
      </c>
      <c r="AS240">
        <f>IF(AE240=1,ROUND(SUMIFS('All Donations'!$S$2:$S$4001,'All Donations'!$R$2:$R$4001,AD240,'All Donations'!$T$2:$T$4001,"&lt;="&amp;'Settings'!$D$27),2),0)</f>
        <v/>
      </c>
      <c r="AT240">
        <f>IF(AE240=1,ROUND(SUMIFS('All Donations'!$S$2:$S$4001,'All Donations'!$R$2:$R$4001,AD240,'All Donations'!$T$2:$T$4001,"&gt;="&amp;'Settings'!$C$28,'All Donations'!$T$2:$T$4001,"&lt;="&amp;'Settings'!$D$28),2),0)</f>
        <v/>
      </c>
      <c r="AU240">
        <f>IF(AE240=1,ROUND(SUMIFS('All Donations'!$S$2:$S$4001,'All Donations'!$R$2:$R$4001,AD240,'All Donations'!$T$2:$T$4001,"&gt;="&amp;'Settings'!$C$29,'All Donations'!$T$2:$T$4001,"&lt;="&amp;'Settings'!$D$29),2),0)</f>
        <v/>
      </c>
      <c r="AV240">
        <f>IF(AE240=1,ROUND(SUMIFS('All Donations'!$S$2:$S$4001,'All Donations'!$R$2:$R$4001,AD240,'All Donations'!$T$2:$T$4001,"&lt;="&amp;'Settings'!$D$30),2),0)</f>
        <v/>
      </c>
      <c r="AZ240">
        <f>IF(AE240=1,ROUND(SUMIFS('All Donations'!$S$2:$S$4001,'All Donations'!$R$2:$R$4001,AD240,'All Donations'!$T$2:$T$4001,"&lt;="&amp;'Settings'!$D$34),2),0)</f>
        <v/>
      </c>
    </row>
    <row r="241">
      <c r="A241">
        <f>IF(AE241=1,TRIM(TRIM('Roster'!B241)&amp;" "&amp;TRIM('Roster'!C241)),"")</f>
        <v/>
      </c>
      <c r="B241">
        <f>IF(AE241=1,IF(AN241="","(no teacher)",AN241&amp;" – "&amp;C241),"")</f>
        <v/>
      </c>
      <c r="C241">
        <f>IF(AE241=1,TRIM('Roster'!D241&amp;""),"")</f>
        <v/>
      </c>
      <c r="D241" s="48">
        <f>IF(AE241=1,ROUND(SUMIFS('All Donations'!$S$2:$S$4001,'All Donations'!$R$2:$R$4001,AD241),2),"")</f>
        <v/>
      </c>
      <c r="E241" s="48">
        <f>IF(AE241=1,ROUND(SUMIFS('All Donations'!$S$2:$S$4001,'All Donations'!$R$2:$R$4001,AD241,'All Donations'!$G$2:$G$4001,"OneCause"),2),"")</f>
        <v/>
      </c>
      <c r="F241" s="48">
        <f>IF(AE241=1,D241-E241,"")</f>
        <v/>
      </c>
      <c r="G241">
        <f>IF(AE241=1,COUNTIFS('All Donations'!$R$2:$R$4001,AD241,'All Donations'!$H$2:$H$4001,"OK"),"")</f>
        <v/>
      </c>
      <c r="H241">
        <f>IF(AE241&lt;&gt;1,"",IF(D241&gt;0,"Yes",""))</f>
        <v/>
      </c>
      <c r="I241" s="49">
        <f>IF(OR($AE241&lt;&gt;1,I$1=""),"",SUMIFS('All Donations'!$S$2:$S$4001,'All Donations'!$R$2:$R$4001,$AD241,'All Donations'!$T$2:$T$4001,I$1))</f>
        <v/>
      </c>
      <c r="J241" s="49">
        <f>IF(OR($AE241&lt;&gt;1,J$1=""),"",SUMIFS('All Donations'!$S$2:$S$4001,'All Donations'!$R$2:$R$4001,$AD241,'All Donations'!$T$2:$T$4001,J$1))</f>
        <v/>
      </c>
      <c r="K241" s="49">
        <f>IF(OR($AE241&lt;&gt;1,K$1=""),"",SUMIFS('All Donations'!$S$2:$S$4001,'All Donations'!$R$2:$R$4001,$AD241,'All Donations'!$T$2:$T$4001,K$1))</f>
        <v/>
      </c>
      <c r="L241" s="49">
        <f>IF(OR($AE241&lt;&gt;1,L$1=""),"",SUMIFS('All Donations'!$S$2:$S$4001,'All Donations'!$R$2:$R$4001,$AD241,'All Donations'!$T$2:$T$4001,L$1))</f>
        <v/>
      </c>
      <c r="M241" s="49">
        <f>IF(OR($AE241&lt;&gt;1,M$1=""),"",SUMIFS('All Donations'!$S$2:$S$4001,'All Donations'!$R$2:$R$4001,$AD241,'All Donations'!$T$2:$T$4001,M$1))</f>
        <v/>
      </c>
      <c r="N241" s="49">
        <f>IF(OR($AE241&lt;&gt;1,N$1=""),"",SUMIFS('All Donations'!$S$2:$S$4001,'All Donations'!$R$2:$R$4001,$AD241,'All Donations'!$T$2:$T$4001,N$1))</f>
        <v/>
      </c>
      <c r="O241" s="49">
        <f>IF(OR($AE241&lt;&gt;1,O$1=""),"",SUMIFS('All Donations'!$S$2:$S$4001,'All Donations'!$R$2:$R$4001,$AD241,'All Donations'!$T$2:$T$4001,O$1))</f>
        <v/>
      </c>
      <c r="P241" s="49">
        <f>IF(OR($AE241&lt;&gt;1,P$1=""),"",SUMIFS('All Donations'!$S$2:$S$4001,'All Donations'!$R$2:$R$4001,$AD241,'All Donations'!$T$2:$T$4001,P$1))</f>
        <v/>
      </c>
      <c r="Q241" s="49">
        <f>IF(OR($AE241&lt;&gt;1,Q$1=""),"",SUMIFS('All Donations'!$S$2:$S$4001,'All Donations'!$R$2:$R$4001,$AD241,'All Donations'!$T$2:$T$4001,Q$1))</f>
        <v/>
      </c>
      <c r="R241" s="49">
        <f>IF(OR($AE241&lt;&gt;1,R$1=""),"",SUMIFS('All Donations'!$S$2:$S$4001,'All Donations'!$R$2:$R$4001,$AD241,'All Donations'!$T$2:$T$4001,R$1))</f>
        <v/>
      </c>
      <c r="S241" s="49">
        <f>IF(OR($AE241&lt;&gt;1,S$1=""),"",SUMIFS('All Donations'!$S$2:$S$4001,'All Donations'!$R$2:$R$4001,$AD241,'All Donations'!$T$2:$T$4001,S$1))</f>
        <v/>
      </c>
      <c r="T241" s="49">
        <f>IF(OR($AE241&lt;&gt;1,T$1=""),"",SUMIFS('All Donations'!$S$2:$S$4001,'All Donations'!$R$2:$R$4001,$AD241,'All Donations'!$T$2:$T$4001,T$1))</f>
        <v/>
      </c>
      <c r="U241" s="49">
        <f>IF(OR($AE241&lt;&gt;1,U$1=""),"",SUMIFS('All Donations'!$S$2:$S$4001,'All Donations'!$R$2:$R$4001,$AD241,'All Donations'!$T$2:$T$4001,U$1))</f>
        <v/>
      </c>
      <c r="V241" s="49">
        <f>IF(OR($AE241&lt;&gt;1,V$1=""),"",SUMIFS('All Donations'!$S$2:$S$4001,'All Donations'!$R$2:$R$4001,$AD241,'All Donations'!$T$2:$T$4001,V$1))</f>
        <v/>
      </c>
      <c r="W241" s="49">
        <f>IF(OR($AE241&lt;&gt;1,W$1=""),"",SUMIFS('All Donations'!$S$2:$S$4001,'All Donations'!$R$2:$R$4001,$AD241,'All Donations'!$T$2:$T$4001,W$1))</f>
        <v/>
      </c>
      <c r="X241" s="49">
        <f>IF(OR($AE241&lt;&gt;1,X$1=""),"",SUMIFS('All Donations'!$S$2:$S$4001,'All Donations'!$R$2:$R$4001,$AD241,'All Donations'!$T$2:$T$4001,X$1))</f>
        <v/>
      </c>
      <c r="Y241" s="49">
        <f>IF(OR($AE241&lt;&gt;1,Y$1=""),"",SUMIFS('All Donations'!$S$2:$S$4001,'All Donations'!$R$2:$R$4001,$AD241,'All Donations'!$T$2:$T$4001,Y$1))</f>
        <v/>
      </c>
      <c r="Z241" s="49">
        <f>IF(OR($AE241&lt;&gt;1,Z$1=""),"",SUMIFS('All Donations'!$S$2:$S$4001,'All Donations'!$R$2:$R$4001,$AD241,'All Donations'!$T$2:$T$4001,Z$1))</f>
        <v/>
      </c>
      <c r="AA241" s="49">
        <f>IF(OR($AE241&lt;&gt;1,AA$1=""),"",SUMIFS('All Donations'!$S$2:$S$4001,'All Donations'!$R$2:$R$4001,$AD241,'All Donations'!$T$2:$T$4001,AA$1))</f>
        <v/>
      </c>
      <c r="AB241" s="49">
        <f>IF(OR($AE241&lt;&gt;1,AB$1=""),"",SUMIFS('All Donations'!$S$2:$S$4001,'All Donations'!$R$2:$R$4001,$AD241,'All Donations'!$T$2:$T$4001,AB$1))</f>
        <v/>
      </c>
      <c r="AC241" s="49">
        <f>IF(OR($AE241&lt;&gt;1,AC$1=""),"",SUMIFS('All Donations'!$S$2:$S$4001,'All Donations'!$R$2:$R$4001,$AD241,'All Donations'!$T$2:$T$4001,AC$1))</f>
        <v/>
      </c>
      <c r="AD241">
        <f>IF(AE241=1,'Roster'!A241,"")</f>
        <v/>
      </c>
      <c r="AE241">
        <f>IF(TRIM('Roster'!B241&amp;'Roster'!C241)&lt;&gt;"",1,0)</f>
        <v/>
      </c>
      <c r="AF241">
        <f>IF(AE241=1,LOWER(A241),"#")</f>
        <v/>
      </c>
      <c r="AG241">
        <f>IF(AE241=1,LOWER(TRIM(TRIM('Roster'!C241)&amp;", "&amp;TRIM('Roster'!B241))),"#")</f>
        <v/>
      </c>
      <c r="AH241">
        <f>IF(AND(AE241=1,TRIM('Roster'!F241)&lt;&gt;""),LOWER(TRIM('Roster'!F241)),"#")</f>
        <v/>
      </c>
      <c r="AI241">
        <f>IF(AE241=1,IF(MATCH(B241,$B$2:$B$701,0)=ROW()-1,1,0),0)</f>
        <v/>
      </c>
      <c r="AJ241">
        <f>AJ240+AI241</f>
        <v/>
      </c>
      <c r="AK241">
        <f>IF(AE241=1,D241+(1000-ROW())/10^7,-1)</f>
        <v/>
      </c>
      <c r="AL241">
        <f>IF(AE241=1,TRIM('Roster'!B241)&amp;" "&amp;LEFT(TRIM('Roster'!C241),1)&amp;".","")</f>
        <v/>
      </c>
      <c r="AM241">
        <f>IF(AE241=1,TRIM('Roster'!C241)&amp;", "&amp;TRIM('Roster'!B241)&amp;" ("&amp;B241&amp;") #"&amp;AD241,"")</f>
        <v/>
      </c>
      <c r="AN241">
        <f>IF(AE241=1,TRIM('Roster'!E241),"")</f>
        <v/>
      </c>
      <c r="AO241">
        <f>IF(AE241=1,ROUND(SUMIFS('All Donations'!$S$2:$S$4001,'All Donations'!$R$2:$R$4001,AD241,'All Donations'!$T$2:$T$4001,"&gt;="&amp;'Settings'!$C$23,'All Donations'!$T$2:$T$4001,"&lt;="&amp;'Settings'!$D$23),2),0)</f>
        <v/>
      </c>
      <c r="AQ241">
        <f>IF(AE241=1,ROUND(SUMIFS('All Donations'!$S$2:$S$4001,'All Donations'!$R$2:$R$4001,AD241,'All Donations'!$T$2:$T$4001,"&gt;="&amp;'Settings'!$C$25,'All Donations'!$T$2:$T$4001,"&lt;="&amp;'Settings'!$D$25),2),0)</f>
        <v/>
      </c>
      <c r="AR241">
        <f>IF(AE241=1,ROUND(SUMIFS('All Donations'!$S$2:$S$4001,'All Donations'!$R$2:$R$4001,AD241,'All Donations'!$T$2:$T$4001,"&gt;="&amp;'Settings'!$C$26,'All Donations'!$T$2:$T$4001,"&lt;="&amp;'Settings'!$D$26),2),0)</f>
        <v/>
      </c>
      <c r="AS241">
        <f>IF(AE241=1,ROUND(SUMIFS('All Donations'!$S$2:$S$4001,'All Donations'!$R$2:$R$4001,AD241,'All Donations'!$T$2:$T$4001,"&lt;="&amp;'Settings'!$D$27),2),0)</f>
        <v/>
      </c>
      <c r="AT241">
        <f>IF(AE241=1,ROUND(SUMIFS('All Donations'!$S$2:$S$4001,'All Donations'!$R$2:$R$4001,AD241,'All Donations'!$T$2:$T$4001,"&gt;="&amp;'Settings'!$C$28,'All Donations'!$T$2:$T$4001,"&lt;="&amp;'Settings'!$D$28),2),0)</f>
        <v/>
      </c>
      <c r="AU241">
        <f>IF(AE241=1,ROUND(SUMIFS('All Donations'!$S$2:$S$4001,'All Donations'!$R$2:$R$4001,AD241,'All Donations'!$T$2:$T$4001,"&gt;="&amp;'Settings'!$C$29,'All Donations'!$T$2:$T$4001,"&lt;="&amp;'Settings'!$D$29),2),0)</f>
        <v/>
      </c>
      <c r="AV241">
        <f>IF(AE241=1,ROUND(SUMIFS('All Donations'!$S$2:$S$4001,'All Donations'!$R$2:$R$4001,AD241,'All Donations'!$T$2:$T$4001,"&lt;="&amp;'Settings'!$D$30),2),0)</f>
        <v/>
      </c>
      <c r="AZ241">
        <f>IF(AE241=1,ROUND(SUMIFS('All Donations'!$S$2:$S$4001,'All Donations'!$R$2:$R$4001,AD241,'All Donations'!$T$2:$T$4001,"&lt;="&amp;'Settings'!$D$34),2),0)</f>
        <v/>
      </c>
    </row>
    <row r="242">
      <c r="A242">
        <f>IF(AE242=1,TRIM(TRIM('Roster'!B242)&amp;" "&amp;TRIM('Roster'!C242)),"")</f>
        <v/>
      </c>
      <c r="B242">
        <f>IF(AE242=1,IF(AN242="","(no teacher)",AN242&amp;" – "&amp;C242),"")</f>
        <v/>
      </c>
      <c r="C242">
        <f>IF(AE242=1,TRIM('Roster'!D242&amp;""),"")</f>
        <v/>
      </c>
      <c r="D242" s="48">
        <f>IF(AE242=1,ROUND(SUMIFS('All Donations'!$S$2:$S$4001,'All Donations'!$R$2:$R$4001,AD242),2),"")</f>
        <v/>
      </c>
      <c r="E242" s="48">
        <f>IF(AE242=1,ROUND(SUMIFS('All Donations'!$S$2:$S$4001,'All Donations'!$R$2:$R$4001,AD242,'All Donations'!$G$2:$G$4001,"OneCause"),2),"")</f>
        <v/>
      </c>
      <c r="F242" s="48">
        <f>IF(AE242=1,D242-E242,"")</f>
        <v/>
      </c>
      <c r="G242">
        <f>IF(AE242=1,COUNTIFS('All Donations'!$R$2:$R$4001,AD242,'All Donations'!$H$2:$H$4001,"OK"),"")</f>
        <v/>
      </c>
      <c r="H242">
        <f>IF(AE242&lt;&gt;1,"",IF(D242&gt;0,"Yes",""))</f>
        <v/>
      </c>
      <c r="I242" s="49">
        <f>IF(OR($AE242&lt;&gt;1,I$1=""),"",SUMIFS('All Donations'!$S$2:$S$4001,'All Donations'!$R$2:$R$4001,$AD242,'All Donations'!$T$2:$T$4001,I$1))</f>
        <v/>
      </c>
      <c r="J242" s="49">
        <f>IF(OR($AE242&lt;&gt;1,J$1=""),"",SUMIFS('All Donations'!$S$2:$S$4001,'All Donations'!$R$2:$R$4001,$AD242,'All Donations'!$T$2:$T$4001,J$1))</f>
        <v/>
      </c>
      <c r="K242" s="49">
        <f>IF(OR($AE242&lt;&gt;1,K$1=""),"",SUMIFS('All Donations'!$S$2:$S$4001,'All Donations'!$R$2:$R$4001,$AD242,'All Donations'!$T$2:$T$4001,K$1))</f>
        <v/>
      </c>
      <c r="L242" s="49">
        <f>IF(OR($AE242&lt;&gt;1,L$1=""),"",SUMIFS('All Donations'!$S$2:$S$4001,'All Donations'!$R$2:$R$4001,$AD242,'All Donations'!$T$2:$T$4001,L$1))</f>
        <v/>
      </c>
      <c r="M242" s="49">
        <f>IF(OR($AE242&lt;&gt;1,M$1=""),"",SUMIFS('All Donations'!$S$2:$S$4001,'All Donations'!$R$2:$R$4001,$AD242,'All Donations'!$T$2:$T$4001,M$1))</f>
        <v/>
      </c>
      <c r="N242" s="49">
        <f>IF(OR($AE242&lt;&gt;1,N$1=""),"",SUMIFS('All Donations'!$S$2:$S$4001,'All Donations'!$R$2:$R$4001,$AD242,'All Donations'!$T$2:$T$4001,N$1))</f>
        <v/>
      </c>
      <c r="O242" s="49">
        <f>IF(OR($AE242&lt;&gt;1,O$1=""),"",SUMIFS('All Donations'!$S$2:$S$4001,'All Donations'!$R$2:$R$4001,$AD242,'All Donations'!$T$2:$T$4001,O$1))</f>
        <v/>
      </c>
      <c r="P242" s="49">
        <f>IF(OR($AE242&lt;&gt;1,P$1=""),"",SUMIFS('All Donations'!$S$2:$S$4001,'All Donations'!$R$2:$R$4001,$AD242,'All Donations'!$T$2:$T$4001,P$1))</f>
        <v/>
      </c>
      <c r="Q242" s="49">
        <f>IF(OR($AE242&lt;&gt;1,Q$1=""),"",SUMIFS('All Donations'!$S$2:$S$4001,'All Donations'!$R$2:$R$4001,$AD242,'All Donations'!$T$2:$T$4001,Q$1))</f>
        <v/>
      </c>
      <c r="R242" s="49">
        <f>IF(OR($AE242&lt;&gt;1,R$1=""),"",SUMIFS('All Donations'!$S$2:$S$4001,'All Donations'!$R$2:$R$4001,$AD242,'All Donations'!$T$2:$T$4001,R$1))</f>
        <v/>
      </c>
      <c r="S242" s="49">
        <f>IF(OR($AE242&lt;&gt;1,S$1=""),"",SUMIFS('All Donations'!$S$2:$S$4001,'All Donations'!$R$2:$R$4001,$AD242,'All Donations'!$T$2:$T$4001,S$1))</f>
        <v/>
      </c>
      <c r="T242" s="49">
        <f>IF(OR($AE242&lt;&gt;1,T$1=""),"",SUMIFS('All Donations'!$S$2:$S$4001,'All Donations'!$R$2:$R$4001,$AD242,'All Donations'!$T$2:$T$4001,T$1))</f>
        <v/>
      </c>
      <c r="U242" s="49">
        <f>IF(OR($AE242&lt;&gt;1,U$1=""),"",SUMIFS('All Donations'!$S$2:$S$4001,'All Donations'!$R$2:$R$4001,$AD242,'All Donations'!$T$2:$T$4001,U$1))</f>
        <v/>
      </c>
      <c r="V242" s="49">
        <f>IF(OR($AE242&lt;&gt;1,V$1=""),"",SUMIFS('All Donations'!$S$2:$S$4001,'All Donations'!$R$2:$R$4001,$AD242,'All Donations'!$T$2:$T$4001,V$1))</f>
        <v/>
      </c>
      <c r="W242" s="49">
        <f>IF(OR($AE242&lt;&gt;1,W$1=""),"",SUMIFS('All Donations'!$S$2:$S$4001,'All Donations'!$R$2:$R$4001,$AD242,'All Donations'!$T$2:$T$4001,W$1))</f>
        <v/>
      </c>
      <c r="X242" s="49">
        <f>IF(OR($AE242&lt;&gt;1,X$1=""),"",SUMIFS('All Donations'!$S$2:$S$4001,'All Donations'!$R$2:$R$4001,$AD242,'All Donations'!$T$2:$T$4001,X$1))</f>
        <v/>
      </c>
      <c r="Y242" s="49">
        <f>IF(OR($AE242&lt;&gt;1,Y$1=""),"",SUMIFS('All Donations'!$S$2:$S$4001,'All Donations'!$R$2:$R$4001,$AD242,'All Donations'!$T$2:$T$4001,Y$1))</f>
        <v/>
      </c>
      <c r="Z242" s="49">
        <f>IF(OR($AE242&lt;&gt;1,Z$1=""),"",SUMIFS('All Donations'!$S$2:$S$4001,'All Donations'!$R$2:$R$4001,$AD242,'All Donations'!$T$2:$T$4001,Z$1))</f>
        <v/>
      </c>
      <c r="AA242" s="49">
        <f>IF(OR($AE242&lt;&gt;1,AA$1=""),"",SUMIFS('All Donations'!$S$2:$S$4001,'All Donations'!$R$2:$R$4001,$AD242,'All Donations'!$T$2:$T$4001,AA$1))</f>
        <v/>
      </c>
      <c r="AB242" s="49">
        <f>IF(OR($AE242&lt;&gt;1,AB$1=""),"",SUMIFS('All Donations'!$S$2:$S$4001,'All Donations'!$R$2:$R$4001,$AD242,'All Donations'!$T$2:$T$4001,AB$1))</f>
        <v/>
      </c>
      <c r="AC242" s="49">
        <f>IF(OR($AE242&lt;&gt;1,AC$1=""),"",SUMIFS('All Donations'!$S$2:$S$4001,'All Donations'!$R$2:$R$4001,$AD242,'All Donations'!$T$2:$T$4001,AC$1))</f>
        <v/>
      </c>
      <c r="AD242">
        <f>IF(AE242=1,'Roster'!A242,"")</f>
        <v/>
      </c>
      <c r="AE242">
        <f>IF(TRIM('Roster'!B242&amp;'Roster'!C242)&lt;&gt;"",1,0)</f>
        <v/>
      </c>
      <c r="AF242">
        <f>IF(AE242=1,LOWER(A242),"#")</f>
        <v/>
      </c>
      <c r="AG242">
        <f>IF(AE242=1,LOWER(TRIM(TRIM('Roster'!C242)&amp;", "&amp;TRIM('Roster'!B242))),"#")</f>
        <v/>
      </c>
      <c r="AH242">
        <f>IF(AND(AE242=1,TRIM('Roster'!F242)&lt;&gt;""),LOWER(TRIM('Roster'!F242)),"#")</f>
        <v/>
      </c>
      <c r="AI242">
        <f>IF(AE242=1,IF(MATCH(B242,$B$2:$B$701,0)=ROW()-1,1,0),0)</f>
        <v/>
      </c>
      <c r="AJ242">
        <f>AJ241+AI242</f>
        <v/>
      </c>
      <c r="AK242">
        <f>IF(AE242=1,D242+(1000-ROW())/10^7,-1)</f>
        <v/>
      </c>
      <c r="AL242">
        <f>IF(AE242=1,TRIM('Roster'!B242)&amp;" "&amp;LEFT(TRIM('Roster'!C242),1)&amp;".","")</f>
        <v/>
      </c>
      <c r="AM242">
        <f>IF(AE242=1,TRIM('Roster'!C242)&amp;", "&amp;TRIM('Roster'!B242)&amp;" ("&amp;B242&amp;") #"&amp;AD242,"")</f>
        <v/>
      </c>
      <c r="AN242">
        <f>IF(AE242=1,TRIM('Roster'!E242),"")</f>
        <v/>
      </c>
      <c r="AO242">
        <f>IF(AE242=1,ROUND(SUMIFS('All Donations'!$S$2:$S$4001,'All Donations'!$R$2:$R$4001,AD242,'All Donations'!$T$2:$T$4001,"&gt;="&amp;'Settings'!$C$23,'All Donations'!$T$2:$T$4001,"&lt;="&amp;'Settings'!$D$23),2),0)</f>
        <v/>
      </c>
      <c r="AQ242">
        <f>IF(AE242=1,ROUND(SUMIFS('All Donations'!$S$2:$S$4001,'All Donations'!$R$2:$R$4001,AD242,'All Donations'!$T$2:$T$4001,"&gt;="&amp;'Settings'!$C$25,'All Donations'!$T$2:$T$4001,"&lt;="&amp;'Settings'!$D$25),2),0)</f>
        <v/>
      </c>
      <c r="AR242">
        <f>IF(AE242=1,ROUND(SUMIFS('All Donations'!$S$2:$S$4001,'All Donations'!$R$2:$R$4001,AD242,'All Donations'!$T$2:$T$4001,"&gt;="&amp;'Settings'!$C$26,'All Donations'!$T$2:$T$4001,"&lt;="&amp;'Settings'!$D$26),2),0)</f>
        <v/>
      </c>
      <c r="AS242">
        <f>IF(AE242=1,ROUND(SUMIFS('All Donations'!$S$2:$S$4001,'All Donations'!$R$2:$R$4001,AD242,'All Donations'!$T$2:$T$4001,"&lt;="&amp;'Settings'!$D$27),2),0)</f>
        <v/>
      </c>
      <c r="AT242">
        <f>IF(AE242=1,ROUND(SUMIFS('All Donations'!$S$2:$S$4001,'All Donations'!$R$2:$R$4001,AD242,'All Donations'!$T$2:$T$4001,"&gt;="&amp;'Settings'!$C$28,'All Donations'!$T$2:$T$4001,"&lt;="&amp;'Settings'!$D$28),2),0)</f>
        <v/>
      </c>
      <c r="AU242">
        <f>IF(AE242=1,ROUND(SUMIFS('All Donations'!$S$2:$S$4001,'All Donations'!$R$2:$R$4001,AD242,'All Donations'!$T$2:$T$4001,"&gt;="&amp;'Settings'!$C$29,'All Donations'!$T$2:$T$4001,"&lt;="&amp;'Settings'!$D$29),2),0)</f>
        <v/>
      </c>
      <c r="AV242">
        <f>IF(AE242=1,ROUND(SUMIFS('All Donations'!$S$2:$S$4001,'All Donations'!$R$2:$R$4001,AD242,'All Donations'!$T$2:$T$4001,"&lt;="&amp;'Settings'!$D$30),2),0)</f>
        <v/>
      </c>
      <c r="AZ242">
        <f>IF(AE242=1,ROUND(SUMIFS('All Donations'!$S$2:$S$4001,'All Donations'!$R$2:$R$4001,AD242,'All Donations'!$T$2:$T$4001,"&lt;="&amp;'Settings'!$D$34),2),0)</f>
        <v/>
      </c>
    </row>
    <row r="243">
      <c r="A243">
        <f>IF(AE243=1,TRIM(TRIM('Roster'!B243)&amp;" "&amp;TRIM('Roster'!C243)),"")</f>
        <v/>
      </c>
      <c r="B243">
        <f>IF(AE243=1,IF(AN243="","(no teacher)",AN243&amp;" – "&amp;C243),"")</f>
        <v/>
      </c>
      <c r="C243">
        <f>IF(AE243=1,TRIM('Roster'!D243&amp;""),"")</f>
        <v/>
      </c>
      <c r="D243" s="48">
        <f>IF(AE243=1,ROUND(SUMIFS('All Donations'!$S$2:$S$4001,'All Donations'!$R$2:$R$4001,AD243),2),"")</f>
        <v/>
      </c>
      <c r="E243" s="48">
        <f>IF(AE243=1,ROUND(SUMIFS('All Donations'!$S$2:$S$4001,'All Donations'!$R$2:$R$4001,AD243,'All Donations'!$G$2:$G$4001,"OneCause"),2),"")</f>
        <v/>
      </c>
      <c r="F243" s="48">
        <f>IF(AE243=1,D243-E243,"")</f>
        <v/>
      </c>
      <c r="G243">
        <f>IF(AE243=1,COUNTIFS('All Donations'!$R$2:$R$4001,AD243,'All Donations'!$H$2:$H$4001,"OK"),"")</f>
        <v/>
      </c>
      <c r="H243">
        <f>IF(AE243&lt;&gt;1,"",IF(D243&gt;0,"Yes",""))</f>
        <v/>
      </c>
      <c r="I243" s="49">
        <f>IF(OR($AE243&lt;&gt;1,I$1=""),"",SUMIFS('All Donations'!$S$2:$S$4001,'All Donations'!$R$2:$R$4001,$AD243,'All Donations'!$T$2:$T$4001,I$1))</f>
        <v/>
      </c>
      <c r="J243" s="49">
        <f>IF(OR($AE243&lt;&gt;1,J$1=""),"",SUMIFS('All Donations'!$S$2:$S$4001,'All Donations'!$R$2:$R$4001,$AD243,'All Donations'!$T$2:$T$4001,J$1))</f>
        <v/>
      </c>
      <c r="K243" s="49">
        <f>IF(OR($AE243&lt;&gt;1,K$1=""),"",SUMIFS('All Donations'!$S$2:$S$4001,'All Donations'!$R$2:$R$4001,$AD243,'All Donations'!$T$2:$T$4001,K$1))</f>
        <v/>
      </c>
      <c r="L243" s="49">
        <f>IF(OR($AE243&lt;&gt;1,L$1=""),"",SUMIFS('All Donations'!$S$2:$S$4001,'All Donations'!$R$2:$R$4001,$AD243,'All Donations'!$T$2:$T$4001,L$1))</f>
        <v/>
      </c>
      <c r="M243" s="49">
        <f>IF(OR($AE243&lt;&gt;1,M$1=""),"",SUMIFS('All Donations'!$S$2:$S$4001,'All Donations'!$R$2:$R$4001,$AD243,'All Donations'!$T$2:$T$4001,M$1))</f>
        <v/>
      </c>
      <c r="N243" s="49">
        <f>IF(OR($AE243&lt;&gt;1,N$1=""),"",SUMIFS('All Donations'!$S$2:$S$4001,'All Donations'!$R$2:$R$4001,$AD243,'All Donations'!$T$2:$T$4001,N$1))</f>
        <v/>
      </c>
      <c r="O243" s="49">
        <f>IF(OR($AE243&lt;&gt;1,O$1=""),"",SUMIFS('All Donations'!$S$2:$S$4001,'All Donations'!$R$2:$R$4001,$AD243,'All Donations'!$T$2:$T$4001,O$1))</f>
        <v/>
      </c>
      <c r="P243" s="49">
        <f>IF(OR($AE243&lt;&gt;1,P$1=""),"",SUMIFS('All Donations'!$S$2:$S$4001,'All Donations'!$R$2:$R$4001,$AD243,'All Donations'!$T$2:$T$4001,P$1))</f>
        <v/>
      </c>
      <c r="Q243" s="49">
        <f>IF(OR($AE243&lt;&gt;1,Q$1=""),"",SUMIFS('All Donations'!$S$2:$S$4001,'All Donations'!$R$2:$R$4001,$AD243,'All Donations'!$T$2:$T$4001,Q$1))</f>
        <v/>
      </c>
      <c r="R243" s="49">
        <f>IF(OR($AE243&lt;&gt;1,R$1=""),"",SUMIFS('All Donations'!$S$2:$S$4001,'All Donations'!$R$2:$R$4001,$AD243,'All Donations'!$T$2:$T$4001,R$1))</f>
        <v/>
      </c>
      <c r="S243" s="49">
        <f>IF(OR($AE243&lt;&gt;1,S$1=""),"",SUMIFS('All Donations'!$S$2:$S$4001,'All Donations'!$R$2:$R$4001,$AD243,'All Donations'!$T$2:$T$4001,S$1))</f>
        <v/>
      </c>
      <c r="T243" s="49">
        <f>IF(OR($AE243&lt;&gt;1,T$1=""),"",SUMIFS('All Donations'!$S$2:$S$4001,'All Donations'!$R$2:$R$4001,$AD243,'All Donations'!$T$2:$T$4001,T$1))</f>
        <v/>
      </c>
      <c r="U243" s="49">
        <f>IF(OR($AE243&lt;&gt;1,U$1=""),"",SUMIFS('All Donations'!$S$2:$S$4001,'All Donations'!$R$2:$R$4001,$AD243,'All Donations'!$T$2:$T$4001,U$1))</f>
        <v/>
      </c>
      <c r="V243" s="49">
        <f>IF(OR($AE243&lt;&gt;1,V$1=""),"",SUMIFS('All Donations'!$S$2:$S$4001,'All Donations'!$R$2:$R$4001,$AD243,'All Donations'!$T$2:$T$4001,V$1))</f>
        <v/>
      </c>
      <c r="W243" s="49">
        <f>IF(OR($AE243&lt;&gt;1,W$1=""),"",SUMIFS('All Donations'!$S$2:$S$4001,'All Donations'!$R$2:$R$4001,$AD243,'All Donations'!$T$2:$T$4001,W$1))</f>
        <v/>
      </c>
      <c r="X243" s="49">
        <f>IF(OR($AE243&lt;&gt;1,X$1=""),"",SUMIFS('All Donations'!$S$2:$S$4001,'All Donations'!$R$2:$R$4001,$AD243,'All Donations'!$T$2:$T$4001,X$1))</f>
        <v/>
      </c>
      <c r="Y243" s="49">
        <f>IF(OR($AE243&lt;&gt;1,Y$1=""),"",SUMIFS('All Donations'!$S$2:$S$4001,'All Donations'!$R$2:$R$4001,$AD243,'All Donations'!$T$2:$T$4001,Y$1))</f>
        <v/>
      </c>
      <c r="Z243" s="49">
        <f>IF(OR($AE243&lt;&gt;1,Z$1=""),"",SUMIFS('All Donations'!$S$2:$S$4001,'All Donations'!$R$2:$R$4001,$AD243,'All Donations'!$T$2:$T$4001,Z$1))</f>
        <v/>
      </c>
      <c r="AA243" s="49">
        <f>IF(OR($AE243&lt;&gt;1,AA$1=""),"",SUMIFS('All Donations'!$S$2:$S$4001,'All Donations'!$R$2:$R$4001,$AD243,'All Donations'!$T$2:$T$4001,AA$1))</f>
        <v/>
      </c>
      <c r="AB243" s="49">
        <f>IF(OR($AE243&lt;&gt;1,AB$1=""),"",SUMIFS('All Donations'!$S$2:$S$4001,'All Donations'!$R$2:$R$4001,$AD243,'All Donations'!$T$2:$T$4001,AB$1))</f>
        <v/>
      </c>
      <c r="AC243" s="49">
        <f>IF(OR($AE243&lt;&gt;1,AC$1=""),"",SUMIFS('All Donations'!$S$2:$S$4001,'All Donations'!$R$2:$R$4001,$AD243,'All Donations'!$T$2:$T$4001,AC$1))</f>
        <v/>
      </c>
      <c r="AD243">
        <f>IF(AE243=1,'Roster'!A243,"")</f>
        <v/>
      </c>
      <c r="AE243">
        <f>IF(TRIM('Roster'!B243&amp;'Roster'!C243)&lt;&gt;"",1,0)</f>
        <v/>
      </c>
      <c r="AF243">
        <f>IF(AE243=1,LOWER(A243),"#")</f>
        <v/>
      </c>
      <c r="AG243">
        <f>IF(AE243=1,LOWER(TRIM(TRIM('Roster'!C243)&amp;", "&amp;TRIM('Roster'!B243))),"#")</f>
        <v/>
      </c>
      <c r="AH243">
        <f>IF(AND(AE243=1,TRIM('Roster'!F243)&lt;&gt;""),LOWER(TRIM('Roster'!F243)),"#")</f>
        <v/>
      </c>
      <c r="AI243">
        <f>IF(AE243=1,IF(MATCH(B243,$B$2:$B$701,0)=ROW()-1,1,0),0)</f>
        <v/>
      </c>
      <c r="AJ243">
        <f>AJ242+AI243</f>
        <v/>
      </c>
      <c r="AK243">
        <f>IF(AE243=1,D243+(1000-ROW())/10^7,-1)</f>
        <v/>
      </c>
      <c r="AL243">
        <f>IF(AE243=1,TRIM('Roster'!B243)&amp;" "&amp;LEFT(TRIM('Roster'!C243),1)&amp;".","")</f>
        <v/>
      </c>
      <c r="AM243">
        <f>IF(AE243=1,TRIM('Roster'!C243)&amp;", "&amp;TRIM('Roster'!B243)&amp;" ("&amp;B243&amp;") #"&amp;AD243,"")</f>
        <v/>
      </c>
      <c r="AN243">
        <f>IF(AE243=1,TRIM('Roster'!E243),"")</f>
        <v/>
      </c>
      <c r="AO243">
        <f>IF(AE243=1,ROUND(SUMIFS('All Donations'!$S$2:$S$4001,'All Donations'!$R$2:$R$4001,AD243,'All Donations'!$T$2:$T$4001,"&gt;="&amp;'Settings'!$C$23,'All Donations'!$T$2:$T$4001,"&lt;="&amp;'Settings'!$D$23),2),0)</f>
        <v/>
      </c>
      <c r="AQ243">
        <f>IF(AE243=1,ROUND(SUMIFS('All Donations'!$S$2:$S$4001,'All Donations'!$R$2:$R$4001,AD243,'All Donations'!$T$2:$T$4001,"&gt;="&amp;'Settings'!$C$25,'All Donations'!$T$2:$T$4001,"&lt;="&amp;'Settings'!$D$25),2),0)</f>
        <v/>
      </c>
      <c r="AR243">
        <f>IF(AE243=1,ROUND(SUMIFS('All Donations'!$S$2:$S$4001,'All Donations'!$R$2:$R$4001,AD243,'All Donations'!$T$2:$T$4001,"&gt;="&amp;'Settings'!$C$26,'All Donations'!$T$2:$T$4001,"&lt;="&amp;'Settings'!$D$26),2),0)</f>
        <v/>
      </c>
      <c r="AS243">
        <f>IF(AE243=1,ROUND(SUMIFS('All Donations'!$S$2:$S$4001,'All Donations'!$R$2:$R$4001,AD243,'All Donations'!$T$2:$T$4001,"&lt;="&amp;'Settings'!$D$27),2),0)</f>
        <v/>
      </c>
      <c r="AT243">
        <f>IF(AE243=1,ROUND(SUMIFS('All Donations'!$S$2:$S$4001,'All Donations'!$R$2:$R$4001,AD243,'All Donations'!$T$2:$T$4001,"&gt;="&amp;'Settings'!$C$28,'All Donations'!$T$2:$T$4001,"&lt;="&amp;'Settings'!$D$28),2),0)</f>
        <v/>
      </c>
      <c r="AU243">
        <f>IF(AE243=1,ROUND(SUMIFS('All Donations'!$S$2:$S$4001,'All Donations'!$R$2:$R$4001,AD243,'All Donations'!$T$2:$T$4001,"&gt;="&amp;'Settings'!$C$29,'All Donations'!$T$2:$T$4001,"&lt;="&amp;'Settings'!$D$29),2),0)</f>
        <v/>
      </c>
      <c r="AV243">
        <f>IF(AE243=1,ROUND(SUMIFS('All Donations'!$S$2:$S$4001,'All Donations'!$R$2:$R$4001,AD243,'All Donations'!$T$2:$T$4001,"&lt;="&amp;'Settings'!$D$30),2),0)</f>
        <v/>
      </c>
      <c r="AZ243">
        <f>IF(AE243=1,ROUND(SUMIFS('All Donations'!$S$2:$S$4001,'All Donations'!$R$2:$R$4001,AD243,'All Donations'!$T$2:$T$4001,"&lt;="&amp;'Settings'!$D$34),2),0)</f>
        <v/>
      </c>
    </row>
    <row r="244">
      <c r="A244">
        <f>IF(AE244=1,TRIM(TRIM('Roster'!B244)&amp;" "&amp;TRIM('Roster'!C244)),"")</f>
        <v/>
      </c>
      <c r="B244">
        <f>IF(AE244=1,IF(AN244="","(no teacher)",AN244&amp;" – "&amp;C244),"")</f>
        <v/>
      </c>
      <c r="C244">
        <f>IF(AE244=1,TRIM('Roster'!D244&amp;""),"")</f>
        <v/>
      </c>
      <c r="D244" s="48">
        <f>IF(AE244=1,ROUND(SUMIFS('All Donations'!$S$2:$S$4001,'All Donations'!$R$2:$R$4001,AD244),2),"")</f>
        <v/>
      </c>
      <c r="E244" s="48">
        <f>IF(AE244=1,ROUND(SUMIFS('All Donations'!$S$2:$S$4001,'All Donations'!$R$2:$R$4001,AD244,'All Donations'!$G$2:$G$4001,"OneCause"),2),"")</f>
        <v/>
      </c>
      <c r="F244" s="48">
        <f>IF(AE244=1,D244-E244,"")</f>
        <v/>
      </c>
      <c r="G244">
        <f>IF(AE244=1,COUNTIFS('All Donations'!$R$2:$R$4001,AD244,'All Donations'!$H$2:$H$4001,"OK"),"")</f>
        <v/>
      </c>
      <c r="H244">
        <f>IF(AE244&lt;&gt;1,"",IF(D244&gt;0,"Yes",""))</f>
        <v/>
      </c>
      <c r="I244" s="49">
        <f>IF(OR($AE244&lt;&gt;1,I$1=""),"",SUMIFS('All Donations'!$S$2:$S$4001,'All Donations'!$R$2:$R$4001,$AD244,'All Donations'!$T$2:$T$4001,I$1))</f>
        <v/>
      </c>
      <c r="J244" s="49">
        <f>IF(OR($AE244&lt;&gt;1,J$1=""),"",SUMIFS('All Donations'!$S$2:$S$4001,'All Donations'!$R$2:$R$4001,$AD244,'All Donations'!$T$2:$T$4001,J$1))</f>
        <v/>
      </c>
      <c r="K244" s="49">
        <f>IF(OR($AE244&lt;&gt;1,K$1=""),"",SUMIFS('All Donations'!$S$2:$S$4001,'All Donations'!$R$2:$R$4001,$AD244,'All Donations'!$T$2:$T$4001,K$1))</f>
        <v/>
      </c>
      <c r="L244" s="49">
        <f>IF(OR($AE244&lt;&gt;1,L$1=""),"",SUMIFS('All Donations'!$S$2:$S$4001,'All Donations'!$R$2:$R$4001,$AD244,'All Donations'!$T$2:$T$4001,L$1))</f>
        <v/>
      </c>
      <c r="M244" s="49">
        <f>IF(OR($AE244&lt;&gt;1,M$1=""),"",SUMIFS('All Donations'!$S$2:$S$4001,'All Donations'!$R$2:$R$4001,$AD244,'All Donations'!$T$2:$T$4001,M$1))</f>
        <v/>
      </c>
      <c r="N244" s="49">
        <f>IF(OR($AE244&lt;&gt;1,N$1=""),"",SUMIFS('All Donations'!$S$2:$S$4001,'All Donations'!$R$2:$R$4001,$AD244,'All Donations'!$T$2:$T$4001,N$1))</f>
        <v/>
      </c>
      <c r="O244" s="49">
        <f>IF(OR($AE244&lt;&gt;1,O$1=""),"",SUMIFS('All Donations'!$S$2:$S$4001,'All Donations'!$R$2:$R$4001,$AD244,'All Donations'!$T$2:$T$4001,O$1))</f>
        <v/>
      </c>
      <c r="P244" s="49">
        <f>IF(OR($AE244&lt;&gt;1,P$1=""),"",SUMIFS('All Donations'!$S$2:$S$4001,'All Donations'!$R$2:$R$4001,$AD244,'All Donations'!$T$2:$T$4001,P$1))</f>
        <v/>
      </c>
      <c r="Q244" s="49">
        <f>IF(OR($AE244&lt;&gt;1,Q$1=""),"",SUMIFS('All Donations'!$S$2:$S$4001,'All Donations'!$R$2:$R$4001,$AD244,'All Donations'!$T$2:$T$4001,Q$1))</f>
        <v/>
      </c>
      <c r="R244" s="49">
        <f>IF(OR($AE244&lt;&gt;1,R$1=""),"",SUMIFS('All Donations'!$S$2:$S$4001,'All Donations'!$R$2:$R$4001,$AD244,'All Donations'!$T$2:$T$4001,R$1))</f>
        <v/>
      </c>
      <c r="S244" s="49">
        <f>IF(OR($AE244&lt;&gt;1,S$1=""),"",SUMIFS('All Donations'!$S$2:$S$4001,'All Donations'!$R$2:$R$4001,$AD244,'All Donations'!$T$2:$T$4001,S$1))</f>
        <v/>
      </c>
      <c r="T244" s="49">
        <f>IF(OR($AE244&lt;&gt;1,T$1=""),"",SUMIFS('All Donations'!$S$2:$S$4001,'All Donations'!$R$2:$R$4001,$AD244,'All Donations'!$T$2:$T$4001,T$1))</f>
        <v/>
      </c>
      <c r="U244" s="49">
        <f>IF(OR($AE244&lt;&gt;1,U$1=""),"",SUMIFS('All Donations'!$S$2:$S$4001,'All Donations'!$R$2:$R$4001,$AD244,'All Donations'!$T$2:$T$4001,U$1))</f>
        <v/>
      </c>
      <c r="V244" s="49">
        <f>IF(OR($AE244&lt;&gt;1,V$1=""),"",SUMIFS('All Donations'!$S$2:$S$4001,'All Donations'!$R$2:$R$4001,$AD244,'All Donations'!$T$2:$T$4001,V$1))</f>
        <v/>
      </c>
      <c r="W244" s="49">
        <f>IF(OR($AE244&lt;&gt;1,W$1=""),"",SUMIFS('All Donations'!$S$2:$S$4001,'All Donations'!$R$2:$R$4001,$AD244,'All Donations'!$T$2:$T$4001,W$1))</f>
        <v/>
      </c>
      <c r="X244" s="49">
        <f>IF(OR($AE244&lt;&gt;1,X$1=""),"",SUMIFS('All Donations'!$S$2:$S$4001,'All Donations'!$R$2:$R$4001,$AD244,'All Donations'!$T$2:$T$4001,X$1))</f>
        <v/>
      </c>
      <c r="Y244" s="49">
        <f>IF(OR($AE244&lt;&gt;1,Y$1=""),"",SUMIFS('All Donations'!$S$2:$S$4001,'All Donations'!$R$2:$R$4001,$AD244,'All Donations'!$T$2:$T$4001,Y$1))</f>
        <v/>
      </c>
      <c r="Z244" s="49">
        <f>IF(OR($AE244&lt;&gt;1,Z$1=""),"",SUMIFS('All Donations'!$S$2:$S$4001,'All Donations'!$R$2:$R$4001,$AD244,'All Donations'!$T$2:$T$4001,Z$1))</f>
        <v/>
      </c>
      <c r="AA244" s="49">
        <f>IF(OR($AE244&lt;&gt;1,AA$1=""),"",SUMIFS('All Donations'!$S$2:$S$4001,'All Donations'!$R$2:$R$4001,$AD244,'All Donations'!$T$2:$T$4001,AA$1))</f>
        <v/>
      </c>
      <c r="AB244" s="49">
        <f>IF(OR($AE244&lt;&gt;1,AB$1=""),"",SUMIFS('All Donations'!$S$2:$S$4001,'All Donations'!$R$2:$R$4001,$AD244,'All Donations'!$T$2:$T$4001,AB$1))</f>
        <v/>
      </c>
      <c r="AC244" s="49">
        <f>IF(OR($AE244&lt;&gt;1,AC$1=""),"",SUMIFS('All Donations'!$S$2:$S$4001,'All Donations'!$R$2:$R$4001,$AD244,'All Donations'!$T$2:$T$4001,AC$1))</f>
        <v/>
      </c>
      <c r="AD244">
        <f>IF(AE244=1,'Roster'!A244,"")</f>
        <v/>
      </c>
      <c r="AE244">
        <f>IF(TRIM('Roster'!B244&amp;'Roster'!C244)&lt;&gt;"",1,0)</f>
        <v/>
      </c>
      <c r="AF244">
        <f>IF(AE244=1,LOWER(A244),"#")</f>
        <v/>
      </c>
      <c r="AG244">
        <f>IF(AE244=1,LOWER(TRIM(TRIM('Roster'!C244)&amp;", "&amp;TRIM('Roster'!B244))),"#")</f>
        <v/>
      </c>
      <c r="AH244">
        <f>IF(AND(AE244=1,TRIM('Roster'!F244)&lt;&gt;""),LOWER(TRIM('Roster'!F244)),"#")</f>
        <v/>
      </c>
      <c r="AI244">
        <f>IF(AE244=1,IF(MATCH(B244,$B$2:$B$701,0)=ROW()-1,1,0),0)</f>
        <v/>
      </c>
      <c r="AJ244">
        <f>AJ243+AI244</f>
        <v/>
      </c>
      <c r="AK244">
        <f>IF(AE244=1,D244+(1000-ROW())/10^7,-1)</f>
        <v/>
      </c>
      <c r="AL244">
        <f>IF(AE244=1,TRIM('Roster'!B244)&amp;" "&amp;LEFT(TRIM('Roster'!C244),1)&amp;".","")</f>
        <v/>
      </c>
      <c r="AM244">
        <f>IF(AE244=1,TRIM('Roster'!C244)&amp;", "&amp;TRIM('Roster'!B244)&amp;" ("&amp;B244&amp;") #"&amp;AD244,"")</f>
        <v/>
      </c>
      <c r="AN244">
        <f>IF(AE244=1,TRIM('Roster'!E244),"")</f>
        <v/>
      </c>
      <c r="AO244">
        <f>IF(AE244=1,ROUND(SUMIFS('All Donations'!$S$2:$S$4001,'All Donations'!$R$2:$R$4001,AD244,'All Donations'!$T$2:$T$4001,"&gt;="&amp;'Settings'!$C$23,'All Donations'!$T$2:$T$4001,"&lt;="&amp;'Settings'!$D$23),2),0)</f>
        <v/>
      </c>
      <c r="AQ244">
        <f>IF(AE244=1,ROUND(SUMIFS('All Donations'!$S$2:$S$4001,'All Donations'!$R$2:$R$4001,AD244,'All Donations'!$T$2:$T$4001,"&gt;="&amp;'Settings'!$C$25,'All Donations'!$T$2:$T$4001,"&lt;="&amp;'Settings'!$D$25),2),0)</f>
        <v/>
      </c>
      <c r="AR244">
        <f>IF(AE244=1,ROUND(SUMIFS('All Donations'!$S$2:$S$4001,'All Donations'!$R$2:$R$4001,AD244,'All Donations'!$T$2:$T$4001,"&gt;="&amp;'Settings'!$C$26,'All Donations'!$T$2:$T$4001,"&lt;="&amp;'Settings'!$D$26),2),0)</f>
        <v/>
      </c>
      <c r="AS244">
        <f>IF(AE244=1,ROUND(SUMIFS('All Donations'!$S$2:$S$4001,'All Donations'!$R$2:$R$4001,AD244,'All Donations'!$T$2:$T$4001,"&lt;="&amp;'Settings'!$D$27),2),0)</f>
        <v/>
      </c>
      <c r="AT244">
        <f>IF(AE244=1,ROUND(SUMIFS('All Donations'!$S$2:$S$4001,'All Donations'!$R$2:$R$4001,AD244,'All Donations'!$T$2:$T$4001,"&gt;="&amp;'Settings'!$C$28,'All Donations'!$T$2:$T$4001,"&lt;="&amp;'Settings'!$D$28),2),0)</f>
        <v/>
      </c>
      <c r="AU244">
        <f>IF(AE244=1,ROUND(SUMIFS('All Donations'!$S$2:$S$4001,'All Donations'!$R$2:$R$4001,AD244,'All Donations'!$T$2:$T$4001,"&gt;="&amp;'Settings'!$C$29,'All Donations'!$T$2:$T$4001,"&lt;="&amp;'Settings'!$D$29),2),0)</f>
        <v/>
      </c>
      <c r="AV244">
        <f>IF(AE244=1,ROUND(SUMIFS('All Donations'!$S$2:$S$4001,'All Donations'!$R$2:$R$4001,AD244,'All Donations'!$T$2:$T$4001,"&lt;="&amp;'Settings'!$D$30),2),0)</f>
        <v/>
      </c>
      <c r="AZ244">
        <f>IF(AE244=1,ROUND(SUMIFS('All Donations'!$S$2:$S$4001,'All Donations'!$R$2:$R$4001,AD244,'All Donations'!$T$2:$T$4001,"&lt;="&amp;'Settings'!$D$34),2),0)</f>
        <v/>
      </c>
    </row>
    <row r="245">
      <c r="A245">
        <f>IF(AE245=1,TRIM(TRIM('Roster'!B245)&amp;" "&amp;TRIM('Roster'!C245)),"")</f>
        <v/>
      </c>
      <c r="B245">
        <f>IF(AE245=1,IF(AN245="","(no teacher)",AN245&amp;" – "&amp;C245),"")</f>
        <v/>
      </c>
      <c r="C245">
        <f>IF(AE245=1,TRIM('Roster'!D245&amp;""),"")</f>
        <v/>
      </c>
      <c r="D245" s="48">
        <f>IF(AE245=1,ROUND(SUMIFS('All Donations'!$S$2:$S$4001,'All Donations'!$R$2:$R$4001,AD245),2),"")</f>
        <v/>
      </c>
      <c r="E245" s="48">
        <f>IF(AE245=1,ROUND(SUMIFS('All Donations'!$S$2:$S$4001,'All Donations'!$R$2:$R$4001,AD245,'All Donations'!$G$2:$G$4001,"OneCause"),2),"")</f>
        <v/>
      </c>
      <c r="F245" s="48">
        <f>IF(AE245=1,D245-E245,"")</f>
        <v/>
      </c>
      <c r="G245">
        <f>IF(AE245=1,COUNTIFS('All Donations'!$R$2:$R$4001,AD245,'All Donations'!$H$2:$H$4001,"OK"),"")</f>
        <v/>
      </c>
      <c r="H245">
        <f>IF(AE245&lt;&gt;1,"",IF(D245&gt;0,"Yes",""))</f>
        <v/>
      </c>
      <c r="I245" s="49">
        <f>IF(OR($AE245&lt;&gt;1,I$1=""),"",SUMIFS('All Donations'!$S$2:$S$4001,'All Donations'!$R$2:$R$4001,$AD245,'All Donations'!$T$2:$T$4001,I$1))</f>
        <v/>
      </c>
      <c r="J245" s="49">
        <f>IF(OR($AE245&lt;&gt;1,J$1=""),"",SUMIFS('All Donations'!$S$2:$S$4001,'All Donations'!$R$2:$R$4001,$AD245,'All Donations'!$T$2:$T$4001,J$1))</f>
        <v/>
      </c>
      <c r="K245" s="49">
        <f>IF(OR($AE245&lt;&gt;1,K$1=""),"",SUMIFS('All Donations'!$S$2:$S$4001,'All Donations'!$R$2:$R$4001,$AD245,'All Donations'!$T$2:$T$4001,K$1))</f>
        <v/>
      </c>
      <c r="L245" s="49">
        <f>IF(OR($AE245&lt;&gt;1,L$1=""),"",SUMIFS('All Donations'!$S$2:$S$4001,'All Donations'!$R$2:$R$4001,$AD245,'All Donations'!$T$2:$T$4001,L$1))</f>
        <v/>
      </c>
      <c r="M245" s="49">
        <f>IF(OR($AE245&lt;&gt;1,M$1=""),"",SUMIFS('All Donations'!$S$2:$S$4001,'All Donations'!$R$2:$R$4001,$AD245,'All Donations'!$T$2:$T$4001,M$1))</f>
        <v/>
      </c>
      <c r="N245" s="49">
        <f>IF(OR($AE245&lt;&gt;1,N$1=""),"",SUMIFS('All Donations'!$S$2:$S$4001,'All Donations'!$R$2:$R$4001,$AD245,'All Donations'!$T$2:$T$4001,N$1))</f>
        <v/>
      </c>
      <c r="O245" s="49">
        <f>IF(OR($AE245&lt;&gt;1,O$1=""),"",SUMIFS('All Donations'!$S$2:$S$4001,'All Donations'!$R$2:$R$4001,$AD245,'All Donations'!$T$2:$T$4001,O$1))</f>
        <v/>
      </c>
      <c r="P245" s="49">
        <f>IF(OR($AE245&lt;&gt;1,P$1=""),"",SUMIFS('All Donations'!$S$2:$S$4001,'All Donations'!$R$2:$R$4001,$AD245,'All Donations'!$T$2:$T$4001,P$1))</f>
        <v/>
      </c>
      <c r="Q245" s="49">
        <f>IF(OR($AE245&lt;&gt;1,Q$1=""),"",SUMIFS('All Donations'!$S$2:$S$4001,'All Donations'!$R$2:$R$4001,$AD245,'All Donations'!$T$2:$T$4001,Q$1))</f>
        <v/>
      </c>
      <c r="R245" s="49">
        <f>IF(OR($AE245&lt;&gt;1,R$1=""),"",SUMIFS('All Donations'!$S$2:$S$4001,'All Donations'!$R$2:$R$4001,$AD245,'All Donations'!$T$2:$T$4001,R$1))</f>
        <v/>
      </c>
      <c r="S245" s="49">
        <f>IF(OR($AE245&lt;&gt;1,S$1=""),"",SUMIFS('All Donations'!$S$2:$S$4001,'All Donations'!$R$2:$R$4001,$AD245,'All Donations'!$T$2:$T$4001,S$1))</f>
        <v/>
      </c>
      <c r="T245" s="49">
        <f>IF(OR($AE245&lt;&gt;1,T$1=""),"",SUMIFS('All Donations'!$S$2:$S$4001,'All Donations'!$R$2:$R$4001,$AD245,'All Donations'!$T$2:$T$4001,T$1))</f>
        <v/>
      </c>
      <c r="U245" s="49">
        <f>IF(OR($AE245&lt;&gt;1,U$1=""),"",SUMIFS('All Donations'!$S$2:$S$4001,'All Donations'!$R$2:$R$4001,$AD245,'All Donations'!$T$2:$T$4001,U$1))</f>
        <v/>
      </c>
      <c r="V245" s="49">
        <f>IF(OR($AE245&lt;&gt;1,V$1=""),"",SUMIFS('All Donations'!$S$2:$S$4001,'All Donations'!$R$2:$R$4001,$AD245,'All Donations'!$T$2:$T$4001,V$1))</f>
        <v/>
      </c>
      <c r="W245" s="49">
        <f>IF(OR($AE245&lt;&gt;1,W$1=""),"",SUMIFS('All Donations'!$S$2:$S$4001,'All Donations'!$R$2:$R$4001,$AD245,'All Donations'!$T$2:$T$4001,W$1))</f>
        <v/>
      </c>
      <c r="X245" s="49">
        <f>IF(OR($AE245&lt;&gt;1,X$1=""),"",SUMIFS('All Donations'!$S$2:$S$4001,'All Donations'!$R$2:$R$4001,$AD245,'All Donations'!$T$2:$T$4001,X$1))</f>
        <v/>
      </c>
      <c r="Y245" s="49">
        <f>IF(OR($AE245&lt;&gt;1,Y$1=""),"",SUMIFS('All Donations'!$S$2:$S$4001,'All Donations'!$R$2:$R$4001,$AD245,'All Donations'!$T$2:$T$4001,Y$1))</f>
        <v/>
      </c>
      <c r="Z245" s="49">
        <f>IF(OR($AE245&lt;&gt;1,Z$1=""),"",SUMIFS('All Donations'!$S$2:$S$4001,'All Donations'!$R$2:$R$4001,$AD245,'All Donations'!$T$2:$T$4001,Z$1))</f>
        <v/>
      </c>
      <c r="AA245" s="49">
        <f>IF(OR($AE245&lt;&gt;1,AA$1=""),"",SUMIFS('All Donations'!$S$2:$S$4001,'All Donations'!$R$2:$R$4001,$AD245,'All Donations'!$T$2:$T$4001,AA$1))</f>
        <v/>
      </c>
      <c r="AB245" s="49">
        <f>IF(OR($AE245&lt;&gt;1,AB$1=""),"",SUMIFS('All Donations'!$S$2:$S$4001,'All Donations'!$R$2:$R$4001,$AD245,'All Donations'!$T$2:$T$4001,AB$1))</f>
        <v/>
      </c>
      <c r="AC245" s="49">
        <f>IF(OR($AE245&lt;&gt;1,AC$1=""),"",SUMIFS('All Donations'!$S$2:$S$4001,'All Donations'!$R$2:$R$4001,$AD245,'All Donations'!$T$2:$T$4001,AC$1))</f>
        <v/>
      </c>
      <c r="AD245">
        <f>IF(AE245=1,'Roster'!A245,"")</f>
        <v/>
      </c>
      <c r="AE245">
        <f>IF(TRIM('Roster'!B245&amp;'Roster'!C245)&lt;&gt;"",1,0)</f>
        <v/>
      </c>
      <c r="AF245">
        <f>IF(AE245=1,LOWER(A245),"#")</f>
        <v/>
      </c>
      <c r="AG245">
        <f>IF(AE245=1,LOWER(TRIM(TRIM('Roster'!C245)&amp;", "&amp;TRIM('Roster'!B245))),"#")</f>
        <v/>
      </c>
      <c r="AH245">
        <f>IF(AND(AE245=1,TRIM('Roster'!F245)&lt;&gt;""),LOWER(TRIM('Roster'!F245)),"#")</f>
        <v/>
      </c>
      <c r="AI245">
        <f>IF(AE245=1,IF(MATCH(B245,$B$2:$B$701,0)=ROW()-1,1,0),0)</f>
        <v/>
      </c>
      <c r="AJ245">
        <f>AJ244+AI245</f>
        <v/>
      </c>
      <c r="AK245">
        <f>IF(AE245=1,D245+(1000-ROW())/10^7,-1)</f>
        <v/>
      </c>
      <c r="AL245">
        <f>IF(AE245=1,TRIM('Roster'!B245)&amp;" "&amp;LEFT(TRIM('Roster'!C245),1)&amp;".","")</f>
        <v/>
      </c>
      <c r="AM245">
        <f>IF(AE245=1,TRIM('Roster'!C245)&amp;", "&amp;TRIM('Roster'!B245)&amp;" ("&amp;B245&amp;") #"&amp;AD245,"")</f>
        <v/>
      </c>
      <c r="AN245">
        <f>IF(AE245=1,TRIM('Roster'!E245),"")</f>
        <v/>
      </c>
      <c r="AO245">
        <f>IF(AE245=1,ROUND(SUMIFS('All Donations'!$S$2:$S$4001,'All Donations'!$R$2:$R$4001,AD245,'All Donations'!$T$2:$T$4001,"&gt;="&amp;'Settings'!$C$23,'All Donations'!$T$2:$T$4001,"&lt;="&amp;'Settings'!$D$23),2),0)</f>
        <v/>
      </c>
      <c r="AQ245">
        <f>IF(AE245=1,ROUND(SUMIFS('All Donations'!$S$2:$S$4001,'All Donations'!$R$2:$R$4001,AD245,'All Donations'!$T$2:$T$4001,"&gt;="&amp;'Settings'!$C$25,'All Donations'!$T$2:$T$4001,"&lt;="&amp;'Settings'!$D$25),2),0)</f>
        <v/>
      </c>
      <c r="AR245">
        <f>IF(AE245=1,ROUND(SUMIFS('All Donations'!$S$2:$S$4001,'All Donations'!$R$2:$R$4001,AD245,'All Donations'!$T$2:$T$4001,"&gt;="&amp;'Settings'!$C$26,'All Donations'!$T$2:$T$4001,"&lt;="&amp;'Settings'!$D$26),2),0)</f>
        <v/>
      </c>
      <c r="AS245">
        <f>IF(AE245=1,ROUND(SUMIFS('All Donations'!$S$2:$S$4001,'All Donations'!$R$2:$R$4001,AD245,'All Donations'!$T$2:$T$4001,"&lt;="&amp;'Settings'!$D$27),2),0)</f>
        <v/>
      </c>
      <c r="AT245">
        <f>IF(AE245=1,ROUND(SUMIFS('All Donations'!$S$2:$S$4001,'All Donations'!$R$2:$R$4001,AD245,'All Donations'!$T$2:$T$4001,"&gt;="&amp;'Settings'!$C$28,'All Donations'!$T$2:$T$4001,"&lt;="&amp;'Settings'!$D$28),2),0)</f>
        <v/>
      </c>
      <c r="AU245">
        <f>IF(AE245=1,ROUND(SUMIFS('All Donations'!$S$2:$S$4001,'All Donations'!$R$2:$R$4001,AD245,'All Donations'!$T$2:$T$4001,"&gt;="&amp;'Settings'!$C$29,'All Donations'!$T$2:$T$4001,"&lt;="&amp;'Settings'!$D$29),2),0)</f>
        <v/>
      </c>
      <c r="AV245">
        <f>IF(AE245=1,ROUND(SUMIFS('All Donations'!$S$2:$S$4001,'All Donations'!$R$2:$R$4001,AD245,'All Donations'!$T$2:$T$4001,"&lt;="&amp;'Settings'!$D$30),2),0)</f>
        <v/>
      </c>
      <c r="AZ245">
        <f>IF(AE245=1,ROUND(SUMIFS('All Donations'!$S$2:$S$4001,'All Donations'!$R$2:$R$4001,AD245,'All Donations'!$T$2:$T$4001,"&lt;="&amp;'Settings'!$D$34),2),0)</f>
        <v/>
      </c>
    </row>
    <row r="246">
      <c r="A246">
        <f>IF(AE246=1,TRIM(TRIM('Roster'!B246)&amp;" "&amp;TRIM('Roster'!C246)),"")</f>
        <v/>
      </c>
      <c r="B246">
        <f>IF(AE246=1,IF(AN246="","(no teacher)",AN246&amp;" – "&amp;C246),"")</f>
        <v/>
      </c>
      <c r="C246">
        <f>IF(AE246=1,TRIM('Roster'!D246&amp;""),"")</f>
        <v/>
      </c>
      <c r="D246" s="48">
        <f>IF(AE246=1,ROUND(SUMIFS('All Donations'!$S$2:$S$4001,'All Donations'!$R$2:$R$4001,AD246),2),"")</f>
        <v/>
      </c>
      <c r="E246" s="48">
        <f>IF(AE246=1,ROUND(SUMIFS('All Donations'!$S$2:$S$4001,'All Donations'!$R$2:$R$4001,AD246,'All Donations'!$G$2:$G$4001,"OneCause"),2),"")</f>
        <v/>
      </c>
      <c r="F246" s="48">
        <f>IF(AE246=1,D246-E246,"")</f>
        <v/>
      </c>
      <c r="G246">
        <f>IF(AE246=1,COUNTIFS('All Donations'!$R$2:$R$4001,AD246,'All Donations'!$H$2:$H$4001,"OK"),"")</f>
        <v/>
      </c>
      <c r="H246">
        <f>IF(AE246&lt;&gt;1,"",IF(D246&gt;0,"Yes",""))</f>
        <v/>
      </c>
      <c r="I246" s="49">
        <f>IF(OR($AE246&lt;&gt;1,I$1=""),"",SUMIFS('All Donations'!$S$2:$S$4001,'All Donations'!$R$2:$R$4001,$AD246,'All Donations'!$T$2:$T$4001,I$1))</f>
        <v/>
      </c>
      <c r="J246" s="49">
        <f>IF(OR($AE246&lt;&gt;1,J$1=""),"",SUMIFS('All Donations'!$S$2:$S$4001,'All Donations'!$R$2:$R$4001,$AD246,'All Donations'!$T$2:$T$4001,J$1))</f>
        <v/>
      </c>
      <c r="K246" s="49">
        <f>IF(OR($AE246&lt;&gt;1,K$1=""),"",SUMIFS('All Donations'!$S$2:$S$4001,'All Donations'!$R$2:$R$4001,$AD246,'All Donations'!$T$2:$T$4001,K$1))</f>
        <v/>
      </c>
      <c r="L246" s="49">
        <f>IF(OR($AE246&lt;&gt;1,L$1=""),"",SUMIFS('All Donations'!$S$2:$S$4001,'All Donations'!$R$2:$R$4001,$AD246,'All Donations'!$T$2:$T$4001,L$1))</f>
        <v/>
      </c>
      <c r="M246" s="49">
        <f>IF(OR($AE246&lt;&gt;1,M$1=""),"",SUMIFS('All Donations'!$S$2:$S$4001,'All Donations'!$R$2:$R$4001,$AD246,'All Donations'!$T$2:$T$4001,M$1))</f>
        <v/>
      </c>
      <c r="N246" s="49">
        <f>IF(OR($AE246&lt;&gt;1,N$1=""),"",SUMIFS('All Donations'!$S$2:$S$4001,'All Donations'!$R$2:$R$4001,$AD246,'All Donations'!$T$2:$T$4001,N$1))</f>
        <v/>
      </c>
      <c r="O246" s="49">
        <f>IF(OR($AE246&lt;&gt;1,O$1=""),"",SUMIFS('All Donations'!$S$2:$S$4001,'All Donations'!$R$2:$R$4001,$AD246,'All Donations'!$T$2:$T$4001,O$1))</f>
        <v/>
      </c>
      <c r="P246" s="49">
        <f>IF(OR($AE246&lt;&gt;1,P$1=""),"",SUMIFS('All Donations'!$S$2:$S$4001,'All Donations'!$R$2:$R$4001,$AD246,'All Donations'!$T$2:$T$4001,P$1))</f>
        <v/>
      </c>
      <c r="Q246" s="49">
        <f>IF(OR($AE246&lt;&gt;1,Q$1=""),"",SUMIFS('All Donations'!$S$2:$S$4001,'All Donations'!$R$2:$R$4001,$AD246,'All Donations'!$T$2:$T$4001,Q$1))</f>
        <v/>
      </c>
      <c r="R246" s="49">
        <f>IF(OR($AE246&lt;&gt;1,R$1=""),"",SUMIFS('All Donations'!$S$2:$S$4001,'All Donations'!$R$2:$R$4001,$AD246,'All Donations'!$T$2:$T$4001,R$1))</f>
        <v/>
      </c>
      <c r="S246" s="49">
        <f>IF(OR($AE246&lt;&gt;1,S$1=""),"",SUMIFS('All Donations'!$S$2:$S$4001,'All Donations'!$R$2:$R$4001,$AD246,'All Donations'!$T$2:$T$4001,S$1))</f>
        <v/>
      </c>
      <c r="T246" s="49">
        <f>IF(OR($AE246&lt;&gt;1,T$1=""),"",SUMIFS('All Donations'!$S$2:$S$4001,'All Donations'!$R$2:$R$4001,$AD246,'All Donations'!$T$2:$T$4001,T$1))</f>
        <v/>
      </c>
      <c r="U246" s="49">
        <f>IF(OR($AE246&lt;&gt;1,U$1=""),"",SUMIFS('All Donations'!$S$2:$S$4001,'All Donations'!$R$2:$R$4001,$AD246,'All Donations'!$T$2:$T$4001,U$1))</f>
        <v/>
      </c>
      <c r="V246" s="49">
        <f>IF(OR($AE246&lt;&gt;1,V$1=""),"",SUMIFS('All Donations'!$S$2:$S$4001,'All Donations'!$R$2:$R$4001,$AD246,'All Donations'!$T$2:$T$4001,V$1))</f>
        <v/>
      </c>
      <c r="W246" s="49">
        <f>IF(OR($AE246&lt;&gt;1,W$1=""),"",SUMIFS('All Donations'!$S$2:$S$4001,'All Donations'!$R$2:$R$4001,$AD246,'All Donations'!$T$2:$T$4001,W$1))</f>
        <v/>
      </c>
      <c r="X246" s="49">
        <f>IF(OR($AE246&lt;&gt;1,X$1=""),"",SUMIFS('All Donations'!$S$2:$S$4001,'All Donations'!$R$2:$R$4001,$AD246,'All Donations'!$T$2:$T$4001,X$1))</f>
        <v/>
      </c>
      <c r="Y246" s="49">
        <f>IF(OR($AE246&lt;&gt;1,Y$1=""),"",SUMIFS('All Donations'!$S$2:$S$4001,'All Donations'!$R$2:$R$4001,$AD246,'All Donations'!$T$2:$T$4001,Y$1))</f>
        <v/>
      </c>
      <c r="Z246" s="49">
        <f>IF(OR($AE246&lt;&gt;1,Z$1=""),"",SUMIFS('All Donations'!$S$2:$S$4001,'All Donations'!$R$2:$R$4001,$AD246,'All Donations'!$T$2:$T$4001,Z$1))</f>
        <v/>
      </c>
      <c r="AA246" s="49">
        <f>IF(OR($AE246&lt;&gt;1,AA$1=""),"",SUMIFS('All Donations'!$S$2:$S$4001,'All Donations'!$R$2:$R$4001,$AD246,'All Donations'!$T$2:$T$4001,AA$1))</f>
        <v/>
      </c>
      <c r="AB246" s="49">
        <f>IF(OR($AE246&lt;&gt;1,AB$1=""),"",SUMIFS('All Donations'!$S$2:$S$4001,'All Donations'!$R$2:$R$4001,$AD246,'All Donations'!$T$2:$T$4001,AB$1))</f>
        <v/>
      </c>
      <c r="AC246" s="49">
        <f>IF(OR($AE246&lt;&gt;1,AC$1=""),"",SUMIFS('All Donations'!$S$2:$S$4001,'All Donations'!$R$2:$R$4001,$AD246,'All Donations'!$T$2:$T$4001,AC$1))</f>
        <v/>
      </c>
      <c r="AD246">
        <f>IF(AE246=1,'Roster'!A246,"")</f>
        <v/>
      </c>
      <c r="AE246">
        <f>IF(TRIM('Roster'!B246&amp;'Roster'!C246)&lt;&gt;"",1,0)</f>
        <v/>
      </c>
      <c r="AF246">
        <f>IF(AE246=1,LOWER(A246),"#")</f>
        <v/>
      </c>
      <c r="AG246">
        <f>IF(AE246=1,LOWER(TRIM(TRIM('Roster'!C246)&amp;", "&amp;TRIM('Roster'!B246))),"#")</f>
        <v/>
      </c>
      <c r="AH246">
        <f>IF(AND(AE246=1,TRIM('Roster'!F246)&lt;&gt;""),LOWER(TRIM('Roster'!F246)),"#")</f>
        <v/>
      </c>
      <c r="AI246">
        <f>IF(AE246=1,IF(MATCH(B246,$B$2:$B$701,0)=ROW()-1,1,0),0)</f>
        <v/>
      </c>
      <c r="AJ246">
        <f>AJ245+AI246</f>
        <v/>
      </c>
      <c r="AK246">
        <f>IF(AE246=1,D246+(1000-ROW())/10^7,-1)</f>
        <v/>
      </c>
      <c r="AL246">
        <f>IF(AE246=1,TRIM('Roster'!B246)&amp;" "&amp;LEFT(TRIM('Roster'!C246),1)&amp;".","")</f>
        <v/>
      </c>
      <c r="AM246">
        <f>IF(AE246=1,TRIM('Roster'!C246)&amp;", "&amp;TRIM('Roster'!B246)&amp;" ("&amp;B246&amp;") #"&amp;AD246,"")</f>
        <v/>
      </c>
      <c r="AN246">
        <f>IF(AE246=1,TRIM('Roster'!E246),"")</f>
        <v/>
      </c>
      <c r="AO246">
        <f>IF(AE246=1,ROUND(SUMIFS('All Donations'!$S$2:$S$4001,'All Donations'!$R$2:$R$4001,AD246,'All Donations'!$T$2:$T$4001,"&gt;="&amp;'Settings'!$C$23,'All Donations'!$T$2:$T$4001,"&lt;="&amp;'Settings'!$D$23),2),0)</f>
        <v/>
      </c>
      <c r="AQ246">
        <f>IF(AE246=1,ROUND(SUMIFS('All Donations'!$S$2:$S$4001,'All Donations'!$R$2:$R$4001,AD246,'All Donations'!$T$2:$T$4001,"&gt;="&amp;'Settings'!$C$25,'All Donations'!$T$2:$T$4001,"&lt;="&amp;'Settings'!$D$25),2),0)</f>
        <v/>
      </c>
      <c r="AR246">
        <f>IF(AE246=1,ROUND(SUMIFS('All Donations'!$S$2:$S$4001,'All Donations'!$R$2:$R$4001,AD246,'All Donations'!$T$2:$T$4001,"&gt;="&amp;'Settings'!$C$26,'All Donations'!$T$2:$T$4001,"&lt;="&amp;'Settings'!$D$26),2),0)</f>
        <v/>
      </c>
      <c r="AS246">
        <f>IF(AE246=1,ROUND(SUMIFS('All Donations'!$S$2:$S$4001,'All Donations'!$R$2:$R$4001,AD246,'All Donations'!$T$2:$T$4001,"&lt;="&amp;'Settings'!$D$27),2),0)</f>
        <v/>
      </c>
      <c r="AT246">
        <f>IF(AE246=1,ROUND(SUMIFS('All Donations'!$S$2:$S$4001,'All Donations'!$R$2:$R$4001,AD246,'All Donations'!$T$2:$T$4001,"&gt;="&amp;'Settings'!$C$28,'All Donations'!$T$2:$T$4001,"&lt;="&amp;'Settings'!$D$28),2),0)</f>
        <v/>
      </c>
      <c r="AU246">
        <f>IF(AE246=1,ROUND(SUMIFS('All Donations'!$S$2:$S$4001,'All Donations'!$R$2:$R$4001,AD246,'All Donations'!$T$2:$T$4001,"&gt;="&amp;'Settings'!$C$29,'All Donations'!$T$2:$T$4001,"&lt;="&amp;'Settings'!$D$29),2),0)</f>
        <v/>
      </c>
      <c r="AV246">
        <f>IF(AE246=1,ROUND(SUMIFS('All Donations'!$S$2:$S$4001,'All Donations'!$R$2:$R$4001,AD246,'All Donations'!$T$2:$T$4001,"&lt;="&amp;'Settings'!$D$30),2),0)</f>
        <v/>
      </c>
      <c r="AZ246">
        <f>IF(AE246=1,ROUND(SUMIFS('All Donations'!$S$2:$S$4001,'All Donations'!$R$2:$R$4001,AD246,'All Donations'!$T$2:$T$4001,"&lt;="&amp;'Settings'!$D$34),2),0)</f>
        <v/>
      </c>
    </row>
    <row r="247">
      <c r="A247">
        <f>IF(AE247=1,TRIM(TRIM('Roster'!B247)&amp;" "&amp;TRIM('Roster'!C247)),"")</f>
        <v/>
      </c>
      <c r="B247">
        <f>IF(AE247=1,IF(AN247="","(no teacher)",AN247&amp;" – "&amp;C247),"")</f>
        <v/>
      </c>
      <c r="C247">
        <f>IF(AE247=1,TRIM('Roster'!D247&amp;""),"")</f>
        <v/>
      </c>
      <c r="D247" s="48">
        <f>IF(AE247=1,ROUND(SUMIFS('All Donations'!$S$2:$S$4001,'All Donations'!$R$2:$R$4001,AD247),2),"")</f>
        <v/>
      </c>
      <c r="E247" s="48">
        <f>IF(AE247=1,ROUND(SUMIFS('All Donations'!$S$2:$S$4001,'All Donations'!$R$2:$R$4001,AD247,'All Donations'!$G$2:$G$4001,"OneCause"),2),"")</f>
        <v/>
      </c>
      <c r="F247" s="48">
        <f>IF(AE247=1,D247-E247,"")</f>
        <v/>
      </c>
      <c r="G247">
        <f>IF(AE247=1,COUNTIFS('All Donations'!$R$2:$R$4001,AD247,'All Donations'!$H$2:$H$4001,"OK"),"")</f>
        <v/>
      </c>
      <c r="H247">
        <f>IF(AE247&lt;&gt;1,"",IF(D247&gt;0,"Yes",""))</f>
        <v/>
      </c>
      <c r="I247" s="49">
        <f>IF(OR($AE247&lt;&gt;1,I$1=""),"",SUMIFS('All Donations'!$S$2:$S$4001,'All Donations'!$R$2:$R$4001,$AD247,'All Donations'!$T$2:$T$4001,I$1))</f>
        <v/>
      </c>
      <c r="J247" s="49">
        <f>IF(OR($AE247&lt;&gt;1,J$1=""),"",SUMIFS('All Donations'!$S$2:$S$4001,'All Donations'!$R$2:$R$4001,$AD247,'All Donations'!$T$2:$T$4001,J$1))</f>
        <v/>
      </c>
      <c r="K247" s="49">
        <f>IF(OR($AE247&lt;&gt;1,K$1=""),"",SUMIFS('All Donations'!$S$2:$S$4001,'All Donations'!$R$2:$R$4001,$AD247,'All Donations'!$T$2:$T$4001,K$1))</f>
        <v/>
      </c>
      <c r="L247" s="49">
        <f>IF(OR($AE247&lt;&gt;1,L$1=""),"",SUMIFS('All Donations'!$S$2:$S$4001,'All Donations'!$R$2:$R$4001,$AD247,'All Donations'!$T$2:$T$4001,L$1))</f>
        <v/>
      </c>
      <c r="M247" s="49">
        <f>IF(OR($AE247&lt;&gt;1,M$1=""),"",SUMIFS('All Donations'!$S$2:$S$4001,'All Donations'!$R$2:$R$4001,$AD247,'All Donations'!$T$2:$T$4001,M$1))</f>
        <v/>
      </c>
      <c r="N247" s="49">
        <f>IF(OR($AE247&lt;&gt;1,N$1=""),"",SUMIFS('All Donations'!$S$2:$S$4001,'All Donations'!$R$2:$R$4001,$AD247,'All Donations'!$T$2:$T$4001,N$1))</f>
        <v/>
      </c>
      <c r="O247" s="49">
        <f>IF(OR($AE247&lt;&gt;1,O$1=""),"",SUMIFS('All Donations'!$S$2:$S$4001,'All Donations'!$R$2:$R$4001,$AD247,'All Donations'!$T$2:$T$4001,O$1))</f>
        <v/>
      </c>
      <c r="P247" s="49">
        <f>IF(OR($AE247&lt;&gt;1,P$1=""),"",SUMIFS('All Donations'!$S$2:$S$4001,'All Donations'!$R$2:$R$4001,$AD247,'All Donations'!$T$2:$T$4001,P$1))</f>
        <v/>
      </c>
      <c r="Q247" s="49">
        <f>IF(OR($AE247&lt;&gt;1,Q$1=""),"",SUMIFS('All Donations'!$S$2:$S$4001,'All Donations'!$R$2:$R$4001,$AD247,'All Donations'!$T$2:$T$4001,Q$1))</f>
        <v/>
      </c>
      <c r="R247" s="49">
        <f>IF(OR($AE247&lt;&gt;1,R$1=""),"",SUMIFS('All Donations'!$S$2:$S$4001,'All Donations'!$R$2:$R$4001,$AD247,'All Donations'!$T$2:$T$4001,R$1))</f>
        <v/>
      </c>
      <c r="S247" s="49">
        <f>IF(OR($AE247&lt;&gt;1,S$1=""),"",SUMIFS('All Donations'!$S$2:$S$4001,'All Donations'!$R$2:$R$4001,$AD247,'All Donations'!$T$2:$T$4001,S$1))</f>
        <v/>
      </c>
      <c r="T247" s="49">
        <f>IF(OR($AE247&lt;&gt;1,T$1=""),"",SUMIFS('All Donations'!$S$2:$S$4001,'All Donations'!$R$2:$R$4001,$AD247,'All Donations'!$T$2:$T$4001,T$1))</f>
        <v/>
      </c>
      <c r="U247" s="49">
        <f>IF(OR($AE247&lt;&gt;1,U$1=""),"",SUMIFS('All Donations'!$S$2:$S$4001,'All Donations'!$R$2:$R$4001,$AD247,'All Donations'!$T$2:$T$4001,U$1))</f>
        <v/>
      </c>
      <c r="V247" s="49">
        <f>IF(OR($AE247&lt;&gt;1,V$1=""),"",SUMIFS('All Donations'!$S$2:$S$4001,'All Donations'!$R$2:$R$4001,$AD247,'All Donations'!$T$2:$T$4001,V$1))</f>
        <v/>
      </c>
      <c r="W247" s="49">
        <f>IF(OR($AE247&lt;&gt;1,W$1=""),"",SUMIFS('All Donations'!$S$2:$S$4001,'All Donations'!$R$2:$R$4001,$AD247,'All Donations'!$T$2:$T$4001,W$1))</f>
        <v/>
      </c>
      <c r="X247" s="49">
        <f>IF(OR($AE247&lt;&gt;1,X$1=""),"",SUMIFS('All Donations'!$S$2:$S$4001,'All Donations'!$R$2:$R$4001,$AD247,'All Donations'!$T$2:$T$4001,X$1))</f>
        <v/>
      </c>
      <c r="Y247" s="49">
        <f>IF(OR($AE247&lt;&gt;1,Y$1=""),"",SUMIFS('All Donations'!$S$2:$S$4001,'All Donations'!$R$2:$R$4001,$AD247,'All Donations'!$T$2:$T$4001,Y$1))</f>
        <v/>
      </c>
      <c r="Z247" s="49">
        <f>IF(OR($AE247&lt;&gt;1,Z$1=""),"",SUMIFS('All Donations'!$S$2:$S$4001,'All Donations'!$R$2:$R$4001,$AD247,'All Donations'!$T$2:$T$4001,Z$1))</f>
        <v/>
      </c>
      <c r="AA247" s="49">
        <f>IF(OR($AE247&lt;&gt;1,AA$1=""),"",SUMIFS('All Donations'!$S$2:$S$4001,'All Donations'!$R$2:$R$4001,$AD247,'All Donations'!$T$2:$T$4001,AA$1))</f>
        <v/>
      </c>
      <c r="AB247" s="49">
        <f>IF(OR($AE247&lt;&gt;1,AB$1=""),"",SUMIFS('All Donations'!$S$2:$S$4001,'All Donations'!$R$2:$R$4001,$AD247,'All Donations'!$T$2:$T$4001,AB$1))</f>
        <v/>
      </c>
      <c r="AC247" s="49">
        <f>IF(OR($AE247&lt;&gt;1,AC$1=""),"",SUMIFS('All Donations'!$S$2:$S$4001,'All Donations'!$R$2:$R$4001,$AD247,'All Donations'!$T$2:$T$4001,AC$1))</f>
        <v/>
      </c>
      <c r="AD247">
        <f>IF(AE247=1,'Roster'!A247,"")</f>
        <v/>
      </c>
      <c r="AE247">
        <f>IF(TRIM('Roster'!B247&amp;'Roster'!C247)&lt;&gt;"",1,0)</f>
        <v/>
      </c>
      <c r="AF247">
        <f>IF(AE247=1,LOWER(A247),"#")</f>
        <v/>
      </c>
      <c r="AG247">
        <f>IF(AE247=1,LOWER(TRIM(TRIM('Roster'!C247)&amp;", "&amp;TRIM('Roster'!B247))),"#")</f>
        <v/>
      </c>
      <c r="AH247">
        <f>IF(AND(AE247=1,TRIM('Roster'!F247)&lt;&gt;""),LOWER(TRIM('Roster'!F247)),"#")</f>
        <v/>
      </c>
      <c r="AI247">
        <f>IF(AE247=1,IF(MATCH(B247,$B$2:$B$701,0)=ROW()-1,1,0),0)</f>
        <v/>
      </c>
      <c r="AJ247">
        <f>AJ246+AI247</f>
        <v/>
      </c>
      <c r="AK247">
        <f>IF(AE247=1,D247+(1000-ROW())/10^7,-1)</f>
        <v/>
      </c>
      <c r="AL247">
        <f>IF(AE247=1,TRIM('Roster'!B247)&amp;" "&amp;LEFT(TRIM('Roster'!C247),1)&amp;".","")</f>
        <v/>
      </c>
      <c r="AM247">
        <f>IF(AE247=1,TRIM('Roster'!C247)&amp;", "&amp;TRIM('Roster'!B247)&amp;" ("&amp;B247&amp;") #"&amp;AD247,"")</f>
        <v/>
      </c>
      <c r="AN247">
        <f>IF(AE247=1,TRIM('Roster'!E247),"")</f>
        <v/>
      </c>
      <c r="AO247">
        <f>IF(AE247=1,ROUND(SUMIFS('All Donations'!$S$2:$S$4001,'All Donations'!$R$2:$R$4001,AD247,'All Donations'!$T$2:$T$4001,"&gt;="&amp;'Settings'!$C$23,'All Donations'!$T$2:$T$4001,"&lt;="&amp;'Settings'!$D$23),2),0)</f>
        <v/>
      </c>
      <c r="AQ247">
        <f>IF(AE247=1,ROUND(SUMIFS('All Donations'!$S$2:$S$4001,'All Donations'!$R$2:$R$4001,AD247,'All Donations'!$T$2:$T$4001,"&gt;="&amp;'Settings'!$C$25,'All Donations'!$T$2:$T$4001,"&lt;="&amp;'Settings'!$D$25),2),0)</f>
        <v/>
      </c>
      <c r="AR247">
        <f>IF(AE247=1,ROUND(SUMIFS('All Donations'!$S$2:$S$4001,'All Donations'!$R$2:$R$4001,AD247,'All Donations'!$T$2:$T$4001,"&gt;="&amp;'Settings'!$C$26,'All Donations'!$T$2:$T$4001,"&lt;="&amp;'Settings'!$D$26),2),0)</f>
        <v/>
      </c>
      <c r="AS247">
        <f>IF(AE247=1,ROUND(SUMIFS('All Donations'!$S$2:$S$4001,'All Donations'!$R$2:$R$4001,AD247,'All Donations'!$T$2:$T$4001,"&lt;="&amp;'Settings'!$D$27),2),0)</f>
        <v/>
      </c>
      <c r="AT247">
        <f>IF(AE247=1,ROUND(SUMIFS('All Donations'!$S$2:$S$4001,'All Donations'!$R$2:$R$4001,AD247,'All Donations'!$T$2:$T$4001,"&gt;="&amp;'Settings'!$C$28,'All Donations'!$T$2:$T$4001,"&lt;="&amp;'Settings'!$D$28),2),0)</f>
        <v/>
      </c>
      <c r="AU247">
        <f>IF(AE247=1,ROUND(SUMIFS('All Donations'!$S$2:$S$4001,'All Donations'!$R$2:$R$4001,AD247,'All Donations'!$T$2:$T$4001,"&gt;="&amp;'Settings'!$C$29,'All Donations'!$T$2:$T$4001,"&lt;="&amp;'Settings'!$D$29),2),0)</f>
        <v/>
      </c>
      <c r="AV247">
        <f>IF(AE247=1,ROUND(SUMIFS('All Donations'!$S$2:$S$4001,'All Donations'!$R$2:$R$4001,AD247,'All Donations'!$T$2:$T$4001,"&lt;="&amp;'Settings'!$D$30),2),0)</f>
        <v/>
      </c>
      <c r="AZ247">
        <f>IF(AE247=1,ROUND(SUMIFS('All Donations'!$S$2:$S$4001,'All Donations'!$R$2:$R$4001,AD247,'All Donations'!$T$2:$T$4001,"&lt;="&amp;'Settings'!$D$34),2),0)</f>
        <v/>
      </c>
    </row>
    <row r="248">
      <c r="A248">
        <f>IF(AE248=1,TRIM(TRIM('Roster'!B248)&amp;" "&amp;TRIM('Roster'!C248)),"")</f>
        <v/>
      </c>
      <c r="B248">
        <f>IF(AE248=1,IF(AN248="","(no teacher)",AN248&amp;" – "&amp;C248),"")</f>
        <v/>
      </c>
      <c r="C248">
        <f>IF(AE248=1,TRIM('Roster'!D248&amp;""),"")</f>
        <v/>
      </c>
      <c r="D248" s="48">
        <f>IF(AE248=1,ROUND(SUMIFS('All Donations'!$S$2:$S$4001,'All Donations'!$R$2:$R$4001,AD248),2),"")</f>
        <v/>
      </c>
      <c r="E248" s="48">
        <f>IF(AE248=1,ROUND(SUMIFS('All Donations'!$S$2:$S$4001,'All Donations'!$R$2:$R$4001,AD248,'All Donations'!$G$2:$G$4001,"OneCause"),2),"")</f>
        <v/>
      </c>
      <c r="F248" s="48">
        <f>IF(AE248=1,D248-E248,"")</f>
        <v/>
      </c>
      <c r="G248">
        <f>IF(AE248=1,COUNTIFS('All Donations'!$R$2:$R$4001,AD248,'All Donations'!$H$2:$H$4001,"OK"),"")</f>
        <v/>
      </c>
      <c r="H248">
        <f>IF(AE248&lt;&gt;1,"",IF(D248&gt;0,"Yes",""))</f>
        <v/>
      </c>
      <c r="I248" s="49">
        <f>IF(OR($AE248&lt;&gt;1,I$1=""),"",SUMIFS('All Donations'!$S$2:$S$4001,'All Donations'!$R$2:$R$4001,$AD248,'All Donations'!$T$2:$T$4001,I$1))</f>
        <v/>
      </c>
      <c r="J248" s="49">
        <f>IF(OR($AE248&lt;&gt;1,J$1=""),"",SUMIFS('All Donations'!$S$2:$S$4001,'All Donations'!$R$2:$R$4001,$AD248,'All Donations'!$T$2:$T$4001,J$1))</f>
        <v/>
      </c>
      <c r="K248" s="49">
        <f>IF(OR($AE248&lt;&gt;1,K$1=""),"",SUMIFS('All Donations'!$S$2:$S$4001,'All Donations'!$R$2:$R$4001,$AD248,'All Donations'!$T$2:$T$4001,K$1))</f>
        <v/>
      </c>
      <c r="L248" s="49">
        <f>IF(OR($AE248&lt;&gt;1,L$1=""),"",SUMIFS('All Donations'!$S$2:$S$4001,'All Donations'!$R$2:$R$4001,$AD248,'All Donations'!$T$2:$T$4001,L$1))</f>
        <v/>
      </c>
      <c r="M248" s="49">
        <f>IF(OR($AE248&lt;&gt;1,M$1=""),"",SUMIFS('All Donations'!$S$2:$S$4001,'All Donations'!$R$2:$R$4001,$AD248,'All Donations'!$T$2:$T$4001,M$1))</f>
        <v/>
      </c>
      <c r="N248" s="49">
        <f>IF(OR($AE248&lt;&gt;1,N$1=""),"",SUMIFS('All Donations'!$S$2:$S$4001,'All Donations'!$R$2:$R$4001,$AD248,'All Donations'!$T$2:$T$4001,N$1))</f>
        <v/>
      </c>
      <c r="O248" s="49">
        <f>IF(OR($AE248&lt;&gt;1,O$1=""),"",SUMIFS('All Donations'!$S$2:$S$4001,'All Donations'!$R$2:$R$4001,$AD248,'All Donations'!$T$2:$T$4001,O$1))</f>
        <v/>
      </c>
      <c r="P248" s="49">
        <f>IF(OR($AE248&lt;&gt;1,P$1=""),"",SUMIFS('All Donations'!$S$2:$S$4001,'All Donations'!$R$2:$R$4001,$AD248,'All Donations'!$T$2:$T$4001,P$1))</f>
        <v/>
      </c>
      <c r="Q248" s="49">
        <f>IF(OR($AE248&lt;&gt;1,Q$1=""),"",SUMIFS('All Donations'!$S$2:$S$4001,'All Donations'!$R$2:$R$4001,$AD248,'All Donations'!$T$2:$T$4001,Q$1))</f>
        <v/>
      </c>
      <c r="R248" s="49">
        <f>IF(OR($AE248&lt;&gt;1,R$1=""),"",SUMIFS('All Donations'!$S$2:$S$4001,'All Donations'!$R$2:$R$4001,$AD248,'All Donations'!$T$2:$T$4001,R$1))</f>
        <v/>
      </c>
      <c r="S248" s="49">
        <f>IF(OR($AE248&lt;&gt;1,S$1=""),"",SUMIFS('All Donations'!$S$2:$S$4001,'All Donations'!$R$2:$R$4001,$AD248,'All Donations'!$T$2:$T$4001,S$1))</f>
        <v/>
      </c>
      <c r="T248" s="49">
        <f>IF(OR($AE248&lt;&gt;1,T$1=""),"",SUMIFS('All Donations'!$S$2:$S$4001,'All Donations'!$R$2:$R$4001,$AD248,'All Donations'!$T$2:$T$4001,T$1))</f>
        <v/>
      </c>
      <c r="U248" s="49">
        <f>IF(OR($AE248&lt;&gt;1,U$1=""),"",SUMIFS('All Donations'!$S$2:$S$4001,'All Donations'!$R$2:$R$4001,$AD248,'All Donations'!$T$2:$T$4001,U$1))</f>
        <v/>
      </c>
      <c r="V248" s="49">
        <f>IF(OR($AE248&lt;&gt;1,V$1=""),"",SUMIFS('All Donations'!$S$2:$S$4001,'All Donations'!$R$2:$R$4001,$AD248,'All Donations'!$T$2:$T$4001,V$1))</f>
        <v/>
      </c>
      <c r="W248" s="49">
        <f>IF(OR($AE248&lt;&gt;1,W$1=""),"",SUMIFS('All Donations'!$S$2:$S$4001,'All Donations'!$R$2:$R$4001,$AD248,'All Donations'!$T$2:$T$4001,W$1))</f>
        <v/>
      </c>
      <c r="X248" s="49">
        <f>IF(OR($AE248&lt;&gt;1,X$1=""),"",SUMIFS('All Donations'!$S$2:$S$4001,'All Donations'!$R$2:$R$4001,$AD248,'All Donations'!$T$2:$T$4001,X$1))</f>
        <v/>
      </c>
      <c r="Y248" s="49">
        <f>IF(OR($AE248&lt;&gt;1,Y$1=""),"",SUMIFS('All Donations'!$S$2:$S$4001,'All Donations'!$R$2:$R$4001,$AD248,'All Donations'!$T$2:$T$4001,Y$1))</f>
        <v/>
      </c>
      <c r="Z248" s="49">
        <f>IF(OR($AE248&lt;&gt;1,Z$1=""),"",SUMIFS('All Donations'!$S$2:$S$4001,'All Donations'!$R$2:$R$4001,$AD248,'All Donations'!$T$2:$T$4001,Z$1))</f>
        <v/>
      </c>
      <c r="AA248" s="49">
        <f>IF(OR($AE248&lt;&gt;1,AA$1=""),"",SUMIFS('All Donations'!$S$2:$S$4001,'All Donations'!$R$2:$R$4001,$AD248,'All Donations'!$T$2:$T$4001,AA$1))</f>
        <v/>
      </c>
      <c r="AB248" s="49">
        <f>IF(OR($AE248&lt;&gt;1,AB$1=""),"",SUMIFS('All Donations'!$S$2:$S$4001,'All Donations'!$R$2:$R$4001,$AD248,'All Donations'!$T$2:$T$4001,AB$1))</f>
        <v/>
      </c>
      <c r="AC248" s="49">
        <f>IF(OR($AE248&lt;&gt;1,AC$1=""),"",SUMIFS('All Donations'!$S$2:$S$4001,'All Donations'!$R$2:$R$4001,$AD248,'All Donations'!$T$2:$T$4001,AC$1))</f>
        <v/>
      </c>
      <c r="AD248">
        <f>IF(AE248=1,'Roster'!A248,"")</f>
        <v/>
      </c>
      <c r="AE248">
        <f>IF(TRIM('Roster'!B248&amp;'Roster'!C248)&lt;&gt;"",1,0)</f>
        <v/>
      </c>
      <c r="AF248">
        <f>IF(AE248=1,LOWER(A248),"#")</f>
        <v/>
      </c>
      <c r="AG248">
        <f>IF(AE248=1,LOWER(TRIM(TRIM('Roster'!C248)&amp;", "&amp;TRIM('Roster'!B248))),"#")</f>
        <v/>
      </c>
      <c r="AH248">
        <f>IF(AND(AE248=1,TRIM('Roster'!F248)&lt;&gt;""),LOWER(TRIM('Roster'!F248)),"#")</f>
        <v/>
      </c>
      <c r="AI248">
        <f>IF(AE248=1,IF(MATCH(B248,$B$2:$B$701,0)=ROW()-1,1,0),0)</f>
        <v/>
      </c>
      <c r="AJ248">
        <f>AJ247+AI248</f>
        <v/>
      </c>
      <c r="AK248">
        <f>IF(AE248=1,D248+(1000-ROW())/10^7,-1)</f>
        <v/>
      </c>
      <c r="AL248">
        <f>IF(AE248=1,TRIM('Roster'!B248)&amp;" "&amp;LEFT(TRIM('Roster'!C248),1)&amp;".","")</f>
        <v/>
      </c>
      <c r="AM248">
        <f>IF(AE248=1,TRIM('Roster'!C248)&amp;", "&amp;TRIM('Roster'!B248)&amp;" ("&amp;B248&amp;") #"&amp;AD248,"")</f>
        <v/>
      </c>
      <c r="AN248">
        <f>IF(AE248=1,TRIM('Roster'!E248),"")</f>
        <v/>
      </c>
      <c r="AO248">
        <f>IF(AE248=1,ROUND(SUMIFS('All Donations'!$S$2:$S$4001,'All Donations'!$R$2:$R$4001,AD248,'All Donations'!$T$2:$T$4001,"&gt;="&amp;'Settings'!$C$23,'All Donations'!$T$2:$T$4001,"&lt;="&amp;'Settings'!$D$23),2),0)</f>
        <v/>
      </c>
      <c r="AQ248">
        <f>IF(AE248=1,ROUND(SUMIFS('All Donations'!$S$2:$S$4001,'All Donations'!$R$2:$R$4001,AD248,'All Donations'!$T$2:$T$4001,"&gt;="&amp;'Settings'!$C$25,'All Donations'!$T$2:$T$4001,"&lt;="&amp;'Settings'!$D$25),2),0)</f>
        <v/>
      </c>
      <c r="AR248">
        <f>IF(AE248=1,ROUND(SUMIFS('All Donations'!$S$2:$S$4001,'All Donations'!$R$2:$R$4001,AD248,'All Donations'!$T$2:$T$4001,"&gt;="&amp;'Settings'!$C$26,'All Donations'!$T$2:$T$4001,"&lt;="&amp;'Settings'!$D$26),2),0)</f>
        <v/>
      </c>
      <c r="AS248">
        <f>IF(AE248=1,ROUND(SUMIFS('All Donations'!$S$2:$S$4001,'All Donations'!$R$2:$R$4001,AD248,'All Donations'!$T$2:$T$4001,"&lt;="&amp;'Settings'!$D$27),2),0)</f>
        <v/>
      </c>
      <c r="AT248">
        <f>IF(AE248=1,ROUND(SUMIFS('All Donations'!$S$2:$S$4001,'All Donations'!$R$2:$R$4001,AD248,'All Donations'!$T$2:$T$4001,"&gt;="&amp;'Settings'!$C$28,'All Donations'!$T$2:$T$4001,"&lt;="&amp;'Settings'!$D$28),2),0)</f>
        <v/>
      </c>
      <c r="AU248">
        <f>IF(AE248=1,ROUND(SUMIFS('All Donations'!$S$2:$S$4001,'All Donations'!$R$2:$R$4001,AD248,'All Donations'!$T$2:$T$4001,"&gt;="&amp;'Settings'!$C$29,'All Donations'!$T$2:$T$4001,"&lt;="&amp;'Settings'!$D$29),2),0)</f>
        <v/>
      </c>
      <c r="AV248">
        <f>IF(AE248=1,ROUND(SUMIFS('All Donations'!$S$2:$S$4001,'All Donations'!$R$2:$R$4001,AD248,'All Donations'!$T$2:$T$4001,"&lt;="&amp;'Settings'!$D$30),2),0)</f>
        <v/>
      </c>
      <c r="AZ248">
        <f>IF(AE248=1,ROUND(SUMIFS('All Donations'!$S$2:$S$4001,'All Donations'!$R$2:$R$4001,AD248,'All Donations'!$T$2:$T$4001,"&lt;="&amp;'Settings'!$D$34),2),0)</f>
        <v/>
      </c>
    </row>
    <row r="249">
      <c r="A249">
        <f>IF(AE249=1,TRIM(TRIM('Roster'!B249)&amp;" "&amp;TRIM('Roster'!C249)),"")</f>
        <v/>
      </c>
      <c r="B249">
        <f>IF(AE249=1,IF(AN249="","(no teacher)",AN249&amp;" – "&amp;C249),"")</f>
        <v/>
      </c>
      <c r="C249">
        <f>IF(AE249=1,TRIM('Roster'!D249&amp;""),"")</f>
        <v/>
      </c>
      <c r="D249" s="48">
        <f>IF(AE249=1,ROUND(SUMIFS('All Donations'!$S$2:$S$4001,'All Donations'!$R$2:$R$4001,AD249),2),"")</f>
        <v/>
      </c>
      <c r="E249" s="48">
        <f>IF(AE249=1,ROUND(SUMIFS('All Donations'!$S$2:$S$4001,'All Donations'!$R$2:$R$4001,AD249,'All Donations'!$G$2:$G$4001,"OneCause"),2),"")</f>
        <v/>
      </c>
      <c r="F249" s="48">
        <f>IF(AE249=1,D249-E249,"")</f>
        <v/>
      </c>
      <c r="G249">
        <f>IF(AE249=1,COUNTIFS('All Donations'!$R$2:$R$4001,AD249,'All Donations'!$H$2:$H$4001,"OK"),"")</f>
        <v/>
      </c>
      <c r="H249">
        <f>IF(AE249&lt;&gt;1,"",IF(D249&gt;0,"Yes",""))</f>
        <v/>
      </c>
      <c r="I249" s="49">
        <f>IF(OR($AE249&lt;&gt;1,I$1=""),"",SUMIFS('All Donations'!$S$2:$S$4001,'All Donations'!$R$2:$R$4001,$AD249,'All Donations'!$T$2:$T$4001,I$1))</f>
        <v/>
      </c>
      <c r="J249" s="49">
        <f>IF(OR($AE249&lt;&gt;1,J$1=""),"",SUMIFS('All Donations'!$S$2:$S$4001,'All Donations'!$R$2:$R$4001,$AD249,'All Donations'!$T$2:$T$4001,J$1))</f>
        <v/>
      </c>
      <c r="K249" s="49">
        <f>IF(OR($AE249&lt;&gt;1,K$1=""),"",SUMIFS('All Donations'!$S$2:$S$4001,'All Donations'!$R$2:$R$4001,$AD249,'All Donations'!$T$2:$T$4001,K$1))</f>
        <v/>
      </c>
      <c r="L249" s="49">
        <f>IF(OR($AE249&lt;&gt;1,L$1=""),"",SUMIFS('All Donations'!$S$2:$S$4001,'All Donations'!$R$2:$R$4001,$AD249,'All Donations'!$T$2:$T$4001,L$1))</f>
        <v/>
      </c>
      <c r="M249" s="49">
        <f>IF(OR($AE249&lt;&gt;1,M$1=""),"",SUMIFS('All Donations'!$S$2:$S$4001,'All Donations'!$R$2:$R$4001,$AD249,'All Donations'!$T$2:$T$4001,M$1))</f>
        <v/>
      </c>
      <c r="N249" s="49">
        <f>IF(OR($AE249&lt;&gt;1,N$1=""),"",SUMIFS('All Donations'!$S$2:$S$4001,'All Donations'!$R$2:$R$4001,$AD249,'All Donations'!$T$2:$T$4001,N$1))</f>
        <v/>
      </c>
      <c r="O249" s="49">
        <f>IF(OR($AE249&lt;&gt;1,O$1=""),"",SUMIFS('All Donations'!$S$2:$S$4001,'All Donations'!$R$2:$R$4001,$AD249,'All Donations'!$T$2:$T$4001,O$1))</f>
        <v/>
      </c>
      <c r="P249" s="49">
        <f>IF(OR($AE249&lt;&gt;1,P$1=""),"",SUMIFS('All Donations'!$S$2:$S$4001,'All Donations'!$R$2:$R$4001,$AD249,'All Donations'!$T$2:$T$4001,P$1))</f>
        <v/>
      </c>
      <c r="Q249" s="49">
        <f>IF(OR($AE249&lt;&gt;1,Q$1=""),"",SUMIFS('All Donations'!$S$2:$S$4001,'All Donations'!$R$2:$R$4001,$AD249,'All Donations'!$T$2:$T$4001,Q$1))</f>
        <v/>
      </c>
      <c r="R249" s="49">
        <f>IF(OR($AE249&lt;&gt;1,R$1=""),"",SUMIFS('All Donations'!$S$2:$S$4001,'All Donations'!$R$2:$R$4001,$AD249,'All Donations'!$T$2:$T$4001,R$1))</f>
        <v/>
      </c>
      <c r="S249" s="49">
        <f>IF(OR($AE249&lt;&gt;1,S$1=""),"",SUMIFS('All Donations'!$S$2:$S$4001,'All Donations'!$R$2:$R$4001,$AD249,'All Donations'!$T$2:$T$4001,S$1))</f>
        <v/>
      </c>
      <c r="T249" s="49">
        <f>IF(OR($AE249&lt;&gt;1,T$1=""),"",SUMIFS('All Donations'!$S$2:$S$4001,'All Donations'!$R$2:$R$4001,$AD249,'All Donations'!$T$2:$T$4001,T$1))</f>
        <v/>
      </c>
      <c r="U249" s="49">
        <f>IF(OR($AE249&lt;&gt;1,U$1=""),"",SUMIFS('All Donations'!$S$2:$S$4001,'All Donations'!$R$2:$R$4001,$AD249,'All Donations'!$T$2:$T$4001,U$1))</f>
        <v/>
      </c>
      <c r="V249" s="49">
        <f>IF(OR($AE249&lt;&gt;1,V$1=""),"",SUMIFS('All Donations'!$S$2:$S$4001,'All Donations'!$R$2:$R$4001,$AD249,'All Donations'!$T$2:$T$4001,V$1))</f>
        <v/>
      </c>
      <c r="W249" s="49">
        <f>IF(OR($AE249&lt;&gt;1,W$1=""),"",SUMIFS('All Donations'!$S$2:$S$4001,'All Donations'!$R$2:$R$4001,$AD249,'All Donations'!$T$2:$T$4001,W$1))</f>
        <v/>
      </c>
      <c r="X249" s="49">
        <f>IF(OR($AE249&lt;&gt;1,X$1=""),"",SUMIFS('All Donations'!$S$2:$S$4001,'All Donations'!$R$2:$R$4001,$AD249,'All Donations'!$T$2:$T$4001,X$1))</f>
        <v/>
      </c>
      <c r="Y249" s="49">
        <f>IF(OR($AE249&lt;&gt;1,Y$1=""),"",SUMIFS('All Donations'!$S$2:$S$4001,'All Donations'!$R$2:$R$4001,$AD249,'All Donations'!$T$2:$T$4001,Y$1))</f>
        <v/>
      </c>
      <c r="Z249" s="49">
        <f>IF(OR($AE249&lt;&gt;1,Z$1=""),"",SUMIFS('All Donations'!$S$2:$S$4001,'All Donations'!$R$2:$R$4001,$AD249,'All Donations'!$T$2:$T$4001,Z$1))</f>
        <v/>
      </c>
      <c r="AA249" s="49">
        <f>IF(OR($AE249&lt;&gt;1,AA$1=""),"",SUMIFS('All Donations'!$S$2:$S$4001,'All Donations'!$R$2:$R$4001,$AD249,'All Donations'!$T$2:$T$4001,AA$1))</f>
        <v/>
      </c>
      <c r="AB249" s="49">
        <f>IF(OR($AE249&lt;&gt;1,AB$1=""),"",SUMIFS('All Donations'!$S$2:$S$4001,'All Donations'!$R$2:$R$4001,$AD249,'All Donations'!$T$2:$T$4001,AB$1))</f>
        <v/>
      </c>
      <c r="AC249" s="49">
        <f>IF(OR($AE249&lt;&gt;1,AC$1=""),"",SUMIFS('All Donations'!$S$2:$S$4001,'All Donations'!$R$2:$R$4001,$AD249,'All Donations'!$T$2:$T$4001,AC$1))</f>
        <v/>
      </c>
      <c r="AD249">
        <f>IF(AE249=1,'Roster'!A249,"")</f>
        <v/>
      </c>
      <c r="AE249">
        <f>IF(TRIM('Roster'!B249&amp;'Roster'!C249)&lt;&gt;"",1,0)</f>
        <v/>
      </c>
      <c r="AF249">
        <f>IF(AE249=1,LOWER(A249),"#")</f>
        <v/>
      </c>
      <c r="AG249">
        <f>IF(AE249=1,LOWER(TRIM(TRIM('Roster'!C249)&amp;", "&amp;TRIM('Roster'!B249))),"#")</f>
        <v/>
      </c>
      <c r="AH249">
        <f>IF(AND(AE249=1,TRIM('Roster'!F249)&lt;&gt;""),LOWER(TRIM('Roster'!F249)),"#")</f>
        <v/>
      </c>
      <c r="AI249">
        <f>IF(AE249=1,IF(MATCH(B249,$B$2:$B$701,0)=ROW()-1,1,0),0)</f>
        <v/>
      </c>
      <c r="AJ249">
        <f>AJ248+AI249</f>
        <v/>
      </c>
      <c r="AK249">
        <f>IF(AE249=1,D249+(1000-ROW())/10^7,-1)</f>
        <v/>
      </c>
      <c r="AL249">
        <f>IF(AE249=1,TRIM('Roster'!B249)&amp;" "&amp;LEFT(TRIM('Roster'!C249),1)&amp;".","")</f>
        <v/>
      </c>
      <c r="AM249">
        <f>IF(AE249=1,TRIM('Roster'!C249)&amp;", "&amp;TRIM('Roster'!B249)&amp;" ("&amp;B249&amp;") #"&amp;AD249,"")</f>
        <v/>
      </c>
      <c r="AN249">
        <f>IF(AE249=1,TRIM('Roster'!E249),"")</f>
        <v/>
      </c>
      <c r="AO249">
        <f>IF(AE249=1,ROUND(SUMIFS('All Donations'!$S$2:$S$4001,'All Donations'!$R$2:$R$4001,AD249,'All Donations'!$T$2:$T$4001,"&gt;="&amp;'Settings'!$C$23,'All Donations'!$T$2:$T$4001,"&lt;="&amp;'Settings'!$D$23),2),0)</f>
        <v/>
      </c>
      <c r="AQ249">
        <f>IF(AE249=1,ROUND(SUMIFS('All Donations'!$S$2:$S$4001,'All Donations'!$R$2:$R$4001,AD249,'All Donations'!$T$2:$T$4001,"&gt;="&amp;'Settings'!$C$25,'All Donations'!$T$2:$T$4001,"&lt;="&amp;'Settings'!$D$25),2),0)</f>
        <v/>
      </c>
      <c r="AR249">
        <f>IF(AE249=1,ROUND(SUMIFS('All Donations'!$S$2:$S$4001,'All Donations'!$R$2:$R$4001,AD249,'All Donations'!$T$2:$T$4001,"&gt;="&amp;'Settings'!$C$26,'All Donations'!$T$2:$T$4001,"&lt;="&amp;'Settings'!$D$26),2),0)</f>
        <v/>
      </c>
      <c r="AS249">
        <f>IF(AE249=1,ROUND(SUMIFS('All Donations'!$S$2:$S$4001,'All Donations'!$R$2:$R$4001,AD249,'All Donations'!$T$2:$T$4001,"&lt;="&amp;'Settings'!$D$27),2),0)</f>
        <v/>
      </c>
      <c r="AT249">
        <f>IF(AE249=1,ROUND(SUMIFS('All Donations'!$S$2:$S$4001,'All Donations'!$R$2:$R$4001,AD249,'All Donations'!$T$2:$T$4001,"&gt;="&amp;'Settings'!$C$28,'All Donations'!$T$2:$T$4001,"&lt;="&amp;'Settings'!$D$28),2),0)</f>
        <v/>
      </c>
      <c r="AU249">
        <f>IF(AE249=1,ROUND(SUMIFS('All Donations'!$S$2:$S$4001,'All Donations'!$R$2:$R$4001,AD249,'All Donations'!$T$2:$T$4001,"&gt;="&amp;'Settings'!$C$29,'All Donations'!$T$2:$T$4001,"&lt;="&amp;'Settings'!$D$29),2),0)</f>
        <v/>
      </c>
      <c r="AV249">
        <f>IF(AE249=1,ROUND(SUMIFS('All Donations'!$S$2:$S$4001,'All Donations'!$R$2:$R$4001,AD249,'All Donations'!$T$2:$T$4001,"&lt;="&amp;'Settings'!$D$30),2),0)</f>
        <v/>
      </c>
      <c r="AZ249">
        <f>IF(AE249=1,ROUND(SUMIFS('All Donations'!$S$2:$S$4001,'All Donations'!$R$2:$R$4001,AD249,'All Donations'!$T$2:$T$4001,"&lt;="&amp;'Settings'!$D$34),2),0)</f>
        <v/>
      </c>
    </row>
    <row r="250">
      <c r="A250">
        <f>IF(AE250=1,TRIM(TRIM('Roster'!B250)&amp;" "&amp;TRIM('Roster'!C250)),"")</f>
        <v/>
      </c>
      <c r="B250">
        <f>IF(AE250=1,IF(AN250="","(no teacher)",AN250&amp;" – "&amp;C250),"")</f>
        <v/>
      </c>
      <c r="C250">
        <f>IF(AE250=1,TRIM('Roster'!D250&amp;""),"")</f>
        <v/>
      </c>
      <c r="D250" s="48">
        <f>IF(AE250=1,ROUND(SUMIFS('All Donations'!$S$2:$S$4001,'All Donations'!$R$2:$R$4001,AD250),2),"")</f>
        <v/>
      </c>
      <c r="E250" s="48">
        <f>IF(AE250=1,ROUND(SUMIFS('All Donations'!$S$2:$S$4001,'All Donations'!$R$2:$R$4001,AD250,'All Donations'!$G$2:$G$4001,"OneCause"),2),"")</f>
        <v/>
      </c>
      <c r="F250" s="48">
        <f>IF(AE250=1,D250-E250,"")</f>
        <v/>
      </c>
      <c r="G250">
        <f>IF(AE250=1,COUNTIFS('All Donations'!$R$2:$R$4001,AD250,'All Donations'!$H$2:$H$4001,"OK"),"")</f>
        <v/>
      </c>
      <c r="H250">
        <f>IF(AE250&lt;&gt;1,"",IF(D250&gt;0,"Yes",""))</f>
        <v/>
      </c>
      <c r="I250" s="49">
        <f>IF(OR($AE250&lt;&gt;1,I$1=""),"",SUMIFS('All Donations'!$S$2:$S$4001,'All Donations'!$R$2:$R$4001,$AD250,'All Donations'!$T$2:$T$4001,I$1))</f>
        <v/>
      </c>
      <c r="J250" s="49">
        <f>IF(OR($AE250&lt;&gt;1,J$1=""),"",SUMIFS('All Donations'!$S$2:$S$4001,'All Donations'!$R$2:$R$4001,$AD250,'All Donations'!$T$2:$T$4001,J$1))</f>
        <v/>
      </c>
      <c r="K250" s="49">
        <f>IF(OR($AE250&lt;&gt;1,K$1=""),"",SUMIFS('All Donations'!$S$2:$S$4001,'All Donations'!$R$2:$R$4001,$AD250,'All Donations'!$T$2:$T$4001,K$1))</f>
        <v/>
      </c>
      <c r="L250" s="49">
        <f>IF(OR($AE250&lt;&gt;1,L$1=""),"",SUMIFS('All Donations'!$S$2:$S$4001,'All Donations'!$R$2:$R$4001,$AD250,'All Donations'!$T$2:$T$4001,L$1))</f>
        <v/>
      </c>
      <c r="M250" s="49">
        <f>IF(OR($AE250&lt;&gt;1,M$1=""),"",SUMIFS('All Donations'!$S$2:$S$4001,'All Donations'!$R$2:$R$4001,$AD250,'All Donations'!$T$2:$T$4001,M$1))</f>
        <v/>
      </c>
      <c r="N250" s="49">
        <f>IF(OR($AE250&lt;&gt;1,N$1=""),"",SUMIFS('All Donations'!$S$2:$S$4001,'All Donations'!$R$2:$R$4001,$AD250,'All Donations'!$T$2:$T$4001,N$1))</f>
        <v/>
      </c>
      <c r="O250" s="49">
        <f>IF(OR($AE250&lt;&gt;1,O$1=""),"",SUMIFS('All Donations'!$S$2:$S$4001,'All Donations'!$R$2:$R$4001,$AD250,'All Donations'!$T$2:$T$4001,O$1))</f>
        <v/>
      </c>
      <c r="P250" s="49">
        <f>IF(OR($AE250&lt;&gt;1,P$1=""),"",SUMIFS('All Donations'!$S$2:$S$4001,'All Donations'!$R$2:$R$4001,$AD250,'All Donations'!$T$2:$T$4001,P$1))</f>
        <v/>
      </c>
      <c r="Q250" s="49">
        <f>IF(OR($AE250&lt;&gt;1,Q$1=""),"",SUMIFS('All Donations'!$S$2:$S$4001,'All Donations'!$R$2:$R$4001,$AD250,'All Donations'!$T$2:$T$4001,Q$1))</f>
        <v/>
      </c>
      <c r="R250" s="49">
        <f>IF(OR($AE250&lt;&gt;1,R$1=""),"",SUMIFS('All Donations'!$S$2:$S$4001,'All Donations'!$R$2:$R$4001,$AD250,'All Donations'!$T$2:$T$4001,R$1))</f>
        <v/>
      </c>
      <c r="S250" s="49">
        <f>IF(OR($AE250&lt;&gt;1,S$1=""),"",SUMIFS('All Donations'!$S$2:$S$4001,'All Donations'!$R$2:$R$4001,$AD250,'All Donations'!$T$2:$T$4001,S$1))</f>
        <v/>
      </c>
      <c r="T250" s="49">
        <f>IF(OR($AE250&lt;&gt;1,T$1=""),"",SUMIFS('All Donations'!$S$2:$S$4001,'All Donations'!$R$2:$R$4001,$AD250,'All Donations'!$T$2:$T$4001,T$1))</f>
        <v/>
      </c>
      <c r="U250" s="49">
        <f>IF(OR($AE250&lt;&gt;1,U$1=""),"",SUMIFS('All Donations'!$S$2:$S$4001,'All Donations'!$R$2:$R$4001,$AD250,'All Donations'!$T$2:$T$4001,U$1))</f>
        <v/>
      </c>
      <c r="V250" s="49">
        <f>IF(OR($AE250&lt;&gt;1,V$1=""),"",SUMIFS('All Donations'!$S$2:$S$4001,'All Donations'!$R$2:$R$4001,$AD250,'All Donations'!$T$2:$T$4001,V$1))</f>
        <v/>
      </c>
      <c r="W250" s="49">
        <f>IF(OR($AE250&lt;&gt;1,W$1=""),"",SUMIFS('All Donations'!$S$2:$S$4001,'All Donations'!$R$2:$R$4001,$AD250,'All Donations'!$T$2:$T$4001,W$1))</f>
        <v/>
      </c>
      <c r="X250" s="49">
        <f>IF(OR($AE250&lt;&gt;1,X$1=""),"",SUMIFS('All Donations'!$S$2:$S$4001,'All Donations'!$R$2:$R$4001,$AD250,'All Donations'!$T$2:$T$4001,X$1))</f>
        <v/>
      </c>
      <c r="Y250" s="49">
        <f>IF(OR($AE250&lt;&gt;1,Y$1=""),"",SUMIFS('All Donations'!$S$2:$S$4001,'All Donations'!$R$2:$R$4001,$AD250,'All Donations'!$T$2:$T$4001,Y$1))</f>
        <v/>
      </c>
      <c r="Z250" s="49">
        <f>IF(OR($AE250&lt;&gt;1,Z$1=""),"",SUMIFS('All Donations'!$S$2:$S$4001,'All Donations'!$R$2:$R$4001,$AD250,'All Donations'!$T$2:$T$4001,Z$1))</f>
        <v/>
      </c>
      <c r="AA250" s="49">
        <f>IF(OR($AE250&lt;&gt;1,AA$1=""),"",SUMIFS('All Donations'!$S$2:$S$4001,'All Donations'!$R$2:$R$4001,$AD250,'All Donations'!$T$2:$T$4001,AA$1))</f>
        <v/>
      </c>
      <c r="AB250" s="49">
        <f>IF(OR($AE250&lt;&gt;1,AB$1=""),"",SUMIFS('All Donations'!$S$2:$S$4001,'All Donations'!$R$2:$R$4001,$AD250,'All Donations'!$T$2:$T$4001,AB$1))</f>
        <v/>
      </c>
      <c r="AC250" s="49">
        <f>IF(OR($AE250&lt;&gt;1,AC$1=""),"",SUMIFS('All Donations'!$S$2:$S$4001,'All Donations'!$R$2:$R$4001,$AD250,'All Donations'!$T$2:$T$4001,AC$1))</f>
        <v/>
      </c>
      <c r="AD250">
        <f>IF(AE250=1,'Roster'!A250,"")</f>
        <v/>
      </c>
      <c r="AE250">
        <f>IF(TRIM('Roster'!B250&amp;'Roster'!C250)&lt;&gt;"",1,0)</f>
        <v/>
      </c>
      <c r="AF250">
        <f>IF(AE250=1,LOWER(A250),"#")</f>
        <v/>
      </c>
      <c r="AG250">
        <f>IF(AE250=1,LOWER(TRIM(TRIM('Roster'!C250)&amp;", "&amp;TRIM('Roster'!B250))),"#")</f>
        <v/>
      </c>
      <c r="AH250">
        <f>IF(AND(AE250=1,TRIM('Roster'!F250)&lt;&gt;""),LOWER(TRIM('Roster'!F250)),"#")</f>
        <v/>
      </c>
      <c r="AI250">
        <f>IF(AE250=1,IF(MATCH(B250,$B$2:$B$701,0)=ROW()-1,1,0),0)</f>
        <v/>
      </c>
      <c r="AJ250">
        <f>AJ249+AI250</f>
        <v/>
      </c>
      <c r="AK250">
        <f>IF(AE250=1,D250+(1000-ROW())/10^7,-1)</f>
        <v/>
      </c>
      <c r="AL250">
        <f>IF(AE250=1,TRIM('Roster'!B250)&amp;" "&amp;LEFT(TRIM('Roster'!C250),1)&amp;".","")</f>
        <v/>
      </c>
      <c r="AM250">
        <f>IF(AE250=1,TRIM('Roster'!C250)&amp;", "&amp;TRIM('Roster'!B250)&amp;" ("&amp;B250&amp;") #"&amp;AD250,"")</f>
        <v/>
      </c>
      <c r="AN250">
        <f>IF(AE250=1,TRIM('Roster'!E250),"")</f>
        <v/>
      </c>
      <c r="AO250">
        <f>IF(AE250=1,ROUND(SUMIFS('All Donations'!$S$2:$S$4001,'All Donations'!$R$2:$R$4001,AD250,'All Donations'!$T$2:$T$4001,"&gt;="&amp;'Settings'!$C$23,'All Donations'!$T$2:$T$4001,"&lt;="&amp;'Settings'!$D$23),2),0)</f>
        <v/>
      </c>
      <c r="AQ250">
        <f>IF(AE250=1,ROUND(SUMIFS('All Donations'!$S$2:$S$4001,'All Donations'!$R$2:$R$4001,AD250,'All Donations'!$T$2:$T$4001,"&gt;="&amp;'Settings'!$C$25,'All Donations'!$T$2:$T$4001,"&lt;="&amp;'Settings'!$D$25),2),0)</f>
        <v/>
      </c>
      <c r="AR250">
        <f>IF(AE250=1,ROUND(SUMIFS('All Donations'!$S$2:$S$4001,'All Donations'!$R$2:$R$4001,AD250,'All Donations'!$T$2:$T$4001,"&gt;="&amp;'Settings'!$C$26,'All Donations'!$T$2:$T$4001,"&lt;="&amp;'Settings'!$D$26),2),0)</f>
        <v/>
      </c>
      <c r="AS250">
        <f>IF(AE250=1,ROUND(SUMIFS('All Donations'!$S$2:$S$4001,'All Donations'!$R$2:$R$4001,AD250,'All Donations'!$T$2:$T$4001,"&lt;="&amp;'Settings'!$D$27),2),0)</f>
        <v/>
      </c>
      <c r="AT250">
        <f>IF(AE250=1,ROUND(SUMIFS('All Donations'!$S$2:$S$4001,'All Donations'!$R$2:$R$4001,AD250,'All Donations'!$T$2:$T$4001,"&gt;="&amp;'Settings'!$C$28,'All Donations'!$T$2:$T$4001,"&lt;="&amp;'Settings'!$D$28),2),0)</f>
        <v/>
      </c>
      <c r="AU250">
        <f>IF(AE250=1,ROUND(SUMIFS('All Donations'!$S$2:$S$4001,'All Donations'!$R$2:$R$4001,AD250,'All Donations'!$T$2:$T$4001,"&gt;="&amp;'Settings'!$C$29,'All Donations'!$T$2:$T$4001,"&lt;="&amp;'Settings'!$D$29),2),0)</f>
        <v/>
      </c>
      <c r="AV250">
        <f>IF(AE250=1,ROUND(SUMIFS('All Donations'!$S$2:$S$4001,'All Donations'!$R$2:$R$4001,AD250,'All Donations'!$T$2:$T$4001,"&lt;="&amp;'Settings'!$D$30),2),0)</f>
        <v/>
      </c>
      <c r="AZ250">
        <f>IF(AE250=1,ROUND(SUMIFS('All Donations'!$S$2:$S$4001,'All Donations'!$R$2:$R$4001,AD250,'All Donations'!$T$2:$T$4001,"&lt;="&amp;'Settings'!$D$34),2),0)</f>
        <v/>
      </c>
    </row>
    <row r="251">
      <c r="A251">
        <f>IF(AE251=1,TRIM(TRIM('Roster'!B251)&amp;" "&amp;TRIM('Roster'!C251)),"")</f>
        <v/>
      </c>
      <c r="B251">
        <f>IF(AE251=1,IF(AN251="","(no teacher)",AN251&amp;" – "&amp;C251),"")</f>
        <v/>
      </c>
      <c r="C251">
        <f>IF(AE251=1,TRIM('Roster'!D251&amp;""),"")</f>
        <v/>
      </c>
      <c r="D251" s="48">
        <f>IF(AE251=1,ROUND(SUMIFS('All Donations'!$S$2:$S$4001,'All Donations'!$R$2:$R$4001,AD251),2),"")</f>
        <v/>
      </c>
      <c r="E251" s="48">
        <f>IF(AE251=1,ROUND(SUMIFS('All Donations'!$S$2:$S$4001,'All Donations'!$R$2:$R$4001,AD251,'All Donations'!$G$2:$G$4001,"OneCause"),2),"")</f>
        <v/>
      </c>
      <c r="F251" s="48">
        <f>IF(AE251=1,D251-E251,"")</f>
        <v/>
      </c>
      <c r="G251">
        <f>IF(AE251=1,COUNTIFS('All Donations'!$R$2:$R$4001,AD251,'All Donations'!$H$2:$H$4001,"OK"),"")</f>
        <v/>
      </c>
      <c r="H251">
        <f>IF(AE251&lt;&gt;1,"",IF(D251&gt;0,"Yes",""))</f>
        <v/>
      </c>
      <c r="I251" s="49">
        <f>IF(OR($AE251&lt;&gt;1,I$1=""),"",SUMIFS('All Donations'!$S$2:$S$4001,'All Donations'!$R$2:$R$4001,$AD251,'All Donations'!$T$2:$T$4001,I$1))</f>
        <v/>
      </c>
      <c r="J251" s="49">
        <f>IF(OR($AE251&lt;&gt;1,J$1=""),"",SUMIFS('All Donations'!$S$2:$S$4001,'All Donations'!$R$2:$R$4001,$AD251,'All Donations'!$T$2:$T$4001,J$1))</f>
        <v/>
      </c>
      <c r="K251" s="49">
        <f>IF(OR($AE251&lt;&gt;1,K$1=""),"",SUMIFS('All Donations'!$S$2:$S$4001,'All Donations'!$R$2:$R$4001,$AD251,'All Donations'!$T$2:$T$4001,K$1))</f>
        <v/>
      </c>
      <c r="L251" s="49">
        <f>IF(OR($AE251&lt;&gt;1,L$1=""),"",SUMIFS('All Donations'!$S$2:$S$4001,'All Donations'!$R$2:$R$4001,$AD251,'All Donations'!$T$2:$T$4001,L$1))</f>
        <v/>
      </c>
      <c r="M251" s="49">
        <f>IF(OR($AE251&lt;&gt;1,M$1=""),"",SUMIFS('All Donations'!$S$2:$S$4001,'All Donations'!$R$2:$R$4001,$AD251,'All Donations'!$T$2:$T$4001,M$1))</f>
        <v/>
      </c>
      <c r="N251" s="49">
        <f>IF(OR($AE251&lt;&gt;1,N$1=""),"",SUMIFS('All Donations'!$S$2:$S$4001,'All Donations'!$R$2:$R$4001,$AD251,'All Donations'!$T$2:$T$4001,N$1))</f>
        <v/>
      </c>
      <c r="O251" s="49">
        <f>IF(OR($AE251&lt;&gt;1,O$1=""),"",SUMIFS('All Donations'!$S$2:$S$4001,'All Donations'!$R$2:$R$4001,$AD251,'All Donations'!$T$2:$T$4001,O$1))</f>
        <v/>
      </c>
      <c r="P251" s="49">
        <f>IF(OR($AE251&lt;&gt;1,P$1=""),"",SUMIFS('All Donations'!$S$2:$S$4001,'All Donations'!$R$2:$R$4001,$AD251,'All Donations'!$T$2:$T$4001,P$1))</f>
        <v/>
      </c>
      <c r="Q251" s="49">
        <f>IF(OR($AE251&lt;&gt;1,Q$1=""),"",SUMIFS('All Donations'!$S$2:$S$4001,'All Donations'!$R$2:$R$4001,$AD251,'All Donations'!$T$2:$T$4001,Q$1))</f>
        <v/>
      </c>
      <c r="R251" s="49">
        <f>IF(OR($AE251&lt;&gt;1,R$1=""),"",SUMIFS('All Donations'!$S$2:$S$4001,'All Donations'!$R$2:$R$4001,$AD251,'All Donations'!$T$2:$T$4001,R$1))</f>
        <v/>
      </c>
      <c r="S251" s="49">
        <f>IF(OR($AE251&lt;&gt;1,S$1=""),"",SUMIFS('All Donations'!$S$2:$S$4001,'All Donations'!$R$2:$R$4001,$AD251,'All Donations'!$T$2:$T$4001,S$1))</f>
        <v/>
      </c>
      <c r="T251" s="49">
        <f>IF(OR($AE251&lt;&gt;1,T$1=""),"",SUMIFS('All Donations'!$S$2:$S$4001,'All Donations'!$R$2:$R$4001,$AD251,'All Donations'!$T$2:$T$4001,T$1))</f>
        <v/>
      </c>
      <c r="U251" s="49">
        <f>IF(OR($AE251&lt;&gt;1,U$1=""),"",SUMIFS('All Donations'!$S$2:$S$4001,'All Donations'!$R$2:$R$4001,$AD251,'All Donations'!$T$2:$T$4001,U$1))</f>
        <v/>
      </c>
      <c r="V251" s="49">
        <f>IF(OR($AE251&lt;&gt;1,V$1=""),"",SUMIFS('All Donations'!$S$2:$S$4001,'All Donations'!$R$2:$R$4001,$AD251,'All Donations'!$T$2:$T$4001,V$1))</f>
        <v/>
      </c>
      <c r="W251" s="49">
        <f>IF(OR($AE251&lt;&gt;1,W$1=""),"",SUMIFS('All Donations'!$S$2:$S$4001,'All Donations'!$R$2:$R$4001,$AD251,'All Donations'!$T$2:$T$4001,W$1))</f>
        <v/>
      </c>
      <c r="X251" s="49">
        <f>IF(OR($AE251&lt;&gt;1,X$1=""),"",SUMIFS('All Donations'!$S$2:$S$4001,'All Donations'!$R$2:$R$4001,$AD251,'All Donations'!$T$2:$T$4001,X$1))</f>
        <v/>
      </c>
      <c r="Y251" s="49">
        <f>IF(OR($AE251&lt;&gt;1,Y$1=""),"",SUMIFS('All Donations'!$S$2:$S$4001,'All Donations'!$R$2:$R$4001,$AD251,'All Donations'!$T$2:$T$4001,Y$1))</f>
        <v/>
      </c>
      <c r="Z251" s="49">
        <f>IF(OR($AE251&lt;&gt;1,Z$1=""),"",SUMIFS('All Donations'!$S$2:$S$4001,'All Donations'!$R$2:$R$4001,$AD251,'All Donations'!$T$2:$T$4001,Z$1))</f>
        <v/>
      </c>
      <c r="AA251" s="49">
        <f>IF(OR($AE251&lt;&gt;1,AA$1=""),"",SUMIFS('All Donations'!$S$2:$S$4001,'All Donations'!$R$2:$R$4001,$AD251,'All Donations'!$T$2:$T$4001,AA$1))</f>
        <v/>
      </c>
      <c r="AB251" s="49">
        <f>IF(OR($AE251&lt;&gt;1,AB$1=""),"",SUMIFS('All Donations'!$S$2:$S$4001,'All Donations'!$R$2:$R$4001,$AD251,'All Donations'!$T$2:$T$4001,AB$1))</f>
        <v/>
      </c>
      <c r="AC251" s="49">
        <f>IF(OR($AE251&lt;&gt;1,AC$1=""),"",SUMIFS('All Donations'!$S$2:$S$4001,'All Donations'!$R$2:$R$4001,$AD251,'All Donations'!$T$2:$T$4001,AC$1))</f>
        <v/>
      </c>
      <c r="AD251">
        <f>IF(AE251=1,'Roster'!A251,"")</f>
        <v/>
      </c>
      <c r="AE251">
        <f>IF(TRIM('Roster'!B251&amp;'Roster'!C251)&lt;&gt;"",1,0)</f>
        <v/>
      </c>
      <c r="AF251">
        <f>IF(AE251=1,LOWER(A251),"#")</f>
        <v/>
      </c>
      <c r="AG251">
        <f>IF(AE251=1,LOWER(TRIM(TRIM('Roster'!C251)&amp;", "&amp;TRIM('Roster'!B251))),"#")</f>
        <v/>
      </c>
      <c r="AH251">
        <f>IF(AND(AE251=1,TRIM('Roster'!F251)&lt;&gt;""),LOWER(TRIM('Roster'!F251)),"#")</f>
        <v/>
      </c>
      <c r="AI251">
        <f>IF(AE251=1,IF(MATCH(B251,$B$2:$B$701,0)=ROW()-1,1,0),0)</f>
        <v/>
      </c>
      <c r="AJ251">
        <f>AJ250+AI251</f>
        <v/>
      </c>
      <c r="AK251">
        <f>IF(AE251=1,D251+(1000-ROW())/10^7,-1)</f>
        <v/>
      </c>
      <c r="AL251">
        <f>IF(AE251=1,TRIM('Roster'!B251)&amp;" "&amp;LEFT(TRIM('Roster'!C251),1)&amp;".","")</f>
        <v/>
      </c>
      <c r="AM251">
        <f>IF(AE251=1,TRIM('Roster'!C251)&amp;", "&amp;TRIM('Roster'!B251)&amp;" ("&amp;B251&amp;") #"&amp;AD251,"")</f>
        <v/>
      </c>
      <c r="AN251">
        <f>IF(AE251=1,TRIM('Roster'!E251),"")</f>
        <v/>
      </c>
      <c r="AO251">
        <f>IF(AE251=1,ROUND(SUMIFS('All Donations'!$S$2:$S$4001,'All Donations'!$R$2:$R$4001,AD251,'All Donations'!$T$2:$T$4001,"&gt;="&amp;'Settings'!$C$23,'All Donations'!$T$2:$T$4001,"&lt;="&amp;'Settings'!$D$23),2),0)</f>
        <v/>
      </c>
      <c r="AQ251">
        <f>IF(AE251=1,ROUND(SUMIFS('All Donations'!$S$2:$S$4001,'All Donations'!$R$2:$R$4001,AD251,'All Donations'!$T$2:$T$4001,"&gt;="&amp;'Settings'!$C$25,'All Donations'!$T$2:$T$4001,"&lt;="&amp;'Settings'!$D$25),2),0)</f>
        <v/>
      </c>
      <c r="AR251">
        <f>IF(AE251=1,ROUND(SUMIFS('All Donations'!$S$2:$S$4001,'All Donations'!$R$2:$R$4001,AD251,'All Donations'!$T$2:$T$4001,"&gt;="&amp;'Settings'!$C$26,'All Donations'!$T$2:$T$4001,"&lt;="&amp;'Settings'!$D$26),2),0)</f>
        <v/>
      </c>
      <c r="AS251">
        <f>IF(AE251=1,ROUND(SUMIFS('All Donations'!$S$2:$S$4001,'All Donations'!$R$2:$R$4001,AD251,'All Donations'!$T$2:$T$4001,"&lt;="&amp;'Settings'!$D$27),2),0)</f>
        <v/>
      </c>
      <c r="AT251">
        <f>IF(AE251=1,ROUND(SUMIFS('All Donations'!$S$2:$S$4001,'All Donations'!$R$2:$R$4001,AD251,'All Donations'!$T$2:$T$4001,"&gt;="&amp;'Settings'!$C$28,'All Donations'!$T$2:$T$4001,"&lt;="&amp;'Settings'!$D$28),2),0)</f>
        <v/>
      </c>
      <c r="AU251">
        <f>IF(AE251=1,ROUND(SUMIFS('All Donations'!$S$2:$S$4001,'All Donations'!$R$2:$R$4001,AD251,'All Donations'!$T$2:$T$4001,"&gt;="&amp;'Settings'!$C$29,'All Donations'!$T$2:$T$4001,"&lt;="&amp;'Settings'!$D$29),2),0)</f>
        <v/>
      </c>
      <c r="AV251">
        <f>IF(AE251=1,ROUND(SUMIFS('All Donations'!$S$2:$S$4001,'All Donations'!$R$2:$R$4001,AD251,'All Donations'!$T$2:$T$4001,"&lt;="&amp;'Settings'!$D$30),2),0)</f>
        <v/>
      </c>
      <c r="AZ251">
        <f>IF(AE251=1,ROUND(SUMIFS('All Donations'!$S$2:$S$4001,'All Donations'!$R$2:$R$4001,AD251,'All Donations'!$T$2:$T$4001,"&lt;="&amp;'Settings'!$D$34),2),0)</f>
        <v/>
      </c>
    </row>
    <row r="252">
      <c r="A252">
        <f>IF(AE252=1,TRIM(TRIM('Roster'!B252)&amp;" "&amp;TRIM('Roster'!C252)),"")</f>
        <v/>
      </c>
      <c r="B252">
        <f>IF(AE252=1,IF(AN252="","(no teacher)",AN252&amp;" – "&amp;C252),"")</f>
        <v/>
      </c>
      <c r="C252">
        <f>IF(AE252=1,TRIM('Roster'!D252&amp;""),"")</f>
        <v/>
      </c>
      <c r="D252" s="48">
        <f>IF(AE252=1,ROUND(SUMIFS('All Donations'!$S$2:$S$4001,'All Donations'!$R$2:$R$4001,AD252),2),"")</f>
        <v/>
      </c>
      <c r="E252" s="48">
        <f>IF(AE252=1,ROUND(SUMIFS('All Donations'!$S$2:$S$4001,'All Donations'!$R$2:$R$4001,AD252,'All Donations'!$G$2:$G$4001,"OneCause"),2),"")</f>
        <v/>
      </c>
      <c r="F252" s="48">
        <f>IF(AE252=1,D252-E252,"")</f>
        <v/>
      </c>
      <c r="G252">
        <f>IF(AE252=1,COUNTIFS('All Donations'!$R$2:$R$4001,AD252,'All Donations'!$H$2:$H$4001,"OK"),"")</f>
        <v/>
      </c>
      <c r="H252">
        <f>IF(AE252&lt;&gt;1,"",IF(D252&gt;0,"Yes",""))</f>
        <v/>
      </c>
      <c r="I252" s="49">
        <f>IF(OR($AE252&lt;&gt;1,I$1=""),"",SUMIFS('All Donations'!$S$2:$S$4001,'All Donations'!$R$2:$R$4001,$AD252,'All Donations'!$T$2:$T$4001,I$1))</f>
        <v/>
      </c>
      <c r="J252" s="49">
        <f>IF(OR($AE252&lt;&gt;1,J$1=""),"",SUMIFS('All Donations'!$S$2:$S$4001,'All Donations'!$R$2:$R$4001,$AD252,'All Donations'!$T$2:$T$4001,J$1))</f>
        <v/>
      </c>
      <c r="K252" s="49">
        <f>IF(OR($AE252&lt;&gt;1,K$1=""),"",SUMIFS('All Donations'!$S$2:$S$4001,'All Donations'!$R$2:$R$4001,$AD252,'All Donations'!$T$2:$T$4001,K$1))</f>
        <v/>
      </c>
      <c r="L252" s="49">
        <f>IF(OR($AE252&lt;&gt;1,L$1=""),"",SUMIFS('All Donations'!$S$2:$S$4001,'All Donations'!$R$2:$R$4001,$AD252,'All Donations'!$T$2:$T$4001,L$1))</f>
        <v/>
      </c>
      <c r="M252" s="49">
        <f>IF(OR($AE252&lt;&gt;1,M$1=""),"",SUMIFS('All Donations'!$S$2:$S$4001,'All Donations'!$R$2:$R$4001,$AD252,'All Donations'!$T$2:$T$4001,M$1))</f>
        <v/>
      </c>
      <c r="N252" s="49">
        <f>IF(OR($AE252&lt;&gt;1,N$1=""),"",SUMIFS('All Donations'!$S$2:$S$4001,'All Donations'!$R$2:$R$4001,$AD252,'All Donations'!$T$2:$T$4001,N$1))</f>
        <v/>
      </c>
      <c r="O252" s="49">
        <f>IF(OR($AE252&lt;&gt;1,O$1=""),"",SUMIFS('All Donations'!$S$2:$S$4001,'All Donations'!$R$2:$R$4001,$AD252,'All Donations'!$T$2:$T$4001,O$1))</f>
        <v/>
      </c>
      <c r="P252" s="49">
        <f>IF(OR($AE252&lt;&gt;1,P$1=""),"",SUMIFS('All Donations'!$S$2:$S$4001,'All Donations'!$R$2:$R$4001,$AD252,'All Donations'!$T$2:$T$4001,P$1))</f>
        <v/>
      </c>
      <c r="Q252" s="49">
        <f>IF(OR($AE252&lt;&gt;1,Q$1=""),"",SUMIFS('All Donations'!$S$2:$S$4001,'All Donations'!$R$2:$R$4001,$AD252,'All Donations'!$T$2:$T$4001,Q$1))</f>
        <v/>
      </c>
      <c r="R252" s="49">
        <f>IF(OR($AE252&lt;&gt;1,R$1=""),"",SUMIFS('All Donations'!$S$2:$S$4001,'All Donations'!$R$2:$R$4001,$AD252,'All Donations'!$T$2:$T$4001,R$1))</f>
        <v/>
      </c>
      <c r="S252" s="49">
        <f>IF(OR($AE252&lt;&gt;1,S$1=""),"",SUMIFS('All Donations'!$S$2:$S$4001,'All Donations'!$R$2:$R$4001,$AD252,'All Donations'!$T$2:$T$4001,S$1))</f>
        <v/>
      </c>
      <c r="T252" s="49">
        <f>IF(OR($AE252&lt;&gt;1,T$1=""),"",SUMIFS('All Donations'!$S$2:$S$4001,'All Donations'!$R$2:$R$4001,$AD252,'All Donations'!$T$2:$T$4001,T$1))</f>
        <v/>
      </c>
      <c r="U252" s="49">
        <f>IF(OR($AE252&lt;&gt;1,U$1=""),"",SUMIFS('All Donations'!$S$2:$S$4001,'All Donations'!$R$2:$R$4001,$AD252,'All Donations'!$T$2:$T$4001,U$1))</f>
        <v/>
      </c>
      <c r="V252" s="49">
        <f>IF(OR($AE252&lt;&gt;1,V$1=""),"",SUMIFS('All Donations'!$S$2:$S$4001,'All Donations'!$R$2:$R$4001,$AD252,'All Donations'!$T$2:$T$4001,V$1))</f>
        <v/>
      </c>
      <c r="W252" s="49">
        <f>IF(OR($AE252&lt;&gt;1,W$1=""),"",SUMIFS('All Donations'!$S$2:$S$4001,'All Donations'!$R$2:$R$4001,$AD252,'All Donations'!$T$2:$T$4001,W$1))</f>
        <v/>
      </c>
      <c r="X252" s="49">
        <f>IF(OR($AE252&lt;&gt;1,X$1=""),"",SUMIFS('All Donations'!$S$2:$S$4001,'All Donations'!$R$2:$R$4001,$AD252,'All Donations'!$T$2:$T$4001,X$1))</f>
        <v/>
      </c>
      <c r="Y252" s="49">
        <f>IF(OR($AE252&lt;&gt;1,Y$1=""),"",SUMIFS('All Donations'!$S$2:$S$4001,'All Donations'!$R$2:$R$4001,$AD252,'All Donations'!$T$2:$T$4001,Y$1))</f>
        <v/>
      </c>
      <c r="Z252" s="49">
        <f>IF(OR($AE252&lt;&gt;1,Z$1=""),"",SUMIFS('All Donations'!$S$2:$S$4001,'All Donations'!$R$2:$R$4001,$AD252,'All Donations'!$T$2:$T$4001,Z$1))</f>
        <v/>
      </c>
      <c r="AA252" s="49">
        <f>IF(OR($AE252&lt;&gt;1,AA$1=""),"",SUMIFS('All Donations'!$S$2:$S$4001,'All Donations'!$R$2:$R$4001,$AD252,'All Donations'!$T$2:$T$4001,AA$1))</f>
        <v/>
      </c>
      <c r="AB252" s="49">
        <f>IF(OR($AE252&lt;&gt;1,AB$1=""),"",SUMIFS('All Donations'!$S$2:$S$4001,'All Donations'!$R$2:$R$4001,$AD252,'All Donations'!$T$2:$T$4001,AB$1))</f>
        <v/>
      </c>
      <c r="AC252" s="49">
        <f>IF(OR($AE252&lt;&gt;1,AC$1=""),"",SUMIFS('All Donations'!$S$2:$S$4001,'All Donations'!$R$2:$R$4001,$AD252,'All Donations'!$T$2:$T$4001,AC$1))</f>
        <v/>
      </c>
      <c r="AD252">
        <f>IF(AE252=1,'Roster'!A252,"")</f>
        <v/>
      </c>
      <c r="AE252">
        <f>IF(TRIM('Roster'!B252&amp;'Roster'!C252)&lt;&gt;"",1,0)</f>
        <v/>
      </c>
      <c r="AF252">
        <f>IF(AE252=1,LOWER(A252),"#")</f>
        <v/>
      </c>
      <c r="AG252">
        <f>IF(AE252=1,LOWER(TRIM(TRIM('Roster'!C252)&amp;", "&amp;TRIM('Roster'!B252))),"#")</f>
        <v/>
      </c>
      <c r="AH252">
        <f>IF(AND(AE252=1,TRIM('Roster'!F252)&lt;&gt;""),LOWER(TRIM('Roster'!F252)),"#")</f>
        <v/>
      </c>
      <c r="AI252">
        <f>IF(AE252=1,IF(MATCH(B252,$B$2:$B$701,0)=ROW()-1,1,0),0)</f>
        <v/>
      </c>
      <c r="AJ252">
        <f>AJ251+AI252</f>
        <v/>
      </c>
      <c r="AK252">
        <f>IF(AE252=1,D252+(1000-ROW())/10^7,-1)</f>
        <v/>
      </c>
      <c r="AL252">
        <f>IF(AE252=1,TRIM('Roster'!B252)&amp;" "&amp;LEFT(TRIM('Roster'!C252),1)&amp;".","")</f>
        <v/>
      </c>
      <c r="AM252">
        <f>IF(AE252=1,TRIM('Roster'!C252)&amp;", "&amp;TRIM('Roster'!B252)&amp;" ("&amp;B252&amp;") #"&amp;AD252,"")</f>
        <v/>
      </c>
      <c r="AN252">
        <f>IF(AE252=1,TRIM('Roster'!E252),"")</f>
        <v/>
      </c>
      <c r="AO252">
        <f>IF(AE252=1,ROUND(SUMIFS('All Donations'!$S$2:$S$4001,'All Donations'!$R$2:$R$4001,AD252,'All Donations'!$T$2:$T$4001,"&gt;="&amp;'Settings'!$C$23,'All Donations'!$T$2:$T$4001,"&lt;="&amp;'Settings'!$D$23),2),0)</f>
        <v/>
      </c>
      <c r="AQ252">
        <f>IF(AE252=1,ROUND(SUMIFS('All Donations'!$S$2:$S$4001,'All Donations'!$R$2:$R$4001,AD252,'All Donations'!$T$2:$T$4001,"&gt;="&amp;'Settings'!$C$25,'All Donations'!$T$2:$T$4001,"&lt;="&amp;'Settings'!$D$25),2),0)</f>
        <v/>
      </c>
      <c r="AR252">
        <f>IF(AE252=1,ROUND(SUMIFS('All Donations'!$S$2:$S$4001,'All Donations'!$R$2:$R$4001,AD252,'All Donations'!$T$2:$T$4001,"&gt;="&amp;'Settings'!$C$26,'All Donations'!$T$2:$T$4001,"&lt;="&amp;'Settings'!$D$26),2),0)</f>
        <v/>
      </c>
      <c r="AS252">
        <f>IF(AE252=1,ROUND(SUMIFS('All Donations'!$S$2:$S$4001,'All Donations'!$R$2:$R$4001,AD252,'All Donations'!$T$2:$T$4001,"&lt;="&amp;'Settings'!$D$27),2),0)</f>
        <v/>
      </c>
      <c r="AT252">
        <f>IF(AE252=1,ROUND(SUMIFS('All Donations'!$S$2:$S$4001,'All Donations'!$R$2:$R$4001,AD252,'All Donations'!$T$2:$T$4001,"&gt;="&amp;'Settings'!$C$28,'All Donations'!$T$2:$T$4001,"&lt;="&amp;'Settings'!$D$28),2),0)</f>
        <v/>
      </c>
      <c r="AU252">
        <f>IF(AE252=1,ROUND(SUMIFS('All Donations'!$S$2:$S$4001,'All Donations'!$R$2:$R$4001,AD252,'All Donations'!$T$2:$T$4001,"&gt;="&amp;'Settings'!$C$29,'All Donations'!$T$2:$T$4001,"&lt;="&amp;'Settings'!$D$29),2),0)</f>
        <v/>
      </c>
      <c r="AV252">
        <f>IF(AE252=1,ROUND(SUMIFS('All Donations'!$S$2:$S$4001,'All Donations'!$R$2:$R$4001,AD252,'All Donations'!$T$2:$T$4001,"&lt;="&amp;'Settings'!$D$30),2),0)</f>
        <v/>
      </c>
      <c r="AZ252">
        <f>IF(AE252=1,ROUND(SUMIFS('All Donations'!$S$2:$S$4001,'All Donations'!$R$2:$R$4001,AD252,'All Donations'!$T$2:$T$4001,"&lt;="&amp;'Settings'!$D$34),2),0)</f>
        <v/>
      </c>
    </row>
    <row r="253">
      <c r="A253">
        <f>IF(AE253=1,TRIM(TRIM('Roster'!B253)&amp;" "&amp;TRIM('Roster'!C253)),"")</f>
        <v/>
      </c>
      <c r="B253">
        <f>IF(AE253=1,IF(AN253="","(no teacher)",AN253&amp;" – "&amp;C253),"")</f>
        <v/>
      </c>
      <c r="C253">
        <f>IF(AE253=1,TRIM('Roster'!D253&amp;""),"")</f>
        <v/>
      </c>
      <c r="D253" s="48">
        <f>IF(AE253=1,ROUND(SUMIFS('All Donations'!$S$2:$S$4001,'All Donations'!$R$2:$R$4001,AD253),2),"")</f>
        <v/>
      </c>
      <c r="E253" s="48">
        <f>IF(AE253=1,ROUND(SUMIFS('All Donations'!$S$2:$S$4001,'All Donations'!$R$2:$R$4001,AD253,'All Donations'!$G$2:$G$4001,"OneCause"),2),"")</f>
        <v/>
      </c>
      <c r="F253" s="48">
        <f>IF(AE253=1,D253-E253,"")</f>
        <v/>
      </c>
      <c r="G253">
        <f>IF(AE253=1,COUNTIFS('All Donations'!$R$2:$R$4001,AD253,'All Donations'!$H$2:$H$4001,"OK"),"")</f>
        <v/>
      </c>
      <c r="H253">
        <f>IF(AE253&lt;&gt;1,"",IF(D253&gt;0,"Yes",""))</f>
        <v/>
      </c>
      <c r="I253" s="49">
        <f>IF(OR($AE253&lt;&gt;1,I$1=""),"",SUMIFS('All Donations'!$S$2:$S$4001,'All Donations'!$R$2:$R$4001,$AD253,'All Donations'!$T$2:$T$4001,I$1))</f>
        <v/>
      </c>
      <c r="J253" s="49">
        <f>IF(OR($AE253&lt;&gt;1,J$1=""),"",SUMIFS('All Donations'!$S$2:$S$4001,'All Donations'!$R$2:$R$4001,$AD253,'All Donations'!$T$2:$T$4001,J$1))</f>
        <v/>
      </c>
      <c r="K253" s="49">
        <f>IF(OR($AE253&lt;&gt;1,K$1=""),"",SUMIFS('All Donations'!$S$2:$S$4001,'All Donations'!$R$2:$R$4001,$AD253,'All Donations'!$T$2:$T$4001,K$1))</f>
        <v/>
      </c>
      <c r="L253" s="49">
        <f>IF(OR($AE253&lt;&gt;1,L$1=""),"",SUMIFS('All Donations'!$S$2:$S$4001,'All Donations'!$R$2:$R$4001,$AD253,'All Donations'!$T$2:$T$4001,L$1))</f>
        <v/>
      </c>
      <c r="M253" s="49">
        <f>IF(OR($AE253&lt;&gt;1,M$1=""),"",SUMIFS('All Donations'!$S$2:$S$4001,'All Donations'!$R$2:$R$4001,$AD253,'All Donations'!$T$2:$T$4001,M$1))</f>
        <v/>
      </c>
      <c r="N253" s="49">
        <f>IF(OR($AE253&lt;&gt;1,N$1=""),"",SUMIFS('All Donations'!$S$2:$S$4001,'All Donations'!$R$2:$R$4001,$AD253,'All Donations'!$T$2:$T$4001,N$1))</f>
        <v/>
      </c>
      <c r="O253" s="49">
        <f>IF(OR($AE253&lt;&gt;1,O$1=""),"",SUMIFS('All Donations'!$S$2:$S$4001,'All Donations'!$R$2:$R$4001,$AD253,'All Donations'!$T$2:$T$4001,O$1))</f>
        <v/>
      </c>
      <c r="P253" s="49">
        <f>IF(OR($AE253&lt;&gt;1,P$1=""),"",SUMIFS('All Donations'!$S$2:$S$4001,'All Donations'!$R$2:$R$4001,$AD253,'All Donations'!$T$2:$T$4001,P$1))</f>
        <v/>
      </c>
      <c r="Q253" s="49">
        <f>IF(OR($AE253&lt;&gt;1,Q$1=""),"",SUMIFS('All Donations'!$S$2:$S$4001,'All Donations'!$R$2:$R$4001,$AD253,'All Donations'!$T$2:$T$4001,Q$1))</f>
        <v/>
      </c>
      <c r="R253" s="49">
        <f>IF(OR($AE253&lt;&gt;1,R$1=""),"",SUMIFS('All Donations'!$S$2:$S$4001,'All Donations'!$R$2:$R$4001,$AD253,'All Donations'!$T$2:$T$4001,R$1))</f>
        <v/>
      </c>
      <c r="S253" s="49">
        <f>IF(OR($AE253&lt;&gt;1,S$1=""),"",SUMIFS('All Donations'!$S$2:$S$4001,'All Donations'!$R$2:$R$4001,$AD253,'All Donations'!$T$2:$T$4001,S$1))</f>
        <v/>
      </c>
      <c r="T253" s="49">
        <f>IF(OR($AE253&lt;&gt;1,T$1=""),"",SUMIFS('All Donations'!$S$2:$S$4001,'All Donations'!$R$2:$R$4001,$AD253,'All Donations'!$T$2:$T$4001,T$1))</f>
        <v/>
      </c>
      <c r="U253" s="49">
        <f>IF(OR($AE253&lt;&gt;1,U$1=""),"",SUMIFS('All Donations'!$S$2:$S$4001,'All Donations'!$R$2:$R$4001,$AD253,'All Donations'!$T$2:$T$4001,U$1))</f>
        <v/>
      </c>
      <c r="V253" s="49">
        <f>IF(OR($AE253&lt;&gt;1,V$1=""),"",SUMIFS('All Donations'!$S$2:$S$4001,'All Donations'!$R$2:$R$4001,$AD253,'All Donations'!$T$2:$T$4001,V$1))</f>
        <v/>
      </c>
      <c r="W253" s="49">
        <f>IF(OR($AE253&lt;&gt;1,W$1=""),"",SUMIFS('All Donations'!$S$2:$S$4001,'All Donations'!$R$2:$R$4001,$AD253,'All Donations'!$T$2:$T$4001,W$1))</f>
        <v/>
      </c>
      <c r="X253" s="49">
        <f>IF(OR($AE253&lt;&gt;1,X$1=""),"",SUMIFS('All Donations'!$S$2:$S$4001,'All Donations'!$R$2:$R$4001,$AD253,'All Donations'!$T$2:$T$4001,X$1))</f>
        <v/>
      </c>
      <c r="Y253" s="49">
        <f>IF(OR($AE253&lt;&gt;1,Y$1=""),"",SUMIFS('All Donations'!$S$2:$S$4001,'All Donations'!$R$2:$R$4001,$AD253,'All Donations'!$T$2:$T$4001,Y$1))</f>
        <v/>
      </c>
      <c r="Z253" s="49">
        <f>IF(OR($AE253&lt;&gt;1,Z$1=""),"",SUMIFS('All Donations'!$S$2:$S$4001,'All Donations'!$R$2:$R$4001,$AD253,'All Donations'!$T$2:$T$4001,Z$1))</f>
        <v/>
      </c>
      <c r="AA253" s="49">
        <f>IF(OR($AE253&lt;&gt;1,AA$1=""),"",SUMIFS('All Donations'!$S$2:$S$4001,'All Donations'!$R$2:$R$4001,$AD253,'All Donations'!$T$2:$T$4001,AA$1))</f>
        <v/>
      </c>
      <c r="AB253" s="49">
        <f>IF(OR($AE253&lt;&gt;1,AB$1=""),"",SUMIFS('All Donations'!$S$2:$S$4001,'All Donations'!$R$2:$R$4001,$AD253,'All Donations'!$T$2:$T$4001,AB$1))</f>
        <v/>
      </c>
      <c r="AC253" s="49">
        <f>IF(OR($AE253&lt;&gt;1,AC$1=""),"",SUMIFS('All Donations'!$S$2:$S$4001,'All Donations'!$R$2:$R$4001,$AD253,'All Donations'!$T$2:$T$4001,AC$1))</f>
        <v/>
      </c>
      <c r="AD253">
        <f>IF(AE253=1,'Roster'!A253,"")</f>
        <v/>
      </c>
      <c r="AE253">
        <f>IF(TRIM('Roster'!B253&amp;'Roster'!C253)&lt;&gt;"",1,0)</f>
        <v/>
      </c>
      <c r="AF253">
        <f>IF(AE253=1,LOWER(A253),"#")</f>
        <v/>
      </c>
      <c r="AG253">
        <f>IF(AE253=1,LOWER(TRIM(TRIM('Roster'!C253)&amp;", "&amp;TRIM('Roster'!B253))),"#")</f>
        <v/>
      </c>
      <c r="AH253">
        <f>IF(AND(AE253=1,TRIM('Roster'!F253)&lt;&gt;""),LOWER(TRIM('Roster'!F253)),"#")</f>
        <v/>
      </c>
      <c r="AI253">
        <f>IF(AE253=1,IF(MATCH(B253,$B$2:$B$701,0)=ROW()-1,1,0),0)</f>
        <v/>
      </c>
      <c r="AJ253">
        <f>AJ252+AI253</f>
        <v/>
      </c>
      <c r="AK253">
        <f>IF(AE253=1,D253+(1000-ROW())/10^7,-1)</f>
        <v/>
      </c>
      <c r="AL253">
        <f>IF(AE253=1,TRIM('Roster'!B253)&amp;" "&amp;LEFT(TRIM('Roster'!C253),1)&amp;".","")</f>
        <v/>
      </c>
      <c r="AM253">
        <f>IF(AE253=1,TRIM('Roster'!C253)&amp;", "&amp;TRIM('Roster'!B253)&amp;" ("&amp;B253&amp;") #"&amp;AD253,"")</f>
        <v/>
      </c>
      <c r="AN253">
        <f>IF(AE253=1,TRIM('Roster'!E253),"")</f>
        <v/>
      </c>
      <c r="AO253">
        <f>IF(AE253=1,ROUND(SUMIFS('All Donations'!$S$2:$S$4001,'All Donations'!$R$2:$R$4001,AD253,'All Donations'!$T$2:$T$4001,"&gt;="&amp;'Settings'!$C$23,'All Donations'!$T$2:$T$4001,"&lt;="&amp;'Settings'!$D$23),2),0)</f>
        <v/>
      </c>
      <c r="AQ253">
        <f>IF(AE253=1,ROUND(SUMIFS('All Donations'!$S$2:$S$4001,'All Donations'!$R$2:$R$4001,AD253,'All Donations'!$T$2:$T$4001,"&gt;="&amp;'Settings'!$C$25,'All Donations'!$T$2:$T$4001,"&lt;="&amp;'Settings'!$D$25),2),0)</f>
        <v/>
      </c>
      <c r="AR253">
        <f>IF(AE253=1,ROUND(SUMIFS('All Donations'!$S$2:$S$4001,'All Donations'!$R$2:$R$4001,AD253,'All Donations'!$T$2:$T$4001,"&gt;="&amp;'Settings'!$C$26,'All Donations'!$T$2:$T$4001,"&lt;="&amp;'Settings'!$D$26),2),0)</f>
        <v/>
      </c>
      <c r="AS253">
        <f>IF(AE253=1,ROUND(SUMIFS('All Donations'!$S$2:$S$4001,'All Donations'!$R$2:$R$4001,AD253,'All Donations'!$T$2:$T$4001,"&lt;="&amp;'Settings'!$D$27),2),0)</f>
        <v/>
      </c>
      <c r="AT253">
        <f>IF(AE253=1,ROUND(SUMIFS('All Donations'!$S$2:$S$4001,'All Donations'!$R$2:$R$4001,AD253,'All Donations'!$T$2:$T$4001,"&gt;="&amp;'Settings'!$C$28,'All Donations'!$T$2:$T$4001,"&lt;="&amp;'Settings'!$D$28),2),0)</f>
        <v/>
      </c>
      <c r="AU253">
        <f>IF(AE253=1,ROUND(SUMIFS('All Donations'!$S$2:$S$4001,'All Donations'!$R$2:$R$4001,AD253,'All Donations'!$T$2:$T$4001,"&gt;="&amp;'Settings'!$C$29,'All Donations'!$T$2:$T$4001,"&lt;="&amp;'Settings'!$D$29),2),0)</f>
        <v/>
      </c>
      <c r="AV253">
        <f>IF(AE253=1,ROUND(SUMIFS('All Donations'!$S$2:$S$4001,'All Donations'!$R$2:$R$4001,AD253,'All Donations'!$T$2:$T$4001,"&lt;="&amp;'Settings'!$D$30),2),0)</f>
        <v/>
      </c>
      <c r="AZ253">
        <f>IF(AE253=1,ROUND(SUMIFS('All Donations'!$S$2:$S$4001,'All Donations'!$R$2:$R$4001,AD253,'All Donations'!$T$2:$T$4001,"&lt;="&amp;'Settings'!$D$34),2),0)</f>
        <v/>
      </c>
    </row>
    <row r="254">
      <c r="A254">
        <f>IF(AE254=1,TRIM(TRIM('Roster'!B254)&amp;" "&amp;TRIM('Roster'!C254)),"")</f>
        <v/>
      </c>
      <c r="B254">
        <f>IF(AE254=1,IF(AN254="","(no teacher)",AN254&amp;" – "&amp;C254),"")</f>
        <v/>
      </c>
      <c r="C254">
        <f>IF(AE254=1,TRIM('Roster'!D254&amp;""),"")</f>
        <v/>
      </c>
      <c r="D254" s="48">
        <f>IF(AE254=1,ROUND(SUMIFS('All Donations'!$S$2:$S$4001,'All Donations'!$R$2:$R$4001,AD254),2),"")</f>
        <v/>
      </c>
      <c r="E254" s="48">
        <f>IF(AE254=1,ROUND(SUMIFS('All Donations'!$S$2:$S$4001,'All Donations'!$R$2:$R$4001,AD254,'All Donations'!$G$2:$G$4001,"OneCause"),2),"")</f>
        <v/>
      </c>
      <c r="F254" s="48">
        <f>IF(AE254=1,D254-E254,"")</f>
        <v/>
      </c>
      <c r="G254">
        <f>IF(AE254=1,COUNTIFS('All Donations'!$R$2:$R$4001,AD254,'All Donations'!$H$2:$H$4001,"OK"),"")</f>
        <v/>
      </c>
      <c r="H254">
        <f>IF(AE254&lt;&gt;1,"",IF(D254&gt;0,"Yes",""))</f>
        <v/>
      </c>
      <c r="I254" s="49">
        <f>IF(OR($AE254&lt;&gt;1,I$1=""),"",SUMIFS('All Donations'!$S$2:$S$4001,'All Donations'!$R$2:$R$4001,$AD254,'All Donations'!$T$2:$T$4001,I$1))</f>
        <v/>
      </c>
      <c r="J254" s="49">
        <f>IF(OR($AE254&lt;&gt;1,J$1=""),"",SUMIFS('All Donations'!$S$2:$S$4001,'All Donations'!$R$2:$R$4001,$AD254,'All Donations'!$T$2:$T$4001,J$1))</f>
        <v/>
      </c>
      <c r="K254" s="49">
        <f>IF(OR($AE254&lt;&gt;1,K$1=""),"",SUMIFS('All Donations'!$S$2:$S$4001,'All Donations'!$R$2:$R$4001,$AD254,'All Donations'!$T$2:$T$4001,K$1))</f>
        <v/>
      </c>
      <c r="L254" s="49">
        <f>IF(OR($AE254&lt;&gt;1,L$1=""),"",SUMIFS('All Donations'!$S$2:$S$4001,'All Donations'!$R$2:$R$4001,$AD254,'All Donations'!$T$2:$T$4001,L$1))</f>
        <v/>
      </c>
      <c r="M254" s="49">
        <f>IF(OR($AE254&lt;&gt;1,M$1=""),"",SUMIFS('All Donations'!$S$2:$S$4001,'All Donations'!$R$2:$R$4001,$AD254,'All Donations'!$T$2:$T$4001,M$1))</f>
        <v/>
      </c>
      <c r="N254" s="49">
        <f>IF(OR($AE254&lt;&gt;1,N$1=""),"",SUMIFS('All Donations'!$S$2:$S$4001,'All Donations'!$R$2:$R$4001,$AD254,'All Donations'!$T$2:$T$4001,N$1))</f>
        <v/>
      </c>
      <c r="O254" s="49">
        <f>IF(OR($AE254&lt;&gt;1,O$1=""),"",SUMIFS('All Donations'!$S$2:$S$4001,'All Donations'!$R$2:$R$4001,$AD254,'All Donations'!$T$2:$T$4001,O$1))</f>
        <v/>
      </c>
      <c r="P254" s="49">
        <f>IF(OR($AE254&lt;&gt;1,P$1=""),"",SUMIFS('All Donations'!$S$2:$S$4001,'All Donations'!$R$2:$R$4001,$AD254,'All Donations'!$T$2:$T$4001,P$1))</f>
        <v/>
      </c>
      <c r="Q254" s="49">
        <f>IF(OR($AE254&lt;&gt;1,Q$1=""),"",SUMIFS('All Donations'!$S$2:$S$4001,'All Donations'!$R$2:$R$4001,$AD254,'All Donations'!$T$2:$T$4001,Q$1))</f>
        <v/>
      </c>
      <c r="R254" s="49">
        <f>IF(OR($AE254&lt;&gt;1,R$1=""),"",SUMIFS('All Donations'!$S$2:$S$4001,'All Donations'!$R$2:$R$4001,$AD254,'All Donations'!$T$2:$T$4001,R$1))</f>
        <v/>
      </c>
      <c r="S254" s="49">
        <f>IF(OR($AE254&lt;&gt;1,S$1=""),"",SUMIFS('All Donations'!$S$2:$S$4001,'All Donations'!$R$2:$R$4001,$AD254,'All Donations'!$T$2:$T$4001,S$1))</f>
        <v/>
      </c>
      <c r="T254" s="49">
        <f>IF(OR($AE254&lt;&gt;1,T$1=""),"",SUMIFS('All Donations'!$S$2:$S$4001,'All Donations'!$R$2:$R$4001,$AD254,'All Donations'!$T$2:$T$4001,T$1))</f>
        <v/>
      </c>
      <c r="U254" s="49">
        <f>IF(OR($AE254&lt;&gt;1,U$1=""),"",SUMIFS('All Donations'!$S$2:$S$4001,'All Donations'!$R$2:$R$4001,$AD254,'All Donations'!$T$2:$T$4001,U$1))</f>
        <v/>
      </c>
      <c r="V254" s="49">
        <f>IF(OR($AE254&lt;&gt;1,V$1=""),"",SUMIFS('All Donations'!$S$2:$S$4001,'All Donations'!$R$2:$R$4001,$AD254,'All Donations'!$T$2:$T$4001,V$1))</f>
        <v/>
      </c>
      <c r="W254" s="49">
        <f>IF(OR($AE254&lt;&gt;1,W$1=""),"",SUMIFS('All Donations'!$S$2:$S$4001,'All Donations'!$R$2:$R$4001,$AD254,'All Donations'!$T$2:$T$4001,W$1))</f>
        <v/>
      </c>
      <c r="X254" s="49">
        <f>IF(OR($AE254&lt;&gt;1,X$1=""),"",SUMIFS('All Donations'!$S$2:$S$4001,'All Donations'!$R$2:$R$4001,$AD254,'All Donations'!$T$2:$T$4001,X$1))</f>
        <v/>
      </c>
      <c r="Y254" s="49">
        <f>IF(OR($AE254&lt;&gt;1,Y$1=""),"",SUMIFS('All Donations'!$S$2:$S$4001,'All Donations'!$R$2:$R$4001,$AD254,'All Donations'!$T$2:$T$4001,Y$1))</f>
        <v/>
      </c>
      <c r="Z254" s="49">
        <f>IF(OR($AE254&lt;&gt;1,Z$1=""),"",SUMIFS('All Donations'!$S$2:$S$4001,'All Donations'!$R$2:$R$4001,$AD254,'All Donations'!$T$2:$T$4001,Z$1))</f>
        <v/>
      </c>
      <c r="AA254" s="49">
        <f>IF(OR($AE254&lt;&gt;1,AA$1=""),"",SUMIFS('All Donations'!$S$2:$S$4001,'All Donations'!$R$2:$R$4001,$AD254,'All Donations'!$T$2:$T$4001,AA$1))</f>
        <v/>
      </c>
      <c r="AB254" s="49">
        <f>IF(OR($AE254&lt;&gt;1,AB$1=""),"",SUMIFS('All Donations'!$S$2:$S$4001,'All Donations'!$R$2:$R$4001,$AD254,'All Donations'!$T$2:$T$4001,AB$1))</f>
        <v/>
      </c>
      <c r="AC254" s="49">
        <f>IF(OR($AE254&lt;&gt;1,AC$1=""),"",SUMIFS('All Donations'!$S$2:$S$4001,'All Donations'!$R$2:$R$4001,$AD254,'All Donations'!$T$2:$T$4001,AC$1))</f>
        <v/>
      </c>
      <c r="AD254">
        <f>IF(AE254=1,'Roster'!A254,"")</f>
        <v/>
      </c>
      <c r="AE254">
        <f>IF(TRIM('Roster'!B254&amp;'Roster'!C254)&lt;&gt;"",1,0)</f>
        <v/>
      </c>
      <c r="AF254">
        <f>IF(AE254=1,LOWER(A254),"#")</f>
        <v/>
      </c>
      <c r="AG254">
        <f>IF(AE254=1,LOWER(TRIM(TRIM('Roster'!C254)&amp;", "&amp;TRIM('Roster'!B254))),"#")</f>
        <v/>
      </c>
      <c r="AH254">
        <f>IF(AND(AE254=1,TRIM('Roster'!F254)&lt;&gt;""),LOWER(TRIM('Roster'!F254)),"#")</f>
        <v/>
      </c>
      <c r="AI254">
        <f>IF(AE254=1,IF(MATCH(B254,$B$2:$B$701,0)=ROW()-1,1,0),0)</f>
        <v/>
      </c>
      <c r="AJ254">
        <f>AJ253+AI254</f>
        <v/>
      </c>
      <c r="AK254">
        <f>IF(AE254=1,D254+(1000-ROW())/10^7,-1)</f>
        <v/>
      </c>
      <c r="AL254">
        <f>IF(AE254=1,TRIM('Roster'!B254)&amp;" "&amp;LEFT(TRIM('Roster'!C254),1)&amp;".","")</f>
        <v/>
      </c>
      <c r="AM254">
        <f>IF(AE254=1,TRIM('Roster'!C254)&amp;", "&amp;TRIM('Roster'!B254)&amp;" ("&amp;B254&amp;") #"&amp;AD254,"")</f>
        <v/>
      </c>
      <c r="AN254">
        <f>IF(AE254=1,TRIM('Roster'!E254),"")</f>
        <v/>
      </c>
      <c r="AO254">
        <f>IF(AE254=1,ROUND(SUMIFS('All Donations'!$S$2:$S$4001,'All Donations'!$R$2:$R$4001,AD254,'All Donations'!$T$2:$T$4001,"&gt;="&amp;'Settings'!$C$23,'All Donations'!$T$2:$T$4001,"&lt;="&amp;'Settings'!$D$23),2),0)</f>
        <v/>
      </c>
      <c r="AQ254">
        <f>IF(AE254=1,ROUND(SUMIFS('All Donations'!$S$2:$S$4001,'All Donations'!$R$2:$R$4001,AD254,'All Donations'!$T$2:$T$4001,"&gt;="&amp;'Settings'!$C$25,'All Donations'!$T$2:$T$4001,"&lt;="&amp;'Settings'!$D$25),2),0)</f>
        <v/>
      </c>
      <c r="AR254">
        <f>IF(AE254=1,ROUND(SUMIFS('All Donations'!$S$2:$S$4001,'All Donations'!$R$2:$R$4001,AD254,'All Donations'!$T$2:$T$4001,"&gt;="&amp;'Settings'!$C$26,'All Donations'!$T$2:$T$4001,"&lt;="&amp;'Settings'!$D$26),2),0)</f>
        <v/>
      </c>
      <c r="AS254">
        <f>IF(AE254=1,ROUND(SUMIFS('All Donations'!$S$2:$S$4001,'All Donations'!$R$2:$R$4001,AD254,'All Donations'!$T$2:$T$4001,"&lt;="&amp;'Settings'!$D$27),2),0)</f>
        <v/>
      </c>
      <c r="AT254">
        <f>IF(AE254=1,ROUND(SUMIFS('All Donations'!$S$2:$S$4001,'All Donations'!$R$2:$R$4001,AD254,'All Donations'!$T$2:$T$4001,"&gt;="&amp;'Settings'!$C$28,'All Donations'!$T$2:$T$4001,"&lt;="&amp;'Settings'!$D$28),2),0)</f>
        <v/>
      </c>
      <c r="AU254">
        <f>IF(AE254=1,ROUND(SUMIFS('All Donations'!$S$2:$S$4001,'All Donations'!$R$2:$R$4001,AD254,'All Donations'!$T$2:$T$4001,"&gt;="&amp;'Settings'!$C$29,'All Donations'!$T$2:$T$4001,"&lt;="&amp;'Settings'!$D$29),2),0)</f>
        <v/>
      </c>
      <c r="AV254">
        <f>IF(AE254=1,ROUND(SUMIFS('All Donations'!$S$2:$S$4001,'All Donations'!$R$2:$R$4001,AD254,'All Donations'!$T$2:$T$4001,"&lt;="&amp;'Settings'!$D$30),2),0)</f>
        <v/>
      </c>
      <c r="AZ254">
        <f>IF(AE254=1,ROUND(SUMIFS('All Donations'!$S$2:$S$4001,'All Donations'!$R$2:$R$4001,AD254,'All Donations'!$T$2:$T$4001,"&lt;="&amp;'Settings'!$D$34),2),0)</f>
        <v/>
      </c>
    </row>
    <row r="255">
      <c r="A255">
        <f>IF(AE255=1,TRIM(TRIM('Roster'!B255)&amp;" "&amp;TRIM('Roster'!C255)),"")</f>
        <v/>
      </c>
      <c r="B255">
        <f>IF(AE255=1,IF(AN255="","(no teacher)",AN255&amp;" – "&amp;C255),"")</f>
        <v/>
      </c>
      <c r="C255">
        <f>IF(AE255=1,TRIM('Roster'!D255&amp;""),"")</f>
        <v/>
      </c>
      <c r="D255" s="48">
        <f>IF(AE255=1,ROUND(SUMIFS('All Donations'!$S$2:$S$4001,'All Donations'!$R$2:$R$4001,AD255),2),"")</f>
        <v/>
      </c>
      <c r="E255" s="48">
        <f>IF(AE255=1,ROUND(SUMIFS('All Donations'!$S$2:$S$4001,'All Donations'!$R$2:$R$4001,AD255,'All Donations'!$G$2:$G$4001,"OneCause"),2),"")</f>
        <v/>
      </c>
      <c r="F255" s="48">
        <f>IF(AE255=1,D255-E255,"")</f>
        <v/>
      </c>
      <c r="G255">
        <f>IF(AE255=1,COUNTIFS('All Donations'!$R$2:$R$4001,AD255,'All Donations'!$H$2:$H$4001,"OK"),"")</f>
        <v/>
      </c>
      <c r="H255">
        <f>IF(AE255&lt;&gt;1,"",IF(D255&gt;0,"Yes",""))</f>
        <v/>
      </c>
      <c r="I255" s="49">
        <f>IF(OR($AE255&lt;&gt;1,I$1=""),"",SUMIFS('All Donations'!$S$2:$S$4001,'All Donations'!$R$2:$R$4001,$AD255,'All Donations'!$T$2:$T$4001,I$1))</f>
        <v/>
      </c>
      <c r="J255" s="49">
        <f>IF(OR($AE255&lt;&gt;1,J$1=""),"",SUMIFS('All Donations'!$S$2:$S$4001,'All Donations'!$R$2:$R$4001,$AD255,'All Donations'!$T$2:$T$4001,J$1))</f>
        <v/>
      </c>
      <c r="K255" s="49">
        <f>IF(OR($AE255&lt;&gt;1,K$1=""),"",SUMIFS('All Donations'!$S$2:$S$4001,'All Donations'!$R$2:$R$4001,$AD255,'All Donations'!$T$2:$T$4001,K$1))</f>
        <v/>
      </c>
      <c r="L255" s="49">
        <f>IF(OR($AE255&lt;&gt;1,L$1=""),"",SUMIFS('All Donations'!$S$2:$S$4001,'All Donations'!$R$2:$R$4001,$AD255,'All Donations'!$T$2:$T$4001,L$1))</f>
        <v/>
      </c>
      <c r="M255" s="49">
        <f>IF(OR($AE255&lt;&gt;1,M$1=""),"",SUMIFS('All Donations'!$S$2:$S$4001,'All Donations'!$R$2:$R$4001,$AD255,'All Donations'!$T$2:$T$4001,M$1))</f>
        <v/>
      </c>
      <c r="N255" s="49">
        <f>IF(OR($AE255&lt;&gt;1,N$1=""),"",SUMIFS('All Donations'!$S$2:$S$4001,'All Donations'!$R$2:$R$4001,$AD255,'All Donations'!$T$2:$T$4001,N$1))</f>
        <v/>
      </c>
      <c r="O255" s="49">
        <f>IF(OR($AE255&lt;&gt;1,O$1=""),"",SUMIFS('All Donations'!$S$2:$S$4001,'All Donations'!$R$2:$R$4001,$AD255,'All Donations'!$T$2:$T$4001,O$1))</f>
        <v/>
      </c>
      <c r="P255" s="49">
        <f>IF(OR($AE255&lt;&gt;1,P$1=""),"",SUMIFS('All Donations'!$S$2:$S$4001,'All Donations'!$R$2:$R$4001,$AD255,'All Donations'!$T$2:$T$4001,P$1))</f>
        <v/>
      </c>
      <c r="Q255" s="49">
        <f>IF(OR($AE255&lt;&gt;1,Q$1=""),"",SUMIFS('All Donations'!$S$2:$S$4001,'All Donations'!$R$2:$R$4001,$AD255,'All Donations'!$T$2:$T$4001,Q$1))</f>
        <v/>
      </c>
      <c r="R255" s="49">
        <f>IF(OR($AE255&lt;&gt;1,R$1=""),"",SUMIFS('All Donations'!$S$2:$S$4001,'All Donations'!$R$2:$R$4001,$AD255,'All Donations'!$T$2:$T$4001,R$1))</f>
        <v/>
      </c>
      <c r="S255" s="49">
        <f>IF(OR($AE255&lt;&gt;1,S$1=""),"",SUMIFS('All Donations'!$S$2:$S$4001,'All Donations'!$R$2:$R$4001,$AD255,'All Donations'!$T$2:$T$4001,S$1))</f>
        <v/>
      </c>
      <c r="T255" s="49">
        <f>IF(OR($AE255&lt;&gt;1,T$1=""),"",SUMIFS('All Donations'!$S$2:$S$4001,'All Donations'!$R$2:$R$4001,$AD255,'All Donations'!$T$2:$T$4001,T$1))</f>
        <v/>
      </c>
      <c r="U255" s="49">
        <f>IF(OR($AE255&lt;&gt;1,U$1=""),"",SUMIFS('All Donations'!$S$2:$S$4001,'All Donations'!$R$2:$R$4001,$AD255,'All Donations'!$T$2:$T$4001,U$1))</f>
        <v/>
      </c>
      <c r="V255" s="49">
        <f>IF(OR($AE255&lt;&gt;1,V$1=""),"",SUMIFS('All Donations'!$S$2:$S$4001,'All Donations'!$R$2:$R$4001,$AD255,'All Donations'!$T$2:$T$4001,V$1))</f>
        <v/>
      </c>
      <c r="W255" s="49">
        <f>IF(OR($AE255&lt;&gt;1,W$1=""),"",SUMIFS('All Donations'!$S$2:$S$4001,'All Donations'!$R$2:$R$4001,$AD255,'All Donations'!$T$2:$T$4001,W$1))</f>
        <v/>
      </c>
      <c r="X255" s="49">
        <f>IF(OR($AE255&lt;&gt;1,X$1=""),"",SUMIFS('All Donations'!$S$2:$S$4001,'All Donations'!$R$2:$R$4001,$AD255,'All Donations'!$T$2:$T$4001,X$1))</f>
        <v/>
      </c>
      <c r="Y255" s="49">
        <f>IF(OR($AE255&lt;&gt;1,Y$1=""),"",SUMIFS('All Donations'!$S$2:$S$4001,'All Donations'!$R$2:$R$4001,$AD255,'All Donations'!$T$2:$T$4001,Y$1))</f>
        <v/>
      </c>
      <c r="Z255" s="49">
        <f>IF(OR($AE255&lt;&gt;1,Z$1=""),"",SUMIFS('All Donations'!$S$2:$S$4001,'All Donations'!$R$2:$R$4001,$AD255,'All Donations'!$T$2:$T$4001,Z$1))</f>
        <v/>
      </c>
      <c r="AA255" s="49">
        <f>IF(OR($AE255&lt;&gt;1,AA$1=""),"",SUMIFS('All Donations'!$S$2:$S$4001,'All Donations'!$R$2:$R$4001,$AD255,'All Donations'!$T$2:$T$4001,AA$1))</f>
        <v/>
      </c>
      <c r="AB255" s="49">
        <f>IF(OR($AE255&lt;&gt;1,AB$1=""),"",SUMIFS('All Donations'!$S$2:$S$4001,'All Donations'!$R$2:$R$4001,$AD255,'All Donations'!$T$2:$T$4001,AB$1))</f>
        <v/>
      </c>
      <c r="AC255" s="49">
        <f>IF(OR($AE255&lt;&gt;1,AC$1=""),"",SUMIFS('All Donations'!$S$2:$S$4001,'All Donations'!$R$2:$R$4001,$AD255,'All Donations'!$T$2:$T$4001,AC$1))</f>
        <v/>
      </c>
      <c r="AD255">
        <f>IF(AE255=1,'Roster'!A255,"")</f>
        <v/>
      </c>
      <c r="AE255">
        <f>IF(TRIM('Roster'!B255&amp;'Roster'!C255)&lt;&gt;"",1,0)</f>
        <v/>
      </c>
      <c r="AF255">
        <f>IF(AE255=1,LOWER(A255),"#")</f>
        <v/>
      </c>
      <c r="AG255">
        <f>IF(AE255=1,LOWER(TRIM(TRIM('Roster'!C255)&amp;", "&amp;TRIM('Roster'!B255))),"#")</f>
        <v/>
      </c>
      <c r="AH255">
        <f>IF(AND(AE255=1,TRIM('Roster'!F255)&lt;&gt;""),LOWER(TRIM('Roster'!F255)),"#")</f>
        <v/>
      </c>
      <c r="AI255">
        <f>IF(AE255=1,IF(MATCH(B255,$B$2:$B$701,0)=ROW()-1,1,0),0)</f>
        <v/>
      </c>
      <c r="AJ255">
        <f>AJ254+AI255</f>
        <v/>
      </c>
      <c r="AK255">
        <f>IF(AE255=1,D255+(1000-ROW())/10^7,-1)</f>
        <v/>
      </c>
      <c r="AL255">
        <f>IF(AE255=1,TRIM('Roster'!B255)&amp;" "&amp;LEFT(TRIM('Roster'!C255),1)&amp;".","")</f>
        <v/>
      </c>
      <c r="AM255">
        <f>IF(AE255=1,TRIM('Roster'!C255)&amp;", "&amp;TRIM('Roster'!B255)&amp;" ("&amp;B255&amp;") #"&amp;AD255,"")</f>
        <v/>
      </c>
      <c r="AN255">
        <f>IF(AE255=1,TRIM('Roster'!E255),"")</f>
        <v/>
      </c>
      <c r="AO255">
        <f>IF(AE255=1,ROUND(SUMIFS('All Donations'!$S$2:$S$4001,'All Donations'!$R$2:$R$4001,AD255,'All Donations'!$T$2:$T$4001,"&gt;="&amp;'Settings'!$C$23,'All Donations'!$T$2:$T$4001,"&lt;="&amp;'Settings'!$D$23),2),0)</f>
        <v/>
      </c>
      <c r="AQ255">
        <f>IF(AE255=1,ROUND(SUMIFS('All Donations'!$S$2:$S$4001,'All Donations'!$R$2:$R$4001,AD255,'All Donations'!$T$2:$T$4001,"&gt;="&amp;'Settings'!$C$25,'All Donations'!$T$2:$T$4001,"&lt;="&amp;'Settings'!$D$25),2),0)</f>
        <v/>
      </c>
      <c r="AR255">
        <f>IF(AE255=1,ROUND(SUMIFS('All Donations'!$S$2:$S$4001,'All Donations'!$R$2:$R$4001,AD255,'All Donations'!$T$2:$T$4001,"&gt;="&amp;'Settings'!$C$26,'All Donations'!$T$2:$T$4001,"&lt;="&amp;'Settings'!$D$26),2),0)</f>
        <v/>
      </c>
      <c r="AS255">
        <f>IF(AE255=1,ROUND(SUMIFS('All Donations'!$S$2:$S$4001,'All Donations'!$R$2:$R$4001,AD255,'All Donations'!$T$2:$T$4001,"&lt;="&amp;'Settings'!$D$27),2),0)</f>
        <v/>
      </c>
      <c r="AT255">
        <f>IF(AE255=1,ROUND(SUMIFS('All Donations'!$S$2:$S$4001,'All Donations'!$R$2:$R$4001,AD255,'All Donations'!$T$2:$T$4001,"&gt;="&amp;'Settings'!$C$28,'All Donations'!$T$2:$T$4001,"&lt;="&amp;'Settings'!$D$28),2),0)</f>
        <v/>
      </c>
      <c r="AU255">
        <f>IF(AE255=1,ROUND(SUMIFS('All Donations'!$S$2:$S$4001,'All Donations'!$R$2:$R$4001,AD255,'All Donations'!$T$2:$T$4001,"&gt;="&amp;'Settings'!$C$29,'All Donations'!$T$2:$T$4001,"&lt;="&amp;'Settings'!$D$29),2),0)</f>
        <v/>
      </c>
      <c r="AV255">
        <f>IF(AE255=1,ROUND(SUMIFS('All Donations'!$S$2:$S$4001,'All Donations'!$R$2:$R$4001,AD255,'All Donations'!$T$2:$T$4001,"&lt;="&amp;'Settings'!$D$30),2),0)</f>
        <v/>
      </c>
      <c r="AZ255">
        <f>IF(AE255=1,ROUND(SUMIFS('All Donations'!$S$2:$S$4001,'All Donations'!$R$2:$R$4001,AD255,'All Donations'!$T$2:$T$4001,"&lt;="&amp;'Settings'!$D$34),2),0)</f>
        <v/>
      </c>
    </row>
    <row r="256">
      <c r="A256">
        <f>IF(AE256=1,TRIM(TRIM('Roster'!B256)&amp;" "&amp;TRIM('Roster'!C256)),"")</f>
        <v/>
      </c>
      <c r="B256">
        <f>IF(AE256=1,IF(AN256="","(no teacher)",AN256&amp;" – "&amp;C256),"")</f>
        <v/>
      </c>
      <c r="C256">
        <f>IF(AE256=1,TRIM('Roster'!D256&amp;""),"")</f>
        <v/>
      </c>
      <c r="D256" s="48">
        <f>IF(AE256=1,ROUND(SUMIFS('All Donations'!$S$2:$S$4001,'All Donations'!$R$2:$R$4001,AD256),2),"")</f>
        <v/>
      </c>
      <c r="E256" s="48">
        <f>IF(AE256=1,ROUND(SUMIFS('All Donations'!$S$2:$S$4001,'All Donations'!$R$2:$R$4001,AD256,'All Donations'!$G$2:$G$4001,"OneCause"),2),"")</f>
        <v/>
      </c>
      <c r="F256" s="48">
        <f>IF(AE256=1,D256-E256,"")</f>
        <v/>
      </c>
      <c r="G256">
        <f>IF(AE256=1,COUNTIFS('All Donations'!$R$2:$R$4001,AD256,'All Donations'!$H$2:$H$4001,"OK"),"")</f>
        <v/>
      </c>
      <c r="H256">
        <f>IF(AE256&lt;&gt;1,"",IF(D256&gt;0,"Yes",""))</f>
        <v/>
      </c>
      <c r="I256" s="49">
        <f>IF(OR($AE256&lt;&gt;1,I$1=""),"",SUMIFS('All Donations'!$S$2:$S$4001,'All Donations'!$R$2:$R$4001,$AD256,'All Donations'!$T$2:$T$4001,I$1))</f>
        <v/>
      </c>
      <c r="J256" s="49">
        <f>IF(OR($AE256&lt;&gt;1,J$1=""),"",SUMIFS('All Donations'!$S$2:$S$4001,'All Donations'!$R$2:$R$4001,$AD256,'All Donations'!$T$2:$T$4001,J$1))</f>
        <v/>
      </c>
      <c r="K256" s="49">
        <f>IF(OR($AE256&lt;&gt;1,K$1=""),"",SUMIFS('All Donations'!$S$2:$S$4001,'All Donations'!$R$2:$R$4001,$AD256,'All Donations'!$T$2:$T$4001,K$1))</f>
        <v/>
      </c>
      <c r="L256" s="49">
        <f>IF(OR($AE256&lt;&gt;1,L$1=""),"",SUMIFS('All Donations'!$S$2:$S$4001,'All Donations'!$R$2:$R$4001,$AD256,'All Donations'!$T$2:$T$4001,L$1))</f>
        <v/>
      </c>
      <c r="M256" s="49">
        <f>IF(OR($AE256&lt;&gt;1,M$1=""),"",SUMIFS('All Donations'!$S$2:$S$4001,'All Donations'!$R$2:$R$4001,$AD256,'All Donations'!$T$2:$T$4001,M$1))</f>
        <v/>
      </c>
      <c r="N256" s="49">
        <f>IF(OR($AE256&lt;&gt;1,N$1=""),"",SUMIFS('All Donations'!$S$2:$S$4001,'All Donations'!$R$2:$R$4001,$AD256,'All Donations'!$T$2:$T$4001,N$1))</f>
        <v/>
      </c>
      <c r="O256" s="49">
        <f>IF(OR($AE256&lt;&gt;1,O$1=""),"",SUMIFS('All Donations'!$S$2:$S$4001,'All Donations'!$R$2:$R$4001,$AD256,'All Donations'!$T$2:$T$4001,O$1))</f>
        <v/>
      </c>
      <c r="P256" s="49">
        <f>IF(OR($AE256&lt;&gt;1,P$1=""),"",SUMIFS('All Donations'!$S$2:$S$4001,'All Donations'!$R$2:$R$4001,$AD256,'All Donations'!$T$2:$T$4001,P$1))</f>
        <v/>
      </c>
      <c r="Q256" s="49">
        <f>IF(OR($AE256&lt;&gt;1,Q$1=""),"",SUMIFS('All Donations'!$S$2:$S$4001,'All Donations'!$R$2:$R$4001,$AD256,'All Donations'!$T$2:$T$4001,Q$1))</f>
        <v/>
      </c>
      <c r="R256" s="49">
        <f>IF(OR($AE256&lt;&gt;1,R$1=""),"",SUMIFS('All Donations'!$S$2:$S$4001,'All Donations'!$R$2:$R$4001,$AD256,'All Donations'!$T$2:$T$4001,R$1))</f>
        <v/>
      </c>
      <c r="S256" s="49">
        <f>IF(OR($AE256&lt;&gt;1,S$1=""),"",SUMIFS('All Donations'!$S$2:$S$4001,'All Donations'!$R$2:$R$4001,$AD256,'All Donations'!$T$2:$T$4001,S$1))</f>
        <v/>
      </c>
      <c r="T256" s="49">
        <f>IF(OR($AE256&lt;&gt;1,T$1=""),"",SUMIFS('All Donations'!$S$2:$S$4001,'All Donations'!$R$2:$R$4001,$AD256,'All Donations'!$T$2:$T$4001,T$1))</f>
        <v/>
      </c>
      <c r="U256" s="49">
        <f>IF(OR($AE256&lt;&gt;1,U$1=""),"",SUMIFS('All Donations'!$S$2:$S$4001,'All Donations'!$R$2:$R$4001,$AD256,'All Donations'!$T$2:$T$4001,U$1))</f>
        <v/>
      </c>
      <c r="V256" s="49">
        <f>IF(OR($AE256&lt;&gt;1,V$1=""),"",SUMIFS('All Donations'!$S$2:$S$4001,'All Donations'!$R$2:$R$4001,$AD256,'All Donations'!$T$2:$T$4001,V$1))</f>
        <v/>
      </c>
      <c r="W256" s="49">
        <f>IF(OR($AE256&lt;&gt;1,W$1=""),"",SUMIFS('All Donations'!$S$2:$S$4001,'All Donations'!$R$2:$R$4001,$AD256,'All Donations'!$T$2:$T$4001,W$1))</f>
        <v/>
      </c>
      <c r="X256" s="49">
        <f>IF(OR($AE256&lt;&gt;1,X$1=""),"",SUMIFS('All Donations'!$S$2:$S$4001,'All Donations'!$R$2:$R$4001,$AD256,'All Donations'!$T$2:$T$4001,X$1))</f>
        <v/>
      </c>
      <c r="Y256" s="49">
        <f>IF(OR($AE256&lt;&gt;1,Y$1=""),"",SUMIFS('All Donations'!$S$2:$S$4001,'All Donations'!$R$2:$R$4001,$AD256,'All Donations'!$T$2:$T$4001,Y$1))</f>
        <v/>
      </c>
      <c r="Z256" s="49">
        <f>IF(OR($AE256&lt;&gt;1,Z$1=""),"",SUMIFS('All Donations'!$S$2:$S$4001,'All Donations'!$R$2:$R$4001,$AD256,'All Donations'!$T$2:$T$4001,Z$1))</f>
        <v/>
      </c>
      <c r="AA256" s="49">
        <f>IF(OR($AE256&lt;&gt;1,AA$1=""),"",SUMIFS('All Donations'!$S$2:$S$4001,'All Donations'!$R$2:$R$4001,$AD256,'All Donations'!$T$2:$T$4001,AA$1))</f>
        <v/>
      </c>
      <c r="AB256" s="49">
        <f>IF(OR($AE256&lt;&gt;1,AB$1=""),"",SUMIFS('All Donations'!$S$2:$S$4001,'All Donations'!$R$2:$R$4001,$AD256,'All Donations'!$T$2:$T$4001,AB$1))</f>
        <v/>
      </c>
      <c r="AC256" s="49">
        <f>IF(OR($AE256&lt;&gt;1,AC$1=""),"",SUMIFS('All Donations'!$S$2:$S$4001,'All Donations'!$R$2:$R$4001,$AD256,'All Donations'!$T$2:$T$4001,AC$1))</f>
        <v/>
      </c>
      <c r="AD256">
        <f>IF(AE256=1,'Roster'!A256,"")</f>
        <v/>
      </c>
      <c r="AE256">
        <f>IF(TRIM('Roster'!B256&amp;'Roster'!C256)&lt;&gt;"",1,0)</f>
        <v/>
      </c>
      <c r="AF256">
        <f>IF(AE256=1,LOWER(A256),"#")</f>
        <v/>
      </c>
      <c r="AG256">
        <f>IF(AE256=1,LOWER(TRIM(TRIM('Roster'!C256)&amp;", "&amp;TRIM('Roster'!B256))),"#")</f>
        <v/>
      </c>
      <c r="AH256">
        <f>IF(AND(AE256=1,TRIM('Roster'!F256)&lt;&gt;""),LOWER(TRIM('Roster'!F256)),"#")</f>
        <v/>
      </c>
      <c r="AI256">
        <f>IF(AE256=1,IF(MATCH(B256,$B$2:$B$701,0)=ROW()-1,1,0),0)</f>
        <v/>
      </c>
      <c r="AJ256">
        <f>AJ255+AI256</f>
        <v/>
      </c>
      <c r="AK256">
        <f>IF(AE256=1,D256+(1000-ROW())/10^7,-1)</f>
        <v/>
      </c>
      <c r="AL256">
        <f>IF(AE256=1,TRIM('Roster'!B256)&amp;" "&amp;LEFT(TRIM('Roster'!C256),1)&amp;".","")</f>
        <v/>
      </c>
      <c r="AM256">
        <f>IF(AE256=1,TRIM('Roster'!C256)&amp;", "&amp;TRIM('Roster'!B256)&amp;" ("&amp;B256&amp;") #"&amp;AD256,"")</f>
        <v/>
      </c>
      <c r="AN256">
        <f>IF(AE256=1,TRIM('Roster'!E256),"")</f>
        <v/>
      </c>
      <c r="AO256">
        <f>IF(AE256=1,ROUND(SUMIFS('All Donations'!$S$2:$S$4001,'All Donations'!$R$2:$R$4001,AD256,'All Donations'!$T$2:$T$4001,"&gt;="&amp;'Settings'!$C$23,'All Donations'!$T$2:$T$4001,"&lt;="&amp;'Settings'!$D$23),2),0)</f>
        <v/>
      </c>
      <c r="AQ256">
        <f>IF(AE256=1,ROUND(SUMIFS('All Donations'!$S$2:$S$4001,'All Donations'!$R$2:$R$4001,AD256,'All Donations'!$T$2:$T$4001,"&gt;="&amp;'Settings'!$C$25,'All Donations'!$T$2:$T$4001,"&lt;="&amp;'Settings'!$D$25),2),0)</f>
        <v/>
      </c>
      <c r="AR256">
        <f>IF(AE256=1,ROUND(SUMIFS('All Donations'!$S$2:$S$4001,'All Donations'!$R$2:$R$4001,AD256,'All Donations'!$T$2:$T$4001,"&gt;="&amp;'Settings'!$C$26,'All Donations'!$T$2:$T$4001,"&lt;="&amp;'Settings'!$D$26),2),0)</f>
        <v/>
      </c>
      <c r="AS256">
        <f>IF(AE256=1,ROUND(SUMIFS('All Donations'!$S$2:$S$4001,'All Donations'!$R$2:$R$4001,AD256,'All Donations'!$T$2:$T$4001,"&lt;="&amp;'Settings'!$D$27),2),0)</f>
        <v/>
      </c>
      <c r="AT256">
        <f>IF(AE256=1,ROUND(SUMIFS('All Donations'!$S$2:$S$4001,'All Donations'!$R$2:$R$4001,AD256,'All Donations'!$T$2:$T$4001,"&gt;="&amp;'Settings'!$C$28,'All Donations'!$T$2:$T$4001,"&lt;="&amp;'Settings'!$D$28),2),0)</f>
        <v/>
      </c>
      <c r="AU256">
        <f>IF(AE256=1,ROUND(SUMIFS('All Donations'!$S$2:$S$4001,'All Donations'!$R$2:$R$4001,AD256,'All Donations'!$T$2:$T$4001,"&gt;="&amp;'Settings'!$C$29,'All Donations'!$T$2:$T$4001,"&lt;="&amp;'Settings'!$D$29),2),0)</f>
        <v/>
      </c>
      <c r="AV256">
        <f>IF(AE256=1,ROUND(SUMIFS('All Donations'!$S$2:$S$4001,'All Donations'!$R$2:$R$4001,AD256,'All Donations'!$T$2:$T$4001,"&lt;="&amp;'Settings'!$D$30),2),0)</f>
        <v/>
      </c>
      <c r="AZ256">
        <f>IF(AE256=1,ROUND(SUMIFS('All Donations'!$S$2:$S$4001,'All Donations'!$R$2:$R$4001,AD256,'All Donations'!$T$2:$T$4001,"&lt;="&amp;'Settings'!$D$34),2),0)</f>
        <v/>
      </c>
    </row>
    <row r="257">
      <c r="A257">
        <f>IF(AE257=1,TRIM(TRIM('Roster'!B257)&amp;" "&amp;TRIM('Roster'!C257)),"")</f>
        <v/>
      </c>
      <c r="B257">
        <f>IF(AE257=1,IF(AN257="","(no teacher)",AN257&amp;" – "&amp;C257),"")</f>
        <v/>
      </c>
      <c r="C257">
        <f>IF(AE257=1,TRIM('Roster'!D257&amp;""),"")</f>
        <v/>
      </c>
      <c r="D257" s="48">
        <f>IF(AE257=1,ROUND(SUMIFS('All Donations'!$S$2:$S$4001,'All Donations'!$R$2:$R$4001,AD257),2),"")</f>
        <v/>
      </c>
      <c r="E257" s="48">
        <f>IF(AE257=1,ROUND(SUMIFS('All Donations'!$S$2:$S$4001,'All Donations'!$R$2:$R$4001,AD257,'All Donations'!$G$2:$G$4001,"OneCause"),2),"")</f>
        <v/>
      </c>
      <c r="F257" s="48">
        <f>IF(AE257=1,D257-E257,"")</f>
        <v/>
      </c>
      <c r="G257">
        <f>IF(AE257=1,COUNTIFS('All Donations'!$R$2:$R$4001,AD257,'All Donations'!$H$2:$H$4001,"OK"),"")</f>
        <v/>
      </c>
      <c r="H257">
        <f>IF(AE257&lt;&gt;1,"",IF(D257&gt;0,"Yes",""))</f>
        <v/>
      </c>
      <c r="I257" s="49">
        <f>IF(OR($AE257&lt;&gt;1,I$1=""),"",SUMIFS('All Donations'!$S$2:$S$4001,'All Donations'!$R$2:$R$4001,$AD257,'All Donations'!$T$2:$T$4001,I$1))</f>
        <v/>
      </c>
      <c r="J257" s="49">
        <f>IF(OR($AE257&lt;&gt;1,J$1=""),"",SUMIFS('All Donations'!$S$2:$S$4001,'All Donations'!$R$2:$R$4001,$AD257,'All Donations'!$T$2:$T$4001,J$1))</f>
        <v/>
      </c>
      <c r="K257" s="49">
        <f>IF(OR($AE257&lt;&gt;1,K$1=""),"",SUMIFS('All Donations'!$S$2:$S$4001,'All Donations'!$R$2:$R$4001,$AD257,'All Donations'!$T$2:$T$4001,K$1))</f>
        <v/>
      </c>
      <c r="L257" s="49">
        <f>IF(OR($AE257&lt;&gt;1,L$1=""),"",SUMIFS('All Donations'!$S$2:$S$4001,'All Donations'!$R$2:$R$4001,$AD257,'All Donations'!$T$2:$T$4001,L$1))</f>
        <v/>
      </c>
      <c r="M257" s="49">
        <f>IF(OR($AE257&lt;&gt;1,M$1=""),"",SUMIFS('All Donations'!$S$2:$S$4001,'All Donations'!$R$2:$R$4001,$AD257,'All Donations'!$T$2:$T$4001,M$1))</f>
        <v/>
      </c>
      <c r="N257" s="49">
        <f>IF(OR($AE257&lt;&gt;1,N$1=""),"",SUMIFS('All Donations'!$S$2:$S$4001,'All Donations'!$R$2:$R$4001,$AD257,'All Donations'!$T$2:$T$4001,N$1))</f>
        <v/>
      </c>
      <c r="O257" s="49">
        <f>IF(OR($AE257&lt;&gt;1,O$1=""),"",SUMIFS('All Donations'!$S$2:$S$4001,'All Donations'!$R$2:$R$4001,$AD257,'All Donations'!$T$2:$T$4001,O$1))</f>
        <v/>
      </c>
      <c r="P257" s="49">
        <f>IF(OR($AE257&lt;&gt;1,P$1=""),"",SUMIFS('All Donations'!$S$2:$S$4001,'All Donations'!$R$2:$R$4001,$AD257,'All Donations'!$T$2:$T$4001,P$1))</f>
        <v/>
      </c>
      <c r="Q257" s="49">
        <f>IF(OR($AE257&lt;&gt;1,Q$1=""),"",SUMIFS('All Donations'!$S$2:$S$4001,'All Donations'!$R$2:$R$4001,$AD257,'All Donations'!$T$2:$T$4001,Q$1))</f>
        <v/>
      </c>
      <c r="R257" s="49">
        <f>IF(OR($AE257&lt;&gt;1,R$1=""),"",SUMIFS('All Donations'!$S$2:$S$4001,'All Donations'!$R$2:$R$4001,$AD257,'All Donations'!$T$2:$T$4001,R$1))</f>
        <v/>
      </c>
      <c r="S257" s="49">
        <f>IF(OR($AE257&lt;&gt;1,S$1=""),"",SUMIFS('All Donations'!$S$2:$S$4001,'All Donations'!$R$2:$R$4001,$AD257,'All Donations'!$T$2:$T$4001,S$1))</f>
        <v/>
      </c>
      <c r="T257" s="49">
        <f>IF(OR($AE257&lt;&gt;1,T$1=""),"",SUMIFS('All Donations'!$S$2:$S$4001,'All Donations'!$R$2:$R$4001,$AD257,'All Donations'!$T$2:$T$4001,T$1))</f>
        <v/>
      </c>
      <c r="U257" s="49">
        <f>IF(OR($AE257&lt;&gt;1,U$1=""),"",SUMIFS('All Donations'!$S$2:$S$4001,'All Donations'!$R$2:$R$4001,$AD257,'All Donations'!$T$2:$T$4001,U$1))</f>
        <v/>
      </c>
      <c r="V257" s="49">
        <f>IF(OR($AE257&lt;&gt;1,V$1=""),"",SUMIFS('All Donations'!$S$2:$S$4001,'All Donations'!$R$2:$R$4001,$AD257,'All Donations'!$T$2:$T$4001,V$1))</f>
        <v/>
      </c>
      <c r="W257" s="49">
        <f>IF(OR($AE257&lt;&gt;1,W$1=""),"",SUMIFS('All Donations'!$S$2:$S$4001,'All Donations'!$R$2:$R$4001,$AD257,'All Donations'!$T$2:$T$4001,W$1))</f>
        <v/>
      </c>
      <c r="X257" s="49">
        <f>IF(OR($AE257&lt;&gt;1,X$1=""),"",SUMIFS('All Donations'!$S$2:$S$4001,'All Donations'!$R$2:$R$4001,$AD257,'All Donations'!$T$2:$T$4001,X$1))</f>
        <v/>
      </c>
      <c r="Y257" s="49">
        <f>IF(OR($AE257&lt;&gt;1,Y$1=""),"",SUMIFS('All Donations'!$S$2:$S$4001,'All Donations'!$R$2:$R$4001,$AD257,'All Donations'!$T$2:$T$4001,Y$1))</f>
        <v/>
      </c>
      <c r="Z257" s="49">
        <f>IF(OR($AE257&lt;&gt;1,Z$1=""),"",SUMIFS('All Donations'!$S$2:$S$4001,'All Donations'!$R$2:$R$4001,$AD257,'All Donations'!$T$2:$T$4001,Z$1))</f>
        <v/>
      </c>
      <c r="AA257" s="49">
        <f>IF(OR($AE257&lt;&gt;1,AA$1=""),"",SUMIFS('All Donations'!$S$2:$S$4001,'All Donations'!$R$2:$R$4001,$AD257,'All Donations'!$T$2:$T$4001,AA$1))</f>
        <v/>
      </c>
      <c r="AB257" s="49">
        <f>IF(OR($AE257&lt;&gt;1,AB$1=""),"",SUMIFS('All Donations'!$S$2:$S$4001,'All Donations'!$R$2:$R$4001,$AD257,'All Donations'!$T$2:$T$4001,AB$1))</f>
        <v/>
      </c>
      <c r="AC257" s="49">
        <f>IF(OR($AE257&lt;&gt;1,AC$1=""),"",SUMIFS('All Donations'!$S$2:$S$4001,'All Donations'!$R$2:$R$4001,$AD257,'All Donations'!$T$2:$T$4001,AC$1))</f>
        <v/>
      </c>
      <c r="AD257">
        <f>IF(AE257=1,'Roster'!A257,"")</f>
        <v/>
      </c>
      <c r="AE257">
        <f>IF(TRIM('Roster'!B257&amp;'Roster'!C257)&lt;&gt;"",1,0)</f>
        <v/>
      </c>
      <c r="AF257">
        <f>IF(AE257=1,LOWER(A257),"#")</f>
        <v/>
      </c>
      <c r="AG257">
        <f>IF(AE257=1,LOWER(TRIM(TRIM('Roster'!C257)&amp;", "&amp;TRIM('Roster'!B257))),"#")</f>
        <v/>
      </c>
      <c r="AH257">
        <f>IF(AND(AE257=1,TRIM('Roster'!F257)&lt;&gt;""),LOWER(TRIM('Roster'!F257)),"#")</f>
        <v/>
      </c>
      <c r="AI257">
        <f>IF(AE257=1,IF(MATCH(B257,$B$2:$B$701,0)=ROW()-1,1,0),0)</f>
        <v/>
      </c>
      <c r="AJ257">
        <f>AJ256+AI257</f>
        <v/>
      </c>
      <c r="AK257">
        <f>IF(AE257=1,D257+(1000-ROW())/10^7,-1)</f>
        <v/>
      </c>
      <c r="AL257">
        <f>IF(AE257=1,TRIM('Roster'!B257)&amp;" "&amp;LEFT(TRIM('Roster'!C257),1)&amp;".","")</f>
        <v/>
      </c>
      <c r="AM257">
        <f>IF(AE257=1,TRIM('Roster'!C257)&amp;", "&amp;TRIM('Roster'!B257)&amp;" ("&amp;B257&amp;") #"&amp;AD257,"")</f>
        <v/>
      </c>
      <c r="AN257">
        <f>IF(AE257=1,TRIM('Roster'!E257),"")</f>
        <v/>
      </c>
      <c r="AO257">
        <f>IF(AE257=1,ROUND(SUMIFS('All Donations'!$S$2:$S$4001,'All Donations'!$R$2:$R$4001,AD257,'All Donations'!$T$2:$T$4001,"&gt;="&amp;'Settings'!$C$23,'All Donations'!$T$2:$T$4001,"&lt;="&amp;'Settings'!$D$23),2),0)</f>
        <v/>
      </c>
      <c r="AQ257">
        <f>IF(AE257=1,ROUND(SUMIFS('All Donations'!$S$2:$S$4001,'All Donations'!$R$2:$R$4001,AD257,'All Donations'!$T$2:$T$4001,"&gt;="&amp;'Settings'!$C$25,'All Donations'!$T$2:$T$4001,"&lt;="&amp;'Settings'!$D$25),2),0)</f>
        <v/>
      </c>
      <c r="AR257">
        <f>IF(AE257=1,ROUND(SUMIFS('All Donations'!$S$2:$S$4001,'All Donations'!$R$2:$R$4001,AD257,'All Donations'!$T$2:$T$4001,"&gt;="&amp;'Settings'!$C$26,'All Donations'!$T$2:$T$4001,"&lt;="&amp;'Settings'!$D$26),2),0)</f>
        <v/>
      </c>
      <c r="AS257">
        <f>IF(AE257=1,ROUND(SUMIFS('All Donations'!$S$2:$S$4001,'All Donations'!$R$2:$R$4001,AD257,'All Donations'!$T$2:$T$4001,"&lt;="&amp;'Settings'!$D$27),2),0)</f>
        <v/>
      </c>
      <c r="AT257">
        <f>IF(AE257=1,ROUND(SUMIFS('All Donations'!$S$2:$S$4001,'All Donations'!$R$2:$R$4001,AD257,'All Donations'!$T$2:$T$4001,"&gt;="&amp;'Settings'!$C$28,'All Donations'!$T$2:$T$4001,"&lt;="&amp;'Settings'!$D$28),2),0)</f>
        <v/>
      </c>
      <c r="AU257">
        <f>IF(AE257=1,ROUND(SUMIFS('All Donations'!$S$2:$S$4001,'All Donations'!$R$2:$R$4001,AD257,'All Donations'!$T$2:$T$4001,"&gt;="&amp;'Settings'!$C$29,'All Donations'!$T$2:$T$4001,"&lt;="&amp;'Settings'!$D$29),2),0)</f>
        <v/>
      </c>
      <c r="AV257">
        <f>IF(AE257=1,ROUND(SUMIFS('All Donations'!$S$2:$S$4001,'All Donations'!$R$2:$R$4001,AD257,'All Donations'!$T$2:$T$4001,"&lt;="&amp;'Settings'!$D$30),2),0)</f>
        <v/>
      </c>
      <c r="AZ257">
        <f>IF(AE257=1,ROUND(SUMIFS('All Donations'!$S$2:$S$4001,'All Donations'!$R$2:$R$4001,AD257,'All Donations'!$T$2:$T$4001,"&lt;="&amp;'Settings'!$D$34),2),0)</f>
        <v/>
      </c>
    </row>
    <row r="258">
      <c r="A258">
        <f>IF(AE258=1,TRIM(TRIM('Roster'!B258)&amp;" "&amp;TRIM('Roster'!C258)),"")</f>
        <v/>
      </c>
      <c r="B258">
        <f>IF(AE258=1,IF(AN258="","(no teacher)",AN258&amp;" – "&amp;C258),"")</f>
        <v/>
      </c>
      <c r="C258">
        <f>IF(AE258=1,TRIM('Roster'!D258&amp;""),"")</f>
        <v/>
      </c>
      <c r="D258" s="48">
        <f>IF(AE258=1,ROUND(SUMIFS('All Donations'!$S$2:$S$4001,'All Donations'!$R$2:$R$4001,AD258),2),"")</f>
        <v/>
      </c>
      <c r="E258" s="48">
        <f>IF(AE258=1,ROUND(SUMIFS('All Donations'!$S$2:$S$4001,'All Donations'!$R$2:$R$4001,AD258,'All Donations'!$G$2:$G$4001,"OneCause"),2),"")</f>
        <v/>
      </c>
      <c r="F258" s="48">
        <f>IF(AE258=1,D258-E258,"")</f>
        <v/>
      </c>
      <c r="G258">
        <f>IF(AE258=1,COUNTIFS('All Donations'!$R$2:$R$4001,AD258,'All Donations'!$H$2:$H$4001,"OK"),"")</f>
        <v/>
      </c>
      <c r="H258">
        <f>IF(AE258&lt;&gt;1,"",IF(D258&gt;0,"Yes",""))</f>
        <v/>
      </c>
      <c r="I258" s="49">
        <f>IF(OR($AE258&lt;&gt;1,I$1=""),"",SUMIFS('All Donations'!$S$2:$S$4001,'All Donations'!$R$2:$R$4001,$AD258,'All Donations'!$T$2:$T$4001,I$1))</f>
        <v/>
      </c>
      <c r="J258" s="49">
        <f>IF(OR($AE258&lt;&gt;1,J$1=""),"",SUMIFS('All Donations'!$S$2:$S$4001,'All Donations'!$R$2:$R$4001,$AD258,'All Donations'!$T$2:$T$4001,J$1))</f>
        <v/>
      </c>
      <c r="K258" s="49">
        <f>IF(OR($AE258&lt;&gt;1,K$1=""),"",SUMIFS('All Donations'!$S$2:$S$4001,'All Donations'!$R$2:$R$4001,$AD258,'All Donations'!$T$2:$T$4001,K$1))</f>
        <v/>
      </c>
      <c r="L258" s="49">
        <f>IF(OR($AE258&lt;&gt;1,L$1=""),"",SUMIFS('All Donations'!$S$2:$S$4001,'All Donations'!$R$2:$R$4001,$AD258,'All Donations'!$T$2:$T$4001,L$1))</f>
        <v/>
      </c>
      <c r="M258" s="49">
        <f>IF(OR($AE258&lt;&gt;1,M$1=""),"",SUMIFS('All Donations'!$S$2:$S$4001,'All Donations'!$R$2:$R$4001,$AD258,'All Donations'!$T$2:$T$4001,M$1))</f>
        <v/>
      </c>
      <c r="N258" s="49">
        <f>IF(OR($AE258&lt;&gt;1,N$1=""),"",SUMIFS('All Donations'!$S$2:$S$4001,'All Donations'!$R$2:$R$4001,$AD258,'All Donations'!$T$2:$T$4001,N$1))</f>
        <v/>
      </c>
      <c r="O258" s="49">
        <f>IF(OR($AE258&lt;&gt;1,O$1=""),"",SUMIFS('All Donations'!$S$2:$S$4001,'All Donations'!$R$2:$R$4001,$AD258,'All Donations'!$T$2:$T$4001,O$1))</f>
        <v/>
      </c>
      <c r="P258" s="49">
        <f>IF(OR($AE258&lt;&gt;1,P$1=""),"",SUMIFS('All Donations'!$S$2:$S$4001,'All Donations'!$R$2:$R$4001,$AD258,'All Donations'!$T$2:$T$4001,P$1))</f>
        <v/>
      </c>
      <c r="Q258" s="49">
        <f>IF(OR($AE258&lt;&gt;1,Q$1=""),"",SUMIFS('All Donations'!$S$2:$S$4001,'All Donations'!$R$2:$R$4001,$AD258,'All Donations'!$T$2:$T$4001,Q$1))</f>
        <v/>
      </c>
      <c r="R258" s="49">
        <f>IF(OR($AE258&lt;&gt;1,R$1=""),"",SUMIFS('All Donations'!$S$2:$S$4001,'All Donations'!$R$2:$R$4001,$AD258,'All Donations'!$T$2:$T$4001,R$1))</f>
        <v/>
      </c>
      <c r="S258" s="49">
        <f>IF(OR($AE258&lt;&gt;1,S$1=""),"",SUMIFS('All Donations'!$S$2:$S$4001,'All Donations'!$R$2:$R$4001,$AD258,'All Donations'!$T$2:$T$4001,S$1))</f>
        <v/>
      </c>
      <c r="T258" s="49">
        <f>IF(OR($AE258&lt;&gt;1,T$1=""),"",SUMIFS('All Donations'!$S$2:$S$4001,'All Donations'!$R$2:$R$4001,$AD258,'All Donations'!$T$2:$T$4001,T$1))</f>
        <v/>
      </c>
      <c r="U258" s="49">
        <f>IF(OR($AE258&lt;&gt;1,U$1=""),"",SUMIFS('All Donations'!$S$2:$S$4001,'All Donations'!$R$2:$R$4001,$AD258,'All Donations'!$T$2:$T$4001,U$1))</f>
        <v/>
      </c>
      <c r="V258" s="49">
        <f>IF(OR($AE258&lt;&gt;1,V$1=""),"",SUMIFS('All Donations'!$S$2:$S$4001,'All Donations'!$R$2:$R$4001,$AD258,'All Donations'!$T$2:$T$4001,V$1))</f>
        <v/>
      </c>
      <c r="W258" s="49">
        <f>IF(OR($AE258&lt;&gt;1,W$1=""),"",SUMIFS('All Donations'!$S$2:$S$4001,'All Donations'!$R$2:$R$4001,$AD258,'All Donations'!$T$2:$T$4001,W$1))</f>
        <v/>
      </c>
      <c r="X258" s="49">
        <f>IF(OR($AE258&lt;&gt;1,X$1=""),"",SUMIFS('All Donations'!$S$2:$S$4001,'All Donations'!$R$2:$R$4001,$AD258,'All Donations'!$T$2:$T$4001,X$1))</f>
        <v/>
      </c>
      <c r="Y258" s="49">
        <f>IF(OR($AE258&lt;&gt;1,Y$1=""),"",SUMIFS('All Donations'!$S$2:$S$4001,'All Donations'!$R$2:$R$4001,$AD258,'All Donations'!$T$2:$T$4001,Y$1))</f>
        <v/>
      </c>
      <c r="Z258" s="49">
        <f>IF(OR($AE258&lt;&gt;1,Z$1=""),"",SUMIFS('All Donations'!$S$2:$S$4001,'All Donations'!$R$2:$R$4001,$AD258,'All Donations'!$T$2:$T$4001,Z$1))</f>
        <v/>
      </c>
      <c r="AA258" s="49">
        <f>IF(OR($AE258&lt;&gt;1,AA$1=""),"",SUMIFS('All Donations'!$S$2:$S$4001,'All Donations'!$R$2:$R$4001,$AD258,'All Donations'!$T$2:$T$4001,AA$1))</f>
        <v/>
      </c>
      <c r="AB258" s="49">
        <f>IF(OR($AE258&lt;&gt;1,AB$1=""),"",SUMIFS('All Donations'!$S$2:$S$4001,'All Donations'!$R$2:$R$4001,$AD258,'All Donations'!$T$2:$T$4001,AB$1))</f>
        <v/>
      </c>
      <c r="AC258" s="49">
        <f>IF(OR($AE258&lt;&gt;1,AC$1=""),"",SUMIFS('All Donations'!$S$2:$S$4001,'All Donations'!$R$2:$R$4001,$AD258,'All Donations'!$T$2:$T$4001,AC$1))</f>
        <v/>
      </c>
      <c r="AD258">
        <f>IF(AE258=1,'Roster'!A258,"")</f>
        <v/>
      </c>
      <c r="AE258">
        <f>IF(TRIM('Roster'!B258&amp;'Roster'!C258)&lt;&gt;"",1,0)</f>
        <v/>
      </c>
      <c r="AF258">
        <f>IF(AE258=1,LOWER(A258),"#")</f>
        <v/>
      </c>
      <c r="AG258">
        <f>IF(AE258=1,LOWER(TRIM(TRIM('Roster'!C258)&amp;", "&amp;TRIM('Roster'!B258))),"#")</f>
        <v/>
      </c>
      <c r="AH258">
        <f>IF(AND(AE258=1,TRIM('Roster'!F258)&lt;&gt;""),LOWER(TRIM('Roster'!F258)),"#")</f>
        <v/>
      </c>
      <c r="AI258">
        <f>IF(AE258=1,IF(MATCH(B258,$B$2:$B$701,0)=ROW()-1,1,0),0)</f>
        <v/>
      </c>
      <c r="AJ258">
        <f>AJ257+AI258</f>
        <v/>
      </c>
      <c r="AK258">
        <f>IF(AE258=1,D258+(1000-ROW())/10^7,-1)</f>
        <v/>
      </c>
      <c r="AL258">
        <f>IF(AE258=1,TRIM('Roster'!B258)&amp;" "&amp;LEFT(TRIM('Roster'!C258),1)&amp;".","")</f>
        <v/>
      </c>
      <c r="AM258">
        <f>IF(AE258=1,TRIM('Roster'!C258)&amp;", "&amp;TRIM('Roster'!B258)&amp;" ("&amp;B258&amp;") #"&amp;AD258,"")</f>
        <v/>
      </c>
      <c r="AN258">
        <f>IF(AE258=1,TRIM('Roster'!E258),"")</f>
        <v/>
      </c>
      <c r="AO258">
        <f>IF(AE258=1,ROUND(SUMIFS('All Donations'!$S$2:$S$4001,'All Donations'!$R$2:$R$4001,AD258,'All Donations'!$T$2:$T$4001,"&gt;="&amp;'Settings'!$C$23,'All Donations'!$T$2:$T$4001,"&lt;="&amp;'Settings'!$D$23),2),0)</f>
        <v/>
      </c>
      <c r="AQ258">
        <f>IF(AE258=1,ROUND(SUMIFS('All Donations'!$S$2:$S$4001,'All Donations'!$R$2:$R$4001,AD258,'All Donations'!$T$2:$T$4001,"&gt;="&amp;'Settings'!$C$25,'All Donations'!$T$2:$T$4001,"&lt;="&amp;'Settings'!$D$25),2),0)</f>
        <v/>
      </c>
      <c r="AR258">
        <f>IF(AE258=1,ROUND(SUMIFS('All Donations'!$S$2:$S$4001,'All Donations'!$R$2:$R$4001,AD258,'All Donations'!$T$2:$T$4001,"&gt;="&amp;'Settings'!$C$26,'All Donations'!$T$2:$T$4001,"&lt;="&amp;'Settings'!$D$26),2),0)</f>
        <v/>
      </c>
      <c r="AS258">
        <f>IF(AE258=1,ROUND(SUMIFS('All Donations'!$S$2:$S$4001,'All Donations'!$R$2:$R$4001,AD258,'All Donations'!$T$2:$T$4001,"&lt;="&amp;'Settings'!$D$27),2),0)</f>
        <v/>
      </c>
      <c r="AT258">
        <f>IF(AE258=1,ROUND(SUMIFS('All Donations'!$S$2:$S$4001,'All Donations'!$R$2:$R$4001,AD258,'All Donations'!$T$2:$T$4001,"&gt;="&amp;'Settings'!$C$28,'All Donations'!$T$2:$T$4001,"&lt;="&amp;'Settings'!$D$28),2),0)</f>
        <v/>
      </c>
      <c r="AU258">
        <f>IF(AE258=1,ROUND(SUMIFS('All Donations'!$S$2:$S$4001,'All Donations'!$R$2:$R$4001,AD258,'All Donations'!$T$2:$T$4001,"&gt;="&amp;'Settings'!$C$29,'All Donations'!$T$2:$T$4001,"&lt;="&amp;'Settings'!$D$29),2),0)</f>
        <v/>
      </c>
      <c r="AV258">
        <f>IF(AE258=1,ROUND(SUMIFS('All Donations'!$S$2:$S$4001,'All Donations'!$R$2:$R$4001,AD258,'All Donations'!$T$2:$T$4001,"&lt;="&amp;'Settings'!$D$30),2),0)</f>
        <v/>
      </c>
      <c r="AZ258">
        <f>IF(AE258=1,ROUND(SUMIFS('All Donations'!$S$2:$S$4001,'All Donations'!$R$2:$R$4001,AD258,'All Donations'!$T$2:$T$4001,"&lt;="&amp;'Settings'!$D$34),2),0)</f>
        <v/>
      </c>
    </row>
    <row r="259">
      <c r="A259">
        <f>IF(AE259=1,TRIM(TRIM('Roster'!B259)&amp;" "&amp;TRIM('Roster'!C259)),"")</f>
        <v/>
      </c>
      <c r="B259">
        <f>IF(AE259=1,IF(AN259="","(no teacher)",AN259&amp;" – "&amp;C259),"")</f>
        <v/>
      </c>
      <c r="C259">
        <f>IF(AE259=1,TRIM('Roster'!D259&amp;""),"")</f>
        <v/>
      </c>
      <c r="D259" s="48">
        <f>IF(AE259=1,ROUND(SUMIFS('All Donations'!$S$2:$S$4001,'All Donations'!$R$2:$R$4001,AD259),2),"")</f>
        <v/>
      </c>
      <c r="E259" s="48">
        <f>IF(AE259=1,ROUND(SUMIFS('All Donations'!$S$2:$S$4001,'All Donations'!$R$2:$R$4001,AD259,'All Donations'!$G$2:$G$4001,"OneCause"),2),"")</f>
        <v/>
      </c>
      <c r="F259" s="48">
        <f>IF(AE259=1,D259-E259,"")</f>
        <v/>
      </c>
      <c r="G259">
        <f>IF(AE259=1,COUNTIFS('All Donations'!$R$2:$R$4001,AD259,'All Donations'!$H$2:$H$4001,"OK"),"")</f>
        <v/>
      </c>
      <c r="H259">
        <f>IF(AE259&lt;&gt;1,"",IF(D259&gt;0,"Yes",""))</f>
        <v/>
      </c>
      <c r="I259" s="49">
        <f>IF(OR($AE259&lt;&gt;1,I$1=""),"",SUMIFS('All Donations'!$S$2:$S$4001,'All Donations'!$R$2:$R$4001,$AD259,'All Donations'!$T$2:$T$4001,I$1))</f>
        <v/>
      </c>
      <c r="J259" s="49">
        <f>IF(OR($AE259&lt;&gt;1,J$1=""),"",SUMIFS('All Donations'!$S$2:$S$4001,'All Donations'!$R$2:$R$4001,$AD259,'All Donations'!$T$2:$T$4001,J$1))</f>
        <v/>
      </c>
      <c r="K259" s="49">
        <f>IF(OR($AE259&lt;&gt;1,K$1=""),"",SUMIFS('All Donations'!$S$2:$S$4001,'All Donations'!$R$2:$R$4001,$AD259,'All Donations'!$T$2:$T$4001,K$1))</f>
        <v/>
      </c>
      <c r="L259" s="49">
        <f>IF(OR($AE259&lt;&gt;1,L$1=""),"",SUMIFS('All Donations'!$S$2:$S$4001,'All Donations'!$R$2:$R$4001,$AD259,'All Donations'!$T$2:$T$4001,L$1))</f>
        <v/>
      </c>
      <c r="M259" s="49">
        <f>IF(OR($AE259&lt;&gt;1,M$1=""),"",SUMIFS('All Donations'!$S$2:$S$4001,'All Donations'!$R$2:$R$4001,$AD259,'All Donations'!$T$2:$T$4001,M$1))</f>
        <v/>
      </c>
      <c r="N259" s="49">
        <f>IF(OR($AE259&lt;&gt;1,N$1=""),"",SUMIFS('All Donations'!$S$2:$S$4001,'All Donations'!$R$2:$R$4001,$AD259,'All Donations'!$T$2:$T$4001,N$1))</f>
        <v/>
      </c>
      <c r="O259" s="49">
        <f>IF(OR($AE259&lt;&gt;1,O$1=""),"",SUMIFS('All Donations'!$S$2:$S$4001,'All Donations'!$R$2:$R$4001,$AD259,'All Donations'!$T$2:$T$4001,O$1))</f>
        <v/>
      </c>
      <c r="P259" s="49">
        <f>IF(OR($AE259&lt;&gt;1,P$1=""),"",SUMIFS('All Donations'!$S$2:$S$4001,'All Donations'!$R$2:$R$4001,$AD259,'All Donations'!$T$2:$T$4001,P$1))</f>
        <v/>
      </c>
      <c r="Q259" s="49">
        <f>IF(OR($AE259&lt;&gt;1,Q$1=""),"",SUMIFS('All Donations'!$S$2:$S$4001,'All Donations'!$R$2:$R$4001,$AD259,'All Donations'!$T$2:$T$4001,Q$1))</f>
        <v/>
      </c>
      <c r="R259" s="49">
        <f>IF(OR($AE259&lt;&gt;1,R$1=""),"",SUMIFS('All Donations'!$S$2:$S$4001,'All Donations'!$R$2:$R$4001,$AD259,'All Donations'!$T$2:$T$4001,R$1))</f>
        <v/>
      </c>
      <c r="S259" s="49">
        <f>IF(OR($AE259&lt;&gt;1,S$1=""),"",SUMIFS('All Donations'!$S$2:$S$4001,'All Donations'!$R$2:$R$4001,$AD259,'All Donations'!$T$2:$T$4001,S$1))</f>
        <v/>
      </c>
      <c r="T259" s="49">
        <f>IF(OR($AE259&lt;&gt;1,T$1=""),"",SUMIFS('All Donations'!$S$2:$S$4001,'All Donations'!$R$2:$R$4001,$AD259,'All Donations'!$T$2:$T$4001,T$1))</f>
        <v/>
      </c>
      <c r="U259" s="49">
        <f>IF(OR($AE259&lt;&gt;1,U$1=""),"",SUMIFS('All Donations'!$S$2:$S$4001,'All Donations'!$R$2:$R$4001,$AD259,'All Donations'!$T$2:$T$4001,U$1))</f>
        <v/>
      </c>
      <c r="V259" s="49">
        <f>IF(OR($AE259&lt;&gt;1,V$1=""),"",SUMIFS('All Donations'!$S$2:$S$4001,'All Donations'!$R$2:$R$4001,$AD259,'All Donations'!$T$2:$T$4001,V$1))</f>
        <v/>
      </c>
      <c r="W259" s="49">
        <f>IF(OR($AE259&lt;&gt;1,W$1=""),"",SUMIFS('All Donations'!$S$2:$S$4001,'All Donations'!$R$2:$R$4001,$AD259,'All Donations'!$T$2:$T$4001,W$1))</f>
        <v/>
      </c>
      <c r="X259" s="49">
        <f>IF(OR($AE259&lt;&gt;1,X$1=""),"",SUMIFS('All Donations'!$S$2:$S$4001,'All Donations'!$R$2:$R$4001,$AD259,'All Donations'!$T$2:$T$4001,X$1))</f>
        <v/>
      </c>
      <c r="Y259" s="49">
        <f>IF(OR($AE259&lt;&gt;1,Y$1=""),"",SUMIFS('All Donations'!$S$2:$S$4001,'All Donations'!$R$2:$R$4001,$AD259,'All Donations'!$T$2:$T$4001,Y$1))</f>
        <v/>
      </c>
      <c r="Z259" s="49">
        <f>IF(OR($AE259&lt;&gt;1,Z$1=""),"",SUMIFS('All Donations'!$S$2:$S$4001,'All Donations'!$R$2:$R$4001,$AD259,'All Donations'!$T$2:$T$4001,Z$1))</f>
        <v/>
      </c>
      <c r="AA259" s="49">
        <f>IF(OR($AE259&lt;&gt;1,AA$1=""),"",SUMIFS('All Donations'!$S$2:$S$4001,'All Donations'!$R$2:$R$4001,$AD259,'All Donations'!$T$2:$T$4001,AA$1))</f>
        <v/>
      </c>
      <c r="AB259" s="49">
        <f>IF(OR($AE259&lt;&gt;1,AB$1=""),"",SUMIFS('All Donations'!$S$2:$S$4001,'All Donations'!$R$2:$R$4001,$AD259,'All Donations'!$T$2:$T$4001,AB$1))</f>
        <v/>
      </c>
      <c r="AC259" s="49">
        <f>IF(OR($AE259&lt;&gt;1,AC$1=""),"",SUMIFS('All Donations'!$S$2:$S$4001,'All Donations'!$R$2:$R$4001,$AD259,'All Donations'!$T$2:$T$4001,AC$1))</f>
        <v/>
      </c>
      <c r="AD259">
        <f>IF(AE259=1,'Roster'!A259,"")</f>
        <v/>
      </c>
      <c r="AE259">
        <f>IF(TRIM('Roster'!B259&amp;'Roster'!C259)&lt;&gt;"",1,0)</f>
        <v/>
      </c>
      <c r="AF259">
        <f>IF(AE259=1,LOWER(A259),"#")</f>
        <v/>
      </c>
      <c r="AG259">
        <f>IF(AE259=1,LOWER(TRIM(TRIM('Roster'!C259)&amp;", "&amp;TRIM('Roster'!B259))),"#")</f>
        <v/>
      </c>
      <c r="AH259">
        <f>IF(AND(AE259=1,TRIM('Roster'!F259)&lt;&gt;""),LOWER(TRIM('Roster'!F259)),"#")</f>
        <v/>
      </c>
      <c r="AI259">
        <f>IF(AE259=1,IF(MATCH(B259,$B$2:$B$701,0)=ROW()-1,1,0),0)</f>
        <v/>
      </c>
      <c r="AJ259">
        <f>AJ258+AI259</f>
        <v/>
      </c>
      <c r="AK259">
        <f>IF(AE259=1,D259+(1000-ROW())/10^7,-1)</f>
        <v/>
      </c>
      <c r="AL259">
        <f>IF(AE259=1,TRIM('Roster'!B259)&amp;" "&amp;LEFT(TRIM('Roster'!C259),1)&amp;".","")</f>
        <v/>
      </c>
      <c r="AM259">
        <f>IF(AE259=1,TRIM('Roster'!C259)&amp;", "&amp;TRIM('Roster'!B259)&amp;" ("&amp;B259&amp;") #"&amp;AD259,"")</f>
        <v/>
      </c>
      <c r="AN259">
        <f>IF(AE259=1,TRIM('Roster'!E259),"")</f>
        <v/>
      </c>
      <c r="AO259">
        <f>IF(AE259=1,ROUND(SUMIFS('All Donations'!$S$2:$S$4001,'All Donations'!$R$2:$R$4001,AD259,'All Donations'!$T$2:$T$4001,"&gt;="&amp;'Settings'!$C$23,'All Donations'!$T$2:$T$4001,"&lt;="&amp;'Settings'!$D$23),2),0)</f>
        <v/>
      </c>
      <c r="AQ259">
        <f>IF(AE259=1,ROUND(SUMIFS('All Donations'!$S$2:$S$4001,'All Donations'!$R$2:$R$4001,AD259,'All Donations'!$T$2:$T$4001,"&gt;="&amp;'Settings'!$C$25,'All Donations'!$T$2:$T$4001,"&lt;="&amp;'Settings'!$D$25),2),0)</f>
        <v/>
      </c>
      <c r="AR259">
        <f>IF(AE259=1,ROUND(SUMIFS('All Donations'!$S$2:$S$4001,'All Donations'!$R$2:$R$4001,AD259,'All Donations'!$T$2:$T$4001,"&gt;="&amp;'Settings'!$C$26,'All Donations'!$T$2:$T$4001,"&lt;="&amp;'Settings'!$D$26),2),0)</f>
        <v/>
      </c>
      <c r="AS259">
        <f>IF(AE259=1,ROUND(SUMIFS('All Donations'!$S$2:$S$4001,'All Donations'!$R$2:$R$4001,AD259,'All Donations'!$T$2:$T$4001,"&lt;="&amp;'Settings'!$D$27),2),0)</f>
        <v/>
      </c>
      <c r="AT259">
        <f>IF(AE259=1,ROUND(SUMIFS('All Donations'!$S$2:$S$4001,'All Donations'!$R$2:$R$4001,AD259,'All Donations'!$T$2:$T$4001,"&gt;="&amp;'Settings'!$C$28,'All Donations'!$T$2:$T$4001,"&lt;="&amp;'Settings'!$D$28),2),0)</f>
        <v/>
      </c>
      <c r="AU259">
        <f>IF(AE259=1,ROUND(SUMIFS('All Donations'!$S$2:$S$4001,'All Donations'!$R$2:$R$4001,AD259,'All Donations'!$T$2:$T$4001,"&gt;="&amp;'Settings'!$C$29,'All Donations'!$T$2:$T$4001,"&lt;="&amp;'Settings'!$D$29),2),0)</f>
        <v/>
      </c>
      <c r="AV259">
        <f>IF(AE259=1,ROUND(SUMIFS('All Donations'!$S$2:$S$4001,'All Donations'!$R$2:$R$4001,AD259,'All Donations'!$T$2:$T$4001,"&lt;="&amp;'Settings'!$D$30),2),0)</f>
        <v/>
      </c>
      <c r="AZ259">
        <f>IF(AE259=1,ROUND(SUMIFS('All Donations'!$S$2:$S$4001,'All Donations'!$R$2:$R$4001,AD259,'All Donations'!$T$2:$T$4001,"&lt;="&amp;'Settings'!$D$34),2),0)</f>
        <v/>
      </c>
    </row>
    <row r="260">
      <c r="A260">
        <f>IF(AE260=1,TRIM(TRIM('Roster'!B260)&amp;" "&amp;TRIM('Roster'!C260)),"")</f>
        <v/>
      </c>
      <c r="B260">
        <f>IF(AE260=1,IF(AN260="","(no teacher)",AN260&amp;" – "&amp;C260),"")</f>
        <v/>
      </c>
      <c r="C260">
        <f>IF(AE260=1,TRIM('Roster'!D260&amp;""),"")</f>
        <v/>
      </c>
      <c r="D260" s="48">
        <f>IF(AE260=1,ROUND(SUMIFS('All Donations'!$S$2:$S$4001,'All Donations'!$R$2:$R$4001,AD260),2),"")</f>
        <v/>
      </c>
      <c r="E260" s="48">
        <f>IF(AE260=1,ROUND(SUMIFS('All Donations'!$S$2:$S$4001,'All Donations'!$R$2:$R$4001,AD260,'All Donations'!$G$2:$G$4001,"OneCause"),2),"")</f>
        <v/>
      </c>
      <c r="F260" s="48">
        <f>IF(AE260=1,D260-E260,"")</f>
        <v/>
      </c>
      <c r="G260">
        <f>IF(AE260=1,COUNTIFS('All Donations'!$R$2:$R$4001,AD260,'All Donations'!$H$2:$H$4001,"OK"),"")</f>
        <v/>
      </c>
      <c r="H260">
        <f>IF(AE260&lt;&gt;1,"",IF(D260&gt;0,"Yes",""))</f>
        <v/>
      </c>
      <c r="I260" s="49">
        <f>IF(OR($AE260&lt;&gt;1,I$1=""),"",SUMIFS('All Donations'!$S$2:$S$4001,'All Donations'!$R$2:$R$4001,$AD260,'All Donations'!$T$2:$T$4001,I$1))</f>
        <v/>
      </c>
      <c r="J260" s="49">
        <f>IF(OR($AE260&lt;&gt;1,J$1=""),"",SUMIFS('All Donations'!$S$2:$S$4001,'All Donations'!$R$2:$R$4001,$AD260,'All Donations'!$T$2:$T$4001,J$1))</f>
        <v/>
      </c>
      <c r="K260" s="49">
        <f>IF(OR($AE260&lt;&gt;1,K$1=""),"",SUMIFS('All Donations'!$S$2:$S$4001,'All Donations'!$R$2:$R$4001,$AD260,'All Donations'!$T$2:$T$4001,K$1))</f>
        <v/>
      </c>
      <c r="L260" s="49">
        <f>IF(OR($AE260&lt;&gt;1,L$1=""),"",SUMIFS('All Donations'!$S$2:$S$4001,'All Donations'!$R$2:$R$4001,$AD260,'All Donations'!$T$2:$T$4001,L$1))</f>
        <v/>
      </c>
      <c r="M260" s="49">
        <f>IF(OR($AE260&lt;&gt;1,M$1=""),"",SUMIFS('All Donations'!$S$2:$S$4001,'All Donations'!$R$2:$R$4001,$AD260,'All Donations'!$T$2:$T$4001,M$1))</f>
        <v/>
      </c>
      <c r="N260" s="49">
        <f>IF(OR($AE260&lt;&gt;1,N$1=""),"",SUMIFS('All Donations'!$S$2:$S$4001,'All Donations'!$R$2:$R$4001,$AD260,'All Donations'!$T$2:$T$4001,N$1))</f>
        <v/>
      </c>
      <c r="O260" s="49">
        <f>IF(OR($AE260&lt;&gt;1,O$1=""),"",SUMIFS('All Donations'!$S$2:$S$4001,'All Donations'!$R$2:$R$4001,$AD260,'All Donations'!$T$2:$T$4001,O$1))</f>
        <v/>
      </c>
      <c r="P260" s="49">
        <f>IF(OR($AE260&lt;&gt;1,P$1=""),"",SUMIFS('All Donations'!$S$2:$S$4001,'All Donations'!$R$2:$R$4001,$AD260,'All Donations'!$T$2:$T$4001,P$1))</f>
        <v/>
      </c>
      <c r="Q260" s="49">
        <f>IF(OR($AE260&lt;&gt;1,Q$1=""),"",SUMIFS('All Donations'!$S$2:$S$4001,'All Donations'!$R$2:$R$4001,$AD260,'All Donations'!$T$2:$T$4001,Q$1))</f>
        <v/>
      </c>
      <c r="R260" s="49">
        <f>IF(OR($AE260&lt;&gt;1,R$1=""),"",SUMIFS('All Donations'!$S$2:$S$4001,'All Donations'!$R$2:$R$4001,$AD260,'All Donations'!$T$2:$T$4001,R$1))</f>
        <v/>
      </c>
      <c r="S260" s="49">
        <f>IF(OR($AE260&lt;&gt;1,S$1=""),"",SUMIFS('All Donations'!$S$2:$S$4001,'All Donations'!$R$2:$R$4001,$AD260,'All Donations'!$T$2:$T$4001,S$1))</f>
        <v/>
      </c>
      <c r="T260" s="49">
        <f>IF(OR($AE260&lt;&gt;1,T$1=""),"",SUMIFS('All Donations'!$S$2:$S$4001,'All Donations'!$R$2:$R$4001,$AD260,'All Donations'!$T$2:$T$4001,T$1))</f>
        <v/>
      </c>
      <c r="U260" s="49">
        <f>IF(OR($AE260&lt;&gt;1,U$1=""),"",SUMIFS('All Donations'!$S$2:$S$4001,'All Donations'!$R$2:$R$4001,$AD260,'All Donations'!$T$2:$T$4001,U$1))</f>
        <v/>
      </c>
      <c r="V260" s="49">
        <f>IF(OR($AE260&lt;&gt;1,V$1=""),"",SUMIFS('All Donations'!$S$2:$S$4001,'All Donations'!$R$2:$R$4001,$AD260,'All Donations'!$T$2:$T$4001,V$1))</f>
        <v/>
      </c>
      <c r="W260" s="49">
        <f>IF(OR($AE260&lt;&gt;1,W$1=""),"",SUMIFS('All Donations'!$S$2:$S$4001,'All Donations'!$R$2:$R$4001,$AD260,'All Donations'!$T$2:$T$4001,W$1))</f>
        <v/>
      </c>
      <c r="X260" s="49">
        <f>IF(OR($AE260&lt;&gt;1,X$1=""),"",SUMIFS('All Donations'!$S$2:$S$4001,'All Donations'!$R$2:$R$4001,$AD260,'All Donations'!$T$2:$T$4001,X$1))</f>
        <v/>
      </c>
      <c r="Y260" s="49">
        <f>IF(OR($AE260&lt;&gt;1,Y$1=""),"",SUMIFS('All Donations'!$S$2:$S$4001,'All Donations'!$R$2:$R$4001,$AD260,'All Donations'!$T$2:$T$4001,Y$1))</f>
        <v/>
      </c>
      <c r="Z260" s="49">
        <f>IF(OR($AE260&lt;&gt;1,Z$1=""),"",SUMIFS('All Donations'!$S$2:$S$4001,'All Donations'!$R$2:$R$4001,$AD260,'All Donations'!$T$2:$T$4001,Z$1))</f>
        <v/>
      </c>
      <c r="AA260" s="49">
        <f>IF(OR($AE260&lt;&gt;1,AA$1=""),"",SUMIFS('All Donations'!$S$2:$S$4001,'All Donations'!$R$2:$R$4001,$AD260,'All Donations'!$T$2:$T$4001,AA$1))</f>
        <v/>
      </c>
      <c r="AB260" s="49">
        <f>IF(OR($AE260&lt;&gt;1,AB$1=""),"",SUMIFS('All Donations'!$S$2:$S$4001,'All Donations'!$R$2:$R$4001,$AD260,'All Donations'!$T$2:$T$4001,AB$1))</f>
        <v/>
      </c>
      <c r="AC260" s="49">
        <f>IF(OR($AE260&lt;&gt;1,AC$1=""),"",SUMIFS('All Donations'!$S$2:$S$4001,'All Donations'!$R$2:$R$4001,$AD260,'All Donations'!$T$2:$T$4001,AC$1))</f>
        <v/>
      </c>
      <c r="AD260">
        <f>IF(AE260=1,'Roster'!A260,"")</f>
        <v/>
      </c>
      <c r="AE260">
        <f>IF(TRIM('Roster'!B260&amp;'Roster'!C260)&lt;&gt;"",1,0)</f>
        <v/>
      </c>
      <c r="AF260">
        <f>IF(AE260=1,LOWER(A260),"#")</f>
        <v/>
      </c>
      <c r="AG260">
        <f>IF(AE260=1,LOWER(TRIM(TRIM('Roster'!C260)&amp;", "&amp;TRIM('Roster'!B260))),"#")</f>
        <v/>
      </c>
      <c r="AH260">
        <f>IF(AND(AE260=1,TRIM('Roster'!F260)&lt;&gt;""),LOWER(TRIM('Roster'!F260)),"#")</f>
        <v/>
      </c>
      <c r="AI260">
        <f>IF(AE260=1,IF(MATCH(B260,$B$2:$B$701,0)=ROW()-1,1,0),0)</f>
        <v/>
      </c>
      <c r="AJ260">
        <f>AJ259+AI260</f>
        <v/>
      </c>
      <c r="AK260">
        <f>IF(AE260=1,D260+(1000-ROW())/10^7,-1)</f>
        <v/>
      </c>
      <c r="AL260">
        <f>IF(AE260=1,TRIM('Roster'!B260)&amp;" "&amp;LEFT(TRIM('Roster'!C260),1)&amp;".","")</f>
        <v/>
      </c>
      <c r="AM260">
        <f>IF(AE260=1,TRIM('Roster'!C260)&amp;", "&amp;TRIM('Roster'!B260)&amp;" ("&amp;B260&amp;") #"&amp;AD260,"")</f>
        <v/>
      </c>
      <c r="AN260">
        <f>IF(AE260=1,TRIM('Roster'!E260),"")</f>
        <v/>
      </c>
      <c r="AO260">
        <f>IF(AE260=1,ROUND(SUMIFS('All Donations'!$S$2:$S$4001,'All Donations'!$R$2:$R$4001,AD260,'All Donations'!$T$2:$T$4001,"&gt;="&amp;'Settings'!$C$23,'All Donations'!$T$2:$T$4001,"&lt;="&amp;'Settings'!$D$23),2),0)</f>
        <v/>
      </c>
      <c r="AQ260">
        <f>IF(AE260=1,ROUND(SUMIFS('All Donations'!$S$2:$S$4001,'All Donations'!$R$2:$R$4001,AD260,'All Donations'!$T$2:$T$4001,"&gt;="&amp;'Settings'!$C$25,'All Donations'!$T$2:$T$4001,"&lt;="&amp;'Settings'!$D$25),2),0)</f>
        <v/>
      </c>
      <c r="AR260">
        <f>IF(AE260=1,ROUND(SUMIFS('All Donations'!$S$2:$S$4001,'All Donations'!$R$2:$R$4001,AD260,'All Donations'!$T$2:$T$4001,"&gt;="&amp;'Settings'!$C$26,'All Donations'!$T$2:$T$4001,"&lt;="&amp;'Settings'!$D$26),2),0)</f>
        <v/>
      </c>
      <c r="AS260">
        <f>IF(AE260=1,ROUND(SUMIFS('All Donations'!$S$2:$S$4001,'All Donations'!$R$2:$R$4001,AD260,'All Donations'!$T$2:$T$4001,"&lt;="&amp;'Settings'!$D$27),2),0)</f>
        <v/>
      </c>
      <c r="AT260">
        <f>IF(AE260=1,ROUND(SUMIFS('All Donations'!$S$2:$S$4001,'All Donations'!$R$2:$R$4001,AD260,'All Donations'!$T$2:$T$4001,"&gt;="&amp;'Settings'!$C$28,'All Donations'!$T$2:$T$4001,"&lt;="&amp;'Settings'!$D$28),2),0)</f>
        <v/>
      </c>
      <c r="AU260">
        <f>IF(AE260=1,ROUND(SUMIFS('All Donations'!$S$2:$S$4001,'All Donations'!$R$2:$R$4001,AD260,'All Donations'!$T$2:$T$4001,"&gt;="&amp;'Settings'!$C$29,'All Donations'!$T$2:$T$4001,"&lt;="&amp;'Settings'!$D$29),2),0)</f>
        <v/>
      </c>
      <c r="AV260">
        <f>IF(AE260=1,ROUND(SUMIFS('All Donations'!$S$2:$S$4001,'All Donations'!$R$2:$R$4001,AD260,'All Donations'!$T$2:$T$4001,"&lt;="&amp;'Settings'!$D$30),2),0)</f>
        <v/>
      </c>
      <c r="AZ260">
        <f>IF(AE260=1,ROUND(SUMIFS('All Donations'!$S$2:$S$4001,'All Donations'!$R$2:$R$4001,AD260,'All Donations'!$T$2:$T$4001,"&lt;="&amp;'Settings'!$D$34),2),0)</f>
        <v/>
      </c>
    </row>
    <row r="261">
      <c r="A261">
        <f>IF(AE261=1,TRIM(TRIM('Roster'!B261)&amp;" "&amp;TRIM('Roster'!C261)),"")</f>
        <v/>
      </c>
      <c r="B261">
        <f>IF(AE261=1,IF(AN261="","(no teacher)",AN261&amp;" – "&amp;C261),"")</f>
        <v/>
      </c>
      <c r="C261">
        <f>IF(AE261=1,TRIM('Roster'!D261&amp;""),"")</f>
        <v/>
      </c>
      <c r="D261" s="48">
        <f>IF(AE261=1,ROUND(SUMIFS('All Donations'!$S$2:$S$4001,'All Donations'!$R$2:$R$4001,AD261),2),"")</f>
        <v/>
      </c>
      <c r="E261" s="48">
        <f>IF(AE261=1,ROUND(SUMIFS('All Donations'!$S$2:$S$4001,'All Donations'!$R$2:$R$4001,AD261,'All Donations'!$G$2:$G$4001,"OneCause"),2),"")</f>
        <v/>
      </c>
      <c r="F261" s="48">
        <f>IF(AE261=1,D261-E261,"")</f>
        <v/>
      </c>
      <c r="G261">
        <f>IF(AE261=1,COUNTIFS('All Donations'!$R$2:$R$4001,AD261,'All Donations'!$H$2:$H$4001,"OK"),"")</f>
        <v/>
      </c>
      <c r="H261">
        <f>IF(AE261&lt;&gt;1,"",IF(D261&gt;0,"Yes",""))</f>
        <v/>
      </c>
      <c r="I261" s="49">
        <f>IF(OR($AE261&lt;&gt;1,I$1=""),"",SUMIFS('All Donations'!$S$2:$S$4001,'All Donations'!$R$2:$R$4001,$AD261,'All Donations'!$T$2:$T$4001,I$1))</f>
        <v/>
      </c>
      <c r="J261" s="49">
        <f>IF(OR($AE261&lt;&gt;1,J$1=""),"",SUMIFS('All Donations'!$S$2:$S$4001,'All Donations'!$R$2:$R$4001,$AD261,'All Donations'!$T$2:$T$4001,J$1))</f>
        <v/>
      </c>
      <c r="K261" s="49">
        <f>IF(OR($AE261&lt;&gt;1,K$1=""),"",SUMIFS('All Donations'!$S$2:$S$4001,'All Donations'!$R$2:$R$4001,$AD261,'All Donations'!$T$2:$T$4001,K$1))</f>
        <v/>
      </c>
      <c r="L261" s="49">
        <f>IF(OR($AE261&lt;&gt;1,L$1=""),"",SUMIFS('All Donations'!$S$2:$S$4001,'All Donations'!$R$2:$R$4001,$AD261,'All Donations'!$T$2:$T$4001,L$1))</f>
        <v/>
      </c>
      <c r="M261" s="49">
        <f>IF(OR($AE261&lt;&gt;1,M$1=""),"",SUMIFS('All Donations'!$S$2:$S$4001,'All Donations'!$R$2:$R$4001,$AD261,'All Donations'!$T$2:$T$4001,M$1))</f>
        <v/>
      </c>
      <c r="N261" s="49">
        <f>IF(OR($AE261&lt;&gt;1,N$1=""),"",SUMIFS('All Donations'!$S$2:$S$4001,'All Donations'!$R$2:$R$4001,$AD261,'All Donations'!$T$2:$T$4001,N$1))</f>
        <v/>
      </c>
      <c r="O261" s="49">
        <f>IF(OR($AE261&lt;&gt;1,O$1=""),"",SUMIFS('All Donations'!$S$2:$S$4001,'All Donations'!$R$2:$R$4001,$AD261,'All Donations'!$T$2:$T$4001,O$1))</f>
        <v/>
      </c>
      <c r="P261" s="49">
        <f>IF(OR($AE261&lt;&gt;1,P$1=""),"",SUMIFS('All Donations'!$S$2:$S$4001,'All Donations'!$R$2:$R$4001,$AD261,'All Donations'!$T$2:$T$4001,P$1))</f>
        <v/>
      </c>
      <c r="Q261" s="49">
        <f>IF(OR($AE261&lt;&gt;1,Q$1=""),"",SUMIFS('All Donations'!$S$2:$S$4001,'All Donations'!$R$2:$R$4001,$AD261,'All Donations'!$T$2:$T$4001,Q$1))</f>
        <v/>
      </c>
      <c r="R261" s="49">
        <f>IF(OR($AE261&lt;&gt;1,R$1=""),"",SUMIFS('All Donations'!$S$2:$S$4001,'All Donations'!$R$2:$R$4001,$AD261,'All Donations'!$T$2:$T$4001,R$1))</f>
        <v/>
      </c>
      <c r="S261" s="49">
        <f>IF(OR($AE261&lt;&gt;1,S$1=""),"",SUMIFS('All Donations'!$S$2:$S$4001,'All Donations'!$R$2:$R$4001,$AD261,'All Donations'!$T$2:$T$4001,S$1))</f>
        <v/>
      </c>
      <c r="T261" s="49">
        <f>IF(OR($AE261&lt;&gt;1,T$1=""),"",SUMIFS('All Donations'!$S$2:$S$4001,'All Donations'!$R$2:$R$4001,$AD261,'All Donations'!$T$2:$T$4001,T$1))</f>
        <v/>
      </c>
      <c r="U261" s="49">
        <f>IF(OR($AE261&lt;&gt;1,U$1=""),"",SUMIFS('All Donations'!$S$2:$S$4001,'All Donations'!$R$2:$R$4001,$AD261,'All Donations'!$T$2:$T$4001,U$1))</f>
        <v/>
      </c>
      <c r="V261" s="49">
        <f>IF(OR($AE261&lt;&gt;1,V$1=""),"",SUMIFS('All Donations'!$S$2:$S$4001,'All Donations'!$R$2:$R$4001,$AD261,'All Donations'!$T$2:$T$4001,V$1))</f>
        <v/>
      </c>
      <c r="W261" s="49">
        <f>IF(OR($AE261&lt;&gt;1,W$1=""),"",SUMIFS('All Donations'!$S$2:$S$4001,'All Donations'!$R$2:$R$4001,$AD261,'All Donations'!$T$2:$T$4001,W$1))</f>
        <v/>
      </c>
      <c r="X261" s="49">
        <f>IF(OR($AE261&lt;&gt;1,X$1=""),"",SUMIFS('All Donations'!$S$2:$S$4001,'All Donations'!$R$2:$R$4001,$AD261,'All Donations'!$T$2:$T$4001,X$1))</f>
        <v/>
      </c>
      <c r="Y261" s="49">
        <f>IF(OR($AE261&lt;&gt;1,Y$1=""),"",SUMIFS('All Donations'!$S$2:$S$4001,'All Donations'!$R$2:$R$4001,$AD261,'All Donations'!$T$2:$T$4001,Y$1))</f>
        <v/>
      </c>
      <c r="Z261" s="49">
        <f>IF(OR($AE261&lt;&gt;1,Z$1=""),"",SUMIFS('All Donations'!$S$2:$S$4001,'All Donations'!$R$2:$R$4001,$AD261,'All Donations'!$T$2:$T$4001,Z$1))</f>
        <v/>
      </c>
      <c r="AA261" s="49">
        <f>IF(OR($AE261&lt;&gt;1,AA$1=""),"",SUMIFS('All Donations'!$S$2:$S$4001,'All Donations'!$R$2:$R$4001,$AD261,'All Donations'!$T$2:$T$4001,AA$1))</f>
        <v/>
      </c>
      <c r="AB261" s="49">
        <f>IF(OR($AE261&lt;&gt;1,AB$1=""),"",SUMIFS('All Donations'!$S$2:$S$4001,'All Donations'!$R$2:$R$4001,$AD261,'All Donations'!$T$2:$T$4001,AB$1))</f>
        <v/>
      </c>
      <c r="AC261" s="49">
        <f>IF(OR($AE261&lt;&gt;1,AC$1=""),"",SUMIFS('All Donations'!$S$2:$S$4001,'All Donations'!$R$2:$R$4001,$AD261,'All Donations'!$T$2:$T$4001,AC$1))</f>
        <v/>
      </c>
      <c r="AD261">
        <f>IF(AE261=1,'Roster'!A261,"")</f>
        <v/>
      </c>
      <c r="AE261">
        <f>IF(TRIM('Roster'!B261&amp;'Roster'!C261)&lt;&gt;"",1,0)</f>
        <v/>
      </c>
      <c r="AF261">
        <f>IF(AE261=1,LOWER(A261),"#")</f>
        <v/>
      </c>
      <c r="AG261">
        <f>IF(AE261=1,LOWER(TRIM(TRIM('Roster'!C261)&amp;", "&amp;TRIM('Roster'!B261))),"#")</f>
        <v/>
      </c>
      <c r="AH261">
        <f>IF(AND(AE261=1,TRIM('Roster'!F261)&lt;&gt;""),LOWER(TRIM('Roster'!F261)),"#")</f>
        <v/>
      </c>
      <c r="AI261">
        <f>IF(AE261=1,IF(MATCH(B261,$B$2:$B$701,0)=ROW()-1,1,0),0)</f>
        <v/>
      </c>
      <c r="AJ261">
        <f>AJ260+AI261</f>
        <v/>
      </c>
      <c r="AK261">
        <f>IF(AE261=1,D261+(1000-ROW())/10^7,-1)</f>
        <v/>
      </c>
      <c r="AL261">
        <f>IF(AE261=1,TRIM('Roster'!B261)&amp;" "&amp;LEFT(TRIM('Roster'!C261),1)&amp;".","")</f>
        <v/>
      </c>
      <c r="AM261">
        <f>IF(AE261=1,TRIM('Roster'!C261)&amp;", "&amp;TRIM('Roster'!B261)&amp;" ("&amp;B261&amp;") #"&amp;AD261,"")</f>
        <v/>
      </c>
      <c r="AN261">
        <f>IF(AE261=1,TRIM('Roster'!E261),"")</f>
        <v/>
      </c>
      <c r="AO261">
        <f>IF(AE261=1,ROUND(SUMIFS('All Donations'!$S$2:$S$4001,'All Donations'!$R$2:$R$4001,AD261,'All Donations'!$T$2:$T$4001,"&gt;="&amp;'Settings'!$C$23,'All Donations'!$T$2:$T$4001,"&lt;="&amp;'Settings'!$D$23),2),0)</f>
        <v/>
      </c>
      <c r="AQ261">
        <f>IF(AE261=1,ROUND(SUMIFS('All Donations'!$S$2:$S$4001,'All Donations'!$R$2:$R$4001,AD261,'All Donations'!$T$2:$T$4001,"&gt;="&amp;'Settings'!$C$25,'All Donations'!$T$2:$T$4001,"&lt;="&amp;'Settings'!$D$25),2),0)</f>
        <v/>
      </c>
      <c r="AR261">
        <f>IF(AE261=1,ROUND(SUMIFS('All Donations'!$S$2:$S$4001,'All Donations'!$R$2:$R$4001,AD261,'All Donations'!$T$2:$T$4001,"&gt;="&amp;'Settings'!$C$26,'All Donations'!$T$2:$T$4001,"&lt;="&amp;'Settings'!$D$26),2),0)</f>
        <v/>
      </c>
      <c r="AS261">
        <f>IF(AE261=1,ROUND(SUMIFS('All Donations'!$S$2:$S$4001,'All Donations'!$R$2:$R$4001,AD261,'All Donations'!$T$2:$T$4001,"&lt;="&amp;'Settings'!$D$27),2),0)</f>
        <v/>
      </c>
      <c r="AT261">
        <f>IF(AE261=1,ROUND(SUMIFS('All Donations'!$S$2:$S$4001,'All Donations'!$R$2:$R$4001,AD261,'All Donations'!$T$2:$T$4001,"&gt;="&amp;'Settings'!$C$28,'All Donations'!$T$2:$T$4001,"&lt;="&amp;'Settings'!$D$28),2),0)</f>
        <v/>
      </c>
      <c r="AU261">
        <f>IF(AE261=1,ROUND(SUMIFS('All Donations'!$S$2:$S$4001,'All Donations'!$R$2:$R$4001,AD261,'All Donations'!$T$2:$T$4001,"&gt;="&amp;'Settings'!$C$29,'All Donations'!$T$2:$T$4001,"&lt;="&amp;'Settings'!$D$29),2),0)</f>
        <v/>
      </c>
      <c r="AV261">
        <f>IF(AE261=1,ROUND(SUMIFS('All Donations'!$S$2:$S$4001,'All Donations'!$R$2:$R$4001,AD261,'All Donations'!$T$2:$T$4001,"&lt;="&amp;'Settings'!$D$30),2),0)</f>
        <v/>
      </c>
      <c r="AZ261">
        <f>IF(AE261=1,ROUND(SUMIFS('All Donations'!$S$2:$S$4001,'All Donations'!$R$2:$R$4001,AD261,'All Donations'!$T$2:$T$4001,"&lt;="&amp;'Settings'!$D$34),2),0)</f>
        <v/>
      </c>
    </row>
    <row r="262">
      <c r="A262">
        <f>IF(AE262=1,TRIM(TRIM('Roster'!B262)&amp;" "&amp;TRIM('Roster'!C262)),"")</f>
        <v/>
      </c>
      <c r="B262">
        <f>IF(AE262=1,IF(AN262="","(no teacher)",AN262&amp;" – "&amp;C262),"")</f>
        <v/>
      </c>
      <c r="C262">
        <f>IF(AE262=1,TRIM('Roster'!D262&amp;""),"")</f>
        <v/>
      </c>
      <c r="D262" s="48">
        <f>IF(AE262=1,ROUND(SUMIFS('All Donations'!$S$2:$S$4001,'All Donations'!$R$2:$R$4001,AD262),2),"")</f>
        <v/>
      </c>
      <c r="E262" s="48">
        <f>IF(AE262=1,ROUND(SUMIFS('All Donations'!$S$2:$S$4001,'All Donations'!$R$2:$R$4001,AD262,'All Donations'!$G$2:$G$4001,"OneCause"),2),"")</f>
        <v/>
      </c>
      <c r="F262" s="48">
        <f>IF(AE262=1,D262-E262,"")</f>
        <v/>
      </c>
      <c r="G262">
        <f>IF(AE262=1,COUNTIFS('All Donations'!$R$2:$R$4001,AD262,'All Donations'!$H$2:$H$4001,"OK"),"")</f>
        <v/>
      </c>
      <c r="H262">
        <f>IF(AE262&lt;&gt;1,"",IF(D262&gt;0,"Yes",""))</f>
        <v/>
      </c>
      <c r="I262" s="49">
        <f>IF(OR($AE262&lt;&gt;1,I$1=""),"",SUMIFS('All Donations'!$S$2:$S$4001,'All Donations'!$R$2:$R$4001,$AD262,'All Donations'!$T$2:$T$4001,I$1))</f>
        <v/>
      </c>
      <c r="J262" s="49">
        <f>IF(OR($AE262&lt;&gt;1,J$1=""),"",SUMIFS('All Donations'!$S$2:$S$4001,'All Donations'!$R$2:$R$4001,$AD262,'All Donations'!$T$2:$T$4001,J$1))</f>
        <v/>
      </c>
      <c r="K262" s="49">
        <f>IF(OR($AE262&lt;&gt;1,K$1=""),"",SUMIFS('All Donations'!$S$2:$S$4001,'All Donations'!$R$2:$R$4001,$AD262,'All Donations'!$T$2:$T$4001,K$1))</f>
        <v/>
      </c>
      <c r="L262" s="49">
        <f>IF(OR($AE262&lt;&gt;1,L$1=""),"",SUMIFS('All Donations'!$S$2:$S$4001,'All Donations'!$R$2:$R$4001,$AD262,'All Donations'!$T$2:$T$4001,L$1))</f>
        <v/>
      </c>
      <c r="M262" s="49">
        <f>IF(OR($AE262&lt;&gt;1,M$1=""),"",SUMIFS('All Donations'!$S$2:$S$4001,'All Donations'!$R$2:$R$4001,$AD262,'All Donations'!$T$2:$T$4001,M$1))</f>
        <v/>
      </c>
      <c r="N262" s="49">
        <f>IF(OR($AE262&lt;&gt;1,N$1=""),"",SUMIFS('All Donations'!$S$2:$S$4001,'All Donations'!$R$2:$R$4001,$AD262,'All Donations'!$T$2:$T$4001,N$1))</f>
        <v/>
      </c>
      <c r="O262" s="49">
        <f>IF(OR($AE262&lt;&gt;1,O$1=""),"",SUMIFS('All Donations'!$S$2:$S$4001,'All Donations'!$R$2:$R$4001,$AD262,'All Donations'!$T$2:$T$4001,O$1))</f>
        <v/>
      </c>
      <c r="P262" s="49">
        <f>IF(OR($AE262&lt;&gt;1,P$1=""),"",SUMIFS('All Donations'!$S$2:$S$4001,'All Donations'!$R$2:$R$4001,$AD262,'All Donations'!$T$2:$T$4001,P$1))</f>
        <v/>
      </c>
      <c r="Q262" s="49">
        <f>IF(OR($AE262&lt;&gt;1,Q$1=""),"",SUMIFS('All Donations'!$S$2:$S$4001,'All Donations'!$R$2:$R$4001,$AD262,'All Donations'!$T$2:$T$4001,Q$1))</f>
        <v/>
      </c>
      <c r="R262" s="49">
        <f>IF(OR($AE262&lt;&gt;1,R$1=""),"",SUMIFS('All Donations'!$S$2:$S$4001,'All Donations'!$R$2:$R$4001,$AD262,'All Donations'!$T$2:$T$4001,R$1))</f>
        <v/>
      </c>
      <c r="S262" s="49">
        <f>IF(OR($AE262&lt;&gt;1,S$1=""),"",SUMIFS('All Donations'!$S$2:$S$4001,'All Donations'!$R$2:$R$4001,$AD262,'All Donations'!$T$2:$T$4001,S$1))</f>
        <v/>
      </c>
      <c r="T262" s="49">
        <f>IF(OR($AE262&lt;&gt;1,T$1=""),"",SUMIFS('All Donations'!$S$2:$S$4001,'All Donations'!$R$2:$R$4001,$AD262,'All Donations'!$T$2:$T$4001,T$1))</f>
        <v/>
      </c>
      <c r="U262" s="49">
        <f>IF(OR($AE262&lt;&gt;1,U$1=""),"",SUMIFS('All Donations'!$S$2:$S$4001,'All Donations'!$R$2:$R$4001,$AD262,'All Donations'!$T$2:$T$4001,U$1))</f>
        <v/>
      </c>
      <c r="V262" s="49">
        <f>IF(OR($AE262&lt;&gt;1,V$1=""),"",SUMIFS('All Donations'!$S$2:$S$4001,'All Donations'!$R$2:$R$4001,$AD262,'All Donations'!$T$2:$T$4001,V$1))</f>
        <v/>
      </c>
      <c r="W262" s="49">
        <f>IF(OR($AE262&lt;&gt;1,W$1=""),"",SUMIFS('All Donations'!$S$2:$S$4001,'All Donations'!$R$2:$R$4001,$AD262,'All Donations'!$T$2:$T$4001,W$1))</f>
        <v/>
      </c>
      <c r="X262" s="49">
        <f>IF(OR($AE262&lt;&gt;1,X$1=""),"",SUMIFS('All Donations'!$S$2:$S$4001,'All Donations'!$R$2:$R$4001,$AD262,'All Donations'!$T$2:$T$4001,X$1))</f>
        <v/>
      </c>
      <c r="Y262" s="49">
        <f>IF(OR($AE262&lt;&gt;1,Y$1=""),"",SUMIFS('All Donations'!$S$2:$S$4001,'All Donations'!$R$2:$R$4001,$AD262,'All Donations'!$T$2:$T$4001,Y$1))</f>
        <v/>
      </c>
      <c r="Z262" s="49">
        <f>IF(OR($AE262&lt;&gt;1,Z$1=""),"",SUMIFS('All Donations'!$S$2:$S$4001,'All Donations'!$R$2:$R$4001,$AD262,'All Donations'!$T$2:$T$4001,Z$1))</f>
        <v/>
      </c>
      <c r="AA262" s="49">
        <f>IF(OR($AE262&lt;&gt;1,AA$1=""),"",SUMIFS('All Donations'!$S$2:$S$4001,'All Donations'!$R$2:$R$4001,$AD262,'All Donations'!$T$2:$T$4001,AA$1))</f>
        <v/>
      </c>
      <c r="AB262" s="49">
        <f>IF(OR($AE262&lt;&gt;1,AB$1=""),"",SUMIFS('All Donations'!$S$2:$S$4001,'All Donations'!$R$2:$R$4001,$AD262,'All Donations'!$T$2:$T$4001,AB$1))</f>
        <v/>
      </c>
      <c r="AC262" s="49">
        <f>IF(OR($AE262&lt;&gt;1,AC$1=""),"",SUMIFS('All Donations'!$S$2:$S$4001,'All Donations'!$R$2:$R$4001,$AD262,'All Donations'!$T$2:$T$4001,AC$1))</f>
        <v/>
      </c>
      <c r="AD262">
        <f>IF(AE262=1,'Roster'!A262,"")</f>
        <v/>
      </c>
      <c r="AE262">
        <f>IF(TRIM('Roster'!B262&amp;'Roster'!C262)&lt;&gt;"",1,0)</f>
        <v/>
      </c>
      <c r="AF262">
        <f>IF(AE262=1,LOWER(A262),"#")</f>
        <v/>
      </c>
      <c r="AG262">
        <f>IF(AE262=1,LOWER(TRIM(TRIM('Roster'!C262)&amp;", "&amp;TRIM('Roster'!B262))),"#")</f>
        <v/>
      </c>
      <c r="AH262">
        <f>IF(AND(AE262=1,TRIM('Roster'!F262)&lt;&gt;""),LOWER(TRIM('Roster'!F262)),"#")</f>
        <v/>
      </c>
      <c r="AI262">
        <f>IF(AE262=1,IF(MATCH(B262,$B$2:$B$701,0)=ROW()-1,1,0),0)</f>
        <v/>
      </c>
      <c r="AJ262">
        <f>AJ261+AI262</f>
        <v/>
      </c>
      <c r="AK262">
        <f>IF(AE262=1,D262+(1000-ROW())/10^7,-1)</f>
        <v/>
      </c>
      <c r="AL262">
        <f>IF(AE262=1,TRIM('Roster'!B262)&amp;" "&amp;LEFT(TRIM('Roster'!C262),1)&amp;".","")</f>
        <v/>
      </c>
      <c r="AM262">
        <f>IF(AE262=1,TRIM('Roster'!C262)&amp;", "&amp;TRIM('Roster'!B262)&amp;" ("&amp;B262&amp;") #"&amp;AD262,"")</f>
        <v/>
      </c>
      <c r="AN262">
        <f>IF(AE262=1,TRIM('Roster'!E262),"")</f>
        <v/>
      </c>
      <c r="AO262">
        <f>IF(AE262=1,ROUND(SUMIFS('All Donations'!$S$2:$S$4001,'All Donations'!$R$2:$R$4001,AD262,'All Donations'!$T$2:$T$4001,"&gt;="&amp;'Settings'!$C$23,'All Donations'!$T$2:$T$4001,"&lt;="&amp;'Settings'!$D$23),2),0)</f>
        <v/>
      </c>
      <c r="AQ262">
        <f>IF(AE262=1,ROUND(SUMIFS('All Donations'!$S$2:$S$4001,'All Donations'!$R$2:$R$4001,AD262,'All Donations'!$T$2:$T$4001,"&gt;="&amp;'Settings'!$C$25,'All Donations'!$T$2:$T$4001,"&lt;="&amp;'Settings'!$D$25),2),0)</f>
        <v/>
      </c>
      <c r="AR262">
        <f>IF(AE262=1,ROUND(SUMIFS('All Donations'!$S$2:$S$4001,'All Donations'!$R$2:$R$4001,AD262,'All Donations'!$T$2:$T$4001,"&gt;="&amp;'Settings'!$C$26,'All Donations'!$T$2:$T$4001,"&lt;="&amp;'Settings'!$D$26),2),0)</f>
        <v/>
      </c>
      <c r="AS262">
        <f>IF(AE262=1,ROUND(SUMIFS('All Donations'!$S$2:$S$4001,'All Donations'!$R$2:$R$4001,AD262,'All Donations'!$T$2:$T$4001,"&lt;="&amp;'Settings'!$D$27),2),0)</f>
        <v/>
      </c>
      <c r="AT262">
        <f>IF(AE262=1,ROUND(SUMIFS('All Donations'!$S$2:$S$4001,'All Donations'!$R$2:$R$4001,AD262,'All Donations'!$T$2:$T$4001,"&gt;="&amp;'Settings'!$C$28,'All Donations'!$T$2:$T$4001,"&lt;="&amp;'Settings'!$D$28),2),0)</f>
        <v/>
      </c>
      <c r="AU262">
        <f>IF(AE262=1,ROUND(SUMIFS('All Donations'!$S$2:$S$4001,'All Donations'!$R$2:$R$4001,AD262,'All Donations'!$T$2:$T$4001,"&gt;="&amp;'Settings'!$C$29,'All Donations'!$T$2:$T$4001,"&lt;="&amp;'Settings'!$D$29),2),0)</f>
        <v/>
      </c>
      <c r="AV262">
        <f>IF(AE262=1,ROUND(SUMIFS('All Donations'!$S$2:$S$4001,'All Donations'!$R$2:$R$4001,AD262,'All Donations'!$T$2:$T$4001,"&lt;="&amp;'Settings'!$D$30),2),0)</f>
        <v/>
      </c>
      <c r="AZ262">
        <f>IF(AE262=1,ROUND(SUMIFS('All Donations'!$S$2:$S$4001,'All Donations'!$R$2:$R$4001,AD262,'All Donations'!$T$2:$T$4001,"&lt;="&amp;'Settings'!$D$34),2),0)</f>
        <v/>
      </c>
    </row>
    <row r="263">
      <c r="A263">
        <f>IF(AE263=1,TRIM(TRIM('Roster'!B263)&amp;" "&amp;TRIM('Roster'!C263)),"")</f>
        <v/>
      </c>
      <c r="B263">
        <f>IF(AE263=1,IF(AN263="","(no teacher)",AN263&amp;" – "&amp;C263),"")</f>
        <v/>
      </c>
      <c r="C263">
        <f>IF(AE263=1,TRIM('Roster'!D263&amp;""),"")</f>
        <v/>
      </c>
      <c r="D263" s="48">
        <f>IF(AE263=1,ROUND(SUMIFS('All Donations'!$S$2:$S$4001,'All Donations'!$R$2:$R$4001,AD263),2),"")</f>
        <v/>
      </c>
      <c r="E263" s="48">
        <f>IF(AE263=1,ROUND(SUMIFS('All Donations'!$S$2:$S$4001,'All Donations'!$R$2:$R$4001,AD263,'All Donations'!$G$2:$G$4001,"OneCause"),2),"")</f>
        <v/>
      </c>
      <c r="F263" s="48">
        <f>IF(AE263=1,D263-E263,"")</f>
        <v/>
      </c>
      <c r="G263">
        <f>IF(AE263=1,COUNTIFS('All Donations'!$R$2:$R$4001,AD263,'All Donations'!$H$2:$H$4001,"OK"),"")</f>
        <v/>
      </c>
      <c r="H263">
        <f>IF(AE263&lt;&gt;1,"",IF(D263&gt;0,"Yes",""))</f>
        <v/>
      </c>
      <c r="I263" s="49">
        <f>IF(OR($AE263&lt;&gt;1,I$1=""),"",SUMIFS('All Donations'!$S$2:$S$4001,'All Donations'!$R$2:$R$4001,$AD263,'All Donations'!$T$2:$T$4001,I$1))</f>
        <v/>
      </c>
      <c r="J263" s="49">
        <f>IF(OR($AE263&lt;&gt;1,J$1=""),"",SUMIFS('All Donations'!$S$2:$S$4001,'All Donations'!$R$2:$R$4001,$AD263,'All Donations'!$T$2:$T$4001,J$1))</f>
        <v/>
      </c>
      <c r="K263" s="49">
        <f>IF(OR($AE263&lt;&gt;1,K$1=""),"",SUMIFS('All Donations'!$S$2:$S$4001,'All Donations'!$R$2:$R$4001,$AD263,'All Donations'!$T$2:$T$4001,K$1))</f>
        <v/>
      </c>
      <c r="L263" s="49">
        <f>IF(OR($AE263&lt;&gt;1,L$1=""),"",SUMIFS('All Donations'!$S$2:$S$4001,'All Donations'!$R$2:$R$4001,$AD263,'All Donations'!$T$2:$T$4001,L$1))</f>
        <v/>
      </c>
      <c r="M263" s="49">
        <f>IF(OR($AE263&lt;&gt;1,M$1=""),"",SUMIFS('All Donations'!$S$2:$S$4001,'All Donations'!$R$2:$R$4001,$AD263,'All Donations'!$T$2:$T$4001,M$1))</f>
        <v/>
      </c>
      <c r="N263" s="49">
        <f>IF(OR($AE263&lt;&gt;1,N$1=""),"",SUMIFS('All Donations'!$S$2:$S$4001,'All Donations'!$R$2:$R$4001,$AD263,'All Donations'!$T$2:$T$4001,N$1))</f>
        <v/>
      </c>
      <c r="O263" s="49">
        <f>IF(OR($AE263&lt;&gt;1,O$1=""),"",SUMIFS('All Donations'!$S$2:$S$4001,'All Donations'!$R$2:$R$4001,$AD263,'All Donations'!$T$2:$T$4001,O$1))</f>
        <v/>
      </c>
      <c r="P263" s="49">
        <f>IF(OR($AE263&lt;&gt;1,P$1=""),"",SUMIFS('All Donations'!$S$2:$S$4001,'All Donations'!$R$2:$R$4001,$AD263,'All Donations'!$T$2:$T$4001,P$1))</f>
        <v/>
      </c>
      <c r="Q263" s="49">
        <f>IF(OR($AE263&lt;&gt;1,Q$1=""),"",SUMIFS('All Donations'!$S$2:$S$4001,'All Donations'!$R$2:$R$4001,$AD263,'All Donations'!$T$2:$T$4001,Q$1))</f>
        <v/>
      </c>
      <c r="R263" s="49">
        <f>IF(OR($AE263&lt;&gt;1,R$1=""),"",SUMIFS('All Donations'!$S$2:$S$4001,'All Donations'!$R$2:$R$4001,$AD263,'All Donations'!$T$2:$T$4001,R$1))</f>
        <v/>
      </c>
      <c r="S263" s="49">
        <f>IF(OR($AE263&lt;&gt;1,S$1=""),"",SUMIFS('All Donations'!$S$2:$S$4001,'All Donations'!$R$2:$R$4001,$AD263,'All Donations'!$T$2:$T$4001,S$1))</f>
        <v/>
      </c>
      <c r="T263" s="49">
        <f>IF(OR($AE263&lt;&gt;1,T$1=""),"",SUMIFS('All Donations'!$S$2:$S$4001,'All Donations'!$R$2:$R$4001,$AD263,'All Donations'!$T$2:$T$4001,T$1))</f>
        <v/>
      </c>
      <c r="U263" s="49">
        <f>IF(OR($AE263&lt;&gt;1,U$1=""),"",SUMIFS('All Donations'!$S$2:$S$4001,'All Donations'!$R$2:$R$4001,$AD263,'All Donations'!$T$2:$T$4001,U$1))</f>
        <v/>
      </c>
      <c r="V263" s="49">
        <f>IF(OR($AE263&lt;&gt;1,V$1=""),"",SUMIFS('All Donations'!$S$2:$S$4001,'All Donations'!$R$2:$R$4001,$AD263,'All Donations'!$T$2:$T$4001,V$1))</f>
        <v/>
      </c>
      <c r="W263" s="49">
        <f>IF(OR($AE263&lt;&gt;1,W$1=""),"",SUMIFS('All Donations'!$S$2:$S$4001,'All Donations'!$R$2:$R$4001,$AD263,'All Donations'!$T$2:$T$4001,W$1))</f>
        <v/>
      </c>
      <c r="X263" s="49">
        <f>IF(OR($AE263&lt;&gt;1,X$1=""),"",SUMIFS('All Donations'!$S$2:$S$4001,'All Donations'!$R$2:$R$4001,$AD263,'All Donations'!$T$2:$T$4001,X$1))</f>
        <v/>
      </c>
      <c r="Y263" s="49">
        <f>IF(OR($AE263&lt;&gt;1,Y$1=""),"",SUMIFS('All Donations'!$S$2:$S$4001,'All Donations'!$R$2:$R$4001,$AD263,'All Donations'!$T$2:$T$4001,Y$1))</f>
        <v/>
      </c>
      <c r="Z263" s="49">
        <f>IF(OR($AE263&lt;&gt;1,Z$1=""),"",SUMIFS('All Donations'!$S$2:$S$4001,'All Donations'!$R$2:$R$4001,$AD263,'All Donations'!$T$2:$T$4001,Z$1))</f>
        <v/>
      </c>
      <c r="AA263" s="49">
        <f>IF(OR($AE263&lt;&gt;1,AA$1=""),"",SUMIFS('All Donations'!$S$2:$S$4001,'All Donations'!$R$2:$R$4001,$AD263,'All Donations'!$T$2:$T$4001,AA$1))</f>
        <v/>
      </c>
      <c r="AB263" s="49">
        <f>IF(OR($AE263&lt;&gt;1,AB$1=""),"",SUMIFS('All Donations'!$S$2:$S$4001,'All Donations'!$R$2:$R$4001,$AD263,'All Donations'!$T$2:$T$4001,AB$1))</f>
        <v/>
      </c>
      <c r="AC263" s="49">
        <f>IF(OR($AE263&lt;&gt;1,AC$1=""),"",SUMIFS('All Donations'!$S$2:$S$4001,'All Donations'!$R$2:$R$4001,$AD263,'All Donations'!$T$2:$T$4001,AC$1))</f>
        <v/>
      </c>
      <c r="AD263">
        <f>IF(AE263=1,'Roster'!A263,"")</f>
        <v/>
      </c>
      <c r="AE263">
        <f>IF(TRIM('Roster'!B263&amp;'Roster'!C263)&lt;&gt;"",1,0)</f>
        <v/>
      </c>
      <c r="AF263">
        <f>IF(AE263=1,LOWER(A263),"#")</f>
        <v/>
      </c>
      <c r="AG263">
        <f>IF(AE263=1,LOWER(TRIM(TRIM('Roster'!C263)&amp;", "&amp;TRIM('Roster'!B263))),"#")</f>
        <v/>
      </c>
      <c r="AH263">
        <f>IF(AND(AE263=1,TRIM('Roster'!F263)&lt;&gt;""),LOWER(TRIM('Roster'!F263)),"#")</f>
        <v/>
      </c>
      <c r="AI263">
        <f>IF(AE263=1,IF(MATCH(B263,$B$2:$B$701,0)=ROW()-1,1,0),0)</f>
        <v/>
      </c>
      <c r="AJ263">
        <f>AJ262+AI263</f>
        <v/>
      </c>
      <c r="AK263">
        <f>IF(AE263=1,D263+(1000-ROW())/10^7,-1)</f>
        <v/>
      </c>
      <c r="AL263">
        <f>IF(AE263=1,TRIM('Roster'!B263)&amp;" "&amp;LEFT(TRIM('Roster'!C263),1)&amp;".","")</f>
        <v/>
      </c>
      <c r="AM263">
        <f>IF(AE263=1,TRIM('Roster'!C263)&amp;", "&amp;TRIM('Roster'!B263)&amp;" ("&amp;B263&amp;") #"&amp;AD263,"")</f>
        <v/>
      </c>
      <c r="AN263">
        <f>IF(AE263=1,TRIM('Roster'!E263),"")</f>
        <v/>
      </c>
      <c r="AO263">
        <f>IF(AE263=1,ROUND(SUMIFS('All Donations'!$S$2:$S$4001,'All Donations'!$R$2:$R$4001,AD263,'All Donations'!$T$2:$T$4001,"&gt;="&amp;'Settings'!$C$23,'All Donations'!$T$2:$T$4001,"&lt;="&amp;'Settings'!$D$23),2),0)</f>
        <v/>
      </c>
      <c r="AQ263">
        <f>IF(AE263=1,ROUND(SUMIFS('All Donations'!$S$2:$S$4001,'All Donations'!$R$2:$R$4001,AD263,'All Donations'!$T$2:$T$4001,"&gt;="&amp;'Settings'!$C$25,'All Donations'!$T$2:$T$4001,"&lt;="&amp;'Settings'!$D$25),2),0)</f>
        <v/>
      </c>
      <c r="AR263">
        <f>IF(AE263=1,ROUND(SUMIFS('All Donations'!$S$2:$S$4001,'All Donations'!$R$2:$R$4001,AD263,'All Donations'!$T$2:$T$4001,"&gt;="&amp;'Settings'!$C$26,'All Donations'!$T$2:$T$4001,"&lt;="&amp;'Settings'!$D$26),2),0)</f>
        <v/>
      </c>
      <c r="AS263">
        <f>IF(AE263=1,ROUND(SUMIFS('All Donations'!$S$2:$S$4001,'All Donations'!$R$2:$R$4001,AD263,'All Donations'!$T$2:$T$4001,"&lt;="&amp;'Settings'!$D$27),2),0)</f>
        <v/>
      </c>
      <c r="AT263">
        <f>IF(AE263=1,ROUND(SUMIFS('All Donations'!$S$2:$S$4001,'All Donations'!$R$2:$R$4001,AD263,'All Donations'!$T$2:$T$4001,"&gt;="&amp;'Settings'!$C$28,'All Donations'!$T$2:$T$4001,"&lt;="&amp;'Settings'!$D$28),2),0)</f>
        <v/>
      </c>
      <c r="AU263">
        <f>IF(AE263=1,ROUND(SUMIFS('All Donations'!$S$2:$S$4001,'All Donations'!$R$2:$R$4001,AD263,'All Donations'!$T$2:$T$4001,"&gt;="&amp;'Settings'!$C$29,'All Donations'!$T$2:$T$4001,"&lt;="&amp;'Settings'!$D$29),2),0)</f>
        <v/>
      </c>
      <c r="AV263">
        <f>IF(AE263=1,ROUND(SUMIFS('All Donations'!$S$2:$S$4001,'All Donations'!$R$2:$R$4001,AD263,'All Donations'!$T$2:$T$4001,"&lt;="&amp;'Settings'!$D$30),2),0)</f>
        <v/>
      </c>
      <c r="AZ263">
        <f>IF(AE263=1,ROUND(SUMIFS('All Donations'!$S$2:$S$4001,'All Donations'!$R$2:$R$4001,AD263,'All Donations'!$T$2:$T$4001,"&lt;="&amp;'Settings'!$D$34),2),0)</f>
        <v/>
      </c>
    </row>
    <row r="264">
      <c r="A264">
        <f>IF(AE264=1,TRIM(TRIM('Roster'!B264)&amp;" "&amp;TRIM('Roster'!C264)),"")</f>
        <v/>
      </c>
      <c r="B264">
        <f>IF(AE264=1,IF(AN264="","(no teacher)",AN264&amp;" – "&amp;C264),"")</f>
        <v/>
      </c>
      <c r="C264">
        <f>IF(AE264=1,TRIM('Roster'!D264&amp;""),"")</f>
        <v/>
      </c>
      <c r="D264" s="48">
        <f>IF(AE264=1,ROUND(SUMIFS('All Donations'!$S$2:$S$4001,'All Donations'!$R$2:$R$4001,AD264),2),"")</f>
        <v/>
      </c>
      <c r="E264" s="48">
        <f>IF(AE264=1,ROUND(SUMIFS('All Donations'!$S$2:$S$4001,'All Donations'!$R$2:$R$4001,AD264,'All Donations'!$G$2:$G$4001,"OneCause"),2),"")</f>
        <v/>
      </c>
      <c r="F264" s="48">
        <f>IF(AE264=1,D264-E264,"")</f>
        <v/>
      </c>
      <c r="G264">
        <f>IF(AE264=1,COUNTIFS('All Donations'!$R$2:$R$4001,AD264,'All Donations'!$H$2:$H$4001,"OK"),"")</f>
        <v/>
      </c>
      <c r="H264">
        <f>IF(AE264&lt;&gt;1,"",IF(D264&gt;0,"Yes",""))</f>
        <v/>
      </c>
      <c r="I264" s="49">
        <f>IF(OR($AE264&lt;&gt;1,I$1=""),"",SUMIFS('All Donations'!$S$2:$S$4001,'All Donations'!$R$2:$R$4001,$AD264,'All Donations'!$T$2:$T$4001,I$1))</f>
        <v/>
      </c>
      <c r="J264" s="49">
        <f>IF(OR($AE264&lt;&gt;1,J$1=""),"",SUMIFS('All Donations'!$S$2:$S$4001,'All Donations'!$R$2:$R$4001,$AD264,'All Donations'!$T$2:$T$4001,J$1))</f>
        <v/>
      </c>
      <c r="K264" s="49">
        <f>IF(OR($AE264&lt;&gt;1,K$1=""),"",SUMIFS('All Donations'!$S$2:$S$4001,'All Donations'!$R$2:$R$4001,$AD264,'All Donations'!$T$2:$T$4001,K$1))</f>
        <v/>
      </c>
      <c r="L264" s="49">
        <f>IF(OR($AE264&lt;&gt;1,L$1=""),"",SUMIFS('All Donations'!$S$2:$S$4001,'All Donations'!$R$2:$R$4001,$AD264,'All Donations'!$T$2:$T$4001,L$1))</f>
        <v/>
      </c>
      <c r="M264" s="49">
        <f>IF(OR($AE264&lt;&gt;1,M$1=""),"",SUMIFS('All Donations'!$S$2:$S$4001,'All Donations'!$R$2:$R$4001,$AD264,'All Donations'!$T$2:$T$4001,M$1))</f>
        <v/>
      </c>
      <c r="N264" s="49">
        <f>IF(OR($AE264&lt;&gt;1,N$1=""),"",SUMIFS('All Donations'!$S$2:$S$4001,'All Donations'!$R$2:$R$4001,$AD264,'All Donations'!$T$2:$T$4001,N$1))</f>
        <v/>
      </c>
      <c r="O264" s="49">
        <f>IF(OR($AE264&lt;&gt;1,O$1=""),"",SUMIFS('All Donations'!$S$2:$S$4001,'All Donations'!$R$2:$R$4001,$AD264,'All Donations'!$T$2:$T$4001,O$1))</f>
        <v/>
      </c>
      <c r="P264" s="49">
        <f>IF(OR($AE264&lt;&gt;1,P$1=""),"",SUMIFS('All Donations'!$S$2:$S$4001,'All Donations'!$R$2:$R$4001,$AD264,'All Donations'!$T$2:$T$4001,P$1))</f>
        <v/>
      </c>
      <c r="Q264" s="49">
        <f>IF(OR($AE264&lt;&gt;1,Q$1=""),"",SUMIFS('All Donations'!$S$2:$S$4001,'All Donations'!$R$2:$R$4001,$AD264,'All Donations'!$T$2:$T$4001,Q$1))</f>
        <v/>
      </c>
      <c r="R264" s="49">
        <f>IF(OR($AE264&lt;&gt;1,R$1=""),"",SUMIFS('All Donations'!$S$2:$S$4001,'All Donations'!$R$2:$R$4001,$AD264,'All Donations'!$T$2:$T$4001,R$1))</f>
        <v/>
      </c>
      <c r="S264" s="49">
        <f>IF(OR($AE264&lt;&gt;1,S$1=""),"",SUMIFS('All Donations'!$S$2:$S$4001,'All Donations'!$R$2:$R$4001,$AD264,'All Donations'!$T$2:$T$4001,S$1))</f>
        <v/>
      </c>
      <c r="T264" s="49">
        <f>IF(OR($AE264&lt;&gt;1,T$1=""),"",SUMIFS('All Donations'!$S$2:$S$4001,'All Donations'!$R$2:$R$4001,$AD264,'All Donations'!$T$2:$T$4001,T$1))</f>
        <v/>
      </c>
      <c r="U264" s="49">
        <f>IF(OR($AE264&lt;&gt;1,U$1=""),"",SUMIFS('All Donations'!$S$2:$S$4001,'All Donations'!$R$2:$R$4001,$AD264,'All Donations'!$T$2:$T$4001,U$1))</f>
        <v/>
      </c>
      <c r="V264" s="49">
        <f>IF(OR($AE264&lt;&gt;1,V$1=""),"",SUMIFS('All Donations'!$S$2:$S$4001,'All Donations'!$R$2:$R$4001,$AD264,'All Donations'!$T$2:$T$4001,V$1))</f>
        <v/>
      </c>
      <c r="W264" s="49">
        <f>IF(OR($AE264&lt;&gt;1,W$1=""),"",SUMIFS('All Donations'!$S$2:$S$4001,'All Donations'!$R$2:$R$4001,$AD264,'All Donations'!$T$2:$T$4001,W$1))</f>
        <v/>
      </c>
      <c r="X264" s="49">
        <f>IF(OR($AE264&lt;&gt;1,X$1=""),"",SUMIFS('All Donations'!$S$2:$S$4001,'All Donations'!$R$2:$R$4001,$AD264,'All Donations'!$T$2:$T$4001,X$1))</f>
        <v/>
      </c>
      <c r="Y264" s="49">
        <f>IF(OR($AE264&lt;&gt;1,Y$1=""),"",SUMIFS('All Donations'!$S$2:$S$4001,'All Donations'!$R$2:$R$4001,$AD264,'All Donations'!$T$2:$T$4001,Y$1))</f>
        <v/>
      </c>
      <c r="Z264" s="49">
        <f>IF(OR($AE264&lt;&gt;1,Z$1=""),"",SUMIFS('All Donations'!$S$2:$S$4001,'All Donations'!$R$2:$R$4001,$AD264,'All Donations'!$T$2:$T$4001,Z$1))</f>
        <v/>
      </c>
      <c r="AA264" s="49">
        <f>IF(OR($AE264&lt;&gt;1,AA$1=""),"",SUMIFS('All Donations'!$S$2:$S$4001,'All Donations'!$R$2:$R$4001,$AD264,'All Donations'!$T$2:$T$4001,AA$1))</f>
        <v/>
      </c>
      <c r="AB264" s="49">
        <f>IF(OR($AE264&lt;&gt;1,AB$1=""),"",SUMIFS('All Donations'!$S$2:$S$4001,'All Donations'!$R$2:$R$4001,$AD264,'All Donations'!$T$2:$T$4001,AB$1))</f>
        <v/>
      </c>
      <c r="AC264" s="49">
        <f>IF(OR($AE264&lt;&gt;1,AC$1=""),"",SUMIFS('All Donations'!$S$2:$S$4001,'All Donations'!$R$2:$R$4001,$AD264,'All Donations'!$T$2:$T$4001,AC$1))</f>
        <v/>
      </c>
      <c r="AD264">
        <f>IF(AE264=1,'Roster'!A264,"")</f>
        <v/>
      </c>
      <c r="AE264">
        <f>IF(TRIM('Roster'!B264&amp;'Roster'!C264)&lt;&gt;"",1,0)</f>
        <v/>
      </c>
      <c r="AF264">
        <f>IF(AE264=1,LOWER(A264),"#")</f>
        <v/>
      </c>
      <c r="AG264">
        <f>IF(AE264=1,LOWER(TRIM(TRIM('Roster'!C264)&amp;", "&amp;TRIM('Roster'!B264))),"#")</f>
        <v/>
      </c>
      <c r="AH264">
        <f>IF(AND(AE264=1,TRIM('Roster'!F264)&lt;&gt;""),LOWER(TRIM('Roster'!F264)),"#")</f>
        <v/>
      </c>
      <c r="AI264">
        <f>IF(AE264=1,IF(MATCH(B264,$B$2:$B$701,0)=ROW()-1,1,0),0)</f>
        <v/>
      </c>
      <c r="AJ264">
        <f>AJ263+AI264</f>
        <v/>
      </c>
      <c r="AK264">
        <f>IF(AE264=1,D264+(1000-ROW())/10^7,-1)</f>
        <v/>
      </c>
      <c r="AL264">
        <f>IF(AE264=1,TRIM('Roster'!B264)&amp;" "&amp;LEFT(TRIM('Roster'!C264),1)&amp;".","")</f>
        <v/>
      </c>
      <c r="AM264">
        <f>IF(AE264=1,TRIM('Roster'!C264)&amp;", "&amp;TRIM('Roster'!B264)&amp;" ("&amp;B264&amp;") #"&amp;AD264,"")</f>
        <v/>
      </c>
      <c r="AN264">
        <f>IF(AE264=1,TRIM('Roster'!E264),"")</f>
        <v/>
      </c>
      <c r="AO264">
        <f>IF(AE264=1,ROUND(SUMIFS('All Donations'!$S$2:$S$4001,'All Donations'!$R$2:$R$4001,AD264,'All Donations'!$T$2:$T$4001,"&gt;="&amp;'Settings'!$C$23,'All Donations'!$T$2:$T$4001,"&lt;="&amp;'Settings'!$D$23),2),0)</f>
        <v/>
      </c>
      <c r="AQ264">
        <f>IF(AE264=1,ROUND(SUMIFS('All Donations'!$S$2:$S$4001,'All Donations'!$R$2:$R$4001,AD264,'All Donations'!$T$2:$T$4001,"&gt;="&amp;'Settings'!$C$25,'All Donations'!$T$2:$T$4001,"&lt;="&amp;'Settings'!$D$25),2),0)</f>
        <v/>
      </c>
      <c r="AR264">
        <f>IF(AE264=1,ROUND(SUMIFS('All Donations'!$S$2:$S$4001,'All Donations'!$R$2:$R$4001,AD264,'All Donations'!$T$2:$T$4001,"&gt;="&amp;'Settings'!$C$26,'All Donations'!$T$2:$T$4001,"&lt;="&amp;'Settings'!$D$26),2),0)</f>
        <v/>
      </c>
      <c r="AS264">
        <f>IF(AE264=1,ROUND(SUMIFS('All Donations'!$S$2:$S$4001,'All Donations'!$R$2:$R$4001,AD264,'All Donations'!$T$2:$T$4001,"&lt;="&amp;'Settings'!$D$27),2),0)</f>
        <v/>
      </c>
      <c r="AT264">
        <f>IF(AE264=1,ROUND(SUMIFS('All Donations'!$S$2:$S$4001,'All Donations'!$R$2:$R$4001,AD264,'All Donations'!$T$2:$T$4001,"&gt;="&amp;'Settings'!$C$28,'All Donations'!$T$2:$T$4001,"&lt;="&amp;'Settings'!$D$28),2),0)</f>
        <v/>
      </c>
      <c r="AU264">
        <f>IF(AE264=1,ROUND(SUMIFS('All Donations'!$S$2:$S$4001,'All Donations'!$R$2:$R$4001,AD264,'All Donations'!$T$2:$T$4001,"&gt;="&amp;'Settings'!$C$29,'All Donations'!$T$2:$T$4001,"&lt;="&amp;'Settings'!$D$29),2),0)</f>
        <v/>
      </c>
      <c r="AV264">
        <f>IF(AE264=1,ROUND(SUMIFS('All Donations'!$S$2:$S$4001,'All Donations'!$R$2:$R$4001,AD264,'All Donations'!$T$2:$T$4001,"&lt;="&amp;'Settings'!$D$30),2),0)</f>
        <v/>
      </c>
      <c r="AZ264">
        <f>IF(AE264=1,ROUND(SUMIFS('All Donations'!$S$2:$S$4001,'All Donations'!$R$2:$R$4001,AD264,'All Donations'!$T$2:$T$4001,"&lt;="&amp;'Settings'!$D$34),2),0)</f>
        <v/>
      </c>
    </row>
    <row r="265">
      <c r="A265">
        <f>IF(AE265=1,TRIM(TRIM('Roster'!B265)&amp;" "&amp;TRIM('Roster'!C265)),"")</f>
        <v/>
      </c>
      <c r="B265">
        <f>IF(AE265=1,IF(AN265="","(no teacher)",AN265&amp;" – "&amp;C265),"")</f>
        <v/>
      </c>
      <c r="C265">
        <f>IF(AE265=1,TRIM('Roster'!D265&amp;""),"")</f>
        <v/>
      </c>
      <c r="D265" s="48">
        <f>IF(AE265=1,ROUND(SUMIFS('All Donations'!$S$2:$S$4001,'All Donations'!$R$2:$R$4001,AD265),2),"")</f>
        <v/>
      </c>
      <c r="E265" s="48">
        <f>IF(AE265=1,ROUND(SUMIFS('All Donations'!$S$2:$S$4001,'All Donations'!$R$2:$R$4001,AD265,'All Donations'!$G$2:$G$4001,"OneCause"),2),"")</f>
        <v/>
      </c>
      <c r="F265" s="48">
        <f>IF(AE265=1,D265-E265,"")</f>
        <v/>
      </c>
      <c r="G265">
        <f>IF(AE265=1,COUNTIFS('All Donations'!$R$2:$R$4001,AD265,'All Donations'!$H$2:$H$4001,"OK"),"")</f>
        <v/>
      </c>
      <c r="H265">
        <f>IF(AE265&lt;&gt;1,"",IF(D265&gt;0,"Yes",""))</f>
        <v/>
      </c>
      <c r="I265" s="49">
        <f>IF(OR($AE265&lt;&gt;1,I$1=""),"",SUMIFS('All Donations'!$S$2:$S$4001,'All Donations'!$R$2:$R$4001,$AD265,'All Donations'!$T$2:$T$4001,I$1))</f>
        <v/>
      </c>
      <c r="J265" s="49">
        <f>IF(OR($AE265&lt;&gt;1,J$1=""),"",SUMIFS('All Donations'!$S$2:$S$4001,'All Donations'!$R$2:$R$4001,$AD265,'All Donations'!$T$2:$T$4001,J$1))</f>
        <v/>
      </c>
      <c r="K265" s="49">
        <f>IF(OR($AE265&lt;&gt;1,K$1=""),"",SUMIFS('All Donations'!$S$2:$S$4001,'All Donations'!$R$2:$R$4001,$AD265,'All Donations'!$T$2:$T$4001,K$1))</f>
        <v/>
      </c>
      <c r="L265" s="49">
        <f>IF(OR($AE265&lt;&gt;1,L$1=""),"",SUMIFS('All Donations'!$S$2:$S$4001,'All Donations'!$R$2:$R$4001,$AD265,'All Donations'!$T$2:$T$4001,L$1))</f>
        <v/>
      </c>
      <c r="M265" s="49">
        <f>IF(OR($AE265&lt;&gt;1,M$1=""),"",SUMIFS('All Donations'!$S$2:$S$4001,'All Donations'!$R$2:$R$4001,$AD265,'All Donations'!$T$2:$T$4001,M$1))</f>
        <v/>
      </c>
      <c r="N265" s="49">
        <f>IF(OR($AE265&lt;&gt;1,N$1=""),"",SUMIFS('All Donations'!$S$2:$S$4001,'All Donations'!$R$2:$R$4001,$AD265,'All Donations'!$T$2:$T$4001,N$1))</f>
        <v/>
      </c>
      <c r="O265" s="49">
        <f>IF(OR($AE265&lt;&gt;1,O$1=""),"",SUMIFS('All Donations'!$S$2:$S$4001,'All Donations'!$R$2:$R$4001,$AD265,'All Donations'!$T$2:$T$4001,O$1))</f>
        <v/>
      </c>
      <c r="P265" s="49">
        <f>IF(OR($AE265&lt;&gt;1,P$1=""),"",SUMIFS('All Donations'!$S$2:$S$4001,'All Donations'!$R$2:$R$4001,$AD265,'All Donations'!$T$2:$T$4001,P$1))</f>
        <v/>
      </c>
      <c r="Q265" s="49">
        <f>IF(OR($AE265&lt;&gt;1,Q$1=""),"",SUMIFS('All Donations'!$S$2:$S$4001,'All Donations'!$R$2:$R$4001,$AD265,'All Donations'!$T$2:$T$4001,Q$1))</f>
        <v/>
      </c>
      <c r="R265" s="49">
        <f>IF(OR($AE265&lt;&gt;1,R$1=""),"",SUMIFS('All Donations'!$S$2:$S$4001,'All Donations'!$R$2:$R$4001,$AD265,'All Donations'!$T$2:$T$4001,R$1))</f>
        <v/>
      </c>
      <c r="S265" s="49">
        <f>IF(OR($AE265&lt;&gt;1,S$1=""),"",SUMIFS('All Donations'!$S$2:$S$4001,'All Donations'!$R$2:$R$4001,$AD265,'All Donations'!$T$2:$T$4001,S$1))</f>
        <v/>
      </c>
      <c r="T265" s="49">
        <f>IF(OR($AE265&lt;&gt;1,T$1=""),"",SUMIFS('All Donations'!$S$2:$S$4001,'All Donations'!$R$2:$R$4001,$AD265,'All Donations'!$T$2:$T$4001,T$1))</f>
        <v/>
      </c>
      <c r="U265" s="49">
        <f>IF(OR($AE265&lt;&gt;1,U$1=""),"",SUMIFS('All Donations'!$S$2:$S$4001,'All Donations'!$R$2:$R$4001,$AD265,'All Donations'!$T$2:$T$4001,U$1))</f>
        <v/>
      </c>
      <c r="V265" s="49">
        <f>IF(OR($AE265&lt;&gt;1,V$1=""),"",SUMIFS('All Donations'!$S$2:$S$4001,'All Donations'!$R$2:$R$4001,$AD265,'All Donations'!$T$2:$T$4001,V$1))</f>
        <v/>
      </c>
      <c r="W265" s="49">
        <f>IF(OR($AE265&lt;&gt;1,W$1=""),"",SUMIFS('All Donations'!$S$2:$S$4001,'All Donations'!$R$2:$R$4001,$AD265,'All Donations'!$T$2:$T$4001,W$1))</f>
        <v/>
      </c>
      <c r="X265" s="49">
        <f>IF(OR($AE265&lt;&gt;1,X$1=""),"",SUMIFS('All Donations'!$S$2:$S$4001,'All Donations'!$R$2:$R$4001,$AD265,'All Donations'!$T$2:$T$4001,X$1))</f>
        <v/>
      </c>
      <c r="Y265" s="49">
        <f>IF(OR($AE265&lt;&gt;1,Y$1=""),"",SUMIFS('All Donations'!$S$2:$S$4001,'All Donations'!$R$2:$R$4001,$AD265,'All Donations'!$T$2:$T$4001,Y$1))</f>
        <v/>
      </c>
      <c r="Z265" s="49">
        <f>IF(OR($AE265&lt;&gt;1,Z$1=""),"",SUMIFS('All Donations'!$S$2:$S$4001,'All Donations'!$R$2:$R$4001,$AD265,'All Donations'!$T$2:$T$4001,Z$1))</f>
        <v/>
      </c>
      <c r="AA265" s="49">
        <f>IF(OR($AE265&lt;&gt;1,AA$1=""),"",SUMIFS('All Donations'!$S$2:$S$4001,'All Donations'!$R$2:$R$4001,$AD265,'All Donations'!$T$2:$T$4001,AA$1))</f>
        <v/>
      </c>
      <c r="AB265" s="49">
        <f>IF(OR($AE265&lt;&gt;1,AB$1=""),"",SUMIFS('All Donations'!$S$2:$S$4001,'All Donations'!$R$2:$R$4001,$AD265,'All Donations'!$T$2:$T$4001,AB$1))</f>
        <v/>
      </c>
      <c r="AC265" s="49">
        <f>IF(OR($AE265&lt;&gt;1,AC$1=""),"",SUMIFS('All Donations'!$S$2:$S$4001,'All Donations'!$R$2:$R$4001,$AD265,'All Donations'!$T$2:$T$4001,AC$1))</f>
        <v/>
      </c>
      <c r="AD265">
        <f>IF(AE265=1,'Roster'!A265,"")</f>
        <v/>
      </c>
      <c r="AE265">
        <f>IF(TRIM('Roster'!B265&amp;'Roster'!C265)&lt;&gt;"",1,0)</f>
        <v/>
      </c>
      <c r="AF265">
        <f>IF(AE265=1,LOWER(A265),"#")</f>
        <v/>
      </c>
      <c r="AG265">
        <f>IF(AE265=1,LOWER(TRIM(TRIM('Roster'!C265)&amp;", "&amp;TRIM('Roster'!B265))),"#")</f>
        <v/>
      </c>
      <c r="AH265">
        <f>IF(AND(AE265=1,TRIM('Roster'!F265)&lt;&gt;""),LOWER(TRIM('Roster'!F265)),"#")</f>
        <v/>
      </c>
      <c r="AI265">
        <f>IF(AE265=1,IF(MATCH(B265,$B$2:$B$701,0)=ROW()-1,1,0),0)</f>
        <v/>
      </c>
      <c r="AJ265">
        <f>AJ264+AI265</f>
        <v/>
      </c>
      <c r="AK265">
        <f>IF(AE265=1,D265+(1000-ROW())/10^7,-1)</f>
        <v/>
      </c>
      <c r="AL265">
        <f>IF(AE265=1,TRIM('Roster'!B265)&amp;" "&amp;LEFT(TRIM('Roster'!C265),1)&amp;".","")</f>
        <v/>
      </c>
      <c r="AM265">
        <f>IF(AE265=1,TRIM('Roster'!C265)&amp;", "&amp;TRIM('Roster'!B265)&amp;" ("&amp;B265&amp;") #"&amp;AD265,"")</f>
        <v/>
      </c>
      <c r="AN265">
        <f>IF(AE265=1,TRIM('Roster'!E265),"")</f>
        <v/>
      </c>
      <c r="AO265">
        <f>IF(AE265=1,ROUND(SUMIFS('All Donations'!$S$2:$S$4001,'All Donations'!$R$2:$R$4001,AD265,'All Donations'!$T$2:$T$4001,"&gt;="&amp;'Settings'!$C$23,'All Donations'!$T$2:$T$4001,"&lt;="&amp;'Settings'!$D$23),2),0)</f>
        <v/>
      </c>
      <c r="AQ265">
        <f>IF(AE265=1,ROUND(SUMIFS('All Donations'!$S$2:$S$4001,'All Donations'!$R$2:$R$4001,AD265,'All Donations'!$T$2:$T$4001,"&gt;="&amp;'Settings'!$C$25,'All Donations'!$T$2:$T$4001,"&lt;="&amp;'Settings'!$D$25),2),0)</f>
        <v/>
      </c>
      <c r="AR265">
        <f>IF(AE265=1,ROUND(SUMIFS('All Donations'!$S$2:$S$4001,'All Donations'!$R$2:$R$4001,AD265,'All Donations'!$T$2:$T$4001,"&gt;="&amp;'Settings'!$C$26,'All Donations'!$T$2:$T$4001,"&lt;="&amp;'Settings'!$D$26),2),0)</f>
        <v/>
      </c>
      <c r="AS265">
        <f>IF(AE265=1,ROUND(SUMIFS('All Donations'!$S$2:$S$4001,'All Donations'!$R$2:$R$4001,AD265,'All Donations'!$T$2:$T$4001,"&lt;="&amp;'Settings'!$D$27),2),0)</f>
        <v/>
      </c>
      <c r="AT265">
        <f>IF(AE265=1,ROUND(SUMIFS('All Donations'!$S$2:$S$4001,'All Donations'!$R$2:$R$4001,AD265,'All Donations'!$T$2:$T$4001,"&gt;="&amp;'Settings'!$C$28,'All Donations'!$T$2:$T$4001,"&lt;="&amp;'Settings'!$D$28),2),0)</f>
        <v/>
      </c>
      <c r="AU265">
        <f>IF(AE265=1,ROUND(SUMIFS('All Donations'!$S$2:$S$4001,'All Donations'!$R$2:$R$4001,AD265,'All Donations'!$T$2:$T$4001,"&gt;="&amp;'Settings'!$C$29,'All Donations'!$T$2:$T$4001,"&lt;="&amp;'Settings'!$D$29),2),0)</f>
        <v/>
      </c>
      <c r="AV265">
        <f>IF(AE265=1,ROUND(SUMIFS('All Donations'!$S$2:$S$4001,'All Donations'!$R$2:$R$4001,AD265,'All Donations'!$T$2:$T$4001,"&lt;="&amp;'Settings'!$D$30),2),0)</f>
        <v/>
      </c>
      <c r="AZ265">
        <f>IF(AE265=1,ROUND(SUMIFS('All Donations'!$S$2:$S$4001,'All Donations'!$R$2:$R$4001,AD265,'All Donations'!$T$2:$T$4001,"&lt;="&amp;'Settings'!$D$34),2),0)</f>
        <v/>
      </c>
    </row>
    <row r="266">
      <c r="A266">
        <f>IF(AE266=1,TRIM(TRIM('Roster'!B266)&amp;" "&amp;TRIM('Roster'!C266)),"")</f>
        <v/>
      </c>
      <c r="B266">
        <f>IF(AE266=1,IF(AN266="","(no teacher)",AN266&amp;" – "&amp;C266),"")</f>
        <v/>
      </c>
      <c r="C266">
        <f>IF(AE266=1,TRIM('Roster'!D266&amp;""),"")</f>
        <v/>
      </c>
      <c r="D266" s="48">
        <f>IF(AE266=1,ROUND(SUMIFS('All Donations'!$S$2:$S$4001,'All Donations'!$R$2:$R$4001,AD266),2),"")</f>
        <v/>
      </c>
      <c r="E266" s="48">
        <f>IF(AE266=1,ROUND(SUMIFS('All Donations'!$S$2:$S$4001,'All Donations'!$R$2:$R$4001,AD266,'All Donations'!$G$2:$G$4001,"OneCause"),2),"")</f>
        <v/>
      </c>
      <c r="F266" s="48">
        <f>IF(AE266=1,D266-E266,"")</f>
        <v/>
      </c>
      <c r="G266">
        <f>IF(AE266=1,COUNTIFS('All Donations'!$R$2:$R$4001,AD266,'All Donations'!$H$2:$H$4001,"OK"),"")</f>
        <v/>
      </c>
      <c r="H266">
        <f>IF(AE266&lt;&gt;1,"",IF(D266&gt;0,"Yes",""))</f>
        <v/>
      </c>
      <c r="I266" s="49">
        <f>IF(OR($AE266&lt;&gt;1,I$1=""),"",SUMIFS('All Donations'!$S$2:$S$4001,'All Donations'!$R$2:$R$4001,$AD266,'All Donations'!$T$2:$T$4001,I$1))</f>
        <v/>
      </c>
      <c r="J266" s="49">
        <f>IF(OR($AE266&lt;&gt;1,J$1=""),"",SUMIFS('All Donations'!$S$2:$S$4001,'All Donations'!$R$2:$R$4001,$AD266,'All Donations'!$T$2:$T$4001,J$1))</f>
        <v/>
      </c>
      <c r="K266" s="49">
        <f>IF(OR($AE266&lt;&gt;1,K$1=""),"",SUMIFS('All Donations'!$S$2:$S$4001,'All Donations'!$R$2:$R$4001,$AD266,'All Donations'!$T$2:$T$4001,K$1))</f>
        <v/>
      </c>
      <c r="L266" s="49">
        <f>IF(OR($AE266&lt;&gt;1,L$1=""),"",SUMIFS('All Donations'!$S$2:$S$4001,'All Donations'!$R$2:$R$4001,$AD266,'All Donations'!$T$2:$T$4001,L$1))</f>
        <v/>
      </c>
      <c r="M266" s="49">
        <f>IF(OR($AE266&lt;&gt;1,M$1=""),"",SUMIFS('All Donations'!$S$2:$S$4001,'All Donations'!$R$2:$R$4001,$AD266,'All Donations'!$T$2:$T$4001,M$1))</f>
        <v/>
      </c>
      <c r="N266" s="49">
        <f>IF(OR($AE266&lt;&gt;1,N$1=""),"",SUMIFS('All Donations'!$S$2:$S$4001,'All Donations'!$R$2:$R$4001,$AD266,'All Donations'!$T$2:$T$4001,N$1))</f>
        <v/>
      </c>
      <c r="O266" s="49">
        <f>IF(OR($AE266&lt;&gt;1,O$1=""),"",SUMIFS('All Donations'!$S$2:$S$4001,'All Donations'!$R$2:$R$4001,$AD266,'All Donations'!$T$2:$T$4001,O$1))</f>
        <v/>
      </c>
      <c r="P266" s="49">
        <f>IF(OR($AE266&lt;&gt;1,P$1=""),"",SUMIFS('All Donations'!$S$2:$S$4001,'All Donations'!$R$2:$R$4001,$AD266,'All Donations'!$T$2:$T$4001,P$1))</f>
        <v/>
      </c>
      <c r="Q266" s="49">
        <f>IF(OR($AE266&lt;&gt;1,Q$1=""),"",SUMIFS('All Donations'!$S$2:$S$4001,'All Donations'!$R$2:$R$4001,$AD266,'All Donations'!$T$2:$T$4001,Q$1))</f>
        <v/>
      </c>
      <c r="R266" s="49">
        <f>IF(OR($AE266&lt;&gt;1,R$1=""),"",SUMIFS('All Donations'!$S$2:$S$4001,'All Donations'!$R$2:$R$4001,$AD266,'All Donations'!$T$2:$T$4001,R$1))</f>
        <v/>
      </c>
      <c r="S266" s="49">
        <f>IF(OR($AE266&lt;&gt;1,S$1=""),"",SUMIFS('All Donations'!$S$2:$S$4001,'All Donations'!$R$2:$R$4001,$AD266,'All Donations'!$T$2:$T$4001,S$1))</f>
        <v/>
      </c>
      <c r="T266" s="49">
        <f>IF(OR($AE266&lt;&gt;1,T$1=""),"",SUMIFS('All Donations'!$S$2:$S$4001,'All Donations'!$R$2:$R$4001,$AD266,'All Donations'!$T$2:$T$4001,T$1))</f>
        <v/>
      </c>
      <c r="U266" s="49">
        <f>IF(OR($AE266&lt;&gt;1,U$1=""),"",SUMIFS('All Donations'!$S$2:$S$4001,'All Donations'!$R$2:$R$4001,$AD266,'All Donations'!$T$2:$T$4001,U$1))</f>
        <v/>
      </c>
      <c r="V266" s="49">
        <f>IF(OR($AE266&lt;&gt;1,V$1=""),"",SUMIFS('All Donations'!$S$2:$S$4001,'All Donations'!$R$2:$R$4001,$AD266,'All Donations'!$T$2:$T$4001,V$1))</f>
        <v/>
      </c>
      <c r="W266" s="49">
        <f>IF(OR($AE266&lt;&gt;1,W$1=""),"",SUMIFS('All Donations'!$S$2:$S$4001,'All Donations'!$R$2:$R$4001,$AD266,'All Donations'!$T$2:$T$4001,W$1))</f>
        <v/>
      </c>
      <c r="X266" s="49">
        <f>IF(OR($AE266&lt;&gt;1,X$1=""),"",SUMIFS('All Donations'!$S$2:$S$4001,'All Donations'!$R$2:$R$4001,$AD266,'All Donations'!$T$2:$T$4001,X$1))</f>
        <v/>
      </c>
      <c r="Y266" s="49">
        <f>IF(OR($AE266&lt;&gt;1,Y$1=""),"",SUMIFS('All Donations'!$S$2:$S$4001,'All Donations'!$R$2:$R$4001,$AD266,'All Donations'!$T$2:$T$4001,Y$1))</f>
        <v/>
      </c>
      <c r="Z266" s="49">
        <f>IF(OR($AE266&lt;&gt;1,Z$1=""),"",SUMIFS('All Donations'!$S$2:$S$4001,'All Donations'!$R$2:$R$4001,$AD266,'All Donations'!$T$2:$T$4001,Z$1))</f>
        <v/>
      </c>
      <c r="AA266" s="49">
        <f>IF(OR($AE266&lt;&gt;1,AA$1=""),"",SUMIFS('All Donations'!$S$2:$S$4001,'All Donations'!$R$2:$R$4001,$AD266,'All Donations'!$T$2:$T$4001,AA$1))</f>
        <v/>
      </c>
      <c r="AB266" s="49">
        <f>IF(OR($AE266&lt;&gt;1,AB$1=""),"",SUMIFS('All Donations'!$S$2:$S$4001,'All Donations'!$R$2:$R$4001,$AD266,'All Donations'!$T$2:$T$4001,AB$1))</f>
        <v/>
      </c>
      <c r="AC266" s="49">
        <f>IF(OR($AE266&lt;&gt;1,AC$1=""),"",SUMIFS('All Donations'!$S$2:$S$4001,'All Donations'!$R$2:$R$4001,$AD266,'All Donations'!$T$2:$T$4001,AC$1))</f>
        <v/>
      </c>
      <c r="AD266">
        <f>IF(AE266=1,'Roster'!A266,"")</f>
        <v/>
      </c>
      <c r="AE266">
        <f>IF(TRIM('Roster'!B266&amp;'Roster'!C266)&lt;&gt;"",1,0)</f>
        <v/>
      </c>
      <c r="AF266">
        <f>IF(AE266=1,LOWER(A266),"#")</f>
        <v/>
      </c>
      <c r="AG266">
        <f>IF(AE266=1,LOWER(TRIM(TRIM('Roster'!C266)&amp;", "&amp;TRIM('Roster'!B266))),"#")</f>
        <v/>
      </c>
      <c r="AH266">
        <f>IF(AND(AE266=1,TRIM('Roster'!F266)&lt;&gt;""),LOWER(TRIM('Roster'!F266)),"#")</f>
        <v/>
      </c>
      <c r="AI266">
        <f>IF(AE266=1,IF(MATCH(B266,$B$2:$B$701,0)=ROW()-1,1,0),0)</f>
        <v/>
      </c>
      <c r="AJ266">
        <f>AJ265+AI266</f>
        <v/>
      </c>
      <c r="AK266">
        <f>IF(AE266=1,D266+(1000-ROW())/10^7,-1)</f>
        <v/>
      </c>
      <c r="AL266">
        <f>IF(AE266=1,TRIM('Roster'!B266)&amp;" "&amp;LEFT(TRIM('Roster'!C266),1)&amp;".","")</f>
        <v/>
      </c>
      <c r="AM266">
        <f>IF(AE266=1,TRIM('Roster'!C266)&amp;", "&amp;TRIM('Roster'!B266)&amp;" ("&amp;B266&amp;") #"&amp;AD266,"")</f>
        <v/>
      </c>
      <c r="AN266">
        <f>IF(AE266=1,TRIM('Roster'!E266),"")</f>
        <v/>
      </c>
      <c r="AO266">
        <f>IF(AE266=1,ROUND(SUMIFS('All Donations'!$S$2:$S$4001,'All Donations'!$R$2:$R$4001,AD266,'All Donations'!$T$2:$T$4001,"&gt;="&amp;'Settings'!$C$23,'All Donations'!$T$2:$T$4001,"&lt;="&amp;'Settings'!$D$23),2),0)</f>
        <v/>
      </c>
      <c r="AQ266">
        <f>IF(AE266=1,ROUND(SUMIFS('All Donations'!$S$2:$S$4001,'All Donations'!$R$2:$R$4001,AD266,'All Donations'!$T$2:$T$4001,"&gt;="&amp;'Settings'!$C$25,'All Donations'!$T$2:$T$4001,"&lt;="&amp;'Settings'!$D$25),2),0)</f>
        <v/>
      </c>
      <c r="AR266">
        <f>IF(AE266=1,ROUND(SUMIFS('All Donations'!$S$2:$S$4001,'All Donations'!$R$2:$R$4001,AD266,'All Donations'!$T$2:$T$4001,"&gt;="&amp;'Settings'!$C$26,'All Donations'!$T$2:$T$4001,"&lt;="&amp;'Settings'!$D$26),2),0)</f>
        <v/>
      </c>
      <c r="AS266">
        <f>IF(AE266=1,ROUND(SUMIFS('All Donations'!$S$2:$S$4001,'All Donations'!$R$2:$R$4001,AD266,'All Donations'!$T$2:$T$4001,"&lt;="&amp;'Settings'!$D$27),2),0)</f>
        <v/>
      </c>
      <c r="AT266">
        <f>IF(AE266=1,ROUND(SUMIFS('All Donations'!$S$2:$S$4001,'All Donations'!$R$2:$R$4001,AD266,'All Donations'!$T$2:$T$4001,"&gt;="&amp;'Settings'!$C$28,'All Donations'!$T$2:$T$4001,"&lt;="&amp;'Settings'!$D$28),2),0)</f>
        <v/>
      </c>
      <c r="AU266">
        <f>IF(AE266=1,ROUND(SUMIFS('All Donations'!$S$2:$S$4001,'All Donations'!$R$2:$R$4001,AD266,'All Donations'!$T$2:$T$4001,"&gt;="&amp;'Settings'!$C$29,'All Donations'!$T$2:$T$4001,"&lt;="&amp;'Settings'!$D$29),2),0)</f>
        <v/>
      </c>
      <c r="AV266">
        <f>IF(AE266=1,ROUND(SUMIFS('All Donations'!$S$2:$S$4001,'All Donations'!$R$2:$R$4001,AD266,'All Donations'!$T$2:$T$4001,"&lt;="&amp;'Settings'!$D$30),2),0)</f>
        <v/>
      </c>
      <c r="AZ266">
        <f>IF(AE266=1,ROUND(SUMIFS('All Donations'!$S$2:$S$4001,'All Donations'!$R$2:$R$4001,AD266,'All Donations'!$T$2:$T$4001,"&lt;="&amp;'Settings'!$D$34),2),0)</f>
        <v/>
      </c>
    </row>
    <row r="267">
      <c r="A267">
        <f>IF(AE267=1,TRIM(TRIM('Roster'!B267)&amp;" "&amp;TRIM('Roster'!C267)),"")</f>
        <v/>
      </c>
      <c r="B267">
        <f>IF(AE267=1,IF(AN267="","(no teacher)",AN267&amp;" – "&amp;C267),"")</f>
        <v/>
      </c>
      <c r="C267">
        <f>IF(AE267=1,TRIM('Roster'!D267&amp;""),"")</f>
        <v/>
      </c>
      <c r="D267" s="48">
        <f>IF(AE267=1,ROUND(SUMIFS('All Donations'!$S$2:$S$4001,'All Donations'!$R$2:$R$4001,AD267),2),"")</f>
        <v/>
      </c>
      <c r="E267" s="48">
        <f>IF(AE267=1,ROUND(SUMIFS('All Donations'!$S$2:$S$4001,'All Donations'!$R$2:$R$4001,AD267,'All Donations'!$G$2:$G$4001,"OneCause"),2),"")</f>
        <v/>
      </c>
      <c r="F267" s="48">
        <f>IF(AE267=1,D267-E267,"")</f>
        <v/>
      </c>
      <c r="G267">
        <f>IF(AE267=1,COUNTIFS('All Donations'!$R$2:$R$4001,AD267,'All Donations'!$H$2:$H$4001,"OK"),"")</f>
        <v/>
      </c>
      <c r="H267">
        <f>IF(AE267&lt;&gt;1,"",IF(D267&gt;0,"Yes",""))</f>
        <v/>
      </c>
      <c r="I267" s="49">
        <f>IF(OR($AE267&lt;&gt;1,I$1=""),"",SUMIFS('All Donations'!$S$2:$S$4001,'All Donations'!$R$2:$R$4001,$AD267,'All Donations'!$T$2:$T$4001,I$1))</f>
        <v/>
      </c>
      <c r="J267" s="49">
        <f>IF(OR($AE267&lt;&gt;1,J$1=""),"",SUMIFS('All Donations'!$S$2:$S$4001,'All Donations'!$R$2:$R$4001,$AD267,'All Donations'!$T$2:$T$4001,J$1))</f>
        <v/>
      </c>
      <c r="K267" s="49">
        <f>IF(OR($AE267&lt;&gt;1,K$1=""),"",SUMIFS('All Donations'!$S$2:$S$4001,'All Donations'!$R$2:$R$4001,$AD267,'All Donations'!$T$2:$T$4001,K$1))</f>
        <v/>
      </c>
      <c r="L267" s="49">
        <f>IF(OR($AE267&lt;&gt;1,L$1=""),"",SUMIFS('All Donations'!$S$2:$S$4001,'All Donations'!$R$2:$R$4001,$AD267,'All Donations'!$T$2:$T$4001,L$1))</f>
        <v/>
      </c>
      <c r="M267" s="49">
        <f>IF(OR($AE267&lt;&gt;1,M$1=""),"",SUMIFS('All Donations'!$S$2:$S$4001,'All Donations'!$R$2:$R$4001,$AD267,'All Donations'!$T$2:$T$4001,M$1))</f>
        <v/>
      </c>
      <c r="N267" s="49">
        <f>IF(OR($AE267&lt;&gt;1,N$1=""),"",SUMIFS('All Donations'!$S$2:$S$4001,'All Donations'!$R$2:$R$4001,$AD267,'All Donations'!$T$2:$T$4001,N$1))</f>
        <v/>
      </c>
      <c r="O267" s="49">
        <f>IF(OR($AE267&lt;&gt;1,O$1=""),"",SUMIFS('All Donations'!$S$2:$S$4001,'All Donations'!$R$2:$R$4001,$AD267,'All Donations'!$T$2:$T$4001,O$1))</f>
        <v/>
      </c>
      <c r="P267" s="49">
        <f>IF(OR($AE267&lt;&gt;1,P$1=""),"",SUMIFS('All Donations'!$S$2:$S$4001,'All Donations'!$R$2:$R$4001,$AD267,'All Donations'!$T$2:$T$4001,P$1))</f>
        <v/>
      </c>
      <c r="Q267" s="49">
        <f>IF(OR($AE267&lt;&gt;1,Q$1=""),"",SUMIFS('All Donations'!$S$2:$S$4001,'All Donations'!$R$2:$R$4001,$AD267,'All Donations'!$T$2:$T$4001,Q$1))</f>
        <v/>
      </c>
      <c r="R267" s="49">
        <f>IF(OR($AE267&lt;&gt;1,R$1=""),"",SUMIFS('All Donations'!$S$2:$S$4001,'All Donations'!$R$2:$R$4001,$AD267,'All Donations'!$T$2:$T$4001,R$1))</f>
        <v/>
      </c>
      <c r="S267" s="49">
        <f>IF(OR($AE267&lt;&gt;1,S$1=""),"",SUMIFS('All Donations'!$S$2:$S$4001,'All Donations'!$R$2:$R$4001,$AD267,'All Donations'!$T$2:$T$4001,S$1))</f>
        <v/>
      </c>
      <c r="T267" s="49">
        <f>IF(OR($AE267&lt;&gt;1,T$1=""),"",SUMIFS('All Donations'!$S$2:$S$4001,'All Donations'!$R$2:$R$4001,$AD267,'All Donations'!$T$2:$T$4001,T$1))</f>
        <v/>
      </c>
      <c r="U267" s="49">
        <f>IF(OR($AE267&lt;&gt;1,U$1=""),"",SUMIFS('All Donations'!$S$2:$S$4001,'All Donations'!$R$2:$R$4001,$AD267,'All Donations'!$T$2:$T$4001,U$1))</f>
        <v/>
      </c>
      <c r="V267" s="49">
        <f>IF(OR($AE267&lt;&gt;1,V$1=""),"",SUMIFS('All Donations'!$S$2:$S$4001,'All Donations'!$R$2:$R$4001,$AD267,'All Donations'!$T$2:$T$4001,V$1))</f>
        <v/>
      </c>
      <c r="W267" s="49">
        <f>IF(OR($AE267&lt;&gt;1,W$1=""),"",SUMIFS('All Donations'!$S$2:$S$4001,'All Donations'!$R$2:$R$4001,$AD267,'All Donations'!$T$2:$T$4001,W$1))</f>
        <v/>
      </c>
      <c r="X267" s="49">
        <f>IF(OR($AE267&lt;&gt;1,X$1=""),"",SUMIFS('All Donations'!$S$2:$S$4001,'All Donations'!$R$2:$R$4001,$AD267,'All Donations'!$T$2:$T$4001,X$1))</f>
        <v/>
      </c>
      <c r="Y267" s="49">
        <f>IF(OR($AE267&lt;&gt;1,Y$1=""),"",SUMIFS('All Donations'!$S$2:$S$4001,'All Donations'!$R$2:$R$4001,$AD267,'All Donations'!$T$2:$T$4001,Y$1))</f>
        <v/>
      </c>
      <c r="Z267" s="49">
        <f>IF(OR($AE267&lt;&gt;1,Z$1=""),"",SUMIFS('All Donations'!$S$2:$S$4001,'All Donations'!$R$2:$R$4001,$AD267,'All Donations'!$T$2:$T$4001,Z$1))</f>
        <v/>
      </c>
      <c r="AA267" s="49">
        <f>IF(OR($AE267&lt;&gt;1,AA$1=""),"",SUMIFS('All Donations'!$S$2:$S$4001,'All Donations'!$R$2:$R$4001,$AD267,'All Donations'!$T$2:$T$4001,AA$1))</f>
        <v/>
      </c>
      <c r="AB267" s="49">
        <f>IF(OR($AE267&lt;&gt;1,AB$1=""),"",SUMIFS('All Donations'!$S$2:$S$4001,'All Donations'!$R$2:$R$4001,$AD267,'All Donations'!$T$2:$T$4001,AB$1))</f>
        <v/>
      </c>
      <c r="AC267" s="49">
        <f>IF(OR($AE267&lt;&gt;1,AC$1=""),"",SUMIFS('All Donations'!$S$2:$S$4001,'All Donations'!$R$2:$R$4001,$AD267,'All Donations'!$T$2:$T$4001,AC$1))</f>
        <v/>
      </c>
      <c r="AD267">
        <f>IF(AE267=1,'Roster'!A267,"")</f>
        <v/>
      </c>
      <c r="AE267">
        <f>IF(TRIM('Roster'!B267&amp;'Roster'!C267)&lt;&gt;"",1,0)</f>
        <v/>
      </c>
      <c r="AF267">
        <f>IF(AE267=1,LOWER(A267),"#")</f>
        <v/>
      </c>
      <c r="AG267">
        <f>IF(AE267=1,LOWER(TRIM(TRIM('Roster'!C267)&amp;", "&amp;TRIM('Roster'!B267))),"#")</f>
        <v/>
      </c>
      <c r="AH267">
        <f>IF(AND(AE267=1,TRIM('Roster'!F267)&lt;&gt;""),LOWER(TRIM('Roster'!F267)),"#")</f>
        <v/>
      </c>
      <c r="AI267">
        <f>IF(AE267=1,IF(MATCH(B267,$B$2:$B$701,0)=ROW()-1,1,0),0)</f>
        <v/>
      </c>
      <c r="AJ267">
        <f>AJ266+AI267</f>
        <v/>
      </c>
      <c r="AK267">
        <f>IF(AE267=1,D267+(1000-ROW())/10^7,-1)</f>
        <v/>
      </c>
      <c r="AL267">
        <f>IF(AE267=1,TRIM('Roster'!B267)&amp;" "&amp;LEFT(TRIM('Roster'!C267),1)&amp;".","")</f>
        <v/>
      </c>
      <c r="AM267">
        <f>IF(AE267=1,TRIM('Roster'!C267)&amp;", "&amp;TRIM('Roster'!B267)&amp;" ("&amp;B267&amp;") #"&amp;AD267,"")</f>
        <v/>
      </c>
      <c r="AN267">
        <f>IF(AE267=1,TRIM('Roster'!E267),"")</f>
        <v/>
      </c>
      <c r="AO267">
        <f>IF(AE267=1,ROUND(SUMIFS('All Donations'!$S$2:$S$4001,'All Donations'!$R$2:$R$4001,AD267,'All Donations'!$T$2:$T$4001,"&gt;="&amp;'Settings'!$C$23,'All Donations'!$T$2:$T$4001,"&lt;="&amp;'Settings'!$D$23),2),0)</f>
        <v/>
      </c>
      <c r="AQ267">
        <f>IF(AE267=1,ROUND(SUMIFS('All Donations'!$S$2:$S$4001,'All Donations'!$R$2:$R$4001,AD267,'All Donations'!$T$2:$T$4001,"&gt;="&amp;'Settings'!$C$25,'All Donations'!$T$2:$T$4001,"&lt;="&amp;'Settings'!$D$25),2),0)</f>
        <v/>
      </c>
      <c r="AR267">
        <f>IF(AE267=1,ROUND(SUMIFS('All Donations'!$S$2:$S$4001,'All Donations'!$R$2:$R$4001,AD267,'All Donations'!$T$2:$T$4001,"&gt;="&amp;'Settings'!$C$26,'All Donations'!$T$2:$T$4001,"&lt;="&amp;'Settings'!$D$26),2),0)</f>
        <v/>
      </c>
      <c r="AS267">
        <f>IF(AE267=1,ROUND(SUMIFS('All Donations'!$S$2:$S$4001,'All Donations'!$R$2:$R$4001,AD267,'All Donations'!$T$2:$T$4001,"&lt;="&amp;'Settings'!$D$27),2),0)</f>
        <v/>
      </c>
      <c r="AT267">
        <f>IF(AE267=1,ROUND(SUMIFS('All Donations'!$S$2:$S$4001,'All Donations'!$R$2:$R$4001,AD267,'All Donations'!$T$2:$T$4001,"&gt;="&amp;'Settings'!$C$28,'All Donations'!$T$2:$T$4001,"&lt;="&amp;'Settings'!$D$28),2),0)</f>
        <v/>
      </c>
      <c r="AU267">
        <f>IF(AE267=1,ROUND(SUMIFS('All Donations'!$S$2:$S$4001,'All Donations'!$R$2:$R$4001,AD267,'All Donations'!$T$2:$T$4001,"&gt;="&amp;'Settings'!$C$29,'All Donations'!$T$2:$T$4001,"&lt;="&amp;'Settings'!$D$29),2),0)</f>
        <v/>
      </c>
      <c r="AV267">
        <f>IF(AE267=1,ROUND(SUMIFS('All Donations'!$S$2:$S$4001,'All Donations'!$R$2:$R$4001,AD267,'All Donations'!$T$2:$T$4001,"&lt;="&amp;'Settings'!$D$30),2),0)</f>
        <v/>
      </c>
      <c r="AZ267">
        <f>IF(AE267=1,ROUND(SUMIFS('All Donations'!$S$2:$S$4001,'All Donations'!$R$2:$R$4001,AD267,'All Donations'!$T$2:$T$4001,"&lt;="&amp;'Settings'!$D$34),2),0)</f>
        <v/>
      </c>
    </row>
    <row r="268">
      <c r="A268">
        <f>IF(AE268=1,TRIM(TRIM('Roster'!B268)&amp;" "&amp;TRIM('Roster'!C268)),"")</f>
        <v/>
      </c>
      <c r="B268">
        <f>IF(AE268=1,IF(AN268="","(no teacher)",AN268&amp;" – "&amp;C268),"")</f>
        <v/>
      </c>
      <c r="C268">
        <f>IF(AE268=1,TRIM('Roster'!D268&amp;""),"")</f>
        <v/>
      </c>
      <c r="D268" s="48">
        <f>IF(AE268=1,ROUND(SUMIFS('All Donations'!$S$2:$S$4001,'All Donations'!$R$2:$R$4001,AD268),2),"")</f>
        <v/>
      </c>
      <c r="E268" s="48">
        <f>IF(AE268=1,ROUND(SUMIFS('All Donations'!$S$2:$S$4001,'All Donations'!$R$2:$R$4001,AD268,'All Donations'!$G$2:$G$4001,"OneCause"),2),"")</f>
        <v/>
      </c>
      <c r="F268" s="48">
        <f>IF(AE268=1,D268-E268,"")</f>
        <v/>
      </c>
      <c r="G268">
        <f>IF(AE268=1,COUNTIFS('All Donations'!$R$2:$R$4001,AD268,'All Donations'!$H$2:$H$4001,"OK"),"")</f>
        <v/>
      </c>
      <c r="H268">
        <f>IF(AE268&lt;&gt;1,"",IF(D268&gt;0,"Yes",""))</f>
        <v/>
      </c>
      <c r="I268" s="49">
        <f>IF(OR($AE268&lt;&gt;1,I$1=""),"",SUMIFS('All Donations'!$S$2:$S$4001,'All Donations'!$R$2:$R$4001,$AD268,'All Donations'!$T$2:$T$4001,I$1))</f>
        <v/>
      </c>
      <c r="J268" s="49">
        <f>IF(OR($AE268&lt;&gt;1,J$1=""),"",SUMIFS('All Donations'!$S$2:$S$4001,'All Donations'!$R$2:$R$4001,$AD268,'All Donations'!$T$2:$T$4001,J$1))</f>
        <v/>
      </c>
      <c r="K268" s="49">
        <f>IF(OR($AE268&lt;&gt;1,K$1=""),"",SUMIFS('All Donations'!$S$2:$S$4001,'All Donations'!$R$2:$R$4001,$AD268,'All Donations'!$T$2:$T$4001,K$1))</f>
        <v/>
      </c>
      <c r="L268" s="49">
        <f>IF(OR($AE268&lt;&gt;1,L$1=""),"",SUMIFS('All Donations'!$S$2:$S$4001,'All Donations'!$R$2:$R$4001,$AD268,'All Donations'!$T$2:$T$4001,L$1))</f>
        <v/>
      </c>
      <c r="M268" s="49">
        <f>IF(OR($AE268&lt;&gt;1,M$1=""),"",SUMIFS('All Donations'!$S$2:$S$4001,'All Donations'!$R$2:$R$4001,$AD268,'All Donations'!$T$2:$T$4001,M$1))</f>
        <v/>
      </c>
      <c r="N268" s="49">
        <f>IF(OR($AE268&lt;&gt;1,N$1=""),"",SUMIFS('All Donations'!$S$2:$S$4001,'All Donations'!$R$2:$R$4001,$AD268,'All Donations'!$T$2:$T$4001,N$1))</f>
        <v/>
      </c>
      <c r="O268" s="49">
        <f>IF(OR($AE268&lt;&gt;1,O$1=""),"",SUMIFS('All Donations'!$S$2:$S$4001,'All Donations'!$R$2:$R$4001,$AD268,'All Donations'!$T$2:$T$4001,O$1))</f>
        <v/>
      </c>
      <c r="P268" s="49">
        <f>IF(OR($AE268&lt;&gt;1,P$1=""),"",SUMIFS('All Donations'!$S$2:$S$4001,'All Donations'!$R$2:$R$4001,$AD268,'All Donations'!$T$2:$T$4001,P$1))</f>
        <v/>
      </c>
      <c r="Q268" s="49">
        <f>IF(OR($AE268&lt;&gt;1,Q$1=""),"",SUMIFS('All Donations'!$S$2:$S$4001,'All Donations'!$R$2:$R$4001,$AD268,'All Donations'!$T$2:$T$4001,Q$1))</f>
        <v/>
      </c>
      <c r="R268" s="49">
        <f>IF(OR($AE268&lt;&gt;1,R$1=""),"",SUMIFS('All Donations'!$S$2:$S$4001,'All Donations'!$R$2:$R$4001,$AD268,'All Donations'!$T$2:$T$4001,R$1))</f>
        <v/>
      </c>
      <c r="S268" s="49">
        <f>IF(OR($AE268&lt;&gt;1,S$1=""),"",SUMIFS('All Donations'!$S$2:$S$4001,'All Donations'!$R$2:$R$4001,$AD268,'All Donations'!$T$2:$T$4001,S$1))</f>
        <v/>
      </c>
      <c r="T268" s="49">
        <f>IF(OR($AE268&lt;&gt;1,T$1=""),"",SUMIFS('All Donations'!$S$2:$S$4001,'All Donations'!$R$2:$R$4001,$AD268,'All Donations'!$T$2:$T$4001,T$1))</f>
        <v/>
      </c>
      <c r="U268" s="49">
        <f>IF(OR($AE268&lt;&gt;1,U$1=""),"",SUMIFS('All Donations'!$S$2:$S$4001,'All Donations'!$R$2:$R$4001,$AD268,'All Donations'!$T$2:$T$4001,U$1))</f>
        <v/>
      </c>
      <c r="V268" s="49">
        <f>IF(OR($AE268&lt;&gt;1,V$1=""),"",SUMIFS('All Donations'!$S$2:$S$4001,'All Donations'!$R$2:$R$4001,$AD268,'All Donations'!$T$2:$T$4001,V$1))</f>
        <v/>
      </c>
      <c r="W268" s="49">
        <f>IF(OR($AE268&lt;&gt;1,W$1=""),"",SUMIFS('All Donations'!$S$2:$S$4001,'All Donations'!$R$2:$R$4001,$AD268,'All Donations'!$T$2:$T$4001,W$1))</f>
        <v/>
      </c>
      <c r="X268" s="49">
        <f>IF(OR($AE268&lt;&gt;1,X$1=""),"",SUMIFS('All Donations'!$S$2:$S$4001,'All Donations'!$R$2:$R$4001,$AD268,'All Donations'!$T$2:$T$4001,X$1))</f>
        <v/>
      </c>
      <c r="Y268" s="49">
        <f>IF(OR($AE268&lt;&gt;1,Y$1=""),"",SUMIFS('All Donations'!$S$2:$S$4001,'All Donations'!$R$2:$R$4001,$AD268,'All Donations'!$T$2:$T$4001,Y$1))</f>
        <v/>
      </c>
      <c r="Z268" s="49">
        <f>IF(OR($AE268&lt;&gt;1,Z$1=""),"",SUMIFS('All Donations'!$S$2:$S$4001,'All Donations'!$R$2:$R$4001,$AD268,'All Donations'!$T$2:$T$4001,Z$1))</f>
        <v/>
      </c>
      <c r="AA268" s="49">
        <f>IF(OR($AE268&lt;&gt;1,AA$1=""),"",SUMIFS('All Donations'!$S$2:$S$4001,'All Donations'!$R$2:$R$4001,$AD268,'All Donations'!$T$2:$T$4001,AA$1))</f>
        <v/>
      </c>
      <c r="AB268" s="49">
        <f>IF(OR($AE268&lt;&gt;1,AB$1=""),"",SUMIFS('All Donations'!$S$2:$S$4001,'All Donations'!$R$2:$R$4001,$AD268,'All Donations'!$T$2:$T$4001,AB$1))</f>
        <v/>
      </c>
      <c r="AC268" s="49">
        <f>IF(OR($AE268&lt;&gt;1,AC$1=""),"",SUMIFS('All Donations'!$S$2:$S$4001,'All Donations'!$R$2:$R$4001,$AD268,'All Donations'!$T$2:$T$4001,AC$1))</f>
        <v/>
      </c>
      <c r="AD268">
        <f>IF(AE268=1,'Roster'!A268,"")</f>
        <v/>
      </c>
      <c r="AE268">
        <f>IF(TRIM('Roster'!B268&amp;'Roster'!C268)&lt;&gt;"",1,0)</f>
        <v/>
      </c>
      <c r="AF268">
        <f>IF(AE268=1,LOWER(A268),"#")</f>
        <v/>
      </c>
      <c r="AG268">
        <f>IF(AE268=1,LOWER(TRIM(TRIM('Roster'!C268)&amp;", "&amp;TRIM('Roster'!B268))),"#")</f>
        <v/>
      </c>
      <c r="AH268">
        <f>IF(AND(AE268=1,TRIM('Roster'!F268)&lt;&gt;""),LOWER(TRIM('Roster'!F268)),"#")</f>
        <v/>
      </c>
      <c r="AI268">
        <f>IF(AE268=1,IF(MATCH(B268,$B$2:$B$701,0)=ROW()-1,1,0),0)</f>
        <v/>
      </c>
      <c r="AJ268">
        <f>AJ267+AI268</f>
        <v/>
      </c>
      <c r="AK268">
        <f>IF(AE268=1,D268+(1000-ROW())/10^7,-1)</f>
        <v/>
      </c>
      <c r="AL268">
        <f>IF(AE268=1,TRIM('Roster'!B268)&amp;" "&amp;LEFT(TRIM('Roster'!C268),1)&amp;".","")</f>
        <v/>
      </c>
      <c r="AM268">
        <f>IF(AE268=1,TRIM('Roster'!C268)&amp;", "&amp;TRIM('Roster'!B268)&amp;" ("&amp;B268&amp;") #"&amp;AD268,"")</f>
        <v/>
      </c>
      <c r="AN268">
        <f>IF(AE268=1,TRIM('Roster'!E268),"")</f>
        <v/>
      </c>
      <c r="AO268">
        <f>IF(AE268=1,ROUND(SUMIFS('All Donations'!$S$2:$S$4001,'All Donations'!$R$2:$R$4001,AD268,'All Donations'!$T$2:$T$4001,"&gt;="&amp;'Settings'!$C$23,'All Donations'!$T$2:$T$4001,"&lt;="&amp;'Settings'!$D$23),2),0)</f>
        <v/>
      </c>
      <c r="AQ268">
        <f>IF(AE268=1,ROUND(SUMIFS('All Donations'!$S$2:$S$4001,'All Donations'!$R$2:$R$4001,AD268,'All Donations'!$T$2:$T$4001,"&gt;="&amp;'Settings'!$C$25,'All Donations'!$T$2:$T$4001,"&lt;="&amp;'Settings'!$D$25),2),0)</f>
        <v/>
      </c>
      <c r="AR268">
        <f>IF(AE268=1,ROUND(SUMIFS('All Donations'!$S$2:$S$4001,'All Donations'!$R$2:$R$4001,AD268,'All Donations'!$T$2:$T$4001,"&gt;="&amp;'Settings'!$C$26,'All Donations'!$T$2:$T$4001,"&lt;="&amp;'Settings'!$D$26),2),0)</f>
        <v/>
      </c>
      <c r="AS268">
        <f>IF(AE268=1,ROUND(SUMIFS('All Donations'!$S$2:$S$4001,'All Donations'!$R$2:$R$4001,AD268,'All Donations'!$T$2:$T$4001,"&lt;="&amp;'Settings'!$D$27),2),0)</f>
        <v/>
      </c>
      <c r="AT268">
        <f>IF(AE268=1,ROUND(SUMIFS('All Donations'!$S$2:$S$4001,'All Donations'!$R$2:$R$4001,AD268,'All Donations'!$T$2:$T$4001,"&gt;="&amp;'Settings'!$C$28,'All Donations'!$T$2:$T$4001,"&lt;="&amp;'Settings'!$D$28),2),0)</f>
        <v/>
      </c>
      <c r="AU268">
        <f>IF(AE268=1,ROUND(SUMIFS('All Donations'!$S$2:$S$4001,'All Donations'!$R$2:$R$4001,AD268,'All Donations'!$T$2:$T$4001,"&gt;="&amp;'Settings'!$C$29,'All Donations'!$T$2:$T$4001,"&lt;="&amp;'Settings'!$D$29),2),0)</f>
        <v/>
      </c>
      <c r="AV268">
        <f>IF(AE268=1,ROUND(SUMIFS('All Donations'!$S$2:$S$4001,'All Donations'!$R$2:$R$4001,AD268,'All Donations'!$T$2:$T$4001,"&lt;="&amp;'Settings'!$D$30),2),0)</f>
        <v/>
      </c>
      <c r="AZ268">
        <f>IF(AE268=1,ROUND(SUMIFS('All Donations'!$S$2:$S$4001,'All Donations'!$R$2:$R$4001,AD268,'All Donations'!$T$2:$T$4001,"&lt;="&amp;'Settings'!$D$34),2),0)</f>
        <v/>
      </c>
    </row>
    <row r="269">
      <c r="A269">
        <f>IF(AE269=1,TRIM(TRIM('Roster'!B269)&amp;" "&amp;TRIM('Roster'!C269)),"")</f>
        <v/>
      </c>
      <c r="B269">
        <f>IF(AE269=1,IF(AN269="","(no teacher)",AN269&amp;" – "&amp;C269),"")</f>
        <v/>
      </c>
      <c r="C269">
        <f>IF(AE269=1,TRIM('Roster'!D269&amp;""),"")</f>
        <v/>
      </c>
      <c r="D269" s="48">
        <f>IF(AE269=1,ROUND(SUMIFS('All Donations'!$S$2:$S$4001,'All Donations'!$R$2:$R$4001,AD269),2),"")</f>
        <v/>
      </c>
      <c r="E269" s="48">
        <f>IF(AE269=1,ROUND(SUMIFS('All Donations'!$S$2:$S$4001,'All Donations'!$R$2:$R$4001,AD269,'All Donations'!$G$2:$G$4001,"OneCause"),2),"")</f>
        <v/>
      </c>
      <c r="F269" s="48">
        <f>IF(AE269=1,D269-E269,"")</f>
        <v/>
      </c>
      <c r="G269">
        <f>IF(AE269=1,COUNTIFS('All Donations'!$R$2:$R$4001,AD269,'All Donations'!$H$2:$H$4001,"OK"),"")</f>
        <v/>
      </c>
      <c r="H269">
        <f>IF(AE269&lt;&gt;1,"",IF(D269&gt;0,"Yes",""))</f>
        <v/>
      </c>
      <c r="I269" s="49">
        <f>IF(OR($AE269&lt;&gt;1,I$1=""),"",SUMIFS('All Donations'!$S$2:$S$4001,'All Donations'!$R$2:$R$4001,$AD269,'All Donations'!$T$2:$T$4001,I$1))</f>
        <v/>
      </c>
      <c r="J269" s="49">
        <f>IF(OR($AE269&lt;&gt;1,J$1=""),"",SUMIFS('All Donations'!$S$2:$S$4001,'All Donations'!$R$2:$R$4001,$AD269,'All Donations'!$T$2:$T$4001,J$1))</f>
        <v/>
      </c>
      <c r="K269" s="49">
        <f>IF(OR($AE269&lt;&gt;1,K$1=""),"",SUMIFS('All Donations'!$S$2:$S$4001,'All Donations'!$R$2:$R$4001,$AD269,'All Donations'!$T$2:$T$4001,K$1))</f>
        <v/>
      </c>
      <c r="L269" s="49">
        <f>IF(OR($AE269&lt;&gt;1,L$1=""),"",SUMIFS('All Donations'!$S$2:$S$4001,'All Donations'!$R$2:$R$4001,$AD269,'All Donations'!$T$2:$T$4001,L$1))</f>
        <v/>
      </c>
      <c r="M269" s="49">
        <f>IF(OR($AE269&lt;&gt;1,M$1=""),"",SUMIFS('All Donations'!$S$2:$S$4001,'All Donations'!$R$2:$R$4001,$AD269,'All Donations'!$T$2:$T$4001,M$1))</f>
        <v/>
      </c>
      <c r="N269" s="49">
        <f>IF(OR($AE269&lt;&gt;1,N$1=""),"",SUMIFS('All Donations'!$S$2:$S$4001,'All Donations'!$R$2:$R$4001,$AD269,'All Donations'!$T$2:$T$4001,N$1))</f>
        <v/>
      </c>
      <c r="O269" s="49">
        <f>IF(OR($AE269&lt;&gt;1,O$1=""),"",SUMIFS('All Donations'!$S$2:$S$4001,'All Donations'!$R$2:$R$4001,$AD269,'All Donations'!$T$2:$T$4001,O$1))</f>
        <v/>
      </c>
      <c r="P269" s="49">
        <f>IF(OR($AE269&lt;&gt;1,P$1=""),"",SUMIFS('All Donations'!$S$2:$S$4001,'All Donations'!$R$2:$R$4001,$AD269,'All Donations'!$T$2:$T$4001,P$1))</f>
        <v/>
      </c>
      <c r="Q269" s="49">
        <f>IF(OR($AE269&lt;&gt;1,Q$1=""),"",SUMIFS('All Donations'!$S$2:$S$4001,'All Donations'!$R$2:$R$4001,$AD269,'All Donations'!$T$2:$T$4001,Q$1))</f>
        <v/>
      </c>
      <c r="R269" s="49">
        <f>IF(OR($AE269&lt;&gt;1,R$1=""),"",SUMIFS('All Donations'!$S$2:$S$4001,'All Donations'!$R$2:$R$4001,$AD269,'All Donations'!$T$2:$T$4001,R$1))</f>
        <v/>
      </c>
      <c r="S269" s="49">
        <f>IF(OR($AE269&lt;&gt;1,S$1=""),"",SUMIFS('All Donations'!$S$2:$S$4001,'All Donations'!$R$2:$R$4001,$AD269,'All Donations'!$T$2:$T$4001,S$1))</f>
        <v/>
      </c>
      <c r="T269" s="49">
        <f>IF(OR($AE269&lt;&gt;1,T$1=""),"",SUMIFS('All Donations'!$S$2:$S$4001,'All Donations'!$R$2:$R$4001,$AD269,'All Donations'!$T$2:$T$4001,T$1))</f>
        <v/>
      </c>
      <c r="U269" s="49">
        <f>IF(OR($AE269&lt;&gt;1,U$1=""),"",SUMIFS('All Donations'!$S$2:$S$4001,'All Donations'!$R$2:$R$4001,$AD269,'All Donations'!$T$2:$T$4001,U$1))</f>
        <v/>
      </c>
      <c r="V269" s="49">
        <f>IF(OR($AE269&lt;&gt;1,V$1=""),"",SUMIFS('All Donations'!$S$2:$S$4001,'All Donations'!$R$2:$R$4001,$AD269,'All Donations'!$T$2:$T$4001,V$1))</f>
        <v/>
      </c>
      <c r="W269" s="49">
        <f>IF(OR($AE269&lt;&gt;1,W$1=""),"",SUMIFS('All Donations'!$S$2:$S$4001,'All Donations'!$R$2:$R$4001,$AD269,'All Donations'!$T$2:$T$4001,W$1))</f>
        <v/>
      </c>
      <c r="X269" s="49">
        <f>IF(OR($AE269&lt;&gt;1,X$1=""),"",SUMIFS('All Donations'!$S$2:$S$4001,'All Donations'!$R$2:$R$4001,$AD269,'All Donations'!$T$2:$T$4001,X$1))</f>
        <v/>
      </c>
      <c r="Y269" s="49">
        <f>IF(OR($AE269&lt;&gt;1,Y$1=""),"",SUMIFS('All Donations'!$S$2:$S$4001,'All Donations'!$R$2:$R$4001,$AD269,'All Donations'!$T$2:$T$4001,Y$1))</f>
        <v/>
      </c>
      <c r="Z269" s="49">
        <f>IF(OR($AE269&lt;&gt;1,Z$1=""),"",SUMIFS('All Donations'!$S$2:$S$4001,'All Donations'!$R$2:$R$4001,$AD269,'All Donations'!$T$2:$T$4001,Z$1))</f>
        <v/>
      </c>
      <c r="AA269" s="49">
        <f>IF(OR($AE269&lt;&gt;1,AA$1=""),"",SUMIFS('All Donations'!$S$2:$S$4001,'All Donations'!$R$2:$R$4001,$AD269,'All Donations'!$T$2:$T$4001,AA$1))</f>
        <v/>
      </c>
      <c r="AB269" s="49">
        <f>IF(OR($AE269&lt;&gt;1,AB$1=""),"",SUMIFS('All Donations'!$S$2:$S$4001,'All Donations'!$R$2:$R$4001,$AD269,'All Donations'!$T$2:$T$4001,AB$1))</f>
        <v/>
      </c>
      <c r="AC269" s="49">
        <f>IF(OR($AE269&lt;&gt;1,AC$1=""),"",SUMIFS('All Donations'!$S$2:$S$4001,'All Donations'!$R$2:$R$4001,$AD269,'All Donations'!$T$2:$T$4001,AC$1))</f>
        <v/>
      </c>
      <c r="AD269">
        <f>IF(AE269=1,'Roster'!A269,"")</f>
        <v/>
      </c>
      <c r="AE269">
        <f>IF(TRIM('Roster'!B269&amp;'Roster'!C269)&lt;&gt;"",1,0)</f>
        <v/>
      </c>
      <c r="AF269">
        <f>IF(AE269=1,LOWER(A269),"#")</f>
        <v/>
      </c>
      <c r="AG269">
        <f>IF(AE269=1,LOWER(TRIM(TRIM('Roster'!C269)&amp;", "&amp;TRIM('Roster'!B269))),"#")</f>
        <v/>
      </c>
      <c r="AH269">
        <f>IF(AND(AE269=1,TRIM('Roster'!F269)&lt;&gt;""),LOWER(TRIM('Roster'!F269)),"#")</f>
        <v/>
      </c>
      <c r="AI269">
        <f>IF(AE269=1,IF(MATCH(B269,$B$2:$B$701,0)=ROW()-1,1,0),0)</f>
        <v/>
      </c>
      <c r="AJ269">
        <f>AJ268+AI269</f>
        <v/>
      </c>
      <c r="AK269">
        <f>IF(AE269=1,D269+(1000-ROW())/10^7,-1)</f>
        <v/>
      </c>
      <c r="AL269">
        <f>IF(AE269=1,TRIM('Roster'!B269)&amp;" "&amp;LEFT(TRIM('Roster'!C269),1)&amp;".","")</f>
        <v/>
      </c>
      <c r="AM269">
        <f>IF(AE269=1,TRIM('Roster'!C269)&amp;", "&amp;TRIM('Roster'!B269)&amp;" ("&amp;B269&amp;") #"&amp;AD269,"")</f>
        <v/>
      </c>
      <c r="AN269">
        <f>IF(AE269=1,TRIM('Roster'!E269),"")</f>
        <v/>
      </c>
      <c r="AO269">
        <f>IF(AE269=1,ROUND(SUMIFS('All Donations'!$S$2:$S$4001,'All Donations'!$R$2:$R$4001,AD269,'All Donations'!$T$2:$T$4001,"&gt;="&amp;'Settings'!$C$23,'All Donations'!$T$2:$T$4001,"&lt;="&amp;'Settings'!$D$23),2),0)</f>
        <v/>
      </c>
      <c r="AQ269">
        <f>IF(AE269=1,ROUND(SUMIFS('All Donations'!$S$2:$S$4001,'All Donations'!$R$2:$R$4001,AD269,'All Donations'!$T$2:$T$4001,"&gt;="&amp;'Settings'!$C$25,'All Donations'!$T$2:$T$4001,"&lt;="&amp;'Settings'!$D$25),2),0)</f>
        <v/>
      </c>
      <c r="AR269">
        <f>IF(AE269=1,ROUND(SUMIFS('All Donations'!$S$2:$S$4001,'All Donations'!$R$2:$R$4001,AD269,'All Donations'!$T$2:$T$4001,"&gt;="&amp;'Settings'!$C$26,'All Donations'!$T$2:$T$4001,"&lt;="&amp;'Settings'!$D$26),2),0)</f>
        <v/>
      </c>
      <c r="AS269">
        <f>IF(AE269=1,ROUND(SUMIFS('All Donations'!$S$2:$S$4001,'All Donations'!$R$2:$R$4001,AD269,'All Donations'!$T$2:$T$4001,"&lt;="&amp;'Settings'!$D$27),2),0)</f>
        <v/>
      </c>
      <c r="AT269">
        <f>IF(AE269=1,ROUND(SUMIFS('All Donations'!$S$2:$S$4001,'All Donations'!$R$2:$R$4001,AD269,'All Donations'!$T$2:$T$4001,"&gt;="&amp;'Settings'!$C$28,'All Donations'!$T$2:$T$4001,"&lt;="&amp;'Settings'!$D$28),2),0)</f>
        <v/>
      </c>
      <c r="AU269">
        <f>IF(AE269=1,ROUND(SUMIFS('All Donations'!$S$2:$S$4001,'All Donations'!$R$2:$R$4001,AD269,'All Donations'!$T$2:$T$4001,"&gt;="&amp;'Settings'!$C$29,'All Donations'!$T$2:$T$4001,"&lt;="&amp;'Settings'!$D$29),2),0)</f>
        <v/>
      </c>
      <c r="AV269">
        <f>IF(AE269=1,ROUND(SUMIFS('All Donations'!$S$2:$S$4001,'All Donations'!$R$2:$R$4001,AD269,'All Donations'!$T$2:$T$4001,"&lt;="&amp;'Settings'!$D$30),2),0)</f>
        <v/>
      </c>
      <c r="AZ269">
        <f>IF(AE269=1,ROUND(SUMIFS('All Donations'!$S$2:$S$4001,'All Donations'!$R$2:$R$4001,AD269,'All Donations'!$T$2:$T$4001,"&lt;="&amp;'Settings'!$D$34),2),0)</f>
        <v/>
      </c>
    </row>
    <row r="270">
      <c r="A270">
        <f>IF(AE270=1,TRIM(TRIM('Roster'!B270)&amp;" "&amp;TRIM('Roster'!C270)),"")</f>
        <v/>
      </c>
      <c r="B270">
        <f>IF(AE270=1,IF(AN270="","(no teacher)",AN270&amp;" – "&amp;C270),"")</f>
        <v/>
      </c>
      <c r="C270">
        <f>IF(AE270=1,TRIM('Roster'!D270&amp;""),"")</f>
        <v/>
      </c>
      <c r="D270" s="48">
        <f>IF(AE270=1,ROUND(SUMIFS('All Donations'!$S$2:$S$4001,'All Donations'!$R$2:$R$4001,AD270),2),"")</f>
        <v/>
      </c>
      <c r="E270" s="48">
        <f>IF(AE270=1,ROUND(SUMIFS('All Donations'!$S$2:$S$4001,'All Donations'!$R$2:$R$4001,AD270,'All Donations'!$G$2:$G$4001,"OneCause"),2),"")</f>
        <v/>
      </c>
      <c r="F270" s="48">
        <f>IF(AE270=1,D270-E270,"")</f>
        <v/>
      </c>
      <c r="G270">
        <f>IF(AE270=1,COUNTIFS('All Donations'!$R$2:$R$4001,AD270,'All Donations'!$H$2:$H$4001,"OK"),"")</f>
        <v/>
      </c>
      <c r="H270">
        <f>IF(AE270&lt;&gt;1,"",IF(D270&gt;0,"Yes",""))</f>
        <v/>
      </c>
      <c r="I270" s="49">
        <f>IF(OR($AE270&lt;&gt;1,I$1=""),"",SUMIFS('All Donations'!$S$2:$S$4001,'All Donations'!$R$2:$R$4001,$AD270,'All Donations'!$T$2:$T$4001,I$1))</f>
        <v/>
      </c>
      <c r="J270" s="49">
        <f>IF(OR($AE270&lt;&gt;1,J$1=""),"",SUMIFS('All Donations'!$S$2:$S$4001,'All Donations'!$R$2:$R$4001,$AD270,'All Donations'!$T$2:$T$4001,J$1))</f>
        <v/>
      </c>
      <c r="K270" s="49">
        <f>IF(OR($AE270&lt;&gt;1,K$1=""),"",SUMIFS('All Donations'!$S$2:$S$4001,'All Donations'!$R$2:$R$4001,$AD270,'All Donations'!$T$2:$T$4001,K$1))</f>
        <v/>
      </c>
      <c r="L270" s="49">
        <f>IF(OR($AE270&lt;&gt;1,L$1=""),"",SUMIFS('All Donations'!$S$2:$S$4001,'All Donations'!$R$2:$R$4001,$AD270,'All Donations'!$T$2:$T$4001,L$1))</f>
        <v/>
      </c>
      <c r="M270" s="49">
        <f>IF(OR($AE270&lt;&gt;1,M$1=""),"",SUMIFS('All Donations'!$S$2:$S$4001,'All Donations'!$R$2:$R$4001,$AD270,'All Donations'!$T$2:$T$4001,M$1))</f>
        <v/>
      </c>
      <c r="N270" s="49">
        <f>IF(OR($AE270&lt;&gt;1,N$1=""),"",SUMIFS('All Donations'!$S$2:$S$4001,'All Donations'!$R$2:$R$4001,$AD270,'All Donations'!$T$2:$T$4001,N$1))</f>
        <v/>
      </c>
      <c r="O270" s="49">
        <f>IF(OR($AE270&lt;&gt;1,O$1=""),"",SUMIFS('All Donations'!$S$2:$S$4001,'All Donations'!$R$2:$R$4001,$AD270,'All Donations'!$T$2:$T$4001,O$1))</f>
        <v/>
      </c>
      <c r="P270" s="49">
        <f>IF(OR($AE270&lt;&gt;1,P$1=""),"",SUMIFS('All Donations'!$S$2:$S$4001,'All Donations'!$R$2:$R$4001,$AD270,'All Donations'!$T$2:$T$4001,P$1))</f>
        <v/>
      </c>
      <c r="Q270" s="49">
        <f>IF(OR($AE270&lt;&gt;1,Q$1=""),"",SUMIFS('All Donations'!$S$2:$S$4001,'All Donations'!$R$2:$R$4001,$AD270,'All Donations'!$T$2:$T$4001,Q$1))</f>
        <v/>
      </c>
      <c r="R270" s="49">
        <f>IF(OR($AE270&lt;&gt;1,R$1=""),"",SUMIFS('All Donations'!$S$2:$S$4001,'All Donations'!$R$2:$R$4001,$AD270,'All Donations'!$T$2:$T$4001,R$1))</f>
        <v/>
      </c>
      <c r="S270" s="49">
        <f>IF(OR($AE270&lt;&gt;1,S$1=""),"",SUMIFS('All Donations'!$S$2:$S$4001,'All Donations'!$R$2:$R$4001,$AD270,'All Donations'!$T$2:$T$4001,S$1))</f>
        <v/>
      </c>
      <c r="T270" s="49">
        <f>IF(OR($AE270&lt;&gt;1,T$1=""),"",SUMIFS('All Donations'!$S$2:$S$4001,'All Donations'!$R$2:$R$4001,$AD270,'All Donations'!$T$2:$T$4001,T$1))</f>
        <v/>
      </c>
      <c r="U270" s="49">
        <f>IF(OR($AE270&lt;&gt;1,U$1=""),"",SUMIFS('All Donations'!$S$2:$S$4001,'All Donations'!$R$2:$R$4001,$AD270,'All Donations'!$T$2:$T$4001,U$1))</f>
        <v/>
      </c>
      <c r="V270" s="49">
        <f>IF(OR($AE270&lt;&gt;1,V$1=""),"",SUMIFS('All Donations'!$S$2:$S$4001,'All Donations'!$R$2:$R$4001,$AD270,'All Donations'!$T$2:$T$4001,V$1))</f>
        <v/>
      </c>
      <c r="W270" s="49">
        <f>IF(OR($AE270&lt;&gt;1,W$1=""),"",SUMIFS('All Donations'!$S$2:$S$4001,'All Donations'!$R$2:$R$4001,$AD270,'All Donations'!$T$2:$T$4001,W$1))</f>
        <v/>
      </c>
      <c r="X270" s="49">
        <f>IF(OR($AE270&lt;&gt;1,X$1=""),"",SUMIFS('All Donations'!$S$2:$S$4001,'All Donations'!$R$2:$R$4001,$AD270,'All Donations'!$T$2:$T$4001,X$1))</f>
        <v/>
      </c>
      <c r="Y270" s="49">
        <f>IF(OR($AE270&lt;&gt;1,Y$1=""),"",SUMIFS('All Donations'!$S$2:$S$4001,'All Donations'!$R$2:$R$4001,$AD270,'All Donations'!$T$2:$T$4001,Y$1))</f>
        <v/>
      </c>
      <c r="Z270" s="49">
        <f>IF(OR($AE270&lt;&gt;1,Z$1=""),"",SUMIFS('All Donations'!$S$2:$S$4001,'All Donations'!$R$2:$R$4001,$AD270,'All Donations'!$T$2:$T$4001,Z$1))</f>
        <v/>
      </c>
      <c r="AA270" s="49">
        <f>IF(OR($AE270&lt;&gt;1,AA$1=""),"",SUMIFS('All Donations'!$S$2:$S$4001,'All Donations'!$R$2:$R$4001,$AD270,'All Donations'!$T$2:$T$4001,AA$1))</f>
        <v/>
      </c>
      <c r="AB270" s="49">
        <f>IF(OR($AE270&lt;&gt;1,AB$1=""),"",SUMIFS('All Donations'!$S$2:$S$4001,'All Donations'!$R$2:$R$4001,$AD270,'All Donations'!$T$2:$T$4001,AB$1))</f>
        <v/>
      </c>
      <c r="AC270" s="49">
        <f>IF(OR($AE270&lt;&gt;1,AC$1=""),"",SUMIFS('All Donations'!$S$2:$S$4001,'All Donations'!$R$2:$R$4001,$AD270,'All Donations'!$T$2:$T$4001,AC$1))</f>
        <v/>
      </c>
      <c r="AD270">
        <f>IF(AE270=1,'Roster'!A270,"")</f>
        <v/>
      </c>
      <c r="AE270">
        <f>IF(TRIM('Roster'!B270&amp;'Roster'!C270)&lt;&gt;"",1,0)</f>
        <v/>
      </c>
      <c r="AF270">
        <f>IF(AE270=1,LOWER(A270),"#")</f>
        <v/>
      </c>
      <c r="AG270">
        <f>IF(AE270=1,LOWER(TRIM(TRIM('Roster'!C270)&amp;", "&amp;TRIM('Roster'!B270))),"#")</f>
        <v/>
      </c>
      <c r="AH270">
        <f>IF(AND(AE270=1,TRIM('Roster'!F270)&lt;&gt;""),LOWER(TRIM('Roster'!F270)),"#")</f>
        <v/>
      </c>
      <c r="AI270">
        <f>IF(AE270=1,IF(MATCH(B270,$B$2:$B$701,0)=ROW()-1,1,0),0)</f>
        <v/>
      </c>
      <c r="AJ270">
        <f>AJ269+AI270</f>
        <v/>
      </c>
      <c r="AK270">
        <f>IF(AE270=1,D270+(1000-ROW())/10^7,-1)</f>
        <v/>
      </c>
      <c r="AL270">
        <f>IF(AE270=1,TRIM('Roster'!B270)&amp;" "&amp;LEFT(TRIM('Roster'!C270),1)&amp;".","")</f>
        <v/>
      </c>
      <c r="AM270">
        <f>IF(AE270=1,TRIM('Roster'!C270)&amp;", "&amp;TRIM('Roster'!B270)&amp;" ("&amp;B270&amp;") #"&amp;AD270,"")</f>
        <v/>
      </c>
      <c r="AN270">
        <f>IF(AE270=1,TRIM('Roster'!E270),"")</f>
        <v/>
      </c>
      <c r="AO270">
        <f>IF(AE270=1,ROUND(SUMIFS('All Donations'!$S$2:$S$4001,'All Donations'!$R$2:$R$4001,AD270,'All Donations'!$T$2:$T$4001,"&gt;="&amp;'Settings'!$C$23,'All Donations'!$T$2:$T$4001,"&lt;="&amp;'Settings'!$D$23),2),0)</f>
        <v/>
      </c>
      <c r="AQ270">
        <f>IF(AE270=1,ROUND(SUMIFS('All Donations'!$S$2:$S$4001,'All Donations'!$R$2:$R$4001,AD270,'All Donations'!$T$2:$T$4001,"&gt;="&amp;'Settings'!$C$25,'All Donations'!$T$2:$T$4001,"&lt;="&amp;'Settings'!$D$25),2),0)</f>
        <v/>
      </c>
      <c r="AR270">
        <f>IF(AE270=1,ROUND(SUMIFS('All Donations'!$S$2:$S$4001,'All Donations'!$R$2:$R$4001,AD270,'All Donations'!$T$2:$T$4001,"&gt;="&amp;'Settings'!$C$26,'All Donations'!$T$2:$T$4001,"&lt;="&amp;'Settings'!$D$26),2),0)</f>
        <v/>
      </c>
      <c r="AS270">
        <f>IF(AE270=1,ROUND(SUMIFS('All Donations'!$S$2:$S$4001,'All Donations'!$R$2:$R$4001,AD270,'All Donations'!$T$2:$T$4001,"&lt;="&amp;'Settings'!$D$27),2),0)</f>
        <v/>
      </c>
      <c r="AT270">
        <f>IF(AE270=1,ROUND(SUMIFS('All Donations'!$S$2:$S$4001,'All Donations'!$R$2:$R$4001,AD270,'All Donations'!$T$2:$T$4001,"&gt;="&amp;'Settings'!$C$28,'All Donations'!$T$2:$T$4001,"&lt;="&amp;'Settings'!$D$28),2),0)</f>
        <v/>
      </c>
      <c r="AU270">
        <f>IF(AE270=1,ROUND(SUMIFS('All Donations'!$S$2:$S$4001,'All Donations'!$R$2:$R$4001,AD270,'All Donations'!$T$2:$T$4001,"&gt;="&amp;'Settings'!$C$29,'All Donations'!$T$2:$T$4001,"&lt;="&amp;'Settings'!$D$29),2),0)</f>
        <v/>
      </c>
      <c r="AV270">
        <f>IF(AE270=1,ROUND(SUMIFS('All Donations'!$S$2:$S$4001,'All Donations'!$R$2:$R$4001,AD270,'All Donations'!$T$2:$T$4001,"&lt;="&amp;'Settings'!$D$30),2),0)</f>
        <v/>
      </c>
      <c r="AZ270">
        <f>IF(AE270=1,ROUND(SUMIFS('All Donations'!$S$2:$S$4001,'All Donations'!$R$2:$R$4001,AD270,'All Donations'!$T$2:$T$4001,"&lt;="&amp;'Settings'!$D$34),2),0)</f>
        <v/>
      </c>
    </row>
    <row r="271">
      <c r="A271">
        <f>IF(AE271=1,TRIM(TRIM('Roster'!B271)&amp;" "&amp;TRIM('Roster'!C271)),"")</f>
        <v/>
      </c>
      <c r="B271">
        <f>IF(AE271=1,IF(AN271="","(no teacher)",AN271&amp;" – "&amp;C271),"")</f>
        <v/>
      </c>
      <c r="C271">
        <f>IF(AE271=1,TRIM('Roster'!D271&amp;""),"")</f>
        <v/>
      </c>
      <c r="D271" s="48">
        <f>IF(AE271=1,ROUND(SUMIFS('All Donations'!$S$2:$S$4001,'All Donations'!$R$2:$R$4001,AD271),2),"")</f>
        <v/>
      </c>
      <c r="E271" s="48">
        <f>IF(AE271=1,ROUND(SUMIFS('All Donations'!$S$2:$S$4001,'All Donations'!$R$2:$R$4001,AD271,'All Donations'!$G$2:$G$4001,"OneCause"),2),"")</f>
        <v/>
      </c>
      <c r="F271" s="48">
        <f>IF(AE271=1,D271-E271,"")</f>
        <v/>
      </c>
      <c r="G271">
        <f>IF(AE271=1,COUNTIFS('All Donations'!$R$2:$R$4001,AD271,'All Donations'!$H$2:$H$4001,"OK"),"")</f>
        <v/>
      </c>
      <c r="H271">
        <f>IF(AE271&lt;&gt;1,"",IF(D271&gt;0,"Yes",""))</f>
        <v/>
      </c>
      <c r="I271" s="49">
        <f>IF(OR($AE271&lt;&gt;1,I$1=""),"",SUMIFS('All Donations'!$S$2:$S$4001,'All Donations'!$R$2:$R$4001,$AD271,'All Donations'!$T$2:$T$4001,I$1))</f>
        <v/>
      </c>
      <c r="J271" s="49">
        <f>IF(OR($AE271&lt;&gt;1,J$1=""),"",SUMIFS('All Donations'!$S$2:$S$4001,'All Donations'!$R$2:$R$4001,$AD271,'All Donations'!$T$2:$T$4001,J$1))</f>
        <v/>
      </c>
      <c r="K271" s="49">
        <f>IF(OR($AE271&lt;&gt;1,K$1=""),"",SUMIFS('All Donations'!$S$2:$S$4001,'All Donations'!$R$2:$R$4001,$AD271,'All Donations'!$T$2:$T$4001,K$1))</f>
        <v/>
      </c>
      <c r="L271" s="49">
        <f>IF(OR($AE271&lt;&gt;1,L$1=""),"",SUMIFS('All Donations'!$S$2:$S$4001,'All Donations'!$R$2:$R$4001,$AD271,'All Donations'!$T$2:$T$4001,L$1))</f>
        <v/>
      </c>
      <c r="M271" s="49">
        <f>IF(OR($AE271&lt;&gt;1,M$1=""),"",SUMIFS('All Donations'!$S$2:$S$4001,'All Donations'!$R$2:$R$4001,$AD271,'All Donations'!$T$2:$T$4001,M$1))</f>
        <v/>
      </c>
      <c r="N271" s="49">
        <f>IF(OR($AE271&lt;&gt;1,N$1=""),"",SUMIFS('All Donations'!$S$2:$S$4001,'All Donations'!$R$2:$R$4001,$AD271,'All Donations'!$T$2:$T$4001,N$1))</f>
        <v/>
      </c>
      <c r="O271" s="49">
        <f>IF(OR($AE271&lt;&gt;1,O$1=""),"",SUMIFS('All Donations'!$S$2:$S$4001,'All Donations'!$R$2:$R$4001,$AD271,'All Donations'!$T$2:$T$4001,O$1))</f>
        <v/>
      </c>
      <c r="P271" s="49">
        <f>IF(OR($AE271&lt;&gt;1,P$1=""),"",SUMIFS('All Donations'!$S$2:$S$4001,'All Donations'!$R$2:$R$4001,$AD271,'All Donations'!$T$2:$T$4001,P$1))</f>
        <v/>
      </c>
      <c r="Q271" s="49">
        <f>IF(OR($AE271&lt;&gt;1,Q$1=""),"",SUMIFS('All Donations'!$S$2:$S$4001,'All Donations'!$R$2:$R$4001,$AD271,'All Donations'!$T$2:$T$4001,Q$1))</f>
        <v/>
      </c>
      <c r="R271" s="49">
        <f>IF(OR($AE271&lt;&gt;1,R$1=""),"",SUMIFS('All Donations'!$S$2:$S$4001,'All Donations'!$R$2:$R$4001,$AD271,'All Donations'!$T$2:$T$4001,R$1))</f>
        <v/>
      </c>
      <c r="S271" s="49">
        <f>IF(OR($AE271&lt;&gt;1,S$1=""),"",SUMIFS('All Donations'!$S$2:$S$4001,'All Donations'!$R$2:$R$4001,$AD271,'All Donations'!$T$2:$T$4001,S$1))</f>
        <v/>
      </c>
      <c r="T271" s="49">
        <f>IF(OR($AE271&lt;&gt;1,T$1=""),"",SUMIFS('All Donations'!$S$2:$S$4001,'All Donations'!$R$2:$R$4001,$AD271,'All Donations'!$T$2:$T$4001,T$1))</f>
        <v/>
      </c>
      <c r="U271" s="49">
        <f>IF(OR($AE271&lt;&gt;1,U$1=""),"",SUMIFS('All Donations'!$S$2:$S$4001,'All Donations'!$R$2:$R$4001,$AD271,'All Donations'!$T$2:$T$4001,U$1))</f>
        <v/>
      </c>
      <c r="V271" s="49">
        <f>IF(OR($AE271&lt;&gt;1,V$1=""),"",SUMIFS('All Donations'!$S$2:$S$4001,'All Donations'!$R$2:$R$4001,$AD271,'All Donations'!$T$2:$T$4001,V$1))</f>
        <v/>
      </c>
      <c r="W271" s="49">
        <f>IF(OR($AE271&lt;&gt;1,W$1=""),"",SUMIFS('All Donations'!$S$2:$S$4001,'All Donations'!$R$2:$R$4001,$AD271,'All Donations'!$T$2:$T$4001,W$1))</f>
        <v/>
      </c>
      <c r="X271" s="49">
        <f>IF(OR($AE271&lt;&gt;1,X$1=""),"",SUMIFS('All Donations'!$S$2:$S$4001,'All Donations'!$R$2:$R$4001,$AD271,'All Donations'!$T$2:$T$4001,X$1))</f>
        <v/>
      </c>
      <c r="Y271" s="49">
        <f>IF(OR($AE271&lt;&gt;1,Y$1=""),"",SUMIFS('All Donations'!$S$2:$S$4001,'All Donations'!$R$2:$R$4001,$AD271,'All Donations'!$T$2:$T$4001,Y$1))</f>
        <v/>
      </c>
      <c r="Z271" s="49">
        <f>IF(OR($AE271&lt;&gt;1,Z$1=""),"",SUMIFS('All Donations'!$S$2:$S$4001,'All Donations'!$R$2:$R$4001,$AD271,'All Donations'!$T$2:$T$4001,Z$1))</f>
        <v/>
      </c>
      <c r="AA271" s="49">
        <f>IF(OR($AE271&lt;&gt;1,AA$1=""),"",SUMIFS('All Donations'!$S$2:$S$4001,'All Donations'!$R$2:$R$4001,$AD271,'All Donations'!$T$2:$T$4001,AA$1))</f>
        <v/>
      </c>
      <c r="AB271" s="49">
        <f>IF(OR($AE271&lt;&gt;1,AB$1=""),"",SUMIFS('All Donations'!$S$2:$S$4001,'All Donations'!$R$2:$R$4001,$AD271,'All Donations'!$T$2:$T$4001,AB$1))</f>
        <v/>
      </c>
      <c r="AC271" s="49">
        <f>IF(OR($AE271&lt;&gt;1,AC$1=""),"",SUMIFS('All Donations'!$S$2:$S$4001,'All Donations'!$R$2:$R$4001,$AD271,'All Donations'!$T$2:$T$4001,AC$1))</f>
        <v/>
      </c>
      <c r="AD271">
        <f>IF(AE271=1,'Roster'!A271,"")</f>
        <v/>
      </c>
      <c r="AE271">
        <f>IF(TRIM('Roster'!B271&amp;'Roster'!C271)&lt;&gt;"",1,0)</f>
        <v/>
      </c>
      <c r="AF271">
        <f>IF(AE271=1,LOWER(A271),"#")</f>
        <v/>
      </c>
      <c r="AG271">
        <f>IF(AE271=1,LOWER(TRIM(TRIM('Roster'!C271)&amp;", "&amp;TRIM('Roster'!B271))),"#")</f>
        <v/>
      </c>
      <c r="AH271">
        <f>IF(AND(AE271=1,TRIM('Roster'!F271)&lt;&gt;""),LOWER(TRIM('Roster'!F271)),"#")</f>
        <v/>
      </c>
      <c r="AI271">
        <f>IF(AE271=1,IF(MATCH(B271,$B$2:$B$701,0)=ROW()-1,1,0),0)</f>
        <v/>
      </c>
      <c r="AJ271">
        <f>AJ270+AI271</f>
        <v/>
      </c>
      <c r="AK271">
        <f>IF(AE271=1,D271+(1000-ROW())/10^7,-1)</f>
        <v/>
      </c>
      <c r="AL271">
        <f>IF(AE271=1,TRIM('Roster'!B271)&amp;" "&amp;LEFT(TRIM('Roster'!C271),1)&amp;".","")</f>
        <v/>
      </c>
      <c r="AM271">
        <f>IF(AE271=1,TRIM('Roster'!C271)&amp;", "&amp;TRIM('Roster'!B271)&amp;" ("&amp;B271&amp;") #"&amp;AD271,"")</f>
        <v/>
      </c>
      <c r="AN271">
        <f>IF(AE271=1,TRIM('Roster'!E271),"")</f>
        <v/>
      </c>
      <c r="AO271">
        <f>IF(AE271=1,ROUND(SUMIFS('All Donations'!$S$2:$S$4001,'All Donations'!$R$2:$R$4001,AD271,'All Donations'!$T$2:$T$4001,"&gt;="&amp;'Settings'!$C$23,'All Donations'!$T$2:$T$4001,"&lt;="&amp;'Settings'!$D$23),2),0)</f>
        <v/>
      </c>
      <c r="AQ271">
        <f>IF(AE271=1,ROUND(SUMIFS('All Donations'!$S$2:$S$4001,'All Donations'!$R$2:$R$4001,AD271,'All Donations'!$T$2:$T$4001,"&gt;="&amp;'Settings'!$C$25,'All Donations'!$T$2:$T$4001,"&lt;="&amp;'Settings'!$D$25),2),0)</f>
        <v/>
      </c>
      <c r="AR271">
        <f>IF(AE271=1,ROUND(SUMIFS('All Donations'!$S$2:$S$4001,'All Donations'!$R$2:$R$4001,AD271,'All Donations'!$T$2:$T$4001,"&gt;="&amp;'Settings'!$C$26,'All Donations'!$T$2:$T$4001,"&lt;="&amp;'Settings'!$D$26),2),0)</f>
        <v/>
      </c>
      <c r="AS271">
        <f>IF(AE271=1,ROUND(SUMIFS('All Donations'!$S$2:$S$4001,'All Donations'!$R$2:$R$4001,AD271,'All Donations'!$T$2:$T$4001,"&lt;="&amp;'Settings'!$D$27),2),0)</f>
        <v/>
      </c>
      <c r="AT271">
        <f>IF(AE271=1,ROUND(SUMIFS('All Donations'!$S$2:$S$4001,'All Donations'!$R$2:$R$4001,AD271,'All Donations'!$T$2:$T$4001,"&gt;="&amp;'Settings'!$C$28,'All Donations'!$T$2:$T$4001,"&lt;="&amp;'Settings'!$D$28),2),0)</f>
        <v/>
      </c>
      <c r="AU271">
        <f>IF(AE271=1,ROUND(SUMIFS('All Donations'!$S$2:$S$4001,'All Donations'!$R$2:$R$4001,AD271,'All Donations'!$T$2:$T$4001,"&gt;="&amp;'Settings'!$C$29,'All Donations'!$T$2:$T$4001,"&lt;="&amp;'Settings'!$D$29),2),0)</f>
        <v/>
      </c>
      <c r="AV271">
        <f>IF(AE271=1,ROUND(SUMIFS('All Donations'!$S$2:$S$4001,'All Donations'!$R$2:$R$4001,AD271,'All Donations'!$T$2:$T$4001,"&lt;="&amp;'Settings'!$D$30),2),0)</f>
        <v/>
      </c>
      <c r="AZ271">
        <f>IF(AE271=1,ROUND(SUMIFS('All Donations'!$S$2:$S$4001,'All Donations'!$R$2:$R$4001,AD271,'All Donations'!$T$2:$T$4001,"&lt;="&amp;'Settings'!$D$34),2),0)</f>
        <v/>
      </c>
    </row>
    <row r="272">
      <c r="A272">
        <f>IF(AE272=1,TRIM(TRIM('Roster'!B272)&amp;" "&amp;TRIM('Roster'!C272)),"")</f>
        <v/>
      </c>
      <c r="B272">
        <f>IF(AE272=1,IF(AN272="","(no teacher)",AN272&amp;" – "&amp;C272),"")</f>
        <v/>
      </c>
      <c r="C272">
        <f>IF(AE272=1,TRIM('Roster'!D272&amp;""),"")</f>
        <v/>
      </c>
      <c r="D272" s="48">
        <f>IF(AE272=1,ROUND(SUMIFS('All Donations'!$S$2:$S$4001,'All Donations'!$R$2:$R$4001,AD272),2),"")</f>
        <v/>
      </c>
      <c r="E272" s="48">
        <f>IF(AE272=1,ROUND(SUMIFS('All Donations'!$S$2:$S$4001,'All Donations'!$R$2:$R$4001,AD272,'All Donations'!$G$2:$G$4001,"OneCause"),2),"")</f>
        <v/>
      </c>
      <c r="F272" s="48">
        <f>IF(AE272=1,D272-E272,"")</f>
        <v/>
      </c>
      <c r="G272">
        <f>IF(AE272=1,COUNTIFS('All Donations'!$R$2:$R$4001,AD272,'All Donations'!$H$2:$H$4001,"OK"),"")</f>
        <v/>
      </c>
      <c r="H272">
        <f>IF(AE272&lt;&gt;1,"",IF(D272&gt;0,"Yes",""))</f>
        <v/>
      </c>
      <c r="I272" s="49">
        <f>IF(OR($AE272&lt;&gt;1,I$1=""),"",SUMIFS('All Donations'!$S$2:$S$4001,'All Donations'!$R$2:$R$4001,$AD272,'All Donations'!$T$2:$T$4001,I$1))</f>
        <v/>
      </c>
      <c r="J272" s="49">
        <f>IF(OR($AE272&lt;&gt;1,J$1=""),"",SUMIFS('All Donations'!$S$2:$S$4001,'All Donations'!$R$2:$R$4001,$AD272,'All Donations'!$T$2:$T$4001,J$1))</f>
        <v/>
      </c>
      <c r="K272" s="49">
        <f>IF(OR($AE272&lt;&gt;1,K$1=""),"",SUMIFS('All Donations'!$S$2:$S$4001,'All Donations'!$R$2:$R$4001,$AD272,'All Donations'!$T$2:$T$4001,K$1))</f>
        <v/>
      </c>
      <c r="L272" s="49">
        <f>IF(OR($AE272&lt;&gt;1,L$1=""),"",SUMIFS('All Donations'!$S$2:$S$4001,'All Donations'!$R$2:$R$4001,$AD272,'All Donations'!$T$2:$T$4001,L$1))</f>
        <v/>
      </c>
      <c r="M272" s="49">
        <f>IF(OR($AE272&lt;&gt;1,M$1=""),"",SUMIFS('All Donations'!$S$2:$S$4001,'All Donations'!$R$2:$R$4001,$AD272,'All Donations'!$T$2:$T$4001,M$1))</f>
        <v/>
      </c>
      <c r="N272" s="49">
        <f>IF(OR($AE272&lt;&gt;1,N$1=""),"",SUMIFS('All Donations'!$S$2:$S$4001,'All Donations'!$R$2:$R$4001,$AD272,'All Donations'!$T$2:$T$4001,N$1))</f>
        <v/>
      </c>
      <c r="O272" s="49">
        <f>IF(OR($AE272&lt;&gt;1,O$1=""),"",SUMIFS('All Donations'!$S$2:$S$4001,'All Donations'!$R$2:$R$4001,$AD272,'All Donations'!$T$2:$T$4001,O$1))</f>
        <v/>
      </c>
      <c r="P272" s="49">
        <f>IF(OR($AE272&lt;&gt;1,P$1=""),"",SUMIFS('All Donations'!$S$2:$S$4001,'All Donations'!$R$2:$R$4001,$AD272,'All Donations'!$T$2:$T$4001,P$1))</f>
        <v/>
      </c>
      <c r="Q272" s="49">
        <f>IF(OR($AE272&lt;&gt;1,Q$1=""),"",SUMIFS('All Donations'!$S$2:$S$4001,'All Donations'!$R$2:$R$4001,$AD272,'All Donations'!$T$2:$T$4001,Q$1))</f>
        <v/>
      </c>
      <c r="R272" s="49">
        <f>IF(OR($AE272&lt;&gt;1,R$1=""),"",SUMIFS('All Donations'!$S$2:$S$4001,'All Donations'!$R$2:$R$4001,$AD272,'All Donations'!$T$2:$T$4001,R$1))</f>
        <v/>
      </c>
      <c r="S272" s="49">
        <f>IF(OR($AE272&lt;&gt;1,S$1=""),"",SUMIFS('All Donations'!$S$2:$S$4001,'All Donations'!$R$2:$R$4001,$AD272,'All Donations'!$T$2:$T$4001,S$1))</f>
        <v/>
      </c>
      <c r="T272" s="49">
        <f>IF(OR($AE272&lt;&gt;1,T$1=""),"",SUMIFS('All Donations'!$S$2:$S$4001,'All Donations'!$R$2:$R$4001,$AD272,'All Donations'!$T$2:$T$4001,T$1))</f>
        <v/>
      </c>
      <c r="U272" s="49">
        <f>IF(OR($AE272&lt;&gt;1,U$1=""),"",SUMIFS('All Donations'!$S$2:$S$4001,'All Donations'!$R$2:$R$4001,$AD272,'All Donations'!$T$2:$T$4001,U$1))</f>
        <v/>
      </c>
      <c r="V272" s="49">
        <f>IF(OR($AE272&lt;&gt;1,V$1=""),"",SUMIFS('All Donations'!$S$2:$S$4001,'All Donations'!$R$2:$R$4001,$AD272,'All Donations'!$T$2:$T$4001,V$1))</f>
        <v/>
      </c>
      <c r="W272" s="49">
        <f>IF(OR($AE272&lt;&gt;1,W$1=""),"",SUMIFS('All Donations'!$S$2:$S$4001,'All Donations'!$R$2:$R$4001,$AD272,'All Donations'!$T$2:$T$4001,W$1))</f>
        <v/>
      </c>
      <c r="X272" s="49">
        <f>IF(OR($AE272&lt;&gt;1,X$1=""),"",SUMIFS('All Donations'!$S$2:$S$4001,'All Donations'!$R$2:$R$4001,$AD272,'All Donations'!$T$2:$T$4001,X$1))</f>
        <v/>
      </c>
      <c r="Y272" s="49">
        <f>IF(OR($AE272&lt;&gt;1,Y$1=""),"",SUMIFS('All Donations'!$S$2:$S$4001,'All Donations'!$R$2:$R$4001,$AD272,'All Donations'!$T$2:$T$4001,Y$1))</f>
        <v/>
      </c>
      <c r="Z272" s="49">
        <f>IF(OR($AE272&lt;&gt;1,Z$1=""),"",SUMIFS('All Donations'!$S$2:$S$4001,'All Donations'!$R$2:$R$4001,$AD272,'All Donations'!$T$2:$T$4001,Z$1))</f>
        <v/>
      </c>
      <c r="AA272" s="49">
        <f>IF(OR($AE272&lt;&gt;1,AA$1=""),"",SUMIFS('All Donations'!$S$2:$S$4001,'All Donations'!$R$2:$R$4001,$AD272,'All Donations'!$T$2:$T$4001,AA$1))</f>
        <v/>
      </c>
      <c r="AB272" s="49">
        <f>IF(OR($AE272&lt;&gt;1,AB$1=""),"",SUMIFS('All Donations'!$S$2:$S$4001,'All Donations'!$R$2:$R$4001,$AD272,'All Donations'!$T$2:$T$4001,AB$1))</f>
        <v/>
      </c>
      <c r="AC272" s="49">
        <f>IF(OR($AE272&lt;&gt;1,AC$1=""),"",SUMIFS('All Donations'!$S$2:$S$4001,'All Donations'!$R$2:$R$4001,$AD272,'All Donations'!$T$2:$T$4001,AC$1))</f>
        <v/>
      </c>
      <c r="AD272">
        <f>IF(AE272=1,'Roster'!A272,"")</f>
        <v/>
      </c>
      <c r="AE272">
        <f>IF(TRIM('Roster'!B272&amp;'Roster'!C272)&lt;&gt;"",1,0)</f>
        <v/>
      </c>
      <c r="AF272">
        <f>IF(AE272=1,LOWER(A272),"#")</f>
        <v/>
      </c>
      <c r="AG272">
        <f>IF(AE272=1,LOWER(TRIM(TRIM('Roster'!C272)&amp;", "&amp;TRIM('Roster'!B272))),"#")</f>
        <v/>
      </c>
      <c r="AH272">
        <f>IF(AND(AE272=1,TRIM('Roster'!F272)&lt;&gt;""),LOWER(TRIM('Roster'!F272)),"#")</f>
        <v/>
      </c>
      <c r="AI272">
        <f>IF(AE272=1,IF(MATCH(B272,$B$2:$B$701,0)=ROW()-1,1,0),0)</f>
        <v/>
      </c>
      <c r="AJ272">
        <f>AJ271+AI272</f>
        <v/>
      </c>
      <c r="AK272">
        <f>IF(AE272=1,D272+(1000-ROW())/10^7,-1)</f>
        <v/>
      </c>
      <c r="AL272">
        <f>IF(AE272=1,TRIM('Roster'!B272)&amp;" "&amp;LEFT(TRIM('Roster'!C272),1)&amp;".","")</f>
        <v/>
      </c>
      <c r="AM272">
        <f>IF(AE272=1,TRIM('Roster'!C272)&amp;", "&amp;TRIM('Roster'!B272)&amp;" ("&amp;B272&amp;") #"&amp;AD272,"")</f>
        <v/>
      </c>
      <c r="AN272">
        <f>IF(AE272=1,TRIM('Roster'!E272),"")</f>
        <v/>
      </c>
      <c r="AO272">
        <f>IF(AE272=1,ROUND(SUMIFS('All Donations'!$S$2:$S$4001,'All Donations'!$R$2:$R$4001,AD272,'All Donations'!$T$2:$T$4001,"&gt;="&amp;'Settings'!$C$23,'All Donations'!$T$2:$T$4001,"&lt;="&amp;'Settings'!$D$23),2),0)</f>
        <v/>
      </c>
      <c r="AQ272">
        <f>IF(AE272=1,ROUND(SUMIFS('All Donations'!$S$2:$S$4001,'All Donations'!$R$2:$R$4001,AD272,'All Donations'!$T$2:$T$4001,"&gt;="&amp;'Settings'!$C$25,'All Donations'!$T$2:$T$4001,"&lt;="&amp;'Settings'!$D$25),2),0)</f>
        <v/>
      </c>
      <c r="AR272">
        <f>IF(AE272=1,ROUND(SUMIFS('All Donations'!$S$2:$S$4001,'All Donations'!$R$2:$R$4001,AD272,'All Donations'!$T$2:$T$4001,"&gt;="&amp;'Settings'!$C$26,'All Donations'!$T$2:$T$4001,"&lt;="&amp;'Settings'!$D$26),2),0)</f>
        <v/>
      </c>
      <c r="AS272">
        <f>IF(AE272=1,ROUND(SUMIFS('All Donations'!$S$2:$S$4001,'All Donations'!$R$2:$R$4001,AD272,'All Donations'!$T$2:$T$4001,"&lt;="&amp;'Settings'!$D$27),2),0)</f>
        <v/>
      </c>
      <c r="AT272">
        <f>IF(AE272=1,ROUND(SUMIFS('All Donations'!$S$2:$S$4001,'All Donations'!$R$2:$R$4001,AD272,'All Donations'!$T$2:$T$4001,"&gt;="&amp;'Settings'!$C$28,'All Donations'!$T$2:$T$4001,"&lt;="&amp;'Settings'!$D$28),2),0)</f>
        <v/>
      </c>
      <c r="AU272">
        <f>IF(AE272=1,ROUND(SUMIFS('All Donations'!$S$2:$S$4001,'All Donations'!$R$2:$R$4001,AD272,'All Donations'!$T$2:$T$4001,"&gt;="&amp;'Settings'!$C$29,'All Donations'!$T$2:$T$4001,"&lt;="&amp;'Settings'!$D$29),2),0)</f>
        <v/>
      </c>
      <c r="AV272">
        <f>IF(AE272=1,ROUND(SUMIFS('All Donations'!$S$2:$S$4001,'All Donations'!$R$2:$R$4001,AD272,'All Donations'!$T$2:$T$4001,"&lt;="&amp;'Settings'!$D$30),2),0)</f>
        <v/>
      </c>
      <c r="AZ272">
        <f>IF(AE272=1,ROUND(SUMIFS('All Donations'!$S$2:$S$4001,'All Donations'!$R$2:$R$4001,AD272,'All Donations'!$T$2:$T$4001,"&lt;="&amp;'Settings'!$D$34),2),0)</f>
        <v/>
      </c>
    </row>
    <row r="273">
      <c r="A273">
        <f>IF(AE273=1,TRIM(TRIM('Roster'!B273)&amp;" "&amp;TRIM('Roster'!C273)),"")</f>
        <v/>
      </c>
      <c r="B273">
        <f>IF(AE273=1,IF(AN273="","(no teacher)",AN273&amp;" – "&amp;C273),"")</f>
        <v/>
      </c>
      <c r="C273">
        <f>IF(AE273=1,TRIM('Roster'!D273&amp;""),"")</f>
        <v/>
      </c>
      <c r="D273" s="48">
        <f>IF(AE273=1,ROUND(SUMIFS('All Donations'!$S$2:$S$4001,'All Donations'!$R$2:$R$4001,AD273),2),"")</f>
        <v/>
      </c>
      <c r="E273" s="48">
        <f>IF(AE273=1,ROUND(SUMIFS('All Donations'!$S$2:$S$4001,'All Donations'!$R$2:$R$4001,AD273,'All Donations'!$G$2:$G$4001,"OneCause"),2),"")</f>
        <v/>
      </c>
      <c r="F273" s="48">
        <f>IF(AE273=1,D273-E273,"")</f>
        <v/>
      </c>
      <c r="G273">
        <f>IF(AE273=1,COUNTIFS('All Donations'!$R$2:$R$4001,AD273,'All Donations'!$H$2:$H$4001,"OK"),"")</f>
        <v/>
      </c>
      <c r="H273">
        <f>IF(AE273&lt;&gt;1,"",IF(D273&gt;0,"Yes",""))</f>
        <v/>
      </c>
      <c r="I273" s="49">
        <f>IF(OR($AE273&lt;&gt;1,I$1=""),"",SUMIFS('All Donations'!$S$2:$S$4001,'All Donations'!$R$2:$R$4001,$AD273,'All Donations'!$T$2:$T$4001,I$1))</f>
        <v/>
      </c>
      <c r="J273" s="49">
        <f>IF(OR($AE273&lt;&gt;1,J$1=""),"",SUMIFS('All Donations'!$S$2:$S$4001,'All Donations'!$R$2:$R$4001,$AD273,'All Donations'!$T$2:$T$4001,J$1))</f>
        <v/>
      </c>
      <c r="K273" s="49">
        <f>IF(OR($AE273&lt;&gt;1,K$1=""),"",SUMIFS('All Donations'!$S$2:$S$4001,'All Donations'!$R$2:$R$4001,$AD273,'All Donations'!$T$2:$T$4001,K$1))</f>
        <v/>
      </c>
      <c r="L273" s="49">
        <f>IF(OR($AE273&lt;&gt;1,L$1=""),"",SUMIFS('All Donations'!$S$2:$S$4001,'All Donations'!$R$2:$R$4001,$AD273,'All Donations'!$T$2:$T$4001,L$1))</f>
        <v/>
      </c>
      <c r="M273" s="49">
        <f>IF(OR($AE273&lt;&gt;1,M$1=""),"",SUMIFS('All Donations'!$S$2:$S$4001,'All Donations'!$R$2:$R$4001,$AD273,'All Donations'!$T$2:$T$4001,M$1))</f>
        <v/>
      </c>
      <c r="N273" s="49">
        <f>IF(OR($AE273&lt;&gt;1,N$1=""),"",SUMIFS('All Donations'!$S$2:$S$4001,'All Donations'!$R$2:$R$4001,$AD273,'All Donations'!$T$2:$T$4001,N$1))</f>
        <v/>
      </c>
      <c r="O273" s="49">
        <f>IF(OR($AE273&lt;&gt;1,O$1=""),"",SUMIFS('All Donations'!$S$2:$S$4001,'All Donations'!$R$2:$R$4001,$AD273,'All Donations'!$T$2:$T$4001,O$1))</f>
        <v/>
      </c>
      <c r="P273" s="49">
        <f>IF(OR($AE273&lt;&gt;1,P$1=""),"",SUMIFS('All Donations'!$S$2:$S$4001,'All Donations'!$R$2:$R$4001,$AD273,'All Donations'!$T$2:$T$4001,P$1))</f>
        <v/>
      </c>
      <c r="Q273" s="49">
        <f>IF(OR($AE273&lt;&gt;1,Q$1=""),"",SUMIFS('All Donations'!$S$2:$S$4001,'All Donations'!$R$2:$R$4001,$AD273,'All Donations'!$T$2:$T$4001,Q$1))</f>
        <v/>
      </c>
      <c r="R273" s="49">
        <f>IF(OR($AE273&lt;&gt;1,R$1=""),"",SUMIFS('All Donations'!$S$2:$S$4001,'All Donations'!$R$2:$R$4001,$AD273,'All Donations'!$T$2:$T$4001,R$1))</f>
        <v/>
      </c>
      <c r="S273" s="49">
        <f>IF(OR($AE273&lt;&gt;1,S$1=""),"",SUMIFS('All Donations'!$S$2:$S$4001,'All Donations'!$R$2:$R$4001,$AD273,'All Donations'!$T$2:$T$4001,S$1))</f>
        <v/>
      </c>
      <c r="T273" s="49">
        <f>IF(OR($AE273&lt;&gt;1,T$1=""),"",SUMIFS('All Donations'!$S$2:$S$4001,'All Donations'!$R$2:$R$4001,$AD273,'All Donations'!$T$2:$T$4001,T$1))</f>
        <v/>
      </c>
      <c r="U273" s="49">
        <f>IF(OR($AE273&lt;&gt;1,U$1=""),"",SUMIFS('All Donations'!$S$2:$S$4001,'All Donations'!$R$2:$R$4001,$AD273,'All Donations'!$T$2:$T$4001,U$1))</f>
        <v/>
      </c>
      <c r="V273" s="49">
        <f>IF(OR($AE273&lt;&gt;1,V$1=""),"",SUMIFS('All Donations'!$S$2:$S$4001,'All Donations'!$R$2:$R$4001,$AD273,'All Donations'!$T$2:$T$4001,V$1))</f>
        <v/>
      </c>
      <c r="W273" s="49">
        <f>IF(OR($AE273&lt;&gt;1,W$1=""),"",SUMIFS('All Donations'!$S$2:$S$4001,'All Donations'!$R$2:$R$4001,$AD273,'All Donations'!$T$2:$T$4001,W$1))</f>
        <v/>
      </c>
      <c r="X273" s="49">
        <f>IF(OR($AE273&lt;&gt;1,X$1=""),"",SUMIFS('All Donations'!$S$2:$S$4001,'All Donations'!$R$2:$R$4001,$AD273,'All Donations'!$T$2:$T$4001,X$1))</f>
        <v/>
      </c>
      <c r="Y273" s="49">
        <f>IF(OR($AE273&lt;&gt;1,Y$1=""),"",SUMIFS('All Donations'!$S$2:$S$4001,'All Donations'!$R$2:$R$4001,$AD273,'All Donations'!$T$2:$T$4001,Y$1))</f>
        <v/>
      </c>
      <c r="Z273" s="49">
        <f>IF(OR($AE273&lt;&gt;1,Z$1=""),"",SUMIFS('All Donations'!$S$2:$S$4001,'All Donations'!$R$2:$R$4001,$AD273,'All Donations'!$T$2:$T$4001,Z$1))</f>
        <v/>
      </c>
      <c r="AA273" s="49">
        <f>IF(OR($AE273&lt;&gt;1,AA$1=""),"",SUMIFS('All Donations'!$S$2:$S$4001,'All Donations'!$R$2:$R$4001,$AD273,'All Donations'!$T$2:$T$4001,AA$1))</f>
        <v/>
      </c>
      <c r="AB273" s="49">
        <f>IF(OR($AE273&lt;&gt;1,AB$1=""),"",SUMIFS('All Donations'!$S$2:$S$4001,'All Donations'!$R$2:$R$4001,$AD273,'All Donations'!$T$2:$T$4001,AB$1))</f>
        <v/>
      </c>
      <c r="AC273" s="49">
        <f>IF(OR($AE273&lt;&gt;1,AC$1=""),"",SUMIFS('All Donations'!$S$2:$S$4001,'All Donations'!$R$2:$R$4001,$AD273,'All Donations'!$T$2:$T$4001,AC$1))</f>
        <v/>
      </c>
      <c r="AD273">
        <f>IF(AE273=1,'Roster'!A273,"")</f>
        <v/>
      </c>
      <c r="AE273">
        <f>IF(TRIM('Roster'!B273&amp;'Roster'!C273)&lt;&gt;"",1,0)</f>
        <v/>
      </c>
      <c r="AF273">
        <f>IF(AE273=1,LOWER(A273),"#")</f>
        <v/>
      </c>
      <c r="AG273">
        <f>IF(AE273=1,LOWER(TRIM(TRIM('Roster'!C273)&amp;", "&amp;TRIM('Roster'!B273))),"#")</f>
        <v/>
      </c>
      <c r="AH273">
        <f>IF(AND(AE273=1,TRIM('Roster'!F273)&lt;&gt;""),LOWER(TRIM('Roster'!F273)),"#")</f>
        <v/>
      </c>
      <c r="AI273">
        <f>IF(AE273=1,IF(MATCH(B273,$B$2:$B$701,0)=ROW()-1,1,0),0)</f>
        <v/>
      </c>
      <c r="AJ273">
        <f>AJ272+AI273</f>
        <v/>
      </c>
      <c r="AK273">
        <f>IF(AE273=1,D273+(1000-ROW())/10^7,-1)</f>
        <v/>
      </c>
      <c r="AL273">
        <f>IF(AE273=1,TRIM('Roster'!B273)&amp;" "&amp;LEFT(TRIM('Roster'!C273),1)&amp;".","")</f>
        <v/>
      </c>
      <c r="AM273">
        <f>IF(AE273=1,TRIM('Roster'!C273)&amp;", "&amp;TRIM('Roster'!B273)&amp;" ("&amp;B273&amp;") #"&amp;AD273,"")</f>
        <v/>
      </c>
      <c r="AN273">
        <f>IF(AE273=1,TRIM('Roster'!E273),"")</f>
        <v/>
      </c>
      <c r="AO273">
        <f>IF(AE273=1,ROUND(SUMIFS('All Donations'!$S$2:$S$4001,'All Donations'!$R$2:$R$4001,AD273,'All Donations'!$T$2:$T$4001,"&gt;="&amp;'Settings'!$C$23,'All Donations'!$T$2:$T$4001,"&lt;="&amp;'Settings'!$D$23),2),0)</f>
        <v/>
      </c>
      <c r="AQ273">
        <f>IF(AE273=1,ROUND(SUMIFS('All Donations'!$S$2:$S$4001,'All Donations'!$R$2:$R$4001,AD273,'All Donations'!$T$2:$T$4001,"&gt;="&amp;'Settings'!$C$25,'All Donations'!$T$2:$T$4001,"&lt;="&amp;'Settings'!$D$25),2),0)</f>
        <v/>
      </c>
      <c r="AR273">
        <f>IF(AE273=1,ROUND(SUMIFS('All Donations'!$S$2:$S$4001,'All Donations'!$R$2:$R$4001,AD273,'All Donations'!$T$2:$T$4001,"&gt;="&amp;'Settings'!$C$26,'All Donations'!$T$2:$T$4001,"&lt;="&amp;'Settings'!$D$26),2),0)</f>
        <v/>
      </c>
      <c r="AS273">
        <f>IF(AE273=1,ROUND(SUMIFS('All Donations'!$S$2:$S$4001,'All Donations'!$R$2:$R$4001,AD273,'All Donations'!$T$2:$T$4001,"&lt;="&amp;'Settings'!$D$27),2),0)</f>
        <v/>
      </c>
      <c r="AT273">
        <f>IF(AE273=1,ROUND(SUMIFS('All Donations'!$S$2:$S$4001,'All Donations'!$R$2:$R$4001,AD273,'All Donations'!$T$2:$T$4001,"&gt;="&amp;'Settings'!$C$28,'All Donations'!$T$2:$T$4001,"&lt;="&amp;'Settings'!$D$28),2),0)</f>
        <v/>
      </c>
      <c r="AU273">
        <f>IF(AE273=1,ROUND(SUMIFS('All Donations'!$S$2:$S$4001,'All Donations'!$R$2:$R$4001,AD273,'All Donations'!$T$2:$T$4001,"&gt;="&amp;'Settings'!$C$29,'All Donations'!$T$2:$T$4001,"&lt;="&amp;'Settings'!$D$29),2),0)</f>
        <v/>
      </c>
      <c r="AV273">
        <f>IF(AE273=1,ROUND(SUMIFS('All Donations'!$S$2:$S$4001,'All Donations'!$R$2:$R$4001,AD273,'All Donations'!$T$2:$T$4001,"&lt;="&amp;'Settings'!$D$30),2),0)</f>
        <v/>
      </c>
      <c r="AZ273">
        <f>IF(AE273=1,ROUND(SUMIFS('All Donations'!$S$2:$S$4001,'All Donations'!$R$2:$R$4001,AD273,'All Donations'!$T$2:$T$4001,"&lt;="&amp;'Settings'!$D$34),2),0)</f>
        <v/>
      </c>
    </row>
    <row r="274">
      <c r="A274">
        <f>IF(AE274=1,TRIM(TRIM('Roster'!B274)&amp;" "&amp;TRIM('Roster'!C274)),"")</f>
        <v/>
      </c>
      <c r="B274">
        <f>IF(AE274=1,IF(AN274="","(no teacher)",AN274&amp;" – "&amp;C274),"")</f>
        <v/>
      </c>
      <c r="C274">
        <f>IF(AE274=1,TRIM('Roster'!D274&amp;""),"")</f>
        <v/>
      </c>
      <c r="D274" s="48">
        <f>IF(AE274=1,ROUND(SUMIFS('All Donations'!$S$2:$S$4001,'All Donations'!$R$2:$R$4001,AD274),2),"")</f>
        <v/>
      </c>
      <c r="E274" s="48">
        <f>IF(AE274=1,ROUND(SUMIFS('All Donations'!$S$2:$S$4001,'All Donations'!$R$2:$R$4001,AD274,'All Donations'!$G$2:$G$4001,"OneCause"),2),"")</f>
        <v/>
      </c>
      <c r="F274" s="48">
        <f>IF(AE274=1,D274-E274,"")</f>
        <v/>
      </c>
      <c r="G274">
        <f>IF(AE274=1,COUNTIFS('All Donations'!$R$2:$R$4001,AD274,'All Donations'!$H$2:$H$4001,"OK"),"")</f>
        <v/>
      </c>
      <c r="H274">
        <f>IF(AE274&lt;&gt;1,"",IF(D274&gt;0,"Yes",""))</f>
        <v/>
      </c>
      <c r="I274" s="49">
        <f>IF(OR($AE274&lt;&gt;1,I$1=""),"",SUMIFS('All Donations'!$S$2:$S$4001,'All Donations'!$R$2:$R$4001,$AD274,'All Donations'!$T$2:$T$4001,I$1))</f>
        <v/>
      </c>
      <c r="J274" s="49">
        <f>IF(OR($AE274&lt;&gt;1,J$1=""),"",SUMIFS('All Donations'!$S$2:$S$4001,'All Donations'!$R$2:$R$4001,$AD274,'All Donations'!$T$2:$T$4001,J$1))</f>
        <v/>
      </c>
      <c r="K274" s="49">
        <f>IF(OR($AE274&lt;&gt;1,K$1=""),"",SUMIFS('All Donations'!$S$2:$S$4001,'All Donations'!$R$2:$R$4001,$AD274,'All Donations'!$T$2:$T$4001,K$1))</f>
        <v/>
      </c>
      <c r="L274" s="49">
        <f>IF(OR($AE274&lt;&gt;1,L$1=""),"",SUMIFS('All Donations'!$S$2:$S$4001,'All Donations'!$R$2:$R$4001,$AD274,'All Donations'!$T$2:$T$4001,L$1))</f>
        <v/>
      </c>
      <c r="M274" s="49">
        <f>IF(OR($AE274&lt;&gt;1,M$1=""),"",SUMIFS('All Donations'!$S$2:$S$4001,'All Donations'!$R$2:$R$4001,$AD274,'All Donations'!$T$2:$T$4001,M$1))</f>
        <v/>
      </c>
      <c r="N274" s="49">
        <f>IF(OR($AE274&lt;&gt;1,N$1=""),"",SUMIFS('All Donations'!$S$2:$S$4001,'All Donations'!$R$2:$R$4001,$AD274,'All Donations'!$T$2:$T$4001,N$1))</f>
        <v/>
      </c>
      <c r="O274" s="49">
        <f>IF(OR($AE274&lt;&gt;1,O$1=""),"",SUMIFS('All Donations'!$S$2:$S$4001,'All Donations'!$R$2:$R$4001,$AD274,'All Donations'!$T$2:$T$4001,O$1))</f>
        <v/>
      </c>
      <c r="P274" s="49">
        <f>IF(OR($AE274&lt;&gt;1,P$1=""),"",SUMIFS('All Donations'!$S$2:$S$4001,'All Donations'!$R$2:$R$4001,$AD274,'All Donations'!$T$2:$T$4001,P$1))</f>
        <v/>
      </c>
      <c r="Q274" s="49">
        <f>IF(OR($AE274&lt;&gt;1,Q$1=""),"",SUMIFS('All Donations'!$S$2:$S$4001,'All Donations'!$R$2:$R$4001,$AD274,'All Donations'!$T$2:$T$4001,Q$1))</f>
        <v/>
      </c>
      <c r="R274" s="49">
        <f>IF(OR($AE274&lt;&gt;1,R$1=""),"",SUMIFS('All Donations'!$S$2:$S$4001,'All Donations'!$R$2:$R$4001,$AD274,'All Donations'!$T$2:$T$4001,R$1))</f>
        <v/>
      </c>
      <c r="S274" s="49">
        <f>IF(OR($AE274&lt;&gt;1,S$1=""),"",SUMIFS('All Donations'!$S$2:$S$4001,'All Donations'!$R$2:$R$4001,$AD274,'All Donations'!$T$2:$T$4001,S$1))</f>
        <v/>
      </c>
      <c r="T274" s="49">
        <f>IF(OR($AE274&lt;&gt;1,T$1=""),"",SUMIFS('All Donations'!$S$2:$S$4001,'All Donations'!$R$2:$R$4001,$AD274,'All Donations'!$T$2:$T$4001,T$1))</f>
        <v/>
      </c>
      <c r="U274" s="49">
        <f>IF(OR($AE274&lt;&gt;1,U$1=""),"",SUMIFS('All Donations'!$S$2:$S$4001,'All Donations'!$R$2:$R$4001,$AD274,'All Donations'!$T$2:$T$4001,U$1))</f>
        <v/>
      </c>
      <c r="V274" s="49">
        <f>IF(OR($AE274&lt;&gt;1,V$1=""),"",SUMIFS('All Donations'!$S$2:$S$4001,'All Donations'!$R$2:$R$4001,$AD274,'All Donations'!$T$2:$T$4001,V$1))</f>
        <v/>
      </c>
      <c r="W274" s="49">
        <f>IF(OR($AE274&lt;&gt;1,W$1=""),"",SUMIFS('All Donations'!$S$2:$S$4001,'All Donations'!$R$2:$R$4001,$AD274,'All Donations'!$T$2:$T$4001,W$1))</f>
        <v/>
      </c>
      <c r="X274" s="49">
        <f>IF(OR($AE274&lt;&gt;1,X$1=""),"",SUMIFS('All Donations'!$S$2:$S$4001,'All Donations'!$R$2:$R$4001,$AD274,'All Donations'!$T$2:$T$4001,X$1))</f>
        <v/>
      </c>
      <c r="Y274" s="49">
        <f>IF(OR($AE274&lt;&gt;1,Y$1=""),"",SUMIFS('All Donations'!$S$2:$S$4001,'All Donations'!$R$2:$R$4001,$AD274,'All Donations'!$T$2:$T$4001,Y$1))</f>
        <v/>
      </c>
      <c r="Z274" s="49">
        <f>IF(OR($AE274&lt;&gt;1,Z$1=""),"",SUMIFS('All Donations'!$S$2:$S$4001,'All Donations'!$R$2:$R$4001,$AD274,'All Donations'!$T$2:$T$4001,Z$1))</f>
        <v/>
      </c>
      <c r="AA274" s="49">
        <f>IF(OR($AE274&lt;&gt;1,AA$1=""),"",SUMIFS('All Donations'!$S$2:$S$4001,'All Donations'!$R$2:$R$4001,$AD274,'All Donations'!$T$2:$T$4001,AA$1))</f>
        <v/>
      </c>
      <c r="AB274" s="49">
        <f>IF(OR($AE274&lt;&gt;1,AB$1=""),"",SUMIFS('All Donations'!$S$2:$S$4001,'All Donations'!$R$2:$R$4001,$AD274,'All Donations'!$T$2:$T$4001,AB$1))</f>
        <v/>
      </c>
      <c r="AC274" s="49">
        <f>IF(OR($AE274&lt;&gt;1,AC$1=""),"",SUMIFS('All Donations'!$S$2:$S$4001,'All Donations'!$R$2:$R$4001,$AD274,'All Donations'!$T$2:$T$4001,AC$1))</f>
        <v/>
      </c>
      <c r="AD274">
        <f>IF(AE274=1,'Roster'!A274,"")</f>
        <v/>
      </c>
      <c r="AE274">
        <f>IF(TRIM('Roster'!B274&amp;'Roster'!C274)&lt;&gt;"",1,0)</f>
        <v/>
      </c>
      <c r="AF274">
        <f>IF(AE274=1,LOWER(A274),"#")</f>
        <v/>
      </c>
      <c r="AG274">
        <f>IF(AE274=1,LOWER(TRIM(TRIM('Roster'!C274)&amp;", "&amp;TRIM('Roster'!B274))),"#")</f>
        <v/>
      </c>
      <c r="AH274">
        <f>IF(AND(AE274=1,TRIM('Roster'!F274)&lt;&gt;""),LOWER(TRIM('Roster'!F274)),"#")</f>
        <v/>
      </c>
      <c r="AI274">
        <f>IF(AE274=1,IF(MATCH(B274,$B$2:$B$701,0)=ROW()-1,1,0),0)</f>
        <v/>
      </c>
      <c r="AJ274">
        <f>AJ273+AI274</f>
        <v/>
      </c>
      <c r="AK274">
        <f>IF(AE274=1,D274+(1000-ROW())/10^7,-1)</f>
        <v/>
      </c>
      <c r="AL274">
        <f>IF(AE274=1,TRIM('Roster'!B274)&amp;" "&amp;LEFT(TRIM('Roster'!C274),1)&amp;".","")</f>
        <v/>
      </c>
      <c r="AM274">
        <f>IF(AE274=1,TRIM('Roster'!C274)&amp;", "&amp;TRIM('Roster'!B274)&amp;" ("&amp;B274&amp;") #"&amp;AD274,"")</f>
        <v/>
      </c>
      <c r="AN274">
        <f>IF(AE274=1,TRIM('Roster'!E274),"")</f>
        <v/>
      </c>
      <c r="AO274">
        <f>IF(AE274=1,ROUND(SUMIFS('All Donations'!$S$2:$S$4001,'All Donations'!$R$2:$R$4001,AD274,'All Donations'!$T$2:$T$4001,"&gt;="&amp;'Settings'!$C$23,'All Donations'!$T$2:$T$4001,"&lt;="&amp;'Settings'!$D$23),2),0)</f>
        <v/>
      </c>
      <c r="AQ274">
        <f>IF(AE274=1,ROUND(SUMIFS('All Donations'!$S$2:$S$4001,'All Donations'!$R$2:$R$4001,AD274,'All Donations'!$T$2:$T$4001,"&gt;="&amp;'Settings'!$C$25,'All Donations'!$T$2:$T$4001,"&lt;="&amp;'Settings'!$D$25),2),0)</f>
        <v/>
      </c>
      <c r="AR274">
        <f>IF(AE274=1,ROUND(SUMIFS('All Donations'!$S$2:$S$4001,'All Donations'!$R$2:$R$4001,AD274,'All Donations'!$T$2:$T$4001,"&gt;="&amp;'Settings'!$C$26,'All Donations'!$T$2:$T$4001,"&lt;="&amp;'Settings'!$D$26),2),0)</f>
        <v/>
      </c>
      <c r="AS274">
        <f>IF(AE274=1,ROUND(SUMIFS('All Donations'!$S$2:$S$4001,'All Donations'!$R$2:$R$4001,AD274,'All Donations'!$T$2:$T$4001,"&lt;="&amp;'Settings'!$D$27),2),0)</f>
        <v/>
      </c>
      <c r="AT274">
        <f>IF(AE274=1,ROUND(SUMIFS('All Donations'!$S$2:$S$4001,'All Donations'!$R$2:$R$4001,AD274,'All Donations'!$T$2:$T$4001,"&gt;="&amp;'Settings'!$C$28,'All Donations'!$T$2:$T$4001,"&lt;="&amp;'Settings'!$D$28),2),0)</f>
        <v/>
      </c>
      <c r="AU274">
        <f>IF(AE274=1,ROUND(SUMIFS('All Donations'!$S$2:$S$4001,'All Donations'!$R$2:$R$4001,AD274,'All Donations'!$T$2:$T$4001,"&gt;="&amp;'Settings'!$C$29,'All Donations'!$T$2:$T$4001,"&lt;="&amp;'Settings'!$D$29),2),0)</f>
        <v/>
      </c>
      <c r="AV274">
        <f>IF(AE274=1,ROUND(SUMIFS('All Donations'!$S$2:$S$4001,'All Donations'!$R$2:$R$4001,AD274,'All Donations'!$T$2:$T$4001,"&lt;="&amp;'Settings'!$D$30),2),0)</f>
        <v/>
      </c>
      <c r="AZ274">
        <f>IF(AE274=1,ROUND(SUMIFS('All Donations'!$S$2:$S$4001,'All Donations'!$R$2:$R$4001,AD274,'All Donations'!$T$2:$T$4001,"&lt;="&amp;'Settings'!$D$34),2),0)</f>
        <v/>
      </c>
    </row>
    <row r="275">
      <c r="A275">
        <f>IF(AE275=1,TRIM(TRIM('Roster'!B275)&amp;" "&amp;TRIM('Roster'!C275)),"")</f>
        <v/>
      </c>
      <c r="B275">
        <f>IF(AE275=1,IF(AN275="","(no teacher)",AN275&amp;" – "&amp;C275),"")</f>
        <v/>
      </c>
      <c r="C275">
        <f>IF(AE275=1,TRIM('Roster'!D275&amp;""),"")</f>
        <v/>
      </c>
      <c r="D275" s="48">
        <f>IF(AE275=1,ROUND(SUMIFS('All Donations'!$S$2:$S$4001,'All Donations'!$R$2:$R$4001,AD275),2),"")</f>
        <v/>
      </c>
      <c r="E275" s="48">
        <f>IF(AE275=1,ROUND(SUMIFS('All Donations'!$S$2:$S$4001,'All Donations'!$R$2:$R$4001,AD275,'All Donations'!$G$2:$G$4001,"OneCause"),2),"")</f>
        <v/>
      </c>
      <c r="F275" s="48">
        <f>IF(AE275=1,D275-E275,"")</f>
        <v/>
      </c>
      <c r="G275">
        <f>IF(AE275=1,COUNTIFS('All Donations'!$R$2:$R$4001,AD275,'All Donations'!$H$2:$H$4001,"OK"),"")</f>
        <v/>
      </c>
      <c r="H275">
        <f>IF(AE275&lt;&gt;1,"",IF(D275&gt;0,"Yes",""))</f>
        <v/>
      </c>
      <c r="I275" s="49">
        <f>IF(OR($AE275&lt;&gt;1,I$1=""),"",SUMIFS('All Donations'!$S$2:$S$4001,'All Donations'!$R$2:$R$4001,$AD275,'All Donations'!$T$2:$T$4001,I$1))</f>
        <v/>
      </c>
      <c r="J275" s="49">
        <f>IF(OR($AE275&lt;&gt;1,J$1=""),"",SUMIFS('All Donations'!$S$2:$S$4001,'All Donations'!$R$2:$R$4001,$AD275,'All Donations'!$T$2:$T$4001,J$1))</f>
        <v/>
      </c>
      <c r="K275" s="49">
        <f>IF(OR($AE275&lt;&gt;1,K$1=""),"",SUMIFS('All Donations'!$S$2:$S$4001,'All Donations'!$R$2:$R$4001,$AD275,'All Donations'!$T$2:$T$4001,K$1))</f>
        <v/>
      </c>
      <c r="L275" s="49">
        <f>IF(OR($AE275&lt;&gt;1,L$1=""),"",SUMIFS('All Donations'!$S$2:$S$4001,'All Donations'!$R$2:$R$4001,$AD275,'All Donations'!$T$2:$T$4001,L$1))</f>
        <v/>
      </c>
      <c r="M275" s="49">
        <f>IF(OR($AE275&lt;&gt;1,M$1=""),"",SUMIFS('All Donations'!$S$2:$S$4001,'All Donations'!$R$2:$R$4001,$AD275,'All Donations'!$T$2:$T$4001,M$1))</f>
        <v/>
      </c>
      <c r="N275" s="49">
        <f>IF(OR($AE275&lt;&gt;1,N$1=""),"",SUMIFS('All Donations'!$S$2:$S$4001,'All Donations'!$R$2:$R$4001,$AD275,'All Donations'!$T$2:$T$4001,N$1))</f>
        <v/>
      </c>
      <c r="O275" s="49">
        <f>IF(OR($AE275&lt;&gt;1,O$1=""),"",SUMIFS('All Donations'!$S$2:$S$4001,'All Donations'!$R$2:$R$4001,$AD275,'All Donations'!$T$2:$T$4001,O$1))</f>
        <v/>
      </c>
      <c r="P275" s="49">
        <f>IF(OR($AE275&lt;&gt;1,P$1=""),"",SUMIFS('All Donations'!$S$2:$S$4001,'All Donations'!$R$2:$R$4001,$AD275,'All Donations'!$T$2:$T$4001,P$1))</f>
        <v/>
      </c>
      <c r="Q275" s="49">
        <f>IF(OR($AE275&lt;&gt;1,Q$1=""),"",SUMIFS('All Donations'!$S$2:$S$4001,'All Donations'!$R$2:$R$4001,$AD275,'All Donations'!$T$2:$T$4001,Q$1))</f>
        <v/>
      </c>
      <c r="R275" s="49">
        <f>IF(OR($AE275&lt;&gt;1,R$1=""),"",SUMIFS('All Donations'!$S$2:$S$4001,'All Donations'!$R$2:$R$4001,$AD275,'All Donations'!$T$2:$T$4001,R$1))</f>
        <v/>
      </c>
      <c r="S275" s="49">
        <f>IF(OR($AE275&lt;&gt;1,S$1=""),"",SUMIFS('All Donations'!$S$2:$S$4001,'All Donations'!$R$2:$R$4001,$AD275,'All Donations'!$T$2:$T$4001,S$1))</f>
        <v/>
      </c>
      <c r="T275" s="49">
        <f>IF(OR($AE275&lt;&gt;1,T$1=""),"",SUMIFS('All Donations'!$S$2:$S$4001,'All Donations'!$R$2:$R$4001,$AD275,'All Donations'!$T$2:$T$4001,T$1))</f>
        <v/>
      </c>
      <c r="U275" s="49">
        <f>IF(OR($AE275&lt;&gt;1,U$1=""),"",SUMIFS('All Donations'!$S$2:$S$4001,'All Donations'!$R$2:$R$4001,$AD275,'All Donations'!$T$2:$T$4001,U$1))</f>
        <v/>
      </c>
      <c r="V275" s="49">
        <f>IF(OR($AE275&lt;&gt;1,V$1=""),"",SUMIFS('All Donations'!$S$2:$S$4001,'All Donations'!$R$2:$R$4001,$AD275,'All Donations'!$T$2:$T$4001,V$1))</f>
        <v/>
      </c>
      <c r="W275" s="49">
        <f>IF(OR($AE275&lt;&gt;1,W$1=""),"",SUMIFS('All Donations'!$S$2:$S$4001,'All Donations'!$R$2:$R$4001,$AD275,'All Donations'!$T$2:$T$4001,W$1))</f>
        <v/>
      </c>
      <c r="X275" s="49">
        <f>IF(OR($AE275&lt;&gt;1,X$1=""),"",SUMIFS('All Donations'!$S$2:$S$4001,'All Donations'!$R$2:$R$4001,$AD275,'All Donations'!$T$2:$T$4001,X$1))</f>
        <v/>
      </c>
      <c r="Y275" s="49">
        <f>IF(OR($AE275&lt;&gt;1,Y$1=""),"",SUMIFS('All Donations'!$S$2:$S$4001,'All Donations'!$R$2:$R$4001,$AD275,'All Donations'!$T$2:$T$4001,Y$1))</f>
        <v/>
      </c>
      <c r="Z275" s="49">
        <f>IF(OR($AE275&lt;&gt;1,Z$1=""),"",SUMIFS('All Donations'!$S$2:$S$4001,'All Donations'!$R$2:$R$4001,$AD275,'All Donations'!$T$2:$T$4001,Z$1))</f>
        <v/>
      </c>
      <c r="AA275" s="49">
        <f>IF(OR($AE275&lt;&gt;1,AA$1=""),"",SUMIFS('All Donations'!$S$2:$S$4001,'All Donations'!$R$2:$R$4001,$AD275,'All Donations'!$T$2:$T$4001,AA$1))</f>
        <v/>
      </c>
      <c r="AB275" s="49">
        <f>IF(OR($AE275&lt;&gt;1,AB$1=""),"",SUMIFS('All Donations'!$S$2:$S$4001,'All Donations'!$R$2:$R$4001,$AD275,'All Donations'!$T$2:$T$4001,AB$1))</f>
        <v/>
      </c>
      <c r="AC275" s="49">
        <f>IF(OR($AE275&lt;&gt;1,AC$1=""),"",SUMIFS('All Donations'!$S$2:$S$4001,'All Donations'!$R$2:$R$4001,$AD275,'All Donations'!$T$2:$T$4001,AC$1))</f>
        <v/>
      </c>
      <c r="AD275">
        <f>IF(AE275=1,'Roster'!A275,"")</f>
        <v/>
      </c>
      <c r="AE275">
        <f>IF(TRIM('Roster'!B275&amp;'Roster'!C275)&lt;&gt;"",1,0)</f>
        <v/>
      </c>
      <c r="AF275">
        <f>IF(AE275=1,LOWER(A275),"#")</f>
        <v/>
      </c>
      <c r="AG275">
        <f>IF(AE275=1,LOWER(TRIM(TRIM('Roster'!C275)&amp;", "&amp;TRIM('Roster'!B275))),"#")</f>
        <v/>
      </c>
      <c r="AH275">
        <f>IF(AND(AE275=1,TRIM('Roster'!F275)&lt;&gt;""),LOWER(TRIM('Roster'!F275)),"#")</f>
        <v/>
      </c>
      <c r="AI275">
        <f>IF(AE275=1,IF(MATCH(B275,$B$2:$B$701,0)=ROW()-1,1,0),0)</f>
        <v/>
      </c>
      <c r="AJ275">
        <f>AJ274+AI275</f>
        <v/>
      </c>
      <c r="AK275">
        <f>IF(AE275=1,D275+(1000-ROW())/10^7,-1)</f>
        <v/>
      </c>
      <c r="AL275">
        <f>IF(AE275=1,TRIM('Roster'!B275)&amp;" "&amp;LEFT(TRIM('Roster'!C275),1)&amp;".","")</f>
        <v/>
      </c>
      <c r="AM275">
        <f>IF(AE275=1,TRIM('Roster'!C275)&amp;", "&amp;TRIM('Roster'!B275)&amp;" ("&amp;B275&amp;") #"&amp;AD275,"")</f>
        <v/>
      </c>
      <c r="AN275">
        <f>IF(AE275=1,TRIM('Roster'!E275),"")</f>
        <v/>
      </c>
      <c r="AO275">
        <f>IF(AE275=1,ROUND(SUMIFS('All Donations'!$S$2:$S$4001,'All Donations'!$R$2:$R$4001,AD275,'All Donations'!$T$2:$T$4001,"&gt;="&amp;'Settings'!$C$23,'All Donations'!$T$2:$T$4001,"&lt;="&amp;'Settings'!$D$23),2),0)</f>
        <v/>
      </c>
      <c r="AQ275">
        <f>IF(AE275=1,ROUND(SUMIFS('All Donations'!$S$2:$S$4001,'All Donations'!$R$2:$R$4001,AD275,'All Donations'!$T$2:$T$4001,"&gt;="&amp;'Settings'!$C$25,'All Donations'!$T$2:$T$4001,"&lt;="&amp;'Settings'!$D$25),2),0)</f>
        <v/>
      </c>
      <c r="AR275">
        <f>IF(AE275=1,ROUND(SUMIFS('All Donations'!$S$2:$S$4001,'All Donations'!$R$2:$R$4001,AD275,'All Donations'!$T$2:$T$4001,"&gt;="&amp;'Settings'!$C$26,'All Donations'!$T$2:$T$4001,"&lt;="&amp;'Settings'!$D$26),2),0)</f>
        <v/>
      </c>
      <c r="AS275">
        <f>IF(AE275=1,ROUND(SUMIFS('All Donations'!$S$2:$S$4001,'All Donations'!$R$2:$R$4001,AD275,'All Donations'!$T$2:$T$4001,"&lt;="&amp;'Settings'!$D$27),2),0)</f>
        <v/>
      </c>
      <c r="AT275">
        <f>IF(AE275=1,ROUND(SUMIFS('All Donations'!$S$2:$S$4001,'All Donations'!$R$2:$R$4001,AD275,'All Donations'!$T$2:$T$4001,"&gt;="&amp;'Settings'!$C$28,'All Donations'!$T$2:$T$4001,"&lt;="&amp;'Settings'!$D$28),2),0)</f>
        <v/>
      </c>
      <c r="AU275">
        <f>IF(AE275=1,ROUND(SUMIFS('All Donations'!$S$2:$S$4001,'All Donations'!$R$2:$R$4001,AD275,'All Donations'!$T$2:$T$4001,"&gt;="&amp;'Settings'!$C$29,'All Donations'!$T$2:$T$4001,"&lt;="&amp;'Settings'!$D$29),2),0)</f>
        <v/>
      </c>
      <c r="AV275">
        <f>IF(AE275=1,ROUND(SUMIFS('All Donations'!$S$2:$S$4001,'All Donations'!$R$2:$R$4001,AD275,'All Donations'!$T$2:$T$4001,"&lt;="&amp;'Settings'!$D$30),2),0)</f>
        <v/>
      </c>
      <c r="AZ275">
        <f>IF(AE275=1,ROUND(SUMIFS('All Donations'!$S$2:$S$4001,'All Donations'!$R$2:$R$4001,AD275,'All Donations'!$T$2:$T$4001,"&lt;="&amp;'Settings'!$D$34),2),0)</f>
        <v/>
      </c>
    </row>
    <row r="276">
      <c r="A276">
        <f>IF(AE276=1,TRIM(TRIM('Roster'!B276)&amp;" "&amp;TRIM('Roster'!C276)),"")</f>
        <v/>
      </c>
      <c r="B276">
        <f>IF(AE276=1,IF(AN276="","(no teacher)",AN276&amp;" – "&amp;C276),"")</f>
        <v/>
      </c>
      <c r="C276">
        <f>IF(AE276=1,TRIM('Roster'!D276&amp;""),"")</f>
        <v/>
      </c>
      <c r="D276" s="48">
        <f>IF(AE276=1,ROUND(SUMIFS('All Donations'!$S$2:$S$4001,'All Donations'!$R$2:$R$4001,AD276),2),"")</f>
        <v/>
      </c>
      <c r="E276" s="48">
        <f>IF(AE276=1,ROUND(SUMIFS('All Donations'!$S$2:$S$4001,'All Donations'!$R$2:$R$4001,AD276,'All Donations'!$G$2:$G$4001,"OneCause"),2),"")</f>
        <v/>
      </c>
      <c r="F276" s="48">
        <f>IF(AE276=1,D276-E276,"")</f>
        <v/>
      </c>
      <c r="G276">
        <f>IF(AE276=1,COUNTIFS('All Donations'!$R$2:$R$4001,AD276,'All Donations'!$H$2:$H$4001,"OK"),"")</f>
        <v/>
      </c>
      <c r="H276">
        <f>IF(AE276&lt;&gt;1,"",IF(D276&gt;0,"Yes",""))</f>
        <v/>
      </c>
      <c r="I276" s="49">
        <f>IF(OR($AE276&lt;&gt;1,I$1=""),"",SUMIFS('All Donations'!$S$2:$S$4001,'All Donations'!$R$2:$R$4001,$AD276,'All Donations'!$T$2:$T$4001,I$1))</f>
        <v/>
      </c>
      <c r="J276" s="49">
        <f>IF(OR($AE276&lt;&gt;1,J$1=""),"",SUMIFS('All Donations'!$S$2:$S$4001,'All Donations'!$R$2:$R$4001,$AD276,'All Donations'!$T$2:$T$4001,J$1))</f>
        <v/>
      </c>
      <c r="K276" s="49">
        <f>IF(OR($AE276&lt;&gt;1,K$1=""),"",SUMIFS('All Donations'!$S$2:$S$4001,'All Donations'!$R$2:$R$4001,$AD276,'All Donations'!$T$2:$T$4001,K$1))</f>
        <v/>
      </c>
      <c r="L276" s="49">
        <f>IF(OR($AE276&lt;&gt;1,L$1=""),"",SUMIFS('All Donations'!$S$2:$S$4001,'All Donations'!$R$2:$R$4001,$AD276,'All Donations'!$T$2:$T$4001,L$1))</f>
        <v/>
      </c>
      <c r="M276" s="49">
        <f>IF(OR($AE276&lt;&gt;1,M$1=""),"",SUMIFS('All Donations'!$S$2:$S$4001,'All Donations'!$R$2:$R$4001,$AD276,'All Donations'!$T$2:$T$4001,M$1))</f>
        <v/>
      </c>
      <c r="N276" s="49">
        <f>IF(OR($AE276&lt;&gt;1,N$1=""),"",SUMIFS('All Donations'!$S$2:$S$4001,'All Donations'!$R$2:$R$4001,$AD276,'All Donations'!$T$2:$T$4001,N$1))</f>
        <v/>
      </c>
      <c r="O276" s="49">
        <f>IF(OR($AE276&lt;&gt;1,O$1=""),"",SUMIFS('All Donations'!$S$2:$S$4001,'All Donations'!$R$2:$R$4001,$AD276,'All Donations'!$T$2:$T$4001,O$1))</f>
        <v/>
      </c>
      <c r="P276" s="49">
        <f>IF(OR($AE276&lt;&gt;1,P$1=""),"",SUMIFS('All Donations'!$S$2:$S$4001,'All Donations'!$R$2:$R$4001,$AD276,'All Donations'!$T$2:$T$4001,P$1))</f>
        <v/>
      </c>
      <c r="Q276" s="49">
        <f>IF(OR($AE276&lt;&gt;1,Q$1=""),"",SUMIFS('All Donations'!$S$2:$S$4001,'All Donations'!$R$2:$R$4001,$AD276,'All Donations'!$T$2:$T$4001,Q$1))</f>
        <v/>
      </c>
      <c r="R276" s="49">
        <f>IF(OR($AE276&lt;&gt;1,R$1=""),"",SUMIFS('All Donations'!$S$2:$S$4001,'All Donations'!$R$2:$R$4001,$AD276,'All Donations'!$T$2:$T$4001,R$1))</f>
        <v/>
      </c>
      <c r="S276" s="49">
        <f>IF(OR($AE276&lt;&gt;1,S$1=""),"",SUMIFS('All Donations'!$S$2:$S$4001,'All Donations'!$R$2:$R$4001,$AD276,'All Donations'!$T$2:$T$4001,S$1))</f>
        <v/>
      </c>
      <c r="T276" s="49">
        <f>IF(OR($AE276&lt;&gt;1,T$1=""),"",SUMIFS('All Donations'!$S$2:$S$4001,'All Donations'!$R$2:$R$4001,$AD276,'All Donations'!$T$2:$T$4001,T$1))</f>
        <v/>
      </c>
      <c r="U276" s="49">
        <f>IF(OR($AE276&lt;&gt;1,U$1=""),"",SUMIFS('All Donations'!$S$2:$S$4001,'All Donations'!$R$2:$R$4001,$AD276,'All Donations'!$T$2:$T$4001,U$1))</f>
        <v/>
      </c>
      <c r="V276" s="49">
        <f>IF(OR($AE276&lt;&gt;1,V$1=""),"",SUMIFS('All Donations'!$S$2:$S$4001,'All Donations'!$R$2:$R$4001,$AD276,'All Donations'!$T$2:$T$4001,V$1))</f>
        <v/>
      </c>
      <c r="W276" s="49">
        <f>IF(OR($AE276&lt;&gt;1,W$1=""),"",SUMIFS('All Donations'!$S$2:$S$4001,'All Donations'!$R$2:$R$4001,$AD276,'All Donations'!$T$2:$T$4001,W$1))</f>
        <v/>
      </c>
      <c r="X276" s="49">
        <f>IF(OR($AE276&lt;&gt;1,X$1=""),"",SUMIFS('All Donations'!$S$2:$S$4001,'All Donations'!$R$2:$R$4001,$AD276,'All Donations'!$T$2:$T$4001,X$1))</f>
        <v/>
      </c>
      <c r="Y276" s="49">
        <f>IF(OR($AE276&lt;&gt;1,Y$1=""),"",SUMIFS('All Donations'!$S$2:$S$4001,'All Donations'!$R$2:$R$4001,$AD276,'All Donations'!$T$2:$T$4001,Y$1))</f>
        <v/>
      </c>
      <c r="Z276" s="49">
        <f>IF(OR($AE276&lt;&gt;1,Z$1=""),"",SUMIFS('All Donations'!$S$2:$S$4001,'All Donations'!$R$2:$R$4001,$AD276,'All Donations'!$T$2:$T$4001,Z$1))</f>
        <v/>
      </c>
      <c r="AA276" s="49">
        <f>IF(OR($AE276&lt;&gt;1,AA$1=""),"",SUMIFS('All Donations'!$S$2:$S$4001,'All Donations'!$R$2:$R$4001,$AD276,'All Donations'!$T$2:$T$4001,AA$1))</f>
        <v/>
      </c>
      <c r="AB276" s="49">
        <f>IF(OR($AE276&lt;&gt;1,AB$1=""),"",SUMIFS('All Donations'!$S$2:$S$4001,'All Donations'!$R$2:$R$4001,$AD276,'All Donations'!$T$2:$T$4001,AB$1))</f>
        <v/>
      </c>
      <c r="AC276" s="49">
        <f>IF(OR($AE276&lt;&gt;1,AC$1=""),"",SUMIFS('All Donations'!$S$2:$S$4001,'All Donations'!$R$2:$R$4001,$AD276,'All Donations'!$T$2:$T$4001,AC$1))</f>
        <v/>
      </c>
      <c r="AD276">
        <f>IF(AE276=1,'Roster'!A276,"")</f>
        <v/>
      </c>
      <c r="AE276">
        <f>IF(TRIM('Roster'!B276&amp;'Roster'!C276)&lt;&gt;"",1,0)</f>
        <v/>
      </c>
      <c r="AF276">
        <f>IF(AE276=1,LOWER(A276),"#")</f>
        <v/>
      </c>
      <c r="AG276">
        <f>IF(AE276=1,LOWER(TRIM(TRIM('Roster'!C276)&amp;", "&amp;TRIM('Roster'!B276))),"#")</f>
        <v/>
      </c>
      <c r="AH276">
        <f>IF(AND(AE276=1,TRIM('Roster'!F276)&lt;&gt;""),LOWER(TRIM('Roster'!F276)),"#")</f>
        <v/>
      </c>
      <c r="AI276">
        <f>IF(AE276=1,IF(MATCH(B276,$B$2:$B$701,0)=ROW()-1,1,0),0)</f>
        <v/>
      </c>
      <c r="AJ276">
        <f>AJ275+AI276</f>
        <v/>
      </c>
      <c r="AK276">
        <f>IF(AE276=1,D276+(1000-ROW())/10^7,-1)</f>
        <v/>
      </c>
      <c r="AL276">
        <f>IF(AE276=1,TRIM('Roster'!B276)&amp;" "&amp;LEFT(TRIM('Roster'!C276),1)&amp;".","")</f>
        <v/>
      </c>
      <c r="AM276">
        <f>IF(AE276=1,TRIM('Roster'!C276)&amp;", "&amp;TRIM('Roster'!B276)&amp;" ("&amp;B276&amp;") #"&amp;AD276,"")</f>
        <v/>
      </c>
      <c r="AN276">
        <f>IF(AE276=1,TRIM('Roster'!E276),"")</f>
        <v/>
      </c>
      <c r="AO276">
        <f>IF(AE276=1,ROUND(SUMIFS('All Donations'!$S$2:$S$4001,'All Donations'!$R$2:$R$4001,AD276,'All Donations'!$T$2:$T$4001,"&gt;="&amp;'Settings'!$C$23,'All Donations'!$T$2:$T$4001,"&lt;="&amp;'Settings'!$D$23),2),0)</f>
        <v/>
      </c>
      <c r="AQ276">
        <f>IF(AE276=1,ROUND(SUMIFS('All Donations'!$S$2:$S$4001,'All Donations'!$R$2:$R$4001,AD276,'All Donations'!$T$2:$T$4001,"&gt;="&amp;'Settings'!$C$25,'All Donations'!$T$2:$T$4001,"&lt;="&amp;'Settings'!$D$25),2),0)</f>
        <v/>
      </c>
      <c r="AR276">
        <f>IF(AE276=1,ROUND(SUMIFS('All Donations'!$S$2:$S$4001,'All Donations'!$R$2:$R$4001,AD276,'All Donations'!$T$2:$T$4001,"&gt;="&amp;'Settings'!$C$26,'All Donations'!$T$2:$T$4001,"&lt;="&amp;'Settings'!$D$26),2),0)</f>
        <v/>
      </c>
      <c r="AS276">
        <f>IF(AE276=1,ROUND(SUMIFS('All Donations'!$S$2:$S$4001,'All Donations'!$R$2:$R$4001,AD276,'All Donations'!$T$2:$T$4001,"&lt;="&amp;'Settings'!$D$27),2),0)</f>
        <v/>
      </c>
      <c r="AT276">
        <f>IF(AE276=1,ROUND(SUMIFS('All Donations'!$S$2:$S$4001,'All Donations'!$R$2:$R$4001,AD276,'All Donations'!$T$2:$T$4001,"&gt;="&amp;'Settings'!$C$28,'All Donations'!$T$2:$T$4001,"&lt;="&amp;'Settings'!$D$28),2),0)</f>
        <v/>
      </c>
      <c r="AU276">
        <f>IF(AE276=1,ROUND(SUMIFS('All Donations'!$S$2:$S$4001,'All Donations'!$R$2:$R$4001,AD276,'All Donations'!$T$2:$T$4001,"&gt;="&amp;'Settings'!$C$29,'All Donations'!$T$2:$T$4001,"&lt;="&amp;'Settings'!$D$29),2),0)</f>
        <v/>
      </c>
      <c r="AV276">
        <f>IF(AE276=1,ROUND(SUMIFS('All Donations'!$S$2:$S$4001,'All Donations'!$R$2:$R$4001,AD276,'All Donations'!$T$2:$T$4001,"&lt;="&amp;'Settings'!$D$30),2),0)</f>
        <v/>
      </c>
      <c r="AZ276">
        <f>IF(AE276=1,ROUND(SUMIFS('All Donations'!$S$2:$S$4001,'All Donations'!$R$2:$R$4001,AD276,'All Donations'!$T$2:$T$4001,"&lt;="&amp;'Settings'!$D$34),2),0)</f>
        <v/>
      </c>
    </row>
    <row r="277">
      <c r="A277">
        <f>IF(AE277=1,TRIM(TRIM('Roster'!B277)&amp;" "&amp;TRIM('Roster'!C277)),"")</f>
        <v/>
      </c>
      <c r="B277">
        <f>IF(AE277=1,IF(AN277="","(no teacher)",AN277&amp;" – "&amp;C277),"")</f>
        <v/>
      </c>
      <c r="C277">
        <f>IF(AE277=1,TRIM('Roster'!D277&amp;""),"")</f>
        <v/>
      </c>
      <c r="D277" s="48">
        <f>IF(AE277=1,ROUND(SUMIFS('All Donations'!$S$2:$S$4001,'All Donations'!$R$2:$R$4001,AD277),2),"")</f>
        <v/>
      </c>
      <c r="E277" s="48">
        <f>IF(AE277=1,ROUND(SUMIFS('All Donations'!$S$2:$S$4001,'All Donations'!$R$2:$R$4001,AD277,'All Donations'!$G$2:$G$4001,"OneCause"),2),"")</f>
        <v/>
      </c>
      <c r="F277" s="48">
        <f>IF(AE277=1,D277-E277,"")</f>
        <v/>
      </c>
      <c r="G277">
        <f>IF(AE277=1,COUNTIFS('All Donations'!$R$2:$R$4001,AD277,'All Donations'!$H$2:$H$4001,"OK"),"")</f>
        <v/>
      </c>
      <c r="H277">
        <f>IF(AE277&lt;&gt;1,"",IF(D277&gt;0,"Yes",""))</f>
        <v/>
      </c>
      <c r="I277" s="49">
        <f>IF(OR($AE277&lt;&gt;1,I$1=""),"",SUMIFS('All Donations'!$S$2:$S$4001,'All Donations'!$R$2:$R$4001,$AD277,'All Donations'!$T$2:$T$4001,I$1))</f>
        <v/>
      </c>
      <c r="J277" s="49">
        <f>IF(OR($AE277&lt;&gt;1,J$1=""),"",SUMIFS('All Donations'!$S$2:$S$4001,'All Donations'!$R$2:$R$4001,$AD277,'All Donations'!$T$2:$T$4001,J$1))</f>
        <v/>
      </c>
      <c r="K277" s="49">
        <f>IF(OR($AE277&lt;&gt;1,K$1=""),"",SUMIFS('All Donations'!$S$2:$S$4001,'All Donations'!$R$2:$R$4001,$AD277,'All Donations'!$T$2:$T$4001,K$1))</f>
        <v/>
      </c>
      <c r="L277" s="49">
        <f>IF(OR($AE277&lt;&gt;1,L$1=""),"",SUMIFS('All Donations'!$S$2:$S$4001,'All Donations'!$R$2:$R$4001,$AD277,'All Donations'!$T$2:$T$4001,L$1))</f>
        <v/>
      </c>
      <c r="M277" s="49">
        <f>IF(OR($AE277&lt;&gt;1,M$1=""),"",SUMIFS('All Donations'!$S$2:$S$4001,'All Donations'!$R$2:$R$4001,$AD277,'All Donations'!$T$2:$T$4001,M$1))</f>
        <v/>
      </c>
      <c r="N277" s="49">
        <f>IF(OR($AE277&lt;&gt;1,N$1=""),"",SUMIFS('All Donations'!$S$2:$S$4001,'All Donations'!$R$2:$R$4001,$AD277,'All Donations'!$T$2:$T$4001,N$1))</f>
        <v/>
      </c>
      <c r="O277" s="49">
        <f>IF(OR($AE277&lt;&gt;1,O$1=""),"",SUMIFS('All Donations'!$S$2:$S$4001,'All Donations'!$R$2:$R$4001,$AD277,'All Donations'!$T$2:$T$4001,O$1))</f>
        <v/>
      </c>
      <c r="P277" s="49">
        <f>IF(OR($AE277&lt;&gt;1,P$1=""),"",SUMIFS('All Donations'!$S$2:$S$4001,'All Donations'!$R$2:$R$4001,$AD277,'All Donations'!$T$2:$T$4001,P$1))</f>
        <v/>
      </c>
      <c r="Q277" s="49">
        <f>IF(OR($AE277&lt;&gt;1,Q$1=""),"",SUMIFS('All Donations'!$S$2:$S$4001,'All Donations'!$R$2:$R$4001,$AD277,'All Donations'!$T$2:$T$4001,Q$1))</f>
        <v/>
      </c>
      <c r="R277" s="49">
        <f>IF(OR($AE277&lt;&gt;1,R$1=""),"",SUMIFS('All Donations'!$S$2:$S$4001,'All Donations'!$R$2:$R$4001,$AD277,'All Donations'!$T$2:$T$4001,R$1))</f>
        <v/>
      </c>
      <c r="S277" s="49">
        <f>IF(OR($AE277&lt;&gt;1,S$1=""),"",SUMIFS('All Donations'!$S$2:$S$4001,'All Donations'!$R$2:$R$4001,$AD277,'All Donations'!$T$2:$T$4001,S$1))</f>
        <v/>
      </c>
      <c r="T277" s="49">
        <f>IF(OR($AE277&lt;&gt;1,T$1=""),"",SUMIFS('All Donations'!$S$2:$S$4001,'All Donations'!$R$2:$R$4001,$AD277,'All Donations'!$T$2:$T$4001,T$1))</f>
        <v/>
      </c>
      <c r="U277" s="49">
        <f>IF(OR($AE277&lt;&gt;1,U$1=""),"",SUMIFS('All Donations'!$S$2:$S$4001,'All Donations'!$R$2:$R$4001,$AD277,'All Donations'!$T$2:$T$4001,U$1))</f>
        <v/>
      </c>
      <c r="V277" s="49">
        <f>IF(OR($AE277&lt;&gt;1,V$1=""),"",SUMIFS('All Donations'!$S$2:$S$4001,'All Donations'!$R$2:$R$4001,$AD277,'All Donations'!$T$2:$T$4001,V$1))</f>
        <v/>
      </c>
      <c r="W277" s="49">
        <f>IF(OR($AE277&lt;&gt;1,W$1=""),"",SUMIFS('All Donations'!$S$2:$S$4001,'All Donations'!$R$2:$R$4001,$AD277,'All Donations'!$T$2:$T$4001,W$1))</f>
        <v/>
      </c>
      <c r="X277" s="49">
        <f>IF(OR($AE277&lt;&gt;1,X$1=""),"",SUMIFS('All Donations'!$S$2:$S$4001,'All Donations'!$R$2:$R$4001,$AD277,'All Donations'!$T$2:$T$4001,X$1))</f>
        <v/>
      </c>
      <c r="Y277" s="49">
        <f>IF(OR($AE277&lt;&gt;1,Y$1=""),"",SUMIFS('All Donations'!$S$2:$S$4001,'All Donations'!$R$2:$R$4001,$AD277,'All Donations'!$T$2:$T$4001,Y$1))</f>
        <v/>
      </c>
      <c r="Z277" s="49">
        <f>IF(OR($AE277&lt;&gt;1,Z$1=""),"",SUMIFS('All Donations'!$S$2:$S$4001,'All Donations'!$R$2:$R$4001,$AD277,'All Donations'!$T$2:$T$4001,Z$1))</f>
        <v/>
      </c>
      <c r="AA277" s="49">
        <f>IF(OR($AE277&lt;&gt;1,AA$1=""),"",SUMIFS('All Donations'!$S$2:$S$4001,'All Donations'!$R$2:$R$4001,$AD277,'All Donations'!$T$2:$T$4001,AA$1))</f>
        <v/>
      </c>
      <c r="AB277" s="49">
        <f>IF(OR($AE277&lt;&gt;1,AB$1=""),"",SUMIFS('All Donations'!$S$2:$S$4001,'All Donations'!$R$2:$R$4001,$AD277,'All Donations'!$T$2:$T$4001,AB$1))</f>
        <v/>
      </c>
      <c r="AC277" s="49">
        <f>IF(OR($AE277&lt;&gt;1,AC$1=""),"",SUMIFS('All Donations'!$S$2:$S$4001,'All Donations'!$R$2:$R$4001,$AD277,'All Donations'!$T$2:$T$4001,AC$1))</f>
        <v/>
      </c>
      <c r="AD277">
        <f>IF(AE277=1,'Roster'!A277,"")</f>
        <v/>
      </c>
      <c r="AE277">
        <f>IF(TRIM('Roster'!B277&amp;'Roster'!C277)&lt;&gt;"",1,0)</f>
        <v/>
      </c>
      <c r="AF277">
        <f>IF(AE277=1,LOWER(A277),"#")</f>
        <v/>
      </c>
      <c r="AG277">
        <f>IF(AE277=1,LOWER(TRIM(TRIM('Roster'!C277)&amp;", "&amp;TRIM('Roster'!B277))),"#")</f>
        <v/>
      </c>
      <c r="AH277">
        <f>IF(AND(AE277=1,TRIM('Roster'!F277)&lt;&gt;""),LOWER(TRIM('Roster'!F277)),"#")</f>
        <v/>
      </c>
      <c r="AI277">
        <f>IF(AE277=1,IF(MATCH(B277,$B$2:$B$701,0)=ROW()-1,1,0),0)</f>
        <v/>
      </c>
      <c r="AJ277">
        <f>AJ276+AI277</f>
        <v/>
      </c>
      <c r="AK277">
        <f>IF(AE277=1,D277+(1000-ROW())/10^7,-1)</f>
        <v/>
      </c>
      <c r="AL277">
        <f>IF(AE277=1,TRIM('Roster'!B277)&amp;" "&amp;LEFT(TRIM('Roster'!C277),1)&amp;".","")</f>
        <v/>
      </c>
      <c r="AM277">
        <f>IF(AE277=1,TRIM('Roster'!C277)&amp;", "&amp;TRIM('Roster'!B277)&amp;" ("&amp;B277&amp;") #"&amp;AD277,"")</f>
        <v/>
      </c>
      <c r="AN277">
        <f>IF(AE277=1,TRIM('Roster'!E277),"")</f>
        <v/>
      </c>
      <c r="AO277">
        <f>IF(AE277=1,ROUND(SUMIFS('All Donations'!$S$2:$S$4001,'All Donations'!$R$2:$R$4001,AD277,'All Donations'!$T$2:$T$4001,"&gt;="&amp;'Settings'!$C$23,'All Donations'!$T$2:$T$4001,"&lt;="&amp;'Settings'!$D$23),2),0)</f>
        <v/>
      </c>
      <c r="AQ277">
        <f>IF(AE277=1,ROUND(SUMIFS('All Donations'!$S$2:$S$4001,'All Donations'!$R$2:$R$4001,AD277,'All Donations'!$T$2:$T$4001,"&gt;="&amp;'Settings'!$C$25,'All Donations'!$T$2:$T$4001,"&lt;="&amp;'Settings'!$D$25),2),0)</f>
        <v/>
      </c>
      <c r="AR277">
        <f>IF(AE277=1,ROUND(SUMIFS('All Donations'!$S$2:$S$4001,'All Donations'!$R$2:$R$4001,AD277,'All Donations'!$T$2:$T$4001,"&gt;="&amp;'Settings'!$C$26,'All Donations'!$T$2:$T$4001,"&lt;="&amp;'Settings'!$D$26),2),0)</f>
        <v/>
      </c>
      <c r="AS277">
        <f>IF(AE277=1,ROUND(SUMIFS('All Donations'!$S$2:$S$4001,'All Donations'!$R$2:$R$4001,AD277,'All Donations'!$T$2:$T$4001,"&lt;="&amp;'Settings'!$D$27),2),0)</f>
        <v/>
      </c>
      <c r="AT277">
        <f>IF(AE277=1,ROUND(SUMIFS('All Donations'!$S$2:$S$4001,'All Donations'!$R$2:$R$4001,AD277,'All Donations'!$T$2:$T$4001,"&gt;="&amp;'Settings'!$C$28,'All Donations'!$T$2:$T$4001,"&lt;="&amp;'Settings'!$D$28),2),0)</f>
        <v/>
      </c>
      <c r="AU277">
        <f>IF(AE277=1,ROUND(SUMIFS('All Donations'!$S$2:$S$4001,'All Donations'!$R$2:$R$4001,AD277,'All Donations'!$T$2:$T$4001,"&gt;="&amp;'Settings'!$C$29,'All Donations'!$T$2:$T$4001,"&lt;="&amp;'Settings'!$D$29),2),0)</f>
        <v/>
      </c>
      <c r="AV277">
        <f>IF(AE277=1,ROUND(SUMIFS('All Donations'!$S$2:$S$4001,'All Donations'!$R$2:$R$4001,AD277,'All Donations'!$T$2:$T$4001,"&lt;="&amp;'Settings'!$D$30),2),0)</f>
        <v/>
      </c>
      <c r="AZ277">
        <f>IF(AE277=1,ROUND(SUMIFS('All Donations'!$S$2:$S$4001,'All Donations'!$R$2:$R$4001,AD277,'All Donations'!$T$2:$T$4001,"&lt;="&amp;'Settings'!$D$34),2),0)</f>
        <v/>
      </c>
    </row>
    <row r="278">
      <c r="A278">
        <f>IF(AE278=1,TRIM(TRIM('Roster'!B278)&amp;" "&amp;TRIM('Roster'!C278)),"")</f>
        <v/>
      </c>
      <c r="B278">
        <f>IF(AE278=1,IF(AN278="","(no teacher)",AN278&amp;" – "&amp;C278),"")</f>
        <v/>
      </c>
      <c r="C278">
        <f>IF(AE278=1,TRIM('Roster'!D278&amp;""),"")</f>
        <v/>
      </c>
      <c r="D278" s="48">
        <f>IF(AE278=1,ROUND(SUMIFS('All Donations'!$S$2:$S$4001,'All Donations'!$R$2:$R$4001,AD278),2),"")</f>
        <v/>
      </c>
      <c r="E278" s="48">
        <f>IF(AE278=1,ROUND(SUMIFS('All Donations'!$S$2:$S$4001,'All Donations'!$R$2:$R$4001,AD278,'All Donations'!$G$2:$G$4001,"OneCause"),2),"")</f>
        <v/>
      </c>
      <c r="F278" s="48">
        <f>IF(AE278=1,D278-E278,"")</f>
        <v/>
      </c>
      <c r="G278">
        <f>IF(AE278=1,COUNTIFS('All Donations'!$R$2:$R$4001,AD278,'All Donations'!$H$2:$H$4001,"OK"),"")</f>
        <v/>
      </c>
      <c r="H278">
        <f>IF(AE278&lt;&gt;1,"",IF(D278&gt;0,"Yes",""))</f>
        <v/>
      </c>
      <c r="I278" s="49">
        <f>IF(OR($AE278&lt;&gt;1,I$1=""),"",SUMIFS('All Donations'!$S$2:$S$4001,'All Donations'!$R$2:$R$4001,$AD278,'All Donations'!$T$2:$T$4001,I$1))</f>
        <v/>
      </c>
      <c r="J278" s="49">
        <f>IF(OR($AE278&lt;&gt;1,J$1=""),"",SUMIFS('All Donations'!$S$2:$S$4001,'All Donations'!$R$2:$R$4001,$AD278,'All Donations'!$T$2:$T$4001,J$1))</f>
        <v/>
      </c>
      <c r="K278" s="49">
        <f>IF(OR($AE278&lt;&gt;1,K$1=""),"",SUMIFS('All Donations'!$S$2:$S$4001,'All Donations'!$R$2:$R$4001,$AD278,'All Donations'!$T$2:$T$4001,K$1))</f>
        <v/>
      </c>
      <c r="L278" s="49">
        <f>IF(OR($AE278&lt;&gt;1,L$1=""),"",SUMIFS('All Donations'!$S$2:$S$4001,'All Donations'!$R$2:$R$4001,$AD278,'All Donations'!$T$2:$T$4001,L$1))</f>
        <v/>
      </c>
      <c r="M278" s="49">
        <f>IF(OR($AE278&lt;&gt;1,M$1=""),"",SUMIFS('All Donations'!$S$2:$S$4001,'All Donations'!$R$2:$R$4001,$AD278,'All Donations'!$T$2:$T$4001,M$1))</f>
        <v/>
      </c>
      <c r="N278" s="49">
        <f>IF(OR($AE278&lt;&gt;1,N$1=""),"",SUMIFS('All Donations'!$S$2:$S$4001,'All Donations'!$R$2:$R$4001,$AD278,'All Donations'!$T$2:$T$4001,N$1))</f>
        <v/>
      </c>
      <c r="O278" s="49">
        <f>IF(OR($AE278&lt;&gt;1,O$1=""),"",SUMIFS('All Donations'!$S$2:$S$4001,'All Donations'!$R$2:$R$4001,$AD278,'All Donations'!$T$2:$T$4001,O$1))</f>
        <v/>
      </c>
      <c r="P278" s="49">
        <f>IF(OR($AE278&lt;&gt;1,P$1=""),"",SUMIFS('All Donations'!$S$2:$S$4001,'All Donations'!$R$2:$R$4001,$AD278,'All Donations'!$T$2:$T$4001,P$1))</f>
        <v/>
      </c>
      <c r="Q278" s="49">
        <f>IF(OR($AE278&lt;&gt;1,Q$1=""),"",SUMIFS('All Donations'!$S$2:$S$4001,'All Donations'!$R$2:$R$4001,$AD278,'All Donations'!$T$2:$T$4001,Q$1))</f>
        <v/>
      </c>
      <c r="R278" s="49">
        <f>IF(OR($AE278&lt;&gt;1,R$1=""),"",SUMIFS('All Donations'!$S$2:$S$4001,'All Donations'!$R$2:$R$4001,$AD278,'All Donations'!$T$2:$T$4001,R$1))</f>
        <v/>
      </c>
      <c r="S278" s="49">
        <f>IF(OR($AE278&lt;&gt;1,S$1=""),"",SUMIFS('All Donations'!$S$2:$S$4001,'All Donations'!$R$2:$R$4001,$AD278,'All Donations'!$T$2:$T$4001,S$1))</f>
        <v/>
      </c>
      <c r="T278" s="49">
        <f>IF(OR($AE278&lt;&gt;1,T$1=""),"",SUMIFS('All Donations'!$S$2:$S$4001,'All Donations'!$R$2:$R$4001,$AD278,'All Donations'!$T$2:$T$4001,T$1))</f>
        <v/>
      </c>
      <c r="U278" s="49">
        <f>IF(OR($AE278&lt;&gt;1,U$1=""),"",SUMIFS('All Donations'!$S$2:$S$4001,'All Donations'!$R$2:$R$4001,$AD278,'All Donations'!$T$2:$T$4001,U$1))</f>
        <v/>
      </c>
      <c r="V278" s="49">
        <f>IF(OR($AE278&lt;&gt;1,V$1=""),"",SUMIFS('All Donations'!$S$2:$S$4001,'All Donations'!$R$2:$R$4001,$AD278,'All Donations'!$T$2:$T$4001,V$1))</f>
        <v/>
      </c>
      <c r="W278" s="49">
        <f>IF(OR($AE278&lt;&gt;1,W$1=""),"",SUMIFS('All Donations'!$S$2:$S$4001,'All Donations'!$R$2:$R$4001,$AD278,'All Donations'!$T$2:$T$4001,W$1))</f>
        <v/>
      </c>
      <c r="X278" s="49">
        <f>IF(OR($AE278&lt;&gt;1,X$1=""),"",SUMIFS('All Donations'!$S$2:$S$4001,'All Donations'!$R$2:$R$4001,$AD278,'All Donations'!$T$2:$T$4001,X$1))</f>
        <v/>
      </c>
      <c r="Y278" s="49">
        <f>IF(OR($AE278&lt;&gt;1,Y$1=""),"",SUMIFS('All Donations'!$S$2:$S$4001,'All Donations'!$R$2:$R$4001,$AD278,'All Donations'!$T$2:$T$4001,Y$1))</f>
        <v/>
      </c>
      <c r="Z278" s="49">
        <f>IF(OR($AE278&lt;&gt;1,Z$1=""),"",SUMIFS('All Donations'!$S$2:$S$4001,'All Donations'!$R$2:$R$4001,$AD278,'All Donations'!$T$2:$T$4001,Z$1))</f>
        <v/>
      </c>
      <c r="AA278" s="49">
        <f>IF(OR($AE278&lt;&gt;1,AA$1=""),"",SUMIFS('All Donations'!$S$2:$S$4001,'All Donations'!$R$2:$R$4001,$AD278,'All Donations'!$T$2:$T$4001,AA$1))</f>
        <v/>
      </c>
      <c r="AB278" s="49">
        <f>IF(OR($AE278&lt;&gt;1,AB$1=""),"",SUMIFS('All Donations'!$S$2:$S$4001,'All Donations'!$R$2:$R$4001,$AD278,'All Donations'!$T$2:$T$4001,AB$1))</f>
        <v/>
      </c>
      <c r="AC278" s="49">
        <f>IF(OR($AE278&lt;&gt;1,AC$1=""),"",SUMIFS('All Donations'!$S$2:$S$4001,'All Donations'!$R$2:$R$4001,$AD278,'All Donations'!$T$2:$T$4001,AC$1))</f>
        <v/>
      </c>
      <c r="AD278">
        <f>IF(AE278=1,'Roster'!A278,"")</f>
        <v/>
      </c>
      <c r="AE278">
        <f>IF(TRIM('Roster'!B278&amp;'Roster'!C278)&lt;&gt;"",1,0)</f>
        <v/>
      </c>
      <c r="AF278">
        <f>IF(AE278=1,LOWER(A278),"#")</f>
        <v/>
      </c>
      <c r="AG278">
        <f>IF(AE278=1,LOWER(TRIM(TRIM('Roster'!C278)&amp;", "&amp;TRIM('Roster'!B278))),"#")</f>
        <v/>
      </c>
      <c r="AH278">
        <f>IF(AND(AE278=1,TRIM('Roster'!F278)&lt;&gt;""),LOWER(TRIM('Roster'!F278)),"#")</f>
        <v/>
      </c>
      <c r="AI278">
        <f>IF(AE278=1,IF(MATCH(B278,$B$2:$B$701,0)=ROW()-1,1,0),0)</f>
        <v/>
      </c>
      <c r="AJ278">
        <f>AJ277+AI278</f>
        <v/>
      </c>
      <c r="AK278">
        <f>IF(AE278=1,D278+(1000-ROW())/10^7,-1)</f>
        <v/>
      </c>
      <c r="AL278">
        <f>IF(AE278=1,TRIM('Roster'!B278)&amp;" "&amp;LEFT(TRIM('Roster'!C278),1)&amp;".","")</f>
        <v/>
      </c>
      <c r="AM278">
        <f>IF(AE278=1,TRIM('Roster'!C278)&amp;", "&amp;TRIM('Roster'!B278)&amp;" ("&amp;B278&amp;") #"&amp;AD278,"")</f>
        <v/>
      </c>
      <c r="AN278">
        <f>IF(AE278=1,TRIM('Roster'!E278),"")</f>
        <v/>
      </c>
      <c r="AO278">
        <f>IF(AE278=1,ROUND(SUMIFS('All Donations'!$S$2:$S$4001,'All Donations'!$R$2:$R$4001,AD278,'All Donations'!$T$2:$T$4001,"&gt;="&amp;'Settings'!$C$23,'All Donations'!$T$2:$T$4001,"&lt;="&amp;'Settings'!$D$23),2),0)</f>
        <v/>
      </c>
      <c r="AQ278">
        <f>IF(AE278=1,ROUND(SUMIFS('All Donations'!$S$2:$S$4001,'All Donations'!$R$2:$R$4001,AD278,'All Donations'!$T$2:$T$4001,"&gt;="&amp;'Settings'!$C$25,'All Donations'!$T$2:$T$4001,"&lt;="&amp;'Settings'!$D$25),2),0)</f>
        <v/>
      </c>
      <c r="AR278">
        <f>IF(AE278=1,ROUND(SUMIFS('All Donations'!$S$2:$S$4001,'All Donations'!$R$2:$R$4001,AD278,'All Donations'!$T$2:$T$4001,"&gt;="&amp;'Settings'!$C$26,'All Donations'!$T$2:$T$4001,"&lt;="&amp;'Settings'!$D$26),2),0)</f>
        <v/>
      </c>
      <c r="AS278">
        <f>IF(AE278=1,ROUND(SUMIFS('All Donations'!$S$2:$S$4001,'All Donations'!$R$2:$R$4001,AD278,'All Donations'!$T$2:$T$4001,"&lt;="&amp;'Settings'!$D$27),2),0)</f>
        <v/>
      </c>
      <c r="AT278">
        <f>IF(AE278=1,ROUND(SUMIFS('All Donations'!$S$2:$S$4001,'All Donations'!$R$2:$R$4001,AD278,'All Donations'!$T$2:$T$4001,"&gt;="&amp;'Settings'!$C$28,'All Donations'!$T$2:$T$4001,"&lt;="&amp;'Settings'!$D$28),2),0)</f>
        <v/>
      </c>
      <c r="AU278">
        <f>IF(AE278=1,ROUND(SUMIFS('All Donations'!$S$2:$S$4001,'All Donations'!$R$2:$R$4001,AD278,'All Donations'!$T$2:$T$4001,"&gt;="&amp;'Settings'!$C$29,'All Donations'!$T$2:$T$4001,"&lt;="&amp;'Settings'!$D$29),2),0)</f>
        <v/>
      </c>
      <c r="AV278">
        <f>IF(AE278=1,ROUND(SUMIFS('All Donations'!$S$2:$S$4001,'All Donations'!$R$2:$R$4001,AD278,'All Donations'!$T$2:$T$4001,"&lt;="&amp;'Settings'!$D$30),2),0)</f>
        <v/>
      </c>
      <c r="AZ278">
        <f>IF(AE278=1,ROUND(SUMIFS('All Donations'!$S$2:$S$4001,'All Donations'!$R$2:$R$4001,AD278,'All Donations'!$T$2:$T$4001,"&lt;="&amp;'Settings'!$D$34),2),0)</f>
        <v/>
      </c>
    </row>
    <row r="279">
      <c r="A279">
        <f>IF(AE279=1,TRIM(TRIM('Roster'!B279)&amp;" "&amp;TRIM('Roster'!C279)),"")</f>
        <v/>
      </c>
      <c r="B279">
        <f>IF(AE279=1,IF(AN279="","(no teacher)",AN279&amp;" – "&amp;C279),"")</f>
        <v/>
      </c>
      <c r="C279">
        <f>IF(AE279=1,TRIM('Roster'!D279&amp;""),"")</f>
        <v/>
      </c>
      <c r="D279" s="48">
        <f>IF(AE279=1,ROUND(SUMIFS('All Donations'!$S$2:$S$4001,'All Donations'!$R$2:$R$4001,AD279),2),"")</f>
        <v/>
      </c>
      <c r="E279" s="48">
        <f>IF(AE279=1,ROUND(SUMIFS('All Donations'!$S$2:$S$4001,'All Donations'!$R$2:$R$4001,AD279,'All Donations'!$G$2:$G$4001,"OneCause"),2),"")</f>
        <v/>
      </c>
      <c r="F279" s="48">
        <f>IF(AE279=1,D279-E279,"")</f>
        <v/>
      </c>
      <c r="G279">
        <f>IF(AE279=1,COUNTIFS('All Donations'!$R$2:$R$4001,AD279,'All Donations'!$H$2:$H$4001,"OK"),"")</f>
        <v/>
      </c>
      <c r="H279">
        <f>IF(AE279&lt;&gt;1,"",IF(D279&gt;0,"Yes",""))</f>
        <v/>
      </c>
      <c r="I279" s="49">
        <f>IF(OR($AE279&lt;&gt;1,I$1=""),"",SUMIFS('All Donations'!$S$2:$S$4001,'All Donations'!$R$2:$R$4001,$AD279,'All Donations'!$T$2:$T$4001,I$1))</f>
        <v/>
      </c>
      <c r="J279" s="49">
        <f>IF(OR($AE279&lt;&gt;1,J$1=""),"",SUMIFS('All Donations'!$S$2:$S$4001,'All Donations'!$R$2:$R$4001,$AD279,'All Donations'!$T$2:$T$4001,J$1))</f>
        <v/>
      </c>
      <c r="K279" s="49">
        <f>IF(OR($AE279&lt;&gt;1,K$1=""),"",SUMIFS('All Donations'!$S$2:$S$4001,'All Donations'!$R$2:$R$4001,$AD279,'All Donations'!$T$2:$T$4001,K$1))</f>
        <v/>
      </c>
      <c r="L279" s="49">
        <f>IF(OR($AE279&lt;&gt;1,L$1=""),"",SUMIFS('All Donations'!$S$2:$S$4001,'All Donations'!$R$2:$R$4001,$AD279,'All Donations'!$T$2:$T$4001,L$1))</f>
        <v/>
      </c>
      <c r="M279" s="49">
        <f>IF(OR($AE279&lt;&gt;1,M$1=""),"",SUMIFS('All Donations'!$S$2:$S$4001,'All Donations'!$R$2:$R$4001,$AD279,'All Donations'!$T$2:$T$4001,M$1))</f>
        <v/>
      </c>
      <c r="N279" s="49">
        <f>IF(OR($AE279&lt;&gt;1,N$1=""),"",SUMIFS('All Donations'!$S$2:$S$4001,'All Donations'!$R$2:$R$4001,$AD279,'All Donations'!$T$2:$T$4001,N$1))</f>
        <v/>
      </c>
      <c r="O279" s="49">
        <f>IF(OR($AE279&lt;&gt;1,O$1=""),"",SUMIFS('All Donations'!$S$2:$S$4001,'All Donations'!$R$2:$R$4001,$AD279,'All Donations'!$T$2:$T$4001,O$1))</f>
        <v/>
      </c>
      <c r="P279" s="49">
        <f>IF(OR($AE279&lt;&gt;1,P$1=""),"",SUMIFS('All Donations'!$S$2:$S$4001,'All Donations'!$R$2:$R$4001,$AD279,'All Donations'!$T$2:$T$4001,P$1))</f>
        <v/>
      </c>
      <c r="Q279" s="49">
        <f>IF(OR($AE279&lt;&gt;1,Q$1=""),"",SUMIFS('All Donations'!$S$2:$S$4001,'All Donations'!$R$2:$R$4001,$AD279,'All Donations'!$T$2:$T$4001,Q$1))</f>
        <v/>
      </c>
      <c r="R279" s="49">
        <f>IF(OR($AE279&lt;&gt;1,R$1=""),"",SUMIFS('All Donations'!$S$2:$S$4001,'All Donations'!$R$2:$R$4001,$AD279,'All Donations'!$T$2:$T$4001,R$1))</f>
        <v/>
      </c>
      <c r="S279" s="49">
        <f>IF(OR($AE279&lt;&gt;1,S$1=""),"",SUMIFS('All Donations'!$S$2:$S$4001,'All Donations'!$R$2:$R$4001,$AD279,'All Donations'!$T$2:$T$4001,S$1))</f>
        <v/>
      </c>
      <c r="T279" s="49">
        <f>IF(OR($AE279&lt;&gt;1,T$1=""),"",SUMIFS('All Donations'!$S$2:$S$4001,'All Donations'!$R$2:$R$4001,$AD279,'All Donations'!$T$2:$T$4001,T$1))</f>
        <v/>
      </c>
      <c r="U279" s="49">
        <f>IF(OR($AE279&lt;&gt;1,U$1=""),"",SUMIFS('All Donations'!$S$2:$S$4001,'All Donations'!$R$2:$R$4001,$AD279,'All Donations'!$T$2:$T$4001,U$1))</f>
        <v/>
      </c>
      <c r="V279" s="49">
        <f>IF(OR($AE279&lt;&gt;1,V$1=""),"",SUMIFS('All Donations'!$S$2:$S$4001,'All Donations'!$R$2:$R$4001,$AD279,'All Donations'!$T$2:$T$4001,V$1))</f>
        <v/>
      </c>
      <c r="W279" s="49">
        <f>IF(OR($AE279&lt;&gt;1,W$1=""),"",SUMIFS('All Donations'!$S$2:$S$4001,'All Donations'!$R$2:$R$4001,$AD279,'All Donations'!$T$2:$T$4001,W$1))</f>
        <v/>
      </c>
      <c r="X279" s="49">
        <f>IF(OR($AE279&lt;&gt;1,X$1=""),"",SUMIFS('All Donations'!$S$2:$S$4001,'All Donations'!$R$2:$R$4001,$AD279,'All Donations'!$T$2:$T$4001,X$1))</f>
        <v/>
      </c>
      <c r="Y279" s="49">
        <f>IF(OR($AE279&lt;&gt;1,Y$1=""),"",SUMIFS('All Donations'!$S$2:$S$4001,'All Donations'!$R$2:$R$4001,$AD279,'All Donations'!$T$2:$T$4001,Y$1))</f>
        <v/>
      </c>
      <c r="Z279" s="49">
        <f>IF(OR($AE279&lt;&gt;1,Z$1=""),"",SUMIFS('All Donations'!$S$2:$S$4001,'All Donations'!$R$2:$R$4001,$AD279,'All Donations'!$T$2:$T$4001,Z$1))</f>
        <v/>
      </c>
      <c r="AA279" s="49">
        <f>IF(OR($AE279&lt;&gt;1,AA$1=""),"",SUMIFS('All Donations'!$S$2:$S$4001,'All Donations'!$R$2:$R$4001,$AD279,'All Donations'!$T$2:$T$4001,AA$1))</f>
        <v/>
      </c>
      <c r="AB279" s="49">
        <f>IF(OR($AE279&lt;&gt;1,AB$1=""),"",SUMIFS('All Donations'!$S$2:$S$4001,'All Donations'!$R$2:$R$4001,$AD279,'All Donations'!$T$2:$T$4001,AB$1))</f>
        <v/>
      </c>
      <c r="AC279" s="49">
        <f>IF(OR($AE279&lt;&gt;1,AC$1=""),"",SUMIFS('All Donations'!$S$2:$S$4001,'All Donations'!$R$2:$R$4001,$AD279,'All Donations'!$T$2:$T$4001,AC$1))</f>
        <v/>
      </c>
      <c r="AD279">
        <f>IF(AE279=1,'Roster'!A279,"")</f>
        <v/>
      </c>
      <c r="AE279">
        <f>IF(TRIM('Roster'!B279&amp;'Roster'!C279)&lt;&gt;"",1,0)</f>
        <v/>
      </c>
      <c r="AF279">
        <f>IF(AE279=1,LOWER(A279),"#")</f>
        <v/>
      </c>
      <c r="AG279">
        <f>IF(AE279=1,LOWER(TRIM(TRIM('Roster'!C279)&amp;", "&amp;TRIM('Roster'!B279))),"#")</f>
        <v/>
      </c>
      <c r="AH279">
        <f>IF(AND(AE279=1,TRIM('Roster'!F279)&lt;&gt;""),LOWER(TRIM('Roster'!F279)),"#")</f>
        <v/>
      </c>
      <c r="AI279">
        <f>IF(AE279=1,IF(MATCH(B279,$B$2:$B$701,0)=ROW()-1,1,0),0)</f>
        <v/>
      </c>
      <c r="AJ279">
        <f>AJ278+AI279</f>
        <v/>
      </c>
      <c r="AK279">
        <f>IF(AE279=1,D279+(1000-ROW())/10^7,-1)</f>
        <v/>
      </c>
      <c r="AL279">
        <f>IF(AE279=1,TRIM('Roster'!B279)&amp;" "&amp;LEFT(TRIM('Roster'!C279),1)&amp;".","")</f>
        <v/>
      </c>
      <c r="AM279">
        <f>IF(AE279=1,TRIM('Roster'!C279)&amp;", "&amp;TRIM('Roster'!B279)&amp;" ("&amp;B279&amp;") #"&amp;AD279,"")</f>
        <v/>
      </c>
      <c r="AN279">
        <f>IF(AE279=1,TRIM('Roster'!E279),"")</f>
        <v/>
      </c>
      <c r="AO279">
        <f>IF(AE279=1,ROUND(SUMIFS('All Donations'!$S$2:$S$4001,'All Donations'!$R$2:$R$4001,AD279,'All Donations'!$T$2:$T$4001,"&gt;="&amp;'Settings'!$C$23,'All Donations'!$T$2:$T$4001,"&lt;="&amp;'Settings'!$D$23),2),0)</f>
        <v/>
      </c>
      <c r="AQ279">
        <f>IF(AE279=1,ROUND(SUMIFS('All Donations'!$S$2:$S$4001,'All Donations'!$R$2:$R$4001,AD279,'All Donations'!$T$2:$T$4001,"&gt;="&amp;'Settings'!$C$25,'All Donations'!$T$2:$T$4001,"&lt;="&amp;'Settings'!$D$25),2),0)</f>
        <v/>
      </c>
      <c r="AR279">
        <f>IF(AE279=1,ROUND(SUMIFS('All Donations'!$S$2:$S$4001,'All Donations'!$R$2:$R$4001,AD279,'All Donations'!$T$2:$T$4001,"&gt;="&amp;'Settings'!$C$26,'All Donations'!$T$2:$T$4001,"&lt;="&amp;'Settings'!$D$26),2),0)</f>
        <v/>
      </c>
      <c r="AS279">
        <f>IF(AE279=1,ROUND(SUMIFS('All Donations'!$S$2:$S$4001,'All Donations'!$R$2:$R$4001,AD279,'All Donations'!$T$2:$T$4001,"&lt;="&amp;'Settings'!$D$27),2),0)</f>
        <v/>
      </c>
      <c r="AT279">
        <f>IF(AE279=1,ROUND(SUMIFS('All Donations'!$S$2:$S$4001,'All Donations'!$R$2:$R$4001,AD279,'All Donations'!$T$2:$T$4001,"&gt;="&amp;'Settings'!$C$28,'All Donations'!$T$2:$T$4001,"&lt;="&amp;'Settings'!$D$28),2),0)</f>
        <v/>
      </c>
      <c r="AU279">
        <f>IF(AE279=1,ROUND(SUMIFS('All Donations'!$S$2:$S$4001,'All Donations'!$R$2:$R$4001,AD279,'All Donations'!$T$2:$T$4001,"&gt;="&amp;'Settings'!$C$29,'All Donations'!$T$2:$T$4001,"&lt;="&amp;'Settings'!$D$29),2),0)</f>
        <v/>
      </c>
      <c r="AV279">
        <f>IF(AE279=1,ROUND(SUMIFS('All Donations'!$S$2:$S$4001,'All Donations'!$R$2:$R$4001,AD279,'All Donations'!$T$2:$T$4001,"&lt;="&amp;'Settings'!$D$30),2),0)</f>
        <v/>
      </c>
      <c r="AZ279">
        <f>IF(AE279=1,ROUND(SUMIFS('All Donations'!$S$2:$S$4001,'All Donations'!$R$2:$R$4001,AD279,'All Donations'!$T$2:$T$4001,"&lt;="&amp;'Settings'!$D$34),2),0)</f>
        <v/>
      </c>
    </row>
    <row r="280">
      <c r="A280">
        <f>IF(AE280=1,TRIM(TRIM('Roster'!B280)&amp;" "&amp;TRIM('Roster'!C280)),"")</f>
        <v/>
      </c>
      <c r="B280">
        <f>IF(AE280=1,IF(AN280="","(no teacher)",AN280&amp;" – "&amp;C280),"")</f>
        <v/>
      </c>
      <c r="C280">
        <f>IF(AE280=1,TRIM('Roster'!D280&amp;""),"")</f>
        <v/>
      </c>
      <c r="D280" s="48">
        <f>IF(AE280=1,ROUND(SUMIFS('All Donations'!$S$2:$S$4001,'All Donations'!$R$2:$R$4001,AD280),2),"")</f>
        <v/>
      </c>
      <c r="E280" s="48">
        <f>IF(AE280=1,ROUND(SUMIFS('All Donations'!$S$2:$S$4001,'All Donations'!$R$2:$R$4001,AD280,'All Donations'!$G$2:$G$4001,"OneCause"),2),"")</f>
        <v/>
      </c>
      <c r="F280" s="48">
        <f>IF(AE280=1,D280-E280,"")</f>
        <v/>
      </c>
      <c r="G280">
        <f>IF(AE280=1,COUNTIFS('All Donations'!$R$2:$R$4001,AD280,'All Donations'!$H$2:$H$4001,"OK"),"")</f>
        <v/>
      </c>
      <c r="H280">
        <f>IF(AE280&lt;&gt;1,"",IF(D280&gt;0,"Yes",""))</f>
        <v/>
      </c>
      <c r="I280" s="49">
        <f>IF(OR($AE280&lt;&gt;1,I$1=""),"",SUMIFS('All Donations'!$S$2:$S$4001,'All Donations'!$R$2:$R$4001,$AD280,'All Donations'!$T$2:$T$4001,I$1))</f>
        <v/>
      </c>
      <c r="J280" s="49">
        <f>IF(OR($AE280&lt;&gt;1,J$1=""),"",SUMIFS('All Donations'!$S$2:$S$4001,'All Donations'!$R$2:$R$4001,$AD280,'All Donations'!$T$2:$T$4001,J$1))</f>
        <v/>
      </c>
      <c r="K280" s="49">
        <f>IF(OR($AE280&lt;&gt;1,K$1=""),"",SUMIFS('All Donations'!$S$2:$S$4001,'All Donations'!$R$2:$R$4001,$AD280,'All Donations'!$T$2:$T$4001,K$1))</f>
        <v/>
      </c>
      <c r="L280" s="49">
        <f>IF(OR($AE280&lt;&gt;1,L$1=""),"",SUMIFS('All Donations'!$S$2:$S$4001,'All Donations'!$R$2:$R$4001,$AD280,'All Donations'!$T$2:$T$4001,L$1))</f>
        <v/>
      </c>
      <c r="M280" s="49">
        <f>IF(OR($AE280&lt;&gt;1,M$1=""),"",SUMIFS('All Donations'!$S$2:$S$4001,'All Donations'!$R$2:$R$4001,$AD280,'All Donations'!$T$2:$T$4001,M$1))</f>
        <v/>
      </c>
      <c r="N280" s="49">
        <f>IF(OR($AE280&lt;&gt;1,N$1=""),"",SUMIFS('All Donations'!$S$2:$S$4001,'All Donations'!$R$2:$R$4001,$AD280,'All Donations'!$T$2:$T$4001,N$1))</f>
        <v/>
      </c>
      <c r="O280" s="49">
        <f>IF(OR($AE280&lt;&gt;1,O$1=""),"",SUMIFS('All Donations'!$S$2:$S$4001,'All Donations'!$R$2:$R$4001,$AD280,'All Donations'!$T$2:$T$4001,O$1))</f>
        <v/>
      </c>
      <c r="P280" s="49">
        <f>IF(OR($AE280&lt;&gt;1,P$1=""),"",SUMIFS('All Donations'!$S$2:$S$4001,'All Donations'!$R$2:$R$4001,$AD280,'All Donations'!$T$2:$T$4001,P$1))</f>
        <v/>
      </c>
      <c r="Q280" s="49">
        <f>IF(OR($AE280&lt;&gt;1,Q$1=""),"",SUMIFS('All Donations'!$S$2:$S$4001,'All Donations'!$R$2:$R$4001,$AD280,'All Donations'!$T$2:$T$4001,Q$1))</f>
        <v/>
      </c>
      <c r="R280" s="49">
        <f>IF(OR($AE280&lt;&gt;1,R$1=""),"",SUMIFS('All Donations'!$S$2:$S$4001,'All Donations'!$R$2:$R$4001,$AD280,'All Donations'!$T$2:$T$4001,R$1))</f>
        <v/>
      </c>
      <c r="S280" s="49">
        <f>IF(OR($AE280&lt;&gt;1,S$1=""),"",SUMIFS('All Donations'!$S$2:$S$4001,'All Donations'!$R$2:$R$4001,$AD280,'All Donations'!$T$2:$T$4001,S$1))</f>
        <v/>
      </c>
      <c r="T280" s="49">
        <f>IF(OR($AE280&lt;&gt;1,T$1=""),"",SUMIFS('All Donations'!$S$2:$S$4001,'All Donations'!$R$2:$R$4001,$AD280,'All Donations'!$T$2:$T$4001,T$1))</f>
        <v/>
      </c>
      <c r="U280" s="49">
        <f>IF(OR($AE280&lt;&gt;1,U$1=""),"",SUMIFS('All Donations'!$S$2:$S$4001,'All Donations'!$R$2:$R$4001,$AD280,'All Donations'!$T$2:$T$4001,U$1))</f>
        <v/>
      </c>
      <c r="V280" s="49">
        <f>IF(OR($AE280&lt;&gt;1,V$1=""),"",SUMIFS('All Donations'!$S$2:$S$4001,'All Donations'!$R$2:$R$4001,$AD280,'All Donations'!$T$2:$T$4001,V$1))</f>
        <v/>
      </c>
      <c r="W280" s="49">
        <f>IF(OR($AE280&lt;&gt;1,W$1=""),"",SUMIFS('All Donations'!$S$2:$S$4001,'All Donations'!$R$2:$R$4001,$AD280,'All Donations'!$T$2:$T$4001,W$1))</f>
        <v/>
      </c>
      <c r="X280" s="49">
        <f>IF(OR($AE280&lt;&gt;1,X$1=""),"",SUMIFS('All Donations'!$S$2:$S$4001,'All Donations'!$R$2:$R$4001,$AD280,'All Donations'!$T$2:$T$4001,X$1))</f>
        <v/>
      </c>
      <c r="Y280" s="49">
        <f>IF(OR($AE280&lt;&gt;1,Y$1=""),"",SUMIFS('All Donations'!$S$2:$S$4001,'All Donations'!$R$2:$R$4001,$AD280,'All Donations'!$T$2:$T$4001,Y$1))</f>
        <v/>
      </c>
      <c r="Z280" s="49">
        <f>IF(OR($AE280&lt;&gt;1,Z$1=""),"",SUMIFS('All Donations'!$S$2:$S$4001,'All Donations'!$R$2:$R$4001,$AD280,'All Donations'!$T$2:$T$4001,Z$1))</f>
        <v/>
      </c>
      <c r="AA280" s="49">
        <f>IF(OR($AE280&lt;&gt;1,AA$1=""),"",SUMIFS('All Donations'!$S$2:$S$4001,'All Donations'!$R$2:$R$4001,$AD280,'All Donations'!$T$2:$T$4001,AA$1))</f>
        <v/>
      </c>
      <c r="AB280" s="49">
        <f>IF(OR($AE280&lt;&gt;1,AB$1=""),"",SUMIFS('All Donations'!$S$2:$S$4001,'All Donations'!$R$2:$R$4001,$AD280,'All Donations'!$T$2:$T$4001,AB$1))</f>
        <v/>
      </c>
      <c r="AC280" s="49">
        <f>IF(OR($AE280&lt;&gt;1,AC$1=""),"",SUMIFS('All Donations'!$S$2:$S$4001,'All Donations'!$R$2:$R$4001,$AD280,'All Donations'!$T$2:$T$4001,AC$1))</f>
        <v/>
      </c>
      <c r="AD280">
        <f>IF(AE280=1,'Roster'!A280,"")</f>
        <v/>
      </c>
      <c r="AE280">
        <f>IF(TRIM('Roster'!B280&amp;'Roster'!C280)&lt;&gt;"",1,0)</f>
        <v/>
      </c>
      <c r="AF280">
        <f>IF(AE280=1,LOWER(A280),"#")</f>
        <v/>
      </c>
      <c r="AG280">
        <f>IF(AE280=1,LOWER(TRIM(TRIM('Roster'!C280)&amp;", "&amp;TRIM('Roster'!B280))),"#")</f>
        <v/>
      </c>
      <c r="AH280">
        <f>IF(AND(AE280=1,TRIM('Roster'!F280)&lt;&gt;""),LOWER(TRIM('Roster'!F280)),"#")</f>
        <v/>
      </c>
      <c r="AI280">
        <f>IF(AE280=1,IF(MATCH(B280,$B$2:$B$701,0)=ROW()-1,1,0),0)</f>
        <v/>
      </c>
      <c r="AJ280">
        <f>AJ279+AI280</f>
        <v/>
      </c>
      <c r="AK280">
        <f>IF(AE280=1,D280+(1000-ROW())/10^7,-1)</f>
        <v/>
      </c>
      <c r="AL280">
        <f>IF(AE280=1,TRIM('Roster'!B280)&amp;" "&amp;LEFT(TRIM('Roster'!C280),1)&amp;".","")</f>
        <v/>
      </c>
      <c r="AM280">
        <f>IF(AE280=1,TRIM('Roster'!C280)&amp;", "&amp;TRIM('Roster'!B280)&amp;" ("&amp;B280&amp;") #"&amp;AD280,"")</f>
        <v/>
      </c>
      <c r="AN280">
        <f>IF(AE280=1,TRIM('Roster'!E280),"")</f>
        <v/>
      </c>
      <c r="AO280">
        <f>IF(AE280=1,ROUND(SUMIFS('All Donations'!$S$2:$S$4001,'All Donations'!$R$2:$R$4001,AD280,'All Donations'!$T$2:$T$4001,"&gt;="&amp;'Settings'!$C$23,'All Donations'!$T$2:$T$4001,"&lt;="&amp;'Settings'!$D$23),2),0)</f>
        <v/>
      </c>
      <c r="AQ280">
        <f>IF(AE280=1,ROUND(SUMIFS('All Donations'!$S$2:$S$4001,'All Donations'!$R$2:$R$4001,AD280,'All Donations'!$T$2:$T$4001,"&gt;="&amp;'Settings'!$C$25,'All Donations'!$T$2:$T$4001,"&lt;="&amp;'Settings'!$D$25),2),0)</f>
        <v/>
      </c>
      <c r="AR280">
        <f>IF(AE280=1,ROUND(SUMIFS('All Donations'!$S$2:$S$4001,'All Donations'!$R$2:$R$4001,AD280,'All Donations'!$T$2:$T$4001,"&gt;="&amp;'Settings'!$C$26,'All Donations'!$T$2:$T$4001,"&lt;="&amp;'Settings'!$D$26),2),0)</f>
        <v/>
      </c>
      <c r="AS280">
        <f>IF(AE280=1,ROUND(SUMIFS('All Donations'!$S$2:$S$4001,'All Donations'!$R$2:$R$4001,AD280,'All Donations'!$T$2:$T$4001,"&lt;="&amp;'Settings'!$D$27),2),0)</f>
        <v/>
      </c>
      <c r="AT280">
        <f>IF(AE280=1,ROUND(SUMIFS('All Donations'!$S$2:$S$4001,'All Donations'!$R$2:$R$4001,AD280,'All Donations'!$T$2:$T$4001,"&gt;="&amp;'Settings'!$C$28,'All Donations'!$T$2:$T$4001,"&lt;="&amp;'Settings'!$D$28),2),0)</f>
        <v/>
      </c>
      <c r="AU280">
        <f>IF(AE280=1,ROUND(SUMIFS('All Donations'!$S$2:$S$4001,'All Donations'!$R$2:$R$4001,AD280,'All Donations'!$T$2:$T$4001,"&gt;="&amp;'Settings'!$C$29,'All Donations'!$T$2:$T$4001,"&lt;="&amp;'Settings'!$D$29),2),0)</f>
        <v/>
      </c>
      <c r="AV280">
        <f>IF(AE280=1,ROUND(SUMIFS('All Donations'!$S$2:$S$4001,'All Donations'!$R$2:$R$4001,AD280,'All Donations'!$T$2:$T$4001,"&lt;="&amp;'Settings'!$D$30),2),0)</f>
        <v/>
      </c>
      <c r="AZ280">
        <f>IF(AE280=1,ROUND(SUMIFS('All Donations'!$S$2:$S$4001,'All Donations'!$R$2:$R$4001,AD280,'All Donations'!$T$2:$T$4001,"&lt;="&amp;'Settings'!$D$34),2),0)</f>
        <v/>
      </c>
    </row>
    <row r="281">
      <c r="A281">
        <f>IF(AE281=1,TRIM(TRIM('Roster'!B281)&amp;" "&amp;TRIM('Roster'!C281)),"")</f>
        <v/>
      </c>
      <c r="B281">
        <f>IF(AE281=1,IF(AN281="","(no teacher)",AN281&amp;" – "&amp;C281),"")</f>
        <v/>
      </c>
      <c r="C281">
        <f>IF(AE281=1,TRIM('Roster'!D281&amp;""),"")</f>
        <v/>
      </c>
      <c r="D281" s="48">
        <f>IF(AE281=1,ROUND(SUMIFS('All Donations'!$S$2:$S$4001,'All Donations'!$R$2:$R$4001,AD281),2),"")</f>
        <v/>
      </c>
      <c r="E281" s="48">
        <f>IF(AE281=1,ROUND(SUMIFS('All Donations'!$S$2:$S$4001,'All Donations'!$R$2:$R$4001,AD281,'All Donations'!$G$2:$G$4001,"OneCause"),2),"")</f>
        <v/>
      </c>
      <c r="F281" s="48">
        <f>IF(AE281=1,D281-E281,"")</f>
        <v/>
      </c>
      <c r="G281">
        <f>IF(AE281=1,COUNTIFS('All Donations'!$R$2:$R$4001,AD281,'All Donations'!$H$2:$H$4001,"OK"),"")</f>
        <v/>
      </c>
      <c r="H281">
        <f>IF(AE281&lt;&gt;1,"",IF(D281&gt;0,"Yes",""))</f>
        <v/>
      </c>
      <c r="I281" s="49">
        <f>IF(OR($AE281&lt;&gt;1,I$1=""),"",SUMIFS('All Donations'!$S$2:$S$4001,'All Donations'!$R$2:$R$4001,$AD281,'All Donations'!$T$2:$T$4001,I$1))</f>
        <v/>
      </c>
      <c r="J281" s="49">
        <f>IF(OR($AE281&lt;&gt;1,J$1=""),"",SUMIFS('All Donations'!$S$2:$S$4001,'All Donations'!$R$2:$R$4001,$AD281,'All Donations'!$T$2:$T$4001,J$1))</f>
        <v/>
      </c>
      <c r="K281" s="49">
        <f>IF(OR($AE281&lt;&gt;1,K$1=""),"",SUMIFS('All Donations'!$S$2:$S$4001,'All Donations'!$R$2:$R$4001,$AD281,'All Donations'!$T$2:$T$4001,K$1))</f>
        <v/>
      </c>
      <c r="L281" s="49">
        <f>IF(OR($AE281&lt;&gt;1,L$1=""),"",SUMIFS('All Donations'!$S$2:$S$4001,'All Donations'!$R$2:$R$4001,$AD281,'All Donations'!$T$2:$T$4001,L$1))</f>
        <v/>
      </c>
      <c r="M281" s="49">
        <f>IF(OR($AE281&lt;&gt;1,M$1=""),"",SUMIFS('All Donations'!$S$2:$S$4001,'All Donations'!$R$2:$R$4001,$AD281,'All Donations'!$T$2:$T$4001,M$1))</f>
        <v/>
      </c>
      <c r="N281" s="49">
        <f>IF(OR($AE281&lt;&gt;1,N$1=""),"",SUMIFS('All Donations'!$S$2:$S$4001,'All Donations'!$R$2:$R$4001,$AD281,'All Donations'!$T$2:$T$4001,N$1))</f>
        <v/>
      </c>
      <c r="O281" s="49">
        <f>IF(OR($AE281&lt;&gt;1,O$1=""),"",SUMIFS('All Donations'!$S$2:$S$4001,'All Donations'!$R$2:$R$4001,$AD281,'All Donations'!$T$2:$T$4001,O$1))</f>
        <v/>
      </c>
      <c r="P281" s="49">
        <f>IF(OR($AE281&lt;&gt;1,P$1=""),"",SUMIFS('All Donations'!$S$2:$S$4001,'All Donations'!$R$2:$R$4001,$AD281,'All Donations'!$T$2:$T$4001,P$1))</f>
        <v/>
      </c>
      <c r="Q281" s="49">
        <f>IF(OR($AE281&lt;&gt;1,Q$1=""),"",SUMIFS('All Donations'!$S$2:$S$4001,'All Donations'!$R$2:$R$4001,$AD281,'All Donations'!$T$2:$T$4001,Q$1))</f>
        <v/>
      </c>
      <c r="R281" s="49">
        <f>IF(OR($AE281&lt;&gt;1,R$1=""),"",SUMIFS('All Donations'!$S$2:$S$4001,'All Donations'!$R$2:$R$4001,$AD281,'All Donations'!$T$2:$T$4001,R$1))</f>
        <v/>
      </c>
      <c r="S281" s="49">
        <f>IF(OR($AE281&lt;&gt;1,S$1=""),"",SUMIFS('All Donations'!$S$2:$S$4001,'All Donations'!$R$2:$R$4001,$AD281,'All Donations'!$T$2:$T$4001,S$1))</f>
        <v/>
      </c>
      <c r="T281" s="49">
        <f>IF(OR($AE281&lt;&gt;1,T$1=""),"",SUMIFS('All Donations'!$S$2:$S$4001,'All Donations'!$R$2:$R$4001,$AD281,'All Donations'!$T$2:$T$4001,T$1))</f>
        <v/>
      </c>
      <c r="U281" s="49">
        <f>IF(OR($AE281&lt;&gt;1,U$1=""),"",SUMIFS('All Donations'!$S$2:$S$4001,'All Donations'!$R$2:$R$4001,$AD281,'All Donations'!$T$2:$T$4001,U$1))</f>
        <v/>
      </c>
      <c r="V281" s="49">
        <f>IF(OR($AE281&lt;&gt;1,V$1=""),"",SUMIFS('All Donations'!$S$2:$S$4001,'All Donations'!$R$2:$R$4001,$AD281,'All Donations'!$T$2:$T$4001,V$1))</f>
        <v/>
      </c>
      <c r="W281" s="49">
        <f>IF(OR($AE281&lt;&gt;1,W$1=""),"",SUMIFS('All Donations'!$S$2:$S$4001,'All Donations'!$R$2:$R$4001,$AD281,'All Donations'!$T$2:$T$4001,W$1))</f>
        <v/>
      </c>
      <c r="X281" s="49">
        <f>IF(OR($AE281&lt;&gt;1,X$1=""),"",SUMIFS('All Donations'!$S$2:$S$4001,'All Donations'!$R$2:$R$4001,$AD281,'All Donations'!$T$2:$T$4001,X$1))</f>
        <v/>
      </c>
      <c r="Y281" s="49">
        <f>IF(OR($AE281&lt;&gt;1,Y$1=""),"",SUMIFS('All Donations'!$S$2:$S$4001,'All Donations'!$R$2:$R$4001,$AD281,'All Donations'!$T$2:$T$4001,Y$1))</f>
        <v/>
      </c>
      <c r="Z281" s="49">
        <f>IF(OR($AE281&lt;&gt;1,Z$1=""),"",SUMIFS('All Donations'!$S$2:$S$4001,'All Donations'!$R$2:$R$4001,$AD281,'All Donations'!$T$2:$T$4001,Z$1))</f>
        <v/>
      </c>
      <c r="AA281" s="49">
        <f>IF(OR($AE281&lt;&gt;1,AA$1=""),"",SUMIFS('All Donations'!$S$2:$S$4001,'All Donations'!$R$2:$R$4001,$AD281,'All Donations'!$T$2:$T$4001,AA$1))</f>
        <v/>
      </c>
      <c r="AB281" s="49">
        <f>IF(OR($AE281&lt;&gt;1,AB$1=""),"",SUMIFS('All Donations'!$S$2:$S$4001,'All Donations'!$R$2:$R$4001,$AD281,'All Donations'!$T$2:$T$4001,AB$1))</f>
        <v/>
      </c>
      <c r="AC281" s="49">
        <f>IF(OR($AE281&lt;&gt;1,AC$1=""),"",SUMIFS('All Donations'!$S$2:$S$4001,'All Donations'!$R$2:$R$4001,$AD281,'All Donations'!$T$2:$T$4001,AC$1))</f>
        <v/>
      </c>
      <c r="AD281">
        <f>IF(AE281=1,'Roster'!A281,"")</f>
        <v/>
      </c>
      <c r="AE281">
        <f>IF(TRIM('Roster'!B281&amp;'Roster'!C281)&lt;&gt;"",1,0)</f>
        <v/>
      </c>
      <c r="AF281">
        <f>IF(AE281=1,LOWER(A281),"#")</f>
        <v/>
      </c>
      <c r="AG281">
        <f>IF(AE281=1,LOWER(TRIM(TRIM('Roster'!C281)&amp;", "&amp;TRIM('Roster'!B281))),"#")</f>
        <v/>
      </c>
      <c r="AH281">
        <f>IF(AND(AE281=1,TRIM('Roster'!F281)&lt;&gt;""),LOWER(TRIM('Roster'!F281)),"#")</f>
        <v/>
      </c>
      <c r="AI281">
        <f>IF(AE281=1,IF(MATCH(B281,$B$2:$B$701,0)=ROW()-1,1,0),0)</f>
        <v/>
      </c>
      <c r="AJ281">
        <f>AJ280+AI281</f>
        <v/>
      </c>
      <c r="AK281">
        <f>IF(AE281=1,D281+(1000-ROW())/10^7,-1)</f>
        <v/>
      </c>
      <c r="AL281">
        <f>IF(AE281=1,TRIM('Roster'!B281)&amp;" "&amp;LEFT(TRIM('Roster'!C281),1)&amp;".","")</f>
        <v/>
      </c>
      <c r="AM281">
        <f>IF(AE281=1,TRIM('Roster'!C281)&amp;", "&amp;TRIM('Roster'!B281)&amp;" ("&amp;B281&amp;") #"&amp;AD281,"")</f>
        <v/>
      </c>
      <c r="AN281">
        <f>IF(AE281=1,TRIM('Roster'!E281),"")</f>
        <v/>
      </c>
      <c r="AO281">
        <f>IF(AE281=1,ROUND(SUMIFS('All Donations'!$S$2:$S$4001,'All Donations'!$R$2:$R$4001,AD281,'All Donations'!$T$2:$T$4001,"&gt;="&amp;'Settings'!$C$23,'All Donations'!$T$2:$T$4001,"&lt;="&amp;'Settings'!$D$23),2),0)</f>
        <v/>
      </c>
      <c r="AQ281">
        <f>IF(AE281=1,ROUND(SUMIFS('All Donations'!$S$2:$S$4001,'All Donations'!$R$2:$R$4001,AD281,'All Donations'!$T$2:$T$4001,"&gt;="&amp;'Settings'!$C$25,'All Donations'!$T$2:$T$4001,"&lt;="&amp;'Settings'!$D$25),2),0)</f>
        <v/>
      </c>
      <c r="AR281">
        <f>IF(AE281=1,ROUND(SUMIFS('All Donations'!$S$2:$S$4001,'All Donations'!$R$2:$R$4001,AD281,'All Donations'!$T$2:$T$4001,"&gt;="&amp;'Settings'!$C$26,'All Donations'!$T$2:$T$4001,"&lt;="&amp;'Settings'!$D$26),2),0)</f>
        <v/>
      </c>
      <c r="AS281">
        <f>IF(AE281=1,ROUND(SUMIFS('All Donations'!$S$2:$S$4001,'All Donations'!$R$2:$R$4001,AD281,'All Donations'!$T$2:$T$4001,"&lt;="&amp;'Settings'!$D$27),2),0)</f>
        <v/>
      </c>
      <c r="AT281">
        <f>IF(AE281=1,ROUND(SUMIFS('All Donations'!$S$2:$S$4001,'All Donations'!$R$2:$R$4001,AD281,'All Donations'!$T$2:$T$4001,"&gt;="&amp;'Settings'!$C$28,'All Donations'!$T$2:$T$4001,"&lt;="&amp;'Settings'!$D$28),2),0)</f>
        <v/>
      </c>
      <c r="AU281">
        <f>IF(AE281=1,ROUND(SUMIFS('All Donations'!$S$2:$S$4001,'All Donations'!$R$2:$R$4001,AD281,'All Donations'!$T$2:$T$4001,"&gt;="&amp;'Settings'!$C$29,'All Donations'!$T$2:$T$4001,"&lt;="&amp;'Settings'!$D$29),2),0)</f>
        <v/>
      </c>
      <c r="AV281">
        <f>IF(AE281=1,ROUND(SUMIFS('All Donations'!$S$2:$S$4001,'All Donations'!$R$2:$R$4001,AD281,'All Donations'!$T$2:$T$4001,"&lt;="&amp;'Settings'!$D$30),2),0)</f>
        <v/>
      </c>
      <c r="AZ281">
        <f>IF(AE281=1,ROUND(SUMIFS('All Donations'!$S$2:$S$4001,'All Donations'!$R$2:$R$4001,AD281,'All Donations'!$T$2:$T$4001,"&lt;="&amp;'Settings'!$D$34),2),0)</f>
        <v/>
      </c>
    </row>
    <row r="282">
      <c r="A282">
        <f>IF(AE282=1,TRIM(TRIM('Roster'!B282)&amp;" "&amp;TRIM('Roster'!C282)),"")</f>
        <v/>
      </c>
      <c r="B282">
        <f>IF(AE282=1,IF(AN282="","(no teacher)",AN282&amp;" – "&amp;C282),"")</f>
        <v/>
      </c>
      <c r="C282">
        <f>IF(AE282=1,TRIM('Roster'!D282&amp;""),"")</f>
        <v/>
      </c>
      <c r="D282" s="48">
        <f>IF(AE282=1,ROUND(SUMIFS('All Donations'!$S$2:$S$4001,'All Donations'!$R$2:$R$4001,AD282),2),"")</f>
        <v/>
      </c>
      <c r="E282" s="48">
        <f>IF(AE282=1,ROUND(SUMIFS('All Donations'!$S$2:$S$4001,'All Donations'!$R$2:$R$4001,AD282,'All Donations'!$G$2:$G$4001,"OneCause"),2),"")</f>
        <v/>
      </c>
      <c r="F282" s="48">
        <f>IF(AE282=1,D282-E282,"")</f>
        <v/>
      </c>
      <c r="G282">
        <f>IF(AE282=1,COUNTIFS('All Donations'!$R$2:$R$4001,AD282,'All Donations'!$H$2:$H$4001,"OK"),"")</f>
        <v/>
      </c>
      <c r="H282">
        <f>IF(AE282&lt;&gt;1,"",IF(D282&gt;0,"Yes",""))</f>
        <v/>
      </c>
      <c r="I282" s="49">
        <f>IF(OR($AE282&lt;&gt;1,I$1=""),"",SUMIFS('All Donations'!$S$2:$S$4001,'All Donations'!$R$2:$R$4001,$AD282,'All Donations'!$T$2:$T$4001,I$1))</f>
        <v/>
      </c>
      <c r="J282" s="49">
        <f>IF(OR($AE282&lt;&gt;1,J$1=""),"",SUMIFS('All Donations'!$S$2:$S$4001,'All Donations'!$R$2:$R$4001,$AD282,'All Donations'!$T$2:$T$4001,J$1))</f>
        <v/>
      </c>
      <c r="K282" s="49">
        <f>IF(OR($AE282&lt;&gt;1,K$1=""),"",SUMIFS('All Donations'!$S$2:$S$4001,'All Donations'!$R$2:$R$4001,$AD282,'All Donations'!$T$2:$T$4001,K$1))</f>
        <v/>
      </c>
      <c r="L282" s="49">
        <f>IF(OR($AE282&lt;&gt;1,L$1=""),"",SUMIFS('All Donations'!$S$2:$S$4001,'All Donations'!$R$2:$R$4001,$AD282,'All Donations'!$T$2:$T$4001,L$1))</f>
        <v/>
      </c>
      <c r="M282" s="49">
        <f>IF(OR($AE282&lt;&gt;1,M$1=""),"",SUMIFS('All Donations'!$S$2:$S$4001,'All Donations'!$R$2:$R$4001,$AD282,'All Donations'!$T$2:$T$4001,M$1))</f>
        <v/>
      </c>
      <c r="N282" s="49">
        <f>IF(OR($AE282&lt;&gt;1,N$1=""),"",SUMIFS('All Donations'!$S$2:$S$4001,'All Donations'!$R$2:$R$4001,$AD282,'All Donations'!$T$2:$T$4001,N$1))</f>
        <v/>
      </c>
      <c r="O282" s="49">
        <f>IF(OR($AE282&lt;&gt;1,O$1=""),"",SUMIFS('All Donations'!$S$2:$S$4001,'All Donations'!$R$2:$R$4001,$AD282,'All Donations'!$T$2:$T$4001,O$1))</f>
        <v/>
      </c>
      <c r="P282" s="49">
        <f>IF(OR($AE282&lt;&gt;1,P$1=""),"",SUMIFS('All Donations'!$S$2:$S$4001,'All Donations'!$R$2:$R$4001,$AD282,'All Donations'!$T$2:$T$4001,P$1))</f>
        <v/>
      </c>
      <c r="Q282" s="49">
        <f>IF(OR($AE282&lt;&gt;1,Q$1=""),"",SUMIFS('All Donations'!$S$2:$S$4001,'All Donations'!$R$2:$R$4001,$AD282,'All Donations'!$T$2:$T$4001,Q$1))</f>
        <v/>
      </c>
      <c r="R282" s="49">
        <f>IF(OR($AE282&lt;&gt;1,R$1=""),"",SUMIFS('All Donations'!$S$2:$S$4001,'All Donations'!$R$2:$R$4001,$AD282,'All Donations'!$T$2:$T$4001,R$1))</f>
        <v/>
      </c>
      <c r="S282" s="49">
        <f>IF(OR($AE282&lt;&gt;1,S$1=""),"",SUMIFS('All Donations'!$S$2:$S$4001,'All Donations'!$R$2:$R$4001,$AD282,'All Donations'!$T$2:$T$4001,S$1))</f>
        <v/>
      </c>
      <c r="T282" s="49">
        <f>IF(OR($AE282&lt;&gt;1,T$1=""),"",SUMIFS('All Donations'!$S$2:$S$4001,'All Donations'!$R$2:$R$4001,$AD282,'All Donations'!$T$2:$T$4001,T$1))</f>
        <v/>
      </c>
      <c r="U282" s="49">
        <f>IF(OR($AE282&lt;&gt;1,U$1=""),"",SUMIFS('All Donations'!$S$2:$S$4001,'All Donations'!$R$2:$R$4001,$AD282,'All Donations'!$T$2:$T$4001,U$1))</f>
        <v/>
      </c>
      <c r="V282" s="49">
        <f>IF(OR($AE282&lt;&gt;1,V$1=""),"",SUMIFS('All Donations'!$S$2:$S$4001,'All Donations'!$R$2:$R$4001,$AD282,'All Donations'!$T$2:$T$4001,V$1))</f>
        <v/>
      </c>
      <c r="W282" s="49">
        <f>IF(OR($AE282&lt;&gt;1,W$1=""),"",SUMIFS('All Donations'!$S$2:$S$4001,'All Donations'!$R$2:$R$4001,$AD282,'All Donations'!$T$2:$T$4001,W$1))</f>
        <v/>
      </c>
      <c r="X282" s="49">
        <f>IF(OR($AE282&lt;&gt;1,X$1=""),"",SUMIFS('All Donations'!$S$2:$S$4001,'All Donations'!$R$2:$R$4001,$AD282,'All Donations'!$T$2:$T$4001,X$1))</f>
        <v/>
      </c>
      <c r="Y282" s="49">
        <f>IF(OR($AE282&lt;&gt;1,Y$1=""),"",SUMIFS('All Donations'!$S$2:$S$4001,'All Donations'!$R$2:$R$4001,$AD282,'All Donations'!$T$2:$T$4001,Y$1))</f>
        <v/>
      </c>
      <c r="Z282" s="49">
        <f>IF(OR($AE282&lt;&gt;1,Z$1=""),"",SUMIFS('All Donations'!$S$2:$S$4001,'All Donations'!$R$2:$R$4001,$AD282,'All Donations'!$T$2:$T$4001,Z$1))</f>
        <v/>
      </c>
      <c r="AA282" s="49">
        <f>IF(OR($AE282&lt;&gt;1,AA$1=""),"",SUMIFS('All Donations'!$S$2:$S$4001,'All Donations'!$R$2:$R$4001,$AD282,'All Donations'!$T$2:$T$4001,AA$1))</f>
        <v/>
      </c>
      <c r="AB282" s="49">
        <f>IF(OR($AE282&lt;&gt;1,AB$1=""),"",SUMIFS('All Donations'!$S$2:$S$4001,'All Donations'!$R$2:$R$4001,$AD282,'All Donations'!$T$2:$T$4001,AB$1))</f>
        <v/>
      </c>
      <c r="AC282" s="49">
        <f>IF(OR($AE282&lt;&gt;1,AC$1=""),"",SUMIFS('All Donations'!$S$2:$S$4001,'All Donations'!$R$2:$R$4001,$AD282,'All Donations'!$T$2:$T$4001,AC$1))</f>
        <v/>
      </c>
      <c r="AD282">
        <f>IF(AE282=1,'Roster'!A282,"")</f>
        <v/>
      </c>
      <c r="AE282">
        <f>IF(TRIM('Roster'!B282&amp;'Roster'!C282)&lt;&gt;"",1,0)</f>
        <v/>
      </c>
      <c r="AF282">
        <f>IF(AE282=1,LOWER(A282),"#")</f>
        <v/>
      </c>
      <c r="AG282">
        <f>IF(AE282=1,LOWER(TRIM(TRIM('Roster'!C282)&amp;", "&amp;TRIM('Roster'!B282))),"#")</f>
        <v/>
      </c>
      <c r="AH282">
        <f>IF(AND(AE282=1,TRIM('Roster'!F282)&lt;&gt;""),LOWER(TRIM('Roster'!F282)),"#")</f>
        <v/>
      </c>
      <c r="AI282">
        <f>IF(AE282=1,IF(MATCH(B282,$B$2:$B$701,0)=ROW()-1,1,0),0)</f>
        <v/>
      </c>
      <c r="AJ282">
        <f>AJ281+AI282</f>
        <v/>
      </c>
      <c r="AK282">
        <f>IF(AE282=1,D282+(1000-ROW())/10^7,-1)</f>
        <v/>
      </c>
      <c r="AL282">
        <f>IF(AE282=1,TRIM('Roster'!B282)&amp;" "&amp;LEFT(TRIM('Roster'!C282),1)&amp;".","")</f>
        <v/>
      </c>
      <c r="AM282">
        <f>IF(AE282=1,TRIM('Roster'!C282)&amp;", "&amp;TRIM('Roster'!B282)&amp;" ("&amp;B282&amp;") #"&amp;AD282,"")</f>
        <v/>
      </c>
      <c r="AN282">
        <f>IF(AE282=1,TRIM('Roster'!E282),"")</f>
        <v/>
      </c>
      <c r="AO282">
        <f>IF(AE282=1,ROUND(SUMIFS('All Donations'!$S$2:$S$4001,'All Donations'!$R$2:$R$4001,AD282,'All Donations'!$T$2:$T$4001,"&gt;="&amp;'Settings'!$C$23,'All Donations'!$T$2:$T$4001,"&lt;="&amp;'Settings'!$D$23),2),0)</f>
        <v/>
      </c>
      <c r="AQ282">
        <f>IF(AE282=1,ROUND(SUMIFS('All Donations'!$S$2:$S$4001,'All Donations'!$R$2:$R$4001,AD282,'All Donations'!$T$2:$T$4001,"&gt;="&amp;'Settings'!$C$25,'All Donations'!$T$2:$T$4001,"&lt;="&amp;'Settings'!$D$25),2),0)</f>
        <v/>
      </c>
      <c r="AR282">
        <f>IF(AE282=1,ROUND(SUMIFS('All Donations'!$S$2:$S$4001,'All Donations'!$R$2:$R$4001,AD282,'All Donations'!$T$2:$T$4001,"&gt;="&amp;'Settings'!$C$26,'All Donations'!$T$2:$T$4001,"&lt;="&amp;'Settings'!$D$26),2),0)</f>
        <v/>
      </c>
      <c r="AS282">
        <f>IF(AE282=1,ROUND(SUMIFS('All Donations'!$S$2:$S$4001,'All Donations'!$R$2:$R$4001,AD282,'All Donations'!$T$2:$T$4001,"&lt;="&amp;'Settings'!$D$27),2),0)</f>
        <v/>
      </c>
      <c r="AT282">
        <f>IF(AE282=1,ROUND(SUMIFS('All Donations'!$S$2:$S$4001,'All Donations'!$R$2:$R$4001,AD282,'All Donations'!$T$2:$T$4001,"&gt;="&amp;'Settings'!$C$28,'All Donations'!$T$2:$T$4001,"&lt;="&amp;'Settings'!$D$28),2),0)</f>
        <v/>
      </c>
      <c r="AU282">
        <f>IF(AE282=1,ROUND(SUMIFS('All Donations'!$S$2:$S$4001,'All Donations'!$R$2:$R$4001,AD282,'All Donations'!$T$2:$T$4001,"&gt;="&amp;'Settings'!$C$29,'All Donations'!$T$2:$T$4001,"&lt;="&amp;'Settings'!$D$29),2),0)</f>
        <v/>
      </c>
      <c r="AV282">
        <f>IF(AE282=1,ROUND(SUMIFS('All Donations'!$S$2:$S$4001,'All Donations'!$R$2:$R$4001,AD282,'All Donations'!$T$2:$T$4001,"&lt;="&amp;'Settings'!$D$30),2),0)</f>
        <v/>
      </c>
      <c r="AZ282">
        <f>IF(AE282=1,ROUND(SUMIFS('All Donations'!$S$2:$S$4001,'All Donations'!$R$2:$R$4001,AD282,'All Donations'!$T$2:$T$4001,"&lt;="&amp;'Settings'!$D$34),2),0)</f>
        <v/>
      </c>
    </row>
    <row r="283">
      <c r="A283">
        <f>IF(AE283=1,TRIM(TRIM('Roster'!B283)&amp;" "&amp;TRIM('Roster'!C283)),"")</f>
        <v/>
      </c>
      <c r="B283">
        <f>IF(AE283=1,IF(AN283="","(no teacher)",AN283&amp;" – "&amp;C283),"")</f>
        <v/>
      </c>
      <c r="C283">
        <f>IF(AE283=1,TRIM('Roster'!D283&amp;""),"")</f>
        <v/>
      </c>
      <c r="D283" s="48">
        <f>IF(AE283=1,ROUND(SUMIFS('All Donations'!$S$2:$S$4001,'All Donations'!$R$2:$R$4001,AD283),2),"")</f>
        <v/>
      </c>
      <c r="E283" s="48">
        <f>IF(AE283=1,ROUND(SUMIFS('All Donations'!$S$2:$S$4001,'All Donations'!$R$2:$R$4001,AD283,'All Donations'!$G$2:$G$4001,"OneCause"),2),"")</f>
        <v/>
      </c>
      <c r="F283" s="48">
        <f>IF(AE283=1,D283-E283,"")</f>
        <v/>
      </c>
      <c r="G283">
        <f>IF(AE283=1,COUNTIFS('All Donations'!$R$2:$R$4001,AD283,'All Donations'!$H$2:$H$4001,"OK"),"")</f>
        <v/>
      </c>
      <c r="H283">
        <f>IF(AE283&lt;&gt;1,"",IF(D283&gt;0,"Yes",""))</f>
        <v/>
      </c>
      <c r="I283" s="49">
        <f>IF(OR($AE283&lt;&gt;1,I$1=""),"",SUMIFS('All Donations'!$S$2:$S$4001,'All Donations'!$R$2:$R$4001,$AD283,'All Donations'!$T$2:$T$4001,I$1))</f>
        <v/>
      </c>
      <c r="J283" s="49">
        <f>IF(OR($AE283&lt;&gt;1,J$1=""),"",SUMIFS('All Donations'!$S$2:$S$4001,'All Donations'!$R$2:$R$4001,$AD283,'All Donations'!$T$2:$T$4001,J$1))</f>
        <v/>
      </c>
      <c r="K283" s="49">
        <f>IF(OR($AE283&lt;&gt;1,K$1=""),"",SUMIFS('All Donations'!$S$2:$S$4001,'All Donations'!$R$2:$R$4001,$AD283,'All Donations'!$T$2:$T$4001,K$1))</f>
        <v/>
      </c>
      <c r="L283" s="49">
        <f>IF(OR($AE283&lt;&gt;1,L$1=""),"",SUMIFS('All Donations'!$S$2:$S$4001,'All Donations'!$R$2:$R$4001,$AD283,'All Donations'!$T$2:$T$4001,L$1))</f>
        <v/>
      </c>
      <c r="M283" s="49">
        <f>IF(OR($AE283&lt;&gt;1,M$1=""),"",SUMIFS('All Donations'!$S$2:$S$4001,'All Donations'!$R$2:$R$4001,$AD283,'All Donations'!$T$2:$T$4001,M$1))</f>
        <v/>
      </c>
      <c r="N283" s="49">
        <f>IF(OR($AE283&lt;&gt;1,N$1=""),"",SUMIFS('All Donations'!$S$2:$S$4001,'All Donations'!$R$2:$R$4001,$AD283,'All Donations'!$T$2:$T$4001,N$1))</f>
        <v/>
      </c>
      <c r="O283" s="49">
        <f>IF(OR($AE283&lt;&gt;1,O$1=""),"",SUMIFS('All Donations'!$S$2:$S$4001,'All Donations'!$R$2:$R$4001,$AD283,'All Donations'!$T$2:$T$4001,O$1))</f>
        <v/>
      </c>
      <c r="P283" s="49">
        <f>IF(OR($AE283&lt;&gt;1,P$1=""),"",SUMIFS('All Donations'!$S$2:$S$4001,'All Donations'!$R$2:$R$4001,$AD283,'All Donations'!$T$2:$T$4001,P$1))</f>
        <v/>
      </c>
      <c r="Q283" s="49">
        <f>IF(OR($AE283&lt;&gt;1,Q$1=""),"",SUMIFS('All Donations'!$S$2:$S$4001,'All Donations'!$R$2:$R$4001,$AD283,'All Donations'!$T$2:$T$4001,Q$1))</f>
        <v/>
      </c>
      <c r="R283" s="49">
        <f>IF(OR($AE283&lt;&gt;1,R$1=""),"",SUMIFS('All Donations'!$S$2:$S$4001,'All Donations'!$R$2:$R$4001,$AD283,'All Donations'!$T$2:$T$4001,R$1))</f>
        <v/>
      </c>
      <c r="S283" s="49">
        <f>IF(OR($AE283&lt;&gt;1,S$1=""),"",SUMIFS('All Donations'!$S$2:$S$4001,'All Donations'!$R$2:$R$4001,$AD283,'All Donations'!$T$2:$T$4001,S$1))</f>
        <v/>
      </c>
      <c r="T283" s="49">
        <f>IF(OR($AE283&lt;&gt;1,T$1=""),"",SUMIFS('All Donations'!$S$2:$S$4001,'All Donations'!$R$2:$R$4001,$AD283,'All Donations'!$T$2:$T$4001,T$1))</f>
        <v/>
      </c>
      <c r="U283" s="49">
        <f>IF(OR($AE283&lt;&gt;1,U$1=""),"",SUMIFS('All Donations'!$S$2:$S$4001,'All Donations'!$R$2:$R$4001,$AD283,'All Donations'!$T$2:$T$4001,U$1))</f>
        <v/>
      </c>
      <c r="V283" s="49">
        <f>IF(OR($AE283&lt;&gt;1,V$1=""),"",SUMIFS('All Donations'!$S$2:$S$4001,'All Donations'!$R$2:$R$4001,$AD283,'All Donations'!$T$2:$T$4001,V$1))</f>
        <v/>
      </c>
      <c r="W283" s="49">
        <f>IF(OR($AE283&lt;&gt;1,W$1=""),"",SUMIFS('All Donations'!$S$2:$S$4001,'All Donations'!$R$2:$R$4001,$AD283,'All Donations'!$T$2:$T$4001,W$1))</f>
        <v/>
      </c>
      <c r="X283" s="49">
        <f>IF(OR($AE283&lt;&gt;1,X$1=""),"",SUMIFS('All Donations'!$S$2:$S$4001,'All Donations'!$R$2:$R$4001,$AD283,'All Donations'!$T$2:$T$4001,X$1))</f>
        <v/>
      </c>
      <c r="Y283" s="49">
        <f>IF(OR($AE283&lt;&gt;1,Y$1=""),"",SUMIFS('All Donations'!$S$2:$S$4001,'All Donations'!$R$2:$R$4001,$AD283,'All Donations'!$T$2:$T$4001,Y$1))</f>
        <v/>
      </c>
      <c r="Z283" s="49">
        <f>IF(OR($AE283&lt;&gt;1,Z$1=""),"",SUMIFS('All Donations'!$S$2:$S$4001,'All Donations'!$R$2:$R$4001,$AD283,'All Donations'!$T$2:$T$4001,Z$1))</f>
        <v/>
      </c>
      <c r="AA283" s="49">
        <f>IF(OR($AE283&lt;&gt;1,AA$1=""),"",SUMIFS('All Donations'!$S$2:$S$4001,'All Donations'!$R$2:$R$4001,$AD283,'All Donations'!$T$2:$T$4001,AA$1))</f>
        <v/>
      </c>
      <c r="AB283" s="49">
        <f>IF(OR($AE283&lt;&gt;1,AB$1=""),"",SUMIFS('All Donations'!$S$2:$S$4001,'All Donations'!$R$2:$R$4001,$AD283,'All Donations'!$T$2:$T$4001,AB$1))</f>
        <v/>
      </c>
      <c r="AC283" s="49">
        <f>IF(OR($AE283&lt;&gt;1,AC$1=""),"",SUMIFS('All Donations'!$S$2:$S$4001,'All Donations'!$R$2:$R$4001,$AD283,'All Donations'!$T$2:$T$4001,AC$1))</f>
        <v/>
      </c>
      <c r="AD283">
        <f>IF(AE283=1,'Roster'!A283,"")</f>
        <v/>
      </c>
      <c r="AE283">
        <f>IF(TRIM('Roster'!B283&amp;'Roster'!C283)&lt;&gt;"",1,0)</f>
        <v/>
      </c>
      <c r="AF283">
        <f>IF(AE283=1,LOWER(A283),"#")</f>
        <v/>
      </c>
      <c r="AG283">
        <f>IF(AE283=1,LOWER(TRIM(TRIM('Roster'!C283)&amp;", "&amp;TRIM('Roster'!B283))),"#")</f>
        <v/>
      </c>
      <c r="AH283">
        <f>IF(AND(AE283=1,TRIM('Roster'!F283)&lt;&gt;""),LOWER(TRIM('Roster'!F283)),"#")</f>
        <v/>
      </c>
      <c r="AI283">
        <f>IF(AE283=1,IF(MATCH(B283,$B$2:$B$701,0)=ROW()-1,1,0),0)</f>
        <v/>
      </c>
      <c r="AJ283">
        <f>AJ282+AI283</f>
        <v/>
      </c>
      <c r="AK283">
        <f>IF(AE283=1,D283+(1000-ROW())/10^7,-1)</f>
        <v/>
      </c>
      <c r="AL283">
        <f>IF(AE283=1,TRIM('Roster'!B283)&amp;" "&amp;LEFT(TRIM('Roster'!C283),1)&amp;".","")</f>
        <v/>
      </c>
      <c r="AM283">
        <f>IF(AE283=1,TRIM('Roster'!C283)&amp;", "&amp;TRIM('Roster'!B283)&amp;" ("&amp;B283&amp;") #"&amp;AD283,"")</f>
        <v/>
      </c>
      <c r="AN283">
        <f>IF(AE283=1,TRIM('Roster'!E283),"")</f>
        <v/>
      </c>
      <c r="AO283">
        <f>IF(AE283=1,ROUND(SUMIFS('All Donations'!$S$2:$S$4001,'All Donations'!$R$2:$R$4001,AD283,'All Donations'!$T$2:$T$4001,"&gt;="&amp;'Settings'!$C$23,'All Donations'!$T$2:$T$4001,"&lt;="&amp;'Settings'!$D$23),2),0)</f>
        <v/>
      </c>
      <c r="AQ283">
        <f>IF(AE283=1,ROUND(SUMIFS('All Donations'!$S$2:$S$4001,'All Donations'!$R$2:$R$4001,AD283,'All Donations'!$T$2:$T$4001,"&gt;="&amp;'Settings'!$C$25,'All Donations'!$T$2:$T$4001,"&lt;="&amp;'Settings'!$D$25),2),0)</f>
        <v/>
      </c>
      <c r="AR283">
        <f>IF(AE283=1,ROUND(SUMIFS('All Donations'!$S$2:$S$4001,'All Donations'!$R$2:$R$4001,AD283,'All Donations'!$T$2:$T$4001,"&gt;="&amp;'Settings'!$C$26,'All Donations'!$T$2:$T$4001,"&lt;="&amp;'Settings'!$D$26),2),0)</f>
        <v/>
      </c>
      <c r="AS283">
        <f>IF(AE283=1,ROUND(SUMIFS('All Donations'!$S$2:$S$4001,'All Donations'!$R$2:$R$4001,AD283,'All Donations'!$T$2:$T$4001,"&lt;="&amp;'Settings'!$D$27),2),0)</f>
        <v/>
      </c>
      <c r="AT283">
        <f>IF(AE283=1,ROUND(SUMIFS('All Donations'!$S$2:$S$4001,'All Donations'!$R$2:$R$4001,AD283,'All Donations'!$T$2:$T$4001,"&gt;="&amp;'Settings'!$C$28,'All Donations'!$T$2:$T$4001,"&lt;="&amp;'Settings'!$D$28),2),0)</f>
        <v/>
      </c>
      <c r="AU283">
        <f>IF(AE283=1,ROUND(SUMIFS('All Donations'!$S$2:$S$4001,'All Donations'!$R$2:$R$4001,AD283,'All Donations'!$T$2:$T$4001,"&gt;="&amp;'Settings'!$C$29,'All Donations'!$T$2:$T$4001,"&lt;="&amp;'Settings'!$D$29),2),0)</f>
        <v/>
      </c>
      <c r="AV283">
        <f>IF(AE283=1,ROUND(SUMIFS('All Donations'!$S$2:$S$4001,'All Donations'!$R$2:$R$4001,AD283,'All Donations'!$T$2:$T$4001,"&lt;="&amp;'Settings'!$D$30),2),0)</f>
        <v/>
      </c>
      <c r="AZ283">
        <f>IF(AE283=1,ROUND(SUMIFS('All Donations'!$S$2:$S$4001,'All Donations'!$R$2:$R$4001,AD283,'All Donations'!$T$2:$T$4001,"&lt;="&amp;'Settings'!$D$34),2),0)</f>
        <v/>
      </c>
    </row>
    <row r="284">
      <c r="A284">
        <f>IF(AE284=1,TRIM(TRIM('Roster'!B284)&amp;" "&amp;TRIM('Roster'!C284)),"")</f>
        <v/>
      </c>
      <c r="B284">
        <f>IF(AE284=1,IF(AN284="","(no teacher)",AN284&amp;" – "&amp;C284),"")</f>
        <v/>
      </c>
      <c r="C284">
        <f>IF(AE284=1,TRIM('Roster'!D284&amp;""),"")</f>
        <v/>
      </c>
      <c r="D284" s="48">
        <f>IF(AE284=1,ROUND(SUMIFS('All Donations'!$S$2:$S$4001,'All Donations'!$R$2:$R$4001,AD284),2),"")</f>
        <v/>
      </c>
      <c r="E284" s="48">
        <f>IF(AE284=1,ROUND(SUMIFS('All Donations'!$S$2:$S$4001,'All Donations'!$R$2:$R$4001,AD284,'All Donations'!$G$2:$G$4001,"OneCause"),2),"")</f>
        <v/>
      </c>
      <c r="F284" s="48">
        <f>IF(AE284=1,D284-E284,"")</f>
        <v/>
      </c>
      <c r="G284">
        <f>IF(AE284=1,COUNTIFS('All Donations'!$R$2:$R$4001,AD284,'All Donations'!$H$2:$H$4001,"OK"),"")</f>
        <v/>
      </c>
      <c r="H284">
        <f>IF(AE284&lt;&gt;1,"",IF(D284&gt;0,"Yes",""))</f>
        <v/>
      </c>
      <c r="I284" s="49">
        <f>IF(OR($AE284&lt;&gt;1,I$1=""),"",SUMIFS('All Donations'!$S$2:$S$4001,'All Donations'!$R$2:$R$4001,$AD284,'All Donations'!$T$2:$T$4001,I$1))</f>
        <v/>
      </c>
      <c r="J284" s="49">
        <f>IF(OR($AE284&lt;&gt;1,J$1=""),"",SUMIFS('All Donations'!$S$2:$S$4001,'All Donations'!$R$2:$R$4001,$AD284,'All Donations'!$T$2:$T$4001,J$1))</f>
        <v/>
      </c>
      <c r="K284" s="49">
        <f>IF(OR($AE284&lt;&gt;1,K$1=""),"",SUMIFS('All Donations'!$S$2:$S$4001,'All Donations'!$R$2:$R$4001,$AD284,'All Donations'!$T$2:$T$4001,K$1))</f>
        <v/>
      </c>
      <c r="L284" s="49">
        <f>IF(OR($AE284&lt;&gt;1,L$1=""),"",SUMIFS('All Donations'!$S$2:$S$4001,'All Donations'!$R$2:$R$4001,$AD284,'All Donations'!$T$2:$T$4001,L$1))</f>
        <v/>
      </c>
      <c r="M284" s="49">
        <f>IF(OR($AE284&lt;&gt;1,M$1=""),"",SUMIFS('All Donations'!$S$2:$S$4001,'All Donations'!$R$2:$R$4001,$AD284,'All Donations'!$T$2:$T$4001,M$1))</f>
        <v/>
      </c>
      <c r="N284" s="49">
        <f>IF(OR($AE284&lt;&gt;1,N$1=""),"",SUMIFS('All Donations'!$S$2:$S$4001,'All Donations'!$R$2:$R$4001,$AD284,'All Donations'!$T$2:$T$4001,N$1))</f>
        <v/>
      </c>
      <c r="O284" s="49">
        <f>IF(OR($AE284&lt;&gt;1,O$1=""),"",SUMIFS('All Donations'!$S$2:$S$4001,'All Donations'!$R$2:$R$4001,$AD284,'All Donations'!$T$2:$T$4001,O$1))</f>
        <v/>
      </c>
      <c r="P284" s="49">
        <f>IF(OR($AE284&lt;&gt;1,P$1=""),"",SUMIFS('All Donations'!$S$2:$S$4001,'All Donations'!$R$2:$R$4001,$AD284,'All Donations'!$T$2:$T$4001,P$1))</f>
        <v/>
      </c>
      <c r="Q284" s="49">
        <f>IF(OR($AE284&lt;&gt;1,Q$1=""),"",SUMIFS('All Donations'!$S$2:$S$4001,'All Donations'!$R$2:$R$4001,$AD284,'All Donations'!$T$2:$T$4001,Q$1))</f>
        <v/>
      </c>
      <c r="R284" s="49">
        <f>IF(OR($AE284&lt;&gt;1,R$1=""),"",SUMIFS('All Donations'!$S$2:$S$4001,'All Donations'!$R$2:$R$4001,$AD284,'All Donations'!$T$2:$T$4001,R$1))</f>
        <v/>
      </c>
      <c r="S284" s="49">
        <f>IF(OR($AE284&lt;&gt;1,S$1=""),"",SUMIFS('All Donations'!$S$2:$S$4001,'All Donations'!$R$2:$R$4001,$AD284,'All Donations'!$T$2:$T$4001,S$1))</f>
        <v/>
      </c>
      <c r="T284" s="49">
        <f>IF(OR($AE284&lt;&gt;1,T$1=""),"",SUMIFS('All Donations'!$S$2:$S$4001,'All Donations'!$R$2:$R$4001,$AD284,'All Donations'!$T$2:$T$4001,T$1))</f>
        <v/>
      </c>
      <c r="U284" s="49">
        <f>IF(OR($AE284&lt;&gt;1,U$1=""),"",SUMIFS('All Donations'!$S$2:$S$4001,'All Donations'!$R$2:$R$4001,$AD284,'All Donations'!$T$2:$T$4001,U$1))</f>
        <v/>
      </c>
      <c r="V284" s="49">
        <f>IF(OR($AE284&lt;&gt;1,V$1=""),"",SUMIFS('All Donations'!$S$2:$S$4001,'All Donations'!$R$2:$R$4001,$AD284,'All Donations'!$T$2:$T$4001,V$1))</f>
        <v/>
      </c>
      <c r="W284" s="49">
        <f>IF(OR($AE284&lt;&gt;1,W$1=""),"",SUMIFS('All Donations'!$S$2:$S$4001,'All Donations'!$R$2:$R$4001,$AD284,'All Donations'!$T$2:$T$4001,W$1))</f>
        <v/>
      </c>
      <c r="X284" s="49">
        <f>IF(OR($AE284&lt;&gt;1,X$1=""),"",SUMIFS('All Donations'!$S$2:$S$4001,'All Donations'!$R$2:$R$4001,$AD284,'All Donations'!$T$2:$T$4001,X$1))</f>
        <v/>
      </c>
      <c r="Y284" s="49">
        <f>IF(OR($AE284&lt;&gt;1,Y$1=""),"",SUMIFS('All Donations'!$S$2:$S$4001,'All Donations'!$R$2:$R$4001,$AD284,'All Donations'!$T$2:$T$4001,Y$1))</f>
        <v/>
      </c>
      <c r="Z284" s="49">
        <f>IF(OR($AE284&lt;&gt;1,Z$1=""),"",SUMIFS('All Donations'!$S$2:$S$4001,'All Donations'!$R$2:$R$4001,$AD284,'All Donations'!$T$2:$T$4001,Z$1))</f>
        <v/>
      </c>
      <c r="AA284" s="49">
        <f>IF(OR($AE284&lt;&gt;1,AA$1=""),"",SUMIFS('All Donations'!$S$2:$S$4001,'All Donations'!$R$2:$R$4001,$AD284,'All Donations'!$T$2:$T$4001,AA$1))</f>
        <v/>
      </c>
      <c r="AB284" s="49">
        <f>IF(OR($AE284&lt;&gt;1,AB$1=""),"",SUMIFS('All Donations'!$S$2:$S$4001,'All Donations'!$R$2:$R$4001,$AD284,'All Donations'!$T$2:$T$4001,AB$1))</f>
        <v/>
      </c>
      <c r="AC284" s="49">
        <f>IF(OR($AE284&lt;&gt;1,AC$1=""),"",SUMIFS('All Donations'!$S$2:$S$4001,'All Donations'!$R$2:$R$4001,$AD284,'All Donations'!$T$2:$T$4001,AC$1))</f>
        <v/>
      </c>
      <c r="AD284">
        <f>IF(AE284=1,'Roster'!A284,"")</f>
        <v/>
      </c>
      <c r="AE284">
        <f>IF(TRIM('Roster'!B284&amp;'Roster'!C284)&lt;&gt;"",1,0)</f>
        <v/>
      </c>
      <c r="AF284">
        <f>IF(AE284=1,LOWER(A284),"#")</f>
        <v/>
      </c>
      <c r="AG284">
        <f>IF(AE284=1,LOWER(TRIM(TRIM('Roster'!C284)&amp;", "&amp;TRIM('Roster'!B284))),"#")</f>
        <v/>
      </c>
      <c r="AH284">
        <f>IF(AND(AE284=1,TRIM('Roster'!F284)&lt;&gt;""),LOWER(TRIM('Roster'!F284)),"#")</f>
        <v/>
      </c>
      <c r="AI284">
        <f>IF(AE284=1,IF(MATCH(B284,$B$2:$B$701,0)=ROW()-1,1,0),0)</f>
        <v/>
      </c>
      <c r="AJ284">
        <f>AJ283+AI284</f>
        <v/>
      </c>
      <c r="AK284">
        <f>IF(AE284=1,D284+(1000-ROW())/10^7,-1)</f>
        <v/>
      </c>
      <c r="AL284">
        <f>IF(AE284=1,TRIM('Roster'!B284)&amp;" "&amp;LEFT(TRIM('Roster'!C284),1)&amp;".","")</f>
        <v/>
      </c>
      <c r="AM284">
        <f>IF(AE284=1,TRIM('Roster'!C284)&amp;", "&amp;TRIM('Roster'!B284)&amp;" ("&amp;B284&amp;") #"&amp;AD284,"")</f>
        <v/>
      </c>
      <c r="AN284">
        <f>IF(AE284=1,TRIM('Roster'!E284),"")</f>
        <v/>
      </c>
      <c r="AO284">
        <f>IF(AE284=1,ROUND(SUMIFS('All Donations'!$S$2:$S$4001,'All Donations'!$R$2:$R$4001,AD284,'All Donations'!$T$2:$T$4001,"&gt;="&amp;'Settings'!$C$23,'All Donations'!$T$2:$T$4001,"&lt;="&amp;'Settings'!$D$23),2),0)</f>
        <v/>
      </c>
      <c r="AQ284">
        <f>IF(AE284=1,ROUND(SUMIFS('All Donations'!$S$2:$S$4001,'All Donations'!$R$2:$R$4001,AD284,'All Donations'!$T$2:$T$4001,"&gt;="&amp;'Settings'!$C$25,'All Donations'!$T$2:$T$4001,"&lt;="&amp;'Settings'!$D$25),2),0)</f>
        <v/>
      </c>
      <c r="AR284">
        <f>IF(AE284=1,ROUND(SUMIFS('All Donations'!$S$2:$S$4001,'All Donations'!$R$2:$R$4001,AD284,'All Donations'!$T$2:$T$4001,"&gt;="&amp;'Settings'!$C$26,'All Donations'!$T$2:$T$4001,"&lt;="&amp;'Settings'!$D$26),2),0)</f>
        <v/>
      </c>
      <c r="AS284">
        <f>IF(AE284=1,ROUND(SUMIFS('All Donations'!$S$2:$S$4001,'All Donations'!$R$2:$R$4001,AD284,'All Donations'!$T$2:$T$4001,"&lt;="&amp;'Settings'!$D$27),2),0)</f>
        <v/>
      </c>
      <c r="AT284">
        <f>IF(AE284=1,ROUND(SUMIFS('All Donations'!$S$2:$S$4001,'All Donations'!$R$2:$R$4001,AD284,'All Donations'!$T$2:$T$4001,"&gt;="&amp;'Settings'!$C$28,'All Donations'!$T$2:$T$4001,"&lt;="&amp;'Settings'!$D$28),2),0)</f>
        <v/>
      </c>
      <c r="AU284">
        <f>IF(AE284=1,ROUND(SUMIFS('All Donations'!$S$2:$S$4001,'All Donations'!$R$2:$R$4001,AD284,'All Donations'!$T$2:$T$4001,"&gt;="&amp;'Settings'!$C$29,'All Donations'!$T$2:$T$4001,"&lt;="&amp;'Settings'!$D$29),2),0)</f>
        <v/>
      </c>
      <c r="AV284">
        <f>IF(AE284=1,ROUND(SUMIFS('All Donations'!$S$2:$S$4001,'All Donations'!$R$2:$R$4001,AD284,'All Donations'!$T$2:$T$4001,"&lt;="&amp;'Settings'!$D$30),2),0)</f>
        <v/>
      </c>
      <c r="AZ284">
        <f>IF(AE284=1,ROUND(SUMIFS('All Donations'!$S$2:$S$4001,'All Donations'!$R$2:$R$4001,AD284,'All Donations'!$T$2:$T$4001,"&lt;="&amp;'Settings'!$D$34),2),0)</f>
        <v/>
      </c>
    </row>
    <row r="285">
      <c r="A285">
        <f>IF(AE285=1,TRIM(TRIM('Roster'!B285)&amp;" "&amp;TRIM('Roster'!C285)),"")</f>
        <v/>
      </c>
      <c r="B285">
        <f>IF(AE285=1,IF(AN285="","(no teacher)",AN285&amp;" – "&amp;C285),"")</f>
        <v/>
      </c>
      <c r="C285">
        <f>IF(AE285=1,TRIM('Roster'!D285&amp;""),"")</f>
        <v/>
      </c>
      <c r="D285" s="48">
        <f>IF(AE285=1,ROUND(SUMIFS('All Donations'!$S$2:$S$4001,'All Donations'!$R$2:$R$4001,AD285),2),"")</f>
        <v/>
      </c>
      <c r="E285" s="48">
        <f>IF(AE285=1,ROUND(SUMIFS('All Donations'!$S$2:$S$4001,'All Donations'!$R$2:$R$4001,AD285,'All Donations'!$G$2:$G$4001,"OneCause"),2),"")</f>
        <v/>
      </c>
      <c r="F285" s="48">
        <f>IF(AE285=1,D285-E285,"")</f>
        <v/>
      </c>
      <c r="G285">
        <f>IF(AE285=1,COUNTIFS('All Donations'!$R$2:$R$4001,AD285,'All Donations'!$H$2:$H$4001,"OK"),"")</f>
        <v/>
      </c>
      <c r="H285">
        <f>IF(AE285&lt;&gt;1,"",IF(D285&gt;0,"Yes",""))</f>
        <v/>
      </c>
      <c r="I285" s="49">
        <f>IF(OR($AE285&lt;&gt;1,I$1=""),"",SUMIFS('All Donations'!$S$2:$S$4001,'All Donations'!$R$2:$R$4001,$AD285,'All Donations'!$T$2:$T$4001,I$1))</f>
        <v/>
      </c>
      <c r="J285" s="49">
        <f>IF(OR($AE285&lt;&gt;1,J$1=""),"",SUMIFS('All Donations'!$S$2:$S$4001,'All Donations'!$R$2:$R$4001,$AD285,'All Donations'!$T$2:$T$4001,J$1))</f>
        <v/>
      </c>
      <c r="K285" s="49">
        <f>IF(OR($AE285&lt;&gt;1,K$1=""),"",SUMIFS('All Donations'!$S$2:$S$4001,'All Donations'!$R$2:$R$4001,$AD285,'All Donations'!$T$2:$T$4001,K$1))</f>
        <v/>
      </c>
      <c r="L285" s="49">
        <f>IF(OR($AE285&lt;&gt;1,L$1=""),"",SUMIFS('All Donations'!$S$2:$S$4001,'All Donations'!$R$2:$R$4001,$AD285,'All Donations'!$T$2:$T$4001,L$1))</f>
        <v/>
      </c>
      <c r="M285" s="49">
        <f>IF(OR($AE285&lt;&gt;1,M$1=""),"",SUMIFS('All Donations'!$S$2:$S$4001,'All Donations'!$R$2:$R$4001,$AD285,'All Donations'!$T$2:$T$4001,M$1))</f>
        <v/>
      </c>
      <c r="N285" s="49">
        <f>IF(OR($AE285&lt;&gt;1,N$1=""),"",SUMIFS('All Donations'!$S$2:$S$4001,'All Donations'!$R$2:$R$4001,$AD285,'All Donations'!$T$2:$T$4001,N$1))</f>
        <v/>
      </c>
      <c r="O285" s="49">
        <f>IF(OR($AE285&lt;&gt;1,O$1=""),"",SUMIFS('All Donations'!$S$2:$S$4001,'All Donations'!$R$2:$R$4001,$AD285,'All Donations'!$T$2:$T$4001,O$1))</f>
        <v/>
      </c>
      <c r="P285" s="49">
        <f>IF(OR($AE285&lt;&gt;1,P$1=""),"",SUMIFS('All Donations'!$S$2:$S$4001,'All Donations'!$R$2:$R$4001,$AD285,'All Donations'!$T$2:$T$4001,P$1))</f>
        <v/>
      </c>
      <c r="Q285" s="49">
        <f>IF(OR($AE285&lt;&gt;1,Q$1=""),"",SUMIFS('All Donations'!$S$2:$S$4001,'All Donations'!$R$2:$R$4001,$AD285,'All Donations'!$T$2:$T$4001,Q$1))</f>
        <v/>
      </c>
      <c r="R285" s="49">
        <f>IF(OR($AE285&lt;&gt;1,R$1=""),"",SUMIFS('All Donations'!$S$2:$S$4001,'All Donations'!$R$2:$R$4001,$AD285,'All Donations'!$T$2:$T$4001,R$1))</f>
        <v/>
      </c>
      <c r="S285" s="49">
        <f>IF(OR($AE285&lt;&gt;1,S$1=""),"",SUMIFS('All Donations'!$S$2:$S$4001,'All Donations'!$R$2:$R$4001,$AD285,'All Donations'!$T$2:$T$4001,S$1))</f>
        <v/>
      </c>
      <c r="T285" s="49">
        <f>IF(OR($AE285&lt;&gt;1,T$1=""),"",SUMIFS('All Donations'!$S$2:$S$4001,'All Donations'!$R$2:$R$4001,$AD285,'All Donations'!$T$2:$T$4001,T$1))</f>
        <v/>
      </c>
      <c r="U285" s="49">
        <f>IF(OR($AE285&lt;&gt;1,U$1=""),"",SUMIFS('All Donations'!$S$2:$S$4001,'All Donations'!$R$2:$R$4001,$AD285,'All Donations'!$T$2:$T$4001,U$1))</f>
        <v/>
      </c>
      <c r="V285" s="49">
        <f>IF(OR($AE285&lt;&gt;1,V$1=""),"",SUMIFS('All Donations'!$S$2:$S$4001,'All Donations'!$R$2:$R$4001,$AD285,'All Donations'!$T$2:$T$4001,V$1))</f>
        <v/>
      </c>
      <c r="W285" s="49">
        <f>IF(OR($AE285&lt;&gt;1,W$1=""),"",SUMIFS('All Donations'!$S$2:$S$4001,'All Donations'!$R$2:$R$4001,$AD285,'All Donations'!$T$2:$T$4001,W$1))</f>
        <v/>
      </c>
      <c r="X285" s="49">
        <f>IF(OR($AE285&lt;&gt;1,X$1=""),"",SUMIFS('All Donations'!$S$2:$S$4001,'All Donations'!$R$2:$R$4001,$AD285,'All Donations'!$T$2:$T$4001,X$1))</f>
        <v/>
      </c>
      <c r="Y285" s="49">
        <f>IF(OR($AE285&lt;&gt;1,Y$1=""),"",SUMIFS('All Donations'!$S$2:$S$4001,'All Donations'!$R$2:$R$4001,$AD285,'All Donations'!$T$2:$T$4001,Y$1))</f>
        <v/>
      </c>
      <c r="Z285" s="49">
        <f>IF(OR($AE285&lt;&gt;1,Z$1=""),"",SUMIFS('All Donations'!$S$2:$S$4001,'All Donations'!$R$2:$R$4001,$AD285,'All Donations'!$T$2:$T$4001,Z$1))</f>
        <v/>
      </c>
      <c r="AA285" s="49">
        <f>IF(OR($AE285&lt;&gt;1,AA$1=""),"",SUMIFS('All Donations'!$S$2:$S$4001,'All Donations'!$R$2:$R$4001,$AD285,'All Donations'!$T$2:$T$4001,AA$1))</f>
        <v/>
      </c>
      <c r="AB285" s="49">
        <f>IF(OR($AE285&lt;&gt;1,AB$1=""),"",SUMIFS('All Donations'!$S$2:$S$4001,'All Donations'!$R$2:$R$4001,$AD285,'All Donations'!$T$2:$T$4001,AB$1))</f>
        <v/>
      </c>
      <c r="AC285" s="49">
        <f>IF(OR($AE285&lt;&gt;1,AC$1=""),"",SUMIFS('All Donations'!$S$2:$S$4001,'All Donations'!$R$2:$R$4001,$AD285,'All Donations'!$T$2:$T$4001,AC$1))</f>
        <v/>
      </c>
      <c r="AD285">
        <f>IF(AE285=1,'Roster'!A285,"")</f>
        <v/>
      </c>
      <c r="AE285">
        <f>IF(TRIM('Roster'!B285&amp;'Roster'!C285)&lt;&gt;"",1,0)</f>
        <v/>
      </c>
      <c r="AF285">
        <f>IF(AE285=1,LOWER(A285),"#")</f>
        <v/>
      </c>
      <c r="AG285">
        <f>IF(AE285=1,LOWER(TRIM(TRIM('Roster'!C285)&amp;", "&amp;TRIM('Roster'!B285))),"#")</f>
        <v/>
      </c>
      <c r="AH285">
        <f>IF(AND(AE285=1,TRIM('Roster'!F285)&lt;&gt;""),LOWER(TRIM('Roster'!F285)),"#")</f>
        <v/>
      </c>
      <c r="AI285">
        <f>IF(AE285=1,IF(MATCH(B285,$B$2:$B$701,0)=ROW()-1,1,0),0)</f>
        <v/>
      </c>
      <c r="AJ285">
        <f>AJ284+AI285</f>
        <v/>
      </c>
      <c r="AK285">
        <f>IF(AE285=1,D285+(1000-ROW())/10^7,-1)</f>
        <v/>
      </c>
      <c r="AL285">
        <f>IF(AE285=1,TRIM('Roster'!B285)&amp;" "&amp;LEFT(TRIM('Roster'!C285),1)&amp;".","")</f>
        <v/>
      </c>
      <c r="AM285">
        <f>IF(AE285=1,TRIM('Roster'!C285)&amp;", "&amp;TRIM('Roster'!B285)&amp;" ("&amp;B285&amp;") #"&amp;AD285,"")</f>
        <v/>
      </c>
      <c r="AN285">
        <f>IF(AE285=1,TRIM('Roster'!E285),"")</f>
        <v/>
      </c>
      <c r="AO285">
        <f>IF(AE285=1,ROUND(SUMIFS('All Donations'!$S$2:$S$4001,'All Donations'!$R$2:$R$4001,AD285,'All Donations'!$T$2:$T$4001,"&gt;="&amp;'Settings'!$C$23,'All Donations'!$T$2:$T$4001,"&lt;="&amp;'Settings'!$D$23),2),0)</f>
        <v/>
      </c>
      <c r="AQ285">
        <f>IF(AE285=1,ROUND(SUMIFS('All Donations'!$S$2:$S$4001,'All Donations'!$R$2:$R$4001,AD285,'All Donations'!$T$2:$T$4001,"&gt;="&amp;'Settings'!$C$25,'All Donations'!$T$2:$T$4001,"&lt;="&amp;'Settings'!$D$25),2),0)</f>
        <v/>
      </c>
      <c r="AR285">
        <f>IF(AE285=1,ROUND(SUMIFS('All Donations'!$S$2:$S$4001,'All Donations'!$R$2:$R$4001,AD285,'All Donations'!$T$2:$T$4001,"&gt;="&amp;'Settings'!$C$26,'All Donations'!$T$2:$T$4001,"&lt;="&amp;'Settings'!$D$26),2),0)</f>
        <v/>
      </c>
      <c r="AS285">
        <f>IF(AE285=1,ROUND(SUMIFS('All Donations'!$S$2:$S$4001,'All Donations'!$R$2:$R$4001,AD285,'All Donations'!$T$2:$T$4001,"&lt;="&amp;'Settings'!$D$27),2),0)</f>
        <v/>
      </c>
      <c r="AT285">
        <f>IF(AE285=1,ROUND(SUMIFS('All Donations'!$S$2:$S$4001,'All Donations'!$R$2:$R$4001,AD285,'All Donations'!$T$2:$T$4001,"&gt;="&amp;'Settings'!$C$28,'All Donations'!$T$2:$T$4001,"&lt;="&amp;'Settings'!$D$28),2),0)</f>
        <v/>
      </c>
      <c r="AU285">
        <f>IF(AE285=1,ROUND(SUMIFS('All Donations'!$S$2:$S$4001,'All Donations'!$R$2:$R$4001,AD285,'All Donations'!$T$2:$T$4001,"&gt;="&amp;'Settings'!$C$29,'All Donations'!$T$2:$T$4001,"&lt;="&amp;'Settings'!$D$29),2),0)</f>
        <v/>
      </c>
      <c r="AV285">
        <f>IF(AE285=1,ROUND(SUMIFS('All Donations'!$S$2:$S$4001,'All Donations'!$R$2:$R$4001,AD285,'All Donations'!$T$2:$T$4001,"&lt;="&amp;'Settings'!$D$30),2),0)</f>
        <v/>
      </c>
      <c r="AZ285">
        <f>IF(AE285=1,ROUND(SUMIFS('All Donations'!$S$2:$S$4001,'All Donations'!$R$2:$R$4001,AD285,'All Donations'!$T$2:$T$4001,"&lt;="&amp;'Settings'!$D$34),2),0)</f>
        <v/>
      </c>
    </row>
    <row r="286">
      <c r="A286">
        <f>IF(AE286=1,TRIM(TRIM('Roster'!B286)&amp;" "&amp;TRIM('Roster'!C286)),"")</f>
        <v/>
      </c>
      <c r="B286">
        <f>IF(AE286=1,IF(AN286="","(no teacher)",AN286&amp;" – "&amp;C286),"")</f>
        <v/>
      </c>
      <c r="C286">
        <f>IF(AE286=1,TRIM('Roster'!D286&amp;""),"")</f>
        <v/>
      </c>
      <c r="D286" s="48">
        <f>IF(AE286=1,ROUND(SUMIFS('All Donations'!$S$2:$S$4001,'All Donations'!$R$2:$R$4001,AD286),2),"")</f>
        <v/>
      </c>
      <c r="E286" s="48">
        <f>IF(AE286=1,ROUND(SUMIFS('All Donations'!$S$2:$S$4001,'All Donations'!$R$2:$R$4001,AD286,'All Donations'!$G$2:$G$4001,"OneCause"),2),"")</f>
        <v/>
      </c>
      <c r="F286" s="48">
        <f>IF(AE286=1,D286-E286,"")</f>
        <v/>
      </c>
      <c r="G286">
        <f>IF(AE286=1,COUNTIFS('All Donations'!$R$2:$R$4001,AD286,'All Donations'!$H$2:$H$4001,"OK"),"")</f>
        <v/>
      </c>
      <c r="H286">
        <f>IF(AE286&lt;&gt;1,"",IF(D286&gt;0,"Yes",""))</f>
        <v/>
      </c>
      <c r="I286" s="49">
        <f>IF(OR($AE286&lt;&gt;1,I$1=""),"",SUMIFS('All Donations'!$S$2:$S$4001,'All Donations'!$R$2:$R$4001,$AD286,'All Donations'!$T$2:$T$4001,I$1))</f>
        <v/>
      </c>
      <c r="J286" s="49">
        <f>IF(OR($AE286&lt;&gt;1,J$1=""),"",SUMIFS('All Donations'!$S$2:$S$4001,'All Donations'!$R$2:$R$4001,$AD286,'All Donations'!$T$2:$T$4001,J$1))</f>
        <v/>
      </c>
      <c r="K286" s="49">
        <f>IF(OR($AE286&lt;&gt;1,K$1=""),"",SUMIFS('All Donations'!$S$2:$S$4001,'All Donations'!$R$2:$R$4001,$AD286,'All Donations'!$T$2:$T$4001,K$1))</f>
        <v/>
      </c>
      <c r="L286" s="49">
        <f>IF(OR($AE286&lt;&gt;1,L$1=""),"",SUMIFS('All Donations'!$S$2:$S$4001,'All Donations'!$R$2:$R$4001,$AD286,'All Donations'!$T$2:$T$4001,L$1))</f>
        <v/>
      </c>
      <c r="M286" s="49">
        <f>IF(OR($AE286&lt;&gt;1,M$1=""),"",SUMIFS('All Donations'!$S$2:$S$4001,'All Donations'!$R$2:$R$4001,$AD286,'All Donations'!$T$2:$T$4001,M$1))</f>
        <v/>
      </c>
      <c r="N286" s="49">
        <f>IF(OR($AE286&lt;&gt;1,N$1=""),"",SUMIFS('All Donations'!$S$2:$S$4001,'All Donations'!$R$2:$R$4001,$AD286,'All Donations'!$T$2:$T$4001,N$1))</f>
        <v/>
      </c>
      <c r="O286" s="49">
        <f>IF(OR($AE286&lt;&gt;1,O$1=""),"",SUMIFS('All Donations'!$S$2:$S$4001,'All Donations'!$R$2:$R$4001,$AD286,'All Donations'!$T$2:$T$4001,O$1))</f>
        <v/>
      </c>
      <c r="P286" s="49">
        <f>IF(OR($AE286&lt;&gt;1,P$1=""),"",SUMIFS('All Donations'!$S$2:$S$4001,'All Donations'!$R$2:$R$4001,$AD286,'All Donations'!$T$2:$T$4001,P$1))</f>
        <v/>
      </c>
      <c r="Q286" s="49">
        <f>IF(OR($AE286&lt;&gt;1,Q$1=""),"",SUMIFS('All Donations'!$S$2:$S$4001,'All Donations'!$R$2:$R$4001,$AD286,'All Donations'!$T$2:$T$4001,Q$1))</f>
        <v/>
      </c>
      <c r="R286" s="49">
        <f>IF(OR($AE286&lt;&gt;1,R$1=""),"",SUMIFS('All Donations'!$S$2:$S$4001,'All Donations'!$R$2:$R$4001,$AD286,'All Donations'!$T$2:$T$4001,R$1))</f>
        <v/>
      </c>
      <c r="S286" s="49">
        <f>IF(OR($AE286&lt;&gt;1,S$1=""),"",SUMIFS('All Donations'!$S$2:$S$4001,'All Donations'!$R$2:$R$4001,$AD286,'All Donations'!$T$2:$T$4001,S$1))</f>
        <v/>
      </c>
      <c r="T286" s="49">
        <f>IF(OR($AE286&lt;&gt;1,T$1=""),"",SUMIFS('All Donations'!$S$2:$S$4001,'All Donations'!$R$2:$R$4001,$AD286,'All Donations'!$T$2:$T$4001,T$1))</f>
        <v/>
      </c>
      <c r="U286" s="49">
        <f>IF(OR($AE286&lt;&gt;1,U$1=""),"",SUMIFS('All Donations'!$S$2:$S$4001,'All Donations'!$R$2:$R$4001,$AD286,'All Donations'!$T$2:$T$4001,U$1))</f>
        <v/>
      </c>
      <c r="V286" s="49">
        <f>IF(OR($AE286&lt;&gt;1,V$1=""),"",SUMIFS('All Donations'!$S$2:$S$4001,'All Donations'!$R$2:$R$4001,$AD286,'All Donations'!$T$2:$T$4001,V$1))</f>
        <v/>
      </c>
      <c r="W286" s="49">
        <f>IF(OR($AE286&lt;&gt;1,W$1=""),"",SUMIFS('All Donations'!$S$2:$S$4001,'All Donations'!$R$2:$R$4001,$AD286,'All Donations'!$T$2:$T$4001,W$1))</f>
        <v/>
      </c>
      <c r="X286" s="49">
        <f>IF(OR($AE286&lt;&gt;1,X$1=""),"",SUMIFS('All Donations'!$S$2:$S$4001,'All Donations'!$R$2:$R$4001,$AD286,'All Donations'!$T$2:$T$4001,X$1))</f>
        <v/>
      </c>
      <c r="Y286" s="49">
        <f>IF(OR($AE286&lt;&gt;1,Y$1=""),"",SUMIFS('All Donations'!$S$2:$S$4001,'All Donations'!$R$2:$R$4001,$AD286,'All Donations'!$T$2:$T$4001,Y$1))</f>
        <v/>
      </c>
      <c r="Z286" s="49">
        <f>IF(OR($AE286&lt;&gt;1,Z$1=""),"",SUMIFS('All Donations'!$S$2:$S$4001,'All Donations'!$R$2:$R$4001,$AD286,'All Donations'!$T$2:$T$4001,Z$1))</f>
        <v/>
      </c>
      <c r="AA286" s="49">
        <f>IF(OR($AE286&lt;&gt;1,AA$1=""),"",SUMIFS('All Donations'!$S$2:$S$4001,'All Donations'!$R$2:$R$4001,$AD286,'All Donations'!$T$2:$T$4001,AA$1))</f>
        <v/>
      </c>
      <c r="AB286" s="49">
        <f>IF(OR($AE286&lt;&gt;1,AB$1=""),"",SUMIFS('All Donations'!$S$2:$S$4001,'All Donations'!$R$2:$R$4001,$AD286,'All Donations'!$T$2:$T$4001,AB$1))</f>
        <v/>
      </c>
      <c r="AC286" s="49">
        <f>IF(OR($AE286&lt;&gt;1,AC$1=""),"",SUMIFS('All Donations'!$S$2:$S$4001,'All Donations'!$R$2:$R$4001,$AD286,'All Donations'!$T$2:$T$4001,AC$1))</f>
        <v/>
      </c>
      <c r="AD286">
        <f>IF(AE286=1,'Roster'!A286,"")</f>
        <v/>
      </c>
      <c r="AE286">
        <f>IF(TRIM('Roster'!B286&amp;'Roster'!C286)&lt;&gt;"",1,0)</f>
        <v/>
      </c>
      <c r="AF286">
        <f>IF(AE286=1,LOWER(A286),"#")</f>
        <v/>
      </c>
      <c r="AG286">
        <f>IF(AE286=1,LOWER(TRIM(TRIM('Roster'!C286)&amp;", "&amp;TRIM('Roster'!B286))),"#")</f>
        <v/>
      </c>
      <c r="AH286">
        <f>IF(AND(AE286=1,TRIM('Roster'!F286)&lt;&gt;""),LOWER(TRIM('Roster'!F286)),"#")</f>
        <v/>
      </c>
      <c r="AI286">
        <f>IF(AE286=1,IF(MATCH(B286,$B$2:$B$701,0)=ROW()-1,1,0),0)</f>
        <v/>
      </c>
      <c r="AJ286">
        <f>AJ285+AI286</f>
        <v/>
      </c>
      <c r="AK286">
        <f>IF(AE286=1,D286+(1000-ROW())/10^7,-1)</f>
        <v/>
      </c>
      <c r="AL286">
        <f>IF(AE286=1,TRIM('Roster'!B286)&amp;" "&amp;LEFT(TRIM('Roster'!C286),1)&amp;".","")</f>
        <v/>
      </c>
      <c r="AM286">
        <f>IF(AE286=1,TRIM('Roster'!C286)&amp;", "&amp;TRIM('Roster'!B286)&amp;" ("&amp;B286&amp;") #"&amp;AD286,"")</f>
        <v/>
      </c>
      <c r="AN286">
        <f>IF(AE286=1,TRIM('Roster'!E286),"")</f>
        <v/>
      </c>
      <c r="AO286">
        <f>IF(AE286=1,ROUND(SUMIFS('All Donations'!$S$2:$S$4001,'All Donations'!$R$2:$R$4001,AD286,'All Donations'!$T$2:$T$4001,"&gt;="&amp;'Settings'!$C$23,'All Donations'!$T$2:$T$4001,"&lt;="&amp;'Settings'!$D$23),2),0)</f>
        <v/>
      </c>
      <c r="AQ286">
        <f>IF(AE286=1,ROUND(SUMIFS('All Donations'!$S$2:$S$4001,'All Donations'!$R$2:$R$4001,AD286,'All Donations'!$T$2:$T$4001,"&gt;="&amp;'Settings'!$C$25,'All Donations'!$T$2:$T$4001,"&lt;="&amp;'Settings'!$D$25),2),0)</f>
        <v/>
      </c>
      <c r="AR286">
        <f>IF(AE286=1,ROUND(SUMIFS('All Donations'!$S$2:$S$4001,'All Donations'!$R$2:$R$4001,AD286,'All Donations'!$T$2:$T$4001,"&gt;="&amp;'Settings'!$C$26,'All Donations'!$T$2:$T$4001,"&lt;="&amp;'Settings'!$D$26),2),0)</f>
        <v/>
      </c>
      <c r="AS286">
        <f>IF(AE286=1,ROUND(SUMIFS('All Donations'!$S$2:$S$4001,'All Donations'!$R$2:$R$4001,AD286,'All Donations'!$T$2:$T$4001,"&lt;="&amp;'Settings'!$D$27),2),0)</f>
        <v/>
      </c>
      <c r="AT286">
        <f>IF(AE286=1,ROUND(SUMIFS('All Donations'!$S$2:$S$4001,'All Donations'!$R$2:$R$4001,AD286,'All Donations'!$T$2:$T$4001,"&gt;="&amp;'Settings'!$C$28,'All Donations'!$T$2:$T$4001,"&lt;="&amp;'Settings'!$D$28),2),0)</f>
        <v/>
      </c>
      <c r="AU286">
        <f>IF(AE286=1,ROUND(SUMIFS('All Donations'!$S$2:$S$4001,'All Donations'!$R$2:$R$4001,AD286,'All Donations'!$T$2:$T$4001,"&gt;="&amp;'Settings'!$C$29,'All Donations'!$T$2:$T$4001,"&lt;="&amp;'Settings'!$D$29),2),0)</f>
        <v/>
      </c>
      <c r="AV286">
        <f>IF(AE286=1,ROUND(SUMIFS('All Donations'!$S$2:$S$4001,'All Donations'!$R$2:$R$4001,AD286,'All Donations'!$T$2:$T$4001,"&lt;="&amp;'Settings'!$D$30),2),0)</f>
        <v/>
      </c>
      <c r="AZ286">
        <f>IF(AE286=1,ROUND(SUMIFS('All Donations'!$S$2:$S$4001,'All Donations'!$R$2:$R$4001,AD286,'All Donations'!$T$2:$T$4001,"&lt;="&amp;'Settings'!$D$34),2),0)</f>
        <v/>
      </c>
    </row>
    <row r="287">
      <c r="A287">
        <f>IF(AE287=1,TRIM(TRIM('Roster'!B287)&amp;" "&amp;TRIM('Roster'!C287)),"")</f>
        <v/>
      </c>
      <c r="B287">
        <f>IF(AE287=1,IF(AN287="","(no teacher)",AN287&amp;" – "&amp;C287),"")</f>
        <v/>
      </c>
      <c r="C287">
        <f>IF(AE287=1,TRIM('Roster'!D287&amp;""),"")</f>
        <v/>
      </c>
      <c r="D287" s="48">
        <f>IF(AE287=1,ROUND(SUMIFS('All Donations'!$S$2:$S$4001,'All Donations'!$R$2:$R$4001,AD287),2),"")</f>
        <v/>
      </c>
      <c r="E287" s="48">
        <f>IF(AE287=1,ROUND(SUMIFS('All Donations'!$S$2:$S$4001,'All Donations'!$R$2:$R$4001,AD287,'All Donations'!$G$2:$G$4001,"OneCause"),2),"")</f>
        <v/>
      </c>
      <c r="F287" s="48">
        <f>IF(AE287=1,D287-E287,"")</f>
        <v/>
      </c>
      <c r="G287">
        <f>IF(AE287=1,COUNTIFS('All Donations'!$R$2:$R$4001,AD287,'All Donations'!$H$2:$H$4001,"OK"),"")</f>
        <v/>
      </c>
      <c r="H287">
        <f>IF(AE287&lt;&gt;1,"",IF(D287&gt;0,"Yes",""))</f>
        <v/>
      </c>
      <c r="I287" s="49">
        <f>IF(OR($AE287&lt;&gt;1,I$1=""),"",SUMIFS('All Donations'!$S$2:$S$4001,'All Donations'!$R$2:$R$4001,$AD287,'All Donations'!$T$2:$T$4001,I$1))</f>
        <v/>
      </c>
      <c r="J287" s="49">
        <f>IF(OR($AE287&lt;&gt;1,J$1=""),"",SUMIFS('All Donations'!$S$2:$S$4001,'All Donations'!$R$2:$R$4001,$AD287,'All Donations'!$T$2:$T$4001,J$1))</f>
        <v/>
      </c>
      <c r="K287" s="49">
        <f>IF(OR($AE287&lt;&gt;1,K$1=""),"",SUMIFS('All Donations'!$S$2:$S$4001,'All Donations'!$R$2:$R$4001,$AD287,'All Donations'!$T$2:$T$4001,K$1))</f>
        <v/>
      </c>
      <c r="L287" s="49">
        <f>IF(OR($AE287&lt;&gt;1,L$1=""),"",SUMIFS('All Donations'!$S$2:$S$4001,'All Donations'!$R$2:$R$4001,$AD287,'All Donations'!$T$2:$T$4001,L$1))</f>
        <v/>
      </c>
      <c r="M287" s="49">
        <f>IF(OR($AE287&lt;&gt;1,M$1=""),"",SUMIFS('All Donations'!$S$2:$S$4001,'All Donations'!$R$2:$R$4001,$AD287,'All Donations'!$T$2:$T$4001,M$1))</f>
        <v/>
      </c>
      <c r="N287" s="49">
        <f>IF(OR($AE287&lt;&gt;1,N$1=""),"",SUMIFS('All Donations'!$S$2:$S$4001,'All Donations'!$R$2:$R$4001,$AD287,'All Donations'!$T$2:$T$4001,N$1))</f>
        <v/>
      </c>
      <c r="O287" s="49">
        <f>IF(OR($AE287&lt;&gt;1,O$1=""),"",SUMIFS('All Donations'!$S$2:$S$4001,'All Donations'!$R$2:$R$4001,$AD287,'All Donations'!$T$2:$T$4001,O$1))</f>
        <v/>
      </c>
      <c r="P287" s="49">
        <f>IF(OR($AE287&lt;&gt;1,P$1=""),"",SUMIFS('All Donations'!$S$2:$S$4001,'All Donations'!$R$2:$R$4001,$AD287,'All Donations'!$T$2:$T$4001,P$1))</f>
        <v/>
      </c>
      <c r="Q287" s="49">
        <f>IF(OR($AE287&lt;&gt;1,Q$1=""),"",SUMIFS('All Donations'!$S$2:$S$4001,'All Donations'!$R$2:$R$4001,$AD287,'All Donations'!$T$2:$T$4001,Q$1))</f>
        <v/>
      </c>
      <c r="R287" s="49">
        <f>IF(OR($AE287&lt;&gt;1,R$1=""),"",SUMIFS('All Donations'!$S$2:$S$4001,'All Donations'!$R$2:$R$4001,$AD287,'All Donations'!$T$2:$T$4001,R$1))</f>
        <v/>
      </c>
      <c r="S287" s="49">
        <f>IF(OR($AE287&lt;&gt;1,S$1=""),"",SUMIFS('All Donations'!$S$2:$S$4001,'All Donations'!$R$2:$R$4001,$AD287,'All Donations'!$T$2:$T$4001,S$1))</f>
        <v/>
      </c>
      <c r="T287" s="49">
        <f>IF(OR($AE287&lt;&gt;1,T$1=""),"",SUMIFS('All Donations'!$S$2:$S$4001,'All Donations'!$R$2:$R$4001,$AD287,'All Donations'!$T$2:$T$4001,T$1))</f>
        <v/>
      </c>
      <c r="U287" s="49">
        <f>IF(OR($AE287&lt;&gt;1,U$1=""),"",SUMIFS('All Donations'!$S$2:$S$4001,'All Donations'!$R$2:$R$4001,$AD287,'All Donations'!$T$2:$T$4001,U$1))</f>
        <v/>
      </c>
      <c r="V287" s="49">
        <f>IF(OR($AE287&lt;&gt;1,V$1=""),"",SUMIFS('All Donations'!$S$2:$S$4001,'All Donations'!$R$2:$R$4001,$AD287,'All Donations'!$T$2:$T$4001,V$1))</f>
        <v/>
      </c>
      <c r="W287" s="49">
        <f>IF(OR($AE287&lt;&gt;1,W$1=""),"",SUMIFS('All Donations'!$S$2:$S$4001,'All Donations'!$R$2:$R$4001,$AD287,'All Donations'!$T$2:$T$4001,W$1))</f>
        <v/>
      </c>
      <c r="X287" s="49">
        <f>IF(OR($AE287&lt;&gt;1,X$1=""),"",SUMIFS('All Donations'!$S$2:$S$4001,'All Donations'!$R$2:$R$4001,$AD287,'All Donations'!$T$2:$T$4001,X$1))</f>
        <v/>
      </c>
      <c r="Y287" s="49">
        <f>IF(OR($AE287&lt;&gt;1,Y$1=""),"",SUMIFS('All Donations'!$S$2:$S$4001,'All Donations'!$R$2:$R$4001,$AD287,'All Donations'!$T$2:$T$4001,Y$1))</f>
        <v/>
      </c>
      <c r="Z287" s="49">
        <f>IF(OR($AE287&lt;&gt;1,Z$1=""),"",SUMIFS('All Donations'!$S$2:$S$4001,'All Donations'!$R$2:$R$4001,$AD287,'All Donations'!$T$2:$T$4001,Z$1))</f>
        <v/>
      </c>
      <c r="AA287" s="49">
        <f>IF(OR($AE287&lt;&gt;1,AA$1=""),"",SUMIFS('All Donations'!$S$2:$S$4001,'All Donations'!$R$2:$R$4001,$AD287,'All Donations'!$T$2:$T$4001,AA$1))</f>
        <v/>
      </c>
      <c r="AB287" s="49">
        <f>IF(OR($AE287&lt;&gt;1,AB$1=""),"",SUMIFS('All Donations'!$S$2:$S$4001,'All Donations'!$R$2:$R$4001,$AD287,'All Donations'!$T$2:$T$4001,AB$1))</f>
        <v/>
      </c>
      <c r="AC287" s="49">
        <f>IF(OR($AE287&lt;&gt;1,AC$1=""),"",SUMIFS('All Donations'!$S$2:$S$4001,'All Donations'!$R$2:$R$4001,$AD287,'All Donations'!$T$2:$T$4001,AC$1))</f>
        <v/>
      </c>
      <c r="AD287">
        <f>IF(AE287=1,'Roster'!A287,"")</f>
        <v/>
      </c>
      <c r="AE287">
        <f>IF(TRIM('Roster'!B287&amp;'Roster'!C287)&lt;&gt;"",1,0)</f>
        <v/>
      </c>
      <c r="AF287">
        <f>IF(AE287=1,LOWER(A287),"#")</f>
        <v/>
      </c>
      <c r="AG287">
        <f>IF(AE287=1,LOWER(TRIM(TRIM('Roster'!C287)&amp;", "&amp;TRIM('Roster'!B287))),"#")</f>
        <v/>
      </c>
      <c r="AH287">
        <f>IF(AND(AE287=1,TRIM('Roster'!F287)&lt;&gt;""),LOWER(TRIM('Roster'!F287)),"#")</f>
        <v/>
      </c>
      <c r="AI287">
        <f>IF(AE287=1,IF(MATCH(B287,$B$2:$B$701,0)=ROW()-1,1,0),0)</f>
        <v/>
      </c>
      <c r="AJ287">
        <f>AJ286+AI287</f>
        <v/>
      </c>
      <c r="AK287">
        <f>IF(AE287=1,D287+(1000-ROW())/10^7,-1)</f>
        <v/>
      </c>
      <c r="AL287">
        <f>IF(AE287=1,TRIM('Roster'!B287)&amp;" "&amp;LEFT(TRIM('Roster'!C287),1)&amp;".","")</f>
        <v/>
      </c>
      <c r="AM287">
        <f>IF(AE287=1,TRIM('Roster'!C287)&amp;", "&amp;TRIM('Roster'!B287)&amp;" ("&amp;B287&amp;") #"&amp;AD287,"")</f>
        <v/>
      </c>
      <c r="AN287">
        <f>IF(AE287=1,TRIM('Roster'!E287),"")</f>
        <v/>
      </c>
      <c r="AO287">
        <f>IF(AE287=1,ROUND(SUMIFS('All Donations'!$S$2:$S$4001,'All Donations'!$R$2:$R$4001,AD287,'All Donations'!$T$2:$T$4001,"&gt;="&amp;'Settings'!$C$23,'All Donations'!$T$2:$T$4001,"&lt;="&amp;'Settings'!$D$23),2),0)</f>
        <v/>
      </c>
      <c r="AQ287">
        <f>IF(AE287=1,ROUND(SUMIFS('All Donations'!$S$2:$S$4001,'All Donations'!$R$2:$R$4001,AD287,'All Donations'!$T$2:$T$4001,"&gt;="&amp;'Settings'!$C$25,'All Donations'!$T$2:$T$4001,"&lt;="&amp;'Settings'!$D$25),2),0)</f>
        <v/>
      </c>
      <c r="AR287">
        <f>IF(AE287=1,ROUND(SUMIFS('All Donations'!$S$2:$S$4001,'All Donations'!$R$2:$R$4001,AD287,'All Donations'!$T$2:$T$4001,"&gt;="&amp;'Settings'!$C$26,'All Donations'!$T$2:$T$4001,"&lt;="&amp;'Settings'!$D$26),2),0)</f>
        <v/>
      </c>
      <c r="AS287">
        <f>IF(AE287=1,ROUND(SUMIFS('All Donations'!$S$2:$S$4001,'All Donations'!$R$2:$R$4001,AD287,'All Donations'!$T$2:$T$4001,"&lt;="&amp;'Settings'!$D$27),2),0)</f>
        <v/>
      </c>
      <c r="AT287">
        <f>IF(AE287=1,ROUND(SUMIFS('All Donations'!$S$2:$S$4001,'All Donations'!$R$2:$R$4001,AD287,'All Donations'!$T$2:$T$4001,"&gt;="&amp;'Settings'!$C$28,'All Donations'!$T$2:$T$4001,"&lt;="&amp;'Settings'!$D$28),2),0)</f>
        <v/>
      </c>
      <c r="AU287">
        <f>IF(AE287=1,ROUND(SUMIFS('All Donations'!$S$2:$S$4001,'All Donations'!$R$2:$R$4001,AD287,'All Donations'!$T$2:$T$4001,"&gt;="&amp;'Settings'!$C$29,'All Donations'!$T$2:$T$4001,"&lt;="&amp;'Settings'!$D$29),2),0)</f>
        <v/>
      </c>
      <c r="AV287">
        <f>IF(AE287=1,ROUND(SUMIFS('All Donations'!$S$2:$S$4001,'All Donations'!$R$2:$R$4001,AD287,'All Donations'!$T$2:$T$4001,"&lt;="&amp;'Settings'!$D$30),2),0)</f>
        <v/>
      </c>
      <c r="AZ287">
        <f>IF(AE287=1,ROUND(SUMIFS('All Donations'!$S$2:$S$4001,'All Donations'!$R$2:$R$4001,AD287,'All Donations'!$T$2:$T$4001,"&lt;="&amp;'Settings'!$D$34),2),0)</f>
        <v/>
      </c>
    </row>
    <row r="288">
      <c r="A288">
        <f>IF(AE288=1,TRIM(TRIM('Roster'!B288)&amp;" "&amp;TRIM('Roster'!C288)),"")</f>
        <v/>
      </c>
      <c r="B288">
        <f>IF(AE288=1,IF(AN288="","(no teacher)",AN288&amp;" – "&amp;C288),"")</f>
        <v/>
      </c>
      <c r="C288">
        <f>IF(AE288=1,TRIM('Roster'!D288&amp;""),"")</f>
        <v/>
      </c>
      <c r="D288" s="48">
        <f>IF(AE288=1,ROUND(SUMIFS('All Donations'!$S$2:$S$4001,'All Donations'!$R$2:$R$4001,AD288),2),"")</f>
        <v/>
      </c>
      <c r="E288" s="48">
        <f>IF(AE288=1,ROUND(SUMIFS('All Donations'!$S$2:$S$4001,'All Donations'!$R$2:$R$4001,AD288,'All Donations'!$G$2:$G$4001,"OneCause"),2),"")</f>
        <v/>
      </c>
      <c r="F288" s="48">
        <f>IF(AE288=1,D288-E288,"")</f>
        <v/>
      </c>
      <c r="G288">
        <f>IF(AE288=1,COUNTIFS('All Donations'!$R$2:$R$4001,AD288,'All Donations'!$H$2:$H$4001,"OK"),"")</f>
        <v/>
      </c>
      <c r="H288">
        <f>IF(AE288&lt;&gt;1,"",IF(D288&gt;0,"Yes",""))</f>
        <v/>
      </c>
      <c r="I288" s="49">
        <f>IF(OR($AE288&lt;&gt;1,I$1=""),"",SUMIFS('All Donations'!$S$2:$S$4001,'All Donations'!$R$2:$R$4001,$AD288,'All Donations'!$T$2:$T$4001,I$1))</f>
        <v/>
      </c>
      <c r="J288" s="49">
        <f>IF(OR($AE288&lt;&gt;1,J$1=""),"",SUMIFS('All Donations'!$S$2:$S$4001,'All Donations'!$R$2:$R$4001,$AD288,'All Donations'!$T$2:$T$4001,J$1))</f>
        <v/>
      </c>
      <c r="K288" s="49">
        <f>IF(OR($AE288&lt;&gt;1,K$1=""),"",SUMIFS('All Donations'!$S$2:$S$4001,'All Donations'!$R$2:$R$4001,$AD288,'All Donations'!$T$2:$T$4001,K$1))</f>
        <v/>
      </c>
      <c r="L288" s="49">
        <f>IF(OR($AE288&lt;&gt;1,L$1=""),"",SUMIFS('All Donations'!$S$2:$S$4001,'All Donations'!$R$2:$R$4001,$AD288,'All Donations'!$T$2:$T$4001,L$1))</f>
        <v/>
      </c>
      <c r="M288" s="49">
        <f>IF(OR($AE288&lt;&gt;1,M$1=""),"",SUMIFS('All Donations'!$S$2:$S$4001,'All Donations'!$R$2:$R$4001,$AD288,'All Donations'!$T$2:$T$4001,M$1))</f>
        <v/>
      </c>
      <c r="N288" s="49">
        <f>IF(OR($AE288&lt;&gt;1,N$1=""),"",SUMIFS('All Donations'!$S$2:$S$4001,'All Donations'!$R$2:$R$4001,$AD288,'All Donations'!$T$2:$T$4001,N$1))</f>
        <v/>
      </c>
      <c r="O288" s="49">
        <f>IF(OR($AE288&lt;&gt;1,O$1=""),"",SUMIFS('All Donations'!$S$2:$S$4001,'All Donations'!$R$2:$R$4001,$AD288,'All Donations'!$T$2:$T$4001,O$1))</f>
        <v/>
      </c>
      <c r="P288" s="49">
        <f>IF(OR($AE288&lt;&gt;1,P$1=""),"",SUMIFS('All Donations'!$S$2:$S$4001,'All Donations'!$R$2:$R$4001,$AD288,'All Donations'!$T$2:$T$4001,P$1))</f>
        <v/>
      </c>
      <c r="Q288" s="49">
        <f>IF(OR($AE288&lt;&gt;1,Q$1=""),"",SUMIFS('All Donations'!$S$2:$S$4001,'All Donations'!$R$2:$R$4001,$AD288,'All Donations'!$T$2:$T$4001,Q$1))</f>
        <v/>
      </c>
      <c r="R288" s="49">
        <f>IF(OR($AE288&lt;&gt;1,R$1=""),"",SUMIFS('All Donations'!$S$2:$S$4001,'All Donations'!$R$2:$R$4001,$AD288,'All Donations'!$T$2:$T$4001,R$1))</f>
        <v/>
      </c>
      <c r="S288" s="49">
        <f>IF(OR($AE288&lt;&gt;1,S$1=""),"",SUMIFS('All Donations'!$S$2:$S$4001,'All Donations'!$R$2:$R$4001,$AD288,'All Donations'!$T$2:$T$4001,S$1))</f>
        <v/>
      </c>
      <c r="T288" s="49">
        <f>IF(OR($AE288&lt;&gt;1,T$1=""),"",SUMIFS('All Donations'!$S$2:$S$4001,'All Donations'!$R$2:$R$4001,$AD288,'All Donations'!$T$2:$T$4001,T$1))</f>
        <v/>
      </c>
      <c r="U288" s="49">
        <f>IF(OR($AE288&lt;&gt;1,U$1=""),"",SUMIFS('All Donations'!$S$2:$S$4001,'All Donations'!$R$2:$R$4001,$AD288,'All Donations'!$T$2:$T$4001,U$1))</f>
        <v/>
      </c>
      <c r="V288" s="49">
        <f>IF(OR($AE288&lt;&gt;1,V$1=""),"",SUMIFS('All Donations'!$S$2:$S$4001,'All Donations'!$R$2:$R$4001,$AD288,'All Donations'!$T$2:$T$4001,V$1))</f>
        <v/>
      </c>
      <c r="W288" s="49">
        <f>IF(OR($AE288&lt;&gt;1,W$1=""),"",SUMIFS('All Donations'!$S$2:$S$4001,'All Donations'!$R$2:$R$4001,$AD288,'All Donations'!$T$2:$T$4001,W$1))</f>
        <v/>
      </c>
      <c r="X288" s="49">
        <f>IF(OR($AE288&lt;&gt;1,X$1=""),"",SUMIFS('All Donations'!$S$2:$S$4001,'All Donations'!$R$2:$R$4001,$AD288,'All Donations'!$T$2:$T$4001,X$1))</f>
        <v/>
      </c>
      <c r="Y288" s="49">
        <f>IF(OR($AE288&lt;&gt;1,Y$1=""),"",SUMIFS('All Donations'!$S$2:$S$4001,'All Donations'!$R$2:$R$4001,$AD288,'All Donations'!$T$2:$T$4001,Y$1))</f>
        <v/>
      </c>
      <c r="Z288" s="49">
        <f>IF(OR($AE288&lt;&gt;1,Z$1=""),"",SUMIFS('All Donations'!$S$2:$S$4001,'All Donations'!$R$2:$R$4001,$AD288,'All Donations'!$T$2:$T$4001,Z$1))</f>
        <v/>
      </c>
      <c r="AA288" s="49">
        <f>IF(OR($AE288&lt;&gt;1,AA$1=""),"",SUMIFS('All Donations'!$S$2:$S$4001,'All Donations'!$R$2:$R$4001,$AD288,'All Donations'!$T$2:$T$4001,AA$1))</f>
        <v/>
      </c>
      <c r="AB288" s="49">
        <f>IF(OR($AE288&lt;&gt;1,AB$1=""),"",SUMIFS('All Donations'!$S$2:$S$4001,'All Donations'!$R$2:$R$4001,$AD288,'All Donations'!$T$2:$T$4001,AB$1))</f>
        <v/>
      </c>
      <c r="AC288" s="49">
        <f>IF(OR($AE288&lt;&gt;1,AC$1=""),"",SUMIFS('All Donations'!$S$2:$S$4001,'All Donations'!$R$2:$R$4001,$AD288,'All Donations'!$T$2:$T$4001,AC$1))</f>
        <v/>
      </c>
      <c r="AD288">
        <f>IF(AE288=1,'Roster'!A288,"")</f>
        <v/>
      </c>
      <c r="AE288">
        <f>IF(TRIM('Roster'!B288&amp;'Roster'!C288)&lt;&gt;"",1,0)</f>
        <v/>
      </c>
      <c r="AF288">
        <f>IF(AE288=1,LOWER(A288),"#")</f>
        <v/>
      </c>
      <c r="AG288">
        <f>IF(AE288=1,LOWER(TRIM(TRIM('Roster'!C288)&amp;", "&amp;TRIM('Roster'!B288))),"#")</f>
        <v/>
      </c>
      <c r="AH288">
        <f>IF(AND(AE288=1,TRIM('Roster'!F288)&lt;&gt;""),LOWER(TRIM('Roster'!F288)),"#")</f>
        <v/>
      </c>
      <c r="AI288">
        <f>IF(AE288=1,IF(MATCH(B288,$B$2:$B$701,0)=ROW()-1,1,0),0)</f>
        <v/>
      </c>
      <c r="AJ288">
        <f>AJ287+AI288</f>
        <v/>
      </c>
      <c r="AK288">
        <f>IF(AE288=1,D288+(1000-ROW())/10^7,-1)</f>
        <v/>
      </c>
      <c r="AL288">
        <f>IF(AE288=1,TRIM('Roster'!B288)&amp;" "&amp;LEFT(TRIM('Roster'!C288),1)&amp;".","")</f>
        <v/>
      </c>
      <c r="AM288">
        <f>IF(AE288=1,TRIM('Roster'!C288)&amp;", "&amp;TRIM('Roster'!B288)&amp;" ("&amp;B288&amp;") #"&amp;AD288,"")</f>
        <v/>
      </c>
      <c r="AN288">
        <f>IF(AE288=1,TRIM('Roster'!E288),"")</f>
        <v/>
      </c>
      <c r="AO288">
        <f>IF(AE288=1,ROUND(SUMIFS('All Donations'!$S$2:$S$4001,'All Donations'!$R$2:$R$4001,AD288,'All Donations'!$T$2:$T$4001,"&gt;="&amp;'Settings'!$C$23,'All Donations'!$T$2:$T$4001,"&lt;="&amp;'Settings'!$D$23),2),0)</f>
        <v/>
      </c>
      <c r="AQ288">
        <f>IF(AE288=1,ROUND(SUMIFS('All Donations'!$S$2:$S$4001,'All Donations'!$R$2:$R$4001,AD288,'All Donations'!$T$2:$T$4001,"&gt;="&amp;'Settings'!$C$25,'All Donations'!$T$2:$T$4001,"&lt;="&amp;'Settings'!$D$25),2),0)</f>
        <v/>
      </c>
      <c r="AR288">
        <f>IF(AE288=1,ROUND(SUMIFS('All Donations'!$S$2:$S$4001,'All Donations'!$R$2:$R$4001,AD288,'All Donations'!$T$2:$T$4001,"&gt;="&amp;'Settings'!$C$26,'All Donations'!$T$2:$T$4001,"&lt;="&amp;'Settings'!$D$26),2),0)</f>
        <v/>
      </c>
      <c r="AS288">
        <f>IF(AE288=1,ROUND(SUMIFS('All Donations'!$S$2:$S$4001,'All Donations'!$R$2:$R$4001,AD288,'All Donations'!$T$2:$T$4001,"&lt;="&amp;'Settings'!$D$27),2),0)</f>
        <v/>
      </c>
      <c r="AT288">
        <f>IF(AE288=1,ROUND(SUMIFS('All Donations'!$S$2:$S$4001,'All Donations'!$R$2:$R$4001,AD288,'All Donations'!$T$2:$T$4001,"&gt;="&amp;'Settings'!$C$28,'All Donations'!$T$2:$T$4001,"&lt;="&amp;'Settings'!$D$28),2),0)</f>
        <v/>
      </c>
      <c r="AU288">
        <f>IF(AE288=1,ROUND(SUMIFS('All Donations'!$S$2:$S$4001,'All Donations'!$R$2:$R$4001,AD288,'All Donations'!$T$2:$T$4001,"&gt;="&amp;'Settings'!$C$29,'All Donations'!$T$2:$T$4001,"&lt;="&amp;'Settings'!$D$29),2),0)</f>
        <v/>
      </c>
      <c r="AV288">
        <f>IF(AE288=1,ROUND(SUMIFS('All Donations'!$S$2:$S$4001,'All Donations'!$R$2:$R$4001,AD288,'All Donations'!$T$2:$T$4001,"&lt;="&amp;'Settings'!$D$30),2),0)</f>
        <v/>
      </c>
      <c r="AZ288">
        <f>IF(AE288=1,ROUND(SUMIFS('All Donations'!$S$2:$S$4001,'All Donations'!$R$2:$R$4001,AD288,'All Donations'!$T$2:$T$4001,"&lt;="&amp;'Settings'!$D$34),2),0)</f>
        <v/>
      </c>
    </row>
    <row r="289">
      <c r="A289">
        <f>IF(AE289=1,TRIM(TRIM('Roster'!B289)&amp;" "&amp;TRIM('Roster'!C289)),"")</f>
        <v/>
      </c>
      <c r="B289">
        <f>IF(AE289=1,IF(AN289="","(no teacher)",AN289&amp;" – "&amp;C289),"")</f>
        <v/>
      </c>
      <c r="C289">
        <f>IF(AE289=1,TRIM('Roster'!D289&amp;""),"")</f>
        <v/>
      </c>
      <c r="D289" s="48">
        <f>IF(AE289=1,ROUND(SUMIFS('All Donations'!$S$2:$S$4001,'All Donations'!$R$2:$R$4001,AD289),2),"")</f>
        <v/>
      </c>
      <c r="E289" s="48">
        <f>IF(AE289=1,ROUND(SUMIFS('All Donations'!$S$2:$S$4001,'All Donations'!$R$2:$R$4001,AD289,'All Donations'!$G$2:$G$4001,"OneCause"),2),"")</f>
        <v/>
      </c>
      <c r="F289" s="48">
        <f>IF(AE289=1,D289-E289,"")</f>
        <v/>
      </c>
      <c r="G289">
        <f>IF(AE289=1,COUNTIFS('All Donations'!$R$2:$R$4001,AD289,'All Donations'!$H$2:$H$4001,"OK"),"")</f>
        <v/>
      </c>
      <c r="H289">
        <f>IF(AE289&lt;&gt;1,"",IF(D289&gt;0,"Yes",""))</f>
        <v/>
      </c>
      <c r="I289" s="49">
        <f>IF(OR($AE289&lt;&gt;1,I$1=""),"",SUMIFS('All Donations'!$S$2:$S$4001,'All Donations'!$R$2:$R$4001,$AD289,'All Donations'!$T$2:$T$4001,I$1))</f>
        <v/>
      </c>
      <c r="J289" s="49">
        <f>IF(OR($AE289&lt;&gt;1,J$1=""),"",SUMIFS('All Donations'!$S$2:$S$4001,'All Donations'!$R$2:$R$4001,$AD289,'All Donations'!$T$2:$T$4001,J$1))</f>
        <v/>
      </c>
      <c r="K289" s="49">
        <f>IF(OR($AE289&lt;&gt;1,K$1=""),"",SUMIFS('All Donations'!$S$2:$S$4001,'All Donations'!$R$2:$R$4001,$AD289,'All Donations'!$T$2:$T$4001,K$1))</f>
        <v/>
      </c>
      <c r="L289" s="49">
        <f>IF(OR($AE289&lt;&gt;1,L$1=""),"",SUMIFS('All Donations'!$S$2:$S$4001,'All Donations'!$R$2:$R$4001,$AD289,'All Donations'!$T$2:$T$4001,L$1))</f>
        <v/>
      </c>
      <c r="M289" s="49">
        <f>IF(OR($AE289&lt;&gt;1,M$1=""),"",SUMIFS('All Donations'!$S$2:$S$4001,'All Donations'!$R$2:$R$4001,$AD289,'All Donations'!$T$2:$T$4001,M$1))</f>
        <v/>
      </c>
      <c r="N289" s="49">
        <f>IF(OR($AE289&lt;&gt;1,N$1=""),"",SUMIFS('All Donations'!$S$2:$S$4001,'All Donations'!$R$2:$R$4001,$AD289,'All Donations'!$T$2:$T$4001,N$1))</f>
        <v/>
      </c>
      <c r="O289" s="49">
        <f>IF(OR($AE289&lt;&gt;1,O$1=""),"",SUMIFS('All Donations'!$S$2:$S$4001,'All Donations'!$R$2:$R$4001,$AD289,'All Donations'!$T$2:$T$4001,O$1))</f>
        <v/>
      </c>
      <c r="P289" s="49">
        <f>IF(OR($AE289&lt;&gt;1,P$1=""),"",SUMIFS('All Donations'!$S$2:$S$4001,'All Donations'!$R$2:$R$4001,$AD289,'All Donations'!$T$2:$T$4001,P$1))</f>
        <v/>
      </c>
      <c r="Q289" s="49">
        <f>IF(OR($AE289&lt;&gt;1,Q$1=""),"",SUMIFS('All Donations'!$S$2:$S$4001,'All Donations'!$R$2:$R$4001,$AD289,'All Donations'!$T$2:$T$4001,Q$1))</f>
        <v/>
      </c>
      <c r="R289" s="49">
        <f>IF(OR($AE289&lt;&gt;1,R$1=""),"",SUMIFS('All Donations'!$S$2:$S$4001,'All Donations'!$R$2:$R$4001,$AD289,'All Donations'!$T$2:$T$4001,R$1))</f>
        <v/>
      </c>
      <c r="S289" s="49">
        <f>IF(OR($AE289&lt;&gt;1,S$1=""),"",SUMIFS('All Donations'!$S$2:$S$4001,'All Donations'!$R$2:$R$4001,$AD289,'All Donations'!$T$2:$T$4001,S$1))</f>
        <v/>
      </c>
      <c r="T289" s="49">
        <f>IF(OR($AE289&lt;&gt;1,T$1=""),"",SUMIFS('All Donations'!$S$2:$S$4001,'All Donations'!$R$2:$R$4001,$AD289,'All Donations'!$T$2:$T$4001,T$1))</f>
        <v/>
      </c>
      <c r="U289" s="49">
        <f>IF(OR($AE289&lt;&gt;1,U$1=""),"",SUMIFS('All Donations'!$S$2:$S$4001,'All Donations'!$R$2:$R$4001,$AD289,'All Donations'!$T$2:$T$4001,U$1))</f>
        <v/>
      </c>
      <c r="V289" s="49">
        <f>IF(OR($AE289&lt;&gt;1,V$1=""),"",SUMIFS('All Donations'!$S$2:$S$4001,'All Donations'!$R$2:$R$4001,$AD289,'All Donations'!$T$2:$T$4001,V$1))</f>
        <v/>
      </c>
      <c r="W289" s="49">
        <f>IF(OR($AE289&lt;&gt;1,W$1=""),"",SUMIFS('All Donations'!$S$2:$S$4001,'All Donations'!$R$2:$R$4001,$AD289,'All Donations'!$T$2:$T$4001,W$1))</f>
        <v/>
      </c>
      <c r="X289" s="49">
        <f>IF(OR($AE289&lt;&gt;1,X$1=""),"",SUMIFS('All Donations'!$S$2:$S$4001,'All Donations'!$R$2:$R$4001,$AD289,'All Donations'!$T$2:$T$4001,X$1))</f>
        <v/>
      </c>
      <c r="Y289" s="49">
        <f>IF(OR($AE289&lt;&gt;1,Y$1=""),"",SUMIFS('All Donations'!$S$2:$S$4001,'All Donations'!$R$2:$R$4001,$AD289,'All Donations'!$T$2:$T$4001,Y$1))</f>
        <v/>
      </c>
      <c r="Z289" s="49">
        <f>IF(OR($AE289&lt;&gt;1,Z$1=""),"",SUMIFS('All Donations'!$S$2:$S$4001,'All Donations'!$R$2:$R$4001,$AD289,'All Donations'!$T$2:$T$4001,Z$1))</f>
        <v/>
      </c>
      <c r="AA289" s="49">
        <f>IF(OR($AE289&lt;&gt;1,AA$1=""),"",SUMIFS('All Donations'!$S$2:$S$4001,'All Donations'!$R$2:$R$4001,$AD289,'All Donations'!$T$2:$T$4001,AA$1))</f>
        <v/>
      </c>
      <c r="AB289" s="49">
        <f>IF(OR($AE289&lt;&gt;1,AB$1=""),"",SUMIFS('All Donations'!$S$2:$S$4001,'All Donations'!$R$2:$R$4001,$AD289,'All Donations'!$T$2:$T$4001,AB$1))</f>
        <v/>
      </c>
      <c r="AC289" s="49">
        <f>IF(OR($AE289&lt;&gt;1,AC$1=""),"",SUMIFS('All Donations'!$S$2:$S$4001,'All Donations'!$R$2:$R$4001,$AD289,'All Donations'!$T$2:$T$4001,AC$1))</f>
        <v/>
      </c>
      <c r="AD289">
        <f>IF(AE289=1,'Roster'!A289,"")</f>
        <v/>
      </c>
      <c r="AE289">
        <f>IF(TRIM('Roster'!B289&amp;'Roster'!C289)&lt;&gt;"",1,0)</f>
        <v/>
      </c>
      <c r="AF289">
        <f>IF(AE289=1,LOWER(A289),"#")</f>
        <v/>
      </c>
      <c r="AG289">
        <f>IF(AE289=1,LOWER(TRIM(TRIM('Roster'!C289)&amp;", "&amp;TRIM('Roster'!B289))),"#")</f>
        <v/>
      </c>
      <c r="AH289">
        <f>IF(AND(AE289=1,TRIM('Roster'!F289)&lt;&gt;""),LOWER(TRIM('Roster'!F289)),"#")</f>
        <v/>
      </c>
      <c r="AI289">
        <f>IF(AE289=1,IF(MATCH(B289,$B$2:$B$701,0)=ROW()-1,1,0),0)</f>
        <v/>
      </c>
      <c r="AJ289">
        <f>AJ288+AI289</f>
        <v/>
      </c>
      <c r="AK289">
        <f>IF(AE289=1,D289+(1000-ROW())/10^7,-1)</f>
        <v/>
      </c>
      <c r="AL289">
        <f>IF(AE289=1,TRIM('Roster'!B289)&amp;" "&amp;LEFT(TRIM('Roster'!C289),1)&amp;".","")</f>
        <v/>
      </c>
      <c r="AM289">
        <f>IF(AE289=1,TRIM('Roster'!C289)&amp;", "&amp;TRIM('Roster'!B289)&amp;" ("&amp;B289&amp;") #"&amp;AD289,"")</f>
        <v/>
      </c>
      <c r="AN289">
        <f>IF(AE289=1,TRIM('Roster'!E289),"")</f>
        <v/>
      </c>
      <c r="AO289">
        <f>IF(AE289=1,ROUND(SUMIFS('All Donations'!$S$2:$S$4001,'All Donations'!$R$2:$R$4001,AD289,'All Donations'!$T$2:$T$4001,"&gt;="&amp;'Settings'!$C$23,'All Donations'!$T$2:$T$4001,"&lt;="&amp;'Settings'!$D$23),2),0)</f>
        <v/>
      </c>
      <c r="AQ289">
        <f>IF(AE289=1,ROUND(SUMIFS('All Donations'!$S$2:$S$4001,'All Donations'!$R$2:$R$4001,AD289,'All Donations'!$T$2:$T$4001,"&gt;="&amp;'Settings'!$C$25,'All Donations'!$T$2:$T$4001,"&lt;="&amp;'Settings'!$D$25),2),0)</f>
        <v/>
      </c>
      <c r="AR289">
        <f>IF(AE289=1,ROUND(SUMIFS('All Donations'!$S$2:$S$4001,'All Donations'!$R$2:$R$4001,AD289,'All Donations'!$T$2:$T$4001,"&gt;="&amp;'Settings'!$C$26,'All Donations'!$T$2:$T$4001,"&lt;="&amp;'Settings'!$D$26),2),0)</f>
        <v/>
      </c>
      <c r="AS289">
        <f>IF(AE289=1,ROUND(SUMIFS('All Donations'!$S$2:$S$4001,'All Donations'!$R$2:$R$4001,AD289,'All Donations'!$T$2:$T$4001,"&lt;="&amp;'Settings'!$D$27),2),0)</f>
        <v/>
      </c>
      <c r="AT289">
        <f>IF(AE289=1,ROUND(SUMIFS('All Donations'!$S$2:$S$4001,'All Donations'!$R$2:$R$4001,AD289,'All Donations'!$T$2:$T$4001,"&gt;="&amp;'Settings'!$C$28,'All Donations'!$T$2:$T$4001,"&lt;="&amp;'Settings'!$D$28),2),0)</f>
        <v/>
      </c>
      <c r="AU289">
        <f>IF(AE289=1,ROUND(SUMIFS('All Donations'!$S$2:$S$4001,'All Donations'!$R$2:$R$4001,AD289,'All Donations'!$T$2:$T$4001,"&gt;="&amp;'Settings'!$C$29,'All Donations'!$T$2:$T$4001,"&lt;="&amp;'Settings'!$D$29),2),0)</f>
        <v/>
      </c>
      <c r="AV289">
        <f>IF(AE289=1,ROUND(SUMIFS('All Donations'!$S$2:$S$4001,'All Donations'!$R$2:$R$4001,AD289,'All Donations'!$T$2:$T$4001,"&lt;="&amp;'Settings'!$D$30),2),0)</f>
        <v/>
      </c>
      <c r="AZ289">
        <f>IF(AE289=1,ROUND(SUMIFS('All Donations'!$S$2:$S$4001,'All Donations'!$R$2:$R$4001,AD289,'All Donations'!$T$2:$T$4001,"&lt;="&amp;'Settings'!$D$34),2),0)</f>
        <v/>
      </c>
    </row>
    <row r="290">
      <c r="A290">
        <f>IF(AE290=1,TRIM(TRIM('Roster'!B290)&amp;" "&amp;TRIM('Roster'!C290)),"")</f>
        <v/>
      </c>
      <c r="B290">
        <f>IF(AE290=1,IF(AN290="","(no teacher)",AN290&amp;" – "&amp;C290),"")</f>
        <v/>
      </c>
      <c r="C290">
        <f>IF(AE290=1,TRIM('Roster'!D290&amp;""),"")</f>
        <v/>
      </c>
      <c r="D290" s="48">
        <f>IF(AE290=1,ROUND(SUMIFS('All Donations'!$S$2:$S$4001,'All Donations'!$R$2:$R$4001,AD290),2),"")</f>
        <v/>
      </c>
      <c r="E290" s="48">
        <f>IF(AE290=1,ROUND(SUMIFS('All Donations'!$S$2:$S$4001,'All Donations'!$R$2:$R$4001,AD290,'All Donations'!$G$2:$G$4001,"OneCause"),2),"")</f>
        <v/>
      </c>
      <c r="F290" s="48">
        <f>IF(AE290=1,D290-E290,"")</f>
        <v/>
      </c>
      <c r="G290">
        <f>IF(AE290=1,COUNTIFS('All Donations'!$R$2:$R$4001,AD290,'All Donations'!$H$2:$H$4001,"OK"),"")</f>
        <v/>
      </c>
      <c r="H290">
        <f>IF(AE290&lt;&gt;1,"",IF(D290&gt;0,"Yes",""))</f>
        <v/>
      </c>
      <c r="I290" s="49">
        <f>IF(OR($AE290&lt;&gt;1,I$1=""),"",SUMIFS('All Donations'!$S$2:$S$4001,'All Donations'!$R$2:$R$4001,$AD290,'All Donations'!$T$2:$T$4001,I$1))</f>
        <v/>
      </c>
      <c r="J290" s="49">
        <f>IF(OR($AE290&lt;&gt;1,J$1=""),"",SUMIFS('All Donations'!$S$2:$S$4001,'All Donations'!$R$2:$R$4001,$AD290,'All Donations'!$T$2:$T$4001,J$1))</f>
        <v/>
      </c>
      <c r="K290" s="49">
        <f>IF(OR($AE290&lt;&gt;1,K$1=""),"",SUMIFS('All Donations'!$S$2:$S$4001,'All Donations'!$R$2:$R$4001,$AD290,'All Donations'!$T$2:$T$4001,K$1))</f>
        <v/>
      </c>
      <c r="L290" s="49">
        <f>IF(OR($AE290&lt;&gt;1,L$1=""),"",SUMIFS('All Donations'!$S$2:$S$4001,'All Donations'!$R$2:$R$4001,$AD290,'All Donations'!$T$2:$T$4001,L$1))</f>
        <v/>
      </c>
      <c r="M290" s="49">
        <f>IF(OR($AE290&lt;&gt;1,M$1=""),"",SUMIFS('All Donations'!$S$2:$S$4001,'All Donations'!$R$2:$R$4001,$AD290,'All Donations'!$T$2:$T$4001,M$1))</f>
        <v/>
      </c>
      <c r="N290" s="49">
        <f>IF(OR($AE290&lt;&gt;1,N$1=""),"",SUMIFS('All Donations'!$S$2:$S$4001,'All Donations'!$R$2:$R$4001,$AD290,'All Donations'!$T$2:$T$4001,N$1))</f>
        <v/>
      </c>
      <c r="O290" s="49">
        <f>IF(OR($AE290&lt;&gt;1,O$1=""),"",SUMIFS('All Donations'!$S$2:$S$4001,'All Donations'!$R$2:$R$4001,$AD290,'All Donations'!$T$2:$T$4001,O$1))</f>
        <v/>
      </c>
      <c r="P290" s="49">
        <f>IF(OR($AE290&lt;&gt;1,P$1=""),"",SUMIFS('All Donations'!$S$2:$S$4001,'All Donations'!$R$2:$R$4001,$AD290,'All Donations'!$T$2:$T$4001,P$1))</f>
        <v/>
      </c>
      <c r="Q290" s="49">
        <f>IF(OR($AE290&lt;&gt;1,Q$1=""),"",SUMIFS('All Donations'!$S$2:$S$4001,'All Donations'!$R$2:$R$4001,$AD290,'All Donations'!$T$2:$T$4001,Q$1))</f>
        <v/>
      </c>
      <c r="R290" s="49">
        <f>IF(OR($AE290&lt;&gt;1,R$1=""),"",SUMIFS('All Donations'!$S$2:$S$4001,'All Donations'!$R$2:$R$4001,$AD290,'All Donations'!$T$2:$T$4001,R$1))</f>
        <v/>
      </c>
      <c r="S290" s="49">
        <f>IF(OR($AE290&lt;&gt;1,S$1=""),"",SUMIFS('All Donations'!$S$2:$S$4001,'All Donations'!$R$2:$R$4001,$AD290,'All Donations'!$T$2:$T$4001,S$1))</f>
        <v/>
      </c>
      <c r="T290" s="49">
        <f>IF(OR($AE290&lt;&gt;1,T$1=""),"",SUMIFS('All Donations'!$S$2:$S$4001,'All Donations'!$R$2:$R$4001,$AD290,'All Donations'!$T$2:$T$4001,T$1))</f>
        <v/>
      </c>
      <c r="U290" s="49">
        <f>IF(OR($AE290&lt;&gt;1,U$1=""),"",SUMIFS('All Donations'!$S$2:$S$4001,'All Donations'!$R$2:$R$4001,$AD290,'All Donations'!$T$2:$T$4001,U$1))</f>
        <v/>
      </c>
      <c r="V290" s="49">
        <f>IF(OR($AE290&lt;&gt;1,V$1=""),"",SUMIFS('All Donations'!$S$2:$S$4001,'All Donations'!$R$2:$R$4001,$AD290,'All Donations'!$T$2:$T$4001,V$1))</f>
        <v/>
      </c>
      <c r="W290" s="49">
        <f>IF(OR($AE290&lt;&gt;1,W$1=""),"",SUMIFS('All Donations'!$S$2:$S$4001,'All Donations'!$R$2:$R$4001,$AD290,'All Donations'!$T$2:$T$4001,W$1))</f>
        <v/>
      </c>
      <c r="X290" s="49">
        <f>IF(OR($AE290&lt;&gt;1,X$1=""),"",SUMIFS('All Donations'!$S$2:$S$4001,'All Donations'!$R$2:$R$4001,$AD290,'All Donations'!$T$2:$T$4001,X$1))</f>
        <v/>
      </c>
      <c r="Y290" s="49">
        <f>IF(OR($AE290&lt;&gt;1,Y$1=""),"",SUMIFS('All Donations'!$S$2:$S$4001,'All Donations'!$R$2:$R$4001,$AD290,'All Donations'!$T$2:$T$4001,Y$1))</f>
        <v/>
      </c>
      <c r="Z290" s="49">
        <f>IF(OR($AE290&lt;&gt;1,Z$1=""),"",SUMIFS('All Donations'!$S$2:$S$4001,'All Donations'!$R$2:$R$4001,$AD290,'All Donations'!$T$2:$T$4001,Z$1))</f>
        <v/>
      </c>
      <c r="AA290" s="49">
        <f>IF(OR($AE290&lt;&gt;1,AA$1=""),"",SUMIFS('All Donations'!$S$2:$S$4001,'All Donations'!$R$2:$R$4001,$AD290,'All Donations'!$T$2:$T$4001,AA$1))</f>
        <v/>
      </c>
      <c r="AB290" s="49">
        <f>IF(OR($AE290&lt;&gt;1,AB$1=""),"",SUMIFS('All Donations'!$S$2:$S$4001,'All Donations'!$R$2:$R$4001,$AD290,'All Donations'!$T$2:$T$4001,AB$1))</f>
        <v/>
      </c>
      <c r="AC290" s="49">
        <f>IF(OR($AE290&lt;&gt;1,AC$1=""),"",SUMIFS('All Donations'!$S$2:$S$4001,'All Donations'!$R$2:$R$4001,$AD290,'All Donations'!$T$2:$T$4001,AC$1))</f>
        <v/>
      </c>
      <c r="AD290">
        <f>IF(AE290=1,'Roster'!A290,"")</f>
        <v/>
      </c>
      <c r="AE290">
        <f>IF(TRIM('Roster'!B290&amp;'Roster'!C290)&lt;&gt;"",1,0)</f>
        <v/>
      </c>
      <c r="AF290">
        <f>IF(AE290=1,LOWER(A290),"#")</f>
        <v/>
      </c>
      <c r="AG290">
        <f>IF(AE290=1,LOWER(TRIM(TRIM('Roster'!C290)&amp;", "&amp;TRIM('Roster'!B290))),"#")</f>
        <v/>
      </c>
      <c r="AH290">
        <f>IF(AND(AE290=1,TRIM('Roster'!F290)&lt;&gt;""),LOWER(TRIM('Roster'!F290)),"#")</f>
        <v/>
      </c>
      <c r="AI290">
        <f>IF(AE290=1,IF(MATCH(B290,$B$2:$B$701,0)=ROW()-1,1,0),0)</f>
        <v/>
      </c>
      <c r="AJ290">
        <f>AJ289+AI290</f>
        <v/>
      </c>
      <c r="AK290">
        <f>IF(AE290=1,D290+(1000-ROW())/10^7,-1)</f>
        <v/>
      </c>
      <c r="AL290">
        <f>IF(AE290=1,TRIM('Roster'!B290)&amp;" "&amp;LEFT(TRIM('Roster'!C290),1)&amp;".","")</f>
        <v/>
      </c>
      <c r="AM290">
        <f>IF(AE290=1,TRIM('Roster'!C290)&amp;", "&amp;TRIM('Roster'!B290)&amp;" ("&amp;B290&amp;") #"&amp;AD290,"")</f>
        <v/>
      </c>
      <c r="AN290">
        <f>IF(AE290=1,TRIM('Roster'!E290),"")</f>
        <v/>
      </c>
      <c r="AO290">
        <f>IF(AE290=1,ROUND(SUMIFS('All Donations'!$S$2:$S$4001,'All Donations'!$R$2:$R$4001,AD290,'All Donations'!$T$2:$T$4001,"&gt;="&amp;'Settings'!$C$23,'All Donations'!$T$2:$T$4001,"&lt;="&amp;'Settings'!$D$23),2),0)</f>
        <v/>
      </c>
      <c r="AQ290">
        <f>IF(AE290=1,ROUND(SUMIFS('All Donations'!$S$2:$S$4001,'All Donations'!$R$2:$R$4001,AD290,'All Donations'!$T$2:$T$4001,"&gt;="&amp;'Settings'!$C$25,'All Donations'!$T$2:$T$4001,"&lt;="&amp;'Settings'!$D$25),2),0)</f>
        <v/>
      </c>
      <c r="AR290">
        <f>IF(AE290=1,ROUND(SUMIFS('All Donations'!$S$2:$S$4001,'All Donations'!$R$2:$R$4001,AD290,'All Donations'!$T$2:$T$4001,"&gt;="&amp;'Settings'!$C$26,'All Donations'!$T$2:$T$4001,"&lt;="&amp;'Settings'!$D$26),2),0)</f>
        <v/>
      </c>
      <c r="AS290">
        <f>IF(AE290=1,ROUND(SUMIFS('All Donations'!$S$2:$S$4001,'All Donations'!$R$2:$R$4001,AD290,'All Donations'!$T$2:$T$4001,"&lt;="&amp;'Settings'!$D$27),2),0)</f>
        <v/>
      </c>
      <c r="AT290">
        <f>IF(AE290=1,ROUND(SUMIFS('All Donations'!$S$2:$S$4001,'All Donations'!$R$2:$R$4001,AD290,'All Donations'!$T$2:$T$4001,"&gt;="&amp;'Settings'!$C$28,'All Donations'!$T$2:$T$4001,"&lt;="&amp;'Settings'!$D$28),2),0)</f>
        <v/>
      </c>
      <c r="AU290">
        <f>IF(AE290=1,ROUND(SUMIFS('All Donations'!$S$2:$S$4001,'All Donations'!$R$2:$R$4001,AD290,'All Donations'!$T$2:$T$4001,"&gt;="&amp;'Settings'!$C$29,'All Donations'!$T$2:$T$4001,"&lt;="&amp;'Settings'!$D$29),2),0)</f>
        <v/>
      </c>
      <c r="AV290">
        <f>IF(AE290=1,ROUND(SUMIFS('All Donations'!$S$2:$S$4001,'All Donations'!$R$2:$R$4001,AD290,'All Donations'!$T$2:$T$4001,"&lt;="&amp;'Settings'!$D$30),2),0)</f>
        <v/>
      </c>
      <c r="AZ290">
        <f>IF(AE290=1,ROUND(SUMIFS('All Donations'!$S$2:$S$4001,'All Donations'!$R$2:$R$4001,AD290,'All Donations'!$T$2:$T$4001,"&lt;="&amp;'Settings'!$D$34),2),0)</f>
        <v/>
      </c>
    </row>
    <row r="291">
      <c r="A291">
        <f>IF(AE291=1,TRIM(TRIM('Roster'!B291)&amp;" "&amp;TRIM('Roster'!C291)),"")</f>
        <v/>
      </c>
      <c r="B291">
        <f>IF(AE291=1,IF(AN291="","(no teacher)",AN291&amp;" – "&amp;C291),"")</f>
        <v/>
      </c>
      <c r="C291">
        <f>IF(AE291=1,TRIM('Roster'!D291&amp;""),"")</f>
        <v/>
      </c>
      <c r="D291" s="48">
        <f>IF(AE291=1,ROUND(SUMIFS('All Donations'!$S$2:$S$4001,'All Donations'!$R$2:$R$4001,AD291),2),"")</f>
        <v/>
      </c>
      <c r="E291" s="48">
        <f>IF(AE291=1,ROUND(SUMIFS('All Donations'!$S$2:$S$4001,'All Donations'!$R$2:$R$4001,AD291,'All Donations'!$G$2:$G$4001,"OneCause"),2),"")</f>
        <v/>
      </c>
      <c r="F291" s="48">
        <f>IF(AE291=1,D291-E291,"")</f>
        <v/>
      </c>
      <c r="G291">
        <f>IF(AE291=1,COUNTIFS('All Donations'!$R$2:$R$4001,AD291,'All Donations'!$H$2:$H$4001,"OK"),"")</f>
        <v/>
      </c>
      <c r="H291">
        <f>IF(AE291&lt;&gt;1,"",IF(D291&gt;0,"Yes",""))</f>
        <v/>
      </c>
      <c r="I291" s="49">
        <f>IF(OR($AE291&lt;&gt;1,I$1=""),"",SUMIFS('All Donations'!$S$2:$S$4001,'All Donations'!$R$2:$R$4001,$AD291,'All Donations'!$T$2:$T$4001,I$1))</f>
        <v/>
      </c>
      <c r="J291" s="49">
        <f>IF(OR($AE291&lt;&gt;1,J$1=""),"",SUMIFS('All Donations'!$S$2:$S$4001,'All Donations'!$R$2:$R$4001,$AD291,'All Donations'!$T$2:$T$4001,J$1))</f>
        <v/>
      </c>
      <c r="K291" s="49">
        <f>IF(OR($AE291&lt;&gt;1,K$1=""),"",SUMIFS('All Donations'!$S$2:$S$4001,'All Donations'!$R$2:$R$4001,$AD291,'All Donations'!$T$2:$T$4001,K$1))</f>
        <v/>
      </c>
      <c r="L291" s="49">
        <f>IF(OR($AE291&lt;&gt;1,L$1=""),"",SUMIFS('All Donations'!$S$2:$S$4001,'All Donations'!$R$2:$R$4001,$AD291,'All Donations'!$T$2:$T$4001,L$1))</f>
        <v/>
      </c>
      <c r="M291" s="49">
        <f>IF(OR($AE291&lt;&gt;1,M$1=""),"",SUMIFS('All Donations'!$S$2:$S$4001,'All Donations'!$R$2:$R$4001,$AD291,'All Donations'!$T$2:$T$4001,M$1))</f>
        <v/>
      </c>
      <c r="N291" s="49">
        <f>IF(OR($AE291&lt;&gt;1,N$1=""),"",SUMIFS('All Donations'!$S$2:$S$4001,'All Donations'!$R$2:$R$4001,$AD291,'All Donations'!$T$2:$T$4001,N$1))</f>
        <v/>
      </c>
      <c r="O291" s="49">
        <f>IF(OR($AE291&lt;&gt;1,O$1=""),"",SUMIFS('All Donations'!$S$2:$S$4001,'All Donations'!$R$2:$R$4001,$AD291,'All Donations'!$T$2:$T$4001,O$1))</f>
        <v/>
      </c>
      <c r="P291" s="49">
        <f>IF(OR($AE291&lt;&gt;1,P$1=""),"",SUMIFS('All Donations'!$S$2:$S$4001,'All Donations'!$R$2:$R$4001,$AD291,'All Donations'!$T$2:$T$4001,P$1))</f>
        <v/>
      </c>
      <c r="Q291" s="49">
        <f>IF(OR($AE291&lt;&gt;1,Q$1=""),"",SUMIFS('All Donations'!$S$2:$S$4001,'All Donations'!$R$2:$R$4001,$AD291,'All Donations'!$T$2:$T$4001,Q$1))</f>
        <v/>
      </c>
      <c r="R291" s="49">
        <f>IF(OR($AE291&lt;&gt;1,R$1=""),"",SUMIFS('All Donations'!$S$2:$S$4001,'All Donations'!$R$2:$R$4001,$AD291,'All Donations'!$T$2:$T$4001,R$1))</f>
        <v/>
      </c>
      <c r="S291" s="49">
        <f>IF(OR($AE291&lt;&gt;1,S$1=""),"",SUMIFS('All Donations'!$S$2:$S$4001,'All Donations'!$R$2:$R$4001,$AD291,'All Donations'!$T$2:$T$4001,S$1))</f>
        <v/>
      </c>
      <c r="T291" s="49">
        <f>IF(OR($AE291&lt;&gt;1,T$1=""),"",SUMIFS('All Donations'!$S$2:$S$4001,'All Donations'!$R$2:$R$4001,$AD291,'All Donations'!$T$2:$T$4001,T$1))</f>
        <v/>
      </c>
      <c r="U291" s="49">
        <f>IF(OR($AE291&lt;&gt;1,U$1=""),"",SUMIFS('All Donations'!$S$2:$S$4001,'All Donations'!$R$2:$R$4001,$AD291,'All Donations'!$T$2:$T$4001,U$1))</f>
        <v/>
      </c>
      <c r="V291" s="49">
        <f>IF(OR($AE291&lt;&gt;1,V$1=""),"",SUMIFS('All Donations'!$S$2:$S$4001,'All Donations'!$R$2:$R$4001,$AD291,'All Donations'!$T$2:$T$4001,V$1))</f>
        <v/>
      </c>
      <c r="W291" s="49">
        <f>IF(OR($AE291&lt;&gt;1,W$1=""),"",SUMIFS('All Donations'!$S$2:$S$4001,'All Donations'!$R$2:$R$4001,$AD291,'All Donations'!$T$2:$T$4001,W$1))</f>
        <v/>
      </c>
      <c r="X291" s="49">
        <f>IF(OR($AE291&lt;&gt;1,X$1=""),"",SUMIFS('All Donations'!$S$2:$S$4001,'All Donations'!$R$2:$R$4001,$AD291,'All Donations'!$T$2:$T$4001,X$1))</f>
        <v/>
      </c>
      <c r="Y291" s="49">
        <f>IF(OR($AE291&lt;&gt;1,Y$1=""),"",SUMIFS('All Donations'!$S$2:$S$4001,'All Donations'!$R$2:$R$4001,$AD291,'All Donations'!$T$2:$T$4001,Y$1))</f>
        <v/>
      </c>
      <c r="Z291" s="49">
        <f>IF(OR($AE291&lt;&gt;1,Z$1=""),"",SUMIFS('All Donations'!$S$2:$S$4001,'All Donations'!$R$2:$R$4001,$AD291,'All Donations'!$T$2:$T$4001,Z$1))</f>
        <v/>
      </c>
      <c r="AA291" s="49">
        <f>IF(OR($AE291&lt;&gt;1,AA$1=""),"",SUMIFS('All Donations'!$S$2:$S$4001,'All Donations'!$R$2:$R$4001,$AD291,'All Donations'!$T$2:$T$4001,AA$1))</f>
        <v/>
      </c>
      <c r="AB291" s="49">
        <f>IF(OR($AE291&lt;&gt;1,AB$1=""),"",SUMIFS('All Donations'!$S$2:$S$4001,'All Donations'!$R$2:$R$4001,$AD291,'All Donations'!$T$2:$T$4001,AB$1))</f>
        <v/>
      </c>
      <c r="AC291" s="49">
        <f>IF(OR($AE291&lt;&gt;1,AC$1=""),"",SUMIFS('All Donations'!$S$2:$S$4001,'All Donations'!$R$2:$R$4001,$AD291,'All Donations'!$T$2:$T$4001,AC$1))</f>
        <v/>
      </c>
      <c r="AD291">
        <f>IF(AE291=1,'Roster'!A291,"")</f>
        <v/>
      </c>
      <c r="AE291">
        <f>IF(TRIM('Roster'!B291&amp;'Roster'!C291)&lt;&gt;"",1,0)</f>
        <v/>
      </c>
      <c r="AF291">
        <f>IF(AE291=1,LOWER(A291),"#")</f>
        <v/>
      </c>
      <c r="AG291">
        <f>IF(AE291=1,LOWER(TRIM(TRIM('Roster'!C291)&amp;", "&amp;TRIM('Roster'!B291))),"#")</f>
        <v/>
      </c>
      <c r="AH291">
        <f>IF(AND(AE291=1,TRIM('Roster'!F291)&lt;&gt;""),LOWER(TRIM('Roster'!F291)),"#")</f>
        <v/>
      </c>
      <c r="AI291">
        <f>IF(AE291=1,IF(MATCH(B291,$B$2:$B$701,0)=ROW()-1,1,0),0)</f>
        <v/>
      </c>
      <c r="AJ291">
        <f>AJ290+AI291</f>
        <v/>
      </c>
      <c r="AK291">
        <f>IF(AE291=1,D291+(1000-ROW())/10^7,-1)</f>
        <v/>
      </c>
      <c r="AL291">
        <f>IF(AE291=1,TRIM('Roster'!B291)&amp;" "&amp;LEFT(TRIM('Roster'!C291),1)&amp;".","")</f>
        <v/>
      </c>
      <c r="AM291">
        <f>IF(AE291=1,TRIM('Roster'!C291)&amp;", "&amp;TRIM('Roster'!B291)&amp;" ("&amp;B291&amp;") #"&amp;AD291,"")</f>
        <v/>
      </c>
      <c r="AN291">
        <f>IF(AE291=1,TRIM('Roster'!E291),"")</f>
        <v/>
      </c>
      <c r="AO291">
        <f>IF(AE291=1,ROUND(SUMIFS('All Donations'!$S$2:$S$4001,'All Donations'!$R$2:$R$4001,AD291,'All Donations'!$T$2:$T$4001,"&gt;="&amp;'Settings'!$C$23,'All Donations'!$T$2:$T$4001,"&lt;="&amp;'Settings'!$D$23),2),0)</f>
        <v/>
      </c>
      <c r="AQ291">
        <f>IF(AE291=1,ROUND(SUMIFS('All Donations'!$S$2:$S$4001,'All Donations'!$R$2:$R$4001,AD291,'All Donations'!$T$2:$T$4001,"&gt;="&amp;'Settings'!$C$25,'All Donations'!$T$2:$T$4001,"&lt;="&amp;'Settings'!$D$25),2),0)</f>
        <v/>
      </c>
      <c r="AR291">
        <f>IF(AE291=1,ROUND(SUMIFS('All Donations'!$S$2:$S$4001,'All Donations'!$R$2:$R$4001,AD291,'All Donations'!$T$2:$T$4001,"&gt;="&amp;'Settings'!$C$26,'All Donations'!$T$2:$T$4001,"&lt;="&amp;'Settings'!$D$26),2),0)</f>
        <v/>
      </c>
      <c r="AS291">
        <f>IF(AE291=1,ROUND(SUMIFS('All Donations'!$S$2:$S$4001,'All Donations'!$R$2:$R$4001,AD291,'All Donations'!$T$2:$T$4001,"&lt;="&amp;'Settings'!$D$27),2),0)</f>
        <v/>
      </c>
      <c r="AT291">
        <f>IF(AE291=1,ROUND(SUMIFS('All Donations'!$S$2:$S$4001,'All Donations'!$R$2:$R$4001,AD291,'All Donations'!$T$2:$T$4001,"&gt;="&amp;'Settings'!$C$28,'All Donations'!$T$2:$T$4001,"&lt;="&amp;'Settings'!$D$28),2),0)</f>
        <v/>
      </c>
      <c r="AU291">
        <f>IF(AE291=1,ROUND(SUMIFS('All Donations'!$S$2:$S$4001,'All Donations'!$R$2:$R$4001,AD291,'All Donations'!$T$2:$T$4001,"&gt;="&amp;'Settings'!$C$29,'All Donations'!$T$2:$T$4001,"&lt;="&amp;'Settings'!$D$29),2),0)</f>
        <v/>
      </c>
      <c r="AV291">
        <f>IF(AE291=1,ROUND(SUMIFS('All Donations'!$S$2:$S$4001,'All Donations'!$R$2:$R$4001,AD291,'All Donations'!$T$2:$T$4001,"&lt;="&amp;'Settings'!$D$30),2),0)</f>
        <v/>
      </c>
      <c r="AZ291">
        <f>IF(AE291=1,ROUND(SUMIFS('All Donations'!$S$2:$S$4001,'All Donations'!$R$2:$R$4001,AD291,'All Donations'!$T$2:$T$4001,"&lt;="&amp;'Settings'!$D$34),2),0)</f>
        <v/>
      </c>
    </row>
    <row r="292">
      <c r="A292">
        <f>IF(AE292=1,TRIM(TRIM('Roster'!B292)&amp;" "&amp;TRIM('Roster'!C292)),"")</f>
        <v/>
      </c>
      <c r="B292">
        <f>IF(AE292=1,IF(AN292="","(no teacher)",AN292&amp;" – "&amp;C292),"")</f>
        <v/>
      </c>
      <c r="C292">
        <f>IF(AE292=1,TRIM('Roster'!D292&amp;""),"")</f>
        <v/>
      </c>
      <c r="D292" s="48">
        <f>IF(AE292=1,ROUND(SUMIFS('All Donations'!$S$2:$S$4001,'All Donations'!$R$2:$R$4001,AD292),2),"")</f>
        <v/>
      </c>
      <c r="E292" s="48">
        <f>IF(AE292=1,ROUND(SUMIFS('All Donations'!$S$2:$S$4001,'All Donations'!$R$2:$R$4001,AD292,'All Donations'!$G$2:$G$4001,"OneCause"),2),"")</f>
        <v/>
      </c>
      <c r="F292" s="48">
        <f>IF(AE292=1,D292-E292,"")</f>
        <v/>
      </c>
      <c r="G292">
        <f>IF(AE292=1,COUNTIFS('All Donations'!$R$2:$R$4001,AD292,'All Donations'!$H$2:$H$4001,"OK"),"")</f>
        <v/>
      </c>
      <c r="H292">
        <f>IF(AE292&lt;&gt;1,"",IF(D292&gt;0,"Yes",""))</f>
        <v/>
      </c>
      <c r="I292" s="49">
        <f>IF(OR($AE292&lt;&gt;1,I$1=""),"",SUMIFS('All Donations'!$S$2:$S$4001,'All Donations'!$R$2:$R$4001,$AD292,'All Donations'!$T$2:$T$4001,I$1))</f>
        <v/>
      </c>
      <c r="J292" s="49">
        <f>IF(OR($AE292&lt;&gt;1,J$1=""),"",SUMIFS('All Donations'!$S$2:$S$4001,'All Donations'!$R$2:$R$4001,$AD292,'All Donations'!$T$2:$T$4001,J$1))</f>
        <v/>
      </c>
      <c r="K292" s="49">
        <f>IF(OR($AE292&lt;&gt;1,K$1=""),"",SUMIFS('All Donations'!$S$2:$S$4001,'All Donations'!$R$2:$R$4001,$AD292,'All Donations'!$T$2:$T$4001,K$1))</f>
        <v/>
      </c>
      <c r="L292" s="49">
        <f>IF(OR($AE292&lt;&gt;1,L$1=""),"",SUMIFS('All Donations'!$S$2:$S$4001,'All Donations'!$R$2:$R$4001,$AD292,'All Donations'!$T$2:$T$4001,L$1))</f>
        <v/>
      </c>
      <c r="M292" s="49">
        <f>IF(OR($AE292&lt;&gt;1,M$1=""),"",SUMIFS('All Donations'!$S$2:$S$4001,'All Donations'!$R$2:$R$4001,$AD292,'All Donations'!$T$2:$T$4001,M$1))</f>
        <v/>
      </c>
      <c r="N292" s="49">
        <f>IF(OR($AE292&lt;&gt;1,N$1=""),"",SUMIFS('All Donations'!$S$2:$S$4001,'All Donations'!$R$2:$R$4001,$AD292,'All Donations'!$T$2:$T$4001,N$1))</f>
        <v/>
      </c>
      <c r="O292" s="49">
        <f>IF(OR($AE292&lt;&gt;1,O$1=""),"",SUMIFS('All Donations'!$S$2:$S$4001,'All Donations'!$R$2:$R$4001,$AD292,'All Donations'!$T$2:$T$4001,O$1))</f>
        <v/>
      </c>
      <c r="P292" s="49">
        <f>IF(OR($AE292&lt;&gt;1,P$1=""),"",SUMIFS('All Donations'!$S$2:$S$4001,'All Donations'!$R$2:$R$4001,$AD292,'All Donations'!$T$2:$T$4001,P$1))</f>
        <v/>
      </c>
      <c r="Q292" s="49">
        <f>IF(OR($AE292&lt;&gt;1,Q$1=""),"",SUMIFS('All Donations'!$S$2:$S$4001,'All Donations'!$R$2:$R$4001,$AD292,'All Donations'!$T$2:$T$4001,Q$1))</f>
        <v/>
      </c>
      <c r="R292" s="49">
        <f>IF(OR($AE292&lt;&gt;1,R$1=""),"",SUMIFS('All Donations'!$S$2:$S$4001,'All Donations'!$R$2:$R$4001,$AD292,'All Donations'!$T$2:$T$4001,R$1))</f>
        <v/>
      </c>
      <c r="S292" s="49">
        <f>IF(OR($AE292&lt;&gt;1,S$1=""),"",SUMIFS('All Donations'!$S$2:$S$4001,'All Donations'!$R$2:$R$4001,$AD292,'All Donations'!$T$2:$T$4001,S$1))</f>
        <v/>
      </c>
      <c r="T292" s="49">
        <f>IF(OR($AE292&lt;&gt;1,T$1=""),"",SUMIFS('All Donations'!$S$2:$S$4001,'All Donations'!$R$2:$R$4001,$AD292,'All Donations'!$T$2:$T$4001,T$1))</f>
        <v/>
      </c>
      <c r="U292" s="49">
        <f>IF(OR($AE292&lt;&gt;1,U$1=""),"",SUMIFS('All Donations'!$S$2:$S$4001,'All Donations'!$R$2:$R$4001,$AD292,'All Donations'!$T$2:$T$4001,U$1))</f>
        <v/>
      </c>
      <c r="V292" s="49">
        <f>IF(OR($AE292&lt;&gt;1,V$1=""),"",SUMIFS('All Donations'!$S$2:$S$4001,'All Donations'!$R$2:$R$4001,$AD292,'All Donations'!$T$2:$T$4001,V$1))</f>
        <v/>
      </c>
      <c r="W292" s="49">
        <f>IF(OR($AE292&lt;&gt;1,W$1=""),"",SUMIFS('All Donations'!$S$2:$S$4001,'All Donations'!$R$2:$R$4001,$AD292,'All Donations'!$T$2:$T$4001,W$1))</f>
        <v/>
      </c>
      <c r="X292" s="49">
        <f>IF(OR($AE292&lt;&gt;1,X$1=""),"",SUMIFS('All Donations'!$S$2:$S$4001,'All Donations'!$R$2:$R$4001,$AD292,'All Donations'!$T$2:$T$4001,X$1))</f>
        <v/>
      </c>
      <c r="Y292" s="49">
        <f>IF(OR($AE292&lt;&gt;1,Y$1=""),"",SUMIFS('All Donations'!$S$2:$S$4001,'All Donations'!$R$2:$R$4001,$AD292,'All Donations'!$T$2:$T$4001,Y$1))</f>
        <v/>
      </c>
      <c r="Z292" s="49">
        <f>IF(OR($AE292&lt;&gt;1,Z$1=""),"",SUMIFS('All Donations'!$S$2:$S$4001,'All Donations'!$R$2:$R$4001,$AD292,'All Donations'!$T$2:$T$4001,Z$1))</f>
        <v/>
      </c>
      <c r="AA292" s="49">
        <f>IF(OR($AE292&lt;&gt;1,AA$1=""),"",SUMIFS('All Donations'!$S$2:$S$4001,'All Donations'!$R$2:$R$4001,$AD292,'All Donations'!$T$2:$T$4001,AA$1))</f>
        <v/>
      </c>
      <c r="AB292" s="49">
        <f>IF(OR($AE292&lt;&gt;1,AB$1=""),"",SUMIFS('All Donations'!$S$2:$S$4001,'All Donations'!$R$2:$R$4001,$AD292,'All Donations'!$T$2:$T$4001,AB$1))</f>
        <v/>
      </c>
      <c r="AC292" s="49">
        <f>IF(OR($AE292&lt;&gt;1,AC$1=""),"",SUMIFS('All Donations'!$S$2:$S$4001,'All Donations'!$R$2:$R$4001,$AD292,'All Donations'!$T$2:$T$4001,AC$1))</f>
        <v/>
      </c>
      <c r="AD292">
        <f>IF(AE292=1,'Roster'!A292,"")</f>
        <v/>
      </c>
      <c r="AE292">
        <f>IF(TRIM('Roster'!B292&amp;'Roster'!C292)&lt;&gt;"",1,0)</f>
        <v/>
      </c>
      <c r="AF292">
        <f>IF(AE292=1,LOWER(A292),"#")</f>
        <v/>
      </c>
      <c r="AG292">
        <f>IF(AE292=1,LOWER(TRIM(TRIM('Roster'!C292)&amp;", "&amp;TRIM('Roster'!B292))),"#")</f>
        <v/>
      </c>
      <c r="AH292">
        <f>IF(AND(AE292=1,TRIM('Roster'!F292)&lt;&gt;""),LOWER(TRIM('Roster'!F292)),"#")</f>
        <v/>
      </c>
      <c r="AI292">
        <f>IF(AE292=1,IF(MATCH(B292,$B$2:$B$701,0)=ROW()-1,1,0),0)</f>
        <v/>
      </c>
      <c r="AJ292">
        <f>AJ291+AI292</f>
        <v/>
      </c>
      <c r="AK292">
        <f>IF(AE292=1,D292+(1000-ROW())/10^7,-1)</f>
        <v/>
      </c>
      <c r="AL292">
        <f>IF(AE292=1,TRIM('Roster'!B292)&amp;" "&amp;LEFT(TRIM('Roster'!C292),1)&amp;".","")</f>
        <v/>
      </c>
      <c r="AM292">
        <f>IF(AE292=1,TRIM('Roster'!C292)&amp;", "&amp;TRIM('Roster'!B292)&amp;" ("&amp;B292&amp;") #"&amp;AD292,"")</f>
        <v/>
      </c>
      <c r="AN292">
        <f>IF(AE292=1,TRIM('Roster'!E292),"")</f>
        <v/>
      </c>
      <c r="AO292">
        <f>IF(AE292=1,ROUND(SUMIFS('All Donations'!$S$2:$S$4001,'All Donations'!$R$2:$R$4001,AD292,'All Donations'!$T$2:$T$4001,"&gt;="&amp;'Settings'!$C$23,'All Donations'!$T$2:$T$4001,"&lt;="&amp;'Settings'!$D$23),2),0)</f>
        <v/>
      </c>
      <c r="AQ292">
        <f>IF(AE292=1,ROUND(SUMIFS('All Donations'!$S$2:$S$4001,'All Donations'!$R$2:$R$4001,AD292,'All Donations'!$T$2:$T$4001,"&gt;="&amp;'Settings'!$C$25,'All Donations'!$T$2:$T$4001,"&lt;="&amp;'Settings'!$D$25),2),0)</f>
        <v/>
      </c>
      <c r="AR292">
        <f>IF(AE292=1,ROUND(SUMIFS('All Donations'!$S$2:$S$4001,'All Donations'!$R$2:$R$4001,AD292,'All Donations'!$T$2:$T$4001,"&gt;="&amp;'Settings'!$C$26,'All Donations'!$T$2:$T$4001,"&lt;="&amp;'Settings'!$D$26),2),0)</f>
        <v/>
      </c>
      <c r="AS292">
        <f>IF(AE292=1,ROUND(SUMIFS('All Donations'!$S$2:$S$4001,'All Donations'!$R$2:$R$4001,AD292,'All Donations'!$T$2:$T$4001,"&lt;="&amp;'Settings'!$D$27),2),0)</f>
        <v/>
      </c>
      <c r="AT292">
        <f>IF(AE292=1,ROUND(SUMIFS('All Donations'!$S$2:$S$4001,'All Donations'!$R$2:$R$4001,AD292,'All Donations'!$T$2:$T$4001,"&gt;="&amp;'Settings'!$C$28,'All Donations'!$T$2:$T$4001,"&lt;="&amp;'Settings'!$D$28),2),0)</f>
        <v/>
      </c>
      <c r="AU292">
        <f>IF(AE292=1,ROUND(SUMIFS('All Donations'!$S$2:$S$4001,'All Donations'!$R$2:$R$4001,AD292,'All Donations'!$T$2:$T$4001,"&gt;="&amp;'Settings'!$C$29,'All Donations'!$T$2:$T$4001,"&lt;="&amp;'Settings'!$D$29),2),0)</f>
        <v/>
      </c>
      <c r="AV292">
        <f>IF(AE292=1,ROUND(SUMIFS('All Donations'!$S$2:$S$4001,'All Donations'!$R$2:$R$4001,AD292,'All Donations'!$T$2:$T$4001,"&lt;="&amp;'Settings'!$D$30),2),0)</f>
        <v/>
      </c>
      <c r="AZ292">
        <f>IF(AE292=1,ROUND(SUMIFS('All Donations'!$S$2:$S$4001,'All Donations'!$R$2:$R$4001,AD292,'All Donations'!$T$2:$T$4001,"&lt;="&amp;'Settings'!$D$34),2),0)</f>
        <v/>
      </c>
    </row>
    <row r="293">
      <c r="A293">
        <f>IF(AE293=1,TRIM(TRIM('Roster'!B293)&amp;" "&amp;TRIM('Roster'!C293)),"")</f>
        <v/>
      </c>
      <c r="B293">
        <f>IF(AE293=1,IF(AN293="","(no teacher)",AN293&amp;" – "&amp;C293),"")</f>
        <v/>
      </c>
      <c r="C293">
        <f>IF(AE293=1,TRIM('Roster'!D293&amp;""),"")</f>
        <v/>
      </c>
      <c r="D293" s="48">
        <f>IF(AE293=1,ROUND(SUMIFS('All Donations'!$S$2:$S$4001,'All Donations'!$R$2:$R$4001,AD293),2),"")</f>
        <v/>
      </c>
      <c r="E293" s="48">
        <f>IF(AE293=1,ROUND(SUMIFS('All Donations'!$S$2:$S$4001,'All Donations'!$R$2:$R$4001,AD293,'All Donations'!$G$2:$G$4001,"OneCause"),2),"")</f>
        <v/>
      </c>
      <c r="F293" s="48">
        <f>IF(AE293=1,D293-E293,"")</f>
        <v/>
      </c>
      <c r="G293">
        <f>IF(AE293=1,COUNTIFS('All Donations'!$R$2:$R$4001,AD293,'All Donations'!$H$2:$H$4001,"OK"),"")</f>
        <v/>
      </c>
      <c r="H293">
        <f>IF(AE293&lt;&gt;1,"",IF(D293&gt;0,"Yes",""))</f>
        <v/>
      </c>
      <c r="I293" s="49">
        <f>IF(OR($AE293&lt;&gt;1,I$1=""),"",SUMIFS('All Donations'!$S$2:$S$4001,'All Donations'!$R$2:$R$4001,$AD293,'All Donations'!$T$2:$T$4001,I$1))</f>
        <v/>
      </c>
      <c r="J293" s="49">
        <f>IF(OR($AE293&lt;&gt;1,J$1=""),"",SUMIFS('All Donations'!$S$2:$S$4001,'All Donations'!$R$2:$R$4001,$AD293,'All Donations'!$T$2:$T$4001,J$1))</f>
        <v/>
      </c>
      <c r="K293" s="49">
        <f>IF(OR($AE293&lt;&gt;1,K$1=""),"",SUMIFS('All Donations'!$S$2:$S$4001,'All Donations'!$R$2:$R$4001,$AD293,'All Donations'!$T$2:$T$4001,K$1))</f>
        <v/>
      </c>
      <c r="L293" s="49">
        <f>IF(OR($AE293&lt;&gt;1,L$1=""),"",SUMIFS('All Donations'!$S$2:$S$4001,'All Donations'!$R$2:$R$4001,$AD293,'All Donations'!$T$2:$T$4001,L$1))</f>
        <v/>
      </c>
      <c r="M293" s="49">
        <f>IF(OR($AE293&lt;&gt;1,M$1=""),"",SUMIFS('All Donations'!$S$2:$S$4001,'All Donations'!$R$2:$R$4001,$AD293,'All Donations'!$T$2:$T$4001,M$1))</f>
        <v/>
      </c>
      <c r="N293" s="49">
        <f>IF(OR($AE293&lt;&gt;1,N$1=""),"",SUMIFS('All Donations'!$S$2:$S$4001,'All Donations'!$R$2:$R$4001,$AD293,'All Donations'!$T$2:$T$4001,N$1))</f>
        <v/>
      </c>
      <c r="O293" s="49">
        <f>IF(OR($AE293&lt;&gt;1,O$1=""),"",SUMIFS('All Donations'!$S$2:$S$4001,'All Donations'!$R$2:$R$4001,$AD293,'All Donations'!$T$2:$T$4001,O$1))</f>
        <v/>
      </c>
      <c r="P293" s="49">
        <f>IF(OR($AE293&lt;&gt;1,P$1=""),"",SUMIFS('All Donations'!$S$2:$S$4001,'All Donations'!$R$2:$R$4001,$AD293,'All Donations'!$T$2:$T$4001,P$1))</f>
        <v/>
      </c>
      <c r="Q293" s="49">
        <f>IF(OR($AE293&lt;&gt;1,Q$1=""),"",SUMIFS('All Donations'!$S$2:$S$4001,'All Donations'!$R$2:$R$4001,$AD293,'All Donations'!$T$2:$T$4001,Q$1))</f>
        <v/>
      </c>
      <c r="R293" s="49">
        <f>IF(OR($AE293&lt;&gt;1,R$1=""),"",SUMIFS('All Donations'!$S$2:$S$4001,'All Donations'!$R$2:$R$4001,$AD293,'All Donations'!$T$2:$T$4001,R$1))</f>
        <v/>
      </c>
      <c r="S293" s="49">
        <f>IF(OR($AE293&lt;&gt;1,S$1=""),"",SUMIFS('All Donations'!$S$2:$S$4001,'All Donations'!$R$2:$R$4001,$AD293,'All Donations'!$T$2:$T$4001,S$1))</f>
        <v/>
      </c>
      <c r="T293" s="49">
        <f>IF(OR($AE293&lt;&gt;1,T$1=""),"",SUMIFS('All Donations'!$S$2:$S$4001,'All Donations'!$R$2:$R$4001,$AD293,'All Donations'!$T$2:$T$4001,T$1))</f>
        <v/>
      </c>
      <c r="U293" s="49">
        <f>IF(OR($AE293&lt;&gt;1,U$1=""),"",SUMIFS('All Donations'!$S$2:$S$4001,'All Donations'!$R$2:$R$4001,$AD293,'All Donations'!$T$2:$T$4001,U$1))</f>
        <v/>
      </c>
      <c r="V293" s="49">
        <f>IF(OR($AE293&lt;&gt;1,V$1=""),"",SUMIFS('All Donations'!$S$2:$S$4001,'All Donations'!$R$2:$R$4001,$AD293,'All Donations'!$T$2:$T$4001,V$1))</f>
        <v/>
      </c>
      <c r="W293" s="49">
        <f>IF(OR($AE293&lt;&gt;1,W$1=""),"",SUMIFS('All Donations'!$S$2:$S$4001,'All Donations'!$R$2:$R$4001,$AD293,'All Donations'!$T$2:$T$4001,W$1))</f>
        <v/>
      </c>
      <c r="X293" s="49">
        <f>IF(OR($AE293&lt;&gt;1,X$1=""),"",SUMIFS('All Donations'!$S$2:$S$4001,'All Donations'!$R$2:$R$4001,$AD293,'All Donations'!$T$2:$T$4001,X$1))</f>
        <v/>
      </c>
      <c r="Y293" s="49">
        <f>IF(OR($AE293&lt;&gt;1,Y$1=""),"",SUMIFS('All Donations'!$S$2:$S$4001,'All Donations'!$R$2:$R$4001,$AD293,'All Donations'!$T$2:$T$4001,Y$1))</f>
        <v/>
      </c>
      <c r="Z293" s="49">
        <f>IF(OR($AE293&lt;&gt;1,Z$1=""),"",SUMIFS('All Donations'!$S$2:$S$4001,'All Donations'!$R$2:$R$4001,$AD293,'All Donations'!$T$2:$T$4001,Z$1))</f>
        <v/>
      </c>
      <c r="AA293" s="49">
        <f>IF(OR($AE293&lt;&gt;1,AA$1=""),"",SUMIFS('All Donations'!$S$2:$S$4001,'All Donations'!$R$2:$R$4001,$AD293,'All Donations'!$T$2:$T$4001,AA$1))</f>
        <v/>
      </c>
      <c r="AB293" s="49">
        <f>IF(OR($AE293&lt;&gt;1,AB$1=""),"",SUMIFS('All Donations'!$S$2:$S$4001,'All Donations'!$R$2:$R$4001,$AD293,'All Donations'!$T$2:$T$4001,AB$1))</f>
        <v/>
      </c>
      <c r="AC293" s="49">
        <f>IF(OR($AE293&lt;&gt;1,AC$1=""),"",SUMIFS('All Donations'!$S$2:$S$4001,'All Donations'!$R$2:$R$4001,$AD293,'All Donations'!$T$2:$T$4001,AC$1))</f>
        <v/>
      </c>
      <c r="AD293">
        <f>IF(AE293=1,'Roster'!A293,"")</f>
        <v/>
      </c>
      <c r="AE293">
        <f>IF(TRIM('Roster'!B293&amp;'Roster'!C293)&lt;&gt;"",1,0)</f>
        <v/>
      </c>
      <c r="AF293">
        <f>IF(AE293=1,LOWER(A293),"#")</f>
        <v/>
      </c>
      <c r="AG293">
        <f>IF(AE293=1,LOWER(TRIM(TRIM('Roster'!C293)&amp;", "&amp;TRIM('Roster'!B293))),"#")</f>
        <v/>
      </c>
      <c r="AH293">
        <f>IF(AND(AE293=1,TRIM('Roster'!F293)&lt;&gt;""),LOWER(TRIM('Roster'!F293)),"#")</f>
        <v/>
      </c>
      <c r="AI293">
        <f>IF(AE293=1,IF(MATCH(B293,$B$2:$B$701,0)=ROW()-1,1,0),0)</f>
        <v/>
      </c>
      <c r="AJ293">
        <f>AJ292+AI293</f>
        <v/>
      </c>
      <c r="AK293">
        <f>IF(AE293=1,D293+(1000-ROW())/10^7,-1)</f>
        <v/>
      </c>
      <c r="AL293">
        <f>IF(AE293=1,TRIM('Roster'!B293)&amp;" "&amp;LEFT(TRIM('Roster'!C293),1)&amp;".","")</f>
        <v/>
      </c>
      <c r="AM293">
        <f>IF(AE293=1,TRIM('Roster'!C293)&amp;", "&amp;TRIM('Roster'!B293)&amp;" ("&amp;B293&amp;") #"&amp;AD293,"")</f>
        <v/>
      </c>
      <c r="AN293">
        <f>IF(AE293=1,TRIM('Roster'!E293),"")</f>
        <v/>
      </c>
      <c r="AO293">
        <f>IF(AE293=1,ROUND(SUMIFS('All Donations'!$S$2:$S$4001,'All Donations'!$R$2:$R$4001,AD293,'All Donations'!$T$2:$T$4001,"&gt;="&amp;'Settings'!$C$23,'All Donations'!$T$2:$T$4001,"&lt;="&amp;'Settings'!$D$23),2),0)</f>
        <v/>
      </c>
      <c r="AQ293">
        <f>IF(AE293=1,ROUND(SUMIFS('All Donations'!$S$2:$S$4001,'All Donations'!$R$2:$R$4001,AD293,'All Donations'!$T$2:$T$4001,"&gt;="&amp;'Settings'!$C$25,'All Donations'!$T$2:$T$4001,"&lt;="&amp;'Settings'!$D$25),2),0)</f>
        <v/>
      </c>
      <c r="AR293">
        <f>IF(AE293=1,ROUND(SUMIFS('All Donations'!$S$2:$S$4001,'All Donations'!$R$2:$R$4001,AD293,'All Donations'!$T$2:$T$4001,"&gt;="&amp;'Settings'!$C$26,'All Donations'!$T$2:$T$4001,"&lt;="&amp;'Settings'!$D$26),2),0)</f>
        <v/>
      </c>
      <c r="AS293">
        <f>IF(AE293=1,ROUND(SUMIFS('All Donations'!$S$2:$S$4001,'All Donations'!$R$2:$R$4001,AD293,'All Donations'!$T$2:$T$4001,"&lt;="&amp;'Settings'!$D$27),2),0)</f>
        <v/>
      </c>
      <c r="AT293">
        <f>IF(AE293=1,ROUND(SUMIFS('All Donations'!$S$2:$S$4001,'All Donations'!$R$2:$R$4001,AD293,'All Donations'!$T$2:$T$4001,"&gt;="&amp;'Settings'!$C$28,'All Donations'!$T$2:$T$4001,"&lt;="&amp;'Settings'!$D$28),2),0)</f>
        <v/>
      </c>
      <c r="AU293">
        <f>IF(AE293=1,ROUND(SUMIFS('All Donations'!$S$2:$S$4001,'All Donations'!$R$2:$R$4001,AD293,'All Donations'!$T$2:$T$4001,"&gt;="&amp;'Settings'!$C$29,'All Donations'!$T$2:$T$4001,"&lt;="&amp;'Settings'!$D$29),2),0)</f>
        <v/>
      </c>
      <c r="AV293">
        <f>IF(AE293=1,ROUND(SUMIFS('All Donations'!$S$2:$S$4001,'All Donations'!$R$2:$R$4001,AD293,'All Donations'!$T$2:$T$4001,"&lt;="&amp;'Settings'!$D$30),2),0)</f>
        <v/>
      </c>
      <c r="AZ293">
        <f>IF(AE293=1,ROUND(SUMIFS('All Donations'!$S$2:$S$4001,'All Donations'!$R$2:$R$4001,AD293,'All Donations'!$T$2:$T$4001,"&lt;="&amp;'Settings'!$D$34),2),0)</f>
        <v/>
      </c>
    </row>
    <row r="294">
      <c r="A294">
        <f>IF(AE294=1,TRIM(TRIM('Roster'!B294)&amp;" "&amp;TRIM('Roster'!C294)),"")</f>
        <v/>
      </c>
      <c r="B294">
        <f>IF(AE294=1,IF(AN294="","(no teacher)",AN294&amp;" – "&amp;C294),"")</f>
        <v/>
      </c>
      <c r="C294">
        <f>IF(AE294=1,TRIM('Roster'!D294&amp;""),"")</f>
        <v/>
      </c>
      <c r="D294" s="48">
        <f>IF(AE294=1,ROUND(SUMIFS('All Donations'!$S$2:$S$4001,'All Donations'!$R$2:$R$4001,AD294),2),"")</f>
        <v/>
      </c>
      <c r="E294" s="48">
        <f>IF(AE294=1,ROUND(SUMIFS('All Donations'!$S$2:$S$4001,'All Donations'!$R$2:$R$4001,AD294,'All Donations'!$G$2:$G$4001,"OneCause"),2),"")</f>
        <v/>
      </c>
      <c r="F294" s="48">
        <f>IF(AE294=1,D294-E294,"")</f>
        <v/>
      </c>
      <c r="G294">
        <f>IF(AE294=1,COUNTIFS('All Donations'!$R$2:$R$4001,AD294,'All Donations'!$H$2:$H$4001,"OK"),"")</f>
        <v/>
      </c>
      <c r="H294">
        <f>IF(AE294&lt;&gt;1,"",IF(D294&gt;0,"Yes",""))</f>
        <v/>
      </c>
      <c r="I294" s="49">
        <f>IF(OR($AE294&lt;&gt;1,I$1=""),"",SUMIFS('All Donations'!$S$2:$S$4001,'All Donations'!$R$2:$R$4001,$AD294,'All Donations'!$T$2:$T$4001,I$1))</f>
        <v/>
      </c>
      <c r="J294" s="49">
        <f>IF(OR($AE294&lt;&gt;1,J$1=""),"",SUMIFS('All Donations'!$S$2:$S$4001,'All Donations'!$R$2:$R$4001,$AD294,'All Donations'!$T$2:$T$4001,J$1))</f>
        <v/>
      </c>
      <c r="K294" s="49">
        <f>IF(OR($AE294&lt;&gt;1,K$1=""),"",SUMIFS('All Donations'!$S$2:$S$4001,'All Donations'!$R$2:$R$4001,$AD294,'All Donations'!$T$2:$T$4001,K$1))</f>
        <v/>
      </c>
      <c r="L294" s="49">
        <f>IF(OR($AE294&lt;&gt;1,L$1=""),"",SUMIFS('All Donations'!$S$2:$S$4001,'All Donations'!$R$2:$R$4001,$AD294,'All Donations'!$T$2:$T$4001,L$1))</f>
        <v/>
      </c>
      <c r="M294" s="49">
        <f>IF(OR($AE294&lt;&gt;1,M$1=""),"",SUMIFS('All Donations'!$S$2:$S$4001,'All Donations'!$R$2:$R$4001,$AD294,'All Donations'!$T$2:$T$4001,M$1))</f>
        <v/>
      </c>
      <c r="N294" s="49">
        <f>IF(OR($AE294&lt;&gt;1,N$1=""),"",SUMIFS('All Donations'!$S$2:$S$4001,'All Donations'!$R$2:$R$4001,$AD294,'All Donations'!$T$2:$T$4001,N$1))</f>
        <v/>
      </c>
      <c r="O294" s="49">
        <f>IF(OR($AE294&lt;&gt;1,O$1=""),"",SUMIFS('All Donations'!$S$2:$S$4001,'All Donations'!$R$2:$R$4001,$AD294,'All Donations'!$T$2:$T$4001,O$1))</f>
        <v/>
      </c>
      <c r="P294" s="49">
        <f>IF(OR($AE294&lt;&gt;1,P$1=""),"",SUMIFS('All Donations'!$S$2:$S$4001,'All Donations'!$R$2:$R$4001,$AD294,'All Donations'!$T$2:$T$4001,P$1))</f>
        <v/>
      </c>
      <c r="Q294" s="49">
        <f>IF(OR($AE294&lt;&gt;1,Q$1=""),"",SUMIFS('All Donations'!$S$2:$S$4001,'All Donations'!$R$2:$R$4001,$AD294,'All Donations'!$T$2:$T$4001,Q$1))</f>
        <v/>
      </c>
      <c r="R294" s="49">
        <f>IF(OR($AE294&lt;&gt;1,R$1=""),"",SUMIFS('All Donations'!$S$2:$S$4001,'All Donations'!$R$2:$R$4001,$AD294,'All Donations'!$T$2:$T$4001,R$1))</f>
        <v/>
      </c>
      <c r="S294" s="49">
        <f>IF(OR($AE294&lt;&gt;1,S$1=""),"",SUMIFS('All Donations'!$S$2:$S$4001,'All Donations'!$R$2:$R$4001,$AD294,'All Donations'!$T$2:$T$4001,S$1))</f>
        <v/>
      </c>
      <c r="T294" s="49">
        <f>IF(OR($AE294&lt;&gt;1,T$1=""),"",SUMIFS('All Donations'!$S$2:$S$4001,'All Donations'!$R$2:$R$4001,$AD294,'All Donations'!$T$2:$T$4001,T$1))</f>
        <v/>
      </c>
      <c r="U294" s="49">
        <f>IF(OR($AE294&lt;&gt;1,U$1=""),"",SUMIFS('All Donations'!$S$2:$S$4001,'All Donations'!$R$2:$R$4001,$AD294,'All Donations'!$T$2:$T$4001,U$1))</f>
        <v/>
      </c>
      <c r="V294" s="49">
        <f>IF(OR($AE294&lt;&gt;1,V$1=""),"",SUMIFS('All Donations'!$S$2:$S$4001,'All Donations'!$R$2:$R$4001,$AD294,'All Donations'!$T$2:$T$4001,V$1))</f>
        <v/>
      </c>
      <c r="W294" s="49">
        <f>IF(OR($AE294&lt;&gt;1,W$1=""),"",SUMIFS('All Donations'!$S$2:$S$4001,'All Donations'!$R$2:$R$4001,$AD294,'All Donations'!$T$2:$T$4001,W$1))</f>
        <v/>
      </c>
      <c r="X294" s="49">
        <f>IF(OR($AE294&lt;&gt;1,X$1=""),"",SUMIFS('All Donations'!$S$2:$S$4001,'All Donations'!$R$2:$R$4001,$AD294,'All Donations'!$T$2:$T$4001,X$1))</f>
        <v/>
      </c>
      <c r="Y294" s="49">
        <f>IF(OR($AE294&lt;&gt;1,Y$1=""),"",SUMIFS('All Donations'!$S$2:$S$4001,'All Donations'!$R$2:$R$4001,$AD294,'All Donations'!$T$2:$T$4001,Y$1))</f>
        <v/>
      </c>
      <c r="Z294" s="49">
        <f>IF(OR($AE294&lt;&gt;1,Z$1=""),"",SUMIFS('All Donations'!$S$2:$S$4001,'All Donations'!$R$2:$R$4001,$AD294,'All Donations'!$T$2:$T$4001,Z$1))</f>
        <v/>
      </c>
      <c r="AA294" s="49">
        <f>IF(OR($AE294&lt;&gt;1,AA$1=""),"",SUMIFS('All Donations'!$S$2:$S$4001,'All Donations'!$R$2:$R$4001,$AD294,'All Donations'!$T$2:$T$4001,AA$1))</f>
        <v/>
      </c>
      <c r="AB294" s="49">
        <f>IF(OR($AE294&lt;&gt;1,AB$1=""),"",SUMIFS('All Donations'!$S$2:$S$4001,'All Donations'!$R$2:$R$4001,$AD294,'All Donations'!$T$2:$T$4001,AB$1))</f>
        <v/>
      </c>
      <c r="AC294" s="49">
        <f>IF(OR($AE294&lt;&gt;1,AC$1=""),"",SUMIFS('All Donations'!$S$2:$S$4001,'All Donations'!$R$2:$R$4001,$AD294,'All Donations'!$T$2:$T$4001,AC$1))</f>
        <v/>
      </c>
      <c r="AD294">
        <f>IF(AE294=1,'Roster'!A294,"")</f>
        <v/>
      </c>
      <c r="AE294">
        <f>IF(TRIM('Roster'!B294&amp;'Roster'!C294)&lt;&gt;"",1,0)</f>
        <v/>
      </c>
      <c r="AF294">
        <f>IF(AE294=1,LOWER(A294),"#")</f>
        <v/>
      </c>
      <c r="AG294">
        <f>IF(AE294=1,LOWER(TRIM(TRIM('Roster'!C294)&amp;", "&amp;TRIM('Roster'!B294))),"#")</f>
        <v/>
      </c>
      <c r="AH294">
        <f>IF(AND(AE294=1,TRIM('Roster'!F294)&lt;&gt;""),LOWER(TRIM('Roster'!F294)),"#")</f>
        <v/>
      </c>
      <c r="AI294">
        <f>IF(AE294=1,IF(MATCH(B294,$B$2:$B$701,0)=ROW()-1,1,0),0)</f>
        <v/>
      </c>
      <c r="AJ294">
        <f>AJ293+AI294</f>
        <v/>
      </c>
      <c r="AK294">
        <f>IF(AE294=1,D294+(1000-ROW())/10^7,-1)</f>
        <v/>
      </c>
      <c r="AL294">
        <f>IF(AE294=1,TRIM('Roster'!B294)&amp;" "&amp;LEFT(TRIM('Roster'!C294),1)&amp;".","")</f>
        <v/>
      </c>
      <c r="AM294">
        <f>IF(AE294=1,TRIM('Roster'!C294)&amp;", "&amp;TRIM('Roster'!B294)&amp;" ("&amp;B294&amp;") #"&amp;AD294,"")</f>
        <v/>
      </c>
      <c r="AN294">
        <f>IF(AE294=1,TRIM('Roster'!E294),"")</f>
        <v/>
      </c>
      <c r="AO294">
        <f>IF(AE294=1,ROUND(SUMIFS('All Donations'!$S$2:$S$4001,'All Donations'!$R$2:$R$4001,AD294,'All Donations'!$T$2:$T$4001,"&gt;="&amp;'Settings'!$C$23,'All Donations'!$T$2:$T$4001,"&lt;="&amp;'Settings'!$D$23),2),0)</f>
        <v/>
      </c>
      <c r="AQ294">
        <f>IF(AE294=1,ROUND(SUMIFS('All Donations'!$S$2:$S$4001,'All Donations'!$R$2:$R$4001,AD294,'All Donations'!$T$2:$T$4001,"&gt;="&amp;'Settings'!$C$25,'All Donations'!$T$2:$T$4001,"&lt;="&amp;'Settings'!$D$25),2),0)</f>
        <v/>
      </c>
      <c r="AR294">
        <f>IF(AE294=1,ROUND(SUMIFS('All Donations'!$S$2:$S$4001,'All Donations'!$R$2:$R$4001,AD294,'All Donations'!$T$2:$T$4001,"&gt;="&amp;'Settings'!$C$26,'All Donations'!$T$2:$T$4001,"&lt;="&amp;'Settings'!$D$26),2),0)</f>
        <v/>
      </c>
      <c r="AS294">
        <f>IF(AE294=1,ROUND(SUMIFS('All Donations'!$S$2:$S$4001,'All Donations'!$R$2:$R$4001,AD294,'All Donations'!$T$2:$T$4001,"&lt;="&amp;'Settings'!$D$27),2),0)</f>
        <v/>
      </c>
      <c r="AT294">
        <f>IF(AE294=1,ROUND(SUMIFS('All Donations'!$S$2:$S$4001,'All Donations'!$R$2:$R$4001,AD294,'All Donations'!$T$2:$T$4001,"&gt;="&amp;'Settings'!$C$28,'All Donations'!$T$2:$T$4001,"&lt;="&amp;'Settings'!$D$28),2),0)</f>
        <v/>
      </c>
      <c r="AU294">
        <f>IF(AE294=1,ROUND(SUMIFS('All Donations'!$S$2:$S$4001,'All Donations'!$R$2:$R$4001,AD294,'All Donations'!$T$2:$T$4001,"&gt;="&amp;'Settings'!$C$29,'All Donations'!$T$2:$T$4001,"&lt;="&amp;'Settings'!$D$29),2),0)</f>
        <v/>
      </c>
      <c r="AV294">
        <f>IF(AE294=1,ROUND(SUMIFS('All Donations'!$S$2:$S$4001,'All Donations'!$R$2:$R$4001,AD294,'All Donations'!$T$2:$T$4001,"&lt;="&amp;'Settings'!$D$30),2),0)</f>
        <v/>
      </c>
      <c r="AZ294">
        <f>IF(AE294=1,ROUND(SUMIFS('All Donations'!$S$2:$S$4001,'All Donations'!$R$2:$R$4001,AD294,'All Donations'!$T$2:$T$4001,"&lt;="&amp;'Settings'!$D$34),2),0)</f>
        <v/>
      </c>
    </row>
    <row r="295">
      <c r="A295">
        <f>IF(AE295=1,TRIM(TRIM('Roster'!B295)&amp;" "&amp;TRIM('Roster'!C295)),"")</f>
        <v/>
      </c>
      <c r="B295">
        <f>IF(AE295=1,IF(AN295="","(no teacher)",AN295&amp;" – "&amp;C295),"")</f>
        <v/>
      </c>
      <c r="C295">
        <f>IF(AE295=1,TRIM('Roster'!D295&amp;""),"")</f>
        <v/>
      </c>
      <c r="D295" s="48">
        <f>IF(AE295=1,ROUND(SUMIFS('All Donations'!$S$2:$S$4001,'All Donations'!$R$2:$R$4001,AD295),2),"")</f>
        <v/>
      </c>
      <c r="E295" s="48">
        <f>IF(AE295=1,ROUND(SUMIFS('All Donations'!$S$2:$S$4001,'All Donations'!$R$2:$R$4001,AD295,'All Donations'!$G$2:$G$4001,"OneCause"),2),"")</f>
        <v/>
      </c>
      <c r="F295" s="48">
        <f>IF(AE295=1,D295-E295,"")</f>
        <v/>
      </c>
      <c r="G295">
        <f>IF(AE295=1,COUNTIFS('All Donations'!$R$2:$R$4001,AD295,'All Donations'!$H$2:$H$4001,"OK"),"")</f>
        <v/>
      </c>
      <c r="H295">
        <f>IF(AE295&lt;&gt;1,"",IF(D295&gt;0,"Yes",""))</f>
        <v/>
      </c>
      <c r="I295" s="49">
        <f>IF(OR($AE295&lt;&gt;1,I$1=""),"",SUMIFS('All Donations'!$S$2:$S$4001,'All Donations'!$R$2:$R$4001,$AD295,'All Donations'!$T$2:$T$4001,I$1))</f>
        <v/>
      </c>
      <c r="J295" s="49">
        <f>IF(OR($AE295&lt;&gt;1,J$1=""),"",SUMIFS('All Donations'!$S$2:$S$4001,'All Donations'!$R$2:$R$4001,$AD295,'All Donations'!$T$2:$T$4001,J$1))</f>
        <v/>
      </c>
      <c r="K295" s="49">
        <f>IF(OR($AE295&lt;&gt;1,K$1=""),"",SUMIFS('All Donations'!$S$2:$S$4001,'All Donations'!$R$2:$R$4001,$AD295,'All Donations'!$T$2:$T$4001,K$1))</f>
        <v/>
      </c>
      <c r="L295" s="49">
        <f>IF(OR($AE295&lt;&gt;1,L$1=""),"",SUMIFS('All Donations'!$S$2:$S$4001,'All Donations'!$R$2:$R$4001,$AD295,'All Donations'!$T$2:$T$4001,L$1))</f>
        <v/>
      </c>
      <c r="M295" s="49">
        <f>IF(OR($AE295&lt;&gt;1,M$1=""),"",SUMIFS('All Donations'!$S$2:$S$4001,'All Donations'!$R$2:$R$4001,$AD295,'All Donations'!$T$2:$T$4001,M$1))</f>
        <v/>
      </c>
      <c r="N295" s="49">
        <f>IF(OR($AE295&lt;&gt;1,N$1=""),"",SUMIFS('All Donations'!$S$2:$S$4001,'All Donations'!$R$2:$R$4001,$AD295,'All Donations'!$T$2:$T$4001,N$1))</f>
        <v/>
      </c>
      <c r="O295" s="49">
        <f>IF(OR($AE295&lt;&gt;1,O$1=""),"",SUMIFS('All Donations'!$S$2:$S$4001,'All Donations'!$R$2:$R$4001,$AD295,'All Donations'!$T$2:$T$4001,O$1))</f>
        <v/>
      </c>
      <c r="P295" s="49">
        <f>IF(OR($AE295&lt;&gt;1,P$1=""),"",SUMIFS('All Donations'!$S$2:$S$4001,'All Donations'!$R$2:$R$4001,$AD295,'All Donations'!$T$2:$T$4001,P$1))</f>
        <v/>
      </c>
      <c r="Q295" s="49">
        <f>IF(OR($AE295&lt;&gt;1,Q$1=""),"",SUMIFS('All Donations'!$S$2:$S$4001,'All Donations'!$R$2:$R$4001,$AD295,'All Donations'!$T$2:$T$4001,Q$1))</f>
        <v/>
      </c>
      <c r="R295" s="49">
        <f>IF(OR($AE295&lt;&gt;1,R$1=""),"",SUMIFS('All Donations'!$S$2:$S$4001,'All Donations'!$R$2:$R$4001,$AD295,'All Donations'!$T$2:$T$4001,R$1))</f>
        <v/>
      </c>
      <c r="S295" s="49">
        <f>IF(OR($AE295&lt;&gt;1,S$1=""),"",SUMIFS('All Donations'!$S$2:$S$4001,'All Donations'!$R$2:$R$4001,$AD295,'All Donations'!$T$2:$T$4001,S$1))</f>
        <v/>
      </c>
      <c r="T295" s="49">
        <f>IF(OR($AE295&lt;&gt;1,T$1=""),"",SUMIFS('All Donations'!$S$2:$S$4001,'All Donations'!$R$2:$R$4001,$AD295,'All Donations'!$T$2:$T$4001,T$1))</f>
        <v/>
      </c>
      <c r="U295" s="49">
        <f>IF(OR($AE295&lt;&gt;1,U$1=""),"",SUMIFS('All Donations'!$S$2:$S$4001,'All Donations'!$R$2:$R$4001,$AD295,'All Donations'!$T$2:$T$4001,U$1))</f>
        <v/>
      </c>
      <c r="V295" s="49">
        <f>IF(OR($AE295&lt;&gt;1,V$1=""),"",SUMIFS('All Donations'!$S$2:$S$4001,'All Donations'!$R$2:$R$4001,$AD295,'All Donations'!$T$2:$T$4001,V$1))</f>
        <v/>
      </c>
      <c r="W295" s="49">
        <f>IF(OR($AE295&lt;&gt;1,W$1=""),"",SUMIFS('All Donations'!$S$2:$S$4001,'All Donations'!$R$2:$R$4001,$AD295,'All Donations'!$T$2:$T$4001,W$1))</f>
        <v/>
      </c>
      <c r="X295" s="49">
        <f>IF(OR($AE295&lt;&gt;1,X$1=""),"",SUMIFS('All Donations'!$S$2:$S$4001,'All Donations'!$R$2:$R$4001,$AD295,'All Donations'!$T$2:$T$4001,X$1))</f>
        <v/>
      </c>
      <c r="Y295" s="49">
        <f>IF(OR($AE295&lt;&gt;1,Y$1=""),"",SUMIFS('All Donations'!$S$2:$S$4001,'All Donations'!$R$2:$R$4001,$AD295,'All Donations'!$T$2:$T$4001,Y$1))</f>
        <v/>
      </c>
      <c r="Z295" s="49">
        <f>IF(OR($AE295&lt;&gt;1,Z$1=""),"",SUMIFS('All Donations'!$S$2:$S$4001,'All Donations'!$R$2:$R$4001,$AD295,'All Donations'!$T$2:$T$4001,Z$1))</f>
        <v/>
      </c>
      <c r="AA295" s="49">
        <f>IF(OR($AE295&lt;&gt;1,AA$1=""),"",SUMIFS('All Donations'!$S$2:$S$4001,'All Donations'!$R$2:$R$4001,$AD295,'All Donations'!$T$2:$T$4001,AA$1))</f>
        <v/>
      </c>
      <c r="AB295" s="49">
        <f>IF(OR($AE295&lt;&gt;1,AB$1=""),"",SUMIFS('All Donations'!$S$2:$S$4001,'All Donations'!$R$2:$R$4001,$AD295,'All Donations'!$T$2:$T$4001,AB$1))</f>
        <v/>
      </c>
      <c r="AC295" s="49">
        <f>IF(OR($AE295&lt;&gt;1,AC$1=""),"",SUMIFS('All Donations'!$S$2:$S$4001,'All Donations'!$R$2:$R$4001,$AD295,'All Donations'!$T$2:$T$4001,AC$1))</f>
        <v/>
      </c>
      <c r="AD295">
        <f>IF(AE295=1,'Roster'!A295,"")</f>
        <v/>
      </c>
      <c r="AE295">
        <f>IF(TRIM('Roster'!B295&amp;'Roster'!C295)&lt;&gt;"",1,0)</f>
        <v/>
      </c>
      <c r="AF295">
        <f>IF(AE295=1,LOWER(A295),"#")</f>
        <v/>
      </c>
      <c r="AG295">
        <f>IF(AE295=1,LOWER(TRIM(TRIM('Roster'!C295)&amp;", "&amp;TRIM('Roster'!B295))),"#")</f>
        <v/>
      </c>
      <c r="AH295">
        <f>IF(AND(AE295=1,TRIM('Roster'!F295)&lt;&gt;""),LOWER(TRIM('Roster'!F295)),"#")</f>
        <v/>
      </c>
      <c r="AI295">
        <f>IF(AE295=1,IF(MATCH(B295,$B$2:$B$701,0)=ROW()-1,1,0),0)</f>
        <v/>
      </c>
      <c r="AJ295">
        <f>AJ294+AI295</f>
        <v/>
      </c>
      <c r="AK295">
        <f>IF(AE295=1,D295+(1000-ROW())/10^7,-1)</f>
        <v/>
      </c>
      <c r="AL295">
        <f>IF(AE295=1,TRIM('Roster'!B295)&amp;" "&amp;LEFT(TRIM('Roster'!C295),1)&amp;".","")</f>
        <v/>
      </c>
      <c r="AM295">
        <f>IF(AE295=1,TRIM('Roster'!C295)&amp;", "&amp;TRIM('Roster'!B295)&amp;" ("&amp;B295&amp;") #"&amp;AD295,"")</f>
        <v/>
      </c>
      <c r="AN295">
        <f>IF(AE295=1,TRIM('Roster'!E295),"")</f>
        <v/>
      </c>
      <c r="AO295">
        <f>IF(AE295=1,ROUND(SUMIFS('All Donations'!$S$2:$S$4001,'All Donations'!$R$2:$R$4001,AD295,'All Donations'!$T$2:$T$4001,"&gt;="&amp;'Settings'!$C$23,'All Donations'!$T$2:$T$4001,"&lt;="&amp;'Settings'!$D$23),2),0)</f>
        <v/>
      </c>
      <c r="AQ295">
        <f>IF(AE295=1,ROUND(SUMIFS('All Donations'!$S$2:$S$4001,'All Donations'!$R$2:$R$4001,AD295,'All Donations'!$T$2:$T$4001,"&gt;="&amp;'Settings'!$C$25,'All Donations'!$T$2:$T$4001,"&lt;="&amp;'Settings'!$D$25),2),0)</f>
        <v/>
      </c>
      <c r="AR295">
        <f>IF(AE295=1,ROUND(SUMIFS('All Donations'!$S$2:$S$4001,'All Donations'!$R$2:$R$4001,AD295,'All Donations'!$T$2:$T$4001,"&gt;="&amp;'Settings'!$C$26,'All Donations'!$T$2:$T$4001,"&lt;="&amp;'Settings'!$D$26),2),0)</f>
        <v/>
      </c>
      <c r="AS295">
        <f>IF(AE295=1,ROUND(SUMIFS('All Donations'!$S$2:$S$4001,'All Donations'!$R$2:$R$4001,AD295,'All Donations'!$T$2:$T$4001,"&lt;="&amp;'Settings'!$D$27),2),0)</f>
        <v/>
      </c>
      <c r="AT295">
        <f>IF(AE295=1,ROUND(SUMIFS('All Donations'!$S$2:$S$4001,'All Donations'!$R$2:$R$4001,AD295,'All Donations'!$T$2:$T$4001,"&gt;="&amp;'Settings'!$C$28,'All Donations'!$T$2:$T$4001,"&lt;="&amp;'Settings'!$D$28),2),0)</f>
        <v/>
      </c>
      <c r="AU295">
        <f>IF(AE295=1,ROUND(SUMIFS('All Donations'!$S$2:$S$4001,'All Donations'!$R$2:$R$4001,AD295,'All Donations'!$T$2:$T$4001,"&gt;="&amp;'Settings'!$C$29,'All Donations'!$T$2:$T$4001,"&lt;="&amp;'Settings'!$D$29),2),0)</f>
        <v/>
      </c>
      <c r="AV295">
        <f>IF(AE295=1,ROUND(SUMIFS('All Donations'!$S$2:$S$4001,'All Donations'!$R$2:$R$4001,AD295,'All Donations'!$T$2:$T$4001,"&lt;="&amp;'Settings'!$D$30),2),0)</f>
        <v/>
      </c>
      <c r="AZ295">
        <f>IF(AE295=1,ROUND(SUMIFS('All Donations'!$S$2:$S$4001,'All Donations'!$R$2:$R$4001,AD295,'All Donations'!$T$2:$T$4001,"&lt;="&amp;'Settings'!$D$34),2),0)</f>
        <v/>
      </c>
    </row>
    <row r="296">
      <c r="A296">
        <f>IF(AE296=1,TRIM(TRIM('Roster'!B296)&amp;" "&amp;TRIM('Roster'!C296)),"")</f>
        <v/>
      </c>
      <c r="B296">
        <f>IF(AE296=1,IF(AN296="","(no teacher)",AN296&amp;" – "&amp;C296),"")</f>
        <v/>
      </c>
      <c r="C296">
        <f>IF(AE296=1,TRIM('Roster'!D296&amp;""),"")</f>
        <v/>
      </c>
      <c r="D296" s="48">
        <f>IF(AE296=1,ROUND(SUMIFS('All Donations'!$S$2:$S$4001,'All Donations'!$R$2:$R$4001,AD296),2),"")</f>
        <v/>
      </c>
      <c r="E296" s="48">
        <f>IF(AE296=1,ROUND(SUMIFS('All Donations'!$S$2:$S$4001,'All Donations'!$R$2:$R$4001,AD296,'All Donations'!$G$2:$G$4001,"OneCause"),2),"")</f>
        <v/>
      </c>
      <c r="F296" s="48">
        <f>IF(AE296=1,D296-E296,"")</f>
        <v/>
      </c>
      <c r="G296">
        <f>IF(AE296=1,COUNTIFS('All Donations'!$R$2:$R$4001,AD296,'All Donations'!$H$2:$H$4001,"OK"),"")</f>
        <v/>
      </c>
      <c r="H296">
        <f>IF(AE296&lt;&gt;1,"",IF(D296&gt;0,"Yes",""))</f>
        <v/>
      </c>
      <c r="I296" s="49">
        <f>IF(OR($AE296&lt;&gt;1,I$1=""),"",SUMIFS('All Donations'!$S$2:$S$4001,'All Donations'!$R$2:$R$4001,$AD296,'All Donations'!$T$2:$T$4001,I$1))</f>
        <v/>
      </c>
      <c r="J296" s="49">
        <f>IF(OR($AE296&lt;&gt;1,J$1=""),"",SUMIFS('All Donations'!$S$2:$S$4001,'All Donations'!$R$2:$R$4001,$AD296,'All Donations'!$T$2:$T$4001,J$1))</f>
        <v/>
      </c>
      <c r="K296" s="49">
        <f>IF(OR($AE296&lt;&gt;1,K$1=""),"",SUMIFS('All Donations'!$S$2:$S$4001,'All Donations'!$R$2:$R$4001,$AD296,'All Donations'!$T$2:$T$4001,K$1))</f>
        <v/>
      </c>
      <c r="L296" s="49">
        <f>IF(OR($AE296&lt;&gt;1,L$1=""),"",SUMIFS('All Donations'!$S$2:$S$4001,'All Donations'!$R$2:$R$4001,$AD296,'All Donations'!$T$2:$T$4001,L$1))</f>
        <v/>
      </c>
      <c r="M296" s="49">
        <f>IF(OR($AE296&lt;&gt;1,M$1=""),"",SUMIFS('All Donations'!$S$2:$S$4001,'All Donations'!$R$2:$R$4001,$AD296,'All Donations'!$T$2:$T$4001,M$1))</f>
        <v/>
      </c>
      <c r="N296" s="49">
        <f>IF(OR($AE296&lt;&gt;1,N$1=""),"",SUMIFS('All Donations'!$S$2:$S$4001,'All Donations'!$R$2:$R$4001,$AD296,'All Donations'!$T$2:$T$4001,N$1))</f>
        <v/>
      </c>
      <c r="O296" s="49">
        <f>IF(OR($AE296&lt;&gt;1,O$1=""),"",SUMIFS('All Donations'!$S$2:$S$4001,'All Donations'!$R$2:$R$4001,$AD296,'All Donations'!$T$2:$T$4001,O$1))</f>
        <v/>
      </c>
      <c r="P296" s="49">
        <f>IF(OR($AE296&lt;&gt;1,P$1=""),"",SUMIFS('All Donations'!$S$2:$S$4001,'All Donations'!$R$2:$R$4001,$AD296,'All Donations'!$T$2:$T$4001,P$1))</f>
        <v/>
      </c>
      <c r="Q296" s="49">
        <f>IF(OR($AE296&lt;&gt;1,Q$1=""),"",SUMIFS('All Donations'!$S$2:$S$4001,'All Donations'!$R$2:$R$4001,$AD296,'All Donations'!$T$2:$T$4001,Q$1))</f>
        <v/>
      </c>
      <c r="R296" s="49">
        <f>IF(OR($AE296&lt;&gt;1,R$1=""),"",SUMIFS('All Donations'!$S$2:$S$4001,'All Donations'!$R$2:$R$4001,$AD296,'All Donations'!$T$2:$T$4001,R$1))</f>
        <v/>
      </c>
      <c r="S296" s="49">
        <f>IF(OR($AE296&lt;&gt;1,S$1=""),"",SUMIFS('All Donations'!$S$2:$S$4001,'All Donations'!$R$2:$R$4001,$AD296,'All Donations'!$T$2:$T$4001,S$1))</f>
        <v/>
      </c>
      <c r="T296" s="49">
        <f>IF(OR($AE296&lt;&gt;1,T$1=""),"",SUMIFS('All Donations'!$S$2:$S$4001,'All Donations'!$R$2:$R$4001,$AD296,'All Donations'!$T$2:$T$4001,T$1))</f>
        <v/>
      </c>
      <c r="U296" s="49">
        <f>IF(OR($AE296&lt;&gt;1,U$1=""),"",SUMIFS('All Donations'!$S$2:$S$4001,'All Donations'!$R$2:$R$4001,$AD296,'All Donations'!$T$2:$T$4001,U$1))</f>
        <v/>
      </c>
      <c r="V296" s="49">
        <f>IF(OR($AE296&lt;&gt;1,V$1=""),"",SUMIFS('All Donations'!$S$2:$S$4001,'All Donations'!$R$2:$R$4001,$AD296,'All Donations'!$T$2:$T$4001,V$1))</f>
        <v/>
      </c>
      <c r="W296" s="49">
        <f>IF(OR($AE296&lt;&gt;1,W$1=""),"",SUMIFS('All Donations'!$S$2:$S$4001,'All Donations'!$R$2:$R$4001,$AD296,'All Donations'!$T$2:$T$4001,W$1))</f>
        <v/>
      </c>
      <c r="X296" s="49">
        <f>IF(OR($AE296&lt;&gt;1,X$1=""),"",SUMIFS('All Donations'!$S$2:$S$4001,'All Donations'!$R$2:$R$4001,$AD296,'All Donations'!$T$2:$T$4001,X$1))</f>
        <v/>
      </c>
      <c r="Y296" s="49">
        <f>IF(OR($AE296&lt;&gt;1,Y$1=""),"",SUMIFS('All Donations'!$S$2:$S$4001,'All Donations'!$R$2:$R$4001,$AD296,'All Donations'!$T$2:$T$4001,Y$1))</f>
        <v/>
      </c>
      <c r="Z296" s="49">
        <f>IF(OR($AE296&lt;&gt;1,Z$1=""),"",SUMIFS('All Donations'!$S$2:$S$4001,'All Donations'!$R$2:$R$4001,$AD296,'All Donations'!$T$2:$T$4001,Z$1))</f>
        <v/>
      </c>
      <c r="AA296" s="49">
        <f>IF(OR($AE296&lt;&gt;1,AA$1=""),"",SUMIFS('All Donations'!$S$2:$S$4001,'All Donations'!$R$2:$R$4001,$AD296,'All Donations'!$T$2:$T$4001,AA$1))</f>
        <v/>
      </c>
      <c r="AB296" s="49">
        <f>IF(OR($AE296&lt;&gt;1,AB$1=""),"",SUMIFS('All Donations'!$S$2:$S$4001,'All Donations'!$R$2:$R$4001,$AD296,'All Donations'!$T$2:$T$4001,AB$1))</f>
        <v/>
      </c>
      <c r="AC296" s="49">
        <f>IF(OR($AE296&lt;&gt;1,AC$1=""),"",SUMIFS('All Donations'!$S$2:$S$4001,'All Donations'!$R$2:$R$4001,$AD296,'All Donations'!$T$2:$T$4001,AC$1))</f>
        <v/>
      </c>
      <c r="AD296">
        <f>IF(AE296=1,'Roster'!A296,"")</f>
        <v/>
      </c>
      <c r="AE296">
        <f>IF(TRIM('Roster'!B296&amp;'Roster'!C296)&lt;&gt;"",1,0)</f>
        <v/>
      </c>
      <c r="AF296">
        <f>IF(AE296=1,LOWER(A296),"#")</f>
        <v/>
      </c>
      <c r="AG296">
        <f>IF(AE296=1,LOWER(TRIM(TRIM('Roster'!C296)&amp;", "&amp;TRIM('Roster'!B296))),"#")</f>
        <v/>
      </c>
      <c r="AH296">
        <f>IF(AND(AE296=1,TRIM('Roster'!F296)&lt;&gt;""),LOWER(TRIM('Roster'!F296)),"#")</f>
        <v/>
      </c>
      <c r="AI296">
        <f>IF(AE296=1,IF(MATCH(B296,$B$2:$B$701,0)=ROW()-1,1,0),0)</f>
        <v/>
      </c>
      <c r="AJ296">
        <f>AJ295+AI296</f>
        <v/>
      </c>
      <c r="AK296">
        <f>IF(AE296=1,D296+(1000-ROW())/10^7,-1)</f>
        <v/>
      </c>
      <c r="AL296">
        <f>IF(AE296=1,TRIM('Roster'!B296)&amp;" "&amp;LEFT(TRIM('Roster'!C296),1)&amp;".","")</f>
        <v/>
      </c>
      <c r="AM296">
        <f>IF(AE296=1,TRIM('Roster'!C296)&amp;", "&amp;TRIM('Roster'!B296)&amp;" ("&amp;B296&amp;") #"&amp;AD296,"")</f>
        <v/>
      </c>
      <c r="AN296">
        <f>IF(AE296=1,TRIM('Roster'!E296),"")</f>
        <v/>
      </c>
      <c r="AO296">
        <f>IF(AE296=1,ROUND(SUMIFS('All Donations'!$S$2:$S$4001,'All Donations'!$R$2:$R$4001,AD296,'All Donations'!$T$2:$T$4001,"&gt;="&amp;'Settings'!$C$23,'All Donations'!$T$2:$T$4001,"&lt;="&amp;'Settings'!$D$23),2),0)</f>
        <v/>
      </c>
      <c r="AQ296">
        <f>IF(AE296=1,ROUND(SUMIFS('All Donations'!$S$2:$S$4001,'All Donations'!$R$2:$R$4001,AD296,'All Donations'!$T$2:$T$4001,"&gt;="&amp;'Settings'!$C$25,'All Donations'!$T$2:$T$4001,"&lt;="&amp;'Settings'!$D$25),2),0)</f>
        <v/>
      </c>
      <c r="AR296">
        <f>IF(AE296=1,ROUND(SUMIFS('All Donations'!$S$2:$S$4001,'All Donations'!$R$2:$R$4001,AD296,'All Donations'!$T$2:$T$4001,"&gt;="&amp;'Settings'!$C$26,'All Donations'!$T$2:$T$4001,"&lt;="&amp;'Settings'!$D$26),2),0)</f>
        <v/>
      </c>
      <c r="AS296">
        <f>IF(AE296=1,ROUND(SUMIFS('All Donations'!$S$2:$S$4001,'All Donations'!$R$2:$R$4001,AD296,'All Donations'!$T$2:$T$4001,"&lt;="&amp;'Settings'!$D$27),2),0)</f>
        <v/>
      </c>
      <c r="AT296">
        <f>IF(AE296=1,ROUND(SUMIFS('All Donations'!$S$2:$S$4001,'All Donations'!$R$2:$R$4001,AD296,'All Donations'!$T$2:$T$4001,"&gt;="&amp;'Settings'!$C$28,'All Donations'!$T$2:$T$4001,"&lt;="&amp;'Settings'!$D$28),2),0)</f>
        <v/>
      </c>
      <c r="AU296">
        <f>IF(AE296=1,ROUND(SUMIFS('All Donations'!$S$2:$S$4001,'All Donations'!$R$2:$R$4001,AD296,'All Donations'!$T$2:$T$4001,"&gt;="&amp;'Settings'!$C$29,'All Donations'!$T$2:$T$4001,"&lt;="&amp;'Settings'!$D$29),2),0)</f>
        <v/>
      </c>
      <c r="AV296">
        <f>IF(AE296=1,ROUND(SUMIFS('All Donations'!$S$2:$S$4001,'All Donations'!$R$2:$R$4001,AD296,'All Donations'!$T$2:$T$4001,"&lt;="&amp;'Settings'!$D$30),2),0)</f>
        <v/>
      </c>
      <c r="AZ296">
        <f>IF(AE296=1,ROUND(SUMIFS('All Donations'!$S$2:$S$4001,'All Donations'!$R$2:$R$4001,AD296,'All Donations'!$T$2:$T$4001,"&lt;="&amp;'Settings'!$D$34),2),0)</f>
        <v/>
      </c>
    </row>
    <row r="297">
      <c r="A297">
        <f>IF(AE297=1,TRIM(TRIM('Roster'!B297)&amp;" "&amp;TRIM('Roster'!C297)),"")</f>
        <v/>
      </c>
      <c r="B297">
        <f>IF(AE297=1,IF(AN297="","(no teacher)",AN297&amp;" – "&amp;C297),"")</f>
        <v/>
      </c>
      <c r="C297">
        <f>IF(AE297=1,TRIM('Roster'!D297&amp;""),"")</f>
        <v/>
      </c>
      <c r="D297" s="48">
        <f>IF(AE297=1,ROUND(SUMIFS('All Donations'!$S$2:$S$4001,'All Donations'!$R$2:$R$4001,AD297),2),"")</f>
        <v/>
      </c>
      <c r="E297" s="48">
        <f>IF(AE297=1,ROUND(SUMIFS('All Donations'!$S$2:$S$4001,'All Donations'!$R$2:$R$4001,AD297,'All Donations'!$G$2:$G$4001,"OneCause"),2),"")</f>
        <v/>
      </c>
      <c r="F297" s="48">
        <f>IF(AE297=1,D297-E297,"")</f>
        <v/>
      </c>
      <c r="G297">
        <f>IF(AE297=1,COUNTIFS('All Donations'!$R$2:$R$4001,AD297,'All Donations'!$H$2:$H$4001,"OK"),"")</f>
        <v/>
      </c>
      <c r="H297">
        <f>IF(AE297&lt;&gt;1,"",IF(D297&gt;0,"Yes",""))</f>
        <v/>
      </c>
      <c r="I297" s="49">
        <f>IF(OR($AE297&lt;&gt;1,I$1=""),"",SUMIFS('All Donations'!$S$2:$S$4001,'All Donations'!$R$2:$R$4001,$AD297,'All Donations'!$T$2:$T$4001,I$1))</f>
        <v/>
      </c>
      <c r="J297" s="49">
        <f>IF(OR($AE297&lt;&gt;1,J$1=""),"",SUMIFS('All Donations'!$S$2:$S$4001,'All Donations'!$R$2:$R$4001,$AD297,'All Donations'!$T$2:$T$4001,J$1))</f>
        <v/>
      </c>
      <c r="K297" s="49">
        <f>IF(OR($AE297&lt;&gt;1,K$1=""),"",SUMIFS('All Donations'!$S$2:$S$4001,'All Donations'!$R$2:$R$4001,$AD297,'All Donations'!$T$2:$T$4001,K$1))</f>
        <v/>
      </c>
      <c r="L297" s="49">
        <f>IF(OR($AE297&lt;&gt;1,L$1=""),"",SUMIFS('All Donations'!$S$2:$S$4001,'All Donations'!$R$2:$R$4001,$AD297,'All Donations'!$T$2:$T$4001,L$1))</f>
        <v/>
      </c>
      <c r="M297" s="49">
        <f>IF(OR($AE297&lt;&gt;1,M$1=""),"",SUMIFS('All Donations'!$S$2:$S$4001,'All Donations'!$R$2:$R$4001,$AD297,'All Donations'!$T$2:$T$4001,M$1))</f>
        <v/>
      </c>
      <c r="N297" s="49">
        <f>IF(OR($AE297&lt;&gt;1,N$1=""),"",SUMIFS('All Donations'!$S$2:$S$4001,'All Donations'!$R$2:$R$4001,$AD297,'All Donations'!$T$2:$T$4001,N$1))</f>
        <v/>
      </c>
      <c r="O297" s="49">
        <f>IF(OR($AE297&lt;&gt;1,O$1=""),"",SUMIFS('All Donations'!$S$2:$S$4001,'All Donations'!$R$2:$R$4001,$AD297,'All Donations'!$T$2:$T$4001,O$1))</f>
        <v/>
      </c>
      <c r="P297" s="49">
        <f>IF(OR($AE297&lt;&gt;1,P$1=""),"",SUMIFS('All Donations'!$S$2:$S$4001,'All Donations'!$R$2:$R$4001,$AD297,'All Donations'!$T$2:$T$4001,P$1))</f>
        <v/>
      </c>
      <c r="Q297" s="49">
        <f>IF(OR($AE297&lt;&gt;1,Q$1=""),"",SUMIFS('All Donations'!$S$2:$S$4001,'All Donations'!$R$2:$R$4001,$AD297,'All Donations'!$T$2:$T$4001,Q$1))</f>
        <v/>
      </c>
      <c r="R297" s="49">
        <f>IF(OR($AE297&lt;&gt;1,R$1=""),"",SUMIFS('All Donations'!$S$2:$S$4001,'All Donations'!$R$2:$R$4001,$AD297,'All Donations'!$T$2:$T$4001,R$1))</f>
        <v/>
      </c>
      <c r="S297" s="49">
        <f>IF(OR($AE297&lt;&gt;1,S$1=""),"",SUMIFS('All Donations'!$S$2:$S$4001,'All Donations'!$R$2:$R$4001,$AD297,'All Donations'!$T$2:$T$4001,S$1))</f>
        <v/>
      </c>
      <c r="T297" s="49">
        <f>IF(OR($AE297&lt;&gt;1,T$1=""),"",SUMIFS('All Donations'!$S$2:$S$4001,'All Donations'!$R$2:$R$4001,$AD297,'All Donations'!$T$2:$T$4001,T$1))</f>
        <v/>
      </c>
      <c r="U297" s="49">
        <f>IF(OR($AE297&lt;&gt;1,U$1=""),"",SUMIFS('All Donations'!$S$2:$S$4001,'All Donations'!$R$2:$R$4001,$AD297,'All Donations'!$T$2:$T$4001,U$1))</f>
        <v/>
      </c>
      <c r="V297" s="49">
        <f>IF(OR($AE297&lt;&gt;1,V$1=""),"",SUMIFS('All Donations'!$S$2:$S$4001,'All Donations'!$R$2:$R$4001,$AD297,'All Donations'!$T$2:$T$4001,V$1))</f>
        <v/>
      </c>
      <c r="W297" s="49">
        <f>IF(OR($AE297&lt;&gt;1,W$1=""),"",SUMIFS('All Donations'!$S$2:$S$4001,'All Donations'!$R$2:$R$4001,$AD297,'All Donations'!$T$2:$T$4001,W$1))</f>
        <v/>
      </c>
      <c r="X297" s="49">
        <f>IF(OR($AE297&lt;&gt;1,X$1=""),"",SUMIFS('All Donations'!$S$2:$S$4001,'All Donations'!$R$2:$R$4001,$AD297,'All Donations'!$T$2:$T$4001,X$1))</f>
        <v/>
      </c>
      <c r="Y297" s="49">
        <f>IF(OR($AE297&lt;&gt;1,Y$1=""),"",SUMIFS('All Donations'!$S$2:$S$4001,'All Donations'!$R$2:$R$4001,$AD297,'All Donations'!$T$2:$T$4001,Y$1))</f>
        <v/>
      </c>
      <c r="Z297" s="49">
        <f>IF(OR($AE297&lt;&gt;1,Z$1=""),"",SUMIFS('All Donations'!$S$2:$S$4001,'All Donations'!$R$2:$R$4001,$AD297,'All Donations'!$T$2:$T$4001,Z$1))</f>
        <v/>
      </c>
      <c r="AA297" s="49">
        <f>IF(OR($AE297&lt;&gt;1,AA$1=""),"",SUMIFS('All Donations'!$S$2:$S$4001,'All Donations'!$R$2:$R$4001,$AD297,'All Donations'!$T$2:$T$4001,AA$1))</f>
        <v/>
      </c>
      <c r="AB297" s="49">
        <f>IF(OR($AE297&lt;&gt;1,AB$1=""),"",SUMIFS('All Donations'!$S$2:$S$4001,'All Donations'!$R$2:$R$4001,$AD297,'All Donations'!$T$2:$T$4001,AB$1))</f>
        <v/>
      </c>
      <c r="AC297" s="49">
        <f>IF(OR($AE297&lt;&gt;1,AC$1=""),"",SUMIFS('All Donations'!$S$2:$S$4001,'All Donations'!$R$2:$R$4001,$AD297,'All Donations'!$T$2:$T$4001,AC$1))</f>
        <v/>
      </c>
      <c r="AD297">
        <f>IF(AE297=1,'Roster'!A297,"")</f>
        <v/>
      </c>
      <c r="AE297">
        <f>IF(TRIM('Roster'!B297&amp;'Roster'!C297)&lt;&gt;"",1,0)</f>
        <v/>
      </c>
      <c r="AF297">
        <f>IF(AE297=1,LOWER(A297),"#")</f>
        <v/>
      </c>
      <c r="AG297">
        <f>IF(AE297=1,LOWER(TRIM(TRIM('Roster'!C297)&amp;", "&amp;TRIM('Roster'!B297))),"#")</f>
        <v/>
      </c>
      <c r="AH297">
        <f>IF(AND(AE297=1,TRIM('Roster'!F297)&lt;&gt;""),LOWER(TRIM('Roster'!F297)),"#")</f>
        <v/>
      </c>
      <c r="AI297">
        <f>IF(AE297=1,IF(MATCH(B297,$B$2:$B$701,0)=ROW()-1,1,0),0)</f>
        <v/>
      </c>
      <c r="AJ297">
        <f>AJ296+AI297</f>
        <v/>
      </c>
      <c r="AK297">
        <f>IF(AE297=1,D297+(1000-ROW())/10^7,-1)</f>
        <v/>
      </c>
      <c r="AL297">
        <f>IF(AE297=1,TRIM('Roster'!B297)&amp;" "&amp;LEFT(TRIM('Roster'!C297),1)&amp;".","")</f>
        <v/>
      </c>
      <c r="AM297">
        <f>IF(AE297=1,TRIM('Roster'!C297)&amp;", "&amp;TRIM('Roster'!B297)&amp;" ("&amp;B297&amp;") #"&amp;AD297,"")</f>
        <v/>
      </c>
      <c r="AN297">
        <f>IF(AE297=1,TRIM('Roster'!E297),"")</f>
        <v/>
      </c>
      <c r="AO297">
        <f>IF(AE297=1,ROUND(SUMIFS('All Donations'!$S$2:$S$4001,'All Donations'!$R$2:$R$4001,AD297,'All Donations'!$T$2:$T$4001,"&gt;="&amp;'Settings'!$C$23,'All Donations'!$T$2:$T$4001,"&lt;="&amp;'Settings'!$D$23),2),0)</f>
        <v/>
      </c>
      <c r="AQ297">
        <f>IF(AE297=1,ROUND(SUMIFS('All Donations'!$S$2:$S$4001,'All Donations'!$R$2:$R$4001,AD297,'All Donations'!$T$2:$T$4001,"&gt;="&amp;'Settings'!$C$25,'All Donations'!$T$2:$T$4001,"&lt;="&amp;'Settings'!$D$25),2),0)</f>
        <v/>
      </c>
      <c r="AR297">
        <f>IF(AE297=1,ROUND(SUMIFS('All Donations'!$S$2:$S$4001,'All Donations'!$R$2:$R$4001,AD297,'All Donations'!$T$2:$T$4001,"&gt;="&amp;'Settings'!$C$26,'All Donations'!$T$2:$T$4001,"&lt;="&amp;'Settings'!$D$26),2),0)</f>
        <v/>
      </c>
      <c r="AS297">
        <f>IF(AE297=1,ROUND(SUMIFS('All Donations'!$S$2:$S$4001,'All Donations'!$R$2:$R$4001,AD297,'All Donations'!$T$2:$T$4001,"&lt;="&amp;'Settings'!$D$27),2),0)</f>
        <v/>
      </c>
      <c r="AT297">
        <f>IF(AE297=1,ROUND(SUMIFS('All Donations'!$S$2:$S$4001,'All Donations'!$R$2:$R$4001,AD297,'All Donations'!$T$2:$T$4001,"&gt;="&amp;'Settings'!$C$28,'All Donations'!$T$2:$T$4001,"&lt;="&amp;'Settings'!$D$28),2),0)</f>
        <v/>
      </c>
      <c r="AU297">
        <f>IF(AE297=1,ROUND(SUMIFS('All Donations'!$S$2:$S$4001,'All Donations'!$R$2:$R$4001,AD297,'All Donations'!$T$2:$T$4001,"&gt;="&amp;'Settings'!$C$29,'All Donations'!$T$2:$T$4001,"&lt;="&amp;'Settings'!$D$29),2),0)</f>
        <v/>
      </c>
      <c r="AV297">
        <f>IF(AE297=1,ROUND(SUMIFS('All Donations'!$S$2:$S$4001,'All Donations'!$R$2:$R$4001,AD297,'All Donations'!$T$2:$T$4001,"&lt;="&amp;'Settings'!$D$30),2),0)</f>
        <v/>
      </c>
      <c r="AZ297">
        <f>IF(AE297=1,ROUND(SUMIFS('All Donations'!$S$2:$S$4001,'All Donations'!$R$2:$R$4001,AD297,'All Donations'!$T$2:$T$4001,"&lt;="&amp;'Settings'!$D$34),2),0)</f>
        <v/>
      </c>
    </row>
    <row r="298">
      <c r="A298">
        <f>IF(AE298=1,TRIM(TRIM('Roster'!B298)&amp;" "&amp;TRIM('Roster'!C298)),"")</f>
        <v/>
      </c>
      <c r="B298">
        <f>IF(AE298=1,IF(AN298="","(no teacher)",AN298&amp;" – "&amp;C298),"")</f>
        <v/>
      </c>
      <c r="C298">
        <f>IF(AE298=1,TRIM('Roster'!D298&amp;""),"")</f>
        <v/>
      </c>
      <c r="D298" s="48">
        <f>IF(AE298=1,ROUND(SUMIFS('All Donations'!$S$2:$S$4001,'All Donations'!$R$2:$R$4001,AD298),2),"")</f>
        <v/>
      </c>
      <c r="E298" s="48">
        <f>IF(AE298=1,ROUND(SUMIFS('All Donations'!$S$2:$S$4001,'All Donations'!$R$2:$R$4001,AD298,'All Donations'!$G$2:$G$4001,"OneCause"),2),"")</f>
        <v/>
      </c>
      <c r="F298" s="48">
        <f>IF(AE298=1,D298-E298,"")</f>
        <v/>
      </c>
      <c r="G298">
        <f>IF(AE298=1,COUNTIFS('All Donations'!$R$2:$R$4001,AD298,'All Donations'!$H$2:$H$4001,"OK"),"")</f>
        <v/>
      </c>
      <c r="H298">
        <f>IF(AE298&lt;&gt;1,"",IF(D298&gt;0,"Yes",""))</f>
        <v/>
      </c>
      <c r="I298" s="49">
        <f>IF(OR($AE298&lt;&gt;1,I$1=""),"",SUMIFS('All Donations'!$S$2:$S$4001,'All Donations'!$R$2:$R$4001,$AD298,'All Donations'!$T$2:$T$4001,I$1))</f>
        <v/>
      </c>
      <c r="J298" s="49">
        <f>IF(OR($AE298&lt;&gt;1,J$1=""),"",SUMIFS('All Donations'!$S$2:$S$4001,'All Donations'!$R$2:$R$4001,$AD298,'All Donations'!$T$2:$T$4001,J$1))</f>
        <v/>
      </c>
      <c r="K298" s="49">
        <f>IF(OR($AE298&lt;&gt;1,K$1=""),"",SUMIFS('All Donations'!$S$2:$S$4001,'All Donations'!$R$2:$R$4001,$AD298,'All Donations'!$T$2:$T$4001,K$1))</f>
        <v/>
      </c>
      <c r="L298" s="49">
        <f>IF(OR($AE298&lt;&gt;1,L$1=""),"",SUMIFS('All Donations'!$S$2:$S$4001,'All Donations'!$R$2:$R$4001,$AD298,'All Donations'!$T$2:$T$4001,L$1))</f>
        <v/>
      </c>
      <c r="M298" s="49">
        <f>IF(OR($AE298&lt;&gt;1,M$1=""),"",SUMIFS('All Donations'!$S$2:$S$4001,'All Donations'!$R$2:$R$4001,$AD298,'All Donations'!$T$2:$T$4001,M$1))</f>
        <v/>
      </c>
      <c r="N298" s="49">
        <f>IF(OR($AE298&lt;&gt;1,N$1=""),"",SUMIFS('All Donations'!$S$2:$S$4001,'All Donations'!$R$2:$R$4001,$AD298,'All Donations'!$T$2:$T$4001,N$1))</f>
        <v/>
      </c>
      <c r="O298" s="49">
        <f>IF(OR($AE298&lt;&gt;1,O$1=""),"",SUMIFS('All Donations'!$S$2:$S$4001,'All Donations'!$R$2:$R$4001,$AD298,'All Donations'!$T$2:$T$4001,O$1))</f>
        <v/>
      </c>
      <c r="P298" s="49">
        <f>IF(OR($AE298&lt;&gt;1,P$1=""),"",SUMIFS('All Donations'!$S$2:$S$4001,'All Donations'!$R$2:$R$4001,$AD298,'All Donations'!$T$2:$T$4001,P$1))</f>
        <v/>
      </c>
      <c r="Q298" s="49">
        <f>IF(OR($AE298&lt;&gt;1,Q$1=""),"",SUMIFS('All Donations'!$S$2:$S$4001,'All Donations'!$R$2:$R$4001,$AD298,'All Donations'!$T$2:$T$4001,Q$1))</f>
        <v/>
      </c>
      <c r="R298" s="49">
        <f>IF(OR($AE298&lt;&gt;1,R$1=""),"",SUMIFS('All Donations'!$S$2:$S$4001,'All Donations'!$R$2:$R$4001,$AD298,'All Donations'!$T$2:$T$4001,R$1))</f>
        <v/>
      </c>
      <c r="S298" s="49">
        <f>IF(OR($AE298&lt;&gt;1,S$1=""),"",SUMIFS('All Donations'!$S$2:$S$4001,'All Donations'!$R$2:$R$4001,$AD298,'All Donations'!$T$2:$T$4001,S$1))</f>
        <v/>
      </c>
      <c r="T298" s="49">
        <f>IF(OR($AE298&lt;&gt;1,T$1=""),"",SUMIFS('All Donations'!$S$2:$S$4001,'All Donations'!$R$2:$R$4001,$AD298,'All Donations'!$T$2:$T$4001,T$1))</f>
        <v/>
      </c>
      <c r="U298" s="49">
        <f>IF(OR($AE298&lt;&gt;1,U$1=""),"",SUMIFS('All Donations'!$S$2:$S$4001,'All Donations'!$R$2:$R$4001,$AD298,'All Donations'!$T$2:$T$4001,U$1))</f>
        <v/>
      </c>
      <c r="V298" s="49">
        <f>IF(OR($AE298&lt;&gt;1,V$1=""),"",SUMIFS('All Donations'!$S$2:$S$4001,'All Donations'!$R$2:$R$4001,$AD298,'All Donations'!$T$2:$T$4001,V$1))</f>
        <v/>
      </c>
      <c r="W298" s="49">
        <f>IF(OR($AE298&lt;&gt;1,W$1=""),"",SUMIFS('All Donations'!$S$2:$S$4001,'All Donations'!$R$2:$R$4001,$AD298,'All Donations'!$T$2:$T$4001,W$1))</f>
        <v/>
      </c>
      <c r="X298" s="49">
        <f>IF(OR($AE298&lt;&gt;1,X$1=""),"",SUMIFS('All Donations'!$S$2:$S$4001,'All Donations'!$R$2:$R$4001,$AD298,'All Donations'!$T$2:$T$4001,X$1))</f>
        <v/>
      </c>
      <c r="Y298" s="49">
        <f>IF(OR($AE298&lt;&gt;1,Y$1=""),"",SUMIFS('All Donations'!$S$2:$S$4001,'All Donations'!$R$2:$R$4001,$AD298,'All Donations'!$T$2:$T$4001,Y$1))</f>
        <v/>
      </c>
      <c r="Z298" s="49">
        <f>IF(OR($AE298&lt;&gt;1,Z$1=""),"",SUMIFS('All Donations'!$S$2:$S$4001,'All Donations'!$R$2:$R$4001,$AD298,'All Donations'!$T$2:$T$4001,Z$1))</f>
        <v/>
      </c>
      <c r="AA298" s="49">
        <f>IF(OR($AE298&lt;&gt;1,AA$1=""),"",SUMIFS('All Donations'!$S$2:$S$4001,'All Donations'!$R$2:$R$4001,$AD298,'All Donations'!$T$2:$T$4001,AA$1))</f>
        <v/>
      </c>
      <c r="AB298" s="49">
        <f>IF(OR($AE298&lt;&gt;1,AB$1=""),"",SUMIFS('All Donations'!$S$2:$S$4001,'All Donations'!$R$2:$R$4001,$AD298,'All Donations'!$T$2:$T$4001,AB$1))</f>
        <v/>
      </c>
      <c r="AC298" s="49">
        <f>IF(OR($AE298&lt;&gt;1,AC$1=""),"",SUMIFS('All Donations'!$S$2:$S$4001,'All Donations'!$R$2:$R$4001,$AD298,'All Donations'!$T$2:$T$4001,AC$1))</f>
        <v/>
      </c>
      <c r="AD298">
        <f>IF(AE298=1,'Roster'!A298,"")</f>
        <v/>
      </c>
      <c r="AE298">
        <f>IF(TRIM('Roster'!B298&amp;'Roster'!C298)&lt;&gt;"",1,0)</f>
        <v/>
      </c>
      <c r="AF298">
        <f>IF(AE298=1,LOWER(A298),"#")</f>
        <v/>
      </c>
      <c r="AG298">
        <f>IF(AE298=1,LOWER(TRIM(TRIM('Roster'!C298)&amp;", "&amp;TRIM('Roster'!B298))),"#")</f>
        <v/>
      </c>
      <c r="AH298">
        <f>IF(AND(AE298=1,TRIM('Roster'!F298)&lt;&gt;""),LOWER(TRIM('Roster'!F298)),"#")</f>
        <v/>
      </c>
      <c r="AI298">
        <f>IF(AE298=1,IF(MATCH(B298,$B$2:$B$701,0)=ROW()-1,1,0),0)</f>
        <v/>
      </c>
      <c r="AJ298">
        <f>AJ297+AI298</f>
        <v/>
      </c>
      <c r="AK298">
        <f>IF(AE298=1,D298+(1000-ROW())/10^7,-1)</f>
        <v/>
      </c>
      <c r="AL298">
        <f>IF(AE298=1,TRIM('Roster'!B298)&amp;" "&amp;LEFT(TRIM('Roster'!C298),1)&amp;".","")</f>
        <v/>
      </c>
      <c r="AM298">
        <f>IF(AE298=1,TRIM('Roster'!C298)&amp;", "&amp;TRIM('Roster'!B298)&amp;" ("&amp;B298&amp;") #"&amp;AD298,"")</f>
        <v/>
      </c>
      <c r="AN298">
        <f>IF(AE298=1,TRIM('Roster'!E298),"")</f>
        <v/>
      </c>
      <c r="AO298">
        <f>IF(AE298=1,ROUND(SUMIFS('All Donations'!$S$2:$S$4001,'All Donations'!$R$2:$R$4001,AD298,'All Donations'!$T$2:$T$4001,"&gt;="&amp;'Settings'!$C$23,'All Donations'!$T$2:$T$4001,"&lt;="&amp;'Settings'!$D$23),2),0)</f>
        <v/>
      </c>
      <c r="AQ298">
        <f>IF(AE298=1,ROUND(SUMIFS('All Donations'!$S$2:$S$4001,'All Donations'!$R$2:$R$4001,AD298,'All Donations'!$T$2:$T$4001,"&gt;="&amp;'Settings'!$C$25,'All Donations'!$T$2:$T$4001,"&lt;="&amp;'Settings'!$D$25),2),0)</f>
        <v/>
      </c>
      <c r="AR298">
        <f>IF(AE298=1,ROUND(SUMIFS('All Donations'!$S$2:$S$4001,'All Donations'!$R$2:$R$4001,AD298,'All Donations'!$T$2:$T$4001,"&gt;="&amp;'Settings'!$C$26,'All Donations'!$T$2:$T$4001,"&lt;="&amp;'Settings'!$D$26),2),0)</f>
        <v/>
      </c>
      <c r="AS298">
        <f>IF(AE298=1,ROUND(SUMIFS('All Donations'!$S$2:$S$4001,'All Donations'!$R$2:$R$4001,AD298,'All Donations'!$T$2:$T$4001,"&lt;="&amp;'Settings'!$D$27),2),0)</f>
        <v/>
      </c>
      <c r="AT298">
        <f>IF(AE298=1,ROUND(SUMIFS('All Donations'!$S$2:$S$4001,'All Donations'!$R$2:$R$4001,AD298,'All Donations'!$T$2:$T$4001,"&gt;="&amp;'Settings'!$C$28,'All Donations'!$T$2:$T$4001,"&lt;="&amp;'Settings'!$D$28),2),0)</f>
        <v/>
      </c>
      <c r="AU298">
        <f>IF(AE298=1,ROUND(SUMIFS('All Donations'!$S$2:$S$4001,'All Donations'!$R$2:$R$4001,AD298,'All Donations'!$T$2:$T$4001,"&gt;="&amp;'Settings'!$C$29,'All Donations'!$T$2:$T$4001,"&lt;="&amp;'Settings'!$D$29),2),0)</f>
        <v/>
      </c>
      <c r="AV298">
        <f>IF(AE298=1,ROUND(SUMIFS('All Donations'!$S$2:$S$4001,'All Donations'!$R$2:$R$4001,AD298,'All Donations'!$T$2:$T$4001,"&lt;="&amp;'Settings'!$D$30),2),0)</f>
        <v/>
      </c>
      <c r="AZ298">
        <f>IF(AE298=1,ROUND(SUMIFS('All Donations'!$S$2:$S$4001,'All Donations'!$R$2:$R$4001,AD298,'All Donations'!$T$2:$T$4001,"&lt;="&amp;'Settings'!$D$34),2),0)</f>
        <v/>
      </c>
    </row>
    <row r="299">
      <c r="A299">
        <f>IF(AE299=1,TRIM(TRIM('Roster'!B299)&amp;" "&amp;TRIM('Roster'!C299)),"")</f>
        <v/>
      </c>
      <c r="B299">
        <f>IF(AE299=1,IF(AN299="","(no teacher)",AN299&amp;" – "&amp;C299),"")</f>
        <v/>
      </c>
      <c r="C299">
        <f>IF(AE299=1,TRIM('Roster'!D299&amp;""),"")</f>
        <v/>
      </c>
      <c r="D299" s="48">
        <f>IF(AE299=1,ROUND(SUMIFS('All Donations'!$S$2:$S$4001,'All Donations'!$R$2:$R$4001,AD299),2),"")</f>
        <v/>
      </c>
      <c r="E299" s="48">
        <f>IF(AE299=1,ROUND(SUMIFS('All Donations'!$S$2:$S$4001,'All Donations'!$R$2:$R$4001,AD299,'All Donations'!$G$2:$G$4001,"OneCause"),2),"")</f>
        <v/>
      </c>
      <c r="F299" s="48">
        <f>IF(AE299=1,D299-E299,"")</f>
        <v/>
      </c>
      <c r="G299">
        <f>IF(AE299=1,COUNTIFS('All Donations'!$R$2:$R$4001,AD299,'All Donations'!$H$2:$H$4001,"OK"),"")</f>
        <v/>
      </c>
      <c r="H299">
        <f>IF(AE299&lt;&gt;1,"",IF(D299&gt;0,"Yes",""))</f>
        <v/>
      </c>
      <c r="I299" s="49">
        <f>IF(OR($AE299&lt;&gt;1,I$1=""),"",SUMIFS('All Donations'!$S$2:$S$4001,'All Donations'!$R$2:$R$4001,$AD299,'All Donations'!$T$2:$T$4001,I$1))</f>
        <v/>
      </c>
      <c r="J299" s="49">
        <f>IF(OR($AE299&lt;&gt;1,J$1=""),"",SUMIFS('All Donations'!$S$2:$S$4001,'All Donations'!$R$2:$R$4001,$AD299,'All Donations'!$T$2:$T$4001,J$1))</f>
        <v/>
      </c>
      <c r="K299" s="49">
        <f>IF(OR($AE299&lt;&gt;1,K$1=""),"",SUMIFS('All Donations'!$S$2:$S$4001,'All Donations'!$R$2:$R$4001,$AD299,'All Donations'!$T$2:$T$4001,K$1))</f>
        <v/>
      </c>
      <c r="L299" s="49">
        <f>IF(OR($AE299&lt;&gt;1,L$1=""),"",SUMIFS('All Donations'!$S$2:$S$4001,'All Donations'!$R$2:$R$4001,$AD299,'All Donations'!$T$2:$T$4001,L$1))</f>
        <v/>
      </c>
      <c r="M299" s="49">
        <f>IF(OR($AE299&lt;&gt;1,M$1=""),"",SUMIFS('All Donations'!$S$2:$S$4001,'All Donations'!$R$2:$R$4001,$AD299,'All Donations'!$T$2:$T$4001,M$1))</f>
        <v/>
      </c>
      <c r="N299" s="49">
        <f>IF(OR($AE299&lt;&gt;1,N$1=""),"",SUMIFS('All Donations'!$S$2:$S$4001,'All Donations'!$R$2:$R$4001,$AD299,'All Donations'!$T$2:$T$4001,N$1))</f>
        <v/>
      </c>
      <c r="O299" s="49">
        <f>IF(OR($AE299&lt;&gt;1,O$1=""),"",SUMIFS('All Donations'!$S$2:$S$4001,'All Donations'!$R$2:$R$4001,$AD299,'All Donations'!$T$2:$T$4001,O$1))</f>
        <v/>
      </c>
      <c r="P299" s="49">
        <f>IF(OR($AE299&lt;&gt;1,P$1=""),"",SUMIFS('All Donations'!$S$2:$S$4001,'All Donations'!$R$2:$R$4001,$AD299,'All Donations'!$T$2:$T$4001,P$1))</f>
        <v/>
      </c>
      <c r="Q299" s="49">
        <f>IF(OR($AE299&lt;&gt;1,Q$1=""),"",SUMIFS('All Donations'!$S$2:$S$4001,'All Donations'!$R$2:$R$4001,$AD299,'All Donations'!$T$2:$T$4001,Q$1))</f>
        <v/>
      </c>
      <c r="R299" s="49">
        <f>IF(OR($AE299&lt;&gt;1,R$1=""),"",SUMIFS('All Donations'!$S$2:$S$4001,'All Donations'!$R$2:$R$4001,$AD299,'All Donations'!$T$2:$T$4001,R$1))</f>
        <v/>
      </c>
      <c r="S299" s="49">
        <f>IF(OR($AE299&lt;&gt;1,S$1=""),"",SUMIFS('All Donations'!$S$2:$S$4001,'All Donations'!$R$2:$R$4001,$AD299,'All Donations'!$T$2:$T$4001,S$1))</f>
        <v/>
      </c>
      <c r="T299" s="49">
        <f>IF(OR($AE299&lt;&gt;1,T$1=""),"",SUMIFS('All Donations'!$S$2:$S$4001,'All Donations'!$R$2:$R$4001,$AD299,'All Donations'!$T$2:$T$4001,T$1))</f>
        <v/>
      </c>
      <c r="U299" s="49">
        <f>IF(OR($AE299&lt;&gt;1,U$1=""),"",SUMIFS('All Donations'!$S$2:$S$4001,'All Donations'!$R$2:$R$4001,$AD299,'All Donations'!$T$2:$T$4001,U$1))</f>
        <v/>
      </c>
      <c r="V299" s="49">
        <f>IF(OR($AE299&lt;&gt;1,V$1=""),"",SUMIFS('All Donations'!$S$2:$S$4001,'All Donations'!$R$2:$R$4001,$AD299,'All Donations'!$T$2:$T$4001,V$1))</f>
        <v/>
      </c>
      <c r="W299" s="49">
        <f>IF(OR($AE299&lt;&gt;1,W$1=""),"",SUMIFS('All Donations'!$S$2:$S$4001,'All Donations'!$R$2:$R$4001,$AD299,'All Donations'!$T$2:$T$4001,W$1))</f>
        <v/>
      </c>
      <c r="X299" s="49">
        <f>IF(OR($AE299&lt;&gt;1,X$1=""),"",SUMIFS('All Donations'!$S$2:$S$4001,'All Donations'!$R$2:$R$4001,$AD299,'All Donations'!$T$2:$T$4001,X$1))</f>
        <v/>
      </c>
      <c r="Y299" s="49">
        <f>IF(OR($AE299&lt;&gt;1,Y$1=""),"",SUMIFS('All Donations'!$S$2:$S$4001,'All Donations'!$R$2:$R$4001,$AD299,'All Donations'!$T$2:$T$4001,Y$1))</f>
        <v/>
      </c>
      <c r="Z299" s="49">
        <f>IF(OR($AE299&lt;&gt;1,Z$1=""),"",SUMIFS('All Donations'!$S$2:$S$4001,'All Donations'!$R$2:$R$4001,$AD299,'All Donations'!$T$2:$T$4001,Z$1))</f>
        <v/>
      </c>
      <c r="AA299" s="49">
        <f>IF(OR($AE299&lt;&gt;1,AA$1=""),"",SUMIFS('All Donations'!$S$2:$S$4001,'All Donations'!$R$2:$R$4001,$AD299,'All Donations'!$T$2:$T$4001,AA$1))</f>
        <v/>
      </c>
      <c r="AB299" s="49">
        <f>IF(OR($AE299&lt;&gt;1,AB$1=""),"",SUMIFS('All Donations'!$S$2:$S$4001,'All Donations'!$R$2:$R$4001,$AD299,'All Donations'!$T$2:$T$4001,AB$1))</f>
        <v/>
      </c>
      <c r="AC299" s="49">
        <f>IF(OR($AE299&lt;&gt;1,AC$1=""),"",SUMIFS('All Donations'!$S$2:$S$4001,'All Donations'!$R$2:$R$4001,$AD299,'All Donations'!$T$2:$T$4001,AC$1))</f>
        <v/>
      </c>
      <c r="AD299">
        <f>IF(AE299=1,'Roster'!A299,"")</f>
        <v/>
      </c>
      <c r="AE299">
        <f>IF(TRIM('Roster'!B299&amp;'Roster'!C299)&lt;&gt;"",1,0)</f>
        <v/>
      </c>
      <c r="AF299">
        <f>IF(AE299=1,LOWER(A299),"#")</f>
        <v/>
      </c>
      <c r="AG299">
        <f>IF(AE299=1,LOWER(TRIM(TRIM('Roster'!C299)&amp;", "&amp;TRIM('Roster'!B299))),"#")</f>
        <v/>
      </c>
      <c r="AH299">
        <f>IF(AND(AE299=1,TRIM('Roster'!F299)&lt;&gt;""),LOWER(TRIM('Roster'!F299)),"#")</f>
        <v/>
      </c>
      <c r="AI299">
        <f>IF(AE299=1,IF(MATCH(B299,$B$2:$B$701,0)=ROW()-1,1,0),0)</f>
        <v/>
      </c>
      <c r="AJ299">
        <f>AJ298+AI299</f>
        <v/>
      </c>
      <c r="AK299">
        <f>IF(AE299=1,D299+(1000-ROW())/10^7,-1)</f>
        <v/>
      </c>
      <c r="AL299">
        <f>IF(AE299=1,TRIM('Roster'!B299)&amp;" "&amp;LEFT(TRIM('Roster'!C299),1)&amp;".","")</f>
        <v/>
      </c>
      <c r="AM299">
        <f>IF(AE299=1,TRIM('Roster'!C299)&amp;", "&amp;TRIM('Roster'!B299)&amp;" ("&amp;B299&amp;") #"&amp;AD299,"")</f>
        <v/>
      </c>
      <c r="AN299">
        <f>IF(AE299=1,TRIM('Roster'!E299),"")</f>
        <v/>
      </c>
      <c r="AO299">
        <f>IF(AE299=1,ROUND(SUMIFS('All Donations'!$S$2:$S$4001,'All Donations'!$R$2:$R$4001,AD299,'All Donations'!$T$2:$T$4001,"&gt;="&amp;'Settings'!$C$23,'All Donations'!$T$2:$T$4001,"&lt;="&amp;'Settings'!$D$23),2),0)</f>
        <v/>
      </c>
      <c r="AQ299">
        <f>IF(AE299=1,ROUND(SUMIFS('All Donations'!$S$2:$S$4001,'All Donations'!$R$2:$R$4001,AD299,'All Donations'!$T$2:$T$4001,"&gt;="&amp;'Settings'!$C$25,'All Donations'!$T$2:$T$4001,"&lt;="&amp;'Settings'!$D$25),2),0)</f>
        <v/>
      </c>
      <c r="AR299">
        <f>IF(AE299=1,ROUND(SUMIFS('All Donations'!$S$2:$S$4001,'All Donations'!$R$2:$R$4001,AD299,'All Donations'!$T$2:$T$4001,"&gt;="&amp;'Settings'!$C$26,'All Donations'!$T$2:$T$4001,"&lt;="&amp;'Settings'!$D$26),2),0)</f>
        <v/>
      </c>
      <c r="AS299">
        <f>IF(AE299=1,ROUND(SUMIFS('All Donations'!$S$2:$S$4001,'All Donations'!$R$2:$R$4001,AD299,'All Donations'!$T$2:$T$4001,"&lt;="&amp;'Settings'!$D$27),2),0)</f>
        <v/>
      </c>
      <c r="AT299">
        <f>IF(AE299=1,ROUND(SUMIFS('All Donations'!$S$2:$S$4001,'All Donations'!$R$2:$R$4001,AD299,'All Donations'!$T$2:$T$4001,"&gt;="&amp;'Settings'!$C$28,'All Donations'!$T$2:$T$4001,"&lt;="&amp;'Settings'!$D$28),2),0)</f>
        <v/>
      </c>
      <c r="AU299">
        <f>IF(AE299=1,ROUND(SUMIFS('All Donations'!$S$2:$S$4001,'All Donations'!$R$2:$R$4001,AD299,'All Donations'!$T$2:$T$4001,"&gt;="&amp;'Settings'!$C$29,'All Donations'!$T$2:$T$4001,"&lt;="&amp;'Settings'!$D$29),2),0)</f>
        <v/>
      </c>
      <c r="AV299">
        <f>IF(AE299=1,ROUND(SUMIFS('All Donations'!$S$2:$S$4001,'All Donations'!$R$2:$R$4001,AD299,'All Donations'!$T$2:$T$4001,"&lt;="&amp;'Settings'!$D$30),2),0)</f>
        <v/>
      </c>
      <c r="AZ299">
        <f>IF(AE299=1,ROUND(SUMIFS('All Donations'!$S$2:$S$4001,'All Donations'!$R$2:$R$4001,AD299,'All Donations'!$T$2:$T$4001,"&lt;="&amp;'Settings'!$D$34),2),0)</f>
        <v/>
      </c>
    </row>
    <row r="300">
      <c r="A300">
        <f>IF(AE300=1,TRIM(TRIM('Roster'!B300)&amp;" "&amp;TRIM('Roster'!C300)),"")</f>
        <v/>
      </c>
      <c r="B300">
        <f>IF(AE300=1,IF(AN300="","(no teacher)",AN300&amp;" – "&amp;C300),"")</f>
        <v/>
      </c>
      <c r="C300">
        <f>IF(AE300=1,TRIM('Roster'!D300&amp;""),"")</f>
        <v/>
      </c>
      <c r="D300" s="48">
        <f>IF(AE300=1,ROUND(SUMIFS('All Donations'!$S$2:$S$4001,'All Donations'!$R$2:$R$4001,AD300),2),"")</f>
        <v/>
      </c>
      <c r="E300" s="48">
        <f>IF(AE300=1,ROUND(SUMIFS('All Donations'!$S$2:$S$4001,'All Donations'!$R$2:$R$4001,AD300,'All Donations'!$G$2:$G$4001,"OneCause"),2),"")</f>
        <v/>
      </c>
      <c r="F300" s="48">
        <f>IF(AE300=1,D300-E300,"")</f>
        <v/>
      </c>
      <c r="G300">
        <f>IF(AE300=1,COUNTIFS('All Donations'!$R$2:$R$4001,AD300,'All Donations'!$H$2:$H$4001,"OK"),"")</f>
        <v/>
      </c>
      <c r="H300">
        <f>IF(AE300&lt;&gt;1,"",IF(D300&gt;0,"Yes",""))</f>
        <v/>
      </c>
      <c r="I300" s="49">
        <f>IF(OR($AE300&lt;&gt;1,I$1=""),"",SUMIFS('All Donations'!$S$2:$S$4001,'All Donations'!$R$2:$R$4001,$AD300,'All Donations'!$T$2:$T$4001,I$1))</f>
        <v/>
      </c>
      <c r="J300" s="49">
        <f>IF(OR($AE300&lt;&gt;1,J$1=""),"",SUMIFS('All Donations'!$S$2:$S$4001,'All Donations'!$R$2:$R$4001,$AD300,'All Donations'!$T$2:$T$4001,J$1))</f>
        <v/>
      </c>
      <c r="K300" s="49">
        <f>IF(OR($AE300&lt;&gt;1,K$1=""),"",SUMIFS('All Donations'!$S$2:$S$4001,'All Donations'!$R$2:$R$4001,$AD300,'All Donations'!$T$2:$T$4001,K$1))</f>
        <v/>
      </c>
      <c r="L300" s="49">
        <f>IF(OR($AE300&lt;&gt;1,L$1=""),"",SUMIFS('All Donations'!$S$2:$S$4001,'All Donations'!$R$2:$R$4001,$AD300,'All Donations'!$T$2:$T$4001,L$1))</f>
        <v/>
      </c>
      <c r="M300" s="49">
        <f>IF(OR($AE300&lt;&gt;1,M$1=""),"",SUMIFS('All Donations'!$S$2:$S$4001,'All Donations'!$R$2:$R$4001,$AD300,'All Donations'!$T$2:$T$4001,M$1))</f>
        <v/>
      </c>
      <c r="N300" s="49">
        <f>IF(OR($AE300&lt;&gt;1,N$1=""),"",SUMIFS('All Donations'!$S$2:$S$4001,'All Donations'!$R$2:$R$4001,$AD300,'All Donations'!$T$2:$T$4001,N$1))</f>
        <v/>
      </c>
      <c r="O300" s="49">
        <f>IF(OR($AE300&lt;&gt;1,O$1=""),"",SUMIFS('All Donations'!$S$2:$S$4001,'All Donations'!$R$2:$R$4001,$AD300,'All Donations'!$T$2:$T$4001,O$1))</f>
        <v/>
      </c>
      <c r="P300" s="49">
        <f>IF(OR($AE300&lt;&gt;1,P$1=""),"",SUMIFS('All Donations'!$S$2:$S$4001,'All Donations'!$R$2:$R$4001,$AD300,'All Donations'!$T$2:$T$4001,P$1))</f>
        <v/>
      </c>
      <c r="Q300" s="49">
        <f>IF(OR($AE300&lt;&gt;1,Q$1=""),"",SUMIFS('All Donations'!$S$2:$S$4001,'All Donations'!$R$2:$R$4001,$AD300,'All Donations'!$T$2:$T$4001,Q$1))</f>
        <v/>
      </c>
      <c r="R300" s="49">
        <f>IF(OR($AE300&lt;&gt;1,R$1=""),"",SUMIFS('All Donations'!$S$2:$S$4001,'All Donations'!$R$2:$R$4001,$AD300,'All Donations'!$T$2:$T$4001,R$1))</f>
        <v/>
      </c>
      <c r="S300" s="49">
        <f>IF(OR($AE300&lt;&gt;1,S$1=""),"",SUMIFS('All Donations'!$S$2:$S$4001,'All Donations'!$R$2:$R$4001,$AD300,'All Donations'!$T$2:$T$4001,S$1))</f>
        <v/>
      </c>
      <c r="T300" s="49">
        <f>IF(OR($AE300&lt;&gt;1,T$1=""),"",SUMIFS('All Donations'!$S$2:$S$4001,'All Donations'!$R$2:$R$4001,$AD300,'All Donations'!$T$2:$T$4001,T$1))</f>
        <v/>
      </c>
      <c r="U300" s="49">
        <f>IF(OR($AE300&lt;&gt;1,U$1=""),"",SUMIFS('All Donations'!$S$2:$S$4001,'All Donations'!$R$2:$R$4001,$AD300,'All Donations'!$T$2:$T$4001,U$1))</f>
        <v/>
      </c>
      <c r="V300" s="49">
        <f>IF(OR($AE300&lt;&gt;1,V$1=""),"",SUMIFS('All Donations'!$S$2:$S$4001,'All Donations'!$R$2:$R$4001,$AD300,'All Donations'!$T$2:$T$4001,V$1))</f>
        <v/>
      </c>
      <c r="W300" s="49">
        <f>IF(OR($AE300&lt;&gt;1,W$1=""),"",SUMIFS('All Donations'!$S$2:$S$4001,'All Donations'!$R$2:$R$4001,$AD300,'All Donations'!$T$2:$T$4001,W$1))</f>
        <v/>
      </c>
      <c r="X300" s="49">
        <f>IF(OR($AE300&lt;&gt;1,X$1=""),"",SUMIFS('All Donations'!$S$2:$S$4001,'All Donations'!$R$2:$R$4001,$AD300,'All Donations'!$T$2:$T$4001,X$1))</f>
        <v/>
      </c>
      <c r="Y300" s="49">
        <f>IF(OR($AE300&lt;&gt;1,Y$1=""),"",SUMIFS('All Donations'!$S$2:$S$4001,'All Donations'!$R$2:$R$4001,$AD300,'All Donations'!$T$2:$T$4001,Y$1))</f>
        <v/>
      </c>
      <c r="Z300" s="49">
        <f>IF(OR($AE300&lt;&gt;1,Z$1=""),"",SUMIFS('All Donations'!$S$2:$S$4001,'All Donations'!$R$2:$R$4001,$AD300,'All Donations'!$T$2:$T$4001,Z$1))</f>
        <v/>
      </c>
      <c r="AA300" s="49">
        <f>IF(OR($AE300&lt;&gt;1,AA$1=""),"",SUMIFS('All Donations'!$S$2:$S$4001,'All Donations'!$R$2:$R$4001,$AD300,'All Donations'!$T$2:$T$4001,AA$1))</f>
        <v/>
      </c>
      <c r="AB300" s="49">
        <f>IF(OR($AE300&lt;&gt;1,AB$1=""),"",SUMIFS('All Donations'!$S$2:$S$4001,'All Donations'!$R$2:$R$4001,$AD300,'All Donations'!$T$2:$T$4001,AB$1))</f>
        <v/>
      </c>
      <c r="AC300" s="49">
        <f>IF(OR($AE300&lt;&gt;1,AC$1=""),"",SUMIFS('All Donations'!$S$2:$S$4001,'All Donations'!$R$2:$R$4001,$AD300,'All Donations'!$T$2:$T$4001,AC$1))</f>
        <v/>
      </c>
      <c r="AD300">
        <f>IF(AE300=1,'Roster'!A300,"")</f>
        <v/>
      </c>
      <c r="AE300">
        <f>IF(TRIM('Roster'!B300&amp;'Roster'!C300)&lt;&gt;"",1,0)</f>
        <v/>
      </c>
      <c r="AF300">
        <f>IF(AE300=1,LOWER(A300),"#")</f>
        <v/>
      </c>
      <c r="AG300">
        <f>IF(AE300=1,LOWER(TRIM(TRIM('Roster'!C300)&amp;", "&amp;TRIM('Roster'!B300))),"#")</f>
        <v/>
      </c>
      <c r="AH300">
        <f>IF(AND(AE300=1,TRIM('Roster'!F300)&lt;&gt;""),LOWER(TRIM('Roster'!F300)),"#")</f>
        <v/>
      </c>
      <c r="AI300">
        <f>IF(AE300=1,IF(MATCH(B300,$B$2:$B$701,0)=ROW()-1,1,0),0)</f>
        <v/>
      </c>
      <c r="AJ300">
        <f>AJ299+AI300</f>
        <v/>
      </c>
      <c r="AK300">
        <f>IF(AE300=1,D300+(1000-ROW())/10^7,-1)</f>
        <v/>
      </c>
      <c r="AL300">
        <f>IF(AE300=1,TRIM('Roster'!B300)&amp;" "&amp;LEFT(TRIM('Roster'!C300),1)&amp;".","")</f>
        <v/>
      </c>
      <c r="AM300">
        <f>IF(AE300=1,TRIM('Roster'!C300)&amp;", "&amp;TRIM('Roster'!B300)&amp;" ("&amp;B300&amp;") #"&amp;AD300,"")</f>
        <v/>
      </c>
      <c r="AN300">
        <f>IF(AE300=1,TRIM('Roster'!E300),"")</f>
        <v/>
      </c>
      <c r="AO300">
        <f>IF(AE300=1,ROUND(SUMIFS('All Donations'!$S$2:$S$4001,'All Donations'!$R$2:$R$4001,AD300,'All Donations'!$T$2:$T$4001,"&gt;="&amp;'Settings'!$C$23,'All Donations'!$T$2:$T$4001,"&lt;="&amp;'Settings'!$D$23),2),0)</f>
        <v/>
      </c>
      <c r="AQ300">
        <f>IF(AE300=1,ROUND(SUMIFS('All Donations'!$S$2:$S$4001,'All Donations'!$R$2:$R$4001,AD300,'All Donations'!$T$2:$T$4001,"&gt;="&amp;'Settings'!$C$25,'All Donations'!$T$2:$T$4001,"&lt;="&amp;'Settings'!$D$25),2),0)</f>
        <v/>
      </c>
      <c r="AR300">
        <f>IF(AE300=1,ROUND(SUMIFS('All Donations'!$S$2:$S$4001,'All Donations'!$R$2:$R$4001,AD300,'All Donations'!$T$2:$T$4001,"&gt;="&amp;'Settings'!$C$26,'All Donations'!$T$2:$T$4001,"&lt;="&amp;'Settings'!$D$26),2),0)</f>
        <v/>
      </c>
      <c r="AS300">
        <f>IF(AE300=1,ROUND(SUMIFS('All Donations'!$S$2:$S$4001,'All Donations'!$R$2:$R$4001,AD300,'All Donations'!$T$2:$T$4001,"&lt;="&amp;'Settings'!$D$27),2),0)</f>
        <v/>
      </c>
      <c r="AT300">
        <f>IF(AE300=1,ROUND(SUMIFS('All Donations'!$S$2:$S$4001,'All Donations'!$R$2:$R$4001,AD300,'All Donations'!$T$2:$T$4001,"&gt;="&amp;'Settings'!$C$28,'All Donations'!$T$2:$T$4001,"&lt;="&amp;'Settings'!$D$28),2),0)</f>
        <v/>
      </c>
      <c r="AU300">
        <f>IF(AE300=1,ROUND(SUMIFS('All Donations'!$S$2:$S$4001,'All Donations'!$R$2:$R$4001,AD300,'All Donations'!$T$2:$T$4001,"&gt;="&amp;'Settings'!$C$29,'All Donations'!$T$2:$T$4001,"&lt;="&amp;'Settings'!$D$29),2),0)</f>
        <v/>
      </c>
      <c r="AV300">
        <f>IF(AE300=1,ROUND(SUMIFS('All Donations'!$S$2:$S$4001,'All Donations'!$R$2:$R$4001,AD300,'All Donations'!$T$2:$T$4001,"&lt;="&amp;'Settings'!$D$30),2),0)</f>
        <v/>
      </c>
      <c r="AZ300">
        <f>IF(AE300=1,ROUND(SUMIFS('All Donations'!$S$2:$S$4001,'All Donations'!$R$2:$R$4001,AD300,'All Donations'!$T$2:$T$4001,"&lt;="&amp;'Settings'!$D$34),2),0)</f>
        <v/>
      </c>
    </row>
    <row r="301">
      <c r="A301">
        <f>IF(AE301=1,TRIM(TRIM('Roster'!B301)&amp;" "&amp;TRIM('Roster'!C301)),"")</f>
        <v/>
      </c>
      <c r="B301">
        <f>IF(AE301=1,IF(AN301="","(no teacher)",AN301&amp;" – "&amp;C301),"")</f>
        <v/>
      </c>
      <c r="C301">
        <f>IF(AE301=1,TRIM('Roster'!D301&amp;""),"")</f>
        <v/>
      </c>
      <c r="D301" s="48">
        <f>IF(AE301=1,ROUND(SUMIFS('All Donations'!$S$2:$S$4001,'All Donations'!$R$2:$R$4001,AD301),2),"")</f>
        <v/>
      </c>
      <c r="E301" s="48">
        <f>IF(AE301=1,ROUND(SUMIFS('All Donations'!$S$2:$S$4001,'All Donations'!$R$2:$R$4001,AD301,'All Donations'!$G$2:$G$4001,"OneCause"),2),"")</f>
        <v/>
      </c>
      <c r="F301" s="48">
        <f>IF(AE301=1,D301-E301,"")</f>
        <v/>
      </c>
      <c r="G301">
        <f>IF(AE301=1,COUNTIFS('All Donations'!$R$2:$R$4001,AD301,'All Donations'!$H$2:$H$4001,"OK"),"")</f>
        <v/>
      </c>
      <c r="H301">
        <f>IF(AE301&lt;&gt;1,"",IF(D301&gt;0,"Yes",""))</f>
        <v/>
      </c>
      <c r="I301" s="49">
        <f>IF(OR($AE301&lt;&gt;1,I$1=""),"",SUMIFS('All Donations'!$S$2:$S$4001,'All Donations'!$R$2:$R$4001,$AD301,'All Donations'!$T$2:$T$4001,I$1))</f>
        <v/>
      </c>
      <c r="J301" s="49">
        <f>IF(OR($AE301&lt;&gt;1,J$1=""),"",SUMIFS('All Donations'!$S$2:$S$4001,'All Donations'!$R$2:$R$4001,$AD301,'All Donations'!$T$2:$T$4001,J$1))</f>
        <v/>
      </c>
      <c r="K301" s="49">
        <f>IF(OR($AE301&lt;&gt;1,K$1=""),"",SUMIFS('All Donations'!$S$2:$S$4001,'All Donations'!$R$2:$R$4001,$AD301,'All Donations'!$T$2:$T$4001,K$1))</f>
        <v/>
      </c>
      <c r="L301" s="49">
        <f>IF(OR($AE301&lt;&gt;1,L$1=""),"",SUMIFS('All Donations'!$S$2:$S$4001,'All Donations'!$R$2:$R$4001,$AD301,'All Donations'!$T$2:$T$4001,L$1))</f>
        <v/>
      </c>
      <c r="M301" s="49">
        <f>IF(OR($AE301&lt;&gt;1,M$1=""),"",SUMIFS('All Donations'!$S$2:$S$4001,'All Donations'!$R$2:$R$4001,$AD301,'All Donations'!$T$2:$T$4001,M$1))</f>
        <v/>
      </c>
      <c r="N301" s="49">
        <f>IF(OR($AE301&lt;&gt;1,N$1=""),"",SUMIFS('All Donations'!$S$2:$S$4001,'All Donations'!$R$2:$R$4001,$AD301,'All Donations'!$T$2:$T$4001,N$1))</f>
        <v/>
      </c>
      <c r="O301" s="49">
        <f>IF(OR($AE301&lt;&gt;1,O$1=""),"",SUMIFS('All Donations'!$S$2:$S$4001,'All Donations'!$R$2:$R$4001,$AD301,'All Donations'!$T$2:$T$4001,O$1))</f>
        <v/>
      </c>
      <c r="P301" s="49">
        <f>IF(OR($AE301&lt;&gt;1,P$1=""),"",SUMIFS('All Donations'!$S$2:$S$4001,'All Donations'!$R$2:$R$4001,$AD301,'All Donations'!$T$2:$T$4001,P$1))</f>
        <v/>
      </c>
      <c r="Q301" s="49">
        <f>IF(OR($AE301&lt;&gt;1,Q$1=""),"",SUMIFS('All Donations'!$S$2:$S$4001,'All Donations'!$R$2:$R$4001,$AD301,'All Donations'!$T$2:$T$4001,Q$1))</f>
        <v/>
      </c>
      <c r="R301" s="49">
        <f>IF(OR($AE301&lt;&gt;1,R$1=""),"",SUMIFS('All Donations'!$S$2:$S$4001,'All Donations'!$R$2:$R$4001,$AD301,'All Donations'!$T$2:$T$4001,R$1))</f>
        <v/>
      </c>
      <c r="S301" s="49">
        <f>IF(OR($AE301&lt;&gt;1,S$1=""),"",SUMIFS('All Donations'!$S$2:$S$4001,'All Donations'!$R$2:$R$4001,$AD301,'All Donations'!$T$2:$T$4001,S$1))</f>
        <v/>
      </c>
      <c r="T301" s="49">
        <f>IF(OR($AE301&lt;&gt;1,T$1=""),"",SUMIFS('All Donations'!$S$2:$S$4001,'All Donations'!$R$2:$R$4001,$AD301,'All Donations'!$T$2:$T$4001,T$1))</f>
        <v/>
      </c>
      <c r="U301" s="49">
        <f>IF(OR($AE301&lt;&gt;1,U$1=""),"",SUMIFS('All Donations'!$S$2:$S$4001,'All Donations'!$R$2:$R$4001,$AD301,'All Donations'!$T$2:$T$4001,U$1))</f>
        <v/>
      </c>
      <c r="V301" s="49">
        <f>IF(OR($AE301&lt;&gt;1,V$1=""),"",SUMIFS('All Donations'!$S$2:$S$4001,'All Donations'!$R$2:$R$4001,$AD301,'All Donations'!$T$2:$T$4001,V$1))</f>
        <v/>
      </c>
      <c r="W301" s="49">
        <f>IF(OR($AE301&lt;&gt;1,W$1=""),"",SUMIFS('All Donations'!$S$2:$S$4001,'All Donations'!$R$2:$R$4001,$AD301,'All Donations'!$T$2:$T$4001,W$1))</f>
        <v/>
      </c>
      <c r="X301" s="49">
        <f>IF(OR($AE301&lt;&gt;1,X$1=""),"",SUMIFS('All Donations'!$S$2:$S$4001,'All Donations'!$R$2:$R$4001,$AD301,'All Donations'!$T$2:$T$4001,X$1))</f>
        <v/>
      </c>
      <c r="Y301" s="49">
        <f>IF(OR($AE301&lt;&gt;1,Y$1=""),"",SUMIFS('All Donations'!$S$2:$S$4001,'All Donations'!$R$2:$R$4001,$AD301,'All Donations'!$T$2:$T$4001,Y$1))</f>
        <v/>
      </c>
      <c r="Z301" s="49">
        <f>IF(OR($AE301&lt;&gt;1,Z$1=""),"",SUMIFS('All Donations'!$S$2:$S$4001,'All Donations'!$R$2:$R$4001,$AD301,'All Donations'!$T$2:$T$4001,Z$1))</f>
        <v/>
      </c>
      <c r="AA301" s="49">
        <f>IF(OR($AE301&lt;&gt;1,AA$1=""),"",SUMIFS('All Donations'!$S$2:$S$4001,'All Donations'!$R$2:$R$4001,$AD301,'All Donations'!$T$2:$T$4001,AA$1))</f>
        <v/>
      </c>
      <c r="AB301" s="49">
        <f>IF(OR($AE301&lt;&gt;1,AB$1=""),"",SUMIFS('All Donations'!$S$2:$S$4001,'All Donations'!$R$2:$R$4001,$AD301,'All Donations'!$T$2:$T$4001,AB$1))</f>
        <v/>
      </c>
      <c r="AC301" s="49">
        <f>IF(OR($AE301&lt;&gt;1,AC$1=""),"",SUMIFS('All Donations'!$S$2:$S$4001,'All Donations'!$R$2:$R$4001,$AD301,'All Donations'!$T$2:$T$4001,AC$1))</f>
        <v/>
      </c>
      <c r="AD301">
        <f>IF(AE301=1,'Roster'!A301,"")</f>
        <v/>
      </c>
      <c r="AE301">
        <f>IF(TRIM('Roster'!B301&amp;'Roster'!C301)&lt;&gt;"",1,0)</f>
        <v/>
      </c>
      <c r="AF301">
        <f>IF(AE301=1,LOWER(A301),"#")</f>
        <v/>
      </c>
      <c r="AG301">
        <f>IF(AE301=1,LOWER(TRIM(TRIM('Roster'!C301)&amp;", "&amp;TRIM('Roster'!B301))),"#")</f>
        <v/>
      </c>
      <c r="AH301">
        <f>IF(AND(AE301=1,TRIM('Roster'!F301)&lt;&gt;""),LOWER(TRIM('Roster'!F301)),"#")</f>
        <v/>
      </c>
      <c r="AI301">
        <f>IF(AE301=1,IF(MATCH(B301,$B$2:$B$701,0)=ROW()-1,1,0),0)</f>
        <v/>
      </c>
      <c r="AJ301">
        <f>AJ300+AI301</f>
        <v/>
      </c>
      <c r="AK301">
        <f>IF(AE301=1,D301+(1000-ROW())/10^7,-1)</f>
        <v/>
      </c>
      <c r="AL301">
        <f>IF(AE301=1,TRIM('Roster'!B301)&amp;" "&amp;LEFT(TRIM('Roster'!C301),1)&amp;".","")</f>
        <v/>
      </c>
      <c r="AM301">
        <f>IF(AE301=1,TRIM('Roster'!C301)&amp;", "&amp;TRIM('Roster'!B301)&amp;" ("&amp;B301&amp;") #"&amp;AD301,"")</f>
        <v/>
      </c>
      <c r="AN301">
        <f>IF(AE301=1,TRIM('Roster'!E301),"")</f>
        <v/>
      </c>
      <c r="AO301">
        <f>IF(AE301=1,ROUND(SUMIFS('All Donations'!$S$2:$S$4001,'All Donations'!$R$2:$R$4001,AD301,'All Donations'!$T$2:$T$4001,"&gt;="&amp;'Settings'!$C$23,'All Donations'!$T$2:$T$4001,"&lt;="&amp;'Settings'!$D$23),2),0)</f>
        <v/>
      </c>
      <c r="AQ301">
        <f>IF(AE301=1,ROUND(SUMIFS('All Donations'!$S$2:$S$4001,'All Donations'!$R$2:$R$4001,AD301,'All Donations'!$T$2:$T$4001,"&gt;="&amp;'Settings'!$C$25,'All Donations'!$T$2:$T$4001,"&lt;="&amp;'Settings'!$D$25),2),0)</f>
        <v/>
      </c>
      <c r="AR301">
        <f>IF(AE301=1,ROUND(SUMIFS('All Donations'!$S$2:$S$4001,'All Donations'!$R$2:$R$4001,AD301,'All Donations'!$T$2:$T$4001,"&gt;="&amp;'Settings'!$C$26,'All Donations'!$T$2:$T$4001,"&lt;="&amp;'Settings'!$D$26),2),0)</f>
        <v/>
      </c>
      <c r="AS301">
        <f>IF(AE301=1,ROUND(SUMIFS('All Donations'!$S$2:$S$4001,'All Donations'!$R$2:$R$4001,AD301,'All Donations'!$T$2:$T$4001,"&lt;="&amp;'Settings'!$D$27),2),0)</f>
        <v/>
      </c>
      <c r="AT301">
        <f>IF(AE301=1,ROUND(SUMIFS('All Donations'!$S$2:$S$4001,'All Donations'!$R$2:$R$4001,AD301,'All Donations'!$T$2:$T$4001,"&gt;="&amp;'Settings'!$C$28,'All Donations'!$T$2:$T$4001,"&lt;="&amp;'Settings'!$D$28),2),0)</f>
        <v/>
      </c>
      <c r="AU301">
        <f>IF(AE301=1,ROUND(SUMIFS('All Donations'!$S$2:$S$4001,'All Donations'!$R$2:$R$4001,AD301,'All Donations'!$T$2:$T$4001,"&gt;="&amp;'Settings'!$C$29,'All Donations'!$T$2:$T$4001,"&lt;="&amp;'Settings'!$D$29),2),0)</f>
        <v/>
      </c>
      <c r="AV301">
        <f>IF(AE301=1,ROUND(SUMIFS('All Donations'!$S$2:$S$4001,'All Donations'!$R$2:$R$4001,AD301,'All Donations'!$T$2:$T$4001,"&lt;="&amp;'Settings'!$D$30),2),0)</f>
        <v/>
      </c>
      <c r="AZ301">
        <f>IF(AE301=1,ROUND(SUMIFS('All Donations'!$S$2:$S$4001,'All Donations'!$R$2:$R$4001,AD301,'All Donations'!$T$2:$T$4001,"&lt;="&amp;'Settings'!$D$34),2),0)</f>
        <v/>
      </c>
    </row>
    <row r="302">
      <c r="A302">
        <f>IF(AE302=1,TRIM(TRIM('Roster'!B302)&amp;" "&amp;TRIM('Roster'!C302)),"")</f>
        <v/>
      </c>
      <c r="B302">
        <f>IF(AE302=1,IF(AN302="","(no teacher)",AN302&amp;" – "&amp;C302),"")</f>
        <v/>
      </c>
      <c r="C302">
        <f>IF(AE302=1,TRIM('Roster'!D302&amp;""),"")</f>
        <v/>
      </c>
      <c r="D302" s="48">
        <f>IF(AE302=1,ROUND(SUMIFS('All Donations'!$S$2:$S$4001,'All Donations'!$R$2:$R$4001,AD302),2),"")</f>
        <v/>
      </c>
      <c r="E302" s="48">
        <f>IF(AE302=1,ROUND(SUMIFS('All Donations'!$S$2:$S$4001,'All Donations'!$R$2:$R$4001,AD302,'All Donations'!$G$2:$G$4001,"OneCause"),2),"")</f>
        <v/>
      </c>
      <c r="F302" s="48">
        <f>IF(AE302=1,D302-E302,"")</f>
        <v/>
      </c>
      <c r="G302">
        <f>IF(AE302=1,COUNTIFS('All Donations'!$R$2:$R$4001,AD302,'All Donations'!$H$2:$H$4001,"OK"),"")</f>
        <v/>
      </c>
      <c r="H302">
        <f>IF(AE302&lt;&gt;1,"",IF(D302&gt;0,"Yes",""))</f>
        <v/>
      </c>
      <c r="I302" s="49">
        <f>IF(OR($AE302&lt;&gt;1,I$1=""),"",SUMIFS('All Donations'!$S$2:$S$4001,'All Donations'!$R$2:$R$4001,$AD302,'All Donations'!$T$2:$T$4001,I$1))</f>
        <v/>
      </c>
      <c r="J302" s="49">
        <f>IF(OR($AE302&lt;&gt;1,J$1=""),"",SUMIFS('All Donations'!$S$2:$S$4001,'All Donations'!$R$2:$R$4001,$AD302,'All Donations'!$T$2:$T$4001,J$1))</f>
        <v/>
      </c>
      <c r="K302" s="49">
        <f>IF(OR($AE302&lt;&gt;1,K$1=""),"",SUMIFS('All Donations'!$S$2:$S$4001,'All Donations'!$R$2:$R$4001,$AD302,'All Donations'!$T$2:$T$4001,K$1))</f>
        <v/>
      </c>
      <c r="L302" s="49">
        <f>IF(OR($AE302&lt;&gt;1,L$1=""),"",SUMIFS('All Donations'!$S$2:$S$4001,'All Donations'!$R$2:$R$4001,$AD302,'All Donations'!$T$2:$T$4001,L$1))</f>
        <v/>
      </c>
      <c r="M302" s="49">
        <f>IF(OR($AE302&lt;&gt;1,M$1=""),"",SUMIFS('All Donations'!$S$2:$S$4001,'All Donations'!$R$2:$R$4001,$AD302,'All Donations'!$T$2:$T$4001,M$1))</f>
        <v/>
      </c>
      <c r="N302" s="49">
        <f>IF(OR($AE302&lt;&gt;1,N$1=""),"",SUMIFS('All Donations'!$S$2:$S$4001,'All Donations'!$R$2:$R$4001,$AD302,'All Donations'!$T$2:$T$4001,N$1))</f>
        <v/>
      </c>
      <c r="O302" s="49">
        <f>IF(OR($AE302&lt;&gt;1,O$1=""),"",SUMIFS('All Donations'!$S$2:$S$4001,'All Donations'!$R$2:$R$4001,$AD302,'All Donations'!$T$2:$T$4001,O$1))</f>
        <v/>
      </c>
      <c r="P302" s="49">
        <f>IF(OR($AE302&lt;&gt;1,P$1=""),"",SUMIFS('All Donations'!$S$2:$S$4001,'All Donations'!$R$2:$R$4001,$AD302,'All Donations'!$T$2:$T$4001,P$1))</f>
        <v/>
      </c>
      <c r="Q302" s="49">
        <f>IF(OR($AE302&lt;&gt;1,Q$1=""),"",SUMIFS('All Donations'!$S$2:$S$4001,'All Donations'!$R$2:$R$4001,$AD302,'All Donations'!$T$2:$T$4001,Q$1))</f>
        <v/>
      </c>
      <c r="R302" s="49">
        <f>IF(OR($AE302&lt;&gt;1,R$1=""),"",SUMIFS('All Donations'!$S$2:$S$4001,'All Donations'!$R$2:$R$4001,$AD302,'All Donations'!$T$2:$T$4001,R$1))</f>
        <v/>
      </c>
      <c r="S302" s="49">
        <f>IF(OR($AE302&lt;&gt;1,S$1=""),"",SUMIFS('All Donations'!$S$2:$S$4001,'All Donations'!$R$2:$R$4001,$AD302,'All Donations'!$T$2:$T$4001,S$1))</f>
        <v/>
      </c>
      <c r="T302" s="49">
        <f>IF(OR($AE302&lt;&gt;1,T$1=""),"",SUMIFS('All Donations'!$S$2:$S$4001,'All Donations'!$R$2:$R$4001,$AD302,'All Donations'!$T$2:$T$4001,T$1))</f>
        <v/>
      </c>
      <c r="U302" s="49">
        <f>IF(OR($AE302&lt;&gt;1,U$1=""),"",SUMIFS('All Donations'!$S$2:$S$4001,'All Donations'!$R$2:$R$4001,$AD302,'All Donations'!$T$2:$T$4001,U$1))</f>
        <v/>
      </c>
      <c r="V302" s="49">
        <f>IF(OR($AE302&lt;&gt;1,V$1=""),"",SUMIFS('All Donations'!$S$2:$S$4001,'All Donations'!$R$2:$R$4001,$AD302,'All Donations'!$T$2:$T$4001,V$1))</f>
        <v/>
      </c>
      <c r="W302" s="49">
        <f>IF(OR($AE302&lt;&gt;1,W$1=""),"",SUMIFS('All Donations'!$S$2:$S$4001,'All Donations'!$R$2:$R$4001,$AD302,'All Donations'!$T$2:$T$4001,W$1))</f>
        <v/>
      </c>
      <c r="X302" s="49">
        <f>IF(OR($AE302&lt;&gt;1,X$1=""),"",SUMIFS('All Donations'!$S$2:$S$4001,'All Donations'!$R$2:$R$4001,$AD302,'All Donations'!$T$2:$T$4001,X$1))</f>
        <v/>
      </c>
      <c r="Y302" s="49">
        <f>IF(OR($AE302&lt;&gt;1,Y$1=""),"",SUMIFS('All Donations'!$S$2:$S$4001,'All Donations'!$R$2:$R$4001,$AD302,'All Donations'!$T$2:$T$4001,Y$1))</f>
        <v/>
      </c>
      <c r="Z302" s="49">
        <f>IF(OR($AE302&lt;&gt;1,Z$1=""),"",SUMIFS('All Donations'!$S$2:$S$4001,'All Donations'!$R$2:$R$4001,$AD302,'All Donations'!$T$2:$T$4001,Z$1))</f>
        <v/>
      </c>
      <c r="AA302" s="49">
        <f>IF(OR($AE302&lt;&gt;1,AA$1=""),"",SUMIFS('All Donations'!$S$2:$S$4001,'All Donations'!$R$2:$R$4001,$AD302,'All Donations'!$T$2:$T$4001,AA$1))</f>
        <v/>
      </c>
      <c r="AB302" s="49">
        <f>IF(OR($AE302&lt;&gt;1,AB$1=""),"",SUMIFS('All Donations'!$S$2:$S$4001,'All Donations'!$R$2:$R$4001,$AD302,'All Donations'!$T$2:$T$4001,AB$1))</f>
        <v/>
      </c>
      <c r="AC302" s="49">
        <f>IF(OR($AE302&lt;&gt;1,AC$1=""),"",SUMIFS('All Donations'!$S$2:$S$4001,'All Donations'!$R$2:$R$4001,$AD302,'All Donations'!$T$2:$T$4001,AC$1))</f>
        <v/>
      </c>
      <c r="AD302">
        <f>IF(AE302=1,'Roster'!A302,"")</f>
        <v/>
      </c>
      <c r="AE302">
        <f>IF(TRIM('Roster'!B302&amp;'Roster'!C302)&lt;&gt;"",1,0)</f>
        <v/>
      </c>
      <c r="AF302">
        <f>IF(AE302=1,LOWER(A302),"#")</f>
        <v/>
      </c>
      <c r="AG302">
        <f>IF(AE302=1,LOWER(TRIM(TRIM('Roster'!C302)&amp;", "&amp;TRIM('Roster'!B302))),"#")</f>
        <v/>
      </c>
      <c r="AH302">
        <f>IF(AND(AE302=1,TRIM('Roster'!F302)&lt;&gt;""),LOWER(TRIM('Roster'!F302)),"#")</f>
        <v/>
      </c>
      <c r="AI302">
        <f>IF(AE302=1,IF(MATCH(B302,$B$2:$B$701,0)=ROW()-1,1,0),0)</f>
        <v/>
      </c>
      <c r="AJ302">
        <f>AJ301+AI302</f>
        <v/>
      </c>
      <c r="AK302">
        <f>IF(AE302=1,D302+(1000-ROW())/10^7,-1)</f>
        <v/>
      </c>
      <c r="AL302">
        <f>IF(AE302=1,TRIM('Roster'!B302)&amp;" "&amp;LEFT(TRIM('Roster'!C302),1)&amp;".","")</f>
        <v/>
      </c>
      <c r="AM302">
        <f>IF(AE302=1,TRIM('Roster'!C302)&amp;", "&amp;TRIM('Roster'!B302)&amp;" ("&amp;B302&amp;") #"&amp;AD302,"")</f>
        <v/>
      </c>
      <c r="AN302">
        <f>IF(AE302=1,TRIM('Roster'!E302),"")</f>
        <v/>
      </c>
      <c r="AO302">
        <f>IF(AE302=1,ROUND(SUMIFS('All Donations'!$S$2:$S$4001,'All Donations'!$R$2:$R$4001,AD302,'All Donations'!$T$2:$T$4001,"&gt;="&amp;'Settings'!$C$23,'All Donations'!$T$2:$T$4001,"&lt;="&amp;'Settings'!$D$23),2),0)</f>
        <v/>
      </c>
      <c r="AQ302">
        <f>IF(AE302=1,ROUND(SUMIFS('All Donations'!$S$2:$S$4001,'All Donations'!$R$2:$R$4001,AD302,'All Donations'!$T$2:$T$4001,"&gt;="&amp;'Settings'!$C$25,'All Donations'!$T$2:$T$4001,"&lt;="&amp;'Settings'!$D$25),2),0)</f>
        <v/>
      </c>
      <c r="AR302">
        <f>IF(AE302=1,ROUND(SUMIFS('All Donations'!$S$2:$S$4001,'All Donations'!$R$2:$R$4001,AD302,'All Donations'!$T$2:$T$4001,"&gt;="&amp;'Settings'!$C$26,'All Donations'!$T$2:$T$4001,"&lt;="&amp;'Settings'!$D$26),2),0)</f>
        <v/>
      </c>
      <c r="AS302">
        <f>IF(AE302=1,ROUND(SUMIFS('All Donations'!$S$2:$S$4001,'All Donations'!$R$2:$R$4001,AD302,'All Donations'!$T$2:$T$4001,"&lt;="&amp;'Settings'!$D$27),2),0)</f>
        <v/>
      </c>
      <c r="AT302">
        <f>IF(AE302=1,ROUND(SUMIFS('All Donations'!$S$2:$S$4001,'All Donations'!$R$2:$R$4001,AD302,'All Donations'!$T$2:$T$4001,"&gt;="&amp;'Settings'!$C$28,'All Donations'!$T$2:$T$4001,"&lt;="&amp;'Settings'!$D$28),2),0)</f>
        <v/>
      </c>
      <c r="AU302">
        <f>IF(AE302=1,ROUND(SUMIFS('All Donations'!$S$2:$S$4001,'All Donations'!$R$2:$R$4001,AD302,'All Donations'!$T$2:$T$4001,"&gt;="&amp;'Settings'!$C$29,'All Donations'!$T$2:$T$4001,"&lt;="&amp;'Settings'!$D$29),2),0)</f>
        <v/>
      </c>
      <c r="AV302">
        <f>IF(AE302=1,ROUND(SUMIFS('All Donations'!$S$2:$S$4001,'All Donations'!$R$2:$R$4001,AD302,'All Donations'!$T$2:$T$4001,"&lt;="&amp;'Settings'!$D$30),2),0)</f>
        <v/>
      </c>
      <c r="AZ302">
        <f>IF(AE302=1,ROUND(SUMIFS('All Donations'!$S$2:$S$4001,'All Donations'!$R$2:$R$4001,AD302,'All Donations'!$T$2:$T$4001,"&lt;="&amp;'Settings'!$D$34),2),0)</f>
        <v/>
      </c>
    </row>
    <row r="303">
      <c r="A303">
        <f>IF(AE303=1,TRIM(TRIM('Roster'!B303)&amp;" "&amp;TRIM('Roster'!C303)),"")</f>
        <v/>
      </c>
      <c r="B303">
        <f>IF(AE303=1,IF(AN303="","(no teacher)",AN303&amp;" – "&amp;C303),"")</f>
        <v/>
      </c>
      <c r="C303">
        <f>IF(AE303=1,TRIM('Roster'!D303&amp;""),"")</f>
        <v/>
      </c>
      <c r="D303" s="48">
        <f>IF(AE303=1,ROUND(SUMIFS('All Donations'!$S$2:$S$4001,'All Donations'!$R$2:$R$4001,AD303),2),"")</f>
        <v/>
      </c>
      <c r="E303" s="48">
        <f>IF(AE303=1,ROUND(SUMIFS('All Donations'!$S$2:$S$4001,'All Donations'!$R$2:$R$4001,AD303,'All Donations'!$G$2:$G$4001,"OneCause"),2),"")</f>
        <v/>
      </c>
      <c r="F303" s="48">
        <f>IF(AE303=1,D303-E303,"")</f>
        <v/>
      </c>
      <c r="G303">
        <f>IF(AE303=1,COUNTIFS('All Donations'!$R$2:$R$4001,AD303,'All Donations'!$H$2:$H$4001,"OK"),"")</f>
        <v/>
      </c>
      <c r="H303">
        <f>IF(AE303&lt;&gt;1,"",IF(D303&gt;0,"Yes",""))</f>
        <v/>
      </c>
      <c r="I303" s="49">
        <f>IF(OR($AE303&lt;&gt;1,I$1=""),"",SUMIFS('All Donations'!$S$2:$S$4001,'All Donations'!$R$2:$R$4001,$AD303,'All Donations'!$T$2:$T$4001,I$1))</f>
        <v/>
      </c>
      <c r="J303" s="49">
        <f>IF(OR($AE303&lt;&gt;1,J$1=""),"",SUMIFS('All Donations'!$S$2:$S$4001,'All Donations'!$R$2:$R$4001,$AD303,'All Donations'!$T$2:$T$4001,J$1))</f>
        <v/>
      </c>
      <c r="K303" s="49">
        <f>IF(OR($AE303&lt;&gt;1,K$1=""),"",SUMIFS('All Donations'!$S$2:$S$4001,'All Donations'!$R$2:$R$4001,$AD303,'All Donations'!$T$2:$T$4001,K$1))</f>
        <v/>
      </c>
      <c r="L303" s="49">
        <f>IF(OR($AE303&lt;&gt;1,L$1=""),"",SUMIFS('All Donations'!$S$2:$S$4001,'All Donations'!$R$2:$R$4001,$AD303,'All Donations'!$T$2:$T$4001,L$1))</f>
        <v/>
      </c>
      <c r="M303" s="49">
        <f>IF(OR($AE303&lt;&gt;1,M$1=""),"",SUMIFS('All Donations'!$S$2:$S$4001,'All Donations'!$R$2:$R$4001,$AD303,'All Donations'!$T$2:$T$4001,M$1))</f>
        <v/>
      </c>
      <c r="N303" s="49">
        <f>IF(OR($AE303&lt;&gt;1,N$1=""),"",SUMIFS('All Donations'!$S$2:$S$4001,'All Donations'!$R$2:$R$4001,$AD303,'All Donations'!$T$2:$T$4001,N$1))</f>
        <v/>
      </c>
      <c r="O303" s="49">
        <f>IF(OR($AE303&lt;&gt;1,O$1=""),"",SUMIFS('All Donations'!$S$2:$S$4001,'All Donations'!$R$2:$R$4001,$AD303,'All Donations'!$T$2:$T$4001,O$1))</f>
        <v/>
      </c>
      <c r="P303" s="49">
        <f>IF(OR($AE303&lt;&gt;1,P$1=""),"",SUMIFS('All Donations'!$S$2:$S$4001,'All Donations'!$R$2:$R$4001,$AD303,'All Donations'!$T$2:$T$4001,P$1))</f>
        <v/>
      </c>
      <c r="Q303" s="49">
        <f>IF(OR($AE303&lt;&gt;1,Q$1=""),"",SUMIFS('All Donations'!$S$2:$S$4001,'All Donations'!$R$2:$R$4001,$AD303,'All Donations'!$T$2:$T$4001,Q$1))</f>
        <v/>
      </c>
      <c r="R303" s="49">
        <f>IF(OR($AE303&lt;&gt;1,R$1=""),"",SUMIFS('All Donations'!$S$2:$S$4001,'All Donations'!$R$2:$R$4001,$AD303,'All Donations'!$T$2:$T$4001,R$1))</f>
        <v/>
      </c>
      <c r="S303" s="49">
        <f>IF(OR($AE303&lt;&gt;1,S$1=""),"",SUMIFS('All Donations'!$S$2:$S$4001,'All Donations'!$R$2:$R$4001,$AD303,'All Donations'!$T$2:$T$4001,S$1))</f>
        <v/>
      </c>
      <c r="T303" s="49">
        <f>IF(OR($AE303&lt;&gt;1,T$1=""),"",SUMIFS('All Donations'!$S$2:$S$4001,'All Donations'!$R$2:$R$4001,$AD303,'All Donations'!$T$2:$T$4001,T$1))</f>
        <v/>
      </c>
      <c r="U303" s="49">
        <f>IF(OR($AE303&lt;&gt;1,U$1=""),"",SUMIFS('All Donations'!$S$2:$S$4001,'All Donations'!$R$2:$R$4001,$AD303,'All Donations'!$T$2:$T$4001,U$1))</f>
        <v/>
      </c>
      <c r="V303" s="49">
        <f>IF(OR($AE303&lt;&gt;1,V$1=""),"",SUMIFS('All Donations'!$S$2:$S$4001,'All Donations'!$R$2:$R$4001,$AD303,'All Donations'!$T$2:$T$4001,V$1))</f>
        <v/>
      </c>
      <c r="W303" s="49">
        <f>IF(OR($AE303&lt;&gt;1,W$1=""),"",SUMIFS('All Donations'!$S$2:$S$4001,'All Donations'!$R$2:$R$4001,$AD303,'All Donations'!$T$2:$T$4001,W$1))</f>
        <v/>
      </c>
      <c r="X303" s="49">
        <f>IF(OR($AE303&lt;&gt;1,X$1=""),"",SUMIFS('All Donations'!$S$2:$S$4001,'All Donations'!$R$2:$R$4001,$AD303,'All Donations'!$T$2:$T$4001,X$1))</f>
        <v/>
      </c>
      <c r="Y303" s="49">
        <f>IF(OR($AE303&lt;&gt;1,Y$1=""),"",SUMIFS('All Donations'!$S$2:$S$4001,'All Donations'!$R$2:$R$4001,$AD303,'All Donations'!$T$2:$T$4001,Y$1))</f>
        <v/>
      </c>
      <c r="Z303" s="49">
        <f>IF(OR($AE303&lt;&gt;1,Z$1=""),"",SUMIFS('All Donations'!$S$2:$S$4001,'All Donations'!$R$2:$R$4001,$AD303,'All Donations'!$T$2:$T$4001,Z$1))</f>
        <v/>
      </c>
      <c r="AA303" s="49">
        <f>IF(OR($AE303&lt;&gt;1,AA$1=""),"",SUMIFS('All Donations'!$S$2:$S$4001,'All Donations'!$R$2:$R$4001,$AD303,'All Donations'!$T$2:$T$4001,AA$1))</f>
        <v/>
      </c>
      <c r="AB303" s="49">
        <f>IF(OR($AE303&lt;&gt;1,AB$1=""),"",SUMIFS('All Donations'!$S$2:$S$4001,'All Donations'!$R$2:$R$4001,$AD303,'All Donations'!$T$2:$T$4001,AB$1))</f>
        <v/>
      </c>
      <c r="AC303" s="49">
        <f>IF(OR($AE303&lt;&gt;1,AC$1=""),"",SUMIFS('All Donations'!$S$2:$S$4001,'All Donations'!$R$2:$R$4001,$AD303,'All Donations'!$T$2:$T$4001,AC$1))</f>
        <v/>
      </c>
      <c r="AD303">
        <f>IF(AE303=1,'Roster'!A303,"")</f>
        <v/>
      </c>
      <c r="AE303">
        <f>IF(TRIM('Roster'!B303&amp;'Roster'!C303)&lt;&gt;"",1,0)</f>
        <v/>
      </c>
      <c r="AF303">
        <f>IF(AE303=1,LOWER(A303),"#")</f>
        <v/>
      </c>
      <c r="AG303">
        <f>IF(AE303=1,LOWER(TRIM(TRIM('Roster'!C303)&amp;", "&amp;TRIM('Roster'!B303))),"#")</f>
        <v/>
      </c>
      <c r="AH303">
        <f>IF(AND(AE303=1,TRIM('Roster'!F303)&lt;&gt;""),LOWER(TRIM('Roster'!F303)),"#")</f>
        <v/>
      </c>
      <c r="AI303">
        <f>IF(AE303=1,IF(MATCH(B303,$B$2:$B$701,0)=ROW()-1,1,0),0)</f>
        <v/>
      </c>
      <c r="AJ303">
        <f>AJ302+AI303</f>
        <v/>
      </c>
      <c r="AK303">
        <f>IF(AE303=1,D303+(1000-ROW())/10^7,-1)</f>
        <v/>
      </c>
      <c r="AL303">
        <f>IF(AE303=1,TRIM('Roster'!B303)&amp;" "&amp;LEFT(TRIM('Roster'!C303),1)&amp;".","")</f>
        <v/>
      </c>
      <c r="AM303">
        <f>IF(AE303=1,TRIM('Roster'!C303)&amp;", "&amp;TRIM('Roster'!B303)&amp;" ("&amp;B303&amp;") #"&amp;AD303,"")</f>
        <v/>
      </c>
      <c r="AN303">
        <f>IF(AE303=1,TRIM('Roster'!E303),"")</f>
        <v/>
      </c>
      <c r="AO303">
        <f>IF(AE303=1,ROUND(SUMIFS('All Donations'!$S$2:$S$4001,'All Donations'!$R$2:$R$4001,AD303,'All Donations'!$T$2:$T$4001,"&gt;="&amp;'Settings'!$C$23,'All Donations'!$T$2:$T$4001,"&lt;="&amp;'Settings'!$D$23),2),0)</f>
        <v/>
      </c>
      <c r="AQ303">
        <f>IF(AE303=1,ROUND(SUMIFS('All Donations'!$S$2:$S$4001,'All Donations'!$R$2:$R$4001,AD303,'All Donations'!$T$2:$T$4001,"&gt;="&amp;'Settings'!$C$25,'All Donations'!$T$2:$T$4001,"&lt;="&amp;'Settings'!$D$25),2),0)</f>
        <v/>
      </c>
      <c r="AR303">
        <f>IF(AE303=1,ROUND(SUMIFS('All Donations'!$S$2:$S$4001,'All Donations'!$R$2:$R$4001,AD303,'All Donations'!$T$2:$T$4001,"&gt;="&amp;'Settings'!$C$26,'All Donations'!$T$2:$T$4001,"&lt;="&amp;'Settings'!$D$26),2),0)</f>
        <v/>
      </c>
      <c r="AS303">
        <f>IF(AE303=1,ROUND(SUMIFS('All Donations'!$S$2:$S$4001,'All Donations'!$R$2:$R$4001,AD303,'All Donations'!$T$2:$T$4001,"&lt;="&amp;'Settings'!$D$27),2),0)</f>
        <v/>
      </c>
      <c r="AT303">
        <f>IF(AE303=1,ROUND(SUMIFS('All Donations'!$S$2:$S$4001,'All Donations'!$R$2:$R$4001,AD303,'All Donations'!$T$2:$T$4001,"&gt;="&amp;'Settings'!$C$28,'All Donations'!$T$2:$T$4001,"&lt;="&amp;'Settings'!$D$28),2),0)</f>
        <v/>
      </c>
      <c r="AU303">
        <f>IF(AE303=1,ROUND(SUMIFS('All Donations'!$S$2:$S$4001,'All Donations'!$R$2:$R$4001,AD303,'All Donations'!$T$2:$T$4001,"&gt;="&amp;'Settings'!$C$29,'All Donations'!$T$2:$T$4001,"&lt;="&amp;'Settings'!$D$29),2),0)</f>
        <v/>
      </c>
      <c r="AV303">
        <f>IF(AE303=1,ROUND(SUMIFS('All Donations'!$S$2:$S$4001,'All Donations'!$R$2:$R$4001,AD303,'All Donations'!$T$2:$T$4001,"&lt;="&amp;'Settings'!$D$30),2),0)</f>
        <v/>
      </c>
      <c r="AZ303">
        <f>IF(AE303=1,ROUND(SUMIFS('All Donations'!$S$2:$S$4001,'All Donations'!$R$2:$R$4001,AD303,'All Donations'!$T$2:$T$4001,"&lt;="&amp;'Settings'!$D$34),2),0)</f>
        <v/>
      </c>
    </row>
    <row r="304">
      <c r="A304">
        <f>IF(AE304=1,TRIM(TRIM('Roster'!B304)&amp;" "&amp;TRIM('Roster'!C304)),"")</f>
        <v/>
      </c>
      <c r="B304">
        <f>IF(AE304=1,IF(AN304="","(no teacher)",AN304&amp;" – "&amp;C304),"")</f>
        <v/>
      </c>
      <c r="C304">
        <f>IF(AE304=1,TRIM('Roster'!D304&amp;""),"")</f>
        <v/>
      </c>
      <c r="D304" s="48">
        <f>IF(AE304=1,ROUND(SUMIFS('All Donations'!$S$2:$S$4001,'All Donations'!$R$2:$R$4001,AD304),2),"")</f>
        <v/>
      </c>
      <c r="E304" s="48">
        <f>IF(AE304=1,ROUND(SUMIFS('All Donations'!$S$2:$S$4001,'All Donations'!$R$2:$R$4001,AD304,'All Donations'!$G$2:$G$4001,"OneCause"),2),"")</f>
        <v/>
      </c>
      <c r="F304" s="48">
        <f>IF(AE304=1,D304-E304,"")</f>
        <v/>
      </c>
      <c r="G304">
        <f>IF(AE304=1,COUNTIFS('All Donations'!$R$2:$R$4001,AD304,'All Donations'!$H$2:$H$4001,"OK"),"")</f>
        <v/>
      </c>
      <c r="H304">
        <f>IF(AE304&lt;&gt;1,"",IF(D304&gt;0,"Yes",""))</f>
        <v/>
      </c>
      <c r="I304" s="49">
        <f>IF(OR($AE304&lt;&gt;1,I$1=""),"",SUMIFS('All Donations'!$S$2:$S$4001,'All Donations'!$R$2:$R$4001,$AD304,'All Donations'!$T$2:$T$4001,I$1))</f>
        <v/>
      </c>
      <c r="J304" s="49">
        <f>IF(OR($AE304&lt;&gt;1,J$1=""),"",SUMIFS('All Donations'!$S$2:$S$4001,'All Donations'!$R$2:$R$4001,$AD304,'All Donations'!$T$2:$T$4001,J$1))</f>
        <v/>
      </c>
      <c r="K304" s="49">
        <f>IF(OR($AE304&lt;&gt;1,K$1=""),"",SUMIFS('All Donations'!$S$2:$S$4001,'All Donations'!$R$2:$R$4001,$AD304,'All Donations'!$T$2:$T$4001,K$1))</f>
        <v/>
      </c>
      <c r="L304" s="49">
        <f>IF(OR($AE304&lt;&gt;1,L$1=""),"",SUMIFS('All Donations'!$S$2:$S$4001,'All Donations'!$R$2:$R$4001,$AD304,'All Donations'!$T$2:$T$4001,L$1))</f>
        <v/>
      </c>
      <c r="M304" s="49">
        <f>IF(OR($AE304&lt;&gt;1,M$1=""),"",SUMIFS('All Donations'!$S$2:$S$4001,'All Donations'!$R$2:$R$4001,$AD304,'All Donations'!$T$2:$T$4001,M$1))</f>
        <v/>
      </c>
      <c r="N304" s="49">
        <f>IF(OR($AE304&lt;&gt;1,N$1=""),"",SUMIFS('All Donations'!$S$2:$S$4001,'All Donations'!$R$2:$R$4001,$AD304,'All Donations'!$T$2:$T$4001,N$1))</f>
        <v/>
      </c>
      <c r="O304" s="49">
        <f>IF(OR($AE304&lt;&gt;1,O$1=""),"",SUMIFS('All Donations'!$S$2:$S$4001,'All Donations'!$R$2:$R$4001,$AD304,'All Donations'!$T$2:$T$4001,O$1))</f>
        <v/>
      </c>
      <c r="P304" s="49">
        <f>IF(OR($AE304&lt;&gt;1,P$1=""),"",SUMIFS('All Donations'!$S$2:$S$4001,'All Donations'!$R$2:$R$4001,$AD304,'All Donations'!$T$2:$T$4001,P$1))</f>
        <v/>
      </c>
      <c r="Q304" s="49">
        <f>IF(OR($AE304&lt;&gt;1,Q$1=""),"",SUMIFS('All Donations'!$S$2:$S$4001,'All Donations'!$R$2:$R$4001,$AD304,'All Donations'!$T$2:$T$4001,Q$1))</f>
        <v/>
      </c>
      <c r="R304" s="49">
        <f>IF(OR($AE304&lt;&gt;1,R$1=""),"",SUMIFS('All Donations'!$S$2:$S$4001,'All Donations'!$R$2:$R$4001,$AD304,'All Donations'!$T$2:$T$4001,R$1))</f>
        <v/>
      </c>
      <c r="S304" s="49">
        <f>IF(OR($AE304&lt;&gt;1,S$1=""),"",SUMIFS('All Donations'!$S$2:$S$4001,'All Donations'!$R$2:$R$4001,$AD304,'All Donations'!$T$2:$T$4001,S$1))</f>
        <v/>
      </c>
      <c r="T304" s="49">
        <f>IF(OR($AE304&lt;&gt;1,T$1=""),"",SUMIFS('All Donations'!$S$2:$S$4001,'All Donations'!$R$2:$R$4001,$AD304,'All Donations'!$T$2:$T$4001,T$1))</f>
        <v/>
      </c>
      <c r="U304" s="49">
        <f>IF(OR($AE304&lt;&gt;1,U$1=""),"",SUMIFS('All Donations'!$S$2:$S$4001,'All Donations'!$R$2:$R$4001,$AD304,'All Donations'!$T$2:$T$4001,U$1))</f>
        <v/>
      </c>
      <c r="V304" s="49">
        <f>IF(OR($AE304&lt;&gt;1,V$1=""),"",SUMIFS('All Donations'!$S$2:$S$4001,'All Donations'!$R$2:$R$4001,$AD304,'All Donations'!$T$2:$T$4001,V$1))</f>
        <v/>
      </c>
      <c r="W304" s="49">
        <f>IF(OR($AE304&lt;&gt;1,W$1=""),"",SUMIFS('All Donations'!$S$2:$S$4001,'All Donations'!$R$2:$R$4001,$AD304,'All Donations'!$T$2:$T$4001,W$1))</f>
        <v/>
      </c>
      <c r="X304" s="49">
        <f>IF(OR($AE304&lt;&gt;1,X$1=""),"",SUMIFS('All Donations'!$S$2:$S$4001,'All Donations'!$R$2:$R$4001,$AD304,'All Donations'!$T$2:$T$4001,X$1))</f>
        <v/>
      </c>
      <c r="Y304" s="49">
        <f>IF(OR($AE304&lt;&gt;1,Y$1=""),"",SUMIFS('All Donations'!$S$2:$S$4001,'All Donations'!$R$2:$R$4001,$AD304,'All Donations'!$T$2:$T$4001,Y$1))</f>
        <v/>
      </c>
      <c r="Z304" s="49">
        <f>IF(OR($AE304&lt;&gt;1,Z$1=""),"",SUMIFS('All Donations'!$S$2:$S$4001,'All Donations'!$R$2:$R$4001,$AD304,'All Donations'!$T$2:$T$4001,Z$1))</f>
        <v/>
      </c>
      <c r="AA304" s="49">
        <f>IF(OR($AE304&lt;&gt;1,AA$1=""),"",SUMIFS('All Donations'!$S$2:$S$4001,'All Donations'!$R$2:$R$4001,$AD304,'All Donations'!$T$2:$T$4001,AA$1))</f>
        <v/>
      </c>
      <c r="AB304" s="49">
        <f>IF(OR($AE304&lt;&gt;1,AB$1=""),"",SUMIFS('All Donations'!$S$2:$S$4001,'All Donations'!$R$2:$R$4001,$AD304,'All Donations'!$T$2:$T$4001,AB$1))</f>
        <v/>
      </c>
      <c r="AC304" s="49">
        <f>IF(OR($AE304&lt;&gt;1,AC$1=""),"",SUMIFS('All Donations'!$S$2:$S$4001,'All Donations'!$R$2:$R$4001,$AD304,'All Donations'!$T$2:$T$4001,AC$1))</f>
        <v/>
      </c>
      <c r="AD304">
        <f>IF(AE304=1,'Roster'!A304,"")</f>
        <v/>
      </c>
      <c r="AE304">
        <f>IF(TRIM('Roster'!B304&amp;'Roster'!C304)&lt;&gt;"",1,0)</f>
        <v/>
      </c>
      <c r="AF304">
        <f>IF(AE304=1,LOWER(A304),"#")</f>
        <v/>
      </c>
      <c r="AG304">
        <f>IF(AE304=1,LOWER(TRIM(TRIM('Roster'!C304)&amp;", "&amp;TRIM('Roster'!B304))),"#")</f>
        <v/>
      </c>
      <c r="AH304">
        <f>IF(AND(AE304=1,TRIM('Roster'!F304)&lt;&gt;""),LOWER(TRIM('Roster'!F304)),"#")</f>
        <v/>
      </c>
      <c r="AI304">
        <f>IF(AE304=1,IF(MATCH(B304,$B$2:$B$701,0)=ROW()-1,1,0),0)</f>
        <v/>
      </c>
      <c r="AJ304">
        <f>AJ303+AI304</f>
        <v/>
      </c>
      <c r="AK304">
        <f>IF(AE304=1,D304+(1000-ROW())/10^7,-1)</f>
        <v/>
      </c>
      <c r="AL304">
        <f>IF(AE304=1,TRIM('Roster'!B304)&amp;" "&amp;LEFT(TRIM('Roster'!C304),1)&amp;".","")</f>
        <v/>
      </c>
      <c r="AM304">
        <f>IF(AE304=1,TRIM('Roster'!C304)&amp;", "&amp;TRIM('Roster'!B304)&amp;" ("&amp;B304&amp;") #"&amp;AD304,"")</f>
        <v/>
      </c>
      <c r="AN304">
        <f>IF(AE304=1,TRIM('Roster'!E304),"")</f>
        <v/>
      </c>
      <c r="AO304">
        <f>IF(AE304=1,ROUND(SUMIFS('All Donations'!$S$2:$S$4001,'All Donations'!$R$2:$R$4001,AD304,'All Donations'!$T$2:$T$4001,"&gt;="&amp;'Settings'!$C$23,'All Donations'!$T$2:$T$4001,"&lt;="&amp;'Settings'!$D$23),2),0)</f>
        <v/>
      </c>
      <c r="AQ304">
        <f>IF(AE304=1,ROUND(SUMIFS('All Donations'!$S$2:$S$4001,'All Donations'!$R$2:$R$4001,AD304,'All Donations'!$T$2:$T$4001,"&gt;="&amp;'Settings'!$C$25,'All Donations'!$T$2:$T$4001,"&lt;="&amp;'Settings'!$D$25),2),0)</f>
        <v/>
      </c>
      <c r="AR304">
        <f>IF(AE304=1,ROUND(SUMIFS('All Donations'!$S$2:$S$4001,'All Donations'!$R$2:$R$4001,AD304,'All Donations'!$T$2:$T$4001,"&gt;="&amp;'Settings'!$C$26,'All Donations'!$T$2:$T$4001,"&lt;="&amp;'Settings'!$D$26),2),0)</f>
        <v/>
      </c>
      <c r="AS304">
        <f>IF(AE304=1,ROUND(SUMIFS('All Donations'!$S$2:$S$4001,'All Donations'!$R$2:$R$4001,AD304,'All Donations'!$T$2:$T$4001,"&lt;="&amp;'Settings'!$D$27),2),0)</f>
        <v/>
      </c>
      <c r="AT304">
        <f>IF(AE304=1,ROUND(SUMIFS('All Donations'!$S$2:$S$4001,'All Donations'!$R$2:$R$4001,AD304,'All Donations'!$T$2:$T$4001,"&gt;="&amp;'Settings'!$C$28,'All Donations'!$T$2:$T$4001,"&lt;="&amp;'Settings'!$D$28),2),0)</f>
        <v/>
      </c>
      <c r="AU304">
        <f>IF(AE304=1,ROUND(SUMIFS('All Donations'!$S$2:$S$4001,'All Donations'!$R$2:$R$4001,AD304,'All Donations'!$T$2:$T$4001,"&gt;="&amp;'Settings'!$C$29,'All Donations'!$T$2:$T$4001,"&lt;="&amp;'Settings'!$D$29),2),0)</f>
        <v/>
      </c>
      <c r="AV304">
        <f>IF(AE304=1,ROUND(SUMIFS('All Donations'!$S$2:$S$4001,'All Donations'!$R$2:$R$4001,AD304,'All Donations'!$T$2:$T$4001,"&lt;="&amp;'Settings'!$D$30),2),0)</f>
        <v/>
      </c>
      <c r="AZ304">
        <f>IF(AE304=1,ROUND(SUMIFS('All Donations'!$S$2:$S$4001,'All Donations'!$R$2:$R$4001,AD304,'All Donations'!$T$2:$T$4001,"&lt;="&amp;'Settings'!$D$34),2),0)</f>
        <v/>
      </c>
    </row>
    <row r="305">
      <c r="A305">
        <f>IF(AE305=1,TRIM(TRIM('Roster'!B305)&amp;" "&amp;TRIM('Roster'!C305)),"")</f>
        <v/>
      </c>
      <c r="B305">
        <f>IF(AE305=1,IF(AN305="","(no teacher)",AN305&amp;" – "&amp;C305),"")</f>
        <v/>
      </c>
      <c r="C305">
        <f>IF(AE305=1,TRIM('Roster'!D305&amp;""),"")</f>
        <v/>
      </c>
      <c r="D305" s="48">
        <f>IF(AE305=1,ROUND(SUMIFS('All Donations'!$S$2:$S$4001,'All Donations'!$R$2:$R$4001,AD305),2),"")</f>
        <v/>
      </c>
      <c r="E305" s="48">
        <f>IF(AE305=1,ROUND(SUMIFS('All Donations'!$S$2:$S$4001,'All Donations'!$R$2:$R$4001,AD305,'All Donations'!$G$2:$G$4001,"OneCause"),2),"")</f>
        <v/>
      </c>
      <c r="F305" s="48">
        <f>IF(AE305=1,D305-E305,"")</f>
        <v/>
      </c>
      <c r="G305">
        <f>IF(AE305=1,COUNTIFS('All Donations'!$R$2:$R$4001,AD305,'All Donations'!$H$2:$H$4001,"OK"),"")</f>
        <v/>
      </c>
      <c r="H305">
        <f>IF(AE305&lt;&gt;1,"",IF(D305&gt;0,"Yes",""))</f>
        <v/>
      </c>
      <c r="I305" s="49">
        <f>IF(OR($AE305&lt;&gt;1,I$1=""),"",SUMIFS('All Donations'!$S$2:$S$4001,'All Donations'!$R$2:$R$4001,$AD305,'All Donations'!$T$2:$T$4001,I$1))</f>
        <v/>
      </c>
      <c r="J305" s="49">
        <f>IF(OR($AE305&lt;&gt;1,J$1=""),"",SUMIFS('All Donations'!$S$2:$S$4001,'All Donations'!$R$2:$R$4001,$AD305,'All Donations'!$T$2:$T$4001,J$1))</f>
        <v/>
      </c>
      <c r="K305" s="49">
        <f>IF(OR($AE305&lt;&gt;1,K$1=""),"",SUMIFS('All Donations'!$S$2:$S$4001,'All Donations'!$R$2:$R$4001,$AD305,'All Donations'!$T$2:$T$4001,K$1))</f>
        <v/>
      </c>
      <c r="L305" s="49">
        <f>IF(OR($AE305&lt;&gt;1,L$1=""),"",SUMIFS('All Donations'!$S$2:$S$4001,'All Donations'!$R$2:$R$4001,$AD305,'All Donations'!$T$2:$T$4001,L$1))</f>
        <v/>
      </c>
      <c r="M305" s="49">
        <f>IF(OR($AE305&lt;&gt;1,M$1=""),"",SUMIFS('All Donations'!$S$2:$S$4001,'All Donations'!$R$2:$R$4001,$AD305,'All Donations'!$T$2:$T$4001,M$1))</f>
        <v/>
      </c>
      <c r="N305" s="49">
        <f>IF(OR($AE305&lt;&gt;1,N$1=""),"",SUMIFS('All Donations'!$S$2:$S$4001,'All Donations'!$R$2:$R$4001,$AD305,'All Donations'!$T$2:$T$4001,N$1))</f>
        <v/>
      </c>
      <c r="O305" s="49">
        <f>IF(OR($AE305&lt;&gt;1,O$1=""),"",SUMIFS('All Donations'!$S$2:$S$4001,'All Donations'!$R$2:$R$4001,$AD305,'All Donations'!$T$2:$T$4001,O$1))</f>
        <v/>
      </c>
      <c r="P305" s="49">
        <f>IF(OR($AE305&lt;&gt;1,P$1=""),"",SUMIFS('All Donations'!$S$2:$S$4001,'All Donations'!$R$2:$R$4001,$AD305,'All Donations'!$T$2:$T$4001,P$1))</f>
        <v/>
      </c>
      <c r="Q305" s="49">
        <f>IF(OR($AE305&lt;&gt;1,Q$1=""),"",SUMIFS('All Donations'!$S$2:$S$4001,'All Donations'!$R$2:$R$4001,$AD305,'All Donations'!$T$2:$T$4001,Q$1))</f>
        <v/>
      </c>
      <c r="R305" s="49">
        <f>IF(OR($AE305&lt;&gt;1,R$1=""),"",SUMIFS('All Donations'!$S$2:$S$4001,'All Donations'!$R$2:$R$4001,$AD305,'All Donations'!$T$2:$T$4001,R$1))</f>
        <v/>
      </c>
      <c r="S305" s="49">
        <f>IF(OR($AE305&lt;&gt;1,S$1=""),"",SUMIFS('All Donations'!$S$2:$S$4001,'All Donations'!$R$2:$R$4001,$AD305,'All Donations'!$T$2:$T$4001,S$1))</f>
        <v/>
      </c>
      <c r="T305" s="49">
        <f>IF(OR($AE305&lt;&gt;1,T$1=""),"",SUMIFS('All Donations'!$S$2:$S$4001,'All Donations'!$R$2:$R$4001,$AD305,'All Donations'!$T$2:$T$4001,T$1))</f>
        <v/>
      </c>
      <c r="U305" s="49">
        <f>IF(OR($AE305&lt;&gt;1,U$1=""),"",SUMIFS('All Donations'!$S$2:$S$4001,'All Donations'!$R$2:$R$4001,$AD305,'All Donations'!$T$2:$T$4001,U$1))</f>
        <v/>
      </c>
      <c r="V305" s="49">
        <f>IF(OR($AE305&lt;&gt;1,V$1=""),"",SUMIFS('All Donations'!$S$2:$S$4001,'All Donations'!$R$2:$R$4001,$AD305,'All Donations'!$T$2:$T$4001,V$1))</f>
        <v/>
      </c>
      <c r="W305" s="49">
        <f>IF(OR($AE305&lt;&gt;1,W$1=""),"",SUMIFS('All Donations'!$S$2:$S$4001,'All Donations'!$R$2:$R$4001,$AD305,'All Donations'!$T$2:$T$4001,W$1))</f>
        <v/>
      </c>
      <c r="X305" s="49">
        <f>IF(OR($AE305&lt;&gt;1,X$1=""),"",SUMIFS('All Donations'!$S$2:$S$4001,'All Donations'!$R$2:$R$4001,$AD305,'All Donations'!$T$2:$T$4001,X$1))</f>
        <v/>
      </c>
      <c r="Y305" s="49">
        <f>IF(OR($AE305&lt;&gt;1,Y$1=""),"",SUMIFS('All Donations'!$S$2:$S$4001,'All Donations'!$R$2:$R$4001,$AD305,'All Donations'!$T$2:$T$4001,Y$1))</f>
        <v/>
      </c>
      <c r="Z305" s="49">
        <f>IF(OR($AE305&lt;&gt;1,Z$1=""),"",SUMIFS('All Donations'!$S$2:$S$4001,'All Donations'!$R$2:$R$4001,$AD305,'All Donations'!$T$2:$T$4001,Z$1))</f>
        <v/>
      </c>
      <c r="AA305" s="49">
        <f>IF(OR($AE305&lt;&gt;1,AA$1=""),"",SUMIFS('All Donations'!$S$2:$S$4001,'All Donations'!$R$2:$R$4001,$AD305,'All Donations'!$T$2:$T$4001,AA$1))</f>
        <v/>
      </c>
      <c r="AB305" s="49">
        <f>IF(OR($AE305&lt;&gt;1,AB$1=""),"",SUMIFS('All Donations'!$S$2:$S$4001,'All Donations'!$R$2:$R$4001,$AD305,'All Donations'!$T$2:$T$4001,AB$1))</f>
        <v/>
      </c>
      <c r="AC305" s="49">
        <f>IF(OR($AE305&lt;&gt;1,AC$1=""),"",SUMIFS('All Donations'!$S$2:$S$4001,'All Donations'!$R$2:$R$4001,$AD305,'All Donations'!$T$2:$T$4001,AC$1))</f>
        <v/>
      </c>
      <c r="AD305">
        <f>IF(AE305=1,'Roster'!A305,"")</f>
        <v/>
      </c>
      <c r="AE305">
        <f>IF(TRIM('Roster'!B305&amp;'Roster'!C305)&lt;&gt;"",1,0)</f>
        <v/>
      </c>
      <c r="AF305">
        <f>IF(AE305=1,LOWER(A305),"#")</f>
        <v/>
      </c>
      <c r="AG305">
        <f>IF(AE305=1,LOWER(TRIM(TRIM('Roster'!C305)&amp;", "&amp;TRIM('Roster'!B305))),"#")</f>
        <v/>
      </c>
      <c r="AH305">
        <f>IF(AND(AE305=1,TRIM('Roster'!F305)&lt;&gt;""),LOWER(TRIM('Roster'!F305)),"#")</f>
        <v/>
      </c>
      <c r="AI305">
        <f>IF(AE305=1,IF(MATCH(B305,$B$2:$B$701,0)=ROW()-1,1,0),0)</f>
        <v/>
      </c>
      <c r="AJ305">
        <f>AJ304+AI305</f>
        <v/>
      </c>
      <c r="AK305">
        <f>IF(AE305=1,D305+(1000-ROW())/10^7,-1)</f>
        <v/>
      </c>
      <c r="AL305">
        <f>IF(AE305=1,TRIM('Roster'!B305)&amp;" "&amp;LEFT(TRIM('Roster'!C305),1)&amp;".","")</f>
        <v/>
      </c>
      <c r="AM305">
        <f>IF(AE305=1,TRIM('Roster'!C305)&amp;", "&amp;TRIM('Roster'!B305)&amp;" ("&amp;B305&amp;") #"&amp;AD305,"")</f>
        <v/>
      </c>
      <c r="AN305">
        <f>IF(AE305=1,TRIM('Roster'!E305),"")</f>
        <v/>
      </c>
      <c r="AO305">
        <f>IF(AE305=1,ROUND(SUMIFS('All Donations'!$S$2:$S$4001,'All Donations'!$R$2:$R$4001,AD305,'All Donations'!$T$2:$T$4001,"&gt;="&amp;'Settings'!$C$23,'All Donations'!$T$2:$T$4001,"&lt;="&amp;'Settings'!$D$23),2),0)</f>
        <v/>
      </c>
      <c r="AQ305">
        <f>IF(AE305=1,ROUND(SUMIFS('All Donations'!$S$2:$S$4001,'All Donations'!$R$2:$R$4001,AD305,'All Donations'!$T$2:$T$4001,"&gt;="&amp;'Settings'!$C$25,'All Donations'!$T$2:$T$4001,"&lt;="&amp;'Settings'!$D$25),2),0)</f>
        <v/>
      </c>
      <c r="AR305">
        <f>IF(AE305=1,ROUND(SUMIFS('All Donations'!$S$2:$S$4001,'All Donations'!$R$2:$R$4001,AD305,'All Donations'!$T$2:$T$4001,"&gt;="&amp;'Settings'!$C$26,'All Donations'!$T$2:$T$4001,"&lt;="&amp;'Settings'!$D$26),2),0)</f>
        <v/>
      </c>
      <c r="AS305">
        <f>IF(AE305=1,ROUND(SUMIFS('All Donations'!$S$2:$S$4001,'All Donations'!$R$2:$R$4001,AD305,'All Donations'!$T$2:$T$4001,"&lt;="&amp;'Settings'!$D$27),2),0)</f>
        <v/>
      </c>
      <c r="AT305">
        <f>IF(AE305=1,ROUND(SUMIFS('All Donations'!$S$2:$S$4001,'All Donations'!$R$2:$R$4001,AD305,'All Donations'!$T$2:$T$4001,"&gt;="&amp;'Settings'!$C$28,'All Donations'!$T$2:$T$4001,"&lt;="&amp;'Settings'!$D$28),2),0)</f>
        <v/>
      </c>
      <c r="AU305">
        <f>IF(AE305=1,ROUND(SUMIFS('All Donations'!$S$2:$S$4001,'All Donations'!$R$2:$R$4001,AD305,'All Donations'!$T$2:$T$4001,"&gt;="&amp;'Settings'!$C$29,'All Donations'!$T$2:$T$4001,"&lt;="&amp;'Settings'!$D$29),2),0)</f>
        <v/>
      </c>
      <c r="AV305">
        <f>IF(AE305=1,ROUND(SUMIFS('All Donations'!$S$2:$S$4001,'All Donations'!$R$2:$R$4001,AD305,'All Donations'!$T$2:$T$4001,"&lt;="&amp;'Settings'!$D$30),2),0)</f>
        <v/>
      </c>
      <c r="AZ305">
        <f>IF(AE305=1,ROUND(SUMIFS('All Donations'!$S$2:$S$4001,'All Donations'!$R$2:$R$4001,AD305,'All Donations'!$T$2:$T$4001,"&lt;="&amp;'Settings'!$D$34),2),0)</f>
        <v/>
      </c>
    </row>
    <row r="306">
      <c r="A306">
        <f>IF(AE306=1,TRIM(TRIM('Roster'!B306)&amp;" "&amp;TRIM('Roster'!C306)),"")</f>
        <v/>
      </c>
      <c r="B306">
        <f>IF(AE306=1,IF(AN306="","(no teacher)",AN306&amp;" – "&amp;C306),"")</f>
        <v/>
      </c>
      <c r="C306">
        <f>IF(AE306=1,TRIM('Roster'!D306&amp;""),"")</f>
        <v/>
      </c>
      <c r="D306" s="48">
        <f>IF(AE306=1,ROUND(SUMIFS('All Donations'!$S$2:$S$4001,'All Donations'!$R$2:$R$4001,AD306),2),"")</f>
        <v/>
      </c>
      <c r="E306" s="48">
        <f>IF(AE306=1,ROUND(SUMIFS('All Donations'!$S$2:$S$4001,'All Donations'!$R$2:$R$4001,AD306,'All Donations'!$G$2:$G$4001,"OneCause"),2),"")</f>
        <v/>
      </c>
      <c r="F306" s="48">
        <f>IF(AE306=1,D306-E306,"")</f>
        <v/>
      </c>
      <c r="G306">
        <f>IF(AE306=1,COUNTIFS('All Donations'!$R$2:$R$4001,AD306,'All Donations'!$H$2:$H$4001,"OK"),"")</f>
        <v/>
      </c>
      <c r="H306">
        <f>IF(AE306&lt;&gt;1,"",IF(D306&gt;0,"Yes",""))</f>
        <v/>
      </c>
      <c r="I306" s="49">
        <f>IF(OR($AE306&lt;&gt;1,I$1=""),"",SUMIFS('All Donations'!$S$2:$S$4001,'All Donations'!$R$2:$R$4001,$AD306,'All Donations'!$T$2:$T$4001,I$1))</f>
        <v/>
      </c>
      <c r="J306" s="49">
        <f>IF(OR($AE306&lt;&gt;1,J$1=""),"",SUMIFS('All Donations'!$S$2:$S$4001,'All Donations'!$R$2:$R$4001,$AD306,'All Donations'!$T$2:$T$4001,J$1))</f>
        <v/>
      </c>
      <c r="K306" s="49">
        <f>IF(OR($AE306&lt;&gt;1,K$1=""),"",SUMIFS('All Donations'!$S$2:$S$4001,'All Donations'!$R$2:$R$4001,$AD306,'All Donations'!$T$2:$T$4001,K$1))</f>
        <v/>
      </c>
      <c r="L306" s="49">
        <f>IF(OR($AE306&lt;&gt;1,L$1=""),"",SUMIFS('All Donations'!$S$2:$S$4001,'All Donations'!$R$2:$R$4001,$AD306,'All Donations'!$T$2:$T$4001,L$1))</f>
        <v/>
      </c>
      <c r="M306" s="49">
        <f>IF(OR($AE306&lt;&gt;1,M$1=""),"",SUMIFS('All Donations'!$S$2:$S$4001,'All Donations'!$R$2:$R$4001,$AD306,'All Donations'!$T$2:$T$4001,M$1))</f>
        <v/>
      </c>
      <c r="N306" s="49">
        <f>IF(OR($AE306&lt;&gt;1,N$1=""),"",SUMIFS('All Donations'!$S$2:$S$4001,'All Donations'!$R$2:$R$4001,$AD306,'All Donations'!$T$2:$T$4001,N$1))</f>
        <v/>
      </c>
      <c r="O306" s="49">
        <f>IF(OR($AE306&lt;&gt;1,O$1=""),"",SUMIFS('All Donations'!$S$2:$S$4001,'All Donations'!$R$2:$R$4001,$AD306,'All Donations'!$T$2:$T$4001,O$1))</f>
        <v/>
      </c>
      <c r="P306" s="49">
        <f>IF(OR($AE306&lt;&gt;1,P$1=""),"",SUMIFS('All Donations'!$S$2:$S$4001,'All Donations'!$R$2:$R$4001,$AD306,'All Donations'!$T$2:$T$4001,P$1))</f>
        <v/>
      </c>
      <c r="Q306" s="49">
        <f>IF(OR($AE306&lt;&gt;1,Q$1=""),"",SUMIFS('All Donations'!$S$2:$S$4001,'All Donations'!$R$2:$R$4001,$AD306,'All Donations'!$T$2:$T$4001,Q$1))</f>
        <v/>
      </c>
      <c r="R306" s="49">
        <f>IF(OR($AE306&lt;&gt;1,R$1=""),"",SUMIFS('All Donations'!$S$2:$S$4001,'All Donations'!$R$2:$R$4001,$AD306,'All Donations'!$T$2:$T$4001,R$1))</f>
        <v/>
      </c>
      <c r="S306" s="49">
        <f>IF(OR($AE306&lt;&gt;1,S$1=""),"",SUMIFS('All Donations'!$S$2:$S$4001,'All Donations'!$R$2:$R$4001,$AD306,'All Donations'!$T$2:$T$4001,S$1))</f>
        <v/>
      </c>
      <c r="T306" s="49">
        <f>IF(OR($AE306&lt;&gt;1,T$1=""),"",SUMIFS('All Donations'!$S$2:$S$4001,'All Donations'!$R$2:$R$4001,$AD306,'All Donations'!$T$2:$T$4001,T$1))</f>
        <v/>
      </c>
      <c r="U306" s="49">
        <f>IF(OR($AE306&lt;&gt;1,U$1=""),"",SUMIFS('All Donations'!$S$2:$S$4001,'All Donations'!$R$2:$R$4001,$AD306,'All Donations'!$T$2:$T$4001,U$1))</f>
        <v/>
      </c>
      <c r="V306" s="49">
        <f>IF(OR($AE306&lt;&gt;1,V$1=""),"",SUMIFS('All Donations'!$S$2:$S$4001,'All Donations'!$R$2:$R$4001,$AD306,'All Donations'!$T$2:$T$4001,V$1))</f>
        <v/>
      </c>
      <c r="W306" s="49">
        <f>IF(OR($AE306&lt;&gt;1,W$1=""),"",SUMIFS('All Donations'!$S$2:$S$4001,'All Donations'!$R$2:$R$4001,$AD306,'All Donations'!$T$2:$T$4001,W$1))</f>
        <v/>
      </c>
      <c r="X306" s="49">
        <f>IF(OR($AE306&lt;&gt;1,X$1=""),"",SUMIFS('All Donations'!$S$2:$S$4001,'All Donations'!$R$2:$R$4001,$AD306,'All Donations'!$T$2:$T$4001,X$1))</f>
        <v/>
      </c>
      <c r="Y306" s="49">
        <f>IF(OR($AE306&lt;&gt;1,Y$1=""),"",SUMIFS('All Donations'!$S$2:$S$4001,'All Donations'!$R$2:$R$4001,$AD306,'All Donations'!$T$2:$T$4001,Y$1))</f>
        <v/>
      </c>
      <c r="Z306" s="49">
        <f>IF(OR($AE306&lt;&gt;1,Z$1=""),"",SUMIFS('All Donations'!$S$2:$S$4001,'All Donations'!$R$2:$R$4001,$AD306,'All Donations'!$T$2:$T$4001,Z$1))</f>
        <v/>
      </c>
      <c r="AA306" s="49">
        <f>IF(OR($AE306&lt;&gt;1,AA$1=""),"",SUMIFS('All Donations'!$S$2:$S$4001,'All Donations'!$R$2:$R$4001,$AD306,'All Donations'!$T$2:$T$4001,AA$1))</f>
        <v/>
      </c>
      <c r="AB306" s="49">
        <f>IF(OR($AE306&lt;&gt;1,AB$1=""),"",SUMIFS('All Donations'!$S$2:$S$4001,'All Donations'!$R$2:$R$4001,$AD306,'All Donations'!$T$2:$T$4001,AB$1))</f>
        <v/>
      </c>
      <c r="AC306" s="49">
        <f>IF(OR($AE306&lt;&gt;1,AC$1=""),"",SUMIFS('All Donations'!$S$2:$S$4001,'All Donations'!$R$2:$R$4001,$AD306,'All Donations'!$T$2:$T$4001,AC$1))</f>
        <v/>
      </c>
      <c r="AD306">
        <f>IF(AE306=1,'Roster'!A306,"")</f>
        <v/>
      </c>
      <c r="AE306">
        <f>IF(TRIM('Roster'!B306&amp;'Roster'!C306)&lt;&gt;"",1,0)</f>
        <v/>
      </c>
      <c r="AF306">
        <f>IF(AE306=1,LOWER(A306),"#")</f>
        <v/>
      </c>
      <c r="AG306">
        <f>IF(AE306=1,LOWER(TRIM(TRIM('Roster'!C306)&amp;", "&amp;TRIM('Roster'!B306))),"#")</f>
        <v/>
      </c>
      <c r="AH306">
        <f>IF(AND(AE306=1,TRIM('Roster'!F306)&lt;&gt;""),LOWER(TRIM('Roster'!F306)),"#")</f>
        <v/>
      </c>
      <c r="AI306">
        <f>IF(AE306=1,IF(MATCH(B306,$B$2:$B$701,0)=ROW()-1,1,0),0)</f>
        <v/>
      </c>
      <c r="AJ306">
        <f>AJ305+AI306</f>
        <v/>
      </c>
      <c r="AK306">
        <f>IF(AE306=1,D306+(1000-ROW())/10^7,-1)</f>
        <v/>
      </c>
      <c r="AL306">
        <f>IF(AE306=1,TRIM('Roster'!B306)&amp;" "&amp;LEFT(TRIM('Roster'!C306),1)&amp;".","")</f>
        <v/>
      </c>
      <c r="AM306">
        <f>IF(AE306=1,TRIM('Roster'!C306)&amp;", "&amp;TRIM('Roster'!B306)&amp;" ("&amp;B306&amp;") #"&amp;AD306,"")</f>
        <v/>
      </c>
      <c r="AN306">
        <f>IF(AE306=1,TRIM('Roster'!E306),"")</f>
        <v/>
      </c>
      <c r="AO306">
        <f>IF(AE306=1,ROUND(SUMIFS('All Donations'!$S$2:$S$4001,'All Donations'!$R$2:$R$4001,AD306,'All Donations'!$T$2:$T$4001,"&gt;="&amp;'Settings'!$C$23,'All Donations'!$T$2:$T$4001,"&lt;="&amp;'Settings'!$D$23),2),0)</f>
        <v/>
      </c>
      <c r="AQ306">
        <f>IF(AE306=1,ROUND(SUMIFS('All Donations'!$S$2:$S$4001,'All Donations'!$R$2:$R$4001,AD306,'All Donations'!$T$2:$T$4001,"&gt;="&amp;'Settings'!$C$25,'All Donations'!$T$2:$T$4001,"&lt;="&amp;'Settings'!$D$25),2),0)</f>
        <v/>
      </c>
      <c r="AR306">
        <f>IF(AE306=1,ROUND(SUMIFS('All Donations'!$S$2:$S$4001,'All Donations'!$R$2:$R$4001,AD306,'All Donations'!$T$2:$T$4001,"&gt;="&amp;'Settings'!$C$26,'All Donations'!$T$2:$T$4001,"&lt;="&amp;'Settings'!$D$26),2),0)</f>
        <v/>
      </c>
      <c r="AS306">
        <f>IF(AE306=1,ROUND(SUMIFS('All Donations'!$S$2:$S$4001,'All Donations'!$R$2:$R$4001,AD306,'All Donations'!$T$2:$T$4001,"&lt;="&amp;'Settings'!$D$27),2),0)</f>
        <v/>
      </c>
      <c r="AT306">
        <f>IF(AE306=1,ROUND(SUMIFS('All Donations'!$S$2:$S$4001,'All Donations'!$R$2:$R$4001,AD306,'All Donations'!$T$2:$T$4001,"&gt;="&amp;'Settings'!$C$28,'All Donations'!$T$2:$T$4001,"&lt;="&amp;'Settings'!$D$28),2),0)</f>
        <v/>
      </c>
      <c r="AU306">
        <f>IF(AE306=1,ROUND(SUMIFS('All Donations'!$S$2:$S$4001,'All Donations'!$R$2:$R$4001,AD306,'All Donations'!$T$2:$T$4001,"&gt;="&amp;'Settings'!$C$29,'All Donations'!$T$2:$T$4001,"&lt;="&amp;'Settings'!$D$29),2),0)</f>
        <v/>
      </c>
      <c r="AV306">
        <f>IF(AE306=1,ROUND(SUMIFS('All Donations'!$S$2:$S$4001,'All Donations'!$R$2:$R$4001,AD306,'All Donations'!$T$2:$T$4001,"&lt;="&amp;'Settings'!$D$30),2),0)</f>
        <v/>
      </c>
      <c r="AZ306">
        <f>IF(AE306=1,ROUND(SUMIFS('All Donations'!$S$2:$S$4001,'All Donations'!$R$2:$R$4001,AD306,'All Donations'!$T$2:$T$4001,"&lt;="&amp;'Settings'!$D$34),2),0)</f>
        <v/>
      </c>
    </row>
    <row r="307">
      <c r="A307">
        <f>IF(AE307=1,TRIM(TRIM('Roster'!B307)&amp;" "&amp;TRIM('Roster'!C307)),"")</f>
        <v/>
      </c>
      <c r="B307">
        <f>IF(AE307=1,IF(AN307="","(no teacher)",AN307&amp;" – "&amp;C307),"")</f>
        <v/>
      </c>
      <c r="C307">
        <f>IF(AE307=1,TRIM('Roster'!D307&amp;""),"")</f>
        <v/>
      </c>
      <c r="D307" s="48">
        <f>IF(AE307=1,ROUND(SUMIFS('All Donations'!$S$2:$S$4001,'All Donations'!$R$2:$R$4001,AD307),2),"")</f>
        <v/>
      </c>
      <c r="E307" s="48">
        <f>IF(AE307=1,ROUND(SUMIFS('All Donations'!$S$2:$S$4001,'All Donations'!$R$2:$R$4001,AD307,'All Donations'!$G$2:$G$4001,"OneCause"),2),"")</f>
        <v/>
      </c>
      <c r="F307" s="48">
        <f>IF(AE307=1,D307-E307,"")</f>
        <v/>
      </c>
      <c r="G307">
        <f>IF(AE307=1,COUNTIFS('All Donations'!$R$2:$R$4001,AD307,'All Donations'!$H$2:$H$4001,"OK"),"")</f>
        <v/>
      </c>
      <c r="H307">
        <f>IF(AE307&lt;&gt;1,"",IF(D307&gt;0,"Yes",""))</f>
        <v/>
      </c>
      <c r="I307" s="49">
        <f>IF(OR($AE307&lt;&gt;1,I$1=""),"",SUMIFS('All Donations'!$S$2:$S$4001,'All Donations'!$R$2:$R$4001,$AD307,'All Donations'!$T$2:$T$4001,I$1))</f>
        <v/>
      </c>
      <c r="J307" s="49">
        <f>IF(OR($AE307&lt;&gt;1,J$1=""),"",SUMIFS('All Donations'!$S$2:$S$4001,'All Donations'!$R$2:$R$4001,$AD307,'All Donations'!$T$2:$T$4001,J$1))</f>
        <v/>
      </c>
      <c r="K307" s="49">
        <f>IF(OR($AE307&lt;&gt;1,K$1=""),"",SUMIFS('All Donations'!$S$2:$S$4001,'All Donations'!$R$2:$R$4001,$AD307,'All Donations'!$T$2:$T$4001,K$1))</f>
        <v/>
      </c>
      <c r="L307" s="49">
        <f>IF(OR($AE307&lt;&gt;1,L$1=""),"",SUMIFS('All Donations'!$S$2:$S$4001,'All Donations'!$R$2:$R$4001,$AD307,'All Donations'!$T$2:$T$4001,L$1))</f>
        <v/>
      </c>
      <c r="M307" s="49">
        <f>IF(OR($AE307&lt;&gt;1,M$1=""),"",SUMIFS('All Donations'!$S$2:$S$4001,'All Donations'!$R$2:$R$4001,$AD307,'All Donations'!$T$2:$T$4001,M$1))</f>
        <v/>
      </c>
      <c r="N307" s="49">
        <f>IF(OR($AE307&lt;&gt;1,N$1=""),"",SUMIFS('All Donations'!$S$2:$S$4001,'All Donations'!$R$2:$R$4001,$AD307,'All Donations'!$T$2:$T$4001,N$1))</f>
        <v/>
      </c>
      <c r="O307" s="49">
        <f>IF(OR($AE307&lt;&gt;1,O$1=""),"",SUMIFS('All Donations'!$S$2:$S$4001,'All Donations'!$R$2:$R$4001,$AD307,'All Donations'!$T$2:$T$4001,O$1))</f>
        <v/>
      </c>
      <c r="P307" s="49">
        <f>IF(OR($AE307&lt;&gt;1,P$1=""),"",SUMIFS('All Donations'!$S$2:$S$4001,'All Donations'!$R$2:$R$4001,$AD307,'All Donations'!$T$2:$T$4001,P$1))</f>
        <v/>
      </c>
      <c r="Q307" s="49">
        <f>IF(OR($AE307&lt;&gt;1,Q$1=""),"",SUMIFS('All Donations'!$S$2:$S$4001,'All Donations'!$R$2:$R$4001,$AD307,'All Donations'!$T$2:$T$4001,Q$1))</f>
        <v/>
      </c>
      <c r="R307" s="49">
        <f>IF(OR($AE307&lt;&gt;1,R$1=""),"",SUMIFS('All Donations'!$S$2:$S$4001,'All Donations'!$R$2:$R$4001,$AD307,'All Donations'!$T$2:$T$4001,R$1))</f>
        <v/>
      </c>
      <c r="S307" s="49">
        <f>IF(OR($AE307&lt;&gt;1,S$1=""),"",SUMIFS('All Donations'!$S$2:$S$4001,'All Donations'!$R$2:$R$4001,$AD307,'All Donations'!$T$2:$T$4001,S$1))</f>
        <v/>
      </c>
      <c r="T307" s="49">
        <f>IF(OR($AE307&lt;&gt;1,T$1=""),"",SUMIFS('All Donations'!$S$2:$S$4001,'All Donations'!$R$2:$R$4001,$AD307,'All Donations'!$T$2:$T$4001,T$1))</f>
        <v/>
      </c>
      <c r="U307" s="49">
        <f>IF(OR($AE307&lt;&gt;1,U$1=""),"",SUMIFS('All Donations'!$S$2:$S$4001,'All Donations'!$R$2:$R$4001,$AD307,'All Donations'!$T$2:$T$4001,U$1))</f>
        <v/>
      </c>
      <c r="V307" s="49">
        <f>IF(OR($AE307&lt;&gt;1,V$1=""),"",SUMIFS('All Donations'!$S$2:$S$4001,'All Donations'!$R$2:$R$4001,$AD307,'All Donations'!$T$2:$T$4001,V$1))</f>
        <v/>
      </c>
      <c r="W307" s="49">
        <f>IF(OR($AE307&lt;&gt;1,W$1=""),"",SUMIFS('All Donations'!$S$2:$S$4001,'All Donations'!$R$2:$R$4001,$AD307,'All Donations'!$T$2:$T$4001,W$1))</f>
        <v/>
      </c>
      <c r="X307" s="49">
        <f>IF(OR($AE307&lt;&gt;1,X$1=""),"",SUMIFS('All Donations'!$S$2:$S$4001,'All Donations'!$R$2:$R$4001,$AD307,'All Donations'!$T$2:$T$4001,X$1))</f>
        <v/>
      </c>
      <c r="Y307" s="49">
        <f>IF(OR($AE307&lt;&gt;1,Y$1=""),"",SUMIFS('All Donations'!$S$2:$S$4001,'All Donations'!$R$2:$R$4001,$AD307,'All Donations'!$T$2:$T$4001,Y$1))</f>
        <v/>
      </c>
      <c r="Z307" s="49">
        <f>IF(OR($AE307&lt;&gt;1,Z$1=""),"",SUMIFS('All Donations'!$S$2:$S$4001,'All Donations'!$R$2:$R$4001,$AD307,'All Donations'!$T$2:$T$4001,Z$1))</f>
        <v/>
      </c>
      <c r="AA307" s="49">
        <f>IF(OR($AE307&lt;&gt;1,AA$1=""),"",SUMIFS('All Donations'!$S$2:$S$4001,'All Donations'!$R$2:$R$4001,$AD307,'All Donations'!$T$2:$T$4001,AA$1))</f>
        <v/>
      </c>
      <c r="AB307" s="49">
        <f>IF(OR($AE307&lt;&gt;1,AB$1=""),"",SUMIFS('All Donations'!$S$2:$S$4001,'All Donations'!$R$2:$R$4001,$AD307,'All Donations'!$T$2:$T$4001,AB$1))</f>
        <v/>
      </c>
      <c r="AC307" s="49">
        <f>IF(OR($AE307&lt;&gt;1,AC$1=""),"",SUMIFS('All Donations'!$S$2:$S$4001,'All Donations'!$R$2:$R$4001,$AD307,'All Donations'!$T$2:$T$4001,AC$1))</f>
        <v/>
      </c>
      <c r="AD307">
        <f>IF(AE307=1,'Roster'!A307,"")</f>
        <v/>
      </c>
      <c r="AE307">
        <f>IF(TRIM('Roster'!B307&amp;'Roster'!C307)&lt;&gt;"",1,0)</f>
        <v/>
      </c>
      <c r="AF307">
        <f>IF(AE307=1,LOWER(A307),"#")</f>
        <v/>
      </c>
      <c r="AG307">
        <f>IF(AE307=1,LOWER(TRIM(TRIM('Roster'!C307)&amp;", "&amp;TRIM('Roster'!B307))),"#")</f>
        <v/>
      </c>
      <c r="AH307">
        <f>IF(AND(AE307=1,TRIM('Roster'!F307)&lt;&gt;""),LOWER(TRIM('Roster'!F307)),"#")</f>
        <v/>
      </c>
      <c r="AI307">
        <f>IF(AE307=1,IF(MATCH(B307,$B$2:$B$701,0)=ROW()-1,1,0),0)</f>
        <v/>
      </c>
      <c r="AJ307">
        <f>AJ306+AI307</f>
        <v/>
      </c>
      <c r="AK307">
        <f>IF(AE307=1,D307+(1000-ROW())/10^7,-1)</f>
        <v/>
      </c>
      <c r="AL307">
        <f>IF(AE307=1,TRIM('Roster'!B307)&amp;" "&amp;LEFT(TRIM('Roster'!C307),1)&amp;".","")</f>
        <v/>
      </c>
      <c r="AM307">
        <f>IF(AE307=1,TRIM('Roster'!C307)&amp;", "&amp;TRIM('Roster'!B307)&amp;" ("&amp;B307&amp;") #"&amp;AD307,"")</f>
        <v/>
      </c>
      <c r="AN307">
        <f>IF(AE307=1,TRIM('Roster'!E307),"")</f>
        <v/>
      </c>
      <c r="AO307">
        <f>IF(AE307=1,ROUND(SUMIFS('All Donations'!$S$2:$S$4001,'All Donations'!$R$2:$R$4001,AD307,'All Donations'!$T$2:$T$4001,"&gt;="&amp;'Settings'!$C$23,'All Donations'!$T$2:$T$4001,"&lt;="&amp;'Settings'!$D$23),2),0)</f>
        <v/>
      </c>
      <c r="AQ307">
        <f>IF(AE307=1,ROUND(SUMIFS('All Donations'!$S$2:$S$4001,'All Donations'!$R$2:$R$4001,AD307,'All Donations'!$T$2:$T$4001,"&gt;="&amp;'Settings'!$C$25,'All Donations'!$T$2:$T$4001,"&lt;="&amp;'Settings'!$D$25),2),0)</f>
        <v/>
      </c>
      <c r="AR307">
        <f>IF(AE307=1,ROUND(SUMIFS('All Donations'!$S$2:$S$4001,'All Donations'!$R$2:$R$4001,AD307,'All Donations'!$T$2:$T$4001,"&gt;="&amp;'Settings'!$C$26,'All Donations'!$T$2:$T$4001,"&lt;="&amp;'Settings'!$D$26),2),0)</f>
        <v/>
      </c>
      <c r="AS307">
        <f>IF(AE307=1,ROUND(SUMIFS('All Donations'!$S$2:$S$4001,'All Donations'!$R$2:$R$4001,AD307,'All Donations'!$T$2:$T$4001,"&lt;="&amp;'Settings'!$D$27),2),0)</f>
        <v/>
      </c>
      <c r="AT307">
        <f>IF(AE307=1,ROUND(SUMIFS('All Donations'!$S$2:$S$4001,'All Donations'!$R$2:$R$4001,AD307,'All Donations'!$T$2:$T$4001,"&gt;="&amp;'Settings'!$C$28,'All Donations'!$T$2:$T$4001,"&lt;="&amp;'Settings'!$D$28),2),0)</f>
        <v/>
      </c>
      <c r="AU307">
        <f>IF(AE307=1,ROUND(SUMIFS('All Donations'!$S$2:$S$4001,'All Donations'!$R$2:$R$4001,AD307,'All Donations'!$T$2:$T$4001,"&gt;="&amp;'Settings'!$C$29,'All Donations'!$T$2:$T$4001,"&lt;="&amp;'Settings'!$D$29),2),0)</f>
        <v/>
      </c>
      <c r="AV307">
        <f>IF(AE307=1,ROUND(SUMIFS('All Donations'!$S$2:$S$4001,'All Donations'!$R$2:$R$4001,AD307,'All Donations'!$T$2:$T$4001,"&lt;="&amp;'Settings'!$D$30),2),0)</f>
        <v/>
      </c>
      <c r="AZ307">
        <f>IF(AE307=1,ROUND(SUMIFS('All Donations'!$S$2:$S$4001,'All Donations'!$R$2:$R$4001,AD307,'All Donations'!$T$2:$T$4001,"&lt;="&amp;'Settings'!$D$34),2),0)</f>
        <v/>
      </c>
    </row>
    <row r="308">
      <c r="A308">
        <f>IF(AE308=1,TRIM(TRIM('Roster'!B308)&amp;" "&amp;TRIM('Roster'!C308)),"")</f>
        <v/>
      </c>
      <c r="B308">
        <f>IF(AE308=1,IF(AN308="","(no teacher)",AN308&amp;" – "&amp;C308),"")</f>
        <v/>
      </c>
      <c r="C308">
        <f>IF(AE308=1,TRIM('Roster'!D308&amp;""),"")</f>
        <v/>
      </c>
      <c r="D308" s="48">
        <f>IF(AE308=1,ROUND(SUMIFS('All Donations'!$S$2:$S$4001,'All Donations'!$R$2:$R$4001,AD308),2),"")</f>
        <v/>
      </c>
      <c r="E308" s="48">
        <f>IF(AE308=1,ROUND(SUMIFS('All Donations'!$S$2:$S$4001,'All Donations'!$R$2:$R$4001,AD308,'All Donations'!$G$2:$G$4001,"OneCause"),2),"")</f>
        <v/>
      </c>
      <c r="F308" s="48">
        <f>IF(AE308=1,D308-E308,"")</f>
        <v/>
      </c>
      <c r="G308">
        <f>IF(AE308=1,COUNTIFS('All Donations'!$R$2:$R$4001,AD308,'All Donations'!$H$2:$H$4001,"OK"),"")</f>
        <v/>
      </c>
      <c r="H308">
        <f>IF(AE308&lt;&gt;1,"",IF(D308&gt;0,"Yes",""))</f>
        <v/>
      </c>
      <c r="I308" s="49">
        <f>IF(OR($AE308&lt;&gt;1,I$1=""),"",SUMIFS('All Donations'!$S$2:$S$4001,'All Donations'!$R$2:$R$4001,$AD308,'All Donations'!$T$2:$T$4001,I$1))</f>
        <v/>
      </c>
      <c r="J308" s="49">
        <f>IF(OR($AE308&lt;&gt;1,J$1=""),"",SUMIFS('All Donations'!$S$2:$S$4001,'All Donations'!$R$2:$R$4001,$AD308,'All Donations'!$T$2:$T$4001,J$1))</f>
        <v/>
      </c>
      <c r="K308" s="49">
        <f>IF(OR($AE308&lt;&gt;1,K$1=""),"",SUMIFS('All Donations'!$S$2:$S$4001,'All Donations'!$R$2:$R$4001,$AD308,'All Donations'!$T$2:$T$4001,K$1))</f>
        <v/>
      </c>
      <c r="L308" s="49">
        <f>IF(OR($AE308&lt;&gt;1,L$1=""),"",SUMIFS('All Donations'!$S$2:$S$4001,'All Donations'!$R$2:$R$4001,$AD308,'All Donations'!$T$2:$T$4001,L$1))</f>
        <v/>
      </c>
      <c r="M308" s="49">
        <f>IF(OR($AE308&lt;&gt;1,M$1=""),"",SUMIFS('All Donations'!$S$2:$S$4001,'All Donations'!$R$2:$R$4001,$AD308,'All Donations'!$T$2:$T$4001,M$1))</f>
        <v/>
      </c>
      <c r="N308" s="49">
        <f>IF(OR($AE308&lt;&gt;1,N$1=""),"",SUMIFS('All Donations'!$S$2:$S$4001,'All Donations'!$R$2:$R$4001,$AD308,'All Donations'!$T$2:$T$4001,N$1))</f>
        <v/>
      </c>
      <c r="O308" s="49">
        <f>IF(OR($AE308&lt;&gt;1,O$1=""),"",SUMIFS('All Donations'!$S$2:$S$4001,'All Donations'!$R$2:$R$4001,$AD308,'All Donations'!$T$2:$T$4001,O$1))</f>
        <v/>
      </c>
      <c r="P308" s="49">
        <f>IF(OR($AE308&lt;&gt;1,P$1=""),"",SUMIFS('All Donations'!$S$2:$S$4001,'All Donations'!$R$2:$R$4001,$AD308,'All Donations'!$T$2:$T$4001,P$1))</f>
        <v/>
      </c>
      <c r="Q308" s="49">
        <f>IF(OR($AE308&lt;&gt;1,Q$1=""),"",SUMIFS('All Donations'!$S$2:$S$4001,'All Donations'!$R$2:$R$4001,$AD308,'All Donations'!$T$2:$T$4001,Q$1))</f>
        <v/>
      </c>
      <c r="R308" s="49">
        <f>IF(OR($AE308&lt;&gt;1,R$1=""),"",SUMIFS('All Donations'!$S$2:$S$4001,'All Donations'!$R$2:$R$4001,$AD308,'All Donations'!$T$2:$T$4001,R$1))</f>
        <v/>
      </c>
      <c r="S308" s="49">
        <f>IF(OR($AE308&lt;&gt;1,S$1=""),"",SUMIFS('All Donations'!$S$2:$S$4001,'All Donations'!$R$2:$R$4001,$AD308,'All Donations'!$T$2:$T$4001,S$1))</f>
        <v/>
      </c>
      <c r="T308" s="49">
        <f>IF(OR($AE308&lt;&gt;1,T$1=""),"",SUMIFS('All Donations'!$S$2:$S$4001,'All Donations'!$R$2:$R$4001,$AD308,'All Donations'!$T$2:$T$4001,T$1))</f>
        <v/>
      </c>
      <c r="U308" s="49">
        <f>IF(OR($AE308&lt;&gt;1,U$1=""),"",SUMIFS('All Donations'!$S$2:$S$4001,'All Donations'!$R$2:$R$4001,$AD308,'All Donations'!$T$2:$T$4001,U$1))</f>
        <v/>
      </c>
      <c r="V308" s="49">
        <f>IF(OR($AE308&lt;&gt;1,V$1=""),"",SUMIFS('All Donations'!$S$2:$S$4001,'All Donations'!$R$2:$R$4001,$AD308,'All Donations'!$T$2:$T$4001,V$1))</f>
        <v/>
      </c>
      <c r="W308" s="49">
        <f>IF(OR($AE308&lt;&gt;1,W$1=""),"",SUMIFS('All Donations'!$S$2:$S$4001,'All Donations'!$R$2:$R$4001,$AD308,'All Donations'!$T$2:$T$4001,W$1))</f>
        <v/>
      </c>
      <c r="X308" s="49">
        <f>IF(OR($AE308&lt;&gt;1,X$1=""),"",SUMIFS('All Donations'!$S$2:$S$4001,'All Donations'!$R$2:$R$4001,$AD308,'All Donations'!$T$2:$T$4001,X$1))</f>
        <v/>
      </c>
      <c r="Y308" s="49">
        <f>IF(OR($AE308&lt;&gt;1,Y$1=""),"",SUMIFS('All Donations'!$S$2:$S$4001,'All Donations'!$R$2:$R$4001,$AD308,'All Donations'!$T$2:$T$4001,Y$1))</f>
        <v/>
      </c>
      <c r="Z308" s="49">
        <f>IF(OR($AE308&lt;&gt;1,Z$1=""),"",SUMIFS('All Donations'!$S$2:$S$4001,'All Donations'!$R$2:$R$4001,$AD308,'All Donations'!$T$2:$T$4001,Z$1))</f>
        <v/>
      </c>
      <c r="AA308" s="49">
        <f>IF(OR($AE308&lt;&gt;1,AA$1=""),"",SUMIFS('All Donations'!$S$2:$S$4001,'All Donations'!$R$2:$R$4001,$AD308,'All Donations'!$T$2:$T$4001,AA$1))</f>
        <v/>
      </c>
      <c r="AB308" s="49">
        <f>IF(OR($AE308&lt;&gt;1,AB$1=""),"",SUMIFS('All Donations'!$S$2:$S$4001,'All Donations'!$R$2:$R$4001,$AD308,'All Donations'!$T$2:$T$4001,AB$1))</f>
        <v/>
      </c>
      <c r="AC308" s="49">
        <f>IF(OR($AE308&lt;&gt;1,AC$1=""),"",SUMIFS('All Donations'!$S$2:$S$4001,'All Donations'!$R$2:$R$4001,$AD308,'All Donations'!$T$2:$T$4001,AC$1))</f>
        <v/>
      </c>
      <c r="AD308">
        <f>IF(AE308=1,'Roster'!A308,"")</f>
        <v/>
      </c>
      <c r="AE308">
        <f>IF(TRIM('Roster'!B308&amp;'Roster'!C308)&lt;&gt;"",1,0)</f>
        <v/>
      </c>
      <c r="AF308">
        <f>IF(AE308=1,LOWER(A308),"#")</f>
        <v/>
      </c>
      <c r="AG308">
        <f>IF(AE308=1,LOWER(TRIM(TRIM('Roster'!C308)&amp;", "&amp;TRIM('Roster'!B308))),"#")</f>
        <v/>
      </c>
      <c r="AH308">
        <f>IF(AND(AE308=1,TRIM('Roster'!F308)&lt;&gt;""),LOWER(TRIM('Roster'!F308)),"#")</f>
        <v/>
      </c>
      <c r="AI308">
        <f>IF(AE308=1,IF(MATCH(B308,$B$2:$B$701,0)=ROW()-1,1,0),0)</f>
        <v/>
      </c>
      <c r="AJ308">
        <f>AJ307+AI308</f>
        <v/>
      </c>
      <c r="AK308">
        <f>IF(AE308=1,D308+(1000-ROW())/10^7,-1)</f>
        <v/>
      </c>
      <c r="AL308">
        <f>IF(AE308=1,TRIM('Roster'!B308)&amp;" "&amp;LEFT(TRIM('Roster'!C308),1)&amp;".","")</f>
        <v/>
      </c>
      <c r="AM308">
        <f>IF(AE308=1,TRIM('Roster'!C308)&amp;", "&amp;TRIM('Roster'!B308)&amp;" ("&amp;B308&amp;") #"&amp;AD308,"")</f>
        <v/>
      </c>
      <c r="AN308">
        <f>IF(AE308=1,TRIM('Roster'!E308),"")</f>
        <v/>
      </c>
      <c r="AO308">
        <f>IF(AE308=1,ROUND(SUMIFS('All Donations'!$S$2:$S$4001,'All Donations'!$R$2:$R$4001,AD308,'All Donations'!$T$2:$T$4001,"&gt;="&amp;'Settings'!$C$23,'All Donations'!$T$2:$T$4001,"&lt;="&amp;'Settings'!$D$23),2),0)</f>
        <v/>
      </c>
      <c r="AQ308">
        <f>IF(AE308=1,ROUND(SUMIFS('All Donations'!$S$2:$S$4001,'All Donations'!$R$2:$R$4001,AD308,'All Donations'!$T$2:$T$4001,"&gt;="&amp;'Settings'!$C$25,'All Donations'!$T$2:$T$4001,"&lt;="&amp;'Settings'!$D$25),2),0)</f>
        <v/>
      </c>
      <c r="AR308">
        <f>IF(AE308=1,ROUND(SUMIFS('All Donations'!$S$2:$S$4001,'All Donations'!$R$2:$R$4001,AD308,'All Donations'!$T$2:$T$4001,"&gt;="&amp;'Settings'!$C$26,'All Donations'!$T$2:$T$4001,"&lt;="&amp;'Settings'!$D$26),2),0)</f>
        <v/>
      </c>
      <c r="AS308">
        <f>IF(AE308=1,ROUND(SUMIFS('All Donations'!$S$2:$S$4001,'All Donations'!$R$2:$R$4001,AD308,'All Donations'!$T$2:$T$4001,"&lt;="&amp;'Settings'!$D$27),2),0)</f>
        <v/>
      </c>
      <c r="AT308">
        <f>IF(AE308=1,ROUND(SUMIFS('All Donations'!$S$2:$S$4001,'All Donations'!$R$2:$R$4001,AD308,'All Donations'!$T$2:$T$4001,"&gt;="&amp;'Settings'!$C$28,'All Donations'!$T$2:$T$4001,"&lt;="&amp;'Settings'!$D$28),2),0)</f>
        <v/>
      </c>
      <c r="AU308">
        <f>IF(AE308=1,ROUND(SUMIFS('All Donations'!$S$2:$S$4001,'All Donations'!$R$2:$R$4001,AD308,'All Donations'!$T$2:$T$4001,"&gt;="&amp;'Settings'!$C$29,'All Donations'!$T$2:$T$4001,"&lt;="&amp;'Settings'!$D$29),2),0)</f>
        <v/>
      </c>
      <c r="AV308">
        <f>IF(AE308=1,ROUND(SUMIFS('All Donations'!$S$2:$S$4001,'All Donations'!$R$2:$R$4001,AD308,'All Donations'!$T$2:$T$4001,"&lt;="&amp;'Settings'!$D$30),2),0)</f>
        <v/>
      </c>
      <c r="AZ308">
        <f>IF(AE308=1,ROUND(SUMIFS('All Donations'!$S$2:$S$4001,'All Donations'!$R$2:$R$4001,AD308,'All Donations'!$T$2:$T$4001,"&lt;="&amp;'Settings'!$D$34),2),0)</f>
        <v/>
      </c>
    </row>
    <row r="309">
      <c r="A309">
        <f>IF(AE309=1,TRIM(TRIM('Roster'!B309)&amp;" "&amp;TRIM('Roster'!C309)),"")</f>
        <v/>
      </c>
      <c r="B309">
        <f>IF(AE309=1,IF(AN309="","(no teacher)",AN309&amp;" – "&amp;C309),"")</f>
        <v/>
      </c>
      <c r="C309">
        <f>IF(AE309=1,TRIM('Roster'!D309&amp;""),"")</f>
        <v/>
      </c>
      <c r="D309" s="48">
        <f>IF(AE309=1,ROUND(SUMIFS('All Donations'!$S$2:$S$4001,'All Donations'!$R$2:$R$4001,AD309),2),"")</f>
        <v/>
      </c>
      <c r="E309" s="48">
        <f>IF(AE309=1,ROUND(SUMIFS('All Donations'!$S$2:$S$4001,'All Donations'!$R$2:$R$4001,AD309,'All Donations'!$G$2:$G$4001,"OneCause"),2),"")</f>
        <v/>
      </c>
      <c r="F309" s="48">
        <f>IF(AE309=1,D309-E309,"")</f>
        <v/>
      </c>
      <c r="G309">
        <f>IF(AE309=1,COUNTIFS('All Donations'!$R$2:$R$4001,AD309,'All Donations'!$H$2:$H$4001,"OK"),"")</f>
        <v/>
      </c>
      <c r="H309">
        <f>IF(AE309&lt;&gt;1,"",IF(D309&gt;0,"Yes",""))</f>
        <v/>
      </c>
      <c r="I309" s="49">
        <f>IF(OR($AE309&lt;&gt;1,I$1=""),"",SUMIFS('All Donations'!$S$2:$S$4001,'All Donations'!$R$2:$R$4001,$AD309,'All Donations'!$T$2:$T$4001,I$1))</f>
        <v/>
      </c>
      <c r="J309" s="49">
        <f>IF(OR($AE309&lt;&gt;1,J$1=""),"",SUMIFS('All Donations'!$S$2:$S$4001,'All Donations'!$R$2:$R$4001,$AD309,'All Donations'!$T$2:$T$4001,J$1))</f>
        <v/>
      </c>
      <c r="K309" s="49">
        <f>IF(OR($AE309&lt;&gt;1,K$1=""),"",SUMIFS('All Donations'!$S$2:$S$4001,'All Donations'!$R$2:$R$4001,$AD309,'All Donations'!$T$2:$T$4001,K$1))</f>
        <v/>
      </c>
      <c r="L309" s="49">
        <f>IF(OR($AE309&lt;&gt;1,L$1=""),"",SUMIFS('All Donations'!$S$2:$S$4001,'All Donations'!$R$2:$R$4001,$AD309,'All Donations'!$T$2:$T$4001,L$1))</f>
        <v/>
      </c>
      <c r="M309" s="49">
        <f>IF(OR($AE309&lt;&gt;1,M$1=""),"",SUMIFS('All Donations'!$S$2:$S$4001,'All Donations'!$R$2:$R$4001,$AD309,'All Donations'!$T$2:$T$4001,M$1))</f>
        <v/>
      </c>
      <c r="N309" s="49">
        <f>IF(OR($AE309&lt;&gt;1,N$1=""),"",SUMIFS('All Donations'!$S$2:$S$4001,'All Donations'!$R$2:$R$4001,$AD309,'All Donations'!$T$2:$T$4001,N$1))</f>
        <v/>
      </c>
      <c r="O309" s="49">
        <f>IF(OR($AE309&lt;&gt;1,O$1=""),"",SUMIFS('All Donations'!$S$2:$S$4001,'All Donations'!$R$2:$R$4001,$AD309,'All Donations'!$T$2:$T$4001,O$1))</f>
        <v/>
      </c>
      <c r="P309" s="49">
        <f>IF(OR($AE309&lt;&gt;1,P$1=""),"",SUMIFS('All Donations'!$S$2:$S$4001,'All Donations'!$R$2:$R$4001,$AD309,'All Donations'!$T$2:$T$4001,P$1))</f>
        <v/>
      </c>
      <c r="Q309" s="49">
        <f>IF(OR($AE309&lt;&gt;1,Q$1=""),"",SUMIFS('All Donations'!$S$2:$S$4001,'All Donations'!$R$2:$R$4001,$AD309,'All Donations'!$T$2:$T$4001,Q$1))</f>
        <v/>
      </c>
      <c r="R309" s="49">
        <f>IF(OR($AE309&lt;&gt;1,R$1=""),"",SUMIFS('All Donations'!$S$2:$S$4001,'All Donations'!$R$2:$R$4001,$AD309,'All Donations'!$T$2:$T$4001,R$1))</f>
        <v/>
      </c>
      <c r="S309" s="49">
        <f>IF(OR($AE309&lt;&gt;1,S$1=""),"",SUMIFS('All Donations'!$S$2:$S$4001,'All Donations'!$R$2:$R$4001,$AD309,'All Donations'!$T$2:$T$4001,S$1))</f>
        <v/>
      </c>
      <c r="T309" s="49">
        <f>IF(OR($AE309&lt;&gt;1,T$1=""),"",SUMIFS('All Donations'!$S$2:$S$4001,'All Donations'!$R$2:$R$4001,$AD309,'All Donations'!$T$2:$T$4001,T$1))</f>
        <v/>
      </c>
      <c r="U309" s="49">
        <f>IF(OR($AE309&lt;&gt;1,U$1=""),"",SUMIFS('All Donations'!$S$2:$S$4001,'All Donations'!$R$2:$R$4001,$AD309,'All Donations'!$T$2:$T$4001,U$1))</f>
        <v/>
      </c>
      <c r="V309" s="49">
        <f>IF(OR($AE309&lt;&gt;1,V$1=""),"",SUMIFS('All Donations'!$S$2:$S$4001,'All Donations'!$R$2:$R$4001,$AD309,'All Donations'!$T$2:$T$4001,V$1))</f>
        <v/>
      </c>
      <c r="W309" s="49">
        <f>IF(OR($AE309&lt;&gt;1,W$1=""),"",SUMIFS('All Donations'!$S$2:$S$4001,'All Donations'!$R$2:$R$4001,$AD309,'All Donations'!$T$2:$T$4001,W$1))</f>
        <v/>
      </c>
      <c r="X309" s="49">
        <f>IF(OR($AE309&lt;&gt;1,X$1=""),"",SUMIFS('All Donations'!$S$2:$S$4001,'All Donations'!$R$2:$R$4001,$AD309,'All Donations'!$T$2:$T$4001,X$1))</f>
        <v/>
      </c>
      <c r="Y309" s="49">
        <f>IF(OR($AE309&lt;&gt;1,Y$1=""),"",SUMIFS('All Donations'!$S$2:$S$4001,'All Donations'!$R$2:$R$4001,$AD309,'All Donations'!$T$2:$T$4001,Y$1))</f>
        <v/>
      </c>
      <c r="Z309" s="49">
        <f>IF(OR($AE309&lt;&gt;1,Z$1=""),"",SUMIFS('All Donations'!$S$2:$S$4001,'All Donations'!$R$2:$R$4001,$AD309,'All Donations'!$T$2:$T$4001,Z$1))</f>
        <v/>
      </c>
      <c r="AA309" s="49">
        <f>IF(OR($AE309&lt;&gt;1,AA$1=""),"",SUMIFS('All Donations'!$S$2:$S$4001,'All Donations'!$R$2:$R$4001,$AD309,'All Donations'!$T$2:$T$4001,AA$1))</f>
        <v/>
      </c>
      <c r="AB309" s="49">
        <f>IF(OR($AE309&lt;&gt;1,AB$1=""),"",SUMIFS('All Donations'!$S$2:$S$4001,'All Donations'!$R$2:$R$4001,$AD309,'All Donations'!$T$2:$T$4001,AB$1))</f>
        <v/>
      </c>
      <c r="AC309" s="49">
        <f>IF(OR($AE309&lt;&gt;1,AC$1=""),"",SUMIFS('All Donations'!$S$2:$S$4001,'All Donations'!$R$2:$R$4001,$AD309,'All Donations'!$T$2:$T$4001,AC$1))</f>
        <v/>
      </c>
      <c r="AD309">
        <f>IF(AE309=1,'Roster'!A309,"")</f>
        <v/>
      </c>
      <c r="AE309">
        <f>IF(TRIM('Roster'!B309&amp;'Roster'!C309)&lt;&gt;"",1,0)</f>
        <v/>
      </c>
      <c r="AF309">
        <f>IF(AE309=1,LOWER(A309),"#")</f>
        <v/>
      </c>
      <c r="AG309">
        <f>IF(AE309=1,LOWER(TRIM(TRIM('Roster'!C309)&amp;", "&amp;TRIM('Roster'!B309))),"#")</f>
        <v/>
      </c>
      <c r="AH309">
        <f>IF(AND(AE309=1,TRIM('Roster'!F309)&lt;&gt;""),LOWER(TRIM('Roster'!F309)),"#")</f>
        <v/>
      </c>
      <c r="AI309">
        <f>IF(AE309=1,IF(MATCH(B309,$B$2:$B$701,0)=ROW()-1,1,0),0)</f>
        <v/>
      </c>
      <c r="AJ309">
        <f>AJ308+AI309</f>
        <v/>
      </c>
      <c r="AK309">
        <f>IF(AE309=1,D309+(1000-ROW())/10^7,-1)</f>
        <v/>
      </c>
      <c r="AL309">
        <f>IF(AE309=1,TRIM('Roster'!B309)&amp;" "&amp;LEFT(TRIM('Roster'!C309),1)&amp;".","")</f>
        <v/>
      </c>
      <c r="AM309">
        <f>IF(AE309=1,TRIM('Roster'!C309)&amp;", "&amp;TRIM('Roster'!B309)&amp;" ("&amp;B309&amp;") #"&amp;AD309,"")</f>
        <v/>
      </c>
      <c r="AN309">
        <f>IF(AE309=1,TRIM('Roster'!E309),"")</f>
        <v/>
      </c>
      <c r="AO309">
        <f>IF(AE309=1,ROUND(SUMIFS('All Donations'!$S$2:$S$4001,'All Donations'!$R$2:$R$4001,AD309,'All Donations'!$T$2:$T$4001,"&gt;="&amp;'Settings'!$C$23,'All Donations'!$T$2:$T$4001,"&lt;="&amp;'Settings'!$D$23),2),0)</f>
        <v/>
      </c>
      <c r="AQ309">
        <f>IF(AE309=1,ROUND(SUMIFS('All Donations'!$S$2:$S$4001,'All Donations'!$R$2:$R$4001,AD309,'All Donations'!$T$2:$T$4001,"&gt;="&amp;'Settings'!$C$25,'All Donations'!$T$2:$T$4001,"&lt;="&amp;'Settings'!$D$25),2),0)</f>
        <v/>
      </c>
      <c r="AR309">
        <f>IF(AE309=1,ROUND(SUMIFS('All Donations'!$S$2:$S$4001,'All Donations'!$R$2:$R$4001,AD309,'All Donations'!$T$2:$T$4001,"&gt;="&amp;'Settings'!$C$26,'All Donations'!$T$2:$T$4001,"&lt;="&amp;'Settings'!$D$26),2),0)</f>
        <v/>
      </c>
      <c r="AS309">
        <f>IF(AE309=1,ROUND(SUMIFS('All Donations'!$S$2:$S$4001,'All Donations'!$R$2:$R$4001,AD309,'All Donations'!$T$2:$T$4001,"&lt;="&amp;'Settings'!$D$27),2),0)</f>
        <v/>
      </c>
      <c r="AT309">
        <f>IF(AE309=1,ROUND(SUMIFS('All Donations'!$S$2:$S$4001,'All Donations'!$R$2:$R$4001,AD309,'All Donations'!$T$2:$T$4001,"&gt;="&amp;'Settings'!$C$28,'All Donations'!$T$2:$T$4001,"&lt;="&amp;'Settings'!$D$28),2),0)</f>
        <v/>
      </c>
      <c r="AU309">
        <f>IF(AE309=1,ROUND(SUMIFS('All Donations'!$S$2:$S$4001,'All Donations'!$R$2:$R$4001,AD309,'All Donations'!$T$2:$T$4001,"&gt;="&amp;'Settings'!$C$29,'All Donations'!$T$2:$T$4001,"&lt;="&amp;'Settings'!$D$29),2),0)</f>
        <v/>
      </c>
      <c r="AV309">
        <f>IF(AE309=1,ROUND(SUMIFS('All Donations'!$S$2:$S$4001,'All Donations'!$R$2:$R$4001,AD309,'All Donations'!$T$2:$T$4001,"&lt;="&amp;'Settings'!$D$30),2),0)</f>
        <v/>
      </c>
      <c r="AZ309">
        <f>IF(AE309=1,ROUND(SUMIFS('All Donations'!$S$2:$S$4001,'All Donations'!$R$2:$R$4001,AD309,'All Donations'!$T$2:$T$4001,"&lt;="&amp;'Settings'!$D$34),2),0)</f>
        <v/>
      </c>
    </row>
    <row r="310">
      <c r="A310">
        <f>IF(AE310=1,TRIM(TRIM('Roster'!B310)&amp;" "&amp;TRIM('Roster'!C310)),"")</f>
        <v/>
      </c>
      <c r="B310">
        <f>IF(AE310=1,IF(AN310="","(no teacher)",AN310&amp;" – "&amp;C310),"")</f>
        <v/>
      </c>
      <c r="C310">
        <f>IF(AE310=1,TRIM('Roster'!D310&amp;""),"")</f>
        <v/>
      </c>
      <c r="D310" s="48">
        <f>IF(AE310=1,ROUND(SUMIFS('All Donations'!$S$2:$S$4001,'All Donations'!$R$2:$R$4001,AD310),2),"")</f>
        <v/>
      </c>
      <c r="E310" s="48">
        <f>IF(AE310=1,ROUND(SUMIFS('All Donations'!$S$2:$S$4001,'All Donations'!$R$2:$R$4001,AD310,'All Donations'!$G$2:$G$4001,"OneCause"),2),"")</f>
        <v/>
      </c>
      <c r="F310" s="48">
        <f>IF(AE310=1,D310-E310,"")</f>
        <v/>
      </c>
      <c r="G310">
        <f>IF(AE310=1,COUNTIFS('All Donations'!$R$2:$R$4001,AD310,'All Donations'!$H$2:$H$4001,"OK"),"")</f>
        <v/>
      </c>
      <c r="H310">
        <f>IF(AE310&lt;&gt;1,"",IF(D310&gt;0,"Yes",""))</f>
        <v/>
      </c>
      <c r="I310" s="49">
        <f>IF(OR($AE310&lt;&gt;1,I$1=""),"",SUMIFS('All Donations'!$S$2:$S$4001,'All Donations'!$R$2:$R$4001,$AD310,'All Donations'!$T$2:$T$4001,I$1))</f>
        <v/>
      </c>
      <c r="J310" s="49">
        <f>IF(OR($AE310&lt;&gt;1,J$1=""),"",SUMIFS('All Donations'!$S$2:$S$4001,'All Donations'!$R$2:$R$4001,$AD310,'All Donations'!$T$2:$T$4001,J$1))</f>
        <v/>
      </c>
      <c r="K310" s="49">
        <f>IF(OR($AE310&lt;&gt;1,K$1=""),"",SUMIFS('All Donations'!$S$2:$S$4001,'All Donations'!$R$2:$R$4001,$AD310,'All Donations'!$T$2:$T$4001,K$1))</f>
        <v/>
      </c>
      <c r="L310" s="49">
        <f>IF(OR($AE310&lt;&gt;1,L$1=""),"",SUMIFS('All Donations'!$S$2:$S$4001,'All Donations'!$R$2:$R$4001,$AD310,'All Donations'!$T$2:$T$4001,L$1))</f>
        <v/>
      </c>
      <c r="M310" s="49">
        <f>IF(OR($AE310&lt;&gt;1,M$1=""),"",SUMIFS('All Donations'!$S$2:$S$4001,'All Donations'!$R$2:$R$4001,$AD310,'All Donations'!$T$2:$T$4001,M$1))</f>
        <v/>
      </c>
      <c r="N310" s="49">
        <f>IF(OR($AE310&lt;&gt;1,N$1=""),"",SUMIFS('All Donations'!$S$2:$S$4001,'All Donations'!$R$2:$R$4001,$AD310,'All Donations'!$T$2:$T$4001,N$1))</f>
        <v/>
      </c>
      <c r="O310" s="49">
        <f>IF(OR($AE310&lt;&gt;1,O$1=""),"",SUMIFS('All Donations'!$S$2:$S$4001,'All Donations'!$R$2:$R$4001,$AD310,'All Donations'!$T$2:$T$4001,O$1))</f>
        <v/>
      </c>
      <c r="P310" s="49">
        <f>IF(OR($AE310&lt;&gt;1,P$1=""),"",SUMIFS('All Donations'!$S$2:$S$4001,'All Donations'!$R$2:$R$4001,$AD310,'All Donations'!$T$2:$T$4001,P$1))</f>
        <v/>
      </c>
      <c r="Q310" s="49">
        <f>IF(OR($AE310&lt;&gt;1,Q$1=""),"",SUMIFS('All Donations'!$S$2:$S$4001,'All Donations'!$R$2:$R$4001,$AD310,'All Donations'!$T$2:$T$4001,Q$1))</f>
        <v/>
      </c>
      <c r="R310" s="49">
        <f>IF(OR($AE310&lt;&gt;1,R$1=""),"",SUMIFS('All Donations'!$S$2:$S$4001,'All Donations'!$R$2:$R$4001,$AD310,'All Donations'!$T$2:$T$4001,R$1))</f>
        <v/>
      </c>
      <c r="S310" s="49">
        <f>IF(OR($AE310&lt;&gt;1,S$1=""),"",SUMIFS('All Donations'!$S$2:$S$4001,'All Donations'!$R$2:$R$4001,$AD310,'All Donations'!$T$2:$T$4001,S$1))</f>
        <v/>
      </c>
      <c r="T310" s="49">
        <f>IF(OR($AE310&lt;&gt;1,T$1=""),"",SUMIFS('All Donations'!$S$2:$S$4001,'All Donations'!$R$2:$R$4001,$AD310,'All Donations'!$T$2:$T$4001,T$1))</f>
        <v/>
      </c>
      <c r="U310" s="49">
        <f>IF(OR($AE310&lt;&gt;1,U$1=""),"",SUMIFS('All Donations'!$S$2:$S$4001,'All Donations'!$R$2:$R$4001,$AD310,'All Donations'!$T$2:$T$4001,U$1))</f>
        <v/>
      </c>
      <c r="V310" s="49">
        <f>IF(OR($AE310&lt;&gt;1,V$1=""),"",SUMIFS('All Donations'!$S$2:$S$4001,'All Donations'!$R$2:$R$4001,$AD310,'All Donations'!$T$2:$T$4001,V$1))</f>
        <v/>
      </c>
      <c r="W310" s="49">
        <f>IF(OR($AE310&lt;&gt;1,W$1=""),"",SUMIFS('All Donations'!$S$2:$S$4001,'All Donations'!$R$2:$R$4001,$AD310,'All Donations'!$T$2:$T$4001,W$1))</f>
        <v/>
      </c>
      <c r="X310" s="49">
        <f>IF(OR($AE310&lt;&gt;1,X$1=""),"",SUMIFS('All Donations'!$S$2:$S$4001,'All Donations'!$R$2:$R$4001,$AD310,'All Donations'!$T$2:$T$4001,X$1))</f>
        <v/>
      </c>
      <c r="Y310" s="49">
        <f>IF(OR($AE310&lt;&gt;1,Y$1=""),"",SUMIFS('All Donations'!$S$2:$S$4001,'All Donations'!$R$2:$R$4001,$AD310,'All Donations'!$T$2:$T$4001,Y$1))</f>
        <v/>
      </c>
      <c r="Z310" s="49">
        <f>IF(OR($AE310&lt;&gt;1,Z$1=""),"",SUMIFS('All Donations'!$S$2:$S$4001,'All Donations'!$R$2:$R$4001,$AD310,'All Donations'!$T$2:$T$4001,Z$1))</f>
        <v/>
      </c>
      <c r="AA310" s="49">
        <f>IF(OR($AE310&lt;&gt;1,AA$1=""),"",SUMIFS('All Donations'!$S$2:$S$4001,'All Donations'!$R$2:$R$4001,$AD310,'All Donations'!$T$2:$T$4001,AA$1))</f>
        <v/>
      </c>
      <c r="AB310" s="49">
        <f>IF(OR($AE310&lt;&gt;1,AB$1=""),"",SUMIFS('All Donations'!$S$2:$S$4001,'All Donations'!$R$2:$R$4001,$AD310,'All Donations'!$T$2:$T$4001,AB$1))</f>
        <v/>
      </c>
      <c r="AC310" s="49">
        <f>IF(OR($AE310&lt;&gt;1,AC$1=""),"",SUMIFS('All Donations'!$S$2:$S$4001,'All Donations'!$R$2:$R$4001,$AD310,'All Donations'!$T$2:$T$4001,AC$1))</f>
        <v/>
      </c>
      <c r="AD310">
        <f>IF(AE310=1,'Roster'!A310,"")</f>
        <v/>
      </c>
      <c r="AE310">
        <f>IF(TRIM('Roster'!B310&amp;'Roster'!C310)&lt;&gt;"",1,0)</f>
        <v/>
      </c>
      <c r="AF310">
        <f>IF(AE310=1,LOWER(A310),"#")</f>
        <v/>
      </c>
      <c r="AG310">
        <f>IF(AE310=1,LOWER(TRIM(TRIM('Roster'!C310)&amp;", "&amp;TRIM('Roster'!B310))),"#")</f>
        <v/>
      </c>
      <c r="AH310">
        <f>IF(AND(AE310=1,TRIM('Roster'!F310)&lt;&gt;""),LOWER(TRIM('Roster'!F310)),"#")</f>
        <v/>
      </c>
      <c r="AI310">
        <f>IF(AE310=1,IF(MATCH(B310,$B$2:$B$701,0)=ROW()-1,1,0),0)</f>
        <v/>
      </c>
      <c r="AJ310">
        <f>AJ309+AI310</f>
        <v/>
      </c>
      <c r="AK310">
        <f>IF(AE310=1,D310+(1000-ROW())/10^7,-1)</f>
        <v/>
      </c>
      <c r="AL310">
        <f>IF(AE310=1,TRIM('Roster'!B310)&amp;" "&amp;LEFT(TRIM('Roster'!C310),1)&amp;".","")</f>
        <v/>
      </c>
      <c r="AM310">
        <f>IF(AE310=1,TRIM('Roster'!C310)&amp;", "&amp;TRIM('Roster'!B310)&amp;" ("&amp;B310&amp;") #"&amp;AD310,"")</f>
        <v/>
      </c>
      <c r="AN310">
        <f>IF(AE310=1,TRIM('Roster'!E310),"")</f>
        <v/>
      </c>
      <c r="AO310">
        <f>IF(AE310=1,ROUND(SUMIFS('All Donations'!$S$2:$S$4001,'All Donations'!$R$2:$R$4001,AD310,'All Donations'!$T$2:$T$4001,"&gt;="&amp;'Settings'!$C$23,'All Donations'!$T$2:$T$4001,"&lt;="&amp;'Settings'!$D$23),2),0)</f>
        <v/>
      </c>
      <c r="AQ310">
        <f>IF(AE310=1,ROUND(SUMIFS('All Donations'!$S$2:$S$4001,'All Donations'!$R$2:$R$4001,AD310,'All Donations'!$T$2:$T$4001,"&gt;="&amp;'Settings'!$C$25,'All Donations'!$T$2:$T$4001,"&lt;="&amp;'Settings'!$D$25),2),0)</f>
        <v/>
      </c>
      <c r="AR310">
        <f>IF(AE310=1,ROUND(SUMIFS('All Donations'!$S$2:$S$4001,'All Donations'!$R$2:$R$4001,AD310,'All Donations'!$T$2:$T$4001,"&gt;="&amp;'Settings'!$C$26,'All Donations'!$T$2:$T$4001,"&lt;="&amp;'Settings'!$D$26),2),0)</f>
        <v/>
      </c>
      <c r="AS310">
        <f>IF(AE310=1,ROUND(SUMIFS('All Donations'!$S$2:$S$4001,'All Donations'!$R$2:$R$4001,AD310,'All Donations'!$T$2:$T$4001,"&lt;="&amp;'Settings'!$D$27),2),0)</f>
        <v/>
      </c>
      <c r="AT310">
        <f>IF(AE310=1,ROUND(SUMIFS('All Donations'!$S$2:$S$4001,'All Donations'!$R$2:$R$4001,AD310,'All Donations'!$T$2:$T$4001,"&gt;="&amp;'Settings'!$C$28,'All Donations'!$T$2:$T$4001,"&lt;="&amp;'Settings'!$D$28),2),0)</f>
        <v/>
      </c>
      <c r="AU310">
        <f>IF(AE310=1,ROUND(SUMIFS('All Donations'!$S$2:$S$4001,'All Donations'!$R$2:$R$4001,AD310,'All Donations'!$T$2:$T$4001,"&gt;="&amp;'Settings'!$C$29,'All Donations'!$T$2:$T$4001,"&lt;="&amp;'Settings'!$D$29),2),0)</f>
        <v/>
      </c>
      <c r="AV310">
        <f>IF(AE310=1,ROUND(SUMIFS('All Donations'!$S$2:$S$4001,'All Donations'!$R$2:$R$4001,AD310,'All Donations'!$T$2:$T$4001,"&lt;="&amp;'Settings'!$D$30),2),0)</f>
        <v/>
      </c>
      <c r="AZ310">
        <f>IF(AE310=1,ROUND(SUMIFS('All Donations'!$S$2:$S$4001,'All Donations'!$R$2:$R$4001,AD310,'All Donations'!$T$2:$T$4001,"&lt;="&amp;'Settings'!$D$34),2),0)</f>
        <v/>
      </c>
    </row>
    <row r="311">
      <c r="A311">
        <f>IF(AE311=1,TRIM(TRIM('Roster'!B311)&amp;" "&amp;TRIM('Roster'!C311)),"")</f>
        <v/>
      </c>
      <c r="B311">
        <f>IF(AE311=1,IF(AN311="","(no teacher)",AN311&amp;" – "&amp;C311),"")</f>
        <v/>
      </c>
      <c r="C311">
        <f>IF(AE311=1,TRIM('Roster'!D311&amp;""),"")</f>
        <v/>
      </c>
      <c r="D311" s="48">
        <f>IF(AE311=1,ROUND(SUMIFS('All Donations'!$S$2:$S$4001,'All Donations'!$R$2:$R$4001,AD311),2),"")</f>
        <v/>
      </c>
      <c r="E311" s="48">
        <f>IF(AE311=1,ROUND(SUMIFS('All Donations'!$S$2:$S$4001,'All Donations'!$R$2:$R$4001,AD311,'All Donations'!$G$2:$G$4001,"OneCause"),2),"")</f>
        <v/>
      </c>
      <c r="F311" s="48">
        <f>IF(AE311=1,D311-E311,"")</f>
        <v/>
      </c>
      <c r="G311">
        <f>IF(AE311=1,COUNTIFS('All Donations'!$R$2:$R$4001,AD311,'All Donations'!$H$2:$H$4001,"OK"),"")</f>
        <v/>
      </c>
      <c r="H311">
        <f>IF(AE311&lt;&gt;1,"",IF(D311&gt;0,"Yes",""))</f>
        <v/>
      </c>
      <c r="I311" s="49">
        <f>IF(OR($AE311&lt;&gt;1,I$1=""),"",SUMIFS('All Donations'!$S$2:$S$4001,'All Donations'!$R$2:$R$4001,$AD311,'All Donations'!$T$2:$T$4001,I$1))</f>
        <v/>
      </c>
      <c r="J311" s="49">
        <f>IF(OR($AE311&lt;&gt;1,J$1=""),"",SUMIFS('All Donations'!$S$2:$S$4001,'All Donations'!$R$2:$R$4001,$AD311,'All Donations'!$T$2:$T$4001,J$1))</f>
        <v/>
      </c>
      <c r="K311" s="49">
        <f>IF(OR($AE311&lt;&gt;1,K$1=""),"",SUMIFS('All Donations'!$S$2:$S$4001,'All Donations'!$R$2:$R$4001,$AD311,'All Donations'!$T$2:$T$4001,K$1))</f>
        <v/>
      </c>
      <c r="L311" s="49">
        <f>IF(OR($AE311&lt;&gt;1,L$1=""),"",SUMIFS('All Donations'!$S$2:$S$4001,'All Donations'!$R$2:$R$4001,$AD311,'All Donations'!$T$2:$T$4001,L$1))</f>
        <v/>
      </c>
      <c r="M311" s="49">
        <f>IF(OR($AE311&lt;&gt;1,M$1=""),"",SUMIFS('All Donations'!$S$2:$S$4001,'All Donations'!$R$2:$R$4001,$AD311,'All Donations'!$T$2:$T$4001,M$1))</f>
        <v/>
      </c>
      <c r="N311" s="49">
        <f>IF(OR($AE311&lt;&gt;1,N$1=""),"",SUMIFS('All Donations'!$S$2:$S$4001,'All Donations'!$R$2:$R$4001,$AD311,'All Donations'!$T$2:$T$4001,N$1))</f>
        <v/>
      </c>
      <c r="O311" s="49">
        <f>IF(OR($AE311&lt;&gt;1,O$1=""),"",SUMIFS('All Donations'!$S$2:$S$4001,'All Donations'!$R$2:$R$4001,$AD311,'All Donations'!$T$2:$T$4001,O$1))</f>
        <v/>
      </c>
      <c r="P311" s="49">
        <f>IF(OR($AE311&lt;&gt;1,P$1=""),"",SUMIFS('All Donations'!$S$2:$S$4001,'All Donations'!$R$2:$R$4001,$AD311,'All Donations'!$T$2:$T$4001,P$1))</f>
        <v/>
      </c>
      <c r="Q311" s="49">
        <f>IF(OR($AE311&lt;&gt;1,Q$1=""),"",SUMIFS('All Donations'!$S$2:$S$4001,'All Donations'!$R$2:$R$4001,$AD311,'All Donations'!$T$2:$T$4001,Q$1))</f>
        <v/>
      </c>
      <c r="R311" s="49">
        <f>IF(OR($AE311&lt;&gt;1,R$1=""),"",SUMIFS('All Donations'!$S$2:$S$4001,'All Donations'!$R$2:$R$4001,$AD311,'All Donations'!$T$2:$T$4001,R$1))</f>
        <v/>
      </c>
      <c r="S311" s="49">
        <f>IF(OR($AE311&lt;&gt;1,S$1=""),"",SUMIFS('All Donations'!$S$2:$S$4001,'All Donations'!$R$2:$R$4001,$AD311,'All Donations'!$T$2:$T$4001,S$1))</f>
        <v/>
      </c>
      <c r="T311" s="49">
        <f>IF(OR($AE311&lt;&gt;1,T$1=""),"",SUMIFS('All Donations'!$S$2:$S$4001,'All Donations'!$R$2:$R$4001,$AD311,'All Donations'!$T$2:$T$4001,T$1))</f>
        <v/>
      </c>
      <c r="U311" s="49">
        <f>IF(OR($AE311&lt;&gt;1,U$1=""),"",SUMIFS('All Donations'!$S$2:$S$4001,'All Donations'!$R$2:$R$4001,$AD311,'All Donations'!$T$2:$T$4001,U$1))</f>
        <v/>
      </c>
      <c r="V311" s="49">
        <f>IF(OR($AE311&lt;&gt;1,V$1=""),"",SUMIFS('All Donations'!$S$2:$S$4001,'All Donations'!$R$2:$R$4001,$AD311,'All Donations'!$T$2:$T$4001,V$1))</f>
        <v/>
      </c>
      <c r="W311" s="49">
        <f>IF(OR($AE311&lt;&gt;1,W$1=""),"",SUMIFS('All Donations'!$S$2:$S$4001,'All Donations'!$R$2:$R$4001,$AD311,'All Donations'!$T$2:$T$4001,W$1))</f>
        <v/>
      </c>
      <c r="X311" s="49">
        <f>IF(OR($AE311&lt;&gt;1,X$1=""),"",SUMIFS('All Donations'!$S$2:$S$4001,'All Donations'!$R$2:$R$4001,$AD311,'All Donations'!$T$2:$T$4001,X$1))</f>
        <v/>
      </c>
      <c r="Y311" s="49">
        <f>IF(OR($AE311&lt;&gt;1,Y$1=""),"",SUMIFS('All Donations'!$S$2:$S$4001,'All Donations'!$R$2:$R$4001,$AD311,'All Donations'!$T$2:$T$4001,Y$1))</f>
        <v/>
      </c>
      <c r="Z311" s="49">
        <f>IF(OR($AE311&lt;&gt;1,Z$1=""),"",SUMIFS('All Donations'!$S$2:$S$4001,'All Donations'!$R$2:$R$4001,$AD311,'All Donations'!$T$2:$T$4001,Z$1))</f>
        <v/>
      </c>
      <c r="AA311" s="49">
        <f>IF(OR($AE311&lt;&gt;1,AA$1=""),"",SUMIFS('All Donations'!$S$2:$S$4001,'All Donations'!$R$2:$R$4001,$AD311,'All Donations'!$T$2:$T$4001,AA$1))</f>
        <v/>
      </c>
      <c r="AB311" s="49">
        <f>IF(OR($AE311&lt;&gt;1,AB$1=""),"",SUMIFS('All Donations'!$S$2:$S$4001,'All Donations'!$R$2:$R$4001,$AD311,'All Donations'!$T$2:$T$4001,AB$1))</f>
        <v/>
      </c>
      <c r="AC311" s="49">
        <f>IF(OR($AE311&lt;&gt;1,AC$1=""),"",SUMIFS('All Donations'!$S$2:$S$4001,'All Donations'!$R$2:$R$4001,$AD311,'All Donations'!$T$2:$T$4001,AC$1))</f>
        <v/>
      </c>
      <c r="AD311">
        <f>IF(AE311=1,'Roster'!A311,"")</f>
        <v/>
      </c>
      <c r="AE311">
        <f>IF(TRIM('Roster'!B311&amp;'Roster'!C311)&lt;&gt;"",1,0)</f>
        <v/>
      </c>
      <c r="AF311">
        <f>IF(AE311=1,LOWER(A311),"#")</f>
        <v/>
      </c>
      <c r="AG311">
        <f>IF(AE311=1,LOWER(TRIM(TRIM('Roster'!C311)&amp;", "&amp;TRIM('Roster'!B311))),"#")</f>
        <v/>
      </c>
      <c r="AH311">
        <f>IF(AND(AE311=1,TRIM('Roster'!F311)&lt;&gt;""),LOWER(TRIM('Roster'!F311)),"#")</f>
        <v/>
      </c>
      <c r="AI311">
        <f>IF(AE311=1,IF(MATCH(B311,$B$2:$B$701,0)=ROW()-1,1,0),0)</f>
        <v/>
      </c>
      <c r="AJ311">
        <f>AJ310+AI311</f>
        <v/>
      </c>
      <c r="AK311">
        <f>IF(AE311=1,D311+(1000-ROW())/10^7,-1)</f>
        <v/>
      </c>
      <c r="AL311">
        <f>IF(AE311=1,TRIM('Roster'!B311)&amp;" "&amp;LEFT(TRIM('Roster'!C311),1)&amp;".","")</f>
        <v/>
      </c>
      <c r="AM311">
        <f>IF(AE311=1,TRIM('Roster'!C311)&amp;", "&amp;TRIM('Roster'!B311)&amp;" ("&amp;B311&amp;") #"&amp;AD311,"")</f>
        <v/>
      </c>
      <c r="AN311">
        <f>IF(AE311=1,TRIM('Roster'!E311),"")</f>
        <v/>
      </c>
      <c r="AO311">
        <f>IF(AE311=1,ROUND(SUMIFS('All Donations'!$S$2:$S$4001,'All Donations'!$R$2:$R$4001,AD311,'All Donations'!$T$2:$T$4001,"&gt;="&amp;'Settings'!$C$23,'All Donations'!$T$2:$T$4001,"&lt;="&amp;'Settings'!$D$23),2),0)</f>
        <v/>
      </c>
      <c r="AQ311">
        <f>IF(AE311=1,ROUND(SUMIFS('All Donations'!$S$2:$S$4001,'All Donations'!$R$2:$R$4001,AD311,'All Donations'!$T$2:$T$4001,"&gt;="&amp;'Settings'!$C$25,'All Donations'!$T$2:$T$4001,"&lt;="&amp;'Settings'!$D$25),2),0)</f>
        <v/>
      </c>
      <c r="AR311">
        <f>IF(AE311=1,ROUND(SUMIFS('All Donations'!$S$2:$S$4001,'All Donations'!$R$2:$R$4001,AD311,'All Donations'!$T$2:$T$4001,"&gt;="&amp;'Settings'!$C$26,'All Donations'!$T$2:$T$4001,"&lt;="&amp;'Settings'!$D$26),2),0)</f>
        <v/>
      </c>
      <c r="AS311">
        <f>IF(AE311=1,ROUND(SUMIFS('All Donations'!$S$2:$S$4001,'All Donations'!$R$2:$R$4001,AD311,'All Donations'!$T$2:$T$4001,"&lt;="&amp;'Settings'!$D$27),2),0)</f>
        <v/>
      </c>
      <c r="AT311">
        <f>IF(AE311=1,ROUND(SUMIFS('All Donations'!$S$2:$S$4001,'All Donations'!$R$2:$R$4001,AD311,'All Donations'!$T$2:$T$4001,"&gt;="&amp;'Settings'!$C$28,'All Donations'!$T$2:$T$4001,"&lt;="&amp;'Settings'!$D$28),2),0)</f>
        <v/>
      </c>
      <c r="AU311">
        <f>IF(AE311=1,ROUND(SUMIFS('All Donations'!$S$2:$S$4001,'All Donations'!$R$2:$R$4001,AD311,'All Donations'!$T$2:$T$4001,"&gt;="&amp;'Settings'!$C$29,'All Donations'!$T$2:$T$4001,"&lt;="&amp;'Settings'!$D$29),2),0)</f>
        <v/>
      </c>
      <c r="AV311">
        <f>IF(AE311=1,ROUND(SUMIFS('All Donations'!$S$2:$S$4001,'All Donations'!$R$2:$R$4001,AD311,'All Donations'!$T$2:$T$4001,"&lt;="&amp;'Settings'!$D$30),2),0)</f>
        <v/>
      </c>
      <c r="AZ311">
        <f>IF(AE311=1,ROUND(SUMIFS('All Donations'!$S$2:$S$4001,'All Donations'!$R$2:$R$4001,AD311,'All Donations'!$T$2:$T$4001,"&lt;="&amp;'Settings'!$D$34),2),0)</f>
        <v/>
      </c>
    </row>
    <row r="312">
      <c r="A312">
        <f>IF(AE312=1,TRIM(TRIM('Roster'!B312)&amp;" "&amp;TRIM('Roster'!C312)),"")</f>
        <v/>
      </c>
      <c r="B312">
        <f>IF(AE312=1,IF(AN312="","(no teacher)",AN312&amp;" – "&amp;C312),"")</f>
        <v/>
      </c>
      <c r="C312">
        <f>IF(AE312=1,TRIM('Roster'!D312&amp;""),"")</f>
        <v/>
      </c>
      <c r="D312" s="48">
        <f>IF(AE312=1,ROUND(SUMIFS('All Donations'!$S$2:$S$4001,'All Donations'!$R$2:$R$4001,AD312),2),"")</f>
        <v/>
      </c>
      <c r="E312" s="48">
        <f>IF(AE312=1,ROUND(SUMIFS('All Donations'!$S$2:$S$4001,'All Donations'!$R$2:$R$4001,AD312,'All Donations'!$G$2:$G$4001,"OneCause"),2),"")</f>
        <v/>
      </c>
      <c r="F312" s="48">
        <f>IF(AE312=1,D312-E312,"")</f>
        <v/>
      </c>
      <c r="G312">
        <f>IF(AE312=1,COUNTIFS('All Donations'!$R$2:$R$4001,AD312,'All Donations'!$H$2:$H$4001,"OK"),"")</f>
        <v/>
      </c>
      <c r="H312">
        <f>IF(AE312&lt;&gt;1,"",IF(D312&gt;0,"Yes",""))</f>
        <v/>
      </c>
      <c r="I312" s="49">
        <f>IF(OR($AE312&lt;&gt;1,I$1=""),"",SUMIFS('All Donations'!$S$2:$S$4001,'All Donations'!$R$2:$R$4001,$AD312,'All Donations'!$T$2:$T$4001,I$1))</f>
        <v/>
      </c>
      <c r="J312" s="49">
        <f>IF(OR($AE312&lt;&gt;1,J$1=""),"",SUMIFS('All Donations'!$S$2:$S$4001,'All Donations'!$R$2:$R$4001,$AD312,'All Donations'!$T$2:$T$4001,J$1))</f>
        <v/>
      </c>
      <c r="K312" s="49">
        <f>IF(OR($AE312&lt;&gt;1,K$1=""),"",SUMIFS('All Donations'!$S$2:$S$4001,'All Donations'!$R$2:$R$4001,$AD312,'All Donations'!$T$2:$T$4001,K$1))</f>
        <v/>
      </c>
      <c r="L312" s="49">
        <f>IF(OR($AE312&lt;&gt;1,L$1=""),"",SUMIFS('All Donations'!$S$2:$S$4001,'All Donations'!$R$2:$R$4001,$AD312,'All Donations'!$T$2:$T$4001,L$1))</f>
        <v/>
      </c>
      <c r="M312" s="49">
        <f>IF(OR($AE312&lt;&gt;1,M$1=""),"",SUMIFS('All Donations'!$S$2:$S$4001,'All Donations'!$R$2:$R$4001,$AD312,'All Donations'!$T$2:$T$4001,M$1))</f>
        <v/>
      </c>
      <c r="N312" s="49">
        <f>IF(OR($AE312&lt;&gt;1,N$1=""),"",SUMIFS('All Donations'!$S$2:$S$4001,'All Donations'!$R$2:$R$4001,$AD312,'All Donations'!$T$2:$T$4001,N$1))</f>
        <v/>
      </c>
      <c r="O312" s="49">
        <f>IF(OR($AE312&lt;&gt;1,O$1=""),"",SUMIFS('All Donations'!$S$2:$S$4001,'All Donations'!$R$2:$R$4001,$AD312,'All Donations'!$T$2:$T$4001,O$1))</f>
        <v/>
      </c>
      <c r="P312" s="49">
        <f>IF(OR($AE312&lt;&gt;1,P$1=""),"",SUMIFS('All Donations'!$S$2:$S$4001,'All Donations'!$R$2:$R$4001,$AD312,'All Donations'!$T$2:$T$4001,P$1))</f>
        <v/>
      </c>
      <c r="Q312" s="49">
        <f>IF(OR($AE312&lt;&gt;1,Q$1=""),"",SUMIFS('All Donations'!$S$2:$S$4001,'All Donations'!$R$2:$R$4001,$AD312,'All Donations'!$T$2:$T$4001,Q$1))</f>
        <v/>
      </c>
      <c r="R312" s="49">
        <f>IF(OR($AE312&lt;&gt;1,R$1=""),"",SUMIFS('All Donations'!$S$2:$S$4001,'All Donations'!$R$2:$R$4001,$AD312,'All Donations'!$T$2:$T$4001,R$1))</f>
        <v/>
      </c>
      <c r="S312" s="49">
        <f>IF(OR($AE312&lt;&gt;1,S$1=""),"",SUMIFS('All Donations'!$S$2:$S$4001,'All Donations'!$R$2:$R$4001,$AD312,'All Donations'!$T$2:$T$4001,S$1))</f>
        <v/>
      </c>
      <c r="T312" s="49">
        <f>IF(OR($AE312&lt;&gt;1,T$1=""),"",SUMIFS('All Donations'!$S$2:$S$4001,'All Donations'!$R$2:$R$4001,$AD312,'All Donations'!$T$2:$T$4001,T$1))</f>
        <v/>
      </c>
      <c r="U312" s="49">
        <f>IF(OR($AE312&lt;&gt;1,U$1=""),"",SUMIFS('All Donations'!$S$2:$S$4001,'All Donations'!$R$2:$R$4001,$AD312,'All Donations'!$T$2:$T$4001,U$1))</f>
        <v/>
      </c>
      <c r="V312" s="49">
        <f>IF(OR($AE312&lt;&gt;1,V$1=""),"",SUMIFS('All Donations'!$S$2:$S$4001,'All Donations'!$R$2:$R$4001,$AD312,'All Donations'!$T$2:$T$4001,V$1))</f>
        <v/>
      </c>
      <c r="W312" s="49">
        <f>IF(OR($AE312&lt;&gt;1,W$1=""),"",SUMIFS('All Donations'!$S$2:$S$4001,'All Donations'!$R$2:$R$4001,$AD312,'All Donations'!$T$2:$T$4001,W$1))</f>
        <v/>
      </c>
      <c r="X312" s="49">
        <f>IF(OR($AE312&lt;&gt;1,X$1=""),"",SUMIFS('All Donations'!$S$2:$S$4001,'All Donations'!$R$2:$R$4001,$AD312,'All Donations'!$T$2:$T$4001,X$1))</f>
        <v/>
      </c>
      <c r="Y312" s="49">
        <f>IF(OR($AE312&lt;&gt;1,Y$1=""),"",SUMIFS('All Donations'!$S$2:$S$4001,'All Donations'!$R$2:$R$4001,$AD312,'All Donations'!$T$2:$T$4001,Y$1))</f>
        <v/>
      </c>
      <c r="Z312" s="49">
        <f>IF(OR($AE312&lt;&gt;1,Z$1=""),"",SUMIFS('All Donations'!$S$2:$S$4001,'All Donations'!$R$2:$R$4001,$AD312,'All Donations'!$T$2:$T$4001,Z$1))</f>
        <v/>
      </c>
      <c r="AA312" s="49">
        <f>IF(OR($AE312&lt;&gt;1,AA$1=""),"",SUMIFS('All Donations'!$S$2:$S$4001,'All Donations'!$R$2:$R$4001,$AD312,'All Donations'!$T$2:$T$4001,AA$1))</f>
        <v/>
      </c>
      <c r="AB312" s="49">
        <f>IF(OR($AE312&lt;&gt;1,AB$1=""),"",SUMIFS('All Donations'!$S$2:$S$4001,'All Donations'!$R$2:$R$4001,$AD312,'All Donations'!$T$2:$T$4001,AB$1))</f>
        <v/>
      </c>
      <c r="AC312" s="49">
        <f>IF(OR($AE312&lt;&gt;1,AC$1=""),"",SUMIFS('All Donations'!$S$2:$S$4001,'All Donations'!$R$2:$R$4001,$AD312,'All Donations'!$T$2:$T$4001,AC$1))</f>
        <v/>
      </c>
      <c r="AD312">
        <f>IF(AE312=1,'Roster'!A312,"")</f>
        <v/>
      </c>
      <c r="AE312">
        <f>IF(TRIM('Roster'!B312&amp;'Roster'!C312)&lt;&gt;"",1,0)</f>
        <v/>
      </c>
      <c r="AF312">
        <f>IF(AE312=1,LOWER(A312),"#")</f>
        <v/>
      </c>
      <c r="AG312">
        <f>IF(AE312=1,LOWER(TRIM(TRIM('Roster'!C312)&amp;", "&amp;TRIM('Roster'!B312))),"#")</f>
        <v/>
      </c>
      <c r="AH312">
        <f>IF(AND(AE312=1,TRIM('Roster'!F312)&lt;&gt;""),LOWER(TRIM('Roster'!F312)),"#")</f>
        <v/>
      </c>
      <c r="AI312">
        <f>IF(AE312=1,IF(MATCH(B312,$B$2:$B$701,0)=ROW()-1,1,0),0)</f>
        <v/>
      </c>
      <c r="AJ312">
        <f>AJ311+AI312</f>
        <v/>
      </c>
      <c r="AK312">
        <f>IF(AE312=1,D312+(1000-ROW())/10^7,-1)</f>
        <v/>
      </c>
      <c r="AL312">
        <f>IF(AE312=1,TRIM('Roster'!B312)&amp;" "&amp;LEFT(TRIM('Roster'!C312),1)&amp;".","")</f>
        <v/>
      </c>
      <c r="AM312">
        <f>IF(AE312=1,TRIM('Roster'!C312)&amp;", "&amp;TRIM('Roster'!B312)&amp;" ("&amp;B312&amp;") #"&amp;AD312,"")</f>
        <v/>
      </c>
      <c r="AN312">
        <f>IF(AE312=1,TRIM('Roster'!E312),"")</f>
        <v/>
      </c>
      <c r="AO312">
        <f>IF(AE312=1,ROUND(SUMIFS('All Donations'!$S$2:$S$4001,'All Donations'!$R$2:$R$4001,AD312,'All Donations'!$T$2:$T$4001,"&gt;="&amp;'Settings'!$C$23,'All Donations'!$T$2:$T$4001,"&lt;="&amp;'Settings'!$D$23),2),0)</f>
        <v/>
      </c>
      <c r="AQ312">
        <f>IF(AE312=1,ROUND(SUMIFS('All Donations'!$S$2:$S$4001,'All Donations'!$R$2:$R$4001,AD312,'All Donations'!$T$2:$T$4001,"&gt;="&amp;'Settings'!$C$25,'All Donations'!$T$2:$T$4001,"&lt;="&amp;'Settings'!$D$25),2),0)</f>
        <v/>
      </c>
      <c r="AR312">
        <f>IF(AE312=1,ROUND(SUMIFS('All Donations'!$S$2:$S$4001,'All Donations'!$R$2:$R$4001,AD312,'All Donations'!$T$2:$T$4001,"&gt;="&amp;'Settings'!$C$26,'All Donations'!$T$2:$T$4001,"&lt;="&amp;'Settings'!$D$26),2),0)</f>
        <v/>
      </c>
      <c r="AS312">
        <f>IF(AE312=1,ROUND(SUMIFS('All Donations'!$S$2:$S$4001,'All Donations'!$R$2:$R$4001,AD312,'All Donations'!$T$2:$T$4001,"&lt;="&amp;'Settings'!$D$27),2),0)</f>
        <v/>
      </c>
      <c r="AT312">
        <f>IF(AE312=1,ROUND(SUMIFS('All Donations'!$S$2:$S$4001,'All Donations'!$R$2:$R$4001,AD312,'All Donations'!$T$2:$T$4001,"&gt;="&amp;'Settings'!$C$28,'All Donations'!$T$2:$T$4001,"&lt;="&amp;'Settings'!$D$28),2),0)</f>
        <v/>
      </c>
      <c r="AU312">
        <f>IF(AE312=1,ROUND(SUMIFS('All Donations'!$S$2:$S$4001,'All Donations'!$R$2:$R$4001,AD312,'All Donations'!$T$2:$T$4001,"&gt;="&amp;'Settings'!$C$29,'All Donations'!$T$2:$T$4001,"&lt;="&amp;'Settings'!$D$29),2),0)</f>
        <v/>
      </c>
      <c r="AV312">
        <f>IF(AE312=1,ROUND(SUMIFS('All Donations'!$S$2:$S$4001,'All Donations'!$R$2:$R$4001,AD312,'All Donations'!$T$2:$T$4001,"&lt;="&amp;'Settings'!$D$30),2),0)</f>
        <v/>
      </c>
      <c r="AZ312">
        <f>IF(AE312=1,ROUND(SUMIFS('All Donations'!$S$2:$S$4001,'All Donations'!$R$2:$R$4001,AD312,'All Donations'!$T$2:$T$4001,"&lt;="&amp;'Settings'!$D$34),2),0)</f>
        <v/>
      </c>
    </row>
    <row r="313">
      <c r="A313">
        <f>IF(AE313=1,TRIM(TRIM('Roster'!B313)&amp;" "&amp;TRIM('Roster'!C313)),"")</f>
        <v/>
      </c>
      <c r="B313">
        <f>IF(AE313=1,IF(AN313="","(no teacher)",AN313&amp;" – "&amp;C313),"")</f>
        <v/>
      </c>
      <c r="C313">
        <f>IF(AE313=1,TRIM('Roster'!D313&amp;""),"")</f>
        <v/>
      </c>
      <c r="D313" s="48">
        <f>IF(AE313=1,ROUND(SUMIFS('All Donations'!$S$2:$S$4001,'All Donations'!$R$2:$R$4001,AD313),2),"")</f>
        <v/>
      </c>
      <c r="E313" s="48">
        <f>IF(AE313=1,ROUND(SUMIFS('All Donations'!$S$2:$S$4001,'All Donations'!$R$2:$R$4001,AD313,'All Donations'!$G$2:$G$4001,"OneCause"),2),"")</f>
        <v/>
      </c>
      <c r="F313" s="48">
        <f>IF(AE313=1,D313-E313,"")</f>
        <v/>
      </c>
      <c r="G313">
        <f>IF(AE313=1,COUNTIFS('All Donations'!$R$2:$R$4001,AD313,'All Donations'!$H$2:$H$4001,"OK"),"")</f>
        <v/>
      </c>
      <c r="H313">
        <f>IF(AE313&lt;&gt;1,"",IF(D313&gt;0,"Yes",""))</f>
        <v/>
      </c>
      <c r="I313" s="49">
        <f>IF(OR($AE313&lt;&gt;1,I$1=""),"",SUMIFS('All Donations'!$S$2:$S$4001,'All Donations'!$R$2:$R$4001,$AD313,'All Donations'!$T$2:$T$4001,I$1))</f>
        <v/>
      </c>
      <c r="J313" s="49">
        <f>IF(OR($AE313&lt;&gt;1,J$1=""),"",SUMIFS('All Donations'!$S$2:$S$4001,'All Donations'!$R$2:$R$4001,$AD313,'All Donations'!$T$2:$T$4001,J$1))</f>
        <v/>
      </c>
      <c r="K313" s="49">
        <f>IF(OR($AE313&lt;&gt;1,K$1=""),"",SUMIFS('All Donations'!$S$2:$S$4001,'All Donations'!$R$2:$R$4001,$AD313,'All Donations'!$T$2:$T$4001,K$1))</f>
        <v/>
      </c>
      <c r="L313" s="49">
        <f>IF(OR($AE313&lt;&gt;1,L$1=""),"",SUMIFS('All Donations'!$S$2:$S$4001,'All Donations'!$R$2:$R$4001,$AD313,'All Donations'!$T$2:$T$4001,L$1))</f>
        <v/>
      </c>
      <c r="M313" s="49">
        <f>IF(OR($AE313&lt;&gt;1,M$1=""),"",SUMIFS('All Donations'!$S$2:$S$4001,'All Donations'!$R$2:$R$4001,$AD313,'All Donations'!$T$2:$T$4001,M$1))</f>
        <v/>
      </c>
      <c r="N313" s="49">
        <f>IF(OR($AE313&lt;&gt;1,N$1=""),"",SUMIFS('All Donations'!$S$2:$S$4001,'All Donations'!$R$2:$R$4001,$AD313,'All Donations'!$T$2:$T$4001,N$1))</f>
        <v/>
      </c>
      <c r="O313" s="49">
        <f>IF(OR($AE313&lt;&gt;1,O$1=""),"",SUMIFS('All Donations'!$S$2:$S$4001,'All Donations'!$R$2:$R$4001,$AD313,'All Donations'!$T$2:$T$4001,O$1))</f>
        <v/>
      </c>
      <c r="P313" s="49">
        <f>IF(OR($AE313&lt;&gt;1,P$1=""),"",SUMIFS('All Donations'!$S$2:$S$4001,'All Donations'!$R$2:$R$4001,$AD313,'All Donations'!$T$2:$T$4001,P$1))</f>
        <v/>
      </c>
      <c r="Q313" s="49">
        <f>IF(OR($AE313&lt;&gt;1,Q$1=""),"",SUMIFS('All Donations'!$S$2:$S$4001,'All Donations'!$R$2:$R$4001,$AD313,'All Donations'!$T$2:$T$4001,Q$1))</f>
        <v/>
      </c>
      <c r="R313" s="49">
        <f>IF(OR($AE313&lt;&gt;1,R$1=""),"",SUMIFS('All Donations'!$S$2:$S$4001,'All Donations'!$R$2:$R$4001,$AD313,'All Donations'!$T$2:$T$4001,R$1))</f>
        <v/>
      </c>
      <c r="S313" s="49">
        <f>IF(OR($AE313&lt;&gt;1,S$1=""),"",SUMIFS('All Donations'!$S$2:$S$4001,'All Donations'!$R$2:$R$4001,$AD313,'All Donations'!$T$2:$T$4001,S$1))</f>
        <v/>
      </c>
      <c r="T313" s="49">
        <f>IF(OR($AE313&lt;&gt;1,T$1=""),"",SUMIFS('All Donations'!$S$2:$S$4001,'All Donations'!$R$2:$R$4001,$AD313,'All Donations'!$T$2:$T$4001,T$1))</f>
        <v/>
      </c>
      <c r="U313" s="49">
        <f>IF(OR($AE313&lt;&gt;1,U$1=""),"",SUMIFS('All Donations'!$S$2:$S$4001,'All Donations'!$R$2:$R$4001,$AD313,'All Donations'!$T$2:$T$4001,U$1))</f>
        <v/>
      </c>
      <c r="V313" s="49">
        <f>IF(OR($AE313&lt;&gt;1,V$1=""),"",SUMIFS('All Donations'!$S$2:$S$4001,'All Donations'!$R$2:$R$4001,$AD313,'All Donations'!$T$2:$T$4001,V$1))</f>
        <v/>
      </c>
      <c r="W313" s="49">
        <f>IF(OR($AE313&lt;&gt;1,W$1=""),"",SUMIFS('All Donations'!$S$2:$S$4001,'All Donations'!$R$2:$R$4001,$AD313,'All Donations'!$T$2:$T$4001,W$1))</f>
        <v/>
      </c>
      <c r="X313" s="49">
        <f>IF(OR($AE313&lt;&gt;1,X$1=""),"",SUMIFS('All Donations'!$S$2:$S$4001,'All Donations'!$R$2:$R$4001,$AD313,'All Donations'!$T$2:$T$4001,X$1))</f>
        <v/>
      </c>
      <c r="Y313" s="49">
        <f>IF(OR($AE313&lt;&gt;1,Y$1=""),"",SUMIFS('All Donations'!$S$2:$S$4001,'All Donations'!$R$2:$R$4001,$AD313,'All Donations'!$T$2:$T$4001,Y$1))</f>
        <v/>
      </c>
      <c r="Z313" s="49">
        <f>IF(OR($AE313&lt;&gt;1,Z$1=""),"",SUMIFS('All Donations'!$S$2:$S$4001,'All Donations'!$R$2:$R$4001,$AD313,'All Donations'!$T$2:$T$4001,Z$1))</f>
        <v/>
      </c>
      <c r="AA313" s="49">
        <f>IF(OR($AE313&lt;&gt;1,AA$1=""),"",SUMIFS('All Donations'!$S$2:$S$4001,'All Donations'!$R$2:$R$4001,$AD313,'All Donations'!$T$2:$T$4001,AA$1))</f>
        <v/>
      </c>
      <c r="AB313" s="49">
        <f>IF(OR($AE313&lt;&gt;1,AB$1=""),"",SUMIFS('All Donations'!$S$2:$S$4001,'All Donations'!$R$2:$R$4001,$AD313,'All Donations'!$T$2:$T$4001,AB$1))</f>
        <v/>
      </c>
      <c r="AC313" s="49">
        <f>IF(OR($AE313&lt;&gt;1,AC$1=""),"",SUMIFS('All Donations'!$S$2:$S$4001,'All Donations'!$R$2:$R$4001,$AD313,'All Donations'!$T$2:$T$4001,AC$1))</f>
        <v/>
      </c>
      <c r="AD313">
        <f>IF(AE313=1,'Roster'!A313,"")</f>
        <v/>
      </c>
      <c r="AE313">
        <f>IF(TRIM('Roster'!B313&amp;'Roster'!C313)&lt;&gt;"",1,0)</f>
        <v/>
      </c>
      <c r="AF313">
        <f>IF(AE313=1,LOWER(A313),"#")</f>
        <v/>
      </c>
      <c r="AG313">
        <f>IF(AE313=1,LOWER(TRIM(TRIM('Roster'!C313)&amp;", "&amp;TRIM('Roster'!B313))),"#")</f>
        <v/>
      </c>
      <c r="AH313">
        <f>IF(AND(AE313=1,TRIM('Roster'!F313)&lt;&gt;""),LOWER(TRIM('Roster'!F313)),"#")</f>
        <v/>
      </c>
      <c r="AI313">
        <f>IF(AE313=1,IF(MATCH(B313,$B$2:$B$701,0)=ROW()-1,1,0),0)</f>
        <v/>
      </c>
      <c r="AJ313">
        <f>AJ312+AI313</f>
        <v/>
      </c>
      <c r="AK313">
        <f>IF(AE313=1,D313+(1000-ROW())/10^7,-1)</f>
        <v/>
      </c>
      <c r="AL313">
        <f>IF(AE313=1,TRIM('Roster'!B313)&amp;" "&amp;LEFT(TRIM('Roster'!C313),1)&amp;".","")</f>
        <v/>
      </c>
      <c r="AM313">
        <f>IF(AE313=1,TRIM('Roster'!C313)&amp;", "&amp;TRIM('Roster'!B313)&amp;" ("&amp;B313&amp;") #"&amp;AD313,"")</f>
        <v/>
      </c>
      <c r="AN313">
        <f>IF(AE313=1,TRIM('Roster'!E313),"")</f>
        <v/>
      </c>
      <c r="AO313">
        <f>IF(AE313=1,ROUND(SUMIFS('All Donations'!$S$2:$S$4001,'All Donations'!$R$2:$R$4001,AD313,'All Donations'!$T$2:$T$4001,"&gt;="&amp;'Settings'!$C$23,'All Donations'!$T$2:$T$4001,"&lt;="&amp;'Settings'!$D$23),2),0)</f>
        <v/>
      </c>
      <c r="AQ313">
        <f>IF(AE313=1,ROUND(SUMIFS('All Donations'!$S$2:$S$4001,'All Donations'!$R$2:$R$4001,AD313,'All Donations'!$T$2:$T$4001,"&gt;="&amp;'Settings'!$C$25,'All Donations'!$T$2:$T$4001,"&lt;="&amp;'Settings'!$D$25),2),0)</f>
        <v/>
      </c>
      <c r="AR313">
        <f>IF(AE313=1,ROUND(SUMIFS('All Donations'!$S$2:$S$4001,'All Donations'!$R$2:$R$4001,AD313,'All Donations'!$T$2:$T$4001,"&gt;="&amp;'Settings'!$C$26,'All Donations'!$T$2:$T$4001,"&lt;="&amp;'Settings'!$D$26),2),0)</f>
        <v/>
      </c>
      <c r="AS313">
        <f>IF(AE313=1,ROUND(SUMIFS('All Donations'!$S$2:$S$4001,'All Donations'!$R$2:$R$4001,AD313,'All Donations'!$T$2:$T$4001,"&lt;="&amp;'Settings'!$D$27),2),0)</f>
        <v/>
      </c>
      <c r="AT313">
        <f>IF(AE313=1,ROUND(SUMIFS('All Donations'!$S$2:$S$4001,'All Donations'!$R$2:$R$4001,AD313,'All Donations'!$T$2:$T$4001,"&gt;="&amp;'Settings'!$C$28,'All Donations'!$T$2:$T$4001,"&lt;="&amp;'Settings'!$D$28),2),0)</f>
        <v/>
      </c>
      <c r="AU313">
        <f>IF(AE313=1,ROUND(SUMIFS('All Donations'!$S$2:$S$4001,'All Donations'!$R$2:$R$4001,AD313,'All Donations'!$T$2:$T$4001,"&gt;="&amp;'Settings'!$C$29,'All Donations'!$T$2:$T$4001,"&lt;="&amp;'Settings'!$D$29),2),0)</f>
        <v/>
      </c>
      <c r="AV313">
        <f>IF(AE313=1,ROUND(SUMIFS('All Donations'!$S$2:$S$4001,'All Donations'!$R$2:$R$4001,AD313,'All Donations'!$T$2:$T$4001,"&lt;="&amp;'Settings'!$D$30),2),0)</f>
        <v/>
      </c>
      <c r="AZ313">
        <f>IF(AE313=1,ROUND(SUMIFS('All Donations'!$S$2:$S$4001,'All Donations'!$R$2:$R$4001,AD313,'All Donations'!$T$2:$T$4001,"&lt;="&amp;'Settings'!$D$34),2),0)</f>
        <v/>
      </c>
    </row>
    <row r="314">
      <c r="A314">
        <f>IF(AE314=1,TRIM(TRIM('Roster'!B314)&amp;" "&amp;TRIM('Roster'!C314)),"")</f>
        <v/>
      </c>
      <c r="B314">
        <f>IF(AE314=1,IF(AN314="","(no teacher)",AN314&amp;" – "&amp;C314),"")</f>
        <v/>
      </c>
      <c r="C314">
        <f>IF(AE314=1,TRIM('Roster'!D314&amp;""),"")</f>
        <v/>
      </c>
      <c r="D314" s="48">
        <f>IF(AE314=1,ROUND(SUMIFS('All Donations'!$S$2:$S$4001,'All Donations'!$R$2:$R$4001,AD314),2),"")</f>
        <v/>
      </c>
      <c r="E314" s="48">
        <f>IF(AE314=1,ROUND(SUMIFS('All Donations'!$S$2:$S$4001,'All Donations'!$R$2:$R$4001,AD314,'All Donations'!$G$2:$G$4001,"OneCause"),2),"")</f>
        <v/>
      </c>
      <c r="F314" s="48">
        <f>IF(AE314=1,D314-E314,"")</f>
        <v/>
      </c>
      <c r="G314">
        <f>IF(AE314=1,COUNTIFS('All Donations'!$R$2:$R$4001,AD314,'All Donations'!$H$2:$H$4001,"OK"),"")</f>
        <v/>
      </c>
      <c r="H314">
        <f>IF(AE314&lt;&gt;1,"",IF(D314&gt;0,"Yes",""))</f>
        <v/>
      </c>
      <c r="I314" s="49">
        <f>IF(OR($AE314&lt;&gt;1,I$1=""),"",SUMIFS('All Donations'!$S$2:$S$4001,'All Donations'!$R$2:$R$4001,$AD314,'All Donations'!$T$2:$T$4001,I$1))</f>
        <v/>
      </c>
      <c r="J314" s="49">
        <f>IF(OR($AE314&lt;&gt;1,J$1=""),"",SUMIFS('All Donations'!$S$2:$S$4001,'All Donations'!$R$2:$R$4001,$AD314,'All Donations'!$T$2:$T$4001,J$1))</f>
        <v/>
      </c>
      <c r="K314" s="49">
        <f>IF(OR($AE314&lt;&gt;1,K$1=""),"",SUMIFS('All Donations'!$S$2:$S$4001,'All Donations'!$R$2:$R$4001,$AD314,'All Donations'!$T$2:$T$4001,K$1))</f>
        <v/>
      </c>
      <c r="L314" s="49">
        <f>IF(OR($AE314&lt;&gt;1,L$1=""),"",SUMIFS('All Donations'!$S$2:$S$4001,'All Donations'!$R$2:$R$4001,$AD314,'All Donations'!$T$2:$T$4001,L$1))</f>
        <v/>
      </c>
      <c r="M314" s="49">
        <f>IF(OR($AE314&lt;&gt;1,M$1=""),"",SUMIFS('All Donations'!$S$2:$S$4001,'All Donations'!$R$2:$R$4001,$AD314,'All Donations'!$T$2:$T$4001,M$1))</f>
        <v/>
      </c>
      <c r="N314" s="49">
        <f>IF(OR($AE314&lt;&gt;1,N$1=""),"",SUMIFS('All Donations'!$S$2:$S$4001,'All Donations'!$R$2:$R$4001,$AD314,'All Donations'!$T$2:$T$4001,N$1))</f>
        <v/>
      </c>
      <c r="O314" s="49">
        <f>IF(OR($AE314&lt;&gt;1,O$1=""),"",SUMIFS('All Donations'!$S$2:$S$4001,'All Donations'!$R$2:$R$4001,$AD314,'All Donations'!$T$2:$T$4001,O$1))</f>
        <v/>
      </c>
      <c r="P314" s="49">
        <f>IF(OR($AE314&lt;&gt;1,P$1=""),"",SUMIFS('All Donations'!$S$2:$S$4001,'All Donations'!$R$2:$R$4001,$AD314,'All Donations'!$T$2:$T$4001,P$1))</f>
        <v/>
      </c>
      <c r="Q314" s="49">
        <f>IF(OR($AE314&lt;&gt;1,Q$1=""),"",SUMIFS('All Donations'!$S$2:$S$4001,'All Donations'!$R$2:$R$4001,$AD314,'All Donations'!$T$2:$T$4001,Q$1))</f>
        <v/>
      </c>
      <c r="R314" s="49">
        <f>IF(OR($AE314&lt;&gt;1,R$1=""),"",SUMIFS('All Donations'!$S$2:$S$4001,'All Donations'!$R$2:$R$4001,$AD314,'All Donations'!$T$2:$T$4001,R$1))</f>
        <v/>
      </c>
      <c r="S314" s="49">
        <f>IF(OR($AE314&lt;&gt;1,S$1=""),"",SUMIFS('All Donations'!$S$2:$S$4001,'All Donations'!$R$2:$R$4001,$AD314,'All Donations'!$T$2:$T$4001,S$1))</f>
        <v/>
      </c>
      <c r="T314" s="49">
        <f>IF(OR($AE314&lt;&gt;1,T$1=""),"",SUMIFS('All Donations'!$S$2:$S$4001,'All Donations'!$R$2:$R$4001,$AD314,'All Donations'!$T$2:$T$4001,T$1))</f>
        <v/>
      </c>
      <c r="U314" s="49">
        <f>IF(OR($AE314&lt;&gt;1,U$1=""),"",SUMIFS('All Donations'!$S$2:$S$4001,'All Donations'!$R$2:$R$4001,$AD314,'All Donations'!$T$2:$T$4001,U$1))</f>
        <v/>
      </c>
      <c r="V314" s="49">
        <f>IF(OR($AE314&lt;&gt;1,V$1=""),"",SUMIFS('All Donations'!$S$2:$S$4001,'All Donations'!$R$2:$R$4001,$AD314,'All Donations'!$T$2:$T$4001,V$1))</f>
        <v/>
      </c>
      <c r="W314" s="49">
        <f>IF(OR($AE314&lt;&gt;1,W$1=""),"",SUMIFS('All Donations'!$S$2:$S$4001,'All Donations'!$R$2:$R$4001,$AD314,'All Donations'!$T$2:$T$4001,W$1))</f>
        <v/>
      </c>
      <c r="X314" s="49">
        <f>IF(OR($AE314&lt;&gt;1,X$1=""),"",SUMIFS('All Donations'!$S$2:$S$4001,'All Donations'!$R$2:$R$4001,$AD314,'All Donations'!$T$2:$T$4001,X$1))</f>
        <v/>
      </c>
      <c r="Y314" s="49">
        <f>IF(OR($AE314&lt;&gt;1,Y$1=""),"",SUMIFS('All Donations'!$S$2:$S$4001,'All Donations'!$R$2:$R$4001,$AD314,'All Donations'!$T$2:$T$4001,Y$1))</f>
        <v/>
      </c>
      <c r="Z314" s="49">
        <f>IF(OR($AE314&lt;&gt;1,Z$1=""),"",SUMIFS('All Donations'!$S$2:$S$4001,'All Donations'!$R$2:$R$4001,$AD314,'All Donations'!$T$2:$T$4001,Z$1))</f>
        <v/>
      </c>
      <c r="AA314" s="49">
        <f>IF(OR($AE314&lt;&gt;1,AA$1=""),"",SUMIFS('All Donations'!$S$2:$S$4001,'All Donations'!$R$2:$R$4001,$AD314,'All Donations'!$T$2:$T$4001,AA$1))</f>
        <v/>
      </c>
      <c r="AB314" s="49">
        <f>IF(OR($AE314&lt;&gt;1,AB$1=""),"",SUMIFS('All Donations'!$S$2:$S$4001,'All Donations'!$R$2:$R$4001,$AD314,'All Donations'!$T$2:$T$4001,AB$1))</f>
        <v/>
      </c>
      <c r="AC314" s="49">
        <f>IF(OR($AE314&lt;&gt;1,AC$1=""),"",SUMIFS('All Donations'!$S$2:$S$4001,'All Donations'!$R$2:$R$4001,$AD314,'All Donations'!$T$2:$T$4001,AC$1))</f>
        <v/>
      </c>
      <c r="AD314">
        <f>IF(AE314=1,'Roster'!A314,"")</f>
        <v/>
      </c>
      <c r="AE314">
        <f>IF(TRIM('Roster'!B314&amp;'Roster'!C314)&lt;&gt;"",1,0)</f>
        <v/>
      </c>
      <c r="AF314">
        <f>IF(AE314=1,LOWER(A314),"#")</f>
        <v/>
      </c>
      <c r="AG314">
        <f>IF(AE314=1,LOWER(TRIM(TRIM('Roster'!C314)&amp;", "&amp;TRIM('Roster'!B314))),"#")</f>
        <v/>
      </c>
      <c r="AH314">
        <f>IF(AND(AE314=1,TRIM('Roster'!F314)&lt;&gt;""),LOWER(TRIM('Roster'!F314)),"#")</f>
        <v/>
      </c>
      <c r="AI314">
        <f>IF(AE314=1,IF(MATCH(B314,$B$2:$B$701,0)=ROW()-1,1,0),0)</f>
        <v/>
      </c>
      <c r="AJ314">
        <f>AJ313+AI314</f>
        <v/>
      </c>
      <c r="AK314">
        <f>IF(AE314=1,D314+(1000-ROW())/10^7,-1)</f>
        <v/>
      </c>
      <c r="AL314">
        <f>IF(AE314=1,TRIM('Roster'!B314)&amp;" "&amp;LEFT(TRIM('Roster'!C314),1)&amp;".","")</f>
        <v/>
      </c>
      <c r="AM314">
        <f>IF(AE314=1,TRIM('Roster'!C314)&amp;", "&amp;TRIM('Roster'!B314)&amp;" ("&amp;B314&amp;") #"&amp;AD314,"")</f>
        <v/>
      </c>
      <c r="AN314">
        <f>IF(AE314=1,TRIM('Roster'!E314),"")</f>
        <v/>
      </c>
      <c r="AO314">
        <f>IF(AE314=1,ROUND(SUMIFS('All Donations'!$S$2:$S$4001,'All Donations'!$R$2:$R$4001,AD314,'All Donations'!$T$2:$T$4001,"&gt;="&amp;'Settings'!$C$23,'All Donations'!$T$2:$T$4001,"&lt;="&amp;'Settings'!$D$23),2),0)</f>
        <v/>
      </c>
      <c r="AQ314">
        <f>IF(AE314=1,ROUND(SUMIFS('All Donations'!$S$2:$S$4001,'All Donations'!$R$2:$R$4001,AD314,'All Donations'!$T$2:$T$4001,"&gt;="&amp;'Settings'!$C$25,'All Donations'!$T$2:$T$4001,"&lt;="&amp;'Settings'!$D$25),2),0)</f>
        <v/>
      </c>
      <c r="AR314">
        <f>IF(AE314=1,ROUND(SUMIFS('All Donations'!$S$2:$S$4001,'All Donations'!$R$2:$R$4001,AD314,'All Donations'!$T$2:$T$4001,"&gt;="&amp;'Settings'!$C$26,'All Donations'!$T$2:$T$4001,"&lt;="&amp;'Settings'!$D$26),2),0)</f>
        <v/>
      </c>
      <c r="AS314">
        <f>IF(AE314=1,ROUND(SUMIFS('All Donations'!$S$2:$S$4001,'All Donations'!$R$2:$R$4001,AD314,'All Donations'!$T$2:$T$4001,"&lt;="&amp;'Settings'!$D$27),2),0)</f>
        <v/>
      </c>
      <c r="AT314">
        <f>IF(AE314=1,ROUND(SUMIFS('All Donations'!$S$2:$S$4001,'All Donations'!$R$2:$R$4001,AD314,'All Donations'!$T$2:$T$4001,"&gt;="&amp;'Settings'!$C$28,'All Donations'!$T$2:$T$4001,"&lt;="&amp;'Settings'!$D$28),2),0)</f>
        <v/>
      </c>
      <c r="AU314">
        <f>IF(AE314=1,ROUND(SUMIFS('All Donations'!$S$2:$S$4001,'All Donations'!$R$2:$R$4001,AD314,'All Donations'!$T$2:$T$4001,"&gt;="&amp;'Settings'!$C$29,'All Donations'!$T$2:$T$4001,"&lt;="&amp;'Settings'!$D$29),2),0)</f>
        <v/>
      </c>
      <c r="AV314">
        <f>IF(AE314=1,ROUND(SUMIFS('All Donations'!$S$2:$S$4001,'All Donations'!$R$2:$R$4001,AD314,'All Donations'!$T$2:$T$4001,"&lt;="&amp;'Settings'!$D$30),2),0)</f>
        <v/>
      </c>
      <c r="AZ314">
        <f>IF(AE314=1,ROUND(SUMIFS('All Donations'!$S$2:$S$4001,'All Donations'!$R$2:$R$4001,AD314,'All Donations'!$T$2:$T$4001,"&lt;="&amp;'Settings'!$D$34),2),0)</f>
        <v/>
      </c>
    </row>
    <row r="315">
      <c r="A315">
        <f>IF(AE315=1,TRIM(TRIM('Roster'!B315)&amp;" "&amp;TRIM('Roster'!C315)),"")</f>
        <v/>
      </c>
      <c r="B315">
        <f>IF(AE315=1,IF(AN315="","(no teacher)",AN315&amp;" – "&amp;C315),"")</f>
        <v/>
      </c>
      <c r="C315">
        <f>IF(AE315=1,TRIM('Roster'!D315&amp;""),"")</f>
        <v/>
      </c>
      <c r="D315" s="48">
        <f>IF(AE315=1,ROUND(SUMIFS('All Donations'!$S$2:$S$4001,'All Donations'!$R$2:$R$4001,AD315),2),"")</f>
        <v/>
      </c>
      <c r="E315" s="48">
        <f>IF(AE315=1,ROUND(SUMIFS('All Donations'!$S$2:$S$4001,'All Donations'!$R$2:$R$4001,AD315,'All Donations'!$G$2:$G$4001,"OneCause"),2),"")</f>
        <v/>
      </c>
      <c r="F315" s="48">
        <f>IF(AE315=1,D315-E315,"")</f>
        <v/>
      </c>
      <c r="G315">
        <f>IF(AE315=1,COUNTIFS('All Donations'!$R$2:$R$4001,AD315,'All Donations'!$H$2:$H$4001,"OK"),"")</f>
        <v/>
      </c>
      <c r="H315">
        <f>IF(AE315&lt;&gt;1,"",IF(D315&gt;0,"Yes",""))</f>
        <v/>
      </c>
      <c r="I315" s="49">
        <f>IF(OR($AE315&lt;&gt;1,I$1=""),"",SUMIFS('All Donations'!$S$2:$S$4001,'All Donations'!$R$2:$R$4001,$AD315,'All Donations'!$T$2:$T$4001,I$1))</f>
        <v/>
      </c>
      <c r="J315" s="49">
        <f>IF(OR($AE315&lt;&gt;1,J$1=""),"",SUMIFS('All Donations'!$S$2:$S$4001,'All Donations'!$R$2:$R$4001,$AD315,'All Donations'!$T$2:$T$4001,J$1))</f>
        <v/>
      </c>
      <c r="K315" s="49">
        <f>IF(OR($AE315&lt;&gt;1,K$1=""),"",SUMIFS('All Donations'!$S$2:$S$4001,'All Donations'!$R$2:$R$4001,$AD315,'All Donations'!$T$2:$T$4001,K$1))</f>
        <v/>
      </c>
      <c r="L315" s="49">
        <f>IF(OR($AE315&lt;&gt;1,L$1=""),"",SUMIFS('All Donations'!$S$2:$S$4001,'All Donations'!$R$2:$R$4001,$AD315,'All Donations'!$T$2:$T$4001,L$1))</f>
        <v/>
      </c>
      <c r="M315" s="49">
        <f>IF(OR($AE315&lt;&gt;1,M$1=""),"",SUMIFS('All Donations'!$S$2:$S$4001,'All Donations'!$R$2:$R$4001,$AD315,'All Donations'!$T$2:$T$4001,M$1))</f>
        <v/>
      </c>
      <c r="N315" s="49">
        <f>IF(OR($AE315&lt;&gt;1,N$1=""),"",SUMIFS('All Donations'!$S$2:$S$4001,'All Donations'!$R$2:$R$4001,$AD315,'All Donations'!$T$2:$T$4001,N$1))</f>
        <v/>
      </c>
      <c r="O315" s="49">
        <f>IF(OR($AE315&lt;&gt;1,O$1=""),"",SUMIFS('All Donations'!$S$2:$S$4001,'All Donations'!$R$2:$R$4001,$AD315,'All Donations'!$T$2:$T$4001,O$1))</f>
        <v/>
      </c>
      <c r="P315" s="49">
        <f>IF(OR($AE315&lt;&gt;1,P$1=""),"",SUMIFS('All Donations'!$S$2:$S$4001,'All Donations'!$R$2:$R$4001,$AD315,'All Donations'!$T$2:$T$4001,P$1))</f>
        <v/>
      </c>
      <c r="Q315" s="49">
        <f>IF(OR($AE315&lt;&gt;1,Q$1=""),"",SUMIFS('All Donations'!$S$2:$S$4001,'All Donations'!$R$2:$R$4001,$AD315,'All Donations'!$T$2:$T$4001,Q$1))</f>
        <v/>
      </c>
      <c r="R315" s="49">
        <f>IF(OR($AE315&lt;&gt;1,R$1=""),"",SUMIFS('All Donations'!$S$2:$S$4001,'All Donations'!$R$2:$R$4001,$AD315,'All Donations'!$T$2:$T$4001,R$1))</f>
        <v/>
      </c>
      <c r="S315" s="49">
        <f>IF(OR($AE315&lt;&gt;1,S$1=""),"",SUMIFS('All Donations'!$S$2:$S$4001,'All Donations'!$R$2:$R$4001,$AD315,'All Donations'!$T$2:$T$4001,S$1))</f>
        <v/>
      </c>
      <c r="T315" s="49">
        <f>IF(OR($AE315&lt;&gt;1,T$1=""),"",SUMIFS('All Donations'!$S$2:$S$4001,'All Donations'!$R$2:$R$4001,$AD315,'All Donations'!$T$2:$T$4001,T$1))</f>
        <v/>
      </c>
      <c r="U315" s="49">
        <f>IF(OR($AE315&lt;&gt;1,U$1=""),"",SUMIFS('All Donations'!$S$2:$S$4001,'All Donations'!$R$2:$R$4001,$AD315,'All Donations'!$T$2:$T$4001,U$1))</f>
        <v/>
      </c>
      <c r="V315" s="49">
        <f>IF(OR($AE315&lt;&gt;1,V$1=""),"",SUMIFS('All Donations'!$S$2:$S$4001,'All Donations'!$R$2:$R$4001,$AD315,'All Donations'!$T$2:$T$4001,V$1))</f>
        <v/>
      </c>
      <c r="W315" s="49">
        <f>IF(OR($AE315&lt;&gt;1,W$1=""),"",SUMIFS('All Donations'!$S$2:$S$4001,'All Donations'!$R$2:$R$4001,$AD315,'All Donations'!$T$2:$T$4001,W$1))</f>
        <v/>
      </c>
      <c r="X315" s="49">
        <f>IF(OR($AE315&lt;&gt;1,X$1=""),"",SUMIFS('All Donations'!$S$2:$S$4001,'All Donations'!$R$2:$R$4001,$AD315,'All Donations'!$T$2:$T$4001,X$1))</f>
        <v/>
      </c>
      <c r="Y315" s="49">
        <f>IF(OR($AE315&lt;&gt;1,Y$1=""),"",SUMIFS('All Donations'!$S$2:$S$4001,'All Donations'!$R$2:$R$4001,$AD315,'All Donations'!$T$2:$T$4001,Y$1))</f>
        <v/>
      </c>
      <c r="Z315" s="49">
        <f>IF(OR($AE315&lt;&gt;1,Z$1=""),"",SUMIFS('All Donations'!$S$2:$S$4001,'All Donations'!$R$2:$R$4001,$AD315,'All Donations'!$T$2:$T$4001,Z$1))</f>
        <v/>
      </c>
      <c r="AA315" s="49">
        <f>IF(OR($AE315&lt;&gt;1,AA$1=""),"",SUMIFS('All Donations'!$S$2:$S$4001,'All Donations'!$R$2:$R$4001,$AD315,'All Donations'!$T$2:$T$4001,AA$1))</f>
        <v/>
      </c>
      <c r="AB315" s="49">
        <f>IF(OR($AE315&lt;&gt;1,AB$1=""),"",SUMIFS('All Donations'!$S$2:$S$4001,'All Donations'!$R$2:$R$4001,$AD315,'All Donations'!$T$2:$T$4001,AB$1))</f>
        <v/>
      </c>
      <c r="AC315" s="49">
        <f>IF(OR($AE315&lt;&gt;1,AC$1=""),"",SUMIFS('All Donations'!$S$2:$S$4001,'All Donations'!$R$2:$R$4001,$AD315,'All Donations'!$T$2:$T$4001,AC$1))</f>
        <v/>
      </c>
      <c r="AD315">
        <f>IF(AE315=1,'Roster'!A315,"")</f>
        <v/>
      </c>
      <c r="AE315">
        <f>IF(TRIM('Roster'!B315&amp;'Roster'!C315)&lt;&gt;"",1,0)</f>
        <v/>
      </c>
      <c r="AF315">
        <f>IF(AE315=1,LOWER(A315),"#")</f>
        <v/>
      </c>
      <c r="AG315">
        <f>IF(AE315=1,LOWER(TRIM(TRIM('Roster'!C315)&amp;", "&amp;TRIM('Roster'!B315))),"#")</f>
        <v/>
      </c>
      <c r="AH315">
        <f>IF(AND(AE315=1,TRIM('Roster'!F315)&lt;&gt;""),LOWER(TRIM('Roster'!F315)),"#")</f>
        <v/>
      </c>
      <c r="AI315">
        <f>IF(AE315=1,IF(MATCH(B315,$B$2:$B$701,0)=ROW()-1,1,0),0)</f>
        <v/>
      </c>
      <c r="AJ315">
        <f>AJ314+AI315</f>
        <v/>
      </c>
      <c r="AK315">
        <f>IF(AE315=1,D315+(1000-ROW())/10^7,-1)</f>
        <v/>
      </c>
      <c r="AL315">
        <f>IF(AE315=1,TRIM('Roster'!B315)&amp;" "&amp;LEFT(TRIM('Roster'!C315),1)&amp;".","")</f>
        <v/>
      </c>
      <c r="AM315">
        <f>IF(AE315=1,TRIM('Roster'!C315)&amp;", "&amp;TRIM('Roster'!B315)&amp;" ("&amp;B315&amp;") #"&amp;AD315,"")</f>
        <v/>
      </c>
      <c r="AN315">
        <f>IF(AE315=1,TRIM('Roster'!E315),"")</f>
        <v/>
      </c>
      <c r="AO315">
        <f>IF(AE315=1,ROUND(SUMIFS('All Donations'!$S$2:$S$4001,'All Donations'!$R$2:$R$4001,AD315,'All Donations'!$T$2:$T$4001,"&gt;="&amp;'Settings'!$C$23,'All Donations'!$T$2:$T$4001,"&lt;="&amp;'Settings'!$D$23),2),0)</f>
        <v/>
      </c>
      <c r="AQ315">
        <f>IF(AE315=1,ROUND(SUMIFS('All Donations'!$S$2:$S$4001,'All Donations'!$R$2:$R$4001,AD315,'All Donations'!$T$2:$T$4001,"&gt;="&amp;'Settings'!$C$25,'All Donations'!$T$2:$T$4001,"&lt;="&amp;'Settings'!$D$25),2),0)</f>
        <v/>
      </c>
      <c r="AR315">
        <f>IF(AE315=1,ROUND(SUMIFS('All Donations'!$S$2:$S$4001,'All Donations'!$R$2:$R$4001,AD315,'All Donations'!$T$2:$T$4001,"&gt;="&amp;'Settings'!$C$26,'All Donations'!$T$2:$T$4001,"&lt;="&amp;'Settings'!$D$26),2),0)</f>
        <v/>
      </c>
      <c r="AS315">
        <f>IF(AE315=1,ROUND(SUMIFS('All Donations'!$S$2:$S$4001,'All Donations'!$R$2:$R$4001,AD315,'All Donations'!$T$2:$T$4001,"&lt;="&amp;'Settings'!$D$27),2),0)</f>
        <v/>
      </c>
      <c r="AT315">
        <f>IF(AE315=1,ROUND(SUMIFS('All Donations'!$S$2:$S$4001,'All Donations'!$R$2:$R$4001,AD315,'All Donations'!$T$2:$T$4001,"&gt;="&amp;'Settings'!$C$28,'All Donations'!$T$2:$T$4001,"&lt;="&amp;'Settings'!$D$28),2),0)</f>
        <v/>
      </c>
      <c r="AU315">
        <f>IF(AE315=1,ROUND(SUMIFS('All Donations'!$S$2:$S$4001,'All Donations'!$R$2:$R$4001,AD315,'All Donations'!$T$2:$T$4001,"&gt;="&amp;'Settings'!$C$29,'All Donations'!$T$2:$T$4001,"&lt;="&amp;'Settings'!$D$29),2),0)</f>
        <v/>
      </c>
      <c r="AV315">
        <f>IF(AE315=1,ROUND(SUMIFS('All Donations'!$S$2:$S$4001,'All Donations'!$R$2:$R$4001,AD315,'All Donations'!$T$2:$T$4001,"&lt;="&amp;'Settings'!$D$30),2),0)</f>
        <v/>
      </c>
      <c r="AZ315">
        <f>IF(AE315=1,ROUND(SUMIFS('All Donations'!$S$2:$S$4001,'All Donations'!$R$2:$R$4001,AD315,'All Donations'!$T$2:$T$4001,"&lt;="&amp;'Settings'!$D$34),2),0)</f>
        <v/>
      </c>
    </row>
    <row r="316">
      <c r="A316">
        <f>IF(AE316=1,TRIM(TRIM('Roster'!B316)&amp;" "&amp;TRIM('Roster'!C316)),"")</f>
        <v/>
      </c>
      <c r="B316">
        <f>IF(AE316=1,IF(AN316="","(no teacher)",AN316&amp;" – "&amp;C316),"")</f>
        <v/>
      </c>
      <c r="C316">
        <f>IF(AE316=1,TRIM('Roster'!D316&amp;""),"")</f>
        <v/>
      </c>
      <c r="D316" s="48">
        <f>IF(AE316=1,ROUND(SUMIFS('All Donations'!$S$2:$S$4001,'All Donations'!$R$2:$R$4001,AD316),2),"")</f>
        <v/>
      </c>
      <c r="E316" s="48">
        <f>IF(AE316=1,ROUND(SUMIFS('All Donations'!$S$2:$S$4001,'All Donations'!$R$2:$R$4001,AD316,'All Donations'!$G$2:$G$4001,"OneCause"),2),"")</f>
        <v/>
      </c>
      <c r="F316" s="48">
        <f>IF(AE316=1,D316-E316,"")</f>
        <v/>
      </c>
      <c r="G316">
        <f>IF(AE316=1,COUNTIFS('All Donations'!$R$2:$R$4001,AD316,'All Donations'!$H$2:$H$4001,"OK"),"")</f>
        <v/>
      </c>
      <c r="H316">
        <f>IF(AE316&lt;&gt;1,"",IF(D316&gt;0,"Yes",""))</f>
        <v/>
      </c>
      <c r="I316" s="49">
        <f>IF(OR($AE316&lt;&gt;1,I$1=""),"",SUMIFS('All Donations'!$S$2:$S$4001,'All Donations'!$R$2:$R$4001,$AD316,'All Donations'!$T$2:$T$4001,I$1))</f>
        <v/>
      </c>
      <c r="J316" s="49">
        <f>IF(OR($AE316&lt;&gt;1,J$1=""),"",SUMIFS('All Donations'!$S$2:$S$4001,'All Donations'!$R$2:$R$4001,$AD316,'All Donations'!$T$2:$T$4001,J$1))</f>
        <v/>
      </c>
      <c r="K316" s="49">
        <f>IF(OR($AE316&lt;&gt;1,K$1=""),"",SUMIFS('All Donations'!$S$2:$S$4001,'All Donations'!$R$2:$R$4001,$AD316,'All Donations'!$T$2:$T$4001,K$1))</f>
        <v/>
      </c>
      <c r="L316" s="49">
        <f>IF(OR($AE316&lt;&gt;1,L$1=""),"",SUMIFS('All Donations'!$S$2:$S$4001,'All Donations'!$R$2:$R$4001,$AD316,'All Donations'!$T$2:$T$4001,L$1))</f>
        <v/>
      </c>
      <c r="M316" s="49">
        <f>IF(OR($AE316&lt;&gt;1,M$1=""),"",SUMIFS('All Donations'!$S$2:$S$4001,'All Donations'!$R$2:$R$4001,$AD316,'All Donations'!$T$2:$T$4001,M$1))</f>
        <v/>
      </c>
      <c r="N316" s="49">
        <f>IF(OR($AE316&lt;&gt;1,N$1=""),"",SUMIFS('All Donations'!$S$2:$S$4001,'All Donations'!$R$2:$R$4001,$AD316,'All Donations'!$T$2:$T$4001,N$1))</f>
        <v/>
      </c>
      <c r="O316" s="49">
        <f>IF(OR($AE316&lt;&gt;1,O$1=""),"",SUMIFS('All Donations'!$S$2:$S$4001,'All Donations'!$R$2:$R$4001,$AD316,'All Donations'!$T$2:$T$4001,O$1))</f>
        <v/>
      </c>
      <c r="P316" s="49">
        <f>IF(OR($AE316&lt;&gt;1,P$1=""),"",SUMIFS('All Donations'!$S$2:$S$4001,'All Donations'!$R$2:$R$4001,$AD316,'All Donations'!$T$2:$T$4001,P$1))</f>
        <v/>
      </c>
      <c r="Q316" s="49">
        <f>IF(OR($AE316&lt;&gt;1,Q$1=""),"",SUMIFS('All Donations'!$S$2:$S$4001,'All Donations'!$R$2:$R$4001,$AD316,'All Donations'!$T$2:$T$4001,Q$1))</f>
        <v/>
      </c>
      <c r="R316" s="49">
        <f>IF(OR($AE316&lt;&gt;1,R$1=""),"",SUMIFS('All Donations'!$S$2:$S$4001,'All Donations'!$R$2:$R$4001,$AD316,'All Donations'!$T$2:$T$4001,R$1))</f>
        <v/>
      </c>
      <c r="S316" s="49">
        <f>IF(OR($AE316&lt;&gt;1,S$1=""),"",SUMIFS('All Donations'!$S$2:$S$4001,'All Donations'!$R$2:$R$4001,$AD316,'All Donations'!$T$2:$T$4001,S$1))</f>
        <v/>
      </c>
      <c r="T316" s="49">
        <f>IF(OR($AE316&lt;&gt;1,T$1=""),"",SUMIFS('All Donations'!$S$2:$S$4001,'All Donations'!$R$2:$R$4001,$AD316,'All Donations'!$T$2:$T$4001,T$1))</f>
        <v/>
      </c>
      <c r="U316" s="49">
        <f>IF(OR($AE316&lt;&gt;1,U$1=""),"",SUMIFS('All Donations'!$S$2:$S$4001,'All Donations'!$R$2:$R$4001,$AD316,'All Donations'!$T$2:$T$4001,U$1))</f>
        <v/>
      </c>
      <c r="V316" s="49">
        <f>IF(OR($AE316&lt;&gt;1,V$1=""),"",SUMIFS('All Donations'!$S$2:$S$4001,'All Donations'!$R$2:$R$4001,$AD316,'All Donations'!$T$2:$T$4001,V$1))</f>
        <v/>
      </c>
      <c r="W316" s="49">
        <f>IF(OR($AE316&lt;&gt;1,W$1=""),"",SUMIFS('All Donations'!$S$2:$S$4001,'All Donations'!$R$2:$R$4001,$AD316,'All Donations'!$T$2:$T$4001,W$1))</f>
        <v/>
      </c>
      <c r="X316" s="49">
        <f>IF(OR($AE316&lt;&gt;1,X$1=""),"",SUMIFS('All Donations'!$S$2:$S$4001,'All Donations'!$R$2:$R$4001,$AD316,'All Donations'!$T$2:$T$4001,X$1))</f>
        <v/>
      </c>
      <c r="Y316" s="49">
        <f>IF(OR($AE316&lt;&gt;1,Y$1=""),"",SUMIFS('All Donations'!$S$2:$S$4001,'All Donations'!$R$2:$R$4001,$AD316,'All Donations'!$T$2:$T$4001,Y$1))</f>
        <v/>
      </c>
      <c r="Z316" s="49">
        <f>IF(OR($AE316&lt;&gt;1,Z$1=""),"",SUMIFS('All Donations'!$S$2:$S$4001,'All Donations'!$R$2:$R$4001,$AD316,'All Donations'!$T$2:$T$4001,Z$1))</f>
        <v/>
      </c>
      <c r="AA316" s="49">
        <f>IF(OR($AE316&lt;&gt;1,AA$1=""),"",SUMIFS('All Donations'!$S$2:$S$4001,'All Donations'!$R$2:$R$4001,$AD316,'All Donations'!$T$2:$T$4001,AA$1))</f>
        <v/>
      </c>
      <c r="AB316" s="49">
        <f>IF(OR($AE316&lt;&gt;1,AB$1=""),"",SUMIFS('All Donations'!$S$2:$S$4001,'All Donations'!$R$2:$R$4001,$AD316,'All Donations'!$T$2:$T$4001,AB$1))</f>
        <v/>
      </c>
      <c r="AC316" s="49">
        <f>IF(OR($AE316&lt;&gt;1,AC$1=""),"",SUMIFS('All Donations'!$S$2:$S$4001,'All Donations'!$R$2:$R$4001,$AD316,'All Donations'!$T$2:$T$4001,AC$1))</f>
        <v/>
      </c>
      <c r="AD316">
        <f>IF(AE316=1,'Roster'!A316,"")</f>
        <v/>
      </c>
      <c r="AE316">
        <f>IF(TRIM('Roster'!B316&amp;'Roster'!C316)&lt;&gt;"",1,0)</f>
        <v/>
      </c>
      <c r="AF316">
        <f>IF(AE316=1,LOWER(A316),"#")</f>
        <v/>
      </c>
      <c r="AG316">
        <f>IF(AE316=1,LOWER(TRIM(TRIM('Roster'!C316)&amp;", "&amp;TRIM('Roster'!B316))),"#")</f>
        <v/>
      </c>
      <c r="AH316">
        <f>IF(AND(AE316=1,TRIM('Roster'!F316)&lt;&gt;""),LOWER(TRIM('Roster'!F316)),"#")</f>
        <v/>
      </c>
      <c r="AI316">
        <f>IF(AE316=1,IF(MATCH(B316,$B$2:$B$701,0)=ROW()-1,1,0),0)</f>
        <v/>
      </c>
      <c r="AJ316">
        <f>AJ315+AI316</f>
        <v/>
      </c>
      <c r="AK316">
        <f>IF(AE316=1,D316+(1000-ROW())/10^7,-1)</f>
        <v/>
      </c>
      <c r="AL316">
        <f>IF(AE316=1,TRIM('Roster'!B316)&amp;" "&amp;LEFT(TRIM('Roster'!C316),1)&amp;".","")</f>
        <v/>
      </c>
      <c r="AM316">
        <f>IF(AE316=1,TRIM('Roster'!C316)&amp;", "&amp;TRIM('Roster'!B316)&amp;" ("&amp;B316&amp;") #"&amp;AD316,"")</f>
        <v/>
      </c>
      <c r="AN316">
        <f>IF(AE316=1,TRIM('Roster'!E316),"")</f>
        <v/>
      </c>
      <c r="AO316">
        <f>IF(AE316=1,ROUND(SUMIFS('All Donations'!$S$2:$S$4001,'All Donations'!$R$2:$R$4001,AD316,'All Donations'!$T$2:$T$4001,"&gt;="&amp;'Settings'!$C$23,'All Donations'!$T$2:$T$4001,"&lt;="&amp;'Settings'!$D$23),2),0)</f>
        <v/>
      </c>
      <c r="AQ316">
        <f>IF(AE316=1,ROUND(SUMIFS('All Donations'!$S$2:$S$4001,'All Donations'!$R$2:$R$4001,AD316,'All Donations'!$T$2:$T$4001,"&gt;="&amp;'Settings'!$C$25,'All Donations'!$T$2:$T$4001,"&lt;="&amp;'Settings'!$D$25),2),0)</f>
        <v/>
      </c>
      <c r="AR316">
        <f>IF(AE316=1,ROUND(SUMIFS('All Donations'!$S$2:$S$4001,'All Donations'!$R$2:$R$4001,AD316,'All Donations'!$T$2:$T$4001,"&gt;="&amp;'Settings'!$C$26,'All Donations'!$T$2:$T$4001,"&lt;="&amp;'Settings'!$D$26),2),0)</f>
        <v/>
      </c>
      <c r="AS316">
        <f>IF(AE316=1,ROUND(SUMIFS('All Donations'!$S$2:$S$4001,'All Donations'!$R$2:$R$4001,AD316,'All Donations'!$T$2:$T$4001,"&lt;="&amp;'Settings'!$D$27),2),0)</f>
        <v/>
      </c>
      <c r="AT316">
        <f>IF(AE316=1,ROUND(SUMIFS('All Donations'!$S$2:$S$4001,'All Donations'!$R$2:$R$4001,AD316,'All Donations'!$T$2:$T$4001,"&gt;="&amp;'Settings'!$C$28,'All Donations'!$T$2:$T$4001,"&lt;="&amp;'Settings'!$D$28),2),0)</f>
        <v/>
      </c>
      <c r="AU316">
        <f>IF(AE316=1,ROUND(SUMIFS('All Donations'!$S$2:$S$4001,'All Donations'!$R$2:$R$4001,AD316,'All Donations'!$T$2:$T$4001,"&gt;="&amp;'Settings'!$C$29,'All Donations'!$T$2:$T$4001,"&lt;="&amp;'Settings'!$D$29),2),0)</f>
        <v/>
      </c>
      <c r="AV316">
        <f>IF(AE316=1,ROUND(SUMIFS('All Donations'!$S$2:$S$4001,'All Donations'!$R$2:$R$4001,AD316,'All Donations'!$T$2:$T$4001,"&lt;="&amp;'Settings'!$D$30),2),0)</f>
        <v/>
      </c>
      <c r="AZ316">
        <f>IF(AE316=1,ROUND(SUMIFS('All Donations'!$S$2:$S$4001,'All Donations'!$R$2:$R$4001,AD316,'All Donations'!$T$2:$T$4001,"&lt;="&amp;'Settings'!$D$34),2),0)</f>
        <v/>
      </c>
    </row>
    <row r="317">
      <c r="A317">
        <f>IF(AE317=1,TRIM(TRIM('Roster'!B317)&amp;" "&amp;TRIM('Roster'!C317)),"")</f>
        <v/>
      </c>
      <c r="B317">
        <f>IF(AE317=1,IF(AN317="","(no teacher)",AN317&amp;" – "&amp;C317),"")</f>
        <v/>
      </c>
      <c r="C317">
        <f>IF(AE317=1,TRIM('Roster'!D317&amp;""),"")</f>
        <v/>
      </c>
      <c r="D317" s="48">
        <f>IF(AE317=1,ROUND(SUMIFS('All Donations'!$S$2:$S$4001,'All Donations'!$R$2:$R$4001,AD317),2),"")</f>
        <v/>
      </c>
      <c r="E317" s="48">
        <f>IF(AE317=1,ROUND(SUMIFS('All Donations'!$S$2:$S$4001,'All Donations'!$R$2:$R$4001,AD317,'All Donations'!$G$2:$G$4001,"OneCause"),2),"")</f>
        <v/>
      </c>
      <c r="F317" s="48">
        <f>IF(AE317=1,D317-E317,"")</f>
        <v/>
      </c>
      <c r="G317">
        <f>IF(AE317=1,COUNTIFS('All Donations'!$R$2:$R$4001,AD317,'All Donations'!$H$2:$H$4001,"OK"),"")</f>
        <v/>
      </c>
      <c r="H317">
        <f>IF(AE317&lt;&gt;1,"",IF(D317&gt;0,"Yes",""))</f>
        <v/>
      </c>
      <c r="I317" s="49">
        <f>IF(OR($AE317&lt;&gt;1,I$1=""),"",SUMIFS('All Donations'!$S$2:$S$4001,'All Donations'!$R$2:$R$4001,$AD317,'All Donations'!$T$2:$T$4001,I$1))</f>
        <v/>
      </c>
      <c r="J317" s="49">
        <f>IF(OR($AE317&lt;&gt;1,J$1=""),"",SUMIFS('All Donations'!$S$2:$S$4001,'All Donations'!$R$2:$R$4001,$AD317,'All Donations'!$T$2:$T$4001,J$1))</f>
        <v/>
      </c>
      <c r="K317" s="49">
        <f>IF(OR($AE317&lt;&gt;1,K$1=""),"",SUMIFS('All Donations'!$S$2:$S$4001,'All Donations'!$R$2:$R$4001,$AD317,'All Donations'!$T$2:$T$4001,K$1))</f>
        <v/>
      </c>
      <c r="L317" s="49">
        <f>IF(OR($AE317&lt;&gt;1,L$1=""),"",SUMIFS('All Donations'!$S$2:$S$4001,'All Donations'!$R$2:$R$4001,$AD317,'All Donations'!$T$2:$T$4001,L$1))</f>
        <v/>
      </c>
      <c r="M317" s="49">
        <f>IF(OR($AE317&lt;&gt;1,M$1=""),"",SUMIFS('All Donations'!$S$2:$S$4001,'All Donations'!$R$2:$R$4001,$AD317,'All Donations'!$T$2:$T$4001,M$1))</f>
        <v/>
      </c>
      <c r="N317" s="49">
        <f>IF(OR($AE317&lt;&gt;1,N$1=""),"",SUMIFS('All Donations'!$S$2:$S$4001,'All Donations'!$R$2:$R$4001,$AD317,'All Donations'!$T$2:$T$4001,N$1))</f>
        <v/>
      </c>
      <c r="O317" s="49">
        <f>IF(OR($AE317&lt;&gt;1,O$1=""),"",SUMIFS('All Donations'!$S$2:$S$4001,'All Donations'!$R$2:$R$4001,$AD317,'All Donations'!$T$2:$T$4001,O$1))</f>
        <v/>
      </c>
      <c r="P317" s="49">
        <f>IF(OR($AE317&lt;&gt;1,P$1=""),"",SUMIFS('All Donations'!$S$2:$S$4001,'All Donations'!$R$2:$R$4001,$AD317,'All Donations'!$T$2:$T$4001,P$1))</f>
        <v/>
      </c>
      <c r="Q317" s="49">
        <f>IF(OR($AE317&lt;&gt;1,Q$1=""),"",SUMIFS('All Donations'!$S$2:$S$4001,'All Donations'!$R$2:$R$4001,$AD317,'All Donations'!$T$2:$T$4001,Q$1))</f>
        <v/>
      </c>
      <c r="R317" s="49">
        <f>IF(OR($AE317&lt;&gt;1,R$1=""),"",SUMIFS('All Donations'!$S$2:$S$4001,'All Donations'!$R$2:$R$4001,$AD317,'All Donations'!$T$2:$T$4001,R$1))</f>
        <v/>
      </c>
      <c r="S317" s="49">
        <f>IF(OR($AE317&lt;&gt;1,S$1=""),"",SUMIFS('All Donations'!$S$2:$S$4001,'All Donations'!$R$2:$R$4001,$AD317,'All Donations'!$T$2:$T$4001,S$1))</f>
        <v/>
      </c>
      <c r="T317" s="49">
        <f>IF(OR($AE317&lt;&gt;1,T$1=""),"",SUMIFS('All Donations'!$S$2:$S$4001,'All Donations'!$R$2:$R$4001,$AD317,'All Donations'!$T$2:$T$4001,T$1))</f>
        <v/>
      </c>
      <c r="U317" s="49">
        <f>IF(OR($AE317&lt;&gt;1,U$1=""),"",SUMIFS('All Donations'!$S$2:$S$4001,'All Donations'!$R$2:$R$4001,$AD317,'All Donations'!$T$2:$T$4001,U$1))</f>
        <v/>
      </c>
      <c r="V317" s="49">
        <f>IF(OR($AE317&lt;&gt;1,V$1=""),"",SUMIFS('All Donations'!$S$2:$S$4001,'All Donations'!$R$2:$R$4001,$AD317,'All Donations'!$T$2:$T$4001,V$1))</f>
        <v/>
      </c>
      <c r="W317" s="49">
        <f>IF(OR($AE317&lt;&gt;1,W$1=""),"",SUMIFS('All Donations'!$S$2:$S$4001,'All Donations'!$R$2:$R$4001,$AD317,'All Donations'!$T$2:$T$4001,W$1))</f>
        <v/>
      </c>
      <c r="X317" s="49">
        <f>IF(OR($AE317&lt;&gt;1,X$1=""),"",SUMIFS('All Donations'!$S$2:$S$4001,'All Donations'!$R$2:$R$4001,$AD317,'All Donations'!$T$2:$T$4001,X$1))</f>
        <v/>
      </c>
      <c r="Y317" s="49">
        <f>IF(OR($AE317&lt;&gt;1,Y$1=""),"",SUMIFS('All Donations'!$S$2:$S$4001,'All Donations'!$R$2:$R$4001,$AD317,'All Donations'!$T$2:$T$4001,Y$1))</f>
        <v/>
      </c>
      <c r="Z317" s="49">
        <f>IF(OR($AE317&lt;&gt;1,Z$1=""),"",SUMIFS('All Donations'!$S$2:$S$4001,'All Donations'!$R$2:$R$4001,$AD317,'All Donations'!$T$2:$T$4001,Z$1))</f>
        <v/>
      </c>
      <c r="AA317" s="49">
        <f>IF(OR($AE317&lt;&gt;1,AA$1=""),"",SUMIFS('All Donations'!$S$2:$S$4001,'All Donations'!$R$2:$R$4001,$AD317,'All Donations'!$T$2:$T$4001,AA$1))</f>
        <v/>
      </c>
      <c r="AB317" s="49">
        <f>IF(OR($AE317&lt;&gt;1,AB$1=""),"",SUMIFS('All Donations'!$S$2:$S$4001,'All Donations'!$R$2:$R$4001,$AD317,'All Donations'!$T$2:$T$4001,AB$1))</f>
        <v/>
      </c>
      <c r="AC317" s="49">
        <f>IF(OR($AE317&lt;&gt;1,AC$1=""),"",SUMIFS('All Donations'!$S$2:$S$4001,'All Donations'!$R$2:$R$4001,$AD317,'All Donations'!$T$2:$T$4001,AC$1))</f>
        <v/>
      </c>
      <c r="AD317">
        <f>IF(AE317=1,'Roster'!A317,"")</f>
        <v/>
      </c>
      <c r="AE317">
        <f>IF(TRIM('Roster'!B317&amp;'Roster'!C317)&lt;&gt;"",1,0)</f>
        <v/>
      </c>
      <c r="AF317">
        <f>IF(AE317=1,LOWER(A317),"#")</f>
        <v/>
      </c>
      <c r="AG317">
        <f>IF(AE317=1,LOWER(TRIM(TRIM('Roster'!C317)&amp;", "&amp;TRIM('Roster'!B317))),"#")</f>
        <v/>
      </c>
      <c r="AH317">
        <f>IF(AND(AE317=1,TRIM('Roster'!F317)&lt;&gt;""),LOWER(TRIM('Roster'!F317)),"#")</f>
        <v/>
      </c>
      <c r="AI317">
        <f>IF(AE317=1,IF(MATCH(B317,$B$2:$B$701,0)=ROW()-1,1,0),0)</f>
        <v/>
      </c>
      <c r="AJ317">
        <f>AJ316+AI317</f>
        <v/>
      </c>
      <c r="AK317">
        <f>IF(AE317=1,D317+(1000-ROW())/10^7,-1)</f>
        <v/>
      </c>
      <c r="AL317">
        <f>IF(AE317=1,TRIM('Roster'!B317)&amp;" "&amp;LEFT(TRIM('Roster'!C317),1)&amp;".","")</f>
        <v/>
      </c>
      <c r="AM317">
        <f>IF(AE317=1,TRIM('Roster'!C317)&amp;", "&amp;TRIM('Roster'!B317)&amp;" ("&amp;B317&amp;") #"&amp;AD317,"")</f>
        <v/>
      </c>
      <c r="AN317">
        <f>IF(AE317=1,TRIM('Roster'!E317),"")</f>
        <v/>
      </c>
      <c r="AO317">
        <f>IF(AE317=1,ROUND(SUMIFS('All Donations'!$S$2:$S$4001,'All Donations'!$R$2:$R$4001,AD317,'All Donations'!$T$2:$T$4001,"&gt;="&amp;'Settings'!$C$23,'All Donations'!$T$2:$T$4001,"&lt;="&amp;'Settings'!$D$23),2),0)</f>
        <v/>
      </c>
      <c r="AQ317">
        <f>IF(AE317=1,ROUND(SUMIFS('All Donations'!$S$2:$S$4001,'All Donations'!$R$2:$R$4001,AD317,'All Donations'!$T$2:$T$4001,"&gt;="&amp;'Settings'!$C$25,'All Donations'!$T$2:$T$4001,"&lt;="&amp;'Settings'!$D$25),2),0)</f>
        <v/>
      </c>
      <c r="AR317">
        <f>IF(AE317=1,ROUND(SUMIFS('All Donations'!$S$2:$S$4001,'All Donations'!$R$2:$R$4001,AD317,'All Donations'!$T$2:$T$4001,"&gt;="&amp;'Settings'!$C$26,'All Donations'!$T$2:$T$4001,"&lt;="&amp;'Settings'!$D$26),2),0)</f>
        <v/>
      </c>
      <c r="AS317">
        <f>IF(AE317=1,ROUND(SUMIFS('All Donations'!$S$2:$S$4001,'All Donations'!$R$2:$R$4001,AD317,'All Donations'!$T$2:$T$4001,"&lt;="&amp;'Settings'!$D$27),2),0)</f>
        <v/>
      </c>
      <c r="AT317">
        <f>IF(AE317=1,ROUND(SUMIFS('All Donations'!$S$2:$S$4001,'All Donations'!$R$2:$R$4001,AD317,'All Donations'!$T$2:$T$4001,"&gt;="&amp;'Settings'!$C$28,'All Donations'!$T$2:$T$4001,"&lt;="&amp;'Settings'!$D$28),2),0)</f>
        <v/>
      </c>
      <c r="AU317">
        <f>IF(AE317=1,ROUND(SUMIFS('All Donations'!$S$2:$S$4001,'All Donations'!$R$2:$R$4001,AD317,'All Donations'!$T$2:$T$4001,"&gt;="&amp;'Settings'!$C$29,'All Donations'!$T$2:$T$4001,"&lt;="&amp;'Settings'!$D$29),2),0)</f>
        <v/>
      </c>
      <c r="AV317">
        <f>IF(AE317=1,ROUND(SUMIFS('All Donations'!$S$2:$S$4001,'All Donations'!$R$2:$R$4001,AD317,'All Donations'!$T$2:$T$4001,"&lt;="&amp;'Settings'!$D$30),2),0)</f>
        <v/>
      </c>
      <c r="AZ317">
        <f>IF(AE317=1,ROUND(SUMIFS('All Donations'!$S$2:$S$4001,'All Donations'!$R$2:$R$4001,AD317,'All Donations'!$T$2:$T$4001,"&lt;="&amp;'Settings'!$D$34),2),0)</f>
        <v/>
      </c>
    </row>
    <row r="318">
      <c r="A318">
        <f>IF(AE318=1,TRIM(TRIM('Roster'!B318)&amp;" "&amp;TRIM('Roster'!C318)),"")</f>
        <v/>
      </c>
      <c r="B318">
        <f>IF(AE318=1,IF(AN318="","(no teacher)",AN318&amp;" – "&amp;C318),"")</f>
        <v/>
      </c>
      <c r="C318">
        <f>IF(AE318=1,TRIM('Roster'!D318&amp;""),"")</f>
        <v/>
      </c>
      <c r="D318" s="48">
        <f>IF(AE318=1,ROUND(SUMIFS('All Donations'!$S$2:$S$4001,'All Donations'!$R$2:$R$4001,AD318),2),"")</f>
        <v/>
      </c>
      <c r="E318" s="48">
        <f>IF(AE318=1,ROUND(SUMIFS('All Donations'!$S$2:$S$4001,'All Donations'!$R$2:$R$4001,AD318,'All Donations'!$G$2:$G$4001,"OneCause"),2),"")</f>
        <v/>
      </c>
      <c r="F318" s="48">
        <f>IF(AE318=1,D318-E318,"")</f>
        <v/>
      </c>
      <c r="G318">
        <f>IF(AE318=1,COUNTIFS('All Donations'!$R$2:$R$4001,AD318,'All Donations'!$H$2:$H$4001,"OK"),"")</f>
        <v/>
      </c>
      <c r="H318">
        <f>IF(AE318&lt;&gt;1,"",IF(D318&gt;0,"Yes",""))</f>
        <v/>
      </c>
      <c r="I318" s="49">
        <f>IF(OR($AE318&lt;&gt;1,I$1=""),"",SUMIFS('All Donations'!$S$2:$S$4001,'All Donations'!$R$2:$R$4001,$AD318,'All Donations'!$T$2:$T$4001,I$1))</f>
        <v/>
      </c>
      <c r="J318" s="49">
        <f>IF(OR($AE318&lt;&gt;1,J$1=""),"",SUMIFS('All Donations'!$S$2:$S$4001,'All Donations'!$R$2:$R$4001,$AD318,'All Donations'!$T$2:$T$4001,J$1))</f>
        <v/>
      </c>
      <c r="K318" s="49">
        <f>IF(OR($AE318&lt;&gt;1,K$1=""),"",SUMIFS('All Donations'!$S$2:$S$4001,'All Donations'!$R$2:$R$4001,$AD318,'All Donations'!$T$2:$T$4001,K$1))</f>
        <v/>
      </c>
      <c r="L318" s="49">
        <f>IF(OR($AE318&lt;&gt;1,L$1=""),"",SUMIFS('All Donations'!$S$2:$S$4001,'All Donations'!$R$2:$R$4001,$AD318,'All Donations'!$T$2:$T$4001,L$1))</f>
        <v/>
      </c>
      <c r="M318" s="49">
        <f>IF(OR($AE318&lt;&gt;1,M$1=""),"",SUMIFS('All Donations'!$S$2:$S$4001,'All Donations'!$R$2:$R$4001,$AD318,'All Donations'!$T$2:$T$4001,M$1))</f>
        <v/>
      </c>
      <c r="N318" s="49">
        <f>IF(OR($AE318&lt;&gt;1,N$1=""),"",SUMIFS('All Donations'!$S$2:$S$4001,'All Donations'!$R$2:$R$4001,$AD318,'All Donations'!$T$2:$T$4001,N$1))</f>
        <v/>
      </c>
      <c r="O318" s="49">
        <f>IF(OR($AE318&lt;&gt;1,O$1=""),"",SUMIFS('All Donations'!$S$2:$S$4001,'All Donations'!$R$2:$R$4001,$AD318,'All Donations'!$T$2:$T$4001,O$1))</f>
        <v/>
      </c>
      <c r="P318" s="49">
        <f>IF(OR($AE318&lt;&gt;1,P$1=""),"",SUMIFS('All Donations'!$S$2:$S$4001,'All Donations'!$R$2:$R$4001,$AD318,'All Donations'!$T$2:$T$4001,P$1))</f>
        <v/>
      </c>
      <c r="Q318" s="49">
        <f>IF(OR($AE318&lt;&gt;1,Q$1=""),"",SUMIFS('All Donations'!$S$2:$S$4001,'All Donations'!$R$2:$R$4001,$AD318,'All Donations'!$T$2:$T$4001,Q$1))</f>
        <v/>
      </c>
      <c r="R318" s="49">
        <f>IF(OR($AE318&lt;&gt;1,R$1=""),"",SUMIFS('All Donations'!$S$2:$S$4001,'All Donations'!$R$2:$R$4001,$AD318,'All Donations'!$T$2:$T$4001,R$1))</f>
        <v/>
      </c>
      <c r="S318" s="49">
        <f>IF(OR($AE318&lt;&gt;1,S$1=""),"",SUMIFS('All Donations'!$S$2:$S$4001,'All Donations'!$R$2:$R$4001,$AD318,'All Donations'!$T$2:$T$4001,S$1))</f>
        <v/>
      </c>
      <c r="T318" s="49">
        <f>IF(OR($AE318&lt;&gt;1,T$1=""),"",SUMIFS('All Donations'!$S$2:$S$4001,'All Donations'!$R$2:$R$4001,$AD318,'All Donations'!$T$2:$T$4001,T$1))</f>
        <v/>
      </c>
      <c r="U318" s="49">
        <f>IF(OR($AE318&lt;&gt;1,U$1=""),"",SUMIFS('All Donations'!$S$2:$S$4001,'All Donations'!$R$2:$R$4001,$AD318,'All Donations'!$T$2:$T$4001,U$1))</f>
        <v/>
      </c>
      <c r="V318" s="49">
        <f>IF(OR($AE318&lt;&gt;1,V$1=""),"",SUMIFS('All Donations'!$S$2:$S$4001,'All Donations'!$R$2:$R$4001,$AD318,'All Donations'!$T$2:$T$4001,V$1))</f>
        <v/>
      </c>
      <c r="W318" s="49">
        <f>IF(OR($AE318&lt;&gt;1,W$1=""),"",SUMIFS('All Donations'!$S$2:$S$4001,'All Donations'!$R$2:$R$4001,$AD318,'All Donations'!$T$2:$T$4001,W$1))</f>
        <v/>
      </c>
      <c r="X318" s="49">
        <f>IF(OR($AE318&lt;&gt;1,X$1=""),"",SUMIFS('All Donations'!$S$2:$S$4001,'All Donations'!$R$2:$R$4001,$AD318,'All Donations'!$T$2:$T$4001,X$1))</f>
        <v/>
      </c>
      <c r="Y318" s="49">
        <f>IF(OR($AE318&lt;&gt;1,Y$1=""),"",SUMIFS('All Donations'!$S$2:$S$4001,'All Donations'!$R$2:$R$4001,$AD318,'All Donations'!$T$2:$T$4001,Y$1))</f>
        <v/>
      </c>
      <c r="Z318" s="49">
        <f>IF(OR($AE318&lt;&gt;1,Z$1=""),"",SUMIFS('All Donations'!$S$2:$S$4001,'All Donations'!$R$2:$R$4001,$AD318,'All Donations'!$T$2:$T$4001,Z$1))</f>
        <v/>
      </c>
      <c r="AA318" s="49">
        <f>IF(OR($AE318&lt;&gt;1,AA$1=""),"",SUMIFS('All Donations'!$S$2:$S$4001,'All Donations'!$R$2:$R$4001,$AD318,'All Donations'!$T$2:$T$4001,AA$1))</f>
        <v/>
      </c>
      <c r="AB318" s="49">
        <f>IF(OR($AE318&lt;&gt;1,AB$1=""),"",SUMIFS('All Donations'!$S$2:$S$4001,'All Donations'!$R$2:$R$4001,$AD318,'All Donations'!$T$2:$T$4001,AB$1))</f>
        <v/>
      </c>
      <c r="AC318" s="49">
        <f>IF(OR($AE318&lt;&gt;1,AC$1=""),"",SUMIFS('All Donations'!$S$2:$S$4001,'All Donations'!$R$2:$R$4001,$AD318,'All Donations'!$T$2:$T$4001,AC$1))</f>
        <v/>
      </c>
      <c r="AD318">
        <f>IF(AE318=1,'Roster'!A318,"")</f>
        <v/>
      </c>
      <c r="AE318">
        <f>IF(TRIM('Roster'!B318&amp;'Roster'!C318)&lt;&gt;"",1,0)</f>
        <v/>
      </c>
      <c r="AF318">
        <f>IF(AE318=1,LOWER(A318),"#")</f>
        <v/>
      </c>
      <c r="AG318">
        <f>IF(AE318=1,LOWER(TRIM(TRIM('Roster'!C318)&amp;", "&amp;TRIM('Roster'!B318))),"#")</f>
        <v/>
      </c>
      <c r="AH318">
        <f>IF(AND(AE318=1,TRIM('Roster'!F318)&lt;&gt;""),LOWER(TRIM('Roster'!F318)),"#")</f>
        <v/>
      </c>
      <c r="AI318">
        <f>IF(AE318=1,IF(MATCH(B318,$B$2:$B$701,0)=ROW()-1,1,0),0)</f>
        <v/>
      </c>
      <c r="AJ318">
        <f>AJ317+AI318</f>
        <v/>
      </c>
      <c r="AK318">
        <f>IF(AE318=1,D318+(1000-ROW())/10^7,-1)</f>
        <v/>
      </c>
      <c r="AL318">
        <f>IF(AE318=1,TRIM('Roster'!B318)&amp;" "&amp;LEFT(TRIM('Roster'!C318),1)&amp;".","")</f>
        <v/>
      </c>
      <c r="AM318">
        <f>IF(AE318=1,TRIM('Roster'!C318)&amp;", "&amp;TRIM('Roster'!B318)&amp;" ("&amp;B318&amp;") #"&amp;AD318,"")</f>
        <v/>
      </c>
      <c r="AN318">
        <f>IF(AE318=1,TRIM('Roster'!E318),"")</f>
        <v/>
      </c>
      <c r="AO318">
        <f>IF(AE318=1,ROUND(SUMIFS('All Donations'!$S$2:$S$4001,'All Donations'!$R$2:$R$4001,AD318,'All Donations'!$T$2:$T$4001,"&gt;="&amp;'Settings'!$C$23,'All Donations'!$T$2:$T$4001,"&lt;="&amp;'Settings'!$D$23),2),0)</f>
        <v/>
      </c>
      <c r="AQ318">
        <f>IF(AE318=1,ROUND(SUMIFS('All Donations'!$S$2:$S$4001,'All Donations'!$R$2:$R$4001,AD318,'All Donations'!$T$2:$T$4001,"&gt;="&amp;'Settings'!$C$25,'All Donations'!$T$2:$T$4001,"&lt;="&amp;'Settings'!$D$25),2),0)</f>
        <v/>
      </c>
      <c r="AR318">
        <f>IF(AE318=1,ROUND(SUMIFS('All Donations'!$S$2:$S$4001,'All Donations'!$R$2:$R$4001,AD318,'All Donations'!$T$2:$T$4001,"&gt;="&amp;'Settings'!$C$26,'All Donations'!$T$2:$T$4001,"&lt;="&amp;'Settings'!$D$26),2),0)</f>
        <v/>
      </c>
      <c r="AS318">
        <f>IF(AE318=1,ROUND(SUMIFS('All Donations'!$S$2:$S$4001,'All Donations'!$R$2:$R$4001,AD318,'All Donations'!$T$2:$T$4001,"&lt;="&amp;'Settings'!$D$27),2),0)</f>
        <v/>
      </c>
      <c r="AT318">
        <f>IF(AE318=1,ROUND(SUMIFS('All Donations'!$S$2:$S$4001,'All Donations'!$R$2:$R$4001,AD318,'All Donations'!$T$2:$T$4001,"&gt;="&amp;'Settings'!$C$28,'All Donations'!$T$2:$T$4001,"&lt;="&amp;'Settings'!$D$28),2),0)</f>
        <v/>
      </c>
      <c r="AU318">
        <f>IF(AE318=1,ROUND(SUMIFS('All Donations'!$S$2:$S$4001,'All Donations'!$R$2:$R$4001,AD318,'All Donations'!$T$2:$T$4001,"&gt;="&amp;'Settings'!$C$29,'All Donations'!$T$2:$T$4001,"&lt;="&amp;'Settings'!$D$29),2),0)</f>
        <v/>
      </c>
      <c r="AV318">
        <f>IF(AE318=1,ROUND(SUMIFS('All Donations'!$S$2:$S$4001,'All Donations'!$R$2:$R$4001,AD318,'All Donations'!$T$2:$T$4001,"&lt;="&amp;'Settings'!$D$30),2),0)</f>
        <v/>
      </c>
      <c r="AZ318">
        <f>IF(AE318=1,ROUND(SUMIFS('All Donations'!$S$2:$S$4001,'All Donations'!$R$2:$R$4001,AD318,'All Donations'!$T$2:$T$4001,"&lt;="&amp;'Settings'!$D$34),2),0)</f>
        <v/>
      </c>
    </row>
    <row r="319">
      <c r="A319">
        <f>IF(AE319=1,TRIM(TRIM('Roster'!B319)&amp;" "&amp;TRIM('Roster'!C319)),"")</f>
        <v/>
      </c>
      <c r="B319">
        <f>IF(AE319=1,IF(AN319="","(no teacher)",AN319&amp;" – "&amp;C319),"")</f>
        <v/>
      </c>
      <c r="C319">
        <f>IF(AE319=1,TRIM('Roster'!D319&amp;""),"")</f>
        <v/>
      </c>
      <c r="D319" s="48">
        <f>IF(AE319=1,ROUND(SUMIFS('All Donations'!$S$2:$S$4001,'All Donations'!$R$2:$R$4001,AD319),2),"")</f>
        <v/>
      </c>
      <c r="E319" s="48">
        <f>IF(AE319=1,ROUND(SUMIFS('All Donations'!$S$2:$S$4001,'All Donations'!$R$2:$R$4001,AD319,'All Donations'!$G$2:$G$4001,"OneCause"),2),"")</f>
        <v/>
      </c>
      <c r="F319" s="48">
        <f>IF(AE319=1,D319-E319,"")</f>
        <v/>
      </c>
      <c r="G319">
        <f>IF(AE319=1,COUNTIFS('All Donations'!$R$2:$R$4001,AD319,'All Donations'!$H$2:$H$4001,"OK"),"")</f>
        <v/>
      </c>
      <c r="H319">
        <f>IF(AE319&lt;&gt;1,"",IF(D319&gt;0,"Yes",""))</f>
        <v/>
      </c>
      <c r="I319" s="49">
        <f>IF(OR($AE319&lt;&gt;1,I$1=""),"",SUMIFS('All Donations'!$S$2:$S$4001,'All Donations'!$R$2:$R$4001,$AD319,'All Donations'!$T$2:$T$4001,I$1))</f>
        <v/>
      </c>
      <c r="J319" s="49">
        <f>IF(OR($AE319&lt;&gt;1,J$1=""),"",SUMIFS('All Donations'!$S$2:$S$4001,'All Donations'!$R$2:$R$4001,$AD319,'All Donations'!$T$2:$T$4001,J$1))</f>
        <v/>
      </c>
      <c r="K319" s="49">
        <f>IF(OR($AE319&lt;&gt;1,K$1=""),"",SUMIFS('All Donations'!$S$2:$S$4001,'All Donations'!$R$2:$R$4001,$AD319,'All Donations'!$T$2:$T$4001,K$1))</f>
        <v/>
      </c>
      <c r="L319" s="49">
        <f>IF(OR($AE319&lt;&gt;1,L$1=""),"",SUMIFS('All Donations'!$S$2:$S$4001,'All Donations'!$R$2:$R$4001,$AD319,'All Donations'!$T$2:$T$4001,L$1))</f>
        <v/>
      </c>
      <c r="M319" s="49">
        <f>IF(OR($AE319&lt;&gt;1,M$1=""),"",SUMIFS('All Donations'!$S$2:$S$4001,'All Donations'!$R$2:$R$4001,$AD319,'All Donations'!$T$2:$T$4001,M$1))</f>
        <v/>
      </c>
      <c r="N319" s="49">
        <f>IF(OR($AE319&lt;&gt;1,N$1=""),"",SUMIFS('All Donations'!$S$2:$S$4001,'All Donations'!$R$2:$R$4001,$AD319,'All Donations'!$T$2:$T$4001,N$1))</f>
        <v/>
      </c>
      <c r="O319" s="49">
        <f>IF(OR($AE319&lt;&gt;1,O$1=""),"",SUMIFS('All Donations'!$S$2:$S$4001,'All Donations'!$R$2:$R$4001,$AD319,'All Donations'!$T$2:$T$4001,O$1))</f>
        <v/>
      </c>
      <c r="P319" s="49">
        <f>IF(OR($AE319&lt;&gt;1,P$1=""),"",SUMIFS('All Donations'!$S$2:$S$4001,'All Donations'!$R$2:$R$4001,$AD319,'All Donations'!$T$2:$T$4001,P$1))</f>
        <v/>
      </c>
      <c r="Q319" s="49">
        <f>IF(OR($AE319&lt;&gt;1,Q$1=""),"",SUMIFS('All Donations'!$S$2:$S$4001,'All Donations'!$R$2:$R$4001,$AD319,'All Donations'!$T$2:$T$4001,Q$1))</f>
        <v/>
      </c>
      <c r="R319" s="49">
        <f>IF(OR($AE319&lt;&gt;1,R$1=""),"",SUMIFS('All Donations'!$S$2:$S$4001,'All Donations'!$R$2:$R$4001,$AD319,'All Donations'!$T$2:$T$4001,R$1))</f>
        <v/>
      </c>
      <c r="S319" s="49">
        <f>IF(OR($AE319&lt;&gt;1,S$1=""),"",SUMIFS('All Donations'!$S$2:$S$4001,'All Donations'!$R$2:$R$4001,$AD319,'All Donations'!$T$2:$T$4001,S$1))</f>
        <v/>
      </c>
      <c r="T319" s="49">
        <f>IF(OR($AE319&lt;&gt;1,T$1=""),"",SUMIFS('All Donations'!$S$2:$S$4001,'All Donations'!$R$2:$R$4001,$AD319,'All Donations'!$T$2:$T$4001,T$1))</f>
        <v/>
      </c>
      <c r="U319" s="49">
        <f>IF(OR($AE319&lt;&gt;1,U$1=""),"",SUMIFS('All Donations'!$S$2:$S$4001,'All Donations'!$R$2:$R$4001,$AD319,'All Donations'!$T$2:$T$4001,U$1))</f>
        <v/>
      </c>
      <c r="V319" s="49">
        <f>IF(OR($AE319&lt;&gt;1,V$1=""),"",SUMIFS('All Donations'!$S$2:$S$4001,'All Donations'!$R$2:$R$4001,$AD319,'All Donations'!$T$2:$T$4001,V$1))</f>
        <v/>
      </c>
      <c r="W319" s="49">
        <f>IF(OR($AE319&lt;&gt;1,W$1=""),"",SUMIFS('All Donations'!$S$2:$S$4001,'All Donations'!$R$2:$R$4001,$AD319,'All Donations'!$T$2:$T$4001,W$1))</f>
        <v/>
      </c>
      <c r="X319" s="49">
        <f>IF(OR($AE319&lt;&gt;1,X$1=""),"",SUMIFS('All Donations'!$S$2:$S$4001,'All Donations'!$R$2:$R$4001,$AD319,'All Donations'!$T$2:$T$4001,X$1))</f>
        <v/>
      </c>
      <c r="Y319" s="49">
        <f>IF(OR($AE319&lt;&gt;1,Y$1=""),"",SUMIFS('All Donations'!$S$2:$S$4001,'All Donations'!$R$2:$R$4001,$AD319,'All Donations'!$T$2:$T$4001,Y$1))</f>
        <v/>
      </c>
      <c r="Z319" s="49">
        <f>IF(OR($AE319&lt;&gt;1,Z$1=""),"",SUMIFS('All Donations'!$S$2:$S$4001,'All Donations'!$R$2:$R$4001,$AD319,'All Donations'!$T$2:$T$4001,Z$1))</f>
        <v/>
      </c>
      <c r="AA319" s="49">
        <f>IF(OR($AE319&lt;&gt;1,AA$1=""),"",SUMIFS('All Donations'!$S$2:$S$4001,'All Donations'!$R$2:$R$4001,$AD319,'All Donations'!$T$2:$T$4001,AA$1))</f>
        <v/>
      </c>
      <c r="AB319" s="49">
        <f>IF(OR($AE319&lt;&gt;1,AB$1=""),"",SUMIFS('All Donations'!$S$2:$S$4001,'All Donations'!$R$2:$R$4001,$AD319,'All Donations'!$T$2:$T$4001,AB$1))</f>
        <v/>
      </c>
      <c r="AC319" s="49">
        <f>IF(OR($AE319&lt;&gt;1,AC$1=""),"",SUMIFS('All Donations'!$S$2:$S$4001,'All Donations'!$R$2:$R$4001,$AD319,'All Donations'!$T$2:$T$4001,AC$1))</f>
        <v/>
      </c>
      <c r="AD319">
        <f>IF(AE319=1,'Roster'!A319,"")</f>
        <v/>
      </c>
      <c r="AE319">
        <f>IF(TRIM('Roster'!B319&amp;'Roster'!C319)&lt;&gt;"",1,0)</f>
        <v/>
      </c>
      <c r="AF319">
        <f>IF(AE319=1,LOWER(A319),"#")</f>
        <v/>
      </c>
      <c r="AG319">
        <f>IF(AE319=1,LOWER(TRIM(TRIM('Roster'!C319)&amp;", "&amp;TRIM('Roster'!B319))),"#")</f>
        <v/>
      </c>
      <c r="AH319">
        <f>IF(AND(AE319=1,TRIM('Roster'!F319)&lt;&gt;""),LOWER(TRIM('Roster'!F319)),"#")</f>
        <v/>
      </c>
      <c r="AI319">
        <f>IF(AE319=1,IF(MATCH(B319,$B$2:$B$701,0)=ROW()-1,1,0),0)</f>
        <v/>
      </c>
      <c r="AJ319">
        <f>AJ318+AI319</f>
        <v/>
      </c>
      <c r="AK319">
        <f>IF(AE319=1,D319+(1000-ROW())/10^7,-1)</f>
        <v/>
      </c>
      <c r="AL319">
        <f>IF(AE319=1,TRIM('Roster'!B319)&amp;" "&amp;LEFT(TRIM('Roster'!C319),1)&amp;".","")</f>
        <v/>
      </c>
      <c r="AM319">
        <f>IF(AE319=1,TRIM('Roster'!C319)&amp;", "&amp;TRIM('Roster'!B319)&amp;" ("&amp;B319&amp;") #"&amp;AD319,"")</f>
        <v/>
      </c>
      <c r="AN319">
        <f>IF(AE319=1,TRIM('Roster'!E319),"")</f>
        <v/>
      </c>
      <c r="AO319">
        <f>IF(AE319=1,ROUND(SUMIFS('All Donations'!$S$2:$S$4001,'All Donations'!$R$2:$R$4001,AD319,'All Donations'!$T$2:$T$4001,"&gt;="&amp;'Settings'!$C$23,'All Donations'!$T$2:$T$4001,"&lt;="&amp;'Settings'!$D$23),2),0)</f>
        <v/>
      </c>
      <c r="AQ319">
        <f>IF(AE319=1,ROUND(SUMIFS('All Donations'!$S$2:$S$4001,'All Donations'!$R$2:$R$4001,AD319,'All Donations'!$T$2:$T$4001,"&gt;="&amp;'Settings'!$C$25,'All Donations'!$T$2:$T$4001,"&lt;="&amp;'Settings'!$D$25),2),0)</f>
        <v/>
      </c>
      <c r="AR319">
        <f>IF(AE319=1,ROUND(SUMIFS('All Donations'!$S$2:$S$4001,'All Donations'!$R$2:$R$4001,AD319,'All Donations'!$T$2:$T$4001,"&gt;="&amp;'Settings'!$C$26,'All Donations'!$T$2:$T$4001,"&lt;="&amp;'Settings'!$D$26),2),0)</f>
        <v/>
      </c>
      <c r="AS319">
        <f>IF(AE319=1,ROUND(SUMIFS('All Donations'!$S$2:$S$4001,'All Donations'!$R$2:$R$4001,AD319,'All Donations'!$T$2:$T$4001,"&lt;="&amp;'Settings'!$D$27),2),0)</f>
        <v/>
      </c>
      <c r="AT319">
        <f>IF(AE319=1,ROUND(SUMIFS('All Donations'!$S$2:$S$4001,'All Donations'!$R$2:$R$4001,AD319,'All Donations'!$T$2:$T$4001,"&gt;="&amp;'Settings'!$C$28,'All Donations'!$T$2:$T$4001,"&lt;="&amp;'Settings'!$D$28),2),0)</f>
        <v/>
      </c>
      <c r="AU319">
        <f>IF(AE319=1,ROUND(SUMIFS('All Donations'!$S$2:$S$4001,'All Donations'!$R$2:$R$4001,AD319,'All Donations'!$T$2:$T$4001,"&gt;="&amp;'Settings'!$C$29,'All Donations'!$T$2:$T$4001,"&lt;="&amp;'Settings'!$D$29),2),0)</f>
        <v/>
      </c>
      <c r="AV319">
        <f>IF(AE319=1,ROUND(SUMIFS('All Donations'!$S$2:$S$4001,'All Donations'!$R$2:$R$4001,AD319,'All Donations'!$T$2:$T$4001,"&lt;="&amp;'Settings'!$D$30),2),0)</f>
        <v/>
      </c>
      <c r="AZ319">
        <f>IF(AE319=1,ROUND(SUMIFS('All Donations'!$S$2:$S$4001,'All Donations'!$R$2:$R$4001,AD319,'All Donations'!$T$2:$T$4001,"&lt;="&amp;'Settings'!$D$34),2),0)</f>
        <v/>
      </c>
    </row>
    <row r="320">
      <c r="A320">
        <f>IF(AE320=1,TRIM(TRIM('Roster'!B320)&amp;" "&amp;TRIM('Roster'!C320)),"")</f>
        <v/>
      </c>
      <c r="B320">
        <f>IF(AE320=1,IF(AN320="","(no teacher)",AN320&amp;" – "&amp;C320),"")</f>
        <v/>
      </c>
      <c r="C320">
        <f>IF(AE320=1,TRIM('Roster'!D320&amp;""),"")</f>
        <v/>
      </c>
      <c r="D320" s="48">
        <f>IF(AE320=1,ROUND(SUMIFS('All Donations'!$S$2:$S$4001,'All Donations'!$R$2:$R$4001,AD320),2),"")</f>
        <v/>
      </c>
      <c r="E320" s="48">
        <f>IF(AE320=1,ROUND(SUMIFS('All Donations'!$S$2:$S$4001,'All Donations'!$R$2:$R$4001,AD320,'All Donations'!$G$2:$G$4001,"OneCause"),2),"")</f>
        <v/>
      </c>
      <c r="F320" s="48">
        <f>IF(AE320=1,D320-E320,"")</f>
        <v/>
      </c>
      <c r="G320">
        <f>IF(AE320=1,COUNTIFS('All Donations'!$R$2:$R$4001,AD320,'All Donations'!$H$2:$H$4001,"OK"),"")</f>
        <v/>
      </c>
      <c r="H320">
        <f>IF(AE320&lt;&gt;1,"",IF(D320&gt;0,"Yes",""))</f>
        <v/>
      </c>
      <c r="I320" s="49">
        <f>IF(OR($AE320&lt;&gt;1,I$1=""),"",SUMIFS('All Donations'!$S$2:$S$4001,'All Donations'!$R$2:$R$4001,$AD320,'All Donations'!$T$2:$T$4001,I$1))</f>
        <v/>
      </c>
      <c r="J320" s="49">
        <f>IF(OR($AE320&lt;&gt;1,J$1=""),"",SUMIFS('All Donations'!$S$2:$S$4001,'All Donations'!$R$2:$R$4001,$AD320,'All Donations'!$T$2:$T$4001,J$1))</f>
        <v/>
      </c>
      <c r="K320" s="49">
        <f>IF(OR($AE320&lt;&gt;1,K$1=""),"",SUMIFS('All Donations'!$S$2:$S$4001,'All Donations'!$R$2:$R$4001,$AD320,'All Donations'!$T$2:$T$4001,K$1))</f>
        <v/>
      </c>
      <c r="L320" s="49">
        <f>IF(OR($AE320&lt;&gt;1,L$1=""),"",SUMIFS('All Donations'!$S$2:$S$4001,'All Donations'!$R$2:$R$4001,$AD320,'All Donations'!$T$2:$T$4001,L$1))</f>
        <v/>
      </c>
      <c r="M320" s="49">
        <f>IF(OR($AE320&lt;&gt;1,M$1=""),"",SUMIFS('All Donations'!$S$2:$S$4001,'All Donations'!$R$2:$R$4001,$AD320,'All Donations'!$T$2:$T$4001,M$1))</f>
        <v/>
      </c>
      <c r="N320" s="49">
        <f>IF(OR($AE320&lt;&gt;1,N$1=""),"",SUMIFS('All Donations'!$S$2:$S$4001,'All Donations'!$R$2:$R$4001,$AD320,'All Donations'!$T$2:$T$4001,N$1))</f>
        <v/>
      </c>
      <c r="O320" s="49">
        <f>IF(OR($AE320&lt;&gt;1,O$1=""),"",SUMIFS('All Donations'!$S$2:$S$4001,'All Donations'!$R$2:$R$4001,$AD320,'All Donations'!$T$2:$T$4001,O$1))</f>
        <v/>
      </c>
      <c r="P320" s="49">
        <f>IF(OR($AE320&lt;&gt;1,P$1=""),"",SUMIFS('All Donations'!$S$2:$S$4001,'All Donations'!$R$2:$R$4001,$AD320,'All Donations'!$T$2:$T$4001,P$1))</f>
        <v/>
      </c>
      <c r="Q320" s="49">
        <f>IF(OR($AE320&lt;&gt;1,Q$1=""),"",SUMIFS('All Donations'!$S$2:$S$4001,'All Donations'!$R$2:$R$4001,$AD320,'All Donations'!$T$2:$T$4001,Q$1))</f>
        <v/>
      </c>
      <c r="R320" s="49">
        <f>IF(OR($AE320&lt;&gt;1,R$1=""),"",SUMIFS('All Donations'!$S$2:$S$4001,'All Donations'!$R$2:$R$4001,$AD320,'All Donations'!$T$2:$T$4001,R$1))</f>
        <v/>
      </c>
      <c r="S320" s="49">
        <f>IF(OR($AE320&lt;&gt;1,S$1=""),"",SUMIFS('All Donations'!$S$2:$S$4001,'All Donations'!$R$2:$R$4001,$AD320,'All Donations'!$T$2:$T$4001,S$1))</f>
        <v/>
      </c>
      <c r="T320" s="49">
        <f>IF(OR($AE320&lt;&gt;1,T$1=""),"",SUMIFS('All Donations'!$S$2:$S$4001,'All Donations'!$R$2:$R$4001,$AD320,'All Donations'!$T$2:$T$4001,T$1))</f>
        <v/>
      </c>
      <c r="U320" s="49">
        <f>IF(OR($AE320&lt;&gt;1,U$1=""),"",SUMIFS('All Donations'!$S$2:$S$4001,'All Donations'!$R$2:$R$4001,$AD320,'All Donations'!$T$2:$T$4001,U$1))</f>
        <v/>
      </c>
      <c r="V320" s="49">
        <f>IF(OR($AE320&lt;&gt;1,V$1=""),"",SUMIFS('All Donations'!$S$2:$S$4001,'All Donations'!$R$2:$R$4001,$AD320,'All Donations'!$T$2:$T$4001,V$1))</f>
        <v/>
      </c>
      <c r="W320" s="49">
        <f>IF(OR($AE320&lt;&gt;1,W$1=""),"",SUMIFS('All Donations'!$S$2:$S$4001,'All Donations'!$R$2:$R$4001,$AD320,'All Donations'!$T$2:$T$4001,W$1))</f>
        <v/>
      </c>
      <c r="X320" s="49">
        <f>IF(OR($AE320&lt;&gt;1,X$1=""),"",SUMIFS('All Donations'!$S$2:$S$4001,'All Donations'!$R$2:$R$4001,$AD320,'All Donations'!$T$2:$T$4001,X$1))</f>
        <v/>
      </c>
      <c r="Y320" s="49">
        <f>IF(OR($AE320&lt;&gt;1,Y$1=""),"",SUMIFS('All Donations'!$S$2:$S$4001,'All Donations'!$R$2:$R$4001,$AD320,'All Donations'!$T$2:$T$4001,Y$1))</f>
        <v/>
      </c>
      <c r="Z320" s="49">
        <f>IF(OR($AE320&lt;&gt;1,Z$1=""),"",SUMIFS('All Donations'!$S$2:$S$4001,'All Donations'!$R$2:$R$4001,$AD320,'All Donations'!$T$2:$T$4001,Z$1))</f>
        <v/>
      </c>
      <c r="AA320" s="49">
        <f>IF(OR($AE320&lt;&gt;1,AA$1=""),"",SUMIFS('All Donations'!$S$2:$S$4001,'All Donations'!$R$2:$R$4001,$AD320,'All Donations'!$T$2:$T$4001,AA$1))</f>
        <v/>
      </c>
      <c r="AB320" s="49">
        <f>IF(OR($AE320&lt;&gt;1,AB$1=""),"",SUMIFS('All Donations'!$S$2:$S$4001,'All Donations'!$R$2:$R$4001,$AD320,'All Donations'!$T$2:$T$4001,AB$1))</f>
        <v/>
      </c>
      <c r="AC320" s="49">
        <f>IF(OR($AE320&lt;&gt;1,AC$1=""),"",SUMIFS('All Donations'!$S$2:$S$4001,'All Donations'!$R$2:$R$4001,$AD320,'All Donations'!$T$2:$T$4001,AC$1))</f>
        <v/>
      </c>
      <c r="AD320">
        <f>IF(AE320=1,'Roster'!A320,"")</f>
        <v/>
      </c>
      <c r="AE320">
        <f>IF(TRIM('Roster'!B320&amp;'Roster'!C320)&lt;&gt;"",1,0)</f>
        <v/>
      </c>
      <c r="AF320">
        <f>IF(AE320=1,LOWER(A320),"#")</f>
        <v/>
      </c>
      <c r="AG320">
        <f>IF(AE320=1,LOWER(TRIM(TRIM('Roster'!C320)&amp;", "&amp;TRIM('Roster'!B320))),"#")</f>
        <v/>
      </c>
      <c r="AH320">
        <f>IF(AND(AE320=1,TRIM('Roster'!F320)&lt;&gt;""),LOWER(TRIM('Roster'!F320)),"#")</f>
        <v/>
      </c>
      <c r="AI320">
        <f>IF(AE320=1,IF(MATCH(B320,$B$2:$B$701,0)=ROW()-1,1,0),0)</f>
        <v/>
      </c>
      <c r="AJ320">
        <f>AJ319+AI320</f>
        <v/>
      </c>
      <c r="AK320">
        <f>IF(AE320=1,D320+(1000-ROW())/10^7,-1)</f>
        <v/>
      </c>
      <c r="AL320">
        <f>IF(AE320=1,TRIM('Roster'!B320)&amp;" "&amp;LEFT(TRIM('Roster'!C320),1)&amp;".","")</f>
        <v/>
      </c>
      <c r="AM320">
        <f>IF(AE320=1,TRIM('Roster'!C320)&amp;", "&amp;TRIM('Roster'!B320)&amp;" ("&amp;B320&amp;") #"&amp;AD320,"")</f>
        <v/>
      </c>
      <c r="AN320">
        <f>IF(AE320=1,TRIM('Roster'!E320),"")</f>
        <v/>
      </c>
      <c r="AO320">
        <f>IF(AE320=1,ROUND(SUMIFS('All Donations'!$S$2:$S$4001,'All Donations'!$R$2:$R$4001,AD320,'All Donations'!$T$2:$T$4001,"&gt;="&amp;'Settings'!$C$23,'All Donations'!$T$2:$T$4001,"&lt;="&amp;'Settings'!$D$23),2),0)</f>
        <v/>
      </c>
      <c r="AQ320">
        <f>IF(AE320=1,ROUND(SUMIFS('All Donations'!$S$2:$S$4001,'All Donations'!$R$2:$R$4001,AD320,'All Donations'!$T$2:$T$4001,"&gt;="&amp;'Settings'!$C$25,'All Donations'!$T$2:$T$4001,"&lt;="&amp;'Settings'!$D$25),2),0)</f>
        <v/>
      </c>
      <c r="AR320">
        <f>IF(AE320=1,ROUND(SUMIFS('All Donations'!$S$2:$S$4001,'All Donations'!$R$2:$R$4001,AD320,'All Donations'!$T$2:$T$4001,"&gt;="&amp;'Settings'!$C$26,'All Donations'!$T$2:$T$4001,"&lt;="&amp;'Settings'!$D$26),2),0)</f>
        <v/>
      </c>
      <c r="AS320">
        <f>IF(AE320=1,ROUND(SUMIFS('All Donations'!$S$2:$S$4001,'All Donations'!$R$2:$R$4001,AD320,'All Donations'!$T$2:$T$4001,"&lt;="&amp;'Settings'!$D$27),2),0)</f>
        <v/>
      </c>
      <c r="AT320">
        <f>IF(AE320=1,ROUND(SUMIFS('All Donations'!$S$2:$S$4001,'All Donations'!$R$2:$R$4001,AD320,'All Donations'!$T$2:$T$4001,"&gt;="&amp;'Settings'!$C$28,'All Donations'!$T$2:$T$4001,"&lt;="&amp;'Settings'!$D$28),2),0)</f>
        <v/>
      </c>
      <c r="AU320">
        <f>IF(AE320=1,ROUND(SUMIFS('All Donations'!$S$2:$S$4001,'All Donations'!$R$2:$R$4001,AD320,'All Donations'!$T$2:$T$4001,"&gt;="&amp;'Settings'!$C$29,'All Donations'!$T$2:$T$4001,"&lt;="&amp;'Settings'!$D$29),2),0)</f>
        <v/>
      </c>
      <c r="AV320">
        <f>IF(AE320=1,ROUND(SUMIFS('All Donations'!$S$2:$S$4001,'All Donations'!$R$2:$R$4001,AD320,'All Donations'!$T$2:$T$4001,"&lt;="&amp;'Settings'!$D$30),2),0)</f>
        <v/>
      </c>
      <c r="AZ320">
        <f>IF(AE320=1,ROUND(SUMIFS('All Donations'!$S$2:$S$4001,'All Donations'!$R$2:$R$4001,AD320,'All Donations'!$T$2:$T$4001,"&lt;="&amp;'Settings'!$D$34),2),0)</f>
        <v/>
      </c>
    </row>
    <row r="321">
      <c r="A321">
        <f>IF(AE321=1,TRIM(TRIM('Roster'!B321)&amp;" "&amp;TRIM('Roster'!C321)),"")</f>
        <v/>
      </c>
      <c r="B321">
        <f>IF(AE321=1,IF(AN321="","(no teacher)",AN321&amp;" – "&amp;C321),"")</f>
        <v/>
      </c>
      <c r="C321">
        <f>IF(AE321=1,TRIM('Roster'!D321&amp;""),"")</f>
        <v/>
      </c>
      <c r="D321" s="48">
        <f>IF(AE321=1,ROUND(SUMIFS('All Donations'!$S$2:$S$4001,'All Donations'!$R$2:$R$4001,AD321),2),"")</f>
        <v/>
      </c>
      <c r="E321" s="48">
        <f>IF(AE321=1,ROUND(SUMIFS('All Donations'!$S$2:$S$4001,'All Donations'!$R$2:$R$4001,AD321,'All Donations'!$G$2:$G$4001,"OneCause"),2),"")</f>
        <v/>
      </c>
      <c r="F321" s="48">
        <f>IF(AE321=1,D321-E321,"")</f>
        <v/>
      </c>
      <c r="G321">
        <f>IF(AE321=1,COUNTIFS('All Donations'!$R$2:$R$4001,AD321,'All Donations'!$H$2:$H$4001,"OK"),"")</f>
        <v/>
      </c>
      <c r="H321">
        <f>IF(AE321&lt;&gt;1,"",IF(D321&gt;0,"Yes",""))</f>
        <v/>
      </c>
      <c r="I321" s="49">
        <f>IF(OR($AE321&lt;&gt;1,I$1=""),"",SUMIFS('All Donations'!$S$2:$S$4001,'All Donations'!$R$2:$R$4001,$AD321,'All Donations'!$T$2:$T$4001,I$1))</f>
        <v/>
      </c>
      <c r="J321" s="49">
        <f>IF(OR($AE321&lt;&gt;1,J$1=""),"",SUMIFS('All Donations'!$S$2:$S$4001,'All Donations'!$R$2:$R$4001,$AD321,'All Donations'!$T$2:$T$4001,J$1))</f>
        <v/>
      </c>
      <c r="K321" s="49">
        <f>IF(OR($AE321&lt;&gt;1,K$1=""),"",SUMIFS('All Donations'!$S$2:$S$4001,'All Donations'!$R$2:$R$4001,$AD321,'All Donations'!$T$2:$T$4001,K$1))</f>
        <v/>
      </c>
      <c r="L321" s="49">
        <f>IF(OR($AE321&lt;&gt;1,L$1=""),"",SUMIFS('All Donations'!$S$2:$S$4001,'All Donations'!$R$2:$R$4001,$AD321,'All Donations'!$T$2:$T$4001,L$1))</f>
        <v/>
      </c>
      <c r="M321" s="49">
        <f>IF(OR($AE321&lt;&gt;1,M$1=""),"",SUMIFS('All Donations'!$S$2:$S$4001,'All Donations'!$R$2:$R$4001,$AD321,'All Donations'!$T$2:$T$4001,M$1))</f>
        <v/>
      </c>
      <c r="N321" s="49">
        <f>IF(OR($AE321&lt;&gt;1,N$1=""),"",SUMIFS('All Donations'!$S$2:$S$4001,'All Donations'!$R$2:$R$4001,$AD321,'All Donations'!$T$2:$T$4001,N$1))</f>
        <v/>
      </c>
      <c r="O321" s="49">
        <f>IF(OR($AE321&lt;&gt;1,O$1=""),"",SUMIFS('All Donations'!$S$2:$S$4001,'All Donations'!$R$2:$R$4001,$AD321,'All Donations'!$T$2:$T$4001,O$1))</f>
        <v/>
      </c>
      <c r="P321" s="49">
        <f>IF(OR($AE321&lt;&gt;1,P$1=""),"",SUMIFS('All Donations'!$S$2:$S$4001,'All Donations'!$R$2:$R$4001,$AD321,'All Donations'!$T$2:$T$4001,P$1))</f>
        <v/>
      </c>
      <c r="Q321" s="49">
        <f>IF(OR($AE321&lt;&gt;1,Q$1=""),"",SUMIFS('All Donations'!$S$2:$S$4001,'All Donations'!$R$2:$R$4001,$AD321,'All Donations'!$T$2:$T$4001,Q$1))</f>
        <v/>
      </c>
      <c r="R321" s="49">
        <f>IF(OR($AE321&lt;&gt;1,R$1=""),"",SUMIFS('All Donations'!$S$2:$S$4001,'All Donations'!$R$2:$R$4001,$AD321,'All Donations'!$T$2:$T$4001,R$1))</f>
        <v/>
      </c>
      <c r="S321" s="49">
        <f>IF(OR($AE321&lt;&gt;1,S$1=""),"",SUMIFS('All Donations'!$S$2:$S$4001,'All Donations'!$R$2:$R$4001,$AD321,'All Donations'!$T$2:$T$4001,S$1))</f>
        <v/>
      </c>
      <c r="T321" s="49">
        <f>IF(OR($AE321&lt;&gt;1,T$1=""),"",SUMIFS('All Donations'!$S$2:$S$4001,'All Donations'!$R$2:$R$4001,$AD321,'All Donations'!$T$2:$T$4001,T$1))</f>
        <v/>
      </c>
      <c r="U321" s="49">
        <f>IF(OR($AE321&lt;&gt;1,U$1=""),"",SUMIFS('All Donations'!$S$2:$S$4001,'All Donations'!$R$2:$R$4001,$AD321,'All Donations'!$T$2:$T$4001,U$1))</f>
        <v/>
      </c>
      <c r="V321" s="49">
        <f>IF(OR($AE321&lt;&gt;1,V$1=""),"",SUMIFS('All Donations'!$S$2:$S$4001,'All Donations'!$R$2:$R$4001,$AD321,'All Donations'!$T$2:$T$4001,V$1))</f>
        <v/>
      </c>
      <c r="W321" s="49">
        <f>IF(OR($AE321&lt;&gt;1,W$1=""),"",SUMIFS('All Donations'!$S$2:$S$4001,'All Donations'!$R$2:$R$4001,$AD321,'All Donations'!$T$2:$T$4001,W$1))</f>
        <v/>
      </c>
      <c r="X321" s="49">
        <f>IF(OR($AE321&lt;&gt;1,X$1=""),"",SUMIFS('All Donations'!$S$2:$S$4001,'All Donations'!$R$2:$R$4001,$AD321,'All Donations'!$T$2:$T$4001,X$1))</f>
        <v/>
      </c>
      <c r="Y321" s="49">
        <f>IF(OR($AE321&lt;&gt;1,Y$1=""),"",SUMIFS('All Donations'!$S$2:$S$4001,'All Donations'!$R$2:$R$4001,$AD321,'All Donations'!$T$2:$T$4001,Y$1))</f>
        <v/>
      </c>
      <c r="Z321" s="49">
        <f>IF(OR($AE321&lt;&gt;1,Z$1=""),"",SUMIFS('All Donations'!$S$2:$S$4001,'All Donations'!$R$2:$R$4001,$AD321,'All Donations'!$T$2:$T$4001,Z$1))</f>
        <v/>
      </c>
      <c r="AA321" s="49">
        <f>IF(OR($AE321&lt;&gt;1,AA$1=""),"",SUMIFS('All Donations'!$S$2:$S$4001,'All Donations'!$R$2:$R$4001,$AD321,'All Donations'!$T$2:$T$4001,AA$1))</f>
        <v/>
      </c>
      <c r="AB321" s="49">
        <f>IF(OR($AE321&lt;&gt;1,AB$1=""),"",SUMIFS('All Donations'!$S$2:$S$4001,'All Donations'!$R$2:$R$4001,$AD321,'All Donations'!$T$2:$T$4001,AB$1))</f>
        <v/>
      </c>
      <c r="AC321" s="49">
        <f>IF(OR($AE321&lt;&gt;1,AC$1=""),"",SUMIFS('All Donations'!$S$2:$S$4001,'All Donations'!$R$2:$R$4001,$AD321,'All Donations'!$T$2:$T$4001,AC$1))</f>
        <v/>
      </c>
      <c r="AD321">
        <f>IF(AE321=1,'Roster'!A321,"")</f>
        <v/>
      </c>
      <c r="AE321">
        <f>IF(TRIM('Roster'!B321&amp;'Roster'!C321)&lt;&gt;"",1,0)</f>
        <v/>
      </c>
      <c r="AF321">
        <f>IF(AE321=1,LOWER(A321),"#")</f>
        <v/>
      </c>
      <c r="AG321">
        <f>IF(AE321=1,LOWER(TRIM(TRIM('Roster'!C321)&amp;", "&amp;TRIM('Roster'!B321))),"#")</f>
        <v/>
      </c>
      <c r="AH321">
        <f>IF(AND(AE321=1,TRIM('Roster'!F321)&lt;&gt;""),LOWER(TRIM('Roster'!F321)),"#")</f>
        <v/>
      </c>
      <c r="AI321">
        <f>IF(AE321=1,IF(MATCH(B321,$B$2:$B$701,0)=ROW()-1,1,0),0)</f>
        <v/>
      </c>
      <c r="AJ321">
        <f>AJ320+AI321</f>
        <v/>
      </c>
      <c r="AK321">
        <f>IF(AE321=1,D321+(1000-ROW())/10^7,-1)</f>
        <v/>
      </c>
      <c r="AL321">
        <f>IF(AE321=1,TRIM('Roster'!B321)&amp;" "&amp;LEFT(TRIM('Roster'!C321),1)&amp;".","")</f>
        <v/>
      </c>
      <c r="AM321">
        <f>IF(AE321=1,TRIM('Roster'!C321)&amp;", "&amp;TRIM('Roster'!B321)&amp;" ("&amp;B321&amp;") #"&amp;AD321,"")</f>
        <v/>
      </c>
      <c r="AN321">
        <f>IF(AE321=1,TRIM('Roster'!E321),"")</f>
        <v/>
      </c>
      <c r="AO321">
        <f>IF(AE321=1,ROUND(SUMIFS('All Donations'!$S$2:$S$4001,'All Donations'!$R$2:$R$4001,AD321,'All Donations'!$T$2:$T$4001,"&gt;="&amp;'Settings'!$C$23,'All Donations'!$T$2:$T$4001,"&lt;="&amp;'Settings'!$D$23),2),0)</f>
        <v/>
      </c>
      <c r="AQ321">
        <f>IF(AE321=1,ROUND(SUMIFS('All Donations'!$S$2:$S$4001,'All Donations'!$R$2:$R$4001,AD321,'All Donations'!$T$2:$T$4001,"&gt;="&amp;'Settings'!$C$25,'All Donations'!$T$2:$T$4001,"&lt;="&amp;'Settings'!$D$25),2),0)</f>
        <v/>
      </c>
      <c r="AR321">
        <f>IF(AE321=1,ROUND(SUMIFS('All Donations'!$S$2:$S$4001,'All Donations'!$R$2:$R$4001,AD321,'All Donations'!$T$2:$T$4001,"&gt;="&amp;'Settings'!$C$26,'All Donations'!$T$2:$T$4001,"&lt;="&amp;'Settings'!$D$26),2),0)</f>
        <v/>
      </c>
      <c r="AS321">
        <f>IF(AE321=1,ROUND(SUMIFS('All Donations'!$S$2:$S$4001,'All Donations'!$R$2:$R$4001,AD321,'All Donations'!$T$2:$T$4001,"&lt;="&amp;'Settings'!$D$27),2),0)</f>
        <v/>
      </c>
      <c r="AT321">
        <f>IF(AE321=1,ROUND(SUMIFS('All Donations'!$S$2:$S$4001,'All Donations'!$R$2:$R$4001,AD321,'All Donations'!$T$2:$T$4001,"&gt;="&amp;'Settings'!$C$28,'All Donations'!$T$2:$T$4001,"&lt;="&amp;'Settings'!$D$28),2),0)</f>
        <v/>
      </c>
      <c r="AU321">
        <f>IF(AE321=1,ROUND(SUMIFS('All Donations'!$S$2:$S$4001,'All Donations'!$R$2:$R$4001,AD321,'All Donations'!$T$2:$T$4001,"&gt;="&amp;'Settings'!$C$29,'All Donations'!$T$2:$T$4001,"&lt;="&amp;'Settings'!$D$29),2),0)</f>
        <v/>
      </c>
      <c r="AV321">
        <f>IF(AE321=1,ROUND(SUMIFS('All Donations'!$S$2:$S$4001,'All Donations'!$R$2:$R$4001,AD321,'All Donations'!$T$2:$T$4001,"&lt;="&amp;'Settings'!$D$30),2),0)</f>
        <v/>
      </c>
      <c r="AZ321">
        <f>IF(AE321=1,ROUND(SUMIFS('All Donations'!$S$2:$S$4001,'All Donations'!$R$2:$R$4001,AD321,'All Donations'!$T$2:$T$4001,"&lt;="&amp;'Settings'!$D$34),2),0)</f>
        <v/>
      </c>
    </row>
    <row r="322">
      <c r="A322">
        <f>IF(AE322=1,TRIM(TRIM('Roster'!B322)&amp;" "&amp;TRIM('Roster'!C322)),"")</f>
        <v/>
      </c>
      <c r="B322">
        <f>IF(AE322=1,IF(AN322="","(no teacher)",AN322&amp;" – "&amp;C322),"")</f>
        <v/>
      </c>
      <c r="C322">
        <f>IF(AE322=1,TRIM('Roster'!D322&amp;""),"")</f>
        <v/>
      </c>
      <c r="D322" s="48">
        <f>IF(AE322=1,ROUND(SUMIFS('All Donations'!$S$2:$S$4001,'All Donations'!$R$2:$R$4001,AD322),2),"")</f>
        <v/>
      </c>
      <c r="E322" s="48">
        <f>IF(AE322=1,ROUND(SUMIFS('All Donations'!$S$2:$S$4001,'All Donations'!$R$2:$R$4001,AD322,'All Donations'!$G$2:$G$4001,"OneCause"),2),"")</f>
        <v/>
      </c>
      <c r="F322" s="48">
        <f>IF(AE322=1,D322-E322,"")</f>
        <v/>
      </c>
      <c r="G322">
        <f>IF(AE322=1,COUNTIFS('All Donations'!$R$2:$R$4001,AD322,'All Donations'!$H$2:$H$4001,"OK"),"")</f>
        <v/>
      </c>
      <c r="H322">
        <f>IF(AE322&lt;&gt;1,"",IF(D322&gt;0,"Yes",""))</f>
        <v/>
      </c>
      <c r="I322" s="49">
        <f>IF(OR($AE322&lt;&gt;1,I$1=""),"",SUMIFS('All Donations'!$S$2:$S$4001,'All Donations'!$R$2:$R$4001,$AD322,'All Donations'!$T$2:$T$4001,I$1))</f>
        <v/>
      </c>
      <c r="J322" s="49">
        <f>IF(OR($AE322&lt;&gt;1,J$1=""),"",SUMIFS('All Donations'!$S$2:$S$4001,'All Donations'!$R$2:$R$4001,$AD322,'All Donations'!$T$2:$T$4001,J$1))</f>
        <v/>
      </c>
      <c r="K322" s="49">
        <f>IF(OR($AE322&lt;&gt;1,K$1=""),"",SUMIFS('All Donations'!$S$2:$S$4001,'All Donations'!$R$2:$R$4001,$AD322,'All Donations'!$T$2:$T$4001,K$1))</f>
        <v/>
      </c>
      <c r="L322" s="49">
        <f>IF(OR($AE322&lt;&gt;1,L$1=""),"",SUMIFS('All Donations'!$S$2:$S$4001,'All Donations'!$R$2:$R$4001,$AD322,'All Donations'!$T$2:$T$4001,L$1))</f>
        <v/>
      </c>
      <c r="M322" s="49">
        <f>IF(OR($AE322&lt;&gt;1,M$1=""),"",SUMIFS('All Donations'!$S$2:$S$4001,'All Donations'!$R$2:$R$4001,$AD322,'All Donations'!$T$2:$T$4001,M$1))</f>
        <v/>
      </c>
      <c r="N322" s="49">
        <f>IF(OR($AE322&lt;&gt;1,N$1=""),"",SUMIFS('All Donations'!$S$2:$S$4001,'All Donations'!$R$2:$R$4001,$AD322,'All Donations'!$T$2:$T$4001,N$1))</f>
        <v/>
      </c>
      <c r="O322" s="49">
        <f>IF(OR($AE322&lt;&gt;1,O$1=""),"",SUMIFS('All Donations'!$S$2:$S$4001,'All Donations'!$R$2:$R$4001,$AD322,'All Donations'!$T$2:$T$4001,O$1))</f>
        <v/>
      </c>
      <c r="P322" s="49">
        <f>IF(OR($AE322&lt;&gt;1,P$1=""),"",SUMIFS('All Donations'!$S$2:$S$4001,'All Donations'!$R$2:$R$4001,$AD322,'All Donations'!$T$2:$T$4001,P$1))</f>
        <v/>
      </c>
      <c r="Q322" s="49">
        <f>IF(OR($AE322&lt;&gt;1,Q$1=""),"",SUMIFS('All Donations'!$S$2:$S$4001,'All Donations'!$R$2:$R$4001,$AD322,'All Donations'!$T$2:$T$4001,Q$1))</f>
        <v/>
      </c>
      <c r="R322" s="49">
        <f>IF(OR($AE322&lt;&gt;1,R$1=""),"",SUMIFS('All Donations'!$S$2:$S$4001,'All Donations'!$R$2:$R$4001,$AD322,'All Donations'!$T$2:$T$4001,R$1))</f>
        <v/>
      </c>
      <c r="S322" s="49">
        <f>IF(OR($AE322&lt;&gt;1,S$1=""),"",SUMIFS('All Donations'!$S$2:$S$4001,'All Donations'!$R$2:$R$4001,$AD322,'All Donations'!$T$2:$T$4001,S$1))</f>
        <v/>
      </c>
      <c r="T322" s="49">
        <f>IF(OR($AE322&lt;&gt;1,T$1=""),"",SUMIFS('All Donations'!$S$2:$S$4001,'All Donations'!$R$2:$R$4001,$AD322,'All Donations'!$T$2:$T$4001,T$1))</f>
        <v/>
      </c>
      <c r="U322" s="49">
        <f>IF(OR($AE322&lt;&gt;1,U$1=""),"",SUMIFS('All Donations'!$S$2:$S$4001,'All Donations'!$R$2:$R$4001,$AD322,'All Donations'!$T$2:$T$4001,U$1))</f>
        <v/>
      </c>
      <c r="V322" s="49">
        <f>IF(OR($AE322&lt;&gt;1,V$1=""),"",SUMIFS('All Donations'!$S$2:$S$4001,'All Donations'!$R$2:$R$4001,$AD322,'All Donations'!$T$2:$T$4001,V$1))</f>
        <v/>
      </c>
      <c r="W322" s="49">
        <f>IF(OR($AE322&lt;&gt;1,W$1=""),"",SUMIFS('All Donations'!$S$2:$S$4001,'All Donations'!$R$2:$R$4001,$AD322,'All Donations'!$T$2:$T$4001,W$1))</f>
        <v/>
      </c>
      <c r="X322" s="49">
        <f>IF(OR($AE322&lt;&gt;1,X$1=""),"",SUMIFS('All Donations'!$S$2:$S$4001,'All Donations'!$R$2:$R$4001,$AD322,'All Donations'!$T$2:$T$4001,X$1))</f>
        <v/>
      </c>
      <c r="Y322" s="49">
        <f>IF(OR($AE322&lt;&gt;1,Y$1=""),"",SUMIFS('All Donations'!$S$2:$S$4001,'All Donations'!$R$2:$R$4001,$AD322,'All Donations'!$T$2:$T$4001,Y$1))</f>
        <v/>
      </c>
      <c r="Z322" s="49">
        <f>IF(OR($AE322&lt;&gt;1,Z$1=""),"",SUMIFS('All Donations'!$S$2:$S$4001,'All Donations'!$R$2:$R$4001,$AD322,'All Donations'!$T$2:$T$4001,Z$1))</f>
        <v/>
      </c>
      <c r="AA322" s="49">
        <f>IF(OR($AE322&lt;&gt;1,AA$1=""),"",SUMIFS('All Donations'!$S$2:$S$4001,'All Donations'!$R$2:$R$4001,$AD322,'All Donations'!$T$2:$T$4001,AA$1))</f>
        <v/>
      </c>
      <c r="AB322" s="49">
        <f>IF(OR($AE322&lt;&gt;1,AB$1=""),"",SUMIFS('All Donations'!$S$2:$S$4001,'All Donations'!$R$2:$R$4001,$AD322,'All Donations'!$T$2:$T$4001,AB$1))</f>
        <v/>
      </c>
      <c r="AC322" s="49">
        <f>IF(OR($AE322&lt;&gt;1,AC$1=""),"",SUMIFS('All Donations'!$S$2:$S$4001,'All Donations'!$R$2:$R$4001,$AD322,'All Donations'!$T$2:$T$4001,AC$1))</f>
        <v/>
      </c>
      <c r="AD322">
        <f>IF(AE322=1,'Roster'!A322,"")</f>
        <v/>
      </c>
      <c r="AE322">
        <f>IF(TRIM('Roster'!B322&amp;'Roster'!C322)&lt;&gt;"",1,0)</f>
        <v/>
      </c>
      <c r="AF322">
        <f>IF(AE322=1,LOWER(A322),"#")</f>
        <v/>
      </c>
      <c r="AG322">
        <f>IF(AE322=1,LOWER(TRIM(TRIM('Roster'!C322)&amp;", "&amp;TRIM('Roster'!B322))),"#")</f>
        <v/>
      </c>
      <c r="AH322">
        <f>IF(AND(AE322=1,TRIM('Roster'!F322)&lt;&gt;""),LOWER(TRIM('Roster'!F322)),"#")</f>
        <v/>
      </c>
      <c r="AI322">
        <f>IF(AE322=1,IF(MATCH(B322,$B$2:$B$701,0)=ROW()-1,1,0),0)</f>
        <v/>
      </c>
      <c r="AJ322">
        <f>AJ321+AI322</f>
        <v/>
      </c>
      <c r="AK322">
        <f>IF(AE322=1,D322+(1000-ROW())/10^7,-1)</f>
        <v/>
      </c>
      <c r="AL322">
        <f>IF(AE322=1,TRIM('Roster'!B322)&amp;" "&amp;LEFT(TRIM('Roster'!C322),1)&amp;".","")</f>
        <v/>
      </c>
      <c r="AM322">
        <f>IF(AE322=1,TRIM('Roster'!C322)&amp;", "&amp;TRIM('Roster'!B322)&amp;" ("&amp;B322&amp;") #"&amp;AD322,"")</f>
        <v/>
      </c>
      <c r="AN322">
        <f>IF(AE322=1,TRIM('Roster'!E322),"")</f>
        <v/>
      </c>
      <c r="AO322">
        <f>IF(AE322=1,ROUND(SUMIFS('All Donations'!$S$2:$S$4001,'All Donations'!$R$2:$R$4001,AD322,'All Donations'!$T$2:$T$4001,"&gt;="&amp;'Settings'!$C$23,'All Donations'!$T$2:$T$4001,"&lt;="&amp;'Settings'!$D$23),2),0)</f>
        <v/>
      </c>
      <c r="AQ322">
        <f>IF(AE322=1,ROUND(SUMIFS('All Donations'!$S$2:$S$4001,'All Donations'!$R$2:$R$4001,AD322,'All Donations'!$T$2:$T$4001,"&gt;="&amp;'Settings'!$C$25,'All Donations'!$T$2:$T$4001,"&lt;="&amp;'Settings'!$D$25),2),0)</f>
        <v/>
      </c>
      <c r="AR322">
        <f>IF(AE322=1,ROUND(SUMIFS('All Donations'!$S$2:$S$4001,'All Donations'!$R$2:$R$4001,AD322,'All Donations'!$T$2:$T$4001,"&gt;="&amp;'Settings'!$C$26,'All Donations'!$T$2:$T$4001,"&lt;="&amp;'Settings'!$D$26),2),0)</f>
        <v/>
      </c>
      <c r="AS322">
        <f>IF(AE322=1,ROUND(SUMIFS('All Donations'!$S$2:$S$4001,'All Donations'!$R$2:$R$4001,AD322,'All Donations'!$T$2:$T$4001,"&lt;="&amp;'Settings'!$D$27),2),0)</f>
        <v/>
      </c>
      <c r="AT322">
        <f>IF(AE322=1,ROUND(SUMIFS('All Donations'!$S$2:$S$4001,'All Donations'!$R$2:$R$4001,AD322,'All Donations'!$T$2:$T$4001,"&gt;="&amp;'Settings'!$C$28,'All Donations'!$T$2:$T$4001,"&lt;="&amp;'Settings'!$D$28),2),0)</f>
        <v/>
      </c>
      <c r="AU322">
        <f>IF(AE322=1,ROUND(SUMIFS('All Donations'!$S$2:$S$4001,'All Donations'!$R$2:$R$4001,AD322,'All Donations'!$T$2:$T$4001,"&gt;="&amp;'Settings'!$C$29,'All Donations'!$T$2:$T$4001,"&lt;="&amp;'Settings'!$D$29),2),0)</f>
        <v/>
      </c>
      <c r="AV322">
        <f>IF(AE322=1,ROUND(SUMIFS('All Donations'!$S$2:$S$4001,'All Donations'!$R$2:$R$4001,AD322,'All Donations'!$T$2:$T$4001,"&lt;="&amp;'Settings'!$D$30),2),0)</f>
        <v/>
      </c>
      <c r="AZ322">
        <f>IF(AE322=1,ROUND(SUMIFS('All Donations'!$S$2:$S$4001,'All Donations'!$R$2:$R$4001,AD322,'All Donations'!$T$2:$T$4001,"&lt;="&amp;'Settings'!$D$34),2),0)</f>
        <v/>
      </c>
    </row>
    <row r="323">
      <c r="A323">
        <f>IF(AE323=1,TRIM(TRIM('Roster'!B323)&amp;" "&amp;TRIM('Roster'!C323)),"")</f>
        <v/>
      </c>
      <c r="B323">
        <f>IF(AE323=1,IF(AN323="","(no teacher)",AN323&amp;" – "&amp;C323),"")</f>
        <v/>
      </c>
      <c r="C323">
        <f>IF(AE323=1,TRIM('Roster'!D323&amp;""),"")</f>
        <v/>
      </c>
      <c r="D323" s="48">
        <f>IF(AE323=1,ROUND(SUMIFS('All Donations'!$S$2:$S$4001,'All Donations'!$R$2:$R$4001,AD323),2),"")</f>
        <v/>
      </c>
      <c r="E323" s="48">
        <f>IF(AE323=1,ROUND(SUMIFS('All Donations'!$S$2:$S$4001,'All Donations'!$R$2:$R$4001,AD323,'All Donations'!$G$2:$G$4001,"OneCause"),2),"")</f>
        <v/>
      </c>
      <c r="F323" s="48">
        <f>IF(AE323=1,D323-E323,"")</f>
        <v/>
      </c>
      <c r="G323">
        <f>IF(AE323=1,COUNTIFS('All Donations'!$R$2:$R$4001,AD323,'All Donations'!$H$2:$H$4001,"OK"),"")</f>
        <v/>
      </c>
      <c r="H323">
        <f>IF(AE323&lt;&gt;1,"",IF(D323&gt;0,"Yes",""))</f>
        <v/>
      </c>
      <c r="I323" s="49">
        <f>IF(OR($AE323&lt;&gt;1,I$1=""),"",SUMIFS('All Donations'!$S$2:$S$4001,'All Donations'!$R$2:$R$4001,$AD323,'All Donations'!$T$2:$T$4001,I$1))</f>
        <v/>
      </c>
      <c r="J323" s="49">
        <f>IF(OR($AE323&lt;&gt;1,J$1=""),"",SUMIFS('All Donations'!$S$2:$S$4001,'All Donations'!$R$2:$R$4001,$AD323,'All Donations'!$T$2:$T$4001,J$1))</f>
        <v/>
      </c>
      <c r="K323" s="49">
        <f>IF(OR($AE323&lt;&gt;1,K$1=""),"",SUMIFS('All Donations'!$S$2:$S$4001,'All Donations'!$R$2:$R$4001,$AD323,'All Donations'!$T$2:$T$4001,K$1))</f>
        <v/>
      </c>
      <c r="L323" s="49">
        <f>IF(OR($AE323&lt;&gt;1,L$1=""),"",SUMIFS('All Donations'!$S$2:$S$4001,'All Donations'!$R$2:$R$4001,$AD323,'All Donations'!$T$2:$T$4001,L$1))</f>
        <v/>
      </c>
      <c r="M323" s="49">
        <f>IF(OR($AE323&lt;&gt;1,M$1=""),"",SUMIFS('All Donations'!$S$2:$S$4001,'All Donations'!$R$2:$R$4001,$AD323,'All Donations'!$T$2:$T$4001,M$1))</f>
        <v/>
      </c>
      <c r="N323" s="49">
        <f>IF(OR($AE323&lt;&gt;1,N$1=""),"",SUMIFS('All Donations'!$S$2:$S$4001,'All Donations'!$R$2:$R$4001,$AD323,'All Donations'!$T$2:$T$4001,N$1))</f>
        <v/>
      </c>
      <c r="O323" s="49">
        <f>IF(OR($AE323&lt;&gt;1,O$1=""),"",SUMIFS('All Donations'!$S$2:$S$4001,'All Donations'!$R$2:$R$4001,$AD323,'All Donations'!$T$2:$T$4001,O$1))</f>
        <v/>
      </c>
      <c r="P323" s="49">
        <f>IF(OR($AE323&lt;&gt;1,P$1=""),"",SUMIFS('All Donations'!$S$2:$S$4001,'All Donations'!$R$2:$R$4001,$AD323,'All Donations'!$T$2:$T$4001,P$1))</f>
        <v/>
      </c>
      <c r="Q323" s="49">
        <f>IF(OR($AE323&lt;&gt;1,Q$1=""),"",SUMIFS('All Donations'!$S$2:$S$4001,'All Donations'!$R$2:$R$4001,$AD323,'All Donations'!$T$2:$T$4001,Q$1))</f>
        <v/>
      </c>
      <c r="R323" s="49">
        <f>IF(OR($AE323&lt;&gt;1,R$1=""),"",SUMIFS('All Donations'!$S$2:$S$4001,'All Donations'!$R$2:$R$4001,$AD323,'All Donations'!$T$2:$T$4001,R$1))</f>
        <v/>
      </c>
      <c r="S323" s="49">
        <f>IF(OR($AE323&lt;&gt;1,S$1=""),"",SUMIFS('All Donations'!$S$2:$S$4001,'All Donations'!$R$2:$R$4001,$AD323,'All Donations'!$T$2:$T$4001,S$1))</f>
        <v/>
      </c>
      <c r="T323" s="49">
        <f>IF(OR($AE323&lt;&gt;1,T$1=""),"",SUMIFS('All Donations'!$S$2:$S$4001,'All Donations'!$R$2:$R$4001,$AD323,'All Donations'!$T$2:$T$4001,T$1))</f>
        <v/>
      </c>
      <c r="U323" s="49">
        <f>IF(OR($AE323&lt;&gt;1,U$1=""),"",SUMIFS('All Donations'!$S$2:$S$4001,'All Donations'!$R$2:$R$4001,$AD323,'All Donations'!$T$2:$T$4001,U$1))</f>
        <v/>
      </c>
      <c r="V323" s="49">
        <f>IF(OR($AE323&lt;&gt;1,V$1=""),"",SUMIFS('All Donations'!$S$2:$S$4001,'All Donations'!$R$2:$R$4001,$AD323,'All Donations'!$T$2:$T$4001,V$1))</f>
        <v/>
      </c>
      <c r="W323" s="49">
        <f>IF(OR($AE323&lt;&gt;1,W$1=""),"",SUMIFS('All Donations'!$S$2:$S$4001,'All Donations'!$R$2:$R$4001,$AD323,'All Donations'!$T$2:$T$4001,W$1))</f>
        <v/>
      </c>
      <c r="X323" s="49">
        <f>IF(OR($AE323&lt;&gt;1,X$1=""),"",SUMIFS('All Donations'!$S$2:$S$4001,'All Donations'!$R$2:$R$4001,$AD323,'All Donations'!$T$2:$T$4001,X$1))</f>
        <v/>
      </c>
      <c r="Y323" s="49">
        <f>IF(OR($AE323&lt;&gt;1,Y$1=""),"",SUMIFS('All Donations'!$S$2:$S$4001,'All Donations'!$R$2:$R$4001,$AD323,'All Donations'!$T$2:$T$4001,Y$1))</f>
        <v/>
      </c>
      <c r="Z323" s="49">
        <f>IF(OR($AE323&lt;&gt;1,Z$1=""),"",SUMIFS('All Donations'!$S$2:$S$4001,'All Donations'!$R$2:$R$4001,$AD323,'All Donations'!$T$2:$T$4001,Z$1))</f>
        <v/>
      </c>
      <c r="AA323" s="49">
        <f>IF(OR($AE323&lt;&gt;1,AA$1=""),"",SUMIFS('All Donations'!$S$2:$S$4001,'All Donations'!$R$2:$R$4001,$AD323,'All Donations'!$T$2:$T$4001,AA$1))</f>
        <v/>
      </c>
      <c r="AB323" s="49">
        <f>IF(OR($AE323&lt;&gt;1,AB$1=""),"",SUMIFS('All Donations'!$S$2:$S$4001,'All Donations'!$R$2:$R$4001,$AD323,'All Donations'!$T$2:$T$4001,AB$1))</f>
        <v/>
      </c>
      <c r="AC323" s="49">
        <f>IF(OR($AE323&lt;&gt;1,AC$1=""),"",SUMIFS('All Donations'!$S$2:$S$4001,'All Donations'!$R$2:$R$4001,$AD323,'All Donations'!$T$2:$T$4001,AC$1))</f>
        <v/>
      </c>
      <c r="AD323">
        <f>IF(AE323=1,'Roster'!A323,"")</f>
        <v/>
      </c>
      <c r="AE323">
        <f>IF(TRIM('Roster'!B323&amp;'Roster'!C323)&lt;&gt;"",1,0)</f>
        <v/>
      </c>
      <c r="AF323">
        <f>IF(AE323=1,LOWER(A323),"#")</f>
        <v/>
      </c>
      <c r="AG323">
        <f>IF(AE323=1,LOWER(TRIM(TRIM('Roster'!C323)&amp;", "&amp;TRIM('Roster'!B323))),"#")</f>
        <v/>
      </c>
      <c r="AH323">
        <f>IF(AND(AE323=1,TRIM('Roster'!F323)&lt;&gt;""),LOWER(TRIM('Roster'!F323)),"#")</f>
        <v/>
      </c>
      <c r="AI323">
        <f>IF(AE323=1,IF(MATCH(B323,$B$2:$B$701,0)=ROW()-1,1,0),0)</f>
        <v/>
      </c>
      <c r="AJ323">
        <f>AJ322+AI323</f>
        <v/>
      </c>
      <c r="AK323">
        <f>IF(AE323=1,D323+(1000-ROW())/10^7,-1)</f>
        <v/>
      </c>
      <c r="AL323">
        <f>IF(AE323=1,TRIM('Roster'!B323)&amp;" "&amp;LEFT(TRIM('Roster'!C323),1)&amp;".","")</f>
        <v/>
      </c>
      <c r="AM323">
        <f>IF(AE323=1,TRIM('Roster'!C323)&amp;", "&amp;TRIM('Roster'!B323)&amp;" ("&amp;B323&amp;") #"&amp;AD323,"")</f>
        <v/>
      </c>
      <c r="AN323">
        <f>IF(AE323=1,TRIM('Roster'!E323),"")</f>
        <v/>
      </c>
      <c r="AO323">
        <f>IF(AE323=1,ROUND(SUMIFS('All Donations'!$S$2:$S$4001,'All Donations'!$R$2:$R$4001,AD323,'All Donations'!$T$2:$T$4001,"&gt;="&amp;'Settings'!$C$23,'All Donations'!$T$2:$T$4001,"&lt;="&amp;'Settings'!$D$23),2),0)</f>
        <v/>
      </c>
      <c r="AQ323">
        <f>IF(AE323=1,ROUND(SUMIFS('All Donations'!$S$2:$S$4001,'All Donations'!$R$2:$R$4001,AD323,'All Donations'!$T$2:$T$4001,"&gt;="&amp;'Settings'!$C$25,'All Donations'!$T$2:$T$4001,"&lt;="&amp;'Settings'!$D$25),2),0)</f>
        <v/>
      </c>
      <c r="AR323">
        <f>IF(AE323=1,ROUND(SUMIFS('All Donations'!$S$2:$S$4001,'All Donations'!$R$2:$R$4001,AD323,'All Donations'!$T$2:$T$4001,"&gt;="&amp;'Settings'!$C$26,'All Donations'!$T$2:$T$4001,"&lt;="&amp;'Settings'!$D$26),2),0)</f>
        <v/>
      </c>
      <c r="AS323">
        <f>IF(AE323=1,ROUND(SUMIFS('All Donations'!$S$2:$S$4001,'All Donations'!$R$2:$R$4001,AD323,'All Donations'!$T$2:$T$4001,"&lt;="&amp;'Settings'!$D$27),2),0)</f>
        <v/>
      </c>
      <c r="AT323">
        <f>IF(AE323=1,ROUND(SUMIFS('All Donations'!$S$2:$S$4001,'All Donations'!$R$2:$R$4001,AD323,'All Donations'!$T$2:$T$4001,"&gt;="&amp;'Settings'!$C$28,'All Donations'!$T$2:$T$4001,"&lt;="&amp;'Settings'!$D$28),2),0)</f>
        <v/>
      </c>
      <c r="AU323">
        <f>IF(AE323=1,ROUND(SUMIFS('All Donations'!$S$2:$S$4001,'All Donations'!$R$2:$R$4001,AD323,'All Donations'!$T$2:$T$4001,"&gt;="&amp;'Settings'!$C$29,'All Donations'!$T$2:$T$4001,"&lt;="&amp;'Settings'!$D$29),2),0)</f>
        <v/>
      </c>
      <c r="AV323">
        <f>IF(AE323=1,ROUND(SUMIFS('All Donations'!$S$2:$S$4001,'All Donations'!$R$2:$R$4001,AD323,'All Donations'!$T$2:$T$4001,"&lt;="&amp;'Settings'!$D$30),2),0)</f>
        <v/>
      </c>
      <c r="AZ323">
        <f>IF(AE323=1,ROUND(SUMIFS('All Donations'!$S$2:$S$4001,'All Donations'!$R$2:$R$4001,AD323,'All Donations'!$T$2:$T$4001,"&lt;="&amp;'Settings'!$D$34),2),0)</f>
        <v/>
      </c>
    </row>
    <row r="324">
      <c r="A324">
        <f>IF(AE324=1,TRIM(TRIM('Roster'!B324)&amp;" "&amp;TRIM('Roster'!C324)),"")</f>
        <v/>
      </c>
      <c r="B324">
        <f>IF(AE324=1,IF(AN324="","(no teacher)",AN324&amp;" – "&amp;C324),"")</f>
        <v/>
      </c>
      <c r="C324">
        <f>IF(AE324=1,TRIM('Roster'!D324&amp;""),"")</f>
        <v/>
      </c>
      <c r="D324" s="48">
        <f>IF(AE324=1,ROUND(SUMIFS('All Donations'!$S$2:$S$4001,'All Donations'!$R$2:$R$4001,AD324),2),"")</f>
        <v/>
      </c>
      <c r="E324" s="48">
        <f>IF(AE324=1,ROUND(SUMIFS('All Donations'!$S$2:$S$4001,'All Donations'!$R$2:$R$4001,AD324,'All Donations'!$G$2:$G$4001,"OneCause"),2),"")</f>
        <v/>
      </c>
      <c r="F324" s="48">
        <f>IF(AE324=1,D324-E324,"")</f>
        <v/>
      </c>
      <c r="G324">
        <f>IF(AE324=1,COUNTIFS('All Donations'!$R$2:$R$4001,AD324,'All Donations'!$H$2:$H$4001,"OK"),"")</f>
        <v/>
      </c>
      <c r="H324">
        <f>IF(AE324&lt;&gt;1,"",IF(D324&gt;0,"Yes",""))</f>
        <v/>
      </c>
      <c r="I324" s="49">
        <f>IF(OR($AE324&lt;&gt;1,I$1=""),"",SUMIFS('All Donations'!$S$2:$S$4001,'All Donations'!$R$2:$R$4001,$AD324,'All Donations'!$T$2:$T$4001,I$1))</f>
        <v/>
      </c>
      <c r="J324" s="49">
        <f>IF(OR($AE324&lt;&gt;1,J$1=""),"",SUMIFS('All Donations'!$S$2:$S$4001,'All Donations'!$R$2:$R$4001,$AD324,'All Donations'!$T$2:$T$4001,J$1))</f>
        <v/>
      </c>
      <c r="K324" s="49">
        <f>IF(OR($AE324&lt;&gt;1,K$1=""),"",SUMIFS('All Donations'!$S$2:$S$4001,'All Donations'!$R$2:$R$4001,$AD324,'All Donations'!$T$2:$T$4001,K$1))</f>
        <v/>
      </c>
      <c r="L324" s="49">
        <f>IF(OR($AE324&lt;&gt;1,L$1=""),"",SUMIFS('All Donations'!$S$2:$S$4001,'All Donations'!$R$2:$R$4001,$AD324,'All Donations'!$T$2:$T$4001,L$1))</f>
        <v/>
      </c>
      <c r="M324" s="49">
        <f>IF(OR($AE324&lt;&gt;1,M$1=""),"",SUMIFS('All Donations'!$S$2:$S$4001,'All Donations'!$R$2:$R$4001,$AD324,'All Donations'!$T$2:$T$4001,M$1))</f>
        <v/>
      </c>
      <c r="N324" s="49">
        <f>IF(OR($AE324&lt;&gt;1,N$1=""),"",SUMIFS('All Donations'!$S$2:$S$4001,'All Donations'!$R$2:$R$4001,$AD324,'All Donations'!$T$2:$T$4001,N$1))</f>
        <v/>
      </c>
      <c r="O324" s="49">
        <f>IF(OR($AE324&lt;&gt;1,O$1=""),"",SUMIFS('All Donations'!$S$2:$S$4001,'All Donations'!$R$2:$R$4001,$AD324,'All Donations'!$T$2:$T$4001,O$1))</f>
        <v/>
      </c>
      <c r="P324" s="49">
        <f>IF(OR($AE324&lt;&gt;1,P$1=""),"",SUMIFS('All Donations'!$S$2:$S$4001,'All Donations'!$R$2:$R$4001,$AD324,'All Donations'!$T$2:$T$4001,P$1))</f>
        <v/>
      </c>
      <c r="Q324" s="49">
        <f>IF(OR($AE324&lt;&gt;1,Q$1=""),"",SUMIFS('All Donations'!$S$2:$S$4001,'All Donations'!$R$2:$R$4001,$AD324,'All Donations'!$T$2:$T$4001,Q$1))</f>
        <v/>
      </c>
      <c r="R324" s="49">
        <f>IF(OR($AE324&lt;&gt;1,R$1=""),"",SUMIFS('All Donations'!$S$2:$S$4001,'All Donations'!$R$2:$R$4001,$AD324,'All Donations'!$T$2:$T$4001,R$1))</f>
        <v/>
      </c>
      <c r="S324" s="49">
        <f>IF(OR($AE324&lt;&gt;1,S$1=""),"",SUMIFS('All Donations'!$S$2:$S$4001,'All Donations'!$R$2:$R$4001,$AD324,'All Donations'!$T$2:$T$4001,S$1))</f>
        <v/>
      </c>
      <c r="T324" s="49">
        <f>IF(OR($AE324&lt;&gt;1,T$1=""),"",SUMIFS('All Donations'!$S$2:$S$4001,'All Donations'!$R$2:$R$4001,$AD324,'All Donations'!$T$2:$T$4001,T$1))</f>
        <v/>
      </c>
      <c r="U324" s="49">
        <f>IF(OR($AE324&lt;&gt;1,U$1=""),"",SUMIFS('All Donations'!$S$2:$S$4001,'All Donations'!$R$2:$R$4001,$AD324,'All Donations'!$T$2:$T$4001,U$1))</f>
        <v/>
      </c>
      <c r="V324" s="49">
        <f>IF(OR($AE324&lt;&gt;1,V$1=""),"",SUMIFS('All Donations'!$S$2:$S$4001,'All Donations'!$R$2:$R$4001,$AD324,'All Donations'!$T$2:$T$4001,V$1))</f>
        <v/>
      </c>
      <c r="W324" s="49">
        <f>IF(OR($AE324&lt;&gt;1,W$1=""),"",SUMIFS('All Donations'!$S$2:$S$4001,'All Donations'!$R$2:$R$4001,$AD324,'All Donations'!$T$2:$T$4001,W$1))</f>
        <v/>
      </c>
      <c r="X324" s="49">
        <f>IF(OR($AE324&lt;&gt;1,X$1=""),"",SUMIFS('All Donations'!$S$2:$S$4001,'All Donations'!$R$2:$R$4001,$AD324,'All Donations'!$T$2:$T$4001,X$1))</f>
        <v/>
      </c>
      <c r="Y324" s="49">
        <f>IF(OR($AE324&lt;&gt;1,Y$1=""),"",SUMIFS('All Donations'!$S$2:$S$4001,'All Donations'!$R$2:$R$4001,$AD324,'All Donations'!$T$2:$T$4001,Y$1))</f>
        <v/>
      </c>
      <c r="Z324" s="49">
        <f>IF(OR($AE324&lt;&gt;1,Z$1=""),"",SUMIFS('All Donations'!$S$2:$S$4001,'All Donations'!$R$2:$R$4001,$AD324,'All Donations'!$T$2:$T$4001,Z$1))</f>
        <v/>
      </c>
      <c r="AA324" s="49">
        <f>IF(OR($AE324&lt;&gt;1,AA$1=""),"",SUMIFS('All Donations'!$S$2:$S$4001,'All Donations'!$R$2:$R$4001,$AD324,'All Donations'!$T$2:$T$4001,AA$1))</f>
        <v/>
      </c>
      <c r="AB324" s="49">
        <f>IF(OR($AE324&lt;&gt;1,AB$1=""),"",SUMIFS('All Donations'!$S$2:$S$4001,'All Donations'!$R$2:$R$4001,$AD324,'All Donations'!$T$2:$T$4001,AB$1))</f>
        <v/>
      </c>
      <c r="AC324" s="49">
        <f>IF(OR($AE324&lt;&gt;1,AC$1=""),"",SUMIFS('All Donations'!$S$2:$S$4001,'All Donations'!$R$2:$R$4001,$AD324,'All Donations'!$T$2:$T$4001,AC$1))</f>
        <v/>
      </c>
      <c r="AD324">
        <f>IF(AE324=1,'Roster'!A324,"")</f>
        <v/>
      </c>
      <c r="AE324">
        <f>IF(TRIM('Roster'!B324&amp;'Roster'!C324)&lt;&gt;"",1,0)</f>
        <v/>
      </c>
      <c r="AF324">
        <f>IF(AE324=1,LOWER(A324),"#")</f>
        <v/>
      </c>
      <c r="AG324">
        <f>IF(AE324=1,LOWER(TRIM(TRIM('Roster'!C324)&amp;", "&amp;TRIM('Roster'!B324))),"#")</f>
        <v/>
      </c>
      <c r="AH324">
        <f>IF(AND(AE324=1,TRIM('Roster'!F324)&lt;&gt;""),LOWER(TRIM('Roster'!F324)),"#")</f>
        <v/>
      </c>
      <c r="AI324">
        <f>IF(AE324=1,IF(MATCH(B324,$B$2:$B$701,0)=ROW()-1,1,0),0)</f>
        <v/>
      </c>
      <c r="AJ324">
        <f>AJ323+AI324</f>
        <v/>
      </c>
      <c r="AK324">
        <f>IF(AE324=1,D324+(1000-ROW())/10^7,-1)</f>
        <v/>
      </c>
      <c r="AL324">
        <f>IF(AE324=1,TRIM('Roster'!B324)&amp;" "&amp;LEFT(TRIM('Roster'!C324),1)&amp;".","")</f>
        <v/>
      </c>
      <c r="AM324">
        <f>IF(AE324=1,TRIM('Roster'!C324)&amp;", "&amp;TRIM('Roster'!B324)&amp;" ("&amp;B324&amp;") #"&amp;AD324,"")</f>
        <v/>
      </c>
      <c r="AN324">
        <f>IF(AE324=1,TRIM('Roster'!E324),"")</f>
        <v/>
      </c>
      <c r="AO324">
        <f>IF(AE324=1,ROUND(SUMIFS('All Donations'!$S$2:$S$4001,'All Donations'!$R$2:$R$4001,AD324,'All Donations'!$T$2:$T$4001,"&gt;="&amp;'Settings'!$C$23,'All Donations'!$T$2:$T$4001,"&lt;="&amp;'Settings'!$D$23),2),0)</f>
        <v/>
      </c>
      <c r="AQ324">
        <f>IF(AE324=1,ROUND(SUMIFS('All Donations'!$S$2:$S$4001,'All Donations'!$R$2:$R$4001,AD324,'All Donations'!$T$2:$T$4001,"&gt;="&amp;'Settings'!$C$25,'All Donations'!$T$2:$T$4001,"&lt;="&amp;'Settings'!$D$25),2),0)</f>
        <v/>
      </c>
      <c r="AR324">
        <f>IF(AE324=1,ROUND(SUMIFS('All Donations'!$S$2:$S$4001,'All Donations'!$R$2:$R$4001,AD324,'All Donations'!$T$2:$T$4001,"&gt;="&amp;'Settings'!$C$26,'All Donations'!$T$2:$T$4001,"&lt;="&amp;'Settings'!$D$26),2),0)</f>
        <v/>
      </c>
      <c r="AS324">
        <f>IF(AE324=1,ROUND(SUMIFS('All Donations'!$S$2:$S$4001,'All Donations'!$R$2:$R$4001,AD324,'All Donations'!$T$2:$T$4001,"&lt;="&amp;'Settings'!$D$27),2),0)</f>
        <v/>
      </c>
      <c r="AT324">
        <f>IF(AE324=1,ROUND(SUMIFS('All Donations'!$S$2:$S$4001,'All Donations'!$R$2:$R$4001,AD324,'All Donations'!$T$2:$T$4001,"&gt;="&amp;'Settings'!$C$28,'All Donations'!$T$2:$T$4001,"&lt;="&amp;'Settings'!$D$28),2),0)</f>
        <v/>
      </c>
      <c r="AU324">
        <f>IF(AE324=1,ROUND(SUMIFS('All Donations'!$S$2:$S$4001,'All Donations'!$R$2:$R$4001,AD324,'All Donations'!$T$2:$T$4001,"&gt;="&amp;'Settings'!$C$29,'All Donations'!$T$2:$T$4001,"&lt;="&amp;'Settings'!$D$29),2),0)</f>
        <v/>
      </c>
      <c r="AV324">
        <f>IF(AE324=1,ROUND(SUMIFS('All Donations'!$S$2:$S$4001,'All Donations'!$R$2:$R$4001,AD324,'All Donations'!$T$2:$T$4001,"&lt;="&amp;'Settings'!$D$30),2),0)</f>
        <v/>
      </c>
      <c r="AZ324">
        <f>IF(AE324=1,ROUND(SUMIFS('All Donations'!$S$2:$S$4001,'All Donations'!$R$2:$R$4001,AD324,'All Donations'!$T$2:$T$4001,"&lt;="&amp;'Settings'!$D$34),2),0)</f>
        <v/>
      </c>
    </row>
    <row r="325">
      <c r="A325">
        <f>IF(AE325=1,TRIM(TRIM('Roster'!B325)&amp;" "&amp;TRIM('Roster'!C325)),"")</f>
        <v/>
      </c>
      <c r="B325">
        <f>IF(AE325=1,IF(AN325="","(no teacher)",AN325&amp;" – "&amp;C325),"")</f>
        <v/>
      </c>
      <c r="C325">
        <f>IF(AE325=1,TRIM('Roster'!D325&amp;""),"")</f>
        <v/>
      </c>
      <c r="D325" s="48">
        <f>IF(AE325=1,ROUND(SUMIFS('All Donations'!$S$2:$S$4001,'All Donations'!$R$2:$R$4001,AD325),2),"")</f>
        <v/>
      </c>
      <c r="E325" s="48">
        <f>IF(AE325=1,ROUND(SUMIFS('All Donations'!$S$2:$S$4001,'All Donations'!$R$2:$R$4001,AD325,'All Donations'!$G$2:$G$4001,"OneCause"),2),"")</f>
        <v/>
      </c>
      <c r="F325" s="48">
        <f>IF(AE325=1,D325-E325,"")</f>
        <v/>
      </c>
      <c r="G325">
        <f>IF(AE325=1,COUNTIFS('All Donations'!$R$2:$R$4001,AD325,'All Donations'!$H$2:$H$4001,"OK"),"")</f>
        <v/>
      </c>
      <c r="H325">
        <f>IF(AE325&lt;&gt;1,"",IF(D325&gt;0,"Yes",""))</f>
        <v/>
      </c>
      <c r="I325" s="49">
        <f>IF(OR($AE325&lt;&gt;1,I$1=""),"",SUMIFS('All Donations'!$S$2:$S$4001,'All Donations'!$R$2:$R$4001,$AD325,'All Donations'!$T$2:$T$4001,I$1))</f>
        <v/>
      </c>
      <c r="J325" s="49">
        <f>IF(OR($AE325&lt;&gt;1,J$1=""),"",SUMIFS('All Donations'!$S$2:$S$4001,'All Donations'!$R$2:$R$4001,$AD325,'All Donations'!$T$2:$T$4001,J$1))</f>
        <v/>
      </c>
      <c r="K325" s="49">
        <f>IF(OR($AE325&lt;&gt;1,K$1=""),"",SUMIFS('All Donations'!$S$2:$S$4001,'All Donations'!$R$2:$R$4001,$AD325,'All Donations'!$T$2:$T$4001,K$1))</f>
        <v/>
      </c>
      <c r="L325" s="49">
        <f>IF(OR($AE325&lt;&gt;1,L$1=""),"",SUMIFS('All Donations'!$S$2:$S$4001,'All Donations'!$R$2:$R$4001,$AD325,'All Donations'!$T$2:$T$4001,L$1))</f>
        <v/>
      </c>
      <c r="M325" s="49">
        <f>IF(OR($AE325&lt;&gt;1,M$1=""),"",SUMIFS('All Donations'!$S$2:$S$4001,'All Donations'!$R$2:$R$4001,$AD325,'All Donations'!$T$2:$T$4001,M$1))</f>
        <v/>
      </c>
      <c r="N325" s="49">
        <f>IF(OR($AE325&lt;&gt;1,N$1=""),"",SUMIFS('All Donations'!$S$2:$S$4001,'All Donations'!$R$2:$R$4001,$AD325,'All Donations'!$T$2:$T$4001,N$1))</f>
        <v/>
      </c>
      <c r="O325" s="49">
        <f>IF(OR($AE325&lt;&gt;1,O$1=""),"",SUMIFS('All Donations'!$S$2:$S$4001,'All Donations'!$R$2:$R$4001,$AD325,'All Donations'!$T$2:$T$4001,O$1))</f>
        <v/>
      </c>
      <c r="P325" s="49">
        <f>IF(OR($AE325&lt;&gt;1,P$1=""),"",SUMIFS('All Donations'!$S$2:$S$4001,'All Donations'!$R$2:$R$4001,$AD325,'All Donations'!$T$2:$T$4001,P$1))</f>
        <v/>
      </c>
      <c r="Q325" s="49">
        <f>IF(OR($AE325&lt;&gt;1,Q$1=""),"",SUMIFS('All Donations'!$S$2:$S$4001,'All Donations'!$R$2:$R$4001,$AD325,'All Donations'!$T$2:$T$4001,Q$1))</f>
        <v/>
      </c>
      <c r="R325" s="49">
        <f>IF(OR($AE325&lt;&gt;1,R$1=""),"",SUMIFS('All Donations'!$S$2:$S$4001,'All Donations'!$R$2:$R$4001,$AD325,'All Donations'!$T$2:$T$4001,R$1))</f>
        <v/>
      </c>
      <c r="S325" s="49">
        <f>IF(OR($AE325&lt;&gt;1,S$1=""),"",SUMIFS('All Donations'!$S$2:$S$4001,'All Donations'!$R$2:$R$4001,$AD325,'All Donations'!$T$2:$T$4001,S$1))</f>
        <v/>
      </c>
      <c r="T325" s="49">
        <f>IF(OR($AE325&lt;&gt;1,T$1=""),"",SUMIFS('All Donations'!$S$2:$S$4001,'All Donations'!$R$2:$R$4001,$AD325,'All Donations'!$T$2:$T$4001,T$1))</f>
        <v/>
      </c>
      <c r="U325" s="49">
        <f>IF(OR($AE325&lt;&gt;1,U$1=""),"",SUMIFS('All Donations'!$S$2:$S$4001,'All Donations'!$R$2:$R$4001,$AD325,'All Donations'!$T$2:$T$4001,U$1))</f>
        <v/>
      </c>
      <c r="V325" s="49">
        <f>IF(OR($AE325&lt;&gt;1,V$1=""),"",SUMIFS('All Donations'!$S$2:$S$4001,'All Donations'!$R$2:$R$4001,$AD325,'All Donations'!$T$2:$T$4001,V$1))</f>
        <v/>
      </c>
      <c r="W325" s="49">
        <f>IF(OR($AE325&lt;&gt;1,W$1=""),"",SUMIFS('All Donations'!$S$2:$S$4001,'All Donations'!$R$2:$R$4001,$AD325,'All Donations'!$T$2:$T$4001,W$1))</f>
        <v/>
      </c>
      <c r="X325" s="49">
        <f>IF(OR($AE325&lt;&gt;1,X$1=""),"",SUMIFS('All Donations'!$S$2:$S$4001,'All Donations'!$R$2:$R$4001,$AD325,'All Donations'!$T$2:$T$4001,X$1))</f>
        <v/>
      </c>
      <c r="Y325" s="49">
        <f>IF(OR($AE325&lt;&gt;1,Y$1=""),"",SUMIFS('All Donations'!$S$2:$S$4001,'All Donations'!$R$2:$R$4001,$AD325,'All Donations'!$T$2:$T$4001,Y$1))</f>
        <v/>
      </c>
      <c r="Z325" s="49">
        <f>IF(OR($AE325&lt;&gt;1,Z$1=""),"",SUMIFS('All Donations'!$S$2:$S$4001,'All Donations'!$R$2:$R$4001,$AD325,'All Donations'!$T$2:$T$4001,Z$1))</f>
        <v/>
      </c>
      <c r="AA325" s="49">
        <f>IF(OR($AE325&lt;&gt;1,AA$1=""),"",SUMIFS('All Donations'!$S$2:$S$4001,'All Donations'!$R$2:$R$4001,$AD325,'All Donations'!$T$2:$T$4001,AA$1))</f>
        <v/>
      </c>
      <c r="AB325" s="49">
        <f>IF(OR($AE325&lt;&gt;1,AB$1=""),"",SUMIFS('All Donations'!$S$2:$S$4001,'All Donations'!$R$2:$R$4001,$AD325,'All Donations'!$T$2:$T$4001,AB$1))</f>
        <v/>
      </c>
      <c r="AC325" s="49">
        <f>IF(OR($AE325&lt;&gt;1,AC$1=""),"",SUMIFS('All Donations'!$S$2:$S$4001,'All Donations'!$R$2:$R$4001,$AD325,'All Donations'!$T$2:$T$4001,AC$1))</f>
        <v/>
      </c>
      <c r="AD325">
        <f>IF(AE325=1,'Roster'!A325,"")</f>
        <v/>
      </c>
      <c r="AE325">
        <f>IF(TRIM('Roster'!B325&amp;'Roster'!C325)&lt;&gt;"",1,0)</f>
        <v/>
      </c>
      <c r="AF325">
        <f>IF(AE325=1,LOWER(A325),"#")</f>
        <v/>
      </c>
      <c r="AG325">
        <f>IF(AE325=1,LOWER(TRIM(TRIM('Roster'!C325)&amp;", "&amp;TRIM('Roster'!B325))),"#")</f>
        <v/>
      </c>
      <c r="AH325">
        <f>IF(AND(AE325=1,TRIM('Roster'!F325)&lt;&gt;""),LOWER(TRIM('Roster'!F325)),"#")</f>
        <v/>
      </c>
      <c r="AI325">
        <f>IF(AE325=1,IF(MATCH(B325,$B$2:$B$701,0)=ROW()-1,1,0),0)</f>
        <v/>
      </c>
      <c r="AJ325">
        <f>AJ324+AI325</f>
        <v/>
      </c>
      <c r="AK325">
        <f>IF(AE325=1,D325+(1000-ROW())/10^7,-1)</f>
        <v/>
      </c>
      <c r="AL325">
        <f>IF(AE325=1,TRIM('Roster'!B325)&amp;" "&amp;LEFT(TRIM('Roster'!C325),1)&amp;".","")</f>
        <v/>
      </c>
      <c r="AM325">
        <f>IF(AE325=1,TRIM('Roster'!C325)&amp;", "&amp;TRIM('Roster'!B325)&amp;" ("&amp;B325&amp;") #"&amp;AD325,"")</f>
        <v/>
      </c>
      <c r="AN325">
        <f>IF(AE325=1,TRIM('Roster'!E325),"")</f>
        <v/>
      </c>
      <c r="AO325">
        <f>IF(AE325=1,ROUND(SUMIFS('All Donations'!$S$2:$S$4001,'All Donations'!$R$2:$R$4001,AD325,'All Donations'!$T$2:$T$4001,"&gt;="&amp;'Settings'!$C$23,'All Donations'!$T$2:$T$4001,"&lt;="&amp;'Settings'!$D$23),2),0)</f>
        <v/>
      </c>
      <c r="AQ325">
        <f>IF(AE325=1,ROUND(SUMIFS('All Donations'!$S$2:$S$4001,'All Donations'!$R$2:$R$4001,AD325,'All Donations'!$T$2:$T$4001,"&gt;="&amp;'Settings'!$C$25,'All Donations'!$T$2:$T$4001,"&lt;="&amp;'Settings'!$D$25),2),0)</f>
        <v/>
      </c>
      <c r="AR325">
        <f>IF(AE325=1,ROUND(SUMIFS('All Donations'!$S$2:$S$4001,'All Donations'!$R$2:$R$4001,AD325,'All Donations'!$T$2:$T$4001,"&gt;="&amp;'Settings'!$C$26,'All Donations'!$T$2:$T$4001,"&lt;="&amp;'Settings'!$D$26),2),0)</f>
        <v/>
      </c>
      <c r="AS325">
        <f>IF(AE325=1,ROUND(SUMIFS('All Donations'!$S$2:$S$4001,'All Donations'!$R$2:$R$4001,AD325,'All Donations'!$T$2:$T$4001,"&lt;="&amp;'Settings'!$D$27),2),0)</f>
        <v/>
      </c>
      <c r="AT325">
        <f>IF(AE325=1,ROUND(SUMIFS('All Donations'!$S$2:$S$4001,'All Donations'!$R$2:$R$4001,AD325,'All Donations'!$T$2:$T$4001,"&gt;="&amp;'Settings'!$C$28,'All Donations'!$T$2:$T$4001,"&lt;="&amp;'Settings'!$D$28),2),0)</f>
        <v/>
      </c>
      <c r="AU325">
        <f>IF(AE325=1,ROUND(SUMIFS('All Donations'!$S$2:$S$4001,'All Donations'!$R$2:$R$4001,AD325,'All Donations'!$T$2:$T$4001,"&gt;="&amp;'Settings'!$C$29,'All Donations'!$T$2:$T$4001,"&lt;="&amp;'Settings'!$D$29),2),0)</f>
        <v/>
      </c>
      <c r="AV325">
        <f>IF(AE325=1,ROUND(SUMIFS('All Donations'!$S$2:$S$4001,'All Donations'!$R$2:$R$4001,AD325,'All Donations'!$T$2:$T$4001,"&lt;="&amp;'Settings'!$D$30),2),0)</f>
        <v/>
      </c>
      <c r="AZ325">
        <f>IF(AE325=1,ROUND(SUMIFS('All Donations'!$S$2:$S$4001,'All Donations'!$R$2:$R$4001,AD325,'All Donations'!$T$2:$T$4001,"&lt;="&amp;'Settings'!$D$34),2),0)</f>
        <v/>
      </c>
    </row>
    <row r="326">
      <c r="A326">
        <f>IF(AE326=1,TRIM(TRIM('Roster'!B326)&amp;" "&amp;TRIM('Roster'!C326)),"")</f>
        <v/>
      </c>
      <c r="B326">
        <f>IF(AE326=1,IF(AN326="","(no teacher)",AN326&amp;" – "&amp;C326),"")</f>
        <v/>
      </c>
      <c r="C326">
        <f>IF(AE326=1,TRIM('Roster'!D326&amp;""),"")</f>
        <v/>
      </c>
      <c r="D326" s="48">
        <f>IF(AE326=1,ROUND(SUMIFS('All Donations'!$S$2:$S$4001,'All Donations'!$R$2:$R$4001,AD326),2),"")</f>
        <v/>
      </c>
      <c r="E326" s="48">
        <f>IF(AE326=1,ROUND(SUMIFS('All Donations'!$S$2:$S$4001,'All Donations'!$R$2:$R$4001,AD326,'All Donations'!$G$2:$G$4001,"OneCause"),2),"")</f>
        <v/>
      </c>
      <c r="F326" s="48">
        <f>IF(AE326=1,D326-E326,"")</f>
        <v/>
      </c>
      <c r="G326">
        <f>IF(AE326=1,COUNTIFS('All Donations'!$R$2:$R$4001,AD326,'All Donations'!$H$2:$H$4001,"OK"),"")</f>
        <v/>
      </c>
      <c r="H326">
        <f>IF(AE326&lt;&gt;1,"",IF(D326&gt;0,"Yes",""))</f>
        <v/>
      </c>
      <c r="I326" s="49">
        <f>IF(OR($AE326&lt;&gt;1,I$1=""),"",SUMIFS('All Donations'!$S$2:$S$4001,'All Donations'!$R$2:$R$4001,$AD326,'All Donations'!$T$2:$T$4001,I$1))</f>
        <v/>
      </c>
      <c r="J326" s="49">
        <f>IF(OR($AE326&lt;&gt;1,J$1=""),"",SUMIFS('All Donations'!$S$2:$S$4001,'All Donations'!$R$2:$R$4001,$AD326,'All Donations'!$T$2:$T$4001,J$1))</f>
        <v/>
      </c>
      <c r="K326" s="49">
        <f>IF(OR($AE326&lt;&gt;1,K$1=""),"",SUMIFS('All Donations'!$S$2:$S$4001,'All Donations'!$R$2:$R$4001,$AD326,'All Donations'!$T$2:$T$4001,K$1))</f>
        <v/>
      </c>
      <c r="L326" s="49">
        <f>IF(OR($AE326&lt;&gt;1,L$1=""),"",SUMIFS('All Donations'!$S$2:$S$4001,'All Donations'!$R$2:$R$4001,$AD326,'All Donations'!$T$2:$T$4001,L$1))</f>
        <v/>
      </c>
      <c r="M326" s="49">
        <f>IF(OR($AE326&lt;&gt;1,M$1=""),"",SUMIFS('All Donations'!$S$2:$S$4001,'All Donations'!$R$2:$R$4001,$AD326,'All Donations'!$T$2:$T$4001,M$1))</f>
        <v/>
      </c>
      <c r="N326" s="49">
        <f>IF(OR($AE326&lt;&gt;1,N$1=""),"",SUMIFS('All Donations'!$S$2:$S$4001,'All Donations'!$R$2:$R$4001,$AD326,'All Donations'!$T$2:$T$4001,N$1))</f>
        <v/>
      </c>
      <c r="O326" s="49">
        <f>IF(OR($AE326&lt;&gt;1,O$1=""),"",SUMIFS('All Donations'!$S$2:$S$4001,'All Donations'!$R$2:$R$4001,$AD326,'All Donations'!$T$2:$T$4001,O$1))</f>
        <v/>
      </c>
      <c r="P326" s="49">
        <f>IF(OR($AE326&lt;&gt;1,P$1=""),"",SUMIFS('All Donations'!$S$2:$S$4001,'All Donations'!$R$2:$R$4001,$AD326,'All Donations'!$T$2:$T$4001,P$1))</f>
        <v/>
      </c>
      <c r="Q326" s="49">
        <f>IF(OR($AE326&lt;&gt;1,Q$1=""),"",SUMIFS('All Donations'!$S$2:$S$4001,'All Donations'!$R$2:$R$4001,$AD326,'All Donations'!$T$2:$T$4001,Q$1))</f>
        <v/>
      </c>
      <c r="R326" s="49">
        <f>IF(OR($AE326&lt;&gt;1,R$1=""),"",SUMIFS('All Donations'!$S$2:$S$4001,'All Donations'!$R$2:$R$4001,$AD326,'All Donations'!$T$2:$T$4001,R$1))</f>
        <v/>
      </c>
      <c r="S326" s="49">
        <f>IF(OR($AE326&lt;&gt;1,S$1=""),"",SUMIFS('All Donations'!$S$2:$S$4001,'All Donations'!$R$2:$R$4001,$AD326,'All Donations'!$T$2:$T$4001,S$1))</f>
        <v/>
      </c>
      <c r="T326" s="49">
        <f>IF(OR($AE326&lt;&gt;1,T$1=""),"",SUMIFS('All Donations'!$S$2:$S$4001,'All Donations'!$R$2:$R$4001,$AD326,'All Donations'!$T$2:$T$4001,T$1))</f>
        <v/>
      </c>
      <c r="U326" s="49">
        <f>IF(OR($AE326&lt;&gt;1,U$1=""),"",SUMIFS('All Donations'!$S$2:$S$4001,'All Donations'!$R$2:$R$4001,$AD326,'All Donations'!$T$2:$T$4001,U$1))</f>
        <v/>
      </c>
      <c r="V326" s="49">
        <f>IF(OR($AE326&lt;&gt;1,V$1=""),"",SUMIFS('All Donations'!$S$2:$S$4001,'All Donations'!$R$2:$R$4001,$AD326,'All Donations'!$T$2:$T$4001,V$1))</f>
        <v/>
      </c>
      <c r="W326" s="49">
        <f>IF(OR($AE326&lt;&gt;1,W$1=""),"",SUMIFS('All Donations'!$S$2:$S$4001,'All Donations'!$R$2:$R$4001,$AD326,'All Donations'!$T$2:$T$4001,W$1))</f>
        <v/>
      </c>
      <c r="X326" s="49">
        <f>IF(OR($AE326&lt;&gt;1,X$1=""),"",SUMIFS('All Donations'!$S$2:$S$4001,'All Donations'!$R$2:$R$4001,$AD326,'All Donations'!$T$2:$T$4001,X$1))</f>
        <v/>
      </c>
      <c r="Y326" s="49">
        <f>IF(OR($AE326&lt;&gt;1,Y$1=""),"",SUMIFS('All Donations'!$S$2:$S$4001,'All Donations'!$R$2:$R$4001,$AD326,'All Donations'!$T$2:$T$4001,Y$1))</f>
        <v/>
      </c>
      <c r="Z326" s="49">
        <f>IF(OR($AE326&lt;&gt;1,Z$1=""),"",SUMIFS('All Donations'!$S$2:$S$4001,'All Donations'!$R$2:$R$4001,$AD326,'All Donations'!$T$2:$T$4001,Z$1))</f>
        <v/>
      </c>
      <c r="AA326" s="49">
        <f>IF(OR($AE326&lt;&gt;1,AA$1=""),"",SUMIFS('All Donations'!$S$2:$S$4001,'All Donations'!$R$2:$R$4001,$AD326,'All Donations'!$T$2:$T$4001,AA$1))</f>
        <v/>
      </c>
      <c r="AB326" s="49">
        <f>IF(OR($AE326&lt;&gt;1,AB$1=""),"",SUMIFS('All Donations'!$S$2:$S$4001,'All Donations'!$R$2:$R$4001,$AD326,'All Donations'!$T$2:$T$4001,AB$1))</f>
        <v/>
      </c>
      <c r="AC326" s="49">
        <f>IF(OR($AE326&lt;&gt;1,AC$1=""),"",SUMIFS('All Donations'!$S$2:$S$4001,'All Donations'!$R$2:$R$4001,$AD326,'All Donations'!$T$2:$T$4001,AC$1))</f>
        <v/>
      </c>
      <c r="AD326">
        <f>IF(AE326=1,'Roster'!A326,"")</f>
        <v/>
      </c>
      <c r="AE326">
        <f>IF(TRIM('Roster'!B326&amp;'Roster'!C326)&lt;&gt;"",1,0)</f>
        <v/>
      </c>
      <c r="AF326">
        <f>IF(AE326=1,LOWER(A326),"#")</f>
        <v/>
      </c>
      <c r="AG326">
        <f>IF(AE326=1,LOWER(TRIM(TRIM('Roster'!C326)&amp;", "&amp;TRIM('Roster'!B326))),"#")</f>
        <v/>
      </c>
      <c r="AH326">
        <f>IF(AND(AE326=1,TRIM('Roster'!F326)&lt;&gt;""),LOWER(TRIM('Roster'!F326)),"#")</f>
        <v/>
      </c>
      <c r="AI326">
        <f>IF(AE326=1,IF(MATCH(B326,$B$2:$B$701,0)=ROW()-1,1,0),0)</f>
        <v/>
      </c>
      <c r="AJ326">
        <f>AJ325+AI326</f>
        <v/>
      </c>
      <c r="AK326">
        <f>IF(AE326=1,D326+(1000-ROW())/10^7,-1)</f>
        <v/>
      </c>
      <c r="AL326">
        <f>IF(AE326=1,TRIM('Roster'!B326)&amp;" "&amp;LEFT(TRIM('Roster'!C326),1)&amp;".","")</f>
        <v/>
      </c>
      <c r="AM326">
        <f>IF(AE326=1,TRIM('Roster'!C326)&amp;", "&amp;TRIM('Roster'!B326)&amp;" ("&amp;B326&amp;") #"&amp;AD326,"")</f>
        <v/>
      </c>
      <c r="AN326">
        <f>IF(AE326=1,TRIM('Roster'!E326),"")</f>
        <v/>
      </c>
      <c r="AO326">
        <f>IF(AE326=1,ROUND(SUMIFS('All Donations'!$S$2:$S$4001,'All Donations'!$R$2:$R$4001,AD326,'All Donations'!$T$2:$T$4001,"&gt;="&amp;'Settings'!$C$23,'All Donations'!$T$2:$T$4001,"&lt;="&amp;'Settings'!$D$23),2),0)</f>
        <v/>
      </c>
      <c r="AQ326">
        <f>IF(AE326=1,ROUND(SUMIFS('All Donations'!$S$2:$S$4001,'All Donations'!$R$2:$R$4001,AD326,'All Donations'!$T$2:$T$4001,"&gt;="&amp;'Settings'!$C$25,'All Donations'!$T$2:$T$4001,"&lt;="&amp;'Settings'!$D$25),2),0)</f>
        <v/>
      </c>
      <c r="AR326">
        <f>IF(AE326=1,ROUND(SUMIFS('All Donations'!$S$2:$S$4001,'All Donations'!$R$2:$R$4001,AD326,'All Donations'!$T$2:$T$4001,"&gt;="&amp;'Settings'!$C$26,'All Donations'!$T$2:$T$4001,"&lt;="&amp;'Settings'!$D$26),2),0)</f>
        <v/>
      </c>
      <c r="AS326">
        <f>IF(AE326=1,ROUND(SUMIFS('All Donations'!$S$2:$S$4001,'All Donations'!$R$2:$R$4001,AD326,'All Donations'!$T$2:$T$4001,"&lt;="&amp;'Settings'!$D$27),2),0)</f>
        <v/>
      </c>
      <c r="AT326">
        <f>IF(AE326=1,ROUND(SUMIFS('All Donations'!$S$2:$S$4001,'All Donations'!$R$2:$R$4001,AD326,'All Donations'!$T$2:$T$4001,"&gt;="&amp;'Settings'!$C$28,'All Donations'!$T$2:$T$4001,"&lt;="&amp;'Settings'!$D$28),2),0)</f>
        <v/>
      </c>
      <c r="AU326">
        <f>IF(AE326=1,ROUND(SUMIFS('All Donations'!$S$2:$S$4001,'All Donations'!$R$2:$R$4001,AD326,'All Donations'!$T$2:$T$4001,"&gt;="&amp;'Settings'!$C$29,'All Donations'!$T$2:$T$4001,"&lt;="&amp;'Settings'!$D$29),2),0)</f>
        <v/>
      </c>
      <c r="AV326">
        <f>IF(AE326=1,ROUND(SUMIFS('All Donations'!$S$2:$S$4001,'All Donations'!$R$2:$R$4001,AD326,'All Donations'!$T$2:$T$4001,"&lt;="&amp;'Settings'!$D$30),2),0)</f>
        <v/>
      </c>
      <c r="AZ326">
        <f>IF(AE326=1,ROUND(SUMIFS('All Donations'!$S$2:$S$4001,'All Donations'!$R$2:$R$4001,AD326,'All Donations'!$T$2:$T$4001,"&lt;="&amp;'Settings'!$D$34),2),0)</f>
        <v/>
      </c>
    </row>
    <row r="327">
      <c r="A327">
        <f>IF(AE327=1,TRIM(TRIM('Roster'!B327)&amp;" "&amp;TRIM('Roster'!C327)),"")</f>
        <v/>
      </c>
      <c r="B327">
        <f>IF(AE327=1,IF(AN327="","(no teacher)",AN327&amp;" – "&amp;C327),"")</f>
        <v/>
      </c>
      <c r="C327">
        <f>IF(AE327=1,TRIM('Roster'!D327&amp;""),"")</f>
        <v/>
      </c>
      <c r="D327" s="48">
        <f>IF(AE327=1,ROUND(SUMIFS('All Donations'!$S$2:$S$4001,'All Donations'!$R$2:$R$4001,AD327),2),"")</f>
        <v/>
      </c>
      <c r="E327" s="48">
        <f>IF(AE327=1,ROUND(SUMIFS('All Donations'!$S$2:$S$4001,'All Donations'!$R$2:$R$4001,AD327,'All Donations'!$G$2:$G$4001,"OneCause"),2),"")</f>
        <v/>
      </c>
      <c r="F327" s="48">
        <f>IF(AE327=1,D327-E327,"")</f>
        <v/>
      </c>
      <c r="G327">
        <f>IF(AE327=1,COUNTIFS('All Donations'!$R$2:$R$4001,AD327,'All Donations'!$H$2:$H$4001,"OK"),"")</f>
        <v/>
      </c>
      <c r="H327">
        <f>IF(AE327&lt;&gt;1,"",IF(D327&gt;0,"Yes",""))</f>
        <v/>
      </c>
      <c r="I327" s="49">
        <f>IF(OR($AE327&lt;&gt;1,I$1=""),"",SUMIFS('All Donations'!$S$2:$S$4001,'All Donations'!$R$2:$R$4001,$AD327,'All Donations'!$T$2:$T$4001,I$1))</f>
        <v/>
      </c>
      <c r="J327" s="49">
        <f>IF(OR($AE327&lt;&gt;1,J$1=""),"",SUMIFS('All Donations'!$S$2:$S$4001,'All Donations'!$R$2:$R$4001,$AD327,'All Donations'!$T$2:$T$4001,J$1))</f>
        <v/>
      </c>
      <c r="K327" s="49">
        <f>IF(OR($AE327&lt;&gt;1,K$1=""),"",SUMIFS('All Donations'!$S$2:$S$4001,'All Donations'!$R$2:$R$4001,$AD327,'All Donations'!$T$2:$T$4001,K$1))</f>
        <v/>
      </c>
      <c r="L327" s="49">
        <f>IF(OR($AE327&lt;&gt;1,L$1=""),"",SUMIFS('All Donations'!$S$2:$S$4001,'All Donations'!$R$2:$R$4001,$AD327,'All Donations'!$T$2:$T$4001,L$1))</f>
        <v/>
      </c>
      <c r="M327" s="49">
        <f>IF(OR($AE327&lt;&gt;1,M$1=""),"",SUMIFS('All Donations'!$S$2:$S$4001,'All Donations'!$R$2:$R$4001,$AD327,'All Donations'!$T$2:$T$4001,M$1))</f>
        <v/>
      </c>
      <c r="N327" s="49">
        <f>IF(OR($AE327&lt;&gt;1,N$1=""),"",SUMIFS('All Donations'!$S$2:$S$4001,'All Donations'!$R$2:$R$4001,$AD327,'All Donations'!$T$2:$T$4001,N$1))</f>
        <v/>
      </c>
      <c r="O327" s="49">
        <f>IF(OR($AE327&lt;&gt;1,O$1=""),"",SUMIFS('All Donations'!$S$2:$S$4001,'All Donations'!$R$2:$R$4001,$AD327,'All Donations'!$T$2:$T$4001,O$1))</f>
        <v/>
      </c>
      <c r="P327" s="49">
        <f>IF(OR($AE327&lt;&gt;1,P$1=""),"",SUMIFS('All Donations'!$S$2:$S$4001,'All Donations'!$R$2:$R$4001,$AD327,'All Donations'!$T$2:$T$4001,P$1))</f>
        <v/>
      </c>
      <c r="Q327" s="49">
        <f>IF(OR($AE327&lt;&gt;1,Q$1=""),"",SUMIFS('All Donations'!$S$2:$S$4001,'All Donations'!$R$2:$R$4001,$AD327,'All Donations'!$T$2:$T$4001,Q$1))</f>
        <v/>
      </c>
      <c r="R327" s="49">
        <f>IF(OR($AE327&lt;&gt;1,R$1=""),"",SUMIFS('All Donations'!$S$2:$S$4001,'All Donations'!$R$2:$R$4001,$AD327,'All Donations'!$T$2:$T$4001,R$1))</f>
        <v/>
      </c>
      <c r="S327" s="49">
        <f>IF(OR($AE327&lt;&gt;1,S$1=""),"",SUMIFS('All Donations'!$S$2:$S$4001,'All Donations'!$R$2:$R$4001,$AD327,'All Donations'!$T$2:$T$4001,S$1))</f>
        <v/>
      </c>
      <c r="T327" s="49">
        <f>IF(OR($AE327&lt;&gt;1,T$1=""),"",SUMIFS('All Donations'!$S$2:$S$4001,'All Donations'!$R$2:$R$4001,$AD327,'All Donations'!$T$2:$T$4001,T$1))</f>
        <v/>
      </c>
      <c r="U327" s="49">
        <f>IF(OR($AE327&lt;&gt;1,U$1=""),"",SUMIFS('All Donations'!$S$2:$S$4001,'All Donations'!$R$2:$R$4001,$AD327,'All Donations'!$T$2:$T$4001,U$1))</f>
        <v/>
      </c>
      <c r="V327" s="49">
        <f>IF(OR($AE327&lt;&gt;1,V$1=""),"",SUMIFS('All Donations'!$S$2:$S$4001,'All Donations'!$R$2:$R$4001,$AD327,'All Donations'!$T$2:$T$4001,V$1))</f>
        <v/>
      </c>
      <c r="W327" s="49">
        <f>IF(OR($AE327&lt;&gt;1,W$1=""),"",SUMIFS('All Donations'!$S$2:$S$4001,'All Donations'!$R$2:$R$4001,$AD327,'All Donations'!$T$2:$T$4001,W$1))</f>
        <v/>
      </c>
      <c r="X327" s="49">
        <f>IF(OR($AE327&lt;&gt;1,X$1=""),"",SUMIFS('All Donations'!$S$2:$S$4001,'All Donations'!$R$2:$R$4001,$AD327,'All Donations'!$T$2:$T$4001,X$1))</f>
        <v/>
      </c>
      <c r="Y327" s="49">
        <f>IF(OR($AE327&lt;&gt;1,Y$1=""),"",SUMIFS('All Donations'!$S$2:$S$4001,'All Donations'!$R$2:$R$4001,$AD327,'All Donations'!$T$2:$T$4001,Y$1))</f>
        <v/>
      </c>
      <c r="Z327" s="49">
        <f>IF(OR($AE327&lt;&gt;1,Z$1=""),"",SUMIFS('All Donations'!$S$2:$S$4001,'All Donations'!$R$2:$R$4001,$AD327,'All Donations'!$T$2:$T$4001,Z$1))</f>
        <v/>
      </c>
      <c r="AA327" s="49">
        <f>IF(OR($AE327&lt;&gt;1,AA$1=""),"",SUMIFS('All Donations'!$S$2:$S$4001,'All Donations'!$R$2:$R$4001,$AD327,'All Donations'!$T$2:$T$4001,AA$1))</f>
        <v/>
      </c>
      <c r="AB327" s="49">
        <f>IF(OR($AE327&lt;&gt;1,AB$1=""),"",SUMIFS('All Donations'!$S$2:$S$4001,'All Donations'!$R$2:$R$4001,$AD327,'All Donations'!$T$2:$T$4001,AB$1))</f>
        <v/>
      </c>
      <c r="AC327" s="49">
        <f>IF(OR($AE327&lt;&gt;1,AC$1=""),"",SUMIFS('All Donations'!$S$2:$S$4001,'All Donations'!$R$2:$R$4001,$AD327,'All Donations'!$T$2:$T$4001,AC$1))</f>
        <v/>
      </c>
      <c r="AD327">
        <f>IF(AE327=1,'Roster'!A327,"")</f>
        <v/>
      </c>
      <c r="AE327">
        <f>IF(TRIM('Roster'!B327&amp;'Roster'!C327)&lt;&gt;"",1,0)</f>
        <v/>
      </c>
      <c r="AF327">
        <f>IF(AE327=1,LOWER(A327),"#")</f>
        <v/>
      </c>
      <c r="AG327">
        <f>IF(AE327=1,LOWER(TRIM(TRIM('Roster'!C327)&amp;", "&amp;TRIM('Roster'!B327))),"#")</f>
        <v/>
      </c>
      <c r="AH327">
        <f>IF(AND(AE327=1,TRIM('Roster'!F327)&lt;&gt;""),LOWER(TRIM('Roster'!F327)),"#")</f>
        <v/>
      </c>
      <c r="AI327">
        <f>IF(AE327=1,IF(MATCH(B327,$B$2:$B$701,0)=ROW()-1,1,0),0)</f>
        <v/>
      </c>
      <c r="AJ327">
        <f>AJ326+AI327</f>
        <v/>
      </c>
      <c r="AK327">
        <f>IF(AE327=1,D327+(1000-ROW())/10^7,-1)</f>
        <v/>
      </c>
      <c r="AL327">
        <f>IF(AE327=1,TRIM('Roster'!B327)&amp;" "&amp;LEFT(TRIM('Roster'!C327),1)&amp;".","")</f>
        <v/>
      </c>
      <c r="AM327">
        <f>IF(AE327=1,TRIM('Roster'!C327)&amp;", "&amp;TRIM('Roster'!B327)&amp;" ("&amp;B327&amp;") #"&amp;AD327,"")</f>
        <v/>
      </c>
      <c r="AN327">
        <f>IF(AE327=1,TRIM('Roster'!E327),"")</f>
        <v/>
      </c>
      <c r="AO327">
        <f>IF(AE327=1,ROUND(SUMIFS('All Donations'!$S$2:$S$4001,'All Donations'!$R$2:$R$4001,AD327,'All Donations'!$T$2:$T$4001,"&gt;="&amp;'Settings'!$C$23,'All Donations'!$T$2:$T$4001,"&lt;="&amp;'Settings'!$D$23),2),0)</f>
        <v/>
      </c>
      <c r="AQ327">
        <f>IF(AE327=1,ROUND(SUMIFS('All Donations'!$S$2:$S$4001,'All Donations'!$R$2:$R$4001,AD327,'All Donations'!$T$2:$T$4001,"&gt;="&amp;'Settings'!$C$25,'All Donations'!$T$2:$T$4001,"&lt;="&amp;'Settings'!$D$25),2),0)</f>
        <v/>
      </c>
      <c r="AR327">
        <f>IF(AE327=1,ROUND(SUMIFS('All Donations'!$S$2:$S$4001,'All Donations'!$R$2:$R$4001,AD327,'All Donations'!$T$2:$T$4001,"&gt;="&amp;'Settings'!$C$26,'All Donations'!$T$2:$T$4001,"&lt;="&amp;'Settings'!$D$26),2),0)</f>
        <v/>
      </c>
      <c r="AS327">
        <f>IF(AE327=1,ROUND(SUMIFS('All Donations'!$S$2:$S$4001,'All Donations'!$R$2:$R$4001,AD327,'All Donations'!$T$2:$T$4001,"&lt;="&amp;'Settings'!$D$27),2),0)</f>
        <v/>
      </c>
      <c r="AT327">
        <f>IF(AE327=1,ROUND(SUMIFS('All Donations'!$S$2:$S$4001,'All Donations'!$R$2:$R$4001,AD327,'All Donations'!$T$2:$T$4001,"&gt;="&amp;'Settings'!$C$28,'All Donations'!$T$2:$T$4001,"&lt;="&amp;'Settings'!$D$28),2),0)</f>
        <v/>
      </c>
      <c r="AU327">
        <f>IF(AE327=1,ROUND(SUMIFS('All Donations'!$S$2:$S$4001,'All Donations'!$R$2:$R$4001,AD327,'All Donations'!$T$2:$T$4001,"&gt;="&amp;'Settings'!$C$29,'All Donations'!$T$2:$T$4001,"&lt;="&amp;'Settings'!$D$29),2),0)</f>
        <v/>
      </c>
      <c r="AV327">
        <f>IF(AE327=1,ROUND(SUMIFS('All Donations'!$S$2:$S$4001,'All Donations'!$R$2:$R$4001,AD327,'All Donations'!$T$2:$T$4001,"&lt;="&amp;'Settings'!$D$30),2),0)</f>
        <v/>
      </c>
      <c r="AZ327">
        <f>IF(AE327=1,ROUND(SUMIFS('All Donations'!$S$2:$S$4001,'All Donations'!$R$2:$R$4001,AD327,'All Donations'!$T$2:$T$4001,"&lt;="&amp;'Settings'!$D$34),2),0)</f>
        <v/>
      </c>
    </row>
    <row r="328">
      <c r="A328">
        <f>IF(AE328=1,TRIM(TRIM('Roster'!B328)&amp;" "&amp;TRIM('Roster'!C328)),"")</f>
        <v/>
      </c>
      <c r="B328">
        <f>IF(AE328=1,IF(AN328="","(no teacher)",AN328&amp;" – "&amp;C328),"")</f>
        <v/>
      </c>
      <c r="C328">
        <f>IF(AE328=1,TRIM('Roster'!D328&amp;""),"")</f>
        <v/>
      </c>
      <c r="D328" s="48">
        <f>IF(AE328=1,ROUND(SUMIFS('All Donations'!$S$2:$S$4001,'All Donations'!$R$2:$R$4001,AD328),2),"")</f>
        <v/>
      </c>
      <c r="E328" s="48">
        <f>IF(AE328=1,ROUND(SUMIFS('All Donations'!$S$2:$S$4001,'All Donations'!$R$2:$R$4001,AD328,'All Donations'!$G$2:$G$4001,"OneCause"),2),"")</f>
        <v/>
      </c>
      <c r="F328" s="48">
        <f>IF(AE328=1,D328-E328,"")</f>
        <v/>
      </c>
      <c r="G328">
        <f>IF(AE328=1,COUNTIFS('All Donations'!$R$2:$R$4001,AD328,'All Donations'!$H$2:$H$4001,"OK"),"")</f>
        <v/>
      </c>
      <c r="H328">
        <f>IF(AE328&lt;&gt;1,"",IF(D328&gt;0,"Yes",""))</f>
        <v/>
      </c>
      <c r="I328" s="49">
        <f>IF(OR($AE328&lt;&gt;1,I$1=""),"",SUMIFS('All Donations'!$S$2:$S$4001,'All Donations'!$R$2:$R$4001,$AD328,'All Donations'!$T$2:$T$4001,I$1))</f>
        <v/>
      </c>
      <c r="J328" s="49">
        <f>IF(OR($AE328&lt;&gt;1,J$1=""),"",SUMIFS('All Donations'!$S$2:$S$4001,'All Donations'!$R$2:$R$4001,$AD328,'All Donations'!$T$2:$T$4001,J$1))</f>
        <v/>
      </c>
      <c r="K328" s="49">
        <f>IF(OR($AE328&lt;&gt;1,K$1=""),"",SUMIFS('All Donations'!$S$2:$S$4001,'All Donations'!$R$2:$R$4001,$AD328,'All Donations'!$T$2:$T$4001,K$1))</f>
        <v/>
      </c>
      <c r="L328" s="49">
        <f>IF(OR($AE328&lt;&gt;1,L$1=""),"",SUMIFS('All Donations'!$S$2:$S$4001,'All Donations'!$R$2:$R$4001,$AD328,'All Donations'!$T$2:$T$4001,L$1))</f>
        <v/>
      </c>
      <c r="M328" s="49">
        <f>IF(OR($AE328&lt;&gt;1,M$1=""),"",SUMIFS('All Donations'!$S$2:$S$4001,'All Donations'!$R$2:$R$4001,$AD328,'All Donations'!$T$2:$T$4001,M$1))</f>
        <v/>
      </c>
      <c r="N328" s="49">
        <f>IF(OR($AE328&lt;&gt;1,N$1=""),"",SUMIFS('All Donations'!$S$2:$S$4001,'All Donations'!$R$2:$R$4001,$AD328,'All Donations'!$T$2:$T$4001,N$1))</f>
        <v/>
      </c>
      <c r="O328" s="49">
        <f>IF(OR($AE328&lt;&gt;1,O$1=""),"",SUMIFS('All Donations'!$S$2:$S$4001,'All Donations'!$R$2:$R$4001,$AD328,'All Donations'!$T$2:$T$4001,O$1))</f>
        <v/>
      </c>
      <c r="P328" s="49">
        <f>IF(OR($AE328&lt;&gt;1,P$1=""),"",SUMIFS('All Donations'!$S$2:$S$4001,'All Donations'!$R$2:$R$4001,$AD328,'All Donations'!$T$2:$T$4001,P$1))</f>
        <v/>
      </c>
      <c r="Q328" s="49">
        <f>IF(OR($AE328&lt;&gt;1,Q$1=""),"",SUMIFS('All Donations'!$S$2:$S$4001,'All Donations'!$R$2:$R$4001,$AD328,'All Donations'!$T$2:$T$4001,Q$1))</f>
        <v/>
      </c>
      <c r="R328" s="49">
        <f>IF(OR($AE328&lt;&gt;1,R$1=""),"",SUMIFS('All Donations'!$S$2:$S$4001,'All Donations'!$R$2:$R$4001,$AD328,'All Donations'!$T$2:$T$4001,R$1))</f>
        <v/>
      </c>
      <c r="S328" s="49">
        <f>IF(OR($AE328&lt;&gt;1,S$1=""),"",SUMIFS('All Donations'!$S$2:$S$4001,'All Donations'!$R$2:$R$4001,$AD328,'All Donations'!$T$2:$T$4001,S$1))</f>
        <v/>
      </c>
      <c r="T328" s="49">
        <f>IF(OR($AE328&lt;&gt;1,T$1=""),"",SUMIFS('All Donations'!$S$2:$S$4001,'All Donations'!$R$2:$R$4001,$AD328,'All Donations'!$T$2:$T$4001,T$1))</f>
        <v/>
      </c>
      <c r="U328" s="49">
        <f>IF(OR($AE328&lt;&gt;1,U$1=""),"",SUMIFS('All Donations'!$S$2:$S$4001,'All Donations'!$R$2:$R$4001,$AD328,'All Donations'!$T$2:$T$4001,U$1))</f>
        <v/>
      </c>
      <c r="V328" s="49">
        <f>IF(OR($AE328&lt;&gt;1,V$1=""),"",SUMIFS('All Donations'!$S$2:$S$4001,'All Donations'!$R$2:$R$4001,$AD328,'All Donations'!$T$2:$T$4001,V$1))</f>
        <v/>
      </c>
      <c r="W328" s="49">
        <f>IF(OR($AE328&lt;&gt;1,W$1=""),"",SUMIFS('All Donations'!$S$2:$S$4001,'All Donations'!$R$2:$R$4001,$AD328,'All Donations'!$T$2:$T$4001,W$1))</f>
        <v/>
      </c>
      <c r="X328" s="49">
        <f>IF(OR($AE328&lt;&gt;1,X$1=""),"",SUMIFS('All Donations'!$S$2:$S$4001,'All Donations'!$R$2:$R$4001,$AD328,'All Donations'!$T$2:$T$4001,X$1))</f>
        <v/>
      </c>
      <c r="Y328" s="49">
        <f>IF(OR($AE328&lt;&gt;1,Y$1=""),"",SUMIFS('All Donations'!$S$2:$S$4001,'All Donations'!$R$2:$R$4001,$AD328,'All Donations'!$T$2:$T$4001,Y$1))</f>
        <v/>
      </c>
      <c r="Z328" s="49">
        <f>IF(OR($AE328&lt;&gt;1,Z$1=""),"",SUMIFS('All Donations'!$S$2:$S$4001,'All Donations'!$R$2:$R$4001,$AD328,'All Donations'!$T$2:$T$4001,Z$1))</f>
        <v/>
      </c>
      <c r="AA328" s="49">
        <f>IF(OR($AE328&lt;&gt;1,AA$1=""),"",SUMIFS('All Donations'!$S$2:$S$4001,'All Donations'!$R$2:$R$4001,$AD328,'All Donations'!$T$2:$T$4001,AA$1))</f>
        <v/>
      </c>
      <c r="AB328" s="49">
        <f>IF(OR($AE328&lt;&gt;1,AB$1=""),"",SUMIFS('All Donations'!$S$2:$S$4001,'All Donations'!$R$2:$R$4001,$AD328,'All Donations'!$T$2:$T$4001,AB$1))</f>
        <v/>
      </c>
      <c r="AC328" s="49">
        <f>IF(OR($AE328&lt;&gt;1,AC$1=""),"",SUMIFS('All Donations'!$S$2:$S$4001,'All Donations'!$R$2:$R$4001,$AD328,'All Donations'!$T$2:$T$4001,AC$1))</f>
        <v/>
      </c>
      <c r="AD328">
        <f>IF(AE328=1,'Roster'!A328,"")</f>
        <v/>
      </c>
      <c r="AE328">
        <f>IF(TRIM('Roster'!B328&amp;'Roster'!C328)&lt;&gt;"",1,0)</f>
        <v/>
      </c>
      <c r="AF328">
        <f>IF(AE328=1,LOWER(A328),"#")</f>
        <v/>
      </c>
      <c r="AG328">
        <f>IF(AE328=1,LOWER(TRIM(TRIM('Roster'!C328)&amp;", "&amp;TRIM('Roster'!B328))),"#")</f>
        <v/>
      </c>
      <c r="AH328">
        <f>IF(AND(AE328=1,TRIM('Roster'!F328)&lt;&gt;""),LOWER(TRIM('Roster'!F328)),"#")</f>
        <v/>
      </c>
      <c r="AI328">
        <f>IF(AE328=1,IF(MATCH(B328,$B$2:$B$701,0)=ROW()-1,1,0),0)</f>
        <v/>
      </c>
      <c r="AJ328">
        <f>AJ327+AI328</f>
        <v/>
      </c>
      <c r="AK328">
        <f>IF(AE328=1,D328+(1000-ROW())/10^7,-1)</f>
        <v/>
      </c>
      <c r="AL328">
        <f>IF(AE328=1,TRIM('Roster'!B328)&amp;" "&amp;LEFT(TRIM('Roster'!C328),1)&amp;".","")</f>
        <v/>
      </c>
      <c r="AM328">
        <f>IF(AE328=1,TRIM('Roster'!C328)&amp;", "&amp;TRIM('Roster'!B328)&amp;" ("&amp;B328&amp;") #"&amp;AD328,"")</f>
        <v/>
      </c>
      <c r="AN328">
        <f>IF(AE328=1,TRIM('Roster'!E328),"")</f>
        <v/>
      </c>
      <c r="AO328">
        <f>IF(AE328=1,ROUND(SUMIFS('All Donations'!$S$2:$S$4001,'All Donations'!$R$2:$R$4001,AD328,'All Donations'!$T$2:$T$4001,"&gt;="&amp;'Settings'!$C$23,'All Donations'!$T$2:$T$4001,"&lt;="&amp;'Settings'!$D$23),2),0)</f>
        <v/>
      </c>
      <c r="AQ328">
        <f>IF(AE328=1,ROUND(SUMIFS('All Donations'!$S$2:$S$4001,'All Donations'!$R$2:$R$4001,AD328,'All Donations'!$T$2:$T$4001,"&gt;="&amp;'Settings'!$C$25,'All Donations'!$T$2:$T$4001,"&lt;="&amp;'Settings'!$D$25),2),0)</f>
        <v/>
      </c>
      <c r="AR328">
        <f>IF(AE328=1,ROUND(SUMIFS('All Donations'!$S$2:$S$4001,'All Donations'!$R$2:$R$4001,AD328,'All Donations'!$T$2:$T$4001,"&gt;="&amp;'Settings'!$C$26,'All Donations'!$T$2:$T$4001,"&lt;="&amp;'Settings'!$D$26),2),0)</f>
        <v/>
      </c>
      <c r="AS328">
        <f>IF(AE328=1,ROUND(SUMIFS('All Donations'!$S$2:$S$4001,'All Donations'!$R$2:$R$4001,AD328,'All Donations'!$T$2:$T$4001,"&lt;="&amp;'Settings'!$D$27),2),0)</f>
        <v/>
      </c>
      <c r="AT328">
        <f>IF(AE328=1,ROUND(SUMIFS('All Donations'!$S$2:$S$4001,'All Donations'!$R$2:$R$4001,AD328,'All Donations'!$T$2:$T$4001,"&gt;="&amp;'Settings'!$C$28,'All Donations'!$T$2:$T$4001,"&lt;="&amp;'Settings'!$D$28),2),0)</f>
        <v/>
      </c>
      <c r="AU328">
        <f>IF(AE328=1,ROUND(SUMIFS('All Donations'!$S$2:$S$4001,'All Donations'!$R$2:$R$4001,AD328,'All Donations'!$T$2:$T$4001,"&gt;="&amp;'Settings'!$C$29,'All Donations'!$T$2:$T$4001,"&lt;="&amp;'Settings'!$D$29),2),0)</f>
        <v/>
      </c>
      <c r="AV328">
        <f>IF(AE328=1,ROUND(SUMIFS('All Donations'!$S$2:$S$4001,'All Donations'!$R$2:$R$4001,AD328,'All Donations'!$T$2:$T$4001,"&lt;="&amp;'Settings'!$D$30),2),0)</f>
        <v/>
      </c>
      <c r="AZ328">
        <f>IF(AE328=1,ROUND(SUMIFS('All Donations'!$S$2:$S$4001,'All Donations'!$R$2:$R$4001,AD328,'All Donations'!$T$2:$T$4001,"&lt;="&amp;'Settings'!$D$34),2),0)</f>
        <v/>
      </c>
    </row>
    <row r="329">
      <c r="A329">
        <f>IF(AE329=1,TRIM(TRIM('Roster'!B329)&amp;" "&amp;TRIM('Roster'!C329)),"")</f>
        <v/>
      </c>
      <c r="B329">
        <f>IF(AE329=1,IF(AN329="","(no teacher)",AN329&amp;" – "&amp;C329),"")</f>
        <v/>
      </c>
      <c r="C329">
        <f>IF(AE329=1,TRIM('Roster'!D329&amp;""),"")</f>
        <v/>
      </c>
      <c r="D329" s="48">
        <f>IF(AE329=1,ROUND(SUMIFS('All Donations'!$S$2:$S$4001,'All Donations'!$R$2:$R$4001,AD329),2),"")</f>
        <v/>
      </c>
      <c r="E329" s="48">
        <f>IF(AE329=1,ROUND(SUMIFS('All Donations'!$S$2:$S$4001,'All Donations'!$R$2:$R$4001,AD329,'All Donations'!$G$2:$G$4001,"OneCause"),2),"")</f>
        <v/>
      </c>
      <c r="F329" s="48">
        <f>IF(AE329=1,D329-E329,"")</f>
        <v/>
      </c>
      <c r="G329">
        <f>IF(AE329=1,COUNTIFS('All Donations'!$R$2:$R$4001,AD329,'All Donations'!$H$2:$H$4001,"OK"),"")</f>
        <v/>
      </c>
      <c r="H329">
        <f>IF(AE329&lt;&gt;1,"",IF(D329&gt;0,"Yes",""))</f>
        <v/>
      </c>
      <c r="I329" s="49">
        <f>IF(OR($AE329&lt;&gt;1,I$1=""),"",SUMIFS('All Donations'!$S$2:$S$4001,'All Donations'!$R$2:$R$4001,$AD329,'All Donations'!$T$2:$T$4001,I$1))</f>
        <v/>
      </c>
      <c r="J329" s="49">
        <f>IF(OR($AE329&lt;&gt;1,J$1=""),"",SUMIFS('All Donations'!$S$2:$S$4001,'All Donations'!$R$2:$R$4001,$AD329,'All Donations'!$T$2:$T$4001,J$1))</f>
        <v/>
      </c>
      <c r="K329" s="49">
        <f>IF(OR($AE329&lt;&gt;1,K$1=""),"",SUMIFS('All Donations'!$S$2:$S$4001,'All Donations'!$R$2:$R$4001,$AD329,'All Donations'!$T$2:$T$4001,K$1))</f>
        <v/>
      </c>
      <c r="L329" s="49">
        <f>IF(OR($AE329&lt;&gt;1,L$1=""),"",SUMIFS('All Donations'!$S$2:$S$4001,'All Donations'!$R$2:$R$4001,$AD329,'All Donations'!$T$2:$T$4001,L$1))</f>
        <v/>
      </c>
      <c r="M329" s="49">
        <f>IF(OR($AE329&lt;&gt;1,M$1=""),"",SUMIFS('All Donations'!$S$2:$S$4001,'All Donations'!$R$2:$R$4001,$AD329,'All Donations'!$T$2:$T$4001,M$1))</f>
        <v/>
      </c>
      <c r="N329" s="49">
        <f>IF(OR($AE329&lt;&gt;1,N$1=""),"",SUMIFS('All Donations'!$S$2:$S$4001,'All Donations'!$R$2:$R$4001,$AD329,'All Donations'!$T$2:$T$4001,N$1))</f>
        <v/>
      </c>
      <c r="O329" s="49">
        <f>IF(OR($AE329&lt;&gt;1,O$1=""),"",SUMIFS('All Donations'!$S$2:$S$4001,'All Donations'!$R$2:$R$4001,$AD329,'All Donations'!$T$2:$T$4001,O$1))</f>
        <v/>
      </c>
      <c r="P329" s="49">
        <f>IF(OR($AE329&lt;&gt;1,P$1=""),"",SUMIFS('All Donations'!$S$2:$S$4001,'All Donations'!$R$2:$R$4001,$AD329,'All Donations'!$T$2:$T$4001,P$1))</f>
        <v/>
      </c>
      <c r="Q329" s="49">
        <f>IF(OR($AE329&lt;&gt;1,Q$1=""),"",SUMIFS('All Donations'!$S$2:$S$4001,'All Donations'!$R$2:$R$4001,$AD329,'All Donations'!$T$2:$T$4001,Q$1))</f>
        <v/>
      </c>
      <c r="R329" s="49">
        <f>IF(OR($AE329&lt;&gt;1,R$1=""),"",SUMIFS('All Donations'!$S$2:$S$4001,'All Donations'!$R$2:$R$4001,$AD329,'All Donations'!$T$2:$T$4001,R$1))</f>
        <v/>
      </c>
      <c r="S329" s="49">
        <f>IF(OR($AE329&lt;&gt;1,S$1=""),"",SUMIFS('All Donations'!$S$2:$S$4001,'All Donations'!$R$2:$R$4001,$AD329,'All Donations'!$T$2:$T$4001,S$1))</f>
        <v/>
      </c>
      <c r="T329" s="49">
        <f>IF(OR($AE329&lt;&gt;1,T$1=""),"",SUMIFS('All Donations'!$S$2:$S$4001,'All Donations'!$R$2:$R$4001,$AD329,'All Donations'!$T$2:$T$4001,T$1))</f>
        <v/>
      </c>
      <c r="U329" s="49">
        <f>IF(OR($AE329&lt;&gt;1,U$1=""),"",SUMIFS('All Donations'!$S$2:$S$4001,'All Donations'!$R$2:$R$4001,$AD329,'All Donations'!$T$2:$T$4001,U$1))</f>
        <v/>
      </c>
      <c r="V329" s="49">
        <f>IF(OR($AE329&lt;&gt;1,V$1=""),"",SUMIFS('All Donations'!$S$2:$S$4001,'All Donations'!$R$2:$R$4001,$AD329,'All Donations'!$T$2:$T$4001,V$1))</f>
        <v/>
      </c>
      <c r="W329" s="49">
        <f>IF(OR($AE329&lt;&gt;1,W$1=""),"",SUMIFS('All Donations'!$S$2:$S$4001,'All Donations'!$R$2:$R$4001,$AD329,'All Donations'!$T$2:$T$4001,W$1))</f>
        <v/>
      </c>
      <c r="X329" s="49">
        <f>IF(OR($AE329&lt;&gt;1,X$1=""),"",SUMIFS('All Donations'!$S$2:$S$4001,'All Donations'!$R$2:$R$4001,$AD329,'All Donations'!$T$2:$T$4001,X$1))</f>
        <v/>
      </c>
      <c r="Y329" s="49">
        <f>IF(OR($AE329&lt;&gt;1,Y$1=""),"",SUMIFS('All Donations'!$S$2:$S$4001,'All Donations'!$R$2:$R$4001,$AD329,'All Donations'!$T$2:$T$4001,Y$1))</f>
        <v/>
      </c>
      <c r="Z329" s="49">
        <f>IF(OR($AE329&lt;&gt;1,Z$1=""),"",SUMIFS('All Donations'!$S$2:$S$4001,'All Donations'!$R$2:$R$4001,$AD329,'All Donations'!$T$2:$T$4001,Z$1))</f>
        <v/>
      </c>
      <c r="AA329" s="49">
        <f>IF(OR($AE329&lt;&gt;1,AA$1=""),"",SUMIFS('All Donations'!$S$2:$S$4001,'All Donations'!$R$2:$R$4001,$AD329,'All Donations'!$T$2:$T$4001,AA$1))</f>
        <v/>
      </c>
      <c r="AB329" s="49">
        <f>IF(OR($AE329&lt;&gt;1,AB$1=""),"",SUMIFS('All Donations'!$S$2:$S$4001,'All Donations'!$R$2:$R$4001,$AD329,'All Donations'!$T$2:$T$4001,AB$1))</f>
        <v/>
      </c>
      <c r="AC329" s="49">
        <f>IF(OR($AE329&lt;&gt;1,AC$1=""),"",SUMIFS('All Donations'!$S$2:$S$4001,'All Donations'!$R$2:$R$4001,$AD329,'All Donations'!$T$2:$T$4001,AC$1))</f>
        <v/>
      </c>
      <c r="AD329">
        <f>IF(AE329=1,'Roster'!A329,"")</f>
        <v/>
      </c>
      <c r="AE329">
        <f>IF(TRIM('Roster'!B329&amp;'Roster'!C329)&lt;&gt;"",1,0)</f>
        <v/>
      </c>
      <c r="AF329">
        <f>IF(AE329=1,LOWER(A329),"#")</f>
        <v/>
      </c>
      <c r="AG329">
        <f>IF(AE329=1,LOWER(TRIM(TRIM('Roster'!C329)&amp;", "&amp;TRIM('Roster'!B329))),"#")</f>
        <v/>
      </c>
      <c r="AH329">
        <f>IF(AND(AE329=1,TRIM('Roster'!F329)&lt;&gt;""),LOWER(TRIM('Roster'!F329)),"#")</f>
        <v/>
      </c>
      <c r="AI329">
        <f>IF(AE329=1,IF(MATCH(B329,$B$2:$B$701,0)=ROW()-1,1,0),0)</f>
        <v/>
      </c>
      <c r="AJ329">
        <f>AJ328+AI329</f>
        <v/>
      </c>
      <c r="AK329">
        <f>IF(AE329=1,D329+(1000-ROW())/10^7,-1)</f>
        <v/>
      </c>
      <c r="AL329">
        <f>IF(AE329=1,TRIM('Roster'!B329)&amp;" "&amp;LEFT(TRIM('Roster'!C329),1)&amp;".","")</f>
        <v/>
      </c>
      <c r="AM329">
        <f>IF(AE329=1,TRIM('Roster'!C329)&amp;", "&amp;TRIM('Roster'!B329)&amp;" ("&amp;B329&amp;") #"&amp;AD329,"")</f>
        <v/>
      </c>
      <c r="AN329">
        <f>IF(AE329=1,TRIM('Roster'!E329),"")</f>
        <v/>
      </c>
      <c r="AO329">
        <f>IF(AE329=1,ROUND(SUMIFS('All Donations'!$S$2:$S$4001,'All Donations'!$R$2:$R$4001,AD329,'All Donations'!$T$2:$T$4001,"&gt;="&amp;'Settings'!$C$23,'All Donations'!$T$2:$T$4001,"&lt;="&amp;'Settings'!$D$23),2),0)</f>
        <v/>
      </c>
      <c r="AQ329">
        <f>IF(AE329=1,ROUND(SUMIFS('All Donations'!$S$2:$S$4001,'All Donations'!$R$2:$R$4001,AD329,'All Donations'!$T$2:$T$4001,"&gt;="&amp;'Settings'!$C$25,'All Donations'!$T$2:$T$4001,"&lt;="&amp;'Settings'!$D$25),2),0)</f>
        <v/>
      </c>
      <c r="AR329">
        <f>IF(AE329=1,ROUND(SUMIFS('All Donations'!$S$2:$S$4001,'All Donations'!$R$2:$R$4001,AD329,'All Donations'!$T$2:$T$4001,"&gt;="&amp;'Settings'!$C$26,'All Donations'!$T$2:$T$4001,"&lt;="&amp;'Settings'!$D$26),2),0)</f>
        <v/>
      </c>
      <c r="AS329">
        <f>IF(AE329=1,ROUND(SUMIFS('All Donations'!$S$2:$S$4001,'All Donations'!$R$2:$R$4001,AD329,'All Donations'!$T$2:$T$4001,"&lt;="&amp;'Settings'!$D$27),2),0)</f>
        <v/>
      </c>
      <c r="AT329">
        <f>IF(AE329=1,ROUND(SUMIFS('All Donations'!$S$2:$S$4001,'All Donations'!$R$2:$R$4001,AD329,'All Donations'!$T$2:$T$4001,"&gt;="&amp;'Settings'!$C$28,'All Donations'!$T$2:$T$4001,"&lt;="&amp;'Settings'!$D$28),2),0)</f>
        <v/>
      </c>
      <c r="AU329">
        <f>IF(AE329=1,ROUND(SUMIFS('All Donations'!$S$2:$S$4001,'All Donations'!$R$2:$R$4001,AD329,'All Donations'!$T$2:$T$4001,"&gt;="&amp;'Settings'!$C$29,'All Donations'!$T$2:$T$4001,"&lt;="&amp;'Settings'!$D$29),2),0)</f>
        <v/>
      </c>
      <c r="AV329">
        <f>IF(AE329=1,ROUND(SUMIFS('All Donations'!$S$2:$S$4001,'All Donations'!$R$2:$R$4001,AD329,'All Donations'!$T$2:$T$4001,"&lt;="&amp;'Settings'!$D$30),2),0)</f>
        <v/>
      </c>
      <c r="AZ329">
        <f>IF(AE329=1,ROUND(SUMIFS('All Donations'!$S$2:$S$4001,'All Donations'!$R$2:$R$4001,AD329,'All Donations'!$T$2:$T$4001,"&lt;="&amp;'Settings'!$D$34),2),0)</f>
        <v/>
      </c>
    </row>
    <row r="330">
      <c r="A330">
        <f>IF(AE330=1,TRIM(TRIM('Roster'!B330)&amp;" "&amp;TRIM('Roster'!C330)),"")</f>
        <v/>
      </c>
      <c r="B330">
        <f>IF(AE330=1,IF(AN330="","(no teacher)",AN330&amp;" – "&amp;C330),"")</f>
        <v/>
      </c>
      <c r="C330">
        <f>IF(AE330=1,TRIM('Roster'!D330&amp;""),"")</f>
        <v/>
      </c>
      <c r="D330" s="48">
        <f>IF(AE330=1,ROUND(SUMIFS('All Donations'!$S$2:$S$4001,'All Donations'!$R$2:$R$4001,AD330),2),"")</f>
        <v/>
      </c>
      <c r="E330" s="48">
        <f>IF(AE330=1,ROUND(SUMIFS('All Donations'!$S$2:$S$4001,'All Donations'!$R$2:$R$4001,AD330,'All Donations'!$G$2:$G$4001,"OneCause"),2),"")</f>
        <v/>
      </c>
      <c r="F330" s="48">
        <f>IF(AE330=1,D330-E330,"")</f>
        <v/>
      </c>
      <c r="G330">
        <f>IF(AE330=1,COUNTIFS('All Donations'!$R$2:$R$4001,AD330,'All Donations'!$H$2:$H$4001,"OK"),"")</f>
        <v/>
      </c>
      <c r="H330">
        <f>IF(AE330&lt;&gt;1,"",IF(D330&gt;0,"Yes",""))</f>
        <v/>
      </c>
      <c r="I330" s="49">
        <f>IF(OR($AE330&lt;&gt;1,I$1=""),"",SUMIFS('All Donations'!$S$2:$S$4001,'All Donations'!$R$2:$R$4001,$AD330,'All Donations'!$T$2:$T$4001,I$1))</f>
        <v/>
      </c>
      <c r="J330" s="49">
        <f>IF(OR($AE330&lt;&gt;1,J$1=""),"",SUMIFS('All Donations'!$S$2:$S$4001,'All Donations'!$R$2:$R$4001,$AD330,'All Donations'!$T$2:$T$4001,J$1))</f>
        <v/>
      </c>
      <c r="K330" s="49">
        <f>IF(OR($AE330&lt;&gt;1,K$1=""),"",SUMIFS('All Donations'!$S$2:$S$4001,'All Donations'!$R$2:$R$4001,$AD330,'All Donations'!$T$2:$T$4001,K$1))</f>
        <v/>
      </c>
      <c r="L330" s="49">
        <f>IF(OR($AE330&lt;&gt;1,L$1=""),"",SUMIFS('All Donations'!$S$2:$S$4001,'All Donations'!$R$2:$R$4001,$AD330,'All Donations'!$T$2:$T$4001,L$1))</f>
        <v/>
      </c>
      <c r="M330" s="49">
        <f>IF(OR($AE330&lt;&gt;1,M$1=""),"",SUMIFS('All Donations'!$S$2:$S$4001,'All Donations'!$R$2:$R$4001,$AD330,'All Donations'!$T$2:$T$4001,M$1))</f>
        <v/>
      </c>
      <c r="N330" s="49">
        <f>IF(OR($AE330&lt;&gt;1,N$1=""),"",SUMIFS('All Donations'!$S$2:$S$4001,'All Donations'!$R$2:$R$4001,$AD330,'All Donations'!$T$2:$T$4001,N$1))</f>
        <v/>
      </c>
      <c r="O330" s="49">
        <f>IF(OR($AE330&lt;&gt;1,O$1=""),"",SUMIFS('All Donations'!$S$2:$S$4001,'All Donations'!$R$2:$R$4001,$AD330,'All Donations'!$T$2:$T$4001,O$1))</f>
        <v/>
      </c>
      <c r="P330" s="49">
        <f>IF(OR($AE330&lt;&gt;1,P$1=""),"",SUMIFS('All Donations'!$S$2:$S$4001,'All Donations'!$R$2:$R$4001,$AD330,'All Donations'!$T$2:$T$4001,P$1))</f>
        <v/>
      </c>
      <c r="Q330" s="49">
        <f>IF(OR($AE330&lt;&gt;1,Q$1=""),"",SUMIFS('All Donations'!$S$2:$S$4001,'All Donations'!$R$2:$R$4001,$AD330,'All Donations'!$T$2:$T$4001,Q$1))</f>
        <v/>
      </c>
      <c r="R330" s="49">
        <f>IF(OR($AE330&lt;&gt;1,R$1=""),"",SUMIFS('All Donations'!$S$2:$S$4001,'All Donations'!$R$2:$R$4001,$AD330,'All Donations'!$T$2:$T$4001,R$1))</f>
        <v/>
      </c>
      <c r="S330" s="49">
        <f>IF(OR($AE330&lt;&gt;1,S$1=""),"",SUMIFS('All Donations'!$S$2:$S$4001,'All Donations'!$R$2:$R$4001,$AD330,'All Donations'!$T$2:$T$4001,S$1))</f>
        <v/>
      </c>
      <c r="T330" s="49">
        <f>IF(OR($AE330&lt;&gt;1,T$1=""),"",SUMIFS('All Donations'!$S$2:$S$4001,'All Donations'!$R$2:$R$4001,$AD330,'All Donations'!$T$2:$T$4001,T$1))</f>
        <v/>
      </c>
      <c r="U330" s="49">
        <f>IF(OR($AE330&lt;&gt;1,U$1=""),"",SUMIFS('All Donations'!$S$2:$S$4001,'All Donations'!$R$2:$R$4001,$AD330,'All Donations'!$T$2:$T$4001,U$1))</f>
        <v/>
      </c>
      <c r="V330" s="49">
        <f>IF(OR($AE330&lt;&gt;1,V$1=""),"",SUMIFS('All Donations'!$S$2:$S$4001,'All Donations'!$R$2:$R$4001,$AD330,'All Donations'!$T$2:$T$4001,V$1))</f>
        <v/>
      </c>
      <c r="W330" s="49">
        <f>IF(OR($AE330&lt;&gt;1,W$1=""),"",SUMIFS('All Donations'!$S$2:$S$4001,'All Donations'!$R$2:$R$4001,$AD330,'All Donations'!$T$2:$T$4001,W$1))</f>
        <v/>
      </c>
      <c r="X330" s="49">
        <f>IF(OR($AE330&lt;&gt;1,X$1=""),"",SUMIFS('All Donations'!$S$2:$S$4001,'All Donations'!$R$2:$R$4001,$AD330,'All Donations'!$T$2:$T$4001,X$1))</f>
        <v/>
      </c>
      <c r="Y330" s="49">
        <f>IF(OR($AE330&lt;&gt;1,Y$1=""),"",SUMIFS('All Donations'!$S$2:$S$4001,'All Donations'!$R$2:$R$4001,$AD330,'All Donations'!$T$2:$T$4001,Y$1))</f>
        <v/>
      </c>
      <c r="Z330" s="49">
        <f>IF(OR($AE330&lt;&gt;1,Z$1=""),"",SUMIFS('All Donations'!$S$2:$S$4001,'All Donations'!$R$2:$R$4001,$AD330,'All Donations'!$T$2:$T$4001,Z$1))</f>
        <v/>
      </c>
      <c r="AA330" s="49">
        <f>IF(OR($AE330&lt;&gt;1,AA$1=""),"",SUMIFS('All Donations'!$S$2:$S$4001,'All Donations'!$R$2:$R$4001,$AD330,'All Donations'!$T$2:$T$4001,AA$1))</f>
        <v/>
      </c>
      <c r="AB330" s="49">
        <f>IF(OR($AE330&lt;&gt;1,AB$1=""),"",SUMIFS('All Donations'!$S$2:$S$4001,'All Donations'!$R$2:$R$4001,$AD330,'All Donations'!$T$2:$T$4001,AB$1))</f>
        <v/>
      </c>
      <c r="AC330" s="49">
        <f>IF(OR($AE330&lt;&gt;1,AC$1=""),"",SUMIFS('All Donations'!$S$2:$S$4001,'All Donations'!$R$2:$R$4001,$AD330,'All Donations'!$T$2:$T$4001,AC$1))</f>
        <v/>
      </c>
      <c r="AD330">
        <f>IF(AE330=1,'Roster'!A330,"")</f>
        <v/>
      </c>
      <c r="AE330">
        <f>IF(TRIM('Roster'!B330&amp;'Roster'!C330)&lt;&gt;"",1,0)</f>
        <v/>
      </c>
      <c r="AF330">
        <f>IF(AE330=1,LOWER(A330),"#")</f>
        <v/>
      </c>
      <c r="AG330">
        <f>IF(AE330=1,LOWER(TRIM(TRIM('Roster'!C330)&amp;", "&amp;TRIM('Roster'!B330))),"#")</f>
        <v/>
      </c>
      <c r="AH330">
        <f>IF(AND(AE330=1,TRIM('Roster'!F330)&lt;&gt;""),LOWER(TRIM('Roster'!F330)),"#")</f>
        <v/>
      </c>
      <c r="AI330">
        <f>IF(AE330=1,IF(MATCH(B330,$B$2:$B$701,0)=ROW()-1,1,0),0)</f>
        <v/>
      </c>
      <c r="AJ330">
        <f>AJ329+AI330</f>
        <v/>
      </c>
      <c r="AK330">
        <f>IF(AE330=1,D330+(1000-ROW())/10^7,-1)</f>
        <v/>
      </c>
      <c r="AL330">
        <f>IF(AE330=1,TRIM('Roster'!B330)&amp;" "&amp;LEFT(TRIM('Roster'!C330),1)&amp;".","")</f>
        <v/>
      </c>
      <c r="AM330">
        <f>IF(AE330=1,TRIM('Roster'!C330)&amp;", "&amp;TRIM('Roster'!B330)&amp;" ("&amp;B330&amp;") #"&amp;AD330,"")</f>
        <v/>
      </c>
      <c r="AN330">
        <f>IF(AE330=1,TRIM('Roster'!E330),"")</f>
        <v/>
      </c>
      <c r="AO330">
        <f>IF(AE330=1,ROUND(SUMIFS('All Donations'!$S$2:$S$4001,'All Donations'!$R$2:$R$4001,AD330,'All Donations'!$T$2:$T$4001,"&gt;="&amp;'Settings'!$C$23,'All Donations'!$T$2:$T$4001,"&lt;="&amp;'Settings'!$D$23),2),0)</f>
        <v/>
      </c>
      <c r="AQ330">
        <f>IF(AE330=1,ROUND(SUMIFS('All Donations'!$S$2:$S$4001,'All Donations'!$R$2:$R$4001,AD330,'All Donations'!$T$2:$T$4001,"&gt;="&amp;'Settings'!$C$25,'All Donations'!$T$2:$T$4001,"&lt;="&amp;'Settings'!$D$25),2),0)</f>
        <v/>
      </c>
      <c r="AR330">
        <f>IF(AE330=1,ROUND(SUMIFS('All Donations'!$S$2:$S$4001,'All Donations'!$R$2:$R$4001,AD330,'All Donations'!$T$2:$T$4001,"&gt;="&amp;'Settings'!$C$26,'All Donations'!$T$2:$T$4001,"&lt;="&amp;'Settings'!$D$26),2),0)</f>
        <v/>
      </c>
      <c r="AS330">
        <f>IF(AE330=1,ROUND(SUMIFS('All Donations'!$S$2:$S$4001,'All Donations'!$R$2:$R$4001,AD330,'All Donations'!$T$2:$T$4001,"&lt;="&amp;'Settings'!$D$27),2),0)</f>
        <v/>
      </c>
      <c r="AT330">
        <f>IF(AE330=1,ROUND(SUMIFS('All Donations'!$S$2:$S$4001,'All Donations'!$R$2:$R$4001,AD330,'All Donations'!$T$2:$T$4001,"&gt;="&amp;'Settings'!$C$28,'All Donations'!$T$2:$T$4001,"&lt;="&amp;'Settings'!$D$28),2),0)</f>
        <v/>
      </c>
      <c r="AU330">
        <f>IF(AE330=1,ROUND(SUMIFS('All Donations'!$S$2:$S$4001,'All Donations'!$R$2:$R$4001,AD330,'All Donations'!$T$2:$T$4001,"&gt;="&amp;'Settings'!$C$29,'All Donations'!$T$2:$T$4001,"&lt;="&amp;'Settings'!$D$29),2),0)</f>
        <v/>
      </c>
      <c r="AV330">
        <f>IF(AE330=1,ROUND(SUMIFS('All Donations'!$S$2:$S$4001,'All Donations'!$R$2:$R$4001,AD330,'All Donations'!$T$2:$T$4001,"&lt;="&amp;'Settings'!$D$30),2),0)</f>
        <v/>
      </c>
      <c r="AZ330">
        <f>IF(AE330=1,ROUND(SUMIFS('All Donations'!$S$2:$S$4001,'All Donations'!$R$2:$R$4001,AD330,'All Donations'!$T$2:$T$4001,"&lt;="&amp;'Settings'!$D$34),2),0)</f>
        <v/>
      </c>
    </row>
    <row r="331">
      <c r="A331">
        <f>IF(AE331=1,TRIM(TRIM('Roster'!B331)&amp;" "&amp;TRIM('Roster'!C331)),"")</f>
        <v/>
      </c>
      <c r="B331">
        <f>IF(AE331=1,IF(AN331="","(no teacher)",AN331&amp;" – "&amp;C331),"")</f>
        <v/>
      </c>
      <c r="C331">
        <f>IF(AE331=1,TRIM('Roster'!D331&amp;""),"")</f>
        <v/>
      </c>
      <c r="D331" s="48">
        <f>IF(AE331=1,ROUND(SUMIFS('All Donations'!$S$2:$S$4001,'All Donations'!$R$2:$R$4001,AD331),2),"")</f>
        <v/>
      </c>
      <c r="E331" s="48">
        <f>IF(AE331=1,ROUND(SUMIFS('All Donations'!$S$2:$S$4001,'All Donations'!$R$2:$R$4001,AD331,'All Donations'!$G$2:$G$4001,"OneCause"),2),"")</f>
        <v/>
      </c>
      <c r="F331" s="48">
        <f>IF(AE331=1,D331-E331,"")</f>
        <v/>
      </c>
      <c r="G331">
        <f>IF(AE331=1,COUNTIFS('All Donations'!$R$2:$R$4001,AD331,'All Donations'!$H$2:$H$4001,"OK"),"")</f>
        <v/>
      </c>
      <c r="H331">
        <f>IF(AE331&lt;&gt;1,"",IF(D331&gt;0,"Yes",""))</f>
        <v/>
      </c>
      <c r="I331" s="49">
        <f>IF(OR($AE331&lt;&gt;1,I$1=""),"",SUMIFS('All Donations'!$S$2:$S$4001,'All Donations'!$R$2:$R$4001,$AD331,'All Donations'!$T$2:$T$4001,I$1))</f>
        <v/>
      </c>
      <c r="J331" s="49">
        <f>IF(OR($AE331&lt;&gt;1,J$1=""),"",SUMIFS('All Donations'!$S$2:$S$4001,'All Donations'!$R$2:$R$4001,$AD331,'All Donations'!$T$2:$T$4001,J$1))</f>
        <v/>
      </c>
      <c r="K331" s="49">
        <f>IF(OR($AE331&lt;&gt;1,K$1=""),"",SUMIFS('All Donations'!$S$2:$S$4001,'All Donations'!$R$2:$R$4001,$AD331,'All Donations'!$T$2:$T$4001,K$1))</f>
        <v/>
      </c>
      <c r="L331" s="49">
        <f>IF(OR($AE331&lt;&gt;1,L$1=""),"",SUMIFS('All Donations'!$S$2:$S$4001,'All Donations'!$R$2:$R$4001,$AD331,'All Donations'!$T$2:$T$4001,L$1))</f>
        <v/>
      </c>
      <c r="M331" s="49">
        <f>IF(OR($AE331&lt;&gt;1,M$1=""),"",SUMIFS('All Donations'!$S$2:$S$4001,'All Donations'!$R$2:$R$4001,$AD331,'All Donations'!$T$2:$T$4001,M$1))</f>
        <v/>
      </c>
      <c r="N331" s="49">
        <f>IF(OR($AE331&lt;&gt;1,N$1=""),"",SUMIFS('All Donations'!$S$2:$S$4001,'All Donations'!$R$2:$R$4001,$AD331,'All Donations'!$T$2:$T$4001,N$1))</f>
        <v/>
      </c>
      <c r="O331" s="49">
        <f>IF(OR($AE331&lt;&gt;1,O$1=""),"",SUMIFS('All Donations'!$S$2:$S$4001,'All Donations'!$R$2:$R$4001,$AD331,'All Donations'!$T$2:$T$4001,O$1))</f>
        <v/>
      </c>
      <c r="P331" s="49">
        <f>IF(OR($AE331&lt;&gt;1,P$1=""),"",SUMIFS('All Donations'!$S$2:$S$4001,'All Donations'!$R$2:$R$4001,$AD331,'All Donations'!$T$2:$T$4001,P$1))</f>
        <v/>
      </c>
      <c r="Q331" s="49">
        <f>IF(OR($AE331&lt;&gt;1,Q$1=""),"",SUMIFS('All Donations'!$S$2:$S$4001,'All Donations'!$R$2:$R$4001,$AD331,'All Donations'!$T$2:$T$4001,Q$1))</f>
        <v/>
      </c>
      <c r="R331" s="49">
        <f>IF(OR($AE331&lt;&gt;1,R$1=""),"",SUMIFS('All Donations'!$S$2:$S$4001,'All Donations'!$R$2:$R$4001,$AD331,'All Donations'!$T$2:$T$4001,R$1))</f>
        <v/>
      </c>
      <c r="S331" s="49">
        <f>IF(OR($AE331&lt;&gt;1,S$1=""),"",SUMIFS('All Donations'!$S$2:$S$4001,'All Donations'!$R$2:$R$4001,$AD331,'All Donations'!$T$2:$T$4001,S$1))</f>
        <v/>
      </c>
      <c r="T331" s="49">
        <f>IF(OR($AE331&lt;&gt;1,T$1=""),"",SUMIFS('All Donations'!$S$2:$S$4001,'All Donations'!$R$2:$R$4001,$AD331,'All Donations'!$T$2:$T$4001,T$1))</f>
        <v/>
      </c>
      <c r="U331" s="49">
        <f>IF(OR($AE331&lt;&gt;1,U$1=""),"",SUMIFS('All Donations'!$S$2:$S$4001,'All Donations'!$R$2:$R$4001,$AD331,'All Donations'!$T$2:$T$4001,U$1))</f>
        <v/>
      </c>
      <c r="V331" s="49">
        <f>IF(OR($AE331&lt;&gt;1,V$1=""),"",SUMIFS('All Donations'!$S$2:$S$4001,'All Donations'!$R$2:$R$4001,$AD331,'All Donations'!$T$2:$T$4001,V$1))</f>
        <v/>
      </c>
      <c r="W331" s="49">
        <f>IF(OR($AE331&lt;&gt;1,W$1=""),"",SUMIFS('All Donations'!$S$2:$S$4001,'All Donations'!$R$2:$R$4001,$AD331,'All Donations'!$T$2:$T$4001,W$1))</f>
        <v/>
      </c>
      <c r="X331" s="49">
        <f>IF(OR($AE331&lt;&gt;1,X$1=""),"",SUMIFS('All Donations'!$S$2:$S$4001,'All Donations'!$R$2:$R$4001,$AD331,'All Donations'!$T$2:$T$4001,X$1))</f>
        <v/>
      </c>
      <c r="Y331" s="49">
        <f>IF(OR($AE331&lt;&gt;1,Y$1=""),"",SUMIFS('All Donations'!$S$2:$S$4001,'All Donations'!$R$2:$R$4001,$AD331,'All Donations'!$T$2:$T$4001,Y$1))</f>
        <v/>
      </c>
      <c r="Z331" s="49">
        <f>IF(OR($AE331&lt;&gt;1,Z$1=""),"",SUMIFS('All Donations'!$S$2:$S$4001,'All Donations'!$R$2:$R$4001,$AD331,'All Donations'!$T$2:$T$4001,Z$1))</f>
        <v/>
      </c>
      <c r="AA331" s="49">
        <f>IF(OR($AE331&lt;&gt;1,AA$1=""),"",SUMIFS('All Donations'!$S$2:$S$4001,'All Donations'!$R$2:$R$4001,$AD331,'All Donations'!$T$2:$T$4001,AA$1))</f>
        <v/>
      </c>
      <c r="AB331" s="49">
        <f>IF(OR($AE331&lt;&gt;1,AB$1=""),"",SUMIFS('All Donations'!$S$2:$S$4001,'All Donations'!$R$2:$R$4001,$AD331,'All Donations'!$T$2:$T$4001,AB$1))</f>
        <v/>
      </c>
      <c r="AC331" s="49">
        <f>IF(OR($AE331&lt;&gt;1,AC$1=""),"",SUMIFS('All Donations'!$S$2:$S$4001,'All Donations'!$R$2:$R$4001,$AD331,'All Donations'!$T$2:$T$4001,AC$1))</f>
        <v/>
      </c>
      <c r="AD331">
        <f>IF(AE331=1,'Roster'!A331,"")</f>
        <v/>
      </c>
      <c r="AE331">
        <f>IF(TRIM('Roster'!B331&amp;'Roster'!C331)&lt;&gt;"",1,0)</f>
        <v/>
      </c>
      <c r="AF331">
        <f>IF(AE331=1,LOWER(A331),"#")</f>
        <v/>
      </c>
      <c r="AG331">
        <f>IF(AE331=1,LOWER(TRIM(TRIM('Roster'!C331)&amp;", "&amp;TRIM('Roster'!B331))),"#")</f>
        <v/>
      </c>
      <c r="AH331">
        <f>IF(AND(AE331=1,TRIM('Roster'!F331)&lt;&gt;""),LOWER(TRIM('Roster'!F331)),"#")</f>
        <v/>
      </c>
      <c r="AI331">
        <f>IF(AE331=1,IF(MATCH(B331,$B$2:$B$701,0)=ROW()-1,1,0),0)</f>
        <v/>
      </c>
      <c r="AJ331">
        <f>AJ330+AI331</f>
        <v/>
      </c>
      <c r="AK331">
        <f>IF(AE331=1,D331+(1000-ROW())/10^7,-1)</f>
        <v/>
      </c>
      <c r="AL331">
        <f>IF(AE331=1,TRIM('Roster'!B331)&amp;" "&amp;LEFT(TRIM('Roster'!C331),1)&amp;".","")</f>
        <v/>
      </c>
      <c r="AM331">
        <f>IF(AE331=1,TRIM('Roster'!C331)&amp;", "&amp;TRIM('Roster'!B331)&amp;" ("&amp;B331&amp;") #"&amp;AD331,"")</f>
        <v/>
      </c>
      <c r="AN331">
        <f>IF(AE331=1,TRIM('Roster'!E331),"")</f>
        <v/>
      </c>
      <c r="AO331">
        <f>IF(AE331=1,ROUND(SUMIFS('All Donations'!$S$2:$S$4001,'All Donations'!$R$2:$R$4001,AD331,'All Donations'!$T$2:$T$4001,"&gt;="&amp;'Settings'!$C$23,'All Donations'!$T$2:$T$4001,"&lt;="&amp;'Settings'!$D$23),2),0)</f>
        <v/>
      </c>
      <c r="AQ331">
        <f>IF(AE331=1,ROUND(SUMIFS('All Donations'!$S$2:$S$4001,'All Donations'!$R$2:$R$4001,AD331,'All Donations'!$T$2:$T$4001,"&gt;="&amp;'Settings'!$C$25,'All Donations'!$T$2:$T$4001,"&lt;="&amp;'Settings'!$D$25),2),0)</f>
        <v/>
      </c>
      <c r="AR331">
        <f>IF(AE331=1,ROUND(SUMIFS('All Donations'!$S$2:$S$4001,'All Donations'!$R$2:$R$4001,AD331,'All Donations'!$T$2:$T$4001,"&gt;="&amp;'Settings'!$C$26,'All Donations'!$T$2:$T$4001,"&lt;="&amp;'Settings'!$D$26),2),0)</f>
        <v/>
      </c>
      <c r="AS331">
        <f>IF(AE331=1,ROUND(SUMIFS('All Donations'!$S$2:$S$4001,'All Donations'!$R$2:$R$4001,AD331,'All Donations'!$T$2:$T$4001,"&lt;="&amp;'Settings'!$D$27),2),0)</f>
        <v/>
      </c>
      <c r="AT331">
        <f>IF(AE331=1,ROUND(SUMIFS('All Donations'!$S$2:$S$4001,'All Donations'!$R$2:$R$4001,AD331,'All Donations'!$T$2:$T$4001,"&gt;="&amp;'Settings'!$C$28,'All Donations'!$T$2:$T$4001,"&lt;="&amp;'Settings'!$D$28),2),0)</f>
        <v/>
      </c>
      <c r="AU331">
        <f>IF(AE331=1,ROUND(SUMIFS('All Donations'!$S$2:$S$4001,'All Donations'!$R$2:$R$4001,AD331,'All Donations'!$T$2:$T$4001,"&gt;="&amp;'Settings'!$C$29,'All Donations'!$T$2:$T$4001,"&lt;="&amp;'Settings'!$D$29),2),0)</f>
        <v/>
      </c>
      <c r="AV331">
        <f>IF(AE331=1,ROUND(SUMIFS('All Donations'!$S$2:$S$4001,'All Donations'!$R$2:$R$4001,AD331,'All Donations'!$T$2:$T$4001,"&lt;="&amp;'Settings'!$D$30),2),0)</f>
        <v/>
      </c>
      <c r="AZ331">
        <f>IF(AE331=1,ROUND(SUMIFS('All Donations'!$S$2:$S$4001,'All Donations'!$R$2:$R$4001,AD331,'All Donations'!$T$2:$T$4001,"&lt;="&amp;'Settings'!$D$34),2),0)</f>
        <v/>
      </c>
    </row>
    <row r="332">
      <c r="A332">
        <f>IF(AE332=1,TRIM(TRIM('Roster'!B332)&amp;" "&amp;TRIM('Roster'!C332)),"")</f>
        <v/>
      </c>
      <c r="B332">
        <f>IF(AE332=1,IF(AN332="","(no teacher)",AN332&amp;" – "&amp;C332),"")</f>
        <v/>
      </c>
      <c r="C332">
        <f>IF(AE332=1,TRIM('Roster'!D332&amp;""),"")</f>
        <v/>
      </c>
      <c r="D332" s="48">
        <f>IF(AE332=1,ROUND(SUMIFS('All Donations'!$S$2:$S$4001,'All Donations'!$R$2:$R$4001,AD332),2),"")</f>
        <v/>
      </c>
      <c r="E332" s="48">
        <f>IF(AE332=1,ROUND(SUMIFS('All Donations'!$S$2:$S$4001,'All Donations'!$R$2:$R$4001,AD332,'All Donations'!$G$2:$G$4001,"OneCause"),2),"")</f>
        <v/>
      </c>
      <c r="F332" s="48">
        <f>IF(AE332=1,D332-E332,"")</f>
        <v/>
      </c>
      <c r="G332">
        <f>IF(AE332=1,COUNTIFS('All Donations'!$R$2:$R$4001,AD332,'All Donations'!$H$2:$H$4001,"OK"),"")</f>
        <v/>
      </c>
      <c r="H332">
        <f>IF(AE332&lt;&gt;1,"",IF(D332&gt;0,"Yes",""))</f>
        <v/>
      </c>
      <c r="I332" s="49">
        <f>IF(OR($AE332&lt;&gt;1,I$1=""),"",SUMIFS('All Donations'!$S$2:$S$4001,'All Donations'!$R$2:$R$4001,$AD332,'All Donations'!$T$2:$T$4001,I$1))</f>
        <v/>
      </c>
      <c r="J332" s="49">
        <f>IF(OR($AE332&lt;&gt;1,J$1=""),"",SUMIFS('All Donations'!$S$2:$S$4001,'All Donations'!$R$2:$R$4001,$AD332,'All Donations'!$T$2:$T$4001,J$1))</f>
        <v/>
      </c>
      <c r="K332" s="49">
        <f>IF(OR($AE332&lt;&gt;1,K$1=""),"",SUMIFS('All Donations'!$S$2:$S$4001,'All Donations'!$R$2:$R$4001,$AD332,'All Donations'!$T$2:$T$4001,K$1))</f>
        <v/>
      </c>
      <c r="L332" s="49">
        <f>IF(OR($AE332&lt;&gt;1,L$1=""),"",SUMIFS('All Donations'!$S$2:$S$4001,'All Donations'!$R$2:$R$4001,$AD332,'All Donations'!$T$2:$T$4001,L$1))</f>
        <v/>
      </c>
      <c r="M332" s="49">
        <f>IF(OR($AE332&lt;&gt;1,M$1=""),"",SUMIFS('All Donations'!$S$2:$S$4001,'All Donations'!$R$2:$R$4001,$AD332,'All Donations'!$T$2:$T$4001,M$1))</f>
        <v/>
      </c>
      <c r="N332" s="49">
        <f>IF(OR($AE332&lt;&gt;1,N$1=""),"",SUMIFS('All Donations'!$S$2:$S$4001,'All Donations'!$R$2:$R$4001,$AD332,'All Donations'!$T$2:$T$4001,N$1))</f>
        <v/>
      </c>
      <c r="O332" s="49">
        <f>IF(OR($AE332&lt;&gt;1,O$1=""),"",SUMIFS('All Donations'!$S$2:$S$4001,'All Donations'!$R$2:$R$4001,$AD332,'All Donations'!$T$2:$T$4001,O$1))</f>
        <v/>
      </c>
      <c r="P332" s="49">
        <f>IF(OR($AE332&lt;&gt;1,P$1=""),"",SUMIFS('All Donations'!$S$2:$S$4001,'All Donations'!$R$2:$R$4001,$AD332,'All Donations'!$T$2:$T$4001,P$1))</f>
        <v/>
      </c>
      <c r="Q332" s="49">
        <f>IF(OR($AE332&lt;&gt;1,Q$1=""),"",SUMIFS('All Donations'!$S$2:$S$4001,'All Donations'!$R$2:$R$4001,$AD332,'All Donations'!$T$2:$T$4001,Q$1))</f>
        <v/>
      </c>
      <c r="R332" s="49">
        <f>IF(OR($AE332&lt;&gt;1,R$1=""),"",SUMIFS('All Donations'!$S$2:$S$4001,'All Donations'!$R$2:$R$4001,$AD332,'All Donations'!$T$2:$T$4001,R$1))</f>
        <v/>
      </c>
      <c r="S332" s="49">
        <f>IF(OR($AE332&lt;&gt;1,S$1=""),"",SUMIFS('All Donations'!$S$2:$S$4001,'All Donations'!$R$2:$R$4001,$AD332,'All Donations'!$T$2:$T$4001,S$1))</f>
        <v/>
      </c>
      <c r="T332" s="49">
        <f>IF(OR($AE332&lt;&gt;1,T$1=""),"",SUMIFS('All Donations'!$S$2:$S$4001,'All Donations'!$R$2:$R$4001,$AD332,'All Donations'!$T$2:$T$4001,T$1))</f>
        <v/>
      </c>
      <c r="U332" s="49">
        <f>IF(OR($AE332&lt;&gt;1,U$1=""),"",SUMIFS('All Donations'!$S$2:$S$4001,'All Donations'!$R$2:$R$4001,$AD332,'All Donations'!$T$2:$T$4001,U$1))</f>
        <v/>
      </c>
      <c r="V332" s="49">
        <f>IF(OR($AE332&lt;&gt;1,V$1=""),"",SUMIFS('All Donations'!$S$2:$S$4001,'All Donations'!$R$2:$R$4001,$AD332,'All Donations'!$T$2:$T$4001,V$1))</f>
        <v/>
      </c>
      <c r="W332" s="49">
        <f>IF(OR($AE332&lt;&gt;1,W$1=""),"",SUMIFS('All Donations'!$S$2:$S$4001,'All Donations'!$R$2:$R$4001,$AD332,'All Donations'!$T$2:$T$4001,W$1))</f>
        <v/>
      </c>
      <c r="X332" s="49">
        <f>IF(OR($AE332&lt;&gt;1,X$1=""),"",SUMIFS('All Donations'!$S$2:$S$4001,'All Donations'!$R$2:$R$4001,$AD332,'All Donations'!$T$2:$T$4001,X$1))</f>
        <v/>
      </c>
      <c r="Y332" s="49">
        <f>IF(OR($AE332&lt;&gt;1,Y$1=""),"",SUMIFS('All Donations'!$S$2:$S$4001,'All Donations'!$R$2:$R$4001,$AD332,'All Donations'!$T$2:$T$4001,Y$1))</f>
        <v/>
      </c>
      <c r="Z332" s="49">
        <f>IF(OR($AE332&lt;&gt;1,Z$1=""),"",SUMIFS('All Donations'!$S$2:$S$4001,'All Donations'!$R$2:$R$4001,$AD332,'All Donations'!$T$2:$T$4001,Z$1))</f>
        <v/>
      </c>
      <c r="AA332" s="49">
        <f>IF(OR($AE332&lt;&gt;1,AA$1=""),"",SUMIFS('All Donations'!$S$2:$S$4001,'All Donations'!$R$2:$R$4001,$AD332,'All Donations'!$T$2:$T$4001,AA$1))</f>
        <v/>
      </c>
      <c r="AB332" s="49">
        <f>IF(OR($AE332&lt;&gt;1,AB$1=""),"",SUMIFS('All Donations'!$S$2:$S$4001,'All Donations'!$R$2:$R$4001,$AD332,'All Donations'!$T$2:$T$4001,AB$1))</f>
        <v/>
      </c>
      <c r="AC332" s="49">
        <f>IF(OR($AE332&lt;&gt;1,AC$1=""),"",SUMIFS('All Donations'!$S$2:$S$4001,'All Donations'!$R$2:$R$4001,$AD332,'All Donations'!$T$2:$T$4001,AC$1))</f>
        <v/>
      </c>
      <c r="AD332">
        <f>IF(AE332=1,'Roster'!A332,"")</f>
        <v/>
      </c>
      <c r="AE332">
        <f>IF(TRIM('Roster'!B332&amp;'Roster'!C332)&lt;&gt;"",1,0)</f>
        <v/>
      </c>
      <c r="AF332">
        <f>IF(AE332=1,LOWER(A332),"#")</f>
        <v/>
      </c>
      <c r="AG332">
        <f>IF(AE332=1,LOWER(TRIM(TRIM('Roster'!C332)&amp;", "&amp;TRIM('Roster'!B332))),"#")</f>
        <v/>
      </c>
      <c r="AH332">
        <f>IF(AND(AE332=1,TRIM('Roster'!F332)&lt;&gt;""),LOWER(TRIM('Roster'!F332)),"#")</f>
        <v/>
      </c>
      <c r="AI332">
        <f>IF(AE332=1,IF(MATCH(B332,$B$2:$B$701,0)=ROW()-1,1,0),0)</f>
        <v/>
      </c>
      <c r="AJ332">
        <f>AJ331+AI332</f>
        <v/>
      </c>
      <c r="AK332">
        <f>IF(AE332=1,D332+(1000-ROW())/10^7,-1)</f>
        <v/>
      </c>
      <c r="AL332">
        <f>IF(AE332=1,TRIM('Roster'!B332)&amp;" "&amp;LEFT(TRIM('Roster'!C332),1)&amp;".","")</f>
        <v/>
      </c>
      <c r="AM332">
        <f>IF(AE332=1,TRIM('Roster'!C332)&amp;", "&amp;TRIM('Roster'!B332)&amp;" ("&amp;B332&amp;") #"&amp;AD332,"")</f>
        <v/>
      </c>
      <c r="AN332">
        <f>IF(AE332=1,TRIM('Roster'!E332),"")</f>
        <v/>
      </c>
      <c r="AO332">
        <f>IF(AE332=1,ROUND(SUMIFS('All Donations'!$S$2:$S$4001,'All Donations'!$R$2:$R$4001,AD332,'All Donations'!$T$2:$T$4001,"&gt;="&amp;'Settings'!$C$23,'All Donations'!$T$2:$T$4001,"&lt;="&amp;'Settings'!$D$23),2),0)</f>
        <v/>
      </c>
      <c r="AQ332">
        <f>IF(AE332=1,ROUND(SUMIFS('All Donations'!$S$2:$S$4001,'All Donations'!$R$2:$R$4001,AD332,'All Donations'!$T$2:$T$4001,"&gt;="&amp;'Settings'!$C$25,'All Donations'!$T$2:$T$4001,"&lt;="&amp;'Settings'!$D$25),2),0)</f>
        <v/>
      </c>
      <c r="AR332">
        <f>IF(AE332=1,ROUND(SUMIFS('All Donations'!$S$2:$S$4001,'All Donations'!$R$2:$R$4001,AD332,'All Donations'!$T$2:$T$4001,"&gt;="&amp;'Settings'!$C$26,'All Donations'!$T$2:$T$4001,"&lt;="&amp;'Settings'!$D$26),2),0)</f>
        <v/>
      </c>
      <c r="AS332">
        <f>IF(AE332=1,ROUND(SUMIFS('All Donations'!$S$2:$S$4001,'All Donations'!$R$2:$R$4001,AD332,'All Donations'!$T$2:$T$4001,"&lt;="&amp;'Settings'!$D$27),2),0)</f>
        <v/>
      </c>
      <c r="AT332">
        <f>IF(AE332=1,ROUND(SUMIFS('All Donations'!$S$2:$S$4001,'All Donations'!$R$2:$R$4001,AD332,'All Donations'!$T$2:$T$4001,"&gt;="&amp;'Settings'!$C$28,'All Donations'!$T$2:$T$4001,"&lt;="&amp;'Settings'!$D$28),2),0)</f>
        <v/>
      </c>
      <c r="AU332">
        <f>IF(AE332=1,ROUND(SUMIFS('All Donations'!$S$2:$S$4001,'All Donations'!$R$2:$R$4001,AD332,'All Donations'!$T$2:$T$4001,"&gt;="&amp;'Settings'!$C$29,'All Donations'!$T$2:$T$4001,"&lt;="&amp;'Settings'!$D$29),2),0)</f>
        <v/>
      </c>
      <c r="AV332">
        <f>IF(AE332=1,ROUND(SUMIFS('All Donations'!$S$2:$S$4001,'All Donations'!$R$2:$R$4001,AD332,'All Donations'!$T$2:$T$4001,"&lt;="&amp;'Settings'!$D$30),2),0)</f>
        <v/>
      </c>
      <c r="AZ332">
        <f>IF(AE332=1,ROUND(SUMIFS('All Donations'!$S$2:$S$4001,'All Donations'!$R$2:$R$4001,AD332,'All Donations'!$T$2:$T$4001,"&lt;="&amp;'Settings'!$D$34),2),0)</f>
        <v/>
      </c>
    </row>
    <row r="333">
      <c r="A333">
        <f>IF(AE333=1,TRIM(TRIM('Roster'!B333)&amp;" "&amp;TRIM('Roster'!C333)),"")</f>
        <v/>
      </c>
      <c r="B333">
        <f>IF(AE333=1,IF(AN333="","(no teacher)",AN333&amp;" – "&amp;C333),"")</f>
        <v/>
      </c>
      <c r="C333">
        <f>IF(AE333=1,TRIM('Roster'!D333&amp;""),"")</f>
        <v/>
      </c>
      <c r="D333" s="48">
        <f>IF(AE333=1,ROUND(SUMIFS('All Donations'!$S$2:$S$4001,'All Donations'!$R$2:$R$4001,AD333),2),"")</f>
        <v/>
      </c>
      <c r="E333" s="48">
        <f>IF(AE333=1,ROUND(SUMIFS('All Donations'!$S$2:$S$4001,'All Donations'!$R$2:$R$4001,AD333,'All Donations'!$G$2:$G$4001,"OneCause"),2),"")</f>
        <v/>
      </c>
      <c r="F333" s="48">
        <f>IF(AE333=1,D333-E333,"")</f>
        <v/>
      </c>
      <c r="G333">
        <f>IF(AE333=1,COUNTIFS('All Donations'!$R$2:$R$4001,AD333,'All Donations'!$H$2:$H$4001,"OK"),"")</f>
        <v/>
      </c>
      <c r="H333">
        <f>IF(AE333&lt;&gt;1,"",IF(D333&gt;0,"Yes",""))</f>
        <v/>
      </c>
      <c r="I333" s="49">
        <f>IF(OR($AE333&lt;&gt;1,I$1=""),"",SUMIFS('All Donations'!$S$2:$S$4001,'All Donations'!$R$2:$R$4001,$AD333,'All Donations'!$T$2:$T$4001,I$1))</f>
        <v/>
      </c>
      <c r="J333" s="49">
        <f>IF(OR($AE333&lt;&gt;1,J$1=""),"",SUMIFS('All Donations'!$S$2:$S$4001,'All Donations'!$R$2:$R$4001,$AD333,'All Donations'!$T$2:$T$4001,J$1))</f>
        <v/>
      </c>
      <c r="K333" s="49">
        <f>IF(OR($AE333&lt;&gt;1,K$1=""),"",SUMIFS('All Donations'!$S$2:$S$4001,'All Donations'!$R$2:$R$4001,$AD333,'All Donations'!$T$2:$T$4001,K$1))</f>
        <v/>
      </c>
      <c r="L333" s="49">
        <f>IF(OR($AE333&lt;&gt;1,L$1=""),"",SUMIFS('All Donations'!$S$2:$S$4001,'All Donations'!$R$2:$R$4001,$AD333,'All Donations'!$T$2:$T$4001,L$1))</f>
        <v/>
      </c>
      <c r="M333" s="49">
        <f>IF(OR($AE333&lt;&gt;1,M$1=""),"",SUMIFS('All Donations'!$S$2:$S$4001,'All Donations'!$R$2:$R$4001,$AD333,'All Donations'!$T$2:$T$4001,M$1))</f>
        <v/>
      </c>
      <c r="N333" s="49">
        <f>IF(OR($AE333&lt;&gt;1,N$1=""),"",SUMIFS('All Donations'!$S$2:$S$4001,'All Donations'!$R$2:$R$4001,$AD333,'All Donations'!$T$2:$T$4001,N$1))</f>
        <v/>
      </c>
      <c r="O333" s="49">
        <f>IF(OR($AE333&lt;&gt;1,O$1=""),"",SUMIFS('All Donations'!$S$2:$S$4001,'All Donations'!$R$2:$R$4001,$AD333,'All Donations'!$T$2:$T$4001,O$1))</f>
        <v/>
      </c>
      <c r="P333" s="49">
        <f>IF(OR($AE333&lt;&gt;1,P$1=""),"",SUMIFS('All Donations'!$S$2:$S$4001,'All Donations'!$R$2:$R$4001,$AD333,'All Donations'!$T$2:$T$4001,P$1))</f>
        <v/>
      </c>
      <c r="Q333" s="49">
        <f>IF(OR($AE333&lt;&gt;1,Q$1=""),"",SUMIFS('All Donations'!$S$2:$S$4001,'All Donations'!$R$2:$R$4001,$AD333,'All Donations'!$T$2:$T$4001,Q$1))</f>
        <v/>
      </c>
      <c r="R333" s="49">
        <f>IF(OR($AE333&lt;&gt;1,R$1=""),"",SUMIFS('All Donations'!$S$2:$S$4001,'All Donations'!$R$2:$R$4001,$AD333,'All Donations'!$T$2:$T$4001,R$1))</f>
        <v/>
      </c>
      <c r="S333" s="49">
        <f>IF(OR($AE333&lt;&gt;1,S$1=""),"",SUMIFS('All Donations'!$S$2:$S$4001,'All Donations'!$R$2:$R$4001,$AD333,'All Donations'!$T$2:$T$4001,S$1))</f>
        <v/>
      </c>
      <c r="T333" s="49">
        <f>IF(OR($AE333&lt;&gt;1,T$1=""),"",SUMIFS('All Donations'!$S$2:$S$4001,'All Donations'!$R$2:$R$4001,$AD333,'All Donations'!$T$2:$T$4001,T$1))</f>
        <v/>
      </c>
      <c r="U333" s="49">
        <f>IF(OR($AE333&lt;&gt;1,U$1=""),"",SUMIFS('All Donations'!$S$2:$S$4001,'All Donations'!$R$2:$R$4001,$AD333,'All Donations'!$T$2:$T$4001,U$1))</f>
        <v/>
      </c>
      <c r="V333" s="49">
        <f>IF(OR($AE333&lt;&gt;1,V$1=""),"",SUMIFS('All Donations'!$S$2:$S$4001,'All Donations'!$R$2:$R$4001,$AD333,'All Donations'!$T$2:$T$4001,V$1))</f>
        <v/>
      </c>
      <c r="W333" s="49">
        <f>IF(OR($AE333&lt;&gt;1,W$1=""),"",SUMIFS('All Donations'!$S$2:$S$4001,'All Donations'!$R$2:$R$4001,$AD333,'All Donations'!$T$2:$T$4001,W$1))</f>
        <v/>
      </c>
      <c r="X333" s="49">
        <f>IF(OR($AE333&lt;&gt;1,X$1=""),"",SUMIFS('All Donations'!$S$2:$S$4001,'All Donations'!$R$2:$R$4001,$AD333,'All Donations'!$T$2:$T$4001,X$1))</f>
        <v/>
      </c>
      <c r="Y333" s="49">
        <f>IF(OR($AE333&lt;&gt;1,Y$1=""),"",SUMIFS('All Donations'!$S$2:$S$4001,'All Donations'!$R$2:$R$4001,$AD333,'All Donations'!$T$2:$T$4001,Y$1))</f>
        <v/>
      </c>
      <c r="Z333" s="49">
        <f>IF(OR($AE333&lt;&gt;1,Z$1=""),"",SUMIFS('All Donations'!$S$2:$S$4001,'All Donations'!$R$2:$R$4001,$AD333,'All Donations'!$T$2:$T$4001,Z$1))</f>
        <v/>
      </c>
      <c r="AA333" s="49">
        <f>IF(OR($AE333&lt;&gt;1,AA$1=""),"",SUMIFS('All Donations'!$S$2:$S$4001,'All Donations'!$R$2:$R$4001,$AD333,'All Donations'!$T$2:$T$4001,AA$1))</f>
        <v/>
      </c>
      <c r="AB333" s="49">
        <f>IF(OR($AE333&lt;&gt;1,AB$1=""),"",SUMIFS('All Donations'!$S$2:$S$4001,'All Donations'!$R$2:$R$4001,$AD333,'All Donations'!$T$2:$T$4001,AB$1))</f>
        <v/>
      </c>
      <c r="AC333" s="49">
        <f>IF(OR($AE333&lt;&gt;1,AC$1=""),"",SUMIFS('All Donations'!$S$2:$S$4001,'All Donations'!$R$2:$R$4001,$AD333,'All Donations'!$T$2:$T$4001,AC$1))</f>
        <v/>
      </c>
      <c r="AD333">
        <f>IF(AE333=1,'Roster'!A333,"")</f>
        <v/>
      </c>
      <c r="AE333">
        <f>IF(TRIM('Roster'!B333&amp;'Roster'!C333)&lt;&gt;"",1,0)</f>
        <v/>
      </c>
      <c r="AF333">
        <f>IF(AE333=1,LOWER(A333),"#")</f>
        <v/>
      </c>
      <c r="AG333">
        <f>IF(AE333=1,LOWER(TRIM(TRIM('Roster'!C333)&amp;", "&amp;TRIM('Roster'!B333))),"#")</f>
        <v/>
      </c>
      <c r="AH333">
        <f>IF(AND(AE333=1,TRIM('Roster'!F333)&lt;&gt;""),LOWER(TRIM('Roster'!F333)),"#")</f>
        <v/>
      </c>
      <c r="AI333">
        <f>IF(AE333=1,IF(MATCH(B333,$B$2:$B$701,0)=ROW()-1,1,0),0)</f>
        <v/>
      </c>
      <c r="AJ333">
        <f>AJ332+AI333</f>
        <v/>
      </c>
      <c r="AK333">
        <f>IF(AE333=1,D333+(1000-ROW())/10^7,-1)</f>
        <v/>
      </c>
      <c r="AL333">
        <f>IF(AE333=1,TRIM('Roster'!B333)&amp;" "&amp;LEFT(TRIM('Roster'!C333),1)&amp;".","")</f>
        <v/>
      </c>
      <c r="AM333">
        <f>IF(AE333=1,TRIM('Roster'!C333)&amp;", "&amp;TRIM('Roster'!B333)&amp;" ("&amp;B333&amp;") #"&amp;AD333,"")</f>
        <v/>
      </c>
      <c r="AN333">
        <f>IF(AE333=1,TRIM('Roster'!E333),"")</f>
        <v/>
      </c>
      <c r="AO333">
        <f>IF(AE333=1,ROUND(SUMIFS('All Donations'!$S$2:$S$4001,'All Donations'!$R$2:$R$4001,AD333,'All Donations'!$T$2:$T$4001,"&gt;="&amp;'Settings'!$C$23,'All Donations'!$T$2:$T$4001,"&lt;="&amp;'Settings'!$D$23),2),0)</f>
        <v/>
      </c>
      <c r="AQ333">
        <f>IF(AE333=1,ROUND(SUMIFS('All Donations'!$S$2:$S$4001,'All Donations'!$R$2:$R$4001,AD333,'All Donations'!$T$2:$T$4001,"&gt;="&amp;'Settings'!$C$25,'All Donations'!$T$2:$T$4001,"&lt;="&amp;'Settings'!$D$25),2),0)</f>
        <v/>
      </c>
      <c r="AR333">
        <f>IF(AE333=1,ROUND(SUMIFS('All Donations'!$S$2:$S$4001,'All Donations'!$R$2:$R$4001,AD333,'All Donations'!$T$2:$T$4001,"&gt;="&amp;'Settings'!$C$26,'All Donations'!$T$2:$T$4001,"&lt;="&amp;'Settings'!$D$26),2),0)</f>
        <v/>
      </c>
      <c r="AS333">
        <f>IF(AE333=1,ROUND(SUMIFS('All Donations'!$S$2:$S$4001,'All Donations'!$R$2:$R$4001,AD333,'All Donations'!$T$2:$T$4001,"&lt;="&amp;'Settings'!$D$27),2),0)</f>
        <v/>
      </c>
      <c r="AT333">
        <f>IF(AE333=1,ROUND(SUMIFS('All Donations'!$S$2:$S$4001,'All Donations'!$R$2:$R$4001,AD333,'All Donations'!$T$2:$T$4001,"&gt;="&amp;'Settings'!$C$28,'All Donations'!$T$2:$T$4001,"&lt;="&amp;'Settings'!$D$28),2),0)</f>
        <v/>
      </c>
      <c r="AU333">
        <f>IF(AE333=1,ROUND(SUMIFS('All Donations'!$S$2:$S$4001,'All Donations'!$R$2:$R$4001,AD333,'All Donations'!$T$2:$T$4001,"&gt;="&amp;'Settings'!$C$29,'All Donations'!$T$2:$T$4001,"&lt;="&amp;'Settings'!$D$29),2),0)</f>
        <v/>
      </c>
      <c r="AV333">
        <f>IF(AE333=1,ROUND(SUMIFS('All Donations'!$S$2:$S$4001,'All Donations'!$R$2:$R$4001,AD333,'All Donations'!$T$2:$T$4001,"&lt;="&amp;'Settings'!$D$30),2),0)</f>
        <v/>
      </c>
      <c r="AZ333">
        <f>IF(AE333=1,ROUND(SUMIFS('All Donations'!$S$2:$S$4001,'All Donations'!$R$2:$R$4001,AD333,'All Donations'!$T$2:$T$4001,"&lt;="&amp;'Settings'!$D$34),2),0)</f>
        <v/>
      </c>
    </row>
    <row r="334">
      <c r="A334">
        <f>IF(AE334=1,TRIM(TRIM('Roster'!B334)&amp;" "&amp;TRIM('Roster'!C334)),"")</f>
        <v/>
      </c>
      <c r="B334">
        <f>IF(AE334=1,IF(AN334="","(no teacher)",AN334&amp;" – "&amp;C334),"")</f>
        <v/>
      </c>
      <c r="C334">
        <f>IF(AE334=1,TRIM('Roster'!D334&amp;""),"")</f>
        <v/>
      </c>
      <c r="D334" s="48">
        <f>IF(AE334=1,ROUND(SUMIFS('All Donations'!$S$2:$S$4001,'All Donations'!$R$2:$R$4001,AD334),2),"")</f>
        <v/>
      </c>
      <c r="E334" s="48">
        <f>IF(AE334=1,ROUND(SUMIFS('All Donations'!$S$2:$S$4001,'All Donations'!$R$2:$R$4001,AD334,'All Donations'!$G$2:$G$4001,"OneCause"),2),"")</f>
        <v/>
      </c>
      <c r="F334" s="48">
        <f>IF(AE334=1,D334-E334,"")</f>
        <v/>
      </c>
      <c r="G334">
        <f>IF(AE334=1,COUNTIFS('All Donations'!$R$2:$R$4001,AD334,'All Donations'!$H$2:$H$4001,"OK"),"")</f>
        <v/>
      </c>
      <c r="H334">
        <f>IF(AE334&lt;&gt;1,"",IF(D334&gt;0,"Yes",""))</f>
        <v/>
      </c>
      <c r="I334" s="49">
        <f>IF(OR($AE334&lt;&gt;1,I$1=""),"",SUMIFS('All Donations'!$S$2:$S$4001,'All Donations'!$R$2:$R$4001,$AD334,'All Donations'!$T$2:$T$4001,I$1))</f>
        <v/>
      </c>
      <c r="J334" s="49">
        <f>IF(OR($AE334&lt;&gt;1,J$1=""),"",SUMIFS('All Donations'!$S$2:$S$4001,'All Donations'!$R$2:$R$4001,$AD334,'All Donations'!$T$2:$T$4001,J$1))</f>
        <v/>
      </c>
      <c r="K334" s="49">
        <f>IF(OR($AE334&lt;&gt;1,K$1=""),"",SUMIFS('All Donations'!$S$2:$S$4001,'All Donations'!$R$2:$R$4001,$AD334,'All Donations'!$T$2:$T$4001,K$1))</f>
        <v/>
      </c>
      <c r="L334" s="49">
        <f>IF(OR($AE334&lt;&gt;1,L$1=""),"",SUMIFS('All Donations'!$S$2:$S$4001,'All Donations'!$R$2:$R$4001,$AD334,'All Donations'!$T$2:$T$4001,L$1))</f>
        <v/>
      </c>
      <c r="M334" s="49">
        <f>IF(OR($AE334&lt;&gt;1,M$1=""),"",SUMIFS('All Donations'!$S$2:$S$4001,'All Donations'!$R$2:$R$4001,$AD334,'All Donations'!$T$2:$T$4001,M$1))</f>
        <v/>
      </c>
      <c r="N334" s="49">
        <f>IF(OR($AE334&lt;&gt;1,N$1=""),"",SUMIFS('All Donations'!$S$2:$S$4001,'All Donations'!$R$2:$R$4001,$AD334,'All Donations'!$T$2:$T$4001,N$1))</f>
        <v/>
      </c>
      <c r="O334" s="49">
        <f>IF(OR($AE334&lt;&gt;1,O$1=""),"",SUMIFS('All Donations'!$S$2:$S$4001,'All Donations'!$R$2:$R$4001,$AD334,'All Donations'!$T$2:$T$4001,O$1))</f>
        <v/>
      </c>
      <c r="P334" s="49">
        <f>IF(OR($AE334&lt;&gt;1,P$1=""),"",SUMIFS('All Donations'!$S$2:$S$4001,'All Donations'!$R$2:$R$4001,$AD334,'All Donations'!$T$2:$T$4001,P$1))</f>
        <v/>
      </c>
      <c r="Q334" s="49">
        <f>IF(OR($AE334&lt;&gt;1,Q$1=""),"",SUMIFS('All Donations'!$S$2:$S$4001,'All Donations'!$R$2:$R$4001,$AD334,'All Donations'!$T$2:$T$4001,Q$1))</f>
        <v/>
      </c>
      <c r="R334" s="49">
        <f>IF(OR($AE334&lt;&gt;1,R$1=""),"",SUMIFS('All Donations'!$S$2:$S$4001,'All Donations'!$R$2:$R$4001,$AD334,'All Donations'!$T$2:$T$4001,R$1))</f>
        <v/>
      </c>
      <c r="S334" s="49">
        <f>IF(OR($AE334&lt;&gt;1,S$1=""),"",SUMIFS('All Donations'!$S$2:$S$4001,'All Donations'!$R$2:$R$4001,$AD334,'All Donations'!$T$2:$T$4001,S$1))</f>
        <v/>
      </c>
      <c r="T334" s="49">
        <f>IF(OR($AE334&lt;&gt;1,T$1=""),"",SUMIFS('All Donations'!$S$2:$S$4001,'All Donations'!$R$2:$R$4001,$AD334,'All Donations'!$T$2:$T$4001,T$1))</f>
        <v/>
      </c>
      <c r="U334" s="49">
        <f>IF(OR($AE334&lt;&gt;1,U$1=""),"",SUMIFS('All Donations'!$S$2:$S$4001,'All Donations'!$R$2:$R$4001,$AD334,'All Donations'!$T$2:$T$4001,U$1))</f>
        <v/>
      </c>
      <c r="V334" s="49">
        <f>IF(OR($AE334&lt;&gt;1,V$1=""),"",SUMIFS('All Donations'!$S$2:$S$4001,'All Donations'!$R$2:$R$4001,$AD334,'All Donations'!$T$2:$T$4001,V$1))</f>
        <v/>
      </c>
      <c r="W334" s="49">
        <f>IF(OR($AE334&lt;&gt;1,W$1=""),"",SUMIFS('All Donations'!$S$2:$S$4001,'All Donations'!$R$2:$R$4001,$AD334,'All Donations'!$T$2:$T$4001,W$1))</f>
        <v/>
      </c>
      <c r="X334" s="49">
        <f>IF(OR($AE334&lt;&gt;1,X$1=""),"",SUMIFS('All Donations'!$S$2:$S$4001,'All Donations'!$R$2:$R$4001,$AD334,'All Donations'!$T$2:$T$4001,X$1))</f>
        <v/>
      </c>
      <c r="Y334" s="49">
        <f>IF(OR($AE334&lt;&gt;1,Y$1=""),"",SUMIFS('All Donations'!$S$2:$S$4001,'All Donations'!$R$2:$R$4001,$AD334,'All Donations'!$T$2:$T$4001,Y$1))</f>
        <v/>
      </c>
      <c r="Z334" s="49">
        <f>IF(OR($AE334&lt;&gt;1,Z$1=""),"",SUMIFS('All Donations'!$S$2:$S$4001,'All Donations'!$R$2:$R$4001,$AD334,'All Donations'!$T$2:$T$4001,Z$1))</f>
        <v/>
      </c>
      <c r="AA334" s="49">
        <f>IF(OR($AE334&lt;&gt;1,AA$1=""),"",SUMIFS('All Donations'!$S$2:$S$4001,'All Donations'!$R$2:$R$4001,$AD334,'All Donations'!$T$2:$T$4001,AA$1))</f>
        <v/>
      </c>
      <c r="AB334" s="49">
        <f>IF(OR($AE334&lt;&gt;1,AB$1=""),"",SUMIFS('All Donations'!$S$2:$S$4001,'All Donations'!$R$2:$R$4001,$AD334,'All Donations'!$T$2:$T$4001,AB$1))</f>
        <v/>
      </c>
      <c r="AC334" s="49">
        <f>IF(OR($AE334&lt;&gt;1,AC$1=""),"",SUMIFS('All Donations'!$S$2:$S$4001,'All Donations'!$R$2:$R$4001,$AD334,'All Donations'!$T$2:$T$4001,AC$1))</f>
        <v/>
      </c>
      <c r="AD334">
        <f>IF(AE334=1,'Roster'!A334,"")</f>
        <v/>
      </c>
      <c r="AE334">
        <f>IF(TRIM('Roster'!B334&amp;'Roster'!C334)&lt;&gt;"",1,0)</f>
        <v/>
      </c>
      <c r="AF334">
        <f>IF(AE334=1,LOWER(A334),"#")</f>
        <v/>
      </c>
      <c r="AG334">
        <f>IF(AE334=1,LOWER(TRIM(TRIM('Roster'!C334)&amp;", "&amp;TRIM('Roster'!B334))),"#")</f>
        <v/>
      </c>
      <c r="AH334">
        <f>IF(AND(AE334=1,TRIM('Roster'!F334)&lt;&gt;""),LOWER(TRIM('Roster'!F334)),"#")</f>
        <v/>
      </c>
      <c r="AI334">
        <f>IF(AE334=1,IF(MATCH(B334,$B$2:$B$701,0)=ROW()-1,1,0),0)</f>
        <v/>
      </c>
      <c r="AJ334">
        <f>AJ333+AI334</f>
        <v/>
      </c>
      <c r="AK334">
        <f>IF(AE334=1,D334+(1000-ROW())/10^7,-1)</f>
        <v/>
      </c>
      <c r="AL334">
        <f>IF(AE334=1,TRIM('Roster'!B334)&amp;" "&amp;LEFT(TRIM('Roster'!C334),1)&amp;".","")</f>
        <v/>
      </c>
      <c r="AM334">
        <f>IF(AE334=1,TRIM('Roster'!C334)&amp;", "&amp;TRIM('Roster'!B334)&amp;" ("&amp;B334&amp;") #"&amp;AD334,"")</f>
        <v/>
      </c>
      <c r="AN334">
        <f>IF(AE334=1,TRIM('Roster'!E334),"")</f>
        <v/>
      </c>
      <c r="AO334">
        <f>IF(AE334=1,ROUND(SUMIFS('All Donations'!$S$2:$S$4001,'All Donations'!$R$2:$R$4001,AD334,'All Donations'!$T$2:$T$4001,"&gt;="&amp;'Settings'!$C$23,'All Donations'!$T$2:$T$4001,"&lt;="&amp;'Settings'!$D$23),2),0)</f>
        <v/>
      </c>
      <c r="AQ334">
        <f>IF(AE334=1,ROUND(SUMIFS('All Donations'!$S$2:$S$4001,'All Donations'!$R$2:$R$4001,AD334,'All Donations'!$T$2:$T$4001,"&gt;="&amp;'Settings'!$C$25,'All Donations'!$T$2:$T$4001,"&lt;="&amp;'Settings'!$D$25),2),0)</f>
        <v/>
      </c>
      <c r="AR334">
        <f>IF(AE334=1,ROUND(SUMIFS('All Donations'!$S$2:$S$4001,'All Donations'!$R$2:$R$4001,AD334,'All Donations'!$T$2:$T$4001,"&gt;="&amp;'Settings'!$C$26,'All Donations'!$T$2:$T$4001,"&lt;="&amp;'Settings'!$D$26),2),0)</f>
        <v/>
      </c>
      <c r="AS334">
        <f>IF(AE334=1,ROUND(SUMIFS('All Donations'!$S$2:$S$4001,'All Donations'!$R$2:$R$4001,AD334,'All Donations'!$T$2:$T$4001,"&lt;="&amp;'Settings'!$D$27),2),0)</f>
        <v/>
      </c>
      <c r="AT334">
        <f>IF(AE334=1,ROUND(SUMIFS('All Donations'!$S$2:$S$4001,'All Donations'!$R$2:$R$4001,AD334,'All Donations'!$T$2:$T$4001,"&gt;="&amp;'Settings'!$C$28,'All Donations'!$T$2:$T$4001,"&lt;="&amp;'Settings'!$D$28),2),0)</f>
        <v/>
      </c>
      <c r="AU334">
        <f>IF(AE334=1,ROUND(SUMIFS('All Donations'!$S$2:$S$4001,'All Donations'!$R$2:$R$4001,AD334,'All Donations'!$T$2:$T$4001,"&gt;="&amp;'Settings'!$C$29,'All Donations'!$T$2:$T$4001,"&lt;="&amp;'Settings'!$D$29),2),0)</f>
        <v/>
      </c>
      <c r="AV334">
        <f>IF(AE334=1,ROUND(SUMIFS('All Donations'!$S$2:$S$4001,'All Donations'!$R$2:$R$4001,AD334,'All Donations'!$T$2:$T$4001,"&lt;="&amp;'Settings'!$D$30),2),0)</f>
        <v/>
      </c>
      <c r="AZ334">
        <f>IF(AE334=1,ROUND(SUMIFS('All Donations'!$S$2:$S$4001,'All Donations'!$R$2:$R$4001,AD334,'All Donations'!$T$2:$T$4001,"&lt;="&amp;'Settings'!$D$34),2),0)</f>
        <v/>
      </c>
    </row>
    <row r="335">
      <c r="A335">
        <f>IF(AE335=1,TRIM(TRIM('Roster'!B335)&amp;" "&amp;TRIM('Roster'!C335)),"")</f>
        <v/>
      </c>
      <c r="B335">
        <f>IF(AE335=1,IF(AN335="","(no teacher)",AN335&amp;" – "&amp;C335),"")</f>
        <v/>
      </c>
      <c r="C335">
        <f>IF(AE335=1,TRIM('Roster'!D335&amp;""),"")</f>
        <v/>
      </c>
      <c r="D335" s="48">
        <f>IF(AE335=1,ROUND(SUMIFS('All Donations'!$S$2:$S$4001,'All Donations'!$R$2:$R$4001,AD335),2),"")</f>
        <v/>
      </c>
      <c r="E335" s="48">
        <f>IF(AE335=1,ROUND(SUMIFS('All Donations'!$S$2:$S$4001,'All Donations'!$R$2:$R$4001,AD335,'All Donations'!$G$2:$G$4001,"OneCause"),2),"")</f>
        <v/>
      </c>
      <c r="F335" s="48">
        <f>IF(AE335=1,D335-E335,"")</f>
        <v/>
      </c>
      <c r="G335">
        <f>IF(AE335=1,COUNTIFS('All Donations'!$R$2:$R$4001,AD335,'All Donations'!$H$2:$H$4001,"OK"),"")</f>
        <v/>
      </c>
      <c r="H335">
        <f>IF(AE335&lt;&gt;1,"",IF(D335&gt;0,"Yes",""))</f>
        <v/>
      </c>
      <c r="I335" s="49">
        <f>IF(OR($AE335&lt;&gt;1,I$1=""),"",SUMIFS('All Donations'!$S$2:$S$4001,'All Donations'!$R$2:$R$4001,$AD335,'All Donations'!$T$2:$T$4001,I$1))</f>
        <v/>
      </c>
      <c r="J335" s="49">
        <f>IF(OR($AE335&lt;&gt;1,J$1=""),"",SUMIFS('All Donations'!$S$2:$S$4001,'All Donations'!$R$2:$R$4001,$AD335,'All Donations'!$T$2:$T$4001,J$1))</f>
        <v/>
      </c>
      <c r="K335" s="49">
        <f>IF(OR($AE335&lt;&gt;1,K$1=""),"",SUMIFS('All Donations'!$S$2:$S$4001,'All Donations'!$R$2:$R$4001,$AD335,'All Donations'!$T$2:$T$4001,K$1))</f>
        <v/>
      </c>
      <c r="L335" s="49">
        <f>IF(OR($AE335&lt;&gt;1,L$1=""),"",SUMIFS('All Donations'!$S$2:$S$4001,'All Donations'!$R$2:$R$4001,$AD335,'All Donations'!$T$2:$T$4001,L$1))</f>
        <v/>
      </c>
      <c r="M335" s="49">
        <f>IF(OR($AE335&lt;&gt;1,M$1=""),"",SUMIFS('All Donations'!$S$2:$S$4001,'All Donations'!$R$2:$R$4001,$AD335,'All Donations'!$T$2:$T$4001,M$1))</f>
        <v/>
      </c>
      <c r="N335" s="49">
        <f>IF(OR($AE335&lt;&gt;1,N$1=""),"",SUMIFS('All Donations'!$S$2:$S$4001,'All Donations'!$R$2:$R$4001,$AD335,'All Donations'!$T$2:$T$4001,N$1))</f>
        <v/>
      </c>
      <c r="O335" s="49">
        <f>IF(OR($AE335&lt;&gt;1,O$1=""),"",SUMIFS('All Donations'!$S$2:$S$4001,'All Donations'!$R$2:$R$4001,$AD335,'All Donations'!$T$2:$T$4001,O$1))</f>
        <v/>
      </c>
      <c r="P335" s="49">
        <f>IF(OR($AE335&lt;&gt;1,P$1=""),"",SUMIFS('All Donations'!$S$2:$S$4001,'All Donations'!$R$2:$R$4001,$AD335,'All Donations'!$T$2:$T$4001,P$1))</f>
        <v/>
      </c>
      <c r="Q335" s="49">
        <f>IF(OR($AE335&lt;&gt;1,Q$1=""),"",SUMIFS('All Donations'!$S$2:$S$4001,'All Donations'!$R$2:$R$4001,$AD335,'All Donations'!$T$2:$T$4001,Q$1))</f>
        <v/>
      </c>
      <c r="R335" s="49">
        <f>IF(OR($AE335&lt;&gt;1,R$1=""),"",SUMIFS('All Donations'!$S$2:$S$4001,'All Donations'!$R$2:$R$4001,$AD335,'All Donations'!$T$2:$T$4001,R$1))</f>
        <v/>
      </c>
      <c r="S335" s="49">
        <f>IF(OR($AE335&lt;&gt;1,S$1=""),"",SUMIFS('All Donations'!$S$2:$S$4001,'All Donations'!$R$2:$R$4001,$AD335,'All Donations'!$T$2:$T$4001,S$1))</f>
        <v/>
      </c>
      <c r="T335" s="49">
        <f>IF(OR($AE335&lt;&gt;1,T$1=""),"",SUMIFS('All Donations'!$S$2:$S$4001,'All Donations'!$R$2:$R$4001,$AD335,'All Donations'!$T$2:$T$4001,T$1))</f>
        <v/>
      </c>
      <c r="U335" s="49">
        <f>IF(OR($AE335&lt;&gt;1,U$1=""),"",SUMIFS('All Donations'!$S$2:$S$4001,'All Donations'!$R$2:$R$4001,$AD335,'All Donations'!$T$2:$T$4001,U$1))</f>
        <v/>
      </c>
      <c r="V335" s="49">
        <f>IF(OR($AE335&lt;&gt;1,V$1=""),"",SUMIFS('All Donations'!$S$2:$S$4001,'All Donations'!$R$2:$R$4001,$AD335,'All Donations'!$T$2:$T$4001,V$1))</f>
        <v/>
      </c>
      <c r="W335" s="49">
        <f>IF(OR($AE335&lt;&gt;1,W$1=""),"",SUMIFS('All Donations'!$S$2:$S$4001,'All Donations'!$R$2:$R$4001,$AD335,'All Donations'!$T$2:$T$4001,W$1))</f>
        <v/>
      </c>
      <c r="X335" s="49">
        <f>IF(OR($AE335&lt;&gt;1,X$1=""),"",SUMIFS('All Donations'!$S$2:$S$4001,'All Donations'!$R$2:$R$4001,$AD335,'All Donations'!$T$2:$T$4001,X$1))</f>
        <v/>
      </c>
      <c r="Y335" s="49">
        <f>IF(OR($AE335&lt;&gt;1,Y$1=""),"",SUMIFS('All Donations'!$S$2:$S$4001,'All Donations'!$R$2:$R$4001,$AD335,'All Donations'!$T$2:$T$4001,Y$1))</f>
        <v/>
      </c>
      <c r="Z335" s="49">
        <f>IF(OR($AE335&lt;&gt;1,Z$1=""),"",SUMIFS('All Donations'!$S$2:$S$4001,'All Donations'!$R$2:$R$4001,$AD335,'All Donations'!$T$2:$T$4001,Z$1))</f>
        <v/>
      </c>
      <c r="AA335" s="49">
        <f>IF(OR($AE335&lt;&gt;1,AA$1=""),"",SUMIFS('All Donations'!$S$2:$S$4001,'All Donations'!$R$2:$R$4001,$AD335,'All Donations'!$T$2:$T$4001,AA$1))</f>
        <v/>
      </c>
      <c r="AB335" s="49">
        <f>IF(OR($AE335&lt;&gt;1,AB$1=""),"",SUMIFS('All Donations'!$S$2:$S$4001,'All Donations'!$R$2:$R$4001,$AD335,'All Donations'!$T$2:$T$4001,AB$1))</f>
        <v/>
      </c>
      <c r="AC335" s="49">
        <f>IF(OR($AE335&lt;&gt;1,AC$1=""),"",SUMIFS('All Donations'!$S$2:$S$4001,'All Donations'!$R$2:$R$4001,$AD335,'All Donations'!$T$2:$T$4001,AC$1))</f>
        <v/>
      </c>
      <c r="AD335">
        <f>IF(AE335=1,'Roster'!A335,"")</f>
        <v/>
      </c>
      <c r="AE335">
        <f>IF(TRIM('Roster'!B335&amp;'Roster'!C335)&lt;&gt;"",1,0)</f>
        <v/>
      </c>
      <c r="AF335">
        <f>IF(AE335=1,LOWER(A335),"#")</f>
        <v/>
      </c>
      <c r="AG335">
        <f>IF(AE335=1,LOWER(TRIM(TRIM('Roster'!C335)&amp;", "&amp;TRIM('Roster'!B335))),"#")</f>
        <v/>
      </c>
      <c r="AH335">
        <f>IF(AND(AE335=1,TRIM('Roster'!F335)&lt;&gt;""),LOWER(TRIM('Roster'!F335)),"#")</f>
        <v/>
      </c>
      <c r="AI335">
        <f>IF(AE335=1,IF(MATCH(B335,$B$2:$B$701,0)=ROW()-1,1,0),0)</f>
        <v/>
      </c>
      <c r="AJ335">
        <f>AJ334+AI335</f>
        <v/>
      </c>
      <c r="AK335">
        <f>IF(AE335=1,D335+(1000-ROW())/10^7,-1)</f>
        <v/>
      </c>
      <c r="AL335">
        <f>IF(AE335=1,TRIM('Roster'!B335)&amp;" "&amp;LEFT(TRIM('Roster'!C335),1)&amp;".","")</f>
        <v/>
      </c>
      <c r="AM335">
        <f>IF(AE335=1,TRIM('Roster'!C335)&amp;", "&amp;TRIM('Roster'!B335)&amp;" ("&amp;B335&amp;") #"&amp;AD335,"")</f>
        <v/>
      </c>
      <c r="AN335">
        <f>IF(AE335=1,TRIM('Roster'!E335),"")</f>
        <v/>
      </c>
      <c r="AO335">
        <f>IF(AE335=1,ROUND(SUMIFS('All Donations'!$S$2:$S$4001,'All Donations'!$R$2:$R$4001,AD335,'All Donations'!$T$2:$T$4001,"&gt;="&amp;'Settings'!$C$23,'All Donations'!$T$2:$T$4001,"&lt;="&amp;'Settings'!$D$23),2),0)</f>
        <v/>
      </c>
      <c r="AQ335">
        <f>IF(AE335=1,ROUND(SUMIFS('All Donations'!$S$2:$S$4001,'All Donations'!$R$2:$R$4001,AD335,'All Donations'!$T$2:$T$4001,"&gt;="&amp;'Settings'!$C$25,'All Donations'!$T$2:$T$4001,"&lt;="&amp;'Settings'!$D$25),2),0)</f>
        <v/>
      </c>
      <c r="AR335">
        <f>IF(AE335=1,ROUND(SUMIFS('All Donations'!$S$2:$S$4001,'All Donations'!$R$2:$R$4001,AD335,'All Donations'!$T$2:$T$4001,"&gt;="&amp;'Settings'!$C$26,'All Donations'!$T$2:$T$4001,"&lt;="&amp;'Settings'!$D$26),2),0)</f>
        <v/>
      </c>
      <c r="AS335">
        <f>IF(AE335=1,ROUND(SUMIFS('All Donations'!$S$2:$S$4001,'All Donations'!$R$2:$R$4001,AD335,'All Donations'!$T$2:$T$4001,"&lt;="&amp;'Settings'!$D$27),2),0)</f>
        <v/>
      </c>
      <c r="AT335">
        <f>IF(AE335=1,ROUND(SUMIFS('All Donations'!$S$2:$S$4001,'All Donations'!$R$2:$R$4001,AD335,'All Donations'!$T$2:$T$4001,"&gt;="&amp;'Settings'!$C$28,'All Donations'!$T$2:$T$4001,"&lt;="&amp;'Settings'!$D$28),2),0)</f>
        <v/>
      </c>
      <c r="AU335">
        <f>IF(AE335=1,ROUND(SUMIFS('All Donations'!$S$2:$S$4001,'All Donations'!$R$2:$R$4001,AD335,'All Donations'!$T$2:$T$4001,"&gt;="&amp;'Settings'!$C$29,'All Donations'!$T$2:$T$4001,"&lt;="&amp;'Settings'!$D$29),2),0)</f>
        <v/>
      </c>
      <c r="AV335">
        <f>IF(AE335=1,ROUND(SUMIFS('All Donations'!$S$2:$S$4001,'All Donations'!$R$2:$R$4001,AD335,'All Donations'!$T$2:$T$4001,"&lt;="&amp;'Settings'!$D$30),2),0)</f>
        <v/>
      </c>
      <c r="AZ335">
        <f>IF(AE335=1,ROUND(SUMIFS('All Donations'!$S$2:$S$4001,'All Donations'!$R$2:$R$4001,AD335,'All Donations'!$T$2:$T$4001,"&lt;="&amp;'Settings'!$D$34),2),0)</f>
        <v/>
      </c>
    </row>
    <row r="336">
      <c r="A336">
        <f>IF(AE336=1,TRIM(TRIM('Roster'!B336)&amp;" "&amp;TRIM('Roster'!C336)),"")</f>
        <v/>
      </c>
      <c r="B336">
        <f>IF(AE336=1,IF(AN336="","(no teacher)",AN336&amp;" – "&amp;C336),"")</f>
        <v/>
      </c>
      <c r="C336">
        <f>IF(AE336=1,TRIM('Roster'!D336&amp;""),"")</f>
        <v/>
      </c>
      <c r="D336" s="48">
        <f>IF(AE336=1,ROUND(SUMIFS('All Donations'!$S$2:$S$4001,'All Donations'!$R$2:$R$4001,AD336),2),"")</f>
        <v/>
      </c>
      <c r="E336" s="48">
        <f>IF(AE336=1,ROUND(SUMIFS('All Donations'!$S$2:$S$4001,'All Donations'!$R$2:$R$4001,AD336,'All Donations'!$G$2:$G$4001,"OneCause"),2),"")</f>
        <v/>
      </c>
      <c r="F336" s="48">
        <f>IF(AE336=1,D336-E336,"")</f>
        <v/>
      </c>
      <c r="G336">
        <f>IF(AE336=1,COUNTIFS('All Donations'!$R$2:$R$4001,AD336,'All Donations'!$H$2:$H$4001,"OK"),"")</f>
        <v/>
      </c>
      <c r="H336">
        <f>IF(AE336&lt;&gt;1,"",IF(D336&gt;0,"Yes",""))</f>
        <v/>
      </c>
      <c r="I336" s="49">
        <f>IF(OR($AE336&lt;&gt;1,I$1=""),"",SUMIFS('All Donations'!$S$2:$S$4001,'All Donations'!$R$2:$R$4001,$AD336,'All Donations'!$T$2:$T$4001,I$1))</f>
        <v/>
      </c>
      <c r="J336" s="49">
        <f>IF(OR($AE336&lt;&gt;1,J$1=""),"",SUMIFS('All Donations'!$S$2:$S$4001,'All Donations'!$R$2:$R$4001,$AD336,'All Donations'!$T$2:$T$4001,J$1))</f>
        <v/>
      </c>
      <c r="K336" s="49">
        <f>IF(OR($AE336&lt;&gt;1,K$1=""),"",SUMIFS('All Donations'!$S$2:$S$4001,'All Donations'!$R$2:$R$4001,$AD336,'All Donations'!$T$2:$T$4001,K$1))</f>
        <v/>
      </c>
      <c r="L336" s="49">
        <f>IF(OR($AE336&lt;&gt;1,L$1=""),"",SUMIFS('All Donations'!$S$2:$S$4001,'All Donations'!$R$2:$R$4001,$AD336,'All Donations'!$T$2:$T$4001,L$1))</f>
        <v/>
      </c>
      <c r="M336" s="49">
        <f>IF(OR($AE336&lt;&gt;1,M$1=""),"",SUMIFS('All Donations'!$S$2:$S$4001,'All Donations'!$R$2:$R$4001,$AD336,'All Donations'!$T$2:$T$4001,M$1))</f>
        <v/>
      </c>
      <c r="N336" s="49">
        <f>IF(OR($AE336&lt;&gt;1,N$1=""),"",SUMIFS('All Donations'!$S$2:$S$4001,'All Donations'!$R$2:$R$4001,$AD336,'All Donations'!$T$2:$T$4001,N$1))</f>
        <v/>
      </c>
      <c r="O336" s="49">
        <f>IF(OR($AE336&lt;&gt;1,O$1=""),"",SUMIFS('All Donations'!$S$2:$S$4001,'All Donations'!$R$2:$R$4001,$AD336,'All Donations'!$T$2:$T$4001,O$1))</f>
        <v/>
      </c>
      <c r="P336" s="49">
        <f>IF(OR($AE336&lt;&gt;1,P$1=""),"",SUMIFS('All Donations'!$S$2:$S$4001,'All Donations'!$R$2:$R$4001,$AD336,'All Donations'!$T$2:$T$4001,P$1))</f>
        <v/>
      </c>
      <c r="Q336" s="49">
        <f>IF(OR($AE336&lt;&gt;1,Q$1=""),"",SUMIFS('All Donations'!$S$2:$S$4001,'All Donations'!$R$2:$R$4001,$AD336,'All Donations'!$T$2:$T$4001,Q$1))</f>
        <v/>
      </c>
      <c r="R336" s="49">
        <f>IF(OR($AE336&lt;&gt;1,R$1=""),"",SUMIFS('All Donations'!$S$2:$S$4001,'All Donations'!$R$2:$R$4001,$AD336,'All Donations'!$T$2:$T$4001,R$1))</f>
        <v/>
      </c>
      <c r="S336" s="49">
        <f>IF(OR($AE336&lt;&gt;1,S$1=""),"",SUMIFS('All Donations'!$S$2:$S$4001,'All Donations'!$R$2:$R$4001,$AD336,'All Donations'!$T$2:$T$4001,S$1))</f>
        <v/>
      </c>
      <c r="T336" s="49">
        <f>IF(OR($AE336&lt;&gt;1,T$1=""),"",SUMIFS('All Donations'!$S$2:$S$4001,'All Donations'!$R$2:$R$4001,$AD336,'All Donations'!$T$2:$T$4001,T$1))</f>
        <v/>
      </c>
      <c r="U336" s="49">
        <f>IF(OR($AE336&lt;&gt;1,U$1=""),"",SUMIFS('All Donations'!$S$2:$S$4001,'All Donations'!$R$2:$R$4001,$AD336,'All Donations'!$T$2:$T$4001,U$1))</f>
        <v/>
      </c>
      <c r="V336" s="49">
        <f>IF(OR($AE336&lt;&gt;1,V$1=""),"",SUMIFS('All Donations'!$S$2:$S$4001,'All Donations'!$R$2:$R$4001,$AD336,'All Donations'!$T$2:$T$4001,V$1))</f>
        <v/>
      </c>
      <c r="W336" s="49">
        <f>IF(OR($AE336&lt;&gt;1,W$1=""),"",SUMIFS('All Donations'!$S$2:$S$4001,'All Donations'!$R$2:$R$4001,$AD336,'All Donations'!$T$2:$T$4001,W$1))</f>
        <v/>
      </c>
      <c r="X336" s="49">
        <f>IF(OR($AE336&lt;&gt;1,X$1=""),"",SUMIFS('All Donations'!$S$2:$S$4001,'All Donations'!$R$2:$R$4001,$AD336,'All Donations'!$T$2:$T$4001,X$1))</f>
        <v/>
      </c>
      <c r="Y336" s="49">
        <f>IF(OR($AE336&lt;&gt;1,Y$1=""),"",SUMIFS('All Donations'!$S$2:$S$4001,'All Donations'!$R$2:$R$4001,$AD336,'All Donations'!$T$2:$T$4001,Y$1))</f>
        <v/>
      </c>
      <c r="Z336" s="49">
        <f>IF(OR($AE336&lt;&gt;1,Z$1=""),"",SUMIFS('All Donations'!$S$2:$S$4001,'All Donations'!$R$2:$R$4001,$AD336,'All Donations'!$T$2:$T$4001,Z$1))</f>
        <v/>
      </c>
      <c r="AA336" s="49">
        <f>IF(OR($AE336&lt;&gt;1,AA$1=""),"",SUMIFS('All Donations'!$S$2:$S$4001,'All Donations'!$R$2:$R$4001,$AD336,'All Donations'!$T$2:$T$4001,AA$1))</f>
        <v/>
      </c>
      <c r="AB336" s="49">
        <f>IF(OR($AE336&lt;&gt;1,AB$1=""),"",SUMIFS('All Donations'!$S$2:$S$4001,'All Donations'!$R$2:$R$4001,$AD336,'All Donations'!$T$2:$T$4001,AB$1))</f>
        <v/>
      </c>
      <c r="AC336" s="49">
        <f>IF(OR($AE336&lt;&gt;1,AC$1=""),"",SUMIFS('All Donations'!$S$2:$S$4001,'All Donations'!$R$2:$R$4001,$AD336,'All Donations'!$T$2:$T$4001,AC$1))</f>
        <v/>
      </c>
      <c r="AD336">
        <f>IF(AE336=1,'Roster'!A336,"")</f>
        <v/>
      </c>
      <c r="AE336">
        <f>IF(TRIM('Roster'!B336&amp;'Roster'!C336)&lt;&gt;"",1,0)</f>
        <v/>
      </c>
      <c r="AF336">
        <f>IF(AE336=1,LOWER(A336),"#")</f>
        <v/>
      </c>
      <c r="AG336">
        <f>IF(AE336=1,LOWER(TRIM(TRIM('Roster'!C336)&amp;", "&amp;TRIM('Roster'!B336))),"#")</f>
        <v/>
      </c>
      <c r="AH336">
        <f>IF(AND(AE336=1,TRIM('Roster'!F336)&lt;&gt;""),LOWER(TRIM('Roster'!F336)),"#")</f>
        <v/>
      </c>
      <c r="AI336">
        <f>IF(AE336=1,IF(MATCH(B336,$B$2:$B$701,0)=ROW()-1,1,0),0)</f>
        <v/>
      </c>
      <c r="AJ336">
        <f>AJ335+AI336</f>
        <v/>
      </c>
      <c r="AK336">
        <f>IF(AE336=1,D336+(1000-ROW())/10^7,-1)</f>
        <v/>
      </c>
      <c r="AL336">
        <f>IF(AE336=1,TRIM('Roster'!B336)&amp;" "&amp;LEFT(TRIM('Roster'!C336),1)&amp;".","")</f>
        <v/>
      </c>
      <c r="AM336">
        <f>IF(AE336=1,TRIM('Roster'!C336)&amp;", "&amp;TRIM('Roster'!B336)&amp;" ("&amp;B336&amp;") #"&amp;AD336,"")</f>
        <v/>
      </c>
      <c r="AN336">
        <f>IF(AE336=1,TRIM('Roster'!E336),"")</f>
        <v/>
      </c>
      <c r="AO336">
        <f>IF(AE336=1,ROUND(SUMIFS('All Donations'!$S$2:$S$4001,'All Donations'!$R$2:$R$4001,AD336,'All Donations'!$T$2:$T$4001,"&gt;="&amp;'Settings'!$C$23,'All Donations'!$T$2:$T$4001,"&lt;="&amp;'Settings'!$D$23),2),0)</f>
        <v/>
      </c>
      <c r="AQ336">
        <f>IF(AE336=1,ROUND(SUMIFS('All Donations'!$S$2:$S$4001,'All Donations'!$R$2:$R$4001,AD336,'All Donations'!$T$2:$T$4001,"&gt;="&amp;'Settings'!$C$25,'All Donations'!$T$2:$T$4001,"&lt;="&amp;'Settings'!$D$25),2),0)</f>
        <v/>
      </c>
      <c r="AR336">
        <f>IF(AE336=1,ROUND(SUMIFS('All Donations'!$S$2:$S$4001,'All Donations'!$R$2:$R$4001,AD336,'All Donations'!$T$2:$T$4001,"&gt;="&amp;'Settings'!$C$26,'All Donations'!$T$2:$T$4001,"&lt;="&amp;'Settings'!$D$26),2),0)</f>
        <v/>
      </c>
      <c r="AS336">
        <f>IF(AE336=1,ROUND(SUMIFS('All Donations'!$S$2:$S$4001,'All Donations'!$R$2:$R$4001,AD336,'All Donations'!$T$2:$T$4001,"&lt;="&amp;'Settings'!$D$27),2),0)</f>
        <v/>
      </c>
      <c r="AT336">
        <f>IF(AE336=1,ROUND(SUMIFS('All Donations'!$S$2:$S$4001,'All Donations'!$R$2:$R$4001,AD336,'All Donations'!$T$2:$T$4001,"&gt;="&amp;'Settings'!$C$28,'All Donations'!$T$2:$T$4001,"&lt;="&amp;'Settings'!$D$28),2),0)</f>
        <v/>
      </c>
      <c r="AU336">
        <f>IF(AE336=1,ROUND(SUMIFS('All Donations'!$S$2:$S$4001,'All Donations'!$R$2:$R$4001,AD336,'All Donations'!$T$2:$T$4001,"&gt;="&amp;'Settings'!$C$29,'All Donations'!$T$2:$T$4001,"&lt;="&amp;'Settings'!$D$29),2),0)</f>
        <v/>
      </c>
      <c r="AV336">
        <f>IF(AE336=1,ROUND(SUMIFS('All Donations'!$S$2:$S$4001,'All Donations'!$R$2:$R$4001,AD336,'All Donations'!$T$2:$T$4001,"&lt;="&amp;'Settings'!$D$30),2),0)</f>
        <v/>
      </c>
      <c r="AZ336">
        <f>IF(AE336=1,ROUND(SUMIFS('All Donations'!$S$2:$S$4001,'All Donations'!$R$2:$R$4001,AD336,'All Donations'!$T$2:$T$4001,"&lt;="&amp;'Settings'!$D$34),2),0)</f>
        <v/>
      </c>
    </row>
    <row r="337">
      <c r="A337">
        <f>IF(AE337=1,TRIM(TRIM('Roster'!B337)&amp;" "&amp;TRIM('Roster'!C337)),"")</f>
        <v/>
      </c>
      <c r="B337">
        <f>IF(AE337=1,IF(AN337="","(no teacher)",AN337&amp;" – "&amp;C337),"")</f>
        <v/>
      </c>
      <c r="C337">
        <f>IF(AE337=1,TRIM('Roster'!D337&amp;""),"")</f>
        <v/>
      </c>
      <c r="D337" s="48">
        <f>IF(AE337=1,ROUND(SUMIFS('All Donations'!$S$2:$S$4001,'All Donations'!$R$2:$R$4001,AD337),2),"")</f>
        <v/>
      </c>
      <c r="E337" s="48">
        <f>IF(AE337=1,ROUND(SUMIFS('All Donations'!$S$2:$S$4001,'All Donations'!$R$2:$R$4001,AD337,'All Donations'!$G$2:$G$4001,"OneCause"),2),"")</f>
        <v/>
      </c>
      <c r="F337" s="48">
        <f>IF(AE337=1,D337-E337,"")</f>
        <v/>
      </c>
      <c r="G337">
        <f>IF(AE337=1,COUNTIFS('All Donations'!$R$2:$R$4001,AD337,'All Donations'!$H$2:$H$4001,"OK"),"")</f>
        <v/>
      </c>
      <c r="H337">
        <f>IF(AE337&lt;&gt;1,"",IF(D337&gt;0,"Yes",""))</f>
        <v/>
      </c>
      <c r="I337" s="49">
        <f>IF(OR($AE337&lt;&gt;1,I$1=""),"",SUMIFS('All Donations'!$S$2:$S$4001,'All Donations'!$R$2:$R$4001,$AD337,'All Donations'!$T$2:$T$4001,I$1))</f>
        <v/>
      </c>
      <c r="J337" s="49">
        <f>IF(OR($AE337&lt;&gt;1,J$1=""),"",SUMIFS('All Donations'!$S$2:$S$4001,'All Donations'!$R$2:$R$4001,$AD337,'All Donations'!$T$2:$T$4001,J$1))</f>
        <v/>
      </c>
      <c r="K337" s="49">
        <f>IF(OR($AE337&lt;&gt;1,K$1=""),"",SUMIFS('All Donations'!$S$2:$S$4001,'All Donations'!$R$2:$R$4001,$AD337,'All Donations'!$T$2:$T$4001,K$1))</f>
        <v/>
      </c>
      <c r="L337" s="49">
        <f>IF(OR($AE337&lt;&gt;1,L$1=""),"",SUMIFS('All Donations'!$S$2:$S$4001,'All Donations'!$R$2:$R$4001,$AD337,'All Donations'!$T$2:$T$4001,L$1))</f>
        <v/>
      </c>
      <c r="M337" s="49">
        <f>IF(OR($AE337&lt;&gt;1,M$1=""),"",SUMIFS('All Donations'!$S$2:$S$4001,'All Donations'!$R$2:$R$4001,$AD337,'All Donations'!$T$2:$T$4001,M$1))</f>
        <v/>
      </c>
      <c r="N337" s="49">
        <f>IF(OR($AE337&lt;&gt;1,N$1=""),"",SUMIFS('All Donations'!$S$2:$S$4001,'All Donations'!$R$2:$R$4001,$AD337,'All Donations'!$T$2:$T$4001,N$1))</f>
        <v/>
      </c>
      <c r="O337" s="49">
        <f>IF(OR($AE337&lt;&gt;1,O$1=""),"",SUMIFS('All Donations'!$S$2:$S$4001,'All Donations'!$R$2:$R$4001,$AD337,'All Donations'!$T$2:$T$4001,O$1))</f>
        <v/>
      </c>
      <c r="P337" s="49">
        <f>IF(OR($AE337&lt;&gt;1,P$1=""),"",SUMIFS('All Donations'!$S$2:$S$4001,'All Donations'!$R$2:$R$4001,$AD337,'All Donations'!$T$2:$T$4001,P$1))</f>
        <v/>
      </c>
      <c r="Q337" s="49">
        <f>IF(OR($AE337&lt;&gt;1,Q$1=""),"",SUMIFS('All Donations'!$S$2:$S$4001,'All Donations'!$R$2:$R$4001,$AD337,'All Donations'!$T$2:$T$4001,Q$1))</f>
        <v/>
      </c>
      <c r="R337" s="49">
        <f>IF(OR($AE337&lt;&gt;1,R$1=""),"",SUMIFS('All Donations'!$S$2:$S$4001,'All Donations'!$R$2:$R$4001,$AD337,'All Donations'!$T$2:$T$4001,R$1))</f>
        <v/>
      </c>
      <c r="S337" s="49">
        <f>IF(OR($AE337&lt;&gt;1,S$1=""),"",SUMIFS('All Donations'!$S$2:$S$4001,'All Donations'!$R$2:$R$4001,$AD337,'All Donations'!$T$2:$T$4001,S$1))</f>
        <v/>
      </c>
      <c r="T337" s="49">
        <f>IF(OR($AE337&lt;&gt;1,T$1=""),"",SUMIFS('All Donations'!$S$2:$S$4001,'All Donations'!$R$2:$R$4001,$AD337,'All Donations'!$T$2:$T$4001,T$1))</f>
        <v/>
      </c>
      <c r="U337" s="49">
        <f>IF(OR($AE337&lt;&gt;1,U$1=""),"",SUMIFS('All Donations'!$S$2:$S$4001,'All Donations'!$R$2:$R$4001,$AD337,'All Donations'!$T$2:$T$4001,U$1))</f>
        <v/>
      </c>
      <c r="V337" s="49">
        <f>IF(OR($AE337&lt;&gt;1,V$1=""),"",SUMIFS('All Donations'!$S$2:$S$4001,'All Donations'!$R$2:$R$4001,$AD337,'All Donations'!$T$2:$T$4001,V$1))</f>
        <v/>
      </c>
      <c r="W337" s="49">
        <f>IF(OR($AE337&lt;&gt;1,W$1=""),"",SUMIFS('All Donations'!$S$2:$S$4001,'All Donations'!$R$2:$R$4001,$AD337,'All Donations'!$T$2:$T$4001,W$1))</f>
        <v/>
      </c>
      <c r="X337" s="49">
        <f>IF(OR($AE337&lt;&gt;1,X$1=""),"",SUMIFS('All Donations'!$S$2:$S$4001,'All Donations'!$R$2:$R$4001,$AD337,'All Donations'!$T$2:$T$4001,X$1))</f>
        <v/>
      </c>
      <c r="Y337" s="49">
        <f>IF(OR($AE337&lt;&gt;1,Y$1=""),"",SUMIFS('All Donations'!$S$2:$S$4001,'All Donations'!$R$2:$R$4001,$AD337,'All Donations'!$T$2:$T$4001,Y$1))</f>
        <v/>
      </c>
      <c r="Z337" s="49">
        <f>IF(OR($AE337&lt;&gt;1,Z$1=""),"",SUMIFS('All Donations'!$S$2:$S$4001,'All Donations'!$R$2:$R$4001,$AD337,'All Donations'!$T$2:$T$4001,Z$1))</f>
        <v/>
      </c>
      <c r="AA337" s="49">
        <f>IF(OR($AE337&lt;&gt;1,AA$1=""),"",SUMIFS('All Donations'!$S$2:$S$4001,'All Donations'!$R$2:$R$4001,$AD337,'All Donations'!$T$2:$T$4001,AA$1))</f>
        <v/>
      </c>
      <c r="AB337" s="49">
        <f>IF(OR($AE337&lt;&gt;1,AB$1=""),"",SUMIFS('All Donations'!$S$2:$S$4001,'All Donations'!$R$2:$R$4001,$AD337,'All Donations'!$T$2:$T$4001,AB$1))</f>
        <v/>
      </c>
      <c r="AC337" s="49">
        <f>IF(OR($AE337&lt;&gt;1,AC$1=""),"",SUMIFS('All Donations'!$S$2:$S$4001,'All Donations'!$R$2:$R$4001,$AD337,'All Donations'!$T$2:$T$4001,AC$1))</f>
        <v/>
      </c>
      <c r="AD337">
        <f>IF(AE337=1,'Roster'!A337,"")</f>
        <v/>
      </c>
      <c r="AE337">
        <f>IF(TRIM('Roster'!B337&amp;'Roster'!C337)&lt;&gt;"",1,0)</f>
        <v/>
      </c>
      <c r="AF337">
        <f>IF(AE337=1,LOWER(A337),"#")</f>
        <v/>
      </c>
      <c r="AG337">
        <f>IF(AE337=1,LOWER(TRIM(TRIM('Roster'!C337)&amp;", "&amp;TRIM('Roster'!B337))),"#")</f>
        <v/>
      </c>
      <c r="AH337">
        <f>IF(AND(AE337=1,TRIM('Roster'!F337)&lt;&gt;""),LOWER(TRIM('Roster'!F337)),"#")</f>
        <v/>
      </c>
      <c r="AI337">
        <f>IF(AE337=1,IF(MATCH(B337,$B$2:$B$701,0)=ROW()-1,1,0),0)</f>
        <v/>
      </c>
      <c r="AJ337">
        <f>AJ336+AI337</f>
        <v/>
      </c>
      <c r="AK337">
        <f>IF(AE337=1,D337+(1000-ROW())/10^7,-1)</f>
        <v/>
      </c>
      <c r="AL337">
        <f>IF(AE337=1,TRIM('Roster'!B337)&amp;" "&amp;LEFT(TRIM('Roster'!C337),1)&amp;".","")</f>
        <v/>
      </c>
      <c r="AM337">
        <f>IF(AE337=1,TRIM('Roster'!C337)&amp;", "&amp;TRIM('Roster'!B337)&amp;" ("&amp;B337&amp;") #"&amp;AD337,"")</f>
        <v/>
      </c>
      <c r="AN337">
        <f>IF(AE337=1,TRIM('Roster'!E337),"")</f>
        <v/>
      </c>
      <c r="AO337">
        <f>IF(AE337=1,ROUND(SUMIFS('All Donations'!$S$2:$S$4001,'All Donations'!$R$2:$R$4001,AD337,'All Donations'!$T$2:$T$4001,"&gt;="&amp;'Settings'!$C$23,'All Donations'!$T$2:$T$4001,"&lt;="&amp;'Settings'!$D$23),2),0)</f>
        <v/>
      </c>
      <c r="AQ337">
        <f>IF(AE337=1,ROUND(SUMIFS('All Donations'!$S$2:$S$4001,'All Donations'!$R$2:$R$4001,AD337,'All Donations'!$T$2:$T$4001,"&gt;="&amp;'Settings'!$C$25,'All Donations'!$T$2:$T$4001,"&lt;="&amp;'Settings'!$D$25),2),0)</f>
        <v/>
      </c>
      <c r="AR337">
        <f>IF(AE337=1,ROUND(SUMIFS('All Donations'!$S$2:$S$4001,'All Donations'!$R$2:$R$4001,AD337,'All Donations'!$T$2:$T$4001,"&gt;="&amp;'Settings'!$C$26,'All Donations'!$T$2:$T$4001,"&lt;="&amp;'Settings'!$D$26),2),0)</f>
        <v/>
      </c>
      <c r="AS337">
        <f>IF(AE337=1,ROUND(SUMIFS('All Donations'!$S$2:$S$4001,'All Donations'!$R$2:$R$4001,AD337,'All Donations'!$T$2:$T$4001,"&lt;="&amp;'Settings'!$D$27),2),0)</f>
        <v/>
      </c>
      <c r="AT337">
        <f>IF(AE337=1,ROUND(SUMIFS('All Donations'!$S$2:$S$4001,'All Donations'!$R$2:$R$4001,AD337,'All Donations'!$T$2:$T$4001,"&gt;="&amp;'Settings'!$C$28,'All Donations'!$T$2:$T$4001,"&lt;="&amp;'Settings'!$D$28),2),0)</f>
        <v/>
      </c>
      <c r="AU337">
        <f>IF(AE337=1,ROUND(SUMIFS('All Donations'!$S$2:$S$4001,'All Donations'!$R$2:$R$4001,AD337,'All Donations'!$T$2:$T$4001,"&gt;="&amp;'Settings'!$C$29,'All Donations'!$T$2:$T$4001,"&lt;="&amp;'Settings'!$D$29),2),0)</f>
        <v/>
      </c>
      <c r="AV337">
        <f>IF(AE337=1,ROUND(SUMIFS('All Donations'!$S$2:$S$4001,'All Donations'!$R$2:$R$4001,AD337,'All Donations'!$T$2:$T$4001,"&lt;="&amp;'Settings'!$D$30),2),0)</f>
        <v/>
      </c>
      <c r="AZ337">
        <f>IF(AE337=1,ROUND(SUMIFS('All Donations'!$S$2:$S$4001,'All Donations'!$R$2:$R$4001,AD337,'All Donations'!$T$2:$T$4001,"&lt;="&amp;'Settings'!$D$34),2),0)</f>
        <v/>
      </c>
    </row>
    <row r="338">
      <c r="A338">
        <f>IF(AE338=1,TRIM(TRIM('Roster'!B338)&amp;" "&amp;TRIM('Roster'!C338)),"")</f>
        <v/>
      </c>
      <c r="B338">
        <f>IF(AE338=1,IF(AN338="","(no teacher)",AN338&amp;" – "&amp;C338),"")</f>
        <v/>
      </c>
      <c r="C338">
        <f>IF(AE338=1,TRIM('Roster'!D338&amp;""),"")</f>
        <v/>
      </c>
      <c r="D338" s="48">
        <f>IF(AE338=1,ROUND(SUMIFS('All Donations'!$S$2:$S$4001,'All Donations'!$R$2:$R$4001,AD338),2),"")</f>
        <v/>
      </c>
      <c r="E338" s="48">
        <f>IF(AE338=1,ROUND(SUMIFS('All Donations'!$S$2:$S$4001,'All Donations'!$R$2:$R$4001,AD338,'All Donations'!$G$2:$G$4001,"OneCause"),2),"")</f>
        <v/>
      </c>
      <c r="F338" s="48">
        <f>IF(AE338=1,D338-E338,"")</f>
        <v/>
      </c>
      <c r="G338">
        <f>IF(AE338=1,COUNTIFS('All Donations'!$R$2:$R$4001,AD338,'All Donations'!$H$2:$H$4001,"OK"),"")</f>
        <v/>
      </c>
      <c r="H338">
        <f>IF(AE338&lt;&gt;1,"",IF(D338&gt;0,"Yes",""))</f>
        <v/>
      </c>
      <c r="I338" s="49">
        <f>IF(OR($AE338&lt;&gt;1,I$1=""),"",SUMIFS('All Donations'!$S$2:$S$4001,'All Donations'!$R$2:$R$4001,$AD338,'All Donations'!$T$2:$T$4001,I$1))</f>
        <v/>
      </c>
      <c r="J338" s="49">
        <f>IF(OR($AE338&lt;&gt;1,J$1=""),"",SUMIFS('All Donations'!$S$2:$S$4001,'All Donations'!$R$2:$R$4001,$AD338,'All Donations'!$T$2:$T$4001,J$1))</f>
        <v/>
      </c>
      <c r="K338" s="49">
        <f>IF(OR($AE338&lt;&gt;1,K$1=""),"",SUMIFS('All Donations'!$S$2:$S$4001,'All Donations'!$R$2:$R$4001,$AD338,'All Donations'!$T$2:$T$4001,K$1))</f>
        <v/>
      </c>
      <c r="L338" s="49">
        <f>IF(OR($AE338&lt;&gt;1,L$1=""),"",SUMIFS('All Donations'!$S$2:$S$4001,'All Donations'!$R$2:$R$4001,$AD338,'All Donations'!$T$2:$T$4001,L$1))</f>
        <v/>
      </c>
      <c r="M338" s="49">
        <f>IF(OR($AE338&lt;&gt;1,M$1=""),"",SUMIFS('All Donations'!$S$2:$S$4001,'All Donations'!$R$2:$R$4001,$AD338,'All Donations'!$T$2:$T$4001,M$1))</f>
        <v/>
      </c>
      <c r="N338" s="49">
        <f>IF(OR($AE338&lt;&gt;1,N$1=""),"",SUMIFS('All Donations'!$S$2:$S$4001,'All Donations'!$R$2:$R$4001,$AD338,'All Donations'!$T$2:$T$4001,N$1))</f>
        <v/>
      </c>
      <c r="O338" s="49">
        <f>IF(OR($AE338&lt;&gt;1,O$1=""),"",SUMIFS('All Donations'!$S$2:$S$4001,'All Donations'!$R$2:$R$4001,$AD338,'All Donations'!$T$2:$T$4001,O$1))</f>
        <v/>
      </c>
      <c r="P338" s="49">
        <f>IF(OR($AE338&lt;&gt;1,P$1=""),"",SUMIFS('All Donations'!$S$2:$S$4001,'All Donations'!$R$2:$R$4001,$AD338,'All Donations'!$T$2:$T$4001,P$1))</f>
        <v/>
      </c>
      <c r="Q338" s="49">
        <f>IF(OR($AE338&lt;&gt;1,Q$1=""),"",SUMIFS('All Donations'!$S$2:$S$4001,'All Donations'!$R$2:$R$4001,$AD338,'All Donations'!$T$2:$T$4001,Q$1))</f>
        <v/>
      </c>
      <c r="R338" s="49">
        <f>IF(OR($AE338&lt;&gt;1,R$1=""),"",SUMIFS('All Donations'!$S$2:$S$4001,'All Donations'!$R$2:$R$4001,$AD338,'All Donations'!$T$2:$T$4001,R$1))</f>
        <v/>
      </c>
      <c r="S338" s="49">
        <f>IF(OR($AE338&lt;&gt;1,S$1=""),"",SUMIFS('All Donations'!$S$2:$S$4001,'All Donations'!$R$2:$R$4001,$AD338,'All Donations'!$T$2:$T$4001,S$1))</f>
        <v/>
      </c>
      <c r="T338" s="49">
        <f>IF(OR($AE338&lt;&gt;1,T$1=""),"",SUMIFS('All Donations'!$S$2:$S$4001,'All Donations'!$R$2:$R$4001,$AD338,'All Donations'!$T$2:$T$4001,T$1))</f>
        <v/>
      </c>
      <c r="U338" s="49">
        <f>IF(OR($AE338&lt;&gt;1,U$1=""),"",SUMIFS('All Donations'!$S$2:$S$4001,'All Donations'!$R$2:$R$4001,$AD338,'All Donations'!$T$2:$T$4001,U$1))</f>
        <v/>
      </c>
      <c r="V338" s="49">
        <f>IF(OR($AE338&lt;&gt;1,V$1=""),"",SUMIFS('All Donations'!$S$2:$S$4001,'All Donations'!$R$2:$R$4001,$AD338,'All Donations'!$T$2:$T$4001,V$1))</f>
        <v/>
      </c>
      <c r="W338" s="49">
        <f>IF(OR($AE338&lt;&gt;1,W$1=""),"",SUMIFS('All Donations'!$S$2:$S$4001,'All Donations'!$R$2:$R$4001,$AD338,'All Donations'!$T$2:$T$4001,W$1))</f>
        <v/>
      </c>
      <c r="X338" s="49">
        <f>IF(OR($AE338&lt;&gt;1,X$1=""),"",SUMIFS('All Donations'!$S$2:$S$4001,'All Donations'!$R$2:$R$4001,$AD338,'All Donations'!$T$2:$T$4001,X$1))</f>
        <v/>
      </c>
      <c r="Y338" s="49">
        <f>IF(OR($AE338&lt;&gt;1,Y$1=""),"",SUMIFS('All Donations'!$S$2:$S$4001,'All Donations'!$R$2:$R$4001,$AD338,'All Donations'!$T$2:$T$4001,Y$1))</f>
        <v/>
      </c>
      <c r="Z338" s="49">
        <f>IF(OR($AE338&lt;&gt;1,Z$1=""),"",SUMIFS('All Donations'!$S$2:$S$4001,'All Donations'!$R$2:$R$4001,$AD338,'All Donations'!$T$2:$T$4001,Z$1))</f>
        <v/>
      </c>
      <c r="AA338" s="49">
        <f>IF(OR($AE338&lt;&gt;1,AA$1=""),"",SUMIFS('All Donations'!$S$2:$S$4001,'All Donations'!$R$2:$R$4001,$AD338,'All Donations'!$T$2:$T$4001,AA$1))</f>
        <v/>
      </c>
      <c r="AB338" s="49">
        <f>IF(OR($AE338&lt;&gt;1,AB$1=""),"",SUMIFS('All Donations'!$S$2:$S$4001,'All Donations'!$R$2:$R$4001,$AD338,'All Donations'!$T$2:$T$4001,AB$1))</f>
        <v/>
      </c>
      <c r="AC338" s="49">
        <f>IF(OR($AE338&lt;&gt;1,AC$1=""),"",SUMIFS('All Donations'!$S$2:$S$4001,'All Donations'!$R$2:$R$4001,$AD338,'All Donations'!$T$2:$T$4001,AC$1))</f>
        <v/>
      </c>
      <c r="AD338">
        <f>IF(AE338=1,'Roster'!A338,"")</f>
        <v/>
      </c>
      <c r="AE338">
        <f>IF(TRIM('Roster'!B338&amp;'Roster'!C338)&lt;&gt;"",1,0)</f>
        <v/>
      </c>
      <c r="AF338">
        <f>IF(AE338=1,LOWER(A338),"#")</f>
        <v/>
      </c>
      <c r="AG338">
        <f>IF(AE338=1,LOWER(TRIM(TRIM('Roster'!C338)&amp;", "&amp;TRIM('Roster'!B338))),"#")</f>
        <v/>
      </c>
      <c r="AH338">
        <f>IF(AND(AE338=1,TRIM('Roster'!F338)&lt;&gt;""),LOWER(TRIM('Roster'!F338)),"#")</f>
        <v/>
      </c>
      <c r="AI338">
        <f>IF(AE338=1,IF(MATCH(B338,$B$2:$B$701,0)=ROW()-1,1,0),0)</f>
        <v/>
      </c>
      <c r="AJ338">
        <f>AJ337+AI338</f>
        <v/>
      </c>
      <c r="AK338">
        <f>IF(AE338=1,D338+(1000-ROW())/10^7,-1)</f>
        <v/>
      </c>
      <c r="AL338">
        <f>IF(AE338=1,TRIM('Roster'!B338)&amp;" "&amp;LEFT(TRIM('Roster'!C338),1)&amp;".","")</f>
        <v/>
      </c>
      <c r="AM338">
        <f>IF(AE338=1,TRIM('Roster'!C338)&amp;", "&amp;TRIM('Roster'!B338)&amp;" ("&amp;B338&amp;") #"&amp;AD338,"")</f>
        <v/>
      </c>
      <c r="AN338">
        <f>IF(AE338=1,TRIM('Roster'!E338),"")</f>
        <v/>
      </c>
      <c r="AO338">
        <f>IF(AE338=1,ROUND(SUMIFS('All Donations'!$S$2:$S$4001,'All Donations'!$R$2:$R$4001,AD338,'All Donations'!$T$2:$T$4001,"&gt;="&amp;'Settings'!$C$23,'All Donations'!$T$2:$T$4001,"&lt;="&amp;'Settings'!$D$23),2),0)</f>
        <v/>
      </c>
      <c r="AQ338">
        <f>IF(AE338=1,ROUND(SUMIFS('All Donations'!$S$2:$S$4001,'All Donations'!$R$2:$R$4001,AD338,'All Donations'!$T$2:$T$4001,"&gt;="&amp;'Settings'!$C$25,'All Donations'!$T$2:$T$4001,"&lt;="&amp;'Settings'!$D$25),2),0)</f>
        <v/>
      </c>
      <c r="AR338">
        <f>IF(AE338=1,ROUND(SUMIFS('All Donations'!$S$2:$S$4001,'All Donations'!$R$2:$R$4001,AD338,'All Donations'!$T$2:$T$4001,"&gt;="&amp;'Settings'!$C$26,'All Donations'!$T$2:$T$4001,"&lt;="&amp;'Settings'!$D$26),2),0)</f>
        <v/>
      </c>
      <c r="AS338">
        <f>IF(AE338=1,ROUND(SUMIFS('All Donations'!$S$2:$S$4001,'All Donations'!$R$2:$R$4001,AD338,'All Donations'!$T$2:$T$4001,"&lt;="&amp;'Settings'!$D$27),2),0)</f>
        <v/>
      </c>
      <c r="AT338">
        <f>IF(AE338=1,ROUND(SUMIFS('All Donations'!$S$2:$S$4001,'All Donations'!$R$2:$R$4001,AD338,'All Donations'!$T$2:$T$4001,"&gt;="&amp;'Settings'!$C$28,'All Donations'!$T$2:$T$4001,"&lt;="&amp;'Settings'!$D$28),2),0)</f>
        <v/>
      </c>
      <c r="AU338">
        <f>IF(AE338=1,ROUND(SUMIFS('All Donations'!$S$2:$S$4001,'All Donations'!$R$2:$R$4001,AD338,'All Donations'!$T$2:$T$4001,"&gt;="&amp;'Settings'!$C$29,'All Donations'!$T$2:$T$4001,"&lt;="&amp;'Settings'!$D$29),2),0)</f>
        <v/>
      </c>
      <c r="AV338">
        <f>IF(AE338=1,ROUND(SUMIFS('All Donations'!$S$2:$S$4001,'All Donations'!$R$2:$R$4001,AD338,'All Donations'!$T$2:$T$4001,"&lt;="&amp;'Settings'!$D$30),2),0)</f>
        <v/>
      </c>
      <c r="AZ338">
        <f>IF(AE338=1,ROUND(SUMIFS('All Donations'!$S$2:$S$4001,'All Donations'!$R$2:$R$4001,AD338,'All Donations'!$T$2:$T$4001,"&lt;="&amp;'Settings'!$D$34),2),0)</f>
        <v/>
      </c>
    </row>
    <row r="339">
      <c r="A339">
        <f>IF(AE339=1,TRIM(TRIM('Roster'!B339)&amp;" "&amp;TRIM('Roster'!C339)),"")</f>
        <v/>
      </c>
      <c r="B339">
        <f>IF(AE339=1,IF(AN339="","(no teacher)",AN339&amp;" – "&amp;C339),"")</f>
        <v/>
      </c>
      <c r="C339">
        <f>IF(AE339=1,TRIM('Roster'!D339&amp;""),"")</f>
        <v/>
      </c>
      <c r="D339" s="48">
        <f>IF(AE339=1,ROUND(SUMIFS('All Donations'!$S$2:$S$4001,'All Donations'!$R$2:$R$4001,AD339),2),"")</f>
        <v/>
      </c>
      <c r="E339" s="48">
        <f>IF(AE339=1,ROUND(SUMIFS('All Donations'!$S$2:$S$4001,'All Donations'!$R$2:$R$4001,AD339,'All Donations'!$G$2:$G$4001,"OneCause"),2),"")</f>
        <v/>
      </c>
      <c r="F339" s="48">
        <f>IF(AE339=1,D339-E339,"")</f>
        <v/>
      </c>
      <c r="G339">
        <f>IF(AE339=1,COUNTIFS('All Donations'!$R$2:$R$4001,AD339,'All Donations'!$H$2:$H$4001,"OK"),"")</f>
        <v/>
      </c>
      <c r="H339">
        <f>IF(AE339&lt;&gt;1,"",IF(D339&gt;0,"Yes",""))</f>
        <v/>
      </c>
      <c r="I339" s="49">
        <f>IF(OR($AE339&lt;&gt;1,I$1=""),"",SUMIFS('All Donations'!$S$2:$S$4001,'All Donations'!$R$2:$R$4001,$AD339,'All Donations'!$T$2:$T$4001,I$1))</f>
        <v/>
      </c>
      <c r="J339" s="49">
        <f>IF(OR($AE339&lt;&gt;1,J$1=""),"",SUMIFS('All Donations'!$S$2:$S$4001,'All Donations'!$R$2:$R$4001,$AD339,'All Donations'!$T$2:$T$4001,J$1))</f>
        <v/>
      </c>
      <c r="K339" s="49">
        <f>IF(OR($AE339&lt;&gt;1,K$1=""),"",SUMIFS('All Donations'!$S$2:$S$4001,'All Donations'!$R$2:$R$4001,$AD339,'All Donations'!$T$2:$T$4001,K$1))</f>
        <v/>
      </c>
      <c r="L339" s="49">
        <f>IF(OR($AE339&lt;&gt;1,L$1=""),"",SUMIFS('All Donations'!$S$2:$S$4001,'All Donations'!$R$2:$R$4001,$AD339,'All Donations'!$T$2:$T$4001,L$1))</f>
        <v/>
      </c>
      <c r="M339" s="49">
        <f>IF(OR($AE339&lt;&gt;1,M$1=""),"",SUMIFS('All Donations'!$S$2:$S$4001,'All Donations'!$R$2:$R$4001,$AD339,'All Donations'!$T$2:$T$4001,M$1))</f>
        <v/>
      </c>
      <c r="N339" s="49">
        <f>IF(OR($AE339&lt;&gt;1,N$1=""),"",SUMIFS('All Donations'!$S$2:$S$4001,'All Donations'!$R$2:$R$4001,$AD339,'All Donations'!$T$2:$T$4001,N$1))</f>
        <v/>
      </c>
      <c r="O339" s="49">
        <f>IF(OR($AE339&lt;&gt;1,O$1=""),"",SUMIFS('All Donations'!$S$2:$S$4001,'All Donations'!$R$2:$R$4001,$AD339,'All Donations'!$T$2:$T$4001,O$1))</f>
        <v/>
      </c>
      <c r="P339" s="49">
        <f>IF(OR($AE339&lt;&gt;1,P$1=""),"",SUMIFS('All Donations'!$S$2:$S$4001,'All Donations'!$R$2:$R$4001,$AD339,'All Donations'!$T$2:$T$4001,P$1))</f>
        <v/>
      </c>
      <c r="Q339" s="49">
        <f>IF(OR($AE339&lt;&gt;1,Q$1=""),"",SUMIFS('All Donations'!$S$2:$S$4001,'All Donations'!$R$2:$R$4001,$AD339,'All Donations'!$T$2:$T$4001,Q$1))</f>
        <v/>
      </c>
      <c r="R339" s="49">
        <f>IF(OR($AE339&lt;&gt;1,R$1=""),"",SUMIFS('All Donations'!$S$2:$S$4001,'All Donations'!$R$2:$R$4001,$AD339,'All Donations'!$T$2:$T$4001,R$1))</f>
        <v/>
      </c>
      <c r="S339" s="49">
        <f>IF(OR($AE339&lt;&gt;1,S$1=""),"",SUMIFS('All Donations'!$S$2:$S$4001,'All Donations'!$R$2:$R$4001,$AD339,'All Donations'!$T$2:$T$4001,S$1))</f>
        <v/>
      </c>
      <c r="T339" s="49">
        <f>IF(OR($AE339&lt;&gt;1,T$1=""),"",SUMIFS('All Donations'!$S$2:$S$4001,'All Donations'!$R$2:$R$4001,$AD339,'All Donations'!$T$2:$T$4001,T$1))</f>
        <v/>
      </c>
      <c r="U339" s="49">
        <f>IF(OR($AE339&lt;&gt;1,U$1=""),"",SUMIFS('All Donations'!$S$2:$S$4001,'All Donations'!$R$2:$R$4001,$AD339,'All Donations'!$T$2:$T$4001,U$1))</f>
        <v/>
      </c>
      <c r="V339" s="49">
        <f>IF(OR($AE339&lt;&gt;1,V$1=""),"",SUMIFS('All Donations'!$S$2:$S$4001,'All Donations'!$R$2:$R$4001,$AD339,'All Donations'!$T$2:$T$4001,V$1))</f>
        <v/>
      </c>
      <c r="W339" s="49">
        <f>IF(OR($AE339&lt;&gt;1,W$1=""),"",SUMIFS('All Donations'!$S$2:$S$4001,'All Donations'!$R$2:$R$4001,$AD339,'All Donations'!$T$2:$T$4001,W$1))</f>
        <v/>
      </c>
      <c r="X339" s="49">
        <f>IF(OR($AE339&lt;&gt;1,X$1=""),"",SUMIFS('All Donations'!$S$2:$S$4001,'All Donations'!$R$2:$R$4001,$AD339,'All Donations'!$T$2:$T$4001,X$1))</f>
        <v/>
      </c>
      <c r="Y339" s="49">
        <f>IF(OR($AE339&lt;&gt;1,Y$1=""),"",SUMIFS('All Donations'!$S$2:$S$4001,'All Donations'!$R$2:$R$4001,$AD339,'All Donations'!$T$2:$T$4001,Y$1))</f>
        <v/>
      </c>
      <c r="Z339" s="49">
        <f>IF(OR($AE339&lt;&gt;1,Z$1=""),"",SUMIFS('All Donations'!$S$2:$S$4001,'All Donations'!$R$2:$R$4001,$AD339,'All Donations'!$T$2:$T$4001,Z$1))</f>
        <v/>
      </c>
      <c r="AA339" s="49">
        <f>IF(OR($AE339&lt;&gt;1,AA$1=""),"",SUMIFS('All Donations'!$S$2:$S$4001,'All Donations'!$R$2:$R$4001,$AD339,'All Donations'!$T$2:$T$4001,AA$1))</f>
        <v/>
      </c>
      <c r="AB339" s="49">
        <f>IF(OR($AE339&lt;&gt;1,AB$1=""),"",SUMIFS('All Donations'!$S$2:$S$4001,'All Donations'!$R$2:$R$4001,$AD339,'All Donations'!$T$2:$T$4001,AB$1))</f>
        <v/>
      </c>
      <c r="AC339" s="49">
        <f>IF(OR($AE339&lt;&gt;1,AC$1=""),"",SUMIFS('All Donations'!$S$2:$S$4001,'All Donations'!$R$2:$R$4001,$AD339,'All Donations'!$T$2:$T$4001,AC$1))</f>
        <v/>
      </c>
      <c r="AD339">
        <f>IF(AE339=1,'Roster'!A339,"")</f>
        <v/>
      </c>
      <c r="AE339">
        <f>IF(TRIM('Roster'!B339&amp;'Roster'!C339)&lt;&gt;"",1,0)</f>
        <v/>
      </c>
      <c r="AF339">
        <f>IF(AE339=1,LOWER(A339),"#")</f>
        <v/>
      </c>
      <c r="AG339">
        <f>IF(AE339=1,LOWER(TRIM(TRIM('Roster'!C339)&amp;", "&amp;TRIM('Roster'!B339))),"#")</f>
        <v/>
      </c>
      <c r="AH339">
        <f>IF(AND(AE339=1,TRIM('Roster'!F339)&lt;&gt;""),LOWER(TRIM('Roster'!F339)),"#")</f>
        <v/>
      </c>
      <c r="AI339">
        <f>IF(AE339=1,IF(MATCH(B339,$B$2:$B$701,0)=ROW()-1,1,0),0)</f>
        <v/>
      </c>
      <c r="AJ339">
        <f>AJ338+AI339</f>
        <v/>
      </c>
      <c r="AK339">
        <f>IF(AE339=1,D339+(1000-ROW())/10^7,-1)</f>
        <v/>
      </c>
      <c r="AL339">
        <f>IF(AE339=1,TRIM('Roster'!B339)&amp;" "&amp;LEFT(TRIM('Roster'!C339),1)&amp;".","")</f>
        <v/>
      </c>
      <c r="AM339">
        <f>IF(AE339=1,TRIM('Roster'!C339)&amp;", "&amp;TRIM('Roster'!B339)&amp;" ("&amp;B339&amp;") #"&amp;AD339,"")</f>
        <v/>
      </c>
      <c r="AN339">
        <f>IF(AE339=1,TRIM('Roster'!E339),"")</f>
        <v/>
      </c>
      <c r="AO339">
        <f>IF(AE339=1,ROUND(SUMIFS('All Donations'!$S$2:$S$4001,'All Donations'!$R$2:$R$4001,AD339,'All Donations'!$T$2:$T$4001,"&gt;="&amp;'Settings'!$C$23,'All Donations'!$T$2:$T$4001,"&lt;="&amp;'Settings'!$D$23),2),0)</f>
        <v/>
      </c>
      <c r="AQ339">
        <f>IF(AE339=1,ROUND(SUMIFS('All Donations'!$S$2:$S$4001,'All Donations'!$R$2:$R$4001,AD339,'All Donations'!$T$2:$T$4001,"&gt;="&amp;'Settings'!$C$25,'All Donations'!$T$2:$T$4001,"&lt;="&amp;'Settings'!$D$25),2),0)</f>
        <v/>
      </c>
      <c r="AR339">
        <f>IF(AE339=1,ROUND(SUMIFS('All Donations'!$S$2:$S$4001,'All Donations'!$R$2:$R$4001,AD339,'All Donations'!$T$2:$T$4001,"&gt;="&amp;'Settings'!$C$26,'All Donations'!$T$2:$T$4001,"&lt;="&amp;'Settings'!$D$26),2),0)</f>
        <v/>
      </c>
      <c r="AS339">
        <f>IF(AE339=1,ROUND(SUMIFS('All Donations'!$S$2:$S$4001,'All Donations'!$R$2:$R$4001,AD339,'All Donations'!$T$2:$T$4001,"&lt;="&amp;'Settings'!$D$27),2),0)</f>
        <v/>
      </c>
      <c r="AT339">
        <f>IF(AE339=1,ROUND(SUMIFS('All Donations'!$S$2:$S$4001,'All Donations'!$R$2:$R$4001,AD339,'All Donations'!$T$2:$T$4001,"&gt;="&amp;'Settings'!$C$28,'All Donations'!$T$2:$T$4001,"&lt;="&amp;'Settings'!$D$28),2),0)</f>
        <v/>
      </c>
      <c r="AU339">
        <f>IF(AE339=1,ROUND(SUMIFS('All Donations'!$S$2:$S$4001,'All Donations'!$R$2:$R$4001,AD339,'All Donations'!$T$2:$T$4001,"&gt;="&amp;'Settings'!$C$29,'All Donations'!$T$2:$T$4001,"&lt;="&amp;'Settings'!$D$29),2),0)</f>
        <v/>
      </c>
      <c r="AV339">
        <f>IF(AE339=1,ROUND(SUMIFS('All Donations'!$S$2:$S$4001,'All Donations'!$R$2:$R$4001,AD339,'All Donations'!$T$2:$T$4001,"&lt;="&amp;'Settings'!$D$30),2),0)</f>
        <v/>
      </c>
      <c r="AZ339">
        <f>IF(AE339=1,ROUND(SUMIFS('All Donations'!$S$2:$S$4001,'All Donations'!$R$2:$R$4001,AD339,'All Donations'!$T$2:$T$4001,"&lt;="&amp;'Settings'!$D$34),2),0)</f>
        <v/>
      </c>
    </row>
    <row r="340">
      <c r="A340">
        <f>IF(AE340=1,TRIM(TRIM('Roster'!B340)&amp;" "&amp;TRIM('Roster'!C340)),"")</f>
        <v/>
      </c>
      <c r="B340">
        <f>IF(AE340=1,IF(AN340="","(no teacher)",AN340&amp;" – "&amp;C340),"")</f>
        <v/>
      </c>
      <c r="C340">
        <f>IF(AE340=1,TRIM('Roster'!D340&amp;""),"")</f>
        <v/>
      </c>
      <c r="D340" s="48">
        <f>IF(AE340=1,ROUND(SUMIFS('All Donations'!$S$2:$S$4001,'All Donations'!$R$2:$R$4001,AD340),2),"")</f>
        <v/>
      </c>
      <c r="E340" s="48">
        <f>IF(AE340=1,ROUND(SUMIFS('All Donations'!$S$2:$S$4001,'All Donations'!$R$2:$R$4001,AD340,'All Donations'!$G$2:$G$4001,"OneCause"),2),"")</f>
        <v/>
      </c>
      <c r="F340" s="48">
        <f>IF(AE340=1,D340-E340,"")</f>
        <v/>
      </c>
      <c r="G340">
        <f>IF(AE340=1,COUNTIFS('All Donations'!$R$2:$R$4001,AD340,'All Donations'!$H$2:$H$4001,"OK"),"")</f>
        <v/>
      </c>
      <c r="H340">
        <f>IF(AE340&lt;&gt;1,"",IF(D340&gt;0,"Yes",""))</f>
        <v/>
      </c>
      <c r="I340" s="49">
        <f>IF(OR($AE340&lt;&gt;1,I$1=""),"",SUMIFS('All Donations'!$S$2:$S$4001,'All Donations'!$R$2:$R$4001,$AD340,'All Donations'!$T$2:$T$4001,I$1))</f>
        <v/>
      </c>
      <c r="J340" s="49">
        <f>IF(OR($AE340&lt;&gt;1,J$1=""),"",SUMIFS('All Donations'!$S$2:$S$4001,'All Donations'!$R$2:$R$4001,$AD340,'All Donations'!$T$2:$T$4001,J$1))</f>
        <v/>
      </c>
      <c r="K340" s="49">
        <f>IF(OR($AE340&lt;&gt;1,K$1=""),"",SUMIFS('All Donations'!$S$2:$S$4001,'All Donations'!$R$2:$R$4001,$AD340,'All Donations'!$T$2:$T$4001,K$1))</f>
        <v/>
      </c>
      <c r="L340" s="49">
        <f>IF(OR($AE340&lt;&gt;1,L$1=""),"",SUMIFS('All Donations'!$S$2:$S$4001,'All Donations'!$R$2:$R$4001,$AD340,'All Donations'!$T$2:$T$4001,L$1))</f>
        <v/>
      </c>
      <c r="M340" s="49">
        <f>IF(OR($AE340&lt;&gt;1,M$1=""),"",SUMIFS('All Donations'!$S$2:$S$4001,'All Donations'!$R$2:$R$4001,$AD340,'All Donations'!$T$2:$T$4001,M$1))</f>
        <v/>
      </c>
      <c r="N340" s="49">
        <f>IF(OR($AE340&lt;&gt;1,N$1=""),"",SUMIFS('All Donations'!$S$2:$S$4001,'All Donations'!$R$2:$R$4001,$AD340,'All Donations'!$T$2:$T$4001,N$1))</f>
        <v/>
      </c>
      <c r="O340" s="49">
        <f>IF(OR($AE340&lt;&gt;1,O$1=""),"",SUMIFS('All Donations'!$S$2:$S$4001,'All Donations'!$R$2:$R$4001,$AD340,'All Donations'!$T$2:$T$4001,O$1))</f>
        <v/>
      </c>
      <c r="P340" s="49">
        <f>IF(OR($AE340&lt;&gt;1,P$1=""),"",SUMIFS('All Donations'!$S$2:$S$4001,'All Donations'!$R$2:$R$4001,$AD340,'All Donations'!$T$2:$T$4001,P$1))</f>
        <v/>
      </c>
      <c r="Q340" s="49">
        <f>IF(OR($AE340&lt;&gt;1,Q$1=""),"",SUMIFS('All Donations'!$S$2:$S$4001,'All Donations'!$R$2:$R$4001,$AD340,'All Donations'!$T$2:$T$4001,Q$1))</f>
        <v/>
      </c>
      <c r="R340" s="49">
        <f>IF(OR($AE340&lt;&gt;1,R$1=""),"",SUMIFS('All Donations'!$S$2:$S$4001,'All Donations'!$R$2:$R$4001,$AD340,'All Donations'!$T$2:$T$4001,R$1))</f>
        <v/>
      </c>
      <c r="S340" s="49">
        <f>IF(OR($AE340&lt;&gt;1,S$1=""),"",SUMIFS('All Donations'!$S$2:$S$4001,'All Donations'!$R$2:$R$4001,$AD340,'All Donations'!$T$2:$T$4001,S$1))</f>
        <v/>
      </c>
      <c r="T340" s="49">
        <f>IF(OR($AE340&lt;&gt;1,T$1=""),"",SUMIFS('All Donations'!$S$2:$S$4001,'All Donations'!$R$2:$R$4001,$AD340,'All Donations'!$T$2:$T$4001,T$1))</f>
        <v/>
      </c>
      <c r="U340" s="49">
        <f>IF(OR($AE340&lt;&gt;1,U$1=""),"",SUMIFS('All Donations'!$S$2:$S$4001,'All Donations'!$R$2:$R$4001,$AD340,'All Donations'!$T$2:$T$4001,U$1))</f>
        <v/>
      </c>
      <c r="V340" s="49">
        <f>IF(OR($AE340&lt;&gt;1,V$1=""),"",SUMIFS('All Donations'!$S$2:$S$4001,'All Donations'!$R$2:$R$4001,$AD340,'All Donations'!$T$2:$T$4001,V$1))</f>
        <v/>
      </c>
      <c r="W340" s="49">
        <f>IF(OR($AE340&lt;&gt;1,W$1=""),"",SUMIFS('All Donations'!$S$2:$S$4001,'All Donations'!$R$2:$R$4001,$AD340,'All Donations'!$T$2:$T$4001,W$1))</f>
        <v/>
      </c>
      <c r="X340" s="49">
        <f>IF(OR($AE340&lt;&gt;1,X$1=""),"",SUMIFS('All Donations'!$S$2:$S$4001,'All Donations'!$R$2:$R$4001,$AD340,'All Donations'!$T$2:$T$4001,X$1))</f>
        <v/>
      </c>
      <c r="Y340" s="49">
        <f>IF(OR($AE340&lt;&gt;1,Y$1=""),"",SUMIFS('All Donations'!$S$2:$S$4001,'All Donations'!$R$2:$R$4001,$AD340,'All Donations'!$T$2:$T$4001,Y$1))</f>
        <v/>
      </c>
      <c r="Z340" s="49">
        <f>IF(OR($AE340&lt;&gt;1,Z$1=""),"",SUMIFS('All Donations'!$S$2:$S$4001,'All Donations'!$R$2:$R$4001,$AD340,'All Donations'!$T$2:$T$4001,Z$1))</f>
        <v/>
      </c>
      <c r="AA340" s="49">
        <f>IF(OR($AE340&lt;&gt;1,AA$1=""),"",SUMIFS('All Donations'!$S$2:$S$4001,'All Donations'!$R$2:$R$4001,$AD340,'All Donations'!$T$2:$T$4001,AA$1))</f>
        <v/>
      </c>
      <c r="AB340" s="49">
        <f>IF(OR($AE340&lt;&gt;1,AB$1=""),"",SUMIFS('All Donations'!$S$2:$S$4001,'All Donations'!$R$2:$R$4001,$AD340,'All Donations'!$T$2:$T$4001,AB$1))</f>
        <v/>
      </c>
      <c r="AC340" s="49">
        <f>IF(OR($AE340&lt;&gt;1,AC$1=""),"",SUMIFS('All Donations'!$S$2:$S$4001,'All Donations'!$R$2:$R$4001,$AD340,'All Donations'!$T$2:$T$4001,AC$1))</f>
        <v/>
      </c>
      <c r="AD340">
        <f>IF(AE340=1,'Roster'!A340,"")</f>
        <v/>
      </c>
      <c r="AE340">
        <f>IF(TRIM('Roster'!B340&amp;'Roster'!C340)&lt;&gt;"",1,0)</f>
        <v/>
      </c>
      <c r="AF340">
        <f>IF(AE340=1,LOWER(A340),"#")</f>
        <v/>
      </c>
      <c r="AG340">
        <f>IF(AE340=1,LOWER(TRIM(TRIM('Roster'!C340)&amp;", "&amp;TRIM('Roster'!B340))),"#")</f>
        <v/>
      </c>
      <c r="AH340">
        <f>IF(AND(AE340=1,TRIM('Roster'!F340)&lt;&gt;""),LOWER(TRIM('Roster'!F340)),"#")</f>
        <v/>
      </c>
      <c r="AI340">
        <f>IF(AE340=1,IF(MATCH(B340,$B$2:$B$701,0)=ROW()-1,1,0),0)</f>
        <v/>
      </c>
      <c r="AJ340">
        <f>AJ339+AI340</f>
        <v/>
      </c>
      <c r="AK340">
        <f>IF(AE340=1,D340+(1000-ROW())/10^7,-1)</f>
        <v/>
      </c>
      <c r="AL340">
        <f>IF(AE340=1,TRIM('Roster'!B340)&amp;" "&amp;LEFT(TRIM('Roster'!C340),1)&amp;".","")</f>
        <v/>
      </c>
      <c r="AM340">
        <f>IF(AE340=1,TRIM('Roster'!C340)&amp;", "&amp;TRIM('Roster'!B340)&amp;" ("&amp;B340&amp;") #"&amp;AD340,"")</f>
        <v/>
      </c>
      <c r="AN340">
        <f>IF(AE340=1,TRIM('Roster'!E340),"")</f>
        <v/>
      </c>
      <c r="AO340">
        <f>IF(AE340=1,ROUND(SUMIFS('All Donations'!$S$2:$S$4001,'All Donations'!$R$2:$R$4001,AD340,'All Donations'!$T$2:$T$4001,"&gt;="&amp;'Settings'!$C$23,'All Donations'!$T$2:$T$4001,"&lt;="&amp;'Settings'!$D$23),2),0)</f>
        <v/>
      </c>
      <c r="AQ340">
        <f>IF(AE340=1,ROUND(SUMIFS('All Donations'!$S$2:$S$4001,'All Donations'!$R$2:$R$4001,AD340,'All Donations'!$T$2:$T$4001,"&gt;="&amp;'Settings'!$C$25,'All Donations'!$T$2:$T$4001,"&lt;="&amp;'Settings'!$D$25),2),0)</f>
        <v/>
      </c>
      <c r="AR340">
        <f>IF(AE340=1,ROUND(SUMIFS('All Donations'!$S$2:$S$4001,'All Donations'!$R$2:$R$4001,AD340,'All Donations'!$T$2:$T$4001,"&gt;="&amp;'Settings'!$C$26,'All Donations'!$T$2:$T$4001,"&lt;="&amp;'Settings'!$D$26),2),0)</f>
        <v/>
      </c>
      <c r="AS340">
        <f>IF(AE340=1,ROUND(SUMIFS('All Donations'!$S$2:$S$4001,'All Donations'!$R$2:$R$4001,AD340,'All Donations'!$T$2:$T$4001,"&lt;="&amp;'Settings'!$D$27),2),0)</f>
        <v/>
      </c>
      <c r="AT340">
        <f>IF(AE340=1,ROUND(SUMIFS('All Donations'!$S$2:$S$4001,'All Donations'!$R$2:$R$4001,AD340,'All Donations'!$T$2:$T$4001,"&gt;="&amp;'Settings'!$C$28,'All Donations'!$T$2:$T$4001,"&lt;="&amp;'Settings'!$D$28),2),0)</f>
        <v/>
      </c>
      <c r="AU340">
        <f>IF(AE340=1,ROUND(SUMIFS('All Donations'!$S$2:$S$4001,'All Donations'!$R$2:$R$4001,AD340,'All Donations'!$T$2:$T$4001,"&gt;="&amp;'Settings'!$C$29,'All Donations'!$T$2:$T$4001,"&lt;="&amp;'Settings'!$D$29),2),0)</f>
        <v/>
      </c>
      <c r="AV340">
        <f>IF(AE340=1,ROUND(SUMIFS('All Donations'!$S$2:$S$4001,'All Donations'!$R$2:$R$4001,AD340,'All Donations'!$T$2:$T$4001,"&lt;="&amp;'Settings'!$D$30),2),0)</f>
        <v/>
      </c>
      <c r="AZ340">
        <f>IF(AE340=1,ROUND(SUMIFS('All Donations'!$S$2:$S$4001,'All Donations'!$R$2:$R$4001,AD340,'All Donations'!$T$2:$T$4001,"&lt;="&amp;'Settings'!$D$34),2),0)</f>
        <v/>
      </c>
    </row>
    <row r="341">
      <c r="A341">
        <f>IF(AE341=1,TRIM(TRIM('Roster'!B341)&amp;" "&amp;TRIM('Roster'!C341)),"")</f>
        <v/>
      </c>
      <c r="B341">
        <f>IF(AE341=1,IF(AN341="","(no teacher)",AN341&amp;" – "&amp;C341),"")</f>
        <v/>
      </c>
      <c r="C341">
        <f>IF(AE341=1,TRIM('Roster'!D341&amp;""),"")</f>
        <v/>
      </c>
      <c r="D341" s="48">
        <f>IF(AE341=1,ROUND(SUMIFS('All Donations'!$S$2:$S$4001,'All Donations'!$R$2:$R$4001,AD341),2),"")</f>
        <v/>
      </c>
      <c r="E341" s="48">
        <f>IF(AE341=1,ROUND(SUMIFS('All Donations'!$S$2:$S$4001,'All Donations'!$R$2:$R$4001,AD341,'All Donations'!$G$2:$G$4001,"OneCause"),2),"")</f>
        <v/>
      </c>
      <c r="F341" s="48">
        <f>IF(AE341=1,D341-E341,"")</f>
        <v/>
      </c>
      <c r="G341">
        <f>IF(AE341=1,COUNTIFS('All Donations'!$R$2:$R$4001,AD341,'All Donations'!$H$2:$H$4001,"OK"),"")</f>
        <v/>
      </c>
      <c r="H341">
        <f>IF(AE341&lt;&gt;1,"",IF(D341&gt;0,"Yes",""))</f>
        <v/>
      </c>
      <c r="I341" s="49">
        <f>IF(OR($AE341&lt;&gt;1,I$1=""),"",SUMIFS('All Donations'!$S$2:$S$4001,'All Donations'!$R$2:$R$4001,$AD341,'All Donations'!$T$2:$T$4001,I$1))</f>
        <v/>
      </c>
      <c r="J341" s="49">
        <f>IF(OR($AE341&lt;&gt;1,J$1=""),"",SUMIFS('All Donations'!$S$2:$S$4001,'All Donations'!$R$2:$R$4001,$AD341,'All Donations'!$T$2:$T$4001,J$1))</f>
        <v/>
      </c>
      <c r="K341" s="49">
        <f>IF(OR($AE341&lt;&gt;1,K$1=""),"",SUMIFS('All Donations'!$S$2:$S$4001,'All Donations'!$R$2:$R$4001,$AD341,'All Donations'!$T$2:$T$4001,K$1))</f>
        <v/>
      </c>
      <c r="L341" s="49">
        <f>IF(OR($AE341&lt;&gt;1,L$1=""),"",SUMIFS('All Donations'!$S$2:$S$4001,'All Donations'!$R$2:$R$4001,$AD341,'All Donations'!$T$2:$T$4001,L$1))</f>
        <v/>
      </c>
      <c r="M341" s="49">
        <f>IF(OR($AE341&lt;&gt;1,M$1=""),"",SUMIFS('All Donations'!$S$2:$S$4001,'All Donations'!$R$2:$R$4001,$AD341,'All Donations'!$T$2:$T$4001,M$1))</f>
        <v/>
      </c>
      <c r="N341" s="49">
        <f>IF(OR($AE341&lt;&gt;1,N$1=""),"",SUMIFS('All Donations'!$S$2:$S$4001,'All Donations'!$R$2:$R$4001,$AD341,'All Donations'!$T$2:$T$4001,N$1))</f>
        <v/>
      </c>
      <c r="O341" s="49">
        <f>IF(OR($AE341&lt;&gt;1,O$1=""),"",SUMIFS('All Donations'!$S$2:$S$4001,'All Donations'!$R$2:$R$4001,$AD341,'All Donations'!$T$2:$T$4001,O$1))</f>
        <v/>
      </c>
      <c r="P341" s="49">
        <f>IF(OR($AE341&lt;&gt;1,P$1=""),"",SUMIFS('All Donations'!$S$2:$S$4001,'All Donations'!$R$2:$R$4001,$AD341,'All Donations'!$T$2:$T$4001,P$1))</f>
        <v/>
      </c>
      <c r="Q341" s="49">
        <f>IF(OR($AE341&lt;&gt;1,Q$1=""),"",SUMIFS('All Donations'!$S$2:$S$4001,'All Donations'!$R$2:$R$4001,$AD341,'All Donations'!$T$2:$T$4001,Q$1))</f>
        <v/>
      </c>
      <c r="R341" s="49">
        <f>IF(OR($AE341&lt;&gt;1,R$1=""),"",SUMIFS('All Donations'!$S$2:$S$4001,'All Donations'!$R$2:$R$4001,$AD341,'All Donations'!$T$2:$T$4001,R$1))</f>
        <v/>
      </c>
      <c r="S341" s="49">
        <f>IF(OR($AE341&lt;&gt;1,S$1=""),"",SUMIFS('All Donations'!$S$2:$S$4001,'All Donations'!$R$2:$R$4001,$AD341,'All Donations'!$T$2:$T$4001,S$1))</f>
        <v/>
      </c>
      <c r="T341" s="49">
        <f>IF(OR($AE341&lt;&gt;1,T$1=""),"",SUMIFS('All Donations'!$S$2:$S$4001,'All Donations'!$R$2:$R$4001,$AD341,'All Donations'!$T$2:$T$4001,T$1))</f>
        <v/>
      </c>
      <c r="U341" s="49">
        <f>IF(OR($AE341&lt;&gt;1,U$1=""),"",SUMIFS('All Donations'!$S$2:$S$4001,'All Donations'!$R$2:$R$4001,$AD341,'All Donations'!$T$2:$T$4001,U$1))</f>
        <v/>
      </c>
      <c r="V341" s="49">
        <f>IF(OR($AE341&lt;&gt;1,V$1=""),"",SUMIFS('All Donations'!$S$2:$S$4001,'All Donations'!$R$2:$R$4001,$AD341,'All Donations'!$T$2:$T$4001,V$1))</f>
        <v/>
      </c>
      <c r="W341" s="49">
        <f>IF(OR($AE341&lt;&gt;1,W$1=""),"",SUMIFS('All Donations'!$S$2:$S$4001,'All Donations'!$R$2:$R$4001,$AD341,'All Donations'!$T$2:$T$4001,W$1))</f>
        <v/>
      </c>
      <c r="X341" s="49">
        <f>IF(OR($AE341&lt;&gt;1,X$1=""),"",SUMIFS('All Donations'!$S$2:$S$4001,'All Donations'!$R$2:$R$4001,$AD341,'All Donations'!$T$2:$T$4001,X$1))</f>
        <v/>
      </c>
      <c r="Y341" s="49">
        <f>IF(OR($AE341&lt;&gt;1,Y$1=""),"",SUMIFS('All Donations'!$S$2:$S$4001,'All Donations'!$R$2:$R$4001,$AD341,'All Donations'!$T$2:$T$4001,Y$1))</f>
        <v/>
      </c>
      <c r="Z341" s="49">
        <f>IF(OR($AE341&lt;&gt;1,Z$1=""),"",SUMIFS('All Donations'!$S$2:$S$4001,'All Donations'!$R$2:$R$4001,$AD341,'All Donations'!$T$2:$T$4001,Z$1))</f>
        <v/>
      </c>
      <c r="AA341" s="49">
        <f>IF(OR($AE341&lt;&gt;1,AA$1=""),"",SUMIFS('All Donations'!$S$2:$S$4001,'All Donations'!$R$2:$R$4001,$AD341,'All Donations'!$T$2:$T$4001,AA$1))</f>
        <v/>
      </c>
      <c r="AB341" s="49">
        <f>IF(OR($AE341&lt;&gt;1,AB$1=""),"",SUMIFS('All Donations'!$S$2:$S$4001,'All Donations'!$R$2:$R$4001,$AD341,'All Donations'!$T$2:$T$4001,AB$1))</f>
        <v/>
      </c>
      <c r="AC341" s="49">
        <f>IF(OR($AE341&lt;&gt;1,AC$1=""),"",SUMIFS('All Donations'!$S$2:$S$4001,'All Donations'!$R$2:$R$4001,$AD341,'All Donations'!$T$2:$T$4001,AC$1))</f>
        <v/>
      </c>
      <c r="AD341">
        <f>IF(AE341=1,'Roster'!A341,"")</f>
        <v/>
      </c>
      <c r="AE341">
        <f>IF(TRIM('Roster'!B341&amp;'Roster'!C341)&lt;&gt;"",1,0)</f>
        <v/>
      </c>
      <c r="AF341">
        <f>IF(AE341=1,LOWER(A341),"#")</f>
        <v/>
      </c>
      <c r="AG341">
        <f>IF(AE341=1,LOWER(TRIM(TRIM('Roster'!C341)&amp;", "&amp;TRIM('Roster'!B341))),"#")</f>
        <v/>
      </c>
      <c r="AH341">
        <f>IF(AND(AE341=1,TRIM('Roster'!F341)&lt;&gt;""),LOWER(TRIM('Roster'!F341)),"#")</f>
        <v/>
      </c>
      <c r="AI341">
        <f>IF(AE341=1,IF(MATCH(B341,$B$2:$B$701,0)=ROW()-1,1,0),0)</f>
        <v/>
      </c>
      <c r="AJ341">
        <f>AJ340+AI341</f>
        <v/>
      </c>
      <c r="AK341">
        <f>IF(AE341=1,D341+(1000-ROW())/10^7,-1)</f>
        <v/>
      </c>
      <c r="AL341">
        <f>IF(AE341=1,TRIM('Roster'!B341)&amp;" "&amp;LEFT(TRIM('Roster'!C341),1)&amp;".","")</f>
        <v/>
      </c>
      <c r="AM341">
        <f>IF(AE341=1,TRIM('Roster'!C341)&amp;", "&amp;TRIM('Roster'!B341)&amp;" ("&amp;B341&amp;") #"&amp;AD341,"")</f>
        <v/>
      </c>
      <c r="AN341">
        <f>IF(AE341=1,TRIM('Roster'!E341),"")</f>
        <v/>
      </c>
      <c r="AO341">
        <f>IF(AE341=1,ROUND(SUMIFS('All Donations'!$S$2:$S$4001,'All Donations'!$R$2:$R$4001,AD341,'All Donations'!$T$2:$T$4001,"&gt;="&amp;'Settings'!$C$23,'All Donations'!$T$2:$T$4001,"&lt;="&amp;'Settings'!$D$23),2),0)</f>
        <v/>
      </c>
      <c r="AQ341">
        <f>IF(AE341=1,ROUND(SUMIFS('All Donations'!$S$2:$S$4001,'All Donations'!$R$2:$R$4001,AD341,'All Donations'!$T$2:$T$4001,"&gt;="&amp;'Settings'!$C$25,'All Donations'!$T$2:$T$4001,"&lt;="&amp;'Settings'!$D$25),2),0)</f>
        <v/>
      </c>
      <c r="AR341">
        <f>IF(AE341=1,ROUND(SUMIFS('All Donations'!$S$2:$S$4001,'All Donations'!$R$2:$R$4001,AD341,'All Donations'!$T$2:$T$4001,"&gt;="&amp;'Settings'!$C$26,'All Donations'!$T$2:$T$4001,"&lt;="&amp;'Settings'!$D$26),2),0)</f>
        <v/>
      </c>
      <c r="AS341">
        <f>IF(AE341=1,ROUND(SUMIFS('All Donations'!$S$2:$S$4001,'All Donations'!$R$2:$R$4001,AD341,'All Donations'!$T$2:$T$4001,"&lt;="&amp;'Settings'!$D$27),2),0)</f>
        <v/>
      </c>
      <c r="AT341">
        <f>IF(AE341=1,ROUND(SUMIFS('All Donations'!$S$2:$S$4001,'All Donations'!$R$2:$R$4001,AD341,'All Donations'!$T$2:$T$4001,"&gt;="&amp;'Settings'!$C$28,'All Donations'!$T$2:$T$4001,"&lt;="&amp;'Settings'!$D$28),2),0)</f>
        <v/>
      </c>
      <c r="AU341">
        <f>IF(AE341=1,ROUND(SUMIFS('All Donations'!$S$2:$S$4001,'All Donations'!$R$2:$R$4001,AD341,'All Donations'!$T$2:$T$4001,"&gt;="&amp;'Settings'!$C$29,'All Donations'!$T$2:$T$4001,"&lt;="&amp;'Settings'!$D$29),2),0)</f>
        <v/>
      </c>
      <c r="AV341">
        <f>IF(AE341=1,ROUND(SUMIFS('All Donations'!$S$2:$S$4001,'All Donations'!$R$2:$R$4001,AD341,'All Donations'!$T$2:$T$4001,"&lt;="&amp;'Settings'!$D$30),2),0)</f>
        <v/>
      </c>
      <c r="AZ341">
        <f>IF(AE341=1,ROUND(SUMIFS('All Donations'!$S$2:$S$4001,'All Donations'!$R$2:$R$4001,AD341,'All Donations'!$T$2:$T$4001,"&lt;="&amp;'Settings'!$D$34),2),0)</f>
        <v/>
      </c>
    </row>
    <row r="342">
      <c r="A342">
        <f>IF(AE342=1,TRIM(TRIM('Roster'!B342)&amp;" "&amp;TRIM('Roster'!C342)),"")</f>
        <v/>
      </c>
      <c r="B342">
        <f>IF(AE342=1,IF(AN342="","(no teacher)",AN342&amp;" – "&amp;C342),"")</f>
        <v/>
      </c>
      <c r="C342">
        <f>IF(AE342=1,TRIM('Roster'!D342&amp;""),"")</f>
        <v/>
      </c>
      <c r="D342" s="48">
        <f>IF(AE342=1,ROUND(SUMIFS('All Donations'!$S$2:$S$4001,'All Donations'!$R$2:$R$4001,AD342),2),"")</f>
        <v/>
      </c>
      <c r="E342" s="48">
        <f>IF(AE342=1,ROUND(SUMIFS('All Donations'!$S$2:$S$4001,'All Donations'!$R$2:$R$4001,AD342,'All Donations'!$G$2:$G$4001,"OneCause"),2),"")</f>
        <v/>
      </c>
      <c r="F342" s="48">
        <f>IF(AE342=1,D342-E342,"")</f>
        <v/>
      </c>
      <c r="G342">
        <f>IF(AE342=1,COUNTIFS('All Donations'!$R$2:$R$4001,AD342,'All Donations'!$H$2:$H$4001,"OK"),"")</f>
        <v/>
      </c>
      <c r="H342">
        <f>IF(AE342&lt;&gt;1,"",IF(D342&gt;0,"Yes",""))</f>
        <v/>
      </c>
      <c r="I342" s="49">
        <f>IF(OR($AE342&lt;&gt;1,I$1=""),"",SUMIFS('All Donations'!$S$2:$S$4001,'All Donations'!$R$2:$R$4001,$AD342,'All Donations'!$T$2:$T$4001,I$1))</f>
        <v/>
      </c>
      <c r="J342" s="49">
        <f>IF(OR($AE342&lt;&gt;1,J$1=""),"",SUMIFS('All Donations'!$S$2:$S$4001,'All Donations'!$R$2:$R$4001,$AD342,'All Donations'!$T$2:$T$4001,J$1))</f>
        <v/>
      </c>
      <c r="K342" s="49">
        <f>IF(OR($AE342&lt;&gt;1,K$1=""),"",SUMIFS('All Donations'!$S$2:$S$4001,'All Donations'!$R$2:$R$4001,$AD342,'All Donations'!$T$2:$T$4001,K$1))</f>
        <v/>
      </c>
      <c r="L342" s="49">
        <f>IF(OR($AE342&lt;&gt;1,L$1=""),"",SUMIFS('All Donations'!$S$2:$S$4001,'All Donations'!$R$2:$R$4001,$AD342,'All Donations'!$T$2:$T$4001,L$1))</f>
        <v/>
      </c>
      <c r="M342" s="49">
        <f>IF(OR($AE342&lt;&gt;1,M$1=""),"",SUMIFS('All Donations'!$S$2:$S$4001,'All Donations'!$R$2:$R$4001,$AD342,'All Donations'!$T$2:$T$4001,M$1))</f>
        <v/>
      </c>
      <c r="N342" s="49">
        <f>IF(OR($AE342&lt;&gt;1,N$1=""),"",SUMIFS('All Donations'!$S$2:$S$4001,'All Donations'!$R$2:$R$4001,$AD342,'All Donations'!$T$2:$T$4001,N$1))</f>
        <v/>
      </c>
      <c r="O342" s="49">
        <f>IF(OR($AE342&lt;&gt;1,O$1=""),"",SUMIFS('All Donations'!$S$2:$S$4001,'All Donations'!$R$2:$R$4001,$AD342,'All Donations'!$T$2:$T$4001,O$1))</f>
        <v/>
      </c>
      <c r="P342" s="49">
        <f>IF(OR($AE342&lt;&gt;1,P$1=""),"",SUMIFS('All Donations'!$S$2:$S$4001,'All Donations'!$R$2:$R$4001,$AD342,'All Donations'!$T$2:$T$4001,P$1))</f>
        <v/>
      </c>
      <c r="Q342" s="49">
        <f>IF(OR($AE342&lt;&gt;1,Q$1=""),"",SUMIFS('All Donations'!$S$2:$S$4001,'All Donations'!$R$2:$R$4001,$AD342,'All Donations'!$T$2:$T$4001,Q$1))</f>
        <v/>
      </c>
      <c r="R342" s="49">
        <f>IF(OR($AE342&lt;&gt;1,R$1=""),"",SUMIFS('All Donations'!$S$2:$S$4001,'All Donations'!$R$2:$R$4001,$AD342,'All Donations'!$T$2:$T$4001,R$1))</f>
        <v/>
      </c>
      <c r="S342" s="49">
        <f>IF(OR($AE342&lt;&gt;1,S$1=""),"",SUMIFS('All Donations'!$S$2:$S$4001,'All Donations'!$R$2:$R$4001,$AD342,'All Donations'!$T$2:$T$4001,S$1))</f>
        <v/>
      </c>
      <c r="T342" s="49">
        <f>IF(OR($AE342&lt;&gt;1,T$1=""),"",SUMIFS('All Donations'!$S$2:$S$4001,'All Donations'!$R$2:$R$4001,$AD342,'All Donations'!$T$2:$T$4001,T$1))</f>
        <v/>
      </c>
      <c r="U342" s="49">
        <f>IF(OR($AE342&lt;&gt;1,U$1=""),"",SUMIFS('All Donations'!$S$2:$S$4001,'All Donations'!$R$2:$R$4001,$AD342,'All Donations'!$T$2:$T$4001,U$1))</f>
        <v/>
      </c>
      <c r="V342" s="49">
        <f>IF(OR($AE342&lt;&gt;1,V$1=""),"",SUMIFS('All Donations'!$S$2:$S$4001,'All Donations'!$R$2:$R$4001,$AD342,'All Donations'!$T$2:$T$4001,V$1))</f>
        <v/>
      </c>
      <c r="W342" s="49">
        <f>IF(OR($AE342&lt;&gt;1,W$1=""),"",SUMIFS('All Donations'!$S$2:$S$4001,'All Donations'!$R$2:$R$4001,$AD342,'All Donations'!$T$2:$T$4001,W$1))</f>
        <v/>
      </c>
      <c r="X342" s="49">
        <f>IF(OR($AE342&lt;&gt;1,X$1=""),"",SUMIFS('All Donations'!$S$2:$S$4001,'All Donations'!$R$2:$R$4001,$AD342,'All Donations'!$T$2:$T$4001,X$1))</f>
        <v/>
      </c>
      <c r="Y342" s="49">
        <f>IF(OR($AE342&lt;&gt;1,Y$1=""),"",SUMIFS('All Donations'!$S$2:$S$4001,'All Donations'!$R$2:$R$4001,$AD342,'All Donations'!$T$2:$T$4001,Y$1))</f>
        <v/>
      </c>
      <c r="Z342" s="49">
        <f>IF(OR($AE342&lt;&gt;1,Z$1=""),"",SUMIFS('All Donations'!$S$2:$S$4001,'All Donations'!$R$2:$R$4001,$AD342,'All Donations'!$T$2:$T$4001,Z$1))</f>
        <v/>
      </c>
      <c r="AA342" s="49">
        <f>IF(OR($AE342&lt;&gt;1,AA$1=""),"",SUMIFS('All Donations'!$S$2:$S$4001,'All Donations'!$R$2:$R$4001,$AD342,'All Donations'!$T$2:$T$4001,AA$1))</f>
        <v/>
      </c>
      <c r="AB342" s="49">
        <f>IF(OR($AE342&lt;&gt;1,AB$1=""),"",SUMIFS('All Donations'!$S$2:$S$4001,'All Donations'!$R$2:$R$4001,$AD342,'All Donations'!$T$2:$T$4001,AB$1))</f>
        <v/>
      </c>
      <c r="AC342" s="49">
        <f>IF(OR($AE342&lt;&gt;1,AC$1=""),"",SUMIFS('All Donations'!$S$2:$S$4001,'All Donations'!$R$2:$R$4001,$AD342,'All Donations'!$T$2:$T$4001,AC$1))</f>
        <v/>
      </c>
      <c r="AD342">
        <f>IF(AE342=1,'Roster'!A342,"")</f>
        <v/>
      </c>
      <c r="AE342">
        <f>IF(TRIM('Roster'!B342&amp;'Roster'!C342)&lt;&gt;"",1,0)</f>
        <v/>
      </c>
      <c r="AF342">
        <f>IF(AE342=1,LOWER(A342),"#")</f>
        <v/>
      </c>
      <c r="AG342">
        <f>IF(AE342=1,LOWER(TRIM(TRIM('Roster'!C342)&amp;", "&amp;TRIM('Roster'!B342))),"#")</f>
        <v/>
      </c>
      <c r="AH342">
        <f>IF(AND(AE342=1,TRIM('Roster'!F342)&lt;&gt;""),LOWER(TRIM('Roster'!F342)),"#")</f>
        <v/>
      </c>
      <c r="AI342">
        <f>IF(AE342=1,IF(MATCH(B342,$B$2:$B$701,0)=ROW()-1,1,0),0)</f>
        <v/>
      </c>
      <c r="AJ342">
        <f>AJ341+AI342</f>
        <v/>
      </c>
      <c r="AK342">
        <f>IF(AE342=1,D342+(1000-ROW())/10^7,-1)</f>
        <v/>
      </c>
      <c r="AL342">
        <f>IF(AE342=1,TRIM('Roster'!B342)&amp;" "&amp;LEFT(TRIM('Roster'!C342),1)&amp;".","")</f>
        <v/>
      </c>
      <c r="AM342">
        <f>IF(AE342=1,TRIM('Roster'!C342)&amp;", "&amp;TRIM('Roster'!B342)&amp;" ("&amp;B342&amp;") #"&amp;AD342,"")</f>
        <v/>
      </c>
      <c r="AN342">
        <f>IF(AE342=1,TRIM('Roster'!E342),"")</f>
        <v/>
      </c>
      <c r="AO342">
        <f>IF(AE342=1,ROUND(SUMIFS('All Donations'!$S$2:$S$4001,'All Donations'!$R$2:$R$4001,AD342,'All Donations'!$T$2:$T$4001,"&gt;="&amp;'Settings'!$C$23,'All Donations'!$T$2:$T$4001,"&lt;="&amp;'Settings'!$D$23),2),0)</f>
        <v/>
      </c>
      <c r="AQ342">
        <f>IF(AE342=1,ROUND(SUMIFS('All Donations'!$S$2:$S$4001,'All Donations'!$R$2:$R$4001,AD342,'All Donations'!$T$2:$T$4001,"&gt;="&amp;'Settings'!$C$25,'All Donations'!$T$2:$T$4001,"&lt;="&amp;'Settings'!$D$25),2),0)</f>
        <v/>
      </c>
      <c r="AR342">
        <f>IF(AE342=1,ROUND(SUMIFS('All Donations'!$S$2:$S$4001,'All Donations'!$R$2:$R$4001,AD342,'All Donations'!$T$2:$T$4001,"&gt;="&amp;'Settings'!$C$26,'All Donations'!$T$2:$T$4001,"&lt;="&amp;'Settings'!$D$26),2),0)</f>
        <v/>
      </c>
      <c r="AS342">
        <f>IF(AE342=1,ROUND(SUMIFS('All Donations'!$S$2:$S$4001,'All Donations'!$R$2:$R$4001,AD342,'All Donations'!$T$2:$T$4001,"&lt;="&amp;'Settings'!$D$27),2),0)</f>
        <v/>
      </c>
      <c r="AT342">
        <f>IF(AE342=1,ROUND(SUMIFS('All Donations'!$S$2:$S$4001,'All Donations'!$R$2:$R$4001,AD342,'All Donations'!$T$2:$T$4001,"&gt;="&amp;'Settings'!$C$28,'All Donations'!$T$2:$T$4001,"&lt;="&amp;'Settings'!$D$28),2),0)</f>
        <v/>
      </c>
      <c r="AU342">
        <f>IF(AE342=1,ROUND(SUMIFS('All Donations'!$S$2:$S$4001,'All Donations'!$R$2:$R$4001,AD342,'All Donations'!$T$2:$T$4001,"&gt;="&amp;'Settings'!$C$29,'All Donations'!$T$2:$T$4001,"&lt;="&amp;'Settings'!$D$29),2),0)</f>
        <v/>
      </c>
      <c r="AV342">
        <f>IF(AE342=1,ROUND(SUMIFS('All Donations'!$S$2:$S$4001,'All Donations'!$R$2:$R$4001,AD342,'All Donations'!$T$2:$T$4001,"&lt;="&amp;'Settings'!$D$30),2),0)</f>
        <v/>
      </c>
      <c r="AZ342">
        <f>IF(AE342=1,ROUND(SUMIFS('All Donations'!$S$2:$S$4001,'All Donations'!$R$2:$R$4001,AD342,'All Donations'!$T$2:$T$4001,"&lt;="&amp;'Settings'!$D$34),2),0)</f>
        <v/>
      </c>
    </row>
    <row r="343">
      <c r="A343">
        <f>IF(AE343=1,TRIM(TRIM('Roster'!B343)&amp;" "&amp;TRIM('Roster'!C343)),"")</f>
        <v/>
      </c>
      <c r="B343">
        <f>IF(AE343=1,IF(AN343="","(no teacher)",AN343&amp;" – "&amp;C343),"")</f>
        <v/>
      </c>
      <c r="C343">
        <f>IF(AE343=1,TRIM('Roster'!D343&amp;""),"")</f>
        <v/>
      </c>
      <c r="D343" s="48">
        <f>IF(AE343=1,ROUND(SUMIFS('All Donations'!$S$2:$S$4001,'All Donations'!$R$2:$R$4001,AD343),2),"")</f>
        <v/>
      </c>
      <c r="E343" s="48">
        <f>IF(AE343=1,ROUND(SUMIFS('All Donations'!$S$2:$S$4001,'All Donations'!$R$2:$R$4001,AD343,'All Donations'!$G$2:$G$4001,"OneCause"),2),"")</f>
        <v/>
      </c>
      <c r="F343" s="48">
        <f>IF(AE343=1,D343-E343,"")</f>
        <v/>
      </c>
      <c r="G343">
        <f>IF(AE343=1,COUNTIFS('All Donations'!$R$2:$R$4001,AD343,'All Donations'!$H$2:$H$4001,"OK"),"")</f>
        <v/>
      </c>
      <c r="H343">
        <f>IF(AE343&lt;&gt;1,"",IF(D343&gt;0,"Yes",""))</f>
        <v/>
      </c>
      <c r="I343" s="49">
        <f>IF(OR($AE343&lt;&gt;1,I$1=""),"",SUMIFS('All Donations'!$S$2:$S$4001,'All Donations'!$R$2:$R$4001,$AD343,'All Donations'!$T$2:$T$4001,I$1))</f>
        <v/>
      </c>
      <c r="J343" s="49">
        <f>IF(OR($AE343&lt;&gt;1,J$1=""),"",SUMIFS('All Donations'!$S$2:$S$4001,'All Donations'!$R$2:$R$4001,$AD343,'All Donations'!$T$2:$T$4001,J$1))</f>
        <v/>
      </c>
      <c r="K343" s="49">
        <f>IF(OR($AE343&lt;&gt;1,K$1=""),"",SUMIFS('All Donations'!$S$2:$S$4001,'All Donations'!$R$2:$R$4001,$AD343,'All Donations'!$T$2:$T$4001,K$1))</f>
        <v/>
      </c>
      <c r="L343" s="49">
        <f>IF(OR($AE343&lt;&gt;1,L$1=""),"",SUMIFS('All Donations'!$S$2:$S$4001,'All Donations'!$R$2:$R$4001,$AD343,'All Donations'!$T$2:$T$4001,L$1))</f>
        <v/>
      </c>
      <c r="M343" s="49">
        <f>IF(OR($AE343&lt;&gt;1,M$1=""),"",SUMIFS('All Donations'!$S$2:$S$4001,'All Donations'!$R$2:$R$4001,$AD343,'All Donations'!$T$2:$T$4001,M$1))</f>
        <v/>
      </c>
      <c r="N343" s="49">
        <f>IF(OR($AE343&lt;&gt;1,N$1=""),"",SUMIFS('All Donations'!$S$2:$S$4001,'All Donations'!$R$2:$R$4001,$AD343,'All Donations'!$T$2:$T$4001,N$1))</f>
        <v/>
      </c>
      <c r="O343" s="49">
        <f>IF(OR($AE343&lt;&gt;1,O$1=""),"",SUMIFS('All Donations'!$S$2:$S$4001,'All Donations'!$R$2:$R$4001,$AD343,'All Donations'!$T$2:$T$4001,O$1))</f>
        <v/>
      </c>
      <c r="P343" s="49">
        <f>IF(OR($AE343&lt;&gt;1,P$1=""),"",SUMIFS('All Donations'!$S$2:$S$4001,'All Donations'!$R$2:$R$4001,$AD343,'All Donations'!$T$2:$T$4001,P$1))</f>
        <v/>
      </c>
      <c r="Q343" s="49">
        <f>IF(OR($AE343&lt;&gt;1,Q$1=""),"",SUMIFS('All Donations'!$S$2:$S$4001,'All Donations'!$R$2:$R$4001,$AD343,'All Donations'!$T$2:$T$4001,Q$1))</f>
        <v/>
      </c>
      <c r="R343" s="49">
        <f>IF(OR($AE343&lt;&gt;1,R$1=""),"",SUMIFS('All Donations'!$S$2:$S$4001,'All Donations'!$R$2:$R$4001,$AD343,'All Donations'!$T$2:$T$4001,R$1))</f>
        <v/>
      </c>
      <c r="S343" s="49">
        <f>IF(OR($AE343&lt;&gt;1,S$1=""),"",SUMIFS('All Donations'!$S$2:$S$4001,'All Donations'!$R$2:$R$4001,$AD343,'All Donations'!$T$2:$T$4001,S$1))</f>
        <v/>
      </c>
      <c r="T343" s="49">
        <f>IF(OR($AE343&lt;&gt;1,T$1=""),"",SUMIFS('All Donations'!$S$2:$S$4001,'All Donations'!$R$2:$R$4001,$AD343,'All Donations'!$T$2:$T$4001,T$1))</f>
        <v/>
      </c>
      <c r="U343" s="49">
        <f>IF(OR($AE343&lt;&gt;1,U$1=""),"",SUMIFS('All Donations'!$S$2:$S$4001,'All Donations'!$R$2:$R$4001,$AD343,'All Donations'!$T$2:$T$4001,U$1))</f>
        <v/>
      </c>
      <c r="V343" s="49">
        <f>IF(OR($AE343&lt;&gt;1,V$1=""),"",SUMIFS('All Donations'!$S$2:$S$4001,'All Donations'!$R$2:$R$4001,$AD343,'All Donations'!$T$2:$T$4001,V$1))</f>
        <v/>
      </c>
      <c r="W343" s="49">
        <f>IF(OR($AE343&lt;&gt;1,W$1=""),"",SUMIFS('All Donations'!$S$2:$S$4001,'All Donations'!$R$2:$R$4001,$AD343,'All Donations'!$T$2:$T$4001,W$1))</f>
        <v/>
      </c>
      <c r="X343" s="49">
        <f>IF(OR($AE343&lt;&gt;1,X$1=""),"",SUMIFS('All Donations'!$S$2:$S$4001,'All Donations'!$R$2:$R$4001,$AD343,'All Donations'!$T$2:$T$4001,X$1))</f>
        <v/>
      </c>
      <c r="Y343" s="49">
        <f>IF(OR($AE343&lt;&gt;1,Y$1=""),"",SUMIFS('All Donations'!$S$2:$S$4001,'All Donations'!$R$2:$R$4001,$AD343,'All Donations'!$T$2:$T$4001,Y$1))</f>
        <v/>
      </c>
      <c r="Z343" s="49">
        <f>IF(OR($AE343&lt;&gt;1,Z$1=""),"",SUMIFS('All Donations'!$S$2:$S$4001,'All Donations'!$R$2:$R$4001,$AD343,'All Donations'!$T$2:$T$4001,Z$1))</f>
        <v/>
      </c>
      <c r="AA343" s="49">
        <f>IF(OR($AE343&lt;&gt;1,AA$1=""),"",SUMIFS('All Donations'!$S$2:$S$4001,'All Donations'!$R$2:$R$4001,$AD343,'All Donations'!$T$2:$T$4001,AA$1))</f>
        <v/>
      </c>
      <c r="AB343" s="49">
        <f>IF(OR($AE343&lt;&gt;1,AB$1=""),"",SUMIFS('All Donations'!$S$2:$S$4001,'All Donations'!$R$2:$R$4001,$AD343,'All Donations'!$T$2:$T$4001,AB$1))</f>
        <v/>
      </c>
      <c r="AC343" s="49">
        <f>IF(OR($AE343&lt;&gt;1,AC$1=""),"",SUMIFS('All Donations'!$S$2:$S$4001,'All Donations'!$R$2:$R$4001,$AD343,'All Donations'!$T$2:$T$4001,AC$1))</f>
        <v/>
      </c>
      <c r="AD343">
        <f>IF(AE343=1,'Roster'!A343,"")</f>
        <v/>
      </c>
      <c r="AE343">
        <f>IF(TRIM('Roster'!B343&amp;'Roster'!C343)&lt;&gt;"",1,0)</f>
        <v/>
      </c>
      <c r="AF343">
        <f>IF(AE343=1,LOWER(A343),"#")</f>
        <v/>
      </c>
      <c r="AG343">
        <f>IF(AE343=1,LOWER(TRIM(TRIM('Roster'!C343)&amp;", "&amp;TRIM('Roster'!B343))),"#")</f>
        <v/>
      </c>
      <c r="AH343">
        <f>IF(AND(AE343=1,TRIM('Roster'!F343)&lt;&gt;""),LOWER(TRIM('Roster'!F343)),"#")</f>
        <v/>
      </c>
      <c r="AI343">
        <f>IF(AE343=1,IF(MATCH(B343,$B$2:$B$701,0)=ROW()-1,1,0),0)</f>
        <v/>
      </c>
      <c r="AJ343">
        <f>AJ342+AI343</f>
        <v/>
      </c>
      <c r="AK343">
        <f>IF(AE343=1,D343+(1000-ROW())/10^7,-1)</f>
        <v/>
      </c>
      <c r="AL343">
        <f>IF(AE343=1,TRIM('Roster'!B343)&amp;" "&amp;LEFT(TRIM('Roster'!C343),1)&amp;".","")</f>
        <v/>
      </c>
      <c r="AM343">
        <f>IF(AE343=1,TRIM('Roster'!C343)&amp;", "&amp;TRIM('Roster'!B343)&amp;" ("&amp;B343&amp;") #"&amp;AD343,"")</f>
        <v/>
      </c>
      <c r="AN343">
        <f>IF(AE343=1,TRIM('Roster'!E343),"")</f>
        <v/>
      </c>
      <c r="AO343">
        <f>IF(AE343=1,ROUND(SUMIFS('All Donations'!$S$2:$S$4001,'All Donations'!$R$2:$R$4001,AD343,'All Donations'!$T$2:$T$4001,"&gt;="&amp;'Settings'!$C$23,'All Donations'!$T$2:$T$4001,"&lt;="&amp;'Settings'!$D$23),2),0)</f>
        <v/>
      </c>
      <c r="AQ343">
        <f>IF(AE343=1,ROUND(SUMIFS('All Donations'!$S$2:$S$4001,'All Donations'!$R$2:$R$4001,AD343,'All Donations'!$T$2:$T$4001,"&gt;="&amp;'Settings'!$C$25,'All Donations'!$T$2:$T$4001,"&lt;="&amp;'Settings'!$D$25),2),0)</f>
        <v/>
      </c>
      <c r="AR343">
        <f>IF(AE343=1,ROUND(SUMIFS('All Donations'!$S$2:$S$4001,'All Donations'!$R$2:$R$4001,AD343,'All Donations'!$T$2:$T$4001,"&gt;="&amp;'Settings'!$C$26,'All Donations'!$T$2:$T$4001,"&lt;="&amp;'Settings'!$D$26),2),0)</f>
        <v/>
      </c>
      <c r="AS343">
        <f>IF(AE343=1,ROUND(SUMIFS('All Donations'!$S$2:$S$4001,'All Donations'!$R$2:$R$4001,AD343,'All Donations'!$T$2:$T$4001,"&lt;="&amp;'Settings'!$D$27),2),0)</f>
        <v/>
      </c>
      <c r="AT343">
        <f>IF(AE343=1,ROUND(SUMIFS('All Donations'!$S$2:$S$4001,'All Donations'!$R$2:$R$4001,AD343,'All Donations'!$T$2:$T$4001,"&gt;="&amp;'Settings'!$C$28,'All Donations'!$T$2:$T$4001,"&lt;="&amp;'Settings'!$D$28),2),0)</f>
        <v/>
      </c>
      <c r="AU343">
        <f>IF(AE343=1,ROUND(SUMIFS('All Donations'!$S$2:$S$4001,'All Donations'!$R$2:$R$4001,AD343,'All Donations'!$T$2:$T$4001,"&gt;="&amp;'Settings'!$C$29,'All Donations'!$T$2:$T$4001,"&lt;="&amp;'Settings'!$D$29),2),0)</f>
        <v/>
      </c>
      <c r="AV343">
        <f>IF(AE343=1,ROUND(SUMIFS('All Donations'!$S$2:$S$4001,'All Donations'!$R$2:$R$4001,AD343,'All Donations'!$T$2:$T$4001,"&lt;="&amp;'Settings'!$D$30),2),0)</f>
        <v/>
      </c>
      <c r="AZ343">
        <f>IF(AE343=1,ROUND(SUMIFS('All Donations'!$S$2:$S$4001,'All Donations'!$R$2:$R$4001,AD343,'All Donations'!$T$2:$T$4001,"&lt;="&amp;'Settings'!$D$34),2),0)</f>
        <v/>
      </c>
    </row>
    <row r="344">
      <c r="A344">
        <f>IF(AE344=1,TRIM(TRIM('Roster'!B344)&amp;" "&amp;TRIM('Roster'!C344)),"")</f>
        <v/>
      </c>
      <c r="B344">
        <f>IF(AE344=1,IF(AN344="","(no teacher)",AN344&amp;" – "&amp;C344),"")</f>
        <v/>
      </c>
      <c r="C344">
        <f>IF(AE344=1,TRIM('Roster'!D344&amp;""),"")</f>
        <v/>
      </c>
      <c r="D344" s="48">
        <f>IF(AE344=1,ROUND(SUMIFS('All Donations'!$S$2:$S$4001,'All Donations'!$R$2:$R$4001,AD344),2),"")</f>
        <v/>
      </c>
      <c r="E344" s="48">
        <f>IF(AE344=1,ROUND(SUMIFS('All Donations'!$S$2:$S$4001,'All Donations'!$R$2:$R$4001,AD344,'All Donations'!$G$2:$G$4001,"OneCause"),2),"")</f>
        <v/>
      </c>
      <c r="F344" s="48">
        <f>IF(AE344=1,D344-E344,"")</f>
        <v/>
      </c>
      <c r="G344">
        <f>IF(AE344=1,COUNTIFS('All Donations'!$R$2:$R$4001,AD344,'All Donations'!$H$2:$H$4001,"OK"),"")</f>
        <v/>
      </c>
      <c r="H344">
        <f>IF(AE344&lt;&gt;1,"",IF(D344&gt;0,"Yes",""))</f>
        <v/>
      </c>
      <c r="I344" s="49">
        <f>IF(OR($AE344&lt;&gt;1,I$1=""),"",SUMIFS('All Donations'!$S$2:$S$4001,'All Donations'!$R$2:$R$4001,$AD344,'All Donations'!$T$2:$T$4001,I$1))</f>
        <v/>
      </c>
      <c r="J344" s="49">
        <f>IF(OR($AE344&lt;&gt;1,J$1=""),"",SUMIFS('All Donations'!$S$2:$S$4001,'All Donations'!$R$2:$R$4001,$AD344,'All Donations'!$T$2:$T$4001,J$1))</f>
        <v/>
      </c>
      <c r="K344" s="49">
        <f>IF(OR($AE344&lt;&gt;1,K$1=""),"",SUMIFS('All Donations'!$S$2:$S$4001,'All Donations'!$R$2:$R$4001,$AD344,'All Donations'!$T$2:$T$4001,K$1))</f>
        <v/>
      </c>
      <c r="L344" s="49">
        <f>IF(OR($AE344&lt;&gt;1,L$1=""),"",SUMIFS('All Donations'!$S$2:$S$4001,'All Donations'!$R$2:$R$4001,$AD344,'All Donations'!$T$2:$T$4001,L$1))</f>
        <v/>
      </c>
      <c r="M344" s="49">
        <f>IF(OR($AE344&lt;&gt;1,M$1=""),"",SUMIFS('All Donations'!$S$2:$S$4001,'All Donations'!$R$2:$R$4001,$AD344,'All Donations'!$T$2:$T$4001,M$1))</f>
        <v/>
      </c>
      <c r="N344" s="49">
        <f>IF(OR($AE344&lt;&gt;1,N$1=""),"",SUMIFS('All Donations'!$S$2:$S$4001,'All Donations'!$R$2:$R$4001,$AD344,'All Donations'!$T$2:$T$4001,N$1))</f>
        <v/>
      </c>
      <c r="O344" s="49">
        <f>IF(OR($AE344&lt;&gt;1,O$1=""),"",SUMIFS('All Donations'!$S$2:$S$4001,'All Donations'!$R$2:$R$4001,$AD344,'All Donations'!$T$2:$T$4001,O$1))</f>
        <v/>
      </c>
      <c r="P344" s="49">
        <f>IF(OR($AE344&lt;&gt;1,P$1=""),"",SUMIFS('All Donations'!$S$2:$S$4001,'All Donations'!$R$2:$R$4001,$AD344,'All Donations'!$T$2:$T$4001,P$1))</f>
        <v/>
      </c>
      <c r="Q344" s="49">
        <f>IF(OR($AE344&lt;&gt;1,Q$1=""),"",SUMIFS('All Donations'!$S$2:$S$4001,'All Donations'!$R$2:$R$4001,$AD344,'All Donations'!$T$2:$T$4001,Q$1))</f>
        <v/>
      </c>
      <c r="R344" s="49">
        <f>IF(OR($AE344&lt;&gt;1,R$1=""),"",SUMIFS('All Donations'!$S$2:$S$4001,'All Donations'!$R$2:$R$4001,$AD344,'All Donations'!$T$2:$T$4001,R$1))</f>
        <v/>
      </c>
      <c r="S344" s="49">
        <f>IF(OR($AE344&lt;&gt;1,S$1=""),"",SUMIFS('All Donations'!$S$2:$S$4001,'All Donations'!$R$2:$R$4001,$AD344,'All Donations'!$T$2:$T$4001,S$1))</f>
        <v/>
      </c>
      <c r="T344" s="49">
        <f>IF(OR($AE344&lt;&gt;1,T$1=""),"",SUMIFS('All Donations'!$S$2:$S$4001,'All Donations'!$R$2:$R$4001,$AD344,'All Donations'!$T$2:$T$4001,T$1))</f>
        <v/>
      </c>
      <c r="U344" s="49">
        <f>IF(OR($AE344&lt;&gt;1,U$1=""),"",SUMIFS('All Donations'!$S$2:$S$4001,'All Donations'!$R$2:$R$4001,$AD344,'All Donations'!$T$2:$T$4001,U$1))</f>
        <v/>
      </c>
      <c r="V344" s="49">
        <f>IF(OR($AE344&lt;&gt;1,V$1=""),"",SUMIFS('All Donations'!$S$2:$S$4001,'All Donations'!$R$2:$R$4001,$AD344,'All Donations'!$T$2:$T$4001,V$1))</f>
        <v/>
      </c>
      <c r="W344" s="49">
        <f>IF(OR($AE344&lt;&gt;1,W$1=""),"",SUMIFS('All Donations'!$S$2:$S$4001,'All Donations'!$R$2:$R$4001,$AD344,'All Donations'!$T$2:$T$4001,W$1))</f>
        <v/>
      </c>
      <c r="X344" s="49">
        <f>IF(OR($AE344&lt;&gt;1,X$1=""),"",SUMIFS('All Donations'!$S$2:$S$4001,'All Donations'!$R$2:$R$4001,$AD344,'All Donations'!$T$2:$T$4001,X$1))</f>
        <v/>
      </c>
      <c r="Y344" s="49">
        <f>IF(OR($AE344&lt;&gt;1,Y$1=""),"",SUMIFS('All Donations'!$S$2:$S$4001,'All Donations'!$R$2:$R$4001,$AD344,'All Donations'!$T$2:$T$4001,Y$1))</f>
        <v/>
      </c>
      <c r="Z344" s="49">
        <f>IF(OR($AE344&lt;&gt;1,Z$1=""),"",SUMIFS('All Donations'!$S$2:$S$4001,'All Donations'!$R$2:$R$4001,$AD344,'All Donations'!$T$2:$T$4001,Z$1))</f>
        <v/>
      </c>
      <c r="AA344" s="49">
        <f>IF(OR($AE344&lt;&gt;1,AA$1=""),"",SUMIFS('All Donations'!$S$2:$S$4001,'All Donations'!$R$2:$R$4001,$AD344,'All Donations'!$T$2:$T$4001,AA$1))</f>
        <v/>
      </c>
      <c r="AB344" s="49">
        <f>IF(OR($AE344&lt;&gt;1,AB$1=""),"",SUMIFS('All Donations'!$S$2:$S$4001,'All Donations'!$R$2:$R$4001,$AD344,'All Donations'!$T$2:$T$4001,AB$1))</f>
        <v/>
      </c>
      <c r="AC344" s="49">
        <f>IF(OR($AE344&lt;&gt;1,AC$1=""),"",SUMIFS('All Donations'!$S$2:$S$4001,'All Donations'!$R$2:$R$4001,$AD344,'All Donations'!$T$2:$T$4001,AC$1))</f>
        <v/>
      </c>
      <c r="AD344">
        <f>IF(AE344=1,'Roster'!A344,"")</f>
        <v/>
      </c>
      <c r="AE344">
        <f>IF(TRIM('Roster'!B344&amp;'Roster'!C344)&lt;&gt;"",1,0)</f>
        <v/>
      </c>
      <c r="AF344">
        <f>IF(AE344=1,LOWER(A344),"#")</f>
        <v/>
      </c>
      <c r="AG344">
        <f>IF(AE344=1,LOWER(TRIM(TRIM('Roster'!C344)&amp;", "&amp;TRIM('Roster'!B344))),"#")</f>
        <v/>
      </c>
      <c r="AH344">
        <f>IF(AND(AE344=1,TRIM('Roster'!F344)&lt;&gt;""),LOWER(TRIM('Roster'!F344)),"#")</f>
        <v/>
      </c>
      <c r="AI344">
        <f>IF(AE344=1,IF(MATCH(B344,$B$2:$B$701,0)=ROW()-1,1,0),0)</f>
        <v/>
      </c>
      <c r="AJ344">
        <f>AJ343+AI344</f>
        <v/>
      </c>
      <c r="AK344">
        <f>IF(AE344=1,D344+(1000-ROW())/10^7,-1)</f>
        <v/>
      </c>
      <c r="AL344">
        <f>IF(AE344=1,TRIM('Roster'!B344)&amp;" "&amp;LEFT(TRIM('Roster'!C344),1)&amp;".","")</f>
        <v/>
      </c>
      <c r="AM344">
        <f>IF(AE344=1,TRIM('Roster'!C344)&amp;", "&amp;TRIM('Roster'!B344)&amp;" ("&amp;B344&amp;") #"&amp;AD344,"")</f>
        <v/>
      </c>
      <c r="AN344">
        <f>IF(AE344=1,TRIM('Roster'!E344),"")</f>
        <v/>
      </c>
      <c r="AO344">
        <f>IF(AE344=1,ROUND(SUMIFS('All Donations'!$S$2:$S$4001,'All Donations'!$R$2:$R$4001,AD344,'All Donations'!$T$2:$T$4001,"&gt;="&amp;'Settings'!$C$23,'All Donations'!$T$2:$T$4001,"&lt;="&amp;'Settings'!$D$23),2),0)</f>
        <v/>
      </c>
      <c r="AQ344">
        <f>IF(AE344=1,ROUND(SUMIFS('All Donations'!$S$2:$S$4001,'All Donations'!$R$2:$R$4001,AD344,'All Donations'!$T$2:$T$4001,"&gt;="&amp;'Settings'!$C$25,'All Donations'!$T$2:$T$4001,"&lt;="&amp;'Settings'!$D$25),2),0)</f>
        <v/>
      </c>
      <c r="AR344">
        <f>IF(AE344=1,ROUND(SUMIFS('All Donations'!$S$2:$S$4001,'All Donations'!$R$2:$R$4001,AD344,'All Donations'!$T$2:$T$4001,"&gt;="&amp;'Settings'!$C$26,'All Donations'!$T$2:$T$4001,"&lt;="&amp;'Settings'!$D$26),2),0)</f>
        <v/>
      </c>
      <c r="AS344">
        <f>IF(AE344=1,ROUND(SUMIFS('All Donations'!$S$2:$S$4001,'All Donations'!$R$2:$R$4001,AD344,'All Donations'!$T$2:$T$4001,"&lt;="&amp;'Settings'!$D$27),2),0)</f>
        <v/>
      </c>
      <c r="AT344">
        <f>IF(AE344=1,ROUND(SUMIFS('All Donations'!$S$2:$S$4001,'All Donations'!$R$2:$R$4001,AD344,'All Donations'!$T$2:$T$4001,"&gt;="&amp;'Settings'!$C$28,'All Donations'!$T$2:$T$4001,"&lt;="&amp;'Settings'!$D$28),2),0)</f>
        <v/>
      </c>
      <c r="AU344">
        <f>IF(AE344=1,ROUND(SUMIFS('All Donations'!$S$2:$S$4001,'All Donations'!$R$2:$R$4001,AD344,'All Donations'!$T$2:$T$4001,"&gt;="&amp;'Settings'!$C$29,'All Donations'!$T$2:$T$4001,"&lt;="&amp;'Settings'!$D$29),2),0)</f>
        <v/>
      </c>
      <c r="AV344">
        <f>IF(AE344=1,ROUND(SUMIFS('All Donations'!$S$2:$S$4001,'All Donations'!$R$2:$R$4001,AD344,'All Donations'!$T$2:$T$4001,"&lt;="&amp;'Settings'!$D$30),2),0)</f>
        <v/>
      </c>
      <c r="AZ344">
        <f>IF(AE344=1,ROUND(SUMIFS('All Donations'!$S$2:$S$4001,'All Donations'!$R$2:$R$4001,AD344,'All Donations'!$T$2:$T$4001,"&lt;="&amp;'Settings'!$D$34),2),0)</f>
        <v/>
      </c>
    </row>
    <row r="345">
      <c r="A345">
        <f>IF(AE345=1,TRIM(TRIM('Roster'!B345)&amp;" "&amp;TRIM('Roster'!C345)),"")</f>
        <v/>
      </c>
      <c r="B345">
        <f>IF(AE345=1,IF(AN345="","(no teacher)",AN345&amp;" – "&amp;C345),"")</f>
        <v/>
      </c>
      <c r="C345">
        <f>IF(AE345=1,TRIM('Roster'!D345&amp;""),"")</f>
        <v/>
      </c>
      <c r="D345" s="48">
        <f>IF(AE345=1,ROUND(SUMIFS('All Donations'!$S$2:$S$4001,'All Donations'!$R$2:$R$4001,AD345),2),"")</f>
        <v/>
      </c>
      <c r="E345" s="48">
        <f>IF(AE345=1,ROUND(SUMIFS('All Donations'!$S$2:$S$4001,'All Donations'!$R$2:$R$4001,AD345,'All Donations'!$G$2:$G$4001,"OneCause"),2),"")</f>
        <v/>
      </c>
      <c r="F345" s="48">
        <f>IF(AE345=1,D345-E345,"")</f>
        <v/>
      </c>
      <c r="G345">
        <f>IF(AE345=1,COUNTIFS('All Donations'!$R$2:$R$4001,AD345,'All Donations'!$H$2:$H$4001,"OK"),"")</f>
        <v/>
      </c>
      <c r="H345">
        <f>IF(AE345&lt;&gt;1,"",IF(D345&gt;0,"Yes",""))</f>
        <v/>
      </c>
      <c r="I345" s="49">
        <f>IF(OR($AE345&lt;&gt;1,I$1=""),"",SUMIFS('All Donations'!$S$2:$S$4001,'All Donations'!$R$2:$R$4001,$AD345,'All Donations'!$T$2:$T$4001,I$1))</f>
        <v/>
      </c>
      <c r="J345" s="49">
        <f>IF(OR($AE345&lt;&gt;1,J$1=""),"",SUMIFS('All Donations'!$S$2:$S$4001,'All Donations'!$R$2:$R$4001,$AD345,'All Donations'!$T$2:$T$4001,J$1))</f>
        <v/>
      </c>
      <c r="K345" s="49">
        <f>IF(OR($AE345&lt;&gt;1,K$1=""),"",SUMIFS('All Donations'!$S$2:$S$4001,'All Donations'!$R$2:$R$4001,$AD345,'All Donations'!$T$2:$T$4001,K$1))</f>
        <v/>
      </c>
      <c r="L345" s="49">
        <f>IF(OR($AE345&lt;&gt;1,L$1=""),"",SUMIFS('All Donations'!$S$2:$S$4001,'All Donations'!$R$2:$R$4001,$AD345,'All Donations'!$T$2:$T$4001,L$1))</f>
        <v/>
      </c>
      <c r="M345" s="49">
        <f>IF(OR($AE345&lt;&gt;1,M$1=""),"",SUMIFS('All Donations'!$S$2:$S$4001,'All Donations'!$R$2:$R$4001,$AD345,'All Donations'!$T$2:$T$4001,M$1))</f>
        <v/>
      </c>
      <c r="N345" s="49">
        <f>IF(OR($AE345&lt;&gt;1,N$1=""),"",SUMIFS('All Donations'!$S$2:$S$4001,'All Donations'!$R$2:$R$4001,$AD345,'All Donations'!$T$2:$T$4001,N$1))</f>
        <v/>
      </c>
      <c r="O345" s="49">
        <f>IF(OR($AE345&lt;&gt;1,O$1=""),"",SUMIFS('All Donations'!$S$2:$S$4001,'All Donations'!$R$2:$R$4001,$AD345,'All Donations'!$T$2:$T$4001,O$1))</f>
        <v/>
      </c>
      <c r="P345" s="49">
        <f>IF(OR($AE345&lt;&gt;1,P$1=""),"",SUMIFS('All Donations'!$S$2:$S$4001,'All Donations'!$R$2:$R$4001,$AD345,'All Donations'!$T$2:$T$4001,P$1))</f>
        <v/>
      </c>
      <c r="Q345" s="49">
        <f>IF(OR($AE345&lt;&gt;1,Q$1=""),"",SUMIFS('All Donations'!$S$2:$S$4001,'All Donations'!$R$2:$R$4001,$AD345,'All Donations'!$T$2:$T$4001,Q$1))</f>
        <v/>
      </c>
      <c r="R345" s="49">
        <f>IF(OR($AE345&lt;&gt;1,R$1=""),"",SUMIFS('All Donations'!$S$2:$S$4001,'All Donations'!$R$2:$R$4001,$AD345,'All Donations'!$T$2:$T$4001,R$1))</f>
        <v/>
      </c>
      <c r="S345" s="49">
        <f>IF(OR($AE345&lt;&gt;1,S$1=""),"",SUMIFS('All Donations'!$S$2:$S$4001,'All Donations'!$R$2:$R$4001,$AD345,'All Donations'!$T$2:$T$4001,S$1))</f>
        <v/>
      </c>
      <c r="T345" s="49">
        <f>IF(OR($AE345&lt;&gt;1,T$1=""),"",SUMIFS('All Donations'!$S$2:$S$4001,'All Donations'!$R$2:$R$4001,$AD345,'All Donations'!$T$2:$T$4001,T$1))</f>
        <v/>
      </c>
      <c r="U345" s="49">
        <f>IF(OR($AE345&lt;&gt;1,U$1=""),"",SUMIFS('All Donations'!$S$2:$S$4001,'All Donations'!$R$2:$R$4001,$AD345,'All Donations'!$T$2:$T$4001,U$1))</f>
        <v/>
      </c>
      <c r="V345" s="49">
        <f>IF(OR($AE345&lt;&gt;1,V$1=""),"",SUMIFS('All Donations'!$S$2:$S$4001,'All Donations'!$R$2:$R$4001,$AD345,'All Donations'!$T$2:$T$4001,V$1))</f>
        <v/>
      </c>
      <c r="W345" s="49">
        <f>IF(OR($AE345&lt;&gt;1,W$1=""),"",SUMIFS('All Donations'!$S$2:$S$4001,'All Donations'!$R$2:$R$4001,$AD345,'All Donations'!$T$2:$T$4001,W$1))</f>
        <v/>
      </c>
      <c r="X345" s="49">
        <f>IF(OR($AE345&lt;&gt;1,X$1=""),"",SUMIFS('All Donations'!$S$2:$S$4001,'All Donations'!$R$2:$R$4001,$AD345,'All Donations'!$T$2:$T$4001,X$1))</f>
        <v/>
      </c>
      <c r="Y345" s="49">
        <f>IF(OR($AE345&lt;&gt;1,Y$1=""),"",SUMIFS('All Donations'!$S$2:$S$4001,'All Donations'!$R$2:$R$4001,$AD345,'All Donations'!$T$2:$T$4001,Y$1))</f>
        <v/>
      </c>
      <c r="Z345" s="49">
        <f>IF(OR($AE345&lt;&gt;1,Z$1=""),"",SUMIFS('All Donations'!$S$2:$S$4001,'All Donations'!$R$2:$R$4001,$AD345,'All Donations'!$T$2:$T$4001,Z$1))</f>
        <v/>
      </c>
      <c r="AA345" s="49">
        <f>IF(OR($AE345&lt;&gt;1,AA$1=""),"",SUMIFS('All Donations'!$S$2:$S$4001,'All Donations'!$R$2:$R$4001,$AD345,'All Donations'!$T$2:$T$4001,AA$1))</f>
        <v/>
      </c>
      <c r="AB345" s="49">
        <f>IF(OR($AE345&lt;&gt;1,AB$1=""),"",SUMIFS('All Donations'!$S$2:$S$4001,'All Donations'!$R$2:$R$4001,$AD345,'All Donations'!$T$2:$T$4001,AB$1))</f>
        <v/>
      </c>
      <c r="AC345" s="49">
        <f>IF(OR($AE345&lt;&gt;1,AC$1=""),"",SUMIFS('All Donations'!$S$2:$S$4001,'All Donations'!$R$2:$R$4001,$AD345,'All Donations'!$T$2:$T$4001,AC$1))</f>
        <v/>
      </c>
      <c r="AD345">
        <f>IF(AE345=1,'Roster'!A345,"")</f>
        <v/>
      </c>
      <c r="AE345">
        <f>IF(TRIM('Roster'!B345&amp;'Roster'!C345)&lt;&gt;"",1,0)</f>
        <v/>
      </c>
      <c r="AF345">
        <f>IF(AE345=1,LOWER(A345),"#")</f>
        <v/>
      </c>
      <c r="AG345">
        <f>IF(AE345=1,LOWER(TRIM(TRIM('Roster'!C345)&amp;", "&amp;TRIM('Roster'!B345))),"#")</f>
        <v/>
      </c>
      <c r="AH345">
        <f>IF(AND(AE345=1,TRIM('Roster'!F345)&lt;&gt;""),LOWER(TRIM('Roster'!F345)),"#")</f>
        <v/>
      </c>
      <c r="AI345">
        <f>IF(AE345=1,IF(MATCH(B345,$B$2:$B$701,0)=ROW()-1,1,0),0)</f>
        <v/>
      </c>
      <c r="AJ345">
        <f>AJ344+AI345</f>
        <v/>
      </c>
      <c r="AK345">
        <f>IF(AE345=1,D345+(1000-ROW())/10^7,-1)</f>
        <v/>
      </c>
      <c r="AL345">
        <f>IF(AE345=1,TRIM('Roster'!B345)&amp;" "&amp;LEFT(TRIM('Roster'!C345),1)&amp;".","")</f>
        <v/>
      </c>
      <c r="AM345">
        <f>IF(AE345=1,TRIM('Roster'!C345)&amp;", "&amp;TRIM('Roster'!B345)&amp;" ("&amp;B345&amp;") #"&amp;AD345,"")</f>
        <v/>
      </c>
      <c r="AN345">
        <f>IF(AE345=1,TRIM('Roster'!E345),"")</f>
        <v/>
      </c>
      <c r="AO345">
        <f>IF(AE345=1,ROUND(SUMIFS('All Donations'!$S$2:$S$4001,'All Donations'!$R$2:$R$4001,AD345,'All Donations'!$T$2:$T$4001,"&gt;="&amp;'Settings'!$C$23,'All Donations'!$T$2:$T$4001,"&lt;="&amp;'Settings'!$D$23),2),0)</f>
        <v/>
      </c>
      <c r="AQ345">
        <f>IF(AE345=1,ROUND(SUMIFS('All Donations'!$S$2:$S$4001,'All Donations'!$R$2:$R$4001,AD345,'All Donations'!$T$2:$T$4001,"&gt;="&amp;'Settings'!$C$25,'All Donations'!$T$2:$T$4001,"&lt;="&amp;'Settings'!$D$25),2),0)</f>
        <v/>
      </c>
      <c r="AR345">
        <f>IF(AE345=1,ROUND(SUMIFS('All Donations'!$S$2:$S$4001,'All Donations'!$R$2:$R$4001,AD345,'All Donations'!$T$2:$T$4001,"&gt;="&amp;'Settings'!$C$26,'All Donations'!$T$2:$T$4001,"&lt;="&amp;'Settings'!$D$26),2),0)</f>
        <v/>
      </c>
      <c r="AS345">
        <f>IF(AE345=1,ROUND(SUMIFS('All Donations'!$S$2:$S$4001,'All Donations'!$R$2:$R$4001,AD345,'All Donations'!$T$2:$T$4001,"&lt;="&amp;'Settings'!$D$27),2),0)</f>
        <v/>
      </c>
      <c r="AT345">
        <f>IF(AE345=1,ROUND(SUMIFS('All Donations'!$S$2:$S$4001,'All Donations'!$R$2:$R$4001,AD345,'All Donations'!$T$2:$T$4001,"&gt;="&amp;'Settings'!$C$28,'All Donations'!$T$2:$T$4001,"&lt;="&amp;'Settings'!$D$28),2),0)</f>
        <v/>
      </c>
      <c r="AU345">
        <f>IF(AE345=1,ROUND(SUMIFS('All Donations'!$S$2:$S$4001,'All Donations'!$R$2:$R$4001,AD345,'All Donations'!$T$2:$T$4001,"&gt;="&amp;'Settings'!$C$29,'All Donations'!$T$2:$T$4001,"&lt;="&amp;'Settings'!$D$29),2),0)</f>
        <v/>
      </c>
      <c r="AV345">
        <f>IF(AE345=1,ROUND(SUMIFS('All Donations'!$S$2:$S$4001,'All Donations'!$R$2:$R$4001,AD345,'All Donations'!$T$2:$T$4001,"&lt;="&amp;'Settings'!$D$30),2),0)</f>
        <v/>
      </c>
      <c r="AZ345">
        <f>IF(AE345=1,ROUND(SUMIFS('All Donations'!$S$2:$S$4001,'All Donations'!$R$2:$R$4001,AD345,'All Donations'!$T$2:$T$4001,"&lt;="&amp;'Settings'!$D$34),2),0)</f>
        <v/>
      </c>
    </row>
    <row r="346">
      <c r="A346">
        <f>IF(AE346=1,TRIM(TRIM('Roster'!B346)&amp;" "&amp;TRIM('Roster'!C346)),"")</f>
        <v/>
      </c>
      <c r="B346">
        <f>IF(AE346=1,IF(AN346="","(no teacher)",AN346&amp;" – "&amp;C346),"")</f>
        <v/>
      </c>
      <c r="C346">
        <f>IF(AE346=1,TRIM('Roster'!D346&amp;""),"")</f>
        <v/>
      </c>
      <c r="D346" s="48">
        <f>IF(AE346=1,ROUND(SUMIFS('All Donations'!$S$2:$S$4001,'All Donations'!$R$2:$R$4001,AD346),2),"")</f>
        <v/>
      </c>
      <c r="E346" s="48">
        <f>IF(AE346=1,ROUND(SUMIFS('All Donations'!$S$2:$S$4001,'All Donations'!$R$2:$R$4001,AD346,'All Donations'!$G$2:$G$4001,"OneCause"),2),"")</f>
        <v/>
      </c>
      <c r="F346" s="48">
        <f>IF(AE346=1,D346-E346,"")</f>
        <v/>
      </c>
      <c r="G346">
        <f>IF(AE346=1,COUNTIFS('All Donations'!$R$2:$R$4001,AD346,'All Donations'!$H$2:$H$4001,"OK"),"")</f>
        <v/>
      </c>
      <c r="H346">
        <f>IF(AE346&lt;&gt;1,"",IF(D346&gt;0,"Yes",""))</f>
        <v/>
      </c>
      <c r="I346" s="49">
        <f>IF(OR($AE346&lt;&gt;1,I$1=""),"",SUMIFS('All Donations'!$S$2:$S$4001,'All Donations'!$R$2:$R$4001,$AD346,'All Donations'!$T$2:$T$4001,I$1))</f>
        <v/>
      </c>
      <c r="J346" s="49">
        <f>IF(OR($AE346&lt;&gt;1,J$1=""),"",SUMIFS('All Donations'!$S$2:$S$4001,'All Donations'!$R$2:$R$4001,$AD346,'All Donations'!$T$2:$T$4001,J$1))</f>
        <v/>
      </c>
      <c r="K346" s="49">
        <f>IF(OR($AE346&lt;&gt;1,K$1=""),"",SUMIFS('All Donations'!$S$2:$S$4001,'All Donations'!$R$2:$R$4001,$AD346,'All Donations'!$T$2:$T$4001,K$1))</f>
        <v/>
      </c>
      <c r="L346" s="49">
        <f>IF(OR($AE346&lt;&gt;1,L$1=""),"",SUMIFS('All Donations'!$S$2:$S$4001,'All Donations'!$R$2:$R$4001,$AD346,'All Donations'!$T$2:$T$4001,L$1))</f>
        <v/>
      </c>
      <c r="M346" s="49">
        <f>IF(OR($AE346&lt;&gt;1,M$1=""),"",SUMIFS('All Donations'!$S$2:$S$4001,'All Donations'!$R$2:$R$4001,$AD346,'All Donations'!$T$2:$T$4001,M$1))</f>
        <v/>
      </c>
      <c r="N346" s="49">
        <f>IF(OR($AE346&lt;&gt;1,N$1=""),"",SUMIFS('All Donations'!$S$2:$S$4001,'All Donations'!$R$2:$R$4001,$AD346,'All Donations'!$T$2:$T$4001,N$1))</f>
        <v/>
      </c>
      <c r="O346" s="49">
        <f>IF(OR($AE346&lt;&gt;1,O$1=""),"",SUMIFS('All Donations'!$S$2:$S$4001,'All Donations'!$R$2:$R$4001,$AD346,'All Donations'!$T$2:$T$4001,O$1))</f>
        <v/>
      </c>
      <c r="P346" s="49">
        <f>IF(OR($AE346&lt;&gt;1,P$1=""),"",SUMIFS('All Donations'!$S$2:$S$4001,'All Donations'!$R$2:$R$4001,$AD346,'All Donations'!$T$2:$T$4001,P$1))</f>
        <v/>
      </c>
      <c r="Q346" s="49">
        <f>IF(OR($AE346&lt;&gt;1,Q$1=""),"",SUMIFS('All Donations'!$S$2:$S$4001,'All Donations'!$R$2:$R$4001,$AD346,'All Donations'!$T$2:$T$4001,Q$1))</f>
        <v/>
      </c>
      <c r="R346" s="49">
        <f>IF(OR($AE346&lt;&gt;1,R$1=""),"",SUMIFS('All Donations'!$S$2:$S$4001,'All Donations'!$R$2:$R$4001,$AD346,'All Donations'!$T$2:$T$4001,R$1))</f>
        <v/>
      </c>
      <c r="S346" s="49">
        <f>IF(OR($AE346&lt;&gt;1,S$1=""),"",SUMIFS('All Donations'!$S$2:$S$4001,'All Donations'!$R$2:$R$4001,$AD346,'All Donations'!$T$2:$T$4001,S$1))</f>
        <v/>
      </c>
      <c r="T346" s="49">
        <f>IF(OR($AE346&lt;&gt;1,T$1=""),"",SUMIFS('All Donations'!$S$2:$S$4001,'All Donations'!$R$2:$R$4001,$AD346,'All Donations'!$T$2:$T$4001,T$1))</f>
        <v/>
      </c>
      <c r="U346" s="49">
        <f>IF(OR($AE346&lt;&gt;1,U$1=""),"",SUMIFS('All Donations'!$S$2:$S$4001,'All Donations'!$R$2:$R$4001,$AD346,'All Donations'!$T$2:$T$4001,U$1))</f>
        <v/>
      </c>
      <c r="V346" s="49">
        <f>IF(OR($AE346&lt;&gt;1,V$1=""),"",SUMIFS('All Donations'!$S$2:$S$4001,'All Donations'!$R$2:$R$4001,$AD346,'All Donations'!$T$2:$T$4001,V$1))</f>
        <v/>
      </c>
      <c r="W346" s="49">
        <f>IF(OR($AE346&lt;&gt;1,W$1=""),"",SUMIFS('All Donations'!$S$2:$S$4001,'All Donations'!$R$2:$R$4001,$AD346,'All Donations'!$T$2:$T$4001,W$1))</f>
        <v/>
      </c>
      <c r="X346" s="49">
        <f>IF(OR($AE346&lt;&gt;1,X$1=""),"",SUMIFS('All Donations'!$S$2:$S$4001,'All Donations'!$R$2:$R$4001,$AD346,'All Donations'!$T$2:$T$4001,X$1))</f>
        <v/>
      </c>
      <c r="Y346" s="49">
        <f>IF(OR($AE346&lt;&gt;1,Y$1=""),"",SUMIFS('All Donations'!$S$2:$S$4001,'All Donations'!$R$2:$R$4001,$AD346,'All Donations'!$T$2:$T$4001,Y$1))</f>
        <v/>
      </c>
      <c r="Z346" s="49">
        <f>IF(OR($AE346&lt;&gt;1,Z$1=""),"",SUMIFS('All Donations'!$S$2:$S$4001,'All Donations'!$R$2:$R$4001,$AD346,'All Donations'!$T$2:$T$4001,Z$1))</f>
        <v/>
      </c>
      <c r="AA346" s="49">
        <f>IF(OR($AE346&lt;&gt;1,AA$1=""),"",SUMIFS('All Donations'!$S$2:$S$4001,'All Donations'!$R$2:$R$4001,$AD346,'All Donations'!$T$2:$T$4001,AA$1))</f>
        <v/>
      </c>
      <c r="AB346" s="49">
        <f>IF(OR($AE346&lt;&gt;1,AB$1=""),"",SUMIFS('All Donations'!$S$2:$S$4001,'All Donations'!$R$2:$R$4001,$AD346,'All Donations'!$T$2:$T$4001,AB$1))</f>
        <v/>
      </c>
      <c r="AC346" s="49">
        <f>IF(OR($AE346&lt;&gt;1,AC$1=""),"",SUMIFS('All Donations'!$S$2:$S$4001,'All Donations'!$R$2:$R$4001,$AD346,'All Donations'!$T$2:$T$4001,AC$1))</f>
        <v/>
      </c>
      <c r="AD346">
        <f>IF(AE346=1,'Roster'!A346,"")</f>
        <v/>
      </c>
      <c r="AE346">
        <f>IF(TRIM('Roster'!B346&amp;'Roster'!C346)&lt;&gt;"",1,0)</f>
        <v/>
      </c>
      <c r="AF346">
        <f>IF(AE346=1,LOWER(A346),"#")</f>
        <v/>
      </c>
      <c r="AG346">
        <f>IF(AE346=1,LOWER(TRIM(TRIM('Roster'!C346)&amp;", "&amp;TRIM('Roster'!B346))),"#")</f>
        <v/>
      </c>
      <c r="AH346">
        <f>IF(AND(AE346=1,TRIM('Roster'!F346)&lt;&gt;""),LOWER(TRIM('Roster'!F346)),"#")</f>
        <v/>
      </c>
      <c r="AI346">
        <f>IF(AE346=1,IF(MATCH(B346,$B$2:$B$701,0)=ROW()-1,1,0),0)</f>
        <v/>
      </c>
      <c r="AJ346">
        <f>AJ345+AI346</f>
        <v/>
      </c>
      <c r="AK346">
        <f>IF(AE346=1,D346+(1000-ROW())/10^7,-1)</f>
        <v/>
      </c>
      <c r="AL346">
        <f>IF(AE346=1,TRIM('Roster'!B346)&amp;" "&amp;LEFT(TRIM('Roster'!C346),1)&amp;".","")</f>
        <v/>
      </c>
      <c r="AM346">
        <f>IF(AE346=1,TRIM('Roster'!C346)&amp;", "&amp;TRIM('Roster'!B346)&amp;" ("&amp;B346&amp;") #"&amp;AD346,"")</f>
        <v/>
      </c>
      <c r="AN346">
        <f>IF(AE346=1,TRIM('Roster'!E346),"")</f>
        <v/>
      </c>
      <c r="AO346">
        <f>IF(AE346=1,ROUND(SUMIFS('All Donations'!$S$2:$S$4001,'All Donations'!$R$2:$R$4001,AD346,'All Donations'!$T$2:$T$4001,"&gt;="&amp;'Settings'!$C$23,'All Donations'!$T$2:$T$4001,"&lt;="&amp;'Settings'!$D$23),2),0)</f>
        <v/>
      </c>
      <c r="AQ346">
        <f>IF(AE346=1,ROUND(SUMIFS('All Donations'!$S$2:$S$4001,'All Donations'!$R$2:$R$4001,AD346,'All Donations'!$T$2:$T$4001,"&gt;="&amp;'Settings'!$C$25,'All Donations'!$T$2:$T$4001,"&lt;="&amp;'Settings'!$D$25),2),0)</f>
        <v/>
      </c>
      <c r="AR346">
        <f>IF(AE346=1,ROUND(SUMIFS('All Donations'!$S$2:$S$4001,'All Donations'!$R$2:$R$4001,AD346,'All Donations'!$T$2:$T$4001,"&gt;="&amp;'Settings'!$C$26,'All Donations'!$T$2:$T$4001,"&lt;="&amp;'Settings'!$D$26),2),0)</f>
        <v/>
      </c>
      <c r="AS346">
        <f>IF(AE346=1,ROUND(SUMIFS('All Donations'!$S$2:$S$4001,'All Donations'!$R$2:$R$4001,AD346,'All Donations'!$T$2:$T$4001,"&lt;="&amp;'Settings'!$D$27),2),0)</f>
        <v/>
      </c>
      <c r="AT346">
        <f>IF(AE346=1,ROUND(SUMIFS('All Donations'!$S$2:$S$4001,'All Donations'!$R$2:$R$4001,AD346,'All Donations'!$T$2:$T$4001,"&gt;="&amp;'Settings'!$C$28,'All Donations'!$T$2:$T$4001,"&lt;="&amp;'Settings'!$D$28),2),0)</f>
        <v/>
      </c>
      <c r="AU346">
        <f>IF(AE346=1,ROUND(SUMIFS('All Donations'!$S$2:$S$4001,'All Donations'!$R$2:$R$4001,AD346,'All Donations'!$T$2:$T$4001,"&gt;="&amp;'Settings'!$C$29,'All Donations'!$T$2:$T$4001,"&lt;="&amp;'Settings'!$D$29),2),0)</f>
        <v/>
      </c>
      <c r="AV346">
        <f>IF(AE346=1,ROUND(SUMIFS('All Donations'!$S$2:$S$4001,'All Donations'!$R$2:$R$4001,AD346,'All Donations'!$T$2:$T$4001,"&lt;="&amp;'Settings'!$D$30),2),0)</f>
        <v/>
      </c>
      <c r="AZ346">
        <f>IF(AE346=1,ROUND(SUMIFS('All Donations'!$S$2:$S$4001,'All Donations'!$R$2:$R$4001,AD346,'All Donations'!$T$2:$T$4001,"&lt;="&amp;'Settings'!$D$34),2),0)</f>
        <v/>
      </c>
    </row>
    <row r="347">
      <c r="A347">
        <f>IF(AE347=1,TRIM(TRIM('Roster'!B347)&amp;" "&amp;TRIM('Roster'!C347)),"")</f>
        <v/>
      </c>
      <c r="B347">
        <f>IF(AE347=1,IF(AN347="","(no teacher)",AN347&amp;" – "&amp;C347),"")</f>
        <v/>
      </c>
      <c r="C347">
        <f>IF(AE347=1,TRIM('Roster'!D347&amp;""),"")</f>
        <v/>
      </c>
      <c r="D347" s="48">
        <f>IF(AE347=1,ROUND(SUMIFS('All Donations'!$S$2:$S$4001,'All Donations'!$R$2:$R$4001,AD347),2),"")</f>
        <v/>
      </c>
      <c r="E347" s="48">
        <f>IF(AE347=1,ROUND(SUMIFS('All Donations'!$S$2:$S$4001,'All Donations'!$R$2:$R$4001,AD347,'All Donations'!$G$2:$G$4001,"OneCause"),2),"")</f>
        <v/>
      </c>
      <c r="F347" s="48">
        <f>IF(AE347=1,D347-E347,"")</f>
        <v/>
      </c>
      <c r="G347">
        <f>IF(AE347=1,COUNTIFS('All Donations'!$R$2:$R$4001,AD347,'All Donations'!$H$2:$H$4001,"OK"),"")</f>
        <v/>
      </c>
      <c r="H347">
        <f>IF(AE347&lt;&gt;1,"",IF(D347&gt;0,"Yes",""))</f>
        <v/>
      </c>
      <c r="I347" s="49">
        <f>IF(OR($AE347&lt;&gt;1,I$1=""),"",SUMIFS('All Donations'!$S$2:$S$4001,'All Donations'!$R$2:$R$4001,$AD347,'All Donations'!$T$2:$T$4001,I$1))</f>
        <v/>
      </c>
      <c r="J347" s="49">
        <f>IF(OR($AE347&lt;&gt;1,J$1=""),"",SUMIFS('All Donations'!$S$2:$S$4001,'All Donations'!$R$2:$R$4001,$AD347,'All Donations'!$T$2:$T$4001,J$1))</f>
        <v/>
      </c>
      <c r="K347" s="49">
        <f>IF(OR($AE347&lt;&gt;1,K$1=""),"",SUMIFS('All Donations'!$S$2:$S$4001,'All Donations'!$R$2:$R$4001,$AD347,'All Donations'!$T$2:$T$4001,K$1))</f>
        <v/>
      </c>
      <c r="L347" s="49">
        <f>IF(OR($AE347&lt;&gt;1,L$1=""),"",SUMIFS('All Donations'!$S$2:$S$4001,'All Donations'!$R$2:$R$4001,$AD347,'All Donations'!$T$2:$T$4001,L$1))</f>
        <v/>
      </c>
      <c r="M347" s="49">
        <f>IF(OR($AE347&lt;&gt;1,M$1=""),"",SUMIFS('All Donations'!$S$2:$S$4001,'All Donations'!$R$2:$R$4001,$AD347,'All Donations'!$T$2:$T$4001,M$1))</f>
        <v/>
      </c>
      <c r="N347" s="49">
        <f>IF(OR($AE347&lt;&gt;1,N$1=""),"",SUMIFS('All Donations'!$S$2:$S$4001,'All Donations'!$R$2:$R$4001,$AD347,'All Donations'!$T$2:$T$4001,N$1))</f>
        <v/>
      </c>
      <c r="O347" s="49">
        <f>IF(OR($AE347&lt;&gt;1,O$1=""),"",SUMIFS('All Donations'!$S$2:$S$4001,'All Donations'!$R$2:$R$4001,$AD347,'All Donations'!$T$2:$T$4001,O$1))</f>
        <v/>
      </c>
      <c r="P347" s="49">
        <f>IF(OR($AE347&lt;&gt;1,P$1=""),"",SUMIFS('All Donations'!$S$2:$S$4001,'All Donations'!$R$2:$R$4001,$AD347,'All Donations'!$T$2:$T$4001,P$1))</f>
        <v/>
      </c>
      <c r="Q347" s="49">
        <f>IF(OR($AE347&lt;&gt;1,Q$1=""),"",SUMIFS('All Donations'!$S$2:$S$4001,'All Donations'!$R$2:$R$4001,$AD347,'All Donations'!$T$2:$T$4001,Q$1))</f>
        <v/>
      </c>
      <c r="R347" s="49">
        <f>IF(OR($AE347&lt;&gt;1,R$1=""),"",SUMIFS('All Donations'!$S$2:$S$4001,'All Donations'!$R$2:$R$4001,$AD347,'All Donations'!$T$2:$T$4001,R$1))</f>
        <v/>
      </c>
      <c r="S347" s="49">
        <f>IF(OR($AE347&lt;&gt;1,S$1=""),"",SUMIFS('All Donations'!$S$2:$S$4001,'All Donations'!$R$2:$R$4001,$AD347,'All Donations'!$T$2:$T$4001,S$1))</f>
        <v/>
      </c>
      <c r="T347" s="49">
        <f>IF(OR($AE347&lt;&gt;1,T$1=""),"",SUMIFS('All Donations'!$S$2:$S$4001,'All Donations'!$R$2:$R$4001,$AD347,'All Donations'!$T$2:$T$4001,T$1))</f>
        <v/>
      </c>
      <c r="U347" s="49">
        <f>IF(OR($AE347&lt;&gt;1,U$1=""),"",SUMIFS('All Donations'!$S$2:$S$4001,'All Donations'!$R$2:$R$4001,$AD347,'All Donations'!$T$2:$T$4001,U$1))</f>
        <v/>
      </c>
      <c r="V347" s="49">
        <f>IF(OR($AE347&lt;&gt;1,V$1=""),"",SUMIFS('All Donations'!$S$2:$S$4001,'All Donations'!$R$2:$R$4001,$AD347,'All Donations'!$T$2:$T$4001,V$1))</f>
        <v/>
      </c>
      <c r="W347" s="49">
        <f>IF(OR($AE347&lt;&gt;1,W$1=""),"",SUMIFS('All Donations'!$S$2:$S$4001,'All Donations'!$R$2:$R$4001,$AD347,'All Donations'!$T$2:$T$4001,W$1))</f>
        <v/>
      </c>
      <c r="X347" s="49">
        <f>IF(OR($AE347&lt;&gt;1,X$1=""),"",SUMIFS('All Donations'!$S$2:$S$4001,'All Donations'!$R$2:$R$4001,$AD347,'All Donations'!$T$2:$T$4001,X$1))</f>
        <v/>
      </c>
      <c r="Y347" s="49">
        <f>IF(OR($AE347&lt;&gt;1,Y$1=""),"",SUMIFS('All Donations'!$S$2:$S$4001,'All Donations'!$R$2:$R$4001,$AD347,'All Donations'!$T$2:$T$4001,Y$1))</f>
        <v/>
      </c>
      <c r="Z347" s="49">
        <f>IF(OR($AE347&lt;&gt;1,Z$1=""),"",SUMIFS('All Donations'!$S$2:$S$4001,'All Donations'!$R$2:$R$4001,$AD347,'All Donations'!$T$2:$T$4001,Z$1))</f>
        <v/>
      </c>
      <c r="AA347" s="49">
        <f>IF(OR($AE347&lt;&gt;1,AA$1=""),"",SUMIFS('All Donations'!$S$2:$S$4001,'All Donations'!$R$2:$R$4001,$AD347,'All Donations'!$T$2:$T$4001,AA$1))</f>
        <v/>
      </c>
      <c r="AB347" s="49">
        <f>IF(OR($AE347&lt;&gt;1,AB$1=""),"",SUMIFS('All Donations'!$S$2:$S$4001,'All Donations'!$R$2:$R$4001,$AD347,'All Donations'!$T$2:$T$4001,AB$1))</f>
        <v/>
      </c>
      <c r="AC347" s="49">
        <f>IF(OR($AE347&lt;&gt;1,AC$1=""),"",SUMIFS('All Donations'!$S$2:$S$4001,'All Donations'!$R$2:$R$4001,$AD347,'All Donations'!$T$2:$T$4001,AC$1))</f>
        <v/>
      </c>
      <c r="AD347">
        <f>IF(AE347=1,'Roster'!A347,"")</f>
        <v/>
      </c>
      <c r="AE347">
        <f>IF(TRIM('Roster'!B347&amp;'Roster'!C347)&lt;&gt;"",1,0)</f>
        <v/>
      </c>
      <c r="AF347">
        <f>IF(AE347=1,LOWER(A347),"#")</f>
        <v/>
      </c>
      <c r="AG347">
        <f>IF(AE347=1,LOWER(TRIM(TRIM('Roster'!C347)&amp;", "&amp;TRIM('Roster'!B347))),"#")</f>
        <v/>
      </c>
      <c r="AH347">
        <f>IF(AND(AE347=1,TRIM('Roster'!F347)&lt;&gt;""),LOWER(TRIM('Roster'!F347)),"#")</f>
        <v/>
      </c>
      <c r="AI347">
        <f>IF(AE347=1,IF(MATCH(B347,$B$2:$B$701,0)=ROW()-1,1,0),0)</f>
        <v/>
      </c>
      <c r="AJ347">
        <f>AJ346+AI347</f>
        <v/>
      </c>
      <c r="AK347">
        <f>IF(AE347=1,D347+(1000-ROW())/10^7,-1)</f>
        <v/>
      </c>
      <c r="AL347">
        <f>IF(AE347=1,TRIM('Roster'!B347)&amp;" "&amp;LEFT(TRIM('Roster'!C347),1)&amp;".","")</f>
        <v/>
      </c>
      <c r="AM347">
        <f>IF(AE347=1,TRIM('Roster'!C347)&amp;", "&amp;TRIM('Roster'!B347)&amp;" ("&amp;B347&amp;") #"&amp;AD347,"")</f>
        <v/>
      </c>
      <c r="AN347">
        <f>IF(AE347=1,TRIM('Roster'!E347),"")</f>
        <v/>
      </c>
      <c r="AO347">
        <f>IF(AE347=1,ROUND(SUMIFS('All Donations'!$S$2:$S$4001,'All Donations'!$R$2:$R$4001,AD347,'All Donations'!$T$2:$T$4001,"&gt;="&amp;'Settings'!$C$23,'All Donations'!$T$2:$T$4001,"&lt;="&amp;'Settings'!$D$23),2),0)</f>
        <v/>
      </c>
      <c r="AQ347">
        <f>IF(AE347=1,ROUND(SUMIFS('All Donations'!$S$2:$S$4001,'All Donations'!$R$2:$R$4001,AD347,'All Donations'!$T$2:$T$4001,"&gt;="&amp;'Settings'!$C$25,'All Donations'!$T$2:$T$4001,"&lt;="&amp;'Settings'!$D$25),2),0)</f>
        <v/>
      </c>
      <c r="AR347">
        <f>IF(AE347=1,ROUND(SUMIFS('All Donations'!$S$2:$S$4001,'All Donations'!$R$2:$R$4001,AD347,'All Donations'!$T$2:$T$4001,"&gt;="&amp;'Settings'!$C$26,'All Donations'!$T$2:$T$4001,"&lt;="&amp;'Settings'!$D$26),2),0)</f>
        <v/>
      </c>
      <c r="AS347">
        <f>IF(AE347=1,ROUND(SUMIFS('All Donations'!$S$2:$S$4001,'All Donations'!$R$2:$R$4001,AD347,'All Donations'!$T$2:$T$4001,"&lt;="&amp;'Settings'!$D$27),2),0)</f>
        <v/>
      </c>
      <c r="AT347">
        <f>IF(AE347=1,ROUND(SUMIFS('All Donations'!$S$2:$S$4001,'All Donations'!$R$2:$R$4001,AD347,'All Donations'!$T$2:$T$4001,"&gt;="&amp;'Settings'!$C$28,'All Donations'!$T$2:$T$4001,"&lt;="&amp;'Settings'!$D$28),2),0)</f>
        <v/>
      </c>
      <c r="AU347">
        <f>IF(AE347=1,ROUND(SUMIFS('All Donations'!$S$2:$S$4001,'All Donations'!$R$2:$R$4001,AD347,'All Donations'!$T$2:$T$4001,"&gt;="&amp;'Settings'!$C$29,'All Donations'!$T$2:$T$4001,"&lt;="&amp;'Settings'!$D$29),2),0)</f>
        <v/>
      </c>
      <c r="AV347">
        <f>IF(AE347=1,ROUND(SUMIFS('All Donations'!$S$2:$S$4001,'All Donations'!$R$2:$R$4001,AD347,'All Donations'!$T$2:$T$4001,"&lt;="&amp;'Settings'!$D$30),2),0)</f>
        <v/>
      </c>
      <c r="AZ347">
        <f>IF(AE347=1,ROUND(SUMIFS('All Donations'!$S$2:$S$4001,'All Donations'!$R$2:$R$4001,AD347,'All Donations'!$T$2:$T$4001,"&lt;="&amp;'Settings'!$D$34),2),0)</f>
        <v/>
      </c>
    </row>
    <row r="348">
      <c r="A348">
        <f>IF(AE348=1,TRIM(TRIM('Roster'!B348)&amp;" "&amp;TRIM('Roster'!C348)),"")</f>
        <v/>
      </c>
      <c r="B348">
        <f>IF(AE348=1,IF(AN348="","(no teacher)",AN348&amp;" – "&amp;C348),"")</f>
        <v/>
      </c>
      <c r="C348">
        <f>IF(AE348=1,TRIM('Roster'!D348&amp;""),"")</f>
        <v/>
      </c>
      <c r="D348" s="48">
        <f>IF(AE348=1,ROUND(SUMIFS('All Donations'!$S$2:$S$4001,'All Donations'!$R$2:$R$4001,AD348),2),"")</f>
        <v/>
      </c>
      <c r="E348" s="48">
        <f>IF(AE348=1,ROUND(SUMIFS('All Donations'!$S$2:$S$4001,'All Donations'!$R$2:$R$4001,AD348,'All Donations'!$G$2:$G$4001,"OneCause"),2),"")</f>
        <v/>
      </c>
      <c r="F348" s="48">
        <f>IF(AE348=1,D348-E348,"")</f>
        <v/>
      </c>
      <c r="G348">
        <f>IF(AE348=1,COUNTIFS('All Donations'!$R$2:$R$4001,AD348,'All Donations'!$H$2:$H$4001,"OK"),"")</f>
        <v/>
      </c>
      <c r="H348">
        <f>IF(AE348&lt;&gt;1,"",IF(D348&gt;0,"Yes",""))</f>
        <v/>
      </c>
      <c r="I348" s="49">
        <f>IF(OR($AE348&lt;&gt;1,I$1=""),"",SUMIFS('All Donations'!$S$2:$S$4001,'All Donations'!$R$2:$R$4001,$AD348,'All Donations'!$T$2:$T$4001,I$1))</f>
        <v/>
      </c>
      <c r="J348" s="49">
        <f>IF(OR($AE348&lt;&gt;1,J$1=""),"",SUMIFS('All Donations'!$S$2:$S$4001,'All Donations'!$R$2:$R$4001,$AD348,'All Donations'!$T$2:$T$4001,J$1))</f>
        <v/>
      </c>
      <c r="K348" s="49">
        <f>IF(OR($AE348&lt;&gt;1,K$1=""),"",SUMIFS('All Donations'!$S$2:$S$4001,'All Donations'!$R$2:$R$4001,$AD348,'All Donations'!$T$2:$T$4001,K$1))</f>
        <v/>
      </c>
      <c r="L348" s="49">
        <f>IF(OR($AE348&lt;&gt;1,L$1=""),"",SUMIFS('All Donations'!$S$2:$S$4001,'All Donations'!$R$2:$R$4001,$AD348,'All Donations'!$T$2:$T$4001,L$1))</f>
        <v/>
      </c>
      <c r="M348" s="49">
        <f>IF(OR($AE348&lt;&gt;1,M$1=""),"",SUMIFS('All Donations'!$S$2:$S$4001,'All Donations'!$R$2:$R$4001,$AD348,'All Donations'!$T$2:$T$4001,M$1))</f>
        <v/>
      </c>
      <c r="N348" s="49">
        <f>IF(OR($AE348&lt;&gt;1,N$1=""),"",SUMIFS('All Donations'!$S$2:$S$4001,'All Donations'!$R$2:$R$4001,$AD348,'All Donations'!$T$2:$T$4001,N$1))</f>
        <v/>
      </c>
      <c r="O348" s="49">
        <f>IF(OR($AE348&lt;&gt;1,O$1=""),"",SUMIFS('All Donations'!$S$2:$S$4001,'All Donations'!$R$2:$R$4001,$AD348,'All Donations'!$T$2:$T$4001,O$1))</f>
        <v/>
      </c>
      <c r="P348" s="49">
        <f>IF(OR($AE348&lt;&gt;1,P$1=""),"",SUMIFS('All Donations'!$S$2:$S$4001,'All Donations'!$R$2:$R$4001,$AD348,'All Donations'!$T$2:$T$4001,P$1))</f>
        <v/>
      </c>
      <c r="Q348" s="49">
        <f>IF(OR($AE348&lt;&gt;1,Q$1=""),"",SUMIFS('All Donations'!$S$2:$S$4001,'All Donations'!$R$2:$R$4001,$AD348,'All Donations'!$T$2:$T$4001,Q$1))</f>
        <v/>
      </c>
      <c r="R348" s="49">
        <f>IF(OR($AE348&lt;&gt;1,R$1=""),"",SUMIFS('All Donations'!$S$2:$S$4001,'All Donations'!$R$2:$R$4001,$AD348,'All Donations'!$T$2:$T$4001,R$1))</f>
        <v/>
      </c>
      <c r="S348" s="49">
        <f>IF(OR($AE348&lt;&gt;1,S$1=""),"",SUMIFS('All Donations'!$S$2:$S$4001,'All Donations'!$R$2:$R$4001,$AD348,'All Donations'!$T$2:$T$4001,S$1))</f>
        <v/>
      </c>
      <c r="T348" s="49">
        <f>IF(OR($AE348&lt;&gt;1,T$1=""),"",SUMIFS('All Donations'!$S$2:$S$4001,'All Donations'!$R$2:$R$4001,$AD348,'All Donations'!$T$2:$T$4001,T$1))</f>
        <v/>
      </c>
      <c r="U348" s="49">
        <f>IF(OR($AE348&lt;&gt;1,U$1=""),"",SUMIFS('All Donations'!$S$2:$S$4001,'All Donations'!$R$2:$R$4001,$AD348,'All Donations'!$T$2:$T$4001,U$1))</f>
        <v/>
      </c>
      <c r="V348" s="49">
        <f>IF(OR($AE348&lt;&gt;1,V$1=""),"",SUMIFS('All Donations'!$S$2:$S$4001,'All Donations'!$R$2:$R$4001,$AD348,'All Donations'!$T$2:$T$4001,V$1))</f>
        <v/>
      </c>
      <c r="W348" s="49">
        <f>IF(OR($AE348&lt;&gt;1,W$1=""),"",SUMIFS('All Donations'!$S$2:$S$4001,'All Donations'!$R$2:$R$4001,$AD348,'All Donations'!$T$2:$T$4001,W$1))</f>
        <v/>
      </c>
      <c r="X348" s="49">
        <f>IF(OR($AE348&lt;&gt;1,X$1=""),"",SUMIFS('All Donations'!$S$2:$S$4001,'All Donations'!$R$2:$R$4001,$AD348,'All Donations'!$T$2:$T$4001,X$1))</f>
        <v/>
      </c>
      <c r="Y348" s="49">
        <f>IF(OR($AE348&lt;&gt;1,Y$1=""),"",SUMIFS('All Donations'!$S$2:$S$4001,'All Donations'!$R$2:$R$4001,$AD348,'All Donations'!$T$2:$T$4001,Y$1))</f>
        <v/>
      </c>
      <c r="Z348" s="49">
        <f>IF(OR($AE348&lt;&gt;1,Z$1=""),"",SUMIFS('All Donations'!$S$2:$S$4001,'All Donations'!$R$2:$R$4001,$AD348,'All Donations'!$T$2:$T$4001,Z$1))</f>
        <v/>
      </c>
      <c r="AA348" s="49">
        <f>IF(OR($AE348&lt;&gt;1,AA$1=""),"",SUMIFS('All Donations'!$S$2:$S$4001,'All Donations'!$R$2:$R$4001,$AD348,'All Donations'!$T$2:$T$4001,AA$1))</f>
        <v/>
      </c>
      <c r="AB348" s="49">
        <f>IF(OR($AE348&lt;&gt;1,AB$1=""),"",SUMIFS('All Donations'!$S$2:$S$4001,'All Donations'!$R$2:$R$4001,$AD348,'All Donations'!$T$2:$T$4001,AB$1))</f>
        <v/>
      </c>
      <c r="AC348" s="49">
        <f>IF(OR($AE348&lt;&gt;1,AC$1=""),"",SUMIFS('All Donations'!$S$2:$S$4001,'All Donations'!$R$2:$R$4001,$AD348,'All Donations'!$T$2:$T$4001,AC$1))</f>
        <v/>
      </c>
      <c r="AD348">
        <f>IF(AE348=1,'Roster'!A348,"")</f>
        <v/>
      </c>
      <c r="AE348">
        <f>IF(TRIM('Roster'!B348&amp;'Roster'!C348)&lt;&gt;"",1,0)</f>
        <v/>
      </c>
      <c r="AF348">
        <f>IF(AE348=1,LOWER(A348),"#")</f>
        <v/>
      </c>
      <c r="AG348">
        <f>IF(AE348=1,LOWER(TRIM(TRIM('Roster'!C348)&amp;", "&amp;TRIM('Roster'!B348))),"#")</f>
        <v/>
      </c>
      <c r="AH348">
        <f>IF(AND(AE348=1,TRIM('Roster'!F348)&lt;&gt;""),LOWER(TRIM('Roster'!F348)),"#")</f>
        <v/>
      </c>
      <c r="AI348">
        <f>IF(AE348=1,IF(MATCH(B348,$B$2:$B$701,0)=ROW()-1,1,0),0)</f>
        <v/>
      </c>
      <c r="AJ348">
        <f>AJ347+AI348</f>
        <v/>
      </c>
      <c r="AK348">
        <f>IF(AE348=1,D348+(1000-ROW())/10^7,-1)</f>
        <v/>
      </c>
      <c r="AL348">
        <f>IF(AE348=1,TRIM('Roster'!B348)&amp;" "&amp;LEFT(TRIM('Roster'!C348),1)&amp;".","")</f>
        <v/>
      </c>
      <c r="AM348">
        <f>IF(AE348=1,TRIM('Roster'!C348)&amp;", "&amp;TRIM('Roster'!B348)&amp;" ("&amp;B348&amp;") #"&amp;AD348,"")</f>
        <v/>
      </c>
      <c r="AN348">
        <f>IF(AE348=1,TRIM('Roster'!E348),"")</f>
        <v/>
      </c>
      <c r="AO348">
        <f>IF(AE348=1,ROUND(SUMIFS('All Donations'!$S$2:$S$4001,'All Donations'!$R$2:$R$4001,AD348,'All Donations'!$T$2:$T$4001,"&gt;="&amp;'Settings'!$C$23,'All Donations'!$T$2:$T$4001,"&lt;="&amp;'Settings'!$D$23),2),0)</f>
        <v/>
      </c>
      <c r="AQ348">
        <f>IF(AE348=1,ROUND(SUMIFS('All Donations'!$S$2:$S$4001,'All Donations'!$R$2:$R$4001,AD348,'All Donations'!$T$2:$T$4001,"&gt;="&amp;'Settings'!$C$25,'All Donations'!$T$2:$T$4001,"&lt;="&amp;'Settings'!$D$25),2),0)</f>
        <v/>
      </c>
      <c r="AR348">
        <f>IF(AE348=1,ROUND(SUMIFS('All Donations'!$S$2:$S$4001,'All Donations'!$R$2:$R$4001,AD348,'All Donations'!$T$2:$T$4001,"&gt;="&amp;'Settings'!$C$26,'All Donations'!$T$2:$T$4001,"&lt;="&amp;'Settings'!$D$26),2),0)</f>
        <v/>
      </c>
      <c r="AS348">
        <f>IF(AE348=1,ROUND(SUMIFS('All Donations'!$S$2:$S$4001,'All Donations'!$R$2:$R$4001,AD348,'All Donations'!$T$2:$T$4001,"&lt;="&amp;'Settings'!$D$27),2),0)</f>
        <v/>
      </c>
      <c r="AT348">
        <f>IF(AE348=1,ROUND(SUMIFS('All Donations'!$S$2:$S$4001,'All Donations'!$R$2:$R$4001,AD348,'All Donations'!$T$2:$T$4001,"&gt;="&amp;'Settings'!$C$28,'All Donations'!$T$2:$T$4001,"&lt;="&amp;'Settings'!$D$28),2),0)</f>
        <v/>
      </c>
      <c r="AU348">
        <f>IF(AE348=1,ROUND(SUMIFS('All Donations'!$S$2:$S$4001,'All Donations'!$R$2:$R$4001,AD348,'All Donations'!$T$2:$T$4001,"&gt;="&amp;'Settings'!$C$29,'All Donations'!$T$2:$T$4001,"&lt;="&amp;'Settings'!$D$29),2),0)</f>
        <v/>
      </c>
      <c r="AV348">
        <f>IF(AE348=1,ROUND(SUMIFS('All Donations'!$S$2:$S$4001,'All Donations'!$R$2:$R$4001,AD348,'All Donations'!$T$2:$T$4001,"&lt;="&amp;'Settings'!$D$30),2),0)</f>
        <v/>
      </c>
      <c r="AZ348">
        <f>IF(AE348=1,ROUND(SUMIFS('All Donations'!$S$2:$S$4001,'All Donations'!$R$2:$R$4001,AD348,'All Donations'!$T$2:$T$4001,"&lt;="&amp;'Settings'!$D$34),2),0)</f>
        <v/>
      </c>
    </row>
    <row r="349">
      <c r="A349">
        <f>IF(AE349=1,TRIM(TRIM('Roster'!B349)&amp;" "&amp;TRIM('Roster'!C349)),"")</f>
        <v/>
      </c>
      <c r="B349">
        <f>IF(AE349=1,IF(AN349="","(no teacher)",AN349&amp;" – "&amp;C349),"")</f>
        <v/>
      </c>
      <c r="C349">
        <f>IF(AE349=1,TRIM('Roster'!D349&amp;""),"")</f>
        <v/>
      </c>
      <c r="D349" s="48">
        <f>IF(AE349=1,ROUND(SUMIFS('All Donations'!$S$2:$S$4001,'All Donations'!$R$2:$R$4001,AD349),2),"")</f>
        <v/>
      </c>
      <c r="E349" s="48">
        <f>IF(AE349=1,ROUND(SUMIFS('All Donations'!$S$2:$S$4001,'All Donations'!$R$2:$R$4001,AD349,'All Donations'!$G$2:$G$4001,"OneCause"),2),"")</f>
        <v/>
      </c>
      <c r="F349" s="48">
        <f>IF(AE349=1,D349-E349,"")</f>
        <v/>
      </c>
      <c r="G349">
        <f>IF(AE349=1,COUNTIFS('All Donations'!$R$2:$R$4001,AD349,'All Donations'!$H$2:$H$4001,"OK"),"")</f>
        <v/>
      </c>
      <c r="H349">
        <f>IF(AE349&lt;&gt;1,"",IF(D349&gt;0,"Yes",""))</f>
        <v/>
      </c>
      <c r="I349" s="49">
        <f>IF(OR($AE349&lt;&gt;1,I$1=""),"",SUMIFS('All Donations'!$S$2:$S$4001,'All Donations'!$R$2:$R$4001,$AD349,'All Donations'!$T$2:$T$4001,I$1))</f>
        <v/>
      </c>
      <c r="J349" s="49">
        <f>IF(OR($AE349&lt;&gt;1,J$1=""),"",SUMIFS('All Donations'!$S$2:$S$4001,'All Donations'!$R$2:$R$4001,$AD349,'All Donations'!$T$2:$T$4001,J$1))</f>
        <v/>
      </c>
      <c r="K349" s="49">
        <f>IF(OR($AE349&lt;&gt;1,K$1=""),"",SUMIFS('All Donations'!$S$2:$S$4001,'All Donations'!$R$2:$R$4001,$AD349,'All Donations'!$T$2:$T$4001,K$1))</f>
        <v/>
      </c>
      <c r="L349" s="49">
        <f>IF(OR($AE349&lt;&gt;1,L$1=""),"",SUMIFS('All Donations'!$S$2:$S$4001,'All Donations'!$R$2:$R$4001,$AD349,'All Donations'!$T$2:$T$4001,L$1))</f>
        <v/>
      </c>
      <c r="M349" s="49">
        <f>IF(OR($AE349&lt;&gt;1,M$1=""),"",SUMIFS('All Donations'!$S$2:$S$4001,'All Donations'!$R$2:$R$4001,$AD349,'All Donations'!$T$2:$T$4001,M$1))</f>
        <v/>
      </c>
      <c r="N349" s="49">
        <f>IF(OR($AE349&lt;&gt;1,N$1=""),"",SUMIFS('All Donations'!$S$2:$S$4001,'All Donations'!$R$2:$R$4001,$AD349,'All Donations'!$T$2:$T$4001,N$1))</f>
        <v/>
      </c>
      <c r="O349" s="49">
        <f>IF(OR($AE349&lt;&gt;1,O$1=""),"",SUMIFS('All Donations'!$S$2:$S$4001,'All Donations'!$R$2:$R$4001,$AD349,'All Donations'!$T$2:$T$4001,O$1))</f>
        <v/>
      </c>
      <c r="P349" s="49">
        <f>IF(OR($AE349&lt;&gt;1,P$1=""),"",SUMIFS('All Donations'!$S$2:$S$4001,'All Donations'!$R$2:$R$4001,$AD349,'All Donations'!$T$2:$T$4001,P$1))</f>
        <v/>
      </c>
      <c r="Q349" s="49">
        <f>IF(OR($AE349&lt;&gt;1,Q$1=""),"",SUMIFS('All Donations'!$S$2:$S$4001,'All Donations'!$R$2:$R$4001,$AD349,'All Donations'!$T$2:$T$4001,Q$1))</f>
        <v/>
      </c>
      <c r="R349" s="49">
        <f>IF(OR($AE349&lt;&gt;1,R$1=""),"",SUMIFS('All Donations'!$S$2:$S$4001,'All Donations'!$R$2:$R$4001,$AD349,'All Donations'!$T$2:$T$4001,R$1))</f>
        <v/>
      </c>
      <c r="S349" s="49">
        <f>IF(OR($AE349&lt;&gt;1,S$1=""),"",SUMIFS('All Donations'!$S$2:$S$4001,'All Donations'!$R$2:$R$4001,$AD349,'All Donations'!$T$2:$T$4001,S$1))</f>
        <v/>
      </c>
      <c r="T349" s="49">
        <f>IF(OR($AE349&lt;&gt;1,T$1=""),"",SUMIFS('All Donations'!$S$2:$S$4001,'All Donations'!$R$2:$R$4001,$AD349,'All Donations'!$T$2:$T$4001,T$1))</f>
        <v/>
      </c>
      <c r="U349" s="49">
        <f>IF(OR($AE349&lt;&gt;1,U$1=""),"",SUMIFS('All Donations'!$S$2:$S$4001,'All Donations'!$R$2:$R$4001,$AD349,'All Donations'!$T$2:$T$4001,U$1))</f>
        <v/>
      </c>
      <c r="V349" s="49">
        <f>IF(OR($AE349&lt;&gt;1,V$1=""),"",SUMIFS('All Donations'!$S$2:$S$4001,'All Donations'!$R$2:$R$4001,$AD349,'All Donations'!$T$2:$T$4001,V$1))</f>
        <v/>
      </c>
      <c r="W349" s="49">
        <f>IF(OR($AE349&lt;&gt;1,W$1=""),"",SUMIFS('All Donations'!$S$2:$S$4001,'All Donations'!$R$2:$R$4001,$AD349,'All Donations'!$T$2:$T$4001,W$1))</f>
        <v/>
      </c>
      <c r="X349" s="49">
        <f>IF(OR($AE349&lt;&gt;1,X$1=""),"",SUMIFS('All Donations'!$S$2:$S$4001,'All Donations'!$R$2:$R$4001,$AD349,'All Donations'!$T$2:$T$4001,X$1))</f>
        <v/>
      </c>
      <c r="Y349" s="49">
        <f>IF(OR($AE349&lt;&gt;1,Y$1=""),"",SUMIFS('All Donations'!$S$2:$S$4001,'All Donations'!$R$2:$R$4001,$AD349,'All Donations'!$T$2:$T$4001,Y$1))</f>
        <v/>
      </c>
      <c r="Z349" s="49">
        <f>IF(OR($AE349&lt;&gt;1,Z$1=""),"",SUMIFS('All Donations'!$S$2:$S$4001,'All Donations'!$R$2:$R$4001,$AD349,'All Donations'!$T$2:$T$4001,Z$1))</f>
        <v/>
      </c>
      <c r="AA349" s="49">
        <f>IF(OR($AE349&lt;&gt;1,AA$1=""),"",SUMIFS('All Donations'!$S$2:$S$4001,'All Donations'!$R$2:$R$4001,$AD349,'All Donations'!$T$2:$T$4001,AA$1))</f>
        <v/>
      </c>
      <c r="AB349" s="49">
        <f>IF(OR($AE349&lt;&gt;1,AB$1=""),"",SUMIFS('All Donations'!$S$2:$S$4001,'All Donations'!$R$2:$R$4001,$AD349,'All Donations'!$T$2:$T$4001,AB$1))</f>
        <v/>
      </c>
      <c r="AC349" s="49">
        <f>IF(OR($AE349&lt;&gt;1,AC$1=""),"",SUMIFS('All Donations'!$S$2:$S$4001,'All Donations'!$R$2:$R$4001,$AD349,'All Donations'!$T$2:$T$4001,AC$1))</f>
        <v/>
      </c>
      <c r="AD349">
        <f>IF(AE349=1,'Roster'!A349,"")</f>
        <v/>
      </c>
      <c r="AE349">
        <f>IF(TRIM('Roster'!B349&amp;'Roster'!C349)&lt;&gt;"",1,0)</f>
        <v/>
      </c>
      <c r="AF349">
        <f>IF(AE349=1,LOWER(A349),"#")</f>
        <v/>
      </c>
      <c r="AG349">
        <f>IF(AE349=1,LOWER(TRIM(TRIM('Roster'!C349)&amp;", "&amp;TRIM('Roster'!B349))),"#")</f>
        <v/>
      </c>
      <c r="AH349">
        <f>IF(AND(AE349=1,TRIM('Roster'!F349)&lt;&gt;""),LOWER(TRIM('Roster'!F349)),"#")</f>
        <v/>
      </c>
      <c r="AI349">
        <f>IF(AE349=1,IF(MATCH(B349,$B$2:$B$701,0)=ROW()-1,1,0),0)</f>
        <v/>
      </c>
      <c r="AJ349">
        <f>AJ348+AI349</f>
        <v/>
      </c>
      <c r="AK349">
        <f>IF(AE349=1,D349+(1000-ROW())/10^7,-1)</f>
        <v/>
      </c>
      <c r="AL349">
        <f>IF(AE349=1,TRIM('Roster'!B349)&amp;" "&amp;LEFT(TRIM('Roster'!C349),1)&amp;".","")</f>
        <v/>
      </c>
      <c r="AM349">
        <f>IF(AE349=1,TRIM('Roster'!C349)&amp;", "&amp;TRIM('Roster'!B349)&amp;" ("&amp;B349&amp;") #"&amp;AD349,"")</f>
        <v/>
      </c>
      <c r="AN349">
        <f>IF(AE349=1,TRIM('Roster'!E349),"")</f>
        <v/>
      </c>
      <c r="AO349">
        <f>IF(AE349=1,ROUND(SUMIFS('All Donations'!$S$2:$S$4001,'All Donations'!$R$2:$R$4001,AD349,'All Donations'!$T$2:$T$4001,"&gt;="&amp;'Settings'!$C$23,'All Donations'!$T$2:$T$4001,"&lt;="&amp;'Settings'!$D$23),2),0)</f>
        <v/>
      </c>
      <c r="AQ349">
        <f>IF(AE349=1,ROUND(SUMIFS('All Donations'!$S$2:$S$4001,'All Donations'!$R$2:$R$4001,AD349,'All Donations'!$T$2:$T$4001,"&gt;="&amp;'Settings'!$C$25,'All Donations'!$T$2:$T$4001,"&lt;="&amp;'Settings'!$D$25),2),0)</f>
        <v/>
      </c>
      <c r="AR349">
        <f>IF(AE349=1,ROUND(SUMIFS('All Donations'!$S$2:$S$4001,'All Donations'!$R$2:$R$4001,AD349,'All Donations'!$T$2:$T$4001,"&gt;="&amp;'Settings'!$C$26,'All Donations'!$T$2:$T$4001,"&lt;="&amp;'Settings'!$D$26),2),0)</f>
        <v/>
      </c>
      <c r="AS349">
        <f>IF(AE349=1,ROUND(SUMIFS('All Donations'!$S$2:$S$4001,'All Donations'!$R$2:$R$4001,AD349,'All Donations'!$T$2:$T$4001,"&lt;="&amp;'Settings'!$D$27),2),0)</f>
        <v/>
      </c>
      <c r="AT349">
        <f>IF(AE349=1,ROUND(SUMIFS('All Donations'!$S$2:$S$4001,'All Donations'!$R$2:$R$4001,AD349,'All Donations'!$T$2:$T$4001,"&gt;="&amp;'Settings'!$C$28,'All Donations'!$T$2:$T$4001,"&lt;="&amp;'Settings'!$D$28),2),0)</f>
        <v/>
      </c>
      <c r="AU349">
        <f>IF(AE349=1,ROUND(SUMIFS('All Donations'!$S$2:$S$4001,'All Donations'!$R$2:$R$4001,AD349,'All Donations'!$T$2:$T$4001,"&gt;="&amp;'Settings'!$C$29,'All Donations'!$T$2:$T$4001,"&lt;="&amp;'Settings'!$D$29),2),0)</f>
        <v/>
      </c>
      <c r="AV349">
        <f>IF(AE349=1,ROUND(SUMIFS('All Donations'!$S$2:$S$4001,'All Donations'!$R$2:$R$4001,AD349,'All Donations'!$T$2:$T$4001,"&lt;="&amp;'Settings'!$D$30),2),0)</f>
        <v/>
      </c>
      <c r="AZ349">
        <f>IF(AE349=1,ROUND(SUMIFS('All Donations'!$S$2:$S$4001,'All Donations'!$R$2:$R$4001,AD349,'All Donations'!$T$2:$T$4001,"&lt;="&amp;'Settings'!$D$34),2),0)</f>
        <v/>
      </c>
    </row>
    <row r="350">
      <c r="A350">
        <f>IF(AE350=1,TRIM(TRIM('Roster'!B350)&amp;" "&amp;TRIM('Roster'!C350)),"")</f>
        <v/>
      </c>
      <c r="B350">
        <f>IF(AE350=1,IF(AN350="","(no teacher)",AN350&amp;" – "&amp;C350),"")</f>
        <v/>
      </c>
      <c r="C350">
        <f>IF(AE350=1,TRIM('Roster'!D350&amp;""),"")</f>
        <v/>
      </c>
      <c r="D350" s="48">
        <f>IF(AE350=1,ROUND(SUMIFS('All Donations'!$S$2:$S$4001,'All Donations'!$R$2:$R$4001,AD350),2),"")</f>
        <v/>
      </c>
      <c r="E350" s="48">
        <f>IF(AE350=1,ROUND(SUMIFS('All Donations'!$S$2:$S$4001,'All Donations'!$R$2:$R$4001,AD350,'All Donations'!$G$2:$G$4001,"OneCause"),2),"")</f>
        <v/>
      </c>
      <c r="F350" s="48">
        <f>IF(AE350=1,D350-E350,"")</f>
        <v/>
      </c>
      <c r="G350">
        <f>IF(AE350=1,COUNTIFS('All Donations'!$R$2:$R$4001,AD350,'All Donations'!$H$2:$H$4001,"OK"),"")</f>
        <v/>
      </c>
      <c r="H350">
        <f>IF(AE350&lt;&gt;1,"",IF(D350&gt;0,"Yes",""))</f>
        <v/>
      </c>
      <c r="I350" s="49">
        <f>IF(OR($AE350&lt;&gt;1,I$1=""),"",SUMIFS('All Donations'!$S$2:$S$4001,'All Donations'!$R$2:$R$4001,$AD350,'All Donations'!$T$2:$T$4001,I$1))</f>
        <v/>
      </c>
      <c r="J350" s="49">
        <f>IF(OR($AE350&lt;&gt;1,J$1=""),"",SUMIFS('All Donations'!$S$2:$S$4001,'All Donations'!$R$2:$R$4001,$AD350,'All Donations'!$T$2:$T$4001,J$1))</f>
        <v/>
      </c>
      <c r="K350" s="49">
        <f>IF(OR($AE350&lt;&gt;1,K$1=""),"",SUMIFS('All Donations'!$S$2:$S$4001,'All Donations'!$R$2:$R$4001,$AD350,'All Donations'!$T$2:$T$4001,K$1))</f>
        <v/>
      </c>
      <c r="L350" s="49">
        <f>IF(OR($AE350&lt;&gt;1,L$1=""),"",SUMIFS('All Donations'!$S$2:$S$4001,'All Donations'!$R$2:$R$4001,$AD350,'All Donations'!$T$2:$T$4001,L$1))</f>
        <v/>
      </c>
      <c r="M350" s="49">
        <f>IF(OR($AE350&lt;&gt;1,M$1=""),"",SUMIFS('All Donations'!$S$2:$S$4001,'All Donations'!$R$2:$R$4001,$AD350,'All Donations'!$T$2:$T$4001,M$1))</f>
        <v/>
      </c>
      <c r="N350" s="49">
        <f>IF(OR($AE350&lt;&gt;1,N$1=""),"",SUMIFS('All Donations'!$S$2:$S$4001,'All Donations'!$R$2:$R$4001,$AD350,'All Donations'!$T$2:$T$4001,N$1))</f>
        <v/>
      </c>
      <c r="O350" s="49">
        <f>IF(OR($AE350&lt;&gt;1,O$1=""),"",SUMIFS('All Donations'!$S$2:$S$4001,'All Donations'!$R$2:$R$4001,$AD350,'All Donations'!$T$2:$T$4001,O$1))</f>
        <v/>
      </c>
      <c r="P350" s="49">
        <f>IF(OR($AE350&lt;&gt;1,P$1=""),"",SUMIFS('All Donations'!$S$2:$S$4001,'All Donations'!$R$2:$R$4001,$AD350,'All Donations'!$T$2:$T$4001,P$1))</f>
        <v/>
      </c>
      <c r="Q350" s="49">
        <f>IF(OR($AE350&lt;&gt;1,Q$1=""),"",SUMIFS('All Donations'!$S$2:$S$4001,'All Donations'!$R$2:$R$4001,$AD350,'All Donations'!$T$2:$T$4001,Q$1))</f>
        <v/>
      </c>
      <c r="R350" s="49">
        <f>IF(OR($AE350&lt;&gt;1,R$1=""),"",SUMIFS('All Donations'!$S$2:$S$4001,'All Donations'!$R$2:$R$4001,$AD350,'All Donations'!$T$2:$T$4001,R$1))</f>
        <v/>
      </c>
      <c r="S350" s="49">
        <f>IF(OR($AE350&lt;&gt;1,S$1=""),"",SUMIFS('All Donations'!$S$2:$S$4001,'All Donations'!$R$2:$R$4001,$AD350,'All Donations'!$T$2:$T$4001,S$1))</f>
        <v/>
      </c>
      <c r="T350" s="49">
        <f>IF(OR($AE350&lt;&gt;1,T$1=""),"",SUMIFS('All Donations'!$S$2:$S$4001,'All Donations'!$R$2:$R$4001,$AD350,'All Donations'!$T$2:$T$4001,T$1))</f>
        <v/>
      </c>
      <c r="U350" s="49">
        <f>IF(OR($AE350&lt;&gt;1,U$1=""),"",SUMIFS('All Donations'!$S$2:$S$4001,'All Donations'!$R$2:$R$4001,$AD350,'All Donations'!$T$2:$T$4001,U$1))</f>
        <v/>
      </c>
      <c r="V350" s="49">
        <f>IF(OR($AE350&lt;&gt;1,V$1=""),"",SUMIFS('All Donations'!$S$2:$S$4001,'All Donations'!$R$2:$R$4001,$AD350,'All Donations'!$T$2:$T$4001,V$1))</f>
        <v/>
      </c>
      <c r="W350" s="49">
        <f>IF(OR($AE350&lt;&gt;1,W$1=""),"",SUMIFS('All Donations'!$S$2:$S$4001,'All Donations'!$R$2:$R$4001,$AD350,'All Donations'!$T$2:$T$4001,W$1))</f>
        <v/>
      </c>
      <c r="X350" s="49">
        <f>IF(OR($AE350&lt;&gt;1,X$1=""),"",SUMIFS('All Donations'!$S$2:$S$4001,'All Donations'!$R$2:$R$4001,$AD350,'All Donations'!$T$2:$T$4001,X$1))</f>
        <v/>
      </c>
      <c r="Y350" s="49">
        <f>IF(OR($AE350&lt;&gt;1,Y$1=""),"",SUMIFS('All Donations'!$S$2:$S$4001,'All Donations'!$R$2:$R$4001,$AD350,'All Donations'!$T$2:$T$4001,Y$1))</f>
        <v/>
      </c>
      <c r="Z350" s="49">
        <f>IF(OR($AE350&lt;&gt;1,Z$1=""),"",SUMIFS('All Donations'!$S$2:$S$4001,'All Donations'!$R$2:$R$4001,$AD350,'All Donations'!$T$2:$T$4001,Z$1))</f>
        <v/>
      </c>
      <c r="AA350" s="49">
        <f>IF(OR($AE350&lt;&gt;1,AA$1=""),"",SUMIFS('All Donations'!$S$2:$S$4001,'All Donations'!$R$2:$R$4001,$AD350,'All Donations'!$T$2:$T$4001,AA$1))</f>
        <v/>
      </c>
      <c r="AB350" s="49">
        <f>IF(OR($AE350&lt;&gt;1,AB$1=""),"",SUMIFS('All Donations'!$S$2:$S$4001,'All Donations'!$R$2:$R$4001,$AD350,'All Donations'!$T$2:$T$4001,AB$1))</f>
        <v/>
      </c>
      <c r="AC350" s="49">
        <f>IF(OR($AE350&lt;&gt;1,AC$1=""),"",SUMIFS('All Donations'!$S$2:$S$4001,'All Donations'!$R$2:$R$4001,$AD350,'All Donations'!$T$2:$T$4001,AC$1))</f>
        <v/>
      </c>
      <c r="AD350">
        <f>IF(AE350=1,'Roster'!A350,"")</f>
        <v/>
      </c>
      <c r="AE350">
        <f>IF(TRIM('Roster'!B350&amp;'Roster'!C350)&lt;&gt;"",1,0)</f>
        <v/>
      </c>
      <c r="AF350">
        <f>IF(AE350=1,LOWER(A350),"#")</f>
        <v/>
      </c>
      <c r="AG350">
        <f>IF(AE350=1,LOWER(TRIM(TRIM('Roster'!C350)&amp;", "&amp;TRIM('Roster'!B350))),"#")</f>
        <v/>
      </c>
      <c r="AH350">
        <f>IF(AND(AE350=1,TRIM('Roster'!F350)&lt;&gt;""),LOWER(TRIM('Roster'!F350)),"#")</f>
        <v/>
      </c>
      <c r="AI350">
        <f>IF(AE350=1,IF(MATCH(B350,$B$2:$B$701,0)=ROW()-1,1,0),0)</f>
        <v/>
      </c>
      <c r="AJ350">
        <f>AJ349+AI350</f>
        <v/>
      </c>
      <c r="AK350">
        <f>IF(AE350=1,D350+(1000-ROW())/10^7,-1)</f>
        <v/>
      </c>
      <c r="AL350">
        <f>IF(AE350=1,TRIM('Roster'!B350)&amp;" "&amp;LEFT(TRIM('Roster'!C350),1)&amp;".","")</f>
        <v/>
      </c>
      <c r="AM350">
        <f>IF(AE350=1,TRIM('Roster'!C350)&amp;", "&amp;TRIM('Roster'!B350)&amp;" ("&amp;B350&amp;") #"&amp;AD350,"")</f>
        <v/>
      </c>
      <c r="AN350">
        <f>IF(AE350=1,TRIM('Roster'!E350),"")</f>
        <v/>
      </c>
      <c r="AO350">
        <f>IF(AE350=1,ROUND(SUMIFS('All Donations'!$S$2:$S$4001,'All Donations'!$R$2:$R$4001,AD350,'All Donations'!$T$2:$T$4001,"&gt;="&amp;'Settings'!$C$23,'All Donations'!$T$2:$T$4001,"&lt;="&amp;'Settings'!$D$23),2),0)</f>
        <v/>
      </c>
      <c r="AQ350">
        <f>IF(AE350=1,ROUND(SUMIFS('All Donations'!$S$2:$S$4001,'All Donations'!$R$2:$R$4001,AD350,'All Donations'!$T$2:$T$4001,"&gt;="&amp;'Settings'!$C$25,'All Donations'!$T$2:$T$4001,"&lt;="&amp;'Settings'!$D$25),2),0)</f>
        <v/>
      </c>
      <c r="AR350">
        <f>IF(AE350=1,ROUND(SUMIFS('All Donations'!$S$2:$S$4001,'All Donations'!$R$2:$R$4001,AD350,'All Donations'!$T$2:$T$4001,"&gt;="&amp;'Settings'!$C$26,'All Donations'!$T$2:$T$4001,"&lt;="&amp;'Settings'!$D$26),2),0)</f>
        <v/>
      </c>
      <c r="AS350">
        <f>IF(AE350=1,ROUND(SUMIFS('All Donations'!$S$2:$S$4001,'All Donations'!$R$2:$R$4001,AD350,'All Donations'!$T$2:$T$4001,"&lt;="&amp;'Settings'!$D$27),2),0)</f>
        <v/>
      </c>
      <c r="AT350">
        <f>IF(AE350=1,ROUND(SUMIFS('All Donations'!$S$2:$S$4001,'All Donations'!$R$2:$R$4001,AD350,'All Donations'!$T$2:$T$4001,"&gt;="&amp;'Settings'!$C$28,'All Donations'!$T$2:$T$4001,"&lt;="&amp;'Settings'!$D$28),2),0)</f>
        <v/>
      </c>
      <c r="AU350">
        <f>IF(AE350=1,ROUND(SUMIFS('All Donations'!$S$2:$S$4001,'All Donations'!$R$2:$R$4001,AD350,'All Donations'!$T$2:$T$4001,"&gt;="&amp;'Settings'!$C$29,'All Donations'!$T$2:$T$4001,"&lt;="&amp;'Settings'!$D$29),2),0)</f>
        <v/>
      </c>
      <c r="AV350">
        <f>IF(AE350=1,ROUND(SUMIFS('All Donations'!$S$2:$S$4001,'All Donations'!$R$2:$R$4001,AD350,'All Donations'!$T$2:$T$4001,"&lt;="&amp;'Settings'!$D$30),2),0)</f>
        <v/>
      </c>
      <c r="AZ350">
        <f>IF(AE350=1,ROUND(SUMIFS('All Donations'!$S$2:$S$4001,'All Donations'!$R$2:$R$4001,AD350,'All Donations'!$T$2:$T$4001,"&lt;="&amp;'Settings'!$D$34),2),0)</f>
        <v/>
      </c>
    </row>
    <row r="351">
      <c r="A351">
        <f>IF(AE351=1,TRIM(TRIM('Roster'!B351)&amp;" "&amp;TRIM('Roster'!C351)),"")</f>
        <v/>
      </c>
      <c r="B351">
        <f>IF(AE351=1,IF(AN351="","(no teacher)",AN351&amp;" – "&amp;C351),"")</f>
        <v/>
      </c>
      <c r="C351">
        <f>IF(AE351=1,TRIM('Roster'!D351&amp;""),"")</f>
        <v/>
      </c>
      <c r="D351" s="48">
        <f>IF(AE351=1,ROUND(SUMIFS('All Donations'!$S$2:$S$4001,'All Donations'!$R$2:$R$4001,AD351),2),"")</f>
        <v/>
      </c>
      <c r="E351" s="48">
        <f>IF(AE351=1,ROUND(SUMIFS('All Donations'!$S$2:$S$4001,'All Donations'!$R$2:$R$4001,AD351,'All Donations'!$G$2:$G$4001,"OneCause"),2),"")</f>
        <v/>
      </c>
      <c r="F351" s="48">
        <f>IF(AE351=1,D351-E351,"")</f>
        <v/>
      </c>
      <c r="G351">
        <f>IF(AE351=1,COUNTIFS('All Donations'!$R$2:$R$4001,AD351,'All Donations'!$H$2:$H$4001,"OK"),"")</f>
        <v/>
      </c>
      <c r="H351">
        <f>IF(AE351&lt;&gt;1,"",IF(D351&gt;0,"Yes",""))</f>
        <v/>
      </c>
      <c r="I351" s="49">
        <f>IF(OR($AE351&lt;&gt;1,I$1=""),"",SUMIFS('All Donations'!$S$2:$S$4001,'All Donations'!$R$2:$R$4001,$AD351,'All Donations'!$T$2:$T$4001,I$1))</f>
        <v/>
      </c>
      <c r="J351" s="49">
        <f>IF(OR($AE351&lt;&gt;1,J$1=""),"",SUMIFS('All Donations'!$S$2:$S$4001,'All Donations'!$R$2:$R$4001,$AD351,'All Donations'!$T$2:$T$4001,J$1))</f>
        <v/>
      </c>
      <c r="K351" s="49">
        <f>IF(OR($AE351&lt;&gt;1,K$1=""),"",SUMIFS('All Donations'!$S$2:$S$4001,'All Donations'!$R$2:$R$4001,$AD351,'All Donations'!$T$2:$T$4001,K$1))</f>
        <v/>
      </c>
      <c r="L351" s="49">
        <f>IF(OR($AE351&lt;&gt;1,L$1=""),"",SUMIFS('All Donations'!$S$2:$S$4001,'All Donations'!$R$2:$R$4001,$AD351,'All Donations'!$T$2:$T$4001,L$1))</f>
        <v/>
      </c>
      <c r="M351" s="49">
        <f>IF(OR($AE351&lt;&gt;1,M$1=""),"",SUMIFS('All Donations'!$S$2:$S$4001,'All Donations'!$R$2:$R$4001,$AD351,'All Donations'!$T$2:$T$4001,M$1))</f>
        <v/>
      </c>
      <c r="N351" s="49">
        <f>IF(OR($AE351&lt;&gt;1,N$1=""),"",SUMIFS('All Donations'!$S$2:$S$4001,'All Donations'!$R$2:$R$4001,$AD351,'All Donations'!$T$2:$T$4001,N$1))</f>
        <v/>
      </c>
      <c r="O351" s="49">
        <f>IF(OR($AE351&lt;&gt;1,O$1=""),"",SUMIFS('All Donations'!$S$2:$S$4001,'All Donations'!$R$2:$R$4001,$AD351,'All Donations'!$T$2:$T$4001,O$1))</f>
        <v/>
      </c>
      <c r="P351" s="49">
        <f>IF(OR($AE351&lt;&gt;1,P$1=""),"",SUMIFS('All Donations'!$S$2:$S$4001,'All Donations'!$R$2:$R$4001,$AD351,'All Donations'!$T$2:$T$4001,P$1))</f>
        <v/>
      </c>
      <c r="Q351" s="49">
        <f>IF(OR($AE351&lt;&gt;1,Q$1=""),"",SUMIFS('All Donations'!$S$2:$S$4001,'All Donations'!$R$2:$R$4001,$AD351,'All Donations'!$T$2:$T$4001,Q$1))</f>
        <v/>
      </c>
      <c r="R351" s="49">
        <f>IF(OR($AE351&lt;&gt;1,R$1=""),"",SUMIFS('All Donations'!$S$2:$S$4001,'All Donations'!$R$2:$R$4001,$AD351,'All Donations'!$T$2:$T$4001,R$1))</f>
        <v/>
      </c>
      <c r="S351" s="49">
        <f>IF(OR($AE351&lt;&gt;1,S$1=""),"",SUMIFS('All Donations'!$S$2:$S$4001,'All Donations'!$R$2:$R$4001,$AD351,'All Donations'!$T$2:$T$4001,S$1))</f>
        <v/>
      </c>
      <c r="T351" s="49">
        <f>IF(OR($AE351&lt;&gt;1,T$1=""),"",SUMIFS('All Donations'!$S$2:$S$4001,'All Donations'!$R$2:$R$4001,$AD351,'All Donations'!$T$2:$T$4001,T$1))</f>
        <v/>
      </c>
      <c r="U351" s="49">
        <f>IF(OR($AE351&lt;&gt;1,U$1=""),"",SUMIFS('All Donations'!$S$2:$S$4001,'All Donations'!$R$2:$R$4001,$AD351,'All Donations'!$T$2:$T$4001,U$1))</f>
        <v/>
      </c>
      <c r="V351" s="49">
        <f>IF(OR($AE351&lt;&gt;1,V$1=""),"",SUMIFS('All Donations'!$S$2:$S$4001,'All Donations'!$R$2:$R$4001,$AD351,'All Donations'!$T$2:$T$4001,V$1))</f>
        <v/>
      </c>
      <c r="W351" s="49">
        <f>IF(OR($AE351&lt;&gt;1,W$1=""),"",SUMIFS('All Donations'!$S$2:$S$4001,'All Donations'!$R$2:$R$4001,$AD351,'All Donations'!$T$2:$T$4001,W$1))</f>
        <v/>
      </c>
      <c r="X351" s="49">
        <f>IF(OR($AE351&lt;&gt;1,X$1=""),"",SUMIFS('All Donations'!$S$2:$S$4001,'All Donations'!$R$2:$R$4001,$AD351,'All Donations'!$T$2:$T$4001,X$1))</f>
        <v/>
      </c>
      <c r="Y351" s="49">
        <f>IF(OR($AE351&lt;&gt;1,Y$1=""),"",SUMIFS('All Donations'!$S$2:$S$4001,'All Donations'!$R$2:$R$4001,$AD351,'All Donations'!$T$2:$T$4001,Y$1))</f>
        <v/>
      </c>
      <c r="Z351" s="49">
        <f>IF(OR($AE351&lt;&gt;1,Z$1=""),"",SUMIFS('All Donations'!$S$2:$S$4001,'All Donations'!$R$2:$R$4001,$AD351,'All Donations'!$T$2:$T$4001,Z$1))</f>
        <v/>
      </c>
      <c r="AA351" s="49">
        <f>IF(OR($AE351&lt;&gt;1,AA$1=""),"",SUMIFS('All Donations'!$S$2:$S$4001,'All Donations'!$R$2:$R$4001,$AD351,'All Donations'!$T$2:$T$4001,AA$1))</f>
        <v/>
      </c>
      <c r="AB351" s="49">
        <f>IF(OR($AE351&lt;&gt;1,AB$1=""),"",SUMIFS('All Donations'!$S$2:$S$4001,'All Donations'!$R$2:$R$4001,$AD351,'All Donations'!$T$2:$T$4001,AB$1))</f>
        <v/>
      </c>
      <c r="AC351" s="49">
        <f>IF(OR($AE351&lt;&gt;1,AC$1=""),"",SUMIFS('All Donations'!$S$2:$S$4001,'All Donations'!$R$2:$R$4001,$AD351,'All Donations'!$T$2:$T$4001,AC$1))</f>
        <v/>
      </c>
      <c r="AD351">
        <f>IF(AE351=1,'Roster'!A351,"")</f>
        <v/>
      </c>
      <c r="AE351">
        <f>IF(TRIM('Roster'!B351&amp;'Roster'!C351)&lt;&gt;"",1,0)</f>
        <v/>
      </c>
      <c r="AF351">
        <f>IF(AE351=1,LOWER(A351),"#")</f>
        <v/>
      </c>
      <c r="AG351">
        <f>IF(AE351=1,LOWER(TRIM(TRIM('Roster'!C351)&amp;", "&amp;TRIM('Roster'!B351))),"#")</f>
        <v/>
      </c>
      <c r="AH351">
        <f>IF(AND(AE351=1,TRIM('Roster'!F351)&lt;&gt;""),LOWER(TRIM('Roster'!F351)),"#")</f>
        <v/>
      </c>
      <c r="AI351">
        <f>IF(AE351=1,IF(MATCH(B351,$B$2:$B$701,0)=ROW()-1,1,0),0)</f>
        <v/>
      </c>
      <c r="AJ351">
        <f>AJ350+AI351</f>
        <v/>
      </c>
      <c r="AK351">
        <f>IF(AE351=1,D351+(1000-ROW())/10^7,-1)</f>
        <v/>
      </c>
      <c r="AL351">
        <f>IF(AE351=1,TRIM('Roster'!B351)&amp;" "&amp;LEFT(TRIM('Roster'!C351),1)&amp;".","")</f>
        <v/>
      </c>
      <c r="AM351">
        <f>IF(AE351=1,TRIM('Roster'!C351)&amp;", "&amp;TRIM('Roster'!B351)&amp;" ("&amp;B351&amp;") #"&amp;AD351,"")</f>
        <v/>
      </c>
      <c r="AN351">
        <f>IF(AE351=1,TRIM('Roster'!E351),"")</f>
        <v/>
      </c>
      <c r="AO351">
        <f>IF(AE351=1,ROUND(SUMIFS('All Donations'!$S$2:$S$4001,'All Donations'!$R$2:$R$4001,AD351,'All Donations'!$T$2:$T$4001,"&gt;="&amp;'Settings'!$C$23,'All Donations'!$T$2:$T$4001,"&lt;="&amp;'Settings'!$D$23),2),0)</f>
        <v/>
      </c>
      <c r="AQ351">
        <f>IF(AE351=1,ROUND(SUMIFS('All Donations'!$S$2:$S$4001,'All Donations'!$R$2:$R$4001,AD351,'All Donations'!$T$2:$T$4001,"&gt;="&amp;'Settings'!$C$25,'All Donations'!$T$2:$T$4001,"&lt;="&amp;'Settings'!$D$25),2),0)</f>
        <v/>
      </c>
      <c r="AR351">
        <f>IF(AE351=1,ROUND(SUMIFS('All Donations'!$S$2:$S$4001,'All Donations'!$R$2:$R$4001,AD351,'All Donations'!$T$2:$T$4001,"&gt;="&amp;'Settings'!$C$26,'All Donations'!$T$2:$T$4001,"&lt;="&amp;'Settings'!$D$26),2),0)</f>
        <v/>
      </c>
      <c r="AS351">
        <f>IF(AE351=1,ROUND(SUMIFS('All Donations'!$S$2:$S$4001,'All Donations'!$R$2:$R$4001,AD351,'All Donations'!$T$2:$T$4001,"&lt;="&amp;'Settings'!$D$27),2),0)</f>
        <v/>
      </c>
      <c r="AT351">
        <f>IF(AE351=1,ROUND(SUMIFS('All Donations'!$S$2:$S$4001,'All Donations'!$R$2:$R$4001,AD351,'All Donations'!$T$2:$T$4001,"&gt;="&amp;'Settings'!$C$28,'All Donations'!$T$2:$T$4001,"&lt;="&amp;'Settings'!$D$28),2),0)</f>
        <v/>
      </c>
      <c r="AU351">
        <f>IF(AE351=1,ROUND(SUMIFS('All Donations'!$S$2:$S$4001,'All Donations'!$R$2:$R$4001,AD351,'All Donations'!$T$2:$T$4001,"&gt;="&amp;'Settings'!$C$29,'All Donations'!$T$2:$T$4001,"&lt;="&amp;'Settings'!$D$29),2),0)</f>
        <v/>
      </c>
      <c r="AV351">
        <f>IF(AE351=1,ROUND(SUMIFS('All Donations'!$S$2:$S$4001,'All Donations'!$R$2:$R$4001,AD351,'All Donations'!$T$2:$T$4001,"&lt;="&amp;'Settings'!$D$30),2),0)</f>
        <v/>
      </c>
      <c r="AZ351">
        <f>IF(AE351=1,ROUND(SUMIFS('All Donations'!$S$2:$S$4001,'All Donations'!$R$2:$R$4001,AD351,'All Donations'!$T$2:$T$4001,"&lt;="&amp;'Settings'!$D$34),2),0)</f>
        <v/>
      </c>
    </row>
    <row r="352">
      <c r="A352">
        <f>IF(AE352=1,TRIM(TRIM('Roster'!B352)&amp;" "&amp;TRIM('Roster'!C352)),"")</f>
        <v/>
      </c>
      <c r="B352">
        <f>IF(AE352=1,IF(AN352="","(no teacher)",AN352&amp;" – "&amp;C352),"")</f>
        <v/>
      </c>
      <c r="C352">
        <f>IF(AE352=1,TRIM('Roster'!D352&amp;""),"")</f>
        <v/>
      </c>
      <c r="D352" s="48">
        <f>IF(AE352=1,ROUND(SUMIFS('All Donations'!$S$2:$S$4001,'All Donations'!$R$2:$R$4001,AD352),2),"")</f>
        <v/>
      </c>
      <c r="E352" s="48">
        <f>IF(AE352=1,ROUND(SUMIFS('All Donations'!$S$2:$S$4001,'All Donations'!$R$2:$R$4001,AD352,'All Donations'!$G$2:$G$4001,"OneCause"),2),"")</f>
        <v/>
      </c>
      <c r="F352" s="48">
        <f>IF(AE352=1,D352-E352,"")</f>
        <v/>
      </c>
      <c r="G352">
        <f>IF(AE352=1,COUNTIFS('All Donations'!$R$2:$R$4001,AD352,'All Donations'!$H$2:$H$4001,"OK"),"")</f>
        <v/>
      </c>
      <c r="H352">
        <f>IF(AE352&lt;&gt;1,"",IF(D352&gt;0,"Yes",""))</f>
        <v/>
      </c>
      <c r="I352" s="49">
        <f>IF(OR($AE352&lt;&gt;1,I$1=""),"",SUMIFS('All Donations'!$S$2:$S$4001,'All Donations'!$R$2:$R$4001,$AD352,'All Donations'!$T$2:$T$4001,I$1))</f>
        <v/>
      </c>
      <c r="J352" s="49">
        <f>IF(OR($AE352&lt;&gt;1,J$1=""),"",SUMIFS('All Donations'!$S$2:$S$4001,'All Donations'!$R$2:$R$4001,$AD352,'All Donations'!$T$2:$T$4001,J$1))</f>
        <v/>
      </c>
      <c r="K352" s="49">
        <f>IF(OR($AE352&lt;&gt;1,K$1=""),"",SUMIFS('All Donations'!$S$2:$S$4001,'All Donations'!$R$2:$R$4001,$AD352,'All Donations'!$T$2:$T$4001,K$1))</f>
        <v/>
      </c>
      <c r="L352" s="49">
        <f>IF(OR($AE352&lt;&gt;1,L$1=""),"",SUMIFS('All Donations'!$S$2:$S$4001,'All Donations'!$R$2:$R$4001,$AD352,'All Donations'!$T$2:$T$4001,L$1))</f>
        <v/>
      </c>
      <c r="M352" s="49">
        <f>IF(OR($AE352&lt;&gt;1,M$1=""),"",SUMIFS('All Donations'!$S$2:$S$4001,'All Donations'!$R$2:$R$4001,$AD352,'All Donations'!$T$2:$T$4001,M$1))</f>
        <v/>
      </c>
      <c r="N352" s="49">
        <f>IF(OR($AE352&lt;&gt;1,N$1=""),"",SUMIFS('All Donations'!$S$2:$S$4001,'All Donations'!$R$2:$R$4001,$AD352,'All Donations'!$T$2:$T$4001,N$1))</f>
        <v/>
      </c>
      <c r="O352" s="49">
        <f>IF(OR($AE352&lt;&gt;1,O$1=""),"",SUMIFS('All Donations'!$S$2:$S$4001,'All Donations'!$R$2:$R$4001,$AD352,'All Donations'!$T$2:$T$4001,O$1))</f>
        <v/>
      </c>
      <c r="P352" s="49">
        <f>IF(OR($AE352&lt;&gt;1,P$1=""),"",SUMIFS('All Donations'!$S$2:$S$4001,'All Donations'!$R$2:$R$4001,$AD352,'All Donations'!$T$2:$T$4001,P$1))</f>
        <v/>
      </c>
      <c r="Q352" s="49">
        <f>IF(OR($AE352&lt;&gt;1,Q$1=""),"",SUMIFS('All Donations'!$S$2:$S$4001,'All Donations'!$R$2:$R$4001,$AD352,'All Donations'!$T$2:$T$4001,Q$1))</f>
        <v/>
      </c>
      <c r="R352" s="49">
        <f>IF(OR($AE352&lt;&gt;1,R$1=""),"",SUMIFS('All Donations'!$S$2:$S$4001,'All Donations'!$R$2:$R$4001,$AD352,'All Donations'!$T$2:$T$4001,R$1))</f>
        <v/>
      </c>
      <c r="S352" s="49">
        <f>IF(OR($AE352&lt;&gt;1,S$1=""),"",SUMIFS('All Donations'!$S$2:$S$4001,'All Donations'!$R$2:$R$4001,$AD352,'All Donations'!$T$2:$T$4001,S$1))</f>
        <v/>
      </c>
      <c r="T352" s="49">
        <f>IF(OR($AE352&lt;&gt;1,T$1=""),"",SUMIFS('All Donations'!$S$2:$S$4001,'All Donations'!$R$2:$R$4001,$AD352,'All Donations'!$T$2:$T$4001,T$1))</f>
        <v/>
      </c>
      <c r="U352" s="49">
        <f>IF(OR($AE352&lt;&gt;1,U$1=""),"",SUMIFS('All Donations'!$S$2:$S$4001,'All Donations'!$R$2:$R$4001,$AD352,'All Donations'!$T$2:$T$4001,U$1))</f>
        <v/>
      </c>
      <c r="V352" s="49">
        <f>IF(OR($AE352&lt;&gt;1,V$1=""),"",SUMIFS('All Donations'!$S$2:$S$4001,'All Donations'!$R$2:$R$4001,$AD352,'All Donations'!$T$2:$T$4001,V$1))</f>
        <v/>
      </c>
      <c r="W352" s="49">
        <f>IF(OR($AE352&lt;&gt;1,W$1=""),"",SUMIFS('All Donations'!$S$2:$S$4001,'All Donations'!$R$2:$R$4001,$AD352,'All Donations'!$T$2:$T$4001,W$1))</f>
        <v/>
      </c>
      <c r="X352" s="49">
        <f>IF(OR($AE352&lt;&gt;1,X$1=""),"",SUMIFS('All Donations'!$S$2:$S$4001,'All Donations'!$R$2:$R$4001,$AD352,'All Donations'!$T$2:$T$4001,X$1))</f>
        <v/>
      </c>
      <c r="Y352" s="49">
        <f>IF(OR($AE352&lt;&gt;1,Y$1=""),"",SUMIFS('All Donations'!$S$2:$S$4001,'All Donations'!$R$2:$R$4001,$AD352,'All Donations'!$T$2:$T$4001,Y$1))</f>
        <v/>
      </c>
      <c r="Z352" s="49">
        <f>IF(OR($AE352&lt;&gt;1,Z$1=""),"",SUMIFS('All Donations'!$S$2:$S$4001,'All Donations'!$R$2:$R$4001,$AD352,'All Donations'!$T$2:$T$4001,Z$1))</f>
        <v/>
      </c>
      <c r="AA352" s="49">
        <f>IF(OR($AE352&lt;&gt;1,AA$1=""),"",SUMIFS('All Donations'!$S$2:$S$4001,'All Donations'!$R$2:$R$4001,$AD352,'All Donations'!$T$2:$T$4001,AA$1))</f>
        <v/>
      </c>
      <c r="AB352" s="49">
        <f>IF(OR($AE352&lt;&gt;1,AB$1=""),"",SUMIFS('All Donations'!$S$2:$S$4001,'All Donations'!$R$2:$R$4001,$AD352,'All Donations'!$T$2:$T$4001,AB$1))</f>
        <v/>
      </c>
      <c r="AC352" s="49">
        <f>IF(OR($AE352&lt;&gt;1,AC$1=""),"",SUMIFS('All Donations'!$S$2:$S$4001,'All Donations'!$R$2:$R$4001,$AD352,'All Donations'!$T$2:$T$4001,AC$1))</f>
        <v/>
      </c>
      <c r="AD352">
        <f>IF(AE352=1,'Roster'!A352,"")</f>
        <v/>
      </c>
      <c r="AE352">
        <f>IF(TRIM('Roster'!B352&amp;'Roster'!C352)&lt;&gt;"",1,0)</f>
        <v/>
      </c>
      <c r="AF352">
        <f>IF(AE352=1,LOWER(A352),"#")</f>
        <v/>
      </c>
      <c r="AG352">
        <f>IF(AE352=1,LOWER(TRIM(TRIM('Roster'!C352)&amp;", "&amp;TRIM('Roster'!B352))),"#")</f>
        <v/>
      </c>
      <c r="AH352">
        <f>IF(AND(AE352=1,TRIM('Roster'!F352)&lt;&gt;""),LOWER(TRIM('Roster'!F352)),"#")</f>
        <v/>
      </c>
      <c r="AI352">
        <f>IF(AE352=1,IF(MATCH(B352,$B$2:$B$701,0)=ROW()-1,1,0),0)</f>
        <v/>
      </c>
      <c r="AJ352">
        <f>AJ351+AI352</f>
        <v/>
      </c>
      <c r="AK352">
        <f>IF(AE352=1,D352+(1000-ROW())/10^7,-1)</f>
        <v/>
      </c>
      <c r="AL352">
        <f>IF(AE352=1,TRIM('Roster'!B352)&amp;" "&amp;LEFT(TRIM('Roster'!C352),1)&amp;".","")</f>
        <v/>
      </c>
      <c r="AM352">
        <f>IF(AE352=1,TRIM('Roster'!C352)&amp;", "&amp;TRIM('Roster'!B352)&amp;" ("&amp;B352&amp;") #"&amp;AD352,"")</f>
        <v/>
      </c>
      <c r="AN352">
        <f>IF(AE352=1,TRIM('Roster'!E352),"")</f>
        <v/>
      </c>
      <c r="AO352">
        <f>IF(AE352=1,ROUND(SUMIFS('All Donations'!$S$2:$S$4001,'All Donations'!$R$2:$R$4001,AD352,'All Donations'!$T$2:$T$4001,"&gt;="&amp;'Settings'!$C$23,'All Donations'!$T$2:$T$4001,"&lt;="&amp;'Settings'!$D$23),2),0)</f>
        <v/>
      </c>
      <c r="AQ352">
        <f>IF(AE352=1,ROUND(SUMIFS('All Donations'!$S$2:$S$4001,'All Donations'!$R$2:$R$4001,AD352,'All Donations'!$T$2:$T$4001,"&gt;="&amp;'Settings'!$C$25,'All Donations'!$T$2:$T$4001,"&lt;="&amp;'Settings'!$D$25),2),0)</f>
        <v/>
      </c>
      <c r="AR352">
        <f>IF(AE352=1,ROUND(SUMIFS('All Donations'!$S$2:$S$4001,'All Donations'!$R$2:$R$4001,AD352,'All Donations'!$T$2:$T$4001,"&gt;="&amp;'Settings'!$C$26,'All Donations'!$T$2:$T$4001,"&lt;="&amp;'Settings'!$D$26),2),0)</f>
        <v/>
      </c>
      <c r="AS352">
        <f>IF(AE352=1,ROUND(SUMIFS('All Donations'!$S$2:$S$4001,'All Donations'!$R$2:$R$4001,AD352,'All Donations'!$T$2:$T$4001,"&lt;="&amp;'Settings'!$D$27),2),0)</f>
        <v/>
      </c>
      <c r="AT352">
        <f>IF(AE352=1,ROUND(SUMIFS('All Donations'!$S$2:$S$4001,'All Donations'!$R$2:$R$4001,AD352,'All Donations'!$T$2:$T$4001,"&gt;="&amp;'Settings'!$C$28,'All Donations'!$T$2:$T$4001,"&lt;="&amp;'Settings'!$D$28),2),0)</f>
        <v/>
      </c>
      <c r="AU352">
        <f>IF(AE352=1,ROUND(SUMIFS('All Donations'!$S$2:$S$4001,'All Donations'!$R$2:$R$4001,AD352,'All Donations'!$T$2:$T$4001,"&gt;="&amp;'Settings'!$C$29,'All Donations'!$T$2:$T$4001,"&lt;="&amp;'Settings'!$D$29),2),0)</f>
        <v/>
      </c>
      <c r="AV352">
        <f>IF(AE352=1,ROUND(SUMIFS('All Donations'!$S$2:$S$4001,'All Donations'!$R$2:$R$4001,AD352,'All Donations'!$T$2:$T$4001,"&lt;="&amp;'Settings'!$D$30),2),0)</f>
        <v/>
      </c>
      <c r="AZ352">
        <f>IF(AE352=1,ROUND(SUMIFS('All Donations'!$S$2:$S$4001,'All Donations'!$R$2:$R$4001,AD352,'All Donations'!$T$2:$T$4001,"&lt;="&amp;'Settings'!$D$34),2),0)</f>
        <v/>
      </c>
    </row>
    <row r="353">
      <c r="A353">
        <f>IF(AE353=1,TRIM(TRIM('Roster'!B353)&amp;" "&amp;TRIM('Roster'!C353)),"")</f>
        <v/>
      </c>
      <c r="B353">
        <f>IF(AE353=1,IF(AN353="","(no teacher)",AN353&amp;" – "&amp;C353),"")</f>
        <v/>
      </c>
      <c r="C353">
        <f>IF(AE353=1,TRIM('Roster'!D353&amp;""),"")</f>
        <v/>
      </c>
      <c r="D353" s="48">
        <f>IF(AE353=1,ROUND(SUMIFS('All Donations'!$S$2:$S$4001,'All Donations'!$R$2:$R$4001,AD353),2),"")</f>
        <v/>
      </c>
      <c r="E353" s="48">
        <f>IF(AE353=1,ROUND(SUMIFS('All Donations'!$S$2:$S$4001,'All Donations'!$R$2:$R$4001,AD353,'All Donations'!$G$2:$G$4001,"OneCause"),2),"")</f>
        <v/>
      </c>
      <c r="F353" s="48">
        <f>IF(AE353=1,D353-E353,"")</f>
        <v/>
      </c>
      <c r="G353">
        <f>IF(AE353=1,COUNTIFS('All Donations'!$R$2:$R$4001,AD353,'All Donations'!$H$2:$H$4001,"OK"),"")</f>
        <v/>
      </c>
      <c r="H353">
        <f>IF(AE353&lt;&gt;1,"",IF(D353&gt;0,"Yes",""))</f>
        <v/>
      </c>
      <c r="I353" s="49">
        <f>IF(OR($AE353&lt;&gt;1,I$1=""),"",SUMIFS('All Donations'!$S$2:$S$4001,'All Donations'!$R$2:$R$4001,$AD353,'All Donations'!$T$2:$T$4001,I$1))</f>
        <v/>
      </c>
      <c r="J353" s="49">
        <f>IF(OR($AE353&lt;&gt;1,J$1=""),"",SUMIFS('All Donations'!$S$2:$S$4001,'All Donations'!$R$2:$R$4001,$AD353,'All Donations'!$T$2:$T$4001,J$1))</f>
        <v/>
      </c>
      <c r="K353" s="49">
        <f>IF(OR($AE353&lt;&gt;1,K$1=""),"",SUMIFS('All Donations'!$S$2:$S$4001,'All Donations'!$R$2:$R$4001,$AD353,'All Donations'!$T$2:$T$4001,K$1))</f>
        <v/>
      </c>
      <c r="L353" s="49">
        <f>IF(OR($AE353&lt;&gt;1,L$1=""),"",SUMIFS('All Donations'!$S$2:$S$4001,'All Donations'!$R$2:$R$4001,$AD353,'All Donations'!$T$2:$T$4001,L$1))</f>
        <v/>
      </c>
      <c r="M353" s="49">
        <f>IF(OR($AE353&lt;&gt;1,M$1=""),"",SUMIFS('All Donations'!$S$2:$S$4001,'All Donations'!$R$2:$R$4001,$AD353,'All Donations'!$T$2:$T$4001,M$1))</f>
        <v/>
      </c>
      <c r="N353" s="49">
        <f>IF(OR($AE353&lt;&gt;1,N$1=""),"",SUMIFS('All Donations'!$S$2:$S$4001,'All Donations'!$R$2:$R$4001,$AD353,'All Donations'!$T$2:$T$4001,N$1))</f>
        <v/>
      </c>
      <c r="O353" s="49">
        <f>IF(OR($AE353&lt;&gt;1,O$1=""),"",SUMIFS('All Donations'!$S$2:$S$4001,'All Donations'!$R$2:$R$4001,$AD353,'All Donations'!$T$2:$T$4001,O$1))</f>
        <v/>
      </c>
      <c r="P353" s="49">
        <f>IF(OR($AE353&lt;&gt;1,P$1=""),"",SUMIFS('All Donations'!$S$2:$S$4001,'All Donations'!$R$2:$R$4001,$AD353,'All Donations'!$T$2:$T$4001,P$1))</f>
        <v/>
      </c>
      <c r="Q353" s="49">
        <f>IF(OR($AE353&lt;&gt;1,Q$1=""),"",SUMIFS('All Donations'!$S$2:$S$4001,'All Donations'!$R$2:$R$4001,$AD353,'All Donations'!$T$2:$T$4001,Q$1))</f>
        <v/>
      </c>
      <c r="R353" s="49">
        <f>IF(OR($AE353&lt;&gt;1,R$1=""),"",SUMIFS('All Donations'!$S$2:$S$4001,'All Donations'!$R$2:$R$4001,$AD353,'All Donations'!$T$2:$T$4001,R$1))</f>
        <v/>
      </c>
      <c r="S353" s="49">
        <f>IF(OR($AE353&lt;&gt;1,S$1=""),"",SUMIFS('All Donations'!$S$2:$S$4001,'All Donations'!$R$2:$R$4001,$AD353,'All Donations'!$T$2:$T$4001,S$1))</f>
        <v/>
      </c>
      <c r="T353" s="49">
        <f>IF(OR($AE353&lt;&gt;1,T$1=""),"",SUMIFS('All Donations'!$S$2:$S$4001,'All Donations'!$R$2:$R$4001,$AD353,'All Donations'!$T$2:$T$4001,T$1))</f>
        <v/>
      </c>
      <c r="U353" s="49">
        <f>IF(OR($AE353&lt;&gt;1,U$1=""),"",SUMIFS('All Donations'!$S$2:$S$4001,'All Donations'!$R$2:$R$4001,$AD353,'All Donations'!$T$2:$T$4001,U$1))</f>
        <v/>
      </c>
      <c r="V353" s="49">
        <f>IF(OR($AE353&lt;&gt;1,V$1=""),"",SUMIFS('All Donations'!$S$2:$S$4001,'All Donations'!$R$2:$R$4001,$AD353,'All Donations'!$T$2:$T$4001,V$1))</f>
        <v/>
      </c>
      <c r="W353" s="49">
        <f>IF(OR($AE353&lt;&gt;1,W$1=""),"",SUMIFS('All Donations'!$S$2:$S$4001,'All Donations'!$R$2:$R$4001,$AD353,'All Donations'!$T$2:$T$4001,W$1))</f>
        <v/>
      </c>
      <c r="X353" s="49">
        <f>IF(OR($AE353&lt;&gt;1,X$1=""),"",SUMIFS('All Donations'!$S$2:$S$4001,'All Donations'!$R$2:$R$4001,$AD353,'All Donations'!$T$2:$T$4001,X$1))</f>
        <v/>
      </c>
      <c r="Y353" s="49">
        <f>IF(OR($AE353&lt;&gt;1,Y$1=""),"",SUMIFS('All Donations'!$S$2:$S$4001,'All Donations'!$R$2:$R$4001,$AD353,'All Donations'!$T$2:$T$4001,Y$1))</f>
        <v/>
      </c>
      <c r="Z353" s="49">
        <f>IF(OR($AE353&lt;&gt;1,Z$1=""),"",SUMIFS('All Donations'!$S$2:$S$4001,'All Donations'!$R$2:$R$4001,$AD353,'All Donations'!$T$2:$T$4001,Z$1))</f>
        <v/>
      </c>
      <c r="AA353" s="49">
        <f>IF(OR($AE353&lt;&gt;1,AA$1=""),"",SUMIFS('All Donations'!$S$2:$S$4001,'All Donations'!$R$2:$R$4001,$AD353,'All Donations'!$T$2:$T$4001,AA$1))</f>
        <v/>
      </c>
      <c r="AB353" s="49">
        <f>IF(OR($AE353&lt;&gt;1,AB$1=""),"",SUMIFS('All Donations'!$S$2:$S$4001,'All Donations'!$R$2:$R$4001,$AD353,'All Donations'!$T$2:$T$4001,AB$1))</f>
        <v/>
      </c>
      <c r="AC353" s="49">
        <f>IF(OR($AE353&lt;&gt;1,AC$1=""),"",SUMIFS('All Donations'!$S$2:$S$4001,'All Donations'!$R$2:$R$4001,$AD353,'All Donations'!$T$2:$T$4001,AC$1))</f>
        <v/>
      </c>
      <c r="AD353">
        <f>IF(AE353=1,'Roster'!A353,"")</f>
        <v/>
      </c>
      <c r="AE353">
        <f>IF(TRIM('Roster'!B353&amp;'Roster'!C353)&lt;&gt;"",1,0)</f>
        <v/>
      </c>
      <c r="AF353">
        <f>IF(AE353=1,LOWER(A353),"#")</f>
        <v/>
      </c>
      <c r="AG353">
        <f>IF(AE353=1,LOWER(TRIM(TRIM('Roster'!C353)&amp;", "&amp;TRIM('Roster'!B353))),"#")</f>
        <v/>
      </c>
      <c r="AH353">
        <f>IF(AND(AE353=1,TRIM('Roster'!F353)&lt;&gt;""),LOWER(TRIM('Roster'!F353)),"#")</f>
        <v/>
      </c>
      <c r="AI353">
        <f>IF(AE353=1,IF(MATCH(B353,$B$2:$B$701,0)=ROW()-1,1,0),0)</f>
        <v/>
      </c>
      <c r="AJ353">
        <f>AJ352+AI353</f>
        <v/>
      </c>
      <c r="AK353">
        <f>IF(AE353=1,D353+(1000-ROW())/10^7,-1)</f>
        <v/>
      </c>
      <c r="AL353">
        <f>IF(AE353=1,TRIM('Roster'!B353)&amp;" "&amp;LEFT(TRIM('Roster'!C353),1)&amp;".","")</f>
        <v/>
      </c>
      <c r="AM353">
        <f>IF(AE353=1,TRIM('Roster'!C353)&amp;", "&amp;TRIM('Roster'!B353)&amp;" ("&amp;B353&amp;") #"&amp;AD353,"")</f>
        <v/>
      </c>
      <c r="AN353">
        <f>IF(AE353=1,TRIM('Roster'!E353),"")</f>
        <v/>
      </c>
      <c r="AO353">
        <f>IF(AE353=1,ROUND(SUMIFS('All Donations'!$S$2:$S$4001,'All Donations'!$R$2:$R$4001,AD353,'All Donations'!$T$2:$T$4001,"&gt;="&amp;'Settings'!$C$23,'All Donations'!$T$2:$T$4001,"&lt;="&amp;'Settings'!$D$23),2),0)</f>
        <v/>
      </c>
      <c r="AQ353">
        <f>IF(AE353=1,ROUND(SUMIFS('All Donations'!$S$2:$S$4001,'All Donations'!$R$2:$R$4001,AD353,'All Donations'!$T$2:$T$4001,"&gt;="&amp;'Settings'!$C$25,'All Donations'!$T$2:$T$4001,"&lt;="&amp;'Settings'!$D$25),2),0)</f>
        <v/>
      </c>
      <c r="AR353">
        <f>IF(AE353=1,ROUND(SUMIFS('All Donations'!$S$2:$S$4001,'All Donations'!$R$2:$R$4001,AD353,'All Donations'!$T$2:$T$4001,"&gt;="&amp;'Settings'!$C$26,'All Donations'!$T$2:$T$4001,"&lt;="&amp;'Settings'!$D$26),2),0)</f>
        <v/>
      </c>
      <c r="AS353">
        <f>IF(AE353=1,ROUND(SUMIFS('All Donations'!$S$2:$S$4001,'All Donations'!$R$2:$R$4001,AD353,'All Donations'!$T$2:$T$4001,"&lt;="&amp;'Settings'!$D$27),2),0)</f>
        <v/>
      </c>
      <c r="AT353">
        <f>IF(AE353=1,ROUND(SUMIFS('All Donations'!$S$2:$S$4001,'All Donations'!$R$2:$R$4001,AD353,'All Donations'!$T$2:$T$4001,"&gt;="&amp;'Settings'!$C$28,'All Donations'!$T$2:$T$4001,"&lt;="&amp;'Settings'!$D$28),2),0)</f>
        <v/>
      </c>
      <c r="AU353">
        <f>IF(AE353=1,ROUND(SUMIFS('All Donations'!$S$2:$S$4001,'All Donations'!$R$2:$R$4001,AD353,'All Donations'!$T$2:$T$4001,"&gt;="&amp;'Settings'!$C$29,'All Donations'!$T$2:$T$4001,"&lt;="&amp;'Settings'!$D$29),2),0)</f>
        <v/>
      </c>
      <c r="AV353">
        <f>IF(AE353=1,ROUND(SUMIFS('All Donations'!$S$2:$S$4001,'All Donations'!$R$2:$R$4001,AD353,'All Donations'!$T$2:$T$4001,"&lt;="&amp;'Settings'!$D$30),2),0)</f>
        <v/>
      </c>
      <c r="AZ353">
        <f>IF(AE353=1,ROUND(SUMIFS('All Donations'!$S$2:$S$4001,'All Donations'!$R$2:$R$4001,AD353,'All Donations'!$T$2:$T$4001,"&lt;="&amp;'Settings'!$D$34),2),0)</f>
        <v/>
      </c>
    </row>
    <row r="354">
      <c r="A354">
        <f>IF(AE354=1,TRIM(TRIM('Roster'!B354)&amp;" "&amp;TRIM('Roster'!C354)),"")</f>
        <v/>
      </c>
      <c r="B354">
        <f>IF(AE354=1,IF(AN354="","(no teacher)",AN354&amp;" – "&amp;C354),"")</f>
        <v/>
      </c>
      <c r="C354">
        <f>IF(AE354=1,TRIM('Roster'!D354&amp;""),"")</f>
        <v/>
      </c>
      <c r="D354" s="48">
        <f>IF(AE354=1,ROUND(SUMIFS('All Donations'!$S$2:$S$4001,'All Donations'!$R$2:$R$4001,AD354),2),"")</f>
        <v/>
      </c>
      <c r="E354" s="48">
        <f>IF(AE354=1,ROUND(SUMIFS('All Donations'!$S$2:$S$4001,'All Donations'!$R$2:$R$4001,AD354,'All Donations'!$G$2:$G$4001,"OneCause"),2),"")</f>
        <v/>
      </c>
      <c r="F354" s="48">
        <f>IF(AE354=1,D354-E354,"")</f>
        <v/>
      </c>
      <c r="G354">
        <f>IF(AE354=1,COUNTIFS('All Donations'!$R$2:$R$4001,AD354,'All Donations'!$H$2:$H$4001,"OK"),"")</f>
        <v/>
      </c>
      <c r="H354">
        <f>IF(AE354&lt;&gt;1,"",IF(D354&gt;0,"Yes",""))</f>
        <v/>
      </c>
      <c r="I354" s="49">
        <f>IF(OR($AE354&lt;&gt;1,I$1=""),"",SUMIFS('All Donations'!$S$2:$S$4001,'All Donations'!$R$2:$R$4001,$AD354,'All Donations'!$T$2:$T$4001,I$1))</f>
        <v/>
      </c>
      <c r="J354" s="49">
        <f>IF(OR($AE354&lt;&gt;1,J$1=""),"",SUMIFS('All Donations'!$S$2:$S$4001,'All Donations'!$R$2:$R$4001,$AD354,'All Donations'!$T$2:$T$4001,J$1))</f>
        <v/>
      </c>
      <c r="K354" s="49">
        <f>IF(OR($AE354&lt;&gt;1,K$1=""),"",SUMIFS('All Donations'!$S$2:$S$4001,'All Donations'!$R$2:$R$4001,$AD354,'All Donations'!$T$2:$T$4001,K$1))</f>
        <v/>
      </c>
      <c r="L354" s="49">
        <f>IF(OR($AE354&lt;&gt;1,L$1=""),"",SUMIFS('All Donations'!$S$2:$S$4001,'All Donations'!$R$2:$R$4001,$AD354,'All Donations'!$T$2:$T$4001,L$1))</f>
        <v/>
      </c>
      <c r="M354" s="49">
        <f>IF(OR($AE354&lt;&gt;1,M$1=""),"",SUMIFS('All Donations'!$S$2:$S$4001,'All Donations'!$R$2:$R$4001,$AD354,'All Donations'!$T$2:$T$4001,M$1))</f>
        <v/>
      </c>
      <c r="N354" s="49">
        <f>IF(OR($AE354&lt;&gt;1,N$1=""),"",SUMIFS('All Donations'!$S$2:$S$4001,'All Donations'!$R$2:$R$4001,$AD354,'All Donations'!$T$2:$T$4001,N$1))</f>
        <v/>
      </c>
      <c r="O354" s="49">
        <f>IF(OR($AE354&lt;&gt;1,O$1=""),"",SUMIFS('All Donations'!$S$2:$S$4001,'All Donations'!$R$2:$R$4001,$AD354,'All Donations'!$T$2:$T$4001,O$1))</f>
        <v/>
      </c>
      <c r="P354" s="49">
        <f>IF(OR($AE354&lt;&gt;1,P$1=""),"",SUMIFS('All Donations'!$S$2:$S$4001,'All Donations'!$R$2:$R$4001,$AD354,'All Donations'!$T$2:$T$4001,P$1))</f>
        <v/>
      </c>
      <c r="Q354" s="49">
        <f>IF(OR($AE354&lt;&gt;1,Q$1=""),"",SUMIFS('All Donations'!$S$2:$S$4001,'All Donations'!$R$2:$R$4001,$AD354,'All Donations'!$T$2:$T$4001,Q$1))</f>
        <v/>
      </c>
      <c r="R354" s="49">
        <f>IF(OR($AE354&lt;&gt;1,R$1=""),"",SUMIFS('All Donations'!$S$2:$S$4001,'All Donations'!$R$2:$R$4001,$AD354,'All Donations'!$T$2:$T$4001,R$1))</f>
        <v/>
      </c>
      <c r="S354" s="49">
        <f>IF(OR($AE354&lt;&gt;1,S$1=""),"",SUMIFS('All Donations'!$S$2:$S$4001,'All Donations'!$R$2:$R$4001,$AD354,'All Donations'!$T$2:$T$4001,S$1))</f>
        <v/>
      </c>
      <c r="T354" s="49">
        <f>IF(OR($AE354&lt;&gt;1,T$1=""),"",SUMIFS('All Donations'!$S$2:$S$4001,'All Donations'!$R$2:$R$4001,$AD354,'All Donations'!$T$2:$T$4001,T$1))</f>
        <v/>
      </c>
      <c r="U354" s="49">
        <f>IF(OR($AE354&lt;&gt;1,U$1=""),"",SUMIFS('All Donations'!$S$2:$S$4001,'All Donations'!$R$2:$R$4001,$AD354,'All Donations'!$T$2:$T$4001,U$1))</f>
        <v/>
      </c>
      <c r="V354" s="49">
        <f>IF(OR($AE354&lt;&gt;1,V$1=""),"",SUMIFS('All Donations'!$S$2:$S$4001,'All Donations'!$R$2:$R$4001,$AD354,'All Donations'!$T$2:$T$4001,V$1))</f>
        <v/>
      </c>
      <c r="W354" s="49">
        <f>IF(OR($AE354&lt;&gt;1,W$1=""),"",SUMIFS('All Donations'!$S$2:$S$4001,'All Donations'!$R$2:$R$4001,$AD354,'All Donations'!$T$2:$T$4001,W$1))</f>
        <v/>
      </c>
      <c r="X354" s="49">
        <f>IF(OR($AE354&lt;&gt;1,X$1=""),"",SUMIFS('All Donations'!$S$2:$S$4001,'All Donations'!$R$2:$R$4001,$AD354,'All Donations'!$T$2:$T$4001,X$1))</f>
        <v/>
      </c>
      <c r="Y354" s="49">
        <f>IF(OR($AE354&lt;&gt;1,Y$1=""),"",SUMIFS('All Donations'!$S$2:$S$4001,'All Donations'!$R$2:$R$4001,$AD354,'All Donations'!$T$2:$T$4001,Y$1))</f>
        <v/>
      </c>
      <c r="Z354" s="49">
        <f>IF(OR($AE354&lt;&gt;1,Z$1=""),"",SUMIFS('All Donations'!$S$2:$S$4001,'All Donations'!$R$2:$R$4001,$AD354,'All Donations'!$T$2:$T$4001,Z$1))</f>
        <v/>
      </c>
      <c r="AA354" s="49">
        <f>IF(OR($AE354&lt;&gt;1,AA$1=""),"",SUMIFS('All Donations'!$S$2:$S$4001,'All Donations'!$R$2:$R$4001,$AD354,'All Donations'!$T$2:$T$4001,AA$1))</f>
        <v/>
      </c>
      <c r="AB354" s="49">
        <f>IF(OR($AE354&lt;&gt;1,AB$1=""),"",SUMIFS('All Donations'!$S$2:$S$4001,'All Donations'!$R$2:$R$4001,$AD354,'All Donations'!$T$2:$T$4001,AB$1))</f>
        <v/>
      </c>
      <c r="AC354" s="49">
        <f>IF(OR($AE354&lt;&gt;1,AC$1=""),"",SUMIFS('All Donations'!$S$2:$S$4001,'All Donations'!$R$2:$R$4001,$AD354,'All Donations'!$T$2:$T$4001,AC$1))</f>
        <v/>
      </c>
      <c r="AD354">
        <f>IF(AE354=1,'Roster'!A354,"")</f>
        <v/>
      </c>
      <c r="AE354">
        <f>IF(TRIM('Roster'!B354&amp;'Roster'!C354)&lt;&gt;"",1,0)</f>
        <v/>
      </c>
      <c r="AF354">
        <f>IF(AE354=1,LOWER(A354),"#")</f>
        <v/>
      </c>
      <c r="AG354">
        <f>IF(AE354=1,LOWER(TRIM(TRIM('Roster'!C354)&amp;", "&amp;TRIM('Roster'!B354))),"#")</f>
        <v/>
      </c>
      <c r="AH354">
        <f>IF(AND(AE354=1,TRIM('Roster'!F354)&lt;&gt;""),LOWER(TRIM('Roster'!F354)),"#")</f>
        <v/>
      </c>
      <c r="AI354">
        <f>IF(AE354=1,IF(MATCH(B354,$B$2:$B$701,0)=ROW()-1,1,0),0)</f>
        <v/>
      </c>
      <c r="AJ354">
        <f>AJ353+AI354</f>
        <v/>
      </c>
      <c r="AK354">
        <f>IF(AE354=1,D354+(1000-ROW())/10^7,-1)</f>
        <v/>
      </c>
      <c r="AL354">
        <f>IF(AE354=1,TRIM('Roster'!B354)&amp;" "&amp;LEFT(TRIM('Roster'!C354),1)&amp;".","")</f>
        <v/>
      </c>
      <c r="AM354">
        <f>IF(AE354=1,TRIM('Roster'!C354)&amp;", "&amp;TRIM('Roster'!B354)&amp;" ("&amp;B354&amp;") #"&amp;AD354,"")</f>
        <v/>
      </c>
      <c r="AN354">
        <f>IF(AE354=1,TRIM('Roster'!E354),"")</f>
        <v/>
      </c>
      <c r="AO354">
        <f>IF(AE354=1,ROUND(SUMIFS('All Donations'!$S$2:$S$4001,'All Donations'!$R$2:$R$4001,AD354,'All Donations'!$T$2:$T$4001,"&gt;="&amp;'Settings'!$C$23,'All Donations'!$T$2:$T$4001,"&lt;="&amp;'Settings'!$D$23),2),0)</f>
        <v/>
      </c>
      <c r="AQ354">
        <f>IF(AE354=1,ROUND(SUMIFS('All Donations'!$S$2:$S$4001,'All Donations'!$R$2:$R$4001,AD354,'All Donations'!$T$2:$T$4001,"&gt;="&amp;'Settings'!$C$25,'All Donations'!$T$2:$T$4001,"&lt;="&amp;'Settings'!$D$25),2),0)</f>
        <v/>
      </c>
      <c r="AR354">
        <f>IF(AE354=1,ROUND(SUMIFS('All Donations'!$S$2:$S$4001,'All Donations'!$R$2:$R$4001,AD354,'All Donations'!$T$2:$T$4001,"&gt;="&amp;'Settings'!$C$26,'All Donations'!$T$2:$T$4001,"&lt;="&amp;'Settings'!$D$26),2),0)</f>
        <v/>
      </c>
      <c r="AS354">
        <f>IF(AE354=1,ROUND(SUMIFS('All Donations'!$S$2:$S$4001,'All Donations'!$R$2:$R$4001,AD354,'All Donations'!$T$2:$T$4001,"&lt;="&amp;'Settings'!$D$27),2),0)</f>
        <v/>
      </c>
      <c r="AT354">
        <f>IF(AE354=1,ROUND(SUMIFS('All Donations'!$S$2:$S$4001,'All Donations'!$R$2:$R$4001,AD354,'All Donations'!$T$2:$T$4001,"&gt;="&amp;'Settings'!$C$28,'All Donations'!$T$2:$T$4001,"&lt;="&amp;'Settings'!$D$28),2),0)</f>
        <v/>
      </c>
      <c r="AU354">
        <f>IF(AE354=1,ROUND(SUMIFS('All Donations'!$S$2:$S$4001,'All Donations'!$R$2:$R$4001,AD354,'All Donations'!$T$2:$T$4001,"&gt;="&amp;'Settings'!$C$29,'All Donations'!$T$2:$T$4001,"&lt;="&amp;'Settings'!$D$29),2),0)</f>
        <v/>
      </c>
      <c r="AV354">
        <f>IF(AE354=1,ROUND(SUMIFS('All Donations'!$S$2:$S$4001,'All Donations'!$R$2:$R$4001,AD354,'All Donations'!$T$2:$T$4001,"&lt;="&amp;'Settings'!$D$30),2),0)</f>
        <v/>
      </c>
      <c r="AZ354">
        <f>IF(AE354=1,ROUND(SUMIFS('All Donations'!$S$2:$S$4001,'All Donations'!$R$2:$R$4001,AD354,'All Donations'!$T$2:$T$4001,"&lt;="&amp;'Settings'!$D$34),2),0)</f>
        <v/>
      </c>
    </row>
    <row r="355">
      <c r="A355">
        <f>IF(AE355=1,TRIM(TRIM('Roster'!B355)&amp;" "&amp;TRIM('Roster'!C355)),"")</f>
        <v/>
      </c>
      <c r="B355">
        <f>IF(AE355=1,IF(AN355="","(no teacher)",AN355&amp;" – "&amp;C355),"")</f>
        <v/>
      </c>
      <c r="C355">
        <f>IF(AE355=1,TRIM('Roster'!D355&amp;""),"")</f>
        <v/>
      </c>
      <c r="D355" s="48">
        <f>IF(AE355=1,ROUND(SUMIFS('All Donations'!$S$2:$S$4001,'All Donations'!$R$2:$R$4001,AD355),2),"")</f>
        <v/>
      </c>
      <c r="E355" s="48">
        <f>IF(AE355=1,ROUND(SUMIFS('All Donations'!$S$2:$S$4001,'All Donations'!$R$2:$R$4001,AD355,'All Donations'!$G$2:$G$4001,"OneCause"),2),"")</f>
        <v/>
      </c>
      <c r="F355" s="48">
        <f>IF(AE355=1,D355-E355,"")</f>
        <v/>
      </c>
      <c r="G355">
        <f>IF(AE355=1,COUNTIFS('All Donations'!$R$2:$R$4001,AD355,'All Donations'!$H$2:$H$4001,"OK"),"")</f>
        <v/>
      </c>
      <c r="H355">
        <f>IF(AE355&lt;&gt;1,"",IF(D355&gt;0,"Yes",""))</f>
        <v/>
      </c>
      <c r="I355" s="49">
        <f>IF(OR($AE355&lt;&gt;1,I$1=""),"",SUMIFS('All Donations'!$S$2:$S$4001,'All Donations'!$R$2:$R$4001,$AD355,'All Donations'!$T$2:$T$4001,I$1))</f>
        <v/>
      </c>
      <c r="J355" s="49">
        <f>IF(OR($AE355&lt;&gt;1,J$1=""),"",SUMIFS('All Donations'!$S$2:$S$4001,'All Donations'!$R$2:$R$4001,$AD355,'All Donations'!$T$2:$T$4001,J$1))</f>
        <v/>
      </c>
      <c r="K355" s="49">
        <f>IF(OR($AE355&lt;&gt;1,K$1=""),"",SUMIFS('All Donations'!$S$2:$S$4001,'All Donations'!$R$2:$R$4001,$AD355,'All Donations'!$T$2:$T$4001,K$1))</f>
        <v/>
      </c>
      <c r="L355" s="49">
        <f>IF(OR($AE355&lt;&gt;1,L$1=""),"",SUMIFS('All Donations'!$S$2:$S$4001,'All Donations'!$R$2:$R$4001,$AD355,'All Donations'!$T$2:$T$4001,L$1))</f>
        <v/>
      </c>
      <c r="M355" s="49">
        <f>IF(OR($AE355&lt;&gt;1,M$1=""),"",SUMIFS('All Donations'!$S$2:$S$4001,'All Donations'!$R$2:$R$4001,$AD355,'All Donations'!$T$2:$T$4001,M$1))</f>
        <v/>
      </c>
      <c r="N355" s="49">
        <f>IF(OR($AE355&lt;&gt;1,N$1=""),"",SUMIFS('All Donations'!$S$2:$S$4001,'All Donations'!$R$2:$R$4001,$AD355,'All Donations'!$T$2:$T$4001,N$1))</f>
        <v/>
      </c>
      <c r="O355" s="49">
        <f>IF(OR($AE355&lt;&gt;1,O$1=""),"",SUMIFS('All Donations'!$S$2:$S$4001,'All Donations'!$R$2:$R$4001,$AD355,'All Donations'!$T$2:$T$4001,O$1))</f>
        <v/>
      </c>
      <c r="P355" s="49">
        <f>IF(OR($AE355&lt;&gt;1,P$1=""),"",SUMIFS('All Donations'!$S$2:$S$4001,'All Donations'!$R$2:$R$4001,$AD355,'All Donations'!$T$2:$T$4001,P$1))</f>
        <v/>
      </c>
      <c r="Q355" s="49">
        <f>IF(OR($AE355&lt;&gt;1,Q$1=""),"",SUMIFS('All Donations'!$S$2:$S$4001,'All Donations'!$R$2:$R$4001,$AD355,'All Donations'!$T$2:$T$4001,Q$1))</f>
        <v/>
      </c>
      <c r="R355" s="49">
        <f>IF(OR($AE355&lt;&gt;1,R$1=""),"",SUMIFS('All Donations'!$S$2:$S$4001,'All Donations'!$R$2:$R$4001,$AD355,'All Donations'!$T$2:$T$4001,R$1))</f>
        <v/>
      </c>
      <c r="S355" s="49">
        <f>IF(OR($AE355&lt;&gt;1,S$1=""),"",SUMIFS('All Donations'!$S$2:$S$4001,'All Donations'!$R$2:$R$4001,$AD355,'All Donations'!$T$2:$T$4001,S$1))</f>
        <v/>
      </c>
      <c r="T355" s="49">
        <f>IF(OR($AE355&lt;&gt;1,T$1=""),"",SUMIFS('All Donations'!$S$2:$S$4001,'All Donations'!$R$2:$R$4001,$AD355,'All Donations'!$T$2:$T$4001,T$1))</f>
        <v/>
      </c>
      <c r="U355" s="49">
        <f>IF(OR($AE355&lt;&gt;1,U$1=""),"",SUMIFS('All Donations'!$S$2:$S$4001,'All Donations'!$R$2:$R$4001,$AD355,'All Donations'!$T$2:$T$4001,U$1))</f>
        <v/>
      </c>
      <c r="V355" s="49">
        <f>IF(OR($AE355&lt;&gt;1,V$1=""),"",SUMIFS('All Donations'!$S$2:$S$4001,'All Donations'!$R$2:$R$4001,$AD355,'All Donations'!$T$2:$T$4001,V$1))</f>
        <v/>
      </c>
      <c r="W355" s="49">
        <f>IF(OR($AE355&lt;&gt;1,W$1=""),"",SUMIFS('All Donations'!$S$2:$S$4001,'All Donations'!$R$2:$R$4001,$AD355,'All Donations'!$T$2:$T$4001,W$1))</f>
        <v/>
      </c>
      <c r="X355" s="49">
        <f>IF(OR($AE355&lt;&gt;1,X$1=""),"",SUMIFS('All Donations'!$S$2:$S$4001,'All Donations'!$R$2:$R$4001,$AD355,'All Donations'!$T$2:$T$4001,X$1))</f>
        <v/>
      </c>
      <c r="Y355" s="49">
        <f>IF(OR($AE355&lt;&gt;1,Y$1=""),"",SUMIFS('All Donations'!$S$2:$S$4001,'All Donations'!$R$2:$R$4001,$AD355,'All Donations'!$T$2:$T$4001,Y$1))</f>
        <v/>
      </c>
      <c r="Z355" s="49">
        <f>IF(OR($AE355&lt;&gt;1,Z$1=""),"",SUMIFS('All Donations'!$S$2:$S$4001,'All Donations'!$R$2:$R$4001,$AD355,'All Donations'!$T$2:$T$4001,Z$1))</f>
        <v/>
      </c>
      <c r="AA355" s="49">
        <f>IF(OR($AE355&lt;&gt;1,AA$1=""),"",SUMIFS('All Donations'!$S$2:$S$4001,'All Donations'!$R$2:$R$4001,$AD355,'All Donations'!$T$2:$T$4001,AA$1))</f>
        <v/>
      </c>
      <c r="AB355" s="49">
        <f>IF(OR($AE355&lt;&gt;1,AB$1=""),"",SUMIFS('All Donations'!$S$2:$S$4001,'All Donations'!$R$2:$R$4001,$AD355,'All Donations'!$T$2:$T$4001,AB$1))</f>
        <v/>
      </c>
      <c r="AC355" s="49">
        <f>IF(OR($AE355&lt;&gt;1,AC$1=""),"",SUMIFS('All Donations'!$S$2:$S$4001,'All Donations'!$R$2:$R$4001,$AD355,'All Donations'!$T$2:$T$4001,AC$1))</f>
        <v/>
      </c>
      <c r="AD355">
        <f>IF(AE355=1,'Roster'!A355,"")</f>
        <v/>
      </c>
      <c r="AE355">
        <f>IF(TRIM('Roster'!B355&amp;'Roster'!C355)&lt;&gt;"",1,0)</f>
        <v/>
      </c>
      <c r="AF355">
        <f>IF(AE355=1,LOWER(A355),"#")</f>
        <v/>
      </c>
      <c r="AG355">
        <f>IF(AE355=1,LOWER(TRIM(TRIM('Roster'!C355)&amp;", "&amp;TRIM('Roster'!B355))),"#")</f>
        <v/>
      </c>
      <c r="AH355">
        <f>IF(AND(AE355=1,TRIM('Roster'!F355)&lt;&gt;""),LOWER(TRIM('Roster'!F355)),"#")</f>
        <v/>
      </c>
      <c r="AI355">
        <f>IF(AE355=1,IF(MATCH(B355,$B$2:$B$701,0)=ROW()-1,1,0),0)</f>
        <v/>
      </c>
      <c r="AJ355">
        <f>AJ354+AI355</f>
        <v/>
      </c>
      <c r="AK355">
        <f>IF(AE355=1,D355+(1000-ROW())/10^7,-1)</f>
        <v/>
      </c>
      <c r="AL355">
        <f>IF(AE355=1,TRIM('Roster'!B355)&amp;" "&amp;LEFT(TRIM('Roster'!C355),1)&amp;".","")</f>
        <v/>
      </c>
      <c r="AM355">
        <f>IF(AE355=1,TRIM('Roster'!C355)&amp;", "&amp;TRIM('Roster'!B355)&amp;" ("&amp;B355&amp;") #"&amp;AD355,"")</f>
        <v/>
      </c>
      <c r="AN355">
        <f>IF(AE355=1,TRIM('Roster'!E355),"")</f>
        <v/>
      </c>
      <c r="AO355">
        <f>IF(AE355=1,ROUND(SUMIFS('All Donations'!$S$2:$S$4001,'All Donations'!$R$2:$R$4001,AD355,'All Donations'!$T$2:$T$4001,"&gt;="&amp;'Settings'!$C$23,'All Donations'!$T$2:$T$4001,"&lt;="&amp;'Settings'!$D$23),2),0)</f>
        <v/>
      </c>
      <c r="AQ355">
        <f>IF(AE355=1,ROUND(SUMIFS('All Donations'!$S$2:$S$4001,'All Donations'!$R$2:$R$4001,AD355,'All Donations'!$T$2:$T$4001,"&gt;="&amp;'Settings'!$C$25,'All Donations'!$T$2:$T$4001,"&lt;="&amp;'Settings'!$D$25),2),0)</f>
        <v/>
      </c>
      <c r="AR355">
        <f>IF(AE355=1,ROUND(SUMIFS('All Donations'!$S$2:$S$4001,'All Donations'!$R$2:$R$4001,AD355,'All Donations'!$T$2:$T$4001,"&gt;="&amp;'Settings'!$C$26,'All Donations'!$T$2:$T$4001,"&lt;="&amp;'Settings'!$D$26),2),0)</f>
        <v/>
      </c>
      <c r="AS355">
        <f>IF(AE355=1,ROUND(SUMIFS('All Donations'!$S$2:$S$4001,'All Donations'!$R$2:$R$4001,AD355,'All Donations'!$T$2:$T$4001,"&lt;="&amp;'Settings'!$D$27),2),0)</f>
        <v/>
      </c>
      <c r="AT355">
        <f>IF(AE355=1,ROUND(SUMIFS('All Donations'!$S$2:$S$4001,'All Donations'!$R$2:$R$4001,AD355,'All Donations'!$T$2:$T$4001,"&gt;="&amp;'Settings'!$C$28,'All Donations'!$T$2:$T$4001,"&lt;="&amp;'Settings'!$D$28),2),0)</f>
        <v/>
      </c>
      <c r="AU355">
        <f>IF(AE355=1,ROUND(SUMIFS('All Donations'!$S$2:$S$4001,'All Donations'!$R$2:$R$4001,AD355,'All Donations'!$T$2:$T$4001,"&gt;="&amp;'Settings'!$C$29,'All Donations'!$T$2:$T$4001,"&lt;="&amp;'Settings'!$D$29),2),0)</f>
        <v/>
      </c>
      <c r="AV355">
        <f>IF(AE355=1,ROUND(SUMIFS('All Donations'!$S$2:$S$4001,'All Donations'!$R$2:$R$4001,AD355,'All Donations'!$T$2:$T$4001,"&lt;="&amp;'Settings'!$D$30),2),0)</f>
        <v/>
      </c>
      <c r="AZ355">
        <f>IF(AE355=1,ROUND(SUMIFS('All Donations'!$S$2:$S$4001,'All Donations'!$R$2:$R$4001,AD355,'All Donations'!$T$2:$T$4001,"&lt;="&amp;'Settings'!$D$34),2),0)</f>
        <v/>
      </c>
    </row>
    <row r="356">
      <c r="A356">
        <f>IF(AE356=1,TRIM(TRIM('Roster'!B356)&amp;" "&amp;TRIM('Roster'!C356)),"")</f>
        <v/>
      </c>
      <c r="B356">
        <f>IF(AE356=1,IF(AN356="","(no teacher)",AN356&amp;" – "&amp;C356),"")</f>
        <v/>
      </c>
      <c r="C356">
        <f>IF(AE356=1,TRIM('Roster'!D356&amp;""),"")</f>
        <v/>
      </c>
      <c r="D356" s="48">
        <f>IF(AE356=1,ROUND(SUMIFS('All Donations'!$S$2:$S$4001,'All Donations'!$R$2:$R$4001,AD356),2),"")</f>
        <v/>
      </c>
      <c r="E356" s="48">
        <f>IF(AE356=1,ROUND(SUMIFS('All Donations'!$S$2:$S$4001,'All Donations'!$R$2:$R$4001,AD356,'All Donations'!$G$2:$G$4001,"OneCause"),2),"")</f>
        <v/>
      </c>
      <c r="F356" s="48">
        <f>IF(AE356=1,D356-E356,"")</f>
        <v/>
      </c>
      <c r="G356">
        <f>IF(AE356=1,COUNTIFS('All Donations'!$R$2:$R$4001,AD356,'All Donations'!$H$2:$H$4001,"OK"),"")</f>
        <v/>
      </c>
      <c r="H356">
        <f>IF(AE356&lt;&gt;1,"",IF(D356&gt;0,"Yes",""))</f>
        <v/>
      </c>
      <c r="I356" s="49">
        <f>IF(OR($AE356&lt;&gt;1,I$1=""),"",SUMIFS('All Donations'!$S$2:$S$4001,'All Donations'!$R$2:$R$4001,$AD356,'All Donations'!$T$2:$T$4001,I$1))</f>
        <v/>
      </c>
      <c r="J356" s="49">
        <f>IF(OR($AE356&lt;&gt;1,J$1=""),"",SUMIFS('All Donations'!$S$2:$S$4001,'All Donations'!$R$2:$R$4001,$AD356,'All Donations'!$T$2:$T$4001,J$1))</f>
        <v/>
      </c>
      <c r="K356" s="49">
        <f>IF(OR($AE356&lt;&gt;1,K$1=""),"",SUMIFS('All Donations'!$S$2:$S$4001,'All Donations'!$R$2:$R$4001,$AD356,'All Donations'!$T$2:$T$4001,K$1))</f>
        <v/>
      </c>
      <c r="L356" s="49">
        <f>IF(OR($AE356&lt;&gt;1,L$1=""),"",SUMIFS('All Donations'!$S$2:$S$4001,'All Donations'!$R$2:$R$4001,$AD356,'All Donations'!$T$2:$T$4001,L$1))</f>
        <v/>
      </c>
      <c r="M356" s="49">
        <f>IF(OR($AE356&lt;&gt;1,M$1=""),"",SUMIFS('All Donations'!$S$2:$S$4001,'All Donations'!$R$2:$R$4001,$AD356,'All Donations'!$T$2:$T$4001,M$1))</f>
        <v/>
      </c>
      <c r="N356" s="49">
        <f>IF(OR($AE356&lt;&gt;1,N$1=""),"",SUMIFS('All Donations'!$S$2:$S$4001,'All Donations'!$R$2:$R$4001,$AD356,'All Donations'!$T$2:$T$4001,N$1))</f>
        <v/>
      </c>
      <c r="O356" s="49">
        <f>IF(OR($AE356&lt;&gt;1,O$1=""),"",SUMIFS('All Donations'!$S$2:$S$4001,'All Donations'!$R$2:$R$4001,$AD356,'All Donations'!$T$2:$T$4001,O$1))</f>
        <v/>
      </c>
      <c r="P356" s="49">
        <f>IF(OR($AE356&lt;&gt;1,P$1=""),"",SUMIFS('All Donations'!$S$2:$S$4001,'All Donations'!$R$2:$R$4001,$AD356,'All Donations'!$T$2:$T$4001,P$1))</f>
        <v/>
      </c>
      <c r="Q356" s="49">
        <f>IF(OR($AE356&lt;&gt;1,Q$1=""),"",SUMIFS('All Donations'!$S$2:$S$4001,'All Donations'!$R$2:$R$4001,$AD356,'All Donations'!$T$2:$T$4001,Q$1))</f>
        <v/>
      </c>
      <c r="R356" s="49">
        <f>IF(OR($AE356&lt;&gt;1,R$1=""),"",SUMIFS('All Donations'!$S$2:$S$4001,'All Donations'!$R$2:$R$4001,$AD356,'All Donations'!$T$2:$T$4001,R$1))</f>
        <v/>
      </c>
      <c r="S356" s="49">
        <f>IF(OR($AE356&lt;&gt;1,S$1=""),"",SUMIFS('All Donations'!$S$2:$S$4001,'All Donations'!$R$2:$R$4001,$AD356,'All Donations'!$T$2:$T$4001,S$1))</f>
        <v/>
      </c>
      <c r="T356" s="49">
        <f>IF(OR($AE356&lt;&gt;1,T$1=""),"",SUMIFS('All Donations'!$S$2:$S$4001,'All Donations'!$R$2:$R$4001,$AD356,'All Donations'!$T$2:$T$4001,T$1))</f>
        <v/>
      </c>
      <c r="U356" s="49">
        <f>IF(OR($AE356&lt;&gt;1,U$1=""),"",SUMIFS('All Donations'!$S$2:$S$4001,'All Donations'!$R$2:$R$4001,$AD356,'All Donations'!$T$2:$T$4001,U$1))</f>
        <v/>
      </c>
      <c r="V356" s="49">
        <f>IF(OR($AE356&lt;&gt;1,V$1=""),"",SUMIFS('All Donations'!$S$2:$S$4001,'All Donations'!$R$2:$R$4001,$AD356,'All Donations'!$T$2:$T$4001,V$1))</f>
        <v/>
      </c>
      <c r="W356" s="49">
        <f>IF(OR($AE356&lt;&gt;1,W$1=""),"",SUMIFS('All Donations'!$S$2:$S$4001,'All Donations'!$R$2:$R$4001,$AD356,'All Donations'!$T$2:$T$4001,W$1))</f>
        <v/>
      </c>
      <c r="X356" s="49">
        <f>IF(OR($AE356&lt;&gt;1,X$1=""),"",SUMIFS('All Donations'!$S$2:$S$4001,'All Donations'!$R$2:$R$4001,$AD356,'All Donations'!$T$2:$T$4001,X$1))</f>
        <v/>
      </c>
      <c r="Y356" s="49">
        <f>IF(OR($AE356&lt;&gt;1,Y$1=""),"",SUMIFS('All Donations'!$S$2:$S$4001,'All Donations'!$R$2:$R$4001,$AD356,'All Donations'!$T$2:$T$4001,Y$1))</f>
        <v/>
      </c>
      <c r="Z356" s="49">
        <f>IF(OR($AE356&lt;&gt;1,Z$1=""),"",SUMIFS('All Donations'!$S$2:$S$4001,'All Donations'!$R$2:$R$4001,$AD356,'All Donations'!$T$2:$T$4001,Z$1))</f>
        <v/>
      </c>
      <c r="AA356" s="49">
        <f>IF(OR($AE356&lt;&gt;1,AA$1=""),"",SUMIFS('All Donations'!$S$2:$S$4001,'All Donations'!$R$2:$R$4001,$AD356,'All Donations'!$T$2:$T$4001,AA$1))</f>
        <v/>
      </c>
      <c r="AB356" s="49">
        <f>IF(OR($AE356&lt;&gt;1,AB$1=""),"",SUMIFS('All Donations'!$S$2:$S$4001,'All Donations'!$R$2:$R$4001,$AD356,'All Donations'!$T$2:$T$4001,AB$1))</f>
        <v/>
      </c>
      <c r="AC356" s="49">
        <f>IF(OR($AE356&lt;&gt;1,AC$1=""),"",SUMIFS('All Donations'!$S$2:$S$4001,'All Donations'!$R$2:$R$4001,$AD356,'All Donations'!$T$2:$T$4001,AC$1))</f>
        <v/>
      </c>
      <c r="AD356">
        <f>IF(AE356=1,'Roster'!A356,"")</f>
        <v/>
      </c>
      <c r="AE356">
        <f>IF(TRIM('Roster'!B356&amp;'Roster'!C356)&lt;&gt;"",1,0)</f>
        <v/>
      </c>
      <c r="AF356">
        <f>IF(AE356=1,LOWER(A356),"#")</f>
        <v/>
      </c>
      <c r="AG356">
        <f>IF(AE356=1,LOWER(TRIM(TRIM('Roster'!C356)&amp;", "&amp;TRIM('Roster'!B356))),"#")</f>
        <v/>
      </c>
      <c r="AH356">
        <f>IF(AND(AE356=1,TRIM('Roster'!F356)&lt;&gt;""),LOWER(TRIM('Roster'!F356)),"#")</f>
        <v/>
      </c>
      <c r="AI356">
        <f>IF(AE356=1,IF(MATCH(B356,$B$2:$B$701,0)=ROW()-1,1,0),0)</f>
        <v/>
      </c>
      <c r="AJ356">
        <f>AJ355+AI356</f>
        <v/>
      </c>
      <c r="AK356">
        <f>IF(AE356=1,D356+(1000-ROW())/10^7,-1)</f>
        <v/>
      </c>
      <c r="AL356">
        <f>IF(AE356=1,TRIM('Roster'!B356)&amp;" "&amp;LEFT(TRIM('Roster'!C356),1)&amp;".","")</f>
        <v/>
      </c>
      <c r="AM356">
        <f>IF(AE356=1,TRIM('Roster'!C356)&amp;", "&amp;TRIM('Roster'!B356)&amp;" ("&amp;B356&amp;") #"&amp;AD356,"")</f>
        <v/>
      </c>
      <c r="AN356">
        <f>IF(AE356=1,TRIM('Roster'!E356),"")</f>
        <v/>
      </c>
      <c r="AO356">
        <f>IF(AE356=1,ROUND(SUMIFS('All Donations'!$S$2:$S$4001,'All Donations'!$R$2:$R$4001,AD356,'All Donations'!$T$2:$T$4001,"&gt;="&amp;'Settings'!$C$23,'All Donations'!$T$2:$T$4001,"&lt;="&amp;'Settings'!$D$23),2),0)</f>
        <v/>
      </c>
      <c r="AQ356">
        <f>IF(AE356=1,ROUND(SUMIFS('All Donations'!$S$2:$S$4001,'All Donations'!$R$2:$R$4001,AD356,'All Donations'!$T$2:$T$4001,"&gt;="&amp;'Settings'!$C$25,'All Donations'!$T$2:$T$4001,"&lt;="&amp;'Settings'!$D$25),2),0)</f>
        <v/>
      </c>
      <c r="AR356">
        <f>IF(AE356=1,ROUND(SUMIFS('All Donations'!$S$2:$S$4001,'All Donations'!$R$2:$R$4001,AD356,'All Donations'!$T$2:$T$4001,"&gt;="&amp;'Settings'!$C$26,'All Donations'!$T$2:$T$4001,"&lt;="&amp;'Settings'!$D$26),2),0)</f>
        <v/>
      </c>
      <c r="AS356">
        <f>IF(AE356=1,ROUND(SUMIFS('All Donations'!$S$2:$S$4001,'All Donations'!$R$2:$R$4001,AD356,'All Donations'!$T$2:$T$4001,"&lt;="&amp;'Settings'!$D$27),2),0)</f>
        <v/>
      </c>
      <c r="AT356">
        <f>IF(AE356=1,ROUND(SUMIFS('All Donations'!$S$2:$S$4001,'All Donations'!$R$2:$R$4001,AD356,'All Donations'!$T$2:$T$4001,"&gt;="&amp;'Settings'!$C$28,'All Donations'!$T$2:$T$4001,"&lt;="&amp;'Settings'!$D$28),2),0)</f>
        <v/>
      </c>
      <c r="AU356">
        <f>IF(AE356=1,ROUND(SUMIFS('All Donations'!$S$2:$S$4001,'All Donations'!$R$2:$R$4001,AD356,'All Donations'!$T$2:$T$4001,"&gt;="&amp;'Settings'!$C$29,'All Donations'!$T$2:$T$4001,"&lt;="&amp;'Settings'!$D$29),2),0)</f>
        <v/>
      </c>
      <c r="AV356">
        <f>IF(AE356=1,ROUND(SUMIFS('All Donations'!$S$2:$S$4001,'All Donations'!$R$2:$R$4001,AD356,'All Donations'!$T$2:$T$4001,"&lt;="&amp;'Settings'!$D$30),2),0)</f>
        <v/>
      </c>
      <c r="AZ356">
        <f>IF(AE356=1,ROUND(SUMIFS('All Donations'!$S$2:$S$4001,'All Donations'!$R$2:$R$4001,AD356,'All Donations'!$T$2:$T$4001,"&lt;="&amp;'Settings'!$D$34),2),0)</f>
        <v/>
      </c>
    </row>
    <row r="357">
      <c r="A357">
        <f>IF(AE357=1,TRIM(TRIM('Roster'!B357)&amp;" "&amp;TRIM('Roster'!C357)),"")</f>
        <v/>
      </c>
      <c r="B357">
        <f>IF(AE357=1,IF(AN357="","(no teacher)",AN357&amp;" – "&amp;C357),"")</f>
        <v/>
      </c>
      <c r="C357">
        <f>IF(AE357=1,TRIM('Roster'!D357&amp;""),"")</f>
        <v/>
      </c>
      <c r="D357" s="48">
        <f>IF(AE357=1,ROUND(SUMIFS('All Donations'!$S$2:$S$4001,'All Donations'!$R$2:$R$4001,AD357),2),"")</f>
        <v/>
      </c>
      <c r="E357" s="48">
        <f>IF(AE357=1,ROUND(SUMIFS('All Donations'!$S$2:$S$4001,'All Donations'!$R$2:$R$4001,AD357,'All Donations'!$G$2:$G$4001,"OneCause"),2),"")</f>
        <v/>
      </c>
      <c r="F357" s="48">
        <f>IF(AE357=1,D357-E357,"")</f>
        <v/>
      </c>
      <c r="G357">
        <f>IF(AE357=1,COUNTIFS('All Donations'!$R$2:$R$4001,AD357,'All Donations'!$H$2:$H$4001,"OK"),"")</f>
        <v/>
      </c>
      <c r="H357">
        <f>IF(AE357&lt;&gt;1,"",IF(D357&gt;0,"Yes",""))</f>
        <v/>
      </c>
      <c r="I357" s="49">
        <f>IF(OR($AE357&lt;&gt;1,I$1=""),"",SUMIFS('All Donations'!$S$2:$S$4001,'All Donations'!$R$2:$R$4001,$AD357,'All Donations'!$T$2:$T$4001,I$1))</f>
        <v/>
      </c>
      <c r="J357" s="49">
        <f>IF(OR($AE357&lt;&gt;1,J$1=""),"",SUMIFS('All Donations'!$S$2:$S$4001,'All Donations'!$R$2:$R$4001,$AD357,'All Donations'!$T$2:$T$4001,J$1))</f>
        <v/>
      </c>
      <c r="K357" s="49">
        <f>IF(OR($AE357&lt;&gt;1,K$1=""),"",SUMIFS('All Donations'!$S$2:$S$4001,'All Donations'!$R$2:$R$4001,$AD357,'All Donations'!$T$2:$T$4001,K$1))</f>
        <v/>
      </c>
      <c r="L357" s="49">
        <f>IF(OR($AE357&lt;&gt;1,L$1=""),"",SUMIFS('All Donations'!$S$2:$S$4001,'All Donations'!$R$2:$R$4001,$AD357,'All Donations'!$T$2:$T$4001,L$1))</f>
        <v/>
      </c>
      <c r="M357" s="49">
        <f>IF(OR($AE357&lt;&gt;1,M$1=""),"",SUMIFS('All Donations'!$S$2:$S$4001,'All Donations'!$R$2:$R$4001,$AD357,'All Donations'!$T$2:$T$4001,M$1))</f>
        <v/>
      </c>
      <c r="N357" s="49">
        <f>IF(OR($AE357&lt;&gt;1,N$1=""),"",SUMIFS('All Donations'!$S$2:$S$4001,'All Donations'!$R$2:$R$4001,$AD357,'All Donations'!$T$2:$T$4001,N$1))</f>
        <v/>
      </c>
      <c r="O357" s="49">
        <f>IF(OR($AE357&lt;&gt;1,O$1=""),"",SUMIFS('All Donations'!$S$2:$S$4001,'All Donations'!$R$2:$R$4001,$AD357,'All Donations'!$T$2:$T$4001,O$1))</f>
        <v/>
      </c>
      <c r="P357" s="49">
        <f>IF(OR($AE357&lt;&gt;1,P$1=""),"",SUMIFS('All Donations'!$S$2:$S$4001,'All Donations'!$R$2:$R$4001,$AD357,'All Donations'!$T$2:$T$4001,P$1))</f>
        <v/>
      </c>
      <c r="Q357" s="49">
        <f>IF(OR($AE357&lt;&gt;1,Q$1=""),"",SUMIFS('All Donations'!$S$2:$S$4001,'All Donations'!$R$2:$R$4001,$AD357,'All Donations'!$T$2:$T$4001,Q$1))</f>
        <v/>
      </c>
      <c r="R357" s="49">
        <f>IF(OR($AE357&lt;&gt;1,R$1=""),"",SUMIFS('All Donations'!$S$2:$S$4001,'All Donations'!$R$2:$R$4001,$AD357,'All Donations'!$T$2:$T$4001,R$1))</f>
        <v/>
      </c>
      <c r="S357" s="49">
        <f>IF(OR($AE357&lt;&gt;1,S$1=""),"",SUMIFS('All Donations'!$S$2:$S$4001,'All Donations'!$R$2:$R$4001,$AD357,'All Donations'!$T$2:$T$4001,S$1))</f>
        <v/>
      </c>
      <c r="T357" s="49">
        <f>IF(OR($AE357&lt;&gt;1,T$1=""),"",SUMIFS('All Donations'!$S$2:$S$4001,'All Donations'!$R$2:$R$4001,$AD357,'All Donations'!$T$2:$T$4001,T$1))</f>
        <v/>
      </c>
      <c r="U357" s="49">
        <f>IF(OR($AE357&lt;&gt;1,U$1=""),"",SUMIFS('All Donations'!$S$2:$S$4001,'All Donations'!$R$2:$R$4001,$AD357,'All Donations'!$T$2:$T$4001,U$1))</f>
        <v/>
      </c>
      <c r="V357" s="49">
        <f>IF(OR($AE357&lt;&gt;1,V$1=""),"",SUMIFS('All Donations'!$S$2:$S$4001,'All Donations'!$R$2:$R$4001,$AD357,'All Donations'!$T$2:$T$4001,V$1))</f>
        <v/>
      </c>
      <c r="W357" s="49">
        <f>IF(OR($AE357&lt;&gt;1,W$1=""),"",SUMIFS('All Donations'!$S$2:$S$4001,'All Donations'!$R$2:$R$4001,$AD357,'All Donations'!$T$2:$T$4001,W$1))</f>
        <v/>
      </c>
      <c r="X357" s="49">
        <f>IF(OR($AE357&lt;&gt;1,X$1=""),"",SUMIFS('All Donations'!$S$2:$S$4001,'All Donations'!$R$2:$R$4001,$AD357,'All Donations'!$T$2:$T$4001,X$1))</f>
        <v/>
      </c>
      <c r="Y357" s="49">
        <f>IF(OR($AE357&lt;&gt;1,Y$1=""),"",SUMIFS('All Donations'!$S$2:$S$4001,'All Donations'!$R$2:$R$4001,$AD357,'All Donations'!$T$2:$T$4001,Y$1))</f>
        <v/>
      </c>
      <c r="Z357" s="49">
        <f>IF(OR($AE357&lt;&gt;1,Z$1=""),"",SUMIFS('All Donations'!$S$2:$S$4001,'All Donations'!$R$2:$R$4001,$AD357,'All Donations'!$T$2:$T$4001,Z$1))</f>
        <v/>
      </c>
      <c r="AA357" s="49">
        <f>IF(OR($AE357&lt;&gt;1,AA$1=""),"",SUMIFS('All Donations'!$S$2:$S$4001,'All Donations'!$R$2:$R$4001,$AD357,'All Donations'!$T$2:$T$4001,AA$1))</f>
        <v/>
      </c>
      <c r="AB357" s="49">
        <f>IF(OR($AE357&lt;&gt;1,AB$1=""),"",SUMIFS('All Donations'!$S$2:$S$4001,'All Donations'!$R$2:$R$4001,$AD357,'All Donations'!$T$2:$T$4001,AB$1))</f>
        <v/>
      </c>
      <c r="AC357" s="49">
        <f>IF(OR($AE357&lt;&gt;1,AC$1=""),"",SUMIFS('All Donations'!$S$2:$S$4001,'All Donations'!$R$2:$R$4001,$AD357,'All Donations'!$T$2:$T$4001,AC$1))</f>
        <v/>
      </c>
      <c r="AD357">
        <f>IF(AE357=1,'Roster'!A357,"")</f>
        <v/>
      </c>
      <c r="AE357">
        <f>IF(TRIM('Roster'!B357&amp;'Roster'!C357)&lt;&gt;"",1,0)</f>
        <v/>
      </c>
      <c r="AF357">
        <f>IF(AE357=1,LOWER(A357),"#")</f>
        <v/>
      </c>
      <c r="AG357">
        <f>IF(AE357=1,LOWER(TRIM(TRIM('Roster'!C357)&amp;", "&amp;TRIM('Roster'!B357))),"#")</f>
        <v/>
      </c>
      <c r="AH357">
        <f>IF(AND(AE357=1,TRIM('Roster'!F357)&lt;&gt;""),LOWER(TRIM('Roster'!F357)),"#")</f>
        <v/>
      </c>
      <c r="AI357">
        <f>IF(AE357=1,IF(MATCH(B357,$B$2:$B$701,0)=ROW()-1,1,0),0)</f>
        <v/>
      </c>
      <c r="AJ357">
        <f>AJ356+AI357</f>
        <v/>
      </c>
      <c r="AK357">
        <f>IF(AE357=1,D357+(1000-ROW())/10^7,-1)</f>
        <v/>
      </c>
      <c r="AL357">
        <f>IF(AE357=1,TRIM('Roster'!B357)&amp;" "&amp;LEFT(TRIM('Roster'!C357),1)&amp;".","")</f>
        <v/>
      </c>
      <c r="AM357">
        <f>IF(AE357=1,TRIM('Roster'!C357)&amp;", "&amp;TRIM('Roster'!B357)&amp;" ("&amp;B357&amp;") #"&amp;AD357,"")</f>
        <v/>
      </c>
      <c r="AN357">
        <f>IF(AE357=1,TRIM('Roster'!E357),"")</f>
        <v/>
      </c>
      <c r="AO357">
        <f>IF(AE357=1,ROUND(SUMIFS('All Donations'!$S$2:$S$4001,'All Donations'!$R$2:$R$4001,AD357,'All Donations'!$T$2:$T$4001,"&gt;="&amp;'Settings'!$C$23,'All Donations'!$T$2:$T$4001,"&lt;="&amp;'Settings'!$D$23),2),0)</f>
        <v/>
      </c>
      <c r="AQ357">
        <f>IF(AE357=1,ROUND(SUMIFS('All Donations'!$S$2:$S$4001,'All Donations'!$R$2:$R$4001,AD357,'All Donations'!$T$2:$T$4001,"&gt;="&amp;'Settings'!$C$25,'All Donations'!$T$2:$T$4001,"&lt;="&amp;'Settings'!$D$25),2),0)</f>
        <v/>
      </c>
      <c r="AR357">
        <f>IF(AE357=1,ROUND(SUMIFS('All Donations'!$S$2:$S$4001,'All Donations'!$R$2:$R$4001,AD357,'All Donations'!$T$2:$T$4001,"&gt;="&amp;'Settings'!$C$26,'All Donations'!$T$2:$T$4001,"&lt;="&amp;'Settings'!$D$26),2),0)</f>
        <v/>
      </c>
      <c r="AS357">
        <f>IF(AE357=1,ROUND(SUMIFS('All Donations'!$S$2:$S$4001,'All Donations'!$R$2:$R$4001,AD357,'All Donations'!$T$2:$T$4001,"&lt;="&amp;'Settings'!$D$27),2),0)</f>
        <v/>
      </c>
      <c r="AT357">
        <f>IF(AE357=1,ROUND(SUMIFS('All Donations'!$S$2:$S$4001,'All Donations'!$R$2:$R$4001,AD357,'All Donations'!$T$2:$T$4001,"&gt;="&amp;'Settings'!$C$28,'All Donations'!$T$2:$T$4001,"&lt;="&amp;'Settings'!$D$28),2),0)</f>
        <v/>
      </c>
      <c r="AU357">
        <f>IF(AE357=1,ROUND(SUMIFS('All Donations'!$S$2:$S$4001,'All Donations'!$R$2:$R$4001,AD357,'All Donations'!$T$2:$T$4001,"&gt;="&amp;'Settings'!$C$29,'All Donations'!$T$2:$T$4001,"&lt;="&amp;'Settings'!$D$29),2),0)</f>
        <v/>
      </c>
      <c r="AV357">
        <f>IF(AE357=1,ROUND(SUMIFS('All Donations'!$S$2:$S$4001,'All Donations'!$R$2:$R$4001,AD357,'All Donations'!$T$2:$T$4001,"&lt;="&amp;'Settings'!$D$30),2),0)</f>
        <v/>
      </c>
      <c r="AZ357">
        <f>IF(AE357=1,ROUND(SUMIFS('All Donations'!$S$2:$S$4001,'All Donations'!$R$2:$R$4001,AD357,'All Donations'!$T$2:$T$4001,"&lt;="&amp;'Settings'!$D$34),2),0)</f>
        <v/>
      </c>
    </row>
    <row r="358">
      <c r="A358">
        <f>IF(AE358=1,TRIM(TRIM('Roster'!B358)&amp;" "&amp;TRIM('Roster'!C358)),"")</f>
        <v/>
      </c>
      <c r="B358">
        <f>IF(AE358=1,IF(AN358="","(no teacher)",AN358&amp;" – "&amp;C358),"")</f>
        <v/>
      </c>
      <c r="C358">
        <f>IF(AE358=1,TRIM('Roster'!D358&amp;""),"")</f>
        <v/>
      </c>
      <c r="D358" s="48">
        <f>IF(AE358=1,ROUND(SUMIFS('All Donations'!$S$2:$S$4001,'All Donations'!$R$2:$R$4001,AD358),2),"")</f>
        <v/>
      </c>
      <c r="E358" s="48">
        <f>IF(AE358=1,ROUND(SUMIFS('All Donations'!$S$2:$S$4001,'All Donations'!$R$2:$R$4001,AD358,'All Donations'!$G$2:$G$4001,"OneCause"),2),"")</f>
        <v/>
      </c>
      <c r="F358" s="48">
        <f>IF(AE358=1,D358-E358,"")</f>
        <v/>
      </c>
      <c r="G358">
        <f>IF(AE358=1,COUNTIFS('All Donations'!$R$2:$R$4001,AD358,'All Donations'!$H$2:$H$4001,"OK"),"")</f>
        <v/>
      </c>
      <c r="H358">
        <f>IF(AE358&lt;&gt;1,"",IF(D358&gt;0,"Yes",""))</f>
        <v/>
      </c>
      <c r="I358" s="49">
        <f>IF(OR($AE358&lt;&gt;1,I$1=""),"",SUMIFS('All Donations'!$S$2:$S$4001,'All Donations'!$R$2:$R$4001,$AD358,'All Donations'!$T$2:$T$4001,I$1))</f>
        <v/>
      </c>
      <c r="J358" s="49">
        <f>IF(OR($AE358&lt;&gt;1,J$1=""),"",SUMIFS('All Donations'!$S$2:$S$4001,'All Donations'!$R$2:$R$4001,$AD358,'All Donations'!$T$2:$T$4001,J$1))</f>
        <v/>
      </c>
      <c r="K358" s="49">
        <f>IF(OR($AE358&lt;&gt;1,K$1=""),"",SUMIFS('All Donations'!$S$2:$S$4001,'All Donations'!$R$2:$R$4001,$AD358,'All Donations'!$T$2:$T$4001,K$1))</f>
        <v/>
      </c>
      <c r="L358" s="49">
        <f>IF(OR($AE358&lt;&gt;1,L$1=""),"",SUMIFS('All Donations'!$S$2:$S$4001,'All Donations'!$R$2:$R$4001,$AD358,'All Donations'!$T$2:$T$4001,L$1))</f>
        <v/>
      </c>
      <c r="M358" s="49">
        <f>IF(OR($AE358&lt;&gt;1,M$1=""),"",SUMIFS('All Donations'!$S$2:$S$4001,'All Donations'!$R$2:$R$4001,$AD358,'All Donations'!$T$2:$T$4001,M$1))</f>
        <v/>
      </c>
      <c r="N358" s="49">
        <f>IF(OR($AE358&lt;&gt;1,N$1=""),"",SUMIFS('All Donations'!$S$2:$S$4001,'All Donations'!$R$2:$R$4001,$AD358,'All Donations'!$T$2:$T$4001,N$1))</f>
        <v/>
      </c>
      <c r="O358" s="49">
        <f>IF(OR($AE358&lt;&gt;1,O$1=""),"",SUMIFS('All Donations'!$S$2:$S$4001,'All Donations'!$R$2:$R$4001,$AD358,'All Donations'!$T$2:$T$4001,O$1))</f>
        <v/>
      </c>
      <c r="P358" s="49">
        <f>IF(OR($AE358&lt;&gt;1,P$1=""),"",SUMIFS('All Donations'!$S$2:$S$4001,'All Donations'!$R$2:$R$4001,$AD358,'All Donations'!$T$2:$T$4001,P$1))</f>
        <v/>
      </c>
      <c r="Q358" s="49">
        <f>IF(OR($AE358&lt;&gt;1,Q$1=""),"",SUMIFS('All Donations'!$S$2:$S$4001,'All Donations'!$R$2:$R$4001,$AD358,'All Donations'!$T$2:$T$4001,Q$1))</f>
        <v/>
      </c>
      <c r="R358" s="49">
        <f>IF(OR($AE358&lt;&gt;1,R$1=""),"",SUMIFS('All Donations'!$S$2:$S$4001,'All Donations'!$R$2:$R$4001,$AD358,'All Donations'!$T$2:$T$4001,R$1))</f>
        <v/>
      </c>
      <c r="S358" s="49">
        <f>IF(OR($AE358&lt;&gt;1,S$1=""),"",SUMIFS('All Donations'!$S$2:$S$4001,'All Donations'!$R$2:$R$4001,$AD358,'All Donations'!$T$2:$T$4001,S$1))</f>
        <v/>
      </c>
      <c r="T358" s="49">
        <f>IF(OR($AE358&lt;&gt;1,T$1=""),"",SUMIFS('All Donations'!$S$2:$S$4001,'All Donations'!$R$2:$R$4001,$AD358,'All Donations'!$T$2:$T$4001,T$1))</f>
        <v/>
      </c>
      <c r="U358" s="49">
        <f>IF(OR($AE358&lt;&gt;1,U$1=""),"",SUMIFS('All Donations'!$S$2:$S$4001,'All Donations'!$R$2:$R$4001,$AD358,'All Donations'!$T$2:$T$4001,U$1))</f>
        <v/>
      </c>
      <c r="V358" s="49">
        <f>IF(OR($AE358&lt;&gt;1,V$1=""),"",SUMIFS('All Donations'!$S$2:$S$4001,'All Donations'!$R$2:$R$4001,$AD358,'All Donations'!$T$2:$T$4001,V$1))</f>
        <v/>
      </c>
      <c r="W358" s="49">
        <f>IF(OR($AE358&lt;&gt;1,W$1=""),"",SUMIFS('All Donations'!$S$2:$S$4001,'All Donations'!$R$2:$R$4001,$AD358,'All Donations'!$T$2:$T$4001,W$1))</f>
        <v/>
      </c>
      <c r="X358" s="49">
        <f>IF(OR($AE358&lt;&gt;1,X$1=""),"",SUMIFS('All Donations'!$S$2:$S$4001,'All Donations'!$R$2:$R$4001,$AD358,'All Donations'!$T$2:$T$4001,X$1))</f>
        <v/>
      </c>
      <c r="Y358" s="49">
        <f>IF(OR($AE358&lt;&gt;1,Y$1=""),"",SUMIFS('All Donations'!$S$2:$S$4001,'All Donations'!$R$2:$R$4001,$AD358,'All Donations'!$T$2:$T$4001,Y$1))</f>
        <v/>
      </c>
      <c r="Z358" s="49">
        <f>IF(OR($AE358&lt;&gt;1,Z$1=""),"",SUMIFS('All Donations'!$S$2:$S$4001,'All Donations'!$R$2:$R$4001,$AD358,'All Donations'!$T$2:$T$4001,Z$1))</f>
        <v/>
      </c>
      <c r="AA358" s="49">
        <f>IF(OR($AE358&lt;&gt;1,AA$1=""),"",SUMIFS('All Donations'!$S$2:$S$4001,'All Donations'!$R$2:$R$4001,$AD358,'All Donations'!$T$2:$T$4001,AA$1))</f>
        <v/>
      </c>
      <c r="AB358" s="49">
        <f>IF(OR($AE358&lt;&gt;1,AB$1=""),"",SUMIFS('All Donations'!$S$2:$S$4001,'All Donations'!$R$2:$R$4001,$AD358,'All Donations'!$T$2:$T$4001,AB$1))</f>
        <v/>
      </c>
      <c r="AC358" s="49">
        <f>IF(OR($AE358&lt;&gt;1,AC$1=""),"",SUMIFS('All Donations'!$S$2:$S$4001,'All Donations'!$R$2:$R$4001,$AD358,'All Donations'!$T$2:$T$4001,AC$1))</f>
        <v/>
      </c>
      <c r="AD358">
        <f>IF(AE358=1,'Roster'!A358,"")</f>
        <v/>
      </c>
      <c r="AE358">
        <f>IF(TRIM('Roster'!B358&amp;'Roster'!C358)&lt;&gt;"",1,0)</f>
        <v/>
      </c>
      <c r="AF358">
        <f>IF(AE358=1,LOWER(A358),"#")</f>
        <v/>
      </c>
      <c r="AG358">
        <f>IF(AE358=1,LOWER(TRIM(TRIM('Roster'!C358)&amp;", "&amp;TRIM('Roster'!B358))),"#")</f>
        <v/>
      </c>
      <c r="AH358">
        <f>IF(AND(AE358=1,TRIM('Roster'!F358)&lt;&gt;""),LOWER(TRIM('Roster'!F358)),"#")</f>
        <v/>
      </c>
      <c r="AI358">
        <f>IF(AE358=1,IF(MATCH(B358,$B$2:$B$701,0)=ROW()-1,1,0),0)</f>
        <v/>
      </c>
      <c r="AJ358">
        <f>AJ357+AI358</f>
        <v/>
      </c>
      <c r="AK358">
        <f>IF(AE358=1,D358+(1000-ROW())/10^7,-1)</f>
        <v/>
      </c>
      <c r="AL358">
        <f>IF(AE358=1,TRIM('Roster'!B358)&amp;" "&amp;LEFT(TRIM('Roster'!C358),1)&amp;".","")</f>
        <v/>
      </c>
      <c r="AM358">
        <f>IF(AE358=1,TRIM('Roster'!C358)&amp;", "&amp;TRIM('Roster'!B358)&amp;" ("&amp;B358&amp;") #"&amp;AD358,"")</f>
        <v/>
      </c>
      <c r="AN358">
        <f>IF(AE358=1,TRIM('Roster'!E358),"")</f>
        <v/>
      </c>
      <c r="AO358">
        <f>IF(AE358=1,ROUND(SUMIFS('All Donations'!$S$2:$S$4001,'All Donations'!$R$2:$R$4001,AD358,'All Donations'!$T$2:$T$4001,"&gt;="&amp;'Settings'!$C$23,'All Donations'!$T$2:$T$4001,"&lt;="&amp;'Settings'!$D$23),2),0)</f>
        <v/>
      </c>
      <c r="AQ358">
        <f>IF(AE358=1,ROUND(SUMIFS('All Donations'!$S$2:$S$4001,'All Donations'!$R$2:$R$4001,AD358,'All Donations'!$T$2:$T$4001,"&gt;="&amp;'Settings'!$C$25,'All Donations'!$T$2:$T$4001,"&lt;="&amp;'Settings'!$D$25),2),0)</f>
        <v/>
      </c>
      <c r="AR358">
        <f>IF(AE358=1,ROUND(SUMIFS('All Donations'!$S$2:$S$4001,'All Donations'!$R$2:$R$4001,AD358,'All Donations'!$T$2:$T$4001,"&gt;="&amp;'Settings'!$C$26,'All Donations'!$T$2:$T$4001,"&lt;="&amp;'Settings'!$D$26),2),0)</f>
        <v/>
      </c>
      <c r="AS358">
        <f>IF(AE358=1,ROUND(SUMIFS('All Donations'!$S$2:$S$4001,'All Donations'!$R$2:$R$4001,AD358,'All Donations'!$T$2:$T$4001,"&lt;="&amp;'Settings'!$D$27),2),0)</f>
        <v/>
      </c>
      <c r="AT358">
        <f>IF(AE358=1,ROUND(SUMIFS('All Donations'!$S$2:$S$4001,'All Donations'!$R$2:$R$4001,AD358,'All Donations'!$T$2:$T$4001,"&gt;="&amp;'Settings'!$C$28,'All Donations'!$T$2:$T$4001,"&lt;="&amp;'Settings'!$D$28),2),0)</f>
        <v/>
      </c>
      <c r="AU358">
        <f>IF(AE358=1,ROUND(SUMIFS('All Donations'!$S$2:$S$4001,'All Donations'!$R$2:$R$4001,AD358,'All Donations'!$T$2:$T$4001,"&gt;="&amp;'Settings'!$C$29,'All Donations'!$T$2:$T$4001,"&lt;="&amp;'Settings'!$D$29),2),0)</f>
        <v/>
      </c>
      <c r="AV358">
        <f>IF(AE358=1,ROUND(SUMIFS('All Donations'!$S$2:$S$4001,'All Donations'!$R$2:$R$4001,AD358,'All Donations'!$T$2:$T$4001,"&lt;="&amp;'Settings'!$D$30),2),0)</f>
        <v/>
      </c>
      <c r="AZ358">
        <f>IF(AE358=1,ROUND(SUMIFS('All Donations'!$S$2:$S$4001,'All Donations'!$R$2:$R$4001,AD358,'All Donations'!$T$2:$T$4001,"&lt;="&amp;'Settings'!$D$34),2),0)</f>
        <v/>
      </c>
    </row>
    <row r="359">
      <c r="A359">
        <f>IF(AE359=1,TRIM(TRIM('Roster'!B359)&amp;" "&amp;TRIM('Roster'!C359)),"")</f>
        <v/>
      </c>
      <c r="B359">
        <f>IF(AE359=1,IF(AN359="","(no teacher)",AN359&amp;" – "&amp;C359),"")</f>
        <v/>
      </c>
      <c r="C359">
        <f>IF(AE359=1,TRIM('Roster'!D359&amp;""),"")</f>
        <v/>
      </c>
      <c r="D359" s="48">
        <f>IF(AE359=1,ROUND(SUMIFS('All Donations'!$S$2:$S$4001,'All Donations'!$R$2:$R$4001,AD359),2),"")</f>
        <v/>
      </c>
      <c r="E359" s="48">
        <f>IF(AE359=1,ROUND(SUMIFS('All Donations'!$S$2:$S$4001,'All Donations'!$R$2:$R$4001,AD359,'All Donations'!$G$2:$G$4001,"OneCause"),2),"")</f>
        <v/>
      </c>
      <c r="F359" s="48">
        <f>IF(AE359=1,D359-E359,"")</f>
        <v/>
      </c>
      <c r="G359">
        <f>IF(AE359=1,COUNTIFS('All Donations'!$R$2:$R$4001,AD359,'All Donations'!$H$2:$H$4001,"OK"),"")</f>
        <v/>
      </c>
      <c r="H359">
        <f>IF(AE359&lt;&gt;1,"",IF(D359&gt;0,"Yes",""))</f>
        <v/>
      </c>
      <c r="I359" s="49">
        <f>IF(OR($AE359&lt;&gt;1,I$1=""),"",SUMIFS('All Donations'!$S$2:$S$4001,'All Donations'!$R$2:$R$4001,$AD359,'All Donations'!$T$2:$T$4001,I$1))</f>
        <v/>
      </c>
      <c r="J359" s="49">
        <f>IF(OR($AE359&lt;&gt;1,J$1=""),"",SUMIFS('All Donations'!$S$2:$S$4001,'All Donations'!$R$2:$R$4001,$AD359,'All Donations'!$T$2:$T$4001,J$1))</f>
        <v/>
      </c>
      <c r="K359" s="49">
        <f>IF(OR($AE359&lt;&gt;1,K$1=""),"",SUMIFS('All Donations'!$S$2:$S$4001,'All Donations'!$R$2:$R$4001,$AD359,'All Donations'!$T$2:$T$4001,K$1))</f>
        <v/>
      </c>
      <c r="L359" s="49">
        <f>IF(OR($AE359&lt;&gt;1,L$1=""),"",SUMIFS('All Donations'!$S$2:$S$4001,'All Donations'!$R$2:$R$4001,$AD359,'All Donations'!$T$2:$T$4001,L$1))</f>
        <v/>
      </c>
      <c r="M359" s="49">
        <f>IF(OR($AE359&lt;&gt;1,M$1=""),"",SUMIFS('All Donations'!$S$2:$S$4001,'All Donations'!$R$2:$R$4001,$AD359,'All Donations'!$T$2:$T$4001,M$1))</f>
        <v/>
      </c>
      <c r="N359" s="49">
        <f>IF(OR($AE359&lt;&gt;1,N$1=""),"",SUMIFS('All Donations'!$S$2:$S$4001,'All Donations'!$R$2:$R$4001,$AD359,'All Donations'!$T$2:$T$4001,N$1))</f>
        <v/>
      </c>
      <c r="O359" s="49">
        <f>IF(OR($AE359&lt;&gt;1,O$1=""),"",SUMIFS('All Donations'!$S$2:$S$4001,'All Donations'!$R$2:$R$4001,$AD359,'All Donations'!$T$2:$T$4001,O$1))</f>
        <v/>
      </c>
      <c r="P359" s="49">
        <f>IF(OR($AE359&lt;&gt;1,P$1=""),"",SUMIFS('All Donations'!$S$2:$S$4001,'All Donations'!$R$2:$R$4001,$AD359,'All Donations'!$T$2:$T$4001,P$1))</f>
        <v/>
      </c>
      <c r="Q359" s="49">
        <f>IF(OR($AE359&lt;&gt;1,Q$1=""),"",SUMIFS('All Donations'!$S$2:$S$4001,'All Donations'!$R$2:$R$4001,$AD359,'All Donations'!$T$2:$T$4001,Q$1))</f>
        <v/>
      </c>
      <c r="R359" s="49">
        <f>IF(OR($AE359&lt;&gt;1,R$1=""),"",SUMIFS('All Donations'!$S$2:$S$4001,'All Donations'!$R$2:$R$4001,$AD359,'All Donations'!$T$2:$T$4001,R$1))</f>
        <v/>
      </c>
      <c r="S359" s="49">
        <f>IF(OR($AE359&lt;&gt;1,S$1=""),"",SUMIFS('All Donations'!$S$2:$S$4001,'All Donations'!$R$2:$R$4001,$AD359,'All Donations'!$T$2:$T$4001,S$1))</f>
        <v/>
      </c>
      <c r="T359" s="49">
        <f>IF(OR($AE359&lt;&gt;1,T$1=""),"",SUMIFS('All Donations'!$S$2:$S$4001,'All Donations'!$R$2:$R$4001,$AD359,'All Donations'!$T$2:$T$4001,T$1))</f>
        <v/>
      </c>
      <c r="U359" s="49">
        <f>IF(OR($AE359&lt;&gt;1,U$1=""),"",SUMIFS('All Donations'!$S$2:$S$4001,'All Donations'!$R$2:$R$4001,$AD359,'All Donations'!$T$2:$T$4001,U$1))</f>
        <v/>
      </c>
      <c r="V359" s="49">
        <f>IF(OR($AE359&lt;&gt;1,V$1=""),"",SUMIFS('All Donations'!$S$2:$S$4001,'All Donations'!$R$2:$R$4001,$AD359,'All Donations'!$T$2:$T$4001,V$1))</f>
        <v/>
      </c>
      <c r="W359" s="49">
        <f>IF(OR($AE359&lt;&gt;1,W$1=""),"",SUMIFS('All Donations'!$S$2:$S$4001,'All Donations'!$R$2:$R$4001,$AD359,'All Donations'!$T$2:$T$4001,W$1))</f>
        <v/>
      </c>
      <c r="X359" s="49">
        <f>IF(OR($AE359&lt;&gt;1,X$1=""),"",SUMIFS('All Donations'!$S$2:$S$4001,'All Donations'!$R$2:$R$4001,$AD359,'All Donations'!$T$2:$T$4001,X$1))</f>
        <v/>
      </c>
      <c r="Y359" s="49">
        <f>IF(OR($AE359&lt;&gt;1,Y$1=""),"",SUMIFS('All Donations'!$S$2:$S$4001,'All Donations'!$R$2:$R$4001,$AD359,'All Donations'!$T$2:$T$4001,Y$1))</f>
        <v/>
      </c>
      <c r="Z359" s="49">
        <f>IF(OR($AE359&lt;&gt;1,Z$1=""),"",SUMIFS('All Donations'!$S$2:$S$4001,'All Donations'!$R$2:$R$4001,$AD359,'All Donations'!$T$2:$T$4001,Z$1))</f>
        <v/>
      </c>
      <c r="AA359" s="49">
        <f>IF(OR($AE359&lt;&gt;1,AA$1=""),"",SUMIFS('All Donations'!$S$2:$S$4001,'All Donations'!$R$2:$R$4001,$AD359,'All Donations'!$T$2:$T$4001,AA$1))</f>
        <v/>
      </c>
      <c r="AB359" s="49">
        <f>IF(OR($AE359&lt;&gt;1,AB$1=""),"",SUMIFS('All Donations'!$S$2:$S$4001,'All Donations'!$R$2:$R$4001,$AD359,'All Donations'!$T$2:$T$4001,AB$1))</f>
        <v/>
      </c>
      <c r="AC359" s="49">
        <f>IF(OR($AE359&lt;&gt;1,AC$1=""),"",SUMIFS('All Donations'!$S$2:$S$4001,'All Donations'!$R$2:$R$4001,$AD359,'All Donations'!$T$2:$T$4001,AC$1))</f>
        <v/>
      </c>
      <c r="AD359">
        <f>IF(AE359=1,'Roster'!A359,"")</f>
        <v/>
      </c>
      <c r="AE359">
        <f>IF(TRIM('Roster'!B359&amp;'Roster'!C359)&lt;&gt;"",1,0)</f>
        <v/>
      </c>
      <c r="AF359">
        <f>IF(AE359=1,LOWER(A359),"#")</f>
        <v/>
      </c>
      <c r="AG359">
        <f>IF(AE359=1,LOWER(TRIM(TRIM('Roster'!C359)&amp;", "&amp;TRIM('Roster'!B359))),"#")</f>
        <v/>
      </c>
      <c r="AH359">
        <f>IF(AND(AE359=1,TRIM('Roster'!F359)&lt;&gt;""),LOWER(TRIM('Roster'!F359)),"#")</f>
        <v/>
      </c>
      <c r="AI359">
        <f>IF(AE359=1,IF(MATCH(B359,$B$2:$B$701,0)=ROW()-1,1,0),0)</f>
        <v/>
      </c>
      <c r="AJ359">
        <f>AJ358+AI359</f>
        <v/>
      </c>
      <c r="AK359">
        <f>IF(AE359=1,D359+(1000-ROW())/10^7,-1)</f>
        <v/>
      </c>
      <c r="AL359">
        <f>IF(AE359=1,TRIM('Roster'!B359)&amp;" "&amp;LEFT(TRIM('Roster'!C359),1)&amp;".","")</f>
        <v/>
      </c>
      <c r="AM359">
        <f>IF(AE359=1,TRIM('Roster'!C359)&amp;", "&amp;TRIM('Roster'!B359)&amp;" ("&amp;B359&amp;") #"&amp;AD359,"")</f>
        <v/>
      </c>
      <c r="AN359">
        <f>IF(AE359=1,TRIM('Roster'!E359),"")</f>
        <v/>
      </c>
      <c r="AO359">
        <f>IF(AE359=1,ROUND(SUMIFS('All Donations'!$S$2:$S$4001,'All Donations'!$R$2:$R$4001,AD359,'All Donations'!$T$2:$T$4001,"&gt;="&amp;'Settings'!$C$23,'All Donations'!$T$2:$T$4001,"&lt;="&amp;'Settings'!$D$23),2),0)</f>
        <v/>
      </c>
      <c r="AQ359">
        <f>IF(AE359=1,ROUND(SUMIFS('All Donations'!$S$2:$S$4001,'All Donations'!$R$2:$R$4001,AD359,'All Donations'!$T$2:$T$4001,"&gt;="&amp;'Settings'!$C$25,'All Donations'!$T$2:$T$4001,"&lt;="&amp;'Settings'!$D$25),2),0)</f>
        <v/>
      </c>
      <c r="AR359">
        <f>IF(AE359=1,ROUND(SUMIFS('All Donations'!$S$2:$S$4001,'All Donations'!$R$2:$R$4001,AD359,'All Donations'!$T$2:$T$4001,"&gt;="&amp;'Settings'!$C$26,'All Donations'!$T$2:$T$4001,"&lt;="&amp;'Settings'!$D$26),2),0)</f>
        <v/>
      </c>
      <c r="AS359">
        <f>IF(AE359=1,ROUND(SUMIFS('All Donations'!$S$2:$S$4001,'All Donations'!$R$2:$R$4001,AD359,'All Donations'!$T$2:$T$4001,"&lt;="&amp;'Settings'!$D$27),2),0)</f>
        <v/>
      </c>
      <c r="AT359">
        <f>IF(AE359=1,ROUND(SUMIFS('All Donations'!$S$2:$S$4001,'All Donations'!$R$2:$R$4001,AD359,'All Donations'!$T$2:$T$4001,"&gt;="&amp;'Settings'!$C$28,'All Donations'!$T$2:$T$4001,"&lt;="&amp;'Settings'!$D$28),2),0)</f>
        <v/>
      </c>
      <c r="AU359">
        <f>IF(AE359=1,ROUND(SUMIFS('All Donations'!$S$2:$S$4001,'All Donations'!$R$2:$R$4001,AD359,'All Donations'!$T$2:$T$4001,"&gt;="&amp;'Settings'!$C$29,'All Donations'!$T$2:$T$4001,"&lt;="&amp;'Settings'!$D$29),2),0)</f>
        <v/>
      </c>
      <c r="AV359">
        <f>IF(AE359=1,ROUND(SUMIFS('All Donations'!$S$2:$S$4001,'All Donations'!$R$2:$R$4001,AD359,'All Donations'!$T$2:$T$4001,"&lt;="&amp;'Settings'!$D$30),2),0)</f>
        <v/>
      </c>
      <c r="AZ359">
        <f>IF(AE359=1,ROUND(SUMIFS('All Donations'!$S$2:$S$4001,'All Donations'!$R$2:$R$4001,AD359,'All Donations'!$T$2:$T$4001,"&lt;="&amp;'Settings'!$D$34),2),0)</f>
        <v/>
      </c>
    </row>
    <row r="360">
      <c r="A360">
        <f>IF(AE360=1,TRIM(TRIM('Roster'!B360)&amp;" "&amp;TRIM('Roster'!C360)),"")</f>
        <v/>
      </c>
      <c r="B360">
        <f>IF(AE360=1,IF(AN360="","(no teacher)",AN360&amp;" – "&amp;C360),"")</f>
        <v/>
      </c>
      <c r="C360">
        <f>IF(AE360=1,TRIM('Roster'!D360&amp;""),"")</f>
        <v/>
      </c>
      <c r="D360" s="48">
        <f>IF(AE360=1,ROUND(SUMIFS('All Donations'!$S$2:$S$4001,'All Donations'!$R$2:$R$4001,AD360),2),"")</f>
        <v/>
      </c>
      <c r="E360" s="48">
        <f>IF(AE360=1,ROUND(SUMIFS('All Donations'!$S$2:$S$4001,'All Donations'!$R$2:$R$4001,AD360,'All Donations'!$G$2:$G$4001,"OneCause"),2),"")</f>
        <v/>
      </c>
      <c r="F360" s="48">
        <f>IF(AE360=1,D360-E360,"")</f>
        <v/>
      </c>
      <c r="G360">
        <f>IF(AE360=1,COUNTIFS('All Donations'!$R$2:$R$4001,AD360,'All Donations'!$H$2:$H$4001,"OK"),"")</f>
        <v/>
      </c>
      <c r="H360">
        <f>IF(AE360&lt;&gt;1,"",IF(D360&gt;0,"Yes",""))</f>
        <v/>
      </c>
      <c r="I360" s="49">
        <f>IF(OR($AE360&lt;&gt;1,I$1=""),"",SUMIFS('All Donations'!$S$2:$S$4001,'All Donations'!$R$2:$R$4001,$AD360,'All Donations'!$T$2:$T$4001,I$1))</f>
        <v/>
      </c>
      <c r="J360" s="49">
        <f>IF(OR($AE360&lt;&gt;1,J$1=""),"",SUMIFS('All Donations'!$S$2:$S$4001,'All Donations'!$R$2:$R$4001,$AD360,'All Donations'!$T$2:$T$4001,J$1))</f>
        <v/>
      </c>
      <c r="K360" s="49">
        <f>IF(OR($AE360&lt;&gt;1,K$1=""),"",SUMIFS('All Donations'!$S$2:$S$4001,'All Donations'!$R$2:$R$4001,$AD360,'All Donations'!$T$2:$T$4001,K$1))</f>
        <v/>
      </c>
      <c r="L360" s="49">
        <f>IF(OR($AE360&lt;&gt;1,L$1=""),"",SUMIFS('All Donations'!$S$2:$S$4001,'All Donations'!$R$2:$R$4001,$AD360,'All Donations'!$T$2:$T$4001,L$1))</f>
        <v/>
      </c>
      <c r="M360" s="49">
        <f>IF(OR($AE360&lt;&gt;1,M$1=""),"",SUMIFS('All Donations'!$S$2:$S$4001,'All Donations'!$R$2:$R$4001,$AD360,'All Donations'!$T$2:$T$4001,M$1))</f>
        <v/>
      </c>
      <c r="N360" s="49">
        <f>IF(OR($AE360&lt;&gt;1,N$1=""),"",SUMIFS('All Donations'!$S$2:$S$4001,'All Donations'!$R$2:$R$4001,$AD360,'All Donations'!$T$2:$T$4001,N$1))</f>
        <v/>
      </c>
      <c r="O360" s="49">
        <f>IF(OR($AE360&lt;&gt;1,O$1=""),"",SUMIFS('All Donations'!$S$2:$S$4001,'All Donations'!$R$2:$R$4001,$AD360,'All Donations'!$T$2:$T$4001,O$1))</f>
        <v/>
      </c>
      <c r="P360" s="49">
        <f>IF(OR($AE360&lt;&gt;1,P$1=""),"",SUMIFS('All Donations'!$S$2:$S$4001,'All Donations'!$R$2:$R$4001,$AD360,'All Donations'!$T$2:$T$4001,P$1))</f>
        <v/>
      </c>
      <c r="Q360" s="49">
        <f>IF(OR($AE360&lt;&gt;1,Q$1=""),"",SUMIFS('All Donations'!$S$2:$S$4001,'All Donations'!$R$2:$R$4001,$AD360,'All Donations'!$T$2:$T$4001,Q$1))</f>
        <v/>
      </c>
      <c r="R360" s="49">
        <f>IF(OR($AE360&lt;&gt;1,R$1=""),"",SUMIFS('All Donations'!$S$2:$S$4001,'All Donations'!$R$2:$R$4001,$AD360,'All Donations'!$T$2:$T$4001,R$1))</f>
        <v/>
      </c>
      <c r="S360" s="49">
        <f>IF(OR($AE360&lt;&gt;1,S$1=""),"",SUMIFS('All Donations'!$S$2:$S$4001,'All Donations'!$R$2:$R$4001,$AD360,'All Donations'!$T$2:$T$4001,S$1))</f>
        <v/>
      </c>
      <c r="T360" s="49">
        <f>IF(OR($AE360&lt;&gt;1,T$1=""),"",SUMIFS('All Donations'!$S$2:$S$4001,'All Donations'!$R$2:$R$4001,$AD360,'All Donations'!$T$2:$T$4001,T$1))</f>
        <v/>
      </c>
      <c r="U360" s="49">
        <f>IF(OR($AE360&lt;&gt;1,U$1=""),"",SUMIFS('All Donations'!$S$2:$S$4001,'All Donations'!$R$2:$R$4001,$AD360,'All Donations'!$T$2:$T$4001,U$1))</f>
        <v/>
      </c>
      <c r="V360" s="49">
        <f>IF(OR($AE360&lt;&gt;1,V$1=""),"",SUMIFS('All Donations'!$S$2:$S$4001,'All Donations'!$R$2:$R$4001,$AD360,'All Donations'!$T$2:$T$4001,V$1))</f>
        <v/>
      </c>
      <c r="W360" s="49">
        <f>IF(OR($AE360&lt;&gt;1,W$1=""),"",SUMIFS('All Donations'!$S$2:$S$4001,'All Donations'!$R$2:$R$4001,$AD360,'All Donations'!$T$2:$T$4001,W$1))</f>
        <v/>
      </c>
      <c r="X360" s="49">
        <f>IF(OR($AE360&lt;&gt;1,X$1=""),"",SUMIFS('All Donations'!$S$2:$S$4001,'All Donations'!$R$2:$R$4001,$AD360,'All Donations'!$T$2:$T$4001,X$1))</f>
        <v/>
      </c>
      <c r="Y360" s="49">
        <f>IF(OR($AE360&lt;&gt;1,Y$1=""),"",SUMIFS('All Donations'!$S$2:$S$4001,'All Donations'!$R$2:$R$4001,$AD360,'All Donations'!$T$2:$T$4001,Y$1))</f>
        <v/>
      </c>
      <c r="Z360" s="49">
        <f>IF(OR($AE360&lt;&gt;1,Z$1=""),"",SUMIFS('All Donations'!$S$2:$S$4001,'All Donations'!$R$2:$R$4001,$AD360,'All Donations'!$T$2:$T$4001,Z$1))</f>
        <v/>
      </c>
      <c r="AA360" s="49">
        <f>IF(OR($AE360&lt;&gt;1,AA$1=""),"",SUMIFS('All Donations'!$S$2:$S$4001,'All Donations'!$R$2:$R$4001,$AD360,'All Donations'!$T$2:$T$4001,AA$1))</f>
        <v/>
      </c>
      <c r="AB360" s="49">
        <f>IF(OR($AE360&lt;&gt;1,AB$1=""),"",SUMIFS('All Donations'!$S$2:$S$4001,'All Donations'!$R$2:$R$4001,$AD360,'All Donations'!$T$2:$T$4001,AB$1))</f>
        <v/>
      </c>
      <c r="AC360" s="49">
        <f>IF(OR($AE360&lt;&gt;1,AC$1=""),"",SUMIFS('All Donations'!$S$2:$S$4001,'All Donations'!$R$2:$R$4001,$AD360,'All Donations'!$T$2:$T$4001,AC$1))</f>
        <v/>
      </c>
      <c r="AD360">
        <f>IF(AE360=1,'Roster'!A360,"")</f>
        <v/>
      </c>
      <c r="AE360">
        <f>IF(TRIM('Roster'!B360&amp;'Roster'!C360)&lt;&gt;"",1,0)</f>
        <v/>
      </c>
      <c r="AF360">
        <f>IF(AE360=1,LOWER(A360),"#")</f>
        <v/>
      </c>
      <c r="AG360">
        <f>IF(AE360=1,LOWER(TRIM(TRIM('Roster'!C360)&amp;", "&amp;TRIM('Roster'!B360))),"#")</f>
        <v/>
      </c>
      <c r="AH360">
        <f>IF(AND(AE360=1,TRIM('Roster'!F360)&lt;&gt;""),LOWER(TRIM('Roster'!F360)),"#")</f>
        <v/>
      </c>
      <c r="AI360">
        <f>IF(AE360=1,IF(MATCH(B360,$B$2:$B$701,0)=ROW()-1,1,0),0)</f>
        <v/>
      </c>
      <c r="AJ360">
        <f>AJ359+AI360</f>
        <v/>
      </c>
      <c r="AK360">
        <f>IF(AE360=1,D360+(1000-ROW())/10^7,-1)</f>
        <v/>
      </c>
      <c r="AL360">
        <f>IF(AE360=1,TRIM('Roster'!B360)&amp;" "&amp;LEFT(TRIM('Roster'!C360),1)&amp;".","")</f>
        <v/>
      </c>
      <c r="AM360">
        <f>IF(AE360=1,TRIM('Roster'!C360)&amp;", "&amp;TRIM('Roster'!B360)&amp;" ("&amp;B360&amp;") #"&amp;AD360,"")</f>
        <v/>
      </c>
      <c r="AN360">
        <f>IF(AE360=1,TRIM('Roster'!E360),"")</f>
        <v/>
      </c>
      <c r="AO360">
        <f>IF(AE360=1,ROUND(SUMIFS('All Donations'!$S$2:$S$4001,'All Donations'!$R$2:$R$4001,AD360,'All Donations'!$T$2:$T$4001,"&gt;="&amp;'Settings'!$C$23,'All Donations'!$T$2:$T$4001,"&lt;="&amp;'Settings'!$D$23),2),0)</f>
        <v/>
      </c>
      <c r="AQ360">
        <f>IF(AE360=1,ROUND(SUMIFS('All Donations'!$S$2:$S$4001,'All Donations'!$R$2:$R$4001,AD360,'All Donations'!$T$2:$T$4001,"&gt;="&amp;'Settings'!$C$25,'All Donations'!$T$2:$T$4001,"&lt;="&amp;'Settings'!$D$25),2),0)</f>
        <v/>
      </c>
      <c r="AR360">
        <f>IF(AE360=1,ROUND(SUMIFS('All Donations'!$S$2:$S$4001,'All Donations'!$R$2:$R$4001,AD360,'All Donations'!$T$2:$T$4001,"&gt;="&amp;'Settings'!$C$26,'All Donations'!$T$2:$T$4001,"&lt;="&amp;'Settings'!$D$26),2),0)</f>
        <v/>
      </c>
      <c r="AS360">
        <f>IF(AE360=1,ROUND(SUMIFS('All Donations'!$S$2:$S$4001,'All Donations'!$R$2:$R$4001,AD360,'All Donations'!$T$2:$T$4001,"&lt;="&amp;'Settings'!$D$27),2),0)</f>
        <v/>
      </c>
      <c r="AT360">
        <f>IF(AE360=1,ROUND(SUMIFS('All Donations'!$S$2:$S$4001,'All Donations'!$R$2:$R$4001,AD360,'All Donations'!$T$2:$T$4001,"&gt;="&amp;'Settings'!$C$28,'All Donations'!$T$2:$T$4001,"&lt;="&amp;'Settings'!$D$28),2),0)</f>
        <v/>
      </c>
      <c r="AU360">
        <f>IF(AE360=1,ROUND(SUMIFS('All Donations'!$S$2:$S$4001,'All Donations'!$R$2:$R$4001,AD360,'All Donations'!$T$2:$T$4001,"&gt;="&amp;'Settings'!$C$29,'All Donations'!$T$2:$T$4001,"&lt;="&amp;'Settings'!$D$29),2),0)</f>
        <v/>
      </c>
      <c r="AV360">
        <f>IF(AE360=1,ROUND(SUMIFS('All Donations'!$S$2:$S$4001,'All Donations'!$R$2:$R$4001,AD360,'All Donations'!$T$2:$T$4001,"&lt;="&amp;'Settings'!$D$30),2),0)</f>
        <v/>
      </c>
      <c r="AZ360">
        <f>IF(AE360=1,ROUND(SUMIFS('All Donations'!$S$2:$S$4001,'All Donations'!$R$2:$R$4001,AD360,'All Donations'!$T$2:$T$4001,"&lt;="&amp;'Settings'!$D$34),2),0)</f>
        <v/>
      </c>
    </row>
    <row r="361">
      <c r="A361">
        <f>IF(AE361=1,TRIM(TRIM('Roster'!B361)&amp;" "&amp;TRIM('Roster'!C361)),"")</f>
        <v/>
      </c>
      <c r="B361">
        <f>IF(AE361=1,IF(AN361="","(no teacher)",AN361&amp;" – "&amp;C361),"")</f>
        <v/>
      </c>
      <c r="C361">
        <f>IF(AE361=1,TRIM('Roster'!D361&amp;""),"")</f>
        <v/>
      </c>
      <c r="D361" s="48">
        <f>IF(AE361=1,ROUND(SUMIFS('All Donations'!$S$2:$S$4001,'All Donations'!$R$2:$R$4001,AD361),2),"")</f>
        <v/>
      </c>
      <c r="E361" s="48">
        <f>IF(AE361=1,ROUND(SUMIFS('All Donations'!$S$2:$S$4001,'All Donations'!$R$2:$R$4001,AD361,'All Donations'!$G$2:$G$4001,"OneCause"),2),"")</f>
        <v/>
      </c>
      <c r="F361" s="48">
        <f>IF(AE361=1,D361-E361,"")</f>
        <v/>
      </c>
      <c r="G361">
        <f>IF(AE361=1,COUNTIFS('All Donations'!$R$2:$R$4001,AD361,'All Donations'!$H$2:$H$4001,"OK"),"")</f>
        <v/>
      </c>
      <c r="H361">
        <f>IF(AE361&lt;&gt;1,"",IF(D361&gt;0,"Yes",""))</f>
        <v/>
      </c>
      <c r="I361" s="49">
        <f>IF(OR($AE361&lt;&gt;1,I$1=""),"",SUMIFS('All Donations'!$S$2:$S$4001,'All Donations'!$R$2:$R$4001,$AD361,'All Donations'!$T$2:$T$4001,I$1))</f>
        <v/>
      </c>
      <c r="J361" s="49">
        <f>IF(OR($AE361&lt;&gt;1,J$1=""),"",SUMIFS('All Donations'!$S$2:$S$4001,'All Donations'!$R$2:$R$4001,$AD361,'All Donations'!$T$2:$T$4001,J$1))</f>
        <v/>
      </c>
      <c r="K361" s="49">
        <f>IF(OR($AE361&lt;&gt;1,K$1=""),"",SUMIFS('All Donations'!$S$2:$S$4001,'All Donations'!$R$2:$R$4001,$AD361,'All Donations'!$T$2:$T$4001,K$1))</f>
        <v/>
      </c>
      <c r="L361" s="49">
        <f>IF(OR($AE361&lt;&gt;1,L$1=""),"",SUMIFS('All Donations'!$S$2:$S$4001,'All Donations'!$R$2:$R$4001,$AD361,'All Donations'!$T$2:$T$4001,L$1))</f>
        <v/>
      </c>
      <c r="M361" s="49">
        <f>IF(OR($AE361&lt;&gt;1,M$1=""),"",SUMIFS('All Donations'!$S$2:$S$4001,'All Donations'!$R$2:$R$4001,$AD361,'All Donations'!$T$2:$T$4001,M$1))</f>
        <v/>
      </c>
      <c r="N361" s="49">
        <f>IF(OR($AE361&lt;&gt;1,N$1=""),"",SUMIFS('All Donations'!$S$2:$S$4001,'All Donations'!$R$2:$R$4001,$AD361,'All Donations'!$T$2:$T$4001,N$1))</f>
        <v/>
      </c>
      <c r="O361" s="49">
        <f>IF(OR($AE361&lt;&gt;1,O$1=""),"",SUMIFS('All Donations'!$S$2:$S$4001,'All Donations'!$R$2:$R$4001,$AD361,'All Donations'!$T$2:$T$4001,O$1))</f>
        <v/>
      </c>
      <c r="P361" s="49">
        <f>IF(OR($AE361&lt;&gt;1,P$1=""),"",SUMIFS('All Donations'!$S$2:$S$4001,'All Donations'!$R$2:$R$4001,$AD361,'All Donations'!$T$2:$T$4001,P$1))</f>
        <v/>
      </c>
      <c r="Q361" s="49">
        <f>IF(OR($AE361&lt;&gt;1,Q$1=""),"",SUMIFS('All Donations'!$S$2:$S$4001,'All Donations'!$R$2:$R$4001,$AD361,'All Donations'!$T$2:$T$4001,Q$1))</f>
        <v/>
      </c>
      <c r="R361" s="49">
        <f>IF(OR($AE361&lt;&gt;1,R$1=""),"",SUMIFS('All Donations'!$S$2:$S$4001,'All Donations'!$R$2:$R$4001,$AD361,'All Donations'!$T$2:$T$4001,R$1))</f>
        <v/>
      </c>
      <c r="S361" s="49">
        <f>IF(OR($AE361&lt;&gt;1,S$1=""),"",SUMIFS('All Donations'!$S$2:$S$4001,'All Donations'!$R$2:$R$4001,$AD361,'All Donations'!$T$2:$T$4001,S$1))</f>
        <v/>
      </c>
      <c r="T361" s="49">
        <f>IF(OR($AE361&lt;&gt;1,T$1=""),"",SUMIFS('All Donations'!$S$2:$S$4001,'All Donations'!$R$2:$R$4001,$AD361,'All Donations'!$T$2:$T$4001,T$1))</f>
        <v/>
      </c>
      <c r="U361" s="49">
        <f>IF(OR($AE361&lt;&gt;1,U$1=""),"",SUMIFS('All Donations'!$S$2:$S$4001,'All Donations'!$R$2:$R$4001,$AD361,'All Donations'!$T$2:$T$4001,U$1))</f>
        <v/>
      </c>
      <c r="V361" s="49">
        <f>IF(OR($AE361&lt;&gt;1,V$1=""),"",SUMIFS('All Donations'!$S$2:$S$4001,'All Donations'!$R$2:$R$4001,$AD361,'All Donations'!$T$2:$T$4001,V$1))</f>
        <v/>
      </c>
      <c r="W361" s="49">
        <f>IF(OR($AE361&lt;&gt;1,W$1=""),"",SUMIFS('All Donations'!$S$2:$S$4001,'All Donations'!$R$2:$R$4001,$AD361,'All Donations'!$T$2:$T$4001,W$1))</f>
        <v/>
      </c>
      <c r="X361" s="49">
        <f>IF(OR($AE361&lt;&gt;1,X$1=""),"",SUMIFS('All Donations'!$S$2:$S$4001,'All Donations'!$R$2:$R$4001,$AD361,'All Donations'!$T$2:$T$4001,X$1))</f>
        <v/>
      </c>
      <c r="Y361" s="49">
        <f>IF(OR($AE361&lt;&gt;1,Y$1=""),"",SUMIFS('All Donations'!$S$2:$S$4001,'All Donations'!$R$2:$R$4001,$AD361,'All Donations'!$T$2:$T$4001,Y$1))</f>
        <v/>
      </c>
      <c r="Z361" s="49">
        <f>IF(OR($AE361&lt;&gt;1,Z$1=""),"",SUMIFS('All Donations'!$S$2:$S$4001,'All Donations'!$R$2:$R$4001,$AD361,'All Donations'!$T$2:$T$4001,Z$1))</f>
        <v/>
      </c>
      <c r="AA361" s="49">
        <f>IF(OR($AE361&lt;&gt;1,AA$1=""),"",SUMIFS('All Donations'!$S$2:$S$4001,'All Donations'!$R$2:$R$4001,$AD361,'All Donations'!$T$2:$T$4001,AA$1))</f>
        <v/>
      </c>
      <c r="AB361" s="49">
        <f>IF(OR($AE361&lt;&gt;1,AB$1=""),"",SUMIFS('All Donations'!$S$2:$S$4001,'All Donations'!$R$2:$R$4001,$AD361,'All Donations'!$T$2:$T$4001,AB$1))</f>
        <v/>
      </c>
      <c r="AC361" s="49">
        <f>IF(OR($AE361&lt;&gt;1,AC$1=""),"",SUMIFS('All Donations'!$S$2:$S$4001,'All Donations'!$R$2:$R$4001,$AD361,'All Donations'!$T$2:$T$4001,AC$1))</f>
        <v/>
      </c>
      <c r="AD361">
        <f>IF(AE361=1,'Roster'!A361,"")</f>
        <v/>
      </c>
      <c r="AE361">
        <f>IF(TRIM('Roster'!B361&amp;'Roster'!C361)&lt;&gt;"",1,0)</f>
        <v/>
      </c>
      <c r="AF361">
        <f>IF(AE361=1,LOWER(A361),"#")</f>
        <v/>
      </c>
      <c r="AG361">
        <f>IF(AE361=1,LOWER(TRIM(TRIM('Roster'!C361)&amp;", "&amp;TRIM('Roster'!B361))),"#")</f>
        <v/>
      </c>
      <c r="AH361">
        <f>IF(AND(AE361=1,TRIM('Roster'!F361)&lt;&gt;""),LOWER(TRIM('Roster'!F361)),"#")</f>
        <v/>
      </c>
      <c r="AI361">
        <f>IF(AE361=1,IF(MATCH(B361,$B$2:$B$701,0)=ROW()-1,1,0),0)</f>
        <v/>
      </c>
      <c r="AJ361">
        <f>AJ360+AI361</f>
        <v/>
      </c>
      <c r="AK361">
        <f>IF(AE361=1,D361+(1000-ROW())/10^7,-1)</f>
        <v/>
      </c>
      <c r="AL361">
        <f>IF(AE361=1,TRIM('Roster'!B361)&amp;" "&amp;LEFT(TRIM('Roster'!C361),1)&amp;".","")</f>
        <v/>
      </c>
      <c r="AM361">
        <f>IF(AE361=1,TRIM('Roster'!C361)&amp;", "&amp;TRIM('Roster'!B361)&amp;" ("&amp;B361&amp;") #"&amp;AD361,"")</f>
        <v/>
      </c>
      <c r="AN361">
        <f>IF(AE361=1,TRIM('Roster'!E361),"")</f>
        <v/>
      </c>
      <c r="AO361">
        <f>IF(AE361=1,ROUND(SUMIFS('All Donations'!$S$2:$S$4001,'All Donations'!$R$2:$R$4001,AD361,'All Donations'!$T$2:$T$4001,"&gt;="&amp;'Settings'!$C$23,'All Donations'!$T$2:$T$4001,"&lt;="&amp;'Settings'!$D$23),2),0)</f>
        <v/>
      </c>
      <c r="AQ361">
        <f>IF(AE361=1,ROUND(SUMIFS('All Donations'!$S$2:$S$4001,'All Donations'!$R$2:$R$4001,AD361,'All Donations'!$T$2:$T$4001,"&gt;="&amp;'Settings'!$C$25,'All Donations'!$T$2:$T$4001,"&lt;="&amp;'Settings'!$D$25),2),0)</f>
        <v/>
      </c>
      <c r="AR361">
        <f>IF(AE361=1,ROUND(SUMIFS('All Donations'!$S$2:$S$4001,'All Donations'!$R$2:$R$4001,AD361,'All Donations'!$T$2:$T$4001,"&gt;="&amp;'Settings'!$C$26,'All Donations'!$T$2:$T$4001,"&lt;="&amp;'Settings'!$D$26),2),0)</f>
        <v/>
      </c>
      <c r="AS361">
        <f>IF(AE361=1,ROUND(SUMIFS('All Donations'!$S$2:$S$4001,'All Donations'!$R$2:$R$4001,AD361,'All Donations'!$T$2:$T$4001,"&lt;="&amp;'Settings'!$D$27),2),0)</f>
        <v/>
      </c>
      <c r="AT361">
        <f>IF(AE361=1,ROUND(SUMIFS('All Donations'!$S$2:$S$4001,'All Donations'!$R$2:$R$4001,AD361,'All Donations'!$T$2:$T$4001,"&gt;="&amp;'Settings'!$C$28,'All Donations'!$T$2:$T$4001,"&lt;="&amp;'Settings'!$D$28),2),0)</f>
        <v/>
      </c>
      <c r="AU361">
        <f>IF(AE361=1,ROUND(SUMIFS('All Donations'!$S$2:$S$4001,'All Donations'!$R$2:$R$4001,AD361,'All Donations'!$T$2:$T$4001,"&gt;="&amp;'Settings'!$C$29,'All Donations'!$T$2:$T$4001,"&lt;="&amp;'Settings'!$D$29),2),0)</f>
        <v/>
      </c>
      <c r="AV361">
        <f>IF(AE361=1,ROUND(SUMIFS('All Donations'!$S$2:$S$4001,'All Donations'!$R$2:$R$4001,AD361,'All Donations'!$T$2:$T$4001,"&lt;="&amp;'Settings'!$D$30),2),0)</f>
        <v/>
      </c>
      <c r="AZ361">
        <f>IF(AE361=1,ROUND(SUMIFS('All Donations'!$S$2:$S$4001,'All Donations'!$R$2:$R$4001,AD361,'All Donations'!$T$2:$T$4001,"&lt;="&amp;'Settings'!$D$34),2),0)</f>
        <v/>
      </c>
    </row>
    <row r="362">
      <c r="A362">
        <f>IF(AE362=1,TRIM(TRIM('Roster'!B362)&amp;" "&amp;TRIM('Roster'!C362)),"")</f>
        <v/>
      </c>
      <c r="B362">
        <f>IF(AE362=1,IF(AN362="","(no teacher)",AN362&amp;" – "&amp;C362),"")</f>
        <v/>
      </c>
      <c r="C362">
        <f>IF(AE362=1,TRIM('Roster'!D362&amp;""),"")</f>
        <v/>
      </c>
      <c r="D362" s="48">
        <f>IF(AE362=1,ROUND(SUMIFS('All Donations'!$S$2:$S$4001,'All Donations'!$R$2:$R$4001,AD362),2),"")</f>
        <v/>
      </c>
      <c r="E362" s="48">
        <f>IF(AE362=1,ROUND(SUMIFS('All Donations'!$S$2:$S$4001,'All Donations'!$R$2:$R$4001,AD362,'All Donations'!$G$2:$G$4001,"OneCause"),2),"")</f>
        <v/>
      </c>
      <c r="F362" s="48">
        <f>IF(AE362=1,D362-E362,"")</f>
        <v/>
      </c>
      <c r="G362">
        <f>IF(AE362=1,COUNTIFS('All Donations'!$R$2:$R$4001,AD362,'All Donations'!$H$2:$H$4001,"OK"),"")</f>
        <v/>
      </c>
      <c r="H362">
        <f>IF(AE362&lt;&gt;1,"",IF(D362&gt;0,"Yes",""))</f>
        <v/>
      </c>
      <c r="I362" s="49">
        <f>IF(OR($AE362&lt;&gt;1,I$1=""),"",SUMIFS('All Donations'!$S$2:$S$4001,'All Donations'!$R$2:$R$4001,$AD362,'All Donations'!$T$2:$T$4001,I$1))</f>
        <v/>
      </c>
      <c r="J362" s="49">
        <f>IF(OR($AE362&lt;&gt;1,J$1=""),"",SUMIFS('All Donations'!$S$2:$S$4001,'All Donations'!$R$2:$R$4001,$AD362,'All Donations'!$T$2:$T$4001,J$1))</f>
        <v/>
      </c>
      <c r="K362" s="49">
        <f>IF(OR($AE362&lt;&gt;1,K$1=""),"",SUMIFS('All Donations'!$S$2:$S$4001,'All Donations'!$R$2:$R$4001,$AD362,'All Donations'!$T$2:$T$4001,K$1))</f>
        <v/>
      </c>
      <c r="L362" s="49">
        <f>IF(OR($AE362&lt;&gt;1,L$1=""),"",SUMIFS('All Donations'!$S$2:$S$4001,'All Donations'!$R$2:$R$4001,$AD362,'All Donations'!$T$2:$T$4001,L$1))</f>
        <v/>
      </c>
      <c r="M362" s="49">
        <f>IF(OR($AE362&lt;&gt;1,M$1=""),"",SUMIFS('All Donations'!$S$2:$S$4001,'All Donations'!$R$2:$R$4001,$AD362,'All Donations'!$T$2:$T$4001,M$1))</f>
        <v/>
      </c>
      <c r="N362" s="49">
        <f>IF(OR($AE362&lt;&gt;1,N$1=""),"",SUMIFS('All Donations'!$S$2:$S$4001,'All Donations'!$R$2:$R$4001,$AD362,'All Donations'!$T$2:$T$4001,N$1))</f>
        <v/>
      </c>
      <c r="O362" s="49">
        <f>IF(OR($AE362&lt;&gt;1,O$1=""),"",SUMIFS('All Donations'!$S$2:$S$4001,'All Donations'!$R$2:$R$4001,$AD362,'All Donations'!$T$2:$T$4001,O$1))</f>
        <v/>
      </c>
      <c r="P362" s="49">
        <f>IF(OR($AE362&lt;&gt;1,P$1=""),"",SUMIFS('All Donations'!$S$2:$S$4001,'All Donations'!$R$2:$R$4001,$AD362,'All Donations'!$T$2:$T$4001,P$1))</f>
        <v/>
      </c>
      <c r="Q362" s="49">
        <f>IF(OR($AE362&lt;&gt;1,Q$1=""),"",SUMIFS('All Donations'!$S$2:$S$4001,'All Donations'!$R$2:$R$4001,$AD362,'All Donations'!$T$2:$T$4001,Q$1))</f>
        <v/>
      </c>
      <c r="R362" s="49">
        <f>IF(OR($AE362&lt;&gt;1,R$1=""),"",SUMIFS('All Donations'!$S$2:$S$4001,'All Donations'!$R$2:$R$4001,$AD362,'All Donations'!$T$2:$T$4001,R$1))</f>
        <v/>
      </c>
      <c r="S362" s="49">
        <f>IF(OR($AE362&lt;&gt;1,S$1=""),"",SUMIFS('All Donations'!$S$2:$S$4001,'All Donations'!$R$2:$R$4001,$AD362,'All Donations'!$T$2:$T$4001,S$1))</f>
        <v/>
      </c>
      <c r="T362" s="49">
        <f>IF(OR($AE362&lt;&gt;1,T$1=""),"",SUMIFS('All Donations'!$S$2:$S$4001,'All Donations'!$R$2:$R$4001,$AD362,'All Donations'!$T$2:$T$4001,T$1))</f>
        <v/>
      </c>
      <c r="U362" s="49">
        <f>IF(OR($AE362&lt;&gt;1,U$1=""),"",SUMIFS('All Donations'!$S$2:$S$4001,'All Donations'!$R$2:$R$4001,$AD362,'All Donations'!$T$2:$T$4001,U$1))</f>
        <v/>
      </c>
      <c r="V362" s="49">
        <f>IF(OR($AE362&lt;&gt;1,V$1=""),"",SUMIFS('All Donations'!$S$2:$S$4001,'All Donations'!$R$2:$R$4001,$AD362,'All Donations'!$T$2:$T$4001,V$1))</f>
        <v/>
      </c>
      <c r="W362" s="49">
        <f>IF(OR($AE362&lt;&gt;1,W$1=""),"",SUMIFS('All Donations'!$S$2:$S$4001,'All Donations'!$R$2:$R$4001,$AD362,'All Donations'!$T$2:$T$4001,W$1))</f>
        <v/>
      </c>
      <c r="X362" s="49">
        <f>IF(OR($AE362&lt;&gt;1,X$1=""),"",SUMIFS('All Donations'!$S$2:$S$4001,'All Donations'!$R$2:$R$4001,$AD362,'All Donations'!$T$2:$T$4001,X$1))</f>
        <v/>
      </c>
      <c r="Y362" s="49">
        <f>IF(OR($AE362&lt;&gt;1,Y$1=""),"",SUMIFS('All Donations'!$S$2:$S$4001,'All Donations'!$R$2:$R$4001,$AD362,'All Donations'!$T$2:$T$4001,Y$1))</f>
        <v/>
      </c>
      <c r="Z362" s="49">
        <f>IF(OR($AE362&lt;&gt;1,Z$1=""),"",SUMIFS('All Donations'!$S$2:$S$4001,'All Donations'!$R$2:$R$4001,$AD362,'All Donations'!$T$2:$T$4001,Z$1))</f>
        <v/>
      </c>
      <c r="AA362" s="49">
        <f>IF(OR($AE362&lt;&gt;1,AA$1=""),"",SUMIFS('All Donations'!$S$2:$S$4001,'All Donations'!$R$2:$R$4001,$AD362,'All Donations'!$T$2:$T$4001,AA$1))</f>
        <v/>
      </c>
      <c r="AB362" s="49">
        <f>IF(OR($AE362&lt;&gt;1,AB$1=""),"",SUMIFS('All Donations'!$S$2:$S$4001,'All Donations'!$R$2:$R$4001,$AD362,'All Donations'!$T$2:$T$4001,AB$1))</f>
        <v/>
      </c>
      <c r="AC362" s="49">
        <f>IF(OR($AE362&lt;&gt;1,AC$1=""),"",SUMIFS('All Donations'!$S$2:$S$4001,'All Donations'!$R$2:$R$4001,$AD362,'All Donations'!$T$2:$T$4001,AC$1))</f>
        <v/>
      </c>
      <c r="AD362">
        <f>IF(AE362=1,'Roster'!A362,"")</f>
        <v/>
      </c>
      <c r="AE362">
        <f>IF(TRIM('Roster'!B362&amp;'Roster'!C362)&lt;&gt;"",1,0)</f>
        <v/>
      </c>
      <c r="AF362">
        <f>IF(AE362=1,LOWER(A362),"#")</f>
        <v/>
      </c>
      <c r="AG362">
        <f>IF(AE362=1,LOWER(TRIM(TRIM('Roster'!C362)&amp;", "&amp;TRIM('Roster'!B362))),"#")</f>
        <v/>
      </c>
      <c r="AH362">
        <f>IF(AND(AE362=1,TRIM('Roster'!F362)&lt;&gt;""),LOWER(TRIM('Roster'!F362)),"#")</f>
        <v/>
      </c>
      <c r="AI362">
        <f>IF(AE362=1,IF(MATCH(B362,$B$2:$B$701,0)=ROW()-1,1,0),0)</f>
        <v/>
      </c>
      <c r="AJ362">
        <f>AJ361+AI362</f>
        <v/>
      </c>
      <c r="AK362">
        <f>IF(AE362=1,D362+(1000-ROW())/10^7,-1)</f>
        <v/>
      </c>
      <c r="AL362">
        <f>IF(AE362=1,TRIM('Roster'!B362)&amp;" "&amp;LEFT(TRIM('Roster'!C362),1)&amp;".","")</f>
        <v/>
      </c>
      <c r="AM362">
        <f>IF(AE362=1,TRIM('Roster'!C362)&amp;", "&amp;TRIM('Roster'!B362)&amp;" ("&amp;B362&amp;") #"&amp;AD362,"")</f>
        <v/>
      </c>
      <c r="AN362">
        <f>IF(AE362=1,TRIM('Roster'!E362),"")</f>
        <v/>
      </c>
      <c r="AO362">
        <f>IF(AE362=1,ROUND(SUMIFS('All Donations'!$S$2:$S$4001,'All Donations'!$R$2:$R$4001,AD362,'All Donations'!$T$2:$T$4001,"&gt;="&amp;'Settings'!$C$23,'All Donations'!$T$2:$T$4001,"&lt;="&amp;'Settings'!$D$23),2),0)</f>
        <v/>
      </c>
      <c r="AQ362">
        <f>IF(AE362=1,ROUND(SUMIFS('All Donations'!$S$2:$S$4001,'All Donations'!$R$2:$R$4001,AD362,'All Donations'!$T$2:$T$4001,"&gt;="&amp;'Settings'!$C$25,'All Donations'!$T$2:$T$4001,"&lt;="&amp;'Settings'!$D$25),2),0)</f>
        <v/>
      </c>
      <c r="AR362">
        <f>IF(AE362=1,ROUND(SUMIFS('All Donations'!$S$2:$S$4001,'All Donations'!$R$2:$R$4001,AD362,'All Donations'!$T$2:$T$4001,"&gt;="&amp;'Settings'!$C$26,'All Donations'!$T$2:$T$4001,"&lt;="&amp;'Settings'!$D$26),2),0)</f>
        <v/>
      </c>
      <c r="AS362">
        <f>IF(AE362=1,ROUND(SUMIFS('All Donations'!$S$2:$S$4001,'All Donations'!$R$2:$R$4001,AD362,'All Donations'!$T$2:$T$4001,"&lt;="&amp;'Settings'!$D$27),2),0)</f>
        <v/>
      </c>
      <c r="AT362">
        <f>IF(AE362=1,ROUND(SUMIFS('All Donations'!$S$2:$S$4001,'All Donations'!$R$2:$R$4001,AD362,'All Donations'!$T$2:$T$4001,"&gt;="&amp;'Settings'!$C$28,'All Donations'!$T$2:$T$4001,"&lt;="&amp;'Settings'!$D$28),2),0)</f>
        <v/>
      </c>
      <c r="AU362">
        <f>IF(AE362=1,ROUND(SUMIFS('All Donations'!$S$2:$S$4001,'All Donations'!$R$2:$R$4001,AD362,'All Donations'!$T$2:$T$4001,"&gt;="&amp;'Settings'!$C$29,'All Donations'!$T$2:$T$4001,"&lt;="&amp;'Settings'!$D$29),2),0)</f>
        <v/>
      </c>
      <c r="AV362">
        <f>IF(AE362=1,ROUND(SUMIFS('All Donations'!$S$2:$S$4001,'All Donations'!$R$2:$R$4001,AD362,'All Donations'!$T$2:$T$4001,"&lt;="&amp;'Settings'!$D$30),2),0)</f>
        <v/>
      </c>
      <c r="AZ362">
        <f>IF(AE362=1,ROUND(SUMIFS('All Donations'!$S$2:$S$4001,'All Donations'!$R$2:$R$4001,AD362,'All Donations'!$T$2:$T$4001,"&lt;="&amp;'Settings'!$D$34),2),0)</f>
        <v/>
      </c>
    </row>
    <row r="363">
      <c r="A363">
        <f>IF(AE363=1,TRIM(TRIM('Roster'!B363)&amp;" "&amp;TRIM('Roster'!C363)),"")</f>
        <v/>
      </c>
      <c r="B363">
        <f>IF(AE363=1,IF(AN363="","(no teacher)",AN363&amp;" – "&amp;C363),"")</f>
        <v/>
      </c>
      <c r="C363">
        <f>IF(AE363=1,TRIM('Roster'!D363&amp;""),"")</f>
        <v/>
      </c>
      <c r="D363" s="48">
        <f>IF(AE363=1,ROUND(SUMIFS('All Donations'!$S$2:$S$4001,'All Donations'!$R$2:$R$4001,AD363),2),"")</f>
        <v/>
      </c>
      <c r="E363" s="48">
        <f>IF(AE363=1,ROUND(SUMIFS('All Donations'!$S$2:$S$4001,'All Donations'!$R$2:$R$4001,AD363,'All Donations'!$G$2:$G$4001,"OneCause"),2),"")</f>
        <v/>
      </c>
      <c r="F363" s="48">
        <f>IF(AE363=1,D363-E363,"")</f>
        <v/>
      </c>
      <c r="G363">
        <f>IF(AE363=1,COUNTIFS('All Donations'!$R$2:$R$4001,AD363,'All Donations'!$H$2:$H$4001,"OK"),"")</f>
        <v/>
      </c>
      <c r="H363">
        <f>IF(AE363&lt;&gt;1,"",IF(D363&gt;0,"Yes",""))</f>
        <v/>
      </c>
      <c r="I363" s="49">
        <f>IF(OR($AE363&lt;&gt;1,I$1=""),"",SUMIFS('All Donations'!$S$2:$S$4001,'All Donations'!$R$2:$R$4001,$AD363,'All Donations'!$T$2:$T$4001,I$1))</f>
        <v/>
      </c>
      <c r="J363" s="49">
        <f>IF(OR($AE363&lt;&gt;1,J$1=""),"",SUMIFS('All Donations'!$S$2:$S$4001,'All Donations'!$R$2:$R$4001,$AD363,'All Donations'!$T$2:$T$4001,J$1))</f>
        <v/>
      </c>
      <c r="K363" s="49">
        <f>IF(OR($AE363&lt;&gt;1,K$1=""),"",SUMIFS('All Donations'!$S$2:$S$4001,'All Donations'!$R$2:$R$4001,$AD363,'All Donations'!$T$2:$T$4001,K$1))</f>
        <v/>
      </c>
      <c r="L363" s="49">
        <f>IF(OR($AE363&lt;&gt;1,L$1=""),"",SUMIFS('All Donations'!$S$2:$S$4001,'All Donations'!$R$2:$R$4001,$AD363,'All Donations'!$T$2:$T$4001,L$1))</f>
        <v/>
      </c>
      <c r="M363" s="49">
        <f>IF(OR($AE363&lt;&gt;1,M$1=""),"",SUMIFS('All Donations'!$S$2:$S$4001,'All Donations'!$R$2:$R$4001,$AD363,'All Donations'!$T$2:$T$4001,M$1))</f>
        <v/>
      </c>
      <c r="N363" s="49">
        <f>IF(OR($AE363&lt;&gt;1,N$1=""),"",SUMIFS('All Donations'!$S$2:$S$4001,'All Donations'!$R$2:$R$4001,$AD363,'All Donations'!$T$2:$T$4001,N$1))</f>
        <v/>
      </c>
      <c r="O363" s="49">
        <f>IF(OR($AE363&lt;&gt;1,O$1=""),"",SUMIFS('All Donations'!$S$2:$S$4001,'All Donations'!$R$2:$R$4001,$AD363,'All Donations'!$T$2:$T$4001,O$1))</f>
        <v/>
      </c>
      <c r="P363" s="49">
        <f>IF(OR($AE363&lt;&gt;1,P$1=""),"",SUMIFS('All Donations'!$S$2:$S$4001,'All Donations'!$R$2:$R$4001,$AD363,'All Donations'!$T$2:$T$4001,P$1))</f>
        <v/>
      </c>
      <c r="Q363" s="49">
        <f>IF(OR($AE363&lt;&gt;1,Q$1=""),"",SUMIFS('All Donations'!$S$2:$S$4001,'All Donations'!$R$2:$R$4001,$AD363,'All Donations'!$T$2:$T$4001,Q$1))</f>
        <v/>
      </c>
      <c r="R363" s="49">
        <f>IF(OR($AE363&lt;&gt;1,R$1=""),"",SUMIFS('All Donations'!$S$2:$S$4001,'All Donations'!$R$2:$R$4001,$AD363,'All Donations'!$T$2:$T$4001,R$1))</f>
        <v/>
      </c>
      <c r="S363" s="49">
        <f>IF(OR($AE363&lt;&gt;1,S$1=""),"",SUMIFS('All Donations'!$S$2:$S$4001,'All Donations'!$R$2:$R$4001,$AD363,'All Donations'!$T$2:$T$4001,S$1))</f>
        <v/>
      </c>
      <c r="T363" s="49">
        <f>IF(OR($AE363&lt;&gt;1,T$1=""),"",SUMIFS('All Donations'!$S$2:$S$4001,'All Donations'!$R$2:$R$4001,$AD363,'All Donations'!$T$2:$T$4001,T$1))</f>
        <v/>
      </c>
      <c r="U363" s="49">
        <f>IF(OR($AE363&lt;&gt;1,U$1=""),"",SUMIFS('All Donations'!$S$2:$S$4001,'All Donations'!$R$2:$R$4001,$AD363,'All Donations'!$T$2:$T$4001,U$1))</f>
        <v/>
      </c>
      <c r="V363" s="49">
        <f>IF(OR($AE363&lt;&gt;1,V$1=""),"",SUMIFS('All Donations'!$S$2:$S$4001,'All Donations'!$R$2:$R$4001,$AD363,'All Donations'!$T$2:$T$4001,V$1))</f>
        <v/>
      </c>
      <c r="W363" s="49">
        <f>IF(OR($AE363&lt;&gt;1,W$1=""),"",SUMIFS('All Donations'!$S$2:$S$4001,'All Donations'!$R$2:$R$4001,$AD363,'All Donations'!$T$2:$T$4001,W$1))</f>
        <v/>
      </c>
      <c r="X363" s="49">
        <f>IF(OR($AE363&lt;&gt;1,X$1=""),"",SUMIFS('All Donations'!$S$2:$S$4001,'All Donations'!$R$2:$R$4001,$AD363,'All Donations'!$T$2:$T$4001,X$1))</f>
        <v/>
      </c>
      <c r="Y363" s="49">
        <f>IF(OR($AE363&lt;&gt;1,Y$1=""),"",SUMIFS('All Donations'!$S$2:$S$4001,'All Donations'!$R$2:$R$4001,$AD363,'All Donations'!$T$2:$T$4001,Y$1))</f>
        <v/>
      </c>
      <c r="Z363" s="49">
        <f>IF(OR($AE363&lt;&gt;1,Z$1=""),"",SUMIFS('All Donations'!$S$2:$S$4001,'All Donations'!$R$2:$R$4001,$AD363,'All Donations'!$T$2:$T$4001,Z$1))</f>
        <v/>
      </c>
      <c r="AA363" s="49">
        <f>IF(OR($AE363&lt;&gt;1,AA$1=""),"",SUMIFS('All Donations'!$S$2:$S$4001,'All Donations'!$R$2:$R$4001,$AD363,'All Donations'!$T$2:$T$4001,AA$1))</f>
        <v/>
      </c>
      <c r="AB363" s="49">
        <f>IF(OR($AE363&lt;&gt;1,AB$1=""),"",SUMIFS('All Donations'!$S$2:$S$4001,'All Donations'!$R$2:$R$4001,$AD363,'All Donations'!$T$2:$T$4001,AB$1))</f>
        <v/>
      </c>
      <c r="AC363" s="49">
        <f>IF(OR($AE363&lt;&gt;1,AC$1=""),"",SUMIFS('All Donations'!$S$2:$S$4001,'All Donations'!$R$2:$R$4001,$AD363,'All Donations'!$T$2:$T$4001,AC$1))</f>
        <v/>
      </c>
      <c r="AD363">
        <f>IF(AE363=1,'Roster'!A363,"")</f>
        <v/>
      </c>
      <c r="AE363">
        <f>IF(TRIM('Roster'!B363&amp;'Roster'!C363)&lt;&gt;"",1,0)</f>
        <v/>
      </c>
      <c r="AF363">
        <f>IF(AE363=1,LOWER(A363),"#")</f>
        <v/>
      </c>
      <c r="AG363">
        <f>IF(AE363=1,LOWER(TRIM(TRIM('Roster'!C363)&amp;", "&amp;TRIM('Roster'!B363))),"#")</f>
        <v/>
      </c>
      <c r="AH363">
        <f>IF(AND(AE363=1,TRIM('Roster'!F363)&lt;&gt;""),LOWER(TRIM('Roster'!F363)),"#")</f>
        <v/>
      </c>
      <c r="AI363">
        <f>IF(AE363=1,IF(MATCH(B363,$B$2:$B$701,0)=ROW()-1,1,0),0)</f>
        <v/>
      </c>
      <c r="AJ363">
        <f>AJ362+AI363</f>
        <v/>
      </c>
      <c r="AK363">
        <f>IF(AE363=1,D363+(1000-ROW())/10^7,-1)</f>
        <v/>
      </c>
      <c r="AL363">
        <f>IF(AE363=1,TRIM('Roster'!B363)&amp;" "&amp;LEFT(TRIM('Roster'!C363),1)&amp;".","")</f>
        <v/>
      </c>
      <c r="AM363">
        <f>IF(AE363=1,TRIM('Roster'!C363)&amp;", "&amp;TRIM('Roster'!B363)&amp;" ("&amp;B363&amp;") #"&amp;AD363,"")</f>
        <v/>
      </c>
      <c r="AN363">
        <f>IF(AE363=1,TRIM('Roster'!E363),"")</f>
        <v/>
      </c>
      <c r="AO363">
        <f>IF(AE363=1,ROUND(SUMIFS('All Donations'!$S$2:$S$4001,'All Donations'!$R$2:$R$4001,AD363,'All Donations'!$T$2:$T$4001,"&gt;="&amp;'Settings'!$C$23,'All Donations'!$T$2:$T$4001,"&lt;="&amp;'Settings'!$D$23),2),0)</f>
        <v/>
      </c>
      <c r="AQ363">
        <f>IF(AE363=1,ROUND(SUMIFS('All Donations'!$S$2:$S$4001,'All Donations'!$R$2:$R$4001,AD363,'All Donations'!$T$2:$T$4001,"&gt;="&amp;'Settings'!$C$25,'All Donations'!$T$2:$T$4001,"&lt;="&amp;'Settings'!$D$25),2),0)</f>
        <v/>
      </c>
      <c r="AR363">
        <f>IF(AE363=1,ROUND(SUMIFS('All Donations'!$S$2:$S$4001,'All Donations'!$R$2:$R$4001,AD363,'All Donations'!$T$2:$T$4001,"&gt;="&amp;'Settings'!$C$26,'All Donations'!$T$2:$T$4001,"&lt;="&amp;'Settings'!$D$26),2),0)</f>
        <v/>
      </c>
      <c r="AS363">
        <f>IF(AE363=1,ROUND(SUMIFS('All Donations'!$S$2:$S$4001,'All Donations'!$R$2:$R$4001,AD363,'All Donations'!$T$2:$T$4001,"&lt;="&amp;'Settings'!$D$27),2),0)</f>
        <v/>
      </c>
      <c r="AT363">
        <f>IF(AE363=1,ROUND(SUMIFS('All Donations'!$S$2:$S$4001,'All Donations'!$R$2:$R$4001,AD363,'All Donations'!$T$2:$T$4001,"&gt;="&amp;'Settings'!$C$28,'All Donations'!$T$2:$T$4001,"&lt;="&amp;'Settings'!$D$28),2),0)</f>
        <v/>
      </c>
      <c r="AU363">
        <f>IF(AE363=1,ROUND(SUMIFS('All Donations'!$S$2:$S$4001,'All Donations'!$R$2:$R$4001,AD363,'All Donations'!$T$2:$T$4001,"&gt;="&amp;'Settings'!$C$29,'All Donations'!$T$2:$T$4001,"&lt;="&amp;'Settings'!$D$29),2),0)</f>
        <v/>
      </c>
      <c r="AV363">
        <f>IF(AE363=1,ROUND(SUMIFS('All Donations'!$S$2:$S$4001,'All Donations'!$R$2:$R$4001,AD363,'All Donations'!$T$2:$T$4001,"&lt;="&amp;'Settings'!$D$30),2),0)</f>
        <v/>
      </c>
      <c r="AZ363">
        <f>IF(AE363=1,ROUND(SUMIFS('All Donations'!$S$2:$S$4001,'All Donations'!$R$2:$R$4001,AD363,'All Donations'!$T$2:$T$4001,"&lt;="&amp;'Settings'!$D$34),2),0)</f>
        <v/>
      </c>
    </row>
    <row r="364">
      <c r="A364">
        <f>IF(AE364=1,TRIM(TRIM('Roster'!B364)&amp;" "&amp;TRIM('Roster'!C364)),"")</f>
        <v/>
      </c>
      <c r="B364">
        <f>IF(AE364=1,IF(AN364="","(no teacher)",AN364&amp;" – "&amp;C364),"")</f>
        <v/>
      </c>
      <c r="C364">
        <f>IF(AE364=1,TRIM('Roster'!D364&amp;""),"")</f>
        <v/>
      </c>
      <c r="D364" s="48">
        <f>IF(AE364=1,ROUND(SUMIFS('All Donations'!$S$2:$S$4001,'All Donations'!$R$2:$R$4001,AD364),2),"")</f>
        <v/>
      </c>
      <c r="E364" s="48">
        <f>IF(AE364=1,ROUND(SUMIFS('All Donations'!$S$2:$S$4001,'All Donations'!$R$2:$R$4001,AD364,'All Donations'!$G$2:$G$4001,"OneCause"),2),"")</f>
        <v/>
      </c>
      <c r="F364" s="48">
        <f>IF(AE364=1,D364-E364,"")</f>
        <v/>
      </c>
      <c r="G364">
        <f>IF(AE364=1,COUNTIFS('All Donations'!$R$2:$R$4001,AD364,'All Donations'!$H$2:$H$4001,"OK"),"")</f>
        <v/>
      </c>
      <c r="H364">
        <f>IF(AE364&lt;&gt;1,"",IF(D364&gt;0,"Yes",""))</f>
        <v/>
      </c>
      <c r="I364" s="49">
        <f>IF(OR($AE364&lt;&gt;1,I$1=""),"",SUMIFS('All Donations'!$S$2:$S$4001,'All Donations'!$R$2:$R$4001,$AD364,'All Donations'!$T$2:$T$4001,I$1))</f>
        <v/>
      </c>
      <c r="J364" s="49">
        <f>IF(OR($AE364&lt;&gt;1,J$1=""),"",SUMIFS('All Donations'!$S$2:$S$4001,'All Donations'!$R$2:$R$4001,$AD364,'All Donations'!$T$2:$T$4001,J$1))</f>
        <v/>
      </c>
      <c r="K364" s="49">
        <f>IF(OR($AE364&lt;&gt;1,K$1=""),"",SUMIFS('All Donations'!$S$2:$S$4001,'All Donations'!$R$2:$R$4001,$AD364,'All Donations'!$T$2:$T$4001,K$1))</f>
        <v/>
      </c>
      <c r="L364" s="49">
        <f>IF(OR($AE364&lt;&gt;1,L$1=""),"",SUMIFS('All Donations'!$S$2:$S$4001,'All Donations'!$R$2:$R$4001,$AD364,'All Donations'!$T$2:$T$4001,L$1))</f>
        <v/>
      </c>
      <c r="M364" s="49">
        <f>IF(OR($AE364&lt;&gt;1,M$1=""),"",SUMIFS('All Donations'!$S$2:$S$4001,'All Donations'!$R$2:$R$4001,$AD364,'All Donations'!$T$2:$T$4001,M$1))</f>
        <v/>
      </c>
      <c r="N364" s="49">
        <f>IF(OR($AE364&lt;&gt;1,N$1=""),"",SUMIFS('All Donations'!$S$2:$S$4001,'All Donations'!$R$2:$R$4001,$AD364,'All Donations'!$T$2:$T$4001,N$1))</f>
        <v/>
      </c>
      <c r="O364" s="49">
        <f>IF(OR($AE364&lt;&gt;1,O$1=""),"",SUMIFS('All Donations'!$S$2:$S$4001,'All Donations'!$R$2:$R$4001,$AD364,'All Donations'!$T$2:$T$4001,O$1))</f>
        <v/>
      </c>
      <c r="P364" s="49">
        <f>IF(OR($AE364&lt;&gt;1,P$1=""),"",SUMIFS('All Donations'!$S$2:$S$4001,'All Donations'!$R$2:$R$4001,$AD364,'All Donations'!$T$2:$T$4001,P$1))</f>
        <v/>
      </c>
      <c r="Q364" s="49">
        <f>IF(OR($AE364&lt;&gt;1,Q$1=""),"",SUMIFS('All Donations'!$S$2:$S$4001,'All Donations'!$R$2:$R$4001,$AD364,'All Donations'!$T$2:$T$4001,Q$1))</f>
        <v/>
      </c>
      <c r="R364" s="49">
        <f>IF(OR($AE364&lt;&gt;1,R$1=""),"",SUMIFS('All Donations'!$S$2:$S$4001,'All Donations'!$R$2:$R$4001,$AD364,'All Donations'!$T$2:$T$4001,R$1))</f>
        <v/>
      </c>
      <c r="S364" s="49">
        <f>IF(OR($AE364&lt;&gt;1,S$1=""),"",SUMIFS('All Donations'!$S$2:$S$4001,'All Donations'!$R$2:$R$4001,$AD364,'All Donations'!$T$2:$T$4001,S$1))</f>
        <v/>
      </c>
      <c r="T364" s="49">
        <f>IF(OR($AE364&lt;&gt;1,T$1=""),"",SUMIFS('All Donations'!$S$2:$S$4001,'All Donations'!$R$2:$R$4001,$AD364,'All Donations'!$T$2:$T$4001,T$1))</f>
        <v/>
      </c>
      <c r="U364" s="49">
        <f>IF(OR($AE364&lt;&gt;1,U$1=""),"",SUMIFS('All Donations'!$S$2:$S$4001,'All Donations'!$R$2:$R$4001,$AD364,'All Donations'!$T$2:$T$4001,U$1))</f>
        <v/>
      </c>
      <c r="V364" s="49">
        <f>IF(OR($AE364&lt;&gt;1,V$1=""),"",SUMIFS('All Donations'!$S$2:$S$4001,'All Donations'!$R$2:$R$4001,$AD364,'All Donations'!$T$2:$T$4001,V$1))</f>
        <v/>
      </c>
      <c r="W364" s="49">
        <f>IF(OR($AE364&lt;&gt;1,W$1=""),"",SUMIFS('All Donations'!$S$2:$S$4001,'All Donations'!$R$2:$R$4001,$AD364,'All Donations'!$T$2:$T$4001,W$1))</f>
        <v/>
      </c>
      <c r="X364" s="49">
        <f>IF(OR($AE364&lt;&gt;1,X$1=""),"",SUMIFS('All Donations'!$S$2:$S$4001,'All Donations'!$R$2:$R$4001,$AD364,'All Donations'!$T$2:$T$4001,X$1))</f>
        <v/>
      </c>
      <c r="Y364" s="49">
        <f>IF(OR($AE364&lt;&gt;1,Y$1=""),"",SUMIFS('All Donations'!$S$2:$S$4001,'All Donations'!$R$2:$R$4001,$AD364,'All Donations'!$T$2:$T$4001,Y$1))</f>
        <v/>
      </c>
      <c r="Z364" s="49">
        <f>IF(OR($AE364&lt;&gt;1,Z$1=""),"",SUMIFS('All Donations'!$S$2:$S$4001,'All Donations'!$R$2:$R$4001,$AD364,'All Donations'!$T$2:$T$4001,Z$1))</f>
        <v/>
      </c>
      <c r="AA364" s="49">
        <f>IF(OR($AE364&lt;&gt;1,AA$1=""),"",SUMIFS('All Donations'!$S$2:$S$4001,'All Donations'!$R$2:$R$4001,$AD364,'All Donations'!$T$2:$T$4001,AA$1))</f>
        <v/>
      </c>
      <c r="AB364" s="49">
        <f>IF(OR($AE364&lt;&gt;1,AB$1=""),"",SUMIFS('All Donations'!$S$2:$S$4001,'All Donations'!$R$2:$R$4001,$AD364,'All Donations'!$T$2:$T$4001,AB$1))</f>
        <v/>
      </c>
      <c r="AC364" s="49">
        <f>IF(OR($AE364&lt;&gt;1,AC$1=""),"",SUMIFS('All Donations'!$S$2:$S$4001,'All Donations'!$R$2:$R$4001,$AD364,'All Donations'!$T$2:$T$4001,AC$1))</f>
        <v/>
      </c>
      <c r="AD364">
        <f>IF(AE364=1,'Roster'!A364,"")</f>
        <v/>
      </c>
      <c r="AE364">
        <f>IF(TRIM('Roster'!B364&amp;'Roster'!C364)&lt;&gt;"",1,0)</f>
        <v/>
      </c>
      <c r="AF364">
        <f>IF(AE364=1,LOWER(A364),"#")</f>
        <v/>
      </c>
      <c r="AG364">
        <f>IF(AE364=1,LOWER(TRIM(TRIM('Roster'!C364)&amp;", "&amp;TRIM('Roster'!B364))),"#")</f>
        <v/>
      </c>
      <c r="AH364">
        <f>IF(AND(AE364=1,TRIM('Roster'!F364)&lt;&gt;""),LOWER(TRIM('Roster'!F364)),"#")</f>
        <v/>
      </c>
      <c r="AI364">
        <f>IF(AE364=1,IF(MATCH(B364,$B$2:$B$701,0)=ROW()-1,1,0),0)</f>
        <v/>
      </c>
      <c r="AJ364">
        <f>AJ363+AI364</f>
        <v/>
      </c>
      <c r="AK364">
        <f>IF(AE364=1,D364+(1000-ROW())/10^7,-1)</f>
        <v/>
      </c>
      <c r="AL364">
        <f>IF(AE364=1,TRIM('Roster'!B364)&amp;" "&amp;LEFT(TRIM('Roster'!C364),1)&amp;".","")</f>
        <v/>
      </c>
      <c r="AM364">
        <f>IF(AE364=1,TRIM('Roster'!C364)&amp;", "&amp;TRIM('Roster'!B364)&amp;" ("&amp;B364&amp;") #"&amp;AD364,"")</f>
        <v/>
      </c>
      <c r="AN364">
        <f>IF(AE364=1,TRIM('Roster'!E364),"")</f>
        <v/>
      </c>
      <c r="AO364">
        <f>IF(AE364=1,ROUND(SUMIFS('All Donations'!$S$2:$S$4001,'All Donations'!$R$2:$R$4001,AD364,'All Donations'!$T$2:$T$4001,"&gt;="&amp;'Settings'!$C$23,'All Donations'!$T$2:$T$4001,"&lt;="&amp;'Settings'!$D$23),2),0)</f>
        <v/>
      </c>
      <c r="AQ364">
        <f>IF(AE364=1,ROUND(SUMIFS('All Donations'!$S$2:$S$4001,'All Donations'!$R$2:$R$4001,AD364,'All Donations'!$T$2:$T$4001,"&gt;="&amp;'Settings'!$C$25,'All Donations'!$T$2:$T$4001,"&lt;="&amp;'Settings'!$D$25),2),0)</f>
        <v/>
      </c>
      <c r="AR364">
        <f>IF(AE364=1,ROUND(SUMIFS('All Donations'!$S$2:$S$4001,'All Donations'!$R$2:$R$4001,AD364,'All Donations'!$T$2:$T$4001,"&gt;="&amp;'Settings'!$C$26,'All Donations'!$T$2:$T$4001,"&lt;="&amp;'Settings'!$D$26),2),0)</f>
        <v/>
      </c>
      <c r="AS364">
        <f>IF(AE364=1,ROUND(SUMIFS('All Donations'!$S$2:$S$4001,'All Donations'!$R$2:$R$4001,AD364,'All Donations'!$T$2:$T$4001,"&lt;="&amp;'Settings'!$D$27),2),0)</f>
        <v/>
      </c>
      <c r="AT364">
        <f>IF(AE364=1,ROUND(SUMIFS('All Donations'!$S$2:$S$4001,'All Donations'!$R$2:$R$4001,AD364,'All Donations'!$T$2:$T$4001,"&gt;="&amp;'Settings'!$C$28,'All Donations'!$T$2:$T$4001,"&lt;="&amp;'Settings'!$D$28),2),0)</f>
        <v/>
      </c>
      <c r="AU364">
        <f>IF(AE364=1,ROUND(SUMIFS('All Donations'!$S$2:$S$4001,'All Donations'!$R$2:$R$4001,AD364,'All Donations'!$T$2:$T$4001,"&gt;="&amp;'Settings'!$C$29,'All Donations'!$T$2:$T$4001,"&lt;="&amp;'Settings'!$D$29),2),0)</f>
        <v/>
      </c>
      <c r="AV364">
        <f>IF(AE364=1,ROUND(SUMIFS('All Donations'!$S$2:$S$4001,'All Donations'!$R$2:$R$4001,AD364,'All Donations'!$T$2:$T$4001,"&lt;="&amp;'Settings'!$D$30),2),0)</f>
        <v/>
      </c>
      <c r="AZ364">
        <f>IF(AE364=1,ROUND(SUMIFS('All Donations'!$S$2:$S$4001,'All Donations'!$R$2:$R$4001,AD364,'All Donations'!$T$2:$T$4001,"&lt;="&amp;'Settings'!$D$34),2),0)</f>
        <v/>
      </c>
    </row>
    <row r="365">
      <c r="A365">
        <f>IF(AE365=1,TRIM(TRIM('Roster'!B365)&amp;" "&amp;TRIM('Roster'!C365)),"")</f>
        <v/>
      </c>
      <c r="B365">
        <f>IF(AE365=1,IF(AN365="","(no teacher)",AN365&amp;" – "&amp;C365),"")</f>
        <v/>
      </c>
      <c r="C365">
        <f>IF(AE365=1,TRIM('Roster'!D365&amp;""),"")</f>
        <v/>
      </c>
      <c r="D365" s="48">
        <f>IF(AE365=1,ROUND(SUMIFS('All Donations'!$S$2:$S$4001,'All Donations'!$R$2:$R$4001,AD365),2),"")</f>
        <v/>
      </c>
      <c r="E365" s="48">
        <f>IF(AE365=1,ROUND(SUMIFS('All Donations'!$S$2:$S$4001,'All Donations'!$R$2:$R$4001,AD365,'All Donations'!$G$2:$G$4001,"OneCause"),2),"")</f>
        <v/>
      </c>
      <c r="F365" s="48">
        <f>IF(AE365=1,D365-E365,"")</f>
        <v/>
      </c>
      <c r="G365">
        <f>IF(AE365=1,COUNTIFS('All Donations'!$R$2:$R$4001,AD365,'All Donations'!$H$2:$H$4001,"OK"),"")</f>
        <v/>
      </c>
      <c r="H365">
        <f>IF(AE365&lt;&gt;1,"",IF(D365&gt;0,"Yes",""))</f>
        <v/>
      </c>
      <c r="I365" s="49">
        <f>IF(OR($AE365&lt;&gt;1,I$1=""),"",SUMIFS('All Donations'!$S$2:$S$4001,'All Donations'!$R$2:$R$4001,$AD365,'All Donations'!$T$2:$T$4001,I$1))</f>
        <v/>
      </c>
      <c r="J365" s="49">
        <f>IF(OR($AE365&lt;&gt;1,J$1=""),"",SUMIFS('All Donations'!$S$2:$S$4001,'All Donations'!$R$2:$R$4001,$AD365,'All Donations'!$T$2:$T$4001,J$1))</f>
        <v/>
      </c>
      <c r="K365" s="49">
        <f>IF(OR($AE365&lt;&gt;1,K$1=""),"",SUMIFS('All Donations'!$S$2:$S$4001,'All Donations'!$R$2:$R$4001,$AD365,'All Donations'!$T$2:$T$4001,K$1))</f>
        <v/>
      </c>
      <c r="L365" s="49">
        <f>IF(OR($AE365&lt;&gt;1,L$1=""),"",SUMIFS('All Donations'!$S$2:$S$4001,'All Donations'!$R$2:$R$4001,$AD365,'All Donations'!$T$2:$T$4001,L$1))</f>
        <v/>
      </c>
      <c r="M365" s="49">
        <f>IF(OR($AE365&lt;&gt;1,M$1=""),"",SUMIFS('All Donations'!$S$2:$S$4001,'All Donations'!$R$2:$R$4001,$AD365,'All Donations'!$T$2:$T$4001,M$1))</f>
        <v/>
      </c>
      <c r="N365" s="49">
        <f>IF(OR($AE365&lt;&gt;1,N$1=""),"",SUMIFS('All Donations'!$S$2:$S$4001,'All Donations'!$R$2:$R$4001,$AD365,'All Donations'!$T$2:$T$4001,N$1))</f>
        <v/>
      </c>
      <c r="O365" s="49">
        <f>IF(OR($AE365&lt;&gt;1,O$1=""),"",SUMIFS('All Donations'!$S$2:$S$4001,'All Donations'!$R$2:$R$4001,$AD365,'All Donations'!$T$2:$T$4001,O$1))</f>
        <v/>
      </c>
      <c r="P365" s="49">
        <f>IF(OR($AE365&lt;&gt;1,P$1=""),"",SUMIFS('All Donations'!$S$2:$S$4001,'All Donations'!$R$2:$R$4001,$AD365,'All Donations'!$T$2:$T$4001,P$1))</f>
        <v/>
      </c>
      <c r="Q365" s="49">
        <f>IF(OR($AE365&lt;&gt;1,Q$1=""),"",SUMIFS('All Donations'!$S$2:$S$4001,'All Donations'!$R$2:$R$4001,$AD365,'All Donations'!$T$2:$T$4001,Q$1))</f>
        <v/>
      </c>
      <c r="R365" s="49">
        <f>IF(OR($AE365&lt;&gt;1,R$1=""),"",SUMIFS('All Donations'!$S$2:$S$4001,'All Donations'!$R$2:$R$4001,$AD365,'All Donations'!$T$2:$T$4001,R$1))</f>
        <v/>
      </c>
      <c r="S365" s="49">
        <f>IF(OR($AE365&lt;&gt;1,S$1=""),"",SUMIFS('All Donations'!$S$2:$S$4001,'All Donations'!$R$2:$R$4001,$AD365,'All Donations'!$T$2:$T$4001,S$1))</f>
        <v/>
      </c>
      <c r="T365" s="49">
        <f>IF(OR($AE365&lt;&gt;1,T$1=""),"",SUMIFS('All Donations'!$S$2:$S$4001,'All Donations'!$R$2:$R$4001,$AD365,'All Donations'!$T$2:$T$4001,T$1))</f>
        <v/>
      </c>
      <c r="U365" s="49">
        <f>IF(OR($AE365&lt;&gt;1,U$1=""),"",SUMIFS('All Donations'!$S$2:$S$4001,'All Donations'!$R$2:$R$4001,$AD365,'All Donations'!$T$2:$T$4001,U$1))</f>
        <v/>
      </c>
      <c r="V365" s="49">
        <f>IF(OR($AE365&lt;&gt;1,V$1=""),"",SUMIFS('All Donations'!$S$2:$S$4001,'All Donations'!$R$2:$R$4001,$AD365,'All Donations'!$T$2:$T$4001,V$1))</f>
        <v/>
      </c>
      <c r="W365" s="49">
        <f>IF(OR($AE365&lt;&gt;1,W$1=""),"",SUMIFS('All Donations'!$S$2:$S$4001,'All Donations'!$R$2:$R$4001,$AD365,'All Donations'!$T$2:$T$4001,W$1))</f>
        <v/>
      </c>
      <c r="X365" s="49">
        <f>IF(OR($AE365&lt;&gt;1,X$1=""),"",SUMIFS('All Donations'!$S$2:$S$4001,'All Donations'!$R$2:$R$4001,$AD365,'All Donations'!$T$2:$T$4001,X$1))</f>
        <v/>
      </c>
      <c r="Y365" s="49">
        <f>IF(OR($AE365&lt;&gt;1,Y$1=""),"",SUMIFS('All Donations'!$S$2:$S$4001,'All Donations'!$R$2:$R$4001,$AD365,'All Donations'!$T$2:$T$4001,Y$1))</f>
        <v/>
      </c>
      <c r="Z365" s="49">
        <f>IF(OR($AE365&lt;&gt;1,Z$1=""),"",SUMIFS('All Donations'!$S$2:$S$4001,'All Donations'!$R$2:$R$4001,$AD365,'All Donations'!$T$2:$T$4001,Z$1))</f>
        <v/>
      </c>
      <c r="AA365" s="49">
        <f>IF(OR($AE365&lt;&gt;1,AA$1=""),"",SUMIFS('All Donations'!$S$2:$S$4001,'All Donations'!$R$2:$R$4001,$AD365,'All Donations'!$T$2:$T$4001,AA$1))</f>
        <v/>
      </c>
      <c r="AB365" s="49">
        <f>IF(OR($AE365&lt;&gt;1,AB$1=""),"",SUMIFS('All Donations'!$S$2:$S$4001,'All Donations'!$R$2:$R$4001,$AD365,'All Donations'!$T$2:$T$4001,AB$1))</f>
        <v/>
      </c>
      <c r="AC365" s="49">
        <f>IF(OR($AE365&lt;&gt;1,AC$1=""),"",SUMIFS('All Donations'!$S$2:$S$4001,'All Donations'!$R$2:$R$4001,$AD365,'All Donations'!$T$2:$T$4001,AC$1))</f>
        <v/>
      </c>
      <c r="AD365">
        <f>IF(AE365=1,'Roster'!A365,"")</f>
        <v/>
      </c>
      <c r="AE365">
        <f>IF(TRIM('Roster'!B365&amp;'Roster'!C365)&lt;&gt;"",1,0)</f>
        <v/>
      </c>
      <c r="AF365">
        <f>IF(AE365=1,LOWER(A365),"#")</f>
        <v/>
      </c>
      <c r="AG365">
        <f>IF(AE365=1,LOWER(TRIM(TRIM('Roster'!C365)&amp;", "&amp;TRIM('Roster'!B365))),"#")</f>
        <v/>
      </c>
      <c r="AH365">
        <f>IF(AND(AE365=1,TRIM('Roster'!F365)&lt;&gt;""),LOWER(TRIM('Roster'!F365)),"#")</f>
        <v/>
      </c>
      <c r="AI365">
        <f>IF(AE365=1,IF(MATCH(B365,$B$2:$B$701,0)=ROW()-1,1,0),0)</f>
        <v/>
      </c>
      <c r="AJ365">
        <f>AJ364+AI365</f>
        <v/>
      </c>
      <c r="AK365">
        <f>IF(AE365=1,D365+(1000-ROW())/10^7,-1)</f>
        <v/>
      </c>
      <c r="AL365">
        <f>IF(AE365=1,TRIM('Roster'!B365)&amp;" "&amp;LEFT(TRIM('Roster'!C365),1)&amp;".","")</f>
        <v/>
      </c>
      <c r="AM365">
        <f>IF(AE365=1,TRIM('Roster'!C365)&amp;", "&amp;TRIM('Roster'!B365)&amp;" ("&amp;B365&amp;") #"&amp;AD365,"")</f>
        <v/>
      </c>
      <c r="AN365">
        <f>IF(AE365=1,TRIM('Roster'!E365),"")</f>
        <v/>
      </c>
      <c r="AO365">
        <f>IF(AE365=1,ROUND(SUMIFS('All Donations'!$S$2:$S$4001,'All Donations'!$R$2:$R$4001,AD365,'All Donations'!$T$2:$T$4001,"&gt;="&amp;'Settings'!$C$23,'All Donations'!$T$2:$T$4001,"&lt;="&amp;'Settings'!$D$23),2),0)</f>
        <v/>
      </c>
      <c r="AQ365">
        <f>IF(AE365=1,ROUND(SUMIFS('All Donations'!$S$2:$S$4001,'All Donations'!$R$2:$R$4001,AD365,'All Donations'!$T$2:$T$4001,"&gt;="&amp;'Settings'!$C$25,'All Donations'!$T$2:$T$4001,"&lt;="&amp;'Settings'!$D$25),2),0)</f>
        <v/>
      </c>
      <c r="AR365">
        <f>IF(AE365=1,ROUND(SUMIFS('All Donations'!$S$2:$S$4001,'All Donations'!$R$2:$R$4001,AD365,'All Donations'!$T$2:$T$4001,"&gt;="&amp;'Settings'!$C$26,'All Donations'!$T$2:$T$4001,"&lt;="&amp;'Settings'!$D$26),2),0)</f>
        <v/>
      </c>
      <c r="AS365">
        <f>IF(AE365=1,ROUND(SUMIFS('All Donations'!$S$2:$S$4001,'All Donations'!$R$2:$R$4001,AD365,'All Donations'!$T$2:$T$4001,"&lt;="&amp;'Settings'!$D$27),2),0)</f>
        <v/>
      </c>
      <c r="AT365">
        <f>IF(AE365=1,ROUND(SUMIFS('All Donations'!$S$2:$S$4001,'All Donations'!$R$2:$R$4001,AD365,'All Donations'!$T$2:$T$4001,"&gt;="&amp;'Settings'!$C$28,'All Donations'!$T$2:$T$4001,"&lt;="&amp;'Settings'!$D$28),2),0)</f>
        <v/>
      </c>
      <c r="AU365">
        <f>IF(AE365=1,ROUND(SUMIFS('All Donations'!$S$2:$S$4001,'All Donations'!$R$2:$R$4001,AD365,'All Donations'!$T$2:$T$4001,"&gt;="&amp;'Settings'!$C$29,'All Donations'!$T$2:$T$4001,"&lt;="&amp;'Settings'!$D$29),2),0)</f>
        <v/>
      </c>
      <c r="AV365">
        <f>IF(AE365=1,ROUND(SUMIFS('All Donations'!$S$2:$S$4001,'All Donations'!$R$2:$R$4001,AD365,'All Donations'!$T$2:$T$4001,"&lt;="&amp;'Settings'!$D$30),2),0)</f>
        <v/>
      </c>
      <c r="AZ365">
        <f>IF(AE365=1,ROUND(SUMIFS('All Donations'!$S$2:$S$4001,'All Donations'!$R$2:$R$4001,AD365,'All Donations'!$T$2:$T$4001,"&lt;="&amp;'Settings'!$D$34),2),0)</f>
        <v/>
      </c>
    </row>
    <row r="366">
      <c r="A366">
        <f>IF(AE366=1,TRIM(TRIM('Roster'!B366)&amp;" "&amp;TRIM('Roster'!C366)),"")</f>
        <v/>
      </c>
      <c r="B366">
        <f>IF(AE366=1,IF(AN366="","(no teacher)",AN366&amp;" – "&amp;C366),"")</f>
        <v/>
      </c>
      <c r="C366">
        <f>IF(AE366=1,TRIM('Roster'!D366&amp;""),"")</f>
        <v/>
      </c>
      <c r="D366" s="48">
        <f>IF(AE366=1,ROUND(SUMIFS('All Donations'!$S$2:$S$4001,'All Donations'!$R$2:$R$4001,AD366),2),"")</f>
        <v/>
      </c>
      <c r="E366" s="48">
        <f>IF(AE366=1,ROUND(SUMIFS('All Donations'!$S$2:$S$4001,'All Donations'!$R$2:$R$4001,AD366,'All Donations'!$G$2:$G$4001,"OneCause"),2),"")</f>
        <v/>
      </c>
      <c r="F366" s="48">
        <f>IF(AE366=1,D366-E366,"")</f>
        <v/>
      </c>
      <c r="G366">
        <f>IF(AE366=1,COUNTIFS('All Donations'!$R$2:$R$4001,AD366,'All Donations'!$H$2:$H$4001,"OK"),"")</f>
        <v/>
      </c>
      <c r="H366">
        <f>IF(AE366&lt;&gt;1,"",IF(D366&gt;0,"Yes",""))</f>
        <v/>
      </c>
      <c r="I366" s="49">
        <f>IF(OR($AE366&lt;&gt;1,I$1=""),"",SUMIFS('All Donations'!$S$2:$S$4001,'All Donations'!$R$2:$R$4001,$AD366,'All Donations'!$T$2:$T$4001,I$1))</f>
        <v/>
      </c>
      <c r="J366" s="49">
        <f>IF(OR($AE366&lt;&gt;1,J$1=""),"",SUMIFS('All Donations'!$S$2:$S$4001,'All Donations'!$R$2:$R$4001,$AD366,'All Donations'!$T$2:$T$4001,J$1))</f>
        <v/>
      </c>
      <c r="K366" s="49">
        <f>IF(OR($AE366&lt;&gt;1,K$1=""),"",SUMIFS('All Donations'!$S$2:$S$4001,'All Donations'!$R$2:$R$4001,$AD366,'All Donations'!$T$2:$T$4001,K$1))</f>
        <v/>
      </c>
      <c r="L366" s="49">
        <f>IF(OR($AE366&lt;&gt;1,L$1=""),"",SUMIFS('All Donations'!$S$2:$S$4001,'All Donations'!$R$2:$R$4001,$AD366,'All Donations'!$T$2:$T$4001,L$1))</f>
        <v/>
      </c>
      <c r="M366" s="49">
        <f>IF(OR($AE366&lt;&gt;1,M$1=""),"",SUMIFS('All Donations'!$S$2:$S$4001,'All Donations'!$R$2:$R$4001,$AD366,'All Donations'!$T$2:$T$4001,M$1))</f>
        <v/>
      </c>
      <c r="N366" s="49">
        <f>IF(OR($AE366&lt;&gt;1,N$1=""),"",SUMIFS('All Donations'!$S$2:$S$4001,'All Donations'!$R$2:$R$4001,$AD366,'All Donations'!$T$2:$T$4001,N$1))</f>
        <v/>
      </c>
      <c r="O366" s="49">
        <f>IF(OR($AE366&lt;&gt;1,O$1=""),"",SUMIFS('All Donations'!$S$2:$S$4001,'All Donations'!$R$2:$R$4001,$AD366,'All Donations'!$T$2:$T$4001,O$1))</f>
        <v/>
      </c>
      <c r="P366" s="49">
        <f>IF(OR($AE366&lt;&gt;1,P$1=""),"",SUMIFS('All Donations'!$S$2:$S$4001,'All Donations'!$R$2:$R$4001,$AD366,'All Donations'!$T$2:$T$4001,P$1))</f>
        <v/>
      </c>
      <c r="Q366" s="49">
        <f>IF(OR($AE366&lt;&gt;1,Q$1=""),"",SUMIFS('All Donations'!$S$2:$S$4001,'All Donations'!$R$2:$R$4001,$AD366,'All Donations'!$T$2:$T$4001,Q$1))</f>
        <v/>
      </c>
      <c r="R366" s="49">
        <f>IF(OR($AE366&lt;&gt;1,R$1=""),"",SUMIFS('All Donations'!$S$2:$S$4001,'All Donations'!$R$2:$R$4001,$AD366,'All Donations'!$T$2:$T$4001,R$1))</f>
        <v/>
      </c>
      <c r="S366" s="49">
        <f>IF(OR($AE366&lt;&gt;1,S$1=""),"",SUMIFS('All Donations'!$S$2:$S$4001,'All Donations'!$R$2:$R$4001,$AD366,'All Donations'!$T$2:$T$4001,S$1))</f>
        <v/>
      </c>
      <c r="T366" s="49">
        <f>IF(OR($AE366&lt;&gt;1,T$1=""),"",SUMIFS('All Donations'!$S$2:$S$4001,'All Donations'!$R$2:$R$4001,$AD366,'All Donations'!$T$2:$T$4001,T$1))</f>
        <v/>
      </c>
      <c r="U366" s="49">
        <f>IF(OR($AE366&lt;&gt;1,U$1=""),"",SUMIFS('All Donations'!$S$2:$S$4001,'All Donations'!$R$2:$R$4001,$AD366,'All Donations'!$T$2:$T$4001,U$1))</f>
        <v/>
      </c>
      <c r="V366" s="49">
        <f>IF(OR($AE366&lt;&gt;1,V$1=""),"",SUMIFS('All Donations'!$S$2:$S$4001,'All Donations'!$R$2:$R$4001,$AD366,'All Donations'!$T$2:$T$4001,V$1))</f>
        <v/>
      </c>
      <c r="W366" s="49">
        <f>IF(OR($AE366&lt;&gt;1,W$1=""),"",SUMIFS('All Donations'!$S$2:$S$4001,'All Donations'!$R$2:$R$4001,$AD366,'All Donations'!$T$2:$T$4001,W$1))</f>
        <v/>
      </c>
      <c r="X366" s="49">
        <f>IF(OR($AE366&lt;&gt;1,X$1=""),"",SUMIFS('All Donations'!$S$2:$S$4001,'All Donations'!$R$2:$R$4001,$AD366,'All Donations'!$T$2:$T$4001,X$1))</f>
        <v/>
      </c>
      <c r="Y366" s="49">
        <f>IF(OR($AE366&lt;&gt;1,Y$1=""),"",SUMIFS('All Donations'!$S$2:$S$4001,'All Donations'!$R$2:$R$4001,$AD366,'All Donations'!$T$2:$T$4001,Y$1))</f>
        <v/>
      </c>
      <c r="Z366" s="49">
        <f>IF(OR($AE366&lt;&gt;1,Z$1=""),"",SUMIFS('All Donations'!$S$2:$S$4001,'All Donations'!$R$2:$R$4001,$AD366,'All Donations'!$T$2:$T$4001,Z$1))</f>
        <v/>
      </c>
      <c r="AA366" s="49">
        <f>IF(OR($AE366&lt;&gt;1,AA$1=""),"",SUMIFS('All Donations'!$S$2:$S$4001,'All Donations'!$R$2:$R$4001,$AD366,'All Donations'!$T$2:$T$4001,AA$1))</f>
        <v/>
      </c>
      <c r="AB366" s="49">
        <f>IF(OR($AE366&lt;&gt;1,AB$1=""),"",SUMIFS('All Donations'!$S$2:$S$4001,'All Donations'!$R$2:$R$4001,$AD366,'All Donations'!$T$2:$T$4001,AB$1))</f>
        <v/>
      </c>
      <c r="AC366" s="49">
        <f>IF(OR($AE366&lt;&gt;1,AC$1=""),"",SUMIFS('All Donations'!$S$2:$S$4001,'All Donations'!$R$2:$R$4001,$AD366,'All Donations'!$T$2:$T$4001,AC$1))</f>
        <v/>
      </c>
      <c r="AD366">
        <f>IF(AE366=1,'Roster'!A366,"")</f>
        <v/>
      </c>
      <c r="AE366">
        <f>IF(TRIM('Roster'!B366&amp;'Roster'!C366)&lt;&gt;"",1,0)</f>
        <v/>
      </c>
      <c r="AF366">
        <f>IF(AE366=1,LOWER(A366),"#")</f>
        <v/>
      </c>
      <c r="AG366">
        <f>IF(AE366=1,LOWER(TRIM(TRIM('Roster'!C366)&amp;", "&amp;TRIM('Roster'!B366))),"#")</f>
        <v/>
      </c>
      <c r="AH366">
        <f>IF(AND(AE366=1,TRIM('Roster'!F366)&lt;&gt;""),LOWER(TRIM('Roster'!F366)),"#")</f>
        <v/>
      </c>
      <c r="AI366">
        <f>IF(AE366=1,IF(MATCH(B366,$B$2:$B$701,0)=ROW()-1,1,0),0)</f>
        <v/>
      </c>
      <c r="AJ366">
        <f>AJ365+AI366</f>
        <v/>
      </c>
      <c r="AK366">
        <f>IF(AE366=1,D366+(1000-ROW())/10^7,-1)</f>
        <v/>
      </c>
      <c r="AL366">
        <f>IF(AE366=1,TRIM('Roster'!B366)&amp;" "&amp;LEFT(TRIM('Roster'!C366),1)&amp;".","")</f>
        <v/>
      </c>
      <c r="AM366">
        <f>IF(AE366=1,TRIM('Roster'!C366)&amp;", "&amp;TRIM('Roster'!B366)&amp;" ("&amp;B366&amp;") #"&amp;AD366,"")</f>
        <v/>
      </c>
      <c r="AN366">
        <f>IF(AE366=1,TRIM('Roster'!E366),"")</f>
        <v/>
      </c>
      <c r="AO366">
        <f>IF(AE366=1,ROUND(SUMIFS('All Donations'!$S$2:$S$4001,'All Donations'!$R$2:$R$4001,AD366,'All Donations'!$T$2:$T$4001,"&gt;="&amp;'Settings'!$C$23,'All Donations'!$T$2:$T$4001,"&lt;="&amp;'Settings'!$D$23),2),0)</f>
        <v/>
      </c>
      <c r="AQ366">
        <f>IF(AE366=1,ROUND(SUMIFS('All Donations'!$S$2:$S$4001,'All Donations'!$R$2:$R$4001,AD366,'All Donations'!$T$2:$T$4001,"&gt;="&amp;'Settings'!$C$25,'All Donations'!$T$2:$T$4001,"&lt;="&amp;'Settings'!$D$25),2),0)</f>
        <v/>
      </c>
      <c r="AR366">
        <f>IF(AE366=1,ROUND(SUMIFS('All Donations'!$S$2:$S$4001,'All Donations'!$R$2:$R$4001,AD366,'All Donations'!$T$2:$T$4001,"&gt;="&amp;'Settings'!$C$26,'All Donations'!$T$2:$T$4001,"&lt;="&amp;'Settings'!$D$26),2),0)</f>
        <v/>
      </c>
      <c r="AS366">
        <f>IF(AE366=1,ROUND(SUMIFS('All Donations'!$S$2:$S$4001,'All Donations'!$R$2:$R$4001,AD366,'All Donations'!$T$2:$T$4001,"&lt;="&amp;'Settings'!$D$27),2),0)</f>
        <v/>
      </c>
      <c r="AT366">
        <f>IF(AE366=1,ROUND(SUMIFS('All Donations'!$S$2:$S$4001,'All Donations'!$R$2:$R$4001,AD366,'All Donations'!$T$2:$T$4001,"&gt;="&amp;'Settings'!$C$28,'All Donations'!$T$2:$T$4001,"&lt;="&amp;'Settings'!$D$28),2),0)</f>
        <v/>
      </c>
      <c r="AU366">
        <f>IF(AE366=1,ROUND(SUMIFS('All Donations'!$S$2:$S$4001,'All Donations'!$R$2:$R$4001,AD366,'All Donations'!$T$2:$T$4001,"&gt;="&amp;'Settings'!$C$29,'All Donations'!$T$2:$T$4001,"&lt;="&amp;'Settings'!$D$29),2),0)</f>
        <v/>
      </c>
      <c r="AV366">
        <f>IF(AE366=1,ROUND(SUMIFS('All Donations'!$S$2:$S$4001,'All Donations'!$R$2:$R$4001,AD366,'All Donations'!$T$2:$T$4001,"&lt;="&amp;'Settings'!$D$30),2),0)</f>
        <v/>
      </c>
      <c r="AZ366">
        <f>IF(AE366=1,ROUND(SUMIFS('All Donations'!$S$2:$S$4001,'All Donations'!$R$2:$R$4001,AD366,'All Donations'!$T$2:$T$4001,"&lt;="&amp;'Settings'!$D$34),2),0)</f>
        <v/>
      </c>
    </row>
    <row r="367">
      <c r="A367">
        <f>IF(AE367=1,TRIM(TRIM('Roster'!B367)&amp;" "&amp;TRIM('Roster'!C367)),"")</f>
        <v/>
      </c>
      <c r="B367">
        <f>IF(AE367=1,IF(AN367="","(no teacher)",AN367&amp;" – "&amp;C367),"")</f>
        <v/>
      </c>
      <c r="C367">
        <f>IF(AE367=1,TRIM('Roster'!D367&amp;""),"")</f>
        <v/>
      </c>
      <c r="D367" s="48">
        <f>IF(AE367=1,ROUND(SUMIFS('All Donations'!$S$2:$S$4001,'All Donations'!$R$2:$R$4001,AD367),2),"")</f>
        <v/>
      </c>
      <c r="E367" s="48">
        <f>IF(AE367=1,ROUND(SUMIFS('All Donations'!$S$2:$S$4001,'All Donations'!$R$2:$R$4001,AD367,'All Donations'!$G$2:$G$4001,"OneCause"),2),"")</f>
        <v/>
      </c>
      <c r="F367" s="48">
        <f>IF(AE367=1,D367-E367,"")</f>
        <v/>
      </c>
      <c r="G367">
        <f>IF(AE367=1,COUNTIFS('All Donations'!$R$2:$R$4001,AD367,'All Donations'!$H$2:$H$4001,"OK"),"")</f>
        <v/>
      </c>
      <c r="H367">
        <f>IF(AE367&lt;&gt;1,"",IF(D367&gt;0,"Yes",""))</f>
        <v/>
      </c>
      <c r="I367" s="49">
        <f>IF(OR($AE367&lt;&gt;1,I$1=""),"",SUMIFS('All Donations'!$S$2:$S$4001,'All Donations'!$R$2:$R$4001,$AD367,'All Donations'!$T$2:$T$4001,I$1))</f>
        <v/>
      </c>
      <c r="J367" s="49">
        <f>IF(OR($AE367&lt;&gt;1,J$1=""),"",SUMIFS('All Donations'!$S$2:$S$4001,'All Donations'!$R$2:$R$4001,$AD367,'All Donations'!$T$2:$T$4001,J$1))</f>
        <v/>
      </c>
      <c r="K367" s="49">
        <f>IF(OR($AE367&lt;&gt;1,K$1=""),"",SUMIFS('All Donations'!$S$2:$S$4001,'All Donations'!$R$2:$R$4001,$AD367,'All Donations'!$T$2:$T$4001,K$1))</f>
        <v/>
      </c>
      <c r="L367" s="49">
        <f>IF(OR($AE367&lt;&gt;1,L$1=""),"",SUMIFS('All Donations'!$S$2:$S$4001,'All Donations'!$R$2:$R$4001,$AD367,'All Donations'!$T$2:$T$4001,L$1))</f>
        <v/>
      </c>
      <c r="M367" s="49">
        <f>IF(OR($AE367&lt;&gt;1,M$1=""),"",SUMIFS('All Donations'!$S$2:$S$4001,'All Donations'!$R$2:$R$4001,$AD367,'All Donations'!$T$2:$T$4001,M$1))</f>
        <v/>
      </c>
      <c r="N367" s="49">
        <f>IF(OR($AE367&lt;&gt;1,N$1=""),"",SUMIFS('All Donations'!$S$2:$S$4001,'All Donations'!$R$2:$R$4001,$AD367,'All Donations'!$T$2:$T$4001,N$1))</f>
        <v/>
      </c>
      <c r="O367" s="49">
        <f>IF(OR($AE367&lt;&gt;1,O$1=""),"",SUMIFS('All Donations'!$S$2:$S$4001,'All Donations'!$R$2:$R$4001,$AD367,'All Donations'!$T$2:$T$4001,O$1))</f>
        <v/>
      </c>
      <c r="P367" s="49">
        <f>IF(OR($AE367&lt;&gt;1,P$1=""),"",SUMIFS('All Donations'!$S$2:$S$4001,'All Donations'!$R$2:$R$4001,$AD367,'All Donations'!$T$2:$T$4001,P$1))</f>
        <v/>
      </c>
      <c r="Q367" s="49">
        <f>IF(OR($AE367&lt;&gt;1,Q$1=""),"",SUMIFS('All Donations'!$S$2:$S$4001,'All Donations'!$R$2:$R$4001,$AD367,'All Donations'!$T$2:$T$4001,Q$1))</f>
        <v/>
      </c>
      <c r="R367" s="49">
        <f>IF(OR($AE367&lt;&gt;1,R$1=""),"",SUMIFS('All Donations'!$S$2:$S$4001,'All Donations'!$R$2:$R$4001,$AD367,'All Donations'!$T$2:$T$4001,R$1))</f>
        <v/>
      </c>
      <c r="S367" s="49">
        <f>IF(OR($AE367&lt;&gt;1,S$1=""),"",SUMIFS('All Donations'!$S$2:$S$4001,'All Donations'!$R$2:$R$4001,$AD367,'All Donations'!$T$2:$T$4001,S$1))</f>
        <v/>
      </c>
      <c r="T367" s="49">
        <f>IF(OR($AE367&lt;&gt;1,T$1=""),"",SUMIFS('All Donations'!$S$2:$S$4001,'All Donations'!$R$2:$R$4001,$AD367,'All Donations'!$T$2:$T$4001,T$1))</f>
        <v/>
      </c>
      <c r="U367" s="49">
        <f>IF(OR($AE367&lt;&gt;1,U$1=""),"",SUMIFS('All Donations'!$S$2:$S$4001,'All Donations'!$R$2:$R$4001,$AD367,'All Donations'!$T$2:$T$4001,U$1))</f>
        <v/>
      </c>
      <c r="V367" s="49">
        <f>IF(OR($AE367&lt;&gt;1,V$1=""),"",SUMIFS('All Donations'!$S$2:$S$4001,'All Donations'!$R$2:$R$4001,$AD367,'All Donations'!$T$2:$T$4001,V$1))</f>
        <v/>
      </c>
      <c r="W367" s="49">
        <f>IF(OR($AE367&lt;&gt;1,W$1=""),"",SUMIFS('All Donations'!$S$2:$S$4001,'All Donations'!$R$2:$R$4001,$AD367,'All Donations'!$T$2:$T$4001,W$1))</f>
        <v/>
      </c>
      <c r="X367" s="49">
        <f>IF(OR($AE367&lt;&gt;1,X$1=""),"",SUMIFS('All Donations'!$S$2:$S$4001,'All Donations'!$R$2:$R$4001,$AD367,'All Donations'!$T$2:$T$4001,X$1))</f>
        <v/>
      </c>
      <c r="Y367" s="49">
        <f>IF(OR($AE367&lt;&gt;1,Y$1=""),"",SUMIFS('All Donations'!$S$2:$S$4001,'All Donations'!$R$2:$R$4001,$AD367,'All Donations'!$T$2:$T$4001,Y$1))</f>
        <v/>
      </c>
      <c r="Z367" s="49">
        <f>IF(OR($AE367&lt;&gt;1,Z$1=""),"",SUMIFS('All Donations'!$S$2:$S$4001,'All Donations'!$R$2:$R$4001,$AD367,'All Donations'!$T$2:$T$4001,Z$1))</f>
        <v/>
      </c>
      <c r="AA367" s="49">
        <f>IF(OR($AE367&lt;&gt;1,AA$1=""),"",SUMIFS('All Donations'!$S$2:$S$4001,'All Donations'!$R$2:$R$4001,$AD367,'All Donations'!$T$2:$T$4001,AA$1))</f>
        <v/>
      </c>
      <c r="AB367" s="49">
        <f>IF(OR($AE367&lt;&gt;1,AB$1=""),"",SUMIFS('All Donations'!$S$2:$S$4001,'All Donations'!$R$2:$R$4001,$AD367,'All Donations'!$T$2:$T$4001,AB$1))</f>
        <v/>
      </c>
      <c r="AC367" s="49">
        <f>IF(OR($AE367&lt;&gt;1,AC$1=""),"",SUMIFS('All Donations'!$S$2:$S$4001,'All Donations'!$R$2:$R$4001,$AD367,'All Donations'!$T$2:$T$4001,AC$1))</f>
        <v/>
      </c>
      <c r="AD367">
        <f>IF(AE367=1,'Roster'!A367,"")</f>
        <v/>
      </c>
      <c r="AE367">
        <f>IF(TRIM('Roster'!B367&amp;'Roster'!C367)&lt;&gt;"",1,0)</f>
        <v/>
      </c>
      <c r="AF367">
        <f>IF(AE367=1,LOWER(A367),"#")</f>
        <v/>
      </c>
      <c r="AG367">
        <f>IF(AE367=1,LOWER(TRIM(TRIM('Roster'!C367)&amp;", "&amp;TRIM('Roster'!B367))),"#")</f>
        <v/>
      </c>
      <c r="AH367">
        <f>IF(AND(AE367=1,TRIM('Roster'!F367)&lt;&gt;""),LOWER(TRIM('Roster'!F367)),"#")</f>
        <v/>
      </c>
      <c r="AI367">
        <f>IF(AE367=1,IF(MATCH(B367,$B$2:$B$701,0)=ROW()-1,1,0),0)</f>
        <v/>
      </c>
      <c r="AJ367">
        <f>AJ366+AI367</f>
        <v/>
      </c>
      <c r="AK367">
        <f>IF(AE367=1,D367+(1000-ROW())/10^7,-1)</f>
        <v/>
      </c>
      <c r="AL367">
        <f>IF(AE367=1,TRIM('Roster'!B367)&amp;" "&amp;LEFT(TRIM('Roster'!C367),1)&amp;".","")</f>
        <v/>
      </c>
      <c r="AM367">
        <f>IF(AE367=1,TRIM('Roster'!C367)&amp;", "&amp;TRIM('Roster'!B367)&amp;" ("&amp;B367&amp;") #"&amp;AD367,"")</f>
        <v/>
      </c>
      <c r="AN367">
        <f>IF(AE367=1,TRIM('Roster'!E367),"")</f>
        <v/>
      </c>
      <c r="AO367">
        <f>IF(AE367=1,ROUND(SUMIFS('All Donations'!$S$2:$S$4001,'All Donations'!$R$2:$R$4001,AD367,'All Donations'!$T$2:$T$4001,"&gt;="&amp;'Settings'!$C$23,'All Donations'!$T$2:$T$4001,"&lt;="&amp;'Settings'!$D$23),2),0)</f>
        <v/>
      </c>
      <c r="AQ367">
        <f>IF(AE367=1,ROUND(SUMIFS('All Donations'!$S$2:$S$4001,'All Donations'!$R$2:$R$4001,AD367,'All Donations'!$T$2:$T$4001,"&gt;="&amp;'Settings'!$C$25,'All Donations'!$T$2:$T$4001,"&lt;="&amp;'Settings'!$D$25),2),0)</f>
        <v/>
      </c>
      <c r="AR367">
        <f>IF(AE367=1,ROUND(SUMIFS('All Donations'!$S$2:$S$4001,'All Donations'!$R$2:$R$4001,AD367,'All Donations'!$T$2:$T$4001,"&gt;="&amp;'Settings'!$C$26,'All Donations'!$T$2:$T$4001,"&lt;="&amp;'Settings'!$D$26),2),0)</f>
        <v/>
      </c>
      <c r="AS367">
        <f>IF(AE367=1,ROUND(SUMIFS('All Donations'!$S$2:$S$4001,'All Donations'!$R$2:$R$4001,AD367,'All Donations'!$T$2:$T$4001,"&lt;="&amp;'Settings'!$D$27),2),0)</f>
        <v/>
      </c>
      <c r="AT367">
        <f>IF(AE367=1,ROUND(SUMIFS('All Donations'!$S$2:$S$4001,'All Donations'!$R$2:$R$4001,AD367,'All Donations'!$T$2:$T$4001,"&gt;="&amp;'Settings'!$C$28,'All Donations'!$T$2:$T$4001,"&lt;="&amp;'Settings'!$D$28),2),0)</f>
        <v/>
      </c>
      <c r="AU367">
        <f>IF(AE367=1,ROUND(SUMIFS('All Donations'!$S$2:$S$4001,'All Donations'!$R$2:$R$4001,AD367,'All Donations'!$T$2:$T$4001,"&gt;="&amp;'Settings'!$C$29,'All Donations'!$T$2:$T$4001,"&lt;="&amp;'Settings'!$D$29),2),0)</f>
        <v/>
      </c>
      <c r="AV367">
        <f>IF(AE367=1,ROUND(SUMIFS('All Donations'!$S$2:$S$4001,'All Donations'!$R$2:$R$4001,AD367,'All Donations'!$T$2:$T$4001,"&lt;="&amp;'Settings'!$D$30),2),0)</f>
        <v/>
      </c>
      <c r="AZ367">
        <f>IF(AE367=1,ROUND(SUMIFS('All Donations'!$S$2:$S$4001,'All Donations'!$R$2:$R$4001,AD367,'All Donations'!$T$2:$T$4001,"&lt;="&amp;'Settings'!$D$34),2),0)</f>
        <v/>
      </c>
    </row>
    <row r="368">
      <c r="A368">
        <f>IF(AE368=1,TRIM(TRIM('Roster'!B368)&amp;" "&amp;TRIM('Roster'!C368)),"")</f>
        <v/>
      </c>
      <c r="B368">
        <f>IF(AE368=1,IF(AN368="","(no teacher)",AN368&amp;" – "&amp;C368),"")</f>
        <v/>
      </c>
      <c r="C368">
        <f>IF(AE368=1,TRIM('Roster'!D368&amp;""),"")</f>
        <v/>
      </c>
      <c r="D368" s="48">
        <f>IF(AE368=1,ROUND(SUMIFS('All Donations'!$S$2:$S$4001,'All Donations'!$R$2:$R$4001,AD368),2),"")</f>
        <v/>
      </c>
      <c r="E368" s="48">
        <f>IF(AE368=1,ROUND(SUMIFS('All Donations'!$S$2:$S$4001,'All Donations'!$R$2:$R$4001,AD368,'All Donations'!$G$2:$G$4001,"OneCause"),2),"")</f>
        <v/>
      </c>
      <c r="F368" s="48">
        <f>IF(AE368=1,D368-E368,"")</f>
        <v/>
      </c>
      <c r="G368">
        <f>IF(AE368=1,COUNTIFS('All Donations'!$R$2:$R$4001,AD368,'All Donations'!$H$2:$H$4001,"OK"),"")</f>
        <v/>
      </c>
      <c r="H368">
        <f>IF(AE368&lt;&gt;1,"",IF(D368&gt;0,"Yes",""))</f>
        <v/>
      </c>
      <c r="I368" s="49">
        <f>IF(OR($AE368&lt;&gt;1,I$1=""),"",SUMIFS('All Donations'!$S$2:$S$4001,'All Donations'!$R$2:$R$4001,$AD368,'All Donations'!$T$2:$T$4001,I$1))</f>
        <v/>
      </c>
      <c r="J368" s="49">
        <f>IF(OR($AE368&lt;&gt;1,J$1=""),"",SUMIFS('All Donations'!$S$2:$S$4001,'All Donations'!$R$2:$R$4001,$AD368,'All Donations'!$T$2:$T$4001,J$1))</f>
        <v/>
      </c>
      <c r="K368" s="49">
        <f>IF(OR($AE368&lt;&gt;1,K$1=""),"",SUMIFS('All Donations'!$S$2:$S$4001,'All Donations'!$R$2:$R$4001,$AD368,'All Donations'!$T$2:$T$4001,K$1))</f>
        <v/>
      </c>
      <c r="L368" s="49">
        <f>IF(OR($AE368&lt;&gt;1,L$1=""),"",SUMIFS('All Donations'!$S$2:$S$4001,'All Donations'!$R$2:$R$4001,$AD368,'All Donations'!$T$2:$T$4001,L$1))</f>
        <v/>
      </c>
      <c r="M368" s="49">
        <f>IF(OR($AE368&lt;&gt;1,M$1=""),"",SUMIFS('All Donations'!$S$2:$S$4001,'All Donations'!$R$2:$R$4001,$AD368,'All Donations'!$T$2:$T$4001,M$1))</f>
        <v/>
      </c>
      <c r="N368" s="49">
        <f>IF(OR($AE368&lt;&gt;1,N$1=""),"",SUMIFS('All Donations'!$S$2:$S$4001,'All Donations'!$R$2:$R$4001,$AD368,'All Donations'!$T$2:$T$4001,N$1))</f>
        <v/>
      </c>
      <c r="O368" s="49">
        <f>IF(OR($AE368&lt;&gt;1,O$1=""),"",SUMIFS('All Donations'!$S$2:$S$4001,'All Donations'!$R$2:$R$4001,$AD368,'All Donations'!$T$2:$T$4001,O$1))</f>
        <v/>
      </c>
      <c r="P368" s="49">
        <f>IF(OR($AE368&lt;&gt;1,P$1=""),"",SUMIFS('All Donations'!$S$2:$S$4001,'All Donations'!$R$2:$R$4001,$AD368,'All Donations'!$T$2:$T$4001,P$1))</f>
        <v/>
      </c>
      <c r="Q368" s="49">
        <f>IF(OR($AE368&lt;&gt;1,Q$1=""),"",SUMIFS('All Donations'!$S$2:$S$4001,'All Donations'!$R$2:$R$4001,$AD368,'All Donations'!$T$2:$T$4001,Q$1))</f>
        <v/>
      </c>
      <c r="R368" s="49">
        <f>IF(OR($AE368&lt;&gt;1,R$1=""),"",SUMIFS('All Donations'!$S$2:$S$4001,'All Donations'!$R$2:$R$4001,$AD368,'All Donations'!$T$2:$T$4001,R$1))</f>
        <v/>
      </c>
      <c r="S368" s="49">
        <f>IF(OR($AE368&lt;&gt;1,S$1=""),"",SUMIFS('All Donations'!$S$2:$S$4001,'All Donations'!$R$2:$R$4001,$AD368,'All Donations'!$T$2:$T$4001,S$1))</f>
        <v/>
      </c>
      <c r="T368" s="49">
        <f>IF(OR($AE368&lt;&gt;1,T$1=""),"",SUMIFS('All Donations'!$S$2:$S$4001,'All Donations'!$R$2:$R$4001,$AD368,'All Donations'!$T$2:$T$4001,T$1))</f>
        <v/>
      </c>
      <c r="U368" s="49">
        <f>IF(OR($AE368&lt;&gt;1,U$1=""),"",SUMIFS('All Donations'!$S$2:$S$4001,'All Donations'!$R$2:$R$4001,$AD368,'All Donations'!$T$2:$T$4001,U$1))</f>
        <v/>
      </c>
      <c r="V368" s="49">
        <f>IF(OR($AE368&lt;&gt;1,V$1=""),"",SUMIFS('All Donations'!$S$2:$S$4001,'All Donations'!$R$2:$R$4001,$AD368,'All Donations'!$T$2:$T$4001,V$1))</f>
        <v/>
      </c>
      <c r="W368" s="49">
        <f>IF(OR($AE368&lt;&gt;1,W$1=""),"",SUMIFS('All Donations'!$S$2:$S$4001,'All Donations'!$R$2:$R$4001,$AD368,'All Donations'!$T$2:$T$4001,W$1))</f>
        <v/>
      </c>
      <c r="X368" s="49">
        <f>IF(OR($AE368&lt;&gt;1,X$1=""),"",SUMIFS('All Donations'!$S$2:$S$4001,'All Donations'!$R$2:$R$4001,$AD368,'All Donations'!$T$2:$T$4001,X$1))</f>
        <v/>
      </c>
      <c r="Y368" s="49">
        <f>IF(OR($AE368&lt;&gt;1,Y$1=""),"",SUMIFS('All Donations'!$S$2:$S$4001,'All Donations'!$R$2:$R$4001,$AD368,'All Donations'!$T$2:$T$4001,Y$1))</f>
        <v/>
      </c>
      <c r="Z368" s="49">
        <f>IF(OR($AE368&lt;&gt;1,Z$1=""),"",SUMIFS('All Donations'!$S$2:$S$4001,'All Donations'!$R$2:$R$4001,$AD368,'All Donations'!$T$2:$T$4001,Z$1))</f>
        <v/>
      </c>
      <c r="AA368" s="49">
        <f>IF(OR($AE368&lt;&gt;1,AA$1=""),"",SUMIFS('All Donations'!$S$2:$S$4001,'All Donations'!$R$2:$R$4001,$AD368,'All Donations'!$T$2:$T$4001,AA$1))</f>
        <v/>
      </c>
      <c r="AB368" s="49">
        <f>IF(OR($AE368&lt;&gt;1,AB$1=""),"",SUMIFS('All Donations'!$S$2:$S$4001,'All Donations'!$R$2:$R$4001,$AD368,'All Donations'!$T$2:$T$4001,AB$1))</f>
        <v/>
      </c>
      <c r="AC368" s="49">
        <f>IF(OR($AE368&lt;&gt;1,AC$1=""),"",SUMIFS('All Donations'!$S$2:$S$4001,'All Donations'!$R$2:$R$4001,$AD368,'All Donations'!$T$2:$T$4001,AC$1))</f>
        <v/>
      </c>
      <c r="AD368">
        <f>IF(AE368=1,'Roster'!A368,"")</f>
        <v/>
      </c>
      <c r="AE368">
        <f>IF(TRIM('Roster'!B368&amp;'Roster'!C368)&lt;&gt;"",1,0)</f>
        <v/>
      </c>
      <c r="AF368">
        <f>IF(AE368=1,LOWER(A368),"#")</f>
        <v/>
      </c>
      <c r="AG368">
        <f>IF(AE368=1,LOWER(TRIM(TRIM('Roster'!C368)&amp;", "&amp;TRIM('Roster'!B368))),"#")</f>
        <v/>
      </c>
      <c r="AH368">
        <f>IF(AND(AE368=1,TRIM('Roster'!F368)&lt;&gt;""),LOWER(TRIM('Roster'!F368)),"#")</f>
        <v/>
      </c>
      <c r="AI368">
        <f>IF(AE368=1,IF(MATCH(B368,$B$2:$B$701,0)=ROW()-1,1,0),0)</f>
        <v/>
      </c>
      <c r="AJ368">
        <f>AJ367+AI368</f>
        <v/>
      </c>
      <c r="AK368">
        <f>IF(AE368=1,D368+(1000-ROW())/10^7,-1)</f>
        <v/>
      </c>
      <c r="AL368">
        <f>IF(AE368=1,TRIM('Roster'!B368)&amp;" "&amp;LEFT(TRIM('Roster'!C368),1)&amp;".","")</f>
        <v/>
      </c>
      <c r="AM368">
        <f>IF(AE368=1,TRIM('Roster'!C368)&amp;", "&amp;TRIM('Roster'!B368)&amp;" ("&amp;B368&amp;") #"&amp;AD368,"")</f>
        <v/>
      </c>
      <c r="AN368">
        <f>IF(AE368=1,TRIM('Roster'!E368),"")</f>
        <v/>
      </c>
      <c r="AO368">
        <f>IF(AE368=1,ROUND(SUMIFS('All Donations'!$S$2:$S$4001,'All Donations'!$R$2:$R$4001,AD368,'All Donations'!$T$2:$T$4001,"&gt;="&amp;'Settings'!$C$23,'All Donations'!$T$2:$T$4001,"&lt;="&amp;'Settings'!$D$23),2),0)</f>
        <v/>
      </c>
      <c r="AQ368">
        <f>IF(AE368=1,ROUND(SUMIFS('All Donations'!$S$2:$S$4001,'All Donations'!$R$2:$R$4001,AD368,'All Donations'!$T$2:$T$4001,"&gt;="&amp;'Settings'!$C$25,'All Donations'!$T$2:$T$4001,"&lt;="&amp;'Settings'!$D$25),2),0)</f>
        <v/>
      </c>
      <c r="AR368">
        <f>IF(AE368=1,ROUND(SUMIFS('All Donations'!$S$2:$S$4001,'All Donations'!$R$2:$R$4001,AD368,'All Donations'!$T$2:$T$4001,"&gt;="&amp;'Settings'!$C$26,'All Donations'!$T$2:$T$4001,"&lt;="&amp;'Settings'!$D$26),2),0)</f>
        <v/>
      </c>
      <c r="AS368">
        <f>IF(AE368=1,ROUND(SUMIFS('All Donations'!$S$2:$S$4001,'All Donations'!$R$2:$R$4001,AD368,'All Donations'!$T$2:$T$4001,"&lt;="&amp;'Settings'!$D$27),2),0)</f>
        <v/>
      </c>
      <c r="AT368">
        <f>IF(AE368=1,ROUND(SUMIFS('All Donations'!$S$2:$S$4001,'All Donations'!$R$2:$R$4001,AD368,'All Donations'!$T$2:$T$4001,"&gt;="&amp;'Settings'!$C$28,'All Donations'!$T$2:$T$4001,"&lt;="&amp;'Settings'!$D$28),2),0)</f>
        <v/>
      </c>
      <c r="AU368">
        <f>IF(AE368=1,ROUND(SUMIFS('All Donations'!$S$2:$S$4001,'All Donations'!$R$2:$R$4001,AD368,'All Donations'!$T$2:$T$4001,"&gt;="&amp;'Settings'!$C$29,'All Donations'!$T$2:$T$4001,"&lt;="&amp;'Settings'!$D$29),2),0)</f>
        <v/>
      </c>
      <c r="AV368">
        <f>IF(AE368=1,ROUND(SUMIFS('All Donations'!$S$2:$S$4001,'All Donations'!$R$2:$R$4001,AD368,'All Donations'!$T$2:$T$4001,"&lt;="&amp;'Settings'!$D$30),2),0)</f>
        <v/>
      </c>
      <c r="AZ368">
        <f>IF(AE368=1,ROUND(SUMIFS('All Donations'!$S$2:$S$4001,'All Donations'!$R$2:$R$4001,AD368,'All Donations'!$T$2:$T$4001,"&lt;="&amp;'Settings'!$D$34),2),0)</f>
        <v/>
      </c>
    </row>
    <row r="369">
      <c r="A369">
        <f>IF(AE369=1,TRIM(TRIM('Roster'!B369)&amp;" "&amp;TRIM('Roster'!C369)),"")</f>
        <v/>
      </c>
      <c r="B369">
        <f>IF(AE369=1,IF(AN369="","(no teacher)",AN369&amp;" – "&amp;C369),"")</f>
        <v/>
      </c>
      <c r="C369">
        <f>IF(AE369=1,TRIM('Roster'!D369&amp;""),"")</f>
        <v/>
      </c>
      <c r="D369" s="48">
        <f>IF(AE369=1,ROUND(SUMIFS('All Donations'!$S$2:$S$4001,'All Donations'!$R$2:$R$4001,AD369),2),"")</f>
        <v/>
      </c>
      <c r="E369" s="48">
        <f>IF(AE369=1,ROUND(SUMIFS('All Donations'!$S$2:$S$4001,'All Donations'!$R$2:$R$4001,AD369,'All Donations'!$G$2:$G$4001,"OneCause"),2),"")</f>
        <v/>
      </c>
      <c r="F369" s="48">
        <f>IF(AE369=1,D369-E369,"")</f>
        <v/>
      </c>
      <c r="G369">
        <f>IF(AE369=1,COUNTIFS('All Donations'!$R$2:$R$4001,AD369,'All Donations'!$H$2:$H$4001,"OK"),"")</f>
        <v/>
      </c>
      <c r="H369">
        <f>IF(AE369&lt;&gt;1,"",IF(D369&gt;0,"Yes",""))</f>
        <v/>
      </c>
      <c r="I369" s="49">
        <f>IF(OR($AE369&lt;&gt;1,I$1=""),"",SUMIFS('All Donations'!$S$2:$S$4001,'All Donations'!$R$2:$R$4001,$AD369,'All Donations'!$T$2:$T$4001,I$1))</f>
        <v/>
      </c>
      <c r="J369" s="49">
        <f>IF(OR($AE369&lt;&gt;1,J$1=""),"",SUMIFS('All Donations'!$S$2:$S$4001,'All Donations'!$R$2:$R$4001,$AD369,'All Donations'!$T$2:$T$4001,J$1))</f>
        <v/>
      </c>
      <c r="K369" s="49">
        <f>IF(OR($AE369&lt;&gt;1,K$1=""),"",SUMIFS('All Donations'!$S$2:$S$4001,'All Donations'!$R$2:$R$4001,$AD369,'All Donations'!$T$2:$T$4001,K$1))</f>
        <v/>
      </c>
      <c r="L369" s="49">
        <f>IF(OR($AE369&lt;&gt;1,L$1=""),"",SUMIFS('All Donations'!$S$2:$S$4001,'All Donations'!$R$2:$R$4001,$AD369,'All Donations'!$T$2:$T$4001,L$1))</f>
        <v/>
      </c>
      <c r="M369" s="49">
        <f>IF(OR($AE369&lt;&gt;1,M$1=""),"",SUMIFS('All Donations'!$S$2:$S$4001,'All Donations'!$R$2:$R$4001,$AD369,'All Donations'!$T$2:$T$4001,M$1))</f>
        <v/>
      </c>
      <c r="N369" s="49">
        <f>IF(OR($AE369&lt;&gt;1,N$1=""),"",SUMIFS('All Donations'!$S$2:$S$4001,'All Donations'!$R$2:$R$4001,$AD369,'All Donations'!$T$2:$T$4001,N$1))</f>
        <v/>
      </c>
      <c r="O369" s="49">
        <f>IF(OR($AE369&lt;&gt;1,O$1=""),"",SUMIFS('All Donations'!$S$2:$S$4001,'All Donations'!$R$2:$R$4001,$AD369,'All Donations'!$T$2:$T$4001,O$1))</f>
        <v/>
      </c>
      <c r="P369" s="49">
        <f>IF(OR($AE369&lt;&gt;1,P$1=""),"",SUMIFS('All Donations'!$S$2:$S$4001,'All Donations'!$R$2:$R$4001,$AD369,'All Donations'!$T$2:$T$4001,P$1))</f>
        <v/>
      </c>
      <c r="Q369" s="49">
        <f>IF(OR($AE369&lt;&gt;1,Q$1=""),"",SUMIFS('All Donations'!$S$2:$S$4001,'All Donations'!$R$2:$R$4001,$AD369,'All Donations'!$T$2:$T$4001,Q$1))</f>
        <v/>
      </c>
      <c r="R369" s="49">
        <f>IF(OR($AE369&lt;&gt;1,R$1=""),"",SUMIFS('All Donations'!$S$2:$S$4001,'All Donations'!$R$2:$R$4001,$AD369,'All Donations'!$T$2:$T$4001,R$1))</f>
        <v/>
      </c>
      <c r="S369" s="49">
        <f>IF(OR($AE369&lt;&gt;1,S$1=""),"",SUMIFS('All Donations'!$S$2:$S$4001,'All Donations'!$R$2:$R$4001,$AD369,'All Donations'!$T$2:$T$4001,S$1))</f>
        <v/>
      </c>
      <c r="T369" s="49">
        <f>IF(OR($AE369&lt;&gt;1,T$1=""),"",SUMIFS('All Donations'!$S$2:$S$4001,'All Donations'!$R$2:$R$4001,$AD369,'All Donations'!$T$2:$T$4001,T$1))</f>
        <v/>
      </c>
      <c r="U369" s="49">
        <f>IF(OR($AE369&lt;&gt;1,U$1=""),"",SUMIFS('All Donations'!$S$2:$S$4001,'All Donations'!$R$2:$R$4001,$AD369,'All Donations'!$T$2:$T$4001,U$1))</f>
        <v/>
      </c>
      <c r="V369" s="49">
        <f>IF(OR($AE369&lt;&gt;1,V$1=""),"",SUMIFS('All Donations'!$S$2:$S$4001,'All Donations'!$R$2:$R$4001,$AD369,'All Donations'!$T$2:$T$4001,V$1))</f>
        <v/>
      </c>
      <c r="W369" s="49">
        <f>IF(OR($AE369&lt;&gt;1,W$1=""),"",SUMIFS('All Donations'!$S$2:$S$4001,'All Donations'!$R$2:$R$4001,$AD369,'All Donations'!$T$2:$T$4001,W$1))</f>
        <v/>
      </c>
      <c r="X369" s="49">
        <f>IF(OR($AE369&lt;&gt;1,X$1=""),"",SUMIFS('All Donations'!$S$2:$S$4001,'All Donations'!$R$2:$R$4001,$AD369,'All Donations'!$T$2:$T$4001,X$1))</f>
        <v/>
      </c>
      <c r="Y369" s="49">
        <f>IF(OR($AE369&lt;&gt;1,Y$1=""),"",SUMIFS('All Donations'!$S$2:$S$4001,'All Donations'!$R$2:$R$4001,$AD369,'All Donations'!$T$2:$T$4001,Y$1))</f>
        <v/>
      </c>
      <c r="Z369" s="49">
        <f>IF(OR($AE369&lt;&gt;1,Z$1=""),"",SUMIFS('All Donations'!$S$2:$S$4001,'All Donations'!$R$2:$R$4001,$AD369,'All Donations'!$T$2:$T$4001,Z$1))</f>
        <v/>
      </c>
      <c r="AA369" s="49">
        <f>IF(OR($AE369&lt;&gt;1,AA$1=""),"",SUMIFS('All Donations'!$S$2:$S$4001,'All Donations'!$R$2:$R$4001,$AD369,'All Donations'!$T$2:$T$4001,AA$1))</f>
        <v/>
      </c>
      <c r="AB369" s="49">
        <f>IF(OR($AE369&lt;&gt;1,AB$1=""),"",SUMIFS('All Donations'!$S$2:$S$4001,'All Donations'!$R$2:$R$4001,$AD369,'All Donations'!$T$2:$T$4001,AB$1))</f>
        <v/>
      </c>
      <c r="AC369" s="49">
        <f>IF(OR($AE369&lt;&gt;1,AC$1=""),"",SUMIFS('All Donations'!$S$2:$S$4001,'All Donations'!$R$2:$R$4001,$AD369,'All Donations'!$T$2:$T$4001,AC$1))</f>
        <v/>
      </c>
      <c r="AD369">
        <f>IF(AE369=1,'Roster'!A369,"")</f>
        <v/>
      </c>
      <c r="AE369">
        <f>IF(TRIM('Roster'!B369&amp;'Roster'!C369)&lt;&gt;"",1,0)</f>
        <v/>
      </c>
      <c r="AF369">
        <f>IF(AE369=1,LOWER(A369),"#")</f>
        <v/>
      </c>
      <c r="AG369">
        <f>IF(AE369=1,LOWER(TRIM(TRIM('Roster'!C369)&amp;", "&amp;TRIM('Roster'!B369))),"#")</f>
        <v/>
      </c>
      <c r="AH369">
        <f>IF(AND(AE369=1,TRIM('Roster'!F369)&lt;&gt;""),LOWER(TRIM('Roster'!F369)),"#")</f>
        <v/>
      </c>
      <c r="AI369">
        <f>IF(AE369=1,IF(MATCH(B369,$B$2:$B$701,0)=ROW()-1,1,0),0)</f>
        <v/>
      </c>
      <c r="AJ369">
        <f>AJ368+AI369</f>
        <v/>
      </c>
      <c r="AK369">
        <f>IF(AE369=1,D369+(1000-ROW())/10^7,-1)</f>
        <v/>
      </c>
      <c r="AL369">
        <f>IF(AE369=1,TRIM('Roster'!B369)&amp;" "&amp;LEFT(TRIM('Roster'!C369),1)&amp;".","")</f>
        <v/>
      </c>
      <c r="AM369">
        <f>IF(AE369=1,TRIM('Roster'!C369)&amp;", "&amp;TRIM('Roster'!B369)&amp;" ("&amp;B369&amp;") #"&amp;AD369,"")</f>
        <v/>
      </c>
      <c r="AN369">
        <f>IF(AE369=1,TRIM('Roster'!E369),"")</f>
        <v/>
      </c>
      <c r="AO369">
        <f>IF(AE369=1,ROUND(SUMIFS('All Donations'!$S$2:$S$4001,'All Donations'!$R$2:$R$4001,AD369,'All Donations'!$T$2:$T$4001,"&gt;="&amp;'Settings'!$C$23,'All Donations'!$T$2:$T$4001,"&lt;="&amp;'Settings'!$D$23),2),0)</f>
        <v/>
      </c>
      <c r="AQ369">
        <f>IF(AE369=1,ROUND(SUMIFS('All Donations'!$S$2:$S$4001,'All Donations'!$R$2:$R$4001,AD369,'All Donations'!$T$2:$T$4001,"&gt;="&amp;'Settings'!$C$25,'All Donations'!$T$2:$T$4001,"&lt;="&amp;'Settings'!$D$25),2),0)</f>
        <v/>
      </c>
      <c r="AR369">
        <f>IF(AE369=1,ROUND(SUMIFS('All Donations'!$S$2:$S$4001,'All Donations'!$R$2:$R$4001,AD369,'All Donations'!$T$2:$T$4001,"&gt;="&amp;'Settings'!$C$26,'All Donations'!$T$2:$T$4001,"&lt;="&amp;'Settings'!$D$26),2),0)</f>
        <v/>
      </c>
      <c r="AS369">
        <f>IF(AE369=1,ROUND(SUMIFS('All Donations'!$S$2:$S$4001,'All Donations'!$R$2:$R$4001,AD369,'All Donations'!$T$2:$T$4001,"&lt;="&amp;'Settings'!$D$27),2),0)</f>
        <v/>
      </c>
      <c r="AT369">
        <f>IF(AE369=1,ROUND(SUMIFS('All Donations'!$S$2:$S$4001,'All Donations'!$R$2:$R$4001,AD369,'All Donations'!$T$2:$T$4001,"&gt;="&amp;'Settings'!$C$28,'All Donations'!$T$2:$T$4001,"&lt;="&amp;'Settings'!$D$28),2),0)</f>
        <v/>
      </c>
      <c r="AU369">
        <f>IF(AE369=1,ROUND(SUMIFS('All Donations'!$S$2:$S$4001,'All Donations'!$R$2:$R$4001,AD369,'All Donations'!$T$2:$T$4001,"&gt;="&amp;'Settings'!$C$29,'All Donations'!$T$2:$T$4001,"&lt;="&amp;'Settings'!$D$29),2),0)</f>
        <v/>
      </c>
      <c r="AV369">
        <f>IF(AE369=1,ROUND(SUMIFS('All Donations'!$S$2:$S$4001,'All Donations'!$R$2:$R$4001,AD369,'All Donations'!$T$2:$T$4001,"&lt;="&amp;'Settings'!$D$30),2),0)</f>
        <v/>
      </c>
      <c r="AZ369">
        <f>IF(AE369=1,ROUND(SUMIFS('All Donations'!$S$2:$S$4001,'All Donations'!$R$2:$R$4001,AD369,'All Donations'!$T$2:$T$4001,"&lt;="&amp;'Settings'!$D$34),2),0)</f>
        <v/>
      </c>
    </row>
    <row r="370">
      <c r="A370">
        <f>IF(AE370=1,TRIM(TRIM('Roster'!B370)&amp;" "&amp;TRIM('Roster'!C370)),"")</f>
        <v/>
      </c>
      <c r="B370">
        <f>IF(AE370=1,IF(AN370="","(no teacher)",AN370&amp;" – "&amp;C370),"")</f>
        <v/>
      </c>
      <c r="C370">
        <f>IF(AE370=1,TRIM('Roster'!D370&amp;""),"")</f>
        <v/>
      </c>
      <c r="D370" s="48">
        <f>IF(AE370=1,ROUND(SUMIFS('All Donations'!$S$2:$S$4001,'All Donations'!$R$2:$R$4001,AD370),2),"")</f>
        <v/>
      </c>
      <c r="E370" s="48">
        <f>IF(AE370=1,ROUND(SUMIFS('All Donations'!$S$2:$S$4001,'All Donations'!$R$2:$R$4001,AD370,'All Donations'!$G$2:$G$4001,"OneCause"),2),"")</f>
        <v/>
      </c>
      <c r="F370" s="48">
        <f>IF(AE370=1,D370-E370,"")</f>
        <v/>
      </c>
      <c r="G370">
        <f>IF(AE370=1,COUNTIFS('All Donations'!$R$2:$R$4001,AD370,'All Donations'!$H$2:$H$4001,"OK"),"")</f>
        <v/>
      </c>
      <c r="H370">
        <f>IF(AE370&lt;&gt;1,"",IF(D370&gt;0,"Yes",""))</f>
        <v/>
      </c>
      <c r="I370" s="49">
        <f>IF(OR($AE370&lt;&gt;1,I$1=""),"",SUMIFS('All Donations'!$S$2:$S$4001,'All Donations'!$R$2:$R$4001,$AD370,'All Donations'!$T$2:$T$4001,I$1))</f>
        <v/>
      </c>
      <c r="J370" s="49">
        <f>IF(OR($AE370&lt;&gt;1,J$1=""),"",SUMIFS('All Donations'!$S$2:$S$4001,'All Donations'!$R$2:$R$4001,$AD370,'All Donations'!$T$2:$T$4001,J$1))</f>
        <v/>
      </c>
      <c r="K370" s="49">
        <f>IF(OR($AE370&lt;&gt;1,K$1=""),"",SUMIFS('All Donations'!$S$2:$S$4001,'All Donations'!$R$2:$R$4001,$AD370,'All Donations'!$T$2:$T$4001,K$1))</f>
        <v/>
      </c>
      <c r="L370" s="49">
        <f>IF(OR($AE370&lt;&gt;1,L$1=""),"",SUMIFS('All Donations'!$S$2:$S$4001,'All Donations'!$R$2:$R$4001,$AD370,'All Donations'!$T$2:$T$4001,L$1))</f>
        <v/>
      </c>
      <c r="M370" s="49">
        <f>IF(OR($AE370&lt;&gt;1,M$1=""),"",SUMIFS('All Donations'!$S$2:$S$4001,'All Donations'!$R$2:$R$4001,$AD370,'All Donations'!$T$2:$T$4001,M$1))</f>
        <v/>
      </c>
      <c r="N370" s="49">
        <f>IF(OR($AE370&lt;&gt;1,N$1=""),"",SUMIFS('All Donations'!$S$2:$S$4001,'All Donations'!$R$2:$R$4001,$AD370,'All Donations'!$T$2:$T$4001,N$1))</f>
        <v/>
      </c>
      <c r="O370" s="49">
        <f>IF(OR($AE370&lt;&gt;1,O$1=""),"",SUMIFS('All Donations'!$S$2:$S$4001,'All Donations'!$R$2:$R$4001,$AD370,'All Donations'!$T$2:$T$4001,O$1))</f>
        <v/>
      </c>
      <c r="P370" s="49">
        <f>IF(OR($AE370&lt;&gt;1,P$1=""),"",SUMIFS('All Donations'!$S$2:$S$4001,'All Donations'!$R$2:$R$4001,$AD370,'All Donations'!$T$2:$T$4001,P$1))</f>
        <v/>
      </c>
      <c r="Q370" s="49">
        <f>IF(OR($AE370&lt;&gt;1,Q$1=""),"",SUMIFS('All Donations'!$S$2:$S$4001,'All Donations'!$R$2:$R$4001,$AD370,'All Donations'!$T$2:$T$4001,Q$1))</f>
        <v/>
      </c>
      <c r="R370" s="49">
        <f>IF(OR($AE370&lt;&gt;1,R$1=""),"",SUMIFS('All Donations'!$S$2:$S$4001,'All Donations'!$R$2:$R$4001,$AD370,'All Donations'!$T$2:$T$4001,R$1))</f>
        <v/>
      </c>
      <c r="S370" s="49">
        <f>IF(OR($AE370&lt;&gt;1,S$1=""),"",SUMIFS('All Donations'!$S$2:$S$4001,'All Donations'!$R$2:$R$4001,$AD370,'All Donations'!$T$2:$T$4001,S$1))</f>
        <v/>
      </c>
      <c r="T370" s="49">
        <f>IF(OR($AE370&lt;&gt;1,T$1=""),"",SUMIFS('All Donations'!$S$2:$S$4001,'All Donations'!$R$2:$R$4001,$AD370,'All Donations'!$T$2:$T$4001,T$1))</f>
        <v/>
      </c>
      <c r="U370" s="49">
        <f>IF(OR($AE370&lt;&gt;1,U$1=""),"",SUMIFS('All Donations'!$S$2:$S$4001,'All Donations'!$R$2:$R$4001,$AD370,'All Donations'!$T$2:$T$4001,U$1))</f>
        <v/>
      </c>
      <c r="V370" s="49">
        <f>IF(OR($AE370&lt;&gt;1,V$1=""),"",SUMIFS('All Donations'!$S$2:$S$4001,'All Donations'!$R$2:$R$4001,$AD370,'All Donations'!$T$2:$T$4001,V$1))</f>
        <v/>
      </c>
      <c r="W370" s="49">
        <f>IF(OR($AE370&lt;&gt;1,W$1=""),"",SUMIFS('All Donations'!$S$2:$S$4001,'All Donations'!$R$2:$R$4001,$AD370,'All Donations'!$T$2:$T$4001,W$1))</f>
        <v/>
      </c>
      <c r="X370" s="49">
        <f>IF(OR($AE370&lt;&gt;1,X$1=""),"",SUMIFS('All Donations'!$S$2:$S$4001,'All Donations'!$R$2:$R$4001,$AD370,'All Donations'!$T$2:$T$4001,X$1))</f>
        <v/>
      </c>
      <c r="Y370" s="49">
        <f>IF(OR($AE370&lt;&gt;1,Y$1=""),"",SUMIFS('All Donations'!$S$2:$S$4001,'All Donations'!$R$2:$R$4001,$AD370,'All Donations'!$T$2:$T$4001,Y$1))</f>
        <v/>
      </c>
      <c r="Z370" s="49">
        <f>IF(OR($AE370&lt;&gt;1,Z$1=""),"",SUMIFS('All Donations'!$S$2:$S$4001,'All Donations'!$R$2:$R$4001,$AD370,'All Donations'!$T$2:$T$4001,Z$1))</f>
        <v/>
      </c>
      <c r="AA370" s="49">
        <f>IF(OR($AE370&lt;&gt;1,AA$1=""),"",SUMIFS('All Donations'!$S$2:$S$4001,'All Donations'!$R$2:$R$4001,$AD370,'All Donations'!$T$2:$T$4001,AA$1))</f>
        <v/>
      </c>
      <c r="AB370" s="49">
        <f>IF(OR($AE370&lt;&gt;1,AB$1=""),"",SUMIFS('All Donations'!$S$2:$S$4001,'All Donations'!$R$2:$R$4001,$AD370,'All Donations'!$T$2:$T$4001,AB$1))</f>
        <v/>
      </c>
      <c r="AC370" s="49">
        <f>IF(OR($AE370&lt;&gt;1,AC$1=""),"",SUMIFS('All Donations'!$S$2:$S$4001,'All Donations'!$R$2:$R$4001,$AD370,'All Donations'!$T$2:$T$4001,AC$1))</f>
        <v/>
      </c>
      <c r="AD370">
        <f>IF(AE370=1,'Roster'!A370,"")</f>
        <v/>
      </c>
      <c r="AE370">
        <f>IF(TRIM('Roster'!B370&amp;'Roster'!C370)&lt;&gt;"",1,0)</f>
        <v/>
      </c>
      <c r="AF370">
        <f>IF(AE370=1,LOWER(A370),"#")</f>
        <v/>
      </c>
      <c r="AG370">
        <f>IF(AE370=1,LOWER(TRIM(TRIM('Roster'!C370)&amp;", "&amp;TRIM('Roster'!B370))),"#")</f>
        <v/>
      </c>
      <c r="AH370">
        <f>IF(AND(AE370=1,TRIM('Roster'!F370)&lt;&gt;""),LOWER(TRIM('Roster'!F370)),"#")</f>
        <v/>
      </c>
      <c r="AI370">
        <f>IF(AE370=1,IF(MATCH(B370,$B$2:$B$701,0)=ROW()-1,1,0),0)</f>
        <v/>
      </c>
      <c r="AJ370">
        <f>AJ369+AI370</f>
        <v/>
      </c>
      <c r="AK370">
        <f>IF(AE370=1,D370+(1000-ROW())/10^7,-1)</f>
        <v/>
      </c>
      <c r="AL370">
        <f>IF(AE370=1,TRIM('Roster'!B370)&amp;" "&amp;LEFT(TRIM('Roster'!C370),1)&amp;".","")</f>
        <v/>
      </c>
      <c r="AM370">
        <f>IF(AE370=1,TRIM('Roster'!C370)&amp;", "&amp;TRIM('Roster'!B370)&amp;" ("&amp;B370&amp;") #"&amp;AD370,"")</f>
        <v/>
      </c>
      <c r="AN370">
        <f>IF(AE370=1,TRIM('Roster'!E370),"")</f>
        <v/>
      </c>
      <c r="AO370">
        <f>IF(AE370=1,ROUND(SUMIFS('All Donations'!$S$2:$S$4001,'All Donations'!$R$2:$R$4001,AD370,'All Donations'!$T$2:$T$4001,"&gt;="&amp;'Settings'!$C$23,'All Donations'!$T$2:$T$4001,"&lt;="&amp;'Settings'!$D$23),2),0)</f>
        <v/>
      </c>
      <c r="AQ370">
        <f>IF(AE370=1,ROUND(SUMIFS('All Donations'!$S$2:$S$4001,'All Donations'!$R$2:$R$4001,AD370,'All Donations'!$T$2:$T$4001,"&gt;="&amp;'Settings'!$C$25,'All Donations'!$T$2:$T$4001,"&lt;="&amp;'Settings'!$D$25),2),0)</f>
        <v/>
      </c>
      <c r="AR370">
        <f>IF(AE370=1,ROUND(SUMIFS('All Donations'!$S$2:$S$4001,'All Donations'!$R$2:$R$4001,AD370,'All Donations'!$T$2:$T$4001,"&gt;="&amp;'Settings'!$C$26,'All Donations'!$T$2:$T$4001,"&lt;="&amp;'Settings'!$D$26),2),0)</f>
        <v/>
      </c>
      <c r="AS370">
        <f>IF(AE370=1,ROUND(SUMIFS('All Donations'!$S$2:$S$4001,'All Donations'!$R$2:$R$4001,AD370,'All Donations'!$T$2:$T$4001,"&lt;="&amp;'Settings'!$D$27),2),0)</f>
        <v/>
      </c>
      <c r="AT370">
        <f>IF(AE370=1,ROUND(SUMIFS('All Donations'!$S$2:$S$4001,'All Donations'!$R$2:$R$4001,AD370,'All Donations'!$T$2:$T$4001,"&gt;="&amp;'Settings'!$C$28,'All Donations'!$T$2:$T$4001,"&lt;="&amp;'Settings'!$D$28),2),0)</f>
        <v/>
      </c>
      <c r="AU370">
        <f>IF(AE370=1,ROUND(SUMIFS('All Donations'!$S$2:$S$4001,'All Donations'!$R$2:$R$4001,AD370,'All Donations'!$T$2:$T$4001,"&gt;="&amp;'Settings'!$C$29,'All Donations'!$T$2:$T$4001,"&lt;="&amp;'Settings'!$D$29),2),0)</f>
        <v/>
      </c>
      <c r="AV370">
        <f>IF(AE370=1,ROUND(SUMIFS('All Donations'!$S$2:$S$4001,'All Donations'!$R$2:$R$4001,AD370,'All Donations'!$T$2:$T$4001,"&lt;="&amp;'Settings'!$D$30),2),0)</f>
        <v/>
      </c>
      <c r="AZ370">
        <f>IF(AE370=1,ROUND(SUMIFS('All Donations'!$S$2:$S$4001,'All Donations'!$R$2:$R$4001,AD370,'All Donations'!$T$2:$T$4001,"&lt;="&amp;'Settings'!$D$34),2),0)</f>
        <v/>
      </c>
    </row>
    <row r="371">
      <c r="A371">
        <f>IF(AE371=1,TRIM(TRIM('Roster'!B371)&amp;" "&amp;TRIM('Roster'!C371)),"")</f>
        <v/>
      </c>
      <c r="B371">
        <f>IF(AE371=1,IF(AN371="","(no teacher)",AN371&amp;" – "&amp;C371),"")</f>
        <v/>
      </c>
      <c r="C371">
        <f>IF(AE371=1,TRIM('Roster'!D371&amp;""),"")</f>
        <v/>
      </c>
      <c r="D371" s="48">
        <f>IF(AE371=1,ROUND(SUMIFS('All Donations'!$S$2:$S$4001,'All Donations'!$R$2:$R$4001,AD371),2),"")</f>
        <v/>
      </c>
      <c r="E371" s="48">
        <f>IF(AE371=1,ROUND(SUMIFS('All Donations'!$S$2:$S$4001,'All Donations'!$R$2:$R$4001,AD371,'All Donations'!$G$2:$G$4001,"OneCause"),2),"")</f>
        <v/>
      </c>
      <c r="F371" s="48">
        <f>IF(AE371=1,D371-E371,"")</f>
        <v/>
      </c>
      <c r="G371">
        <f>IF(AE371=1,COUNTIFS('All Donations'!$R$2:$R$4001,AD371,'All Donations'!$H$2:$H$4001,"OK"),"")</f>
        <v/>
      </c>
      <c r="H371">
        <f>IF(AE371&lt;&gt;1,"",IF(D371&gt;0,"Yes",""))</f>
        <v/>
      </c>
      <c r="I371" s="49">
        <f>IF(OR($AE371&lt;&gt;1,I$1=""),"",SUMIFS('All Donations'!$S$2:$S$4001,'All Donations'!$R$2:$R$4001,$AD371,'All Donations'!$T$2:$T$4001,I$1))</f>
        <v/>
      </c>
      <c r="J371" s="49">
        <f>IF(OR($AE371&lt;&gt;1,J$1=""),"",SUMIFS('All Donations'!$S$2:$S$4001,'All Donations'!$R$2:$R$4001,$AD371,'All Donations'!$T$2:$T$4001,J$1))</f>
        <v/>
      </c>
      <c r="K371" s="49">
        <f>IF(OR($AE371&lt;&gt;1,K$1=""),"",SUMIFS('All Donations'!$S$2:$S$4001,'All Donations'!$R$2:$R$4001,$AD371,'All Donations'!$T$2:$T$4001,K$1))</f>
        <v/>
      </c>
      <c r="L371" s="49">
        <f>IF(OR($AE371&lt;&gt;1,L$1=""),"",SUMIFS('All Donations'!$S$2:$S$4001,'All Donations'!$R$2:$R$4001,$AD371,'All Donations'!$T$2:$T$4001,L$1))</f>
        <v/>
      </c>
      <c r="M371" s="49">
        <f>IF(OR($AE371&lt;&gt;1,M$1=""),"",SUMIFS('All Donations'!$S$2:$S$4001,'All Donations'!$R$2:$R$4001,$AD371,'All Donations'!$T$2:$T$4001,M$1))</f>
        <v/>
      </c>
      <c r="N371" s="49">
        <f>IF(OR($AE371&lt;&gt;1,N$1=""),"",SUMIFS('All Donations'!$S$2:$S$4001,'All Donations'!$R$2:$R$4001,$AD371,'All Donations'!$T$2:$T$4001,N$1))</f>
        <v/>
      </c>
      <c r="O371" s="49">
        <f>IF(OR($AE371&lt;&gt;1,O$1=""),"",SUMIFS('All Donations'!$S$2:$S$4001,'All Donations'!$R$2:$R$4001,$AD371,'All Donations'!$T$2:$T$4001,O$1))</f>
        <v/>
      </c>
      <c r="P371" s="49">
        <f>IF(OR($AE371&lt;&gt;1,P$1=""),"",SUMIFS('All Donations'!$S$2:$S$4001,'All Donations'!$R$2:$R$4001,$AD371,'All Donations'!$T$2:$T$4001,P$1))</f>
        <v/>
      </c>
      <c r="Q371" s="49">
        <f>IF(OR($AE371&lt;&gt;1,Q$1=""),"",SUMIFS('All Donations'!$S$2:$S$4001,'All Donations'!$R$2:$R$4001,$AD371,'All Donations'!$T$2:$T$4001,Q$1))</f>
        <v/>
      </c>
      <c r="R371" s="49">
        <f>IF(OR($AE371&lt;&gt;1,R$1=""),"",SUMIFS('All Donations'!$S$2:$S$4001,'All Donations'!$R$2:$R$4001,$AD371,'All Donations'!$T$2:$T$4001,R$1))</f>
        <v/>
      </c>
      <c r="S371" s="49">
        <f>IF(OR($AE371&lt;&gt;1,S$1=""),"",SUMIFS('All Donations'!$S$2:$S$4001,'All Donations'!$R$2:$R$4001,$AD371,'All Donations'!$T$2:$T$4001,S$1))</f>
        <v/>
      </c>
      <c r="T371" s="49">
        <f>IF(OR($AE371&lt;&gt;1,T$1=""),"",SUMIFS('All Donations'!$S$2:$S$4001,'All Donations'!$R$2:$R$4001,$AD371,'All Donations'!$T$2:$T$4001,T$1))</f>
        <v/>
      </c>
      <c r="U371" s="49">
        <f>IF(OR($AE371&lt;&gt;1,U$1=""),"",SUMIFS('All Donations'!$S$2:$S$4001,'All Donations'!$R$2:$R$4001,$AD371,'All Donations'!$T$2:$T$4001,U$1))</f>
        <v/>
      </c>
      <c r="V371" s="49">
        <f>IF(OR($AE371&lt;&gt;1,V$1=""),"",SUMIFS('All Donations'!$S$2:$S$4001,'All Donations'!$R$2:$R$4001,$AD371,'All Donations'!$T$2:$T$4001,V$1))</f>
        <v/>
      </c>
      <c r="W371" s="49">
        <f>IF(OR($AE371&lt;&gt;1,W$1=""),"",SUMIFS('All Donations'!$S$2:$S$4001,'All Donations'!$R$2:$R$4001,$AD371,'All Donations'!$T$2:$T$4001,W$1))</f>
        <v/>
      </c>
      <c r="X371" s="49">
        <f>IF(OR($AE371&lt;&gt;1,X$1=""),"",SUMIFS('All Donations'!$S$2:$S$4001,'All Donations'!$R$2:$R$4001,$AD371,'All Donations'!$T$2:$T$4001,X$1))</f>
        <v/>
      </c>
      <c r="Y371" s="49">
        <f>IF(OR($AE371&lt;&gt;1,Y$1=""),"",SUMIFS('All Donations'!$S$2:$S$4001,'All Donations'!$R$2:$R$4001,$AD371,'All Donations'!$T$2:$T$4001,Y$1))</f>
        <v/>
      </c>
      <c r="Z371" s="49">
        <f>IF(OR($AE371&lt;&gt;1,Z$1=""),"",SUMIFS('All Donations'!$S$2:$S$4001,'All Donations'!$R$2:$R$4001,$AD371,'All Donations'!$T$2:$T$4001,Z$1))</f>
        <v/>
      </c>
      <c r="AA371" s="49">
        <f>IF(OR($AE371&lt;&gt;1,AA$1=""),"",SUMIFS('All Donations'!$S$2:$S$4001,'All Donations'!$R$2:$R$4001,$AD371,'All Donations'!$T$2:$T$4001,AA$1))</f>
        <v/>
      </c>
      <c r="AB371" s="49">
        <f>IF(OR($AE371&lt;&gt;1,AB$1=""),"",SUMIFS('All Donations'!$S$2:$S$4001,'All Donations'!$R$2:$R$4001,$AD371,'All Donations'!$T$2:$T$4001,AB$1))</f>
        <v/>
      </c>
      <c r="AC371" s="49">
        <f>IF(OR($AE371&lt;&gt;1,AC$1=""),"",SUMIFS('All Donations'!$S$2:$S$4001,'All Donations'!$R$2:$R$4001,$AD371,'All Donations'!$T$2:$T$4001,AC$1))</f>
        <v/>
      </c>
      <c r="AD371">
        <f>IF(AE371=1,'Roster'!A371,"")</f>
        <v/>
      </c>
      <c r="AE371">
        <f>IF(TRIM('Roster'!B371&amp;'Roster'!C371)&lt;&gt;"",1,0)</f>
        <v/>
      </c>
      <c r="AF371">
        <f>IF(AE371=1,LOWER(A371),"#")</f>
        <v/>
      </c>
      <c r="AG371">
        <f>IF(AE371=1,LOWER(TRIM(TRIM('Roster'!C371)&amp;", "&amp;TRIM('Roster'!B371))),"#")</f>
        <v/>
      </c>
      <c r="AH371">
        <f>IF(AND(AE371=1,TRIM('Roster'!F371)&lt;&gt;""),LOWER(TRIM('Roster'!F371)),"#")</f>
        <v/>
      </c>
      <c r="AI371">
        <f>IF(AE371=1,IF(MATCH(B371,$B$2:$B$701,0)=ROW()-1,1,0),0)</f>
        <v/>
      </c>
      <c r="AJ371">
        <f>AJ370+AI371</f>
        <v/>
      </c>
      <c r="AK371">
        <f>IF(AE371=1,D371+(1000-ROW())/10^7,-1)</f>
        <v/>
      </c>
      <c r="AL371">
        <f>IF(AE371=1,TRIM('Roster'!B371)&amp;" "&amp;LEFT(TRIM('Roster'!C371),1)&amp;".","")</f>
        <v/>
      </c>
      <c r="AM371">
        <f>IF(AE371=1,TRIM('Roster'!C371)&amp;", "&amp;TRIM('Roster'!B371)&amp;" ("&amp;B371&amp;") #"&amp;AD371,"")</f>
        <v/>
      </c>
      <c r="AN371">
        <f>IF(AE371=1,TRIM('Roster'!E371),"")</f>
        <v/>
      </c>
      <c r="AO371">
        <f>IF(AE371=1,ROUND(SUMIFS('All Donations'!$S$2:$S$4001,'All Donations'!$R$2:$R$4001,AD371,'All Donations'!$T$2:$T$4001,"&gt;="&amp;'Settings'!$C$23,'All Donations'!$T$2:$T$4001,"&lt;="&amp;'Settings'!$D$23),2),0)</f>
        <v/>
      </c>
      <c r="AQ371">
        <f>IF(AE371=1,ROUND(SUMIFS('All Donations'!$S$2:$S$4001,'All Donations'!$R$2:$R$4001,AD371,'All Donations'!$T$2:$T$4001,"&gt;="&amp;'Settings'!$C$25,'All Donations'!$T$2:$T$4001,"&lt;="&amp;'Settings'!$D$25),2),0)</f>
        <v/>
      </c>
      <c r="AR371">
        <f>IF(AE371=1,ROUND(SUMIFS('All Donations'!$S$2:$S$4001,'All Donations'!$R$2:$R$4001,AD371,'All Donations'!$T$2:$T$4001,"&gt;="&amp;'Settings'!$C$26,'All Donations'!$T$2:$T$4001,"&lt;="&amp;'Settings'!$D$26),2),0)</f>
        <v/>
      </c>
      <c r="AS371">
        <f>IF(AE371=1,ROUND(SUMIFS('All Donations'!$S$2:$S$4001,'All Donations'!$R$2:$R$4001,AD371,'All Donations'!$T$2:$T$4001,"&lt;="&amp;'Settings'!$D$27),2),0)</f>
        <v/>
      </c>
      <c r="AT371">
        <f>IF(AE371=1,ROUND(SUMIFS('All Donations'!$S$2:$S$4001,'All Donations'!$R$2:$R$4001,AD371,'All Donations'!$T$2:$T$4001,"&gt;="&amp;'Settings'!$C$28,'All Donations'!$T$2:$T$4001,"&lt;="&amp;'Settings'!$D$28),2),0)</f>
        <v/>
      </c>
      <c r="AU371">
        <f>IF(AE371=1,ROUND(SUMIFS('All Donations'!$S$2:$S$4001,'All Donations'!$R$2:$R$4001,AD371,'All Donations'!$T$2:$T$4001,"&gt;="&amp;'Settings'!$C$29,'All Donations'!$T$2:$T$4001,"&lt;="&amp;'Settings'!$D$29),2),0)</f>
        <v/>
      </c>
      <c r="AV371">
        <f>IF(AE371=1,ROUND(SUMIFS('All Donations'!$S$2:$S$4001,'All Donations'!$R$2:$R$4001,AD371,'All Donations'!$T$2:$T$4001,"&lt;="&amp;'Settings'!$D$30),2),0)</f>
        <v/>
      </c>
      <c r="AZ371">
        <f>IF(AE371=1,ROUND(SUMIFS('All Donations'!$S$2:$S$4001,'All Donations'!$R$2:$R$4001,AD371,'All Donations'!$T$2:$T$4001,"&lt;="&amp;'Settings'!$D$34),2),0)</f>
        <v/>
      </c>
    </row>
    <row r="372">
      <c r="A372">
        <f>IF(AE372=1,TRIM(TRIM('Roster'!B372)&amp;" "&amp;TRIM('Roster'!C372)),"")</f>
        <v/>
      </c>
      <c r="B372">
        <f>IF(AE372=1,IF(AN372="","(no teacher)",AN372&amp;" – "&amp;C372),"")</f>
        <v/>
      </c>
      <c r="C372">
        <f>IF(AE372=1,TRIM('Roster'!D372&amp;""),"")</f>
        <v/>
      </c>
      <c r="D372" s="48">
        <f>IF(AE372=1,ROUND(SUMIFS('All Donations'!$S$2:$S$4001,'All Donations'!$R$2:$R$4001,AD372),2),"")</f>
        <v/>
      </c>
      <c r="E372" s="48">
        <f>IF(AE372=1,ROUND(SUMIFS('All Donations'!$S$2:$S$4001,'All Donations'!$R$2:$R$4001,AD372,'All Donations'!$G$2:$G$4001,"OneCause"),2),"")</f>
        <v/>
      </c>
      <c r="F372" s="48">
        <f>IF(AE372=1,D372-E372,"")</f>
        <v/>
      </c>
      <c r="G372">
        <f>IF(AE372=1,COUNTIFS('All Donations'!$R$2:$R$4001,AD372,'All Donations'!$H$2:$H$4001,"OK"),"")</f>
        <v/>
      </c>
      <c r="H372">
        <f>IF(AE372&lt;&gt;1,"",IF(D372&gt;0,"Yes",""))</f>
        <v/>
      </c>
      <c r="I372" s="49">
        <f>IF(OR($AE372&lt;&gt;1,I$1=""),"",SUMIFS('All Donations'!$S$2:$S$4001,'All Donations'!$R$2:$R$4001,$AD372,'All Donations'!$T$2:$T$4001,I$1))</f>
        <v/>
      </c>
      <c r="J372" s="49">
        <f>IF(OR($AE372&lt;&gt;1,J$1=""),"",SUMIFS('All Donations'!$S$2:$S$4001,'All Donations'!$R$2:$R$4001,$AD372,'All Donations'!$T$2:$T$4001,J$1))</f>
        <v/>
      </c>
      <c r="K372" s="49">
        <f>IF(OR($AE372&lt;&gt;1,K$1=""),"",SUMIFS('All Donations'!$S$2:$S$4001,'All Donations'!$R$2:$R$4001,$AD372,'All Donations'!$T$2:$T$4001,K$1))</f>
        <v/>
      </c>
      <c r="L372" s="49">
        <f>IF(OR($AE372&lt;&gt;1,L$1=""),"",SUMIFS('All Donations'!$S$2:$S$4001,'All Donations'!$R$2:$R$4001,$AD372,'All Donations'!$T$2:$T$4001,L$1))</f>
        <v/>
      </c>
      <c r="M372" s="49">
        <f>IF(OR($AE372&lt;&gt;1,M$1=""),"",SUMIFS('All Donations'!$S$2:$S$4001,'All Donations'!$R$2:$R$4001,$AD372,'All Donations'!$T$2:$T$4001,M$1))</f>
        <v/>
      </c>
      <c r="N372" s="49">
        <f>IF(OR($AE372&lt;&gt;1,N$1=""),"",SUMIFS('All Donations'!$S$2:$S$4001,'All Donations'!$R$2:$R$4001,$AD372,'All Donations'!$T$2:$T$4001,N$1))</f>
        <v/>
      </c>
      <c r="O372" s="49">
        <f>IF(OR($AE372&lt;&gt;1,O$1=""),"",SUMIFS('All Donations'!$S$2:$S$4001,'All Donations'!$R$2:$R$4001,$AD372,'All Donations'!$T$2:$T$4001,O$1))</f>
        <v/>
      </c>
      <c r="P372" s="49">
        <f>IF(OR($AE372&lt;&gt;1,P$1=""),"",SUMIFS('All Donations'!$S$2:$S$4001,'All Donations'!$R$2:$R$4001,$AD372,'All Donations'!$T$2:$T$4001,P$1))</f>
        <v/>
      </c>
      <c r="Q372" s="49">
        <f>IF(OR($AE372&lt;&gt;1,Q$1=""),"",SUMIFS('All Donations'!$S$2:$S$4001,'All Donations'!$R$2:$R$4001,$AD372,'All Donations'!$T$2:$T$4001,Q$1))</f>
        <v/>
      </c>
      <c r="R372" s="49">
        <f>IF(OR($AE372&lt;&gt;1,R$1=""),"",SUMIFS('All Donations'!$S$2:$S$4001,'All Donations'!$R$2:$R$4001,$AD372,'All Donations'!$T$2:$T$4001,R$1))</f>
        <v/>
      </c>
      <c r="S372" s="49">
        <f>IF(OR($AE372&lt;&gt;1,S$1=""),"",SUMIFS('All Donations'!$S$2:$S$4001,'All Donations'!$R$2:$R$4001,$AD372,'All Donations'!$T$2:$T$4001,S$1))</f>
        <v/>
      </c>
      <c r="T372" s="49">
        <f>IF(OR($AE372&lt;&gt;1,T$1=""),"",SUMIFS('All Donations'!$S$2:$S$4001,'All Donations'!$R$2:$R$4001,$AD372,'All Donations'!$T$2:$T$4001,T$1))</f>
        <v/>
      </c>
      <c r="U372" s="49">
        <f>IF(OR($AE372&lt;&gt;1,U$1=""),"",SUMIFS('All Donations'!$S$2:$S$4001,'All Donations'!$R$2:$R$4001,$AD372,'All Donations'!$T$2:$T$4001,U$1))</f>
        <v/>
      </c>
      <c r="V372" s="49">
        <f>IF(OR($AE372&lt;&gt;1,V$1=""),"",SUMIFS('All Donations'!$S$2:$S$4001,'All Donations'!$R$2:$R$4001,$AD372,'All Donations'!$T$2:$T$4001,V$1))</f>
        <v/>
      </c>
      <c r="W372" s="49">
        <f>IF(OR($AE372&lt;&gt;1,W$1=""),"",SUMIFS('All Donations'!$S$2:$S$4001,'All Donations'!$R$2:$R$4001,$AD372,'All Donations'!$T$2:$T$4001,W$1))</f>
        <v/>
      </c>
      <c r="X372" s="49">
        <f>IF(OR($AE372&lt;&gt;1,X$1=""),"",SUMIFS('All Donations'!$S$2:$S$4001,'All Donations'!$R$2:$R$4001,$AD372,'All Donations'!$T$2:$T$4001,X$1))</f>
        <v/>
      </c>
      <c r="Y372" s="49">
        <f>IF(OR($AE372&lt;&gt;1,Y$1=""),"",SUMIFS('All Donations'!$S$2:$S$4001,'All Donations'!$R$2:$R$4001,$AD372,'All Donations'!$T$2:$T$4001,Y$1))</f>
        <v/>
      </c>
      <c r="Z372" s="49">
        <f>IF(OR($AE372&lt;&gt;1,Z$1=""),"",SUMIFS('All Donations'!$S$2:$S$4001,'All Donations'!$R$2:$R$4001,$AD372,'All Donations'!$T$2:$T$4001,Z$1))</f>
        <v/>
      </c>
      <c r="AA372" s="49">
        <f>IF(OR($AE372&lt;&gt;1,AA$1=""),"",SUMIFS('All Donations'!$S$2:$S$4001,'All Donations'!$R$2:$R$4001,$AD372,'All Donations'!$T$2:$T$4001,AA$1))</f>
        <v/>
      </c>
      <c r="AB372" s="49">
        <f>IF(OR($AE372&lt;&gt;1,AB$1=""),"",SUMIFS('All Donations'!$S$2:$S$4001,'All Donations'!$R$2:$R$4001,$AD372,'All Donations'!$T$2:$T$4001,AB$1))</f>
        <v/>
      </c>
      <c r="AC372" s="49">
        <f>IF(OR($AE372&lt;&gt;1,AC$1=""),"",SUMIFS('All Donations'!$S$2:$S$4001,'All Donations'!$R$2:$R$4001,$AD372,'All Donations'!$T$2:$T$4001,AC$1))</f>
        <v/>
      </c>
      <c r="AD372">
        <f>IF(AE372=1,'Roster'!A372,"")</f>
        <v/>
      </c>
      <c r="AE372">
        <f>IF(TRIM('Roster'!B372&amp;'Roster'!C372)&lt;&gt;"",1,0)</f>
        <v/>
      </c>
      <c r="AF372">
        <f>IF(AE372=1,LOWER(A372),"#")</f>
        <v/>
      </c>
      <c r="AG372">
        <f>IF(AE372=1,LOWER(TRIM(TRIM('Roster'!C372)&amp;", "&amp;TRIM('Roster'!B372))),"#")</f>
        <v/>
      </c>
      <c r="AH372">
        <f>IF(AND(AE372=1,TRIM('Roster'!F372)&lt;&gt;""),LOWER(TRIM('Roster'!F372)),"#")</f>
        <v/>
      </c>
      <c r="AI372">
        <f>IF(AE372=1,IF(MATCH(B372,$B$2:$B$701,0)=ROW()-1,1,0),0)</f>
        <v/>
      </c>
      <c r="AJ372">
        <f>AJ371+AI372</f>
        <v/>
      </c>
      <c r="AK372">
        <f>IF(AE372=1,D372+(1000-ROW())/10^7,-1)</f>
        <v/>
      </c>
      <c r="AL372">
        <f>IF(AE372=1,TRIM('Roster'!B372)&amp;" "&amp;LEFT(TRIM('Roster'!C372),1)&amp;".","")</f>
        <v/>
      </c>
      <c r="AM372">
        <f>IF(AE372=1,TRIM('Roster'!C372)&amp;", "&amp;TRIM('Roster'!B372)&amp;" ("&amp;B372&amp;") #"&amp;AD372,"")</f>
        <v/>
      </c>
      <c r="AN372">
        <f>IF(AE372=1,TRIM('Roster'!E372),"")</f>
        <v/>
      </c>
      <c r="AO372">
        <f>IF(AE372=1,ROUND(SUMIFS('All Donations'!$S$2:$S$4001,'All Donations'!$R$2:$R$4001,AD372,'All Donations'!$T$2:$T$4001,"&gt;="&amp;'Settings'!$C$23,'All Donations'!$T$2:$T$4001,"&lt;="&amp;'Settings'!$D$23),2),0)</f>
        <v/>
      </c>
      <c r="AQ372">
        <f>IF(AE372=1,ROUND(SUMIFS('All Donations'!$S$2:$S$4001,'All Donations'!$R$2:$R$4001,AD372,'All Donations'!$T$2:$T$4001,"&gt;="&amp;'Settings'!$C$25,'All Donations'!$T$2:$T$4001,"&lt;="&amp;'Settings'!$D$25),2),0)</f>
        <v/>
      </c>
      <c r="AR372">
        <f>IF(AE372=1,ROUND(SUMIFS('All Donations'!$S$2:$S$4001,'All Donations'!$R$2:$R$4001,AD372,'All Donations'!$T$2:$T$4001,"&gt;="&amp;'Settings'!$C$26,'All Donations'!$T$2:$T$4001,"&lt;="&amp;'Settings'!$D$26),2),0)</f>
        <v/>
      </c>
      <c r="AS372">
        <f>IF(AE372=1,ROUND(SUMIFS('All Donations'!$S$2:$S$4001,'All Donations'!$R$2:$R$4001,AD372,'All Donations'!$T$2:$T$4001,"&lt;="&amp;'Settings'!$D$27),2),0)</f>
        <v/>
      </c>
      <c r="AT372">
        <f>IF(AE372=1,ROUND(SUMIFS('All Donations'!$S$2:$S$4001,'All Donations'!$R$2:$R$4001,AD372,'All Donations'!$T$2:$T$4001,"&gt;="&amp;'Settings'!$C$28,'All Donations'!$T$2:$T$4001,"&lt;="&amp;'Settings'!$D$28),2),0)</f>
        <v/>
      </c>
      <c r="AU372">
        <f>IF(AE372=1,ROUND(SUMIFS('All Donations'!$S$2:$S$4001,'All Donations'!$R$2:$R$4001,AD372,'All Donations'!$T$2:$T$4001,"&gt;="&amp;'Settings'!$C$29,'All Donations'!$T$2:$T$4001,"&lt;="&amp;'Settings'!$D$29),2),0)</f>
        <v/>
      </c>
      <c r="AV372">
        <f>IF(AE372=1,ROUND(SUMIFS('All Donations'!$S$2:$S$4001,'All Donations'!$R$2:$R$4001,AD372,'All Donations'!$T$2:$T$4001,"&lt;="&amp;'Settings'!$D$30),2),0)</f>
        <v/>
      </c>
      <c r="AZ372">
        <f>IF(AE372=1,ROUND(SUMIFS('All Donations'!$S$2:$S$4001,'All Donations'!$R$2:$R$4001,AD372,'All Donations'!$T$2:$T$4001,"&lt;="&amp;'Settings'!$D$34),2),0)</f>
        <v/>
      </c>
    </row>
    <row r="373">
      <c r="A373">
        <f>IF(AE373=1,TRIM(TRIM('Roster'!B373)&amp;" "&amp;TRIM('Roster'!C373)),"")</f>
        <v/>
      </c>
      <c r="B373">
        <f>IF(AE373=1,IF(AN373="","(no teacher)",AN373&amp;" – "&amp;C373),"")</f>
        <v/>
      </c>
      <c r="C373">
        <f>IF(AE373=1,TRIM('Roster'!D373&amp;""),"")</f>
        <v/>
      </c>
      <c r="D373" s="48">
        <f>IF(AE373=1,ROUND(SUMIFS('All Donations'!$S$2:$S$4001,'All Donations'!$R$2:$R$4001,AD373),2),"")</f>
        <v/>
      </c>
      <c r="E373" s="48">
        <f>IF(AE373=1,ROUND(SUMIFS('All Donations'!$S$2:$S$4001,'All Donations'!$R$2:$R$4001,AD373,'All Donations'!$G$2:$G$4001,"OneCause"),2),"")</f>
        <v/>
      </c>
      <c r="F373" s="48">
        <f>IF(AE373=1,D373-E373,"")</f>
        <v/>
      </c>
      <c r="G373">
        <f>IF(AE373=1,COUNTIFS('All Donations'!$R$2:$R$4001,AD373,'All Donations'!$H$2:$H$4001,"OK"),"")</f>
        <v/>
      </c>
      <c r="H373">
        <f>IF(AE373&lt;&gt;1,"",IF(D373&gt;0,"Yes",""))</f>
        <v/>
      </c>
      <c r="I373" s="49">
        <f>IF(OR($AE373&lt;&gt;1,I$1=""),"",SUMIFS('All Donations'!$S$2:$S$4001,'All Donations'!$R$2:$R$4001,$AD373,'All Donations'!$T$2:$T$4001,I$1))</f>
        <v/>
      </c>
      <c r="J373" s="49">
        <f>IF(OR($AE373&lt;&gt;1,J$1=""),"",SUMIFS('All Donations'!$S$2:$S$4001,'All Donations'!$R$2:$R$4001,$AD373,'All Donations'!$T$2:$T$4001,J$1))</f>
        <v/>
      </c>
      <c r="K373" s="49">
        <f>IF(OR($AE373&lt;&gt;1,K$1=""),"",SUMIFS('All Donations'!$S$2:$S$4001,'All Donations'!$R$2:$R$4001,$AD373,'All Donations'!$T$2:$T$4001,K$1))</f>
        <v/>
      </c>
      <c r="L373" s="49">
        <f>IF(OR($AE373&lt;&gt;1,L$1=""),"",SUMIFS('All Donations'!$S$2:$S$4001,'All Donations'!$R$2:$R$4001,$AD373,'All Donations'!$T$2:$T$4001,L$1))</f>
        <v/>
      </c>
      <c r="M373" s="49">
        <f>IF(OR($AE373&lt;&gt;1,M$1=""),"",SUMIFS('All Donations'!$S$2:$S$4001,'All Donations'!$R$2:$R$4001,$AD373,'All Donations'!$T$2:$T$4001,M$1))</f>
        <v/>
      </c>
      <c r="N373" s="49">
        <f>IF(OR($AE373&lt;&gt;1,N$1=""),"",SUMIFS('All Donations'!$S$2:$S$4001,'All Donations'!$R$2:$R$4001,$AD373,'All Donations'!$T$2:$T$4001,N$1))</f>
        <v/>
      </c>
      <c r="O373" s="49">
        <f>IF(OR($AE373&lt;&gt;1,O$1=""),"",SUMIFS('All Donations'!$S$2:$S$4001,'All Donations'!$R$2:$R$4001,$AD373,'All Donations'!$T$2:$T$4001,O$1))</f>
        <v/>
      </c>
      <c r="P373" s="49">
        <f>IF(OR($AE373&lt;&gt;1,P$1=""),"",SUMIFS('All Donations'!$S$2:$S$4001,'All Donations'!$R$2:$R$4001,$AD373,'All Donations'!$T$2:$T$4001,P$1))</f>
        <v/>
      </c>
      <c r="Q373" s="49">
        <f>IF(OR($AE373&lt;&gt;1,Q$1=""),"",SUMIFS('All Donations'!$S$2:$S$4001,'All Donations'!$R$2:$R$4001,$AD373,'All Donations'!$T$2:$T$4001,Q$1))</f>
        <v/>
      </c>
      <c r="R373" s="49">
        <f>IF(OR($AE373&lt;&gt;1,R$1=""),"",SUMIFS('All Donations'!$S$2:$S$4001,'All Donations'!$R$2:$R$4001,$AD373,'All Donations'!$T$2:$T$4001,R$1))</f>
        <v/>
      </c>
      <c r="S373" s="49">
        <f>IF(OR($AE373&lt;&gt;1,S$1=""),"",SUMIFS('All Donations'!$S$2:$S$4001,'All Donations'!$R$2:$R$4001,$AD373,'All Donations'!$T$2:$T$4001,S$1))</f>
        <v/>
      </c>
      <c r="T373" s="49">
        <f>IF(OR($AE373&lt;&gt;1,T$1=""),"",SUMIFS('All Donations'!$S$2:$S$4001,'All Donations'!$R$2:$R$4001,$AD373,'All Donations'!$T$2:$T$4001,T$1))</f>
        <v/>
      </c>
      <c r="U373" s="49">
        <f>IF(OR($AE373&lt;&gt;1,U$1=""),"",SUMIFS('All Donations'!$S$2:$S$4001,'All Donations'!$R$2:$R$4001,$AD373,'All Donations'!$T$2:$T$4001,U$1))</f>
        <v/>
      </c>
      <c r="V373" s="49">
        <f>IF(OR($AE373&lt;&gt;1,V$1=""),"",SUMIFS('All Donations'!$S$2:$S$4001,'All Donations'!$R$2:$R$4001,$AD373,'All Donations'!$T$2:$T$4001,V$1))</f>
        <v/>
      </c>
      <c r="W373" s="49">
        <f>IF(OR($AE373&lt;&gt;1,W$1=""),"",SUMIFS('All Donations'!$S$2:$S$4001,'All Donations'!$R$2:$R$4001,$AD373,'All Donations'!$T$2:$T$4001,W$1))</f>
        <v/>
      </c>
      <c r="X373" s="49">
        <f>IF(OR($AE373&lt;&gt;1,X$1=""),"",SUMIFS('All Donations'!$S$2:$S$4001,'All Donations'!$R$2:$R$4001,$AD373,'All Donations'!$T$2:$T$4001,X$1))</f>
        <v/>
      </c>
      <c r="Y373" s="49">
        <f>IF(OR($AE373&lt;&gt;1,Y$1=""),"",SUMIFS('All Donations'!$S$2:$S$4001,'All Donations'!$R$2:$R$4001,$AD373,'All Donations'!$T$2:$T$4001,Y$1))</f>
        <v/>
      </c>
      <c r="Z373" s="49">
        <f>IF(OR($AE373&lt;&gt;1,Z$1=""),"",SUMIFS('All Donations'!$S$2:$S$4001,'All Donations'!$R$2:$R$4001,$AD373,'All Donations'!$T$2:$T$4001,Z$1))</f>
        <v/>
      </c>
      <c r="AA373" s="49">
        <f>IF(OR($AE373&lt;&gt;1,AA$1=""),"",SUMIFS('All Donations'!$S$2:$S$4001,'All Donations'!$R$2:$R$4001,$AD373,'All Donations'!$T$2:$T$4001,AA$1))</f>
        <v/>
      </c>
      <c r="AB373" s="49">
        <f>IF(OR($AE373&lt;&gt;1,AB$1=""),"",SUMIFS('All Donations'!$S$2:$S$4001,'All Donations'!$R$2:$R$4001,$AD373,'All Donations'!$T$2:$T$4001,AB$1))</f>
        <v/>
      </c>
      <c r="AC373" s="49">
        <f>IF(OR($AE373&lt;&gt;1,AC$1=""),"",SUMIFS('All Donations'!$S$2:$S$4001,'All Donations'!$R$2:$R$4001,$AD373,'All Donations'!$T$2:$T$4001,AC$1))</f>
        <v/>
      </c>
      <c r="AD373">
        <f>IF(AE373=1,'Roster'!A373,"")</f>
        <v/>
      </c>
      <c r="AE373">
        <f>IF(TRIM('Roster'!B373&amp;'Roster'!C373)&lt;&gt;"",1,0)</f>
        <v/>
      </c>
      <c r="AF373">
        <f>IF(AE373=1,LOWER(A373),"#")</f>
        <v/>
      </c>
      <c r="AG373">
        <f>IF(AE373=1,LOWER(TRIM(TRIM('Roster'!C373)&amp;", "&amp;TRIM('Roster'!B373))),"#")</f>
        <v/>
      </c>
      <c r="AH373">
        <f>IF(AND(AE373=1,TRIM('Roster'!F373)&lt;&gt;""),LOWER(TRIM('Roster'!F373)),"#")</f>
        <v/>
      </c>
      <c r="AI373">
        <f>IF(AE373=1,IF(MATCH(B373,$B$2:$B$701,0)=ROW()-1,1,0),0)</f>
        <v/>
      </c>
      <c r="AJ373">
        <f>AJ372+AI373</f>
        <v/>
      </c>
      <c r="AK373">
        <f>IF(AE373=1,D373+(1000-ROW())/10^7,-1)</f>
        <v/>
      </c>
      <c r="AL373">
        <f>IF(AE373=1,TRIM('Roster'!B373)&amp;" "&amp;LEFT(TRIM('Roster'!C373),1)&amp;".","")</f>
        <v/>
      </c>
      <c r="AM373">
        <f>IF(AE373=1,TRIM('Roster'!C373)&amp;", "&amp;TRIM('Roster'!B373)&amp;" ("&amp;B373&amp;") #"&amp;AD373,"")</f>
        <v/>
      </c>
      <c r="AN373">
        <f>IF(AE373=1,TRIM('Roster'!E373),"")</f>
        <v/>
      </c>
      <c r="AO373">
        <f>IF(AE373=1,ROUND(SUMIFS('All Donations'!$S$2:$S$4001,'All Donations'!$R$2:$R$4001,AD373,'All Donations'!$T$2:$T$4001,"&gt;="&amp;'Settings'!$C$23,'All Donations'!$T$2:$T$4001,"&lt;="&amp;'Settings'!$D$23),2),0)</f>
        <v/>
      </c>
      <c r="AQ373">
        <f>IF(AE373=1,ROUND(SUMIFS('All Donations'!$S$2:$S$4001,'All Donations'!$R$2:$R$4001,AD373,'All Donations'!$T$2:$T$4001,"&gt;="&amp;'Settings'!$C$25,'All Donations'!$T$2:$T$4001,"&lt;="&amp;'Settings'!$D$25),2),0)</f>
        <v/>
      </c>
      <c r="AR373">
        <f>IF(AE373=1,ROUND(SUMIFS('All Donations'!$S$2:$S$4001,'All Donations'!$R$2:$R$4001,AD373,'All Donations'!$T$2:$T$4001,"&gt;="&amp;'Settings'!$C$26,'All Donations'!$T$2:$T$4001,"&lt;="&amp;'Settings'!$D$26),2),0)</f>
        <v/>
      </c>
      <c r="AS373">
        <f>IF(AE373=1,ROUND(SUMIFS('All Donations'!$S$2:$S$4001,'All Donations'!$R$2:$R$4001,AD373,'All Donations'!$T$2:$T$4001,"&lt;="&amp;'Settings'!$D$27),2),0)</f>
        <v/>
      </c>
      <c r="AT373">
        <f>IF(AE373=1,ROUND(SUMIFS('All Donations'!$S$2:$S$4001,'All Donations'!$R$2:$R$4001,AD373,'All Donations'!$T$2:$T$4001,"&gt;="&amp;'Settings'!$C$28,'All Donations'!$T$2:$T$4001,"&lt;="&amp;'Settings'!$D$28),2),0)</f>
        <v/>
      </c>
      <c r="AU373">
        <f>IF(AE373=1,ROUND(SUMIFS('All Donations'!$S$2:$S$4001,'All Donations'!$R$2:$R$4001,AD373,'All Donations'!$T$2:$T$4001,"&gt;="&amp;'Settings'!$C$29,'All Donations'!$T$2:$T$4001,"&lt;="&amp;'Settings'!$D$29),2),0)</f>
        <v/>
      </c>
      <c r="AV373">
        <f>IF(AE373=1,ROUND(SUMIFS('All Donations'!$S$2:$S$4001,'All Donations'!$R$2:$R$4001,AD373,'All Donations'!$T$2:$T$4001,"&lt;="&amp;'Settings'!$D$30),2),0)</f>
        <v/>
      </c>
      <c r="AZ373">
        <f>IF(AE373=1,ROUND(SUMIFS('All Donations'!$S$2:$S$4001,'All Donations'!$R$2:$R$4001,AD373,'All Donations'!$T$2:$T$4001,"&lt;="&amp;'Settings'!$D$34),2),0)</f>
        <v/>
      </c>
    </row>
    <row r="374">
      <c r="A374">
        <f>IF(AE374=1,TRIM(TRIM('Roster'!B374)&amp;" "&amp;TRIM('Roster'!C374)),"")</f>
        <v/>
      </c>
      <c r="B374">
        <f>IF(AE374=1,IF(AN374="","(no teacher)",AN374&amp;" – "&amp;C374),"")</f>
        <v/>
      </c>
      <c r="C374">
        <f>IF(AE374=1,TRIM('Roster'!D374&amp;""),"")</f>
        <v/>
      </c>
      <c r="D374" s="48">
        <f>IF(AE374=1,ROUND(SUMIFS('All Donations'!$S$2:$S$4001,'All Donations'!$R$2:$R$4001,AD374),2),"")</f>
        <v/>
      </c>
      <c r="E374" s="48">
        <f>IF(AE374=1,ROUND(SUMIFS('All Donations'!$S$2:$S$4001,'All Donations'!$R$2:$R$4001,AD374,'All Donations'!$G$2:$G$4001,"OneCause"),2),"")</f>
        <v/>
      </c>
      <c r="F374" s="48">
        <f>IF(AE374=1,D374-E374,"")</f>
        <v/>
      </c>
      <c r="G374">
        <f>IF(AE374=1,COUNTIFS('All Donations'!$R$2:$R$4001,AD374,'All Donations'!$H$2:$H$4001,"OK"),"")</f>
        <v/>
      </c>
      <c r="H374">
        <f>IF(AE374&lt;&gt;1,"",IF(D374&gt;0,"Yes",""))</f>
        <v/>
      </c>
      <c r="I374" s="49">
        <f>IF(OR($AE374&lt;&gt;1,I$1=""),"",SUMIFS('All Donations'!$S$2:$S$4001,'All Donations'!$R$2:$R$4001,$AD374,'All Donations'!$T$2:$T$4001,I$1))</f>
        <v/>
      </c>
      <c r="J374" s="49">
        <f>IF(OR($AE374&lt;&gt;1,J$1=""),"",SUMIFS('All Donations'!$S$2:$S$4001,'All Donations'!$R$2:$R$4001,$AD374,'All Donations'!$T$2:$T$4001,J$1))</f>
        <v/>
      </c>
      <c r="K374" s="49">
        <f>IF(OR($AE374&lt;&gt;1,K$1=""),"",SUMIFS('All Donations'!$S$2:$S$4001,'All Donations'!$R$2:$R$4001,$AD374,'All Donations'!$T$2:$T$4001,K$1))</f>
        <v/>
      </c>
      <c r="L374" s="49">
        <f>IF(OR($AE374&lt;&gt;1,L$1=""),"",SUMIFS('All Donations'!$S$2:$S$4001,'All Donations'!$R$2:$R$4001,$AD374,'All Donations'!$T$2:$T$4001,L$1))</f>
        <v/>
      </c>
      <c r="M374" s="49">
        <f>IF(OR($AE374&lt;&gt;1,M$1=""),"",SUMIFS('All Donations'!$S$2:$S$4001,'All Donations'!$R$2:$R$4001,$AD374,'All Donations'!$T$2:$T$4001,M$1))</f>
        <v/>
      </c>
      <c r="N374" s="49">
        <f>IF(OR($AE374&lt;&gt;1,N$1=""),"",SUMIFS('All Donations'!$S$2:$S$4001,'All Donations'!$R$2:$R$4001,$AD374,'All Donations'!$T$2:$T$4001,N$1))</f>
        <v/>
      </c>
      <c r="O374" s="49">
        <f>IF(OR($AE374&lt;&gt;1,O$1=""),"",SUMIFS('All Donations'!$S$2:$S$4001,'All Donations'!$R$2:$R$4001,$AD374,'All Donations'!$T$2:$T$4001,O$1))</f>
        <v/>
      </c>
      <c r="P374" s="49">
        <f>IF(OR($AE374&lt;&gt;1,P$1=""),"",SUMIFS('All Donations'!$S$2:$S$4001,'All Donations'!$R$2:$R$4001,$AD374,'All Donations'!$T$2:$T$4001,P$1))</f>
        <v/>
      </c>
      <c r="Q374" s="49">
        <f>IF(OR($AE374&lt;&gt;1,Q$1=""),"",SUMIFS('All Donations'!$S$2:$S$4001,'All Donations'!$R$2:$R$4001,$AD374,'All Donations'!$T$2:$T$4001,Q$1))</f>
        <v/>
      </c>
      <c r="R374" s="49">
        <f>IF(OR($AE374&lt;&gt;1,R$1=""),"",SUMIFS('All Donations'!$S$2:$S$4001,'All Donations'!$R$2:$R$4001,$AD374,'All Donations'!$T$2:$T$4001,R$1))</f>
        <v/>
      </c>
      <c r="S374" s="49">
        <f>IF(OR($AE374&lt;&gt;1,S$1=""),"",SUMIFS('All Donations'!$S$2:$S$4001,'All Donations'!$R$2:$R$4001,$AD374,'All Donations'!$T$2:$T$4001,S$1))</f>
        <v/>
      </c>
      <c r="T374" s="49">
        <f>IF(OR($AE374&lt;&gt;1,T$1=""),"",SUMIFS('All Donations'!$S$2:$S$4001,'All Donations'!$R$2:$R$4001,$AD374,'All Donations'!$T$2:$T$4001,T$1))</f>
        <v/>
      </c>
      <c r="U374" s="49">
        <f>IF(OR($AE374&lt;&gt;1,U$1=""),"",SUMIFS('All Donations'!$S$2:$S$4001,'All Donations'!$R$2:$R$4001,$AD374,'All Donations'!$T$2:$T$4001,U$1))</f>
        <v/>
      </c>
      <c r="V374" s="49">
        <f>IF(OR($AE374&lt;&gt;1,V$1=""),"",SUMIFS('All Donations'!$S$2:$S$4001,'All Donations'!$R$2:$R$4001,$AD374,'All Donations'!$T$2:$T$4001,V$1))</f>
        <v/>
      </c>
      <c r="W374" s="49">
        <f>IF(OR($AE374&lt;&gt;1,W$1=""),"",SUMIFS('All Donations'!$S$2:$S$4001,'All Donations'!$R$2:$R$4001,$AD374,'All Donations'!$T$2:$T$4001,W$1))</f>
        <v/>
      </c>
      <c r="X374" s="49">
        <f>IF(OR($AE374&lt;&gt;1,X$1=""),"",SUMIFS('All Donations'!$S$2:$S$4001,'All Donations'!$R$2:$R$4001,$AD374,'All Donations'!$T$2:$T$4001,X$1))</f>
        <v/>
      </c>
      <c r="Y374" s="49">
        <f>IF(OR($AE374&lt;&gt;1,Y$1=""),"",SUMIFS('All Donations'!$S$2:$S$4001,'All Donations'!$R$2:$R$4001,$AD374,'All Donations'!$T$2:$T$4001,Y$1))</f>
        <v/>
      </c>
      <c r="Z374" s="49">
        <f>IF(OR($AE374&lt;&gt;1,Z$1=""),"",SUMIFS('All Donations'!$S$2:$S$4001,'All Donations'!$R$2:$R$4001,$AD374,'All Donations'!$T$2:$T$4001,Z$1))</f>
        <v/>
      </c>
      <c r="AA374" s="49">
        <f>IF(OR($AE374&lt;&gt;1,AA$1=""),"",SUMIFS('All Donations'!$S$2:$S$4001,'All Donations'!$R$2:$R$4001,$AD374,'All Donations'!$T$2:$T$4001,AA$1))</f>
        <v/>
      </c>
      <c r="AB374" s="49">
        <f>IF(OR($AE374&lt;&gt;1,AB$1=""),"",SUMIFS('All Donations'!$S$2:$S$4001,'All Donations'!$R$2:$R$4001,$AD374,'All Donations'!$T$2:$T$4001,AB$1))</f>
        <v/>
      </c>
      <c r="AC374" s="49">
        <f>IF(OR($AE374&lt;&gt;1,AC$1=""),"",SUMIFS('All Donations'!$S$2:$S$4001,'All Donations'!$R$2:$R$4001,$AD374,'All Donations'!$T$2:$T$4001,AC$1))</f>
        <v/>
      </c>
      <c r="AD374">
        <f>IF(AE374=1,'Roster'!A374,"")</f>
        <v/>
      </c>
      <c r="AE374">
        <f>IF(TRIM('Roster'!B374&amp;'Roster'!C374)&lt;&gt;"",1,0)</f>
        <v/>
      </c>
      <c r="AF374">
        <f>IF(AE374=1,LOWER(A374),"#")</f>
        <v/>
      </c>
      <c r="AG374">
        <f>IF(AE374=1,LOWER(TRIM(TRIM('Roster'!C374)&amp;", "&amp;TRIM('Roster'!B374))),"#")</f>
        <v/>
      </c>
      <c r="AH374">
        <f>IF(AND(AE374=1,TRIM('Roster'!F374)&lt;&gt;""),LOWER(TRIM('Roster'!F374)),"#")</f>
        <v/>
      </c>
      <c r="AI374">
        <f>IF(AE374=1,IF(MATCH(B374,$B$2:$B$701,0)=ROW()-1,1,0),0)</f>
        <v/>
      </c>
      <c r="AJ374">
        <f>AJ373+AI374</f>
        <v/>
      </c>
      <c r="AK374">
        <f>IF(AE374=1,D374+(1000-ROW())/10^7,-1)</f>
        <v/>
      </c>
      <c r="AL374">
        <f>IF(AE374=1,TRIM('Roster'!B374)&amp;" "&amp;LEFT(TRIM('Roster'!C374),1)&amp;".","")</f>
        <v/>
      </c>
      <c r="AM374">
        <f>IF(AE374=1,TRIM('Roster'!C374)&amp;", "&amp;TRIM('Roster'!B374)&amp;" ("&amp;B374&amp;") #"&amp;AD374,"")</f>
        <v/>
      </c>
      <c r="AN374">
        <f>IF(AE374=1,TRIM('Roster'!E374),"")</f>
        <v/>
      </c>
      <c r="AO374">
        <f>IF(AE374=1,ROUND(SUMIFS('All Donations'!$S$2:$S$4001,'All Donations'!$R$2:$R$4001,AD374,'All Donations'!$T$2:$T$4001,"&gt;="&amp;'Settings'!$C$23,'All Donations'!$T$2:$T$4001,"&lt;="&amp;'Settings'!$D$23),2),0)</f>
        <v/>
      </c>
      <c r="AQ374">
        <f>IF(AE374=1,ROUND(SUMIFS('All Donations'!$S$2:$S$4001,'All Donations'!$R$2:$R$4001,AD374,'All Donations'!$T$2:$T$4001,"&gt;="&amp;'Settings'!$C$25,'All Donations'!$T$2:$T$4001,"&lt;="&amp;'Settings'!$D$25),2),0)</f>
        <v/>
      </c>
      <c r="AR374">
        <f>IF(AE374=1,ROUND(SUMIFS('All Donations'!$S$2:$S$4001,'All Donations'!$R$2:$R$4001,AD374,'All Donations'!$T$2:$T$4001,"&gt;="&amp;'Settings'!$C$26,'All Donations'!$T$2:$T$4001,"&lt;="&amp;'Settings'!$D$26),2),0)</f>
        <v/>
      </c>
      <c r="AS374">
        <f>IF(AE374=1,ROUND(SUMIFS('All Donations'!$S$2:$S$4001,'All Donations'!$R$2:$R$4001,AD374,'All Donations'!$T$2:$T$4001,"&lt;="&amp;'Settings'!$D$27),2),0)</f>
        <v/>
      </c>
      <c r="AT374">
        <f>IF(AE374=1,ROUND(SUMIFS('All Donations'!$S$2:$S$4001,'All Donations'!$R$2:$R$4001,AD374,'All Donations'!$T$2:$T$4001,"&gt;="&amp;'Settings'!$C$28,'All Donations'!$T$2:$T$4001,"&lt;="&amp;'Settings'!$D$28),2),0)</f>
        <v/>
      </c>
      <c r="AU374">
        <f>IF(AE374=1,ROUND(SUMIFS('All Donations'!$S$2:$S$4001,'All Donations'!$R$2:$R$4001,AD374,'All Donations'!$T$2:$T$4001,"&gt;="&amp;'Settings'!$C$29,'All Donations'!$T$2:$T$4001,"&lt;="&amp;'Settings'!$D$29),2),0)</f>
        <v/>
      </c>
      <c r="AV374">
        <f>IF(AE374=1,ROUND(SUMIFS('All Donations'!$S$2:$S$4001,'All Donations'!$R$2:$R$4001,AD374,'All Donations'!$T$2:$T$4001,"&lt;="&amp;'Settings'!$D$30),2),0)</f>
        <v/>
      </c>
      <c r="AZ374">
        <f>IF(AE374=1,ROUND(SUMIFS('All Donations'!$S$2:$S$4001,'All Donations'!$R$2:$R$4001,AD374,'All Donations'!$T$2:$T$4001,"&lt;="&amp;'Settings'!$D$34),2),0)</f>
        <v/>
      </c>
    </row>
    <row r="375">
      <c r="A375">
        <f>IF(AE375=1,TRIM(TRIM('Roster'!B375)&amp;" "&amp;TRIM('Roster'!C375)),"")</f>
        <v/>
      </c>
      <c r="B375">
        <f>IF(AE375=1,IF(AN375="","(no teacher)",AN375&amp;" – "&amp;C375),"")</f>
        <v/>
      </c>
      <c r="C375">
        <f>IF(AE375=1,TRIM('Roster'!D375&amp;""),"")</f>
        <v/>
      </c>
      <c r="D375" s="48">
        <f>IF(AE375=1,ROUND(SUMIFS('All Donations'!$S$2:$S$4001,'All Donations'!$R$2:$R$4001,AD375),2),"")</f>
        <v/>
      </c>
      <c r="E375" s="48">
        <f>IF(AE375=1,ROUND(SUMIFS('All Donations'!$S$2:$S$4001,'All Donations'!$R$2:$R$4001,AD375,'All Donations'!$G$2:$G$4001,"OneCause"),2),"")</f>
        <v/>
      </c>
      <c r="F375" s="48">
        <f>IF(AE375=1,D375-E375,"")</f>
        <v/>
      </c>
      <c r="G375">
        <f>IF(AE375=1,COUNTIFS('All Donations'!$R$2:$R$4001,AD375,'All Donations'!$H$2:$H$4001,"OK"),"")</f>
        <v/>
      </c>
      <c r="H375">
        <f>IF(AE375&lt;&gt;1,"",IF(D375&gt;0,"Yes",""))</f>
        <v/>
      </c>
      <c r="I375" s="49">
        <f>IF(OR($AE375&lt;&gt;1,I$1=""),"",SUMIFS('All Donations'!$S$2:$S$4001,'All Donations'!$R$2:$R$4001,$AD375,'All Donations'!$T$2:$T$4001,I$1))</f>
        <v/>
      </c>
      <c r="J375" s="49">
        <f>IF(OR($AE375&lt;&gt;1,J$1=""),"",SUMIFS('All Donations'!$S$2:$S$4001,'All Donations'!$R$2:$R$4001,$AD375,'All Donations'!$T$2:$T$4001,J$1))</f>
        <v/>
      </c>
      <c r="K375" s="49">
        <f>IF(OR($AE375&lt;&gt;1,K$1=""),"",SUMIFS('All Donations'!$S$2:$S$4001,'All Donations'!$R$2:$R$4001,$AD375,'All Donations'!$T$2:$T$4001,K$1))</f>
        <v/>
      </c>
      <c r="L375" s="49">
        <f>IF(OR($AE375&lt;&gt;1,L$1=""),"",SUMIFS('All Donations'!$S$2:$S$4001,'All Donations'!$R$2:$R$4001,$AD375,'All Donations'!$T$2:$T$4001,L$1))</f>
        <v/>
      </c>
      <c r="M375" s="49">
        <f>IF(OR($AE375&lt;&gt;1,M$1=""),"",SUMIFS('All Donations'!$S$2:$S$4001,'All Donations'!$R$2:$R$4001,$AD375,'All Donations'!$T$2:$T$4001,M$1))</f>
        <v/>
      </c>
      <c r="N375" s="49">
        <f>IF(OR($AE375&lt;&gt;1,N$1=""),"",SUMIFS('All Donations'!$S$2:$S$4001,'All Donations'!$R$2:$R$4001,$AD375,'All Donations'!$T$2:$T$4001,N$1))</f>
        <v/>
      </c>
      <c r="O375" s="49">
        <f>IF(OR($AE375&lt;&gt;1,O$1=""),"",SUMIFS('All Donations'!$S$2:$S$4001,'All Donations'!$R$2:$R$4001,$AD375,'All Donations'!$T$2:$T$4001,O$1))</f>
        <v/>
      </c>
      <c r="P375" s="49">
        <f>IF(OR($AE375&lt;&gt;1,P$1=""),"",SUMIFS('All Donations'!$S$2:$S$4001,'All Donations'!$R$2:$R$4001,$AD375,'All Donations'!$T$2:$T$4001,P$1))</f>
        <v/>
      </c>
      <c r="Q375" s="49">
        <f>IF(OR($AE375&lt;&gt;1,Q$1=""),"",SUMIFS('All Donations'!$S$2:$S$4001,'All Donations'!$R$2:$R$4001,$AD375,'All Donations'!$T$2:$T$4001,Q$1))</f>
        <v/>
      </c>
      <c r="R375" s="49">
        <f>IF(OR($AE375&lt;&gt;1,R$1=""),"",SUMIFS('All Donations'!$S$2:$S$4001,'All Donations'!$R$2:$R$4001,$AD375,'All Donations'!$T$2:$T$4001,R$1))</f>
        <v/>
      </c>
      <c r="S375" s="49">
        <f>IF(OR($AE375&lt;&gt;1,S$1=""),"",SUMIFS('All Donations'!$S$2:$S$4001,'All Donations'!$R$2:$R$4001,$AD375,'All Donations'!$T$2:$T$4001,S$1))</f>
        <v/>
      </c>
      <c r="T375" s="49">
        <f>IF(OR($AE375&lt;&gt;1,T$1=""),"",SUMIFS('All Donations'!$S$2:$S$4001,'All Donations'!$R$2:$R$4001,$AD375,'All Donations'!$T$2:$T$4001,T$1))</f>
        <v/>
      </c>
      <c r="U375" s="49">
        <f>IF(OR($AE375&lt;&gt;1,U$1=""),"",SUMIFS('All Donations'!$S$2:$S$4001,'All Donations'!$R$2:$R$4001,$AD375,'All Donations'!$T$2:$T$4001,U$1))</f>
        <v/>
      </c>
      <c r="V375" s="49">
        <f>IF(OR($AE375&lt;&gt;1,V$1=""),"",SUMIFS('All Donations'!$S$2:$S$4001,'All Donations'!$R$2:$R$4001,$AD375,'All Donations'!$T$2:$T$4001,V$1))</f>
        <v/>
      </c>
      <c r="W375" s="49">
        <f>IF(OR($AE375&lt;&gt;1,W$1=""),"",SUMIFS('All Donations'!$S$2:$S$4001,'All Donations'!$R$2:$R$4001,$AD375,'All Donations'!$T$2:$T$4001,W$1))</f>
        <v/>
      </c>
      <c r="X375" s="49">
        <f>IF(OR($AE375&lt;&gt;1,X$1=""),"",SUMIFS('All Donations'!$S$2:$S$4001,'All Donations'!$R$2:$R$4001,$AD375,'All Donations'!$T$2:$T$4001,X$1))</f>
        <v/>
      </c>
      <c r="Y375" s="49">
        <f>IF(OR($AE375&lt;&gt;1,Y$1=""),"",SUMIFS('All Donations'!$S$2:$S$4001,'All Donations'!$R$2:$R$4001,$AD375,'All Donations'!$T$2:$T$4001,Y$1))</f>
        <v/>
      </c>
      <c r="Z375" s="49">
        <f>IF(OR($AE375&lt;&gt;1,Z$1=""),"",SUMIFS('All Donations'!$S$2:$S$4001,'All Donations'!$R$2:$R$4001,$AD375,'All Donations'!$T$2:$T$4001,Z$1))</f>
        <v/>
      </c>
      <c r="AA375" s="49">
        <f>IF(OR($AE375&lt;&gt;1,AA$1=""),"",SUMIFS('All Donations'!$S$2:$S$4001,'All Donations'!$R$2:$R$4001,$AD375,'All Donations'!$T$2:$T$4001,AA$1))</f>
        <v/>
      </c>
      <c r="AB375" s="49">
        <f>IF(OR($AE375&lt;&gt;1,AB$1=""),"",SUMIFS('All Donations'!$S$2:$S$4001,'All Donations'!$R$2:$R$4001,$AD375,'All Donations'!$T$2:$T$4001,AB$1))</f>
        <v/>
      </c>
      <c r="AC375" s="49">
        <f>IF(OR($AE375&lt;&gt;1,AC$1=""),"",SUMIFS('All Donations'!$S$2:$S$4001,'All Donations'!$R$2:$R$4001,$AD375,'All Donations'!$T$2:$T$4001,AC$1))</f>
        <v/>
      </c>
      <c r="AD375">
        <f>IF(AE375=1,'Roster'!A375,"")</f>
        <v/>
      </c>
      <c r="AE375">
        <f>IF(TRIM('Roster'!B375&amp;'Roster'!C375)&lt;&gt;"",1,0)</f>
        <v/>
      </c>
      <c r="AF375">
        <f>IF(AE375=1,LOWER(A375),"#")</f>
        <v/>
      </c>
      <c r="AG375">
        <f>IF(AE375=1,LOWER(TRIM(TRIM('Roster'!C375)&amp;", "&amp;TRIM('Roster'!B375))),"#")</f>
        <v/>
      </c>
      <c r="AH375">
        <f>IF(AND(AE375=1,TRIM('Roster'!F375)&lt;&gt;""),LOWER(TRIM('Roster'!F375)),"#")</f>
        <v/>
      </c>
      <c r="AI375">
        <f>IF(AE375=1,IF(MATCH(B375,$B$2:$B$701,0)=ROW()-1,1,0),0)</f>
        <v/>
      </c>
      <c r="AJ375">
        <f>AJ374+AI375</f>
        <v/>
      </c>
      <c r="AK375">
        <f>IF(AE375=1,D375+(1000-ROW())/10^7,-1)</f>
        <v/>
      </c>
      <c r="AL375">
        <f>IF(AE375=1,TRIM('Roster'!B375)&amp;" "&amp;LEFT(TRIM('Roster'!C375),1)&amp;".","")</f>
        <v/>
      </c>
      <c r="AM375">
        <f>IF(AE375=1,TRIM('Roster'!C375)&amp;", "&amp;TRIM('Roster'!B375)&amp;" ("&amp;B375&amp;") #"&amp;AD375,"")</f>
        <v/>
      </c>
      <c r="AN375">
        <f>IF(AE375=1,TRIM('Roster'!E375),"")</f>
        <v/>
      </c>
      <c r="AO375">
        <f>IF(AE375=1,ROUND(SUMIFS('All Donations'!$S$2:$S$4001,'All Donations'!$R$2:$R$4001,AD375,'All Donations'!$T$2:$T$4001,"&gt;="&amp;'Settings'!$C$23,'All Donations'!$T$2:$T$4001,"&lt;="&amp;'Settings'!$D$23),2),0)</f>
        <v/>
      </c>
      <c r="AQ375">
        <f>IF(AE375=1,ROUND(SUMIFS('All Donations'!$S$2:$S$4001,'All Donations'!$R$2:$R$4001,AD375,'All Donations'!$T$2:$T$4001,"&gt;="&amp;'Settings'!$C$25,'All Donations'!$T$2:$T$4001,"&lt;="&amp;'Settings'!$D$25),2),0)</f>
        <v/>
      </c>
      <c r="AR375">
        <f>IF(AE375=1,ROUND(SUMIFS('All Donations'!$S$2:$S$4001,'All Donations'!$R$2:$R$4001,AD375,'All Donations'!$T$2:$T$4001,"&gt;="&amp;'Settings'!$C$26,'All Donations'!$T$2:$T$4001,"&lt;="&amp;'Settings'!$D$26),2),0)</f>
        <v/>
      </c>
      <c r="AS375">
        <f>IF(AE375=1,ROUND(SUMIFS('All Donations'!$S$2:$S$4001,'All Donations'!$R$2:$R$4001,AD375,'All Donations'!$T$2:$T$4001,"&lt;="&amp;'Settings'!$D$27),2),0)</f>
        <v/>
      </c>
      <c r="AT375">
        <f>IF(AE375=1,ROUND(SUMIFS('All Donations'!$S$2:$S$4001,'All Donations'!$R$2:$R$4001,AD375,'All Donations'!$T$2:$T$4001,"&gt;="&amp;'Settings'!$C$28,'All Donations'!$T$2:$T$4001,"&lt;="&amp;'Settings'!$D$28),2),0)</f>
        <v/>
      </c>
      <c r="AU375">
        <f>IF(AE375=1,ROUND(SUMIFS('All Donations'!$S$2:$S$4001,'All Donations'!$R$2:$R$4001,AD375,'All Donations'!$T$2:$T$4001,"&gt;="&amp;'Settings'!$C$29,'All Donations'!$T$2:$T$4001,"&lt;="&amp;'Settings'!$D$29),2),0)</f>
        <v/>
      </c>
      <c r="AV375">
        <f>IF(AE375=1,ROUND(SUMIFS('All Donations'!$S$2:$S$4001,'All Donations'!$R$2:$R$4001,AD375,'All Donations'!$T$2:$T$4001,"&lt;="&amp;'Settings'!$D$30),2),0)</f>
        <v/>
      </c>
      <c r="AZ375">
        <f>IF(AE375=1,ROUND(SUMIFS('All Donations'!$S$2:$S$4001,'All Donations'!$R$2:$R$4001,AD375,'All Donations'!$T$2:$T$4001,"&lt;="&amp;'Settings'!$D$34),2),0)</f>
        <v/>
      </c>
    </row>
    <row r="376">
      <c r="A376">
        <f>IF(AE376=1,TRIM(TRIM('Roster'!B376)&amp;" "&amp;TRIM('Roster'!C376)),"")</f>
        <v/>
      </c>
      <c r="B376">
        <f>IF(AE376=1,IF(AN376="","(no teacher)",AN376&amp;" – "&amp;C376),"")</f>
        <v/>
      </c>
      <c r="C376">
        <f>IF(AE376=1,TRIM('Roster'!D376&amp;""),"")</f>
        <v/>
      </c>
      <c r="D376" s="48">
        <f>IF(AE376=1,ROUND(SUMIFS('All Donations'!$S$2:$S$4001,'All Donations'!$R$2:$R$4001,AD376),2),"")</f>
        <v/>
      </c>
      <c r="E376" s="48">
        <f>IF(AE376=1,ROUND(SUMIFS('All Donations'!$S$2:$S$4001,'All Donations'!$R$2:$R$4001,AD376,'All Donations'!$G$2:$G$4001,"OneCause"),2),"")</f>
        <v/>
      </c>
      <c r="F376" s="48">
        <f>IF(AE376=1,D376-E376,"")</f>
        <v/>
      </c>
      <c r="G376">
        <f>IF(AE376=1,COUNTIFS('All Donations'!$R$2:$R$4001,AD376,'All Donations'!$H$2:$H$4001,"OK"),"")</f>
        <v/>
      </c>
      <c r="H376">
        <f>IF(AE376&lt;&gt;1,"",IF(D376&gt;0,"Yes",""))</f>
        <v/>
      </c>
      <c r="I376" s="49">
        <f>IF(OR($AE376&lt;&gt;1,I$1=""),"",SUMIFS('All Donations'!$S$2:$S$4001,'All Donations'!$R$2:$R$4001,$AD376,'All Donations'!$T$2:$T$4001,I$1))</f>
        <v/>
      </c>
      <c r="J376" s="49">
        <f>IF(OR($AE376&lt;&gt;1,J$1=""),"",SUMIFS('All Donations'!$S$2:$S$4001,'All Donations'!$R$2:$R$4001,$AD376,'All Donations'!$T$2:$T$4001,J$1))</f>
        <v/>
      </c>
      <c r="K376" s="49">
        <f>IF(OR($AE376&lt;&gt;1,K$1=""),"",SUMIFS('All Donations'!$S$2:$S$4001,'All Donations'!$R$2:$R$4001,$AD376,'All Donations'!$T$2:$T$4001,K$1))</f>
        <v/>
      </c>
      <c r="L376" s="49">
        <f>IF(OR($AE376&lt;&gt;1,L$1=""),"",SUMIFS('All Donations'!$S$2:$S$4001,'All Donations'!$R$2:$R$4001,$AD376,'All Donations'!$T$2:$T$4001,L$1))</f>
        <v/>
      </c>
      <c r="M376" s="49">
        <f>IF(OR($AE376&lt;&gt;1,M$1=""),"",SUMIFS('All Donations'!$S$2:$S$4001,'All Donations'!$R$2:$R$4001,$AD376,'All Donations'!$T$2:$T$4001,M$1))</f>
        <v/>
      </c>
      <c r="N376" s="49">
        <f>IF(OR($AE376&lt;&gt;1,N$1=""),"",SUMIFS('All Donations'!$S$2:$S$4001,'All Donations'!$R$2:$R$4001,$AD376,'All Donations'!$T$2:$T$4001,N$1))</f>
        <v/>
      </c>
      <c r="O376" s="49">
        <f>IF(OR($AE376&lt;&gt;1,O$1=""),"",SUMIFS('All Donations'!$S$2:$S$4001,'All Donations'!$R$2:$R$4001,$AD376,'All Donations'!$T$2:$T$4001,O$1))</f>
        <v/>
      </c>
      <c r="P376" s="49">
        <f>IF(OR($AE376&lt;&gt;1,P$1=""),"",SUMIFS('All Donations'!$S$2:$S$4001,'All Donations'!$R$2:$R$4001,$AD376,'All Donations'!$T$2:$T$4001,P$1))</f>
        <v/>
      </c>
      <c r="Q376" s="49">
        <f>IF(OR($AE376&lt;&gt;1,Q$1=""),"",SUMIFS('All Donations'!$S$2:$S$4001,'All Donations'!$R$2:$R$4001,$AD376,'All Donations'!$T$2:$T$4001,Q$1))</f>
        <v/>
      </c>
      <c r="R376" s="49">
        <f>IF(OR($AE376&lt;&gt;1,R$1=""),"",SUMIFS('All Donations'!$S$2:$S$4001,'All Donations'!$R$2:$R$4001,$AD376,'All Donations'!$T$2:$T$4001,R$1))</f>
        <v/>
      </c>
      <c r="S376" s="49">
        <f>IF(OR($AE376&lt;&gt;1,S$1=""),"",SUMIFS('All Donations'!$S$2:$S$4001,'All Donations'!$R$2:$R$4001,$AD376,'All Donations'!$T$2:$T$4001,S$1))</f>
        <v/>
      </c>
      <c r="T376" s="49">
        <f>IF(OR($AE376&lt;&gt;1,T$1=""),"",SUMIFS('All Donations'!$S$2:$S$4001,'All Donations'!$R$2:$R$4001,$AD376,'All Donations'!$T$2:$T$4001,T$1))</f>
        <v/>
      </c>
      <c r="U376" s="49">
        <f>IF(OR($AE376&lt;&gt;1,U$1=""),"",SUMIFS('All Donations'!$S$2:$S$4001,'All Donations'!$R$2:$R$4001,$AD376,'All Donations'!$T$2:$T$4001,U$1))</f>
        <v/>
      </c>
      <c r="V376" s="49">
        <f>IF(OR($AE376&lt;&gt;1,V$1=""),"",SUMIFS('All Donations'!$S$2:$S$4001,'All Donations'!$R$2:$R$4001,$AD376,'All Donations'!$T$2:$T$4001,V$1))</f>
        <v/>
      </c>
      <c r="W376" s="49">
        <f>IF(OR($AE376&lt;&gt;1,W$1=""),"",SUMIFS('All Donations'!$S$2:$S$4001,'All Donations'!$R$2:$R$4001,$AD376,'All Donations'!$T$2:$T$4001,W$1))</f>
        <v/>
      </c>
      <c r="X376" s="49">
        <f>IF(OR($AE376&lt;&gt;1,X$1=""),"",SUMIFS('All Donations'!$S$2:$S$4001,'All Donations'!$R$2:$R$4001,$AD376,'All Donations'!$T$2:$T$4001,X$1))</f>
        <v/>
      </c>
      <c r="Y376" s="49">
        <f>IF(OR($AE376&lt;&gt;1,Y$1=""),"",SUMIFS('All Donations'!$S$2:$S$4001,'All Donations'!$R$2:$R$4001,$AD376,'All Donations'!$T$2:$T$4001,Y$1))</f>
        <v/>
      </c>
      <c r="Z376" s="49">
        <f>IF(OR($AE376&lt;&gt;1,Z$1=""),"",SUMIFS('All Donations'!$S$2:$S$4001,'All Donations'!$R$2:$R$4001,$AD376,'All Donations'!$T$2:$T$4001,Z$1))</f>
        <v/>
      </c>
      <c r="AA376" s="49">
        <f>IF(OR($AE376&lt;&gt;1,AA$1=""),"",SUMIFS('All Donations'!$S$2:$S$4001,'All Donations'!$R$2:$R$4001,$AD376,'All Donations'!$T$2:$T$4001,AA$1))</f>
        <v/>
      </c>
      <c r="AB376" s="49">
        <f>IF(OR($AE376&lt;&gt;1,AB$1=""),"",SUMIFS('All Donations'!$S$2:$S$4001,'All Donations'!$R$2:$R$4001,$AD376,'All Donations'!$T$2:$T$4001,AB$1))</f>
        <v/>
      </c>
      <c r="AC376" s="49">
        <f>IF(OR($AE376&lt;&gt;1,AC$1=""),"",SUMIFS('All Donations'!$S$2:$S$4001,'All Donations'!$R$2:$R$4001,$AD376,'All Donations'!$T$2:$T$4001,AC$1))</f>
        <v/>
      </c>
      <c r="AD376">
        <f>IF(AE376=1,'Roster'!A376,"")</f>
        <v/>
      </c>
      <c r="AE376">
        <f>IF(TRIM('Roster'!B376&amp;'Roster'!C376)&lt;&gt;"",1,0)</f>
        <v/>
      </c>
      <c r="AF376">
        <f>IF(AE376=1,LOWER(A376),"#")</f>
        <v/>
      </c>
      <c r="AG376">
        <f>IF(AE376=1,LOWER(TRIM(TRIM('Roster'!C376)&amp;", "&amp;TRIM('Roster'!B376))),"#")</f>
        <v/>
      </c>
      <c r="AH376">
        <f>IF(AND(AE376=1,TRIM('Roster'!F376)&lt;&gt;""),LOWER(TRIM('Roster'!F376)),"#")</f>
        <v/>
      </c>
      <c r="AI376">
        <f>IF(AE376=1,IF(MATCH(B376,$B$2:$B$701,0)=ROW()-1,1,0),0)</f>
        <v/>
      </c>
      <c r="AJ376">
        <f>AJ375+AI376</f>
        <v/>
      </c>
      <c r="AK376">
        <f>IF(AE376=1,D376+(1000-ROW())/10^7,-1)</f>
        <v/>
      </c>
      <c r="AL376">
        <f>IF(AE376=1,TRIM('Roster'!B376)&amp;" "&amp;LEFT(TRIM('Roster'!C376),1)&amp;".","")</f>
        <v/>
      </c>
      <c r="AM376">
        <f>IF(AE376=1,TRIM('Roster'!C376)&amp;", "&amp;TRIM('Roster'!B376)&amp;" ("&amp;B376&amp;") #"&amp;AD376,"")</f>
        <v/>
      </c>
      <c r="AN376">
        <f>IF(AE376=1,TRIM('Roster'!E376),"")</f>
        <v/>
      </c>
      <c r="AO376">
        <f>IF(AE376=1,ROUND(SUMIFS('All Donations'!$S$2:$S$4001,'All Donations'!$R$2:$R$4001,AD376,'All Donations'!$T$2:$T$4001,"&gt;="&amp;'Settings'!$C$23,'All Donations'!$T$2:$T$4001,"&lt;="&amp;'Settings'!$D$23),2),0)</f>
        <v/>
      </c>
      <c r="AQ376">
        <f>IF(AE376=1,ROUND(SUMIFS('All Donations'!$S$2:$S$4001,'All Donations'!$R$2:$R$4001,AD376,'All Donations'!$T$2:$T$4001,"&gt;="&amp;'Settings'!$C$25,'All Donations'!$T$2:$T$4001,"&lt;="&amp;'Settings'!$D$25),2),0)</f>
        <v/>
      </c>
      <c r="AR376">
        <f>IF(AE376=1,ROUND(SUMIFS('All Donations'!$S$2:$S$4001,'All Donations'!$R$2:$R$4001,AD376,'All Donations'!$T$2:$T$4001,"&gt;="&amp;'Settings'!$C$26,'All Donations'!$T$2:$T$4001,"&lt;="&amp;'Settings'!$D$26),2),0)</f>
        <v/>
      </c>
      <c r="AS376">
        <f>IF(AE376=1,ROUND(SUMIFS('All Donations'!$S$2:$S$4001,'All Donations'!$R$2:$R$4001,AD376,'All Donations'!$T$2:$T$4001,"&lt;="&amp;'Settings'!$D$27),2),0)</f>
        <v/>
      </c>
      <c r="AT376">
        <f>IF(AE376=1,ROUND(SUMIFS('All Donations'!$S$2:$S$4001,'All Donations'!$R$2:$R$4001,AD376,'All Donations'!$T$2:$T$4001,"&gt;="&amp;'Settings'!$C$28,'All Donations'!$T$2:$T$4001,"&lt;="&amp;'Settings'!$D$28),2),0)</f>
        <v/>
      </c>
      <c r="AU376">
        <f>IF(AE376=1,ROUND(SUMIFS('All Donations'!$S$2:$S$4001,'All Donations'!$R$2:$R$4001,AD376,'All Donations'!$T$2:$T$4001,"&gt;="&amp;'Settings'!$C$29,'All Donations'!$T$2:$T$4001,"&lt;="&amp;'Settings'!$D$29),2),0)</f>
        <v/>
      </c>
      <c r="AV376">
        <f>IF(AE376=1,ROUND(SUMIFS('All Donations'!$S$2:$S$4001,'All Donations'!$R$2:$R$4001,AD376,'All Donations'!$T$2:$T$4001,"&lt;="&amp;'Settings'!$D$30),2),0)</f>
        <v/>
      </c>
      <c r="AZ376">
        <f>IF(AE376=1,ROUND(SUMIFS('All Donations'!$S$2:$S$4001,'All Donations'!$R$2:$R$4001,AD376,'All Donations'!$T$2:$T$4001,"&lt;="&amp;'Settings'!$D$34),2),0)</f>
        <v/>
      </c>
    </row>
    <row r="377">
      <c r="A377">
        <f>IF(AE377=1,TRIM(TRIM('Roster'!B377)&amp;" "&amp;TRIM('Roster'!C377)),"")</f>
        <v/>
      </c>
      <c r="B377">
        <f>IF(AE377=1,IF(AN377="","(no teacher)",AN377&amp;" – "&amp;C377),"")</f>
        <v/>
      </c>
      <c r="C377">
        <f>IF(AE377=1,TRIM('Roster'!D377&amp;""),"")</f>
        <v/>
      </c>
      <c r="D377" s="48">
        <f>IF(AE377=1,ROUND(SUMIFS('All Donations'!$S$2:$S$4001,'All Donations'!$R$2:$R$4001,AD377),2),"")</f>
        <v/>
      </c>
      <c r="E377" s="48">
        <f>IF(AE377=1,ROUND(SUMIFS('All Donations'!$S$2:$S$4001,'All Donations'!$R$2:$R$4001,AD377,'All Donations'!$G$2:$G$4001,"OneCause"),2),"")</f>
        <v/>
      </c>
      <c r="F377" s="48">
        <f>IF(AE377=1,D377-E377,"")</f>
        <v/>
      </c>
      <c r="G377">
        <f>IF(AE377=1,COUNTIFS('All Donations'!$R$2:$R$4001,AD377,'All Donations'!$H$2:$H$4001,"OK"),"")</f>
        <v/>
      </c>
      <c r="H377">
        <f>IF(AE377&lt;&gt;1,"",IF(D377&gt;0,"Yes",""))</f>
        <v/>
      </c>
      <c r="I377" s="49">
        <f>IF(OR($AE377&lt;&gt;1,I$1=""),"",SUMIFS('All Donations'!$S$2:$S$4001,'All Donations'!$R$2:$R$4001,$AD377,'All Donations'!$T$2:$T$4001,I$1))</f>
        <v/>
      </c>
      <c r="J377" s="49">
        <f>IF(OR($AE377&lt;&gt;1,J$1=""),"",SUMIFS('All Donations'!$S$2:$S$4001,'All Donations'!$R$2:$R$4001,$AD377,'All Donations'!$T$2:$T$4001,J$1))</f>
        <v/>
      </c>
      <c r="K377" s="49">
        <f>IF(OR($AE377&lt;&gt;1,K$1=""),"",SUMIFS('All Donations'!$S$2:$S$4001,'All Donations'!$R$2:$R$4001,$AD377,'All Donations'!$T$2:$T$4001,K$1))</f>
        <v/>
      </c>
      <c r="L377" s="49">
        <f>IF(OR($AE377&lt;&gt;1,L$1=""),"",SUMIFS('All Donations'!$S$2:$S$4001,'All Donations'!$R$2:$R$4001,$AD377,'All Donations'!$T$2:$T$4001,L$1))</f>
        <v/>
      </c>
      <c r="M377" s="49">
        <f>IF(OR($AE377&lt;&gt;1,M$1=""),"",SUMIFS('All Donations'!$S$2:$S$4001,'All Donations'!$R$2:$R$4001,$AD377,'All Donations'!$T$2:$T$4001,M$1))</f>
        <v/>
      </c>
      <c r="N377" s="49">
        <f>IF(OR($AE377&lt;&gt;1,N$1=""),"",SUMIFS('All Donations'!$S$2:$S$4001,'All Donations'!$R$2:$R$4001,$AD377,'All Donations'!$T$2:$T$4001,N$1))</f>
        <v/>
      </c>
      <c r="O377" s="49">
        <f>IF(OR($AE377&lt;&gt;1,O$1=""),"",SUMIFS('All Donations'!$S$2:$S$4001,'All Donations'!$R$2:$R$4001,$AD377,'All Donations'!$T$2:$T$4001,O$1))</f>
        <v/>
      </c>
      <c r="P377" s="49">
        <f>IF(OR($AE377&lt;&gt;1,P$1=""),"",SUMIFS('All Donations'!$S$2:$S$4001,'All Donations'!$R$2:$R$4001,$AD377,'All Donations'!$T$2:$T$4001,P$1))</f>
        <v/>
      </c>
      <c r="Q377" s="49">
        <f>IF(OR($AE377&lt;&gt;1,Q$1=""),"",SUMIFS('All Donations'!$S$2:$S$4001,'All Donations'!$R$2:$R$4001,$AD377,'All Donations'!$T$2:$T$4001,Q$1))</f>
        <v/>
      </c>
      <c r="R377" s="49">
        <f>IF(OR($AE377&lt;&gt;1,R$1=""),"",SUMIFS('All Donations'!$S$2:$S$4001,'All Donations'!$R$2:$R$4001,$AD377,'All Donations'!$T$2:$T$4001,R$1))</f>
        <v/>
      </c>
      <c r="S377" s="49">
        <f>IF(OR($AE377&lt;&gt;1,S$1=""),"",SUMIFS('All Donations'!$S$2:$S$4001,'All Donations'!$R$2:$R$4001,$AD377,'All Donations'!$T$2:$T$4001,S$1))</f>
        <v/>
      </c>
      <c r="T377" s="49">
        <f>IF(OR($AE377&lt;&gt;1,T$1=""),"",SUMIFS('All Donations'!$S$2:$S$4001,'All Donations'!$R$2:$R$4001,$AD377,'All Donations'!$T$2:$T$4001,T$1))</f>
        <v/>
      </c>
      <c r="U377" s="49">
        <f>IF(OR($AE377&lt;&gt;1,U$1=""),"",SUMIFS('All Donations'!$S$2:$S$4001,'All Donations'!$R$2:$R$4001,$AD377,'All Donations'!$T$2:$T$4001,U$1))</f>
        <v/>
      </c>
      <c r="V377" s="49">
        <f>IF(OR($AE377&lt;&gt;1,V$1=""),"",SUMIFS('All Donations'!$S$2:$S$4001,'All Donations'!$R$2:$R$4001,$AD377,'All Donations'!$T$2:$T$4001,V$1))</f>
        <v/>
      </c>
      <c r="W377" s="49">
        <f>IF(OR($AE377&lt;&gt;1,W$1=""),"",SUMIFS('All Donations'!$S$2:$S$4001,'All Donations'!$R$2:$R$4001,$AD377,'All Donations'!$T$2:$T$4001,W$1))</f>
        <v/>
      </c>
      <c r="X377" s="49">
        <f>IF(OR($AE377&lt;&gt;1,X$1=""),"",SUMIFS('All Donations'!$S$2:$S$4001,'All Donations'!$R$2:$R$4001,$AD377,'All Donations'!$T$2:$T$4001,X$1))</f>
        <v/>
      </c>
      <c r="Y377" s="49">
        <f>IF(OR($AE377&lt;&gt;1,Y$1=""),"",SUMIFS('All Donations'!$S$2:$S$4001,'All Donations'!$R$2:$R$4001,$AD377,'All Donations'!$T$2:$T$4001,Y$1))</f>
        <v/>
      </c>
      <c r="Z377" s="49">
        <f>IF(OR($AE377&lt;&gt;1,Z$1=""),"",SUMIFS('All Donations'!$S$2:$S$4001,'All Donations'!$R$2:$R$4001,$AD377,'All Donations'!$T$2:$T$4001,Z$1))</f>
        <v/>
      </c>
      <c r="AA377" s="49">
        <f>IF(OR($AE377&lt;&gt;1,AA$1=""),"",SUMIFS('All Donations'!$S$2:$S$4001,'All Donations'!$R$2:$R$4001,$AD377,'All Donations'!$T$2:$T$4001,AA$1))</f>
        <v/>
      </c>
      <c r="AB377" s="49">
        <f>IF(OR($AE377&lt;&gt;1,AB$1=""),"",SUMIFS('All Donations'!$S$2:$S$4001,'All Donations'!$R$2:$R$4001,$AD377,'All Donations'!$T$2:$T$4001,AB$1))</f>
        <v/>
      </c>
      <c r="AC377" s="49">
        <f>IF(OR($AE377&lt;&gt;1,AC$1=""),"",SUMIFS('All Donations'!$S$2:$S$4001,'All Donations'!$R$2:$R$4001,$AD377,'All Donations'!$T$2:$T$4001,AC$1))</f>
        <v/>
      </c>
      <c r="AD377">
        <f>IF(AE377=1,'Roster'!A377,"")</f>
        <v/>
      </c>
      <c r="AE377">
        <f>IF(TRIM('Roster'!B377&amp;'Roster'!C377)&lt;&gt;"",1,0)</f>
        <v/>
      </c>
      <c r="AF377">
        <f>IF(AE377=1,LOWER(A377),"#")</f>
        <v/>
      </c>
      <c r="AG377">
        <f>IF(AE377=1,LOWER(TRIM(TRIM('Roster'!C377)&amp;", "&amp;TRIM('Roster'!B377))),"#")</f>
        <v/>
      </c>
      <c r="AH377">
        <f>IF(AND(AE377=1,TRIM('Roster'!F377)&lt;&gt;""),LOWER(TRIM('Roster'!F377)),"#")</f>
        <v/>
      </c>
      <c r="AI377">
        <f>IF(AE377=1,IF(MATCH(B377,$B$2:$B$701,0)=ROW()-1,1,0),0)</f>
        <v/>
      </c>
      <c r="AJ377">
        <f>AJ376+AI377</f>
        <v/>
      </c>
      <c r="AK377">
        <f>IF(AE377=1,D377+(1000-ROW())/10^7,-1)</f>
        <v/>
      </c>
      <c r="AL377">
        <f>IF(AE377=1,TRIM('Roster'!B377)&amp;" "&amp;LEFT(TRIM('Roster'!C377),1)&amp;".","")</f>
        <v/>
      </c>
      <c r="AM377">
        <f>IF(AE377=1,TRIM('Roster'!C377)&amp;", "&amp;TRIM('Roster'!B377)&amp;" ("&amp;B377&amp;") #"&amp;AD377,"")</f>
        <v/>
      </c>
      <c r="AN377">
        <f>IF(AE377=1,TRIM('Roster'!E377),"")</f>
        <v/>
      </c>
      <c r="AO377">
        <f>IF(AE377=1,ROUND(SUMIFS('All Donations'!$S$2:$S$4001,'All Donations'!$R$2:$R$4001,AD377,'All Donations'!$T$2:$T$4001,"&gt;="&amp;'Settings'!$C$23,'All Donations'!$T$2:$T$4001,"&lt;="&amp;'Settings'!$D$23),2),0)</f>
        <v/>
      </c>
      <c r="AQ377">
        <f>IF(AE377=1,ROUND(SUMIFS('All Donations'!$S$2:$S$4001,'All Donations'!$R$2:$R$4001,AD377,'All Donations'!$T$2:$T$4001,"&gt;="&amp;'Settings'!$C$25,'All Donations'!$T$2:$T$4001,"&lt;="&amp;'Settings'!$D$25),2),0)</f>
        <v/>
      </c>
      <c r="AR377">
        <f>IF(AE377=1,ROUND(SUMIFS('All Donations'!$S$2:$S$4001,'All Donations'!$R$2:$R$4001,AD377,'All Donations'!$T$2:$T$4001,"&gt;="&amp;'Settings'!$C$26,'All Donations'!$T$2:$T$4001,"&lt;="&amp;'Settings'!$D$26),2),0)</f>
        <v/>
      </c>
      <c r="AS377">
        <f>IF(AE377=1,ROUND(SUMIFS('All Donations'!$S$2:$S$4001,'All Donations'!$R$2:$R$4001,AD377,'All Donations'!$T$2:$T$4001,"&lt;="&amp;'Settings'!$D$27),2),0)</f>
        <v/>
      </c>
      <c r="AT377">
        <f>IF(AE377=1,ROUND(SUMIFS('All Donations'!$S$2:$S$4001,'All Donations'!$R$2:$R$4001,AD377,'All Donations'!$T$2:$T$4001,"&gt;="&amp;'Settings'!$C$28,'All Donations'!$T$2:$T$4001,"&lt;="&amp;'Settings'!$D$28),2),0)</f>
        <v/>
      </c>
      <c r="AU377">
        <f>IF(AE377=1,ROUND(SUMIFS('All Donations'!$S$2:$S$4001,'All Donations'!$R$2:$R$4001,AD377,'All Donations'!$T$2:$T$4001,"&gt;="&amp;'Settings'!$C$29,'All Donations'!$T$2:$T$4001,"&lt;="&amp;'Settings'!$D$29),2),0)</f>
        <v/>
      </c>
      <c r="AV377">
        <f>IF(AE377=1,ROUND(SUMIFS('All Donations'!$S$2:$S$4001,'All Donations'!$R$2:$R$4001,AD377,'All Donations'!$T$2:$T$4001,"&lt;="&amp;'Settings'!$D$30),2),0)</f>
        <v/>
      </c>
      <c r="AZ377">
        <f>IF(AE377=1,ROUND(SUMIFS('All Donations'!$S$2:$S$4001,'All Donations'!$R$2:$R$4001,AD377,'All Donations'!$T$2:$T$4001,"&lt;="&amp;'Settings'!$D$34),2),0)</f>
        <v/>
      </c>
    </row>
    <row r="378">
      <c r="A378">
        <f>IF(AE378=1,TRIM(TRIM('Roster'!B378)&amp;" "&amp;TRIM('Roster'!C378)),"")</f>
        <v/>
      </c>
      <c r="B378">
        <f>IF(AE378=1,IF(AN378="","(no teacher)",AN378&amp;" – "&amp;C378),"")</f>
        <v/>
      </c>
      <c r="C378">
        <f>IF(AE378=1,TRIM('Roster'!D378&amp;""),"")</f>
        <v/>
      </c>
      <c r="D378" s="48">
        <f>IF(AE378=1,ROUND(SUMIFS('All Donations'!$S$2:$S$4001,'All Donations'!$R$2:$R$4001,AD378),2),"")</f>
        <v/>
      </c>
      <c r="E378" s="48">
        <f>IF(AE378=1,ROUND(SUMIFS('All Donations'!$S$2:$S$4001,'All Donations'!$R$2:$R$4001,AD378,'All Donations'!$G$2:$G$4001,"OneCause"),2),"")</f>
        <v/>
      </c>
      <c r="F378" s="48">
        <f>IF(AE378=1,D378-E378,"")</f>
        <v/>
      </c>
      <c r="G378">
        <f>IF(AE378=1,COUNTIFS('All Donations'!$R$2:$R$4001,AD378,'All Donations'!$H$2:$H$4001,"OK"),"")</f>
        <v/>
      </c>
      <c r="H378">
        <f>IF(AE378&lt;&gt;1,"",IF(D378&gt;0,"Yes",""))</f>
        <v/>
      </c>
      <c r="I378" s="49">
        <f>IF(OR($AE378&lt;&gt;1,I$1=""),"",SUMIFS('All Donations'!$S$2:$S$4001,'All Donations'!$R$2:$R$4001,$AD378,'All Donations'!$T$2:$T$4001,I$1))</f>
        <v/>
      </c>
      <c r="J378" s="49">
        <f>IF(OR($AE378&lt;&gt;1,J$1=""),"",SUMIFS('All Donations'!$S$2:$S$4001,'All Donations'!$R$2:$R$4001,$AD378,'All Donations'!$T$2:$T$4001,J$1))</f>
        <v/>
      </c>
      <c r="K378" s="49">
        <f>IF(OR($AE378&lt;&gt;1,K$1=""),"",SUMIFS('All Donations'!$S$2:$S$4001,'All Donations'!$R$2:$R$4001,$AD378,'All Donations'!$T$2:$T$4001,K$1))</f>
        <v/>
      </c>
      <c r="L378" s="49">
        <f>IF(OR($AE378&lt;&gt;1,L$1=""),"",SUMIFS('All Donations'!$S$2:$S$4001,'All Donations'!$R$2:$R$4001,$AD378,'All Donations'!$T$2:$T$4001,L$1))</f>
        <v/>
      </c>
      <c r="M378" s="49">
        <f>IF(OR($AE378&lt;&gt;1,M$1=""),"",SUMIFS('All Donations'!$S$2:$S$4001,'All Donations'!$R$2:$R$4001,$AD378,'All Donations'!$T$2:$T$4001,M$1))</f>
        <v/>
      </c>
      <c r="N378" s="49">
        <f>IF(OR($AE378&lt;&gt;1,N$1=""),"",SUMIFS('All Donations'!$S$2:$S$4001,'All Donations'!$R$2:$R$4001,$AD378,'All Donations'!$T$2:$T$4001,N$1))</f>
        <v/>
      </c>
      <c r="O378" s="49">
        <f>IF(OR($AE378&lt;&gt;1,O$1=""),"",SUMIFS('All Donations'!$S$2:$S$4001,'All Donations'!$R$2:$R$4001,$AD378,'All Donations'!$T$2:$T$4001,O$1))</f>
        <v/>
      </c>
      <c r="P378" s="49">
        <f>IF(OR($AE378&lt;&gt;1,P$1=""),"",SUMIFS('All Donations'!$S$2:$S$4001,'All Donations'!$R$2:$R$4001,$AD378,'All Donations'!$T$2:$T$4001,P$1))</f>
        <v/>
      </c>
      <c r="Q378" s="49">
        <f>IF(OR($AE378&lt;&gt;1,Q$1=""),"",SUMIFS('All Donations'!$S$2:$S$4001,'All Donations'!$R$2:$R$4001,$AD378,'All Donations'!$T$2:$T$4001,Q$1))</f>
        <v/>
      </c>
      <c r="R378" s="49">
        <f>IF(OR($AE378&lt;&gt;1,R$1=""),"",SUMIFS('All Donations'!$S$2:$S$4001,'All Donations'!$R$2:$R$4001,$AD378,'All Donations'!$T$2:$T$4001,R$1))</f>
        <v/>
      </c>
      <c r="S378" s="49">
        <f>IF(OR($AE378&lt;&gt;1,S$1=""),"",SUMIFS('All Donations'!$S$2:$S$4001,'All Donations'!$R$2:$R$4001,$AD378,'All Donations'!$T$2:$T$4001,S$1))</f>
        <v/>
      </c>
      <c r="T378" s="49">
        <f>IF(OR($AE378&lt;&gt;1,T$1=""),"",SUMIFS('All Donations'!$S$2:$S$4001,'All Donations'!$R$2:$R$4001,$AD378,'All Donations'!$T$2:$T$4001,T$1))</f>
        <v/>
      </c>
      <c r="U378" s="49">
        <f>IF(OR($AE378&lt;&gt;1,U$1=""),"",SUMIFS('All Donations'!$S$2:$S$4001,'All Donations'!$R$2:$R$4001,$AD378,'All Donations'!$T$2:$T$4001,U$1))</f>
        <v/>
      </c>
      <c r="V378" s="49">
        <f>IF(OR($AE378&lt;&gt;1,V$1=""),"",SUMIFS('All Donations'!$S$2:$S$4001,'All Donations'!$R$2:$R$4001,$AD378,'All Donations'!$T$2:$T$4001,V$1))</f>
        <v/>
      </c>
      <c r="W378" s="49">
        <f>IF(OR($AE378&lt;&gt;1,W$1=""),"",SUMIFS('All Donations'!$S$2:$S$4001,'All Donations'!$R$2:$R$4001,$AD378,'All Donations'!$T$2:$T$4001,W$1))</f>
        <v/>
      </c>
      <c r="X378" s="49">
        <f>IF(OR($AE378&lt;&gt;1,X$1=""),"",SUMIFS('All Donations'!$S$2:$S$4001,'All Donations'!$R$2:$R$4001,$AD378,'All Donations'!$T$2:$T$4001,X$1))</f>
        <v/>
      </c>
      <c r="Y378" s="49">
        <f>IF(OR($AE378&lt;&gt;1,Y$1=""),"",SUMIFS('All Donations'!$S$2:$S$4001,'All Donations'!$R$2:$R$4001,$AD378,'All Donations'!$T$2:$T$4001,Y$1))</f>
        <v/>
      </c>
      <c r="Z378" s="49">
        <f>IF(OR($AE378&lt;&gt;1,Z$1=""),"",SUMIFS('All Donations'!$S$2:$S$4001,'All Donations'!$R$2:$R$4001,$AD378,'All Donations'!$T$2:$T$4001,Z$1))</f>
        <v/>
      </c>
      <c r="AA378" s="49">
        <f>IF(OR($AE378&lt;&gt;1,AA$1=""),"",SUMIFS('All Donations'!$S$2:$S$4001,'All Donations'!$R$2:$R$4001,$AD378,'All Donations'!$T$2:$T$4001,AA$1))</f>
        <v/>
      </c>
      <c r="AB378" s="49">
        <f>IF(OR($AE378&lt;&gt;1,AB$1=""),"",SUMIFS('All Donations'!$S$2:$S$4001,'All Donations'!$R$2:$R$4001,$AD378,'All Donations'!$T$2:$T$4001,AB$1))</f>
        <v/>
      </c>
      <c r="AC378" s="49">
        <f>IF(OR($AE378&lt;&gt;1,AC$1=""),"",SUMIFS('All Donations'!$S$2:$S$4001,'All Donations'!$R$2:$R$4001,$AD378,'All Donations'!$T$2:$T$4001,AC$1))</f>
        <v/>
      </c>
      <c r="AD378">
        <f>IF(AE378=1,'Roster'!A378,"")</f>
        <v/>
      </c>
      <c r="AE378">
        <f>IF(TRIM('Roster'!B378&amp;'Roster'!C378)&lt;&gt;"",1,0)</f>
        <v/>
      </c>
      <c r="AF378">
        <f>IF(AE378=1,LOWER(A378),"#")</f>
        <v/>
      </c>
      <c r="AG378">
        <f>IF(AE378=1,LOWER(TRIM(TRIM('Roster'!C378)&amp;", "&amp;TRIM('Roster'!B378))),"#")</f>
        <v/>
      </c>
      <c r="AH378">
        <f>IF(AND(AE378=1,TRIM('Roster'!F378)&lt;&gt;""),LOWER(TRIM('Roster'!F378)),"#")</f>
        <v/>
      </c>
      <c r="AI378">
        <f>IF(AE378=1,IF(MATCH(B378,$B$2:$B$701,0)=ROW()-1,1,0),0)</f>
        <v/>
      </c>
      <c r="AJ378">
        <f>AJ377+AI378</f>
        <v/>
      </c>
      <c r="AK378">
        <f>IF(AE378=1,D378+(1000-ROW())/10^7,-1)</f>
        <v/>
      </c>
      <c r="AL378">
        <f>IF(AE378=1,TRIM('Roster'!B378)&amp;" "&amp;LEFT(TRIM('Roster'!C378),1)&amp;".","")</f>
        <v/>
      </c>
      <c r="AM378">
        <f>IF(AE378=1,TRIM('Roster'!C378)&amp;", "&amp;TRIM('Roster'!B378)&amp;" ("&amp;B378&amp;") #"&amp;AD378,"")</f>
        <v/>
      </c>
      <c r="AN378">
        <f>IF(AE378=1,TRIM('Roster'!E378),"")</f>
        <v/>
      </c>
      <c r="AO378">
        <f>IF(AE378=1,ROUND(SUMIFS('All Donations'!$S$2:$S$4001,'All Donations'!$R$2:$R$4001,AD378,'All Donations'!$T$2:$T$4001,"&gt;="&amp;'Settings'!$C$23,'All Donations'!$T$2:$T$4001,"&lt;="&amp;'Settings'!$D$23),2),0)</f>
        <v/>
      </c>
      <c r="AQ378">
        <f>IF(AE378=1,ROUND(SUMIFS('All Donations'!$S$2:$S$4001,'All Donations'!$R$2:$R$4001,AD378,'All Donations'!$T$2:$T$4001,"&gt;="&amp;'Settings'!$C$25,'All Donations'!$T$2:$T$4001,"&lt;="&amp;'Settings'!$D$25),2),0)</f>
        <v/>
      </c>
      <c r="AR378">
        <f>IF(AE378=1,ROUND(SUMIFS('All Donations'!$S$2:$S$4001,'All Donations'!$R$2:$R$4001,AD378,'All Donations'!$T$2:$T$4001,"&gt;="&amp;'Settings'!$C$26,'All Donations'!$T$2:$T$4001,"&lt;="&amp;'Settings'!$D$26),2),0)</f>
        <v/>
      </c>
      <c r="AS378">
        <f>IF(AE378=1,ROUND(SUMIFS('All Donations'!$S$2:$S$4001,'All Donations'!$R$2:$R$4001,AD378,'All Donations'!$T$2:$T$4001,"&lt;="&amp;'Settings'!$D$27),2),0)</f>
        <v/>
      </c>
      <c r="AT378">
        <f>IF(AE378=1,ROUND(SUMIFS('All Donations'!$S$2:$S$4001,'All Donations'!$R$2:$R$4001,AD378,'All Donations'!$T$2:$T$4001,"&gt;="&amp;'Settings'!$C$28,'All Donations'!$T$2:$T$4001,"&lt;="&amp;'Settings'!$D$28),2),0)</f>
        <v/>
      </c>
      <c r="AU378">
        <f>IF(AE378=1,ROUND(SUMIFS('All Donations'!$S$2:$S$4001,'All Donations'!$R$2:$R$4001,AD378,'All Donations'!$T$2:$T$4001,"&gt;="&amp;'Settings'!$C$29,'All Donations'!$T$2:$T$4001,"&lt;="&amp;'Settings'!$D$29),2),0)</f>
        <v/>
      </c>
      <c r="AV378">
        <f>IF(AE378=1,ROUND(SUMIFS('All Donations'!$S$2:$S$4001,'All Donations'!$R$2:$R$4001,AD378,'All Donations'!$T$2:$T$4001,"&lt;="&amp;'Settings'!$D$30),2),0)</f>
        <v/>
      </c>
      <c r="AZ378">
        <f>IF(AE378=1,ROUND(SUMIFS('All Donations'!$S$2:$S$4001,'All Donations'!$R$2:$R$4001,AD378,'All Donations'!$T$2:$T$4001,"&lt;="&amp;'Settings'!$D$34),2),0)</f>
        <v/>
      </c>
    </row>
    <row r="379">
      <c r="A379">
        <f>IF(AE379=1,TRIM(TRIM('Roster'!B379)&amp;" "&amp;TRIM('Roster'!C379)),"")</f>
        <v/>
      </c>
      <c r="B379">
        <f>IF(AE379=1,IF(AN379="","(no teacher)",AN379&amp;" – "&amp;C379),"")</f>
        <v/>
      </c>
      <c r="C379">
        <f>IF(AE379=1,TRIM('Roster'!D379&amp;""),"")</f>
        <v/>
      </c>
      <c r="D379" s="48">
        <f>IF(AE379=1,ROUND(SUMIFS('All Donations'!$S$2:$S$4001,'All Donations'!$R$2:$R$4001,AD379),2),"")</f>
        <v/>
      </c>
      <c r="E379" s="48">
        <f>IF(AE379=1,ROUND(SUMIFS('All Donations'!$S$2:$S$4001,'All Donations'!$R$2:$R$4001,AD379,'All Donations'!$G$2:$G$4001,"OneCause"),2),"")</f>
        <v/>
      </c>
      <c r="F379" s="48">
        <f>IF(AE379=1,D379-E379,"")</f>
        <v/>
      </c>
      <c r="G379">
        <f>IF(AE379=1,COUNTIFS('All Donations'!$R$2:$R$4001,AD379,'All Donations'!$H$2:$H$4001,"OK"),"")</f>
        <v/>
      </c>
      <c r="H379">
        <f>IF(AE379&lt;&gt;1,"",IF(D379&gt;0,"Yes",""))</f>
        <v/>
      </c>
      <c r="I379" s="49">
        <f>IF(OR($AE379&lt;&gt;1,I$1=""),"",SUMIFS('All Donations'!$S$2:$S$4001,'All Donations'!$R$2:$R$4001,$AD379,'All Donations'!$T$2:$T$4001,I$1))</f>
        <v/>
      </c>
      <c r="J379" s="49">
        <f>IF(OR($AE379&lt;&gt;1,J$1=""),"",SUMIFS('All Donations'!$S$2:$S$4001,'All Donations'!$R$2:$R$4001,$AD379,'All Donations'!$T$2:$T$4001,J$1))</f>
        <v/>
      </c>
      <c r="K379" s="49">
        <f>IF(OR($AE379&lt;&gt;1,K$1=""),"",SUMIFS('All Donations'!$S$2:$S$4001,'All Donations'!$R$2:$R$4001,$AD379,'All Donations'!$T$2:$T$4001,K$1))</f>
        <v/>
      </c>
      <c r="L379" s="49">
        <f>IF(OR($AE379&lt;&gt;1,L$1=""),"",SUMIFS('All Donations'!$S$2:$S$4001,'All Donations'!$R$2:$R$4001,$AD379,'All Donations'!$T$2:$T$4001,L$1))</f>
        <v/>
      </c>
      <c r="M379" s="49">
        <f>IF(OR($AE379&lt;&gt;1,M$1=""),"",SUMIFS('All Donations'!$S$2:$S$4001,'All Donations'!$R$2:$R$4001,$AD379,'All Donations'!$T$2:$T$4001,M$1))</f>
        <v/>
      </c>
      <c r="N379" s="49">
        <f>IF(OR($AE379&lt;&gt;1,N$1=""),"",SUMIFS('All Donations'!$S$2:$S$4001,'All Donations'!$R$2:$R$4001,$AD379,'All Donations'!$T$2:$T$4001,N$1))</f>
        <v/>
      </c>
      <c r="O379" s="49">
        <f>IF(OR($AE379&lt;&gt;1,O$1=""),"",SUMIFS('All Donations'!$S$2:$S$4001,'All Donations'!$R$2:$R$4001,$AD379,'All Donations'!$T$2:$T$4001,O$1))</f>
        <v/>
      </c>
      <c r="P379" s="49">
        <f>IF(OR($AE379&lt;&gt;1,P$1=""),"",SUMIFS('All Donations'!$S$2:$S$4001,'All Donations'!$R$2:$R$4001,$AD379,'All Donations'!$T$2:$T$4001,P$1))</f>
        <v/>
      </c>
      <c r="Q379" s="49">
        <f>IF(OR($AE379&lt;&gt;1,Q$1=""),"",SUMIFS('All Donations'!$S$2:$S$4001,'All Donations'!$R$2:$R$4001,$AD379,'All Donations'!$T$2:$T$4001,Q$1))</f>
        <v/>
      </c>
      <c r="R379" s="49">
        <f>IF(OR($AE379&lt;&gt;1,R$1=""),"",SUMIFS('All Donations'!$S$2:$S$4001,'All Donations'!$R$2:$R$4001,$AD379,'All Donations'!$T$2:$T$4001,R$1))</f>
        <v/>
      </c>
      <c r="S379" s="49">
        <f>IF(OR($AE379&lt;&gt;1,S$1=""),"",SUMIFS('All Donations'!$S$2:$S$4001,'All Donations'!$R$2:$R$4001,$AD379,'All Donations'!$T$2:$T$4001,S$1))</f>
        <v/>
      </c>
      <c r="T379" s="49">
        <f>IF(OR($AE379&lt;&gt;1,T$1=""),"",SUMIFS('All Donations'!$S$2:$S$4001,'All Donations'!$R$2:$R$4001,$AD379,'All Donations'!$T$2:$T$4001,T$1))</f>
        <v/>
      </c>
      <c r="U379" s="49">
        <f>IF(OR($AE379&lt;&gt;1,U$1=""),"",SUMIFS('All Donations'!$S$2:$S$4001,'All Donations'!$R$2:$R$4001,$AD379,'All Donations'!$T$2:$T$4001,U$1))</f>
        <v/>
      </c>
      <c r="V379" s="49">
        <f>IF(OR($AE379&lt;&gt;1,V$1=""),"",SUMIFS('All Donations'!$S$2:$S$4001,'All Donations'!$R$2:$R$4001,$AD379,'All Donations'!$T$2:$T$4001,V$1))</f>
        <v/>
      </c>
      <c r="W379" s="49">
        <f>IF(OR($AE379&lt;&gt;1,W$1=""),"",SUMIFS('All Donations'!$S$2:$S$4001,'All Donations'!$R$2:$R$4001,$AD379,'All Donations'!$T$2:$T$4001,W$1))</f>
        <v/>
      </c>
      <c r="X379" s="49">
        <f>IF(OR($AE379&lt;&gt;1,X$1=""),"",SUMIFS('All Donations'!$S$2:$S$4001,'All Donations'!$R$2:$R$4001,$AD379,'All Donations'!$T$2:$T$4001,X$1))</f>
        <v/>
      </c>
      <c r="Y379" s="49">
        <f>IF(OR($AE379&lt;&gt;1,Y$1=""),"",SUMIFS('All Donations'!$S$2:$S$4001,'All Donations'!$R$2:$R$4001,$AD379,'All Donations'!$T$2:$T$4001,Y$1))</f>
        <v/>
      </c>
      <c r="Z379" s="49">
        <f>IF(OR($AE379&lt;&gt;1,Z$1=""),"",SUMIFS('All Donations'!$S$2:$S$4001,'All Donations'!$R$2:$R$4001,$AD379,'All Donations'!$T$2:$T$4001,Z$1))</f>
        <v/>
      </c>
      <c r="AA379" s="49">
        <f>IF(OR($AE379&lt;&gt;1,AA$1=""),"",SUMIFS('All Donations'!$S$2:$S$4001,'All Donations'!$R$2:$R$4001,$AD379,'All Donations'!$T$2:$T$4001,AA$1))</f>
        <v/>
      </c>
      <c r="AB379" s="49">
        <f>IF(OR($AE379&lt;&gt;1,AB$1=""),"",SUMIFS('All Donations'!$S$2:$S$4001,'All Donations'!$R$2:$R$4001,$AD379,'All Donations'!$T$2:$T$4001,AB$1))</f>
        <v/>
      </c>
      <c r="AC379" s="49">
        <f>IF(OR($AE379&lt;&gt;1,AC$1=""),"",SUMIFS('All Donations'!$S$2:$S$4001,'All Donations'!$R$2:$R$4001,$AD379,'All Donations'!$T$2:$T$4001,AC$1))</f>
        <v/>
      </c>
      <c r="AD379">
        <f>IF(AE379=1,'Roster'!A379,"")</f>
        <v/>
      </c>
      <c r="AE379">
        <f>IF(TRIM('Roster'!B379&amp;'Roster'!C379)&lt;&gt;"",1,0)</f>
        <v/>
      </c>
      <c r="AF379">
        <f>IF(AE379=1,LOWER(A379),"#")</f>
        <v/>
      </c>
      <c r="AG379">
        <f>IF(AE379=1,LOWER(TRIM(TRIM('Roster'!C379)&amp;", "&amp;TRIM('Roster'!B379))),"#")</f>
        <v/>
      </c>
      <c r="AH379">
        <f>IF(AND(AE379=1,TRIM('Roster'!F379)&lt;&gt;""),LOWER(TRIM('Roster'!F379)),"#")</f>
        <v/>
      </c>
      <c r="AI379">
        <f>IF(AE379=1,IF(MATCH(B379,$B$2:$B$701,0)=ROW()-1,1,0),0)</f>
        <v/>
      </c>
      <c r="AJ379">
        <f>AJ378+AI379</f>
        <v/>
      </c>
      <c r="AK379">
        <f>IF(AE379=1,D379+(1000-ROW())/10^7,-1)</f>
        <v/>
      </c>
      <c r="AL379">
        <f>IF(AE379=1,TRIM('Roster'!B379)&amp;" "&amp;LEFT(TRIM('Roster'!C379),1)&amp;".","")</f>
        <v/>
      </c>
      <c r="AM379">
        <f>IF(AE379=1,TRIM('Roster'!C379)&amp;", "&amp;TRIM('Roster'!B379)&amp;" ("&amp;B379&amp;") #"&amp;AD379,"")</f>
        <v/>
      </c>
      <c r="AN379">
        <f>IF(AE379=1,TRIM('Roster'!E379),"")</f>
        <v/>
      </c>
      <c r="AO379">
        <f>IF(AE379=1,ROUND(SUMIFS('All Donations'!$S$2:$S$4001,'All Donations'!$R$2:$R$4001,AD379,'All Donations'!$T$2:$T$4001,"&gt;="&amp;'Settings'!$C$23,'All Donations'!$T$2:$T$4001,"&lt;="&amp;'Settings'!$D$23),2),0)</f>
        <v/>
      </c>
      <c r="AQ379">
        <f>IF(AE379=1,ROUND(SUMIFS('All Donations'!$S$2:$S$4001,'All Donations'!$R$2:$R$4001,AD379,'All Donations'!$T$2:$T$4001,"&gt;="&amp;'Settings'!$C$25,'All Donations'!$T$2:$T$4001,"&lt;="&amp;'Settings'!$D$25),2),0)</f>
        <v/>
      </c>
      <c r="AR379">
        <f>IF(AE379=1,ROUND(SUMIFS('All Donations'!$S$2:$S$4001,'All Donations'!$R$2:$R$4001,AD379,'All Donations'!$T$2:$T$4001,"&gt;="&amp;'Settings'!$C$26,'All Donations'!$T$2:$T$4001,"&lt;="&amp;'Settings'!$D$26),2),0)</f>
        <v/>
      </c>
      <c r="AS379">
        <f>IF(AE379=1,ROUND(SUMIFS('All Donations'!$S$2:$S$4001,'All Donations'!$R$2:$R$4001,AD379,'All Donations'!$T$2:$T$4001,"&lt;="&amp;'Settings'!$D$27),2),0)</f>
        <v/>
      </c>
      <c r="AT379">
        <f>IF(AE379=1,ROUND(SUMIFS('All Donations'!$S$2:$S$4001,'All Donations'!$R$2:$R$4001,AD379,'All Donations'!$T$2:$T$4001,"&gt;="&amp;'Settings'!$C$28,'All Donations'!$T$2:$T$4001,"&lt;="&amp;'Settings'!$D$28),2),0)</f>
        <v/>
      </c>
      <c r="AU379">
        <f>IF(AE379=1,ROUND(SUMIFS('All Donations'!$S$2:$S$4001,'All Donations'!$R$2:$R$4001,AD379,'All Donations'!$T$2:$T$4001,"&gt;="&amp;'Settings'!$C$29,'All Donations'!$T$2:$T$4001,"&lt;="&amp;'Settings'!$D$29),2),0)</f>
        <v/>
      </c>
      <c r="AV379">
        <f>IF(AE379=1,ROUND(SUMIFS('All Donations'!$S$2:$S$4001,'All Donations'!$R$2:$R$4001,AD379,'All Donations'!$T$2:$T$4001,"&lt;="&amp;'Settings'!$D$30),2),0)</f>
        <v/>
      </c>
      <c r="AZ379">
        <f>IF(AE379=1,ROUND(SUMIFS('All Donations'!$S$2:$S$4001,'All Donations'!$R$2:$R$4001,AD379,'All Donations'!$T$2:$T$4001,"&lt;="&amp;'Settings'!$D$34),2),0)</f>
        <v/>
      </c>
    </row>
    <row r="380">
      <c r="A380">
        <f>IF(AE380=1,TRIM(TRIM('Roster'!B380)&amp;" "&amp;TRIM('Roster'!C380)),"")</f>
        <v/>
      </c>
      <c r="B380">
        <f>IF(AE380=1,IF(AN380="","(no teacher)",AN380&amp;" – "&amp;C380),"")</f>
        <v/>
      </c>
      <c r="C380">
        <f>IF(AE380=1,TRIM('Roster'!D380&amp;""),"")</f>
        <v/>
      </c>
      <c r="D380" s="48">
        <f>IF(AE380=1,ROUND(SUMIFS('All Donations'!$S$2:$S$4001,'All Donations'!$R$2:$R$4001,AD380),2),"")</f>
        <v/>
      </c>
      <c r="E380" s="48">
        <f>IF(AE380=1,ROUND(SUMIFS('All Donations'!$S$2:$S$4001,'All Donations'!$R$2:$R$4001,AD380,'All Donations'!$G$2:$G$4001,"OneCause"),2),"")</f>
        <v/>
      </c>
      <c r="F380" s="48">
        <f>IF(AE380=1,D380-E380,"")</f>
        <v/>
      </c>
      <c r="G380">
        <f>IF(AE380=1,COUNTIFS('All Donations'!$R$2:$R$4001,AD380,'All Donations'!$H$2:$H$4001,"OK"),"")</f>
        <v/>
      </c>
      <c r="H380">
        <f>IF(AE380&lt;&gt;1,"",IF(D380&gt;0,"Yes",""))</f>
        <v/>
      </c>
      <c r="I380" s="49">
        <f>IF(OR($AE380&lt;&gt;1,I$1=""),"",SUMIFS('All Donations'!$S$2:$S$4001,'All Donations'!$R$2:$R$4001,$AD380,'All Donations'!$T$2:$T$4001,I$1))</f>
        <v/>
      </c>
      <c r="J380" s="49">
        <f>IF(OR($AE380&lt;&gt;1,J$1=""),"",SUMIFS('All Donations'!$S$2:$S$4001,'All Donations'!$R$2:$R$4001,$AD380,'All Donations'!$T$2:$T$4001,J$1))</f>
        <v/>
      </c>
      <c r="K380" s="49">
        <f>IF(OR($AE380&lt;&gt;1,K$1=""),"",SUMIFS('All Donations'!$S$2:$S$4001,'All Donations'!$R$2:$R$4001,$AD380,'All Donations'!$T$2:$T$4001,K$1))</f>
        <v/>
      </c>
      <c r="L380" s="49">
        <f>IF(OR($AE380&lt;&gt;1,L$1=""),"",SUMIFS('All Donations'!$S$2:$S$4001,'All Donations'!$R$2:$R$4001,$AD380,'All Donations'!$T$2:$T$4001,L$1))</f>
        <v/>
      </c>
      <c r="M380" s="49">
        <f>IF(OR($AE380&lt;&gt;1,M$1=""),"",SUMIFS('All Donations'!$S$2:$S$4001,'All Donations'!$R$2:$R$4001,$AD380,'All Donations'!$T$2:$T$4001,M$1))</f>
        <v/>
      </c>
      <c r="N380" s="49">
        <f>IF(OR($AE380&lt;&gt;1,N$1=""),"",SUMIFS('All Donations'!$S$2:$S$4001,'All Donations'!$R$2:$R$4001,$AD380,'All Donations'!$T$2:$T$4001,N$1))</f>
        <v/>
      </c>
      <c r="O380" s="49">
        <f>IF(OR($AE380&lt;&gt;1,O$1=""),"",SUMIFS('All Donations'!$S$2:$S$4001,'All Donations'!$R$2:$R$4001,$AD380,'All Donations'!$T$2:$T$4001,O$1))</f>
        <v/>
      </c>
      <c r="P380" s="49">
        <f>IF(OR($AE380&lt;&gt;1,P$1=""),"",SUMIFS('All Donations'!$S$2:$S$4001,'All Donations'!$R$2:$R$4001,$AD380,'All Donations'!$T$2:$T$4001,P$1))</f>
        <v/>
      </c>
      <c r="Q380" s="49">
        <f>IF(OR($AE380&lt;&gt;1,Q$1=""),"",SUMIFS('All Donations'!$S$2:$S$4001,'All Donations'!$R$2:$R$4001,$AD380,'All Donations'!$T$2:$T$4001,Q$1))</f>
        <v/>
      </c>
      <c r="R380" s="49">
        <f>IF(OR($AE380&lt;&gt;1,R$1=""),"",SUMIFS('All Donations'!$S$2:$S$4001,'All Donations'!$R$2:$R$4001,$AD380,'All Donations'!$T$2:$T$4001,R$1))</f>
        <v/>
      </c>
      <c r="S380" s="49">
        <f>IF(OR($AE380&lt;&gt;1,S$1=""),"",SUMIFS('All Donations'!$S$2:$S$4001,'All Donations'!$R$2:$R$4001,$AD380,'All Donations'!$T$2:$T$4001,S$1))</f>
        <v/>
      </c>
      <c r="T380" s="49">
        <f>IF(OR($AE380&lt;&gt;1,T$1=""),"",SUMIFS('All Donations'!$S$2:$S$4001,'All Donations'!$R$2:$R$4001,$AD380,'All Donations'!$T$2:$T$4001,T$1))</f>
        <v/>
      </c>
      <c r="U380" s="49">
        <f>IF(OR($AE380&lt;&gt;1,U$1=""),"",SUMIFS('All Donations'!$S$2:$S$4001,'All Donations'!$R$2:$R$4001,$AD380,'All Donations'!$T$2:$T$4001,U$1))</f>
        <v/>
      </c>
      <c r="V380" s="49">
        <f>IF(OR($AE380&lt;&gt;1,V$1=""),"",SUMIFS('All Donations'!$S$2:$S$4001,'All Donations'!$R$2:$R$4001,$AD380,'All Donations'!$T$2:$T$4001,V$1))</f>
        <v/>
      </c>
      <c r="W380" s="49">
        <f>IF(OR($AE380&lt;&gt;1,W$1=""),"",SUMIFS('All Donations'!$S$2:$S$4001,'All Donations'!$R$2:$R$4001,$AD380,'All Donations'!$T$2:$T$4001,W$1))</f>
        <v/>
      </c>
      <c r="X380" s="49">
        <f>IF(OR($AE380&lt;&gt;1,X$1=""),"",SUMIFS('All Donations'!$S$2:$S$4001,'All Donations'!$R$2:$R$4001,$AD380,'All Donations'!$T$2:$T$4001,X$1))</f>
        <v/>
      </c>
      <c r="Y380" s="49">
        <f>IF(OR($AE380&lt;&gt;1,Y$1=""),"",SUMIFS('All Donations'!$S$2:$S$4001,'All Donations'!$R$2:$R$4001,$AD380,'All Donations'!$T$2:$T$4001,Y$1))</f>
        <v/>
      </c>
      <c r="Z380" s="49">
        <f>IF(OR($AE380&lt;&gt;1,Z$1=""),"",SUMIFS('All Donations'!$S$2:$S$4001,'All Donations'!$R$2:$R$4001,$AD380,'All Donations'!$T$2:$T$4001,Z$1))</f>
        <v/>
      </c>
      <c r="AA380" s="49">
        <f>IF(OR($AE380&lt;&gt;1,AA$1=""),"",SUMIFS('All Donations'!$S$2:$S$4001,'All Donations'!$R$2:$R$4001,$AD380,'All Donations'!$T$2:$T$4001,AA$1))</f>
        <v/>
      </c>
      <c r="AB380" s="49">
        <f>IF(OR($AE380&lt;&gt;1,AB$1=""),"",SUMIFS('All Donations'!$S$2:$S$4001,'All Donations'!$R$2:$R$4001,$AD380,'All Donations'!$T$2:$T$4001,AB$1))</f>
        <v/>
      </c>
      <c r="AC380" s="49">
        <f>IF(OR($AE380&lt;&gt;1,AC$1=""),"",SUMIFS('All Donations'!$S$2:$S$4001,'All Donations'!$R$2:$R$4001,$AD380,'All Donations'!$T$2:$T$4001,AC$1))</f>
        <v/>
      </c>
      <c r="AD380">
        <f>IF(AE380=1,'Roster'!A380,"")</f>
        <v/>
      </c>
      <c r="AE380">
        <f>IF(TRIM('Roster'!B380&amp;'Roster'!C380)&lt;&gt;"",1,0)</f>
        <v/>
      </c>
      <c r="AF380">
        <f>IF(AE380=1,LOWER(A380),"#")</f>
        <v/>
      </c>
      <c r="AG380">
        <f>IF(AE380=1,LOWER(TRIM(TRIM('Roster'!C380)&amp;", "&amp;TRIM('Roster'!B380))),"#")</f>
        <v/>
      </c>
      <c r="AH380">
        <f>IF(AND(AE380=1,TRIM('Roster'!F380)&lt;&gt;""),LOWER(TRIM('Roster'!F380)),"#")</f>
        <v/>
      </c>
      <c r="AI380">
        <f>IF(AE380=1,IF(MATCH(B380,$B$2:$B$701,0)=ROW()-1,1,0),0)</f>
        <v/>
      </c>
      <c r="AJ380">
        <f>AJ379+AI380</f>
        <v/>
      </c>
      <c r="AK380">
        <f>IF(AE380=1,D380+(1000-ROW())/10^7,-1)</f>
        <v/>
      </c>
      <c r="AL380">
        <f>IF(AE380=1,TRIM('Roster'!B380)&amp;" "&amp;LEFT(TRIM('Roster'!C380),1)&amp;".","")</f>
        <v/>
      </c>
      <c r="AM380">
        <f>IF(AE380=1,TRIM('Roster'!C380)&amp;", "&amp;TRIM('Roster'!B380)&amp;" ("&amp;B380&amp;") #"&amp;AD380,"")</f>
        <v/>
      </c>
      <c r="AN380">
        <f>IF(AE380=1,TRIM('Roster'!E380),"")</f>
        <v/>
      </c>
      <c r="AO380">
        <f>IF(AE380=1,ROUND(SUMIFS('All Donations'!$S$2:$S$4001,'All Donations'!$R$2:$R$4001,AD380,'All Donations'!$T$2:$T$4001,"&gt;="&amp;'Settings'!$C$23,'All Donations'!$T$2:$T$4001,"&lt;="&amp;'Settings'!$D$23),2),0)</f>
        <v/>
      </c>
      <c r="AQ380">
        <f>IF(AE380=1,ROUND(SUMIFS('All Donations'!$S$2:$S$4001,'All Donations'!$R$2:$R$4001,AD380,'All Donations'!$T$2:$T$4001,"&gt;="&amp;'Settings'!$C$25,'All Donations'!$T$2:$T$4001,"&lt;="&amp;'Settings'!$D$25),2),0)</f>
        <v/>
      </c>
      <c r="AR380">
        <f>IF(AE380=1,ROUND(SUMIFS('All Donations'!$S$2:$S$4001,'All Donations'!$R$2:$R$4001,AD380,'All Donations'!$T$2:$T$4001,"&gt;="&amp;'Settings'!$C$26,'All Donations'!$T$2:$T$4001,"&lt;="&amp;'Settings'!$D$26),2),0)</f>
        <v/>
      </c>
      <c r="AS380">
        <f>IF(AE380=1,ROUND(SUMIFS('All Donations'!$S$2:$S$4001,'All Donations'!$R$2:$R$4001,AD380,'All Donations'!$T$2:$T$4001,"&lt;="&amp;'Settings'!$D$27),2),0)</f>
        <v/>
      </c>
      <c r="AT380">
        <f>IF(AE380=1,ROUND(SUMIFS('All Donations'!$S$2:$S$4001,'All Donations'!$R$2:$R$4001,AD380,'All Donations'!$T$2:$T$4001,"&gt;="&amp;'Settings'!$C$28,'All Donations'!$T$2:$T$4001,"&lt;="&amp;'Settings'!$D$28),2),0)</f>
        <v/>
      </c>
      <c r="AU380">
        <f>IF(AE380=1,ROUND(SUMIFS('All Donations'!$S$2:$S$4001,'All Donations'!$R$2:$R$4001,AD380,'All Donations'!$T$2:$T$4001,"&gt;="&amp;'Settings'!$C$29,'All Donations'!$T$2:$T$4001,"&lt;="&amp;'Settings'!$D$29),2),0)</f>
        <v/>
      </c>
      <c r="AV380">
        <f>IF(AE380=1,ROUND(SUMIFS('All Donations'!$S$2:$S$4001,'All Donations'!$R$2:$R$4001,AD380,'All Donations'!$T$2:$T$4001,"&lt;="&amp;'Settings'!$D$30),2),0)</f>
        <v/>
      </c>
      <c r="AZ380">
        <f>IF(AE380=1,ROUND(SUMIFS('All Donations'!$S$2:$S$4001,'All Donations'!$R$2:$R$4001,AD380,'All Donations'!$T$2:$T$4001,"&lt;="&amp;'Settings'!$D$34),2),0)</f>
        <v/>
      </c>
    </row>
    <row r="381">
      <c r="A381">
        <f>IF(AE381=1,TRIM(TRIM('Roster'!B381)&amp;" "&amp;TRIM('Roster'!C381)),"")</f>
        <v/>
      </c>
      <c r="B381">
        <f>IF(AE381=1,IF(AN381="","(no teacher)",AN381&amp;" – "&amp;C381),"")</f>
        <v/>
      </c>
      <c r="C381">
        <f>IF(AE381=1,TRIM('Roster'!D381&amp;""),"")</f>
        <v/>
      </c>
      <c r="D381" s="48">
        <f>IF(AE381=1,ROUND(SUMIFS('All Donations'!$S$2:$S$4001,'All Donations'!$R$2:$R$4001,AD381),2),"")</f>
        <v/>
      </c>
      <c r="E381" s="48">
        <f>IF(AE381=1,ROUND(SUMIFS('All Donations'!$S$2:$S$4001,'All Donations'!$R$2:$R$4001,AD381,'All Donations'!$G$2:$G$4001,"OneCause"),2),"")</f>
        <v/>
      </c>
      <c r="F381" s="48">
        <f>IF(AE381=1,D381-E381,"")</f>
        <v/>
      </c>
      <c r="G381">
        <f>IF(AE381=1,COUNTIFS('All Donations'!$R$2:$R$4001,AD381,'All Donations'!$H$2:$H$4001,"OK"),"")</f>
        <v/>
      </c>
      <c r="H381">
        <f>IF(AE381&lt;&gt;1,"",IF(D381&gt;0,"Yes",""))</f>
        <v/>
      </c>
      <c r="I381" s="49">
        <f>IF(OR($AE381&lt;&gt;1,I$1=""),"",SUMIFS('All Donations'!$S$2:$S$4001,'All Donations'!$R$2:$R$4001,$AD381,'All Donations'!$T$2:$T$4001,I$1))</f>
        <v/>
      </c>
      <c r="J381" s="49">
        <f>IF(OR($AE381&lt;&gt;1,J$1=""),"",SUMIFS('All Donations'!$S$2:$S$4001,'All Donations'!$R$2:$R$4001,$AD381,'All Donations'!$T$2:$T$4001,J$1))</f>
        <v/>
      </c>
      <c r="K381" s="49">
        <f>IF(OR($AE381&lt;&gt;1,K$1=""),"",SUMIFS('All Donations'!$S$2:$S$4001,'All Donations'!$R$2:$R$4001,$AD381,'All Donations'!$T$2:$T$4001,K$1))</f>
        <v/>
      </c>
      <c r="L381" s="49">
        <f>IF(OR($AE381&lt;&gt;1,L$1=""),"",SUMIFS('All Donations'!$S$2:$S$4001,'All Donations'!$R$2:$R$4001,$AD381,'All Donations'!$T$2:$T$4001,L$1))</f>
        <v/>
      </c>
      <c r="M381" s="49">
        <f>IF(OR($AE381&lt;&gt;1,M$1=""),"",SUMIFS('All Donations'!$S$2:$S$4001,'All Donations'!$R$2:$R$4001,$AD381,'All Donations'!$T$2:$T$4001,M$1))</f>
        <v/>
      </c>
      <c r="N381" s="49">
        <f>IF(OR($AE381&lt;&gt;1,N$1=""),"",SUMIFS('All Donations'!$S$2:$S$4001,'All Donations'!$R$2:$R$4001,$AD381,'All Donations'!$T$2:$T$4001,N$1))</f>
        <v/>
      </c>
      <c r="O381" s="49">
        <f>IF(OR($AE381&lt;&gt;1,O$1=""),"",SUMIFS('All Donations'!$S$2:$S$4001,'All Donations'!$R$2:$R$4001,$AD381,'All Donations'!$T$2:$T$4001,O$1))</f>
        <v/>
      </c>
      <c r="P381" s="49">
        <f>IF(OR($AE381&lt;&gt;1,P$1=""),"",SUMIFS('All Donations'!$S$2:$S$4001,'All Donations'!$R$2:$R$4001,$AD381,'All Donations'!$T$2:$T$4001,P$1))</f>
        <v/>
      </c>
      <c r="Q381" s="49">
        <f>IF(OR($AE381&lt;&gt;1,Q$1=""),"",SUMIFS('All Donations'!$S$2:$S$4001,'All Donations'!$R$2:$R$4001,$AD381,'All Donations'!$T$2:$T$4001,Q$1))</f>
        <v/>
      </c>
      <c r="R381" s="49">
        <f>IF(OR($AE381&lt;&gt;1,R$1=""),"",SUMIFS('All Donations'!$S$2:$S$4001,'All Donations'!$R$2:$R$4001,$AD381,'All Donations'!$T$2:$T$4001,R$1))</f>
        <v/>
      </c>
      <c r="S381" s="49">
        <f>IF(OR($AE381&lt;&gt;1,S$1=""),"",SUMIFS('All Donations'!$S$2:$S$4001,'All Donations'!$R$2:$R$4001,$AD381,'All Donations'!$T$2:$T$4001,S$1))</f>
        <v/>
      </c>
      <c r="T381" s="49">
        <f>IF(OR($AE381&lt;&gt;1,T$1=""),"",SUMIFS('All Donations'!$S$2:$S$4001,'All Donations'!$R$2:$R$4001,$AD381,'All Donations'!$T$2:$T$4001,T$1))</f>
        <v/>
      </c>
      <c r="U381" s="49">
        <f>IF(OR($AE381&lt;&gt;1,U$1=""),"",SUMIFS('All Donations'!$S$2:$S$4001,'All Donations'!$R$2:$R$4001,$AD381,'All Donations'!$T$2:$T$4001,U$1))</f>
        <v/>
      </c>
      <c r="V381" s="49">
        <f>IF(OR($AE381&lt;&gt;1,V$1=""),"",SUMIFS('All Donations'!$S$2:$S$4001,'All Donations'!$R$2:$R$4001,$AD381,'All Donations'!$T$2:$T$4001,V$1))</f>
        <v/>
      </c>
      <c r="W381" s="49">
        <f>IF(OR($AE381&lt;&gt;1,W$1=""),"",SUMIFS('All Donations'!$S$2:$S$4001,'All Donations'!$R$2:$R$4001,$AD381,'All Donations'!$T$2:$T$4001,W$1))</f>
        <v/>
      </c>
      <c r="X381" s="49">
        <f>IF(OR($AE381&lt;&gt;1,X$1=""),"",SUMIFS('All Donations'!$S$2:$S$4001,'All Donations'!$R$2:$R$4001,$AD381,'All Donations'!$T$2:$T$4001,X$1))</f>
        <v/>
      </c>
      <c r="Y381" s="49">
        <f>IF(OR($AE381&lt;&gt;1,Y$1=""),"",SUMIFS('All Donations'!$S$2:$S$4001,'All Donations'!$R$2:$R$4001,$AD381,'All Donations'!$T$2:$T$4001,Y$1))</f>
        <v/>
      </c>
      <c r="Z381" s="49">
        <f>IF(OR($AE381&lt;&gt;1,Z$1=""),"",SUMIFS('All Donations'!$S$2:$S$4001,'All Donations'!$R$2:$R$4001,$AD381,'All Donations'!$T$2:$T$4001,Z$1))</f>
        <v/>
      </c>
      <c r="AA381" s="49">
        <f>IF(OR($AE381&lt;&gt;1,AA$1=""),"",SUMIFS('All Donations'!$S$2:$S$4001,'All Donations'!$R$2:$R$4001,$AD381,'All Donations'!$T$2:$T$4001,AA$1))</f>
        <v/>
      </c>
      <c r="AB381" s="49">
        <f>IF(OR($AE381&lt;&gt;1,AB$1=""),"",SUMIFS('All Donations'!$S$2:$S$4001,'All Donations'!$R$2:$R$4001,$AD381,'All Donations'!$T$2:$T$4001,AB$1))</f>
        <v/>
      </c>
      <c r="AC381" s="49">
        <f>IF(OR($AE381&lt;&gt;1,AC$1=""),"",SUMIFS('All Donations'!$S$2:$S$4001,'All Donations'!$R$2:$R$4001,$AD381,'All Donations'!$T$2:$T$4001,AC$1))</f>
        <v/>
      </c>
      <c r="AD381">
        <f>IF(AE381=1,'Roster'!A381,"")</f>
        <v/>
      </c>
      <c r="AE381">
        <f>IF(TRIM('Roster'!B381&amp;'Roster'!C381)&lt;&gt;"",1,0)</f>
        <v/>
      </c>
      <c r="AF381">
        <f>IF(AE381=1,LOWER(A381),"#")</f>
        <v/>
      </c>
      <c r="AG381">
        <f>IF(AE381=1,LOWER(TRIM(TRIM('Roster'!C381)&amp;", "&amp;TRIM('Roster'!B381))),"#")</f>
        <v/>
      </c>
      <c r="AH381">
        <f>IF(AND(AE381=1,TRIM('Roster'!F381)&lt;&gt;""),LOWER(TRIM('Roster'!F381)),"#")</f>
        <v/>
      </c>
      <c r="AI381">
        <f>IF(AE381=1,IF(MATCH(B381,$B$2:$B$701,0)=ROW()-1,1,0),0)</f>
        <v/>
      </c>
      <c r="AJ381">
        <f>AJ380+AI381</f>
        <v/>
      </c>
      <c r="AK381">
        <f>IF(AE381=1,D381+(1000-ROW())/10^7,-1)</f>
        <v/>
      </c>
      <c r="AL381">
        <f>IF(AE381=1,TRIM('Roster'!B381)&amp;" "&amp;LEFT(TRIM('Roster'!C381),1)&amp;".","")</f>
        <v/>
      </c>
      <c r="AM381">
        <f>IF(AE381=1,TRIM('Roster'!C381)&amp;", "&amp;TRIM('Roster'!B381)&amp;" ("&amp;B381&amp;") #"&amp;AD381,"")</f>
        <v/>
      </c>
      <c r="AN381">
        <f>IF(AE381=1,TRIM('Roster'!E381),"")</f>
        <v/>
      </c>
      <c r="AO381">
        <f>IF(AE381=1,ROUND(SUMIFS('All Donations'!$S$2:$S$4001,'All Donations'!$R$2:$R$4001,AD381,'All Donations'!$T$2:$T$4001,"&gt;="&amp;'Settings'!$C$23,'All Donations'!$T$2:$T$4001,"&lt;="&amp;'Settings'!$D$23),2),0)</f>
        <v/>
      </c>
      <c r="AQ381">
        <f>IF(AE381=1,ROUND(SUMIFS('All Donations'!$S$2:$S$4001,'All Donations'!$R$2:$R$4001,AD381,'All Donations'!$T$2:$T$4001,"&gt;="&amp;'Settings'!$C$25,'All Donations'!$T$2:$T$4001,"&lt;="&amp;'Settings'!$D$25),2),0)</f>
        <v/>
      </c>
      <c r="AR381">
        <f>IF(AE381=1,ROUND(SUMIFS('All Donations'!$S$2:$S$4001,'All Donations'!$R$2:$R$4001,AD381,'All Donations'!$T$2:$T$4001,"&gt;="&amp;'Settings'!$C$26,'All Donations'!$T$2:$T$4001,"&lt;="&amp;'Settings'!$D$26),2),0)</f>
        <v/>
      </c>
      <c r="AS381">
        <f>IF(AE381=1,ROUND(SUMIFS('All Donations'!$S$2:$S$4001,'All Donations'!$R$2:$R$4001,AD381,'All Donations'!$T$2:$T$4001,"&lt;="&amp;'Settings'!$D$27),2),0)</f>
        <v/>
      </c>
      <c r="AT381">
        <f>IF(AE381=1,ROUND(SUMIFS('All Donations'!$S$2:$S$4001,'All Donations'!$R$2:$R$4001,AD381,'All Donations'!$T$2:$T$4001,"&gt;="&amp;'Settings'!$C$28,'All Donations'!$T$2:$T$4001,"&lt;="&amp;'Settings'!$D$28),2),0)</f>
        <v/>
      </c>
      <c r="AU381">
        <f>IF(AE381=1,ROUND(SUMIFS('All Donations'!$S$2:$S$4001,'All Donations'!$R$2:$R$4001,AD381,'All Donations'!$T$2:$T$4001,"&gt;="&amp;'Settings'!$C$29,'All Donations'!$T$2:$T$4001,"&lt;="&amp;'Settings'!$D$29),2),0)</f>
        <v/>
      </c>
      <c r="AV381">
        <f>IF(AE381=1,ROUND(SUMIFS('All Donations'!$S$2:$S$4001,'All Donations'!$R$2:$R$4001,AD381,'All Donations'!$T$2:$T$4001,"&lt;="&amp;'Settings'!$D$30),2),0)</f>
        <v/>
      </c>
      <c r="AZ381">
        <f>IF(AE381=1,ROUND(SUMIFS('All Donations'!$S$2:$S$4001,'All Donations'!$R$2:$R$4001,AD381,'All Donations'!$T$2:$T$4001,"&lt;="&amp;'Settings'!$D$34),2),0)</f>
        <v/>
      </c>
    </row>
    <row r="382">
      <c r="A382">
        <f>IF(AE382=1,TRIM(TRIM('Roster'!B382)&amp;" "&amp;TRIM('Roster'!C382)),"")</f>
        <v/>
      </c>
      <c r="B382">
        <f>IF(AE382=1,IF(AN382="","(no teacher)",AN382&amp;" – "&amp;C382),"")</f>
        <v/>
      </c>
      <c r="C382">
        <f>IF(AE382=1,TRIM('Roster'!D382&amp;""),"")</f>
        <v/>
      </c>
      <c r="D382" s="48">
        <f>IF(AE382=1,ROUND(SUMIFS('All Donations'!$S$2:$S$4001,'All Donations'!$R$2:$R$4001,AD382),2),"")</f>
        <v/>
      </c>
      <c r="E382" s="48">
        <f>IF(AE382=1,ROUND(SUMIFS('All Donations'!$S$2:$S$4001,'All Donations'!$R$2:$R$4001,AD382,'All Donations'!$G$2:$G$4001,"OneCause"),2),"")</f>
        <v/>
      </c>
      <c r="F382" s="48">
        <f>IF(AE382=1,D382-E382,"")</f>
        <v/>
      </c>
      <c r="G382">
        <f>IF(AE382=1,COUNTIFS('All Donations'!$R$2:$R$4001,AD382,'All Donations'!$H$2:$H$4001,"OK"),"")</f>
        <v/>
      </c>
      <c r="H382">
        <f>IF(AE382&lt;&gt;1,"",IF(D382&gt;0,"Yes",""))</f>
        <v/>
      </c>
      <c r="I382" s="49">
        <f>IF(OR($AE382&lt;&gt;1,I$1=""),"",SUMIFS('All Donations'!$S$2:$S$4001,'All Donations'!$R$2:$R$4001,$AD382,'All Donations'!$T$2:$T$4001,I$1))</f>
        <v/>
      </c>
      <c r="J382" s="49">
        <f>IF(OR($AE382&lt;&gt;1,J$1=""),"",SUMIFS('All Donations'!$S$2:$S$4001,'All Donations'!$R$2:$R$4001,$AD382,'All Donations'!$T$2:$T$4001,J$1))</f>
        <v/>
      </c>
      <c r="K382" s="49">
        <f>IF(OR($AE382&lt;&gt;1,K$1=""),"",SUMIFS('All Donations'!$S$2:$S$4001,'All Donations'!$R$2:$R$4001,$AD382,'All Donations'!$T$2:$T$4001,K$1))</f>
        <v/>
      </c>
      <c r="L382" s="49">
        <f>IF(OR($AE382&lt;&gt;1,L$1=""),"",SUMIFS('All Donations'!$S$2:$S$4001,'All Donations'!$R$2:$R$4001,$AD382,'All Donations'!$T$2:$T$4001,L$1))</f>
        <v/>
      </c>
      <c r="M382" s="49">
        <f>IF(OR($AE382&lt;&gt;1,M$1=""),"",SUMIFS('All Donations'!$S$2:$S$4001,'All Donations'!$R$2:$R$4001,$AD382,'All Donations'!$T$2:$T$4001,M$1))</f>
        <v/>
      </c>
      <c r="N382" s="49">
        <f>IF(OR($AE382&lt;&gt;1,N$1=""),"",SUMIFS('All Donations'!$S$2:$S$4001,'All Donations'!$R$2:$R$4001,$AD382,'All Donations'!$T$2:$T$4001,N$1))</f>
        <v/>
      </c>
      <c r="O382" s="49">
        <f>IF(OR($AE382&lt;&gt;1,O$1=""),"",SUMIFS('All Donations'!$S$2:$S$4001,'All Donations'!$R$2:$R$4001,$AD382,'All Donations'!$T$2:$T$4001,O$1))</f>
        <v/>
      </c>
      <c r="P382" s="49">
        <f>IF(OR($AE382&lt;&gt;1,P$1=""),"",SUMIFS('All Donations'!$S$2:$S$4001,'All Donations'!$R$2:$R$4001,$AD382,'All Donations'!$T$2:$T$4001,P$1))</f>
        <v/>
      </c>
      <c r="Q382" s="49">
        <f>IF(OR($AE382&lt;&gt;1,Q$1=""),"",SUMIFS('All Donations'!$S$2:$S$4001,'All Donations'!$R$2:$R$4001,$AD382,'All Donations'!$T$2:$T$4001,Q$1))</f>
        <v/>
      </c>
      <c r="R382" s="49">
        <f>IF(OR($AE382&lt;&gt;1,R$1=""),"",SUMIFS('All Donations'!$S$2:$S$4001,'All Donations'!$R$2:$R$4001,$AD382,'All Donations'!$T$2:$T$4001,R$1))</f>
        <v/>
      </c>
      <c r="S382" s="49">
        <f>IF(OR($AE382&lt;&gt;1,S$1=""),"",SUMIFS('All Donations'!$S$2:$S$4001,'All Donations'!$R$2:$R$4001,$AD382,'All Donations'!$T$2:$T$4001,S$1))</f>
        <v/>
      </c>
      <c r="T382" s="49">
        <f>IF(OR($AE382&lt;&gt;1,T$1=""),"",SUMIFS('All Donations'!$S$2:$S$4001,'All Donations'!$R$2:$R$4001,$AD382,'All Donations'!$T$2:$T$4001,T$1))</f>
        <v/>
      </c>
      <c r="U382" s="49">
        <f>IF(OR($AE382&lt;&gt;1,U$1=""),"",SUMIFS('All Donations'!$S$2:$S$4001,'All Donations'!$R$2:$R$4001,$AD382,'All Donations'!$T$2:$T$4001,U$1))</f>
        <v/>
      </c>
      <c r="V382" s="49">
        <f>IF(OR($AE382&lt;&gt;1,V$1=""),"",SUMIFS('All Donations'!$S$2:$S$4001,'All Donations'!$R$2:$R$4001,$AD382,'All Donations'!$T$2:$T$4001,V$1))</f>
        <v/>
      </c>
      <c r="W382" s="49">
        <f>IF(OR($AE382&lt;&gt;1,W$1=""),"",SUMIFS('All Donations'!$S$2:$S$4001,'All Donations'!$R$2:$R$4001,$AD382,'All Donations'!$T$2:$T$4001,W$1))</f>
        <v/>
      </c>
      <c r="X382" s="49">
        <f>IF(OR($AE382&lt;&gt;1,X$1=""),"",SUMIFS('All Donations'!$S$2:$S$4001,'All Donations'!$R$2:$R$4001,$AD382,'All Donations'!$T$2:$T$4001,X$1))</f>
        <v/>
      </c>
      <c r="Y382" s="49">
        <f>IF(OR($AE382&lt;&gt;1,Y$1=""),"",SUMIFS('All Donations'!$S$2:$S$4001,'All Donations'!$R$2:$R$4001,$AD382,'All Donations'!$T$2:$T$4001,Y$1))</f>
        <v/>
      </c>
      <c r="Z382" s="49">
        <f>IF(OR($AE382&lt;&gt;1,Z$1=""),"",SUMIFS('All Donations'!$S$2:$S$4001,'All Donations'!$R$2:$R$4001,$AD382,'All Donations'!$T$2:$T$4001,Z$1))</f>
        <v/>
      </c>
      <c r="AA382" s="49">
        <f>IF(OR($AE382&lt;&gt;1,AA$1=""),"",SUMIFS('All Donations'!$S$2:$S$4001,'All Donations'!$R$2:$R$4001,$AD382,'All Donations'!$T$2:$T$4001,AA$1))</f>
        <v/>
      </c>
      <c r="AB382" s="49">
        <f>IF(OR($AE382&lt;&gt;1,AB$1=""),"",SUMIFS('All Donations'!$S$2:$S$4001,'All Donations'!$R$2:$R$4001,$AD382,'All Donations'!$T$2:$T$4001,AB$1))</f>
        <v/>
      </c>
      <c r="AC382" s="49">
        <f>IF(OR($AE382&lt;&gt;1,AC$1=""),"",SUMIFS('All Donations'!$S$2:$S$4001,'All Donations'!$R$2:$R$4001,$AD382,'All Donations'!$T$2:$T$4001,AC$1))</f>
        <v/>
      </c>
      <c r="AD382">
        <f>IF(AE382=1,'Roster'!A382,"")</f>
        <v/>
      </c>
      <c r="AE382">
        <f>IF(TRIM('Roster'!B382&amp;'Roster'!C382)&lt;&gt;"",1,0)</f>
        <v/>
      </c>
      <c r="AF382">
        <f>IF(AE382=1,LOWER(A382),"#")</f>
        <v/>
      </c>
      <c r="AG382">
        <f>IF(AE382=1,LOWER(TRIM(TRIM('Roster'!C382)&amp;", "&amp;TRIM('Roster'!B382))),"#")</f>
        <v/>
      </c>
      <c r="AH382">
        <f>IF(AND(AE382=1,TRIM('Roster'!F382)&lt;&gt;""),LOWER(TRIM('Roster'!F382)),"#")</f>
        <v/>
      </c>
      <c r="AI382">
        <f>IF(AE382=1,IF(MATCH(B382,$B$2:$B$701,0)=ROW()-1,1,0),0)</f>
        <v/>
      </c>
      <c r="AJ382">
        <f>AJ381+AI382</f>
        <v/>
      </c>
      <c r="AK382">
        <f>IF(AE382=1,D382+(1000-ROW())/10^7,-1)</f>
        <v/>
      </c>
      <c r="AL382">
        <f>IF(AE382=1,TRIM('Roster'!B382)&amp;" "&amp;LEFT(TRIM('Roster'!C382),1)&amp;".","")</f>
        <v/>
      </c>
      <c r="AM382">
        <f>IF(AE382=1,TRIM('Roster'!C382)&amp;", "&amp;TRIM('Roster'!B382)&amp;" ("&amp;B382&amp;") #"&amp;AD382,"")</f>
        <v/>
      </c>
      <c r="AN382">
        <f>IF(AE382=1,TRIM('Roster'!E382),"")</f>
        <v/>
      </c>
      <c r="AO382">
        <f>IF(AE382=1,ROUND(SUMIFS('All Donations'!$S$2:$S$4001,'All Donations'!$R$2:$R$4001,AD382,'All Donations'!$T$2:$T$4001,"&gt;="&amp;'Settings'!$C$23,'All Donations'!$T$2:$T$4001,"&lt;="&amp;'Settings'!$D$23),2),0)</f>
        <v/>
      </c>
      <c r="AQ382">
        <f>IF(AE382=1,ROUND(SUMIFS('All Donations'!$S$2:$S$4001,'All Donations'!$R$2:$R$4001,AD382,'All Donations'!$T$2:$T$4001,"&gt;="&amp;'Settings'!$C$25,'All Donations'!$T$2:$T$4001,"&lt;="&amp;'Settings'!$D$25),2),0)</f>
        <v/>
      </c>
      <c r="AR382">
        <f>IF(AE382=1,ROUND(SUMIFS('All Donations'!$S$2:$S$4001,'All Donations'!$R$2:$R$4001,AD382,'All Donations'!$T$2:$T$4001,"&gt;="&amp;'Settings'!$C$26,'All Donations'!$T$2:$T$4001,"&lt;="&amp;'Settings'!$D$26),2),0)</f>
        <v/>
      </c>
      <c r="AS382">
        <f>IF(AE382=1,ROUND(SUMIFS('All Donations'!$S$2:$S$4001,'All Donations'!$R$2:$R$4001,AD382,'All Donations'!$T$2:$T$4001,"&lt;="&amp;'Settings'!$D$27),2),0)</f>
        <v/>
      </c>
      <c r="AT382">
        <f>IF(AE382=1,ROUND(SUMIFS('All Donations'!$S$2:$S$4001,'All Donations'!$R$2:$R$4001,AD382,'All Donations'!$T$2:$T$4001,"&gt;="&amp;'Settings'!$C$28,'All Donations'!$T$2:$T$4001,"&lt;="&amp;'Settings'!$D$28),2),0)</f>
        <v/>
      </c>
      <c r="AU382">
        <f>IF(AE382=1,ROUND(SUMIFS('All Donations'!$S$2:$S$4001,'All Donations'!$R$2:$R$4001,AD382,'All Donations'!$T$2:$T$4001,"&gt;="&amp;'Settings'!$C$29,'All Donations'!$T$2:$T$4001,"&lt;="&amp;'Settings'!$D$29),2),0)</f>
        <v/>
      </c>
      <c r="AV382">
        <f>IF(AE382=1,ROUND(SUMIFS('All Donations'!$S$2:$S$4001,'All Donations'!$R$2:$R$4001,AD382,'All Donations'!$T$2:$T$4001,"&lt;="&amp;'Settings'!$D$30),2),0)</f>
        <v/>
      </c>
      <c r="AZ382">
        <f>IF(AE382=1,ROUND(SUMIFS('All Donations'!$S$2:$S$4001,'All Donations'!$R$2:$R$4001,AD382,'All Donations'!$T$2:$T$4001,"&lt;="&amp;'Settings'!$D$34),2),0)</f>
        <v/>
      </c>
    </row>
    <row r="383">
      <c r="A383">
        <f>IF(AE383=1,TRIM(TRIM('Roster'!B383)&amp;" "&amp;TRIM('Roster'!C383)),"")</f>
        <v/>
      </c>
      <c r="B383">
        <f>IF(AE383=1,IF(AN383="","(no teacher)",AN383&amp;" – "&amp;C383),"")</f>
        <v/>
      </c>
      <c r="C383">
        <f>IF(AE383=1,TRIM('Roster'!D383&amp;""),"")</f>
        <v/>
      </c>
      <c r="D383" s="48">
        <f>IF(AE383=1,ROUND(SUMIFS('All Donations'!$S$2:$S$4001,'All Donations'!$R$2:$R$4001,AD383),2),"")</f>
        <v/>
      </c>
      <c r="E383" s="48">
        <f>IF(AE383=1,ROUND(SUMIFS('All Donations'!$S$2:$S$4001,'All Donations'!$R$2:$R$4001,AD383,'All Donations'!$G$2:$G$4001,"OneCause"),2),"")</f>
        <v/>
      </c>
      <c r="F383" s="48">
        <f>IF(AE383=1,D383-E383,"")</f>
        <v/>
      </c>
      <c r="G383">
        <f>IF(AE383=1,COUNTIFS('All Donations'!$R$2:$R$4001,AD383,'All Donations'!$H$2:$H$4001,"OK"),"")</f>
        <v/>
      </c>
      <c r="H383">
        <f>IF(AE383&lt;&gt;1,"",IF(D383&gt;0,"Yes",""))</f>
        <v/>
      </c>
      <c r="I383" s="49">
        <f>IF(OR($AE383&lt;&gt;1,I$1=""),"",SUMIFS('All Donations'!$S$2:$S$4001,'All Donations'!$R$2:$R$4001,$AD383,'All Donations'!$T$2:$T$4001,I$1))</f>
        <v/>
      </c>
      <c r="J383" s="49">
        <f>IF(OR($AE383&lt;&gt;1,J$1=""),"",SUMIFS('All Donations'!$S$2:$S$4001,'All Donations'!$R$2:$R$4001,$AD383,'All Donations'!$T$2:$T$4001,J$1))</f>
        <v/>
      </c>
      <c r="K383" s="49">
        <f>IF(OR($AE383&lt;&gt;1,K$1=""),"",SUMIFS('All Donations'!$S$2:$S$4001,'All Donations'!$R$2:$R$4001,$AD383,'All Donations'!$T$2:$T$4001,K$1))</f>
        <v/>
      </c>
      <c r="L383" s="49">
        <f>IF(OR($AE383&lt;&gt;1,L$1=""),"",SUMIFS('All Donations'!$S$2:$S$4001,'All Donations'!$R$2:$R$4001,$AD383,'All Donations'!$T$2:$T$4001,L$1))</f>
        <v/>
      </c>
      <c r="M383" s="49">
        <f>IF(OR($AE383&lt;&gt;1,M$1=""),"",SUMIFS('All Donations'!$S$2:$S$4001,'All Donations'!$R$2:$R$4001,$AD383,'All Donations'!$T$2:$T$4001,M$1))</f>
        <v/>
      </c>
      <c r="N383" s="49">
        <f>IF(OR($AE383&lt;&gt;1,N$1=""),"",SUMIFS('All Donations'!$S$2:$S$4001,'All Donations'!$R$2:$R$4001,$AD383,'All Donations'!$T$2:$T$4001,N$1))</f>
        <v/>
      </c>
      <c r="O383" s="49">
        <f>IF(OR($AE383&lt;&gt;1,O$1=""),"",SUMIFS('All Donations'!$S$2:$S$4001,'All Donations'!$R$2:$R$4001,$AD383,'All Donations'!$T$2:$T$4001,O$1))</f>
        <v/>
      </c>
      <c r="P383" s="49">
        <f>IF(OR($AE383&lt;&gt;1,P$1=""),"",SUMIFS('All Donations'!$S$2:$S$4001,'All Donations'!$R$2:$R$4001,$AD383,'All Donations'!$T$2:$T$4001,P$1))</f>
        <v/>
      </c>
      <c r="Q383" s="49">
        <f>IF(OR($AE383&lt;&gt;1,Q$1=""),"",SUMIFS('All Donations'!$S$2:$S$4001,'All Donations'!$R$2:$R$4001,$AD383,'All Donations'!$T$2:$T$4001,Q$1))</f>
        <v/>
      </c>
      <c r="R383" s="49">
        <f>IF(OR($AE383&lt;&gt;1,R$1=""),"",SUMIFS('All Donations'!$S$2:$S$4001,'All Donations'!$R$2:$R$4001,$AD383,'All Donations'!$T$2:$T$4001,R$1))</f>
        <v/>
      </c>
      <c r="S383" s="49">
        <f>IF(OR($AE383&lt;&gt;1,S$1=""),"",SUMIFS('All Donations'!$S$2:$S$4001,'All Donations'!$R$2:$R$4001,$AD383,'All Donations'!$T$2:$T$4001,S$1))</f>
        <v/>
      </c>
      <c r="T383" s="49">
        <f>IF(OR($AE383&lt;&gt;1,T$1=""),"",SUMIFS('All Donations'!$S$2:$S$4001,'All Donations'!$R$2:$R$4001,$AD383,'All Donations'!$T$2:$T$4001,T$1))</f>
        <v/>
      </c>
      <c r="U383" s="49">
        <f>IF(OR($AE383&lt;&gt;1,U$1=""),"",SUMIFS('All Donations'!$S$2:$S$4001,'All Donations'!$R$2:$R$4001,$AD383,'All Donations'!$T$2:$T$4001,U$1))</f>
        <v/>
      </c>
      <c r="V383" s="49">
        <f>IF(OR($AE383&lt;&gt;1,V$1=""),"",SUMIFS('All Donations'!$S$2:$S$4001,'All Donations'!$R$2:$R$4001,$AD383,'All Donations'!$T$2:$T$4001,V$1))</f>
        <v/>
      </c>
      <c r="W383" s="49">
        <f>IF(OR($AE383&lt;&gt;1,W$1=""),"",SUMIFS('All Donations'!$S$2:$S$4001,'All Donations'!$R$2:$R$4001,$AD383,'All Donations'!$T$2:$T$4001,W$1))</f>
        <v/>
      </c>
      <c r="X383" s="49">
        <f>IF(OR($AE383&lt;&gt;1,X$1=""),"",SUMIFS('All Donations'!$S$2:$S$4001,'All Donations'!$R$2:$R$4001,$AD383,'All Donations'!$T$2:$T$4001,X$1))</f>
        <v/>
      </c>
      <c r="Y383" s="49">
        <f>IF(OR($AE383&lt;&gt;1,Y$1=""),"",SUMIFS('All Donations'!$S$2:$S$4001,'All Donations'!$R$2:$R$4001,$AD383,'All Donations'!$T$2:$T$4001,Y$1))</f>
        <v/>
      </c>
      <c r="Z383" s="49">
        <f>IF(OR($AE383&lt;&gt;1,Z$1=""),"",SUMIFS('All Donations'!$S$2:$S$4001,'All Donations'!$R$2:$R$4001,$AD383,'All Donations'!$T$2:$T$4001,Z$1))</f>
        <v/>
      </c>
      <c r="AA383" s="49">
        <f>IF(OR($AE383&lt;&gt;1,AA$1=""),"",SUMIFS('All Donations'!$S$2:$S$4001,'All Donations'!$R$2:$R$4001,$AD383,'All Donations'!$T$2:$T$4001,AA$1))</f>
        <v/>
      </c>
      <c r="AB383" s="49">
        <f>IF(OR($AE383&lt;&gt;1,AB$1=""),"",SUMIFS('All Donations'!$S$2:$S$4001,'All Donations'!$R$2:$R$4001,$AD383,'All Donations'!$T$2:$T$4001,AB$1))</f>
        <v/>
      </c>
      <c r="AC383" s="49">
        <f>IF(OR($AE383&lt;&gt;1,AC$1=""),"",SUMIFS('All Donations'!$S$2:$S$4001,'All Donations'!$R$2:$R$4001,$AD383,'All Donations'!$T$2:$T$4001,AC$1))</f>
        <v/>
      </c>
      <c r="AD383">
        <f>IF(AE383=1,'Roster'!A383,"")</f>
        <v/>
      </c>
      <c r="AE383">
        <f>IF(TRIM('Roster'!B383&amp;'Roster'!C383)&lt;&gt;"",1,0)</f>
        <v/>
      </c>
      <c r="AF383">
        <f>IF(AE383=1,LOWER(A383),"#")</f>
        <v/>
      </c>
      <c r="AG383">
        <f>IF(AE383=1,LOWER(TRIM(TRIM('Roster'!C383)&amp;", "&amp;TRIM('Roster'!B383))),"#")</f>
        <v/>
      </c>
      <c r="AH383">
        <f>IF(AND(AE383=1,TRIM('Roster'!F383)&lt;&gt;""),LOWER(TRIM('Roster'!F383)),"#")</f>
        <v/>
      </c>
      <c r="AI383">
        <f>IF(AE383=1,IF(MATCH(B383,$B$2:$B$701,0)=ROW()-1,1,0),0)</f>
        <v/>
      </c>
      <c r="AJ383">
        <f>AJ382+AI383</f>
        <v/>
      </c>
      <c r="AK383">
        <f>IF(AE383=1,D383+(1000-ROW())/10^7,-1)</f>
        <v/>
      </c>
      <c r="AL383">
        <f>IF(AE383=1,TRIM('Roster'!B383)&amp;" "&amp;LEFT(TRIM('Roster'!C383),1)&amp;".","")</f>
        <v/>
      </c>
      <c r="AM383">
        <f>IF(AE383=1,TRIM('Roster'!C383)&amp;", "&amp;TRIM('Roster'!B383)&amp;" ("&amp;B383&amp;") #"&amp;AD383,"")</f>
        <v/>
      </c>
      <c r="AN383">
        <f>IF(AE383=1,TRIM('Roster'!E383),"")</f>
        <v/>
      </c>
      <c r="AO383">
        <f>IF(AE383=1,ROUND(SUMIFS('All Donations'!$S$2:$S$4001,'All Donations'!$R$2:$R$4001,AD383,'All Donations'!$T$2:$T$4001,"&gt;="&amp;'Settings'!$C$23,'All Donations'!$T$2:$T$4001,"&lt;="&amp;'Settings'!$D$23),2),0)</f>
        <v/>
      </c>
      <c r="AQ383">
        <f>IF(AE383=1,ROUND(SUMIFS('All Donations'!$S$2:$S$4001,'All Donations'!$R$2:$R$4001,AD383,'All Donations'!$T$2:$T$4001,"&gt;="&amp;'Settings'!$C$25,'All Donations'!$T$2:$T$4001,"&lt;="&amp;'Settings'!$D$25),2),0)</f>
        <v/>
      </c>
      <c r="AR383">
        <f>IF(AE383=1,ROUND(SUMIFS('All Donations'!$S$2:$S$4001,'All Donations'!$R$2:$R$4001,AD383,'All Donations'!$T$2:$T$4001,"&gt;="&amp;'Settings'!$C$26,'All Donations'!$T$2:$T$4001,"&lt;="&amp;'Settings'!$D$26),2),0)</f>
        <v/>
      </c>
      <c r="AS383">
        <f>IF(AE383=1,ROUND(SUMIFS('All Donations'!$S$2:$S$4001,'All Donations'!$R$2:$R$4001,AD383,'All Donations'!$T$2:$T$4001,"&lt;="&amp;'Settings'!$D$27),2),0)</f>
        <v/>
      </c>
      <c r="AT383">
        <f>IF(AE383=1,ROUND(SUMIFS('All Donations'!$S$2:$S$4001,'All Donations'!$R$2:$R$4001,AD383,'All Donations'!$T$2:$T$4001,"&gt;="&amp;'Settings'!$C$28,'All Donations'!$T$2:$T$4001,"&lt;="&amp;'Settings'!$D$28),2),0)</f>
        <v/>
      </c>
      <c r="AU383">
        <f>IF(AE383=1,ROUND(SUMIFS('All Donations'!$S$2:$S$4001,'All Donations'!$R$2:$R$4001,AD383,'All Donations'!$T$2:$T$4001,"&gt;="&amp;'Settings'!$C$29,'All Donations'!$T$2:$T$4001,"&lt;="&amp;'Settings'!$D$29),2),0)</f>
        <v/>
      </c>
      <c r="AV383">
        <f>IF(AE383=1,ROUND(SUMIFS('All Donations'!$S$2:$S$4001,'All Donations'!$R$2:$R$4001,AD383,'All Donations'!$T$2:$T$4001,"&lt;="&amp;'Settings'!$D$30),2),0)</f>
        <v/>
      </c>
      <c r="AZ383">
        <f>IF(AE383=1,ROUND(SUMIFS('All Donations'!$S$2:$S$4001,'All Donations'!$R$2:$R$4001,AD383,'All Donations'!$T$2:$T$4001,"&lt;="&amp;'Settings'!$D$34),2),0)</f>
        <v/>
      </c>
    </row>
    <row r="384">
      <c r="A384">
        <f>IF(AE384=1,TRIM(TRIM('Roster'!B384)&amp;" "&amp;TRIM('Roster'!C384)),"")</f>
        <v/>
      </c>
      <c r="B384">
        <f>IF(AE384=1,IF(AN384="","(no teacher)",AN384&amp;" – "&amp;C384),"")</f>
        <v/>
      </c>
      <c r="C384">
        <f>IF(AE384=1,TRIM('Roster'!D384&amp;""),"")</f>
        <v/>
      </c>
      <c r="D384" s="48">
        <f>IF(AE384=1,ROUND(SUMIFS('All Donations'!$S$2:$S$4001,'All Donations'!$R$2:$R$4001,AD384),2),"")</f>
        <v/>
      </c>
      <c r="E384" s="48">
        <f>IF(AE384=1,ROUND(SUMIFS('All Donations'!$S$2:$S$4001,'All Donations'!$R$2:$R$4001,AD384,'All Donations'!$G$2:$G$4001,"OneCause"),2),"")</f>
        <v/>
      </c>
      <c r="F384" s="48">
        <f>IF(AE384=1,D384-E384,"")</f>
        <v/>
      </c>
      <c r="G384">
        <f>IF(AE384=1,COUNTIFS('All Donations'!$R$2:$R$4001,AD384,'All Donations'!$H$2:$H$4001,"OK"),"")</f>
        <v/>
      </c>
      <c r="H384">
        <f>IF(AE384&lt;&gt;1,"",IF(D384&gt;0,"Yes",""))</f>
        <v/>
      </c>
      <c r="I384" s="49">
        <f>IF(OR($AE384&lt;&gt;1,I$1=""),"",SUMIFS('All Donations'!$S$2:$S$4001,'All Donations'!$R$2:$R$4001,$AD384,'All Donations'!$T$2:$T$4001,I$1))</f>
        <v/>
      </c>
      <c r="J384" s="49">
        <f>IF(OR($AE384&lt;&gt;1,J$1=""),"",SUMIFS('All Donations'!$S$2:$S$4001,'All Donations'!$R$2:$R$4001,$AD384,'All Donations'!$T$2:$T$4001,J$1))</f>
        <v/>
      </c>
      <c r="K384" s="49">
        <f>IF(OR($AE384&lt;&gt;1,K$1=""),"",SUMIFS('All Donations'!$S$2:$S$4001,'All Donations'!$R$2:$R$4001,$AD384,'All Donations'!$T$2:$T$4001,K$1))</f>
        <v/>
      </c>
      <c r="L384" s="49">
        <f>IF(OR($AE384&lt;&gt;1,L$1=""),"",SUMIFS('All Donations'!$S$2:$S$4001,'All Donations'!$R$2:$R$4001,$AD384,'All Donations'!$T$2:$T$4001,L$1))</f>
        <v/>
      </c>
      <c r="M384" s="49">
        <f>IF(OR($AE384&lt;&gt;1,M$1=""),"",SUMIFS('All Donations'!$S$2:$S$4001,'All Donations'!$R$2:$R$4001,$AD384,'All Donations'!$T$2:$T$4001,M$1))</f>
        <v/>
      </c>
      <c r="N384" s="49">
        <f>IF(OR($AE384&lt;&gt;1,N$1=""),"",SUMIFS('All Donations'!$S$2:$S$4001,'All Donations'!$R$2:$R$4001,$AD384,'All Donations'!$T$2:$T$4001,N$1))</f>
        <v/>
      </c>
      <c r="O384" s="49">
        <f>IF(OR($AE384&lt;&gt;1,O$1=""),"",SUMIFS('All Donations'!$S$2:$S$4001,'All Donations'!$R$2:$R$4001,$AD384,'All Donations'!$T$2:$T$4001,O$1))</f>
        <v/>
      </c>
      <c r="P384" s="49">
        <f>IF(OR($AE384&lt;&gt;1,P$1=""),"",SUMIFS('All Donations'!$S$2:$S$4001,'All Donations'!$R$2:$R$4001,$AD384,'All Donations'!$T$2:$T$4001,P$1))</f>
        <v/>
      </c>
      <c r="Q384" s="49">
        <f>IF(OR($AE384&lt;&gt;1,Q$1=""),"",SUMIFS('All Donations'!$S$2:$S$4001,'All Donations'!$R$2:$R$4001,$AD384,'All Donations'!$T$2:$T$4001,Q$1))</f>
        <v/>
      </c>
      <c r="R384" s="49">
        <f>IF(OR($AE384&lt;&gt;1,R$1=""),"",SUMIFS('All Donations'!$S$2:$S$4001,'All Donations'!$R$2:$R$4001,$AD384,'All Donations'!$T$2:$T$4001,R$1))</f>
        <v/>
      </c>
      <c r="S384" s="49">
        <f>IF(OR($AE384&lt;&gt;1,S$1=""),"",SUMIFS('All Donations'!$S$2:$S$4001,'All Donations'!$R$2:$R$4001,$AD384,'All Donations'!$T$2:$T$4001,S$1))</f>
        <v/>
      </c>
      <c r="T384" s="49">
        <f>IF(OR($AE384&lt;&gt;1,T$1=""),"",SUMIFS('All Donations'!$S$2:$S$4001,'All Donations'!$R$2:$R$4001,$AD384,'All Donations'!$T$2:$T$4001,T$1))</f>
        <v/>
      </c>
      <c r="U384" s="49">
        <f>IF(OR($AE384&lt;&gt;1,U$1=""),"",SUMIFS('All Donations'!$S$2:$S$4001,'All Donations'!$R$2:$R$4001,$AD384,'All Donations'!$T$2:$T$4001,U$1))</f>
        <v/>
      </c>
      <c r="V384" s="49">
        <f>IF(OR($AE384&lt;&gt;1,V$1=""),"",SUMIFS('All Donations'!$S$2:$S$4001,'All Donations'!$R$2:$R$4001,$AD384,'All Donations'!$T$2:$T$4001,V$1))</f>
        <v/>
      </c>
      <c r="W384" s="49">
        <f>IF(OR($AE384&lt;&gt;1,W$1=""),"",SUMIFS('All Donations'!$S$2:$S$4001,'All Donations'!$R$2:$R$4001,$AD384,'All Donations'!$T$2:$T$4001,W$1))</f>
        <v/>
      </c>
      <c r="X384" s="49">
        <f>IF(OR($AE384&lt;&gt;1,X$1=""),"",SUMIFS('All Donations'!$S$2:$S$4001,'All Donations'!$R$2:$R$4001,$AD384,'All Donations'!$T$2:$T$4001,X$1))</f>
        <v/>
      </c>
      <c r="Y384" s="49">
        <f>IF(OR($AE384&lt;&gt;1,Y$1=""),"",SUMIFS('All Donations'!$S$2:$S$4001,'All Donations'!$R$2:$R$4001,$AD384,'All Donations'!$T$2:$T$4001,Y$1))</f>
        <v/>
      </c>
      <c r="Z384" s="49">
        <f>IF(OR($AE384&lt;&gt;1,Z$1=""),"",SUMIFS('All Donations'!$S$2:$S$4001,'All Donations'!$R$2:$R$4001,$AD384,'All Donations'!$T$2:$T$4001,Z$1))</f>
        <v/>
      </c>
      <c r="AA384" s="49">
        <f>IF(OR($AE384&lt;&gt;1,AA$1=""),"",SUMIFS('All Donations'!$S$2:$S$4001,'All Donations'!$R$2:$R$4001,$AD384,'All Donations'!$T$2:$T$4001,AA$1))</f>
        <v/>
      </c>
      <c r="AB384" s="49">
        <f>IF(OR($AE384&lt;&gt;1,AB$1=""),"",SUMIFS('All Donations'!$S$2:$S$4001,'All Donations'!$R$2:$R$4001,$AD384,'All Donations'!$T$2:$T$4001,AB$1))</f>
        <v/>
      </c>
      <c r="AC384" s="49">
        <f>IF(OR($AE384&lt;&gt;1,AC$1=""),"",SUMIFS('All Donations'!$S$2:$S$4001,'All Donations'!$R$2:$R$4001,$AD384,'All Donations'!$T$2:$T$4001,AC$1))</f>
        <v/>
      </c>
      <c r="AD384">
        <f>IF(AE384=1,'Roster'!A384,"")</f>
        <v/>
      </c>
      <c r="AE384">
        <f>IF(TRIM('Roster'!B384&amp;'Roster'!C384)&lt;&gt;"",1,0)</f>
        <v/>
      </c>
      <c r="AF384">
        <f>IF(AE384=1,LOWER(A384),"#")</f>
        <v/>
      </c>
      <c r="AG384">
        <f>IF(AE384=1,LOWER(TRIM(TRIM('Roster'!C384)&amp;", "&amp;TRIM('Roster'!B384))),"#")</f>
        <v/>
      </c>
      <c r="AH384">
        <f>IF(AND(AE384=1,TRIM('Roster'!F384)&lt;&gt;""),LOWER(TRIM('Roster'!F384)),"#")</f>
        <v/>
      </c>
      <c r="AI384">
        <f>IF(AE384=1,IF(MATCH(B384,$B$2:$B$701,0)=ROW()-1,1,0),0)</f>
        <v/>
      </c>
      <c r="AJ384">
        <f>AJ383+AI384</f>
        <v/>
      </c>
      <c r="AK384">
        <f>IF(AE384=1,D384+(1000-ROW())/10^7,-1)</f>
        <v/>
      </c>
      <c r="AL384">
        <f>IF(AE384=1,TRIM('Roster'!B384)&amp;" "&amp;LEFT(TRIM('Roster'!C384),1)&amp;".","")</f>
        <v/>
      </c>
      <c r="AM384">
        <f>IF(AE384=1,TRIM('Roster'!C384)&amp;", "&amp;TRIM('Roster'!B384)&amp;" ("&amp;B384&amp;") #"&amp;AD384,"")</f>
        <v/>
      </c>
      <c r="AN384">
        <f>IF(AE384=1,TRIM('Roster'!E384),"")</f>
        <v/>
      </c>
      <c r="AO384">
        <f>IF(AE384=1,ROUND(SUMIFS('All Donations'!$S$2:$S$4001,'All Donations'!$R$2:$R$4001,AD384,'All Donations'!$T$2:$T$4001,"&gt;="&amp;'Settings'!$C$23,'All Donations'!$T$2:$T$4001,"&lt;="&amp;'Settings'!$D$23),2),0)</f>
        <v/>
      </c>
      <c r="AQ384">
        <f>IF(AE384=1,ROUND(SUMIFS('All Donations'!$S$2:$S$4001,'All Donations'!$R$2:$R$4001,AD384,'All Donations'!$T$2:$T$4001,"&gt;="&amp;'Settings'!$C$25,'All Donations'!$T$2:$T$4001,"&lt;="&amp;'Settings'!$D$25),2),0)</f>
        <v/>
      </c>
      <c r="AR384">
        <f>IF(AE384=1,ROUND(SUMIFS('All Donations'!$S$2:$S$4001,'All Donations'!$R$2:$R$4001,AD384,'All Donations'!$T$2:$T$4001,"&gt;="&amp;'Settings'!$C$26,'All Donations'!$T$2:$T$4001,"&lt;="&amp;'Settings'!$D$26),2),0)</f>
        <v/>
      </c>
      <c r="AS384">
        <f>IF(AE384=1,ROUND(SUMIFS('All Donations'!$S$2:$S$4001,'All Donations'!$R$2:$R$4001,AD384,'All Donations'!$T$2:$T$4001,"&lt;="&amp;'Settings'!$D$27),2),0)</f>
        <v/>
      </c>
      <c r="AT384">
        <f>IF(AE384=1,ROUND(SUMIFS('All Donations'!$S$2:$S$4001,'All Donations'!$R$2:$R$4001,AD384,'All Donations'!$T$2:$T$4001,"&gt;="&amp;'Settings'!$C$28,'All Donations'!$T$2:$T$4001,"&lt;="&amp;'Settings'!$D$28),2),0)</f>
        <v/>
      </c>
      <c r="AU384">
        <f>IF(AE384=1,ROUND(SUMIFS('All Donations'!$S$2:$S$4001,'All Donations'!$R$2:$R$4001,AD384,'All Donations'!$T$2:$T$4001,"&gt;="&amp;'Settings'!$C$29,'All Donations'!$T$2:$T$4001,"&lt;="&amp;'Settings'!$D$29),2),0)</f>
        <v/>
      </c>
      <c r="AV384">
        <f>IF(AE384=1,ROUND(SUMIFS('All Donations'!$S$2:$S$4001,'All Donations'!$R$2:$R$4001,AD384,'All Donations'!$T$2:$T$4001,"&lt;="&amp;'Settings'!$D$30),2),0)</f>
        <v/>
      </c>
      <c r="AZ384">
        <f>IF(AE384=1,ROUND(SUMIFS('All Donations'!$S$2:$S$4001,'All Donations'!$R$2:$R$4001,AD384,'All Donations'!$T$2:$T$4001,"&lt;="&amp;'Settings'!$D$34),2),0)</f>
        <v/>
      </c>
    </row>
    <row r="385">
      <c r="A385">
        <f>IF(AE385=1,TRIM(TRIM('Roster'!B385)&amp;" "&amp;TRIM('Roster'!C385)),"")</f>
        <v/>
      </c>
      <c r="B385">
        <f>IF(AE385=1,IF(AN385="","(no teacher)",AN385&amp;" – "&amp;C385),"")</f>
        <v/>
      </c>
      <c r="C385">
        <f>IF(AE385=1,TRIM('Roster'!D385&amp;""),"")</f>
        <v/>
      </c>
      <c r="D385" s="48">
        <f>IF(AE385=1,ROUND(SUMIFS('All Donations'!$S$2:$S$4001,'All Donations'!$R$2:$R$4001,AD385),2),"")</f>
        <v/>
      </c>
      <c r="E385" s="48">
        <f>IF(AE385=1,ROUND(SUMIFS('All Donations'!$S$2:$S$4001,'All Donations'!$R$2:$R$4001,AD385,'All Donations'!$G$2:$G$4001,"OneCause"),2),"")</f>
        <v/>
      </c>
      <c r="F385" s="48">
        <f>IF(AE385=1,D385-E385,"")</f>
        <v/>
      </c>
      <c r="G385">
        <f>IF(AE385=1,COUNTIFS('All Donations'!$R$2:$R$4001,AD385,'All Donations'!$H$2:$H$4001,"OK"),"")</f>
        <v/>
      </c>
      <c r="H385">
        <f>IF(AE385&lt;&gt;1,"",IF(D385&gt;0,"Yes",""))</f>
        <v/>
      </c>
      <c r="I385" s="49">
        <f>IF(OR($AE385&lt;&gt;1,I$1=""),"",SUMIFS('All Donations'!$S$2:$S$4001,'All Donations'!$R$2:$R$4001,$AD385,'All Donations'!$T$2:$T$4001,I$1))</f>
        <v/>
      </c>
      <c r="J385" s="49">
        <f>IF(OR($AE385&lt;&gt;1,J$1=""),"",SUMIFS('All Donations'!$S$2:$S$4001,'All Donations'!$R$2:$R$4001,$AD385,'All Donations'!$T$2:$T$4001,J$1))</f>
        <v/>
      </c>
      <c r="K385" s="49">
        <f>IF(OR($AE385&lt;&gt;1,K$1=""),"",SUMIFS('All Donations'!$S$2:$S$4001,'All Donations'!$R$2:$R$4001,$AD385,'All Donations'!$T$2:$T$4001,K$1))</f>
        <v/>
      </c>
      <c r="L385" s="49">
        <f>IF(OR($AE385&lt;&gt;1,L$1=""),"",SUMIFS('All Donations'!$S$2:$S$4001,'All Donations'!$R$2:$R$4001,$AD385,'All Donations'!$T$2:$T$4001,L$1))</f>
        <v/>
      </c>
      <c r="M385" s="49">
        <f>IF(OR($AE385&lt;&gt;1,M$1=""),"",SUMIFS('All Donations'!$S$2:$S$4001,'All Donations'!$R$2:$R$4001,$AD385,'All Donations'!$T$2:$T$4001,M$1))</f>
        <v/>
      </c>
      <c r="N385" s="49">
        <f>IF(OR($AE385&lt;&gt;1,N$1=""),"",SUMIFS('All Donations'!$S$2:$S$4001,'All Donations'!$R$2:$R$4001,$AD385,'All Donations'!$T$2:$T$4001,N$1))</f>
        <v/>
      </c>
      <c r="O385" s="49">
        <f>IF(OR($AE385&lt;&gt;1,O$1=""),"",SUMIFS('All Donations'!$S$2:$S$4001,'All Donations'!$R$2:$R$4001,$AD385,'All Donations'!$T$2:$T$4001,O$1))</f>
        <v/>
      </c>
      <c r="P385" s="49">
        <f>IF(OR($AE385&lt;&gt;1,P$1=""),"",SUMIFS('All Donations'!$S$2:$S$4001,'All Donations'!$R$2:$R$4001,$AD385,'All Donations'!$T$2:$T$4001,P$1))</f>
        <v/>
      </c>
      <c r="Q385" s="49">
        <f>IF(OR($AE385&lt;&gt;1,Q$1=""),"",SUMIFS('All Donations'!$S$2:$S$4001,'All Donations'!$R$2:$R$4001,$AD385,'All Donations'!$T$2:$T$4001,Q$1))</f>
        <v/>
      </c>
      <c r="R385" s="49">
        <f>IF(OR($AE385&lt;&gt;1,R$1=""),"",SUMIFS('All Donations'!$S$2:$S$4001,'All Donations'!$R$2:$R$4001,$AD385,'All Donations'!$T$2:$T$4001,R$1))</f>
        <v/>
      </c>
      <c r="S385" s="49">
        <f>IF(OR($AE385&lt;&gt;1,S$1=""),"",SUMIFS('All Donations'!$S$2:$S$4001,'All Donations'!$R$2:$R$4001,$AD385,'All Donations'!$T$2:$T$4001,S$1))</f>
        <v/>
      </c>
      <c r="T385" s="49">
        <f>IF(OR($AE385&lt;&gt;1,T$1=""),"",SUMIFS('All Donations'!$S$2:$S$4001,'All Donations'!$R$2:$R$4001,$AD385,'All Donations'!$T$2:$T$4001,T$1))</f>
        <v/>
      </c>
      <c r="U385" s="49">
        <f>IF(OR($AE385&lt;&gt;1,U$1=""),"",SUMIFS('All Donations'!$S$2:$S$4001,'All Donations'!$R$2:$R$4001,$AD385,'All Donations'!$T$2:$T$4001,U$1))</f>
        <v/>
      </c>
      <c r="V385" s="49">
        <f>IF(OR($AE385&lt;&gt;1,V$1=""),"",SUMIFS('All Donations'!$S$2:$S$4001,'All Donations'!$R$2:$R$4001,$AD385,'All Donations'!$T$2:$T$4001,V$1))</f>
        <v/>
      </c>
      <c r="W385" s="49">
        <f>IF(OR($AE385&lt;&gt;1,W$1=""),"",SUMIFS('All Donations'!$S$2:$S$4001,'All Donations'!$R$2:$R$4001,$AD385,'All Donations'!$T$2:$T$4001,W$1))</f>
        <v/>
      </c>
      <c r="X385" s="49">
        <f>IF(OR($AE385&lt;&gt;1,X$1=""),"",SUMIFS('All Donations'!$S$2:$S$4001,'All Donations'!$R$2:$R$4001,$AD385,'All Donations'!$T$2:$T$4001,X$1))</f>
        <v/>
      </c>
      <c r="Y385" s="49">
        <f>IF(OR($AE385&lt;&gt;1,Y$1=""),"",SUMIFS('All Donations'!$S$2:$S$4001,'All Donations'!$R$2:$R$4001,$AD385,'All Donations'!$T$2:$T$4001,Y$1))</f>
        <v/>
      </c>
      <c r="Z385" s="49">
        <f>IF(OR($AE385&lt;&gt;1,Z$1=""),"",SUMIFS('All Donations'!$S$2:$S$4001,'All Donations'!$R$2:$R$4001,$AD385,'All Donations'!$T$2:$T$4001,Z$1))</f>
        <v/>
      </c>
      <c r="AA385" s="49">
        <f>IF(OR($AE385&lt;&gt;1,AA$1=""),"",SUMIFS('All Donations'!$S$2:$S$4001,'All Donations'!$R$2:$R$4001,$AD385,'All Donations'!$T$2:$T$4001,AA$1))</f>
        <v/>
      </c>
      <c r="AB385" s="49">
        <f>IF(OR($AE385&lt;&gt;1,AB$1=""),"",SUMIFS('All Donations'!$S$2:$S$4001,'All Donations'!$R$2:$R$4001,$AD385,'All Donations'!$T$2:$T$4001,AB$1))</f>
        <v/>
      </c>
      <c r="AC385" s="49">
        <f>IF(OR($AE385&lt;&gt;1,AC$1=""),"",SUMIFS('All Donations'!$S$2:$S$4001,'All Donations'!$R$2:$R$4001,$AD385,'All Donations'!$T$2:$T$4001,AC$1))</f>
        <v/>
      </c>
      <c r="AD385">
        <f>IF(AE385=1,'Roster'!A385,"")</f>
        <v/>
      </c>
      <c r="AE385">
        <f>IF(TRIM('Roster'!B385&amp;'Roster'!C385)&lt;&gt;"",1,0)</f>
        <v/>
      </c>
      <c r="AF385">
        <f>IF(AE385=1,LOWER(A385),"#")</f>
        <v/>
      </c>
      <c r="AG385">
        <f>IF(AE385=1,LOWER(TRIM(TRIM('Roster'!C385)&amp;", "&amp;TRIM('Roster'!B385))),"#")</f>
        <v/>
      </c>
      <c r="AH385">
        <f>IF(AND(AE385=1,TRIM('Roster'!F385)&lt;&gt;""),LOWER(TRIM('Roster'!F385)),"#")</f>
        <v/>
      </c>
      <c r="AI385">
        <f>IF(AE385=1,IF(MATCH(B385,$B$2:$B$701,0)=ROW()-1,1,0),0)</f>
        <v/>
      </c>
      <c r="AJ385">
        <f>AJ384+AI385</f>
        <v/>
      </c>
      <c r="AK385">
        <f>IF(AE385=1,D385+(1000-ROW())/10^7,-1)</f>
        <v/>
      </c>
      <c r="AL385">
        <f>IF(AE385=1,TRIM('Roster'!B385)&amp;" "&amp;LEFT(TRIM('Roster'!C385),1)&amp;".","")</f>
        <v/>
      </c>
      <c r="AM385">
        <f>IF(AE385=1,TRIM('Roster'!C385)&amp;", "&amp;TRIM('Roster'!B385)&amp;" ("&amp;B385&amp;") #"&amp;AD385,"")</f>
        <v/>
      </c>
      <c r="AN385">
        <f>IF(AE385=1,TRIM('Roster'!E385),"")</f>
        <v/>
      </c>
      <c r="AO385">
        <f>IF(AE385=1,ROUND(SUMIFS('All Donations'!$S$2:$S$4001,'All Donations'!$R$2:$R$4001,AD385,'All Donations'!$T$2:$T$4001,"&gt;="&amp;'Settings'!$C$23,'All Donations'!$T$2:$T$4001,"&lt;="&amp;'Settings'!$D$23),2),0)</f>
        <v/>
      </c>
      <c r="AQ385">
        <f>IF(AE385=1,ROUND(SUMIFS('All Donations'!$S$2:$S$4001,'All Donations'!$R$2:$R$4001,AD385,'All Donations'!$T$2:$T$4001,"&gt;="&amp;'Settings'!$C$25,'All Donations'!$T$2:$T$4001,"&lt;="&amp;'Settings'!$D$25),2),0)</f>
        <v/>
      </c>
      <c r="AR385">
        <f>IF(AE385=1,ROUND(SUMIFS('All Donations'!$S$2:$S$4001,'All Donations'!$R$2:$R$4001,AD385,'All Donations'!$T$2:$T$4001,"&gt;="&amp;'Settings'!$C$26,'All Donations'!$T$2:$T$4001,"&lt;="&amp;'Settings'!$D$26),2),0)</f>
        <v/>
      </c>
      <c r="AS385">
        <f>IF(AE385=1,ROUND(SUMIFS('All Donations'!$S$2:$S$4001,'All Donations'!$R$2:$R$4001,AD385,'All Donations'!$T$2:$T$4001,"&lt;="&amp;'Settings'!$D$27),2),0)</f>
        <v/>
      </c>
      <c r="AT385">
        <f>IF(AE385=1,ROUND(SUMIFS('All Donations'!$S$2:$S$4001,'All Donations'!$R$2:$R$4001,AD385,'All Donations'!$T$2:$T$4001,"&gt;="&amp;'Settings'!$C$28,'All Donations'!$T$2:$T$4001,"&lt;="&amp;'Settings'!$D$28),2),0)</f>
        <v/>
      </c>
      <c r="AU385">
        <f>IF(AE385=1,ROUND(SUMIFS('All Donations'!$S$2:$S$4001,'All Donations'!$R$2:$R$4001,AD385,'All Donations'!$T$2:$T$4001,"&gt;="&amp;'Settings'!$C$29,'All Donations'!$T$2:$T$4001,"&lt;="&amp;'Settings'!$D$29),2),0)</f>
        <v/>
      </c>
      <c r="AV385">
        <f>IF(AE385=1,ROUND(SUMIFS('All Donations'!$S$2:$S$4001,'All Donations'!$R$2:$R$4001,AD385,'All Donations'!$T$2:$T$4001,"&lt;="&amp;'Settings'!$D$30),2),0)</f>
        <v/>
      </c>
      <c r="AZ385">
        <f>IF(AE385=1,ROUND(SUMIFS('All Donations'!$S$2:$S$4001,'All Donations'!$R$2:$R$4001,AD385,'All Donations'!$T$2:$T$4001,"&lt;="&amp;'Settings'!$D$34),2),0)</f>
        <v/>
      </c>
    </row>
    <row r="386">
      <c r="A386">
        <f>IF(AE386=1,TRIM(TRIM('Roster'!B386)&amp;" "&amp;TRIM('Roster'!C386)),"")</f>
        <v/>
      </c>
      <c r="B386">
        <f>IF(AE386=1,IF(AN386="","(no teacher)",AN386&amp;" – "&amp;C386),"")</f>
        <v/>
      </c>
      <c r="C386">
        <f>IF(AE386=1,TRIM('Roster'!D386&amp;""),"")</f>
        <v/>
      </c>
      <c r="D386" s="48">
        <f>IF(AE386=1,ROUND(SUMIFS('All Donations'!$S$2:$S$4001,'All Donations'!$R$2:$R$4001,AD386),2),"")</f>
        <v/>
      </c>
      <c r="E386" s="48">
        <f>IF(AE386=1,ROUND(SUMIFS('All Donations'!$S$2:$S$4001,'All Donations'!$R$2:$R$4001,AD386,'All Donations'!$G$2:$G$4001,"OneCause"),2),"")</f>
        <v/>
      </c>
      <c r="F386" s="48">
        <f>IF(AE386=1,D386-E386,"")</f>
        <v/>
      </c>
      <c r="G386">
        <f>IF(AE386=1,COUNTIFS('All Donations'!$R$2:$R$4001,AD386,'All Donations'!$H$2:$H$4001,"OK"),"")</f>
        <v/>
      </c>
      <c r="H386">
        <f>IF(AE386&lt;&gt;1,"",IF(D386&gt;0,"Yes",""))</f>
        <v/>
      </c>
      <c r="I386" s="49">
        <f>IF(OR($AE386&lt;&gt;1,I$1=""),"",SUMIFS('All Donations'!$S$2:$S$4001,'All Donations'!$R$2:$R$4001,$AD386,'All Donations'!$T$2:$T$4001,I$1))</f>
        <v/>
      </c>
      <c r="J386" s="49">
        <f>IF(OR($AE386&lt;&gt;1,J$1=""),"",SUMIFS('All Donations'!$S$2:$S$4001,'All Donations'!$R$2:$R$4001,$AD386,'All Donations'!$T$2:$T$4001,J$1))</f>
        <v/>
      </c>
      <c r="K386" s="49">
        <f>IF(OR($AE386&lt;&gt;1,K$1=""),"",SUMIFS('All Donations'!$S$2:$S$4001,'All Donations'!$R$2:$R$4001,$AD386,'All Donations'!$T$2:$T$4001,K$1))</f>
        <v/>
      </c>
      <c r="L386" s="49">
        <f>IF(OR($AE386&lt;&gt;1,L$1=""),"",SUMIFS('All Donations'!$S$2:$S$4001,'All Donations'!$R$2:$R$4001,$AD386,'All Donations'!$T$2:$T$4001,L$1))</f>
        <v/>
      </c>
      <c r="M386" s="49">
        <f>IF(OR($AE386&lt;&gt;1,M$1=""),"",SUMIFS('All Donations'!$S$2:$S$4001,'All Donations'!$R$2:$R$4001,$AD386,'All Donations'!$T$2:$T$4001,M$1))</f>
        <v/>
      </c>
      <c r="N386" s="49">
        <f>IF(OR($AE386&lt;&gt;1,N$1=""),"",SUMIFS('All Donations'!$S$2:$S$4001,'All Donations'!$R$2:$R$4001,$AD386,'All Donations'!$T$2:$T$4001,N$1))</f>
        <v/>
      </c>
      <c r="O386" s="49">
        <f>IF(OR($AE386&lt;&gt;1,O$1=""),"",SUMIFS('All Donations'!$S$2:$S$4001,'All Donations'!$R$2:$R$4001,$AD386,'All Donations'!$T$2:$T$4001,O$1))</f>
        <v/>
      </c>
      <c r="P386" s="49">
        <f>IF(OR($AE386&lt;&gt;1,P$1=""),"",SUMIFS('All Donations'!$S$2:$S$4001,'All Donations'!$R$2:$R$4001,$AD386,'All Donations'!$T$2:$T$4001,P$1))</f>
        <v/>
      </c>
      <c r="Q386" s="49">
        <f>IF(OR($AE386&lt;&gt;1,Q$1=""),"",SUMIFS('All Donations'!$S$2:$S$4001,'All Donations'!$R$2:$R$4001,$AD386,'All Donations'!$T$2:$T$4001,Q$1))</f>
        <v/>
      </c>
      <c r="R386" s="49">
        <f>IF(OR($AE386&lt;&gt;1,R$1=""),"",SUMIFS('All Donations'!$S$2:$S$4001,'All Donations'!$R$2:$R$4001,$AD386,'All Donations'!$T$2:$T$4001,R$1))</f>
        <v/>
      </c>
      <c r="S386" s="49">
        <f>IF(OR($AE386&lt;&gt;1,S$1=""),"",SUMIFS('All Donations'!$S$2:$S$4001,'All Donations'!$R$2:$R$4001,$AD386,'All Donations'!$T$2:$T$4001,S$1))</f>
        <v/>
      </c>
      <c r="T386" s="49">
        <f>IF(OR($AE386&lt;&gt;1,T$1=""),"",SUMIFS('All Donations'!$S$2:$S$4001,'All Donations'!$R$2:$R$4001,$AD386,'All Donations'!$T$2:$T$4001,T$1))</f>
        <v/>
      </c>
      <c r="U386" s="49">
        <f>IF(OR($AE386&lt;&gt;1,U$1=""),"",SUMIFS('All Donations'!$S$2:$S$4001,'All Donations'!$R$2:$R$4001,$AD386,'All Donations'!$T$2:$T$4001,U$1))</f>
        <v/>
      </c>
      <c r="V386" s="49">
        <f>IF(OR($AE386&lt;&gt;1,V$1=""),"",SUMIFS('All Donations'!$S$2:$S$4001,'All Donations'!$R$2:$R$4001,$AD386,'All Donations'!$T$2:$T$4001,V$1))</f>
        <v/>
      </c>
      <c r="W386" s="49">
        <f>IF(OR($AE386&lt;&gt;1,W$1=""),"",SUMIFS('All Donations'!$S$2:$S$4001,'All Donations'!$R$2:$R$4001,$AD386,'All Donations'!$T$2:$T$4001,W$1))</f>
        <v/>
      </c>
      <c r="X386" s="49">
        <f>IF(OR($AE386&lt;&gt;1,X$1=""),"",SUMIFS('All Donations'!$S$2:$S$4001,'All Donations'!$R$2:$R$4001,$AD386,'All Donations'!$T$2:$T$4001,X$1))</f>
        <v/>
      </c>
      <c r="Y386" s="49">
        <f>IF(OR($AE386&lt;&gt;1,Y$1=""),"",SUMIFS('All Donations'!$S$2:$S$4001,'All Donations'!$R$2:$R$4001,$AD386,'All Donations'!$T$2:$T$4001,Y$1))</f>
        <v/>
      </c>
      <c r="Z386" s="49">
        <f>IF(OR($AE386&lt;&gt;1,Z$1=""),"",SUMIFS('All Donations'!$S$2:$S$4001,'All Donations'!$R$2:$R$4001,$AD386,'All Donations'!$T$2:$T$4001,Z$1))</f>
        <v/>
      </c>
      <c r="AA386" s="49">
        <f>IF(OR($AE386&lt;&gt;1,AA$1=""),"",SUMIFS('All Donations'!$S$2:$S$4001,'All Donations'!$R$2:$R$4001,$AD386,'All Donations'!$T$2:$T$4001,AA$1))</f>
        <v/>
      </c>
      <c r="AB386" s="49">
        <f>IF(OR($AE386&lt;&gt;1,AB$1=""),"",SUMIFS('All Donations'!$S$2:$S$4001,'All Donations'!$R$2:$R$4001,$AD386,'All Donations'!$T$2:$T$4001,AB$1))</f>
        <v/>
      </c>
      <c r="AC386" s="49">
        <f>IF(OR($AE386&lt;&gt;1,AC$1=""),"",SUMIFS('All Donations'!$S$2:$S$4001,'All Donations'!$R$2:$R$4001,$AD386,'All Donations'!$T$2:$T$4001,AC$1))</f>
        <v/>
      </c>
      <c r="AD386">
        <f>IF(AE386=1,'Roster'!A386,"")</f>
        <v/>
      </c>
      <c r="AE386">
        <f>IF(TRIM('Roster'!B386&amp;'Roster'!C386)&lt;&gt;"",1,0)</f>
        <v/>
      </c>
      <c r="AF386">
        <f>IF(AE386=1,LOWER(A386),"#")</f>
        <v/>
      </c>
      <c r="AG386">
        <f>IF(AE386=1,LOWER(TRIM(TRIM('Roster'!C386)&amp;", "&amp;TRIM('Roster'!B386))),"#")</f>
        <v/>
      </c>
      <c r="AH386">
        <f>IF(AND(AE386=1,TRIM('Roster'!F386)&lt;&gt;""),LOWER(TRIM('Roster'!F386)),"#")</f>
        <v/>
      </c>
      <c r="AI386">
        <f>IF(AE386=1,IF(MATCH(B386,$B$2:$B$701,0)=ROW()-1,1,0),0)</f>
        <v/>
      </c>
      <c r="AJ386">
        <f>AJ385+AI386</f>
        <v/>
      </c>
      <c r="AK386">
        <f>IF(AE386=1,D386+(1000-ROW())/10^7,-1)</f>
        <v/>
      </c>
      <c r="AL386">
        <f>IF(AE386=1,TRIM('Roster'!B386)&amp;" "&amp;LEFT(TRIM('Roster'!C386),1)&amp;".","")</f>
        <v/>
      </c>
      <c r="AM386">
        <f>IF(AE386=1,TRIM('Roster'!C386)&amp;", "&amp;TRIM('Roster'!B386)&amp;" ("&amp;B386&amp;") #"&amp;AD386,"")</f>
        <v/>
      </c>
      <c r="AN386">
        <f>IF(AE386=1,TRIM('Roster'!E386),"")</f>
        <v/>
      </c>
      <c r="AO386">
        <f>IF(AE386=1,ROUND(SUMIFS('All Donations'!$S$2:$S$4001,'All Donations'!$R$2:$R$4001,AD386,'All Donations'!$T$2:$T$4001,"&gt;="&amp;'Settings'!$C$23,'All Donations'!$T$2:$T$4001,"&lt;="&amp;'Settings'!$D$23),2),0)</f>
        <v/>
      </c>
      <c r="AQ386">
        <f>IF(AE386=1,ROUND(SUMIFS('All Donations'!$S$2:$S$4001,'All Donations'!$R$2:$R$4001,AD386,'All Donations'!$T$2:$T$4001,"&gt;="&amp;'Settings'!$C$25,'All Donations'!$T$2:$T$4001,"&lt;="&amp;'Settings'!$D$25),2),0)</f>
        <v/>
      </c>
      <c r="AR386">
        <f>IF(AE386=1,ROUND(SUMIFS('All Donations'!$S$2:$S$4001,'All Donations'!$R$2:$R$4001,AD386,'All Donations'!$T$2:$T$4001,"&gt;="&amp;'Settings'!$C$26,'All Donations'!$T$2:$T$4001,"&lt;="&amp;'Settings'!$D$26),2),0)</f>
        <v/>
      </c>
      <c r="AS386">
        <f>IF(AE386=1,ROUND(SUMIFS('All Donations'!$S$2:$S$4001,'All Donations'!$R$2:$R$4001,AD386,'All Donations'!$T$2:$T$4001,"&lt;="&amp;'Settings'!$D$27),2),0)</f>
        <v/>
      </c>
      <c r="AT386">
        <f>IF(AE386=1,ROUND(SUMIFS('All Donations'!$S$2:$S$4001,'All Donations'!$R$2:$R$4001,AD386,'All Donations'!$T$2:$T$4001,"&gt;="&amp;'Settings'!$C$28,'All Donations'!$T$2:$T$4001,"&lt;="&amp;'Settings'!$D$28),2),0)</f>
        <v/>
      </c>
      <c r="AU386">
        <f>IF(AE386=1,ROUND(SUMIFS('All Donations'!$S$2:$S$4001,'All Donations'!$R$2:$R$4001,AD386,'All Donations'!$T$2:$T$4001,"&gt;="&amp;'Settings'!$C$29,'All Donations'!$T$2:$T$4001,"&lt;="&amp;'Settings'!$D$29),2),0)</f>
        <v/>
      </c>
      <c r="AV386">
        <f>IF(AE386=1,ROUND(SUMIFS('All Donations'!$S$2:$S$4001,'All Donations'!$R$2:$R$4001,AD386,'All Donations'!$T$2:$T$4001,"&lt;="&amp;'Settings'!$D$30),2),0)</f>
        <v/>
      </c>
      <c r="AZ386">
        <f>IF(AE386=1,ROUND(SUMIFS('All Donations'!$S$2:$S$4001,'All Donations'!$R$2:$R$4001,AD386,'All Donations'!$T$2:$T$4001,"&lt;="&amp;'Settings'!$D$34),2),0)</f>
        <v/>
      </c>
    </row>
    <row r="387">
      <c r="A387">
        <f>IF(AE387=1,TRIM(TRIM('Roster'!B387)&amp;" "&amp;TRIM('Roster'!C387)),"")</f>
        <v/>
      </c>
      <c r="B387">
        <f>IF(AE387=1,IF(AN387="","(no teacher)",AN387&amp;" – "&amp;C387),"")</f>
        <v/>
      </c>
      <c r="C387">
        <f>IF(AE387=1,TRIM('Roster'!D387&amp;""),"")</f>
        <v/>
      </c>
      <c r="D387" s="48">
        <f>IF(AE387=1,ROUND(SUMIFS('All Donations'!$S$2:$S$4001,'All Donations'!$R$2:$R$4001,AD387),2),"")</f>
        <v/>
      </c>
      <c r="E387" s="48">
        <f>IF(AE387=1,ROUND(SUMIFS('All Donations'!$S$2:$S$4001,'All Donations'!$R$2:$R$4001,AD387,'All Donations'!$G$2:$G$4001,"OneCause"),2),"")</f>
        <v/>
      </c>
      <c r="F387" s="48">
        <f>IF(AE387=1,D387-E387,"")</f>
        <v/>
      </c>
      <c r="G387">
        <f>IF(AE387=1,COUNTIFS('All Donations'!$R$2:$R$4001,AD387,'All Donations'!$H$2:$H$4001,"OK"),"")</f>
        <v/>
      </c>
      <c r="H387">
        <f>IF(AE387&lt;&gt;1,"",IF(D387&gt;0,"Yes",""))</f>
        <v/>
      </c>
      <c r="I387" s="49">
        <f>IF(OR($AE387&lt;&gt;1,I$1=""),"",SUMIFS('All Donations'!$S$2:$S$4001,'All Donations'!$R$2:$R$4001,$AD387,'All Donations'!$T$2:$T$4001,I$1))</f>
        <v/>
      </c>
      <c r="J387" s="49">
        <f>IF(OR($AE387&lt;&gt;1,J$1=""),"",SUMIFS('All Donations'!$S$2:$S$4001,'All Donations'!$R$2:$R$4001,$AD387,'All Donations'!$T$2:$T$4001,J$1))</f>
        <v/>
      </c>
      <c r="K387" s="49">
        <f>IF(OR($AE387&lt;&gt;1,K$1=""),"",SUMIFS('All Donations'!$S$2:$S$4001,'All Donations'!$R$2:$R$4001,$AD387,'All Donations'!$T$2:$T$4001,K$1))</f>
        <v/>
      </c>
      <c r="L387" s="49">
        <f>IF(OR($AE387&lt;&gt;1,L$1=""),"",SUMIFS('All Donations'!$S$2:$S$4001,'All Donations'!$R$2:$R$4001,$AD387,'All Donations'!$T$2:$T$4001,L$1))</f>
        <v/>
      </c>
      <c r="M387" s="49">
        <f>IF(OR($AE387&lt;&gt;1,M$1=""),"",SUMIFS('All Donations'!$S$2:$S$4001,'All Donations'!$R$2:$R$4001,$AD387,'All Donations'!$T$2:$T$4001,M$1))</f>
        <v/>
      </c>
      <c r="N387" s="49">
        <f>IF(OR($AE387&lt;&gt;1,N$1=""),"",SUMIFS('All Donations'!$S$2:$S$4001,'All Donations'!$R$2:$R$4001,$AD387,'All Donations'!$T$2:$T$4001,N$1))</f>
        <v/>
      </c>
      <c r="O387" s="49">
        <f>IF(OR($AE387&lt;&gt;1,O$1=""),"",SUMIFS('All Donations'!$S$2:$S$4001,'All Donations'!$R$2:$R$4001,$AD387,'All Donations'!$T$2:$T$4001,O$1))</f>
        <v/>
      </c>
      <c r="P387" s="49">
        <f>IF(OR($AE387&lt;&gt;1,P$1=""),"",SUMIFS('All Donations'!$S$2:$S$4001,'All Donations'!$R$2:$R$4001,$AD387,'All Donations'!$T$2:$T$4001,P$1))</f>
        <v/>
      </c>
      <c r="Q387" s="49">
        <f>IF(OR($AE387&lt;&gt;1,Q$1=""),"",SUMIFS('All Donations'!$S$2:$S$4001,'All Donations'!$R$2:$R$4001,$AD387,'All Donations'!$T$2:$T$4001,Q$1))</f>
        <v/>
      </c>
      <c r="R387" s="49">
        <f>IF(OR($AE387&lt;&gt;1,R$1=""),"",SUMIFS('All Donations'!$S$2:$S$4001,'All Donations'!$R$2:$R$4001,$AD387,'All Donations'!$T$2:$T$4001,R$1))</f>
        <v/>
      </c>
      <c r="S387" s="49">
        <f>IF(OR($AE387&lt;&gt;1,S$1=""),"",SUMIFS('All Donations'!$S$2:$S$4001,'All Donations'!$R$2:$R$4001,$AD387,'All Donations'!$T$2:$T$4001,S$1))</f>
        <v/>
      </c>
      <c r="T387" s="49">
        <f>IF(OR($AE387&lt;&gt;1,T$1=""),"",SUMIFS('All Donations'!$S$2:$S$4001,'All Donations'!$R$2:$R$4001,$AD387,'All Donations'!$T$2:$T$4001,T$1))</f>
        <v/>
      </c>
      <c r="U387" s="49">
        <f>IF(OR($AE387&lt;&gt;1,U$1=""),"",SUMIFS('All Donations'!$S$2:$S$4001,'All Donations'!$R$2:$R$4001,$AD387,'All Donations'!$T$2:$T$4001,U$1))</f>
        <v/>
      </c>
      <c r="V387" s="49">
        <f>IF(OR($AE387&lt;&gt;1,V$1=""),"",SUMIFS('All Donations'!$S$2:$S$4001,'All Donations'!$R$2:$R$4001,$AD387,'All Donations'!$T$2:$T$4001,V$1))</f>
        <v/>
      </c>
      <c r="W387" s="49">
        <f>IF(OR($AE387&lt;&gt;1,W$1=""),"",SUMIFS('All Donations'!$S$2:$S$4001,'All Donations'!$R$2:$R$4001,$AD387,'All Donations'!$T$2:$T$4001,W$1))</f>
        <v/>
      </c>
      <c r="X387" s="49">
        <f>IF(OR($AE387&lt;&gt;1,X$1=""),"",SUMIFS('All Donations'!$S$2:$S$4001,'All Donations'!$R$2:$R$4001,$AD387,'All Donations'!$T$2:$T$4001,X$1))</f>
        <v/>
      </c>
      <c r="Y387" s="49">
        <f>IF(OR($AE387&lt;&gt;1,Y$1=""),"",SUMIFS('All Donations'!$S$2:$S$4001,'All Donations'!$R$2:$R$4001,$AD387,'All Donations'!$T$2:$T$4001,Y$1))</f>
        <v/>
      </c>
      <c r="Z387" s="49">
        <f>IF(OR($AE387&lt;&gt;1,Z$1=""),"",SUMIFS('All Donations'!$S$2:$S$4001,'All Donations'!$R$2:$R$4001,$AD387,'All Donations'!$T$2:$T$4001,Z$1))</f>
        <v/>
      </c>
      <c r="AA387" s="49">
        <f>IF(OR($AE387&lt;&gt;1,AA$1=""),"",SUMIFS('All Donations'!$S$2:$S$4001,'All Donations'!$R$2:$R$4001,$AD387,'All Donations'!$T$2:$T$4001,AA$1))</f>
        <v/>
      </c>
      <c r="AB387" s="49">
        <f>IF(OR($AE387&lt;&gt;1,AB$1=""),"",SUMIFS('All Donations'!$S$2:$S$4001,'All Donations'!$R$2:$R$4001,$AD387,'All Donations'!$T$2:$T$4001,AB$1))</f>
        <v/>
      </c>
      <c r="AC387" s="49">
        <f>IF(OR($AE387&lt;&gt;1,AC$1=""),"",SUMIFS('All Donations'!$S$2:$S$4001,'All Donations'!$R$2:$R$4001,$AD387,'All Donations'!$T$2:$T$4001,AC$1))</f>
        <v/>
      </c>
      <c r="AD387">
        <f>IF(AE387=1,'Roster'!A387,"")</f>
        <v/>
      </c>
      <c r="AE387">
        <f>IF(TRIM('Roster'!B387&amp;'Roster'!C387)&lt;&gt;"",1,0)</f>
        <v/>
      </c>
      <c r="AF387">
        <f>IF(AE387=1,LOWER(A387),"#")</f>
        <v/>
      </c>
      <c r="AG387">
        <f>IF(AE387=1,LOWER(TRIM(TRIM('Roster'!C387)&amp;", "&amp;TRIM('Roster'!B387))),"#")</f>
        <v/>
      </c>
      <c r="AH387">
        <f>IF(AND(AE387=1,TRIM('Roster'!F387)&lt;&gt;""),LOWER(TRIM('Roster'!F387)),"#")</f>
        <v/>
      </c>
      <c r="AI387">
        <f>IF(AE387=1,IF(MATCH(B387,$B$2:$B$701,0)=ROW()-1,1,0),0)</f>
        <v/>
      </c>
      <c r="AJ387">
        <f>AJ386+AI387</f>
        <v/>
      </c>
      <c r="AK387">
        <f>IF(AE387=1,D387+(1000-ROW())/10^7,-1)</f>
        <v/>
      </c>
      <c r="AL387">
        <f>IF(AE387=1,TRIM('Roster'!B387)&amp;" "&amp;LEFT(TRIM('Roster'!C387),1)&amp;".","")</f>
        <v/>
      </c>
      <c r="AM387">
        <f>IF(AE387=1,TRIM('Roster'!C387)&amp;", "&amp;TRIM('Roster'!B387)&amp;" ("&amp;B387&amp;") #"&amp;AD387,"")</f>
        <v/>
      </c>
      <c r="AN387">
        <f>IF(AE387=1,TRIM('Roster'!E387),"")</f>
        <v/>
      </c>
      <c r="AO387">
        <f>IF(AE387=1,ROUND(SUMIFS('All Donations'!$S$2:$S$4001,'All Donations'!$R$2:$R$4001,AD387,'All Donations'!$T$2:$T$4001,"&gt;="&amp;'Settings'!$C$23,'All Donations'!$T$2:$T$4001,"&lt;="&amp;'Settings'!$D$23),2),0)</f>
        <v/>
      </c>
      <c r="AQ387">
        <f>IF(AE387=1,ROUND(SUMIFS('All Donations'!$S$2:$S$4001,'All Donations'!$R$2:$R$4001,AD387,'All Donations'!$T$2:$T$4001,"&gt;="&amp;'Settings'!$C$25,'All Donations'!$T$2:$T$4001,"&lt;="&amp;'Settings'!$D$25),2),0)</f>
        <v/>
      </c>
      <c r="AR387">
        <f>IF(AE387=1,ROUND(SUMIFS('All Donations'!$S$2:$S$4001,'All Donations'!$R$2:$R$4001,AD387,'All Donations'!$T$2:$T$4001,"&gt;="&amp;'Settings'!$C$26,'All Donations'!$T$2:$T$4001,"&lt;="&amp;'Settings'!$D$26),2),0)</f>
        <v/>
      </c>
      <c r="AS387">
        <f>IF(AE387=1,ROUND(SUMIFS('All Donations'!$S$2:$S$4001,'All Donations'!$R$2:$R$4001,AD387,'All Donations'!$T$2:$T$4001,"&lt;="&amp;'Settings'!$D$27),2),0)</f>
        <v/>
      </c>
      <c r="AT387">
        <f>IF(AE387=1,ROUND(SUMIFS('All Donations'!$S$2:$S$4001,'All Donations'!$R$2:$R$4001,AD387,'All Donations'!$T$2:$T$4001,"&gt;="&amp;'Settings'!$C$28,'All Donations'!$T$2:$T$4001,"&lt;="&amp;'Settings'!$D$28),2),0)</f>
        <v/>
      </c>
      <c r="AU387">
        <f>IF(AE387=1,ROUND(SUMIFS('All Donations'!$S$2:$S$4001,'All Donations'!$R$2:$R$4001,AD387,'All Donations'!$T$2:$T$4001,"&gt;="&amp;'Settings'!$C$29,'All Donations'!$T$2:$T$4001,"&lt;="&amp;'Settings'!$D$29),2),0)</f>
        <v/>
      </c>
      <c r="AV387">
        <f>IF(AE387=1,ROUND(SUMIFS('All Donations'!$S$2:$S$4001,'All Donations'!$R$2:$R$4001,AD387,'All Donations'!$T$2:$T$4001,"&lt;="&amp;'Settings'!$D$30),2),0)</f>
        <v/>
      </c>
      <c r="AZ387">
        <f>IF(AE387=1,ROUND(SUMIFS('All Donations'!$S$2:$S$4001,'All Donations'!$R$2:$R$4001,AD387,'All Donations'!$T$2:$T$4001,"&lt;="&amp;'Settings'!$D$34),2),0)</f>
        <v/>
      </c>
    </row>
    <row r="388">
      <c r="A388">
        <f>IF(AE388=1,TRIM(TRIM('Roster'!B388)&amp;" "&amp;TRIM('Roster'!C388)),"")</f>
        <v/>
      </c>
      <c r="B388">
        <f>IF(AE388=1,IF(AN388="","(no teacher)",AN388&amp;" – "&amp;C388),"")</f>
        <v/>
      </c>
      <c r="C388">
        <f>IF(AE388=1,TRIM('Roster'!D388&amp;""),"")</f>
        <v/>
      </c>
      <c r="D388" s="48">
        <f>IF(AE388=1,ROUND(SUMIFS('All Donations'!$S$2:$S$4001,'All Donations'!$R$2:$R$4001,AD388),2),"")</f>
        <v/>
      </c>
      <c r="E388" s="48">
        <f>IF(AE388=1,ROUND(SUMIFS('All Donations'!$S$2:$S$4001,'All Donations'!$R$2:$R$4001,AD388,'All Donations'!$G$2:$G$4001,"OneCause"),2),"")</f>
        <v/>
      </c>
      <c r="F388" s="48">
        <f>IF(AE388=1,D388-E388,"")</f>
        <v/>
      </c>
      <c r="G388">
        <f>IF(AE388=1,COUNTIFS('All Donations'!$R$2:$R$4001,AD388,'All Donations'!$H$2:$H$4001,"OK"),"")</f>
        <v/>
      </c>
      <c r="H388">
        <f>IF(AE388&lt;&gt;1,"",IF(D388&gt;0,"Yes",""))</f>
        <v/>
      </c>
      <c r="I388" s="49">
        <f>IF(OR($AE388&lt;&gt;1,I$1=""),"",SUMIFS('All Donations'!$S$2:$S$4001,'All Donations'!$R$2:$R$4001,$AD388,'All Donations'!$T$2:$T$4001,I$1))</f>
        <v/>
      </c>
      <c r="J388" s="49">
        <f>IF(OR($AE388&lt;&gt;1,J$1=""),"",SUMIFS('All Donations'!$S$2:$S$4001,'All Donations'!$R$2:$R$4001,$AD388,'All Donations'!$T$2:$T$4001,J$1))</f>
        <v/>
      </c>
      <c r="K388" s="49">
        <f>IF(OR($AE388&lt;&gt;1,K$1=""),"",SUMIFS('All Donations'!$S$2:$S$4001,'All Donations'!$R$2:$R$4001,$AD388,'All Donations'!$T$2:$T$4001,K$1))</f>
        <v/>
      </c>
      <c r="L388" s="49">
        <f>IF(OR($AE388&lt;&gt;1,L$1=""),"",SUMIFS('All Donations'!$S$2:$S$4001,'All Donations'!$R$2:$R$4001,$AD388,'All Donations'!$T$2:$T$4001,L$1))</f>
        <v/>
      </c>
      <c r="M388" s="49">
        <f>IF(OR($AE388&lt;&gt;1,M$1=""),"",SUMIFS('All Donations'!$S$2:$S$4001,'All Donations'!$R$2:$R$4001,$AD388,'All Donations'!$T$2:$T$4001,M$1))</f>
        <v/>
      </c>
      <c r="N388" s="49">
        <f>IF(OR($AE388&lt;&gt;1,N$1=""),"",SUMIFS('All Donations'!$S$2:$S$4001,'All Donations'!$R$2:$R$4001,$AD388,'All Donations'!$T$2:$T$4001,N$1))</f>
        <v/>
      </c>
      <c r="O388" s="49">
        <f>IF(OR($AE388&lt;&gt;1,O$1=""),"",SUMIFS('All Donations'!$S$2:$S$4001,'All Donations'!$R$2:$R$4001,$AD388,'All Donations'!$T$2:$T$4001,O$1))</f>
        <v/>
      </c>
      <c r="P388" s="49">
        <f>IF(OR($AE388&lt;&gt;1,P$1=""),"",SUMIFS('All Donations'!$S$2:$S$4001,'All Donations'!$R$2:$R$4001,$AD388,'All Donations'!$T$2:$T$4001,P$1))</f>
        <v/>
      </c>
      <c r="Q388" s="49">
        <f>IF(OR($AE388&lt;&gt;1,Q$1=""),"",SUMIFS('All Donations'!$S$2:$S$4001,'All Donations'!$R$2:$R$4001,$AD388,'All Donations'!$T$2:$T$4001,Q$1))</f>
        <v/>
      </c>
      <c r="R388" s="49">
        <f>IF(OR($AE388&lt;&gt;1,R$1=""),"",SUMIFS('All Donations'!$S$2:$S$4001,'All Donations'!$R$2:$R$4001,$AD388,'All Donations'!$T$2:$T$4001,R$1))</f>
        <v/>
      </c>
      <c r="S388" s="49">
        <f>IF(OR($AE388&lt;&gt;1,S$1=""),"",SUMIFS('All Donations'!$S$2:$S$4001,'All Donations'!$R$2:$R$4001,$AD388,'All Donations'!$T$2:$T$4001,S$1))</f>
        <v/>
      </c>
      <c r="T388" s="49">
        <f>IF(OR($AE388&lt;&gt;1,T$1=""),"",SUMIFS('All Donations'!$S$2:$S$4001,'All Donations'!$R$2:$R$4001,$AD388,'All Donations'!$T$2:$T$4001,T$1))</f>
        <v/>
      </c>
      <c r="U388" s="49">
        <f>IF(OR($AE388&lt;&gt;1,U$1=""),"",SUMIFS('All Donations'!$S$2:$S$4001,'All Donations'!$R$2:$R$4001,$AD388,'All Donations'!$T$2:$T$4001,U$1))</f>
        <v/>
      </c>
      <c r="V388" s="49">
        <f>IF(OR($AE388&lt;&gt;1,V$1=""),"",SUMIFS('All Donations'!$S$2:$S$4001,'All Donations'!$R$2:$R$4001,$AD388,'All Donations'!$T$2:$T$4001,V$1))</f>
        <v/>
      </c>
      <c r="W388" s="49">
        <f>IF(OR($AE388&lt;&gt;1,W$1=""),"",SUMIFS('All Donations'!$S$2:$S$4001,'All Donations'!$R$2:$R$4001,$AD388,'All Donations'!$T$2:$T$4001,W$1))</f>
        <v/>
      </c>
      <c r="X388" s="49">
        <f>IF(OR($AE388&lt;&gt;1,X$1=""),"",SUMIFS('All Donations'!$S$2:$S$4001,'All Donations'!$R$2:$R$4001,$AD388,'All Donations'!$T$2:$T$4001,X$1))</f>
        <v/>
      </c>
      <c r="Y388" s="49">
        <f>IF(OR($AE388&lt;&gt;1,Y$1=""),"",SUMIFS('All Donations'!$S$2:$S$4001,'All Donations'!$R$2:$R$4001,$AD388,'All Donations'!$T$2:$T$4001,Y$1))</f>
        <v/>
      </c>
      <c r="Z388" s="49">
        <f>IF(OR($AE388&lt;&gt;1,Z$1=""),"",SUMIFS('All Donations'!$S$2:$S$4001,'All Donations'!$R$2:$R$4001,$AD388,'All Donations'!$T$2:$T$4001,Z$1))</f>
        <v/>
      </c>
      <c r="AA388" s="49">
        <f>IF(OR($AE388&lt;&gt;1,AA$1=""),"",SUMIFS('All Donations'!$S$2:$S$4001,'All Donations'!$R$2:$R$4001,$AD388,'All Donations'!$T$2:$T$4001,AA$1))</f>
        <v/>
      </c>
      <c r="AB388" s="49">
        <f>IF(OR($AE388&lt;&gt;1,AB$1=""),"",SUMIFS('All Donations'!$S$2:$S$4001,'All Donations'!$R$2:$R$4001,$AD388,'All Donations'!$T$2:$T$4001,AB$1))</f>
        <v/>
      </c>
      <c r="AC388" s="49">
        <f>IF(OR($AE388&lt;&gt;1,AC$1=""),"",SUMIFS('All Donations'!$S$2:$S$4001,'All Donations'!$R$2:$R$4001,$AD388,'All Donations'!$T$2:$T$4001,AC$1))</f>
        <v/>
      </c>
      <c r="AD388">
        <f>IF(AE388=1,'Roster'!A388,"")</f>
        <v/>
      </c>
      <c r="AE388">
        <f>IF(TRIM('Roster'!B388&amp;'Roster'!C388)&lt;&gt;"",1,0)</f>
        <v/>
      </c>
      <c r="AF388">
        <f>IF(AE388=1,LOWER(A388),"#")</f>
        <v/>
      </c>
      <c r="AG388">
        <f>IF(AE388=1,LOWER(TRIM(TRIM('Roster'!C388)&amp;", "&amp;TRIM('Roster'!B388))),"#")</f>
        <v/>
      </c>
      <c r="AH388">
        <f>IF(AND(AE388=1,TRIM('Roster'!F388)&lt;&gt;""),LOWER(TRIM('Roster'!F388)),"#")</f>
        <v/>
      </c>
      <c r="AI388">
        <f>IF(AE388=1,IF(MATCH(B388,$B$2:$B$701,0)=ROW()-1,1,0),0)</f>
        <v/>
      </c>
      <c r="AJ388">
        <f>AJ387+AI388</f>
        <v/>
      </c>
      <c r="AK388">
        <f>IF(AE388=1,D388+(1000-ROW())/10^7,-1)</f>
        <v/>
      </c>
      <c r="AL388">
        <f>IF(AE388=1,TRIM('Roster'!B388)&amp;" "&amp;LEFT(TRIM('Roster'!C388),1)&amp;".","")</f>
        <v/>
      </c>
      <c r="AM388">
        <f>IF(AE388=1,TRIM('Roster'!C388)&amp;", "&amp;TRIM('Roster'!B388)&amp;" ("&amp;B388&amp;") #"&amp;AD388,"")</f>
        <v/>
      </c>
      <c r="AN388">
        <f>IF(AE388=1,TRIM('Roster'!E388),"")</f>
        <v/>
      </c>
      <c r="AO388">
        <f>IF(AE388=1,ROUND(SUMIFS('All Donations'!$S$2:$S$4001,'All Donations'!$R$2:$R$4001,AD388,'All Donations'!$T$2:$T$4001,"&gt;="&amp;'Settings'!$C$23,'All Donations'!$T$2:$T$4001,"&lt;="&amp;'Settings'!$D$23),2),0)</f>
        <v/>
      </c>
      <c r="AQ388">
        <f>IF(AE388=1,ROUND(SUMIFS('All Donations'!$S$2:$S$4001,'All Donations'!$R$2:$R$4001,AD388,'All Donations'!$T$2:$T$4001,"&gt;="&amp;'Settings'!$C$25,'All Donations'!$T$2:$T$4001,"&lt;="&amp;'Settings'!$D$25),2),0)</f>
        <v/>
      </c>
      <c r="AR388">
        <f>IF(AE388=1,ROUND(SUMIFS('All Donations'!$S$2:$S$4001,'All Donations'!$R$2:$R$4001,AD388,'All Donations'!$T$2:$T$4001,"&gt;="&amp;'Settings'!$C$26,'All Donations'!$T$2:$T$4001,"&lt;="&amp;'Settings'!$D$26),2),0)</f>
        <v/>
      </c>
      <c r="AS388">
        <f>IF(AE388=1,ROUND(SUMIFS('All Donations'!$S$2:$S$4001,'All Donations'!$R$2:$R$4001,AD388,'All Donations'!$T$2:$T$4001,"&lt;="&amp;'Settings'!$D$27),2),0)</f>
        <v/>
      </c>
      <c r="AT388">
        <f>IF(AE388=1,ROUND(SUMIFS('All Donations'!$S$2:$S$4001,'All Donations'!$R$2:$R$4001,AD388,'All Donations'!$T$2:$T$4001,"&gt;="&amp;'Settings'!$C$28,'All Donations'!$T$2:$T$4001,"&lt;="&amp;'Settings'!$D$28),2),0)</f>
        <v/>
      </c>
      <c r="AU388">
        <f>IF(AE388=1,ROUND(SUMIFS('All Donations'!$S$2:$S$4001,'All Donations'!$R$2:$R$4001,AD388,'All Donations'!$T$2:$T$4001,"&gt;="&amp;'Settings'!$C$29,'All Donations'!$T$2:$T$4001,"&lt;="&amp;'Settings'!$D$29),2),0)</f>
        <v/>
      </c>
      <c r="AV388">
        <f>IF(AE388=1,ROUND(SUMIFS('All Donations'!$S$2:$S$4001,'All Donations'!$R$2:$R$4001,AD388,'All Donations'!$T$2:$T$4001,"&lt;="&amp;'Settings'!$D$30),2),0)</f>
        <v/>
      </c>
      <c r="AZ388">
        <f>IF(AE388=1,ROUND(SUMIFS('All Donations'!$S$2:$S$4001,'All Donations'!$R$2:$R$4001,AD388,'All Donations'!$T$2:$T$4001,"&lt;="&amp;'Settings'!$D$34),2),0)</f>
        <v/>
      </c>
    </row>
    <row r="389">
      <c r="A389">
        <f>IF(AE389=1,TRIM(TRIM('Roster'!B389)&amp;" "&amp;TRIM('Roster'!C389)),"")</f>
        <v/>
      </c>
      <c r="B389">
        <f>IF(AE389=1,IF(AN389="","(no teacher)",AN389&amp;" – "&amp;C389),"")</f>
        <v/>
      </c>
      <c r="C389">
        <f>IF(AE389=1,TRIM('Roster'!D389&amp;""),"")</f>
        <v/>
      </c>
      <c r="D389" s="48">
        <f>IF(AE389=1,ROUND(SUMIFS('All Donations'!$S$2:$S$4001,'All Donations'!$R$2:$R$4001,AD389),2),"")</f>
        <v/>
      </c>
      <c r="E389" s="48">
        <f>IF(AE389=1,ROUND(SUMIFS('All Donations'!$S$2:$S$4001,'All Donations'!$R$2:$R$4001,AD389,'All Donations'!$G$2:$G$4001,"OneCause"),2),"")</f>
        <v/>
      </c>
      <c r="F389" s="48">
        <f>IF(AE389=1,D389-E389,"")</f>
        <v/>
      </c>
      <c r="G389">
        <f>IF(AE389=1,COUNTIFS('All Donations'!$R$2:$R$4001,AD389,'All Donations'!$H$2:$H$4001,"OK"),"")</f>
        <v/>
      </c>
      <c r="H389">
        <f>IF(AE389&lt;&gt;1,"",IF(D389&gt;0,"Yes",""))</f>
        <v/>
      </c>
      <c r="I389" s="49">
        <f>IF(OR($AE389&lt;&gt;1,I$1=""),"",SUMIFS('All Donations'!$S$2:$S$4001,'All Donations'!$R$2:$R$4001,$AD389,'All Donations'!$T$2:$T$4001,I$1))</f>
        <v/>
      </c>
      <c r="J389" s="49">
        <f>IF(OR($AE389&lt;&gt;1,J$1=""),"",SUMIFS('All Donations'!$S$2:$S$4001,'All Donations'!$R$2:$R$4001,$AD389,'All Donations'!$T$2:$T$4001,J$1))</f>
        <v/>
      </c>
      <c r="K389" s="49">
        <f>IF(OR($AE389&lt;&gt;1,K$1=""),"",SUMIFS('All Donations'!$S$2:$S$4001,'All Donations'!$R$2:$R$4001,$AD389,'All Donations'!$T$2:$T$4001,K$1))</f>
        <v/>
      </c>
      <c r="L389" s="49">
        <f>IF(OR($AE389&lt;&gt;1,L$1=""),"",SUMIFS('All Donations'!$S$2:$S$4001,'All Donations'!$R$2:$R$4001,$AD389,'All Donations'!$T$2:$T$4001,L$1))</f>
        <v/>
      </c>
      <c r="M389" s="49">
        <f>IF(OR($AE389&lt;&gt;1,M$1=""),"",SUMIFS('All Donations'!$S$2:$S$4001,'All Donations'!$R$2:$R$4001,$AD389,'All Donations'!$T$2:$T$4001,M$1))</f>
        <v/>
      </c>
      <c r="N389" s="49">
        <f>IF(OR($AE389&lt;&gt;1,N$1=""),"",SUMIFS('All Donations'!$S$2:$S$4001,'All Donations'!$R$2:$R$4001,$AD389,'All Donations'!$T$2:$T$4001,N$1))</f>
        <v/>
      </c>
      <c r="O389" s="49">
        <f>IF(OR($AE389&lt;&gt;1,O$1=""),"",SUMIFS('All Donations'!$S$2:$S$4001,'All Donations'!$R$2:$R$4001,$AD389,'All Donations'!$T$2:$T$4001,O$1))</f>
        <v/>
      </c>
      <c r="P389" s="49">
        <f>IF(OR($AE389&lt;&gt;1,P$1=""),"",SUMIFS('All Donations'!$S$2:$S$4001,'All Donations'!$R$2:$R$4001,$AD389,'All Donations'!$T$2:$T$4001,P$1))</f>
        <v/>
      </c>
      <c r="Q389" s="49">
        <f>IF(OR($AE389&lt;&gt;1,Q$1=""),"",SUMIFS('All Donations'!$S$2:$S$4001,'All Donations'!$R$2:$R$4001,$AD389,'All Donations'!$T$2:$T$4001,Q$1))</f>
        <v/>
      </c>
      <c r="R389" s="49">
        <f>IF(OR($AE389&lt;&gt;1,R$1=""),"",SUMIFS('All Donations'!$S$2:$S$4001,'All Donations'!$R$2:$R$4001,$AD389,'All Donations'!$T$2:$T$4001,R$1))</f>
        <v/>
      </c>
      <c r="S389" s="49">
        <f>IF(OR($AE389&lt;&gt;1,S$1=""),"",SUMIFS('All Donations'!$S$2:$S$4001,'All Donations'!$R$2:$R$4001,$AD389,'All Donations'!$T$2:$T$4001,S$1))</f>
        <v/>
      </c>
      <c r="T389" s="49">
        <f>IF(OR($AE389&lt;&gt;1,T$1=""),"",SUMIFS('All Donations'!$S$2:$S$4001,'All Donations'!$R$2:$R$4001,$AD389,'All Donations'!$T$2:$T$4001,T$1))</f>
        <v/>
      </c>
      <c r="U389" s="49">
        <f>IF(OR($AE389&lt;&gt;1,U$1=""),"",SUMIFS('All Donations'!$S$2:$S$4001,'All Donations'!$R$2:$R$4001,$AD389,'All Donations'!$T$2:$T$4001,U$1))</f>
        <v/>
      </c>
      <c r="V389" s="49">
        <f>IF(OR($AE389&lt;&gt;1,V$1=""),"",SUMIFS('All Donations'!$S$2:$S$4001,'All Donations'!$R$2:$R$4001,$AD389,'All Donations'!$T$2:$T$4001,V$1))</f>
        <v/>
      </c>
      <c r="W389" s="49">
        <f>IF(OR($AE389&lt;&gt;1,W$1=""),"",SUMIFS('All Donations'!$S$2:$S$4001,'All Donations'!$R$2:$R$4001,$AD389,'All Donations'!$T$2:$T$4001,W$1))</f>
        <v/>
      </c>
      <c r="X389" s="49">
        <f>IF(OR($AE389&lt;&gt;1,X$1=""),"",SUMIFS('All Donations'!$S$2:$S$4001,'All Donations'!$R$2:$R$4001,$AD389,'All Donations'!$T$2:$T$4001,X$1))</f>
        <v/>
      </c>
      <c r="Y389" s="49">
        <f>IF(OR($AE389&lt;&gt;1,Y$1=""),"",SUMIFS('All Donations'!$S$2:$S$4001,'All Donations'!$R$2:$R$4001,$AD389,'All Donations'!$T$2:$T$4001,Y$1))</f>
        <v/>
      </c>
      <c r="Z389" s="49">
        <f>IF(OR($AE389&lt;&gt;1,Z$1=""),"",SUMIFS('All Donations'!$S$2:$S$4001,'All Donations'!$R$2:$R$4001,$AD389,'All Donations'!$T$2:$T$4001,Z$1))</f>
        <v/>
      </c>
      <c r="AA389" s="49">
        <f>IF(OR($AE389&lt;&gt;1,AA$1=""),"",SUMIFS('All Donations'!$S$2:$S$4001,'All Donations'!$R$2:$R$4001,$AD389,'All Donations'!$T$2:$T$4001,AA$1))</f>
        <v/>
      </c>
      <c r="AB389" s="49">
        <f>IF(OR($AE389&lt;&gt;1,AB$1=""),"",SUMIFS('All Donations'!$S$2:$S$4001,'All Donations'!$R$2:$R$4001,$AD389,'All Donations'!$T$2:$T$4001,AB$1))</f>
        <v/>
      </c>
      <c r="AC389" s="49">
        <f>IF(OR($AE389&lt;&gt;1,AC$1=""),"",SUMIFS('All Donations'!$S$2:$S$4001,'All Donations'!$R$2:$R$4001,$AD389,'All Donations'!$T$2:$T$4001,AC$1))</f>
        <v/>
      </c>
      <c r="AD389">
        <f>IF(AE389=1,'Roster'!A389,"")</f>
        <v/>
      </c>
      <c r="AE389">
        <f>IF(TRIM('Roster'!B389&amp;'Roster'!C389)&lt;&gt;"",1,0)</f>
        <v/>
      </c>
      <c r="AF389">
        <f>IF(AE389=1,LOWER(A389),"#")</f>
        <v/>
      </c>
      <c r="AG389">
        <f>IF(AE389=1,LOWER(TRIM(TRIM('Roster'!C389)&amp;", "&amp;TRIM('Roster'!B389))),"#")</f>
        <v/>
      </c>
      <c r="AH389">
        <f>IF(AND(AE389=1,TRIM('Roster'!F389)&lt;&gt;""),LOWER(TRIM('Roster'!F389)),"#")</f>
        <v/>
      </c>
      <c r="AI389">
        <f>IF(AE389=1,IF(MATCH(B389,$B$2:$B$701,0)=ROW()-1,1,0),0)</f>
        <v/>
      </c>
      <c r="AJ389">
        <f>AJ388+AI389</f>
        <v/>
      </c>
      <c r="AK389">
        <f>IF(AE389=1,D389+(1000-ROW())/10^7,-1)</f>
        <v/>
      </c>
      <c r="AL389">
        <f>IF(AE389=1,TRIM('Roster'!B389)&amp;" "&amp;LEFT(TRIM('Roster'!C389),1)&amp;".","")</f>
        <v/>
      </c>
      <c r="AM389">
        <f>IF(AE389=1,TRIM('Roster'!C389)&amp;", "&amp;TRIM('Roster'!B389)&amp;" ("&amp;B389&amp;") #"&amp;AD389,"")</f>
        <v/>
      </c>
      <c r="AN389">
        <f>IF(AE389=1,TRIM('Roster'!E389),"")</f>
        <v/>
      </c>
      <c r="AO389">
        <f>IF(AE389=1,ROUND(SUMIFS('All Donations'!$S$2:$S$4001,'All Donations'!$R$2:$R$4001,AD389,'All Donations'!$T$2:$T$4001,"&gt;="&amp;'Settings'!$C$23,'All Donations'!$T$2:$T$4001,"&lt;="&amp;'Settings'!$D$23),2),0)</f>
        <v/>
      </c>
      <c r="AQ389">
        <f>IF(AE389=1,ROUND(SUMIFS('All Donations'!$S$2:$S$4001,'All Donations'!$R$2:$R$4001,AD389,'All Donations'!$T$2:$T$4001,"&gt;="&amp;'Settings'!$C$25,'All Donations'!$T$2:$T$4001,"&lt;="&amp;'Settings'!$D$25),2),0)</f>
        <v/>
      </c>
      <c r="AR389">
        <f>IF(AE389=1,ROUND(SUMIFS('All Donations'!$S$2:$S$4001,'All Donations'!$R$2:$R$4001,AD389,'All Donations'!$T$2:$T$4001,"&gt;="&amp;'Settings'!$C$26,'All Donations'!$T$2:$T$4001,"&lt;="&amp;'Settings'!$D$26),2),0)</f>
        <v/>
      </c>
      <c r="AS389">
        <f>IF(AE389=1,ROUND(SUMIFS('All Donations'!$S$2:$S$4001,'All Donations'!$R$2:$R$4001,AD389,'All Donations'!$T$2:$T$4001,"&lt;="&amp;'Settings'!$D$27),2),0)</f>
        <v/>
      </c>
      <c r="AT389">
        <f>IF(AE389=1,ROUND(SUMIFS('All Donations'!$S$2:$S$4001,'All Donations'!$R$2:$R$4001,AD389,'All Donations'!$T$2:$T$4001,"&gt;="&amp;'Settings'!$C$28,'All Donations'!$T$2:$T$4001,"&lt;="&amp;'Settings'!$D$28),2),0)</f>
        <v/>
      </c>
      <c r="AU389">
        <f>IF(AE389=1,ROUND(SUMIFS('All Donations'!$S$2:$S$4001,'All Donations'!$R$2:$R$4001,AD389,'All Donations'!$T$2:$T$4001,"&gt;="&amp;'Settings'!$C$29,'All Donations'!$T$2:$T$4001,"&lt;="&amp;'Settings'!$D$29),2),0)</f>
        <v/>
      </c>
      <c r="AV389">
        <f>IF(AE389=1,ROUND(SUMIFS('All Donations'!$S$2:$S$4001,'All Donations'!$R$2:$R$4001,AD389,'All Donations'!$T$2:$T$4001,"&lt;="&amp;'Settings'!$D$30),2),0)</f>
        <v/>
      </c>
      <c r="AZ389">
        <f>IF(AE389=1,ROUND(SUMIFS('All Donations'!$S$2:$S$4001,'All Donations'!$R$2:$R$4001,AD389,'All Donations'!$T$2:$T$4001,"&lt;="&amp;'Settings'!$D$34),2),0)</f>
        <v/>
      </c>
    </row>
    <row r="390">
      <c r="A390">
        <f>IF(AE390=1,TRIM(TRIM('Roster'!B390)&amp;" "&amp;TRIM('Roster'!C390)),"")</f>
        <v/>
      </c>
      <c r="B390">
        <f>IF(AE390=1,IF(AN390="","(no teacher)",AN390&amp;" – "&amp;C390),"")</f>
        <v/>
      </c>
      <c r="C390">
        <f>IF(AE390=1,TRIM('Roster'!D390&amp;""),"")</f>
        <v/>
      </c>
      <c r="D390" s="48">
        <f>IF(AE390=1,ROUND(SUMIFS('All Donations'!$S$2:$S$4001,'All Donations'!$R$2:$R$4001,AD390),2),"")</f>
        <v/>
      </c>
      <c r="E390" s="48">
        <f>IF(AE390=1,ROUND(SUMIFS('All Donations'!$S$2:$S$4001,'All Donations'!$R$2:$R$4001,AD390,'All Donations'!$G$2:$G$4001,"OneCause"),2),"")</f>
        <v/>
      </c>
      <c r="F390" s="48">
        <f>IF(AE390=1,D390-E390,"")</f>
        <v/>
      </c>
      <c r="G390">
        <f>IF(AE390=1,COUNTIFS('All Donations'!$R$2:$R$4001,AD390,'All Donations'!$H$2:$H$4001,"OK"),"")</f>
        <v/>
      </c>
      <c r="H390">
        <f>IF(AE390&lt;&gt;1,"",IF(D390&gt;0,"Yes",""))</f>
        <v/>
      </c>
      <c r="I390" s="49">
        <f>IF(OR($AE390&lt;&gt;1,I$1=""),"",SUMIFS('All Donations'!$S$2:$S$4001,'All Donations'!$R$2:$R$4001,$AD390,'All Donations'!$T$2:$T$4001,I$1))</f>
        <v/>
      </c>
      <c r="J390" s="49">
        <f>IF(OR($AE390&lt;&gt;1,J$1=""),"",SUMIFS('All Donations'!$S$2:$S$4001,'All Donations'!$R$2:$R$4001,$AD390,'All Donations'!$T$2:$T$4001,J$1))</f>
        <v/>
      </c>
      <c r="K390" s="49">
        <f>IF(OR($AE390&lt;&gt;1,K$1=""),"",SUMIFS('All Donations'!$S$2:$S$4001,'All Donations'!$R$2:$R$4001,$AD390,'All Donations'!$T$2:$T$4001,K$1))</f>
        <v/>
      </c>
      <c r="L390" s="49">
        <f>IF(OR($AE390&lt;&gt;1,L$1=""),"",SUMIFS('All Donations'!$S$2:$S$4001,'All Donations'!$R$2:$R$4001,$AD390,'All Donations'!$T$2:$T$4001,L$1))</f>
        <v/>
      </c>
      <c r="M390" s="49">
        <f>IF(OR($AE390&lt;&gt;1,M$1=""),"",SUMIFS('All Donations'!$S$2:$S$4001,'All Donations'!$R$2:$R$4001,$AD390,'All Donations'!$T$2:$T$4001,M$1))</f>
        <v/>
      </c>
      <c r="N390" s="49">
        <f>IF(OR($AE390&lt;&gt;1,N$1=""),"",SUMIFS('All Donations'!$S$2:$S$4001,'All Donations'!$R$2:$R$4001,$AD390,'All Donations'!$T$2:$T$4001,N$1))</f>
        <v/>
      </c>
      <c r="O390" s="49">
        <f>IF(OR($AE390&lt;&gt;1,O$1=""),"",SUMIFS('All Donations'!$S$2:$S$4001,'All Donations'!$R$2:$R$4001,$AD390,'All Donations'!$T$2:$T$4001,O$1))</f>
        <v/>
      </c>
      <c r="P390" s="49">
        <f>IF(OR($AE390&lt;&gt;1,P$1=""),"",SUMIFS('All Donations'!$S$2:$S$4001,'All Donations'!$R$2:$R$4001,$AD390,'All Donations'!$T$2:$T$4001,P$1))</f>
        <v/>
      </c>
      <c r="Q390" s="49">
        <f>IF(OR($AE390&lt;&gt;1,Q$1=""),"",SUMIFS('All Donations'!$S$2:$S$4001,'All Donations'!$R$2:$R$4001,$AD390,'All Donations'!$T$2:$T$4001,Q$1))</f>
        <v/>
      </c>
      <c r="R390" s="49">
        <f>IF(OR($AE390&lt;&gt;1,R$1=""),"",SUMIFS('All Donations'!$S$2:$S$4001,'All Donations'!$R$2:$R$4001,$AD390,'All Donations'!$T$2:$T$4001,R$1))</f>
        <v/>
      </c>
      <c r="S390" s="49">
        <f>IF(OR($AE390&lt;&gt;1,S$1=""),"",SUMIFS('All Donations'!$S$2:$S$4001,'All Donations'!$R$2:$R$4001,$AD390,'All Donations'!$T$2:$T$4001,S$1))</f>
        <v/>
      </c>
      <c r="T390" s="49">
        <f>IF(OR($AE390&lt;&gt;1,T$1=""),"",SUMIFS('All Donations'!$S$2:$S$4001,'All Donations'!$R$2:$R$4001,$AD390,'All Donations'!$T$2:$T$4001,T$1))</f>
        <v/>
      </c>
      <c r="U390" s="49">
        <f>IF(OR($AE390&lt;&gt;1,U$1=""),"",SUMIFS('All Donations'!$S$2:$S$4001,'All Donations'!$R$2:$R$4001,$AD390,'All Donations'!$T$2:$T$4001,U$1))</f>
        <v/>
      </c>
      <c r="V390" s="49">
        <f>IF(OR($AE390&lt;&gt;1,V$1=""),"",SUMIFS('All Donations'!$S$2:$S$4001,'All Donations'!$R$2:$R$4001,$AD390,'All Donations'!$T$2:$T$4001,V$1))</f>
        <v/>
      </c>
      <c r="W390" s="49">
        <f>IF(OR($AE390&lt;&gt;1,W$1=""),"",SUMIFS('All Donations'!$S$2:$S$4001,'All Donations'!$R$2:$R$4001,$AD390,'All Donations'!$T$2:$T$4001,W$1))</f>
        <v/>
      </c>
      <c r="X390" s="49">
        <f>IF(OR($AE390&lt;&gt;1,X$1=""),"",SUMIFS('All Donations'!$S$2:$S$4001,'All Donations'!$R$2:$R$4001,$AD390,'All Donations'!$T$2:$T$4001,X$1))</f>
        <v/>
      </c>
      <c r="Y390" s="49">
        <f>IF(OR($AE390&lt;&gt;1,Y$1=""),"",SUMIFS('All Donations'!$S$2:$S$4001,'All Donations'!$R$2:$R$4001,$AD390,'All Donations'!$T$2:$T$4001,Y$1))</f>
        <v/>
      </c>
      <c r="Z390" s="49">
        <f>IF(OR($AE390&lt;&gt;1,Z$1=""),"",SUMIFS('All Donations'!$S$2:$S$4001,'All Donations'!$R$2:$R$4001,$AD390,'All Donations'!$T$2:$T$4001,Z$1))</f>
        <v/>
      </c>
      <c r="AA390" s="49">
        <f>IF(OR($AE390&lt;&gt;1,AA$1=""),"",SUMIFS('All Donations'!$S$2:$S$4001,'All Donations'!$R$2:$R$4001,$AD390,'All Donations'!$T$2:$T$4001,AA$1))</f>
        <v/>
      </c>
      <c r="AB390" s="49">
        <f>IF(OR($AE390&lt;&gt;1,AB$1=""),"",SUMIFS('All Donations'!$S$2:$S$4001,'All Donations'!$R$2:$R$4001,$AD390,'All Donations'!$T$2:$T$4001,AB$1))</f>
        <v/>
      </c>
      <c r="AC390" s="49">
        <f>IF(OR($AE390&lt;&gt;1,AC$1=""),"",SUMIFS('All Donations'!$S$2:$S$4001,'All Donations'!$R$2:$R$4001,$AD390,'All Donations'!$T$2:$T$4001,AC$1))</f>
        <v/>
      </c>
      <c r="AD390">
        <f>IF(AE390=1,'Roster'!A390,"")</f>
        <v/>
      </c>
      <c r="AE390">
        <f>IF(TRIM('Roster'!B390&amp;'Roster'!C390)&lt;&gt;"",1,0)</f>
        <v/>
      </c>
      <c r="AF390">
        <f>IF(AE390=1,LOWER(A390),"#")</f>
        <v/>
      </c>
      <c r="AG390">
        <f>IF(AE390=1,LOWER(TRIM(TRIM('Roster'!C390)&amp;", "&amp;TRIM('Roster'!B390))),"#")</f>
        <v/>
      </c>
      <c r="AH390">
        <f>IF(AND(AE390=1,TRIM('Roster'!F390)&lt;&gt;""),LOWER(TRIM('Roster'!F390)),"#")</f>
        <v/>
      </c>
      <c r="AI390">
        <f>IF(AE390=1,IF(MATCH(B390,$B$2:$B$701,0)=ROW()-1,1,0),0)</f>
        <v/>
      </c>
      <c r="AJ390">
        <f>AJ389+AI390</f>
        <v/>
      </c>
      <c r="AK390">
        <f>IF(AE390=1,D390+(1000-ROW())/10^7,-1)</f>
        <v/>
      </c>
      <c r="AL390">
        <f>IF(AE390=1,TRIM('Roster'!B390)&amp;" "&amp;LEFT(TRIM('Roster'!C390),1)&amp;".","")</f>
        <v/>
      </c>
      <c r="AM390">
        <f>IF(AE390=1,TRIM('Roster'!C390)&amp;", "&amp;TRIM('Roster'!B390)&amp;" ("&amp;B390&amp;") #"&amp;AD390,"")</f>
        <v/>
      </c>
      <c r="AN390">
        <f>IF(AE390=1,TRIM('Roster'!E390),"")</f>
        <v/>
      </c>
      <c r="AO390">
        <f>IF(AE390=1,ROUND(SUMIFS('All Donations'!$S$2:$S$4001,'All Donations'!$R$2:$R$4001,AD390,'All Donations'!$T$2:$T$4001,"&gt;="&amp;'Settings'!$C$23,'All Donations'!$T$2:$T$4001,"&lt;="&amp;'Settings'!$D$23),2),0)</f>
        <v/>
      </c>
      <c r="AQ390">
        <f>IF(AE390=1,ROUND(SUMIFS('All Donations'!$S$2:$S$4001,'All Donations'!$R$2:$R$4001,AD390,'All Donations'!$T$2:$T$4001,"&gt;="&amp;'Settings'!$C$25,'All Donations'!$T$2:$T$4001,"&lt;="&amp;'Settings'!$D$25),2),0)</f>
        <v/>
      </c>
      <c r="AR390">
        <f>IF(AE390=1,ROUND(SUMIFS('All Donations'!$S$2:$S$4001,'All Donations'!$R$2:$R$4001,AD390,'All Donations'!$T$2:$T$4001,"&gt;="&amp;'Settings'!$C$26,'All Donations'!$T$2:$T$4001,"&lt;="&amp;'Settings'!$D$26),2),0)</f>
        <v/>
      </c>
      <c r="AS390">
        <f>IF(AE390=1,ROUND(SUMIFS('All Donations'!$S$2:$S$4001,'All Donations'!$R$2:$R$4001,AD390,'All Donations'!$T$2:$T$4001,"&lt;="&amp;'Settings'!$D$27),2),0)</f>
        <v/>
      </c>
      <c r="AT390">
        <f>IF(AE390=1,ROUND(SUMIFS('All Donations'!$S$2:$S$4001,'All Donations'!$R$2:$R$4001,AD390,'All Donations'!$T$2:$T$4001,"&gt;="&amp;'Settings'!$C$28,'All Donations'!$T$2:$T$4001,"&lt;="&amp;'Settings'!$D$28),2),0)</f>
        <v/>
      </c>
      <c r="AU390">
        <f>IF(AE390=1,ROUND(SUMIFS('All Donations'!$S$2:$S$4001,'All Donations'!$R$2:$R$4001,AD390,'All Donations'!$T$2:$T$4001,"&gt;="&amp;'Settings'!$C$29,'All Donations'!$T$2:$T$4001,"&lt;="&amp;'Settings'!$D$29),2),0)</f>
        <v/>
      </c>
      <c r="AV390">
        <f>IF(AE390=1,ROUND(SUMIFS('All Donations'!$S$2:$S$4001,'All Donations'!$R$2:$R$4001,AD390,'All Donations'!$T$2:$T$4001,"&lt;="&amp;'Settings'!$D$30),2),0)</f>
        <v/>
      </c>
      <c r="AZ390">
        <f>IF(AE390=1,ROUND(SUMIFS('All Donations'!$S$2:$S$4001,'All Donations'!$R$2:$R$4001,AD390,'All Donations'!$T$2:$T$4001,"&lt;="&amp;'Settings'!$D$34),2),0)</f>
        <v/>
      </c>
    </row>
    <row r="391">
      <c r="A391">
        <f>IF(AE391=1,TRIM(TRIM('Roster'!B391)&amp;" "&amp;TRIM('Roster'!C391)),"")</f>
        <v/>
      </c>
      <c r="B391">
        <f>IF(AE391=1,IF(AN391="","(no teacher)",AN391&amp;" – "&amp;C391),"")</f>
        <v/>
      </c>
      <c r="C391">
        <f>IF(AE391=1,TRIM('Roster'!D391&amp;""),"")</f>
        <v/>
      </c>
      <c r="D391" s="48">
        <f>IF(AE391=1,ROUND(SUMIFS('All Donations'!$S$2:$S$4001,'All Donations'!$R$2:$R$4001,AD391),2),"")</f>
        <v/>
      </c>
      <c r="E391" s="48">
        <f>IF(AE391=1,ROUND(SUMIFS('All Donations'!$S$2:$S$4001,'All Donations'!$R$2:$R$4001,AD391,'All Donations'!$G$2:$G$4001,"OneCause"),2),"")</f>
        <v/>
      </c>
      <c r="F391" s="48">
        <f>IF(AE391=1,D391-E391,"")</f>
        <v/>
      </c>
      <c r="G391">
        <f>IF(AE391=1,COUNTIFS('All Donations'!$R$2:$R$4001,AD391,'All Donations'!$H$2:$H$4001,"OK"),"")</f>
        <v/>
      </c>
      <c r="H391">
        <f>IF(AE391&lt;&gt;1,"",IF(D391&gt;0,"Yes",""))</f>
        <v/>
      </c>
      <c r="I391" s="49">
        <f>IF(OR($AE391&lt;&gt;1,I$1=""),"",SUMIFS('All Donations'!$S$2:$S$4001,'All Donations'!$R$2:$R$4001,$AD391,'All Donations'!$T$2:$T$4001,I$1))</f>
        <v/>
      </c>
      <c r="J391" s="49">
        <f>IF(OR($AE391&lt;&gt;1,J$1=""),"",SUMIFS('All Donations'!$S$2:$S$4001,'All Donations'!$R$2:$R$4001,$AD391,'All Donations'!$T$2:$T$4001,J$1))</f>
        <v/>
      </c>
      <c r="K391" s="49">
        <f>IF(OR($AE391&lt;&gt;1,K$1=""),"",SUMIFS('All Donations'!$S$2:$S$4001,'All Donations'!$R$2:$R$4001,$AD391,'All Donations'!$T$2:$T$4001,K$1))</f>
        <v/>
      </c>
      <c r="L391" s="49">
        <f>IF(OR($AE391&lt;&gt;1,L$1=""),"",SUMIFS('All Donations'!$S$2:$S$4001,'All Donations'!$R$2:$R$4001,$AD391,'All Donations'!$T$2:$T$4001,L$1))</f>
        <v/>
      </c>
      <c r="M391" s="49">
        <f>IF(OR($AE391&lt;&gt;1,M$1=""),"",SUMIFS('All Donations'!$S$2:$S$4001,'All Donations'!$R$2:$R$4001,$AD391,'All Donations'!$T$2:$T$4001,M$1))</f>
        <v/>
      </c>
      <c r="N391" s="49">
        <f>IF(OR($AE391&lt;&gt;1,N$1=""),"",SUMIFS('All Donations'!$S$2:$S$4001,'All Donations'!$R$2:$R$4001,$AD391,'All Donations'!$T$2:$T$4001,N$1))</f>
        <v/>
      </c>
      <c r="O391" s="49">
        <f>IF(OR($AE391&lt;&gt;1,O$1=""),"",SUMIFS('All Donations'!$S$2:$S$4001,'All Donations'!$R$2:$R$4001,$AD391,'All Donations'!$T$2:$T$4001,O$1))</f>
        <v/>
      </c>
      <c r="P391" s="49">
        <f>IF(OR($AE391&lt;&gt;1,P$1=""),"",SUMIFS('All Donations'!$S$2:$S$4001,'All Donations'!$R$2:$R$4001,$AD391,'All Donations'!$T$2:$T$4001,P$1))</f>
        <v/>
      </c>
      <c r="Q391" s="49">
        <f>IF(OR($AE391&lt;&gt;1,Q$1=""),"",SUMIFS('All Donations'!$S$2:$S$4001,'All Donations'!$R$2:$R$4001,$AD391,'All Donations'!$T$2:$T$4001,Q$1))</f>
        <v/>
      </c>
      <c r="R391" s="49">
        <f>IF(OR($AE391&lt;&gt;1,R$1=""),"",SUMIFS('All Donations'!$S$2:$S$4001,'All Donations'!$R$2:$R$4001,$AD391,'All Donations'!$T$2:$T$4001,R$1))</f>
        <v/>
      </c>
      <c r="S391" s="49">
        <f>IF(OR($AE391&lt;&gt;1,S$1=""),"",SUMIFS('All Donations'!$S$2:$S$4001,'All Donations'!$R$2:$R$4001,$AD391,'All Donations'!$T$2:$T$4001,S$1))</f>
        <v/>
      </c>
      <c r="T391" s="49">
        <f>IF(OR($AE391&lt;&gt;1,T$1=""),"",SUMIFS('All Donations'!$S$2:$S$4001,'All Donations'!$R$2:$R$4001,$AD391,'All Donations'!$T$2:$T$4001,T$1))</f>
        <v/>
      </c>
      <c r="U391" s="49">
        <f>IF(OR($AE391&lt;&gt;1,U$1=""),"",SUMIFS('All Donations'!$S$2:$S$4001,'All Donations'!$R$2:$R$4001,$AD391,'All Donations'!$T$2:$T$4001,U$1))</f>
        <v/>
      </c>
      <c r="V391" s="49">
        <f>IF(OR($AE391&lt;&gt;1,V$1=""),"",SUMIFS('All Donations'!$S$2:$S$4001,'All Donations'!$R$2:$R$4001,$AD391,'All Donations'!$T$2:$T$4001,V$1))</f>
        <v/>
      </c>
      <c r="W391" s="49">
        <f>IF(OR($AE391&lt;&gt;1,W$1=""),"",SUMIFS('All Donations'!$S$2:$S$4001,'All Donations'!$R$2:$R$4001,$AD391,'All Donations'!$T$2:$T$4001,W$1))</f>
        <v/>
      </c>
      <c r="X391" s="49">
        <f>IF(OR($AE391&lt;&gt;1,X$1=""),"",SUMIFS('All Donations'!$S$2:$S$4001,'All Donations'!$R$2:$R$4001,$AD391,'All Donations'!$T$2:$T$4001,X$1))</f>
        <v/>
      </c>
      <c r="Y391" s="49">
        <f>IF(OR($AE391&lt;&gt;1,Y$1=""),"",SUMIFS('All Donations'!$S$2:$S$4001,'All Donations'!$R$2:$R$4001,$AD391,'All Donations'!$T$2:$T$4001,Y$1))</f>
        <v/>
      </c>
      <c r="Z391" s="49">
        <f>IF(OR($AE391&lt;&gt;1,Z$1=""),"",SUMIFS('All Donations'!$S$2:$S$4001,'All Donations'!$R$2:$R$4001,$AD391,'All Donations'!$T$2:$T$4001,Z$1))</f>
        <v/>
      </c>
      <c r="AA391" s="49">
        <f>IF(OR($AE391&lt;&gt;1,AA$1=""),"",SUMIFS('All Donations'!$S$2:$S$4001,'All Donations'!$R$2:$R$4001,$AD391,'All Donations'!$T$2:$T$4001,AA$1))</f>
        <v/>
      </c>
      <c r="AB391" s="49">
        <f>IF(OR($AE391&lt;&gt;1,AB$1=""),"",SUMIFS('All Donations'!$S$2:$S$4001,'All Donations'!$R$2:$R$4001,$AD391,'All Donations'!$T$2:$T$4001,AB$1))</f>
        <v/>
      </c>
      <c r="AC391" s="49">
        <f>IF(OR($AE391&lt;&gt;1,AC$1=""),"",SUMIFS('All Donations'!$S$2:$S$4001,'All Donations'!$R$2:$R$4001,$AD391,'All Donations'!$T$2:$T$4001,AC$1))</f>
        <v/>
      </c>
      <c r="AD391">
        <f>IF(AE391=1,'Roster'!A391,"")</f>
        <v/>
      </c>
      <c r="AE391">
        <f>IF(TRIM('Roster'!B391&amp;'Roster'!C391)&lt;&gt;"",1,0)</f>
        <v/>
      </c>
      <c r="AF391">
        <f>IF(AE391=1,LOWER(A391),"#")</f>
        <v/>
      </c>
      <c r="AG391">
        <f>IF(AE391=1,LOWER(TRIM(TRIM('Roster'!C391)&amp;", "&amp;TRIM('Roster'!B391))),"#")</f>
        <v/>
      </c>
      <c r="AH391">
        <f>IF(AND(AE391=1,TRIM('Roster'!F391)&lt;&gt;""),LOWER(TRIM('Roster'!F391)),"#")</f>
        <v/>
      </c>
      <c r="AI391">
        <f>IF(AE391=1,IF(MATCH(B391,$B$2:$B$701,0)=ROW()-1,1,0),0)</f>
        <v/>
      </c>
      <c r="AJ391">
        <f>AJ390+AI391</f>
        <v/>
      </c>
      <c r="AK391">
        <f>IF(AE391=1,D391+(1000-ROW())/10^7,-1)</f>
        <v/>
      </c>
      <c r="AL391">
        <f>IF(AE391=1,TRIM('Roster'!B391)&amp;" "&amp;LEFT(TRIM('Roster'!C391),1)&amp;".","")</f>
        <v/>
      </c>
      <c r="AM391">
        <f>IF(AE391=1,TRIM('Roster'!C391)&amp;", "&amp;TRIM('Roster'!B391)&amp;" ("&amp;B391&amp;") #"&amp;AD391,"")</f>
        <v/>
      </c>
      <c r="AN391">
        <f>IF(AE391=1,TRIM('Roster'!E391),"")</f>
        <v/>
      </c>
      <c r="AO391">
        <f>IF(AE391=1,ROUND(SUMIFS('All Donations'!$S$2:$S$4001,'All Donations'!$R$2:$R$4001,AD391,'All Donations'!$T$2:$T$4001,"&gt;="&amp;'Settings'!$C$23,'All Donations'!$T$2:$T$4001,"&lt;="&amp;'Settings'!$D$23),2),0)</f>
        <v/>
      </c>
      <c r="AQ391">
        <f>IF(AE391=1,ROUND(SUMIFS('All Donations'!$S$2:$S$4001,'All Donations'!$R$2:$R$4001,AD391,'All Donations'!$T$2:$T$4001,"&gt;="&amp;'Settings'!$C$25,'All Donations'!$T$2:$T$4001,"&lt;="&amp;'Settings'!$D$25),2),0)</f>
        <v/>
      </c>
      <c r="AR391">
        <f>IF(AE391=1,ROUND(SUMIFS('All Donations'!$S$2:$S$4001,'All Donations'!$R$2:$R$4001,AD391,'All Donations'!$T$2:$T$4001,"&gt;="&amp;'Settings'!$C$26,'All Donations'!$T$2:$T$4001,"&lt;="&amp;'Settings'!$D$26),2),0)</f>
        <v/>
      </c>
      <c r="AS391">
        <f>IF(AE391=1,ROUND(SUMIFS('All Donations'!$S$2:$S$4001,'All Donations'!$R$2:$R$4001,AD391,'All Donations'!$T$2:$T$4001,"&lt;="&amp;'Settings'!$D$27),2),0)</f>
        <v/>
      </c>
      <c r="AT391">
        <f>IF(AE391=1,ROUND(SUMIFS('All Donations'!$S$2:$S$4001,'All Donations'!$R$2:$R$4001,AD391,'All Donations'!$T$2:$T$4001,"&gt;="&amp;'Settings'!$C$28,'All Donations'!$T$2:$T$4001,"&lt;="&amp;'Settings'!$D$28),2),0)</f>
        <v/>
      </c>
      <c r="AU391">
        <f>IF(AE391=1,ROUND(SUMIFS('All Donations'!$S$2:$S$4001,'All Donations'!$R$2:$R$4001,AD391,'All Donations'!$T$2:$T$4001,"&gt;="&amp;'Settings'!$C$29,'All Donations'!$T$2:$T$4001,"&lt;="&amp;'Settings'!$D$29),2),0)</f>
        <v/>
      </c>
      <c r="AV391">
        <f>IF(AE391=1,ROUND(SUMIFS('All Donations'!$S$2:$S$4001,'All Donations'!$R$2:$R$4001,AD391,'All Donations'!$T$2:$T$4001,"&lt;="&amp;'Settings'!$D$30),2),0)</f>
        <v/>
      </c>
      <c r="AZ391">
        <f>IF(AE391=1,ROUND(SUMIFS('All Donations'!$S$2:$S$4001,'All Donations'!$R$2:$R$4001,AD391,'All Donations'!$T$2:$T$4001,"&lt;="&amp;'Settings'!$D$34),2),0)</f>
        <v/>
      </c>
    </row>
    <row r="392">
      <c r="A392">
        <f>IF(AE392=1,TRIM(TRIM('Roster'!B392)&amp;" "&amp;TRIM('Roster'!C392)),"")</f>
        <v/>
      </c>
      <c r="B392">
        <f>IF(AE392=1,IF(AN392="","(no teacher)",AN392&amp;" – "&amp;C392),"")</f>
        <v/>
      </c>
      <c r="C392">
        <f>IF(AE392=1,TRIM('Roster'!D392&amp;""),"")</f>
        <v/>
      </c>
      <c r="D392" s="48">
        <f>IF(AE392=1,ROUND(SUMIFS('All Donations'!$S$2:$S$4001,'All Donations'!$R$2:$R$4001,AD392),2),"")</f>
        <v/>
      </c>
      <c r="E392" s="48">
        <f>IF(AE392=1,ROUND(SUMIFS('All Donations'!$S$2:$S$4001,'All Donations'!$R$2:$R$4001,AD392,'All Donations'!$G$2:$G$4001,"OneCause"),2),"")</f>
        <v/>
      </c>
      <c r="F392" s="48">
        <f>IF(AE392=1,D392-E392,"")</f>
        <v/>
      </c>
      <c r="G392">
        <f>IF(AE392=1,COUNTIFS('All Donations'!$R$2:$R$4001,AD392,'All Donations'!$H$2:$H$4001,"OK"),"")</f>
        <v/>
      </c>
      <c r="H392">
        <f>IF(AE392&lt;&gt;1,"",IF(D392&gt;0,"Yes",""))</f>
        <v/>
      </c>
      <c r="I392" s="49">
        <f>IF(OR($AE392&lt;&gt;1,I$1=""),"",SUMIFS('All Donations'!$S$2:$S$4001,'All Donations'!$R$2:$R$4001,$AD392,'All Donations'!$T$2:$T$4001,I$1))</f>
        <v/>
      </c>
      <c r="J392" s="49">
        <f>IF(OR($AE392&lt;&gt;1,J$1=""),"",SUMIFS('All Donations'!$S$2:$S$4001,'All Donations'!$R$2:$R$4001,$AD392,'All Donations'!$T$2:$T$4001,J$1))</f>
        <v/>
      </c>
      <c r="K392" s="49">
        <f>IF(OR($AE392&lt;&gt;1,K$1=""),"",SUMIFS('All Donations'!$S$2:$S$4001,'All Donations'!$R$2:$R$4001,$AD392,'All Donations'!$T$2:$T$4001,K$1))</f>
        <v/>
      </c>
      <c r="L392" s="49">
        <f>IF(OR($AE392&lt;&gt;1,L$1=""),"",SUMIFS('All Donations'!$S$2:$S$4001,'All Donations'!$R$2:$R$4001,$AD392,'All Donations'!$T$2:$T$4001,L$1))</f>
        <v/>
      </c>
      <c r="M392" s="49">
        <f>IF(OR($AE392&lt;&gt;1,M$1=""),"",SUMIFS('All Donations'!$S$2:$S$4001,'All Donations'!$R$2:$R$4001,$AD392,'All Donations'!$T$2:$T$4001,M$1))</f>
        <v/>
      </c>
      <c r="N392" s="49">
        <f>IF(OR($AE392&lt;&gt;1,N$1=""),"",SUMIFS('All Donations'!$S$2:$S$4001,'All Donations'!$R$2:$R$4001,$AD392,'All Donations'!$T$2:$T$4001,N$1))</f>
        <v/>
      </c>
      <c r="O392" s="49">
        <f>IF(OR($AE392&lt;&gt;1,O$1=""),"",SUMIFS('All Donations'!$S$2:$S$4001,'All Donations'!$R$2:$R$4001,$AD392,'All Donations'!$T$2:$T$4001,O$1))</f>
        <v/>
      </c>
      <c r="P392" s="49">
        <f>IF(OR($AE392&lt;&gt;1,P$1=""),"",SUMIFS('All Donations'!$S$2:$S$4001,'All Donations'!$R$2:$R$4001,$AD392,'All Donations'!$T$2:$T$4001,P$1))</f>
        <v/>
      </c>
      <c r="Q392" s="49">
        <f>IF(OR($AE392&lt;&gt;1,Q$1=""),"",SUMIFS('All Donations'!$S$2:$S$4001,'All Donations'!$R$2:$R$4001,$AD392,'All Donations'!$T$2:$T$4001,Q$1))</f>
        <v/>
      </c>
      <c r="R392" s="49">
        <f>IF(OR($AE392&lt;&gt;1,R$1=""),"",SUMIFS('All Donations'!$S$2:$S$4001,'All Donations'!$R$2:$R$4001,$AD392,'All Donations'!$T$2:$T$4001,R$1))</f>
        <v/>
      </c>
      <c r="S392" s="49">
        <f>IF(OR($AE392&lt;&gt;1,S$1=""),"",SUMIFS('All Donations'!$S$2:$S$4001,'All Donations'!$R$2:$R$4001,$AD392,'All Donations'!$T$2:$T$4001,S$1))</f>
        <v/>
      </c>
      <c r="T392" s="49">
        <f>IF(OR($AE392&lt;&gt;1,T$1=""),"",SUMIFS('All Donations'!$S$2:$S$4001,'All Donations'!$R$2:$R$4001,$AD392,'All Donations'!$T$2:$T$4001,T$1))</f>
        <v/>
      </c>
      <c r="U392" s="49">
        <f>IF(OR($AE392&lt;&gt;1,U$1=""),"",SUMIFS('All Donations'!$S$2:$S$4001,'All Donations'!$R$2:$R$4001,$AD392,'All Donations'!$T$2:$T$4001,U$1))</f>
        <v/>
      </c>
      <c r="V392" s="49">
        <f>IF(OR($AE392&lt;&gt;1,V$1=""),"",SUMIFS('All Donations'!$S$2:$S$4001,'All Donations'!$R$2:$R$4001,$AD392,'All Donations'!$T$2:$T$4001,V$1))</f>
        <v/>
      </c>
      <c r="W392" s="49">
        <f>IF(OR($AE392&lt;&gt;1,W$1=""),"",SUMIFS('All Donations'!$S$2:$S$4001,'All Donations'!$R$2:$R$4001,$AD392,'All Donations'!$T$2:$T$4001,W$1))</f>
        <v/>
      </c>
      <c r="X392" s="49">
        <f>IF(OR($AE392&lt;&gt;1,X$1=""),"",SUMIFS('All Donations'!$S$2:$S$4001,'All Donations'!$R$2:$R$4001,$AD392,'All Donations'!$T$2:$T$4001,X$1))</f>
        <v/>
      </c>
      <c r="Y392" s="49">
        <f>IF(OR($AE392&lt;&gt;1,Y$1=""),"",SUMIFS('All Donations'!$S$2:$S$4001,'All Donations'!$R$2:$R$4001,$AD392,'All Donations'!$T$2:$T$4001,Y$1))</f>
        <v/>
      </c>
      <c r="Z392" s="49">
        <f>IF(OR($AE392&lt;&gt;1,Z$1=""),"",SUMIFS('All Donations'!$S$2:$S$4001,'All Donations'!$R$2:$R$4001,$AD392,'All Donations'!$T$2:$T$4001,Z$1))</f>
        <v/>
      </c>
      <c r="AA392" s="49">
        <f>IF(OR($AE392&lt;&gt;1,AA$1=""),"",SUMIFS('All Donations'!$S$2:$S$4001,'All Donations'!$R$2:$R$4001,$AD392,'All Donations'!$T$2:$T$4001,AA$1))</f>
        <v/>
      </c>
      <c r="AB392" s="49">
        <f>IF(OR($AE392&lt;&gt;1,AB$1=""),"",SUMIFS('All Donations'!$S$2:$S$4001,'All Donations'!$R$2:$R$4001,$AD392,'All Donations'!$T$2:$T$4001,AB$1))</f>
        <v/>
      </c>
      <c r="AC392" s="49">
        <f>IF(OR($AE392&lt;&gt;1,AC$1=""),"",SUMIFS('All Donations'!$S$2:$S$4001,'All Donations'!$R$2:$R$4001,$AD392,'All Donations'!$T$2:$T$4001,AC$1))</f>
        <v/>
      </c>
      <c r="AD392">
        <f>IF(AE392=1,'Roster'!A392,"")</f>
        <v/>
      </c>
      <c r="AE392">
        <f>IF(TRIM('Roster'!B392&amp;'Roster'!C392)&lt;&gt;"",1,0)</f>
        <v/>
      </c>
      <c r="AF392">
        <f>IF(AE392=1,LOWER(A392),"#")</f>
        <v/>
      </c>
      <c r="AG392">
        <f>IF(AE392=1,LOWER(TRIM(TRIM('Roster'!C392)&amp;", "&amp;TRIM('Roster'!B392))),"#")</f>
        <v/>
      </c>
      <c r="AH392">
        <f>IF(AND(AE392=1,TRIM('Roster'!F392)&lt;&gt;""),LOWER(TRIM('Roster'!F392)),"#")</f>
        <v/>
      </c>
      <c r="AI392">
        <f>IF(AE392=1,IF(MATCH(B392,$B$2:$B$701,0)=ROW()-1,1,0),0)</f>
        <v/>
      </c>
      <c r="AJ392">
        <f>AJ391+AI392</f>
        <v/>
      </c>
      <c r="AK392">
        <f>IF(AE392=1,D392+(1000-ROW())/10^7,-1)</f>
        <v/>
      </c>
      <c r="AL392">
        <f>IF(AE392=1,TRIM('Roster'!B392)&amp;" "&amp;LEFT(TRIM('Roster'!C392),1)&amp;".","")</f>
        <v/>
      </c>
      <c r="AM392">
        <f>IF(AE392=1,TRIM('Roster'!C392)&amp;", "&amp;TRIM('Roster'!B392)&amp;" ("&amp;B392&amp;") #"&amp;AD392,"")</f>
        <v/>
      </c>
      <c r="AN392">
        <f>IF(AE392=1,TRIM('Roster'!E392),"")</f>
        <v/>
      </c>
      <c r="AO392">
        <f>IF(AE392=1,ROUND(SUMIFS('All Donations'!$S$2:$S$4001,'All Donations'!$R$2:$R$4001,AD392,'All Donations'!$T$2:$T$4001,"&gt;="&amp;'Settings'!$C$23,'All Donations'!$T$2:$T$4001,"&lt;="&amp;'Settings'!$D$23),2),0)</f>
        <v/>
      </c>
      <c r="AQ392">
        <f>IF(AE392=1,ROUND(SUMIFS('All Donations'!$S$2:$S$4001,'All Donations'!$R$2:$R$4001,AD392,'All Donations'!$T$2:$T$4001,"&gt;="&amp;'Settings'!$C$25,'All Donations'!$T$2:$T$4001,"&lt;="&amp;'Settings'!$D$25),2),0)</f>
        <v/>
      </c>
      <c r="AR392">
        <f>IF(AE392=1,ROUND(SUMIFS('All Donations'!$S$2:$S$4001,'All Donations'!$R$2:$R$4001,AD392,'All Donations'!$T$2:$T$4001,"&gt;="&amp;'Settings'!$C$26,'All Donations'!$T$2:$T$4001,"&lt;="&amp;'Settings'!$D$26),2),0)</f>
        <v/>
      </c>
      <c r="AS392">
        <f>IF(AE392=1,ROUND(SUMIFS('All Donations'!$S$2:$S$4001,'All Donations'!$R$2:$R$4001,AD392,'All Donations'!$T$2:$T$4001,"&lt;="&amp;'Settings'!$D$27),2),0)</f>
        <v/>
      </c>
      <c r="AT392">
        <f>IF(AE392=1,ROUND(SUMIFS('All Donations'!$S$2:$S$4001,'All Donations'!$R$2:$R$4001,AD392,'All Donations'!$T$2:$T$4001,"&gt;="&amp;'Settings'!$C$28,'All Donations'!$T$2:$T$4001,"&lt;="&amp;'Settings'!$D$28),2),0)</f>
        <v/>
      </c>
      <c r="AU392">
        <f>IF(AE392=1,ROUND(SUMIFS('All Donations'!$S$2:$S$4001,'All Donations'!$R$2:$R$4001,AD392,'All Donations'!$T$2:$T$4001,"&gt;="&amp;'Settings'!$C$29,'All Donations'!$T$2:$T$4001,"&lt;="&amp;'Settings'!$D$29),2),0)</f>
        <v/>
      </c>
      <c r="AV392">
        <f>IF(AE392=1,ROUND(SUMIFS('All Donations'!$S$2:$S$4001,'All Donations'!$R$2:$R$4001,AD392,'All Donations'!$T$2:$T$4001,"&lt;="&amp;'Settings'!$D$30),2),0)</f>
        <v/>
      </c>
      <c r="AZ392">
        <f>IF(AE392=1,ROUND(SUMIFS('All Donations'!$S$2:$S$4001,'All Donations'!$R$2:$R$4001,AD392,'All Donations'!$T$2:$T$4001,"&lt;="&amp;'Settings'!$D$34),2),0)</f>
        <v/>
      </c>
    </row>
    <row r="393">
      <c r="A393">
        <f>IF(AE393=1,TRIM(TRIM('Roster'!B393)&amp;" "&amp;TRIM('Roster'!C393)),"")</f>
        <v/>
      </c>
      <c r="B393">
        <f>IF(AE393=1,IF(AN393="","(no teacher)",AN393&amp;" – "&amp;C393),"")</f>
        <v/>
      </c>
      <c r="C393">
        <f>IF(AE393=1,TRIM('Roster'!D393&amp;""),"")</f>
        <v/>
      </c>
      <c r="D393" s="48">
        <f>IF(AE393=1,ROUND(SUMIFS('All Donations'!$S$2:$S$4001,'All Donations'!$R$2:$R$4001,AD393),2),"")</f>
        <v/>
      </c>
      <c r="E393" s="48">
        <f>IF(AE393=1,ROUND(SUMIFS('All Donations'!$S$2:$S$4001,'All Donations'!$R$2:$R$4001,AD393,'All Donations'!$G$2:$G$4001,"OneCause"),2),"")</f>
        <v/>
      </c>
      <c r="F393" s="48">
        <f>IF(AE393=1,D393-E393,"")</f>
        <v/>
      </c>
      <c r="G393">
        <f>IF(AE393=1,COUNTIFS('All Donations'!$R$2:$R$4001,AD393,'All Donations'!$H$2:$H$4001,"OK"),"")</f>
        <v/>
      </c>
      <c r="H393">
        <f>IF(AE393&lt;&gt;1,"",IF(D393&gt;0,"Yes",""))</f>
        <v/>
      </c>
      <c r="I393" s="49">
        <f>IF(OR($AE393&lt;&gt;1,I$1=""),"",SUMIFS('All Donations'!$S$2:$S$4001,'All Donations'!$R$2:$R$4001,$AD393,'All Donations'!$T$2:$T$4001,I$1))</f>
        <v/>
      </c>
      <c r="J393" s="49">
        <f>IF(OR($AE393&lt;&gt;1,J$1=""),"",SUMIFS('All Donations'!$S$2:$S$4001,'All Donations'!$R$2:$R$4001,$AD393,'All Donations'!$T$2:$T$4001,J$1))</f>
        <v/>
      </c>
      <c r="K393" s="49">
        <f>IF(OR($AE393&lt;&gt;1,K$1=""),"",SUMIFS('All Donations'!$S$2:$S$4001,'All Donations'!$R$2:$R$4001,$AD393,'All Donations'!$T$2:$T$4001,K$1))</f>
        <v/>
      </c>
      <c r="L393" s="49">
        <f>IF(OR($AE393&lt;&gt;1,L$1=""),"",SUMIFS('All Donations'!$S$2:$S$4001,'All Donations'!$R$2:$R$4001,$AD393,'All Donations'!$T$2:$T$4001,L$1))</f>
        <v/>
      </c>
      <c r="M393" s="49">
        <f>IF(OR($AE393&lt;&gt;1,M$1=""),"",SUMIFS('All Donations'!$S$2:$S$4001,'All Donations'!$R$2:$R$4001,$AD393,'All Donations'!$T$2:$T$4001,M$1))</f>
        <v/>
      </c>
      <c r="N393" s="49">
        <f>IF(OR($AE393&lt;&gt;1,N$1=""),"",SUMIFS('All Donations'!$S$2:$S$4001,'All Donations'!$R$2:$R$4001,$AD393,'All Donations'!$T$2:$T$4001,N$1))</f>
        <v/>
      </c>
      <c r="O393" s="49">
        <f>IF(OR($AE393&lt;&gt;1,O$1=""),"",SUMIFS('All Donations'!$S$2:$S$4001,'All Donations'!$R$2:$R$4001,$AD393,'All Donations'!$T$2:$T$4001,O$1))</f>
        <v/>
      </c>
      <c r="P393" s="49">
        <f>IF(OR($AE393&lt;&gt;1,P$1=""),"",SUMIFS('All Donations'!$S$2:$S$4001,'All Donations'!$R$2:$R$4001,$AD393,'All Donations'!$T$2:$T$4001,P$1))</f>
        <v/>
      </c>
      <c r="Q393" s="49">
        <f>IF(OR($AE393&lt;&gt;1,Q$1=""),"",SUMIFS('All Donations'!$S$2:$S$4001,'All Donations'!$R$2:$R$4001,$AD393,'All Donations'!$T$2:$T$4001,Q$1))</f>
        <v/>
      </c>
      <c r="R393" s="49">
        <f>IF(OR($AE393&lt;&gt;1,R$1=""),"",SUMIFS('All Donations'!$S$2:$S$4001,'All Donations'!$R$2:$R$4001,$AD393,'All Donations'!$T$2:$T$4001,R$1))</f>
        <v/>
      </c>
      <c r="S393" s="49">
        <f>IF(OR($AE393&lt;&gt;1,S$1=""),"",SUMIFS('All Donations'!$S$2:$S$4001,'All Donations'!$R$2:$R$4001,$AD393,'All Donations'!$T$2:$T$4001,S$1))</f>
        <v/>
      </c>
      <c r="T393" s="49">
        <f>IF(OR($AE393&lt;&gt;1,T$1=""),"",SUMIFS('All Donations'!$S$2:$S$4001,'All Donations'!$R$2:$R$4001,$AD393,'All Donations'!$T$2:$T$4001,T$1))</f>
        <v/>
      </c>
      <c r="U393" s="49">
        <f>IF(OR($AE393&lt;&gt;1,U$1=""),"",SUMIFS('All Donations'!$S$2:$S$4001,'All Donations'!$R$2:$R$4001,$AD393,'All Donations'!$T$2:$T$4001,U$1))</f>
        <v/>
      </c>
      <c r="V393" s="49">
        <f>IF(OR($AE393&lt;&gt;1,V$1=""),"",SUMIFS('All Donations'!$S$2:$S$4001,'All Donations'!$R$2:$R$4001,$AD393,'All Donations'!$T$2:$T$4001,V$1))</f>
        <v/>
      </c>
      <c r="W393" s="49">
        <f>IF(OR($AE393&lt;&gt;1,W$1=""),"",SUMIFS('All Donations'!$S$2:$S$4001,'All Donations'!$R$2:$R$4001,$AD393,'All Donations'!$T$2:$T$4001,W$1))</f>
        <v/>
      </c>
      <c r="X393" s="49">
        <f>IF(OR($AE393&lt;&gt;1,X$1=""),"",SUMIFS('All Donations'!$S$2:$S$4001,'All Donations'!$R$2:$R$4001,$AD393,'All Donations'!$T$2:$T$4001,X$1))</f>
        <v/>
      </c>
      <c r="Y393" s="49">
        <f>IF(OR($AE393&lt;&gt;1,Y$1=""),"",SUMIFS('All Donations'!$S$2:$S$4001,'All Donations'!$R$2:$R$4001,$AD393,'All Donations'!$T$2:$T$4001,Y$1))</f>
        <v/>
      </c>
      <c r="Z393" s="49">
        <f>IF(OR($AE393&lt;&gt;1,Z$1=""),"",SUMIFS('All Donations'!$S$2:$S$4001,'All Donations'!$R$2:$R$4001,$AD393,'All Donations'!$T$2:$T$4001,Z$1))</f>
        <v/>
      </c>
      <c r="AA393" s="49">
        <f>IF(OR($AE393&lt;&gt;1,AA$1=""),"",SUMIFS('All Donations'!$S$2:$S$4001,'All Donations'!$R$2:$R$4001,$AD393,'All Donations'!$T$2:$T$4001,AA$1))</f>
        <v/>
      </c>
      <c r="AB393" s="49">
        <f>IF(OR($AE393&lt;&gt;1,AB$1=""),"",SUMIFS('All Donations'!$S$2:$S$4001,'All Donations'!$R$2:$R$4001,$AD393,'All Donations'!$T$2:$T$4001,AB$1))</f>
        <v/>
      </c>
      <c r="AC393" s="49">
        <f>IF(OR($AE393&lt;&gt;1,AC$1=""),"",SUMIFS('All Donations'!$S$2:$S$4001,'All Donations'!$R$2:$R$4001,$AD393,'All Donations'!$T$2:$T$4001,AC$1))</f>
        <v/>
      </c>
      <c r="AD393">
        <f>IF(AE393=1,'Roster'!A393,"")</f>
        <v/>
      </c>
      <c r="AE393">
        <f>IF(TRIM('Roster'!B393&amp;'Roster'!C393)&lt;&gt;"",1,0)</f>
        <v/>
      </c>
      <c r="AF393">
        <f>IF(AE393=1,LOWER(A393),"#")</f>
        <v/>
      </c>
      <c r="AG393">
        <f>IF(AE393=1,LOWER(TRIM(TRIM('Roster'!C393)&amp;", "&amp;TRIM('Roster'!B393))),"#")</f>
        <v/>
      </c>
      <c r="AH393">
        <f>IF(AND(AE393=1,TRIM('Roster'!F393)&lt;&gt;""),LOWER(TRIM('Roster'!F393)),"#")</f>
        <v/>
      </c>
      <c r="AI393">
        <f>IF(AE393=1,IF(MATCH(B393,$B$2:$B$701,0)=ROW()-1,1,0),0)</f>
        <v/>
      </c>
      <c r="AJ393">
        <f>AJ392+AI393</f>
        <v/>
      </c>
      <c r="AK393">
        <f>IF(AE393=1,D393+(1000-ROW())/10^7,-1)</f>
        <v/>
      </c>
      <c r="AL393">
        <f>IF(AE393=1,TRIM('Roster'!B393)&amp;" "&amp;LEFT(TRIM('Roster'!C393),1)&amp;".","")</f>
        <v/>
      </c>
      <c r="AM393">
        <f>IF(AE393=1,TRIM('Roster'!C393)&amp;", "&amp;TRIM('Roster'!B393)&amp;" ("&amp;B393&amp;") #"&amp;AD393,"")</f>
        <v/>
      </c>
      <c r="AN393">
        <f>IF(AE393=1,TRIM('Roster'!E393),"")</f>
        <v/>
      </c>
      <c r="AO393">
        <f>IF(AE393=1,ROUND(SUMIFS('All Donations'!$S$2:$S$4001,'All Donations'!$R$2:$R$4001,AD393,'All Donations'!$T$2:$T$4001,"&gt;="&amp;'Settings'!$C$23,'All Donations'!$T$2:$T$4001,"&lt;="&amp;'Settings'!$D$23),2),0)</f>
        <v/>
      </c>
      <c r="AQ393">
        <f>IF(AE393=1,ROUND(SUMIFS('All Donations'!$S$2:$S$4001,'All Donations'!$R$2:$R$4001,AD393,'All Donations'!$T$2:$T$4001,"&gt;="&amp;'Settings'!$C$25,'All Donations'!$T$2:$T$4001,"&lt;="&amp;'Settings'!$D$25),2),0)</f>
        <v/>
      </c>
      <c r="AR393">
        <f>IF(AE393=1,ROUND(SUMIFS('All Donations'!$S$2:$S$4001,'All Donations'!$R$2:$R$4001,AD393,'All Donations'!$T$2:$T$4001,"&gt;="&amp;'Settings'!$C$26,'All Donations'!$T$2:$T$4001,"&lt;="&amp;'Settings'!$D$26),2),0)</f>
        <v/>
      </c>
      <c r="AS393">
        <f>IF(AE393=1,ROUND(SUMIFS('All Donations'!$S$2:$S$4001,'All Donations'!$R$2:$R$4001,AD393,'All Donations'!$T$2:$T$4001,"&lt;="&amp;'Settings'!$D$27),2),0)</f>
        <v/>
      </c>
      <c r="AT393">
        <f>IF(AE393=1,ROUND(SUMIFS('All Donations'!$S$2:$S$4001,'All Donations'!$R$2:$R$4001,AD393,'All Donations'!$T$2:$T$4001,"&gt;="&amp;'Settings'!$C$28,'All Donations'!$T$2:$T$4001,"&lt;="&amp;'Settings'!$D$28),2),0)</f>
        <v/>
      </c>
      <c r="AU393">
        <f>IF(AE393=1,ROUND(SUMIFS('All Donations'!$S$2:$S$4001,'All Donations'!$R$2:$R$4001,AD393,'All Donations'!$T$2:$T$4001,"&gt;="&amp;'Settings'!$C$29,'All Donations'!$T$2:$T$4001,"&lt;="&amp;'Settings'!$D$29),2),0)</f>
        <v/>
      </c>
      <c r="AV393">
        <f>IF(AE393=1,ROUND(SUMIFS('All Donations'!$S$2:$S$4001,'All Donations'!$R$2:$R$4001,AD393,'All Donations'!$T$2:$T$4001,"&lt;="&amp;'Settings'!$D$30),2),0)</f>
        <v/>
      </c>
      <c r="AZ393">
        <f>IF(AE393=1,ROUND(SUMIFS('All Donations'!$S$2:$S$4001,'All Donations'!$R$2:$R$4001,AD393,'All Donations'!$T$2:$T$4001,"&lt;="&amp;'Settings'!$D$34),2),0)</f>
        <v/>
      </c>
    </row>
    <row r="394">
      <c r="A394">
        <f>IF(AE394=1,TRIM(TRIM('Roster'!B394)&amp;" "&amp;TRIM('Roster'!C394)),"")</f>
        <v/>
      </c>
      <c r="B394">
        <f>IF(AE394=1,IF(AN394="","(no teacher)",AN394&amp;" – "&amp;C394),"")</f>
        <v/>
      </c>
      <c r="C394">
        <f>IF(AE394=1,TRIM('Roster'!D394&amp;""),"")</f>
        <v/>
      </c>
      <c r="D394" s="48">
        <f>IF(AE394=1,ROUND(SUMIFS('All Donations'!$S$2:$S$4001,'All Donations'!$R$2:$R$4001,AD394),2),"")</f>
        <v/>
      </c>
      <c r="E394" s="48">
        <f>IF(AE394=1,ROUND(SUMIFS('All Donations'!$S$2:$S$4001,'All Donations'!$R$2:$R$4001,AD394,'All Donations'!$G$2:$G$4001,"OneCause"),2),"")</f>
        <v/>
      </c>
      <c r="F394" s="48">
        <f>IF(AE394=1,D394-E394,"")</f>
        <v/>
      </c>
      <c r="G394">
        <f>IF(AE394=1,COUNTIFS('All Donations'!$R$2:$R$4001,AD394,'All Donations'!$H$2:$H$4001,"OK"),"")</f>
        <v/>
      </c>
      <c r="H394">
        <f>IF(AE394&lt;&gt;1,"",IF(D394&gt;0,"Yes",""))</f>
        <v/>
      </c>
      <c r="I394" s="49">
        <f>IF(OR($AE394&lt;&gt;1,I$1=""),"",SUMIFS('All Donations'!$S$2:$S$4001,'All Donations'!$R$2:$R$4001,$AD394,'All Donations'!$T$2:$T$4001,I$1))</f>
        <v/>
      </c>
      <c r="J394" s="49">
        <f>IF(OR($AE394&lt;&gt;1,J$1=""),"",SUMIFS('All Donations'!$S$2:$S$4001,'All Donations'!$R$2:$R$4001,$AD394,'All Donations'!$T$2:$T$4001,J$1))</f>
        <v/>
      </c>
      <c r="K394" s="49">
        <f>IF(OR($AE394&lt;&gt;1,K$1=""),"",SUMIFS('All Donations'!$S$2:$S$4001,'All Donations'!$R$2:$R$4001,$AD394,'All Donations'!$T$2:$T$4001,K$1))</f>
        <v/>
      </c>
      <c r="L394" s="49">
        <f>IF(OR($AE394&lt;&gt;1,L$1=""),"",SUMIFS('All Donations'!$S$2:$S$4001,'All Donations'!$R$2:$R$4001,$AD394,'All Donations'!$T$2:$T$4001,L$1))</f>
        <v/>
      </c>
      <c r="M394" s="49">
        <f>IF(OR($AE394&lt;&gt;1,M$1=""),"",SUMIFS('All Donations'!$S$2:$S$4001,'All Donations'!$R$2:$R$4001,$AD394,'All Donations'!$T$2:$T$4001,M$1))</f>
        <v/>
      </c>
      <c r="N394" s="49">
        <f>IF(OR($AE394&lt;&gt;1,N$1=""),"",SUMIFS('All Donations'!$S$2:$S$4001,'All Donations'!$R$2:$R$4001,$AD394,'All Donations'!$T$2:$T$4001,N$1))</f>
        <v/>
      </c>
      <c r="O394" s="49">
        <f>IF(OR($AE394&lt;&gt;1,O$1=""),"",SUMIFS('All Donations'!$S$2:$S$4001,'All Donations'!$R$2:$R$4001,$AD394,'All Donations'!$T$2:$T$4001,O$1))</f>
        <v/>
      </c>
      <c r="P394" s="49">
        <f>IF(OR($AE394&lt;&gt;1,P$1=""),"",SUMIFS('All Donations'!$S$2:$S$4001,'All Donations'!$R$2:$R$4001,$AD394,'All Donations'!$T$2:$T$4001,P$1))</f>
        <v/>
      </c>
      <c r="Q394" s="49">
        <f>IF(OR($AE394&lt;&gt;1,Q$1=""),"",SUMIFS('All Donations'!$S$2:$S$4001,'All Donations'!$R$2:$R$4001,$AD394,'All Donations'!$T$2:$T$4001,Q$1))</f>
        <v/>
      </c>
      <c r="R394" s="49">
        <f>IF(OR($AE394&lt;&gt;1,R$1=""),"",SUMIFS('All Donations'!$S$2:$S$4001,'All Donations'!$R$2:$R$4001,$AD394,'All Donations'!$T$2:$T$4001,R$1))</f>
        <v/>
      </c>
      <c r="S394" s="49">
        <f>IF(OR($AE394&lt;&gt;1,S$1=""),"",SUMIFS('All Donations'!$S$2:$S$4001,'All Donations'!$R$2:$R$4001,$AD394,'All Donations'!$T$2:$T$4001,S$1))</f>
        <v/>
      </c>
      <c r="T394" s="49">
        <f>IF(OR($AE394&lt;&gt;1,T$1=""),"",SUMIFS('All Donations'!$S$2:$S$4001,'All Donations'!$R$2:$R$4001,$AD394,'All Donations'!$T$2:$T$4001,T$1))</f>
        <v/>
      </c>
      <c r="U394" s="49">
        <f>IF(OR($AE394&lt;&gt;1,U$1=""),"",SUMIFS('All Donations'!$S$2:$S$4001,'All Donations'!$R$2:$R$4001,$AD394,'All Donations'!$T$2:$T$4001,U$1))</f>
        <v/>
      </c>
      <c r="V394" s="49">
        <f>IF(OR($AE394&lt;&gt;1,V$1=""),"",SUMIFS('All Donations'!$S$2:$S$4001,'All Donations'!$R$2:$R$4001,$AD394,'All Donations'!$T$2:$T$4001,V$1))</f>
        <v/>
      </c>
      <c r="W394" s="49">
        <f>IF(OR($AE394&lt;&gt;1,W$1=""),"",SUMIFS('All Donations'!$S$2:$S$4001,'All Donations'!$R$2:$R$4001,$AD394,'All Donations'!$T$2:$T$4001,W$1))</f>
        <v/>
      </c>
      <c r="X394" s="49">
        <f>IF(OR($AE394&lt;&gt;1,X$1=""),"",SUMIFS('All Donations'!$S$2:$S$4001,'All Donations'!$R$2:$R$4001,$AD394,'All Donations'!$T$2:$T$4001,X$1))</f>
        <v/>
      </c>
      <c r="Y394" s="49">
        <f>IF(OR($AE394&lt;&gt;1,Y$1=""),"",SUMIFS('All Donations'!$S$2:$S$4001,'All Donations'!$R$2:$R$4001,$AD394,'All Donations'!$T$2:$T$4001,Y$1))</f>
        <v/>
      </c>
      <c r="Z394" s="49">
        <f>IF(OR($AE394&lt;&gt;1,Z$1=""),"",SUMIFS('All Donations'!$S$2:$S$4001,'All Donations'!$R$2:$R$4001,$AD394,'All Donations'!$T$2:$T$4001,Z$1))</f>
        <v/>
      </c>
      <c r="AA394" s="49">
        <f>IF(OR($AE394&lt;&gt;1,AA$1=""),"",SUMIFS('All Donations'!$S$2:$S$4001,'All Donations'!$R$2:$R$4001,$AD394,'All Donations'!$T$2:$T$4001,AA$1))</f>
        <v/>
      </c>
      <c r="AB394" s="49">
        <f>IF(OR($AE394&lt;&gt;1,AB$1=""),"",SUMIFS('All Donations'!$S$2:$S$4001,'All Donations'!$R$2:$R$4001,$AD394,'All Donations'!$T$2:$T$4001,AB$1))</f>
        <v/>
      </c>
      <c r="AC394" s="49">
        <f>IF(OR($AE394&lt;&gt;1,AC$1=""),"",SUMIFS('All Donations'!$S$2:$S$4001,'All Donations'!$R$2:$R$4001,$AD394,'All Donations'!$T$2:$T$4001,AC$1))</f>
        <v/>
      </c>
      <c r="AD394">
        <f>IF(AE394=1,'Roster'!A394,"")</f>
        <v/>
      </c>
      <c r="AE394">
        <f>IF(TRIM('Roster'!B394&amp;'Roster'!C394)&lt;&gt;"",1,0)</f>
        <v/>
      </c>
      <c r="AF394">
        <f>IF(AE394=1,LOWER(A394),"#")</f>
        <v/>
      </c>
      <c r="AG394">
        <f>IF(AE394=1,LOWER(TRIM(TRIM('Roster'!C394)&amp;", "&amp;TRIM('Roster'!B394))),"#")</f>
        <v/>
      </c>
      <c r="AH394">
        <f>IF(AND(AE394=1,TRIM('Roster'!F394)&lt;&gt;""),LOWER(TRIM('Roster'!F394)),"#")</f>
        <v/>
      </c>
      <c r="AI394">
        <f>IF(AE394=1,IF(MATCH(B394,$B$2:$B$701,0)=ROW()-1,1,0),0)</f>
        <v/>
      </c>
      <c r="AJ394">
        <f>AJ393+AI394</f>
        <v/>
      </c>
      <c r="AK394">
        <f>IF(AE394=1,D394+(1000-ROW())/10^7,-1)</f>
        <v/>
      </c>
      <c r="AL394">
        <f>IF(AE394=1,TRIM('Roster'!B394)&amp;" "&amp;LEFT(TRIM('Roster'!C394),1)&amp;".","")</f>
        <v/>
      </c>
      <c r="AM394">
        <f>IF(AE394=1,TRIM('Roster'!C394)&amp;", "&amp;TRIM('Roster'!B394)&amp;" ("&amp;B394&amp;") #"&amp;AD394,"")</f>
        <v/>
      </c>
      <c r="AN394">
        <f>IF(AE394=1,TRIM('Roster'!E394),"")</f>
        <v/>
      </c>
      <c r="AO394">
        <f>IF(AE394=1,ROUND(SUMIFS('All Donations'!$S$2:$S$4001,'All Donations'!$R$2:$R$4001,AD394,'All Donations'!$T$2:$T$4001,"&gt;="&amp;'Settings'!$C$23,'All Donations'!$T$2:$T$4001,"&lt;="&amp;'Settings'!$D$23),2),0)</f>
        <v/>
      </c>
      <c r="AQ394">
        <f>IF(AE394=1,ROUND(SUMIFS('All Donations'!$S$2:$S$4001,'All Donations'!$R$2:$R$4001,AD394,'All Donations'!$T$2:$T$4001,"&gt;="&amp;'Settings'!$C$25,'All Donations'!$T$2:$T$4001,"&lt;="&amp;'Settings'!$D$25),2),0)</f>
        <v/>
      </c>
      <c r="AR394">
        <f>IF(AE394=1,ROUND(SUMIFS('All Donations'!$S$2:$S$4001,'All Donations'!$R$2:$R$4001,AD394,'All Donations'!$T$2:$T$4001,"&gt;="&amp;'Settings'!$C$26,'All Donations'!$T$2:$T$4001,"&lt;="&amp;'Settings'!$D$26),2),0)</f>
        <v/>
      </c>
      <c r="AS394">
        <f>IF(AE394=1,ROUND(SUMIFS('All Donations'!$S$2:$S$4001,'All Donations'!$R$2:$R$4001,AD394,'All Donations'!$T$2:$T$4001,"&lt;="&amp;'Settings'!$D$27),2),0)</f>
        <v/>
      </c>
      <c r="AT394">
        <f>IF(AE394=1,ROUND(SUMIFS('All Donations'!$S$2:$S$4001,'All Donations'!$R$2:$R$4001,AD394,'All Donations'!$T$2:$T$4001,"&gt;="&amp;'Settings'!$C$28,'All Donations'!$T$2:$T$4001,"&lt;="&amp;'Settings'!$D$28),2),0)</f>
        <v/>
      </c>
      <c r="AU394">
        <f>IF(AE394=1,ROUND(SUMIFS('All Donations'!$S$2:$S$4001,'All Donations'!$R$2:$R$4001,AD394,'All Donations'!$T$2:$T$4001,"&gt;="&amp;'Settings'!$C$29,'All Donations'!$T$2:$T$4001,"&lt;="&amp;'Settings'!$D$29),2),0)</f>
        <v/>
      </c>
      <c r="AV394">
        <f>IF(AE394=1,ROUND(SUMIFS('All Donations'!$S$2:$S$4001,'All Donations'!$R$2:$R$4001,AD394,'All Donations'!$T$2:$T$4001,"&lt;="&amp;'Settings'!$D$30),2),0)</f>
        <v/>
      </c>
      <c r="AZ394">
        <f>IF(AE394=1,ROUND(SUMIFS('All Donations'!$S$2:$S$4001,'All Donations'!$R$2:$R$4001,AD394,'All Donations'!$T$2:$T$4001,"&lt;="&amp;'Settings'!$D$34),2),0)</f>
        <v/>
      </c>
    </row>
    <row r="395">
      <c r="A395">
        <f>IF(AE395=1,TRIM(TRIM('Roster'!B395)&amp;" "&amp;TRIM('Roster'!C395)),"")</f>
        <v/>
      </c>
      <c r="B395">
        <f>IF(AE395=1,IF(AN395="","(no teacher)",AN395&amp;" – "&amp;C395),"")</f>
        <v/>
      </c>
      <c r="C395">
        <f>IF(AE395=1,TRIM('Roster'!D395&amp;""),"")</f>
        <v/>
      </c>
      <c r="D395" s="48">
        <f>IF(AE395=1,ROUND(SUMIFS('All Donations'!$S$2:$S$4001,'All Donations'!$R$2:$R$4001,AD395),2),"")</f>
        <v/>
      </c>
      <c r="E395" s="48">
        <f>IF(AE395=1,ROUND(SUMIFS('All Donations'!$S$2:$S$4001,'All Donations'!$R$2:$R$4001,AD395,'All Donations'!$G$2:$G$4001,"OneCause"),2),"")</f>
        <v/>
      </c>
      <c r="F395" s="48">
        <f>IF(AE395=1,D395-E395,"")</f>
        <v/>
      </c>
      <c r="G395">
        <f>IF(AE395=1,COUNTIFS('All Donations'!$R$2:$R$4001,AD395,'All Donations'!$H$2:$H$4001,"OK"),"")</f>
        <v/>
      </c>
      <c r="H395">
        <f>IF(AE395&lt;&gt;1,"",IF(D395&gt;0,"Yes",""))</f>
        <v/>
      </c>
      <c r="I395" s="49">
        <f>IF(OR($AE395&lt;&gt;1,I$1=""),"",SUMIFS('All Donations'!$S$2:$S$4001,'All Donations'!$R$2:$R$4001,$AD395,'All Donations'!$T$2:$T$4001,I$1))</f>
        <v/>
      </c>
      <c r="J395" s="49">
        <f>IF(OR($AE395&lt;&gt;1,J$1=""),"",SUMIFS('All Donations'!$S$2:$S$4001,'All Donations'!$R$2:$R$4001,$AD395,'All Donations'!$T$2:$T$4001,J$1))</f>
        <v/>
      </c>
      <c r="K395" s="49">
        <f>IF(OR($AE395&lt;&gt;1,K$1=""),"",SUMIFS('All Donations'!$S$2:$S$4001,'All Donations'!$R$2:$R$4001,$AD395,'All Donations'!$T$2:$T$4001,K$1))</f>
        <v/>
      </c>
      <c r="L395" s="49">
        <f>IF(OR($AE395&lt;&gt;1,L$1=""),"",SUMIFS('All Donations'!$S$2:$S$4001,'All Donations'!$R$2:$R$4001,$AD395,'All Donations'!$T$2:$T$4001,L$1))</f>
        <v/>
      </c>
      <c r="M395" s="49">
        <f>IF(OR($AE395&lt;&gt;1,M$1=""),"",SUMIFS('All Donations'!$S$2:$S$4001,'All Donations'!$R$2:$R$4001,$AD395,'All Donations'!$T$2:$T$4001,M$1))</f>
        <v/>
      </c>
      <c r="N395" s="49">
        <f>IF(OR($AE395&lt;&gt;1,N$1=""),"",SUMIFS('All Donations'!$S$2:$S$4001,'All Donations'!$R$2:$R$4001,$AD395,'All Donations'!$T$2:$T$4001,N$1))</f>
        <v/>
      </c>
      <c r="O395" s="49">
        <f>IF(OR($AE395&lt;&gt;1,O$1=""),"",SUMIFS('All Donations'!$S$2:$S$4001,'All Donations'!$R$2:$R$4001,$AD395,'All Donations'!$T$2:$T$4001,O$1))</f>
        <v/>
      </c>
      <c r="P395" s="49">
        <f>IF(OR($AE395&lt;&gt;1,P$1=""),"",SUMIFS('All Donations'!$S$2:$S$4001,'All Donations'!$R$2:$R$4001,$AD395,'All Donations'!$T$2:$T$4001,P$1))</f>
        <v/>
      </c>
      <c r="Q395" s="49">
        <f>IF(OR($AE395&lt;&gt;1,Q$1=""),"",SUMIFS('All Donations'!$S$2:$S$4001,'All Donations'!$R$2:$R$4001,$AD395,'All Donations'!$T$2:$T$4001,Q$1))</f>
        <v/>
      </c>
      <c r="R395" s="49">
        <f>IF(OR($AE395&lt;&gt;1,R$1=""),"",SUMIFS('All Donations'!$S$2:$S$4001,'All Donations'!$R$2:$R$4001,$AD395,'All Donations'!$T$2:$T$4001,R$1))</f>
        <v/>
      </c>
      <c r="S395" s="49">
        <f>IF(OR($AE395&lt;&gt;1,S$1=""),"",SUMIFS('All Donations'!$S$2:$S$4001,'All Donations'!$R$2:$R$4001,$AD395,'All Donations'!$T$2:$T$4001,S$1))</f>
        <v/>
      </c>
      <c r="T395" s="49">
        <f>IF(OR($AE395&lt;&gt;1,T$1=""),"",SUMIFS('All Donations'!$S$2:$S$4001,'All Donations'!$R$2:$R$4001,$AD395,'All Donations'!$T$2:$T$4001,T$1))</f>
        <v/>
      </c>
      <c r="U395" s="49">
        <f>IF(OR($AE395&lt;&gt;1,U$1=""),"",SUMIFS('All Donations'!$S$2:$S$4001,'All Donations'!$R$2:$R$4001,$AD395,'All Donations'!$T$2:$T$4001,U$1))</f>
        <v/>
      </c>
      <c r="V395" s="49">
        <f>IF(OR($AE395&lt;&gt;1,V$1=""),"",SUMIFS('All Donations'!$S$2:$S$4001,'All Donations'!$R$2:$R$4001,$AD395,'All Donations'!$T$2:$T$4001,V$1))</f>
        <v/>
      </c>
      <c r="W395" s="49">
        <f>IF(OR($AE395&lt;&gt;1,W$1=""),"",SUMIFS('All Donations'!$S$2:$S$4001,'All Donations'!$R$2:$R$4001,$AD395,'All Donations'!$T$2:$T$4001,W$1))</f>
        <v/>
      </c>
      <c r="X395" s="49">
        <f>IF(OR($AE395&lt;&gt;1,X$1=""),"",SUMIFS('All Donations'!$S$2:$S$4001,'All Donations'!$R$2:$R$4001,$AD395,'All Donations'!$T$2:$T$4001,X$1))</f>
        <v/>
      </c>
      <c r="Y395" s="49">
        <f>IF(OR($AE395&lt;&gt;1,Y$1=""),"",SUMIFS('All Donations'!$S$2:$S$4001,'All Donations'!$R$2:$R$4001,$AD395,'All Donations'!$T$2:$T$4001,Y$1))</f>
        <v/>
      </c>
      <c r="Z395" s="49">
        <f>IF(OR($AE395&lt;&gt;1,Z$1=""),"",SUMIFS('All Donations'!$S$2:$S$4001,'All Donations'!$R$2:$R$4001,$AD395,'All Donations'!$T$2:$T$4001,Z$1))</f>
        <v/>
      </c>
      <c r="AA395" s="49">
        <f>IF(OR($AE395&lt;&gt;1,AA$1=""),"",SUMIFS('All Donations'!$S$2:$S$4001,'All Donations'!$R$2:$R$4001,$AD395,'All Donations'!$T$2:$T$4001,AA$1))</f>
        <v/>
      </c>
      <c r="AB395" s="49">
        <f>IF(OR($AE395&lt;&gt;1,AB$1=""),"",SUMIFS('All Donations'!$S$2:$S$4001,'All Donations'!$R$2:$R$4001,$AD395,'All Donations'!$T$2:$T$4001,AB$1))</f>
        <v/>
      </c>
      <c r="AC395" s="49">
        <f>IF(OR($AE395&lt;&gt;1,AC$1=""),"",SUMIFS('All Donations'!$S$2:$S$4001,'All Donations'!$R$2:$R$4001,$AD395,'All Donations'!$T$2:$T$4001,AC$1))</f>
        <v/>
      </c>
      <c r="AD395">
        <f>IF(AE395=1,'Roster'!A395,"")</f>
        <v/>
      </c>
      <c r="AE395">
        <f>IF(TRIM('Roster'!B395&amp;'Roster'!C395)&lt;&gt;"",1,0)</f>
        <v/>
      </c>
      <c r="AF395">
        <f>IF(AE395=1,LOWER(A395),"#")</f>
        <v/>
      </c>
      <c r="AG395">
        <f>IF(AE395=1,LOWER(TRIM(TRIM('Roster'!C395)&amp;", "&amp;TRIM('Roster'!B395))),"#")</f>
        <v/>
      </c>
      <c r="AH395">
        <f>IF(AND(AE395=1,TRIM('Roster'!F395)&lt;&gt;""),LOWER(TRIM('Roster'!F395)),"#")</f>
        <v/>
      </c>
      <c r="AI395">
        <f>IF(AE395=1,IF(MATCH(B395,$B$2:$B$701,0)=ROW()-1,1,0),0)</f>
        <v/>
      </c>
      <c r="AJ395">
        <f>AJ394+AI395</f>
        <v/>
      </c>
      <c r="AK395">
        <f>IF(AE395=1,D395+(1000-ROW())/10^7,-1)</f>
        <v/>
      </c>
      <c r="AL395">
        <f>IF(AE395=1,TRIM('Roster'!B395)&amp;" "&amp;LEFT(TRIM('Roster'!C395),1)&amp;".","")</f>
        <v/>
      </c>
      <c r="AM395">
        <f>IF(AE395=1,TRIM('Roster'!C395)&amp;", "&amp;TRIM('Roster'!B395)&amp;" ("&amp;B395&amp;") #"&amp;AD395,"")</f>
        <v/>
      </c>
      <c r="AN395">
        <f>IF(AE395=1,TRIM('Roster'!E395),"")</f>
        <v/>
      </c>
      <c r="AO395">
        <f>IF(AE395=1,ROUND(SUMIFS('All Donations'!$S$2:$S$4001,'All Donations'!$R$2:$R$4001,AD395,'All Donations'!$T$2:$T$4001,"&gt;="&amp;'Settings'!$C$23,'All Donations'!$T$2:$T$4001,"&lt;="&amp;'Settings'!$D$23),2),0)</f>
        <v/>
      </c>
      <c r="AQ395">
        <f>IF(AE395=1,ROUND(SUMIFS('All Donations'!$S$2:$S$4001,'All Donations'!$R$2:$R$4001,AD395,'All Donations'!$T$2:$T$4001,"&gt;="&amp;'Settings'!$C$25,'All Donations'!$T$2:$T$4001,"&lt;="&amp;'Settings'!$D$25),2),0)</f>
        <v/>
      </c>
      <c r="AR395">
        <f>IF(AE395=1,ROUND(SUMIFS('All Donations'!$S$2:$S$4001,'All Donations'!$R$2:$R$4001,AD395,'All Donations'!$T$2:$T$4001,"&gt;="&amp;'Settings'!$C$26,'All Donations'!$T$2:$T$4001,"&lt;="&amp;'Settings'!$D$26),2),0)</f>
        <v/>
      </c>
      <c r="AS395">
        <f>IF(AE395=1,ROUND(SUMIFS('All Donations'!$S$2:$S$4001,'All Donations'!$R$2:$R$4001,AD395,'All Donations'!$T$2:$T$4001,"&lt;="&amp;'Settings'!$D$27),2),0)</f>
        <v/>
      </c>
      <c r="AT395">
        <f>IF(AE395=1,ROUND(SUMIFS('All Donations'!$S$2:$S$4001,'All Donations'!$R$2:$R$4001,AD395,'All Donations'!$T$2:$T$4001,"&gt;="&amp;'Settings'!$C$28,'All Donations'!$T$2:$T$4001,"&lt;="&amp;'Settings'!$D$28),2),0)</f>
        <v/>
      </c>
      <c r="AU395">
        <f>IF(AE395=1,ROUND(SUMIFS('All Donations'!$S$2:$S$4001,'All Donations'!$R$2:$R$4001,AD395,'All Donations'!$T$2:$T$4001,"&gt;="&amp;'Settings'!$C$29,'All Donations'!$T$2:$T$4001,"&lt;="&amp;'Settings'!$D$29),2),0)</f>
        <v/>
      </c>
      <c r="AV395">
        <f>IF(AE395=1,ROUND(SUMIFS('All Donations'!$S$2:$S$4001,'All Donations'!$R$2:$R$4001,AD395,'All Donations'!$T$2:$T$4001,"&lt;="&amp;'Settings'!$D$30),2),0)</f>
        <v/>
      </c>
      <c r="AZ395">
        <f>IF(AE395=1,ROUND(SUMIFS('All Donations'!$S$2:$S$4001,'All Donations'!$R$2:$R$4001,AD395,'All Donations'!$T$2:$T$4001,"&lt;="&amp;'Settings'!$D$34),2),0)</f>
        <v/>
      </c>
    </row>
    <row r="396">
      <c r="A396">
        <f>IF(AE396=1,TRIM(TRIM('Roster'!B396)&amp;" "&amp;TRIM('Roster'!C396)),"")</f>
        <v/>
      </c>
      <c r="B396">
        <f>IF(AE396=1,IF(AN396="","(no teacher)",AN396&amp;" – "&amp;C396),"")</f>
        <v/>
      </c>
      <c r="C396">
        <f>IF(AE396=1,TRIM('Roster'!D396&amp;""),"")</f>
        <v/>
      </c>
      <c r="D396" s="48">
        <f>IF(AE396=1,ROUND(SUMIFS('All Donations'!$S$2:$S$4001,'All Donations'!$R$2:$R$4001,AD396),2),"")</f>
        <v/>
      </c>
      <c r="E396" s="48">
        <f>IF(AE396=1,ROUND(SUMIFS('All Donations'!$S$2:$S$4001,'All Donations'!$R$2:$R$4001,AD396,'All Donations'!$G$2:$G$4001,"OneCause"),2),"")</f>
        <v/>
      </c>
      <c r="F396" s="48">
        <f>IF(AE396=1,D396-E396,"")</f>
        <v/>
      </c>
      <c r="G396">
        <f>IF(AE396=1,COUNTIFS('All Donations'!$R$2:$R$4001,AD396,'All Donations'!$H$2:$H$4001,"OK"),"")</f>
        <v/>
      </c>
      <c r="H396">
        <f>IF(AE396&lt;&gt;1,"",IF(D396&gt;0,"Yes",""))</f>
        <v/>
      </c>
      <c r="I396" s="49">
        <f>IF(OR($AE396&lt;&gt;1,I$1=""),"",SUMIFS('All Donations'!$S$2:$S$4001,'All Donations'!$R$2:$R$4001,$AD396,'All Donations'!$T$2:$T$4001,I$1))</f>
        <v/>
      </c>
      <c r="J396" s="49">
        <f>IF(OR($AE396&lt;&gt;1,J$1=""),"",SUMIFS('All Donations'!$S$2:$S$4001,'All Donations'!$R$2:$R$4001,$AD396,'All Donations'!$T$2:$T$4001,J$1))</f>
        <v/>
      </c>
      <c r="K396" s="49">
        <f>IF(OR($AE396&lt;&gt;1,K$1=""),"",SUMIFS('All Donations'!$S$2:$S$4001,'All Donations'!$R$2:$R$4001,$AD396,'All Donations'!$T$2:$T$4001,K$1))</f>
        <v/>
      </c>
      <c r="L396" s="49">
        <f>IF(OR($AE396&lt;&gt;1,L$1=""),"",SUMIFS('All Donations'!$S$2:$S$4001,'All Donations'!$R$2:$R$4001,$AD396,'All Donations'!$T$2:$T$4001,L$1))</f>
        <v/>
      </c>
      <c r="M396" s="49">
        <f>IF(OR($AE396&lt;&gt;1,M$1=""),"",SUMIFS('All Donations'!$S$2:$S$4001,'All Donations'!$R$2:$R$4001,$AD396,'All Donations'!$T$2:$T$4001,M$1))</f>
        <v/>
      </c>
      <c r="N396" s="49">
        <f>IF(OR($AE396&lt;&gt;1,N$1=""),"",SUMIFS('All Donations'!$S$2:$S$4001,'All Donations'!$R$2:$R$4001,$AD396,'All Donations'!$T$2:$T$4001,N$1))</f>
        <v/>
      </c>
      <c r="O396" s="49">
        <f>IF(OR($AE396&lt;&gt;1,O$1=""),"",SUMIFS('All Donations'!$S$2:$S$4001,'All Donations'!$R$2:$R$4001,$AD396,'All Donations'!$T$2:$T$4001,O$1))</f>
        <v/>
      </c>
      <c r="P396" s="49">
        <f>IF(OR($AE396&lt;&gt;1,P$1=""),"",SUMIFS('All Donations'!$S$2:$S$4001,'All Donations'!$R$2:$R$4001,$AD396,'All Donations'!$T$2:$T$4001,P$1))</f>
        <v/>
      </c>
      <c r="Q396" s="49">
        <f>IF(OR($AE396&lt;&gt;1,Q$1=""),"",SUMIFS('All Donations'!$S$2:$S$4001,'All Donations'!$R$2:$R$4001,$AD396,'All Donations'!$T$2:$T$4001,Q$1))</f>
        <v/>
      </c>
      <c r="R396" s="49">
        <f>IF(OR($AE396&lt;&gt;1,R$1=""),"",SUMIFS('All Donations'!$S$2:$S$4001,'All Donations'!$R$2:$R$4001,$AD396,'All Donations'!$T$2:$T$4001,R$1))</f>
        <v/>
      </c>
      <c r="S396" s="49">
        <f>IF(OR($AE396&lt;&gt;1,S$1=""),"",SUMIFS('All Donations'!$S$2:$S$4001,'All Donations'!$R$2:$R$4001,$AD396,'All Donations'!$T$2:$T$4001,S$1))</f>
        <v/>
      </c>
      <c r="T396" s="49">
        <f>IF(OR($AE396&lt;&gt;1,T$1=""),"",SUMIFS('All Donations'!$S$2:$S$4001,'All Donations'!$R$2:$R$4001,$AD396,'All Donations'!$T$2:$T$4001,T$1))</f>
        <v/>
      </c>
      <c r="U396" s="49">
        <f>IF(OR($AE396&lt;&gt;1,U$1=""),"",SUMIFS('All Donations'!$S$2:$S$4001,'All Donations'!$R$2:$R$4001,$AD396,'All Donations'!$T$2:$T$4001,U$1))</f>
        <v/>
      </c>
      <c r="V396" s="49">
        <f>IF(OR($AE396&lt;&gt;1,V$1=""),"",SUMIFS('All Donations'!$S$2:$S$4001,'All Donations'!$R$2:$R$4001,$AD396,'All Donations'!$T$2:$T$4001,V$1))</f>
        <v/>
      </c>
      <c r="W396" s="49">
        <f>IF(OR($AE396&lt;&gt;1,W$1=""),"",SUMIFS('All Donations'!$S$2:$S$4001,'All Donations'!$R$2:$R$4001,$AD396,'All Donations'!$T$2:$T$4001,W$1))</f>
        <v/>
      </c>
      <c r="X396" s="49">
        <f>IF(OR($AE396&lt;&gt;1,X$1=""),"",SUMIFS('All Donations'!$S$2:$S$4001,'All Donations'!$R$2:$R$4001,$AD396,'All Donations'!$T$2:$T$4001,X$1))</f>
        <v/>
      </c>
      <c r="Y396" s="49">
        <f>IF(OR($AE396&lt;&gt;1,Y$1=""),"",SUMIFS('All Donations'!$S$2:$S$4001,'All Donations'!$R$2:$R$4001,$AD396,'All Donations'!$T$2:$T$4001,Y$1))</f>
        <v/>
      </c>
      <c r="Z396" s="49">
        <f>IF(OR($AE396&lt;&gt;1,Z$1=""),"",SUMIFS('All Donations'!$S$2:$S$4001,'All Donations'!$R$2:$R$4001,$AD396,'All Donations'!$T$2:$T$4001,Z$1))</f>
        <v/>
      </c>
      <c r="AA396" s="49">
        <f>IF(OR($AE396&lt;&gt;1,AA$1=""),"",SUMIFS('All Donations'!$S$2:$S$4001,'All Donations'!$R$2:$R$4001,$AD396,'All Donations'!$T$2:$T$4001,AA$1))</f>
        <v/>
      </c>
      <c r="AB396" s="49">
        <f>IF(OR($AE396&lt;&gt;1,AB$1=""),"",SUMIFS('All Donations'!$S$2:$S$4001,'All Donations'!$R$2:$R$4001,$AD396,'All Donations'!$T$2:$T$4001,AB$1))</f>
        <v/>
      </c>
      <c r="AC396" s="49">
        <f>IF(OR($AE396&lt;&gt;1,AC$1=""),"",SUMIFS('All Donations'!$S$2:$S$4001,'All Donations'!$R$2:$R$4001,$AD396,'All Donations'!$T$2:$T$4001,AC$1))</f>
        <v/>
      </c>
      <c r="AD396">
        <f>IF(AE396=1,'Roster'!A396,"")</f>
        <v/>
      </c>
      <c r="AE396">
        <f>IF(TRIM('Roster'!B396&amp;'Roster'!C396)&lt;&gt;"",1,0)</f>
        <v/>
      </c>
      <c r="AF396">
        <f>IF(AE396=1,LOWER(A396),"#")</f>
        <v/>
      </c>
      <c r="AG396">
        <f>IF(AE396=1,LOWER(TRIM(TRIM('Roster'!C396)&amp;", "&amp;TRIM('Roster'!B396))),"#")</f>
        <v/>
      </c>
      <c r="AH396">
        <f>IF(AND(AE396=1,TRIM('Roster'!F396)&lt;&gt;""),LOWER(TRIM('Roster'!F396)),"#")</f>
        <v/>
      </c>
      <c r="AI396">
        <f>IF(AE396=1,IF(MATCH(B396,$B$2:$B$701,0)=ROW()-1,1,0),0)</f>
        <v/>
      </c>
      <c r="AJ396">
        <f>AJ395+AI396</f>
        <v/>
      </c>
      <c r="AK396">
        <f>IF(AE396=1,D396+(1000-ROW())/10^7,-1)</f>
        <v/>
      </c>
      <c r="AL396">
        <f>IF(AE396=1,TRIM('Roster'!B396)&amp;" "&amp;LEFT(TRIM('Roster'!C396),1)&amp;".","")</f>
        <v/>
      </c>
      <c r="AM396">
        <f>IF(AE396=1,TRIM('Roster'!C396)&amp;", "&amp;TRIM('Roster'!B396)&amp;" ("&amp;B396&amp;") #"&amp;AD396,"")</f>
        <v/>
      </c>
      <c r="AN396">
        <f>IF(AE396=1,TRIM('Roster'!E396),"")</f>
        <v/>
      </c>
      <c r="AO396">
        <f>IF(AE396=1,ROUND(SUMIFS('All Donations'!$S$2:$S$4001,'All Donations'!$R$2:$R$4001,AD396,'All Donations'!$T$2:$T$4001,"&gt;="&amp;'Settings'!$C$23,'All Donations'!$T$2:$T$4001,"&lt;="&amp;'Settings'!$D$23),2),0)</f>
        <v/>
      </c>
      <c r="AQ396">
        <f>IF(AE396=1,ROUND(SUMIFS('All Donations'!$S$2:$S$4001,'All Donations'!$R$2:$R$4001,AD396,'All Donations'!$T$2:$T$4001,"&gt;="&amp;'Settings'!$C$25,'All Donations'!$T$2:$T$4001,"&lt;="&amp;'Settings'!$D$25),2),0)</f>
        <v/>
      </c>
      <c r="AR396">
        <f>IF(AE396=1,ROUND(SUMIFS('All Donations'!$S$2:$S$4001,'All Donations'!$R$2:$R$4001,AD396,'All Donations'!$T$2:$T$4001,"&gt;="&amp;'Settings'!$C$26,'All Donations'!$T$2:$T$4001,"&lt;="&amp;'Settings'!$D$26),2),0)</f>
        <v/>
      </c>
      <c r="AS396">
        <f>IF(AE396=1,ROUND(SUMIFS('All Donations'!$S$2:$S$4001,'All Donations'!$R$2:$R$4001,AD396,'All Donations'!$T$2:$T$4001,"&lt;="&amp;'Settings'!$D$27),2),0)</f>
        <v/>
      </c>
      <c r="AT396">
        <f>IF(AE396=1,ROUND(SUMIFS('All Donations'!$S$2:$S$4001,'All Donations'!$R$2:$R$4001,AD396,'All Donations'!$T$2:$T$4001,"&gt;="&amp;'Settings'!$C$28,'All Donations'!$T$2:$T$4001,"&lt;="&amp;'Settings'!$D$28),2),0)</f>
        <v/>
      </c>
      <c r="AU396">
        <f>IF(AE396=1,ROUND(SUMIFS('All Donations'!$S$2:$S$4001,'All Donations'!$R$2:$R$4001,AD396,'All Donations'!$T$2:$T$4001,"&gt;="&amp;'Settings'!$C$29,'All Donations'!$T$2:$T$4001,"&lt;="&amp;'Settings'!$D$29),2),0)</f>
        <v/>
      </c>
      <c r="AV396">
        <f>IF(AE396=1,ROUND(SUMIFS('All Donations'!$S$2:$S$4001,'All Donations'!$R$2:$R$4001,AD396,'All Donations'!$T$2:$T$4001,"&lt;="&amp;'Settings'!$D$30),2),0)</f>
        <v/>
      </c>
      <c r="AZ396">
        <f>IF(AE396=1,ROUND(SUMIFS('All Donations'!$S$2:$S$4001,'All Donations'!$R$2:$R$4001,AD396,'All Donations'!$T$2:$T$4001,"&lt;="&amp;'Settings'!$D$34),2),0)</f>
        <v/>
      </c>
    </row>
    <row r="397">
      <c r="A397">
        <f>IF(AE397=1,TRIM(TRIM('Roster'!B397)&amp;" "&amp;TRIM('Roster'!C397)),"")</f>
        <v/>
      </c>
      <c r="B397">
        <f>IF(AE397=1,IF(AN397="","(no teacher)",AN397&amp;" – "&amp;C397),"")</f>
        <v/>
      </c>
      <c r="C397">
        <f>IF(AE397=1,TRIM('Roster'!D397&amp;""),"")</f>
        <v/>
      </c>
      <c r="D397" s="48">
        <f>IF(AE397=1,ROUND(SUMIFS('All Donations'!$S$2:$S$4001,'All Donations'!$R$2:$R$4001,AD397),2),"")</f>
        <v/>
      </c>
      <c r="E397" s="48">
        <f>IF(AE397=1,ROUND(SUMIFS('All Donations'!$S$2:$S$4001,'All Donations'!$R$2:$R$4001,AD397,'All Donations'!$G$2:$G$4001,"OneCause"),2),"")</f>
        <v/>
      </c>
      <c r="F397" s="48">
        <f>IF(AE397=1,D397-E397,"")</f>
        <v/>
      </c>
      <c r="G397">
        <f>IF(AE397=1,COUNTIFS('All Donations'!$R$2:$R$4001,AD397,'All Donations'!$H$2:$H$4001,"OK"),"")</f>
        <v/>
      </c>
      <c r="H397">
        <f>IF(AE397&lt;&gt;1,"",IF(D397&gt;0,"Yes",""))</f>
        <v/>
      </c>
      <c r="I397" s="49">
        <f>IF(OR($AE397&lt;&gt;1,I$1=""),"",SUMIFS('All Donations'!$S$2:$S$4001,'All Donations'!$R$2:$R$4001,$AD397,'All Donations'!$T$2:$T$4001,I$1))</f>
        <v/>
      </c>
      <c r="J397" s="49">
        <f>IF(OR($AE397&lt;&gt;1,J$1=""),"",SUMIFS('All Donations'!$S$2:$S$4001,'All Donations'!$R$2:$R$4001,$AD397,'All Donations'!$T$2:$T$4001,J$1))</f>
        <v/>
      </c>
      <c r="K397" s="49">
        <f>IF(OR($AE397&lt;&gt;1,K$1=""),"",SUMIFS('All Donations'!$S$2:$S$4001,'All Donations'!$R$2:$R$4001,$AD397,'All Donations'!$T$2:$T$4001,K$1))</f>
        <v/>
      </c>
      <c r="L397" s="49">
        <f>IF(OR($AE397&lt;&gt;1,L$1=""),"",SUMIFS('All Donations'!$S$2:$S$4001,'All Donations'!$R$2:$R$4001,$AD397,'All Donations'!$T$2:$T$4001,L$1))</f>
        <v/>
      </c>
      <c r="M397" s="49">
        <f>IF(OR($AE397&lt;&gt;1,M$1=""),"",SUMIFS('All Donations'!$S$2:$S$4001,'All Donations'!$R$2:$R$4001,$AD397,'All Donations'!$T$2:$T$4001,M$1))</f>
        <v/>
      </c>
      <c r="N397" s="49">
        <f>IF(OR($AE397&lt;&gt;1,N$1=""),"",SUMIFS('All Donations'!$S$2:$S$4001,'All Donations'!$R$2:$R$4001,$AD397,'All Donations'!$T$2:$T$4001,N$1))</f>
        <v/>
      </c>
      <c r="O397" s="49">
        <f>IF(OR($AE397&lt;&gt;1,O$1=""),"",SUMIFS('All Donations'!$S$2:$S$4001,'All Donations'!$R$2:$R$4001,$AD397,'All Donations'!$T$2:$T$4001,O$1))</f>
        <v/>
      </c>
      <c r="P397" s="49">
        <f>IF(OR($AE397&lt;&gt;1,P$1=""),"",SUMIFS('All Donations'!$S$2:$S$4001,'All Donations'!$R$2:$R$4001,$AD397,'All Donations'!$T$2:$T$4001,P$1))</f>
        <v/>
      </c>
      <c r="Q397" s="49">
        <f>IF(OR($AE397&lt;&gt;1,Q$1=""),"",SUMIFS('All Donations'!$S$2:$S$4001,'All Donations'!$R$2:$R$4001,$AD397,'All Donations'!$T$2:$T$4001,Q$1))</f>
        <v/>
      </c>
      <c r="R397" s="49">
        <f>IF(OR($AE397&lt;&gt;1,R$1=""),"",SUMIFS('All Donations'!$S$2:$S$4001,'All Donations'!$R$2:$R$4001,$AD397,'All Donations'!$T$2:$T$4001,R$1))</f>
        <v/>
      </c>
      <c r="S397" s="49">
        <f>IF(OR($AE397&lt;&gt;1,S$1=""),"",SUMIFS('All Donations'!$S$2:$S$4001,'All Donations'!$R$2:$R$4001,$AD397,'All Donations'!$T$2:$T$4001,S$1))</f>
        <v/>
      </c>
      <c r="T397" s="49">
        <f>IF(OR($AE397&lt;&gt;1,T$1=""),"",SUMIFS('All Donations'!$S$2:$S$4001,'All Donations'!$R$2:$R$4001,$AD397,'All Donations'!$T$2:$T$4001,T$1))</f>
        <v/>
      </c>
      <c r="U397" s="49">
        <f>IF(OR($AE397&lt;&gt;1,U$1=""),"",SUMIFS('All Donations'!$S$2:$S$4001,'All Donations'!$R$2:$R$4001,$AD397,'All Donations'!$T$2:$T$4001,U$1))</f>
        <v/>
      </c>
      <c r="V397" s="49">
        <f>IF(OR($AE397&lt;&gt;1,V$1=""),"",SUMIFS('All Donations'!$S$2:$S$4001,'All Donations'!$R$2:$R$4001,$AD397,'All Donations'!$T$2:$T$4001,V$1))</f>
        <v/>
      </c>
      <c r="W397" s="49">
        <f>IF(OR($AE397&lt;&gt;1,W$1=""),"",SUMIFS('All Donations'!$S$2:$S$4001,'All Donations'!$R$2:$R$4001,$AD397,'All Donations'!$T$2:$T$4001,W$1))</f>
        <v/>
      </c>
      <c r="X397" s="49">
        <f>IF(OR($AE397&lt;&gt;1,X$1=""),"",SUMIFS('All Donations'!$S$2:$S$4001,'All Donations'!$R$2:$R$4001,$AD397,'All Donations'!$T$2:$T$4001,X$1))</f>
        <v/>
      </c>
      <c r="Y397" s="49">
        <f>IF(OR($AE397&lt;&gt;1,Y$1=""),"",SUMIFS('All Donations'!$S$2:$S$4001,'All Donations'!$R$2:$R$4001,$AD397,'All Donations'!$T$2:$T$4001,Y$1))</f>
        <v/>
      </c>
      <c r="Z397" s="49">
        <f>IF(OR($AE397&lt;&gt;1,Z$1=""),"",SUMIFS('All Donations'!$S$2:$S$4001,'All Donations'!$R$2:$R$4001,$AD397,'All Donations'!$T$2:$T$4001,Z$1))</f>
        <v/>
      </c>
      <c r="AA397" s="49">
        <f>IF(OR($AE397&lt;&gt;1,AA$1=""),"",SUMIFS('All Donations'!$S$2:$S$4001,'All Donations'!$R$2:$R$4001,$AD397,'All Donations'!$T$2:$T$4001,AA$1))</f>
        <v/>
      </c>
      <c r="AB397" s="49">
        <f>IF(OR($AE397&lt;&gt;1,AB$1=""),"",SUMIFS('All Donations'!$S$2:$S$4001,'All Donations'!$R$2:$R$4001,$AD397,'All Donations'!$T$2:$T$4001,AB$1))</f>
        <v/>
      </c>
      <c r="AC397" s="49">
        <f>IF(OR($AE397&lt;&gt;1,AC$1=""),"",SUMIFS('All Donations'!$S$2:$S$4001,'All Donations'!$R$2:$R$4001,$AD397,'All Donations'!$T$2:$T$4001,AC$1))</f>
        <v/>
      </c>
      <c r="AD397">
        <f>IF(AE397=1,'Roster'!A397,"")</f>
        <v/>
      </c>
      <c r="AE397">
        <f>IF(TRIM('Roster'!B397&amp;'Roster'!C397)&lt;&gt;"",1,0)</f>
        <v/>
      </c>
      <c r="AF397">
        <f>IF(AE397=1,LOWER(A397),"#")</f>
        <v/>
      </c>
      <c r="AG397">
        <f>IF(AE397=1,LOWER(TRIM(TRIM('Roster'!C397)&amp;", "&amp;TRIM('Roster'!B397))),"#")</f>
        <v/>
      </c>
      <c r="AH397">
        <f>IF(AND(AE397=1,TRIM('Roster'!F397)&lt;&gt;""),LOWER(TRIM('Roster'!F397)),"#")</f>
        <v/>
      </c>
      <c r="AI397">
        <f>IF(AE397=1,IF(MATCH(B397,$B$2:$B$701,0)=ROW()-1,1,0),0)</f>
        <v/>
      </c>
      <c r="AJ397">
        <f>AJ396+AI397</f>
        <v/>
      </c>
      <c r="AK397">
        <f>IF(AE397=1,D397+(1000-ROW())/10^7,-1)</f>
        <v/>
      </c>
      <c r="AL397">
        <f>IF(AE397=1,TRIM('Roster'!B397)&amp;" "&amp;LEFT(TRIM('Roster'!C397),1)&amp;".","")</f>
        <v/>
      </c>
      <c r="AM397">
        <f>IF(AE397=1,TRIM('Roster'!C397)&amp;", "&amp;TRIM('Roster'!B397)&amp;" ("&amp;B397&amp;") #"&amp;AD397,"")</f>
        <v/>
      </c>
      <c r="AN397">
        <f>IF(AE397=1,TRIM('Roster'!E397),"")</f>
        <v/>
      </c>
      <c r="AO397">
        <f>IF(AE397=1,ROUND(SUMIFS('All Donations'!$S$2:$S$4001,'All Donations'!$R$2:$R$4001,AD397,'All Donations'!$T$2:$T$4001,"&gt;="&amp;'Settings'!$C$23,'All Donations'!$T$2:$T$4001,"&lt;="&amp;'Settings'!$D$23),2),0)</f>
        <v/>
      </c>
      <c r="AQ397">
        <f>IF(AE397=1,ROUND(SUMIFS('All Donations'!$S$2:$S$4001,'All Donations'!$R$2:$R$4001,AD397,'All Donations'!$T$2:$T$4001,"&gt;="&amp;'Settings'!$C$25,'All Donations'!$T$2:$T$4001,"&lt;="&amp;'Settings'!$D$25),2),0)</f>
        <v/>
      </c>
      <c r="AR397">
        <f>IF(AE397=1,ROUND(SUMIFS('All Donations'!$S$2:$S$4001,'All Donations'!$R$2:$R$4001,AD397,'All Donations'!$T$2:$T$4001,"&gt;="&amp;'Settings'!$C$26,'All Donations'!$T$2:$T$4001,"&lt;="&amp;'Settings'!$D$26),2),0)</f>
        <v/>
      </c>
      <c r="AS397">
        <f>IF(AE397=1,ROUND(SUMIFS('All Donations'!$S$2:$S$4001,'All Donations'!$R$2:$R$4001,AD397,'All Donations'!$T$2:$T$4001,"&lt;="&amp;'Settings'!$D$27),2),0)</f>
        <v/>
      </c>
      <c r="AT397">
        <f>IF(AE397=1,ROUND(SUMIFS('All Donations'!$S$2:$S$4001,'All Donations'!$R$2:$R$4001,AD397,'All Donations'!$T$2:$T$4001,"&gt;="&amp;'Settings'!$C$28,'All Donations'!$T$2:$T$4001,"&lt;="&amp;'Settings'!$D$28),2),0)</f>
        <v/>
      </c>
      <c r="AU397">
        <f>IF(AE397=1,ROUND(SUMIFS('All Donations'!$S$2:$S$4001,'All Donations'!$R$2:$R$4001,AD397,'All Donations'!$T$2:$T$4001,"&gt;="&amp;'Settings'!$C$29,'All Donations'!$T$2:$T$4001,"&lt;="&amp;'Settings'!$D$29),2),0)</f>
        <v/>
      </c>
      <c r="AV397">
        <f>IF(AE397=1,ROUND(SUMIFS('All Donations'!$S$2:$S$4001,'All Donations'!$R$2:$R$4001,AD397,'All Donations'!$T$2:$T$4001,"&lt;="&amp;'Settings'!$D$30),2),0)</f>
        <v/>
      </c>
      <c r="AZ397">
        <f>IF(AE397=1,ROUND(SUMIFS('All Donations'!$S$2:$S$4001,'All Donations'!$R$2:$R$4001,AD397,'All Donations'!$T$2:$T$4001,"&lt;="&amp;'Settings'!$D$34),2),0)</f>
        <v/>
      </c>
    </row>
    <row r="398">
      <c r="A398">
        <f>IF(AE398=1,TRIM(TRIM('Roster'!B398)&amp;" "&amp;TRIM('Roster'!C398)),"")</f>
        <v/>
      </c>
      <c r="B398">
        <f>IF(AE398=1,IF(AN398="","(no teacher)",AN398&amp;" – "&amp;C398),"")</f>
        <v/>
      </c>
      <c r="C398">
        <f>IF(AE398=1,TRIM('Roster'!D398&amp;""),"")</f>
        <v/>
      </c>
      <c r="D398" s="48">
        <f>IF(AE398=1,ROUND(SUMIFS('All Donations'!$S$2:$S$4001,'All Donations'!$R$2:$R$4001,AD398),2),"")</f>
        <v/>
      </c>
      <c r="E398" s="48">
        <f>IF(AE398=1,ROUND(SUMIFS('All Donations'!$S$2:$S$4001,'All Donations'!$R$2:$R$4001,AD398,'All Donations'!$G$2:$G$4001,"OneCause"),2),"")</f>
        <v/>
      </c>
      <c r="F398" s="48">
        <f>IF(AE398=1,D398-E398,"")</f>
        <v/>
      </c>
      <c r="G398">
        <f>IF(AE398=1,COUNTIFS('All Donations'!$R$2:$R$4001,AD398,'All Donations'!$H$2:$H$4001,"OK"),"")</f>
        <v/>
      </c>
      <c r="H398">
        <f>IF(AE398&lt;&gt;1,"",IF(D398&gt;0,"Yes",""))</f>
        <v/>
      </c>
      <c r="I398" s="49">
        <f>IF(OR($AE398&lt;&gt;1,I$1=""),"",SUMIFS('All Donations'!$S$2:$S$4001,'All Donations'!$R$2:$R$4001,$AD398,'All Donations'!$T$2:$T$4001,I$1))</f>
        <v/>
      </c>
      <c r="J398" s="49">
        <f>IF(OR($AE398&lt;&gt;1,J$1=""),"",SUMIFS('All Donations'!$S$2:$S$4001,'All Donations'!$R$2:$R$4001,$AD398,'All Donations'!$T$2:$T$4001,J$1))</f>
        <v/>
      </c>
      <c r="K398" s="49">
        <f>IF(OR($AE398&lt;&gt;1,K$1=""),"",SUMIFS('All Donations'!$S$2:$S$4001,'All Donations'!$R$2:$R$4001,$AD398,'All Donations'!$T$2:$T$4001,K$1))</f>
        <v/>
      </c>
      <c r="L398" s="49">
        <f>IF(OR($AE398&lt;&gt;1,L$1=""),"",SUMIFS('All Donations'!$S$2:$S$4001,'All Donations'!$R$2:$R$4001,$AD398,'All Donations'!$T$2:$T$4001,L$1))</f>
        <v/>
      </c>
      <c r="M398" s="49">
        <f>IF(OR($AE398&lt;&gt;1,M$1=""),"",SUMIFS('All Donations'!$S$2:$S$4001,'All Donations'!$R$2:$R$4001,$AD398,'All Donations'!$T$2:$T$4001,M$1))</f>
        <v/>
      </c>
      <c r="N398" s="49">
        <f>IF(OR($AE398&lt;&gt;1,N$1=""),"",SUMIFS('All Donations'!$S$2:$S$4001,'All Donations'!$R$2:$R$4001,$AD398,'All Donations'!$T$2:$T$4001,N$1))</f>
        <v/>
      </c>
      <c r="O398" s="49">
        <f>IF(OR($AE398&lt;&gt;1,O$1=""),"",SUMIFS('All Donations'!$S$2:$S$4001,'All Donations'!$R$2:$R$4001,$AD398,'All Donations'!$T$2:$T$4001,O$1))</f>
        <v/>
      </c>
      <c r="P398" s="49">
        <f>IF(OR($AE398&lt;&gt;1,P$1=""),"",SUMIFS('All Donations'!$S$2:$S$4001,'All Donations'!$R$2:$R$4001,$AD398,'All Donations'!$T$2:$T$4001,P$1))</f>
        <v/>
      </c>
      <c r="Q398" s="49">
        <f>IF(OR($AE398&lt;&gt;1,Q$1=""),"",SUMIFS('All Donations'!$S$2:$S$4001,'All Donations'!$R$2:$R$4001,$AD398,'All Donations'!$T$2:$T$4001,Q$1))</f>
        <v/>
      </c>
      <c r="R398" s="49">
        <f>IF(OR($AE398&lt;&gt;1,R$1=""),"",SUMIFS('All Donations'!$S$2:$S$4001,'All Donations'!$R$2:$R$4001,$AD398,'All Donations'!$T$2:$T$4001,R$1))</f>
        <v/>
      </c>
      <c r="S398" s="49">
        <f>IF(OR($AE398&lt;&gt;1,S$1=""),"",SUMIFS('All Donations'!$S$2:$S$4001,'All Donations'!$R$2:$R$4001,$AD398,'All Donations'!$T$2:$T$4001,S$1))</f>
        <v/>
      </c>
      <c r="T398" s="49">
        <f>IF(OR($AE398&lt;&gt;1,T$1=""),"",SUMIFS('All Donations'!$S$2:$S$4001,'All Donations'!$R$2:$R$4001,$AD398,'All Donations'!$T$2:$T$4001,T$1))</f>
        <v/>
      </c>
      <c r="U398" s="49">
        <f>IF(OR($AE398&lt;&gt;1,U$1=""),"",SUMIFS('All Donations'!$S$2:$S$4001,'All Donations'!$R$2:$R$4001,$AD398,'All Donations'!$T$2:$T$4001,U$1))</f>
        <v/>
      </c>
      <c r="V398" s="49">
        <f>IF(OR($AE398&lt;&gt;1,V$1=""),"",SUMIFS('All Donations'!$S$2:$S$4001,'All Donations'!$R$2:$R$4001,$AD398,'All Donations'!$T$2:$T$4001,V$1))</f>
        <v/>
      </c>
      <c r="W398" s="49">
        <f>IF(OR($AE398&lt;&gt;1,W$1=""),"",SUMIFS('All Donations'!$S$2:$S$4001,'All Donations'!$R$2:$R$4001,$AD398,'All Donations'!$T$2:$T$4001,W$1))</f>
        <v/>
      </c>
      <c r="X398" s="49">
        <f>IF(OR($AE398&lt;&gt;1,X$1=""),"",SUMIFS('All Donations'!$S$2:$S$4001,'All Donations'!$R$2:$R$4001,$AD398,'All Donations'!$T$2:$T$4001,X$1))</f>
        <v/>
      </c>
      <c r="Y398" s="49">
        <f>IF(OR($AE398&lt;&gt;1,Y$1=""),"",SUMIFS('All Donations'!$S$2:$S$4001,'All Donations'!$R$2:$R$4001,$AD398,'All Donations'!$T$2:$T$4001,Y$1))</f>
        <v/>
      </c>
      <c r="Z398" s="49">
        <f>IF(OR($AE398&lt;&gt;1,Z$1=""),"",SUMIFS('All Donations'!$S$2:$S$4001,'All Donations'!$R$2:$R$4001,$AD398,'All Donations'!$T$2:$T$4001,Z$1))</f>
        <v/>
      </c>
      <c r="AA398" s="49">
        <f>IF(OR($AE398&lt;&gt;1,AA$1=""),"",SUMIFS('All Donations'!$S$2:$S$4001,'All Donations'!$R$2:$R$4001,$AD398,'All Donations'!$T$2:$T$4001,AA$1))</f>
        <v/>
      </c>
      <c r="AB398" s="49">
        <f>IF(OR($AE398&lt;&gt;1,AB$1=""),"",SUMIFS('All Donations'!$S$2:$S$4001,'All Donations'!$R$2:$R$4001,$AD398,'All Donations'!$T$2:$T$4001,AB$1))</f>
        <v/>
      </c>
      <c r="AC398" s="49">
        <f>IF(OR($AE398&lt;&gt;1,AC$1=""),"",SUMIFS('All Donations'!$S$2:$S$4001,'All Donations'!$R$2:$R$4001,$AD398,'All Donations'!$T$2:$T$4001,AC$1))</f>
        <v/>
      </c>
      <c r="AD398">
        <f>IF(AE398=1,'Roster'!A398,"")</f>
        <v/>
      </c>
      <c r="AE398">
        <f>IF(TRIM('Roster'!B398&amp;'Roster'!C398)&lt;&gt;"",1,0)</f>
        <v/>
      </c>
      <c r="AF398">
        <f>IF(AE398=1,LOWER(A398),"#")</f>
        <v/>
      </c>
      <c r="AG398">
        <f>IF(AE398=1,LOWER(TRIM(TRIM('Roster'!C398)&amp;", "&amp;TRIM('Roster'!B398))),"#")</f>
        <v/>
      </c>
      <c r="AH398">
        <f>IF(AND(AE398=1,TRIM('Roster'!F398)&lt;&gt;""),LOWER(TRIM('Roster'!F398)),"#")</f>
        <v/>
      </c>
      <c r="AI398">
        <f>IF(AE398=1,IF(MATCH(B398,$B$2:$B$701,0)=ROW()-1,1,0),0)</f>
        <v/>
      </c>
      <c r="AJ398">
        <f>AJ397+AI398</f>
        <v/>
      </c>
      <c r="AK398">
        <f>IF(AE398=1,D398+(1000-ROW())/10^7,-1)</f>
        <v/>
      </c>
      <c r="AL398">
        <f>IF(AE398=1,TRIM('Roster'!B398)&amp;" "&amp;LEFT(TRIM('Roster'!C398),1)&amp;".","")</f>
        <v/>
      </c>
      <c r="AM398">
        <f>IF(AE398=1,TRIM('Roster'!C398)&amp;", "&amp;TRIM('Roster'!B398)&amp;" ("&amp;B398&amp;") #"&amp;AD398,"")</f>
        <v/>
      </c>
      <c r="AN398">
        <f>IF(AE398=1,TRIM('Roster'!E398),"")</f>
        <v/>
      </c>
      <c r="AO398">
        <f>IF(AE398=1,ROUND(SUMIFS('All Donations'!$S$2:$S$4001,'All Donations'!$R$2:$R$4001,AD398,'All Donations'!$T$2:$T$4001,"&gt;="&amp;'Settings'!$C$23,'All Donations'!$T$2:$T$4001,"&lt;="&amp;'Settings'!$D$23),2),0)</f>
        <v/>
      </c>
      <c r="AQ398">
        <f>IF(AE398=1,ROUND(SUMIFS('All Donations'!$S$2:$S$4001,'All Donations'!$R$2:$R$4001,AD398,'All Donations'!$T$2:$T$4001,"&gt;="&amp;'Settings'!$C$25,'All Donations'!$T$2:$T$4001,"&lt;="&amp;'Settings'!$D$25),2),0)</f>
        <v/>
      </c>
      <c r="AR398">
        <f>IF(AE398=1,ROUND(SUMIFS('All Donations'!$S$2:$S$4001,'All Donations'!$R$2:$R$4001,AD398,'All Donations'!$T$2:$T$4001,"&gt;="&amp;'Settings'!$C$26,'All Donations'!$T$2:$T$4001,"&lt;="&amp;'Settings'!$D$26),2),0)</f>
        <v/>
      </c>
      <c r="AS398">
        <f>IF(AE398=1,ROUND(SUMIFS('All Donations'!$S$2:$S$4001,'All Donations'!$R$2:$R$4001,AD398,'All Donations'!$T$2:$T$4001,"&lt;="&amp;'Settings'!$D$27),2),0)</f>
        <v/>
      </c>
      <c r="AT398">
        <f>IF(AE398=1,ROUND(SUMIFS('All Donations'!$S$2:$S$4001,'All Donations'!$R$2:$R$4001,AD398,'All Donations'!$T$2:$T$4001,"&gt;="&amp;'Settings'!$C$28,'All Donations'!$T$2:$T$4001,"&lt;="&amp;'Settings'!$D$28),2),0)</f>
        <v/>
      </c>
      <c r="AU398">
        <f>IF(AE398=1,ROUND(SUMIFS('All Donations'!$S$2:$S$4001,'All Donations'!$R$2:$R$4001,AD398,'All Donations'!$T$2:$T$4001,"&gt;="&amp;'Settings'!$C$29,'All Donations'!$T$2:$T$4001,"&lt;="&amp;'Settings'!$D$29),2),0)</f>
        <v/>
      </c>
      <c r="AV398">
        <f>IF(AE398=1,ROUND(SUMIFS('All Donations'!$S$2:$S$4001,'All Donations'!$R$2:$R$4001,AD398,'All Donations'!$T$2:$T$4001,"&lt;="&amp;'Settings'!$D$30),2),0)</f>
        <v/>
      </c>
      <c r="AZ398">
        <f>IF(AE398=1,ROUND(SUMIFS('All Donations'!$S$2:$S$4001,'All Donations'!$R$2:$R$4001,AD398,'All Donations'!$T$2:$T$4001,"&lt;="&amp;'Settings'!$D$34),2),0)</f>
        <v/>
      </c>
    </row>
    <row r="399">
      <c r="A399">
        <f>IF(AE399=1,TRIM(TRIM('Roster'!B399)&amp;" "&amp;TRIM('Roster'!C399)),"")</f>
        <v/>
      </c>
      <c r="B399">
        <f>IF(AE399=1,IF(AN399="","(no teacher)",AN399&amp;" – "&amp;C399),"")</f>
        <v/>
      </c>
      <c r="C399">
        <f>IF(AE399=1,TRIM('Roster'!D399&amp;""),"")</f>
        <v/>
      </c>
      <c r="D399" s="48">
        <f>IF(AE399=1,ROUND(SUMIFS('All Donations'!$S$2:$S$4001,'All Donations'!$R$2:$R$4001,AD399),2),"")</f>
        <v/>
      </c>
      <c r="E399" s="48">
        <f>IF(AE399=1,ROUND(SUMIFS('All Donations'!$S$2:$S$4001,'All Donations'!$R$2:$R$4001,AD399,'All Donations'!$G$2:$G$4001,"OneCause"),2),"")</f>
        <v/>
      </c>
      <c r="F399" s="48">
        <f>IF(AE399=1,D399-E399,"")</f>
        <v/>
      </c>
      <c r="G399">
        <f>IF(AE399=1,COUNTIFS('All Donations'!$R$2:$R$4001,AD399,'All Donations'!$H$2:$H$4001,"OK"),"")</f>
        <v/>
      </c>
      <c r="H399">
        <f>IF(AE399&lt;&gt;1,"",IF(D399&gt;0,"Yes",""))</f>
        <v/>
      </c>
      <c r="I399" s="49">
        <f>IF(OR($AE399&lt;&gt;1,I$1=""),"",SUMIFS('All Donations'!$S$2:$S$4001,'All Donations'!$R$2:$R$4001,$AD399,'All Donations'!$T$2:$T$4001,I$1))</f>
        <v/>
      </c>
      <c r="J399" s="49">
        <f>IF(OR($AE399&lt;&gt;1,J$1=""),"",SUMIFS('All Donations'!$S$2:$S$4001,'All Donations'!$R$2:$R$4001,$AD399,'All Donations'!$T$2:$T$4001,J$1))</f>
        <v/>
      </c>
      <c r="K399" s="49">
        <f>IF(OR($AE399&lt;&gt;1,K$1=""),"",SUMIFS('All Donations'!$S$2:$S$4001,'All Donations'!$R$2:$R$4001,$AD399,'All Donations'!$T$2:$T$4001,K$1))</f>
        <v/>
      </c>
      <c r="L399" s="49">
        <f>IF(OR($AE399&lt;&gt;1,L$1=""),"",SUMIFS('All Donations'!$S$2:$S$4001,'All Donations'!$R$2:$R$4001,$AD399,'All Donations'!$T$2:$T$4001,L$1))</f>
        <v/>
      </c>
      <c r="M399" s="49">
        <f>IF(OR($AE399&lt;&gt;1,M$1=""),"",SUMIFS('All Donations'!$S$2:$S$4001,'All Donations'!$R$2:$R$4001,$AD399,'All Donations'!$T$2:$T$4001,M$1))</f>
        <v/>
      </c>
      <c r="N399" s="49">
        <f>IF(OR($AE399&lt;&gt;1,N$1=""),"",SUMIFS('All Donations'!$S$2:$S$4001,'All Donations'!$R$2:$R$4001,$AD399,'All Donations'!$T$2:$T$4001,N$1))</f>
        <v/>
      </c>
      <c r="O399" s="49">
        <f>IF(OR($AE399&lt;&gt;1,O$1=""),"",SUMIFS('All Donations'!$S$2:$S$4001,'All Donations'!$R$2:$R$4001,$AD399,'All Donations'!$T$2:$T$4001,O$1))</f>
        <v/>
      </c>
      <c r="P399" s="49">
        <f>IF(OR($AE399&lt;&gt;1,P$1=""),"",SUMIFS('All Donations'!$S$2:$S$4001,'All Donations'!$R$2:$R$4001,$AD399,'All Donations'!$T$2:$T$4001,P$1))</f>
        <v/>
      </c>
      <c r="Q399" s="49">
        <f>IF(OR($AE399&lt;&gt;1,Q$1=""),"",SUMIFS('All Donations'!$S$2:$S$4001,'All Donations'!$R$2:$R$4001,$AD399,'All Donations'!$T$2:$T$4001,Q$1))</f>
        <v/>
      </c>
      <c r="R399" s="49">
        <f>IF(OR($AE399&lt;&gt;1,R$1=""),"",SUMIFS('All Donations'!$S$2:$S$4001,'All Donations'!$R$2:$R$4001,$AD399,'All Donations'!$T$2:$T$4001,R$1))</f>
        <v/>
      </c>
      <c r="S399" s="49">
        <f>IF(OR($AE399&lt;&gt;1,S$1=""),"",SUMIFS('All Donations'!$S$2:$S$4001,'All Donations'!$R$2:$R$4001,$AD399,'All Donations'!$T$2:$T$4001,S$1))</f>
        <v/>
      </c>
      <c r="T399" s="49">
        <f>IF(OR($AE399&lt;&gt;1,T$1=""),"",SUMIFS('All Donations'!$S$2:$S$4001,'All Donations'!$R$2:$R$4001,$AD399,'All Donations'!$T$2:$T$4001,T$1))</f>
        <v/>
      </c>
      <c r="U399" s="49">
        <f>IF(OR($AE399&lt;&gt;1,U$1=""),"",SUMIFS('All Donations'!$S$2:$S$4001,'All Donations'!$R$2:$R$4001,$AD399,'All Donations'!$T$2:$T$4001,U$1))</f>
        <v/>
      </c>
      <c r="V399" s="49">
        <f>IF(OR($AE399&lt;&gt;1,V$1=""),"",SUMIFS('All Donations'!$S$2:$S$4001,'All Donations'!$R$2:$R$4001,$AD399,'All Donations'!$T$2:$T$4001,V$1))</f>
        <v/>
      </c>
      <c r="W399" s="49">
        <f>IF(OR($AE399&lt;&gt;1,W$1=""),"",SUMIFS('All Donations'!$S$2:$S$4001,'All Donations'!$R$2:$R$4001,$AD399,'All Donations'!$T$2:$T$4001,W$1))</f>
        <v/>
      </c>
      <c r="X399" s="49">
        <f>IF(OR($AE399&lt;&gt;1,X$1=""),"",SUMIFS('All Donations'!$S$2:$S$4001,'All Donations'!$R$2:$R$4001,$AD399,'All Donations'!$T$2:$T$4001,X$1))</f>
        <v/>
      </c>
      <c r="Y399" s="49">
        <f>IF(OR($AE399&lt;&gt;1,Y$1=""),"",SUMIFS('All Donations'!$S$2:$S$4001,'All Donations'!$R$2:$R$4001,$AD399,'All Donations'!$T$2:$T$4001,Y$1))</f>
        <v/>
      </c>
      <c r="Z399" s="49">
        <f>IF(OR($AE399&lt;&gt;1,Z$1=""),"",SUMIFS('All Donations'!$S$2:$S$4001,'All Donations'!$R$2:$R$4001,$AD399,'All Donations'!$T$2:$T$4001,Z$1))</f>
        <v/>
      </c>
      <c r="AA399" s="49">
        <f>IF(OR($AE399&lt;&gt;1,AA$1=""),"",SUMIFS('All Donations'!$S$2:$S$4001,'All Donations'!$R$2:$R$4001,$AD399,'All Donations'!$T$2:$T$4001,AA$1))</f>
        <v/>
      </c>
      <c r="AB399" s="49">
        <f>IF(OR($AE399&lt;&gt;1,AB$1=""),"",SUMIFS('All Donations'!$S$2:$S$4001,'All Donations'!$R$2:$R$4001,$AD399,'All Donations'!$T$2:$T$4001,AB$1))</f>
        <v/>
      </c>
      <c r="AC399" s="49">
        <f>IF(OR($AE399&lt;&gt;1,AC$1=""),"",SUMIFS('All Donations'!$S$2:$S$4001,'All Donations'!$R$2:$R$4001,$AD399,'All Donations'!$T$2:$T$4001,AC$1))</f>
        <v/>
      </c>
      <c r="AD399">
        <f>IF(AE399=1,'Roster'!A399,"")</f>
        <v/>
      </c>
      <c r="AE399">
        <f>IF(TRIM('Roster'!B399&amp;'Roster'!C399)&lt;&gt;"",1,0)</f>
        <v/>
      </c>
      <c r="AF399">
        <f>IF(AE399=1,LOWER(A399),"#")</f>
        <v/>
      </c>
      <c r="AG399">
        <f>IF(AE399=1,LOWER(TRIM(TRIM('Roster'!C399)&amp;", "&amp;TRIM('Roster'!B399))),"#")</f>
        <v/>
      </c>
      <c r="AH399">
        <f>IF(AND(AE399=1,TRIM('Roster'!F399)&lt;&gt;""),LOWER(TRIM('Roster'!F399)),"#")</f>
        <v/>
      </c>
      <c r="AI399">
        <f>IF(AE399=1,IF(MATCH(B399,$B$2:$B$701,0)=ROW()-1,1,0),0)</f>
        <v/>
      </c>
      <c r="AJ399">
        <f>AJ398+AI399</f>
        <v/>
      </c>
      <c r="AK399">
        <f>IF(AE399=1,D399+(1000-ROW())/10^7,-1)</f>
        <v/>
      </c>
      <c r="AL399">
        <f>IF(AE399=1,TRIM('Roster'!B399)&amp;" "&amp;LEFT(TRIM('Roster'!C399),1)&amp;".","")</f>
        <v/>
      </c>
      <c r="AM399">
        <f>IF(AE399=1,TRIM('Roster'!C399)&amp;", "&amp;TRIM('Roster'!B399)&amp;" ("&amp;B399&amp;") #"&amp;AD399,"")</f>
        <v/>
      </c>
      <c r="AN399">
        <f>IF(AE399=1,TRIM('Roster'!E399),"")</f>
        <v/>
      </c>
      <c r="AO399">
        <f>IF(AE399=1,ROUND(SUMIFS('All Donations'!$S$2:$S$4001,'All Donations'!$R$2:$R$4001,AD399,'All Donations'!$T$2:$T$4001,"&gt;="&amp;'Settings'!$C$23,'All Donations'!$T$2:$T$4001,"&lt;="&amp;'Settings'!$D$23),2),0)</f>
        <v/>
      </c>
      <c r="AQ399">
        <f>IF(AE399=1,ROUND(SUMIFS('All Donations'!$S$2:$S$4001,'All Donations'!$R$2:$R$4001,AD399,'All Donations'!$T$2:$T$4001,"&gt;="&amp;'Settings'!$C$25,'All Donations'!$T$2:$T$4001,"&lt;="&amp;'Settings'!$D$25),2),0)</f>
        <v/>
      </c>
      <c r="AR399">
        <f>IF(AE399=1,ROUND(SUMIFS('All Donations'!$S$2:$S$4001,'All Donations'!$R$2:$R$4001,AD399,'All Donations'!$T$2:$T$4001,"&gt;="&amp;'Settings'!$C$26,'All Donations'!$T$2:$T$4001,"&lt;="&amp;'Settings'!$D$26),2),0)</f>
        <v/>
      </c>
      <c r="AS399">
        <f>IF(AE399=1,ROUND(SUMIFS('All Donations'!$S$2:$S$4001,'All Donations'!$R$2:$R$4001,AD399,'All Donations'!$T$2:$T$4001,"&lt;="&amp;'Settings'!$D$27),2),0)</f>
        <v/>
      </c>
      <c r="AT399">
        <f>IF(AE399=1,ROUND(SUMIFS('All Donations'!$S$2:$S$4001,'All Donations'!$R$2:$R$4001,AD399,'All Donations'!$T$2:$T$4001,"&gt;="&amp;'Settings'!$C$28,'All Donations'!$T$2:$T$4001,"&lt;="&amp;'Settings'!$D$28),2),0)</f>
        <v/>
      </c>
      <c r="AU399">
        <f>IF(AE399=1,ROUND(SUMIFS('All Donations'!$S$2:$S$4001,'All Donations'!$R$2:$R$4001,AD399,'All Donations'!$T$2:$T$4001,"&gt;="&amp;'Settings'!$C$29,'All Donations'!$T$2:$T$4001,"&lt;="&amp;'Settings'!$D$29),2),0)</f>
        <v/>
      </c>
      <c r="AV399">
        <f>IF(AE399=1,ROUND(SUMIFS('All Donations'!$S$2:$S$4001,'All Donations'!$R$2:$R$4001,AD399,'All Donations'!$T$2:$T$4001,"&lt;="&amp;'Settings'!$D$30),2),0)</f>
        <v/>
      </c>
      <c r="AZ399">
        <f>IF(AE399=1,ROUND(SUMIFS('All Donations'!$S$2:$S$4001,'All Donations'!$R$2:$R$4001,AD399,'All Donations'!$T$2:$T$4001,"&lt;="&amp;'Settings'!$D$34),2),0)</f>
        <v/>
      </c>
    </row>
    <row r="400">
      <c r="A400">
        <f>IF(AE400=1,TRIM(TRIM('Roster'!B400)&amp;" "&amp;TRIM('Roster'!C400)),"")</f>
        <v/>
      </c>
      <c r="B400">
        <f>IF(AE400=1,IF(AN400="","(no teacher)",AN400&amp;" – "&amp;C400),"")</f>
        <v/>
      </c>
      <c r="C400">
        <f>IF(AE400=1,TRIM('Roster'!D400&amp;""),"")</f>
        <v/>
      </c>
      <c r="D400" s="48">
        <f>IF(AE400=1,ROUND(SUMIFS('All Donations'!$S$2:$S$4001,'All Donations'!$R$2:$R$4001,AD400),2),"")</f>
        <v/>
      </c>
      <c r="E400" s="48">
        <f>IF(AE400=1,ROUND(SUMIFS('All Donations'!$S$2:$S$4001,'All Donations'!$R$2:$R$4001,AD400,'All Donations'!$G$2:$G$4001,"OneCause"),2),"")</f>
        <v/>
      </c>
      <c r="F400" s="48">
        <f>IF(AE400=1,D400-E400,"")</f>
        <v/>
      </c>
      <c r="G400">
        <f>IF(AE400=1,COUNTIFS('All Donations'!$R$2:$R$4001,AD400,'All Donations'!$H$2:$H$4001,"OK"),"")</f>
        <v/>
      </c>
      <c r="H400">
        <f>IF(AE400&lt;&gt;1,"",IF(D400&gt;0,"Yes",""))</f>
        <v/>
      </c>
      <c r="I400" s="49">
        <f>IF(OR($AE400&lt;&gt;1,I$1=""),"",SUMIFS('All Donations'!$S$2:$S$4001,'All Donations'!$R$2:$R$4001,$AD400,'All Donations'!$T$2:$T$4001,I$1))</f>
        <v/>
      </c>
      <c r="J400" s="49">
        <f>IF(OR($AE400&lt;&gt;1,J$1=""),"",SUMIFS('All Donations'!$S$2:$S$4001,'All Donations'!$R$2:$R$4001,$AD400,'All Donations'!$T$2:$T$4001,J$1))</f>
        <v/>
      </c>
      <c r="K400" s="49">
        <f>IF(OR($AE400&lt;&gt;1,K$1=""),"",SUMIFS('All Donations'!$S$2:$S$4001,'All Donations'!$R$2:$R$4001,$AD400,'All Donations'!$T$2:$T$4001,K$1))</f>
        <v/>
      </c>
      <c r="L400" s="49">
        <f>IF(OR($AE400&lt;&gt;1,L$1=""),"",SUMIFS('All Donations'!$S$2:$S$4001,'All Donations'!$R$2:$R$4001,$AD400,'All Donations'!$T$2:$T$4001,L$1))</f>
        <v/>
      </c>
      <c r="M400" s="49">
        <f>IF(OR($AE400&lt;&gt;1,M$1=""),"",SUMIFS('All Donations'!$S$2:$S$4001,'All Donations'!$R$2:$R$4001,$AD400,'All Donations'!$T$2:$T$4001,M$1))</f>
        <v/>
      </c>
      <c r="N400" s="49">
        <f>IF(OR($AE400&lt;&gt;1,N$1=""),"",SUMIFS('All Donations'!$S$2:$S$4001,'All Donations'!$R$2:$R$4001,$AD400,'All Donations'!$T$2:$T$4001,N$1))</f>
        <v/>
      </c>
      <c r="O400" s="49">
        <f>IF(OR($AE400&lt;&gt;1,O$1=""),"",SUMIFS('All Donations'!$S$2:$S$4001,'All Donations'!$R$2:$R$4001,$AD400,'All Donations'!$T$2:$T$4001,O$1))</f>
        <v/>
      </c>
      <c r="P400" s="49">
        <f>IF(OR($AE400&lt;&gt;1,P$1=""),"",SUMIFS('All Donations'!$S$2:$S$4001,'All Donations'!$R$2:$R$4001,$AD400,'All Donations'!$T$2:$T$4001,P$1))</f>
        <v/>
      </c>
      <c r="Q400" s="49">
        <f>IF(OR($AE400&lt;&gt;1,Q$1=""),"",SUMIFS('All Donations'!$S$2:$S$4001,'All Donations'!$R$2:$R$4001,$AD400,'All Donations'!$T$2:$T$4001,Q$1))</f>
        <v/>
      </c>
      <c r="R400" s="49">
        <f>IF(OR($AE400&lt;&gt;1,R$1=""),"",SUMIFS('All Donations'!$S$2:$S$4001,'All Donations'!$R$2:$R$4001,$AD400,'All Donations'!$T$2:$T$4001,R$1))</f>
        <v/>
      </c>
      <c r="S400" s="49">
        <f>IF(OR($AE400&lt;&gt;1,S$1=""),"",SUMIFS('All Donations'!$S$2:$S$4001,'All Donations'!$R$2:$R$4001,$AD400,'All Donations'!$T$2:$T$4001,S$1))</f>
        <v/>
      </c>
      <c r="T400" s="49">
        <f>IF(OR($AE400&lt;&gt;1,T$1=""),"",SUMIFS('All Donations'!$S$2:$S$4001,'All Donations'!$R$2:$R$4001,$AD400,'All Donations'!$T$2:$T$4001,T$1))</f>
        <v/>
      </c>
      <c r="U400" s="49">
        <f>IF(OR($AE400&lt;&gt;1,U$1=""),"",SUMIFS('All Donations'!$S$2:$S$4001,'All Donations'!$R$2:$R$4001,$AD400,'All Donations'!$T$2:$T$4001,U$1))</f>
        <v/>
      </c>
      <c r="V400" s="49">
        <f>IF(OR($AE400&lt;&gt;1,V$1=""),"",SUMIFS('All Donations'!$S$2:$S$4001,'All Donations'!$R$2:$R$4001,$AD400,'All Donations'!$T$2:$T$4001,V$1))</f>
        <v/>
      </c>
      <c r="W400" s="49">
        <f>IF(OR($AE400&lt;&gt;1,W$1=""),"",SUMIFS('All Donations'!$S$2:$S$4001,'All Donations'!$R$2:$R$4001,$AD400,'All Donations'!$T$2:$T$4001,W$1))</f>
        <v/>
      </c>
      <c r="X400" s="49">
        <f>IF(OR($AE400&lt;&gt;1,X$1=""),"",SUMIFS('All Donations'!$S$2:$S$4001,'All Donations'!$R$2:$R$4001,$AD400,'All Donations'!$T$2:$T$4001,X$1))</f>
        <v/>
      </c>
      <c r="Y400" s="49">
        <f>IF(OR($AE400&lt;&gt;1,Y$1=""),"",SUMIFS('All Donations'!$S$2:$S$4001,'All Donations'!$R$2:$R$4001,$AD400,'All Donations'!$T$2:$T$4001,Y$1))</f>
        <v/>
      </c>
      <c r="Z400" s="49">
        <f>IF(OR($AE400&lt;&gt;1,Z$1=""),"",SUMIFS('All Donations'!$S$2:$S$4001,'All Donations'!$R$2:$R$4001,$AD400,'All Donations'!$T$2:$T$4001,Z$1))</f>
        <v/>
      </c>
      <c r="AA400" s="49">
        <f>IF(OR($AE400&lt;&gt;1,AA$1=""),"",SUMIFS('All Donations'!$S$2:$S$4001,'All Donations'!$R$2:$R$4001,$AD400,'All Donations'!$T$2:$T$4001,AA$1))</f>
        <v/>
      </c>
      <c r="AB400" s="49">
        <f>IF(OR($AE400&lt;&gt;1,AB$1=""),"",SUMIFS('All Donations'!$S$2:$S$4001,'All Donations'!$R$2:$R$4001,$AD400,'All Donations'!$T$2:$T$4001,AB$1))</f>
        <v/>
      </c>
      <c r="AC400" s="49">
        <f>IF(OR($AE400&lt;&gt;1,AC$1=""),"",SUMIFS('All Donations'!$S$2:$S$4001,'All Donations'!$R$2:$R$4001,$AD400,'All Donations'!$T$2:$T$4001,AC$1))</f>
        <v/>
      </c>
      <c r="AD400">
        <f>IF(AE400=1,'Roster'!A400,"")</f>
        <v/>
      </c>
      <c r="AE400">
        <f>IF(TRIM('Roster'!B400&amp;'Roster'!C400)&lt;&gt;"",1,0)</f>
        <v/>
      </c>
      <c r="AF400">
        <f>IF(AE400=1,LOWER(A400),"#")</f>
        <v/>
      </c>
      <c r="AG400">
        <f>IF(AE400=1,LOWER(TRIM(TRIM('Roster'!C400)&amp;", "&amp;TRIM('Roster'!B400))),"#")</f>
        <v/>
      </c>
      <c r="AH400">
        <f>IF(AND(AE400=1,TRIM('Roster'!F400)&lt;&gt;""),LOWER(TRIM('Roster'!F400)),"#")</f>
        <v/>
      </c>
      <c r="AI400">
        <f>IF(AE400=1,IF(MATCH(B400,$B$2:$B$701,0)=ROW()-1,1,0),0)</f>
        <v/>
      </c>
      <c r="AJ400">
        <f>AJ399+AI400</f>
        <v/>
      </c>
      <c r="AK400">
        <f>IF(AE400=1,D400+(1000-ROW())/10^7,-1)</f>
        <v/>
      </c>
      <c r="AL400">
        <f>IF(AE400=1,TRIM('Roster'!B400)&amp;" "&amp;LEFT(TRIM('Roster'!C400),1)&amp;".","")</f>
        <v/>
      </c>
      <c r="AM400">
        <f>IF(AE400=1,TRIM('Roster'!C400)&amp;", "&amp;TRIM('Roster'!B400)&amp;" ("&amp;B400&amp;") #"&amp;AD400,"")</f>
        <v/>
      </c>
      <c r="AN400">
        <f>IF(AE400=1,TRIM('Roster'!E400),"")</f>
        <v/>
      </c>
      <c r="AO400">
        <f>IF(AE400=1,ROUND(SUMIFS('All Donations'!$S$2:$S$4001,'All Donations'!$R$2:$R$4001,AD400,'All Donations'!$T$2:$T$4001,"&gt;="&amp;'Settings'!$C$23,'All Donations'!$T$2:$T$4001,"&lt;="&amp;'Settings'!$D$23),2),0)</f>
        <v/>
      </c>
      <c r="AQ400">
        <f>IF(AE400=1,ROUND(SUMIFS('All Donations'!$S$2:$S$4001,'All Donations'!$R$2:$R$4001,AD400,'All Donations'!$T$2:$T$4001,"&gt;="&amp;'Settings'!$C$25,'All Donations'!$T$2:$T$4001,"&lt;="&amp;'Settings'!$D$25),2),0)</f>
        <v/>
      </c>
      <c r="AR400">
        <f>IF(AE400=1,ROUND(SUMIFS('All Donations'!$S$2:$S$4001,'All Donations'!$R$2:$R$4001,AD400,'All Donations'!$T$2:$T$4001,"&gt;="&amp;'Settings'!$C$26,'All Donations'!$T$2:$T$4001,"&lt;="&amp;'Settings'!$D$26),2),0)</f>
        <v/>
      </c>
      <c r="AS400">
        <f>IF(AE400=1,ROUND(SUMIFS('All Donations'!$S$2:$S$4001,'All Donations'!$R$2:$R$4001,AD400,'All Donations'!$T$2:$T$4001,"&lt;="&amp;'Settings'!$D$27),2),0)</f>
        <v/>
      </c>
      <c r="AT400">
        <f>IF(AE400=1,ROUND(SUMIFS('All Donations'!$S$2:$S$4001,'All Donations'!$R$2:$R$4001,AD400,'All Donations'!$T$2:$T$4001,"&gt;="&amp;'Settings'!$C$28,'All Donations'!$T$2:$T$4001,"&lt;="&amp;'Settings'!$D$28),2),0)</f>
        <v/>
      </c>
      <c r="AU400">
        <f>IF(AE400=1,ROUND(SUMIFS('All Donations'!$S$2:$S$4001,'All Donations'!$R$2:$R$4001,AD400,'All Donations'!$T$2:$T$4001,"&gt;="&amp;'Settings'!$C$29,'All Donations'!$T$2:$T$4001,"&lt;="&amp;'Settings'!$D$29),2),0)</f>
        <v/>
      </c>
      <c r="AV400">
        <f>IF(AE400=1,ROUND(SUMIFS('All Donations'!$S$2:$S$4001,'All Donations'!$R$2:$R$4001,AD400,'All Donations'!$T$2:$T$4001,"&lt;="&amp;'Settings'!$D$30),2),0)</f>
        <v/>
      </c>
      <c r="AZ400">
        <f>IF(AE400=1,ROUND(SUMIFS('All Donations'!$S$2:$S$4001,'All Donations'!$R$2:$R$4001,AD400,'All Donations'!$T$2:$T$4001,"&lt;="&amp;'Settings'!$D$34),2),0)</f>
        <v/>
      </c>
    </row>
    <row r="401">
      <c r="A401">
        <f>IF(AE401=1,TRIM(TRIM('Roster'!B401)&amp;" "&amp;TRIM('Roster'!C401)),"")</f>
        <v/>
      </c>
      <c r="B401">
        <f>IF(AE401=1,IF(AN401="","(no teacher)",AN401&amp;" – "&amp;C401),"")</f>
        <v/>
      </c>
      <c r="C401">
        <f>IF(AE401=1,TRIM('Roster'!D401&amp;""),"")</f>
        <v/>
      </c>
      <c r="D401" s="48">
        <f>IF(AE401=1,ROUND(SUMIFS('All Donations'!$S$2:$S$4001,'All Donations'!$R$2:$R$4001,AD401),2),"")</f>
        <v/>
      </c>
      <c r="E401" s="48">
        <f>IF(AE401=1,ROUND(SUMIFS('All Donations'!$S$2:$S$4001,'All Donations'!$R$2:$R$4001,AD401,'All Donations'!$G$2:$G$4001,"OneCause"),2),"")</f>
        <v/>
      </c>
      <c r="F401" s="48">
        <f>IF(AE401=1,D401-E401,"")</f>
        <v/>
      </c>
      <c r="G401">
        <f>IF(AE401=1,COUNTIFS('All Donations'!$R$2:$R$4001,AD401,'All Donations'!$H$2:$H$4001,"OK"),"")</f>
        <v/>
      </c>
      <c r="H401">
        <f>IF(AE401&lt;&gt;1,"",IF(D401&gt;0,"Yes",""))</f>
        <v/>
      </c>
      <c r="I401" s="49">
        <f>IF(OR($AE401&lt;&gt;1,I$1=""),"",SUMIFS('All Donations'!$S$2:$S$4001,'All Donations'!$R$2:$R$4001,$AD401,'All Donations'!$T$2:$T$4001,I$1))</f>
        <v/>
      </c>
      <c r="J401" s="49">
        <f>IF(OR($AE401&lt;&gt;1,J$1=""),"",SUMIFS('All Donations'!$S$2:$S$4001,'All Donations'!$R$2:$R$4001,$AD401,'All Donations'!$T$2:$T$4001,J$1))</f>
        <v/>
      </c>
      <c r="K401" s="49">
        <f>IF(OR($AE401&lt;&gt;1,K$1=""),"",SUMIFS('All Donations'!$S$2:$S$4001,'All Donations'!$R$2:$R$4001,$AD401,'All Donations'!$T$2:$T$4001,K$1))</f>
        <v/>
      </c>
      <c r="L401" s="49">
        <f>IF(OR($AE401&lt;&gt;1,L$1=""),"",SUMIFS('All Donations'!$S$2:$S$4001,'All Donations'!$R$2:$R$4001,$AD401,'All Donations'!$T$2:$T$4001,L$1))</f>
        <v/>
      </c>
      <c r="M401" s="49">
        <f>IF(OR($AE401&lt;&gt;1,M$1=""),"",SUMIFS('All Donations'!$S$2:$S$4001,'All Donations'!$R$2:$R$4001,$AD401,'All Donations'!$T$2:$T$4001,M$1))</f>
        <v/>
      </c>
      <c r="N401" s="49">
        <f>IF(OR($AE401&lt;&gt;1,N$1=""),"",SUMIFS('All Donations'!$S$2:$S$4001,'All Donations'!$R$2:$R$4001,$AD401,'All Donations'!$T$2:$T$4001,N$1))</f>
        <v/>
      </c>
      <c r="O401" s="49">
        <f>IF(OR($AE401&lt;&gt;1,O$1=""),"",SUMIFS('All Donations'!$S$2:$S$4001,'All Donations'!$R$2:$R$4001,$AD401,'All Donations'!$T$2:$T$4001,O$1))</f>
        <v/>
      </c>
      <c r="P401" s="49">
        <f>IF(OR($AE401&lt;&gt;1,P$1=""),"",SUMIFS('All Donations'!$S$2:$S$4001,'All Donations'!$R$2:$R$4001,$AD401,'All Donations'!$T$2:$T$4001,P$1))</f>
        <v/>
      </c>
      <c r="Q401" s="49">
        <f>IF(OR($AE401&lt;&gt;1,Q$1=""),"",SUMIFS('All Donations'!$S$2:$S$4001,'All Donations'!$R$2:$R$4001,$AD401,'All Donations'!$T$2:$T$4001,Q$1))</f>
        <v/>
      </c>
      <c r="R401" s="49">
        <f>IF(OR($AE401&lt;&gt;1,R$1=""),"",SUMIFS('All Donations'!$S$2:$S$4001,'All Donations'!$R$2:$R$4001,$AD401,'All Donations'!$T$2:$T$4001,R$1))</f>
        <v/>
      </c>
      <c r="S401" s="49">
        <f>IF(OR($AE401&lt;&gt;1,S$1=""),"",SUMIFS('All Donations'!$S$2:$S$4001,'All Donations'!$R$2:$R$4001,$AD401,'All Donations'!$T$2:$T$4001,S$1))</f>
        <v/>
      </c>
      <c r="T401" s="49">
        <f>IF(OR($AE401&lt;&gt;1,T$1=""),"",SUMIFS('All Donations'!$S$2:$S$4001,'All Donations'!$R$2:$R$4001,$AD401,'All Donations'!$T$2:$T$4001,T$1))</f>
        <v/>
      </c>
      <c r="U401" s="49">
        <f>IF(OR($AE401&lt;&gt;1,U$1=""),"",SUMIFS('All Donations'!$S$2:$S$4001,'All Donations'!$R$2:$R$4001,$AD401,'All Donations'!$T$2:$T$4001,U$1))</f>
        <v/>
      </c>
      <c r="V401" s="49">
        <f>IF(OR($AE401&lt;&gt;1,V$1=""),"",SUMIFS('All Donations'!$S$2:$S$4001,'All Donations'!$R$2:$R$4001,$AD401,'All Donations'!$T$2:$T$4001,V$1))</f>
        <v/>
      </c>
      <c r="W401" s="49">
        <f>IF(OR($AE401&lt;&gt;1,W$1=""),"",SUMIFS('All Donations'!$S$2:$S$4001,'All Donations'!$R$2:$R$4001,$AD401,'All Donations'!$T$2:$T$4001,W$1))</f>
        <v/>
      </c>
      <c r="X401" s="49">
        <f>IF(OR($AE401&lt;&gt;1,X$1=""),"",SUMIFS('All Donations'!$S$2:$S$4001,'All Donations'!$R$2:$R$4001,$AD401,'All Donations'!$T$2:$T$4001,X$1))</f>
        <v/>
      </c>
      <c r="Y401" s="49">
        <f>IF(OR($AE401&lt;&gt;1,Y$1=""),"",SUMIFS('All Donations'!$S$2:$S$4001,'All Donations'!$R$2:$R$4001,$AD401,'All Donations'!$T$2:$T$4001,Y$1))</f>
        <v/>
      </c>
      <c r="Z401" s="49">
        <f>IF(OR($AE401&lt;&gt;1,Z$1=""),"",SUMIFS('All Donations'!$S$2:$S$4001,'All Donations'!$R$2:$R$4001,$AD401,'All Donations'!$T$2:$T$4001,Z$1))</f>
        <v/>
      </c>
      <c r="AA401" s="49">
        <f>IF(OR($AE401&lt;&gt;1,AA$1=""),"",SUMIFS('All Donations'!$S$2:$S$4001,'All Donations'!$R$2:$R$4001,$AD401,'All Donations'!$T$2:$T$4001,AA$1))</f>
        <v/>
      </c>
      <c r="AB401" s="49">
        <f>IF(OR($AE401&lt;&gt;1,AB$1=""),"",SUMIFS('All Donations'!$S$2:$S$4001,'All Donations'!$R$2:$R$4001,$AD401,'All Donations'!$T$2:$T$4001,AB$1))</f>
        <v/>
      </c>
      <c r="AC401" s="49">
        <f>IF(OR($AE401&lt;&gt;1,AC$1=""),"",SUMIFS('All Donations'!$S$2:$S$4001,'All Donations'!$R$2:$R$4001,$AD401,'All Donations'!$T$2:$T$4001,AC$1))</f>
        <v/>
      </c>
      <c r="AD401">
        <f>IF(AE401=1,'Roster'!A401,"")</f>
        <v/>
      </c>
      <c r="AE401">
        <f>IF(TRIM('Roster'!B401&amp;'Roster'!C401)&lt;&gt;"",1,0)</f>
        <v/>
      </c>
      <c r="AF401">
        <f>IF(AE401=1,LOWER(A401),"#")</f>
        <v/>
      </c>
      <c r="AG401">
        <f>IF(AE401=1,LOWER(TRIM(TRIM('Roster'!C401)&amp;", "&amp;TRIM('Roster'!B401))),"#")</f>
        <v/>
      </c>
      <c r="AH401">
        <f>IF(AND(AE401=1,TRIM('Roster'!F401)&lt;&gt;""),LOWER(TRIM('Roster'!F401)),"#")</f>
        <v/>
      </c>
      <c r="AI401">
        <f>IF(AE401=1,IF(MATCH(B401,$B$2:$B$701,0)=ROW()-1,1,0),0)</f>
        <v/>
      </c>
      <c r="AJ401">
        <f>AJ400+AI401</f>
        <v/>
      </c>
      <c r="AK401">
        <f>IF(AE401=1,D401+(1000-ROW())/10^7,-1)</f>
        <v/>
      </c>
      <c r="AL401">
        <f>IF(AE401=1,TRIM('Roster'!B401)&amp;" "&amp;LEFT(TRIM('Roster'!C401),1)&amp;".","")</f>
        <v/>
      </c>
      <c r="AM401">
        <f>IF(AE401=1,TRIM('Roster'!C401)&amp;", "&amp;TRIM('Roster'!B401)&amp;" ("&amp;B401&amp;") #"&amp;AD401,"")</f>
        <v/>
      </c>
      <c r="AN401">
        <f>IF(AE401=1,TRIM('Roster'!E401),"")</f>
        <v/>
      </c>
      <c r="AO401">
        <f>IF(AE401=1,ROUND(SUMIFS('All Donations'!$S$2:$S$4001,'All Donations'!$R$2:$R$4001,AD401,'All Donations'!$T$2:$T$4001,"&gt;="&amp;'Settings'!$C$23,'All Donations'!$T$2:$T$4001,"&lt;="&amp;'Settings'!$D$23),2),0)</f>
        <v/>
      </c>
      <c r="AQ401">
        <f>IF(AE401=1,ROUND(SUMIFS('All Donations'!$S$2:$S$4001,'All Donations'!$R$2:$R$4001,AD401,'All Donations'!$T$2:$T$4001,"&gt;="&amp;'Settings'!$C$25,'All Donations'!$T$2:$T$4001,"&lt;="&amp;'Settings'!$D$25),2),0)</f>
        <v/>
      </c>
      <c r="AR401">
        <f>IF(AE401=1,ROUND(SUMIFS('All Donations'!$S$2:$S$4001,'All Donations'!$R$2:$R$4001,AD401,'All Donations'!$T$2:$T$4001,"&gt;="&amp;'Settings'!$C$26,'All Donations'!$T$2:$T$4001,"&lt;="&amp;'Settings'!$D$26),2),0)</f>
        <v/>
      </c>
      <c r="AS401">
        <f>IF(AE401=1,ROUND(SUMIFS('All Donations'!$S$2:$S$4001,'All Donations'!$R$2:$R$4001,AD401,'All Donations'!$T$2:$T$4001,"&lt;="&amp;'Settings'!$D$27),2),0)</f>
        <v/>
      </c>
      <c r="AT401">
        <f>IF(AE401=1,ROUND(SUMIFS('All Donations'!$S$2:$S$4001,'All Donations'!$R$2:$R$4001,AD401,'All Donations'!$T$2:$T$4001,"&gt;="&amp;'Settings'!$C$28,'All Donations'!$T$2:$T$4001,"&lt;="&amp;'Settings'!$D$28),2),0)</f>
        <v/>
      </c>
      <c r="AU401">
        <f>IF(AE401=1,ROUND(SUMIFS('All Donations'!$S$2:$S$4001,'All Donations'!$R$2:$R$4001,AD401,'All Donations'!$T$2:$T$4001,"&gt;="&amp;'Settings'!$C$29,'All Donations'!$T$2:$T$4001,"&lt;="&amp;'Settings'!$D$29),2),0)</f>
        <v/>
      </c>
      <c r="AV401">
        <f>IF(AE401=1,ROUND(SUMIFS('All Donations'!$S$2:$S$4001,'All Donations'!$R$2:$R$4001,AD401,'All Donations'!$T$2:$T$4001,"&lt;="&amp;'Settings'!$D$30),2),0)</f>
        <v/>
      </c>
      <c r="AZ401">
        <f>IF(AE401=1,ROUND(SUMIFS('All Donations'!$S$2:$S$4001,'All Donations'!$R$2:$R$4001,AD401,'All Donations'!$T$2:$T$4001,"&lt;="&amp;'Settings'!$D$34),2),0)</f>
        <v/>
      </c>
    </row>
    <row r="402">
      <c r="A402">
        <f>IF(AE402=1,TRIM(TRIM('Roster'!B402)&amp;" "&amp;TRIM('Roster'!C402)),"")</f>
        <v/>
      </c>
      <c r="B402">
        <f>IF(AE402=1,IF(AN402="","(no teacher)",AN402&amp;" – "&amp;C402),"")</f>
        <v/>
      </c>
      <c r="C402">
        <f>IF(AE402=1,TRIM('Roster'!D402&amp;""),"")</f>
        <v/>
      </c>
      <c r="D402" s="48">
        <f>IF(AE402=1,ROUND(SUMIFS('All Donations'!$S$2:$S$4001,'All Donations'!$R$2:$R$4001,AD402),2),"")</f>
        <v/>
      </c>
      <c r="E402" s="48">
        <f>IF(AE402=1,ROUND(SUMIFS('All Donations'!$S$2:$S$4001,'All Donations'!$R$2:$R$4001,AD402,'All Donations'!$G$2:$G$4001,"OneCause"),2),"")</f>
        <v/>
      </c>
      <c r="F402" s="48">
        <f>IF(AE402=1,D402-E402,"")</f>
        <v/>
      </c>
      <c r="G402">
        <f>IF(AE402=1,COUNTIFS('All Donations'!$R$2:$R$4001,AD402,'All Donations'!$H$2:$H$4001,"OK"),"")</f>
        <v/>
      </c>
      <c r="H402">
        <f>IF(AE402&lt;&gt;1,"",IF(D402&gt;0,"Yes",""))</f>
        <v/>
      </c>
      <c r="I402" s="49">
        <f>IF(OR($AE402&lt;&gt;1,I$1=""),"",SUMIFS('All Donations'!$S$2:$S$4001,'All Donations'!$R$2:$R$4001,$AD402,'All Donations'!$T$2:$T$4001,I$1))</f>
        <v/>
      </c>
      <c r="J402" s="49">
        <f>IF(OR($AE402&lt;&gt;1,J$1=""),"",SUMIFS('All Donations'!$S$2:$S$4001,'All Donations'!$R$2:$R$4001,$AD402,'All Donations'!$T$2:$T$4001,J$1))</f>
        <v/>
      </c>
      <c r="K402" s="49">
        <f>IF(OR($AE402&lt;&gt;1,K$1=""),"",SUMIFS('All Donations'!$S$2:$S$4001,'All Donations'!$R$2:$R$4001,$AD402,'All Donations'!$T$2:$T$4001,K$1))</f>
        <v/>
      </c>
      <c r="L402" s="49">
        <f>IF(OR($AE402&lt;&gt;1,L$1=""),"",SUMIFS('All Donations'!$S$2:$S$4001,'All Donations'!$R$2:$R$4001,$AD402,'All Donations'!$T$2:$T$4001,L$1))</f>
        <v/>
      </c>
      <c r="M402" s="49">
        <f>IF(OR($AE402&lt;&gt;1,M$1=""),"",SUMIFS('All Donations'!$S$2:$S$4001,'All Donations'!$R$2:$R$4001,$AD402,'All Donations'!$T$2:$T$4001,M$1))</f>
        <v/>
      </c>
      <c r="N402" s="49">
        <f>IF(OR($AE402&lt;&gt;1,N$1=""),"",SUMIFS('All Donations'!$S$2:$S$4001,'All Donations'!$R$2:$R$4001,$AD402,'All Donations'!$T$2:$T$4001,N$1))</f>
        <v/>
      </c>
      <c r="O402" s="49">
        <f>IF(OR($AE402&lt;&gt;1,O$1=""),"",SUMIFS('All Donations'!$S$2:$S$4001,'All Donations'!$R$2:$R$4001,$AD402,'All Donations'!$T$2:$T$4001,O$1))</f>
        <v/>
      </c>
      <c r="P402" s="49">
        <f>IF(OR($AE402&lt;&gt;1,P$1=""),"",SUMIFS('All Donations'!$S$2:$S$4001,'All Donations'!$R$2:$R$4001,$AD402,'All Donations'!$T$2:$T$4001,P$1))</f>
        <v/>
      </c>
      <c r="Q402" s="49">
        <f>IF(OR($AE402&lt;&gt;1,Q$1=""),"",SUMIFS('All Donations'!$S$2:$S$4001,'All Donations'!$R$2:$R$4001,$AD402,'All Donations'!$T$2:$T$4001,Q$1))</f>
        <v/>
      </c>
      <c r="R402" s="49">
        <f>IF(OR($AE402&lt;&gt;1,R$1=""),"",SUMIFS('All Donations'!$S$2:$S$4001,'All Donations'!$R$2:$R$4001,$AD402,'All Donations'!$T$2:$T$4001,R$1))</f>
        <v/>
      </c>
      <c r="S402" s="49">
        <f>IF(OR($AE402&lt;&gt;1,S$1=""),"",SUMIFS('All Donations'!$S$2:$S$4001,'All Donations'!$R$2:$R$4001,$AD402,'All Donations'!$T$2:$T$4001,S$1))</f>
        <v/>
      </c>
      <c r="T402" s="49">
        <f>IF(OR($AE402&lt;&gt;1,T$1=""),"",SUMIFS('All Donations'!$S$2:$S$4001,'All Donations'!$R$2:$R$4001,$AD402,'All Donations'!$T$2:$T$4001,T$1))</f>
        <v/>
      </c>
      <c r="U402" s="49">
        <f>IF(OR($AE402&lt;&gt;1,U$1=""),"",SUMIFS('All Donations'!$S$2:$S$4001,'All Donations'!$R$2:$R$4001,$AD402,'All Donations'!$T$2:$T$4001,U$1))</f>
        <v/>
      </c>
      <c r="V402" s="49">
        <f>IF(OR($AE402&lt;&gt;1,V$1=""),"",SUMIFS('All Donations'!$S$2:$S$4001,'All Donations'!$R$2:$R$4001,$AD402,'All Donations'!$T$2:$T$4001,V$1))</f>
        <v/>
      </c>
      <c r="W402" s="49">
        <f>IF(OR($AE402&lt;&gt;1,W$1=""),"",SUMIFS('All Donations'!$S$2:$S$4001,'All Donations'!$R$2:$R$4001,$AD402,'All Donations'!$T$2:$T$4001,W$1))</f>
        <v/>
      </c>
      <c r="X402" s="49">
        <f>IF(OR($AE402&lt;&gt;1,X$1=""),"",SUMIFS('All Donations'!$S$2:$S$4001,'All Donations'!$R$2:$R$4001,$AD402,'All Donations'!$T$2:$T$4001,X$1))</f>
        <v/>
      </c>
      <c r="Y402" s="49">
        <f>IF(OR($AE402&lt;&gt;1,Y$1=""),"",SUMIFS('All Donations'!$S$2:$S$4001,'All Donations'!$R$2:$R$4001,$AD402,'All Donations'!$T$2:$T$4001,Y$1))</f>
        <v/>
      </c>
      <c r="Z402" s="49">
        <f>IF(OR($AE402&lt;&gt;1,Z$1=""),"",SUMIFS('All Donations'!$S$2:$S$4001,'All Donations'!$R$2:$R$4001,$AD402,'All Donations'!$T$2:$T$4001,Z$1))</f>
        <v/>
      </c>
      <c r="AA402" s="49">
        <f>IF(OR($AE402&lt;&gt;1,AA$1=""),"",SUMIFS('All Donations'!$S$2:$S$4001,'All Donations'!$R$2:$R$4001,$AD402,'All Donations'!$T$2:$T$4001,AA$1))</f>
        <v/>
      </c>
      <c r="AB402" s="49">
        <f>IF(OR($AE402&lt;&gt;1,AB$1=""),"",SUMIFS('All Donations'!$S$2:$S$4001,'All Donations'!$R$2:$R$4001,$AD402,'All Donations'!$T$2:$T$4001,AB$1))</f>
        <v/>
      </c>
      <c r="AC402" s="49">
        <f>IF(OR($AE402&lt;&gt;1,AC$1=""),"",SUMIFS('All Donations'!$S$2:$S$4001,'All Donations'!$R$2:$R$4001,$AD402,'All Donations'!$T$2:$T$4001,AC$1))</f>
        <v/>
      </c>
      <c r="AD402">
        <f>IF(AE402=1,'Roster'!A402,"")</f>
        <v/>
      </c>
      <c r="AE402">
        <f>IF(TRIM('Roster'!B402&amp;'Roster'!C402)&lt;&gt;"",1,0)</f>
        <v/>
      </c>
      <c r="AF402">
        <f>IF(AE402=1,LOWER(A402),"#")</f>
        <v/>
      </c>
      <c r="AG402">
        <f>IF(AE402=1,LOWER(TRIM(TRIM('Roster'!C402)&amp;", "&amp;TRIM('Roster'!B402))),"#")</f>
        <v/>
      </c>
      <c r="AH402">
        <f>IF(AND(AE402=1,TRIM('Roster'!F402)&lt;&gt;""),LOWER(TRIM('Roster'!F402)),"#")</f>
        <v/>
      </c>
      <c r="AI402">
        <f>IF(AE402=1,IF(MATCH(B402,$B$2:$B$701,0)=ROW()-1,1,0),0)</f>
        <v/>
      </c>
      <c r="AJ402">
        <f>AJ401+AI402</f>
        <v/>
      </c>
      <c r="AK402">
        <f>IF(AE402=1,D402+(1000-ROW())/10^7,-1)</f>
        <v/>
      </c>
      <c r="AL402">
        <f>IF(AE402=1,TRIM('Roster'!B402)&amp;" "&amp;LEFT(TRIM('Roster'!C402),1)&amp;".","")</f>
        <v/>
      </c>
      <c r="AM402">
        <f>IF(AE402=1,TRIM('Roster'!C402)&amp;", "&amp;TRIM('Roster'!B402)&amp;" ("&amp;B402&amp;") #"&amp;AD402,"")</f>
        <v/>
      </c>
      <c r="AN402">
        <f>IF(AE402=1,TRIM('Roster'!E402),"")</f>
        <v/>
      </c>
      <c r="AO402">
        <f>IF(AE402=1,ROUND(SUMIFS('All Donations'!$S$2:$S$4001,'All Donations'!$R$2:$R$4001,AD402,'All Donations'!$T$2:$T$4001,"&gt;="&amp;'Settings'!$C$23,'All Donations'!$T$2:$T$4001,"&lt;="&amp;'Settings'!$D$23),2),0)</f>
        <v/>
      </c>
      <c r="AQ402">
        <f>IF(AE402=1,ROUND(SUMIFS('All Donations'!$S$2:$S$4001,'All Donations'!$R$2:$R$4001,AD402,'All Donations'!$T$2:$T$4001,"&gt;="&amp;'Settings'!$C$25,'All Donations'!$T$2:$T$4001,"&lt;="&amp;'Settings'!$D$25),2),0)</f>
        <v/>
      </c>
      <c r="AR402">
        <f>IF(AE402=1,ROUND(SUMIFS('All Donations'!$S$2:$S$4001,'All Donations'!$R$2:$R$4001,AD402,'All Donations'!$T$2:$T$4001,"&gt;="&amp;'Settings'!$C$26,'All Donations'!$T$2:$T$4001,"&lt;="&amp;'Settings'!$D$26),2),0)</f>
        <v/>
      </c>
      <c r="AS402">
        <f>IF(AE402=1,ROUND(SUMIFS('All Donations'!$S$2:$S$4001,'All Donations'!$R$2:$R$4001,AD402,'All Donations'!$T$2:$T$4001,"&lt;="&amp;'Settings'!$D$27),2),0)</f>
        <v/>
      </c>
      <c r="AT402">
        <f>IF(AE402=1,ROUND(SUMIFS('All Donations'!$S$2:$S$4001,'All Donations'!$R$2:$R$4001,AD402,'All Donations'!$T$2:$T$4001,"&gt;="&amp;'Settings'!$C$28,'All Donations'!$T$2:$T$4001,"&lt;="&amp;'Settings'!$D$28),2),0)</f>
        <v/>
      </c>
      <c r="AU402">
        <f>IF(AE402=1,ROUND(SUMIFS('All Donations'!$S$2:$S$4001,'All Donations'!$R$2:$R$4001,AD402,'All Donations'!$T$2:$T$4001,"&gt;="&amp;'Settings'!$C$29,'All Donations'!$T$2:$T$4001,"&lt;="&amp;'Settings'!$D$29),2),0)</f>
        <v/>
      </c>
      <c r="AV402">
        <f>IF(AE402=1,ROUND(SUMIFS('All Donations'!$S$2:$S$4001,'All Donations'!$R$2:$R$4001,AD402,'All Donations'!$T$2:$T$4001,"&lt;="&amp;'Settings'!$D$30),2),0)</f>
        <v/>
      </c>
      <c r="AZ402">
        <f>IF(AE402=1,ROUND(SUMIFS('All Donations'!$S$2:$S$4001,'All Donations'!$R$2:$R$4001,AD402,'All Donations'!$T$2:$T$4001,"&lt;="&amp;'Settings'!$D$34),2),0)</f>
        <v/>
      </c>
    </row>
    <row r="403">
      <c r="A403">
        <f>IF(AE403=1,TRIM(TRIM('Roster'!B403)&amp;" "&amp;TRIM('Roster'!C403)),"")</f>
        <v/>
      </c>
      <c r="B403">
        <f>IF(AE403=1,IF(AN403="","(no teacher)",AN403&amp;" – "&amp;C403),"")</f>
        <v/>
      </c>
      <c r="C403">
        <f>IF(AE403=1,TRIM('Roster'!D403&amp;""),"")</f>
        <v/>
      </c>
      <c r="D403" s="48">
        <f>IF(AE403=1,ROUND(SUMIFS('All Donations'!$S$2:$S$4001,'All Donations'!$R$2:$R$4001,AD403),2),"")</f>
        <v/>
      </c>
      <c r="E403" s="48">
        <f>IF(AE403=1,ROUND(SUMIFS('All Donations'!$S$2:$S$4001,'All Donations'!$R$2:$R$4001,AD403,'All Donations'!$G$2:$G$4001,"OneCause"),2),"")</f>
        <v/>
      </c>
      <c r="F403" s="48">
        <f>IF(AE403=1,D403-E403,"")</f>
        <v/>
      </c>
      <c r="G403">
        <f>IF(AE403=1,COUNTIFS('All Donations'!$R$2:$R$4001,AD403,'All Donations'!$H$2:$H$4001,"OK"),"")</f>
        <v/>
      </c>
      <c r="H403">
        <f>IF(AE403&lt;&gt;1,"",IF(D403&gt;0,"Yes",""))</f>
        <v/>
      </c>
      <c r="I403" s="49">
        <f>IF(OR($AE403&lt;&gt;1,I$1=""),"",SUMIFS('All Donations'!$S$2:$S$4001,'All Donations'!$R$2:$R$4001,$AD403,'All Donations'!$T$2:$T$4001,I$1))</f>
        <v/>
      </c>
      <c r="J403" s="49">
        <f>IF(OR($AE403&lt;&gt;1,J$1=""),"",SUMIFS('All Donations'!$S$2:$S$4001,'All Donations'!$R$2:$R$4001,$AD403,'All Donations'!$T$2:$T$4001,J$1))</f>
        <v/>
      </c>
      <c r="K403" s="49">
        <f>IF(OR($AE403&lt;&gt;1,K$1=""),"",SUMIFS('All Donations'!$S$2:$S$4001,'All Donations'!$R$2:$R$4001,$AD403,'All Donations'!$T$2:$T$4001,K$1))</f>
        <v/>
      </c>
      <c r="L403" s="49">
        <f>IF(OR($AE403&lt;&gt;1,L$1=""),"",SUMIFS('All Donations'!$S$2:$S$4001,'All Donations'!$R$2:$R$4001,$AD403,'All Donations'!$T$2:$T$4001,L$1))</f>
        <v/>
      </c>
      <c r="M403" s="49">
        <f>IF(OR($AE403&lt;&gt;1,M$1=""),"",SUMIFS('All Donations'!$S$2:$S$4001,'All Donations'!$R$2:$R$4001,$AD403,'All Donations'!$T$2:$T$4001,M$1))</f>
        <v/>
      </c>
      <c r="N403" s="49">
        <f>IF(OR($AE403&lt;&gt;1,N$1=""),"",SUMIFS('All Donations'!$S$2:$S$4001,'All Donations'!$R$2:$R$4001,$AD403,'All Donations'!$T$2:$T$4001,N$1))</f>
        <v/>
      </c>
      <c r="O403" s="49">
        <f>IF(OR($AE403&lt;&gt;1,O$1=""),"",SUMIFS('All Donations'!$S$2:$S$4001,'All Donations'!$R$2:$R$4001,$AD403,'All Donations'!$T$2:$T$4001,O$1))</f>
        <v/>
      </c>
      <c r="P403" s="49">
        <f>IF(OR($AE403&lt;&gt;1,P$1=""),"",SUMIFS('All Donations'!$S$2:$S$4001,'All Donations'!$R$2:$R$4001,$AD403,'All Donations'!$T$2:$T$4001,P$1))</f>
        <v/>
      </c>
      <c r="Q403" s="49">
        <f>IF(OR($AE403&lt;&gt;1,Q$1=""),"",SUMIFS('All Donations'!$S$2:$S$4001,'All Donations'!$R$2:$R$4001,$AD403,'All Donations'!$T$2:$T$4001,Q$1))</f>
        <v/>
      </c>
      <c r="R403" s="49">
        <f>IF(OR($AE403&lt;&gt;1,R$1=""),"",SUMIFS('All Donations'!$S$2:$S$4001,'All Donations'!$R$2:$R$4001,$AD403,'All Donations'!$T$2:$T$4001,R$1))</f>
        <v/>
      </c>
      <c r="S403" s="49">
        <f>IF(OR($AE403&lt;&gt;1,S$1=""),"",SUMIFS('All Donations'!$S$2:$S$4001,'All Donations'!$R$2:$R$4001,$AD403,'All Donations'!$T$2:$T$4001,S$1))</f>
        <v/>
      </c>
      <c r="T403" s="49">
        <f>IF(OR($AE403&lt;&gt;1,T$1=""),"",SUMIFS('All Donations'!$S$2:$S$4001,'All Donations'!$R$2:$R$4001,$AD403,'All Donations'!$T$2:$T$4001,T$1))</f>
        <v/>
      </c>
      <c r="U403" s="49">
        <f>IF(OR($AE403&lt;&gt;1,U$1=""),"",SUMIFS('All Donations'!$S$2:$S$4001,'All Donations'!$R$2:$R$4001,$AD403,'All Donations'!$T$2:$T$4001,U$1))</f>
        <v/>
      </c>
      <c r="V403" s="49">
        <f>IF(OR($AE403&lt;&gt;1,V$1=""),"",SUMIFS('All Donations'!$S$2:$S$4001,'All Donations'!$R$2:$R$4001,$AD403,'All Donations'!$T$2:$T$4001,V$1))</f>
        <v/>
      </c>
      <c r="W403" s="49">
        <f>IF(OR($AE403&lt;&gt;1,W$1=""),"",SUMIFS('All Donations'!$S$2:$S$4001,'All Donations'!$R$2:$R$4001,$AD403,'All Donations'!$T$2:$T$4001,W$1))</f>
        <v/>
      </c>
      <c r="X403" s="49">
        <f>IF(OR($AE403&lt;&gt;1,X$1=""),"",SUMIFS('All Donations'!$S$2:$S$4001,'All Donations'!$R$2:$R$4001,$AD403,'All Donations'!$T$2:$T$4001,X$1))</f>
        <v/>
      </c>
      <c r="Y403" s="49">
        <f>IF(OR($AE403&lt;&gt;1,Y$1=""),"",SUMIFS('All Donations'!$S$2:$S$4001,'All Donations'!$R$2:$R$4001,$AD403,'All Donations'!$T$2:$T$4001,Y$1))</f>
        <v/>
      </c>
      <c r="Z403" s="49">
        <f>IF(OR($AE403&lt;&gt;1,Z$1=""),"",SUMIFS('All Donations'!$S$2:$S$4001,'All Donations'!$R$2:$R$4001,$AD403,'All Donations'!$T$2:$T$4001,Z$1))</f>
        <v/>
      </c>
      <c r="AA403" s="49">
        <f>IF(OR($AE403&lt;&gt;1,AA$1=""),"",SUMIFS('All Donations'!$S$2:$S$4001,'All Donations'!$R$2:$R$4001,$AD403,'All Donations'!$T$2:$T$4001,AA$1))</f>
        <v/>
      </c>
      <c r="AB403" s="49">
        <f>IF(OR($AE403&lt;&gt;1,AB$1=""),"",SUMIFS('All Donations'!$S$2:$S$4001,'All Donations'!$R$2:$R$4001,$AD403,'All Donations'!$T$2:$T$4001,AB$1))</f>
        <v/>
      </c>
      <c r="AC403" s="49">
        <f>IF(OR($AE403&lt;&gt;1,AC$1=""),"",SUMIFS('All Donations'!$S$2:$S$4001,'All Donations'!$R$2:$R$4001,$AD403,'All Donations'!$T$2:$T$4001,AC$1))</f>
        <v/>
      </c>
      <c r="AD403">
        <f>IF(AE403=1,'Roster'!A403,"")</f>
        <v/>
      </c>
      <c r="AE403">
        <f>IF(TRIM('Roster'!B403&amp;'Roster'!C403)&lt;&gt;"",1,0)</f>
        <v/>
      </c>
      <c r="AF403">
        <f>IF(AE403=1,LOWER(A403),"#")</f>
        <v/>
      </c>
      <c r="AG403">
        <f>IF(AE403=1,LOWER(TRIM(TRIM('Roster'!C403)&amp;", "&amp;TRIM('Roster'!B403))),"#")</f>
        <v/>
      </c>
      <c r="AH403">
        <f>IF(AND(AE403=1,TRIM('Roster'!F403)&lt;&gt;""),LOWER(TRIM('Roster'!F403)),"#")</f>
        <v/>
      </c>
      <c r="AI403">
        <f>IF(AE403=1,IF(MATCH(B403,$B$2:$B$701,0)=ROW()-1,1,0),0)</f>
        <v/>
      </c>
      <c r="AJ403">
        <f>AJ402+AI403</f>
        <v/>
      </c>
      <c r="AK403">
        <f>IF(AE403=1,D403+(1000-ROW())/10^7,-1)</f>
        <v/>
      </c>
      <c r="AL403">
        <f>IF(AE403=1,TRIM('Roster'!B403)&amp;" "&amp;LEFT(TRIM('Roster'!C403),1)&amp;".","")</f>
        <v/>
      </c>
      <c r="AM403">
        <f>IF(AE403=1,TRIM('Roster'!C403)&amp;", "&amp;TRIM('Roster'!B403)&amp;" ("&amp;B403&amp;") #"&amp;AD403,"")</f>
        <v/>
      </c>
      <c r="AN403">
        <f>IF(AE403=1,TRIM('Roster'!E403),"")</f>
        <v/>
      </c>
      <c r="AO403">
        <f>IF(AE403=1,ROUND(SUMIFS('All Donations'!$S$2:$S$4001,'All Donations'!$R$2:$R$4001,AD403,'All Donations'!$T$2:$T$4001,"&gt;="&amp;'Settings'!$C$23,'All Donations'!$T$2:$T$4001,"&lt;="&amp;'Settings'!$D$23),2),0)</f>
        <v/>
      </c>
      <c r="AQ403">
        <f>IF(AE403=1,ROUND(SUMIFS('All Donations'!$S$2:$S$4001,'All Donations'!$R$2:$R$4001,AD403,'All Donations'!$T$2:$T$4001,"&gt;="&amp;'Settings'!$C$25,'All Donations'!$T$2:$T$4001,"&lt;="&amp;'Settings'!$D$25),2),0)</f>
        <v/>
      </c>
      <c r="AR403">
        <f>IF(AE403=1,ROUND(SUMIFS('All Donations'!$S$2:$S$4001,'All Donations'!$R$2:$R$4001,AD403,'All Donations'!$T$2:$T$4001,"&gt;="&amp;'Settings'!$C$26,'All Donations'!$T$2:$T$4001,"&lt;="&amp;'Settings'!$D$26),2),0)</f>
        <v/>
      </c>
      <c r="AS403">
        <f>IF(AE403=1,ROUND(SUMIFS('All Donations'!$S$2:$S$4001,'All Donations'!$R$2:$R$4001,AD403,'All Donations'!$T$2:$T$4001,"&lt;="&amp;'Settings'!$D$27),2),0)</f>
        <v/>
      </c>
      <c r="AT403">
        <f>IF(AE403=1,ROUND(SUMIFS('All Donations'!$S$2:$S$4001,'All Donations'!$R$2:$R$4001,AD403,'All Donations'!$T$2:$T$4001,"&gt;="&amp;'Settings'!$C$28,'All Donations'!$T$2:$T$4001,"&lt;="&amp;'Settings'!$D$28),2),0)</f>
        <v/>
      </c>
      <c r="AU403">
        <f>IF(AE403=1,ROUND(SUMIFS('All Donations'!$S$2:$S$4001,'All Donations'!$R$2:$R$4001,AD403,'All Donations'!$T$2:$T$4001,"&gt;="&amp;'Settings'!$C$29,'All Donations'!$T$2:$T$4001,"&lt;="&amp;'Settings'!$D$29),2),0)</f>
        <v/>
      </c>
      <c r="AV403">
        <f>IF(AE403=1,ROUND(SUMIFS('All Donations'!$S$2:$S$4001,'All Donations'!$R$2:$R$4001,AD403,'All Donations'!$T$2:$T$4001,"&lt;="&amp;'Settings'!$D$30),2),0)</f>
        <v/>
      </c>
      <c r="AZ403">
        <f>IF(AE403=1,ROUND(SUMIFS('All Donations'!$S$2:$S$4001,'All Donations'!$R$2:$R$4001,AD403,'All Donations'!$T$2:$T$4001,"&lt;="&amp;'Settings'!$D$34),2),0)</f>
        <v/>
      </c>
    </row>
    <row r="404">
      <c r="A404">
        <f>IF(AE404=1,TRIM(TRIM('Roster'!B404)&amp;" "&amp;TRIM('Roster'!C404)),"")</f>
        <v/>
      </c>
      <c r="B404">
        <f>IF(AE404=1,IF(AN404="","(no teacher)",AN404&amp;" – "&amp;C404),"")</f>
        <v/>
      </c>
      <c r="C404">
        <f>IF(AE404=1,TRIM('Roster'!D404&amp;""),"")</f>
        <v/>
      </c>
      <c r="D404" s="48">
        <f>IF(AE404=1,ROUND(SUMIFS('All Donations'!$S$2:$S$4001,'All Donations'!$R$2:$R$4001,AD404),2),"")</f>
        <v/>
      </c>
      <c r="E404" s="48">
        <f>IF(AE404=1,ROUND(SUMIFS('All Donations'!$S$2:$S$4001,'All Donations'!$R$2:$R$4001,AD404,'All Donations'!$G$2:$G$4001,"OneCause"),2),"")</f>
        <v/>
      </c>
      <c r="F404" s="48">
        <f>IF(AE404=1,D404-E404,"")</f>
        <v/>
      </c>
      <c r="G404">
        <f>IF(AE404=1,COUNTIFS('All Donations'!$R$2:$R$4001,AD404,'All Donations'!$H$2:$H$4001,"OK"),"")</f>
        <v/>
      </c>
      <c r="H404">
        <f>IF(AE404&lt;&gt;1,"",IF(D404&gt;0,"Yes",""))</f>
        <v/>
      </c>
      <c r="I404" s="49">
        <f>IF(OR($AE404&lt;&gt;1,I$1=""),"",SUMIFS('All Donations'!$S$2:$S$4001,'All Donations'!$R$2:$R$4001,$AD404,'All Donations'!$T$2:$T$4001,I$1))</f>
        <v/>
      </c>
      <c r="J404" s="49">
        <f>IF(OR($AE404&lt;&gt;1,J$1=""),"",SUMIFS('All Donations'!$S$2:$S$4001,'All Donations'!$R$2:$R$4001,$AD404,'All Donations'!$T$2:$T$4001,J$1))</f>
        <v/>
      </c>
      <c r="K404" s="49">
        <f>IF(OR($AE404&lt;&gt;1,K$1=""),"",SUMIFS('All Donations'!$S$2:$S$4001,'All Donations'!$R$2:$R$4001,$AD404,'All Donations'!$T$2:$T$4001,K$1))</f>
        <v/>
      </c>
      <c r="L404" s="49">
        <f>IF(OR($AE404&lt;&gt;1,L$1=""),"",SUMIFS('All Donations'!$S$2:$S$4001,'All Donations'!$R$2:$R$4001,$AD404,'All Donations'!$T$2:$T$4001,L$1))</f>
        <v/>
      </c>
      <c r="M404" s="49">
        <f>IF(OR($AE404&lt;&gt;1,M$1=""),"",SUMIFS('All Donations'!$S$2:$S$4001,'All Donations'!$R$2:$R$4001,$AD404,'All Donations'!$T$2:$T$4001,M$1))</f>
        <v/>
      </c>
      <c r="N404" s="49">
        <f>IF(OR($AE404&lt;&gt;1,N$1=""),"",SUMIFS('All Donations'!$S$2:$S$4001,'All Donations'!$R$2:$R$4001,$AD404,'All Donations'!$T$2:$T$4001,N$1))</f>
        <v/>
      </c>
      <c r="O404" s="49">
        <f>IF(OR($AE404&lt;&gt;1,O$1=""),"",SUMIFS('All Donations'!$S$2:$S$4001,'All Donations'!$R$2:$R$4001,$AD404,'All Donations'!$T$2:$T$4001,O$1))</f>
        <v/>
      </c>
      <c r="P404" s="49">
        <f>IF(OR($AE404&lt;&gt;1,P$1=""),"",SUMIFS('All Donations'!$S$2:$S$4001,'All Donations'!$R$2:$R$4001,$AD404,'All Donations'!$T$2:$T$4001,P$1))</f>
        <v/>
      </c>
      <c r="Q404" s="49">
        <f>IF(OR($AE404&lt;&gt;1,Q$1=""),"",SUMIFS('All Donations'!$S$2:$S$4001,'All Donations'!$R$2:$R$4001,$AD404,'All Donations'!$T$2:$T$4001,Q$1))</f>
        <v/>
      </c>
      <c r="R404" s="49">
        <f>IF(OR($AE404&lt;&gt;1,R$1=""),"",SUMIFS('All Donations'!$S$2:$S$4001,'All Donations'!$R$2:$R$4001,$AD404,'All Donations'!$T$2:$T$4001,R$1))</f>
        <v/>
      </c>
      <c r="S404" s="49">
        <f>IF(OR($AE404&lt;&gt;1,S$1=""),"",SUMIFS('All Donations'!$S$2:$S$4001,'All Donations'!$R$2:$R$4001,$AD404,'All Donations'!$T$2:$T$4001,S$1))</f>
        <v/>
      </c>
      <c r="T404" s="49">
        <f>IF(OR($AE404&lt;&gt;1,T$1=""),"",SUMIFS('All Donations'!$S$2:$S$4001,'All Donations'!$R$2:$R$4001,$AD404,'All Donations'!$T$2:$T$4001,T$1))</f>
        <v/>
      </c>
      <c r="U404" s="49">
        <f>IF(OR($AE404&lt;&gt;1,U$1=""),"",SUMIFS('All Donations'!$S$2:$S$4001,'All Donations'!$R$2:$R$4001,$AD404,'All Donations'!$T$2:$T$4001,U$1))</f>
        <v/>
      </c>
      <c r="V404" s="49">
        <f>IF(OR($AE404&lt;&gt;1,V$1=""),"",SUMIFS('All Donations'!$S$2:$S$4001,'All Donations'!$R$2:$R$4001,$AD404,'All Donations'!$T$2:$T$4001,V$1))</f>
        <v/>
      </c>
      <c r="W404" s="49">
        <f>IF(OR($AE404&lt;&gt;1,W$1=""),"",SUMIFS('All Donations'!$S$2:$S$4001,'All Donations'!$R$2:$R$4001,$AD404,'All Donations'!$T$2:$T$4001,W$1))</f>
        <v/>
      </c>
      <c r="X404" s="49">
        <f>IF(OR($AE404&lt;&gt;1,X$1=""),"",SUMIFS('All Donations'!$S$2:$S$4001,'All Donations'!$R$2:$R$4001,$AD404,'All Donations'!$T$2:$T$4001,X$1))</f>
        <v/>
      </c>
      <c r="Y404" s="49">
        <f>IF(OR($AE404&lt;&gt;1,Y$1=""),"",SUMIFS('All Donations'!$S$2:$S$4001,'All Donations'!$R$2:$R$4001,$AD404,'All Donations'!$T$2:$T$4001,Y$1))</f>
        <v/>
      </c>
      <c r="Z404" s="49">
        <f>IF(OR($AE404&lt;&gt;1,Z$1=""),"",SUMIFS('All Donations'!$S$2:$S$4001,'All Donations'!$R$2:$R$4001,$AD404,'All Donations'!$T$2:$T$4001,Z$1))</f>
        <v/>
      </c>
      <c r="AA404" s="49">
        <f>IF(OR($AE404&lt;&gt;1,AA$1=""),"",SUMIFS('All Donations'!$S$2:$S$4001,'All Donations'!$R$2:$R$4001,$AD404,'All Donations'!$T$2:$T$4001,AA$1))</f>
        <v/>
      </c>
      <c r="AB404" s="49">
        <f>IF(OR($AE404&lt;&gt;1,AB$1=""),"",SUMIFS('All Donations'!$S$2:$S$4001,'All Donations'!$R$2:$R$4001,$AD404,'All Donations'!$T$2:$T$4001,AB$1))</f>
        <v/>
      </c>
      <c r="AC404" s="49">
        <f>IF(OR($AE404&lt;&gt;1,AC$1=""),"",SUMIFS('All Donations'!$S$2:$S$4001,'All Donations'!$R$2:$R$4001,$AD404,'All Donations'!$T$2:$T$4001,AC$1))</f>
        <v/>
      </c>
      <c r="AD404">
        <f>IF(AE404=1,'Roster'!A404,"")</f>
        <v/>
      </c>
      <c r="AE404">
        <f>IF(TRIM('Roster'!B404&amp;'Roster'!C404)&lt;&gt;"",1,0)</f>
        <v/>
      </c>
      <c r="AF404">
        <f>IF(AE404=1,LOWER(A404),"#")</f>
        <v/>
      </c>
      <c r="AG404">
        <f>IF(AE404=1,LOWER(TRIM(TRIM('Roster'!C404)&amp;", "&amp;TRIM('Roster'!B404))),"#")</f>
        <v/>
      </c>
      <c r="AH404">
        <f>IF(AND(AE404=1,TRIM('Roster'!F404)&lt;&gt;""),LOWER(TRIM('Roster'!F404)),"#")</f>
        <v/>
      </c>
      <c r="AI404">
        <f>IF(AE404=1,IF(MATCH(B404,$B$2:$B$701,0)=ROW()-1,1,0),0)</f>
        <v/>
      </c>
      <c r="AJ404">
        <f>AJ403+AI404</f>
        <v/>
      </c>
      <c r="AK404">
        <f>IF(AE404=1,D404+(1000-ROW())/10^7,-1)</f>
        <v/>
      </c>
      <c r="AL404">
        <f>IF(AE404=1,TRIM('Roster'!B404)&amp;" "&amp;LEFT(TRIM('Roster'!C404),1)&amp;".","")</f>
        <v/>
      </c>
      <c r="AM404">
        <f>IF(AE404=1,TRIM('Roster'!C404)&amp;", "&amp;TRIM('Roster'!B404)&amp;" ("&amp;B404&amp;") #"&amp;AD404,"")</f>
        <v/>
      </c>
      <c r="AN404">
        <f>IF(AE404=1,TRIM('Roster'!E404),"")</f>
        <v/>
      </c>
      <c r="AO404">
        <f>IF(AE404=1,ROUND(SUMIFS('All Donations'!$S$2:$S$4001,'All Donations'!$R$2:$R$4001,AD404,'All Donations'!$T$2:$T$4001,"&gt;="&amp;'Settings'!$C$23,'All Donations'!$T$2:$T$4001,"&lt;="&amp;'Settings'!$D$23),2),0)</f>
        <v/>
      </c>
      <c r="AQ404">
        <f>IF(AE404=1,ROUND(SUMIFS('All Donations'!$S$2:$S$4001,'All Donations'!$R$2:$R$4001,AD404,'All Donations'!$T$2:$T$4001,"&gt;="&amp;'Settings'!$C$25,'All Donations'!$T$2:$T$4001,"&lt;="&amp;'Settings'!$D$25),2),0)</f>
        <v/>
      </c>
      <c r="AR404">
        <f>IF(AE404=1,ROUND(SUMIFS('All Donations'!$S$2:$S$4001,'All Donations'!$R$2:$R$4001,AD404,'All Donations'!$T$2:$T$4001,"&gt;="&amp;'Settings'!$C$26,'All Donations'!$T$2:$T$4001,"&lt;="&amp;'Settings'!$D$26),2),0)</f>
        <v/>
      </c>
      <c r="AS404">
        <f>IF(AE404=1,ROUND(SUMIFS('All Donations'!$S$2:$S$4001,'All Donations'!$R$2:$R$4001,AD404,'All Donations'!$T$2:$T$4001,"&lt;="&amp;'Settings'!$D$27),2),0)</f>
        <v/>
      </c>
      <c r="AT404">
        <f>IF(AE404=1,ROUND(SUMIFS('All Donations'!$S$2:$S$4001,'All Donations'!$R$2:$R$4001,AD404,'All Donations'!$T$2:$T$4001,"&gt;="&amp;'Settings'!$C$28,'All Donations'!$T$2:$T$4001,"&lt;="&amp;'Settings'!$D$28),2),0)</f>
        <v/>
      </c>
      <c r="AU404">
        <f>IF(AE404=1,ROUND(SUMIFS('All Donations'!$S$2:$S$4001,'All Donations'!$R$2:$R$4001,AD404,'All Donations'!$T$2:$T$4001,"&gt;="&amp;'Settings'!$C$29,'All Donations'!$T$2:$T$4001,"&lt;="&amp;'Settings'!$D$29),2),0)</f>
        <v/>
      </c>
      <c r="AV404">
        <f>IF(AE404=1,ROUND(SUMIFS('All Donations'!$S$2:$S$4001,'All Donations'!$R$2:$R$4001,AD404,'All Donations'!$T$2:$T$4001,"&lt;="&amp;'Settings'!$D$30),2),0)</f>
        <v/>
      </c>
      <c r="AZ404">
        <f>IF(AE404=1,ROUND(SUMIFS('All Donations'!$S$2:$S$4001,'All Donations'!$R$2:$R$4001,AD404,'All Donations'!$T$2:$T$4001,"&lt;="&amp;'Settings'!$D$34),2),0)</f>
        <v/>
      </c>
    </row>
    <row r="405">
      <c r="A405">
        <f>IF(AE405=1,TRIM(TRIM('Roster'!B405)&amp;" "&amp;TRIM('Roster'!C405)),"")</f>
        <v/>
      </c>
      <c r="B405">
        <f>IF(AE405=1,IF(AN405="","(no teacher)",AN405&amp;" – "&amp;C405),"")</f>
        <v/>
      </c>
      <c r="C405">
        <f>IF(AE405=1,TRIM('Roster'!D405&amp;""),"")</f>
        <v/>
      </c>
      <c r="D405" s="48">
        <f>IF(AE405=1,ROUND(SUMIFS('All Donations'!$S$2:$S$4001,'All Donations'!$R$2:$R$4001,AD405),2),"")</f>
        <v/>
      </c>
      <c r="E405" s="48">
        <f>IF(AE405=1,ROUND(SUMIFS('All Donations'!$S$2:$S$4001,'All Donations'!$R$2:$R$4001,AD405,'All Donations'!$G$2:$G$4001,"OneCause"),2),"")</f>
        <v/>
      </c>
      <c r="F405" s="48">
        <f>IF(AE405=1,D405-E405,"")</f>
        <v/>
      </c>
      <c r="G405">
        <f>IF(AE405=1,COUNTIFS('All Donations'!$R$2:$R$4001,AD405,'All Donations'!$H$2:$H$4001,"OK"),"")</f>
        <v/>
      </c>
      <c r="H405">
        <f>IF(AE405&lt;&gt;1,"",IF(D405&gt;0,"Yes",""))</f>
        <v/>
      </c>
      <c r="I405" s="49">
        <f>IF(OR($AE405&lt;&gt;1,I$1=""),"",SUMIFS('All Donations'!$S$2:$S$4001,'All Donations'!$R$2:$R$4001,$AD405,'All Donations'!$T$2:$T$4001,I$1))</f>
        <v/>
      </c>
      <c r="J405" s="49">
        <f>IF(OR($AE405&lt;&gt;1,J$1=""),"",SUMIFS('All Donations'!$S$2:$S$4001,'All Donations'!$R$2:$R$4001,$AD405,'All Donations'!$T$2:$T$4001,J$1))</f>
        <v/>
      </c>
      <c r="K405" s="49">
        <f>IF(OR($AE405&lt;&gt;1,K$1=""),"",SUMIFS('All Donations'!$S$2:$S$4001,'All Donations'!$R$2:$R$4001,$AD405,'All Donations'!$T$2:$T$4001,K$1))</f>
        <v/>
      </c>
      <c r="L405" s="49">
        <f>IF(OR($AE405&lt;&gt;1,L$1=""),"",SUMIFS('All Donations'!$S$2:$S$4001,'All Donations'!$R$2:$R$4001,$AD405,'All Donations'!$T$2:$T$4001,L$1))</f>
        <v/>
      </c>
      <c r="M405" s="49">
        <f>IF(OR($AE405&lt;&gt;1,M$1=""),"",SUMIFS('All Donations'!$S$2:$S$4001,'All Donations'!$R$2:$R$4001,$AD405,'All Donations'!$T$2:$T$4001,M$1))</f>
        <v/>
      </c>
      <c r="N405" s="49">
        <f>IF(OR($AE405&lt;&gt;1,N$1=""),"",SUMIFS('All Donations'!$S$2:$S$4001,'All Donations'!$R$2:$R$4001,$AD405,'All Donations'!$T$2:$T$4001,N$1))</f>
        <v/>
      </c>
      <c r="O405" s="49">
        <f>IF(OR($AE405&lt;&gt;1,O$1=""),"",SUMIFS('All Donations'!$S$2:$S$4001,'All Donations'!$R$2:$R$4001,$AD405,'All Donations'!$T$2:$T$4001,O$1))</f>
        <v/>
      </c>
      <c r="P405" s="49">
        <f>IF(OR($AE405&lt;&gt;1,P$1=""),"",SUMIFS('All Donations'!$S$2:$S$4001,'All Donations'!$R$2:$R$4001,$AD405,'All Donations'!$T$2:$T$4001,P$1))</f>
        <v/>
      </c>
      <c r="Q405" s="49">
        <f>IF(OR($AE405&lt;&gt;1,Q$1=""),"",SUMIFS('All Donations'!$S$2:$S$4001,'All Donations'!$R$2:$R$4001,$AD405,'All Donations'!$T$2:$T$4001,Q$1))</f>
        <v/>
      </c>
      <c r="R405" s="49">
        <f>IF(OR($AE405&lt;&gt;1,R$1=""),"",SUMIFS('All Donations'!$S$2:$S$4001,'All Donations'!$R$2:$R$4001,$AD405,'All Donations'!$T$2:$T$4001,R$1))</f>
        <v/>
      </c>
      <c r="S405" s="49">
        <f>IF(OR($AE405&lt;&gt;1,S$1=""),"",SUMIFS('All Donations'!$S$2:$S$4001,'All Donations'!$R$2:$R$4001,$AD405,'All Donations'!$T$2:$T$4001,S$1))</f>
        <v/>
      </c>
      <c r="T405" s="49">
        <f>IF(OR($AE405&lt;&gt;1,T$1=""),"",SUMIFS('All Donations'!$S$2:$S$4001,'All Donations'!$R$2:$R$4001,$AD405,'All Donations'!$T$2:$T$4001,T$1))</f>
        <v/>
      </c>
      <c r="U405" s="49">
        <f>IF(OR($AE405&lt;&gt;1,U$1=""),"",SUMIFS('All Donations'!$S$2:$S$4001,'All Donations'!$R$2:$R$4001,$AD405,'All Donations'!$T$2:$T$4001,U$1))</f>
        <v/>
      </c>
      <c r="V405" s="49">
        <f>IF(OR($AE405&lt;&gt;1,V$1=""),"",SUMIFS('All Donations'!$S$2:$S$4001,'All Donations'!$R$2:$R$4001,$AD405,'All Donations'!$T$2:$T$4001,V$1))</f>
        <v/>
      </c>
      <c r="W405" s="49">
        <f>IF(OR($AE405&lt;&gt;1,W$1=""),"",SUMIFS('All Donations'!$S$2:$S$4001,'All Donations'!$R$2:$R$4001,$AD405,'All Donations'!$T$2:$T$4001,W$1))</f>
        <v/>
      </c>
      <c r="X405" s="49">
        <f>IF(OR($AE405&lt;&gt;1,X$1=""),"",SUMIFS('All Donations'!$S$2:$S$4001,'All Donations'!$R$2:$R$4001,$AD405,'All Donations'!$T$2:$T$4001,X$1))</f>
        <v/>
      </c>
      <c r="Y405" s="49">
        <f>IF(OR($AE405&lt;&gt;1,Y$1=""),"",SUMIFS('All Donations'!$S$2:$S$4001,'All Donations'!$R$2:$R$4001,$AD405,'All Donations'!$T$2:$T$4001,Y$1))</f>
        <v/>
      </c>
      <c r="Z405" s="49">
        <f>IF(OR($AE405&lt;&gt;1,Z$1=""),"",SUMIFS('All Donations'!$S$2:$S$4001,'All Donations'!$R$2:$R$4001,$AD405,'All Donations'!$T$2:$T$4001,Z$1))</f>
        <v/>
      </c>
      <c r="AA405" s="49">
        <f>IF(OR($AE405&lt;&gt;1,AA$1=""),"",SUMIFS('All Donations'!$S$2:$S$4001,'All Donations'!$R$2:$R$4001,$AD405,'All Donations'!$T$2:$T$4001,AA$1))</f>
        <v/>
      </c>
      <c r="AB405" s="49">
        <f>IF(OR($AE405&lt;&gt;1,AB$1=""),"",SUMIFS('All Donations'!$S$2:$S$4001,'All Donations'!$R$2:$R$4001,$AD405,'All Donations'!$T$2:$T$4001,AB$1))</f>
        <v/>
      </c>
      <c r="AC405" s="49">
        <f>IF(OR($AE405&lt;&gt;1,AC$1=""),"",SUMIFS('All Donations'!$S$2:$S$4001,'All Donations'!$R$2:$R$4001,$AD405,'All Donations'!$T$2:$T$4001,AC$1))</f>
        <v/>
      </c>
      <c r="AD405">
        <f>IF(AE405=1,'Roster'!A405,"")</f>
        <v/>
      </c>
      <c r="AE405">
        <f>IF(TRIM('Roster'!B405&amp;'Roster'!C405)&lt;&gt;"",1,0)</f>
        <v/>
      </c>
      <c r="AF405">
        <f>IF(AE405=1,LOWER(A405),"#")</f>
        <v/>
      </c>
      <c r="AG405">
        <f>IF(AE405=1,LOWER(TRIM(TRIM('Roster'!C405)&amp;", "&amp;TRIM('Roster'!B405))),"#")</f>
        <v/>
      </c>
      <c r="AH405">
        <f>IF(AND(AE405=1,TRIM('Roster'!F405)&lt;&gt;""),LOWER(TRIM('Roster'!F405)),"#")</f>
        <v/>
      </c>
      <c r="AI405">
        <f>IF(AE405=1,IF(MATCH(B405,$B$2:$B$701,0)=ROW()-1,1,0),0)</f>
        <v/>
      </c>
      <c r="AJ405">
        <f>AJ404+AI405</f>
        <v/>
      </c>
      <c r="AK405">
        <f>IF(AE405=1,D405+(1000-ROW())/10^7,-1)</f>
        <v/>
      </c>
      <c r="AL405">
        <f>IF(AE405=1,TRIM('Roster'!B405)&amp;" "&amp;LEFT(TRIM('Roster'!C405),1)&amp;".","")</f>
        <v/>
      </c>
      <c r="AM405">
        <f>IF(AE405=1,TRIM('Roster'!C405)&amp;", "&amp;TRIM('Roster'!B405)&amp;" ("&amp;B405&amp;") #"&amp;AD405,"")</f>
        <v/>
      </c>
      <c r="AN405">
        <f>IF(AE405=1,TRIM('Roster'!E405),"")</f>
        <v/>
      </c>
      <c r="AO405">
        <f>IF(AE405=1,ROUND(SUMIFS('All Donations'!$S$2:$S$4001,'All Donations'!$R$2:$R$4001,AD405,'All Donations'!$T$2:$T$4001,"&gt;="&amp;'Settings'!$C$23,'All Donations'!$T$2:$T$4001,"&lt;="&amp;'Settings'!$D$23),2),0)</f>
        <v/>
      </c>
      <c r="AQ405">
        <f>IF(AE405=1,ROUND(SUMIFS('All Donations'!$S$2:$S$4001,'All Donations'!$R$2:$R$4001,AD405,'All Donations'!$T$2:$T$4001,"&gt;="&amp;'Settings'!$C$25,'All Donations'!$T$2:$T$4001,"&lt;="&amp;'Settings'!$D$25),2),0)</f>
        <v/>
      </c>
      <c r="AR405">
        <f>IF(AE405=1,ROUND(SUMIFS('All Donations'!$S$2:$S$4001,'All Donations'!$R$2:$R$4001,AD405,'All Donations'!$T$2:$T$4001,"&gt;="&amp;'Settings'!$C$26,'All Donations'!$T$2:$T$4001,"&lt;="&amp;'Settings'!$D$26),2),0)</f>
        <v/>
      </c>
      <c r="AS405">
        <f>IF(AE405=1,ROUND(SUMIFS('All Donations'!$S$2:$S$4001,'All Donations'!$R$2:$R$4001,AD405,'All Donations'!$T$2:$T$4001,"&lt;="&amp;'Settings'!$D$27),2),0)</f>
        <v/>
      </c>
      <c r="AT405">
        <f>IF(AE405=1,ROUND(SUMIFS('All Donations'!$S$2:$S$4001,'All Donations'!$R$2:$R$4001,AD405,'All Donations'!$T$2:$T$4001,"&gt;="&amp;'Settings'!$C$28,'All Donations'!$T$2:$T$4001,"&lt;="&amp;'Settings'!$D$28),2),0)</f>
        <v/>
      </c>
      <c r="AU405">
        <f>IF(AE405=1,ROUND(SUMIFS('All Donations'!$S$2:$S$4001,'All Donations'!$R$2:$R$4001,AD405,'All Donations'!$T$2:$T$4001,"&gt;="&amp;'Settings'!$C$29,'All Donations'!$T$2:$T$4001,"&lt;="&amp;'Settings'!$D$29),2),0)</f>
        <v/>
      </c>
      <c r="AV405">
        <f>IF(AE405=1,ROUND(SUMIFS('All Donations'!$S$2:$S$4001,'All Donations'!$R$2:$R$4001,AD405,'All Donations'!$T$2:$T$4001,"&lt;="&amp;'Settings'!$D$30),2),0)</f>
        <v/>
      </c>
      <c r="AZ405">
        <f>IF(AE405=1,ROUND(SUMIFS('All Donations'!$S$2:$S$4001,'All Donations'!$R$2:$R$4001,AD405,'All Donations'!$T$2:$T$4001,"&lt;="&amp;'Settings'!$D$34),2),0)</f>
        <v/>
      </c>
    </row>
    <row r="406">
      <c r="A406">
        <f>IF(AE406=1,TRIM(TRIM('Roster'!B406)&amp;" "&amp;TRIM('Roster'!C406)),"")</f>
        <v/>
      </c>
      <c r="B406">
        <f>IF(AE406=1,IF(AN406="","(no teacher)",AN406&amp;" – "&amp;C406),"")</f>
        <v/>
      </c>
      <c r="C406">
        <f>IF(AE406=1,TRIM('Roster'!D406&amp;""),"")</f>
        <v/>
      </c>
      <c r="D406" s="48">
        <f>IF(AE406=1,ROUND(SUMIFS('All Donations'!$S$2:$S$4001,'All Donations'!$R$2:$R$4001,AD406),2),"")</f>
        <v/>
      </c>
      <c r="E406" s="48">
        <f>IF(AE406=1,ROUND(SUMIFS('All Donations'!$S$2:$S$4001,'All Donations'!$R$2:$R$4001,AD406,'All Donations'!$G$2:$G$4001,"OneCause"),2),"")</f>
        <v/>
      </c>
      <c r="F406" s="48">
        <f>IF(AE406=1,D406-E406,"")</f>
        <v/>
      </c>
      <c r="G406">
        <f>IF(AE406=1,COUNTIFS('All Donations'!$R$2:$R$4001,AD406,'All Donations'!$H$2:$H$4001,"OK"),"")</f>
        <v/>
      </c>
      <c r="H406">
        <f>IF(AE406&lt;&gt;1,"",IF(D406&gt;0,"Yes",""))</f>
        <v/>
      </c>
      <c r="I406" s="49">
        <f>IF(OR($AE406&lt;&gt;1,I$1=""),"",SUMIFS('All Donations'!$S$2:$S$4001,'All Donations'!$R$2:$R$4001,$AD406,'All Donations'!$T$2:$T$4001,I$1))</f>
        <v/>
      </c>
      <c r="J406" s="49">
        <f>IF(OR($AE406&lt;&gt;1,J$1=""),"",SUMIFS('All Donations'!$S$2:$S$4001,'All Donations'!$R$2:$R$4001,$AD406,'All Donations'!$T$2:$T$4001,J$1))</f>
        <v/>
      </c>
      <c r="K406" s="49">
        <f>IF(OR($AE406&lt;&gt;1,K$1=""),"",SUMIFS('All Donations'!$S$2:$S$4001,'All Donations'!$R$2:$R$4001,$AD406,'All Donations'!$T$2:$T$4001,K$1))</f>
        <v/>
      </c>
      <c r="L406" s="49">
        <f>IF(OR($AE406&lt;&gt;1,L$1=""),"",SUMIFS('All Donations'!$S$2:$S$4001,'All Donations'!$R$2:$R$4001,$AD406,'All Donations'!$T$2:$T$4001,L$1))</f>
        <v/>
      </c>
      <c r="M406" s="49">
        <f>IF(OR($AE406&lt;&gt;1,M$1=""),"",SUMIFS('All Donations'!$S$2:$S$4001,'All Donations'!$R$2:$R$4001,$AD406,'All Donations'!$T$2:$T$4001,M$1))</f>
        <v/>
      </c>
      <c r="N406" s="49">
        <f>IF(OR($AE406&lt;&gt;1,N$1=""),"",SUMIFS('All Donations'!$S$2:$S$4001,'All Donations'!$R$2:$R$4001,$AD406,'All Donations'!$T$2:$T$4001,N$1))</f>
        <v/>
      </c>
      <c r="O406" s="49">
        <f>IF(OR($AE406&lt;&gt;1,O$1=""),"",SUMIFS('All Donations'!$S$2:$S$4001,'All Donations'!$R$2:$R$4001,$AD406,'All Donations'!$T$2:$T$4001,O$1))</f>
        <v/>
      </c>
      <c r="P406" s="49">
        <f>IF(OR($AE406&lt;&gt;1,P$1=""),"",SUMIFS('All Donations'!$S$2:$S$4001,'All Donations'!$R$2:$R$4001,$AD406,'All Donations'!$T$2:$T$4001,P$1))</f>
        <v/>
      </c>
      <c r="Q406" s="49">
        <f>IF(OR($AE406&lt;&gt;1,Q$1=""),"",SUMIFS('All Donations'!$S$2:$S$4001,'All Donations'!$R$2:$R$4001,$AD406,'All Donations'!$T$2:$T$4001,Q$1))</f>
        <v/>
      </c>
      <c r="R406" s="49">
        <f>IF(OR($AE406&lt;&gt;1,R$1=""),"",SUMIFS('All Donations'!$S$2:$S$4001,'All Donations'!$R$2:$R$4001,$AD406,'All Donations'!$T$2:$T$4001,R$1))</f>
        <v/>
      </c>
      <c r="S406" s="49">
        <f>IF(OR($AE406&lt;&gt;1,S$1=""),"",SUMIFS('All Donations'!$S$2:$S$4001,'All Donations'!$R$2:$R$4001,$AD406,'All Donations'!$T$2:$T$4001,S$1))</f>
        <v/>
      </c>
      <c r="T406" s="49">
        <f>IF(OR($AE406&lt;&gt;1,T$1=""),"",SUMIFS('All Donations'!$S$2:$S$4001,'All Donations'!$R$2:$R$4001,$AD406,'All Donations'!$T$2:$T$4001,T$1))</f>
        <v/>
      </c>
      <c r="U406" s="49">
        <f>IF(OR($AE406&lt;&gt;1,U$1=""),"",SUMIFS('All Donations'!$S$2:$S$4001,'All Donations'!$R$2:$R$4001,$AD406,'All Donations'!$T$2:$T$4001,U$1))</f>
        <v/>
      </c>
      <c r="V406" s="49">
        <f>IF(OR($AE406&lt;&gt;1,V$1=""),"",SUMIFS('All Donations'!$S$2:$S$4001,'All Donations'!$R$2:$R$4001,$AD406,'All Donations'!$T$2:$T$4001,V$1))</f>
        <v/>
      </c>
      <c r="W406" s="49">
        <f>IF(OR($AE406&lt;&gt;1,W$1=""),"",SUMIFS('All Donations'!$S$2:$S$4001,'All Donations'!$R$2:$R$4001,$AD406,'All Donations'!$T$2:$T$4001,W$1))</f>
        <v/>
      </c>
      <c r="X406" s="49">
        <f>IF(OR($AE406&lt;&gt;1,X$1=""),"",SUMIFS('All Donations'!$S$2:$S$4001,'All Donations'!$R$2:$R$4001,$AD406,'All Donations'!$T$2:$T$4001,X$1))</f>
        <v/>
      </c>
      <c r="Y406" s="49">
        <f>IF(OR($AE406&lt;&gt;1,Y$1=""),"",SUMIFS('All Donations'!$S$2:$S$4001,'All Donations'!$R$2:$R$4001,$AD406,'All Donations'!$T$2:$T$4001,Y$1))</f>
        <v/>
      </c>
      <c r="Z406" s="49">
        <f>IF(OR($AE406&lt;&gt;1,Z$1=""),"",SUMIFS('All Donations'!$S$2:$S$4001,'All Donations'!$R$2:$R$4001,$AD406,'All Donations'!$T$2:$T$4001,Z$1))</f>
        <v/>
      </c>
      <c r="AA406" s="49">
        <f>IF(OR($AE406&lt;&gt;1,AA$1=""),"",SUMIFS('All Donations'!$S$2:$S$4001,'All Donations'!$R$2:$R$4001,$AD406,'All Donations'!$T$2:$T$4001,AA$1))</f>
        <v/>
      </c>
      <c r="AB406" s="49">
        <f>IF(OR($AE406&lt;&gt;1,AB$1=""),"",SUMIFS('All Donations'!$S$2:$S$4001,'All Donations'!$R$2:$R$4001,$AD406,'All Donations'!$T$2:$T$4001,AB$1))</f>
        <v/>
      </c>
      <c r="AC406" s="49">
        <f>IF(OR($AE406&lt;&gt;1,AC$1=""),"",SUMIFS('All Donations'!$S$2:$S$4001,'All Donations'!$R$2:$R$4001,$AD406,'All Donations'!$T$2:$T$4001,AC$1))</f>
        <v/>
      </c>
      <c r="AD406">
        <f>IF(AE406=1,'Roster'!A406,"")</f>
        <v/>
      </c>
      <c r="AE406">
        <f>IF(TRIM('Roster'!B406&amp;'Roster'!C406)&lt;&gt;"",1,0)</f>
        <v/>
      </c>
      <c r="AF406">
        <f>IF(AE406=1,LOWER(A406),"#")</f>
        <v/>
      </c>
      <c r="AG406">
        <f>IF(AE406=1,LOWER(TRIM(TRIM('Roster'!C406)&amp;", "&amp;TRIM('Roster'!B406))),"#")</f>
        <v/>
      </c>
      <c r="AH406">
        <f>IF(AND(AE406=1,TRIM('Roster'!F406)&lt;&gt;""),LOWER(TRIM('Roster'!F406)),"#")</f>
        <v/>
      </c>
      <c r="AI406">
        <f>IF(AE406=1,IF(MATCH(B406,$B$2:$B$701,0)=ROW()-1,1,0),0)</f>
        <v/>
      </c>
      <c r="AJ406">
        <f>AJ405+AI406</f>
        <v/>
      </c>
      <c r="AK406">
        <f>IF(AE406=1,D406+(1000-ROW())/10^7,-1)</f>
        <v/>
      </c>
      <c r="AL406">
        <f>IF(AE406=1,TRIM('Roster'!B406)&amp;" "&amp;LEFT(TRIM('Roster'!C406),1)&amp;".","")</f>
        <v/>
      </c>
      <c r="AM406">
        <f>IF(AE406=1,TRIM('Roster'!C406)&amp;", "&amp;TRIM('Roster'!B406)&amp;" ("&amp;B406&amp;") #"&amp;AD406,"")</f>
        <v/>
      </c>
      <c r="AN406">
        <f>IF(AE406=1,TRIM('Roster'!E406),"")</f>
        <v/>
      </c>
      <c r="AO406">
        <f>IF(AE406=1,ROUND(SUMIFS('All Donations'!$S$2:$S$4001,'All Donations'!$R$2:$R$4001,AD406,'All Donations'!$T$2:$T$4001,"&gt;="&amp;'Settings'!$C$23,'All Donations'!$T$2:$T$4001,"&lt;="&amp;'Settings'!$D$23),2),0)</f>
        <v/>
      </c>
      <c r="AQ406">
        <f>IF(AE406=1,ROUND(SUMIFS('All Donations'!$S$2:$S$4001,'All Donations'!$R$2:$R$4001,AD406,'All Donations'!$T$2:$T$4001,"&gt;="&amp;'Settings'!$C$25,'All Donations'!$T$2:$T$4001,"&lt;="&amp;'Settings'!$D$25),2),0)</f>
        <v/>
      </c>
      <c r="AR406">
        <f>IF(AE406=1,ROUND(SUMIFS('All Donations'!$S$2:$S$4001,'All Donations'!$R$2:$R$4001,AD406,'All Donations'!$T$2:$T$4001,"&gt;="&amp;'Settings'!$C$26,'All Donations'!$T$2:$T$4001,"&lt;="&amp;'Settings'!$D$26),2),0)</f>
        <v/>
      </c>
      <c r="AS406">
        <f>IF(AE406=1,ROUND(SUMIFS('All Donations'!$S$2:$S$4001,'All Donations'!$R$2:$R$4001,AD406,'All Donations'!$T$2:$T$4001,"&lt;="&amp;'Settings'!$D$27),2),0)</f>
        <v/>
      </c>
      <c r="AT406">
        <f>IF(AE406=1,ROUND(SUMIFS('All Donations'!$S$2:$S$4001,'All Donations'!$R$2:$R$4001,AD406,'All Donations'!$T$2:$T$4001,"&gt;="&amp;'Settings'!$C$28,'All Donations'!$T$2:$T$4001,"&lt;="&amp;'Settings'!$D$28),2),0)</f>
        <v/>
      </c>
      <c r="AU406">
        <f>IF(AE406=1,ROUND(SUMIFS('All Donations'!$S$2:$S$4001,'All Donations'!$R$2:$R$4001,AD406,'All Donations'!$T$2:$T$4001,"&gt;="&amp;'Settings'!$C$29,'All Donations'!$T$2:$T$4001,"&lt;="&amp;'Settings'!$D$29),2),0)</f>
        <v/>
      </c>
      <c r="AV406">
        <f>IF(AE406=1,ROUND(SUMIFS('All Donations'!$S$2:$S$4001,'All Donations'!$R$2:$R$4001,AD406,'All Donations'!$T$2:$T$4001,"&lt;="&amp;'Settings'!$D$30),2),0)</f>
        <v/>
      </c>
      <c r="AZ406">
        <f>IF(AE406=1,ROUND(SUMIFS('All Donations'!$S$2:$S$4001,'All Donations'!$R$2:$R$4001,AD406,'All Donations'!$T$2:$T$4001,"&lt;="&amp;'Settings'!$D$34),2),0)</f>
        <v/>
      </c>
    </row>
    <row r="407">
      <c r="A407">
        <f>IF(AE407=1,TRIM(TRIM('Roster'!B407)&amp;" "&amp;TRIM('Roster'!C407)),"")</f>
        <v/>
      </c>
      <c r="B407">
        <f>IF(AE407=1,IF(AN407="","(no teacher)",AN407&amp;" – "&amp;C407),"")</f>
        <v/>
      </c>
      <c r="C407">
        <f>IF(AE407=1,TRIM('Roster'!D407&amp;""),"")</f>
        <v/>
      </c>
      <c r="D407" s="48">
        <f>IF(AE407=1,ROUND(SUMIFS('All Donations'!$S$2:$S$4001,'All Donations'!$R$2:$R$4001,AD407),2),"")</f>
        <v/>
      </c>
      <c r="E407" s="48">
        <f>IF(AE407=1,ROUND(SUMIFS('All Donations'!$S$2:$S$4001,'All Donations'!$R$2:$R$4001,AD407,'All Donations'!$G$2:$G$4001,"OneCause"),2),"")</f>
        <v/>
      </c>
      <c r="F407" s="48">
        <f>IF(AE407=1,D407-E407,"")</f>
        <v/>
      </c>
      <c r="G407">
        <f>IF(AE407=1,COUNTIFS('All Donations'!$R$2:$R$4001,AD407,'All Donations'!$H$2:$H$4001,"OK"),"")</f>
        <v/>
      </c>
      <c r="H407">
        <f>IF(AE407&lt;&gt;1,"",IF(D407&gt;0,"Yes",""))</f>
        <v/>
      </c>
      <c r="I407" s="49">
        <f>IF(OR($AE407&lt;&gt;1,I$1=""),"",SUMIFS('All Donations'!$S$2:$S$4001,'All Donations'!$R$2:$R$4001,$AD407,'All Donations'!$T$2:$T$4001,I$1))</f>
        <v/>
      </c>
      <c r="J407" s="49">
        <f>IF(OR($AE407&lt;&gt;1,J$1=""),"",SUMIFS('All Donations'!$S$2:$S$4001,'All Donations'!$R$2:$R$4001,$AD407,'All Donations'!$T$2:$T$4001,J$1))</f>
        <v/>
      </c>
      <c r="K407" s="49">
        <f>IF(OR($AE407&lt;&gt;1,K$1=""),"",SUMIFS('All Donations'!$S$2:$S$4001,'All Donations'!$R$2:$R$4001,$AD407,'All Donations'!$T$2:$T$4001,K$1))</f>
        <v/>
      </c>
      <c r="L407" s="49">
        <f>IF(OR($AE407&lt;&gt;1,L$1=""),"",SUMIFS('All Donations'!$S$2:$S$4001,'All Donations'!$R$2:$R$4001,$AD407,'All Donations'!$T$2:$T$4001,L$1))</f>
        <v/>
      </c>
      <c r="M407" s="49">
        <f>IF(OR($AE407&lt;&gt;1,M$1=""),"",SUMIFS('All Donations'!$S$2:$S$4001,'All Donations'!$R$2:$R$4001,$AD407,'All Donations'!$T$2:$T$4001,M$1))</f>
        <v/>
      </c>
      <c r="N407" s="49">
        <f>IF(OR($AE407&lt;&gt;1,N$1=""),"",SUMIFS('All Donations'!$S$2:$S$4001,'All Donations'!$R$2:$R$4001,$AD407,'All Donations'!$T$2:$T$4001,N$1))</f>
        <v/>
      </c>
      <c r="O407" s="49">
        <f>IF(OR($AE407&lt;&gt;1,O$1=""),"",SUMIFS('All Donations'!$S$2:$S$4001,'All Donations'!$R$2:$R$4001,$AD407,'All Donations'!$T$2:$T$4001,O$1))</f>
        <v/>
      </c>
      <c r="P407" s="49">
        <f>IF(OR($AE407&lt;&gt;1,P$1=""),"",SUMIFS('All Donations'!$S$2:$S$4001,'All Donations'!$R$2:$R$4001,$AD407,'All Donations'!$T$2:$T$4001,P$1))</f>
        <v/>
      </c>
      <c r="Q407" s="49">
        <f>IF(OR($AE407&lt;&gt;1,Q$1=""),"",SUMIFS('All Donations'!$S$2:$S$4001,'All Donations'!$R$2:$R$4001,$AD407,'All Donations'!$T$2:$T$4001,Q$1))</f>
        <v/>
      </c>
      <c r="R407" s="49">
        <f>IF(OR($AE407&lt;&gt;1,R$1=""),"",SUMIFS('All Donations'!$S$2:$S$4001,'All Donations'!$R$2:$R$4001,$AD407,'All Donations'!$T$2:$T$4001,R$1))</f>
        <v/>
      </c>
      <c r="S407" s="49">
        <f>IF(OR($AE407&lt;&gt;1,S$1=""),"",SUMIFS('All Donations'!$S$2:$S$4001,'All Donations'!$R$2:$R$4001,$AD407,'All Donations'!$T$2:$T$4001,S$1))</f>
        <v/>
      </c>
      <c r="T407" s="49">
        <f>IF(OR($AE407&lt;&gt;1,T$1=""),"",SUMIFS('All Donations'!$S$2:$S$4001,'All Donations'!$R$2:$R$4001,$AD407,'All Donations'!$T$2:$T$4001,T$1))</f>
        <v/>
      </c>
      <c r="U407" s="49">
        <f>IF(OR($AE407&lt;&gt;1,U$1=""),"",SUMIFS('All Donations'!$S$2:$S$4001,'All Donations'!$R$2:$R$4001,$AD407,'All Donations'!$T$2:$T$4001,U$1))</f>
        <v/>
      </c>
      <c r="V407" s="49">
        <f>IF(OR($AE407&lt;&gt;1,V$1=""),"",SUMIFS('All Donations'!$S$2:$S$4001,'All Donations'!$R$2:$R$4001,$AD407,'All Donations'!$T$2:$T$4001,V$1))</f>
        <v/>
      </c>
      <c r="W407" s="49">
        <f>IF(OR($AE407&lt;&gt;1,W$1=""),"",SUMIFS('All Donations'!$S$2:$S$4001,'All Donations'!$R$2:$R$4001,$AD407,'All Donations'!$T$2:$T$4001,W$1))</f>
        <v/>
      </c>
      <c r="X407" s="49">
        <f>IF(OR($AE407&lt;&gt;1,X$1=""),"",SUMIFS('All Donations'!$S$2:$S$4001,'All Donations'!$R$2:$R$4001,$AD407,'All Donations'!$T$2:$T$4001,X$1))</f>
        <v/>
      </c>
      <c r="Y407" s="49">
        <f>IF(OR($AE407&lt;&gt;1,Y$1=""),"",SUMIFS('All Donations'!$S$2:$S$4001,'All Donations'!$R$2:$R$4001,$AD407,'All Donations'!$T$2:$T$4001,Y$1))</f>
        <v/>
      </c>
      <c r="Z407" s="49">
        <f>IF(OR($AE407&lt;&gt;1,Z$1=""),"",SUMIFS('All Donations'!$S$2:$S$4001,'All Donations'!$R$2:$R$4001,$AD407,'All Donations'!$T$2:$T$4001,Z$1))</f>
        <v/>
      </c>
      <c r="AA407" s="49">
        <f>IF(OR($AE407&lt;&gt;1,AA$1=""),"",SUMIFS('All Donations'!$S$2:$S$4001,'All Donations'!$R$2:$R$4001,$AD407,'All Donations'!$T$2:$T$4001,AA$1))</f>
        <v/>
      </c>
      <c r="AB407" s="49">
        <f>IF(OR($AE407&lt;&gt;1,AB$1=""),"",SUMIFS('All Donations'!$S$2:$S$4001,'All Donations'!$R$2:$R$4001,$AD407,'All Donations'!$T$2:$T$4001,AB$1))</f>
        <v/>
      </c>
      <c r="AC407" s="49">
        <f>IF(OR($AE407&lt;&gt;1,AC$1=""),"",SUMIFS('All Donations'!$S$2:$S$4001,'All Donations'!$R$2:$R$4001,$AD407,'All Donations'!$T$2:$T$4001,AC$1))</f>
        <v/>
      </c>
      <c r="AD407">
        <f>IF(AE407=1,'Roster'!A407,"")</f>
        <v/>
      </c>
      <c r="AE407">
        <f>IF(TRIM('Roster'!B407&amp;'Roster'!C407)&lt;&gt;"",1,0)</f>
        <v/>
      </c>
      <c r="AF407">
        <f>IF(AE407=1,LOWER(A407),"#")</f>
        <v/>
      </c>
      <c r="AG407">
        <f>IF(AE407=1,LOWER(TRIM(TRIM('Roster'!C407)&amp;", "&amp;TRIM('Roster'!B407))),"#")</f>
        <v/>
      </c>
      <c r="AH407">
        <f>IF(AND(AE407=1,TRIM('Roster'!F407)&lt;&gt;""),LOWER(TRIM('Roster'!F407)),"#")</f>
        <v/>
      </c>
      <c r="AI407">
        <f>IF(AE407=1,IF(MATCH(B407,$B$2:$B$701,0)=ROW()-1,1,0),0)</f>
        <v/>
      </c>
      <c r="AJ407">
        <f>AJ406+AI407</f>
        <v/>
      </c>
      <c r="AK407">
        <f>IF(AE407=1,D407+(1000-ROW())/10^7,-1)</f>
        <v/>
      </c>
      <c r="AL407">
        <f>IF(AE407=1,TRIM('Roster'!B407)&amp;" "&amp;LEFT(TRIM('Roster'!C407),1)&amp;".","")</f>
        <v/>
      </c>
      <c r="AM407">
        <f>IF(AE407=1,TRIM('Roster'!C407)&amp;", "&amp;TRIM('Roster'!B407)&amp;" ("&amp;B407&amp;") #"&amp;AD407,"")</f>
        <v/>
      </c>
      <c r="AN407">
        <f>IF(AE407=1,TRIM('Roster'!E407),"")</f>
        <v/>
      </c>
      <c r="AO407">
        <f>IF(AE407=1,ROUND(SUMIFS('All Donations'!$S$2:$S$4001,'All Donations'!$R$2:$R$4001,AD407,'All Donations'!$T$2:$T$4001,"&gt;="&amp;'Settings'!$C$23,'All Donations'!$T$2:$T$4001,"&lt;="&amp;'Settings'!$D$23),2),0)</f>
        <v/>
      </c>
      <c r="AQ407">
        <f>IF(AE407=1,ROUND(SUMIFS('All Donations'!$S$2:$S$4001,'All Donations'!$R$2:$R$4001,AD407,'All Donations'!$T$2:$T$4001,"&gt;="&amp;'Settings'!$C$25,'All Donations'!$T$2:$T$4001,"&lt;="&amp;'Settings'!$D$25),2),0)</f>
        <v/>
      </c>
      <c r="AR407">
        <f>IF(AE407=1,ROUND(SUMIFS('All Donations'!$S$2:$S$4001,'All Donations'!$R$2:$R$4001,AD407,'All Donations'!$T$2:$T$4001,"&gt;="&amp;'Settings'!$C$26,'All Donations'!$T$2:$T$4001,"&lt;="&amp;'Settings'!$D$26),2),0)</f>
        <v/>
      </c>
      <c r="AS407">
        <f>IF(AE407=1,ROUND(SUMIFS('All Donations'!$S$2:$S$4001,'All Donations'!$R$2:$R$4001,AD407,'All Donations'!$T$2:$T$4001,"&lt;="&amp;'Settings'!$D$27),2),0)</f>
        <v/>
      </c>
      <c r="AT407">
        <f>IF(AE407=1,ROUND(SUMIFS('All Donations'!$S$2:$S$4001,'All Donations'!$R$2:$R$4001,AD407,'All Donations'!$T$2:$T$4001,"&gt;="&amp;'Settings'!$C$28,'All Donations'!$T$2:$T$4001,"&lt;="&amp;'Settings'!$D$28),2),0)</f>
        <v/>
      </c>
      <c r="AU407">
        <f>IF(AE407=1,ROUND(SUMIFS('All Donations'!$S$2:$S$4001,'All Donations'!$R$2:$R$4001,AD407,'All Donations'!$T$2:$T$4001,"&gt;="&amp;'Settings'!$C$29,'All Donations'!$T$2:$T$4001,"&lt;="&amp;'Settings'!$D$29),2),0)</f>
        <v/>
      </c>
      <c r="AV407">
        <f>IF(AE407=1,ROUND(SUMIFS('All Donations'!$S$2:$S$4001,'All Donations'!$R$2:$R$4001,AD407,'All Donations'!$T$2:$T$4001,"&lt;="&amp;'Settings'!$D$30),2),0)</f>
        <v/>
      </c>
      <c r="AZ407">
        <f>IF(AE407=1,ROUND(SUMIFS('All Donations'!$S$2:$S$4001,'All Donations'!$R$2:$R$4001,AD407,'All Donations'!$T$2:$T$4001,"&lt;="&amp;'Settings'!$D$34),2),0)</f>
        <v/>
      </c>
    </row>
    <row r="408">
      <c r="A408">
        <f>IF(AE408=1,TRIM(TRIM('Roster'!B408)&amp;" "&amp;TRIM('Roster'!C408)),"")</f>
        <v/>
      </c>
      <c r="B408">
        <f>IF(AE408=1,IF(AN408="","(no teacher)",AN408&amp;" – "&amp;C408),"")</f>
        <v/>
      </c>
      <c r="C408">
        <f>IF(AE408=1,TRIM('Roster'!D408&amp;""),"")</f>
        <v/>
      </c>
      <c r="D408" s="48">
        <f>IF(AE408=1,ROUND(SUMIFS('All Donations'!$S$2:$S$4001,'All Donations'!$R$2:$R$4001,AD408),2),"")</f>
        <v/>
      </c>
      <c r="E408" s="48">
        <f>IF(AE408=1,ROUND(SUMIFS('All Donations'!$S$2:$S$4001,'All Donations'!$R$2:$R$4001,AD408,'All Donations'!$G$2:$G$4001,"OneCause"),2),"")</f>
        <v/>
      </c>
      <c r="F408" s="48">
        <f>IF(AE408=1,D408-E408,"")</f>
        <v/>
      </c>
      <c r="G408">
        <f>IF(AE408=1,COUNTIFS('All Donations'!$R$2:$R$4001,AD408,'All Donations'!$H$2:$H$4001,"OK"),"")</f>
        <v/>
      </c>
      <c r="H408">
        <f>IF(AE408&lt;&gt;1,"",IF(D408&gt;0,"Yes",""))</f>
        <v/>
      </c>
      <c r="I408" s="49">
        <f>IF(OR($AE408&lt;&gt;1,I$1=""),"",SUMIFS('All Donations'!$S$2:$S$4001,'All Donations'!$R$2:$R$4001,$AD408,'All Donations'!$T$2:$T$4001,I$1))</f>
        <v/>
      </c>
      <c r="J408" s="49">
        <f>IF(OR($AE408&lt;&gt;1,J$1=""),"",SUMIFS('All Donations'!$S$2:$S$4001,'All Donations'!$R$2:$R$4001,$AD408,'All Donations'!$T$2:$T$4001,J$1))</f>
        <v/>
      </c>
      <c r="K408" s="49">
        <f>IF(OR($AE408&lt;&gt;1,K$1=""),"",SUMIFS('All Donations'!$S$2:$S$4001,'All Donations'!$R$2:$R$4001,$AD408,'All Donations'!$T$2:$T$4001,K$1))</f>
        <v/>
      </c>
      <c r="L408" s="49">
        <f>IF(OR($AE408&lt;&gt;1,L$1=""),"",SUMIFS('All Donations'!$S$2:$S$4001,'All Donations'!$R$2:$R$4001,$AD408,'All Donations'!$T$2:$T$4001,L$1))</f>
        <v/>
      </c>
      <c r="M408" s="49">
        <f>IF(OR($AE408&lt;&gt;1,M$1=""),"",SUMIFS('All Donations'!$S$2:$S$4001,'All Donations'!$R$2:$R$4001,$AD408,'All Donations'!$T$2:$T$4001,M$1))</f>
        <v/>
      </c>
      <c r="N408" s="49">
        <f>IF(OR($AE408&lt;&gt;1,N$1=""),"",SUMIFS('All Donations'!$S$2:$S$4001,'All Donations'!$R$2:$R$4001,$AD408,'All Donations'!$T$2:$T$4001,N$1))</f>
        <v/>
      </c>
      <c r="O408" s="49">
        <f>IF(OR($AE408&lt;&gt;1,O$1=""),"",SUMIFS('All Donations'!$S$2:$S$4001,'All Donations'!$R$2:$R$4001,$AD408,'All Donations'!$T$2:$T$4001,O$1))</f>
        <v/>
      </c>
      <c r="P408" s="49">
        <f>IF(OR($AE408&lt;&gt;1,P$1=""),"",SUMIFS('All Donations'!$S$2:$S$4001,'All Donations'!$R$2:$R$4001,$AD408,'All Donations'!$T$2:$T$4001,P$1))</f>
        <v/>
      </c>
      <c r="Q408" s="49">
        <f>IF(OR($AE408&lt;&gt;1,Q$1=""),"",SUMIFS('All Donations'!$S$2:$S$4001,'All Donations'!$R$2:$R$4001,$AD408,'All Donations'!$T$2:$T$4001,Q$1))</f>
        <v/>
      </c>
      <c r="R408" s="49">
        <f>IF(OR($AE408&lt;&gt;1,R$1=""),"",SUMIFS('All Donations'!$S$2:$S$4001,'All Donations'!$R$2:$R$4001,$AD408,'All Donations'!$T$2:$T$4001,R$1))</f>
        <v/>
      </c>
      <c r="S408" s="49">
        <f>IF(OR($AE408&lt;&gt;1,S$1=""),"",SUMIFS('All Donations'!$S$2:$S$4001,'All Donations'!$R$2:$R$4001,$AD408,'All Donations'!$T$2:$T$4001,S$1))</f>
        <v/>
      </c>
      <c r="T408" s="49">
        <f>IF(OR($AE408&lt;&gt;1,T$1=""),"",SUMIFS('All Donations'!$S$2:$S$4001,'All Donations'!$R$2:$R$4001,$AD408,'All Donations'!$T$2:$T$4001,T$1))</f>
        <v/>
      </c>
      <c r="U408" s="49">
        <f>IF(OR($AE408&lt;&gt;1,U$1=""),"",SUMIFS('All Donations'!$S$2:$S$4001,'All Donations'!$R$2:$R$4001,$AD408,'All Donations'!$T$2:$T$4001,U$1))</f>
        <v/>
      </c>
      <c r="V408" s="49">
        <f>IF(OR($AE408&lt;&gt;1,V$1=""),"",SUMIFS('All Donations'!$S$2:$S$4001,'All Donations'!$R$2:$R$4001,$AD408,'All Donations'!$T$2:$T$4001,V$1))</f>
        <v/>
      </c>
      <c r="W408" s="49">
        <f>IF(OR($AE408&lt;&gt;1,W$1=""),"",SUMIFS('All Donations'!$S$2:$S$4001,'All Donations'!$R$2:$R$4001,$AD408,'All Donations'!$T$2:$T$4001,W$1))</f>
        <v/>
      </c>
      <c r="X408" s="49">
        <f>IF(OR($AE408&lt;&gt;1,X$1=""),"",SUMIFS('All Donations'!$S$2:$S$4001,'All Donations'!$R$2:$R$4001,$AD408,'All Donations'!$T$2:$T$4001,X$1))</f>
        <v/>
      </c>
      <c r="Y408" s="49">
        <f>IF(OR($AE408&lt;&gt;1,Y$1=""),"",SUMIFS('All Donations'!$S$2:$S$4001,'All Donations'!$R$2:$R$4001,$AD408,'All Donations'!$T$2:$T$4001,Y$1))</f>
        <v/>
      </c>
      <c r="Z408" s="49">
        <f>IF(OR($AE408&lt;&gt;1,Z$1=""),"",SUMIFS('All Donations'!$S$2:$S$4001,'All Donations'!$R$2:$R$4001,$AD408,'All Donations'!$T$2:$T$4001,Z$1))</f>
        <v/>
      </c>
      <c r="AA408" s="49">
        <f>IF(OR($AE408&lt;&gt;1,AA$1=""),"",SUMIFS('All Donations'!$S$2:$S$4001,'All Donations'!$R$2:$R$4001,$AD408,'All Donations'!$T$2:$T$4001,AA$1))</f>
        <v/>
      </c>
      <c r="AB408" s="49">
        <f>IF(OR($AE408&lt;&gt;1,AB$1=""),"",SUMIFS('All Donations'!$S$2:$S$4001,'All Donations'!$R$2:$R$4001,$AD408,'All Donations'!$T$2:$T$4001,AB$1))</f>
        <v/>
      </c>
      <c r="AC408" s="49">
        <f>IF(OR($AE408&lt;&gt;1,AC$1=""),"",SUMIFS('All Donations'!$S$2:$S$4001,'All Donations'!$R$2:$R$4001,$AD408,'All Donations'!$T$2:$T$4001,AC$1))</f>
        <v/>
      </c>
      <c r="AD408">
        <f>IF(AE408=1,'Roster'!A408,"")</f>
        <v/>
      </c>
      <c r="AE408">
        <f>IF(TRIM('Roster'!B408&amp;'Roster'!C408)&lt;&gt;"",1,0)</f>
        <v/>
      </c>
      <c r="AF408">
        <f>IF(AE408=1,LOWER(A408),"#")</f>
        <v/>
      </c>
      <c r="AG408">
        <f>IF(AE408=1,LOWER(TRIM(TRIM('Roster'!C408)&amp;", "&amp;TRIM('Roster'!B408))),"#")</f>
        <v/>
      </c>
      <c r="AH408">
        <f>IF(AND(AE408=1,TRIM('Roster'!F408)&lt;&gt;""),LOWER(TRIM('Roster'!F408)),"#")</f>
        <v/>
      </c>
      <c r="AI408">
        <f>IF(AE408=1,IF(MATCH(B408,$B$2:$B$701,0)=ROW()-1,1,0),0)</f>
        <v/>
      </c>
      <c r="AJ408">
        <f>AJ407+AI408</f>
        <v/>
      </c>
      <c r="AK408">
        <f>IF(AE408=1,D408+(1000-ROW())/10^7,-1)</f>
        <v/>
      </c>
      <c r="AL408">
        <f>IF(AE408=1,TRIM('Roster'!B408)&amp;" "&amp;LEFT(TRIM('Roster'!C408),1)&amp;".","")</f>
        <v/>
      </c>
      <c r="AM408">
        <f>IF(AE408=1,TRIM('Roster'!C408)&amp;", "&amp;TRIM('Roster'!B408)&amp;" ("&amp;B408&amp;") #"&amp;AD408,"")</f>
        <v/>
      </c>
      <c r="AN408">
        <f>IF(AE408=1,TRIM('Roster'!E408),"")</f>
        <v/>
      </c>
      <c r="AO408">
        <f>IF(AE408=1,ROUND(SUMIFS('All Donations'!$S$2:$S$4001,'All Donations'!$R$2:$R$4001,AD408,'All Donations'!$T$2:$T$4001,"&gt;="&amp;'Settings'!$C$23,'All Donations'!$T$2:$T$4001,"&lt;="&amp;'Settings'!$D$23),2),0)</f>
        <v/>
      </c>
      <c r="AQ408">
        <f>IF(AE408=1,ROUND(SUMIFS('All Donations'!$S$2:$S$4001,'All Donations'!$R$2:$R$4001,AD408,'All Donations'!$T$2:$T$4001,"&gt;="&amp;'Settings'!$C$25,'All Donations'!$T$2:$T$4001,"&lt;="&amp;'Settings'!$D$25),2),0)</f>
        <v/>
      </c>
      <c r="AR408">
        <f>IF(AE408=1,ROUND(SUMIFS('All Donations'!$S$2:$S$4001,'All Donations'!$R$2:$R$4001,AD408,'All Donations'!$T$2:$T$4001,"&gt;="&amp;'Settings'!$C$26,'All Donations'!$T$2:$T$4001,"&lt;="&amp;'Settings'!$D$26),2),0)</f>
        <v/>
      </c>
      <c r="AS408">
        <f>IF(AE408=1,ROUND(SUMIFS('All Donations'!$S$2:$S$4001,'All Donations'!$R$2:$R$4001,AD408,'All Donations'!$T$2:$T$4001,"&lt;="&amp;'Settings'!$D$27),2),0)</f>
        <v/>
      </c>
      <c r="AT408">
        <f>IF(AE408=1,ROUND(SUMIFS('All Donations'!$S$2:$S$4001,'All Donations'!$R$2:$R$4001,AD408,'All Donations'!$T$2:$T$4001,"&gt;="&amp;'Settings'!$C$28,'All Donations'!$T$2:$T$4001,"&lt;="&amp;'Settings'!$D$28),2),0)</f>
        <v/>
      </c>
      <c r="AU408">
        <f>IF(AE408=1,ROUND(SUMIFS('All Donations'!$S$2:$S$4001,'All Donations'!$R$2:$R$4001,AD408,'All Donations'!$T$2:$T$4001,"&gt;="&amp;'Settings'!$C$29,'All Donations'!$T$2:$T$4001,"&lt;="&amp;'Settings'!$D$29),2),0)</f>
        <v/>
      </c>
      <c r="AV408">
        <f>IF(AE408=1,ROUND(SUMIFS('All Donations'!$S$2:$S$4001,'All Donations'!$R$2:$R$4001,AD408,'All Donations'!$T$2:$T$4001,"&lt;="&amp;'Settings'!$D$30),2),0)</f>
        <v/>
      </c>
      <c r="AZ408">
        <f>IF(AE408=1,ROUND(SUMIFS('All Donations'!$S$2:$S$4001,'All Donations'!$R$2:$R$4001,AD408,'All Donations'!$T$2:$T$4001,"&lt;="&amp;'Settings'!$D$34),2),0)</f>
        <v/>
      </c>
    </row>
    <row r="409">
      <c r="A409">
        <f>IF(AE409=1,TRIM(TRIM('Roster'!B409)&amp;" "&amp;TRIM('Roster'!C409)),"")</f>
        <v/>
      </c>
      <c r="B409">
        <f>IF(AE409=1,IF(AN409="","(no teacher)",AN409&amp;" – "&amp;C409),"")</f>
        <v/>
      </c>
      <c r="C409">
        <f>IF(AE409=1,TRIM('Roster'!D409&amp;""),"")</f>
        <v/>
      </c>
      <c r="D409" s="48">
        <f>IF(AE409=1,ROUND(SUMIFS('All Donations'!$S$2:$S$4001,'All Donations'!$R$2:$R$4001,AD409),2),"")</f>
        <v/>
      </c>
      <c r="E409" s="48">
        <f>IF(AE409=1,ROUND(SUMIFS('All Donations'!$S$2:$S$4001,'All Donations'!$R$2:$R$4001,AD409,'All Donations'!$G$2:$G$4001,"OneCause"),2),"")</f>
        <v/>
      </c>
      <c r="F409" s="48">
        <f>IF(AE409=1,D409-E409,"")</f>
        <v/>
      </c>
      <c r="G409">
        <f>IF(AE409=1,COUNTIFS('All Donations'!$R$2:$R$4001,AD409,'All Donations'!$H$2:$H$4001,"OK"),"")</f>
        <v/>
      </c>
      <c r="H409">
        <f>IF(AE409&lt;&gt;1,"",IF(D409&gt;0,"Yes",""))</f>
        <v/>
      </c>
      <c r="I409" s="49">
        <f>IF(OR($AE409&lt;&gt;1,I$1=""),"",SUMIFS('All Donations'!$S$2:$S$4001,'All Donations'!$R$2:$R$4001,$AD409,'All Donations'!$T$2:$T$4001,I$1))</f>
        <v/>
      </c>
      <c r="J409" s="49">
        <f>IF(OR($AE409&lt;&gt;1,J$1=""),"",SUMIFS('All Donations'!$S$2:$S$4001,'All Donations'!$R$2:$R$4001,$AD409,'All Donations'!$T$2:$T$4001,J$1))</f>
        <v/>
      </c>
      <c r="K409" s="49">
        <f>IF(OR($AE409&lt;&gt;1,K$1=""),"",SUMIFS('All Donations'!$S$2:$S$4001,'All Donations'!$R$2:$R$4001,$AD409,'All Donations'!$T$2:$T$4001,K$1))</f>
        <v/>
      </c>
      <c r="L409" s="49">
        <f>IF(OR($AE409&lt;&gt;1,L$1=""),"",SUMIFS('All Donations'!$S$2:$S$4001,'All Donations'!$R$2:$R$4001,$AD409,'All Donations'!$T$2:$T$4001,L$1))</f>
        <v/>
      </c>
      <c r="M409" s="49">
        <f>IF(OR($AE409&lt;&gt;1,M$1=""),"",SUMIFS('All Donations'!$S$2:$S$4001,'All Donations'!$R$2:$R$4001,$AD409,'All Donations'!$T$2:$T$4001,M$1))</f>
        <v/>
      </c>
      <c r="N409" s="49">
        <f>IF(OR($AE409&lt;&gt;1,N$1=""),"",SUMIFS('All Donations'!$S$2:$S$4001,'All Donations'!$R$2:$R$4001,$AD409,'All Donations'!$T$2:$T$4001,N$1))</f>
        <v/>
      </c>
      <c r="O409" s="49">
        <f>IF(OR($AE409&lt;&gt;1,O$1=""),"",SUMIFS('All Donations'!$S$2:$S$4001,'All Donations'!$R$2:$R$4001,$AD409,'All Donations'!$T$2:$T$4001,O$1))</f>
        <v/>
      </c>
      <c r="P409" s="49">
        <f>IF(OR($AE409&lt;&gt;1,P$1=""),"",SUMIFS('All Donations'!$S$2:$S$4001,'All Donations'!$R$2:$R$4001,$AD409,'All Donations'!$T$2:$T$4001,P$1))</f>
        <v/>
      </c>
      <c r="Q409" s="49">
        <f>IF(OR($AE409&lt;&gt;1,Q$1=""),"",SUMIFS('All Donations'!$S$2:$S$4001,'All Donations'!$R$2:$R$4001,$AD409,'All Donations'!$T$2:$T$4001,Q$1))</f>
        <v/>
      </c>
      <c r="R409" s="49">
        <f>IF(OR($AE409&lt;&gt;1,R$1=""),"",SUMIFS('All Donations'!$S$2:$S$4001,'All Donations'!$R$2:$R$4001,$AD409,'All Donations'!$T$2:$T$4001,R$1))</f>
        <v/>
      </c>
      <c r="S409" s="49">
        <f>IF(OR($AE409&lt;&gt;1,S$1=""),"",SUMIFS('All Donations'!$S$2:$S$4001,'All Donations'!$R$2:$R$4001,$AD409,'All Donations'!$T$2:$T$4001,S$1))</f>
        <v/>
      </c>
      <c r="T409" s="49">
        <f>IF(OR($AE409&lt;&gt;1,T$1=""),"",SUMIFS('All Donations'!$S$2:$S$4001,'All Donations'!$R$2:$R$4001,$AD409,'All Donations'!$T$2:$T$4001,T$1))</f>
        <v/>
      </c>
      <c r="U409" s="49">
        <f>IF(OR($AE409&lt;&gt;1,U$1=""),"",SUMIFS('All Donations'!$S$2:$S$4001,'All Donations'!$R$2:$R$4001,$AD409,'All Donations'!$T$2:$T$4001,U$1))</f>
        <v/>
      </c>
      <c r="V409" s="49">
        <f>IF(OR($AE409&lt;&gt;1,V$1=""),"",SUMIFS('All Donations'!$S$2:$S$4001,'All Donations'!$R$2:$R$4001,$AD409,'All Donations'!$T$2:$T$4001,V$1))</f>
        <v/>
      </c>
      <c r="W409" s="49">
        <f>IF(OR($AE409&lt;&gt;1,W$1=""),"",SUMIFS('All Donations'!$S$2:$S$4001,'All Donations'!$R$2:$R$4001,$AD409,'All Donations'!$T$2:$T$4001,W$1))</f>
        <v/>
      </c>
      <c r="X409" s="49">
        <f>IF(OR($AE409&lt;&gt;1,X$1=""),"",SUMIFS('All Donations'!$S$2:$S$4001,'All Donations'!$R$2:$R$4001,$AD409,'All Donations'!$T$2:$T$4001,X$1))</f>
        <v/>
      </c>
      <c r="Y409" s="49">
        <f>IF(OR($AE409&lt;&gt;1,Y$1=""),"",SUMIFS('All Donations'!$S$2:$S$4001,'All Donations'!$R$2:$R$4001,$AD409,'All Donations'!$T$2:$T$4001,Y$1))</f>
        <v/>
      </c>
      <c r="Z409" s="49">
        <f>IF(OR($AE409&lt;&gt;1,Z$1=""),"",SUMIFS('All Donations'!$S$2:$S$4001,'All Donations'!$R$2:$R$4001,$AD409,'All Donations'!$T$2:$T$4001,Z$1))</f>
        <v/>
      </c>
      <c r="AA409" s="49">
        <f>IF(OR($AE409&lt;&gt;1,AA$1=""),"",SUMIFS('All Donations'!$S$2:$S$4001,'All Donations'!$R$2:$R$4001,$AD409,'All Donations'!$T$2:$T$4001,AA$1))</f>
        <v/>
      </c>
      <c r="AB409" s="49">
        <f>IF(OR($AE409&lt;&gt;1,AB$1=""),"",SUMIFS('All Donations'!$S$2:$S$4001,'All Donations'!$R$2:$R$4001,$AD409,'All Donations'!$T$2:$T$4001,AB$1))</f>
        <v/>
      </c>
      <c r="AC409" s="49">
        <f>IF(OR($AE409&lt;&gt;1,AC$1=""),"",SUMIFS('All Donations'!$S$2:$S$4001,'All Donations'!$R$2:$R$4001,$AD409,'All Donations'!$T$2:$T$4001,AC$1))</f>
        <v/>
      </c>
      <c r="AD409">
        <f>IF(AE409=1,'Roster'!A409,"")</f>
        <v/>
      </c>
      <c r="AE409">
        <f>IF(TRIM('Roster'!B409&amp;'Roster'!C409)&lt;&gt;"",1,0)</f>
        <v/>
      </c>
      <c r="AF409">
        <f>IF(AE409=1,LOWER(A409),"#")</f>
        <v/>
      </c>
      <c r="AG409">
        <f>IF(AE409=1,LOWER(TRIM(TRIM('Roster'!C409)&amp;", "&amp;TRIM('Roster'!B409))),"#")</f>
        <v/>
      </c>
      <c r="AH409">
        <f>IF(AND(AE409=1,TRIM('Roster'!F409)&lt;&gt;""),LOWER(TRIM('Roster'!F409)),"#")</f>
        <v/>
      </c>
      <c r="AI409">
        <f>IF(AE409=1,IF(MATCH(B409,$B$2:$B$701,0)=ROW()-1,1,0),0)</f>
        <v/>
      </c>
      <c r="AJ409">
        <f>AJ408+AI409</f>
        <v/>
      </c>
      <c r="AK409">
        <f>IF(AE409=1,D409+(1000-ROW())/10^7,-1)</f>
        <v/>
      </c>
      <c r="AL409">
        <f>IF(AE409=1,TRIM('Roster'!B409)&amp;" "&amp;LEFT(TRIM('Roster'!C409),1)&amp;".","")</f>
        <v/>
      </c>
      <c r="AM409">
        <f>IF(AE409=1,TRIM('Roster'!C409)&amp;", "&amp;TRIM('Roster'!B409)&amp;" ("&amp;B409&amp;") #"&amp;AD409,"")</f>
        <v/>
      </c>
      <c r="AN409">
        <f>IF(AE409=1,TRIM('Roster'!E409),"")</f>
        <v/>
      </c>
      <c r="AO409">
        <f>IF(AE409=1,ROUND(SUMIFS('All Donations'!$S$2:$S$4001,'All Donations'!$R$2:$R$4001,AD409,'All Donations'!$T$2:$T$4001,"&gt;="&amp;'Settings'!$C$23,'All Donations'!$T$2:$T$4001,"&lt;="&amp;'Settings'!$D$23),2),0)</f>
        <v/>
      </c>
      <c r="AQ409">
        <f>IF(AE409=1,ROUND(SUMIFS('All Donations'!$S$2:$S$4001,'All Donations'!$R$2:$R$4001,AD409,'All Donations'!$T$2:$T$4001,"&gt;="&amp;'Settings'!$C$25,'All Donations'!$T$2:$T$4001,"&lt;="&amp;'Settings'!$D$25),2),0)</f>
        <v/>
      </c>
      <c r="AR409">
        <f>IF(AE409=1,ROUND(SUMIFS('All Donations'!$S$2:$S$4001,'All Donations'!$R$2:$R$4001,AD409,'All Donations'!$T$2:$T$4001,"&gt;="&amp;'Settings'!$C$26,'All Donations'!$T$2:$T$4001,"&lt;="&amp;'Settings'!$D$26),2),0)</f>
        <v/>
      </c>
      <c r="AS409">
        <f>IF(AE409=1,ROUND(SUMIFS('All Donations'!$S$2:$S$4001,'All Donations'!$R$2:$R$4001,AD409,'All Donations'!$T$2:$T$4001,"&lt;="&amp;'Settings'!$D$27),2),0)</f>
        <v/>
      </c>
      <c r="AT409">
        <f>IF(AE409=1,ROUND(SUMIFS('All Donations'!$S$2:$S$4001,'All Donations'!$R$2:$R$4001,AD409,'All Donations'!$T$2:$T$4001,"&gt;="&amp;'Settings'!$C$28,'All Donations'!$T$2:$T$4001,"&lt;="&amp;'Settings'!$D$28),2),0)</f>
        <v/>
      </c>
      <c r="AU409">
        <f>IF(AE409=1,ROUND(SUMIFS('All Donations'!$S$2:$S$4001,'All Donations'!$R$2:$R$4001,AD409,'All Donations'!$T$2:$T$4001,"&gt;="&amp;'Settings'!$C$29,'All Donations'!$T$2:$T$4001,"&lt;="&amp;'Settings'!$D$29),2),0)</f>
        <v/>
      </c>
      <c r="AV409">
        <f>IF(AE409=1,ROUND(SUMIFS('All Donations'!$S$2:$S$4001,'All Donations'!$R$2:$R$4001,AD409,'All Donations'!$T$2:$T$4001,"&lt;="&amp;'Settings'!$D$30),2),0)</f>
        <v/>
      </c>
      <c r="AZ409">
        <f>IF(AE409=1,ROUND(SUMIFS('All Donations'!$S$2:$S$4001,'All Donations'!$R$2:$R$4001,AD409,'All Donations'!$T$2:$T$4001,"&lt;="&amp;'Settings'!$D$34),2),0)</f>
        <v/>
      </c>
    </row>
    <row r="410">
      <c r="A410">
        <f>IF(AE410=1,TRIM(TRIM('Roster'!B410)&amp;" "&amp;TRIM('Roster'!C410)),"")</f>
        <v/>
      </c>
      <c r="B410">
        <f>IF(AE410=1,IF(AN410="","(no teacher)",AN410&amp;" – "&amp;C410),"")</f>
        <v/>
      </c>
      <c r="C410">
        <f>IF(AE410=1,TRIM('Roster'!D410&amp;""),"")</f>
        <v/>
      </c>
      <c r="D410" s="48">
        <f>IF(AE410=1,ROUND(SUMIFS('All Donations'!$S$2:$S$4001,'All Donations'!$R$2:$R$4001,AD410),2),"")</f>
        <v/>
      </c>
      <c r="E410" s="48">
        <f>IF(AE410=1,ROUND(SUMIFS('All Donations'!$S$2:$S$4001,'All Donations'!$R$2:$R$4001,AD410,'All Donations'!$G$2:$G$4001,"OneCause"),2),"")</f>
        <v/>
      </c>
      <c r="F410" s="48">
        <f>IF(AE410=1,D410-E410,"")</f>
        <v/>
      </c>
      <c r="G410">
        <f>IF(AE410=1,COUNTIFS('All Donations'!$R$2:$R$4001,AD410,'All Donations'!$H$2:$H$4001,"OK"),"")</f>
        <v/>
      </c>
      <c r="H410">
        <f>IF(AE410&lt;&gt;1,"",IF(D410&gt;0,"Yes",""))</f>
        <v/>
      </c>
      <c r="I410" s="49">
        <f>IF(OR($AE410&lt;&gt;1,I$1=""),"",SUMIFS('All Donations'!$S$2:$S$4001,'All Donations'!$R$2:$R$4001,$AD410,'All Donations'!$T$2:$T$4001,I$1))</f>
        <v/>
      </c>
      <c r="J410" s="49">
        <f>IF(OR($AE410&lt;&gt;1,J$1=""),"",SUMIFS('All Donations'!$S$2:$S$4001,'All Donations'!$R$2:$R$4001,$AD410,'All Donations'!$T$2:$T$4001,J$1))</f>
        <v/>
      </c>
      <c r="K410" s="49">
        <f>IF(OR($AE410&lt;&gt;1,K$1=""),"",SUMIFS('All Donations'!$S$2:$S$4001,'All Donations'!$R$2:$R$4001,$AD410,'All Donations'!$T$2:$T$4001,K$1))</f>
        <v/>
      </c>
      <c r="L410" s="49">
        <f>IF(OR($AE410&lt;&gt;1,L$1=""),"",SUMIFS('All Donations'!$S$2:$S$4001,'All Donations'!$R$2:$R$4001,$AD410,'All Donations'!$T$2:$T$4001,L$1))</f>
        <v/>
      </c>
      <c r="M410" s="49">
        <f>IF(OR($AE410&lt;&gt;1,M$1=""),"",SUMIFS('All Donations'!$S$2:$S$4001,'All Donations'!$R$2:$R$4001,$AD410,'All Donations'!$T$2:$T$4001,M$1))</f>
        <v/>
      </c>
      <c r="N410" s="49">
        <f>IF(OR($AE410&lt;&gt;1,N$1=""),"",SUMIFS('All Donations'!$S$2:$S$4001,'All Donations'!$R$2:$R$4001,$AD410,'All Donations'!$T$2:$T$4001,N$1))</f>
        <v/>
      </c>
      <c r="O410" s="49">
        <f>IF(OR($AE410&lt;&gt;1,O$1=""),"",SUMIFS('All Donations'!$S$2:$S$4001,'All Donations'!$R$2:$R$4001,$AD410,'All Donations'!$T$2:$T$4001,O$1))</f>
        <v/>
      </c>
      <c r="P410" s="49">
        <f>IF(OR($AE410&lt;&gt;1,P$1=""),"",SUMIFS('All Donations'!$S$2:$S$4001,'All Donations'!$R$2:$R$4001,$AD410,'All Donations'!$T$2:$T$4001,P$1))</f>
        <v/>
      </c>
      <c r="Q410" s="49">
        <f>IF(OR($AE410&lt;&gt;1,Q$1=""),"",SUMIFS('All Donations'!$S$2:$S$4001,'All Donations'!$R$2:$R$4001,$AD410,'All Donations'!$T$2:$T$4001,Q$1))</f>
        <v/>
      </c>
      <c r="R410" s="49">
        <f>IF(OR($AE410&lt;&gt;1,R$1=""),"",SUMIFS('All Donations'!$S$2:$S$4001,'All Donations'!$R$2:$R$4001,$AD410,'All Donations'!$T$2:$T$4001,R$1))</f>
        <v/>
      </c>
      <c r="S410" s="49">
        <f>IF(OR($AE410&lt;&gt;1,S$1=""),"",SUMIFS('All Donations'!$S$2:$S$4001,'All Donations'!$R$2:$R$4001,$AD410,'All Donations'!$T$2:$T$4001,S$1))</f>
        <v/>
      </c>
      <c r="T410" s="49">
        <f>IF(OR($AE410&lt;&gt;1,T$1=""),"",SUMIFS('All Donations'!$S$2:$S$4001,'All Donations'!$R$2:$R$4001,$AD410,'All Donations'!$T$2:$T$4001,T$1))</f>
        <v/>
      </c>
      <c r="U410" s="49">
        <f>IF(OR($AE410&lt;&gt;1,U$1=""),"",SUMIFS('All Donations'!$S$2:$S$4001,'All Donations'!$R$2:$R$4001,$AD410,'All Donations'!$T$2:$T$4001,U$1))</f>
        <v/>
      </c>
      <c r="V410" s="49">
        <f>IF(OR($AE410&lt;&gt;1,V$1=""),"",SUMIFS('All Donations'!$S$2:$S$4001,'All Donations'!$R$2:$R$4001,$AD410,'All Donations'!$T$2:$T$4001,V$1))</f>
        <v/>
      </c>
      <c r="W410" s="49">
        <f>IF(OR($AE410&lt;&gt;1,W$1=""),"",SUMIFS('All Donations'!$S$2:$S$4001,'All Donations'!$R$2:$R$4001,$AD410,'All Donations'!$T$2:$T$4001,W$1))</f>
        <v/>
      </c>
      <c r="X410" s="49">
        <f>IF(OR($AE410&lt;&gt;1,X$1=""),"",SUMIFS('All Donations'!$S$2:$S$4001,'All Donations'!$R$2:$R$4001,$AD410,'All Donations'!$T$2:$T$4001,X$1))</f>
        <v/>
      </c>
      <c r="Y410" s="49">
        <f>IF(OR($AE410&lt;&gt;1,Y$1=""),"",SUMIFS('All Donations'!$S$2:$S$4001,'All Donations'!$R$2:$R$4001,$AD410,'All Donations'!$T$2:$T$4001,Y$1))</f>
        <v/>
      </c>
      <c r="Z410" s="49">
        <f>IF(OR($AE410&lt;&gt;1,Z$1=""),"",SUMIFS('All Donations'!$S$2:$S$4001,'All Donations'!$R$2:$R$4001,$AD410,'All Donations'!$T$2:$T$4001,Z$1))</f>
        <v/>
      </c>
      <c r="AA410" s="49">
        <f>IF(OR($AE410&lt;&gt;1,AA$1=""),"",SUMIFS('All Donations'!$S$2:$S$4001,'All Donations'!$R$2:$R$4001,$AD410,'All Donations'!$T$2:$T$4001,AA$1))</f>
        <v/>
      </c>
      <c r="AB410" s="49">
        <f>IF(OR($AE410&lt;&gt;1,AB$1=""),"",SUMIFS('All Donations'!$S$2:$S$4001,'All Donations'!$R$2:$R$4001,$AD410,'All Donations'!$T$2:$T$4001,AB$1))</f>
        <v/>
      </c>
      <c r="AC410" s="49">
        <f>IF(OR($AE410&lt;&gt;1,AC$1=""),"",SUMIFS('All Donations'!$S$2:$S$4001,'All Donations'!$R$2:$R$4001,$AD410,'All Donations'!$T$2:$T$4001,AC$1))</f>
        <v/>
      </c>
      <c r="AD410">
        <f>IF(AE410=1,'Roster'!A410,"")</f>
        <v/>
      </c>
      <c r="AE410">
        <f>IF(TRIM('Roster'!B410&amp;'Roster'!C410)&lt;&gt;"",1,0)</f>
        <v/>
      </c>
      <c r="AF410">
        <f>IF(AE410=1,LOWER(A410),"#")</f>
        <v/>
      </c>
      <c r="AG410">
        <f>IF(AE410=1,LOWER(TRIM(TRIM('Roster'!C410)&amp;", "&amp;TRIM('Roster'!B410))),"#")</f>
        <v/>
      </c>
      <c r="AH410">
        <f>IF(AND(AE410=1,TRIM('Roster'!F410)&lt;&gt;""),LOWER(TRIM('Roster'!F410)),"#")</f>
        <v/>
      </c>
      <c r="AI410">
        <f>IF(AE410=1,IF(MATCH(B410,$B$2:$B$701,0)=ROW()-1,1,0),0)</f>
        <v/>
      </c>
      <c r="AJ410">
        <f>AJ409+AI410</f>
        <v/>
      </c>
      <c r="AK410">
        <f>IF(AE410=1,D410+(1000-ROW())/10^7,-1)</f>
        <v/>
      </c>
      <c r="AL410">
        <f>IF(AE410=1,TRIM('Roster'!B410)&amp;" "&amp;LEFT(TRIM('Roster'!C410),1)&amp;".","")</f>
        <v/>
      </c>
      <c r="AM410">
        <f>IF(AE410=1,TRIM('Roster'!C410)&amp;", "&amp;TRIM('Roster'!B410)&amp;" ("&amp;B410&amp;") #"&amp;AD410,"")</f>
        <v/>
      </c>
      <c r="AN410">
        <f>IF(AE410=1,TRIM('Roster'!E410),"")</f>
        <v/>
      </c>
      <c r="AO410">
        <f>IF(AE410=1,ROUND(SUMIFS('All Donations'!$S$2:$S$4001,'All Donations'!$R$2:$R$4001,AD410,'All Donations'!$T$2:$T$4001,"&gt;="&amp;'Settings'!$C$23,'All Donations'!$T$2:$T$4001,"&lt;="&amp;'Settings'!$D$23),2),0)</f>
        <v/>
      </c>
      <c r="AQ410">
        <f>IF(AE410=1,ROUND(SUMIFS('All Donations'!$S$2:$S$4001,'All Donations'!$R$2:$R$4001,AD410,'All Donations'!$T$2:$T$4001,"&gt;="&amp;'Settings'!$C$25,'All Donations'!$T$2:$T$4001,"&lt;="&amp;'Settings'!$D$25),2),0)</f>
        <v/>
      </c>
      <c r="AR410">
        <f>IF(AE410=1,ROUND(SUMIFS('All Donations'!$S$2:$S$4001,'All Donations'!$R$2:$R$4001,AD410,'All Donations'!$T$2:$T$4001,"&gt;="&amp;'Settings'!$C$26,'All Donations'!$T$2:$T$4001,"&lt;="&amp;'Settings'!$D$26),2),0)</f>
        <v/>
      </c>
      <c r="AS410">
        <f>IF(AE410=1,ROUND(SUMIFS('All Donations'!$S$2:$S$4001,'All Donations'!$R$2:$R$4001,AD410,'All Donations'!$T$2:$T$4001,"&lt;="&amp;'Settings'!$D$27),2),0)</f>
        <v/>
      </c>
      <c r="AT410">
        <f>IF(AE410=1,ROUND(SUMIFS('All Donations'!$S$2:$S$4001,'All Donations'!$R$2:$R$4001,AD410,'All Donations'!$T$2:$T$4001,"&gt;="&amp;'Settings'!$C$28,'All Donations'!$T$2:$T$4001,"&lt;="&amp;'Settings'!$D$28),2),0)</f>
        <v/>
      </c>
      <c r="AU410">
        <f>IF(AE410=1,ROUND(SUMIFS('All Donations'!$S$2:$S$4001,'All Donations'!$R$2:$R$4001,AD410,'All Donations'!$T$2:$T$4001,"&gt;="&amp;'Settings'!$C$29,'All Donations'!$T$2:$T$4001,"&lt;="&amp;'Settings'!$D$29),2),0)</f>
        <v/>
      </c>
      <c r="AV410">
        <f>IF(AE410=1,ROUND(SUMIFS('All Donations'!$S$2:$S$4001,'All Donations'!$R$2:$R$4001,AD410,'All Donations'!$T$2:$T$4001,"&lt;="&amp;'Settings'!$D$30),2),0)</f>
        <v/>
      </c>
      <c r="AZ410">
        <f>IF(AE410=1,ROUND(SUMIFS('All Donations'!$S$2:$S$4001,'All Donations'!$R$2:$R$4001,AD410,'All Donations'!$T$2:$T$4001,"&lt;="&amp;'Settings'!$D$34),2),0)</f>
        <v/>
      </c>
    </row>
    <row r="411">
      <c r="A411">
        <f>IF(AE411=1,TRIM(TRIM('Roster'!B411)&amp;" "&amp;TRIM('Roster'!C411)),"")</f>
        <v/>
      </c>
      <c r="B411">
        <f>IF(AE411=1,IF(AN411="","(no teacher)",AN411&amp;" – "&amp;C411),"")</f>
        <v/>
      </c>
      <c r="C411">
        <f>IF(AE411=1,TRIM('Roster'!D411&amp;""),"")</f>
        <v/>
      </c>
      <c r="D411" s="48">
        <f>IF(AE411=1,ROUND(SUMIFS('All Donations'!$S$2:$S$4001,'All Donations'!$R$2:$R$4001,AD411),2),"")</f>
        <v/>
      </c>
      <c r="E411" s="48">
        <f>IF(AE411=1,ROUND(SUMIFS('All Donations'!$S$2:$S$4001,'All Donations'!$R$2:$R$4001,AD411,'All Donations'!$G$2:$G$4001,"OneCause"),2),"")</f>
        <v/>
      </c>
      <c r="F411" s="48">
        <f>IF(AE411=1,D411-E411,"")</f>
        <v/>
      </c>
      <c r="G411">
        <f>IF(AE411=1,COUNTIFS('All Donations'!$R$2:$R$4001,AD411,'All Donations'!$H$2:$H$4001,"OK"),"")</f>
        <v/>
      </c>
      <c r="H411">
        <f>IF(AE411&lt;&gt;1,"",IF(D411&gt;0,"Yes",""))</f>
        <v/>
      </c>
      <c r="I411" s="49">
        <f>IF(OR($AE411&lt;&gt;1,I$1=""),"",SUMIFS('All Donations'!$S$2:$S$4001,'All Donations'!$R$2:$R$4001,$AD411,'All Donations'!$T$2:$T$4001,I$1))</f>
        <v/>
      </c>
      <c r="J411" s="49">
        <f>IF(OR($AE411&lt;&gt;1,J$1=""),"",SUMIFS('All Donations'!$S$2:$S$4001,'All Donations'!$R$2:$R$4001,$AD411,'All Donations'!$T$2:$T$4001,J$1))</f>
        <v/>
      </c>
      <c r="K411" s="49">
        <f>IF(OR($AE411&lt;&gt;1,K$1=""),"",SUMIFS('All Donations'!$S$2:$S$4001,'All Donations'!$R$2:$R$4001,$AD411,'All Donations'!$T$2:$T$4001,K$1))</f>
        <v/>
      </c>
      <c r="L411" s="49">
        <f>IF(OR($AE411&lt;&gt;1,L$1=""),"",SUMIFS('All Donations'!$S$2:$S$4001,'All Donations'!$R$2:$R$4001,$AD411,'All Donations'!$T$2:$T$4001,L$1))</f>
        <v/>
      </c>
      <c r="M411" s="49">
        <f>IF(OR($AE411&lt;&gt;1,M$1=""),"",SUMIFS('All Donations'!$S$2:$S$4001,'All Donations'!$R$2:$R$4001,$AD411,'All Donations'!$T$2:$T$4001,M$1))</f>
        <v/>
      </c>
      <c r="N411" s="49">
        <f>IF(OR($AE411&lt;&gt;1,N$1=""),"",SUMIFS('All Donations'!$S$2:$S$4001,'All Donations'!$R$2:$R$4001,$AD411,'All Donations'!$T$2:$T$4001,N$1))</f>
        <v/>
      </c>
      <c r="O411" s="49">
        <f>IF(OR($AE411&lt;&gt;1,O$1=""),"",SUMIFS('All Donations'!$S$2:$S$4001,'All Donations'!$R$2:$R$4001,$AD411,'All Donations'!$T$2:$T$4001,O$1))</f>
        <v/>
      </c>
      <c r="P411" s="49">
        <f>IF(OR($AE411&lt;&gt;1,P$1=""),"",SUMIFS('All Donations'!$S$2:$S$4001,'All Donations'!$R$2:$R$4001,$AD411,'All Donations'!$T$2:$T$4001,P$1))</f>
        <v/>
      </c>
      <c r="Q411" s="49">
        <f>IF(OR($AE411&lt;&gt;1,Q$1=""),"",SUMIFS('All Donations'!$S$2:$S$4001,'All Donations'!$R$2:$R$4001,$AD411,'All Donations'!$T$2:$T$4001,Q$1))</f>
        <v/>
      </c>
      <c r="R411" s="49">
        <f>IF(OR($AE411&lt;&gt;1,R$1=""),"",SUMIFS('All Donations'!$S$2:$S$4001,'All Donations'!$R$2:$R$4001,$AD411,'All Donations'!$T$2:$T$4001,R$1))</f>
        <v/>
      </c>
      <c r="S411" s="49">
        <f>IF(OR($AE411&lt;&gt;1,S$1=""),"",SUMIFS('All Donations'!$S$2:$S$4001,'All Donations'!$R$2:$R$4001,$AD411,'All Donations'!$T$2:$T$4001,S$1))</f>
        <v/>
      </c>
      <c r="T411" s="49">
        <f>IF(OR($AE411&lt;&gt;1,T$1=""),"",SUMIFS('All Donations'!$S$2:$S$4001,'All Donations'!$R$2:$R$4001,$AD411,'All Donations'!$T$2:$T$4001,T$1))</f>
        <v/>
      </c>
      <c r="U411" s="49">
        <f>IF(OR($AE411&lt;&gt;1,U$1=""),"",SUMIFS('All Donations'!$S$2:$S$4001,'All Donations'!$R$2:$R$4001,$AD411,'All Donations'!$T$2:$T$4001,U$1))</f>
        <v/>
      </c>
      <c r="V411" s="49">
        <f>IF(OR($AE411&lt;&gt;1,V$1=""),"",SUMIFS('All Donations'!$S$2:$S$4001,'All Donations'!$R$2:$R$4001,$AD411,'All Donations'!$T$2:$T$4001,V$1))</f>
        <v/>
      </c>
      <c r="W411" s="49">
        <f>IF(OR($AE411&lt;&gt;1,W$1=""),"",SUMIFS('All Donations'!$S$2:$S$4001,'All Donations'!$R$2:$R$4001,$AD411,'All Donations'!$T$2:$T$4001,W$1))</f>
        <v/>
      </c>
      <c r="X411" s="49">
        <f>IF(OR($AE411&lt;&gt;1,X$1=""),"",SUMIFS('All Donations'!$S$2:$S$4001,'All Donations'!$R$2:$R$4001,$AD411,'All Donations'!$T$2:$T$4001,X$1))</f>
        <v/>
      </c>
      <c r="Y411" s="49">
        <f>IF(OR($AE411&lt;&gt;1,Y$1=""),"",SUMIFS('All Donations'!$S$2:$S$4001,'All Donations'!$R$2:$R$4001,$AD411,'All Donations'!$T$2:$T$4001,Y$1))</f>
        <v/>
      </c>
      <c r="Z411" s="49">
        <f>IF(OR($AE411&lt;&gt;1,Z$1=""),"",SUMIFS('All Donations'!$S$2:$S$4001,'All Donations'!$R$2:$R$4001,$AD411,'All Donations'!$T$2:$T$4001,Z$1))</f>
        <v/>
      </c>
      <c r="AA411" s="49">
        <f>IF(OR($AE411&lt;&gt;1,AA$1=""),"",SUMIFS('All Donations'!$S$2:$S$4001,'All Donations'!$R$2:$R$4001,$AD411,'All Donations'!$T$2:$T$4001,AA$1))</f>
        <v/>
      </c>
      <c r="AB411" s="49">
        <f>IF(OR($AE411&lt;&gt;1,AB$1=""),"",SUMIFS('All Donations'!$S$2:$S$4001,'All Donations'!$R$2:$R$4001,$AD411,'All Donations'!$T$2:$T$4001,AB$1))</f>
        <v/>
      </c>
      <c r="AC411" s="49">
        <f>IF(OR($AE411&lt;&gt;1,AC$1=""),"",SUMIFS('All Donations'!$S$2:$S$4001,'All Donations'!$R$2:$R$4001,$AD411,'All Donations'!$T$2:$T$4001,AC$1))</f>
        <v/>
      </c>
      <c r="AD411">
        <f>IF(AE411=1,'Roster'!A411,"")</f>
        <v/>
      </c>
      <c r="AE411">
        <f>IF(TRIM('Roster'!B411&amp;'Roster'!C411)&lt;&gt;"",1,0)</f>
        <v/>
      </c>
      <c r="AF411">
        <f>IF(AE411=1,LOWER(A411),"#")</f>
        <v/>
      </c>
      <c r="AG411">
        <f>IF(AE411=1,LOWER(TRIM(TRIM('Roster'!C411)&amp;", "&amp;TRIM('Roster'!B411))),"#")</f>
        <v/>
      </c>
      <c r="AH411">
        <f>IF(AND(AE411=1,TRIM('Roster'!F411)&lt;&gt;""),LOWER(TRIM('Roster'!F411)),"#")</f>
        <v/>
      </c>
      <c r="AI411">
        <f>IF(AE411=1,IF(MATCH(B411,$B$2:$B$701,0)=ROW()-1,1,0),0)</f>
        <v/>
      </c>
      <c r="AJ411">
        <f>AJ410+AI411</f>
        <v/>
      </c>
      <c r="AK411">
        <f>IF(AE411=1,D411+(1000-ROW())/10^7,-1)</f>
        <v/>
      </c>
      <c r="AL411">
        <f>IF(AE411=1,TRIM('Roster'!B411)&amp;" "&amp;LEFT(TRIM('Roster'!C411),1)&amp;".","")</f>
        <v/>
      </c>
      <c r="AM411">
        <f>IF(AE411=1,TRIM('Roster'!C411)&amp;", "&amp;TRIM('Roster'!B411)&amp;" ("&amp;B411&amp;") #"&amp;AD411,"")</f>
        <v/>
      </c>
      <c r="AN411">
        <f>IF(AE411=1,TRIM('Roster'!E411),"")</f>
        <v/>
      </c>
      <c r="AO411">
        <f>IF(AE411=1,ROUND(SUMIFS('All Donations'!$S$2:$S$4001,'All Donations'!$R$2:$R$4001,AD411,'All Donations'!$T$2:$T$4001,"&gt;="&amp;'Settings'!$C$23,'All Donations'!$T$2:$T$4001,"&lt;="&amp;'Settings'!$D$23),2),0)</f>
        <v/>
      </c>
      <c r="AQ411">
        <f>IF(AE411=1,ROUND(SUMIFS('All Donations'!$S$2:$S$4001,'All Donations'!$R$2:$R$4001,AD411,'All Donations'!$T$2:$T$4001,"&gt;="&amp;'Settings'!$C$25,'All Donations'!$T$2:$T$4001,"&lt;="&amp;'Settings'!$D$25),2),0)</f>
        <v/>
      </c>
      <c r="AR411">
        <f>IF(AE411=1,ROUND(SUMIFS('All Donations'!$S$2:$S$4001,'All Donations'!$R$2:$R$4001,AD411,'All Donations'!$T$2:$T$4001,"&gt;="&amp;'Settings'!$C$26,'All Donations'!$T$2:$T$4001,"&lt;="&amp;'Settings'!$D$26),2),0)</f>
        <v/>
      </c>
      <c r="AS411">
        <f>IF(AE411=1,ROUND(SUMIFS('All Donations'!$S$2:$S$4001,'All Donations'!$R$2:$R$4001,AD411,'All Donations'!$T$2:$T$4001,"&lt;="&amp;'Settings'!$D$27),2),0)</f>
        <v/>
      </c>
      <c r="AT411">
        <f>IF(AE411=1,ROUND(SUMIFS('All Donations'!$S$2:$S$4001,'All Donations'!$R$2:$R$4001,AD411,'All Donations'!$T$2:$T$4001,"&gt;="&amp;'Settings'!$C$28,'All Donations'!$T$2:$T$4001,"&lt;="&amp;'Settings'!$D$28),2),0)</f>
        <v/>
      </c>
      <c r="AU411">
        <f>IF(AE411=1,ROUND(SUMIFS('All Donations'!$S$2:$S$4001,'All Donations'!$R$2:$R$4001,AD411,'All Donations'!$T$2:$T$4001,"&gt;="&amp;'Settings'!$C$29,'All Donations'!$T$2:$T$4001,"&lt;="&amp;'Settings'!$D$29),2),0)</f>
        <v/>
      </c>
      <c r="AV411">
        <f>IF(AE411=1,ROUND(SUMIFS('All Donations'!$S$2:$S$4001,'All Donations'!$R$2:$R$4001,AD411,'All Donations'!$T$2:$T$4001,"&lt;="&amp;'Settings'!$D$30),2),0)</f>
        <v/>
      </c>
      <c r="AZ411">
        <f>IF(AE411=1,ROUND(SUMIFS('All Donations'!$S$2:$S$4001,'All Donations'!$R$2:$R$4001,AD411,'All Donations'!$T$2:$T$4001,"&lt;="&amp;'Settings'!$D$34),2),0)</f>
        <v/>
      </c>
    </row>
    <row r="412">
      <c r="A412">
        <f>IF(AE412=1,TRIM(TRIM('Roster'!B412)&amp;" "&amp;TRIM('Roster'!C412)),"")</f>
        <v/>
      </c>
      <c r="B412">
        <f>IF(AE412=1,IF(AN412="","(no teacher)",AN412&amp;" – "&amp;C412),"")</f>
        <v/>
      </c>
      <c r="C412">
        <f>IF(AE412=1,TRIM('Roster'!D412&amp;""),"")</f>
        <v/>
      </c>
      <c r="D412" s="48">
        <f>IF(AE412=1,ROUND(SUMIFS('All Donations'!$S$2:$S$4001,'All Donations'!$R$2:$R$4001,AD412),2),"")</f>
        <v/>
      </c>
      <c r="E412" s="48">
        <f>IF(AE412=1,ROUND(SUMIFS('All Donations'!$S$2:$S$4001,'All Donations'!$R$2:$R$4001,AD412,'All Donations'!$G$2:$G$4001,"OneCause"),2),"")</f>
        <v/>
      </c>
      <c r="F412" s="48">
        <f>IF(AE412=1,D412-E412,"")</f>
        <v/>
      </c>
      <c r="G412">
        <f>IF(AE412=1,COUNTIFS('All Donations'!$R$2:$R$4001,AD412,'All Donations'!$H$2:$H$4001,"OK"),"")</f>
        <v/>
      </c>
      <c r="H412">
        <f>IF(AE412&lt;&gt;1,"",IF(D412&gt;0,"Yes",""))</f>
        <v/>
      </c>
      <c r="I412" s="49">
        <f>IF(OR($AE412&lt;&gt;1,I$1=""),"",SUMIFS('All Donations'!$S$2:$S$4001,'All Donations'!$R$2:$R$4001,$AD412,'All Donations'!$T$2:$T$4001,I$1))</f>
        <v/>
      </c>
      <c r="J412" s="49">
        <f>IF(OR($AE412&lt;&gt;1,J$1=""),"",SUMIFS('All Donations'!$S$2:$S$4001,'All Donations'!$R$2:$R$4001,$AD412,'All Donations'!$T$2:$T$4001,J$1))</f>
        <v/>
      </c>
      <c r="K412" s="49">
        <f>IF(OR($AE412&lt;&gt;1,K$1=""),"",SUMIFS('All Donations'!$S$2:$S$4001,'All Donations'!$R$2:$R$4001,$AD412,'All Donations'!$T$2:$T$4001,K$1))</f>
        <v/>
      </c>
      <c r="L412" s="49">
        <f>IF(OR($AE412&lt;&gt;1,L$1=""),"",SUMIFS('All Donations'!$S$2:$S$4001,'All Donations'!$R$2:$R$4001,$AD412,'All Donations'!$T$2:$T$4001,L$1))</f>
        <v/>
      </c>
      <c r="M412" s="49">
        <f>IF(OR($AE412&lt;&gt;1,M$1=""),"",SUMIFS('All Donations'!$S$2:$S$4001,'All Donations'!$R$2:$R$4001,$AD412,'All Donations'!$T$2:$T$4001,M$1))</f>
        <v/>
      </c>
      <c r="N412" s="49">
        <f>IF(OR($AE412&lt;&gt;1,N$1=""),"",SUMIFS('All Donations'!$S$2:$S$4001,'All Donations'!$R$2:$R$4001,$AD412,'All Donations'!$T$2:$T$4001,N$1))</f>
        <v/>
      </c>
      <c r="O412" s="49">
        <f>IF(OR($AE412&lt;&gt;1,O$1=""),"",SUMIFS('All Donations'!$S$2:$S$4001,'All Donations'!$R$2:$R$4001,$AD412,'All Donations'!$T$2:$T$4001,O$1))</f>
        <v/>
      </c>
      <c r="P412" s="49">
        <f>IF(OR($AE412&lt;&gt;1,P$1=""),"",SUMIFS('All Donations'!$S$2:$S$4001,'All Donations'!$R$2:$R$4001,$AD412,'All Donations'!$T$2:$T$4001,P$1))</f>
        <v/>
      </c>
      <c r="Q412" s="49">
        <f>IF(OR($AE412&lt;&gt;1,Q$1=""),"",SUMIFS('All Donations'!$S$2:$S$4001,'All Donations'!$R$2:$R$4001,$AD412,'All Donations'!$T$2:$T$4001,Q$1))</f>
        <v/>
      </c>
      <c r="R412" s="49">
        <f>IF(OR($AE412&lt;&gt;1,R$1=""),"",SUMIFS('All Donations'!$S$2:$S$4001,'All Donations'!$R$2:$R$4001,$AD412,'All Donations'!$T$2:$T$4001,R$1))</f>
        <v/>
      </c>
      <c r="S412" s="49">
        <f>IF(OR($AE412&lt;&gt;1,S$1=""),"",SUMIFS('All Donations'!$S$2:$S$4001,'All Donations'!$R$2:$R$4001,$AD412,'All Donations'!$T$2:$T$4001,S$1))</f>
        <v/>
      </c>
      <c r="T412" s="49">
        <f>IF(OR($AE412&lt;&gt;1,T$1=""),"",SUMIFS('All Donations'!$S$2:$S$4001,'All Donations'!$R$2:$R$4001,$AD412,'All Donations'!$T$2:$T$4001,T$1))</f>
        <v/>
      </c>
      <c r="U412" s="49">
        <f>IF(OR($AE412&lt;&gt;1,U$1=""),"",SUMIFS('All Donations'!$S$2:$S$4001,'All Donations'!$R$2:$R$4001,$AD412,'All Donations'!$T$2:$T$4001,U$1))</f>
        <v/>
      </c>
      <c r="V412" s="49">
        <f>IF(OR($AE412&lt;&gt;1,V$1=""),"",SUMIFS('All Donations'!$S$2:$S$4001,'All Donations'!$R$2:$R$4001,$AD412,'All Donations'!$T$2:$T$4001,V$1))</f>
        <v/>
      </c>
      <c r="W412" s="49">
        <f>IF(OR($AE412&lt;&gt;1,W$1=""),"",SUMIFS('All Donations'!$S$2:$S$4001,'All Donations'!$R$2:$R$4001,$AD412,'All Donations'!$T$2:$T$4001,W$1))</f>
        <v/>
      </c>
      <c r="X412" s="49">
        <f>IF(OR($AE412&lt;&gt;1,X$1=""),"",SUMIFS('All Donations'!$S$2:$S$4001,'All Donations'!$R$2:$R$4001,$AD412,'All Donations'!$T$2:$T$4001,X$1))</f>
        <v/>
      </c>
      <c r="Y412" s="49">
        <f>IF(OR($AE412&lt;&gt;1,Y$1=""),"",SUMIFS('All Donations'!$S$2:$S$4001,'All Donations'!$R$2:$R$4001,$AD412,'All Donations'!$T$2:$T$4001,Y$1))</f>
        <v/>
      </c>
      <c r="Z412" s="49">
        <f>IF(OR($AE412&lt;&gt;1,Z$1=""),"",SUMIFS('All Donations'!$S$2:$S$4001,'All Donations'!$R$2:$R$4001,$AD412,'All Donations'!$T$2:$T$4001,Z$1))</f>
        <v/>
      </c>
      <c r="AA412" s="49">
        <f>IF(OR($AE412&lt;&gt;1,AA$1=""),"",SUMIFS('All Donations'!$S$2:$S$4001,'All Donations'!$R$2:$R$4001,$AD412,'All Donations'!$T$2:$T$4001,AA$1))</f>
        <v/>
      </c>
      <c r="AB412" s="49">
        <f>IF(OR($AE412&lt;&gt;1,AB$1=""),"",SUMIFS('All Donations'!$S$2:$S$4001,'All Donations'!$R$2:$R$4001,$AD412,'All Donations'!$T$2:$T$4001,AB$1))</f>
        <v/>
      </c>
      <c r="AC412" s="49">
        <f>IF(OR($AE412&lt;&gt;1,AC$1=""),"",SUMIFS('All Donations'!$S$2:$S$4001,'All Donations'!$R$2:$R$4001,$AD412,'All Donations'!$T$2:$T$4001,AC$1))</f>
        <v/>
      </c>
      <c r="AD412">
        <f>IF(AE412=1,'Roster'!A412,"")</f>
        <v/>
      </c>
      <c r="AE412">
        <f>IF(TRIM('Roster'!B412&amp;'Roster'!C412)&lt;&gt;"",1,0)</f>
        <v/>
      </c>
      <c r="AF412">
        <f>IF(AE412=1,LOWER(A412),"#")</f>
        <v/>
      </c>
      <c r="AG412">
        <f>IF(AE412=1,LOWER(TRIM(TRIM('Roster'!C412)&amp;", "&amp;TRIM('Roster'!B412))),"#")</f>
        <v/>
      </c>
      <c r="AH412">
        <f>IF(AND(AE412=1,TRIM('Roster'!F412)&lt;&gt;""),LOWER(TRIM('Roster'!F412)),"#")</f>
        <v/>
      </c>
      <c r="AI412">
        <f>IF(AE412=1,IF(MATCH(B412,$B$2:$B$701,0)=ROW()-1,1,0),0)</f>
        <v/>
      </c>
      <c r="AJ412">
        <f>AJ411+AI412</f>
        <v/>
      </c>
      <c r="AK412">
        <f>IF(AE412=1,D412+(1000-ROW())/10^7,-1)</f>
        <v/>
      </c>
      <c r="AL412">
        <f>IF(AE412=1,TRIM('Roster'!B412)&amp;" "&amp;LEFT(TRIM('Roster'!C412),1)&amp;".","")</f>
        <v/>
      </c>
      <c r="AM412">
        <f>IF(AE412=1,TRIM('Roster'!C412)&amp;", "&amp;TRIM('Roster'!B412)&amp;" ("&amp;B412&amp;") #"&amp;AD412,"")</f>
        <v/>
      </c>
      <c r="AN412">
        <f>IF(AE412=1,TRIM('Roster'!E412),"")</f>
        <v/>
      </c>
      <c r="AO412">
        <f>IF(AE412=1,ROUND(SUMIFS('All Donations'!$S$2:$S$4001,'All Donations'!$R$2:$R$4001,AD412,'All Donations'!$T$2:$T$4001,"&gt;="&amp;'Settings'!$C$23,'All Donations'!$T$2:$T$4001,"&lt;="&amp;'Settings'!$D$23),2),0)</f>
        <v/>
      </c>
      <c r="AQ412">
        <f>IF(AE412=1,ROUND(SUMIFS('All Donations'!$S$2:$S$4001,'All Donations'!$R$2:$R$4001,AD412,'All Donations'!$T$2:$T$4001,"&gt;="&amp;'Settings'!$C$25,'All Donations'!$T$2:$T$4001,"&lt;="&amp;'Settings'!$D$25),2),0)</f>
        <v/>
      </c>
      <c r="AR412">
        <f>IF(AE412=1,ROUND(SUMIFS('All Donations'!$S$2:$S$4001,'All Donations'!$R$2:$R$4001,AD412,'All Donations'!$T$2:$T$4001,"&gt;="&amp;'Settings'!$C$26,'All Donations'!$T$2:$T$4001,"&lt;="&amp;'Settings'!$D$26),2),0)</f>
        <v/>
      </c>
      <c r="AS412">
        <f>IF(AE412=1,ROUND(SUMIFS('All Donations'!$S$2:$S$4001,'All Donations'!$R$2:$R$4001,AD412,'All Donations'!$T$2:$T$4001,"&lt;="&amp;'Settings'!$D$27),2),0)</f>
        <v/>
      </c>
      <c r="AT412">
        <f>IF(AE412=1,ROUND(SUMIFS('All Donations'!$S$2:$S$4001,'All Donations'!$R$2:$R$4001,AD412,'All Donations'!$T$2:$T$4001,"&gt;="&amp;'Settings'!$C$28,'All Donations'!$T$2:$T$4001,"&lt;="&amp;'Settings'!$D$28),2),0)</f>
        <v/>
      </c>
      <c r="AU412">
        <f>IF(AE412=1,ROUND(SUMIFS('All Donations'!$S$2:$S$4001,'All Donations'!$R$2:$R$4001,AD412,'All Donations'!$T$2:$T$4001,"&gt;="&amp;'Settings'!$C$29,'All Donations'!$T$2:$T$4001,"&lt;="&amp;'Settings'!$D$29),2),0)</f>
        <v/>
      </c>
      <c r="AV412">
        <f>IF(AE412=1,ROUND(SUMIFS('All Donations'!$S$2:$S$4001,'All Donations'!$R$2:$R$4001,AD412,'All Donations'!$T$2:$T$4001,"&lt;="&amp;'Settings'!$D$30),2),0)</f>
        <v/>
      </c>
      <c r="AZ412">
        <f>IF(AE412=1,ROUND(SUMIFS('All Donations'!$S$2:$S$4001,'All Donations'!$R$2:$R$4001,AD412,'All Donations'!$T$2:$T$4001,"&lt;="&amp;'Settings'!$D$34),2),0)</f>
        <v/>
      </c>
    </row>
    <row r="413">
      <c r="A413">
        <f>IF(AE413=1,TRIM(TRIM('Roster'!B413)&amp;" "&amp;TRIM('Roster'!C413)),"")</f>
        <v/>
      </c>
      <c r="B413">
        <f>IF(AE413=1,IF(AN413="","(no teacher)",AN413&amp;" – "&amp;C413),"")</f>
        <v/>
      </c>
      <c r="C413">
        <f>IF(AE413=1,TRIM('Roster'!D413&amp;""),"")</f>
        <v/>
      </c>
      <c r="D413" s="48">
        <f>IF(AE413=1,ROUND(SUMIFS('All Donations'!$S$2:$S$4001,'All Donations'!$R$2:$R$4001,AD413),2),"")</f>
        <v/>
      </c>
      <c r="E413" s="48">
        <f>IF(AE413=1,ROUND(SUMIFS('All Donations'!$S$2:$S$4001,'All Donations'!$R$2:$R$4001,AD413,'All Donations'!$G$2:$G$4001,"OneCause"),2),"")</f>
        <v/>
      </c>
      <c r="F413" s="48">
        <f>IF(AE413=1,D413-E413,"")</f>
        <v/>
      </c>
      <c r="G413">
        <f>IF(AE413=1,COUNTIFS('All Donations'!$R$2:$R$4001,AD413,'All Donations'!$H$2:$H$4001,"OK"),"")</f>
        <v/>
      </c>
      <c r="H413">
        <f>IF(AE413&lt;&gt;1,"",IF(D413&gt;0,"Yes",""))</f>
        <v/>
      </c>
      <c r="I413" s="49">
        <f>IF(OR($AE413&lt;&gt;1,I$1=""),"",SUMIFS('All Donations'!$S$2:$S$4001,'All Donations'!$R$2:$R$4001,$AD413,'All Donations'!$T$2:$T$4001,I$1))</f>
        <v/>
      </c>
      <c r="J413" s="49">
        <f>IF(OR($AE413&lt;&gt;1,J$1=""),"",SUMIFS('All Donations'!$S$2:$S$4001,'All Donations'!$R$2:$R$4001,$AD413,'All Donations'!$T$2:$T$4001,J$1))</f>
        <v/>
      </c>
      <c r="K413" s="49">
        <f>IF(OR($AE413&lt;&gt;1,K$1=""),"",SUMIFS('All Donations'!$S$2:$S$4001,'All Donations'!$R$2:$R$4001,$AD413,'All Donations'!$T$2:$T$4001,K$1))</f>
        <v/>
      </c>
      <c r="L413" s="49">
        <f>IF(OR($AE413&lt;&gt;1,L$1=""),"",SUMIFS('All Donations'!$S$2:$S$4001,'All Donations'!$R$2:$R$4001,$AD413,'All Donations'!$T$2:$T$4001,L$1))</f>
        <v/>
      </c>
      <c r="M413" s="49">
        <f>IF(OR($AE413&lt;&gt;1,M$1=""),"",SUMIFS('All Donations'!$S$2:$S$4001,'All Donations'!$R$2:$R$4001,$AD413,'All Donations'!$T$2:$T$4001,M$1))</f>
        <v/>
      </c>
      <c r="N413" s="49">
        <f>IF(OR($AE413&lt;&gt;1,N$1=""),"",SUMIFS('All Donations'!$S$2:$S$4001,'All Donations'!$R$2:$R$4001,$AD413,'All Donations'!$T$2:$T$4001,N$1))</f>
        <v/>
      </c>
      <c r="O413" s="49">
        <f>IF(OR($AE413&lt;&gt;1,O$1=""),"",SUMIFS('All Donations'!$S$2:$S$4001,'All Donations'!$R$2:$R$4001,$AD413,'All Donations'!$T$2:$T$4001,O$1))</f>
        <v/>
      </c>
      <c r="P413" s="49">
        <f>IF(OR($AE413&lt;&gt;1,P$1=""),"",SUMIFS('All Donations'!$S$2:$S$4001,'All Donations'!$R$2:$R$4001,$AD413,'All Donations'!$T$2:$T$4001,P$1))</f>
        <v/>
      </c>
      <c r="Q413" s="49">
        <f>IF(OR($AE413&lt;&gt;1,Q$1=""),"",SUMIFS('All Donations'!$S$2:$S$4001,'All Donations'!$R$2:$R$4001,$AD413,'All Donations'!$T$2:$T$4001,Q$1))</f>
        <v/>
      </c>
      <c r="R413" s="49">
        <f>IF(OR($AE413&lt;&gt;1,R$1=""),"",SUMIFS('All Donations'!$S$2:$S$4001,'All Donations'!$R$2:$R$4001,$AD413,'All Donations'!$T$2:$T$4001,R$1))</f>
        <v/>
      </c>
      <c r="S413" s="49">
        <f>IF(OR($AE413&lt;&gt;1,S$1=""),"",SUMIFS('All Donations'!$S$2:$S$4001,'All Donations'!$R$2:$R$4001,$AD413,'All Donations'!$T$2:$T$4001,S$1))</f>
        <v/>
      </c>
      <c r="T413" s="49">
        <f>IF(OR($AE413&lt;&gt;1,T$1=""),"",SUMIFS('All Donations'!$S$2:$S$4001,'All Donations'!$R$2:$R$4001,$AD413,'All Donations'!$T$2:$T$4001,T$1))</f>
        <v/>
      </c>
      <c r="U413" s="49">
        <f>IF(OR($AE413&lt;&gt;1,U$1=""),"",SUMIFS('All Donations'!$S$2:$S$4001,'All Donations'!$R$2:$R$4001,$AD413,'All Donations'!$T$2:$T$4001,U$1))</f>
        <v/>
      </c>
      <c r="V413" s="49">
        <f>IF(OR($AE413&lt;&gt;1,V$1=""),"",SUMIFS('All Donations'!$S$2:$S$4001,'All Donations'!$R$2:$R$4001,$AD413,'All Donations'!$T$2:$T$4001,V$1))</f>
        <v/>
      </c>
      <c r="W413" s="49">
        <f>IF(OR($AE413&lt;&gt;1,W$1=""),"",SUMIFS('All Donations'!$S$2:$S$4001,'All Donations'!$R$2:$R$4001,$AD413,'All Donations'!$T$2:$T$4001,W$1))</f>
        <v/>
      </c>
      <c r="X413" s="49">
        <f>IF(OR($AE413&lt;&gt;1,X$1=""),"",SUMIFS('All Donations'!$S$2:$S$4001,'All Donations'!$R$2:$R$4001,$AD413,'All Donations'!$T$2:$T$4001,X$1))</f>
        <v/>
      </c>
      <c r="Y413" s="49">
        <f>IF(OR($AE413&lt;&gt;1,Y$1=""),"",SUMIFS('All Donations'!$S$2:$S$4001,'All Donations'!$R$2:$R$4001,$AD413,'All Donations'!$T$2:$T$4001,Y$1))</f>
        <v/>
      </c>
      <c r="Z413" s="49">
        <f>IF(OR($AE413&lt;&gt;1,Z$1=""),"",SUMIFS('All Donations'!$S$2:$S$4001,'All Donations'!$R$2:$R$4001,$AD413,'All Donations'!$T$2:$T$4001,Z$1))</f>
        <v/>
      </c>
      <c r="AA413" s="49">
        <f>IF(OR($AE413&lt;&gt;1,AA$1=""),"",SUMIFS('All Donations'!$S$2:$S$4001,'All Donations'!$R$2:$R$4001,$AD413,'All Donations'!$T$2:$T$4001,AA$1))</f>
        <v/>
      </c>
      <c r="AB413" s="49">
        <f>IF(OR($AE413&lt;&gt;1,AB$1=""),"",SUMIFS('All Donations'!$S$2:$S$4001,'All Donations'!$R$2:$R$4001,$AD413,'All Donations'!$T$2:$T$4001,AB$1))</f>
        <v/>
      </c>
      <c r="AC413" s="49">
        <f>IF(OR($AE413&lt;&gt;1,AC$1=""),"",SUMIFS('All Donations'!$S$2:$S$4001,'All Donations'!$R$2:$R$4001,$AD413,'All Donations'!$T$2:$T$4001,AC$1))</f>
        <v/>
      </c>
      <c r="AD413">
        <f>IF(AE413=1,'Roster'!A413,"")</f>
        <v/>
      </c>
      <c r="AE413">
        <f>IF(TRIM('Roster'!B413&amp;'Roster'!C413)&lt;&gt;"",1,0)</f>
        <v/>
      </c>
      <c r="AF413">
        <f>IF(AE413=1,LOWER(A413),"#")</f>
        <v/>
      </c>
      <c r="AG413">
        <f>IF(AE413=1,LOWER(TRIM(TRIM('Roster'!C413)&amp;", "&amp;TRIM('Roster'!B413))),"#")</f>
        <v/>
      </c>
      <c r="AH413">
        <f>IF(AND(AE413=1,TRIM('Roster'!F413)&lt;&gt;""),LOWER(TRIM('Roster'!F413)),"#")</f>
        <v/>
      </c>
      <c r="AI413">
        <f>IF(AE413=1,IF(MATCH(B413,$B$2:$B$701,0)=ROW()-1,1,0),0)</f>
        <v/>
      </c>
      <c r="AJ413">
        <f>AJ412+AI413</f>
        <v/>
      </c>
      <c r="AK413">
        <f>IF(AE413=1,D413+(1000-ROW())/10^7,-1)</f>
        <v/>
      </c>
      <c r="AL413">
        <f>IF(AE413=1,TRIM('Roster'!B413)&amp;" "&amp;LEFT(TRIM('Roster'!C413),1)&amp;".","")</f>
        <v/>
      </c>
      <c r="AM413">
        <f>IF(AE413=1,TRIM('Roster'!C413)&amp;", "&amp;TRIM('Roster'!B413)&amp;" ("&amp;B413&amp;") #"&amp;AD413,"")</f>
        <v/>
      </c>
      <c r="AN413">
        <f>IF(AE413=1,TRIM('Roster'!E413),"")</f>
        <v/>
      </c>
      <c r="AO413">
        <f>IF(AE413=1,ROUND(SUMIFS('All Donations'!$S$2:$S$4001,'All Donations'!$R$2:$R$4001,AD413,'All Donations'!$T$2:$T$4001,"&gt;="&amp;'Settings'!$C$23,'All Donations'!$T$2:$T$4001,"&lt;="&amp;'Settings'!$D$23),2),0)</f>
        <v/>
      </c>
      <c r="AQ413">
        <f>IF(AE413=1,ROUND(SUMIFS('All Donations'!$S$2:$S$4001,'All Donations'!$R$2:$R$4001,AD413,'All Donations'!$T$2:$T$4001,"&gt;="&amp;'Settings'!$C$25,'All Donations'!$T$2:$T$4001,"&lt;="&amp;'Settings'!$D$25),2),0)</f>
        <v/>
      </c>
      <c r="AR413">
        <f>IF(AE413=1,ROUND(SUMIFS('All Donations'!$S$2:$S$4001,'All Donations'!$R$2:$R$4001,AD413,'All Donations'!$T$2:$T$4001,"&gt;="&amp;'Settings'!$C$26,'All Donations'!$T$2:$T$4001,"&lt;="&amp;'Settings'!$D$26),2),0)</f>
        <v/>
      </c>
      <c r="AS413">
        <f>IF(AE413=1,ROUND(SUMIFS('All Donations'!$S$2:$S$4001,'All Donations'!$R$2:$R$4001,AD413,'All Donations'!$T$2:$T$4001,"&lt;="&amp;'Settings'!$D$27),2),0)</f>
        <v/>
      </c>
      <c r="AT413">
        <f>IF(AE413=1,ROUND(SUMIFS('All Donations'!$S$2:$S$4001,'All Donations'!$R$2:$R$4001,AD413,'All Donations'!$T$2:$T$4001,"&gt;="&amp;'Settings'!$C$28,'All Donations'!$T$2:$T$4001,"&lt;="&amp;'Settings'!$D$28),2),0)</f>
        <v/>
      </c>
      <c r="AU413">
        <f>IF(AE413=1,ROUND(SUMIFS('All Donations'!$S$2:$S$4001,'All Donations'!$R$2:$R$4001,AD413,'All Donations'!$T$2:$T$4001,"&gt;="&amp;'Settings'!$C$29,'All Donations'!$T$2:$T$4001,"&lt;="&amp;'Settings'!$D$29),2),0)</f>
        <v/>
      </c>
      <c r="AV413">
        <f>IF(AE413=1,ROUND(SUMIFS('All Donations'!$S$2:$S$4001,'All Donations'!$R$2:$R$4001,AD413,'All Donations'!$T$2:$T$4001,"&lt;="&amp;'Settings'!$D$30),2),0)</f>
        <v/>
      </c>
      <c r="AZ413">
        <f>IF(AE413=1,ROUND(SUMIFS('All Donations'!$S$2:$S$4001,'All Donations'!$R$2:$R$4001,AD413,'All Donations'!$T$2:$T$4001,"&lt;="&amp;'Settings'!$D$34),2),0)</f>
        <v/>
      </c>
    </row>
    <row r="414">
      <c r="A414">
        <f>IF(AE414=1,TRIM(TRIM('Roster'!B414)&amp;" "&amp;TRIM('Roster'!C414)),"")</f>
        <v/>
      </c>
      <c r="B414">
        <f>IF(AE414=1,IF(AN414="","(no teacher)",AN414&amp;" – "&amp;C414),"")</f>
        <v/>
      </c>
      <c r="C414">
        <f>IF(AE414=1,TRIM('Roster'!D414&amp;""),"")</f>
        <v/>
      </c>
      <c r="D414" s="48">
        <f>IF(AE414=1,ROUND(SUMIFS('All Donations'!$S$2:$S$4001,'All Donations'!$R$2:$R$4001,AD414),2),"")</f>
        <v/>
      </c>
      <c r="E414" s="48">
        <f>IF(AE414=1,ROUND(SUMIFS('All Donations'!$S$2:$S$4001,'All Donations'!$R$2:$R$4001,AD414,'All Donations'!$G$2:$G$4001,"OneCause"),2),"")</f>
        <v/>
      </c>
      <c r="F414" s="48">
        <f>IF(AE414=1,D414-E414,"")</f>
        <v/>
      </c>
      <c r="G414">
        <f>IF(AE414=1,COUNTIFS('All Donations'!$R$2:$R$4001,AD414,'All Donations'!$H$2:$H$4001,"OK"),"")</f>
        <v/>
      </c>
      <c r="H414">
        <f>IF(AE414&lt;&gt;1,"",IF(D414&gt;0,"Yes",""))</f>
        <v/>
      </c>
      <c r="I414" s="49">
        <f>IF(OR($AE414&lt;&gt;1,I$1=""),"",SUMIFS('All Donations'!$S$2:$S$4001,'All Donations'!$R$2:$R$4001,$AD414,'All Donations'!$T$2:$T$4001,I$1))</f>
        <v/>
      </c>
      <c r="J414" s="49">
        <f>IF(OR($AE414&lt;&gt;1,J$1=""),"",SUMIFS('All Donations'!$S$2:$S$4001,'All Donations'!$R$2:$R$4001,$AD414,'All Donations'!$T$2:$T$4001,J$1))</f>
        <v/>
      </c>
      <c r="K414" s="49">
        <f>IF(OR($AE414&lt;&gt;1,K$1=""),"",SUMIFS('All Donations'!$S$2:$S$4001,'All Donations'!$R$2:$R$4001,$AD414,'All Donations'!$T$2:$T$4001,K$1))</f>
        <v/>
      </c>
      <c r="L414" s="49">
        <f>IF(OR($AE414&lt;&gt;1,L$1=""),"",SUMIFS('All Donations'!$S$2:$S$4001,'All Donations'!$R$2:$R$4001,$AD414,'All Donations'!$T$2:$T$4001,L$1))</f>
        <v/>
      </c>
      <c r="M414" s="49">
        <f>IF(OR($AE414&lt;&gt;1,M$1=""),"",SUMIFS('All Donations'!$S$2:$S$4001,'All Donations'!$R$2:$R$4001,$AD414,'All Donations'!$T$2:$T$4001,M$1))</f>
        <v/>
      </c>
      <c r="N414" s="49">
        <f>IF(OR($AE414&lt;&gt;1,N$1=""),"",SUMIFS('All Donations'!$S$2:$S$4001,'All Donations'!$R$2:$R$4001,$AD414,'All Donations'!$T$2:$T$4001,N$1))</f>
        <v/>
      </c>
      <c r="O414" s="49">
        <f>IF(OR($AE414&lt;&gt;1,O$1=""),"",SUMIFS('All Donations'!$S$2:$S$4001,'All Donations'!$R$2:$R$4001,$AD414,'All Donations'!$T$2:$T$4001,O$1))</f>
        <v/>
      </c>
      <c r="P414" s="49">
        <f>IF(OR($AE414&lt;&gt;1,P$1=""),"",SUMIFS('All Donations'!$S$2:$S$4001,'All Donations'!$R$2:$R$4001,$AD414,'All Donations'!$T$2:$T$4001,P$1))</f>
        <v/>
      </c>
      <c r="Q414" s="49">
        <f>IF(OR($AE414&lt;&gt;1,Q$1=""),"",SUMIFS('All Donations'!$S$2:$S$4001,'All Donations'!$R$2:$R$4001,$AD414,'All Donations'!$T$2:$T$4001,Q$1))</f>
        <v/>
      </c>
      <c r="R414" s="49">
        <f>IF(OR($AE414&lt;&gt;1,R$1=""),"",SUMIFS('All Donations'!$S$2:$S$4001,'All Donations'!$R$2:$R$4001,$AD414,'All Donations'!$T$2:$T$4001,R$1))</f>
        <v/>
      </c>
      <c r="S414" s="49">
        <f>IF(OR($AE414&lt;&gt;1,S$1=""),"",SUMIFS('All Donations'!$S$2:$S$4001,'All Donations'!$R$2:$R$4001,$AD414,'All Donations'!$T$2:$T$4001,S$1))</f>
        <v/>
      </c>
      <c r="T414" s="49">
        <f>IF(OR($AE414&lt;&gt;1,T$1=""),"",SUMIFS('All Donations'!$S$2:$S$4001,'All Donations'!$R$2:$R$4001,$AD414,'All Donations'!$T$2:$T$4001,T$1))</f>
        <v/>
      </c>
      <c r="U414" s="49">
        <f>IF(OR($AE414&lt;&gt;1,U$1=""),"",SUMIFS('All Donations'!$S$2:$S$4001,'All Donations'!$R$2:$R$4001,$AD414,'All Donations'!$T$2:$T$4001,U$1))</f>
        <v/>
      </c>
      <c r="V414" s="49">
        <f>IF(OR($AE414&lt;&gt;1,V$1=""),"",SUMIFS('All Donations'!$S$2:$S$4001,'All Donations'!$R$2:$R$4001,$AD414,'All Donations'!$T$2:$T$4001,V$1))</f>
        <v/>
      </c>
      <c r="W414" s="49">
        <f>IF(OR($AE414&lt;&gt;1,W$1=""),"",SUMIFS('All Donations'!$S$2:$S$4001,'All Donations'!$R$2:$R$4001,$AD414,'All Donations'!$T$2:$T$4001,W$1))</f>
        <v/>
      </c>
      <c r="X414" s="49">
        <f>IF(OR($AE414&lt;&gt;1,X$1=""),"",SUMIFS('All Donations'!$S$2:$S$4001,'All Donations'!$R$2:$R$4001,$AD414,'All Donations'!$T$2:$T$4001,X$1))</f>
        <v/>
      </c>
      <c r="Y414" s="49">
        <f>IF(OR($AE414&lt;&gt;1,Y$1=""),"",SUMIFS('All Donations'!$S$2:$S$4001,'All Donations'!$R$2:$R$4001,$AD414,'All Donations'!$T$2:$T$4001,Y$1))</f>
        <v/>
      </c>
      <c r="Z414" s="49">
        <f>IF(OR($AE414&lt;&gt;1,Z$1=""),"",SUMIFS('All Donations'!$S$2:$S$4001,'All Donations'!$R$2:$R$4001,$AD414,'All Donations'!$T$2:$T$4001,Z$1))</f>
        <v/>
      </c>
      <c r="AA414" s="49">
        <f>IF(OR($AE414&lt;&gt;1,AA$1=""),"",SUMIFS('All Donations'!$S$2:$S$4001,'All Donations'!$R$2:$R$4001,$AD414,'All Donations'!$T$2:$T$4001,AA$1))</f>
        <v/>
      </c>
      <c r="AB414" s="49">
        <f>IF(OR($AE414&lt;&gt;1,AB$1=""),"",SUMIFS('All Donations'!$S$2:$S$4001,'All Donations'!$R$2:$R$4001,$AD414,'All Donations'!$T$2:$T$4001,AB$1))</f>
        <v/>
      </c>
      <c r="AC414" s="49">
        <f>IF(OR($AE414&lt;&gt;1,AC$1=""),"",SUMIFS('All Donations'!$S$2:$S$4001,'All Donations'!$R$2:$R$4001,$AD414,'All Donations'!$T$2:$T$4001,AC$1))</f>
        <v/>
      </c>
      <c r="AD414">
        <f>IF(AE414=1,'Roster'!A414,"")</f>
        <v/>
      </c>
      <c r="AE414">
        <f>IF(TRIM('Roster'!B414&amp;'Roster'!C414)&lt;&gt;"",1,0)</f>
        <v/>
      </c>
      <c r="AF414">
        <f>IF(AE414=1,LOWER(A414),"#")</f>
        <v/>
      </c>
      <c r="AG414">
        <f>IF(AE414=1,LOWER(TRIM(TRIM('Roster'!C414)&amp;", "&amp;TRIM('Roster'!B414))),"#")</f>
        <v/>
      </c>
      <c r="AH414">
        <f>IF(AND(AE414=1,TRIM('Roster'!F414)&lt;&gt;""),LOWER(TRIM('Roster'!F414)),"#")</f>
        <v/>
      </c>
      <c r="AI414">
        <f>IF(AE414=1,IF(MATCH(B414,$B$2:$B$701,0)=ROW()-1,1,0),0)</f>
        <v/>
      </c>
      <c r="AJ414">
        <f>AJ413+AI414</f>
        <v/>
      </c>
      <c r="AK414">
        <f>IF(AE414=1,D414+(1000-ROW())/10^7,-1)</f>
        <v/>
      </c>
      <c r="AL414">
        <f>IF(AE414=1,TRIM('Roster'!B414)&amp;" "&amp;LEFT(TRIM('Roster'!C414),1)&amp;".","")</f>
        <v/>
      </c>
      <c r="AM414">
        <f>IF(AE414=1,TRIM('Roster'!C414)&amp;", "&amp;TRIM('Roster'!B414)&amp;" ("&amp;B414&amp;") #"&amp;AD414,"")</f>
        <v/>
      </c>
      <c r="AN414">
        <f>IF(AE414=1,TRIM('Roster'!E414),"")</f>
        <v/>
      </c>
      <c r="AO414">
        <f>IF(AE414=1,ROUND(SUMIFS('All Donations'!$S$2:$S$4001,'All Donations'!$R$2:$R$4001,AD414,'All Donations'!$T$2:$T$4001,"&gt;="&amp;'Settings'!$C$23,'All Donations'!$T$2:$T$4001,"&lt;="&amp;'Settings'!$D$23),2),0)</f>
        <v/>
      </c>
      <c r="AQ414">
        <f>IF(AE414=1,ROUND(SUMIFS('All Donations'!$S$2:$S$4001,'All Donations'!$R$2:$R$4001,AD414,'All Donations'!$T$2:$T$4001,"&gt;="&amp;'Settings'!$C$25,'All Donations'!$T$2:$T$4001,"&lt;="&amp;'Settings'!$D$25),2),0)</f>
        <v/>
      </c>
      <c r="AR414">
        <f>IF(AE414=1,ROUND(SUMIFS('All Donations'!$S$2:$S$4001,'All Donations'!$R$2:$R$4001,AD414,'All Donations'!$T$2:$T$4001,"&gt;="&amp;'Settings'!$C$26,'All Donations'!$T$2:$T$4001,"&lt;="&amp;'Settings'!$D$26),2),0)</f>
        <v/>
      </c>
      <c r="AS414">
        <f>IF(AE414=1,ROUND(SUMIFS('All Donations'!$S$2:$S$4001,'All Donations'!$R$2:$R$4001,AD414,'All Donations'!$T$2:$T$4001,"&lt;="&amp;'Settings'!$D$27),2),0)</f>
        <v/>
      </c>
      <c r="AT414">
        <f>IF(AE414=1,ROUND(SUMIFS('All Donations'!$S$2:$S$4001,'All Donations'!$R$2:$R$4001,AD414,'All Donations'!$T$2:$T$4001,"&gt;="&amp;'Settings'!$C$28,'All Donations'!$T$2:$T$4001,"&lt;="&amp;'Settings'!$D$28),2),0)</f>
        <v/>
      </c>
      <c r="AU414">
        <f>IF(AE414=1,ROUND(SUMIFS('All Donations'!$S$2:$S$4001,'All Donations'!$R$2:$R$4001,AD414,'All Donations'!$T$2:$T$4001,"&gt;="&amp;'Settings'!$C$29,'All Donations'!$T$2:$T$4001,"&lt;="&amp;'Settings'!$D$29),2),0)</f>
        <v/>
      </c>
      <c r="AV414">
        <f>IF(AE414=1,ROUND(SUMIFS('All Donations'!$S$2:$S$4001,'All Donations'!$R$2:$R$4001,AD414,'All Donations'!$T$2:$T$4001,"&lt;="&amp;'Settings'!$D$30),2),0)</f>
        <v/>
      </c>
      <c r="AZ414">
        <f>IF(AE414=1,ROUND(SUMIFS('All Donations'!$S$2:$S$4001,'All Donations'!$R$2:$R$4001,AD414,'All Donations'!$T$2:$T$4001,"&lt;="&amp;'Settings'!$D$34),2),0)</f>
        <v/>
      </c>
    </row>
    <row r="415">
      <c r="A415">
        <f>IF(AE415=1,TRIM(TRIM('Roster'!B415)&amp;" "&amp;TRIM('Roster'!C415)),"")</f>
        <v/>
      </c>
      <c r="B415">
        <f>IF(AE415=1,IF(AN415="","(no teacher)",AN415&amp;" – "&amp;C415),"")</f>
        <v/>
      </c>
      <c r="C415">
        <f>IF(AE415=1,TRIM('Roster'!D415&amp;""),"")</f>
        <v/>
      </c>
      <c r="D415" s="48">
        <f>IF(AE415=1,ROUND(SUMIFS('All Donations'!$S$2:$S$4001,'All Donations'!$R$2:$R$4001,AD415),2),"")</f>
        <v/>
      </c>
      <c r="E415" s="48">
        <f>IF(AE415=1,ROUND(SUMIFS('All Donations'!$S$2:$S$4001,'All Donations'!$R$2:$R$4001,AD415,'All Donations'!$G$2:$G$4001,"OneCause"),2),"")</f>
        <v/>
      </c>
      <c r="F415" s="48">
        <f>IF(AE415=1,D415-E415,"")</f>
        <v/>
      </c>
      <c r="G415">
        <f>IF(AE415=1,COUNTIFS('All Donations'!$R$2:$R$4001,AD415,'All Donations'!$H$2:$H$4001,"OK"),"")</f>
        <v/>
      </c>
      <c r="H415">
        <f>IF(AE415&lt;&gt;1,"",IF(D415&gt;0,"Yes",""))</f>
        <v/>
      </c>
      <c r="I415" s="49">
        <f>IF(OR($AE415&lt;&gt;1,I$1=""),"",SUMIFS('All Donations'!$S$2:$S$4001,'All Donations'!$R$2:$R$4001,$AD415,'All Donations'!$T$2:$T$4001,I$1))</f>
        <v/>
      </c>
      <c r="J415" s="49">
        <f>IF(OR($AE415&lt;&gt;1,J$1=""),"",SUMIFS('All Donations'!$S$2:$S$4001,'All Donations'!$R$2:$R$4001,$AD415,'All Donations'!$T$2:$T$4001,J$1))</f>
        <v/>
      </c>
      <c r="K415" s="49">
        <f>IF(OR($AE415&lt;&gt;1,K$1=""),"",SUMIFS('All Donations'!$S$2:$S$4001,'All Donations'!$R$2:$R$4001,$AD415,'All Donations'!$T$2:$T$4001,K$1))</f>
        <v/>
      </c>
      <c r="L415" s="49">
        <f>IF(OR($AE415&lt;&gt;1,L$1=""),"",SUMIFS('All Donations'!$S$2:$S$4001,'All Donations'!$R$2:$R$4001,$AD415,'All Donations'!$T$2:$T$4001,L$1))</f>
        <v/>
      </c>
      <c r="M415" s="49">
        <f>IF(OR($AE415&lt;&gt;1,M$1=""),"",SUMIFS('All Donations'!$S$2:$S$4001,'All Donations'!$R$2:$R$4001,$AD415,'All Donations'!$T$2:$T$4001,M$1))</f>
        <v/>
      </c>
      <c r="N415" s="49">
        <f>IF(OR($AE415&lt;&gt;1,N$1=""),"",SUMIFS('All Donations'!$S$2:$S$4001,'All Donations'!$R$2:$R$4001,$AD415,'All Donations'!$T$2:$T$4001,N$1))</f>
        <v/>
      </c>
      <c r="O415" s="49">
        <f>IF(OR($AE415&lt;&gt;1,O$1=""),"",SUMIFS('All Donations'!$S$2:$S$4001,'All Donations'!$R$2:$R$4001,$AD415,'All Donations'!$T$2:$T$4001,O$1))</f>
        <v/>
      </c>
      <c r="P415" s="49">
        <f>IF(OR($AE415&lt;&gt;1,P$1=""),"",SUMIFS('All Donations'!$S$2:$S$4001,'All Donations'!$R$2:$R$4001,$AD415,'All Donations'!$T$2:$T$4001,P$1))</f>
        <v/>
      </c>
      <c r="Q415" s="49">
        <f>IF(OR($AE415&lt;&gt;1,Q$1=""),"",SUMIFS('All Donations'!$S$2:$S$4001,'All Donations'!$R$2:$R$4001,$AD415,'All Donations'!$T$2:$T$4001,Q$1))</f>
        <v/>
      </c>
      <c r="R415" s="49">
        <f>IF(OR($AE415&lt;&gt;1,R$1=""),"",SUMIFS('All Donations'!$S$2:$S$4001,'All Donations'!$R$2:$R$4001,$AD415,'All Donations'!$T$2:$T$4001,R$1))</f>
        <v/>
      </c>
      <c r="S415" s="49">
        <f>IF(OR($AE415&lt;&gt;1,S$1=""),"",SUMIFS('All Donations'!$S$2:$S$4001,'All Donations'!$R$2:$R$4001,$AD415,'All Donations'!$T$2:$T$4001,S$1))</f>
        <v/>
      </c>
      <c r="T415" s="49">
        <f>IF(OR($AE415&lt;&gt;1,T$1=""),"",SUMIFS('All Donations'!$S$2:$S$4001,'All Donations'!$R$2:$R$4001,$AD415,'All Donations'!$T$2:$T$4001,T$1))</f>
        <v/>
      </c>
      <c r="U415" s="49">
        <f>IF(OR($AE415&lt;&gt;1,U$1=""),"",SUMIFS('All Donations'!$S$2:$S$4001,'All Donations'!$R$2:$R$4001,$AD415,'All Donations'!$T$2:$T$4001,U$1))</f>
        <v/>
      </c>
      <c r="V415" s="49">
        <f>IF(OR($AE415&lt;&gt;1,V$1=""),"",SUMIFS('All Donations'!$S$2:$S$4001,'All Donations'!$R$2:$R$4001,$AD415,'All Donations'!$T$2:$T$4001,V$1))</f>
        <v/>
      </c>
      <c r="W415" s="49">
        <f>IF(OR($AE415&lt;&gt;1,W$1=""),"",SUMIFS('All Donations'!$S$2:$S$4001,'All Donations'!$R$2:$R$4001,$AD415,'All Donations'!$T$2:$T$4001,W$1))</f>
        <v/>
      </c>
      <c r="X415" s="49">
        <f>IF(OR($AE415&lt;&gt;1,X$1=""),"",SUMIFS('All Donations'!$S$2:$S$4001,'All Donations'!$R$2:$R$4001,$AD415,'All Donations'!$T$2:$T$4001,X$1))</f>
        <v/>
      </c>
      <c r="Y415" s="49">
        <f>IF(OR($AE415&lt;&gt;1,Y$1=""),"",SUMIFS('All Donations'!$S$2:$S$4001,'All Donations'!$R$2:$R$4001,$AD415,'All Donations'!$T$2:$T$4001,Y$1))</f>
        <v/>
      </c>
      <c r="Z415" s="49">
        <f>IF(OR($AE415&lt;&gt;1,Z$1=""),"",SUMIFS('All Donations'!$S$2:$S$4001,'All Donations'!$R$2:$R$4001,$AD415,'All Donations'!$T$2:$T$4001,Z$1))</f>
        <v/>
      </c>
      <c r="AA415" s="49">
        <f>IF(OR($AE415&lt;&gt;1,AA$1=""),"",SUMIFS('All Donations'!$S$2:$S$4001,'All Donations'!$R$2:$R$4001,$AD415,'All Donations'!$T$2:$T$4001,AA$1))</f>
        <v/>
      </c>
      <c r="AB415" s="49">
        <f>IF(OR($AE415&lt;&gt;1,AB$1=""),"",SUMIFS('All Donations'!$S$2:$S$4001,'All Donations'!$R$2:$R$4001,$AD415,'All Donations'!$T$2:$T$4001,AB$1))</f>
        <v/>
      </c>
      <c r="AC415" s="49">
        <f>IF(OR($AE415&lt;&gt;1,AC$1=""),"",SUMIFS('All Donations'!$S$2:$S$4001,'All Donations'!$R$2:$R$4001,$AD415,'All Donations'!$T$2:$T$4001,AC$1))</f>
        <v/>
      </c>
      <c r="AD415">
        <f>IF(AE415=1,'Roster'!A415,"")</f>
        <v/>
      </c>
      <c r="AE415">
        <f>IF(TRIM('Roster'!B415&amp;'Roster'!C415)&lt;&gt;"",1,0)</f>
        <v/>
      </c>
      <c r="AF415">
        <f>IF(AE415=1,LOWER(A415),"#")</f>
        <v/>
      </c>
      <c r="AG415">
        <f>IF(AE415=1,LOWER(TRIM(TRIM('Roster'!C415)&amp;", "&amp;TRIM('Roster'!B415))),"#")</f>
        <v/>
      </c>
      <c r="AH415">
        <f>IF(AND(AE415=1,TRIM('Roster'!F415)&lt;&gt;""),LOWER(TRIM('Roster'!F415)),"#")</f>
        <v/>
      </c>
      <c r="AI415">
        <f>IF(AE415=1,IF(MATCH(B415,$B$2:$B$701,0)=ROW()-1,1,0),0)</f>
        <v/>
      </c>
      <c r="AJ415">
        <f>AJ414+AI415</f>
        <v/>
      </c>
      <c r="AK415">
        <f>IF(AE415=1,D415+(1000-ROW())/10^7,-1)</f>
        <v/>
      </c>
      <c r="AL415">
        <f>IF(AE415=1,TRIM('Roster'!B415)&amp;" "&amp;LEFT(TRIM('Roster'!C415),1)&amp;".","")</f>
        <v/>
      </c>
      <c r="AM415">
        <f>IF(AE415=1,TRIM('Roster'!C415)&amp;", "&amp;TRIM('Roster'!B415)&amp;" ("&amp;B415&amp;") #"&amp;AD415,"")</f>
        <v/>
      </c>
      <c r="AN415">
        <f>IF(AE415=1,TRIM('Roster'!E415),"")</f>
        <v/>
      </c>
      <c r="AO415">
        <f>IF(AE415=1,ROUND(SUMIFS('All Donations'!$S$2:$S$4001,'All Donations'!$R$2:$R$4001,AD415,'All Donations'!$T$2:$T$4001,"&gt;="&amp;'Settings'!$C$23,'All Donations'!$T$2:$T$4001,"&lt;="&amp;'Settings'!$D$23),2),0)</f>
        <v/>
      </c>
      <c r="AQ415">
        <f>IF(AE415=1,ROUND(SUMIFS('All Donations'!$S$2:$S$4001,'All Donations'!$R$2:$R$4001,AD415,'All Donations'!$T$2:$T$4001,"&gt;="&amp;'Settings'!$C$25,'All Donations'!$T$2:$T$4001,"&lt;="&amp;'Settings'!$D$25),2),0)</f>
        <v/>
      </c>
      <c r="AR415">
        <f>IF(AE415=1,ROUND(SUMIFS('All Donations'!$S$2:$S$4001,'All Donations'!$R$2:$R$4001,AD415,'All Donations'!$T$2:$T$4001,"&gt;="&amp;'Settings'!$C$26,'All Donations'!$T$2:$T$4001,"&lt;="&amp;'Settings'!$D$26),2),0)</f>
        <v/>
      </c>
      <c r="AS415">
        <f>IF(AE415=1,ROUND(SUMIFS('All Donations'!$S$2:$S$4001,'All Donations'!$R$2:$R$4001,AD415,'All Donations'!$T$2:$T$4001,"&lt;="&amp;'Settings'!$D$27),2),0)</f>
        <v/>
      </c>
      <c r="AT415">
        <f>IF(AE415=1,ROUND(SUMIFS('All Donations'!$S$2:$S$4001,'All Donations'!$R$2:$R$4001,AD415,'All Donations'!$T$2:$T$4001,"&gt;="&amp;'Settings'!$C$28,'All Donations'!$T$2:$T$4001,"&lt;="&amp;'Settings'!$D$28),2),0)</f>
        <v/>
      </c>
      <c r="AU415">
        <f>IF(AE415=1,ROUND(SUMIFS('All Donations'!$S$2:$S$4001,'All Donations'!$R$2:$R$4001,AD415,'All Donations'!$T$2:$T$4001,"&gt;="&amp;'Settings'!$C$29,'All Donations'!$T$2:$T$4001,"&lt;="&amp;'Settings'!$D$29),2),0)</f>
        <v/>
      </c>
      <c r="AV415">
        <f>IF(AE415=1,ROUND(SUMIFS('All Donations'!$S$2:$S$4001,'All Donations'!$R$2:$R$4001,AD415,'All Donations'!$T$2:$T$4001,"&lt;="&amp;'Settings'!$D$30),2),0)</f>
        <v/>
      </c>
      <c r="AZ415">
        <f>IF(AE415=1,ROUND(SUMIFS('All Donations'!$S$2:$S$4001,'All Donations'!$R$2:$R$4001,AD415,'All Donations'!$T$2:$T$4001,"&lt;="&amp;'Settings'!$D$34),2),0)</f>
        <v/>
      </c>
    </row>
    <row r="416">
      <c r="A416">
        <f>IF(AE416=1,TRIM(TRIM('Roster'!B416)&amp;" "&amp;TRIM('Roster'!C416)),"")</f>
        <v/>
      </c>
      <c r="B416">
        <f>IF(AE416=1,IF(AN416="","(no teacher)",AN416&amp;" – "&amp;C416),"")</f>
        <v/>
      </c>
      <c r="C416">
        <f>IF(AE416=1,TRIM('Roster'!D416&amp;""),"")</f>
        <v/>
      </c>
      <c r="D416" s="48">
        <f>IF(AE416=1,ROUND(SUMIFS('All Donations'!$S$2:$S$4001,'All Donations'!$R$2:$R$4001,AD416),2),"")</f>
        <v/>
      </c>
      <c r="E416" s="48">
        <f>IF(AE416=1,ROUND(SUMIFS('All Donations'!$S$2:$S$4001,'All Donations'!$R$2:$R$4001,AD416,'All Donations'!$G$2:$G$4001,"OneCause"),2),"")</f>
        <v/>
      </c>
      <c r="F416" s="48">
        <f>IF(AE416=1,D416-E416,"")</f>
        <v/>
      </c>
      <c r="G416">
        <f>IF(AE416=1,COUNTIFS('All Donations'!$R$2:$R$4001,AD416,'All Donations'!$H$2:$H$4001,"OK"),"")</f>
        <v/>
      </c>
      <c r="H416">
        <f>IF(AE416&lt;&gt;1,"",IF(D416&gt;0,"Yes",""))</f>
        <v/>
      </c>
      <c r="I416" s="49">
        <f>IF(OR($AE416&lt;&gt;1,I$1=""),"",SUMIFS('All Donations'!$S$2:$S$4001,'All Donations'!$R$2:$R$4001,$AD416,'All Donations'!$T$2:$T$4001,I$1))</f>
        <v/>
      </c>
      <c r="J416" s="49">
        <f>IF(OR($AE416&lt;&gt;1,J$1=""),"",SUMIFS('All Donations'!$S$2:$S$4001,'All Donations'!$R$2:$R$4001,$AD416,'All Donations'!$T$2:$T$4001,J$1))</f>
        <v/>
      </c>
      <c r="K416" s="49">
        <f>IF(OR($AE416&lt;&gt;1,K$1=""),"",SUMIFS('All Donations'!$S$2:$S$4001,'All Donations'!$R$2:$R$4001,$AD416,'All Donations'!$T$2:$T$4001,K$1))</f>
        <v/>
      </c>
      <c r="L416" s="49">
        <f>IF(OR($AE416&lt;&gt;1,L$1=""),"",SUMIFS('All Donations'!$S$2:$S$4001,'All Donations'!$R$2:$R$4001,$AD416,'All Donations'!$T$2:$T$4001,L$1))</f>
        <v/>
      </c>
      <c r="M416" s="49">
        <f>IF(OR($AE416&lt;&gt;1,M$1=""),"",SUMIFS('All Donations'!$S$2:$S$4001,'All Donations'!$R$2:$R$4001,$AD416,'All Donations'!$T$2:$T$4001,M$1))</f>
        <v/>
      </c>
      <c r="N416" s="49">
        <f>IF(OR($AE416&lt;&gt;1,N$1=""),"",SUMIFS('All Donations'!$S$2:$S$4001,'All Donations'!$R$2:$R$4001,$AD416,'All Donations'!$T$2:$T$4001,N$1))</f>
        <v/>
      </c>
      <c r="O416" s="49">
        <f>IF(OR($AE416&lt;&gt;1,O$1=""),"",SUMIFS('All Donations'!$S$2:$S$4001,'All Donations'!$R$2:$R$4001,$AD416,'All Donations'!$T$2:$T$4001,O$1))</f>
        <v/>
      </c>
      <c r="P416" s="49">
        <f>IF(OR($AE416&lt;&gt;1,P$1=""),"",SUMIFS('All Donations'!$S$2:$S$4001,'All Donations'!$R$2:$R$4001,$AD416,'All Donations'!$T$2:$T$4001,P$1))</f>
        <v/>
      </c>
      <c r="Q416" s="49">
        <f>IF(OR($AE416&lt;&gt;1,Q$1=""),"",SUMIFS('All Donations'!$S$2:$S$4001,'All Donations'!$R$2:$R$4001,$AD416,'All Donations'!$T$2:$T$4001,Q$1))</f>
        <v/>
      </c>
      <c r="R416" s="49">
        <f>IF(OR($AE416&lt;&gt;1,R$1=""),"",SUMIFS('All Donations'!$S$2:$S$4001,'All Donations'!$R$2:$R$4001,$AD416,'All Donations'!$T$2:$T$4001,R$1))</f>
        <v/>
      </c>
      <c r="S416" s="49">
        <f>IF(OR($AE416&lt;&gt;1,S$1=""),"",SUMIFS('All Donations'!$S$2:$S$4001,'All Donations'!$R$2:$R$4001,$AD416,'All Donations'!$T$2:$T$4001,S$1))</f>
        <v/>
      </c>
      <c r="T416" s="49">
        <f>IF(OR($AE416&lt;&gt;1,T$1=""),"",SUMIFS('All Donations'!$S$2:$S$4001,'All Donations'!$R$2:$R$4001,$AD416,'All Donations'!$T$2:$T$4001,T$1))</f>
        <v/>
      </c>
      <c r="U416" s="49">
        <f>IF(OR($AE416&lt;&gt;1,U$1=""),"",SUMIFS('All Donations'!$S$2:$S$4001,'All Donations'!$R$2:$R$4001,$AD416,'All Donations'!$T$2:$T$4001,U$1))</f>
        <v/>
      </c>
      <c r="V416" s="49">
        <f>IF(OR($AE416&lt;&gt;1,V$1=""),"",SUMIFS('All Donations'!$S$2:$S$4001,'All Donations'!$R$2:$R$4001,$AD416,'All Donations'!$T$2:$T$4001,V$1))</f>
        <v/>
      </c>
      <c r="W416" s="49">
        <f>IF(OR($AE416&lt;&gt;1,W$1=""),"",SUMIFS('All Donations'!$S$2:$S$4001,'All Donations'!$R$2:$R$4001,$AD416,'All Donations'!$T$2:$T$4001,W$1))</f>
        <v/>
      </c>
      <c r="X416" s="49">
        <f>IF(OR($AE416&lt;&gt;1,X$1=""),"",SUMIFS('All Donations'!$S$2:$S$4001,'All Donations'!$R$2:$R$4001,$AD416,'All Donations'!$T$2:$T$4001,X$1))</f>
        <v/>
      </c>
      <c r="Y416" s="49">
        <f>IF(OR($AE416&lt;&gt;1,Y$1=""),"",SUMIFS('All Donations'!$S$2:$S$4001,'All Donations'!$R$2:$R$4001,$AD416,'All Donations'!$T$2:$T$4001,Y$1))</f>
        <v/>
      </c>
      <c r="Z416" s="49">
        <f>IF(OR($AE416&lt;&gt;1,Z$1=""),"",SUMIFS('All Donations'!$S$2:$S$4001,'All Donations'!$R$2:$R$4001,$AD416,'All Donations'!$T$2:$T$4001,Z$1))</f>
        <v/>
      </c>
      <c r="AA416" s="49">
        <f>IF(OR($AE416&lt;&gt;1,AA$1=""),"",SUMIFS('All Donations'!$S$2:$S$4001,'All Donations'!$R$2:$R$4001,$AD416,'All Donations'!$T$2:$T$4001,AA$1))</f>
        <v/>
      </c>
      <c r="AB416" s="49">
        <f>IF(OR($AE416&lt;&gt;1,AB$1=""),"",SUMIFS('All Donations'!$S$2:$S$4001,'All Donations'!$R$2:$R$4001,$AD416,'All Donations'!$T$2:$T$4001,AB$1))</f>
        <v/>
      </c>
      <c r="AC416" s="49">
        <f>IF(OR($AE416&lt;&gt;1,AC$1=""),"",SUMIFS('All Donations'!$S$2:$S$4001,'All Donations'!$R$2:$R$4001,$AD416,'All Donations'!$T$2:$T$4001,AC$1))</f>
        <v/>
      </c>
      <c r="AD416">
        <f>IF(AE416=1,'Roster'!A416,"")</f>
        <v/>
      </c>
      <c r="AE416">
        <f>IF(TRIM('Roster'!B416&amp;'Roster'!C416)&lt;&gt;"",1,0)</f>
        <v/>
      </c>
      <c r="AF416">
        <f>IF(AE416=1,LOWER(A416),"#")</f>
        <v/>
      </c>
      <c r="AG416">
        <f>IF(AE416=1,LOWER(TRIM(TRIM('Roster'!C416)&amp;", "&amp;TRIM('Roster'!B416))),"#")</f>
        <v/>
      </c>
      <c r="AH416">
        <f>IF(AND(AE416=1,TRIM('Roster'!F416)&lt;&gt;""),LOWER(TRIM('Roster'!F416)),"#")</f>
        <v/>
      </c>
      <c r="AI416">
        <f>IF(AE416=1,IF(MATCH(B416,$B$2:$B$701,0)=ROW()-1,1,0),0)</f>
        <v/>
      </c>
      <c r="AJ416">
        <f>AJ415+AI416</f>
        <v/>
      </c>
      <c r="AK416">
        <f>IF(AE416=1,D416+(1000-ROW())/10^7,-1)</f>
        <v/>
      </c>
      <c r="AL416">
        <f>IF(AE416=1,TRIM('Roster'!B416)&amp;" "&amp;LEFT(TRIM('Roster'!C416),1)&amp;".","")</f>
        <v/>
      </c>
      <c r="AM416">
        <f>IF(AE416=1,TRIM('Roster'!C416)&amp;", "&amp;TRIM('Roster'!B416)&amp;" ("&amp;B416&amp;") #"&amp;AD416,"")</f>
        <v/>
      </c>
      <c r="AN416">
        <f>IF(AE416=1,TRIM('Roster'!E416),"")</f>
        <v/>
      </c>
      <c r="AO416">
        <f>IF(AE416=1,ROUND(SUMIFS('All Donations'!$S$2:$S$4001,'All Donations'!$R$2:$R$4001,AD416,'All Donations'!$T$2:$T$4001,"&gt;="&amp;'Settings'!$C$23,'All Donations'!$T$2:$T$4001,"&lt;="&amp;'Settings'!$D$23),2),0)</f>
        <v/>
      </c>
      <c r="AQ416">
        <f>IF(AE416=1,ROUND(SUMIFS('All Donations'!$S$2:$S$4001,'All Donations'!$R$2:$R$4001,AD416,'All Donations'!$T$2:$T$4001,"&gt;="&amp;'Settings'!$C$25,'All Donations'!$T$2:$T$4001,"&lt;="&amp;'Settings'!$D$25),2),0)</f>
        <v/>
      </c>
      <c r="AR416">
        <f>IF(AE416=1,ROUND(SUMIFS('All Donations'!$S$2:$S$4001,'All Donations'!$R$2:$R$4001,AD416,'All Donations'!$T$2:$T$4001,"&gt;="&amp;'Settings'!$C$26,'All Donations'!$T$2:$T$4001,"&lt;="&amp;'Settings'!$D$26),2),0)</f>
        <v/>
      </c>
      <c r="AS416">
        <f>IF(AE416=1,ROUND(SUMIFS('All Donations'!$S$2:$S$4001,'All Donations'!$R$2:$R$4001,AD416,'All Donations'!$T$2:$T$4001,"&lt;="&amp;'Settings'!$D$27),2),0)</f>
        <v/>
      </c>
      <c r="AT416">
        <f>IF(AE416=1,ROUND(SUMIFS('All Donations'!$S$2:$S$4001,'All Donations'!$R$2:$R$4001,AD416,'All Donations'!$T$2:$T$4001,"&gt;="&amp;'Settings'!$C$28,'All Donations'!$T$2:$T$4001,"&lt;="&amp;'Settings'!$D$28),2),0)</f>
        <v/>
      </c>
      <c r="AU416">
        <f>IF(AE416=1,ROUND(SUMIFS('All Donations'!$S$2:$S$4001,'All Donations'!$R$2:$R$4001,AD416,'All Donations'!$T$2:$T$4001,"&gt;="&amp;'Settings'!$C$29,'All Donations'!$T$2:$T$4001,"&lt;="&amp;'Settings'!$D$29),2),0)</f>
        <v/>
      </c>
      <c r="AV416">
        <f>IF(AE416=1,ROUND(SUMIFS('All Donations'!$S$2:$S$4001,'All Donations'!$R$2:$R$4001,AD416,'All Donations'!$T$2:$T$4001,"&lt;="&amp;'Settings'!$D$30),2),0)</f>
        <v/>
      </c>
      <c r="AZ416">
        <f>IF(AE416=1,ROUND(SUMIFS('All Donations'!$S$2:$S$4001,'All Donations'!$R$2:$R$4001,AD416,'All Donations'!$T$2:$T$4001,"&lt;="&amp;'Settings'!$D$34),2),0)</f>
        <v/>
      </c>
    </row>
    <row r="417">
      <c r="A417">
        <f>IF(AE417=1,TRIM(TRIM('Roster'!B417)&amp;" "&amp;TRIM('Roster'!C417)),"")</f>
        <v/>
      </c>
      <c r="B417">
        <f>IF(AE417=1,IF(AN417="","(no teacher)",AN417&amp;" – "&amp;C417),"")</f>
        <v/>
      </c>
      <c r="C417">
        <f>IF(AE417=1,TRIM('Roster'!D417&amp;""),"")</f>
        <v/>
      </c>
      <c r="D417" s="48">
        <f>IF(AE417=1,ROUND(SUMIFS('All Donations'!$S$2:$S$4001,'All Donations'!$R$2:$R$4001,AD417),2),"")</f>
        <v/>
      </c>
      <c r="E417" s="48">
        <f>IF(AE417=1,ROUND(SUMIFS('All Donations'!$S$2:$S$4001,'All Donations'!$R$2:$R$4001,AD417,'All Donations'!$G$2:$G$4001,"OneCause"),2),"")</f>
        <v/>
      </c>
      <c r="F417" s="48">
        <f>IF(AE417=1,D417-E417,"")</f>
        <v/>
      </c>
      <c r="G417">
        <f>IF(AE417=1,COUNTIFS('All Donations'!$R$2:$R$4001,AD417,'All Donations'!$H$2:$H$4001,"OK"),"")</f>
        <v/>
      </c>
      <c r="H417">
        <f>IF(AE417&lt;&gt;1,"",IF(D417&gt;0,"Yes",""))</f>
        <v/>
      </c>
      <c r="I417" s="49">
        <f>IF(OR($AE417&lt;&gt;1,I$1=""),"",SUMIFS('All Donations'!$S$2:$S$4001,'All Donations'!$R$2:$R$4001,$AD417,'All Donations'!$T$2:$T$4001,I$1))</f>
        <v/>
      </c>
      <c r="J417" s="49">
        <f>IF(OR($AE417&lt;&gt;1,J$1=""),"",SUMIFS('All Donations'!$S$2:$S$4001,'All Donations'!$R$2:$R$4001,$AD417,'All Donations'!$T$2:$T$4001,J$1))</f>
        <v/>
      </c>
      <c r="K417" s="49">
        <f>IF(OR($AE417&lt;&gt;1,K$1=""),"",SUMIFS('All Donations'!$S$2:$S$4001,'All Donations'!$R$2:$R$4001,$AD417,'All Donations'!$T$2:$T$4001,K$1))</f>
        <v/>
      </c>
      <c r="L417" s="49">
        <f>IF(OR($AE417&lt;&gt;1,L$1=""),"",SUMIFS('All Donations'!$S$2:$S$4001,'All Donations'!$R$2:$R$4001,$AD417,'All Donations'!$T$2:$T$4001,L$1))</f>
        <v/>
      </c>
      <c r="M417" s="49">
        <f>IF(OR($AE417&lt;&gt;1,M$1=""),"",SUMIFS('All Donations'!$S$2:$S$4001,'All Donations'!$R$2:$R$4001,$AD417,'All Donations'!$T$2:$T$4001,M$1))</f>
        <v/>
      </c>
      <c r="N417" s="49">
        <f>IF(OR($AE417&lt;&gt;1,N$1=""),"",SUMIFS('All Donations'!$S$2:$S$4001,'All Donations'!$R$2:$R$4001,$AD417,'All Donations'!$T$2:$T$4001,N$1))</f>
        <v/>
      </c>
      <c r="O417" s="49">
        <f>IF(OR($AE417&lt;&gt;1,O$1=""),"",SUMIFS('All Donations'!$S$2:$S$4001,'All Donations'!$R$2:$R$4001,$AD417,'All Donations'!$T$2:$T$4001,O$1))</f>
        <v/>
      </c>
      <c r="P417" s="49">
        <f>IF(OR($AE417&lt;&gt;1,P$1=""),"",SUMIFS('All Donations'!$S$2:$S$4001,'All Donations'!$R$2:$R$4001,$AD417,'All Donations'!$T$2:$T$4001,P$1))</f>
        <v/>
      </c>
      <c r="Q417" s="49">
        <f>IF(OR($AE417&lt;&gt;1,Q$1=""),"",SUMIFS('All Donations'!$S$2:$S$4001,'All Donations'!$R$2:$R$4001,$AD417,'All Donations'!$T$2:$T$4001,Q$1))</f>
        <v/>
      </c>
      <c r="R417" s="49">
        <f>IF(OR($AE417&lt;&gt;1,R$1=""),"",SUMIFS('All Donations'!$S$2:$S$4001,'All Donations'!$R$2:$R$4001,$AD417,'All Donations'!$T$2:$T$4001,R$1))</f>
        <v/>
      </c>
      <c r="S417" s="49">
        <f>IF(OR($AE417&lt;&gt;1,S$1=""),"",SUMIFS('All Donations'!$S$2:$S$4001,'All Donations'!$R$2:$R$4001,$AD417,'All Donations'!$T$2:$T$4001,S$1))</f>
        <v/>
      </c>
      <c r="T417" s="49">
        <f>IF(OR($AE417&lt;&gt;1,T$1=""),"",SUMIFS('All Donations'!$S$2:$S$4001,'All Donations'!$R$2:$R$4001,$AD417,'All Donations'!$T$2:$T$4001,T$1))</f>
        <v/>
      </c>
      <c r="U417" s="49">
        <f>IF(OR($AE417&lt;&gt;1,U$1=""),"",SUMIFS('All Donations'!$S$2:$S$4001,'All Donations'!$R$2:$R$4001,$AD417,'All Donations'!$T$2:$T$4001,U$1))</f>
        <v/>
      </c>
      <c r="V417" s="49">
        <f>IF(OR($AE417&lt;&gt;1,V$1=""),"",SUMIFS('All Donations'!$S$2:$S$4001,'All Donations'!$R$2:$R$4001,$AD417,'All Donations'!$T$2:$T$4001,V$1))</f>
        <v/>
      </c>
      <c r="W417" s="49">
        <f>IF(OR($AE417&lt;&gt;1,W$1=""),"",SUMIFS('All Donations'!$S$2:$S$4001,'All Donations'!$R$2:$R$4001,$AD417,'All Donations'!$T$2:$T$4001,W$1))</f>
        <v/>
      </c>
      <c r="X417" s="49">
        <f>IF(OR($AE417&lt;&gt;1,X$1=""),"",SUMIFS('All Donations'!$S$2:$S$4001,'All Donations'!$R$2:$R$4001,$AD417,'All Donations'!$T$2:$T$4001,X$1))</f>
        <v/>
      </c>
      <c r="Y417" s="49">
        <f>IF(OR($AE417&lt;&gt;1,Y$1=""),"",SUMIFS('All Donations'!$S$2:$S$4001,'All Donations'!$R$2:$R$4001,$AD417,'All Donations'!$T$2:$T$4001,Y$1))</f>
        <v/>
      </c>
      <c r="Z417" s="49">
        <f>IF(OR($AE417&lt;&gt;1,Z$1=""),"",SUMIFS('All Donations'!$S$2:$S$4001,'All Donations'!$R$2:$R$4001,$AD417,'All Donations'!$T$2:$T$4001,Z$1))</f>
        <v/>
      </c>
      <c r="AA417" s="49">
        <f>IF(OR($AE417&lt;&gt;1,AA$1=""),"",SUMIFS('All Donations'!$S$2:$S$4001,'All Donations'!$R$2:$R$4001,$AD417,'All Donations'!$T$2:$T$4001,AA$1))</f>
        <v/>
      </c>
      <c r="AB417" s="49">
        <f>IF(OR($AE417&lt;&gt;1,AB$1=""),"",SUMIFS('All Donations'!$S$2:$S$4001,'All Donations'!$R$2:$R$4001,$AD417,'All Donations'!$T$2:$T$4001,AB$1))</f>
        <v/>
      </c>
      <c r="AC417" s="49">
        <f>IF(OR($AE417&lt;&gt;1,AC$1=""),"",SUMIFS('All Donations'!$S$2:$S$4001,'All Donations'!$R$2:$R$4001,$AD417,'All Donations'!$T$2:$T$4001,AC$1))</f>
        <v/>
      </c>
      <c r="AD417">
        <f>IF(AE417=1,'Roster'!A417,"")</f>
        <v/>
      </c>
      <c r="AE417">
        <f>IF(TRIM('Roster'!B417&amp;'Roster'!C417)&lt;&gt;"",1,0)</f>
        <v/>
      </c>
      <c r="AF417">
        <f>IF(AE417=1,LOWER(A417),"#")</f>
        <v/>
      </c>
      <c r="AG417">
        <f>IF(AE417=1,LOWER(TRIM(TRIM('Roster'!C417)&amp;", "&amp;TRIM('Roster'!B417))),"#")</f>
        <v/>
      </c>
      <c r="AH417">
        <f>IF(AND(AE417=1,TRIM('Roster'!F417)&lt;&gt;""),LOWER(TRIM('Roster'!F417)),"#")</f>
        <v/>
      </c>
      <c r="AI417">
        <f>IF(AE417=1,IF(MATCH(B417,$B$2:$B$701,0)=ROW()-1,1,0),0)</f>
        <v/>
      </c>
      <c r="AJ417">
        <f>AJ416+AI417</f>
        <v/>
      </c>
      <c r="AK417">
        <f>IF(AE417=1,D417+(1000-ROW())/10^7,-1)</f>
        <v/>
      </c>
      <c r="AL417">
        <f>IF(AE417=1,TRIM('Roster'!B417)&amp;" "&amp;LEFT(TRIM('Roster'!C417),1)&amp;".","")</f>
        <v/>
      </c>
      <c r="AM417">
        <f>IF(AE417=1,TRIM('Roster'!C417)&amp;", "&amp;TRIM('Roster'!B417)&amp;" ("&amp;B417&amp;") #"&amp;AD417,"")</f>
        <v/>
      </c>
      <c r="AN417">
        <f>IF(AE417=1,TRIM('Roster'!E417),"")</f>
        <v/>
      </c>
      <c r="AO417">
        <f>IF(AE417=1,ROUND(SUMIFS('All Donations'!$S$2:$S$4001,'All Donations'!$R$2:$R$4001,AD417,'All Donations'!$T$2:$T$4001,"&gt;="&amp;'Settings'!$C$23,'All Donations'!$T$2:$T$4001,"&lt;="&amp;'Settings'!$D$23),2),0)</f>
        <v/>
      </c>
      <c r="AQ417">
        <f>IF(AE417=1,ROUND(SUMIFS('All Donations'!$S$2:$S$4001,'All Donations'!$R$2:$R$4001,AD417,'All Donations'!$T$2:$T$4001,"&gt;="&amp;'Settings'!$C$25,'All Donations'!$T$2:$T$4001,"&lt;="&amp;'Settings'!$D$25),2),0)</f>
        <v/>
      </c>
      <c r="AR417">
        <f>IF(AE417=1,ROUND(SUMIFS('All Donations'!$S$2:$S$4001,'All Donations'!$R$2:$R$4001,AD417,'All Donations'!$T$2:$T$4001,"&gt;="&amp;'Settings'!$C$26,'All Donations'!$T$2:$T$4001,"&lt;="&amp;'Settings'!$D$26),2),0)</f>
        <v/>
      </c>
      <c r="AS417">
        <f>IF(AE417=1,ROUND(SUMIFS('All Donations'!$S$2:$S$4001,'All Donations'!$R$2:$R$4001,AD417,'All Donations'!$T$2:$T$4001,"&lt;="&amp;'Settings'!$D$27),2),0)</f>
        <v/>
      </c>
      <c r="AT417">
        <f>IF(AE417=1,ROUND(SUMIFS('All Donations'!$S$2:$S$4001,'All Donations'!$R$2:$R$4001,AD417,'All Donations'!$T$2:$T$4001,"&gt;="&amp;'Settings'!$C$28,'All Donations'!$T$2:$T$4001,"&lt;="&amp;'Settings'!$D$28),2),0)</f>
        <v/>
      </c>
      <c r="AU417">
        <f>IF(AE417=1,ROUND(SUMIFS('All Donations'!$S$2:$S$4001,'All Donations'!$R$2:$R$4001,AD417,'All Donations'!$T$2:$T$4001,"&gt;="&amp;'Settings'!$C$29,'All Donations'!$T$2:$T$4001,"&lt;="&amp;'Settings'!$D$29),2),0)</f>
        <v/>
      </c>
      <c r="AV417">
        <f>IF(AE417=1,ROUND(SUMIFS('All Donations'!$S$2:$S$4001,'All Donations'!$R$2:$R$4001,AD417,'All Donations'!$T$2:$T$4001,"&lt;="&amp;'Settings'!$D$30),2),0)</f>
        <v/>
      </c>
      <c r="AZ417">
        <f>IF(AE417=1,ROUND(SUMIFS('All Donations'!$S$2:$S$4001,'All Donations'!$R$2:$R$4001,AD417,'All Donations'!$T$2:$T$4001,"&lt;="&amp;'Settings'!$D$34),2),0)</f>
        <v/>
      </c>
    </row>
    <row r="418">
      <c r="A418">
        <f>IF(AE418=1,TRIM(TRIM('Roster'!B418)&amp;" "&amp;TRIM('Roster'!C418)),"")</f>
        <v/>
      </c>
      <c r="B418">
        <f>IF(AE418=1,IF(AN418="","(no teacher)",AN418&amp;" – "&amp;C418),"")</f>
        <v/>
      </c>
      <c r="C418">
        <f>IF(AE418=1,TRIM('Roster'!D418&amp;""),"")</f>
        <v/>
      </c>
      <c r="D418" s="48">
        <f>IF(AE418=1,ROUND(SUMIFS('All Donations'!$S$2:$S$4001,'All Donations'!$R$2:$R$4001,AD418),2),"")</f>
        <v/>
      </c>
      <c r="E418" s="48">
        <f>IF(AE418=1,ROUND(SUMIFS('All Donations'!$S$2:$S$4001,'All Donations'!$R$2:$R$4001,AD418,'All Donations'!$G$2:$G$4001,"OneCause"),2),"")</f>
        <v/>
      </c>
      <c r="F418" s="48">
        <f>IF(AE418=1,D418-E418,"")</f>
        <v/>
      </c>
      <c r="G418">
        <f>IF(AE418=1,COUNTIFS('All Donations'!$R$2:$R$4001,AD418,'All Donations'!$H$2:$H$4001,"OK"),"")</f>
        <v/>
      </c>
      <c r="H418">
        <f>IF(AE418&lt;&gt;1,"",IF(D418&gt;0,"Yes",""))</f>
        <v/>
      </c>
      <c r="I418" s="49">
        <f>IF(OR($AE418&lt;&gt;1,I$1=""),"",SUMIFS('All Donations'!$S$2:$S$4001,'All Donations'!$R$2:$R$4001,$AD418,'All Donations'!$T$2:$T$4001,I$1))</f>
        <v/>
      </c>
      <c r="J418" s="49">
        <f>IF(OR($AE418&lt;&gt;1,J$1=""),"",SUMIFS('All Donations'!$S$2:$S$4001,'All Donations'!$R$2:$R$4001,$AD418,'All Donations'!$T$2:$T$4001,J$1))</f>
        <v/>
      </c>
      <c r="K418" s="49">
        <f>IF(OR($AE418&lt;&gt;1,K$1=""),"",SUMIFS('All Donations'!$S$2:$S$4001,'All Donations'!$R$2:$R$4001,$AD418,'All Donations'!$T$2:$T$4001,K$1))</f>
        <v/>
      </c>
      <c r="L418" s="49">
        <f>IF(OR($AE418&lt;&gt;1,L$1=""),"",SUMIFS('All Donations'!$S$2:$S$4001,'All Donations'!$R$2:$R$4001,$AD418,'All Donations'!$T$2:$T$4001,L$1))</f>
        <v/>
      </c>
      <c r="M418" s="49">
        <f>IF(OR($AE418&lt;&gt;1,M$1=""),"",SUMIFS('All Donations'!$S$2:$S$4001,'All Donations'!$R$2:$R$4001,$AD418,'All Donations'!$T$2:$T$4001,M$1))</f>
        <v/>
      </c>
      <c r="N418" s="49">
        <f>IF(OR($AE418&lt;&gt;1,N$1=""),"",SUMIFS('All Donations'!$S$2:$S$4001,'All Donations'!$R$2:$R$4001,$AD418,'All Donations'!$T$2:$T$4001,N$1))</f>
        <v/>
      </c>
      <c r="O418" s="49">
        <f>IF(OR($AE418&lt;&gt;1,O$1=""),"",SUMIFS('All Donations'!$S$2:$S$4001,'All Donations'!$R$2:$R$4001,$AD418,'All Donations'!$T$2:$T$4001,O$1))</f>
        <v/>
      </c>
      <c r="P418" s="49">
        <f>IF(OR($AE418&lt;&gt;1,P$1=""),"",SUMIFS('All Donations'!$S$2:$S$4001,'All Donations'!$R$2:$R$4001,$AD418,'All Donations'!$T$2:$T$4001,P$1))</f>
        <v/>
      </c>
      <c r="Q418" s="49">
        <f>IF(OR($AE418&lt;&gt;1,Q$1=""),"",SUMIFS('All Donations'!$S$2:$S$4001,'All Donations'!$R$2:$R$4001,$AD418,'All Donations'!$T$2:$T$4001,Q$1))</f>
        <v/>
      </c>
      <c r="R418" s="49">
        <f>IF(OR($AE418&lt;&gt;1,R$1=""),"",SUMIFS('All Donations'!$S$2:$S$4001,'All Donations'!$R$2:$R$4001,$AD418,'All Donations'!$T$2:$T$4001,R$1))</f>
        <v/>
      </c>
      <c r="S418" s="49">
        <f>IF(OR($AE418&lt;&gt;1,S$1=""),"",SUMIFS('All Donations'!$S$2:$S$4001,'All Donations'!$R$2:$R$4001,$AD418,'All Donations'!$T$2:$T$4001,S$1))</f>
        <v/>
      </c>
      <c r="T418" s="49">
        <f>IF(OR($AE418&lt;&gt;1,T$1=""),"",SUMIFS('All Donations'!$S$2:$S$4001,'All Donations'!$R$2:$R$4001,$AD418,'All Donations'!$T$2:$T$4001,T$1))</f>
        <v/>
      </c>
      <c r="U418" s="49">
        <f>IF(OR($AE418&lt;&gt;1,U$1=""),"",SUMIFS('All Donations'!$S$2:$S$4001,'All Donations'!$R$2:$R$4001,$AD418,'All Donations'!$T$2:$T$4001,U$1))</f>
        <v/>
      </c>
      <c r="V418" s="49">
        <f>IF(OR($AE418&lt;&gt;1,V$1=""),"",SUMIFS('All Donations'!$S$2:$S$4001,'All Donations'!$R$2:$R$4001,$AD418,'All Donations'!$T$2:$T$4001,V$1))</f>
        <v/>
      </c>
      <c r="W418" s="49">
        <f>IF(OR($AE418&lt;&gt;1,W$1=""),"",SUMIFS('All Donations'!$S$2:$S$4001,'All Donations'!$R$2:$R$4001,$AD418,'All Donations'!$T$2:$T$4001,W$1))</f>
        <v/>
      </c>
      <c r="X418" s="49">
        <f>IF(OR($AE418&lt;&gt;1,X$1=""),"",SUMIFS('All Donations'!$S$2:$S$4001,'All Donations'!$R$2:$R$4001,$AD418,'All Donations'!$T$2:$T$4001,X$1))</f>
        <v/>
      </c>
      <c r="Y418" s="49">
        <f>IF(OR($AE418&lt;&gt;1,Y$1=""),"",SUMIFS('All Donations'!$S$2:$S$4001,'All Donations'!$R$2:$R$4001,$AD418,'All Donations'!$T$2:$T$4001,Y$1))</f>
        <v/>
      </c>
      <c r="Z418" s="49">
        <f>IF(OR($AE418&lt;&gt;1,Z$1=""),"",SUMIFS('All Donations'!$S$2:$S$4001,'All Donations'!$R$2:$R$4001,$AD418,'All Donations'!$T$2:$T$4001,Z$1))</f>
        <v/>
      </c>
      <c r="AA418" s="49">
        <f>IF(OR($AE418&lt;&gt;1,AA$1=""),"",SUMIFS('All Donations'!$S$2:$S$4001,'All Donations'!$R$2:$R$4001,$AD418,'All Donations'!$T$2:$T$4001,AA$1))</f>
        <v/>
      </c>
      <c r="AB418" s="49">
        <f>IF(OR($AE418&lt;&gt;1,AB$1=""),"",SUMIFS('All Donations'!$S$2:$S$4001,'All Donations'!$R$2:$R$4001,$AD418,'All Donations'!$T$2:$T$4001,AB$1))</f>
        <v/>
      </c>
      <c r="AC418" s="49">
        <f>IF(OR($AE418&lt;&gt;1,AC$1=""),"",SUMIFS('All Donations'!$S$2:$S$4001,'All Donations'!$R$2:$R$4001,$AD418,'All Donations'!$T$2:$T$4001,AC$1))</f>
        <v/>
      </c>
      <c r="AD418">
        <f>IF(AE418=1,'Roster'!A418,"")</f>
        <v/>
      </c>
      <c r="AE418">
        <f>IF(TRIM('Roster'!B418&amp;'Roster'!C418)&lt;&gt;"",1,0)</f>
        <v/>
      </c>
      <c r="AF418">
        <f>IF(AE418=1,LOWER(A418),"#")</f>
        <v/>
      </c>
      <c r="AG418">
        <f>IF(AE418=1,LOWER(TRIM(TRIM('Roster'!C418)&amp;", "&amp;TRIM('Roster'!B418))),"#")</f>
        <v/>
      </c>
      <c r="AH418">
        <f>IF(AND(AE418=1,TRIM('Roster'!F418)&lt;&gt;""),LOWER(TRIM('Roster'!F418)),"#")</f>
        <v/>
      </c>
      <c r="AI418">
        <f>IF(AE418=1,IF(MATCH(B418,$B$2:$B$701,0)=ROW()-1,1,0),0)</f>
        <v/>
      </c>
      <c r="AJ418">
        <f>AJ417+AI418</f>
        <v/>
      </c>
      <c r="AK418">
        <f>IF(AE418=1,D418+(1000-ROW())/10^7,-1)</f>
        <v/>
      </c>
      <c r="AL418">
        <f>IF(AE418=1,TRIM('Roster'!B418)&amp;" "&amp;LEFT(TRIM('Roster'!C418),1)&amp;".","")</f>
        <v/>
      </c>
      <c r="AM418">
        <f>IF(AE418=1,TRIM('Roster'!C418)&amp;", "&amp;TRIM('Roster'!B418)&amp;" ("&amp;B418&amp;") #"&amp;AD418,"")</f>
        <v/>
      </c>
      <c r="AN418">
        <f>IF(AE418=1,TRIM('Roster'!E418),"")</f>
        <v/>
      </c>
      <c r="AO418">
        <f>IF(AE418=1,ROUND(SUMIFS('All Donations'!$S$2:$S$4001,'All Donations'!$R$2:$R$4001,AD418,'All Donations'!$T$2:$T$4001,"&gt;="&amp;'Settings'!$C$23,'All Donations'!$T$2:$T$4001,"&lt;="&amp;'Settings'!$D$23),2),0)</f>
        <v/>
      </c>
      <c r="AQ418">
        <f>IF(AE418=1,ROUND(SUMIFS('All Donations'!$S$2:$S$4001,'All Donations'!$R$2:$R$4001,AD418,'All Donations'!$T$2:$T$4001,"&gt;="&amp;'Settings'!$C$25,'All Donations'!$T$2:$T$4001,"&lt;="&amp;'Settings'!$D$25),2),0)</f>
        <v/>
      </c>
      <c r="AR418">
        <f>IF(AE418=1,ROUND(SUMIFS('All Donations'!$S$2:$S$4001,'All Donations'!$R$2:$R$4001,AD418,'All Donations'!$T$2:$T$4001,"&gt;="&amp;'Settings'!$C$26,'All Donations'!$T$2:$T$4001,"&lt;="&amp;'Settings'!$D$26),2),0)</f>
        <v/>
      </c>
      <c r="AS418">
        <f>IF(AE418=1,ROUND(SUMIFS('All Donations'!$S$2:$S$4001,'All Donations'!$R$2:$R$4001,AD418,'All Donations'!$T$2:$T$4001,"&lt;="&amp;'Settings'!$D$27),2),0)</f>
        <v/>
      </c>
      <c r="AT418">
        <f>IF(AE418=1,ROUND(SUMIFS('All Donations'!$S$2:$S$4001,'All Donations'!$R$2:$R$4001,AD418,'All Donations'!$T$2:$T$4001,"&gt;="&amp;'Settings'!$C$28,'All Donations'!$T$2:$T$4001,"&lt;="&amp;'Settings'!$D$28),2),0)</f>
        <v/>
      </c>
      <c r="AU418">
        <f>IF(AE418=1,ROUND(SUMIFS('All Donations'!$S$2:$S$4001,'All Donations'!$R$2:$R$4001,AD418,'All Donations'!$T$2:$T$4001,"&gt;="&amp;'Settings'!$C$29,'All Donations'!$T$2:$T$4001,"&lt;="&amp;'Settings'!$D$29),2),0)</f>
        <v/>
      </c>
      <c r="AV418">
        <f>IF(AE418=1,ROUND(SUMIFS('All Donations'!$S$2:$S$4001,'All Donations'!$R$2:$R$4001,AD418,'All Donations'!$T$2:$T$4001,"&lt;="&amp;'Settings'!$D$30),2),0)</f>
        <v/>
      </c>
      <c r="AZ418">
        <f>IF(AE418=1,ROUND(SUMIFS('All Donations'!$S$2:$S$4001,'All Donations'!$R$2:$R$4001,AD418,'All Donations'!$T$2:$T$4001,"&lt;="&amp;'Settings'!$D$34),2),0)</f>
        <v/>
      </c>
    </row>
    <row r="419">
      <c r="A419">
        <f>IF(AE419=1,TRIM(TRIM('Roster'!B419)&amp;" "&amp;TRIM('Roster'!C419)),"")</f>
        <v/>
      </c>
      <c r="B419">
        <f>IF(AE419=1,IF(AN419="","(no teacher)",AN419&amp;" – "&amp;C419),"")</f>
        <v/>
      </c>
      <c r="C419">
        <f>IF(AE419=1,TRIM('Roster'!D419&amp;""),"")</f>
        <v/>
      </c>
      <c r="D419" s="48">
        <f>IF(AE419=1,ROUND(SUMIFS('All Donations'!$S$2:$S$4001,'All Donations'!$R$2:$R$4001,AD419),2),"")</f>
        <v/>
      </c>
      <c r="E419" s="48">
        <f>IF(AE419=1,ROUND(SUMIFS('All Donations'!$S$2:$S$4001,'All Donations'!$R$2:$R$4001,AD419,'All Donations'!$G$2:$G$4001,"OneCause"),2),"")</f>
        <v/>
      </c>
      <c r="F419" s="48">
        <f>IF(AE419=1,D419-E419,"")</f>
        <v/>
      </c>
      <c r="G419">
        <f>IF(AE419=1,COUNTIFS('All Donations'!$R$2:$R$4001,AD419,'All Donations'!$H$2:$H$4001,"OK"),"")</f>
        <v/>
      </c>
      <c r="H419">
        <f>IF(AE419&lt;&gt;1,"",IF(D419&gt;0,"Yes",""))</f>
        <v/>
      </c>
      <c r="I419" s="49">
        <f>IF(OR($AE419&lt;&gt;1,I$1=""),"",SUMIFS('All Donations'!$S$2:$S$4001,'All Donations'!$R$2:$R$4001,$AD419,'All Donations'!$T$2:$T$4001,I$1))</f>
        <v/>
      </c>
      <c r="J419" s="49">
        <f>IF(OR($AE419&lt;&gt;1,J$1=""),"",SUMIFS('All Donations'!$S$2:$S$4001,'All Donations'!$R$2:$R$4001,$AD419,'All Donations'!$T$2:$T$4001,J$1))</f>
        <v/>
      </c>
      <c r="K419" s="49">
        <f>IF(OR($AE419&lt;&gt;1,K$1=""),"",SUMIFS('All Donations'!$S$2:$S$4001,'All Donations'!$R$2:$R$4001,$AD419,'All Donations'!$T$2:$T$4001,K$1))</f>
        <v/>
      </c>
      <c r="L419" s="49">
        <f>IF(OR($AE419&lt;&gt;1,L$1=""),"",SUMIFS('All Donations'!$S$2:$S$4001,'All Donations'!$R$2:$R$4001,$AD419,'All Donations'!$T$2:$T$4001,L$1))</f>
        <v/>
      </c>
      <c r="M419" s="49">
        <f>IF(OR($AE419&lt;&gt;1,M$1=""),"",SUMIFS('All Donations'!$S$2:$S$4001,'All Donations'!$R$2:$R$4001,$AD419,'All Donations'!$T$2:$T$4001,M$1))</f>
        <v/>
      </c>
      <c r="N419" s="49">
        <f>IF(OR($AE419&lt;&gt;1,N$1=""),"",SUMIFS('All Donations'!$S$2:$S$4001,'All Donations'!$R$2:$R$4001,$AD419,'All Donations'!$T$2:$T$4001,N$1))</f>
        <v/>
      </c>
      <c r="O419" s="49">
        <f>IF(OR($AE419&lt;&gt;1,O$1=""),"",SUMIFS('All Donations'!$S$2:$S$4001,'All Donations'!$R$2:$R$4001,$AD419,'All Donations'!$T$2:$T$4001,O$1))</f>
        <v/>
      </c>
      <c r="P419" s="49">
        <f>IF(OR($AE419&lt;&gt;1,P$1=""),"",SUMIFS('All Donations'!$S$2:$S$4001,'All Donations'!$R$2:$R$4001,$AD419,'All Donations'!$T$2:$T$4001,P$1))</f>
        <v/>
      </c>
      <c r="Q419" s="49">
        <f>IF(OR($AE419&lt;&gt;1,Q$1=""),"",SUMIFS('All Donations'!$S$2:$S$4001,'All Donations'!$R$2:$R$4001,$AD419,'All Donations'!$T$2:$T$4001,Q$1))</f>
        <v/>
      </c>
      <c r="R419" s="49">
        <f>IF(OR($AE419&lt;&gt;1,R$1=""),"",SUMIFS('All Donations'!$S$2:$S$4001,'All Donations'!$R$2:$R$4001,$AD419,'All Donations'!$T$2:$T$4001,R$1))</f>
        <v/>
      </c>
      <c r="S419" s="49">
        <f>IF(OR($AE419&lt;&gt;1,S$1=""),"",SUMIFS('All Donations'!$S$2:$S$4001,'All Donations'!$R$2:$R$4001,$AD419,'All Donations'!$T$2:$T$4001,S$1))</f>
        <v/>
      </c>
      <c r="T419" s="49">
        <f>IF(OR($AE419&lt;&gt;1,T$1=""),"",SUMIFS('All Donations'!$S$2:$S$4001,'All Donations'!$R$2:$R$4001,$AD419,'All Donations'!$T$2:$T$4001,T$1))</f>
        <v/>
      </c>
      <c r="U419" s="49">
        <f>IF(OR($AE419&lt;&gt;1,U$1=""),"",SUMIFS('All Donations'!$S$2:$S$4001,'All Donations'!$R$2:$R$4001,$AD419,'All Donations'!$T$2:$T$4001,U$1))</f>
        <v/>
      </c>
      <c r="V419" s="49">
        <f>IF(OR($AE419&lt;&gt;1,V$1=""),"",SUMIFS('All Donations'!$S$2:$S$4001,'All Donations'!$R$2:$R$4001,$AD419,'All Donations'!$T$2:$T$4001,V$1))</f>
        <v/>
      </c>
      <c r="W419" s="49">
        <f>IF(OR($AE419&lt;&gt;1,W$1=""),"",SUMIFS('All Donations'!$S$2:$S$4001,'All Donations'!$R$2:$R$4001,$AD419,'All Donations'!$T$2:$T$4001,W$1))</f>
        <v/>
      </c>
      <c r="X419" s="49">
        <f>IF(OR($AE419&lt;&gt;1,X$1=""),"",SUMIFS('All Donations'!$S$2:$S$4001,'All Donations'!$R$2:$R$4001,$AD419,'All Donations'!$T$2:$T$4001,X$1))</f>
        <v/>
      </c>
      <c r="Y419" s="49">
        <f>IF(OR($AE419&lt;&gt;1,Y$1=""),"",SUMIFS('All Donations'!$S$2:$S$4001,'All Donations'!$R$2:$R$4001,$AD419,'All Donations'!$T$2:$T$4001,Y$1))</f>
        <v/>
      </c>
      <c r="Z419" s="49">
        <f>IF(OR($AE419&lt;&gt;1,Z$1=""),"",SUMIFS('All Donations'!$S$2:$S$4001,'All Donations'!$R$2:$R$4001,$AD419,'All Donations'!$T$2:$T$4001,Z$1))</f>
        <v/>
      </c>
      <c r="AA419" s="49">
        <f>IF(OR($AE419&lt;&gt;1,AA$1=""),"",SUMIFS('All Donations'!$S$2:$S$4001,'All Donations'!$R$2:$R$4001,$AD419,'All Donations'!$T$2:$T$4001,AA$1))</f>
        <v/>
      </c>
      <c r="AB419" s="49">
        <f>IF(OR($AE419&lt;&gt;1,AB$1=""),"",SUMIFS('All Donations'!$S$2:$S$4001,'All Donations'!$R$2:$R$4001,$AD419,'All Donations'!$T$2:$T$4001,AB$1))</f>
        <v/>
      </c>
      <c r="AC419" s="49">
        <f>IF(OR($AE419&lt;&gt;1,AC$1=""),"",SUMIFS('All Donations'!$S$2:$S$4001,'All Donations'!$R$2:$R$4001,$AD419,'All Donations'!$T$2:$T$4001,AC$1))</f>
        <v/>
      </c>
      <c r="AD419">
        <f>IF(AE419=1,'Roster'!A419,"")</f>
        <v/>
      </c>
      <c r="AE419">
        <f>IF(TRIM('Roster'!B419&amp;'Roster'!C419)&lt;&gt;"",1,0)</f>
        <v/>
      </c>
      <c r="AF419">
        <f>IF(AE419=1,LOWER(A419),"#")</f>
        <v/>
      </c>
      <c r="AG419">
        <f>IF(AE419=1,LOWER(TRIM(TRIM('Roster'!C419)&amp;", "&amp;TRIM('Roster'!B419))),"#")</f>
        <v/>
      </c>
      <c r="AH419">
        <f>IF(AND(AE419=1,TRIM('Roster'!F419)&lt;&gt;""),LOWER(TRIM('Roster'!F419)),"#")</f>
        <v/>
      </c>
      <c r="AI419">
        <f>IF(AE419=1,IF(MATCH(B419,$B$2:$B$701,0)=ROW()-1,1,0),0)</f>
        <v/>
      </c>
      <c r="AJ419">
        <f>AJ418+AI419</f>
        <v/>
      </c>
      <c r="AK419">
        <f>IF(AE419=1,D419+(1000-ROW())/10^7,-1)</f>
        <v/>
      </c>
      <c r="AL419">
        <f>IF(AE419=1,TRIM('Roster'!B419)&amp;" "&amp;LEFT(TRIM('Roster'!C419),1)&amp;".","")</f>
        <v/>
      </c>
      <c r="AM419">
        <f>IF(AE419=1,TRIM('Roster'!C419)&amp;", "&amp;TRIM('Roster'!B419)&amp;" ("&amp;B419&amp;") #"&amp;AD419,"")</f>
        <v/>
      </c>
      <c r="AN419">
        <f>IF(AE419=1,TRIM('Roster'!E419),"")</f>
        <v/>
      </c>
      <c r="AO419">
        <f>IF(AE419=1,ROUND(SUMIFS('All Donations'!$S$2:$S$4001,'All Donations'!$R$2:$R$4001,AD419,'All Donations'!$T$2:$T$4001,"&gt;="&amp;'Settings'!$C$23,'All Donations'!$T$2:$T$4001,"&lt;="&amp;'Settings'!$D$23),2),0)</f>
        <v/>
      </c>
      <c r="AQ419">
        <f>IF(AE419=1,ROUND(SUMIFS('All Donations'!$S$2:$S$4001,'All Donations'!$R$2:$R$4001,AD419,'All Donations'!$T$2:$T$4001,"&gt;="&amp;'Settings'!$C$25,'All Donations'!$T$2:$T$4001,"&lt;="&amp;'Settings'!$D$25),2),0)</f>
        <v/>
      </c>
      <c r="AR419">
        <f>IF(AE419=1,ROUND(SUMIFS('All Donations'!$S$2:$S$4001,'All Donations'!$R$2:$R$4001,AD419,'All Donations'!$T$2:$T$4001,"&gt;="&amp;'Settings'!$C$26,'All Donations'!$T$2:$T$4001,"&lt;="&amp;'Settings'!$D$26),2),0)</f>
        <v/>
      </c>
      <c r="AS419">
        <f>IF(AE419=1,ROUND(SUMIFS('All Donations'!$S$2:$S$4001,'All Donations'!$R$2:$R$4001,AD419,'All Donations'!$T$2:$T$4001,"&lt;="&amp;'Settings'!$D$27),2),0)</f>
        <v/>
      </c>
      <c r="AT419">
        <f>IF(AE419=1,ROUND(SUMIFS('All Donations'!$S$2:$S$4001,'All Donations'!$R$2:$R$4001,AD419,'All Donations'!$T$2:$T$4001,"&gt;="&amp;'Settings'!$C$28,'All Donations'!$T$2:$T$4001,"&lt;="&amp;'Settings'!$D$28),2),0)</f>
        <v/>
      </c>
      <c r="AU419">
        <f>IF(AE419=1,ROUND(SUMIFS('All Donations'!$S$2:$S$4001,'All Donations'!$R$2:$R$4001,AD419,'All Donations'!$T$2:$T$4001,"&gt;="&amp;'Settings'!$C$29,'All Donations'!$T$2:$T$4001,"&lt;="&amp;'Settings'!$D$29),2),0)</f>
        <v/>
      </c>
      <c r="AV419">
        <f>IF(AE419=1,ROUND(SUMIFS('All Donations'!$S$2:$S$4001,'All Donations'!$R$2:$R$4001,AD419,'All Donations'!$T$2:$T$4001,"&lt;="&amp;'Settings'!$D$30),2),0)</f>
        <v/>
      </c>
      <c r="AZ419">
        <f>IF(AE419=1,ROUND(SUMIFS('All Donations'!$S$2:$S$4001,'All Donations'!$R$2:$R$4001,AD419,'All Donations'!$T$2:$T$4001,"&lt;="&amp;'Settings'!$D$34),2),0)</f>
        <v/>
      </c>
    </row>
    <row r="420">
      <c r="A420">
        <f>IF(AE420=1,TRIM(TRIM('Roster'!B420)&amp;" "&amp;TRIM('Roster'!C420)),"")</f>
        <v/>
      </c>
      <c r="B420">
        <f>IF(AE420=1,IF(AN420="","(no teacher)",AN420&amp;" – "&amp;C420),"")</f>
        <v/>
      </c>
      <c r="C420">
        <f>IF(AE420=1,TRIM('Roster'!D420&amp;""),"")</f>
        <v/>
      </c>
      <c r="D420" s="48">
        <f>IF(AE420=1,ROUND(SUMIFS('All Donations'!$S$2:$S$4001,'All Donations'!$R$2:$R$4001,AD420),2),"")</f>
        <v/>
      </c>
      <c r="E420" s="48">
        <f>IF(AE420=1,ROUND(SUMIFS('All Donations'!$S$2:$S$4001,'All Donations'!$R$2:$R$4001,AD420,'All Donations'!$G$2:$G$4001,"OneCause"),2),"")</f>
        <v/>
      </c>
      <c r="F420" s="48">
        <f>IF(AE420=1,D420-E420,"")</f>
        <v/>
      </c>
      <c r="G420">
        <f>IF(AE420=1,COUNTIFS('All Donations'!$R$2:$R$4001,AD420,'All Donations'!$H$2:$H$4001,"OK"),"")</f>
        <v/>
      </c>
      <c r="H420">
        <f>IF(AE420&lt;&gt;1,"",IF(D420&gt;0,"Yes",""))</f>
        <v/>
      </c>
      <c r="I420" s="49">
        <f>IF(OR($AE420&lt;&gt;1,I$1=""),"",SUMIFS('All Donations'!$S$2:$S$4001,'All Donations'!$R$2:$R$4001,$AD420,'All Donations'!$T$2:$T$4001,I$1))</f>
        <v/>
      </c>
      <c r="J420" s="49">
        <f>IF(OR($AE420&lt;&gt;1,J$1=""),"",SUMIFS('All Donations'!$S$2:$S$4001,'All Donations'!$R$2:$R$4001,$AD420,'All Donations'!$T$2:$T$4001,J$1))</f>
        <v/>
      </c>
      <c r="K420" s="49">
        <f>IF(OR($AE420&lt;&gt;1,K$1=""),"",SUMIFS('All Donations'!$S$2:$S$4001,'All Donations'!$R$2:$R$4001,$AD420,'All Donations'!$T$2:$T$4001,K$1))</f>
        <v/>
      </c>
      <c r="L420" s="49">
        <f>IF(OR($AE420&lt;&gt;1,L$1=""),"",SUMIFS('All Donations'!$S$2:$S$4001,'All Donations'!$R$2:$R$4001,$AD420,'All Donations'!$T$2:$T$4001,L$1))</f>
        <v/>
      </c>
      <c r="M420" s="49">
        <f>IF(OR($AE420&lt;&gt;1,M$1=""),"",SUMIFS('All Donations'!$S$2:$S$4001,'All Donations'!$R$2:$R$4001,$AD420,'All Donations'!$T$2:$T$4001,M$1))</f>
        <v/>
      </c>
      <c r="N420" s="49">
        <f>IF(OR($AE420&lt;&gt;1,N$1=""),"",SUMIFS('All Donations'!$S$2:$S$4001,'All Donations'!$R$2:$R$4001,$AD420,'All Donations'!$T$2:$T$4001,N$1))</f>
        <v/>
      </c>
      <c r="O420" s="49">
        <f>IF(OR($AE420&lt;&gt;1,O$1=""),"",SUMIFS('All Donations'!$S$2:$S$4001,'All Donations'!$R$2:$R$4001,$AD420,'All Donations'!$T$2:$T$4001,O$1))</f>
        <v/>
      </c>
      <c r="P420" s="49">
        <f>IF(OR($AE420&lt;&gt;1,P$1=""),"",SUMIFS('All Donations'!$S$2:$S$4001,'All Donations'!$R$2:$R$4001,$AD420,'All Donations'!$T$2:$T$4001,P$1))</f>
        <v/>
      </c>
      <c r="Q420" s="49">
        <f>IF(OR($AE420&lt;&gt;1,Q$1=""),"",SUMIFS('All Donations'!$S$2:$S$4001,'All Donations'!$R$2:$R$4001,$AD420,'All Donations'!$T$2:$T$4001,Q$1))</f>
        <v/>
      </c>
      <c r="R420" s="49">
        <f>IF(OR($AE420&lt;&gt;1,R$1=""),"",SUMIFS('All Donations'!$S$2:$S$4001,'All Donations'!$R$2:$R$4001,$AD420,'All Donations'!$T$2:$T$4001,R$1))</f>
        <v/>
      </c>
      <c r="S420" s="49">
        <f>IF(OR($AE420&lt;&gt;1,S$1=""),"",SUMIFS('All Donations'!$S$2:$S$4001,'All Donations'!$R$2:$R$4001,$AD420,'All Donations'!$T$2:$T$4001,S$1))</f>
        <v/>
      </c>
      <c r="T420" s="49">
        <f>IF(OR($AE420&lt;&gt;1,T$1=""),"",SUMIFS('All Donations'!$S$2:$S$4001,'All Donations'!$R$2:$R$4001,$AD420,'All Donations'!$T$2:$T$4001,T$1))</f>
        <v/>
      </c>
      <c r="U420" s="49">
        <f>IF(OR($AE420&lt;&gt;1,U$1=""),"",SUMIFS('All Donations'!$S$2:$S$4001,'All Donations'!$R$2:$R$4001,$AD420,'All Donations'!$T$2:$T$4001,U$1))</f>
        <v/>
      </c>
      <c r="V420" s="49">
        <f>IF(OR($AE420&lt;&gt;1,V$1=""),"",SUMIFS('All Donations'!$S$2:$S$4001,'All Donations'!$R$2:$R$4001,$AD420,'All Donations'!$T$2:$T$4001,V$1))</f>
        <v/>
      </c>
      <c r="W420" s="49">
        <f>IF(OR($AE420&lt;&gt;1,W$1=""),"",SUMIFS('All Donations'!$S$2:$S$4001,'All Donations'!$R$2:$R$4001,$AD420,'All Donations'!$T$2:$T$4001,W$1))</f>
        <v/>
      </c>
      <c r="X420" s="49">
        <f>IF(OR($AE420&lt;&gt;1,X$1=""),"",SUMIFS('All Donations'!$S$2:$S$4001,'All Donations'!$R$2:$R$4001,$AD420,'All Donations'!$T$2:$T$4001,X$1))</f>
        <v/>
      </c>
      <c r="Y420" s="49">
        <f>IF(OR($AE420&lt;&gt;1,Y$1=""),"",SUMIFS('All Donations'!$S$2:$S$4001,'All Donations'!$R$2:$R$4001,$AD420,'All Donations'!$T$2:$T$4001,Y$1))</f>
        <v/>
      </c>
      <c r="Z420" s="49">
        <f>IF(OR($AE420&lt;&gt;1,Z$1=""),"",SUMIFS('All Donations'!$S$2:$S$4001,'All Donations'!$R$2:$R$4001,$AD420,'All Donations'!$T$2:$T$4001,Z$1))</f>
        <v/>
      </c>
      <c r="AA420" s="49">
        <f>IF(OR($AE420&lt;&gt;1,AA$1=""),"",SUMIFS('All Donations'!$S$2:$S$4001,'All Donations'!$R$2:$R$4001,$AD420,'All Donations'!$T$2:$T$4001,AA$1))</f>
        <v/>
      </c>
      <c r="AB420" s="49">
        <f>IF(OR($AE420&lt;&gt;1,AB$1=""),"",SUMIFS('All Donations'!$S$2:$S$4001,'All Donations'!$R$2:$R$4001,$AD420,'All Donations'!$T$2:$T$4001,AB$1))</f>
        <v/>
      </c>
      <c r="AC420" s="49">
        <f>IF(OR($AE420&lt;&gt;1,AC$1=""),"",SUMIFS('All Donations'!$S$2:$S$4001,'All Donations'!$R$2:$R$4001,$AD420,'All Donations'!$T$2:$T$4001,AC$1))</f>
        <v/>
      </c>
      <c r="AD420">
        <f>IF(AE420=1,'Roster'!A420,"")</f>
        <v/>
      </c>
      <c r="AE420">
        <f>IF(TRIM('Roster'!B420&amp;'Roster'!C420)&lt;&gt;"",1,0)</f>
        <v/>
      </c>
      <c r="AF420">
        <f>IF(AE420=1,LOWER(A420),"#")</f>
        <v/>
      </c>
      <c r="AG420">
        <f>IF(AE420=1,LOWER(TRIM(TRIM('Roster'!C420)&amp;", "&amp;TRIM('Roster'!B420))),"#")</f>
        <v/>
      </c>
      <c r="AH420">
        <f>IF(AND(AE420=1,TRIM('Roster'!F420)&lt;&gt;""),LOWER(TRIM('Roster'!F420)),"#")</f>
        <v/>
      </c>
      <c r="AI420">
        <f>IF(AE420=1,IF(MATCH(B420,$B$2:$B$701,0)=ROW()-1,1,0),0)</f>
        <v/>
      </c>
      <c r="AJ420">
        <f>AJ419+AI420</f>
        <v/>
      </c>
      <c r="AK420">
        <f>IF(AE420=1,D420+(1000-ROW())/10^7,-1)</f>
        <v/>
      </c>
      <c r="AL420">
        <f>IF(AE420=1,TRIM('Roster'!B420)&amp;" "&amp;LEFT(TRIM('Roster'!C420),1)&amp;".","")</f>
        <v/>
      </c>
      <c r="AM420">
        <f>IF(AE420=1,TRIM('Roster'!C420)&amp;", "&amp;TRIM('Roster'!B420)&amp;" ("&amp;B420&amp;") #"&amp;AD420,"")</f>
        <v/>
      </c>
      <c r="AN420">
        <f>IF(AE420=1,TRIM('Roster'!E420),"")</f>
        <v/>
      </c>
      <c r="AO420">
        <f>IF(AE420=1,ROUND(SUMIFS('All Donations'!$S$2:$S$4001,'All Donations'!$R$2:$R$4001,AD420,'All Donations'!$T$2:$T$4001,"&gt;="&amp;'Settings'!$C$23,'All Donations'!$T$2:$T$4001,"&lt;="&amp;'Settings'!$D$23),2),0)</f>
        <v/>
      </c>
      <c r="AQ420">
        <f>IF(AE420=1,ROUND(SUMIFS('All Donations'!$S$2:$S$4001,'All Donations'!$R$2:$R$4001,AD420,'All Donations'!$T$2:$T$4001,"&gt;="&amp;'Settings'!$C$25,'All Donations'!$T$2:$T$4001,"&lt;="&amp;'Settings'!$D$25),2),0)</f>
        <v/>
      </c>
      <c r="AR420">
        <f>IF(AE420=1,ROUND(SUMIFS('All Donations'!$S$2:$S$4001,'All Donations'!$R$2:$R$4001,AD420,'All Donations'!$T$2:$T$4001,"&gt;="&amp;'Settings'!$C$26,'All Donations'!$T$2:$T$4001,"&lt;="&amp;'Settings'!$D$26),2),0)</f>
        <v/>
      </c>
      <c r="AS420">
        <f>IF(AE420=1,ROUND(SUMIFS('All Donations'!$S$2:$S$4001,'All Donations'!$R$2:$R$4001,AD420,'All Donations'!$T$2:$T$4001,"&lt;="&amp;'Settings'!$D$27),2),0)</f>
        <v/>
      </c>
      <c r="AT420">
        <f>IF(AE420=1,ROUND(SUMIFS('All Donations'!$S$2:$S$4001,'All Donations'!$R$2:$R$4001,AD420,'All Donations'!$T$2:$T$4001,"&gt;="&amp;'Settings'!$C$28,'All Donations'!$T$2:$T$4001,"&lt;="&amp;'Settings'!$D$28),2),0)</f>
        <v/>
      </c>
      <c r="AU420">
        <f>IF(AE420=1,ROUND(SUMIFS('All Donations'!$S$2:$S$4001,'All Donations'!$R$2:$R$4001,AD420,'All Donations'!$T$2:$T$4001,"&gt;="&amp;'Settings'!$C$29,'All Donations'!$T$2:$T$4001,"&lt;="&amp;'Settings'!$D$29),2),0)</f>
        <v/>
      </c>
      <c r="AV420">
        <f>IF(AE420=1,ROUND(SUMIFS('All Donations'!$S$2:$S$4001,'All Donations'!$R$2:$R$4001,AD420,'All Donations'!$T$2:$T$4001,"&lt;="&amp;'Settings'!$D$30),2),0)</f>
        <v/>
      </c>
      <c r="AZ420">
        <f>IF(AE420=1,ROUND(SUMIFS('All Donations'!$S$2:$S$4001,'All Donations'!$R$2:$R$4001,AD420,'All Donations'!$T$2:$T$4001,"&lt;="&amp;'Settings'!$D$34),2),0)</f>
        <v/>
      </c>
    </row>
    <row r="421">
      <c r="A421">
        <f>IF(AE421=1,TRIM(TRIM('Roster'!B421)&amp;" "&amp;TRIM('Roster'!C421)),"")</f>
        <v/>
      </c>
      <c r="B421">
        <f>IF(AE421=1,IF(AN421="","(no teacher)",AN421&amp;" – "&amp;C421),"")</f>
        <v/>
      </c>
      <c r="C421">
        <f>IF(AE421=1,TRIM('Roster'!D421&amp;""),"")</f>
        <v/>
      </c>
      <c r="D421" s="48">
        <f>IF(AE421=1,ROUND(SUMIFS('All Donations'!$S$2:$S$4001,'All Donations'!$R$2:$R$4001,AD421),2),"")</f>
        <v/>
      </c>
      <c r="E421" s="48">
        <f>IF(AE421=1,ROUND(SUMIFS('All Donations'!$S$2:$S$4001,'All Donations'!$R$2:$R$4001,AD421,'All Donations'!$G$2:$G$4001,"OneCause"),2),"")</f>
        <v/>
      </c>
      <c r="F421" s="48">
        <f>IF(AE421=1,D421-E421,"")</f>
        <v/>
      </c>
      <c r="G421">
        <f>IF(AE421=1,COUNTIFS('All Donations'!$R$2:$R$4001,AD421,'All Donations'!$H$2:$H$4001,"OK"),"")</f>
        <v/>
      </c>
      <c r="H421">
        <f>IF(AE421&lt;&gt;1,"",IF(D421&gt;0,"Yes",""))</f>
        <v/>
      </c>
      <c r="I421" s="49">
        <f>IF(OR($AE421&lt;&gt;1,I$1=""),"",SUMIFS('All Donations'!$S$2:$S$4001,'All Donations'!$R$2:$R$4001,$AD421,'All Donations'!$T$2:$T$4001,I$1))</f>
        <v/>
      </c>
      <c r="J421" s="49">
        <f>IF(OR($AE421&lt;&gt;1,J$1=""),"",SUMIFS('All Donations'!$S$2:$S$4001,'All Donations'!$R$2:$R$4001,$AD421,'All Donations'!$T$2:$T$4001,J$1))</f>
        <v/>
      </c>
      <c r="K421" s="49">
        <f>IF(OR($AE421&lt;&gt;1,K$1=""),"",SUMIFS('All Donations'!$S$2:$S$4001,'All Donations'!$R$2:$R$4001,$AD421,'All Donations'!$T$2:$T$4001,K$1))</f>
        <v/>
      </c>
      <c r="L421" s="49">
        <f>IF(OR($AE421&lt;&gt;1,L$1=""),"",SUMIFS('All Donations'!$S$2:$S$4001,'All Donations'!$R$2:$R$4001,$AD421,'All Donations'!$T$2:$T$4001,L$1))</f>
        <v/>
      </c>
      <c r="M421" s="49">
        <f>IF(OR($AE421&lt;&gt;1,M$1=""),"",SUMIFS('All Donations'!$S$2:$S$4001,'All Donations'!$R$2:$R$4001,$AD421,'All Donations'!$T$2:$T$4001,M$1))</f>
        <v/>
      </c>
      <c r="N421" s="49">
        <f>IF(OR($AE421&lt;&gt;1,N$1=""),"",SUMIFS('All Donations'!$S$2:$S$4001,'All Donations'!$R$2:$R$4001,$AD421,'All Donations'!$T$2:$T$4001,N$1))</f>
        <v/>
      </c>
      <c r="O421" s="49">
        <f>IF(OR($AE421&lt;&gt;1,O$1=""),"",SUMIFS('All Donations'!$S$2:$S$4001,'All Donations'!$R$2:$R$4001,$AD421,'All Donations'!$T$2:$T$4001,O$1))</f>
        <v/>
      </c>
      <c r="P421" s="49">
        <f>IF(OR($AE421&lt;&gt;1,P$1=""),"",SUMIFS('All Donations'!$S$2:$S$4001,'All Donations'!$R$2:$R$4001,$AD421,'All Donations'!$T$2:$T$4001,P$1))</f>
        <v/>
      </c>
      <c r="Q421" s="49">
        <f>IF(OR($AE421&lt;&gt;1,Q$1=""),"",SUMIFS('All Donations'!$S$2:$S$4001,'All Donations'!$R$2:$R$4001,$AD421,'All Donations'!$T$2:$T$4001,Q$1))</f>
        <v/>
      </c>
      <c r="R421" s="49">
        <f>IF(OR($AE421&lt;&gt;1,R$1=""),"",SUMIFS('All Donations'!$S$2:$S$4001,'All Donations'!$R$2:$R$4001,$AD421,'All Donations'!$T$2:$T$4001,R$1))</f>
        <v/>
      </c>
      <c r="S421" s="49">
        <f>IF(OR($AE421&lt;&gt;1,S$1=""),"",SUMIFS('All Donations'!$S$2:$S$4001,'All Donations'!$R$2:$R$4001,$AD421,'All Donations'!$T$2:$T$4001,S$1))</f>
        <v/>
      </c>
      <c r="T421" s="49">
        <f>IF(OR($AE421&lt;&gt;1,T$1=""),"",SUMIFS('All Donations'!$S$2:$S$4001,'All Donations'!$R$2:$R$4001,$AD421,'All Donations'!$T$2:$T$4001,T$1))</f>
        <v/>
      </c>
      <c r="U421" s="49">
        <f>IF(OR($AE421&lt;&gt;1,U$1=""),"",SUMIFS('All Donations'!$S$2:$S$4001,'All Donations'!$R$2:$R$4001,$AD421,'All Donations'!$T$2:$T$4001,U$1))</f>
        <v/>
      </c>
      <c r="V421" s="49">
        <f>IF(OR($AE421&lt;&gt;1,V$1=""),"",SUMIFS('All Donations'!$S$2:$S$4001,'All Donations'!$R$2:$R$4001,$AD421,'All Donations'!$T$2:$T$4001,V$1))</f>
        <v/>
      </c>
      <c r="W421" s="49">
        <f>IF(OR($AE421&lt;&gt;1,W$1=""),"",SUMIFS('All Donations'!$S$2:$S$4001,'All Donations'!$R$2:$R$4001,$AD421,'All Donations'!$T$2:$T$4001,W$1))</f>
        <v/>
      </c>
      <c r="X421" s="49">
        <f>IF(OR($AE421&lt;&gt;1,X$1=""),"",SUMIFS('All Donations'!$S$2:$S$4001,'All Donations'!$R$2:$R$4001,$AD421,'All Donations'!$T$2:$T$4001,X$1))</f>
        <v/>
      </c>
      <c r="Y421" s="49">
        <f>IF(OR($AE421&lt;&gt;1,Y$1=""),"",SUMIFS('All Donations'!$S$2:$S$4001,'All Donations'!$R$2:$R$4001,$AD421,'All Donations'!$T$2:$T$4001,Y$1))</f>
        <v/>
      </c>
      <c r="Z421" s="49">
        <f>IF(OR($AE421&lt;&gt;1,Z$1=""),"",SUMIFS('All Donations'!$S$2:$S$4001,'All Donations'!$R$2:$R$4001,$AD421,'All Donations'!$T$2:$T$4001,Z$1))</f>
        <v/>
      </c>
      <c r="AA421" s="49">
        <f>IF(OR($AE421&lt;&gt;1,AA$1=""),"",SUMIFS('All Donations'!$S$2:$S$4001,'All Donations'!$R$2:$R$4001,$AD421,'All Donations'!$T$2:$T$4001,AA$1))</f>
        <v/>
      </c>
      <c r="AB421" s="49">
        <f>IF(OR($AE421&lt;&gt;1,AB$1=""),"",SUMIFS('All Donations'!$S$2:$S$4001,'All Donations'!$R$2:$R$4001,$AD421,'All Donations'!$T$2:$T$4001,AB$1))</f>
        <v/>
      </c>
      <c r="AC421" s="49">
        <f>IF(OR($AE421&lt;&gt;1,AC$1=""),"",SUMIFS('All Donations'!$S$2:$S$4001,'All Donations'!$R$2:$R$4001,$AD421,'All Donations'!$T$2:$T$4001,AC$1))</f>
        <v/>
      </c>
      <c r="AD421">
        <f>IF(AE421=1,'Roster'!A421,"")</f>
        <v/>
      </c>
      <c r="AE421">
        <f>IF(TRIM('Roster'!B421&amp;'Roster'!C421)&lt;&gt;"",1,0)</f>
        <v/>
      </c>
      <c r="AF421">
        <f>IF(AE421=1,LOWER(A421),"#")</f>
        <v/>
      </c>
      <c r="AG421">
        <f>IF(AE421=1,LOWER(TRIM(TRIM('Roster'!C421)&amp;", "&amp;TRIM('Roster'!B421))),"#")</f>
        <v/>
      </c>
      <c r="AH421">
        <f>IF(AND(AE421=1,TRIM('Roster'!F421)&lt;&gt;""),LOWER(TRIM('Roster'!F421)),"#")</f>
        <v/>
      </c>
      <c r="AI421">
        <f>IF(AE421=1,IF(MATCH(B421,$B$2:$B$701,0)=ROW()-1,1,0),0)</f>
        <v/>
      </c>
      <c r="AJ421">
        <f>AJ420+AI421</f>
        <v/>
      </c>
      <c r="AK421">
        <f>IF(AE421=1,D421+(1000-ROW())/10^7,-1)</f>
        <v/>
      </c>
      <c r="AL421">
        <f>IF(AE421=1,TRIM('Roster'!B421)&amp;" "&amp;LEFT(TRIM('Roster'!C421),1)&amp;".","")</f>
        <v/>
      </c>
      <c r="AM421">
        <f>IF(AE421=1,TRIM('Roster'!C421)&amp;", "&amp;TRIM('Roster'!B421)&amp;" ("&amp;B421&amp;") #"&amp;AD421,"")</f>
        <v/>
      </c>
      <c r="AN421">
        <f>IF(AE421=1,TRIM('Roster'!E421),"")</f>
        <v/>
      </c>
      <c r="AO421">
        <f>IF(AE421=1,ROUND(SUMIFS('All Donations'!$S$2:$S$4001,'All Donations'!$R$2:$R$4001,AD421,'All Donations'!$T$2:$T$4001,"&gt;="&amp;'Settings'!$C$23,'All Donations'!$T$2:$T$4001,"&lt;="&amp;'Settings'!$D$23),2),0)</f>
        <v/>
      </c>
      <c r="AQ421">
        <f>IF(AE421=1,ROUND(SUMIFS('All Donations'!$S$2:$S$4001,'All Donations'!$R$2:$R$4001,AD421,'All Donations'!$T$2:$T$4001,"&gt;="&amp;'Settings'!$C$25,'All Donations'!$T$2:$T$4001,"&lt;="&amp;'Settings'!$D$25),2),0)</f>
        <v/>
      </c>
      <c r="AR421">
        <f>IF(AE421=1,ROUND(SUMIFS('All Donations'!$S$2:$S$4001,'All Donations'!$R$2:$R$4001,AD421,'All Donations'!$T$2:$T$4001,"&gt;="&amp;'Settings'!$C$26,'All Donations'!$T$2:$T$4001,"&lt;="&amp;'Settings'!$D$26),2),0)</f>
        <v/>
      </c>
      <c r="AS421">
        <f>IF(AE421=1,ROUND(SUMIFS('All Donations'!$S$2:$S$4001,'All Donations'!$R$2:$R$4001,AD421,'All Donations'!$T$2:$T$4001,"&lt;="&amp;'Settings'!$D$27),2),0)</f>
        <v/>
      </c>
      <c r="AT421">
        <f>IF(AE421=1,ROUND(SUMIFS('All Donations'!$S$2:$S$4001,'All Donations'!$R$2:$R$4001,AD421,'All Donations'!$T$2:$T$4001,"&gt;="&amp;'Settings'!$C$28,'All Donations'!$T$2:$T$4001,"&lt;="&amp;'Settings'!$D$28),2),0)</f>
        <v/>
      </c>
      <c r="AU421">
        <f>IF(AE421=1,ROUND(SUMIFS('All Donations'!$S$2:$S$4001,'All Donations'!$R$2:$R$4001,AD421,'All Donations'!$T$2:$T$4001,"&gt;="&amp;'Settings'!$C$29,'All Donations'!$T$2:$T$4001,"&lt;="&amp;'Settings'!$D$29),2),0)</f>
        <v/>
      </c>
      <c r="AV421">
        <f>IF(AE421=1,ROUND(SUMIFS('All Donations'!$S$2:$S$4001,'All Donations'!$R$2:$R$4001,AD421,'All Donations'!$T$2:$T$4001,"&lt;="&amp;'Settings'!$D$30),2),0)</f>
        <v/>
      </c>
      <c r="AZ421">
        <f>IF(AE421=1,ROUND(SUMIFS('All Donations'!$S$2:$S$4001,'All Donations'!$R$2:$R$4001,AD421,'All Donations'!$T$2:$T$4001,"&lt;="&amp;'Settings'!$D$34),2),0)</f>
        <v/>
      </c>
    </row>
    <row r="422">
      <c r="A422">
        <f>IF(AE422=1,TRIM(TRIM('Roster'!B422)&amp;" "&amp;TRIM('Roster'!C422)),"")</f>
        <v/>
      </c>
      <c r="B422">
        <f>IF(AE422=1,IF(AN422="","(no teacher)",AN422&amp;" – "&amp;C422),"")</f>
        <v/>
      </c>
      <c r="C422">
        <f>IF(AE422=1,TRIM('Roster'!D422&amp;""),"")</f>
        <v/>
      </c>
      <c r="D422" s="48">
        <f>IF(AE422=1,ROUND(SUMIFS('All Donations'!$S$2:$S$4001,'All Donations'!$R$2:$R$4001,AD422),2),"")</f>
        <v/>
      </c>
      <c r="E422" s="48">
        <f>IF(AE422=1,ROUND(SUMIFS('All Donations'!$S$2:$S$4001,'All Donations'!$R$2:$R$4001,AD422,'All Donations'!$G$2:$G$4001,"OneCause"),2),"")</f>
        <v/>
      </c>
      <c r="F422" s="48">
        <f>IF(AE422=1,D422-E422,"")</f>
        <v/>
      </c>
      <c r="G422">
        <f>IF(AE422=1,COUNTIFS('All Donations'!$R$2:$R$4001,AD422,'All Donations'!$H$2:$H$4001,"OK"),"")</f>
        <v/>
      </c>
      <c r="H422">
        <f>IF(AE422&lt;&gt;1,"",IF(D422&gt;0,"Yes",""))</f>
        <v/>
      </c>
      <c r="I422" s="49">
        <f>IF(OR($AE422&lt;&gt;1,I$1=""),"",SUMIFS('All Donations'!$S$2:$S$4001,'All Donations'!$R$2:$R$4001,$AD422,'All Donations'!$T$2:$T$4001,I$1))</f>
        <v/>
      </c>
      <c r="J422" s="49">
        <f>IF(OR($AE422&lt;&gt;1,J$1=""),"",SUMIFS('All Donations'!$S$2:$S$4001,'All Donations'!$R$2:$R$4001,$AD422,'All Donations'!$T$2:$T$4001,J$1))</f>
        <v/>
      </c>
      <c r="K422" s="49">
        <f>IF(OR($AE422&lt;&gt;1,K$1=""),"",SUMIFS('All Donations'!$S$2:$S$4001,'All Donations'!$R$2:$R$4001,$AD422,'All Donations'!$T$2:$T$4001,K$1))</f>
        <v/>
      </c>
      <c r="L422" s="49">
        <f>IF(OR($AE422&lt;&gt;1,L$1=""),"",SUMIFS('All Donations'!$S$2:$S$4001,'All Donations'!$R$2:$R$4001,$AD422,'All Donations'!$T$2:$T$4001,L$1))</f>
        <v/>
      </c>
      <c r="M422" s="49">
        <f>IF(OR($AE422&lt;&gt;1,M$1=""),"",SUMIFS('All Donations'!$S$2:$S$4001,'All Donations'!$R$2:$R$4001,$AD422,'All Donations'!$T$2:$T$4001,M$1))</f>
        <v/>
      </c>
      <c r="N422" s="49">
        <f>IF(OR($AE422&lt;&gt;1,N$1=""),"",SUMIFS('All Donations'!$S$2:$S$4001,'All Donations'!$R$2:$R$4001,$AD422,'All Donations'!$T$2:$T$4001,N$1))</f>
        <v/>
      </c>
      <c r="O422" s="49">
        <f>IF(OR($AE422&lt;&gt;1,O$1=""),"",SUMIFS('All Donations'!$S$2:$S$4001,'All Donations'!$R$2:$R$4001,$AD422,'All Donations'!$T$2:$T$4001,O$1))</f>
        <v/>
      </c>
      <c r="P422" s="49">
        <f>IF(OR($AE422&lt;&gt;1,P$1=""),"",SUMIFS('All Donations'!$S$2:$S$4001,'All Donations'!$R$2:$R$4001,$AD422,'All Donations'!$T$2:$T$4001,P$1))</f>
        <v/>
      </c>
      <c r="Q422" s="49">
        <f>IF(OR($AE422&lt;&gt;1,Q$1=""),"",SUMIFS('All Donations'!$S$2:$S$4001,'All Donations'!$R$2:$R$4001,$AD422,'All Donations'!$T$2:$T$4001,Q$1))</f>
        <v/>
      </c>
      <c r="R422" s="49">
        <f>IF(OR($AE422&lt;&gt;1,R$1=""),"",SUMIFS('All Donations'!$S$2:$S$4001,'All Donations'!$R$2:$R$4001,$AD422,'All Donations'!$T$2:$T$4001,R$1))</f>
        <v/>
      </c>
      <c r="S422" s="49">
        <f>IF(OR($AE422&lt;&gt;1,S$1=""),"",SUMIFS('All Donations'!$S$2:$S$4001,'All Donations'!$R$2:$R$4001,$AD422,'All Donations'!$T$2:$T$4001,S$1))</f>
        <v/>
      </c>
      <c r="T422" s="49">
        <f>IF(OR($AE422&lt;&gt;1,T$1=""),"",SUMIFS('All Donations'!$S$2:$S$4001,'All Donations'!$R$2:$R$4001,$AD422,'All Donations'!$T$2:$T$4001,T$1))</f>
        <v/>
      </c>
      <c r="U422" s="49">
        <f>IF(OR($AE422&lt;&gt;1,U$1=""),"",SUMIFS('All Donations'!$S$2:$S$4001,'All Donations'!$R$2:$R$4001,$AD422,'All Donations'!$T$2:$T$4001,U$1))</f>
        <v/>
      </c>
      <c r="V422" s="49">
        <f>IF(OR($AE422&lt;&gt;1,V$1=""),"",SUMIFS('All Donations'!$S$2:$S$4001,'All Donations'!$R$2:$R$4001,$AD422,'All Donations'!$T$2:$T$4001,V$1))</f>
        <v/>
      </c>
      <c r="W422" s="49">
        <f>IF(OR($AE422&lt;&gt;1,W$1=""),"",SUMIFS('All Donations'!$S$2:$S$4001,'All Donations'!$R$2:$R$4001,$AD422,'All Donations'!$T$2:$T$4001,W$1))</f>
        <v/>
      </c>
      <c r="X422" s="49">
        <f>IF(OR($AE422&lt;&gt;1,X$1=""),"",SUMIFS('All Donations'!$S$2:$S$4001,'All Donations'!$R$2:$R$4001,$AD422,'All Donations'!$T$2:$T$4001,X$1))</f>
        <v/>
      </c>
      <c r="Y422" s="49">
        <f>IF(OR($AE422&lt;&gt;1,Y$1=""),"",SUMIFS('All Donations'!$S$2:$S$4001,'All Donations'!$R$2:$R$4001,$AD422,'All Donations'!$T$2:$T$4001,Y$1))</f>
        <v/>
      </c>
      <c r="Z422" s="49">
        <f>IF(OR($AE422&lt;&gt;1,Z$1=""),"",SUMIFS('All Donations'!$S$2:$S$4001,'All Donations'!$R$2:$R$4001,$AD422,'All Donations'!$T$2:$T$4001,Z$1))</f>
        <v/>
      </c>
      <c r="AA422" s="49">
        <f>IF(OR($AE422&lt;&gt;1,AA$1=""),"",SUMIFS('All Donations'!$S$2:$S$4001,'All Donations'!$R$2:$R$4001,$AD422,'All Donations'!$T$2:$T$4001,AA$1))</f>
        <v/>
      </c>
      <c r="AB422" s="49">
        <f>IF(OR($AE422&lt;&gt;1,AB$1=""),"",SUMIFS('All Donations'!$S$2:$S$4001,'All Donations'!$R$2:$R$4001,$AD422,'All Donations'!$T$2:$T$4001,AB$1))</f>
        <v/>
      </c>
      <c r="AC422" s="49">
        <f>IF(OR($AE422&lt;&gt;1,AC$1=""),"",SUMIFS('All Donations'!$S$2:$S$4001,'All Donations'!$R$2:$R$4001,$AD422,'All Donations'!$T$2:$T$4001,AC$1))</f>
        <v/>
      </c>
      <c r="AD422">
        <f>IF(AE422=1,'Roster'!A422,"")</f>
        <v/>
      </c>
      <c r="AE422">
        <f>IF(TRIM('Roster'!B422&amp;'Roster'!C422)&lt;&gt;"",1,0)</f>
        <v/>
      </c>
      <c r="AF422">
        <f>IF(AE422=1,LOWER(A422),"#")</f>
        <v/>
      </c>
      <c r="AG422">
        <f>IF(AE422=1,LOWER(TRIM(TRIM('Roster'!C422)&amp;", "&amp;TRIM('Roster'!B422))),"#")</f>
        <v/>
      </c>
      <c r="AH422">
        <f>IF(AND(AE422=1,TRIM('Roster'!F422)&lt;&gt;""),LOWER(TRIM('Roster'!F422)),"#")</f>
        <v/>
      </c>
      <c r="AI422">
        <f>IF(AE422=1,IF(MATCH(B422,$B$2:$B$701,0)=ROW()-1,1,0),0)</f>
        <v/>
      </c>
      <c r="AJ422">
        <f>AJ421+AI422</f>
        <v/>
      </c>
      <c r="AK422">
        <f>IF(AE422=1,D422+(1000-ROW())/10^7,-1)</f>
        <v/>
      </c>
      <c r="AL422">
        <f>IF(AE422=1,TRIM('Roster'!B422)&amp;" "&amp;LEFT(TRIM('Roster'!C422),1)&amp;".","")</f>
        <v/>
      </c>
      <c r="AM422">
        <f>IF(AE422=1,TRIM('Roster'!C422)&amp;", "&amp;TRIM('Roster'!B422)&amp;" ("&amp;B422&amp;") #"&amp;AD422,"")</f>
        <v/>
      </c>
      <c r="AN422">
        <f>IF(AE422=1,TRIM('Roster'!E422),"")</f>
        <v/>
      </c>
      <c r="AO422">
        <f>IF(AE422=1,ROUND(SUMIFS('All Donations'!$S$2:$S$4001,'All Donations'!$R$2:$R$4001,AD422,'All Donations'!$T$2:$T$4001,"&gt;="&amp;'Settings'!$C$23,'All Donations'!$T$2:$T$4001,"&lt;="&amp;'Settings'!$D$23),2),0)</f>
        <v/>
      </c>
      <c r="AQ422">
        <f>IF(AE422=1,ROUND(SUMIFS('All Donations'!$S$2:$S$4001,'All Donations'!$R$2:$R$4001,AD422,'All Donations'!$T$2:$T$4001,"&gt;="&amp;'Settings'!$C$25,'All Donations'!$T$2:$T$4001,"&lt;="&amp;'Settings'!$D$25),2),0)</f>
        <v/>
      </c>
      <c r="AR422">
        <f>IF(AE422=1,ROUND(SUMIFS('All Donations'!$S$2:$S$4001,'All Donations'!$R$2:$R$4001,AD422,'All Donations'!$T$2:$T$4001,"&gt;="&amp;'Settings'!$C$26,'All Donations'!$T$2:$T$4001,"&lt;="&amp;'Settings'!$D$26),2),0)</f>
        <v/>
      </c>
      <c r="AS422">
        <f>IF(AE422=1,ROUND(SUMIFS('All Donations'!$S$2:$S$4001,'All Donations'!$R$2:$R$4001,AD422,'All Donations'!$T$2:$T$4001,"&lt;="&amp;'Settings'!$D$27),2),0)</f>
        <v/>
      </c>
      <c r="AT422">
        <f>IF(AE422=1,ROUND(SUMIFS('All Donations'!$S$2:$S$4001,'All Donations'!$R$2:$R$4001,AD422,'All Donations'!$T$2:$T$4001,"&gt;="&amp;'Settings'!$C$28,'All Donations'!$T$2:$T$4001,"&lt;="&amp;'Settings'!$D$28),2),0)</f>
        <v/>
      </c>
      <c r="AU422">
        <f>IF(AE422=1,ROUND(SUMIFS('All Donations'!$S$2:$S$4001,'All Donations'!$R$2:$R$4001,AD422,'All Donations'!$T$2:$T$4001,"&gt;="&amp;'Settings'!$C$29,'All Donations'!$T$2:$T$4001,"&lt;="&amp;'Settings'!$D$29),2),0)</f>
        <v/>
      </c>
      <c r="AV422">
        <f>IF(AE422=1,ROUND(SUMIFS('All Donations'!$S$2:$S$4001,'All Donations'!$R$2:$R$4001,AD422,'All Donations'!$T$2:$T$4001,"&lt;="&amp;'Settings'!$D$30),2),0)</f>
        <v/>
      </c>
      <c r="AZ422">
        <f>IF(AE422=1,ROUND(SUMIFS('All Donations'!$S$2:$S$4001,'All Donations'!$R$2:$R$4001,AD422,'All Donations'!$T$2:$T$4001,"&lt;="&amp;'Settings'!$D$34),2),0)</f>
        <v/>
      </c>
    </row>
    <row r="423">
      <c r="A423">
        <f>IF(AE423=1,TRIM(TRIM('Roster'!B423)&amp;" "&amp;TRIM('Roster'!C423)),"")</f>
        <v/>
      </c>
      <c r="B423">
        <f>IF(AE423=1,IF(AN423="","(no teacher)",AN423&amp;" – "&amp;C423),"")</f>
        <v/>
      </c>
      <c r="C423">
        <f>IF(AE423=1,TRIM('Roster'!D423&amp;""),"")</f>
        <v/>
      </c>
      <c r="D423" s="48">
        <f>IF(AE423=1,ROUND(SUMIFS('All Donations'!$S$2:$S$4001,'All Donations'!$R$2:$R$4001,AD423),2),"")</f>
        <v/>
      </c>
      <c r="E423" s="48">
        <f>IF(AE423=1,ROUND(SUMIFS('All Donations'!$S$2:$S$4001,'All Donations'!$R$2:$R$4001,AD423,'All Donations'!$G$2:$G$4001,"OneCause"),2),"")</f>
        <v/>
      </c>
      <c r="F423" s="48">
        <f>IF(AE423=1,D423-E423,"")</f>
        <v/>
      </c>
      <c r="G423">
        <f>IF(AE423=1,COUNTIFS('All Donations'!$R$2:$R$4001,AD423,'All Donations'!$H$2:$H$4001,"OK"),"")</f>
        <v/>
      </c>
      <c r="H423">
        <f>IF(AE423&lt;&gt;1,"",IF(D423&gt;0,"Yes",""))</f>
        <v/>
      </c>
      <c r="I423" s="49">
        <f>IF(OR($AE423&lt;&gt;1,I$1=""),"",SUMIFS('All Donations'!$S$2:$S$4001,'All Donations'!$R$2:$R$4001,$AD423,'All Donations'!$T$2:$T$4001,I$1))</f>
        <v/>
      </c>
      <c r="J423" s="49">
        <f>IF(OR($AE423&lt;&gt;1,J$1=""),"",SUMIFS('All Donations'!$S$2:$S$4001,'All Donations'!$R$2:$R$4001,$AD423,'All Donations'!$T$2:$T$4001,J$1))</f>
        <v/>
      </c>
      <c r="K423" s="49">
        <f>IF(OR($AE423&lt;&gt;1,K$1=""),"",SUMIFS('All Donations'!$S$2:$S$4001,'All Donations'!$R$2:$R$4001,$AD423,'All Donations'!$T$2:$T$4001,K$1))</f>
        <v/>
      </c>
      <c r="L423" s="49">
        <f>IF(OR($AE423&lt;&gt;1,L$1=""),"",SUMIFS('All Donations'!$S$2:$S$4001,'All Donations'!$R$2:$R$4001,$AD423,'All Donations'!$T$2:$T$4001,L$1))</f>
        <v/>
      </c>
      <c r="M423" s="49">
        <f>IF(OR($AE423&lt;&gt;1,M$1=""),"",SUMIFS('All Donations'!$S$2:$S$4001,'All Donations'!$R$2:$R$4001,$AD423,'All Donations'!$T$2:$T$4001,M$1))</f>
        <v/>
      </c>
      <c r="N423" s="49">
        <f>IF(OR($AE423&lt;&gt;1,N$1=""),"",SUMIFS('All Donations'!$S$2:$S$4001,'All Donations'!$R$2:$R$4001,$AD423,'All Donations'!$T$2:$T$4001,N$1))</f>
        <v/>
      </c>
      <c r="O423" s="49">
        <f>IF(OR($AE423&lt;&gt;1,O$1=""),"",SUMIFS('All Donations'!$S$2:$S$4001,'All Donations'!$R$2:$R$4001,$AD423,'All Donations'!$T$2:$T$4001,O$1))</f>
        <v/>
      </c>
      <c r="P423" s="49">
        <f>IF(OR($AE423&lt;&gt;1,P$1=""),"",SUMIFS('All Donations'!$S$2:$S$4001,'All Donations'!$R$2:$R$4001,$AD423,'All Donations'!$T$2:$T$4001,P$1))</f>
        <v/>
      </c>
      <c r="Q423" s="49">
        <f>IF(OR($AE423&lt;&gt;1,Q$1=""),"",SUMIFS('All Donations'!$S$2:$S$4001,'All Donations'!$R$2:$R$4001,$AD423,'All Donations'!$T$2:$T$4001,Q$1))</f>
        <v/>
      </c>
      <c r="R423" s="49">
        <f>IF(OR($AE423&lt;&gt;1,R$1=""),"",SUMIFS('All Donations'!$S$2:$S$4001,'All Donations'!$R$2:$R$4001,$AD423,'All Donations'!$T$2:$T$4001,R$1))</f>
        <v/>
      </c>
      <c r="S423" s="49">
        <f>IF(OR($AE423&lt;&gt;1,S$1=""),"",SUMIFS('All Donations'!$S$2:$S$4001,'All Donations'!$R$2:$R$4001,$AD423,'All Donations'!$T$2:$T$4001,S$1))</f>
        <v/>
      </c>
      <c r="T423" s="49">
        <f>IF(OR($AE423&lt;&gt;1,T$1=""),"",SUMIFS('All Donations'!$S$2:$S$4001,'All Donations'!$R$2:$R$4001,$AD423,'All Donations'!$T$2:$T$4001,T$1))</f>
        <v/>
      </c>
      <c r="U423" s="49">
        <f>IF(OR($AE423&lt;&gt;1,U$1=""),"",SUMIFS('All Donations'!$S$2:$S$4001,'All Donations'!$R$2:$R$4001,$AD423,'All Donations'!$T$2:$T$4001,U$1))</f>
        <v/>
      </c>
      <c r="V423" s="49">
        <f>IF(OR($AE423&lt;&gt;1,V$1=""),"",SUMIFS('All Donations'!$S$2:$S$4001,'All Donations'!$R$2:$R$4001,$AD423,'All Donations'!$T$2:$T$4001,V$1))</f>
        <v/>
      </c>
      <c r="W423" s="49">
        <f>IF(OR($AE423&lt;&gt;1,W$1=""),"",SUMIFS('All Donations'!$S$2:$S$4001,'All Donations'!$R$2:$R$4001,$AD423,'All Donations'!$T$2:$T$4001,W$1))</f>
        <v/>
      </c>
      <c r="X423" s="49">
        <f>IF(OR($AE423&lt;&gt;1,X$1=""),"",SUMIFS('All Donations'!$S$2:$S$4001,'All Donations'!$R$2:$R$4001,$AD423,'All Donations'!$T$2:$T$4001,X$1))</f>
        <v/>
      </c>
      <c r="Y423" s="49">
        <f>IF(OR($AE423&lt;&gt;1,Y$1=""),"",SUMIFS('All Donations'!$S$2:$S$4001,'All Donations'!$R$2:$R$4001,$AD423,'All Donations'!$T$2:$T$4001,Y$1))</f>
        <v/>
      </c>
      <c r="Z423" s="49">
        <f>IF(OR($AE423&lt;&gt;1,Z$1=""),"",SUMIFS('All Donations'!$S$2:$S$4001,'All Donations'!$R$2:$R$4001,$AD423,'All Donations'!$T$2:$T$4001,Z$1))</f>
        <v/>
      </c>
      <c r="AA423" s="49">
        <f>IF(OR($AE423&lt;&gt;1,AA$1=""),"",SUMIFS('All Donations'!$S$2:$S$4001,'All Donations'!$R$2:$R$4001,$AD423,'All Donations'!$T$2:$T$4001,AA$1))</f>
        <v/>
      </c>
      <c r="AB423" s="49">
        <f>IF(OR($AE423&lt;&gt;1,AB$1=""),"",SUMIFS('All Donations'!$S$2:$S$4001,'All Donations'!$R$2:$R$4001,$AD423,'All Donations'!$T$2:$T$4001,AB$1))</f>
        <v/>
      </c>
      <c r="AC423" s="49">
        <f>IF(OR($AE423&lt;&gt;1,AC$1=""),"",SUMIFS('All Donations'!$S$2:$S$4001,'All Donations'!$R$2:$R$4001,$AD423,'All Donations'!$T$2:$T$4001,AC$1))</f>
        <v/>
      </c>
      <c r="AD423">
        <f>IF(AE423=1,'Roster'!A423,"")</f>
        <v/>
      </c>
      <c r="AE423">
        <f>IF(TRIM('Roster'!B423&amp;'Roster'!C423)&lt;&gt;"",1,0)</f>
        <v/>
      </c>
      <c r="AF423">
        <f>IF(AE423=1,LOWER(A423),"#")</f>
        <v/>
      </c>
      <c r="AG423">
        <f>IF(AE423=1,LOWER(TRIM(TRIM('Roster'!C423)&amp;", "&amp;TRIM('Roster'!B423))),"#")</f>
        <v/>
      </c>
      <c r="AH423">
        <f>IF(AND(AE423=1,TRIM('Roster'!F423)&lt;&gt;""),LOWER(TRIM('Roster'!F423)),"#")</f>
        <v/>
      </c>
      <c r="AI423">
        <f>IF(AE423=1,IF(MATCH(B423,$B$2:$B$701,0)=ROW()-1,1,0),0)</f>
        <v/>
      </c>
      <c r="AJ423">
        <f>AJ422+AI423</f>
        <v/>
      </c>
      <c r="AK423">
        <f>IF(AE423=1,D423+(1000-ROW())/10^7,-1)</f>
        <v/>
      </c>
      <c r="AL423">
        <f>IF(AE423=1,TRIM('Roster'!B423)&amp;" "&amp;LEFT(TRIM('Roster'!C423),1)&amp;".","")</f>
        <v/>
      </c>
      <c r="AM423">
        <f>IF(AE423=1,TRIM('Roster'!C423)&amp;", "&amp;TRIM('Roster'!B423)&amp;" ("&amp;B423&amp;") #"&amp;AD423,"")</f>
        <v/>
      </c>
      <c r="AN423">
        <f>IF(AE423=1,TRIM('Roster'!E423),"")</f>
        <v/>
      </c>
      <c r="AO423">
        <f>IF(AE423=1,ROUND(SUMIFS('All Donations'!$S$2:$S$4001,'All Donations'!$R$2:$R$4001,AD423,'All Donations'!$T$2:$T$4001,"&gt;="&amp;'Settings'!$C$23,'All Donations'!$T$2:$T$4001,"&lt;="&amp;'Settings'!$D$23),2),0)</f>
        <v/>
      </c>
      <c r="AQ423">
        <f>IF(AE423=1,ROUND(SUMIFS('All Donations'!$S$2:$S$4001,'All Donations'!$R$2:$R$4001,AD423,'All Donations'!$T$2:$T$4001,"&gt;="&amp;'Settings'!$C$25,'All Donations'!$T$2:$T$4001,"&lt;="&amp;'Settings'!$D$25),2),0)</f>
        <v/>
      </c>
      <c r="AR423">
        <f>IF(AE423=1,ROUND(SUMIFS('All Donations'!$S$2:$S$4001,'All Donations'!$R$2:$R$4001,AD423,'All Donations'!$T$2:$T$4001,"&gt;="&amp;'Settings'!$C$26,'All Donations'!$T$2:$T$4001,"&lt;="&amp;'Settings'!$D$26),2),0)</f>
        <v/>
      </c>
      <c r="AS423">
        <f>IF(AE423=1,ROUND(SUMIFS('All Donations'!$S$2:$S$4001,'All Donations'!$R$2:$R$4001,AD423,'All Donations'!$T$2:$T$4001,"&lt;="&amp;'Settings'!$D$27),2),0)</f>
        <v/>
      </c>
      <c r="AT423">
        <f>IF(AE423=1,ROUND(SUMIFS('All Donations'!$S$2:$S$4001,'All Donations'!$R$2:$R$4001,AD423,'All Donations'!$T$2:$T$4001,"&gt;="&amp;'Settings'!$C$28,'All Donations'!$T$2:$T$4001,"&lt;="&amp;'Settings'!$D$28),2),0)</f>
        <v/>
      </c>
      <c r="AU423">
        <f>IF(AE423=1,ROUND(SUMIFS('All Donations'!$S$2:$S$4001,'All Donations'!$R$2:$R$4001,AD423,'All Donations'!$T$2:$T$4001,"&gt;="&amp;'Settings'!$C$29,'All Donations'!$T$2:$T$4001,"&lt;="&amp;'Settings'!$D$29),2),0)</f>
        <v/>
      </c>
      <c r="AV423">
        <f>IF(AE423=1,ROUND(SUMIFS('All Donations'!$S$2:$S$4001,'All Donations'!$R$2:$R$4001,AD423,'All Donations'!$T$2:$T$4001,"&lt;="&amp;'Settings'!$D$30),2),0)</f>
        <v/>
      </c>
      <c r="AZ423">
        <f>IF(AE423=1,ROUND(SUMIFS('All Donations'!$S$2:$S$4001,'All Donations'!$R$2:$R$4001,AD423,'All Donations'!$T$2:$T$4001,"&lt;="&amp;'Settings'!$D$34),2),0)</f>
        <v/>
      </c>
    </row>
    <row r="424">
      <c r="A424">
        <f>IF(AE424=1,TRIM(TRIM('Roster'!B424)&amp;" "&amp;TRIM('Roster'!C424)),"")</f>
        <v/>
      </c>
      <c r="B424">
        <f>IF(AE424=1,IF(AN424="","(no teacher)",AN424&amp;" – "&amp;C424),"")</f>
        <v/>
      </c>
      <c r="C424">
        <f>IF(AE424=1,TRIM('Roster'!D424&amp;""),"")</f>
        <v/>
      </c>
      <c r="D424" s="48">
        <f>IF(AE424=1,ROUND(SUMIFS('All Donations'!$S$2:$S$4001,'All Donations'!$R$2:$R$4001,AD424),2),"")</f>
        <v/>
      </c>
      <c r="E424" s="48">
        <f>IF(AE424=1,ROUND(SUMIFS('All Donations'!$S$2:$S$4001,'All Donations'!$R$2:$R$4001,AD424,'All Donations'!$G$2:$G$4001,"OneCause"),2),"")</f>
        <v/>
      </c>
      <c r="F424" s="48">
        <f>IF(AE424=1,D424-E424,"")</f>
        <v/>
      </c>
      <c r="G424">
        <f>IF(AE424=1,COUNTIFS('All Donations'!$R$2:$R$4001,AD424,'All Donations'!$H$2:$H$4001,"OK"),"")</f>
        <v/>
      </c>
      <c r="H424">
        <f>IF(AE424&lt;&gt;1,"",IF(D424&gt;0,"Yes",""))</f>
        <v/>
      </c>
      <c r="I424" s="49">
        <f>IF(OR($AE424&lt;&gt;1,I$1=""),"",SUMIFS('All Donations'!$S$2:$S$4001,'All Donations'!$R$2:$R$4001,$AD424,'All Donations'!$T$2:$T$4001,I$1))</f>
        <v/>
      </c>
      <c r="J424" s="49">
        <f>IF(OR($AE424&lt;&gt;1,J$1=""),"",SUMIFS('All Donations'!$S$2:$S$4001,'All Donations'!$R$2:$R$4001,$AD424,'All Donations'!$T$2:$T$4001,J$1))</f>
        <v/>
      </c>
      <c r="K424" s="49">
        <f>IF(OR($AE424&lt;&gt;1,K$1=""),"",SUMIFS('All Donations'!$S$2:$S$4001,'All Donations'!$R$2:$R$4001,$AD424,'All Donations'!$T$2:$T$4001,K$1))</f>
        <v/>
      </c>
      <c r="L424" s="49">
        <f>IF(OR($AE424&lt;&gt;1,L$1=""),"",SUMIFS('All Donations'!$S$2:$S$4001,'All Donations'!$R$2:$R$4001,$AD424,'All Donations'!$T$2:$T$4001,L$1))</f>
        <v/>
      </c>
      <c r="M424" s="49">
        <f>IF(OR($AE424&lt;&gt;1,M$1=""),"",SUMIFS('All Donations'!$S$2:$S$4001,'All Donations'!$R$2:$R$4001,$AD424,'All Donations'!$T$2:$T$4001,M$1))</f>
        <v/>
      </c>
      <c r="N424" s="49">
        <f>IF(OR($AE424&lt;&gt;1,N$1=""),"",SUMIFS('All Donations'!$S$2:$S$4001,'All Donations'!$R$2:$R$4001,$AD424,'All Donations'!$T$2:$T$4001,N$1))</f>
        <v/>
      </c>
      <c r="O424" s="49">
        <f>IF(OR($AE424&lt;&gt;1,O$1=""),"",SUMIFS('All Donations'!$S$2:$S$4001,'All Donations'!$R$2:$R$4001,$AD424,'All Donations'!$T$2:$T$4001,O$1))</f>
        <v/>
      </c>
      <c r="P424" s="49">
        <f>IF(OR($AE424&lt;&gt;1,P$1=""),"",SUMIFS('All Donations'!$S$2:$S$4001,'All Donations'!$R$2:$R$4001,$AD424,'All Donations'!$T$2:$T$4001,P$1))</f>
        <v/>
      </c>
      <c r="Q424" s="49">
        <f>IF(OR($AE424&lt;&gt;1,Q$1=""),"",SUMIFS('All Donations'!$S$2:$S$4001,'All Donations'!$R$2:$R$4001,$AD424,'All Donations'!$T$2:$T$4001,Q$1))</f>
        <v/>
      </c>
      <c r="R424" s="49">
        <f>IF(OR($AE424&lt;&gt;1,R$1=""),"",SUMIFS('All Donations'!$S$2:$S$4001,'All Donations'!$R$2:$R$4001,$AD424,'All Donations'!$T$2:$T$4001,R$1))</f>
        <v/>
      </c>
      <c r="S424" s="49">
        <f>IF(OR($AE424&lt;&gt;1,S$1=""),"",SUMIFS('All Donations'!$S$2:$S$4001,'All Donations'!$R$2:$R$4001,$AD424,'All Donations'!$T$2:$T$4001,S$1))</f>
        <v/>
      </c>
      <c r="T424" s="49">
        <f>IF(OR($AE424&lt;&gt;1,T$1=""),"",SUMIFS('All Donations'!$S$2:$S$4001,'All Donations'!$R$2:$R$4001,$AD424,'All Donations'!$T$2:$T$4001,T$1))</f>
        <v/>
      </c>
      <c r="U424" s="49">
        <f>IF(OR($AE424&lt;&gt;1,U$1=""),"",SUMIFS('All Donations'!$S$2:$S$4001,'All Donations'!$R$2:$R$4001,$AD424,'All Donations'!$T$2:$T$4001,U$1))</f>
        <v/>
      </c>
      <c r="V424" s="49">
        <f>IF(OR($AE424&lt;&gt;1,V$1=""),"",SUMIFS('All Donations'!$S$2:$S$4001,'All Donations'!$R$2:$R$4001,$AD424,'All Donations'!$T$2:$T$4001,V$1))</f>
        <v/>
      </c>
      <c r="W424" s="49">
        <f>IF(OR($AE424&lt;&gt;1,W$1=""),"",SUMIFS('All Donations'!$S$2:$S$4001,'All Donations'!$R$2:$R$4001,$AD424,'All Donations'!$T$2:$T$4001,W$1))</f>
        <v/>
      </c>
      <c r="X424" s="49">
        <f>IF(OR($AE424&lt;&gt;1,X$1=""),"",SUMIFS('All Donations'!$S$2:$S$4001,'All Donations'!$R$2:$R$4001,$AD424,'All Donations'!$T$2:$T$4001,X$1))</f>
        <v/>
      </c>
      <c r="Y424" s="49">
        <f>IF(OR($AE424&lt;&gt;1,Y$1=""),"",SUMIFS('All Donations'!$S$2:$S$4001,'All Donations'!$R$2:$R$4001,$AD424,'All Donations'!$T$2:$T$4001,Y$1))</f>
        <v/>
      </c>
      <c r="Z424" s="49">
        <f>IF(OR($AE424&lt;&gt;1,Z$1=""),"",SUMIFS('All Donations'!$S$2:$S$4001,'All Donations'!$R$2:$R$4001,$AD424,'All Donations'!$T$2:$T$4001,Z$1))</f>
        <v/>
      </c>
      <c r="AA424" s="49">
        <f>IF(OR($AE424&lt;&gt;1,AA$1=""),"",SUMIFS('All Donations'!$S$2:$S$4001,'All Donations'!$R$2:$R$4001,$AD424,'All Donations'!$T$2:$T$4001,AA$1))</f>
        <v/>
      </c>
      <c r="AB424" s="49">
        <f>IF(OR($AE424&lt;&gt;1,AB$1=""),"",SUMIFS('All Donations'!$S$2:$S$4001,'All Donations'!$R$2:$R$4001,$AD424,'All Donations'!$T$2:$T$4001,AB$1))</f>
        <v/>
      </c>
      <c r="AC424" s="49">
        <f>IF(OR($AE424&lt;&gt;1,AC$1=""),"",SUMIFS('All Donations'!$S$2:$S$4001,'All Donations'!$R$2:$R$4001,$AD424,'All Donations'!$T$2:$T$4001,AC$1))</f>
        <v/>
      </c>
      <c r="AD424">
        <f>IF(AE424=1,'Roster'!A424,"")</f>
        <v/>
      </c>
      <c r="AE424">
        <f>IF(TRIM('Roster'!B424&amp;'Roster'!C424)&lt;&gt;"",1,0)</f>
        <v/>
      </c>
      <c r="AF424">
        <f>IF(AE424=1,LOWER(A424),"#")</f>
        <v/>
      </c>
      <c r="AG424">
        <f>IF(AE424=1,LOWER(TRIM(TRIM('Roster'!C424)&amp;", "&amp;TRIM('Roster'!B424))),"#")</f>
        <v/>
      </c>
      <c r="AH424">
        <f>IF(AND(AE424=1,TRIM('Roster'!F424)&lt;&gt;""),LOWER(TRIM('Roster'!F424)),"#")</f>
        <v/>
      </c>
      <c r="AI424">
        <f>IF(AE424=1,IF(MATCH(B424,$B$2:$B$701,0)=ROW()-1,1,0),0)</f>
        <v/>
      </c>
      <c r="AJ424">
        <f>AJ423+AI424</f>
        <v/>
      </c>
      <c r="AK424">
        <f>IF(AE424=1,D424+(1000-ROW())/10^7,-1)</f>
        <v/>
      </c>
      <c r="AL424">
        <f>IF(AE424=1,TRIM('Roster'!B424)&amp;" "&amp;LEFT(TRIM('Roster'!C424),1)&amp;".","")</f>
        <v/>
      </c>
      <c r="AM424">
        <f>IF(AE424=1,TRIM('Roster'!C424)&amp;", "&amp;TRIM('Roster'!B424)&amp;" ("&amp;B424&amp;") #"&amp;AD424,"")</f>
        <v/>
      </c>
      <c r="AN424">
        <f>IF(AE424=1,TRIM('Roster'!E424),"")</f>
        <v/>
      </c>
      <c r="AO424">
        <f>IF(AE424=1,ROUND(SUMIFS('All Donations'!$S$2:$S$4001,'All Donations'!$R$2:$R$4001,AD424,'All Donations'!$T$2:$T$4001,"&gt;="&amp;'Settings'!$C$23,'All Donations'!$T$2:$T$4001,"&lt;="&amp;'Settings'!$D$23),2),0)</f>
        <v/>
      </c>
      <c r="AQ424">
        <f>IF(AE424=1,ROUND(SUMIFS('All Donations'!$S$2:$S$4001,'All Donations'!$R$2:$R$4001,AD424,'All Donations'!$T$2:$T$4001,"&gt;="&amp;'Settings'!$C$25,'All Donations'!$T$2:$T$4001,"&lt;="&amp;'Settings'!$D$25),2),0)</f>
        <v/>
      </c>
      <c r="AR424">
        <f>IF(AE424=1,ROUND(SUMIFS('All Donations'!$S$2:$S$4001,'All Donations'!$R$2:$R$4001,AD424,'All Donations'!$T$2:$T$4001,"&gt;="&amp;'Settings'!$C$26,'All Donations'!$T$2:$T$4001,"&lt;="&amp;'Settings'!$D$26),2),0)</f>
        <v/>
      </c>
      <c r="AS424">
        <f>IF(AE424=1,ROUND(SUMIFS('All Donations'!$S$2:$S$4001,'All Donations'!$R$2:$R$4001,AD424,'All Donations'!$T$2:$T$4001,"&lt;="&amp;'Settings'!$D$27),2),0)</f>
        <v/>
      </c>
      <c r="AT424">
        <f>IF(AE424=1,ROUND(SUMIFS('All Donations'!$S$2:$S$4001,'All Donations'!$R$2:$R$4001,AD424,'All Donations'!$T$2:$T$4001,"&gt;="&amp;'Settings'!$C$28,'All Donations'!$T$2:$T$4001,"&lt;="&amp;'Settings'!$D$28),2),0)</f>
        <v/>
      </c>
      <c r="AU424">
        <f>IF(AE424=1,ROUND(SUMIFS('All Donations'!$S$2:$S$4001,'All Donations'!$R$2:$R$4001,AD424,'All Donations'!$T$2:$T$4001,"&gt;="&amp;'Settings'!$C$29,'All Donations'!$T$2:$T$4001,"&lt;="&amp;'Settings'!$D$29),2),0)</f>
        <v/>
      </c>
      <c r="AV424">
        <f>IF(AE424=1,ROUND(SUMIFS('All Donations'!$S$2:$S$4001,'All Donations'!$R$2:$R$4001,AD424,'All Donations'!$T$2:$T$4001,"&lt;="&amp;'Settings'!$D$30),2),0)</f>
        <v/>
      </c>
      <c r="AZ424">
        <f>IF(AE424=1,ROUND(SUMIFS('All Donations'!$S$2:$S$4001,'All Donations'!$R$2:$R$4001,AD424,'All Donations'!$T$2:$T$4001,"&lt;="&amp;'Settings'!$D$34),2),0)</f>
        <v/>
      </c>
    </row>
    <row r="425">
      <c r="A425">
        <f>IF(AE425=1,TRIM(TRIM('Roster'!B425)&amp;" "&amp;TRIM('Roster'!C425)),"")</f>
        <v/>
      </c>
      <c r="B425">
        <f>IF(AE425=1,IF(AN425="","(no teacher)",AN425&amp;" – "&amp;C425),"")</f>
        <v/>
      </c>
      <c r="C425">
        <f>IF(AE425=1,TRIM('Roster'!D425&amp;""),"")</f>
        <v/>
      </c>
      <c r="D425" s="48">
        <f>IF(AE425=1,ROUND(SUMIFS('All Donations'!$S$2:$S$4001,'All Donations'!$R$2:$R$4001,AD425),2),"")</f>
        <v/>
      </c>
      <c r="E425" s="48">
        <f>IF(AE425=1,ROUND(SUMIFS('All Donations'!$S$2:$S$4001,'All Donations'!$R$2:$R$4001,AD425,'All Donations'!$G$2:$G$4001,"OneCause"),2),"")</f>
        <v/>
      </c>
      <c r="F425" s="48">
        <f>IF(AE425=1,D425-E425,"")</f>
        <v/>
      </c>
      <c r="G425">
        <f>IF(AE425=1,COUNTIFS('All Donations'!$R$2:$R$4001,AD425,'All Donations'!$H$2:$H$4001,"OK"),"")</f>
        <v/>
      </c>
      <c r="H425">
        <f>IF(AE425&lt;&gt;1,"",IF(D425&gt;0,"Yes",""))</f>
        <v/>
      </c>
      <c r="I425" s="49">
        <f>IF(OR($AE425&lt;&gt;1,I$1=""),"",SUMIFS('All Donations'!$S$2:$S$4001,'All Donations'!$R$2:$R$4001,$AD425,'All Donations'!$T$2:$T$4001,I$1))</f>
        <v/>
      </c>
      <c r="J425" s="49">
        <f>IF(OR($AE425&lt;&gt;1,J$1=""),"",SUMIFS('All Donations'!$S$2:$S$4001,'All Donations'!$R$2:$R$4001,$AD425,'All Donations'!$T$2:$T$4001,J$1))</f>
        <v/>
      </c>
      <c r="K425" s="49">
        <f>IF(OR($AE425&lt;&gt;1,K$1=""),"",SUMIFS('All Donations'!$S$2:$S$4001,'All Donations'!$R$2:$R$4001,$AD425,'All Donations'!$T$2:$T$4001,K$1))</f>
        <v/>
      </c>
      <c r="L425" s="49">
        <f>IF(OR($AE425&lt;&gt;1,L$1=""),"",SUMIFS('All Donations'!$S$2:$S$4001,'All Donations'!$R$2:$R$4001,$AD425,'All Donations'!$T$2:$T$4001,L$1))</f>
        <v/>
      </c>
      <c r="M425" s="49">
        <f>IF(OR($AE425&lt;&gt;1,M$1=""),"",SUMIFS('All Donations'!$S$2:$S$4001,'All Donations'!$R$2:$R$4001,$AD425,'All Donations'!$T$2:$T$4001,M$1))</f>
        <v/>
      </c>
      <c r="N425" s="49">
        <f>IF(OR($AE425&lt;&gt;1,N$1=""),"",SUMIFS('All Donations'!$S$2:$S$4001,'All Donations'!$R$2:$R$4001,$AD425,'All Donations'!$T$2:$T$4001,N$1))</f>
        <v/>
      </c>
      <c r="O425" s="49">
        <f>IF(OR($AE425&lt;&gt;1,O$1=""),"",SUMIFS('All Donations'!$S$2:$S$4001,'All Donations'!$R$2:$R$4001,$AD425,'All Donations'!$T$2:$T$4001,O$1))</f>
        <v/>
      </c>
      <c r="P425" s="49">
        <f>IF(OR($AE425&lt;&gt;1,P$1=""),"",SUMIFS('All Donations'!$S$2:$S$4001,'All Donations'!$R$2:$R$4001,$AD425,'All Donations'!$T$2:$T$4001,P$1))</f>
        <v/>
      </c>
      <c r="Q425" s="49">
        <f>IF(OR($AE425&lt;&gt;1,Q$1=""),"",SUMIFS('All Donations'!$S$2:$S$4001,'All Donations'!$R$2:$R$4001,$AD425,'All Donations'!$T$2:$T$4001,Q$1))</f>
        <v/>
      </c>
      <c r="R425" s="49">
        <f>IF(OR($AE425&lt;&gt;1,R$1=""),"",SUMIFS('All Donations'!$S$2:$S$4001,'All Donations'!$R$2:$R$4001,$AD425,'All Donations'!$T$2:$T$4001,R$1))</f>
        <v/>
      </c>
      <c r="S425" s="49">
        <f>IF(OR($AE425&lt;&gt;1,S$1=""),"",SUMIFS('All Donations'!$S$2:$S$4001,'All Donations'!$R$2:$R$4001,$AD425,'All Donations'!$T$2:$T$4001,S$1))</f>
        <v/>
      </c>
      <c r="T425" s="49">
        <f>IF(OR($AE425&lt;&gt;1,T$1=""),"",SUMIFS('All Donations'!$S$2:$S$4001,'All Donations'!$R$2:$R$4001,$AD425,'All Donations'!$T$2:$T$4001,T$1))</f>
        <v/>
      </c>
      <c r="U425" s="49">
        <f>IF(OR($AE425&lt;&gt;1,U$1=""),"",SUMIFS('All Donations'!$S$2:$S$4001,'All Donations'!$R$2:$R$4001,$AD425,'All Donations'!$T$2:$T$4001,U$1))</f>
        <v/>
      </c>
      <c r="V425" s="49">
        <f>IF(OR($AE425&lt;&gt;1,V$1=""),"",SUMIFS('All Donations'!$S$2:$S$4001,'All Donations'!$R$2:$R$4001,$AD425,'All Donations'!$T$2:$T$4001,V$1))</f>
        <v/>
      </c>
      <c r="W425" s="49">
        <f>IF(OR($AE425&lt;&gt;1,W$1=""),"",SUMIFS('All Donations'!$S$2:$S$4001,'All Donations'!$R$2:$R$4001,$AD425,'All Donations'!$T$2:$T$4001,W$1))</f>
        <v/>
      </c>
      <c r="X425" s="49">
        <f>IF(OR($AE425&lt;&gt;1,X$1=""),"",SUMIFS('All Donations'!$S$2:$S$4001,'All Donations'!$R$2:$R$4001,$AD425,'All Donations'!$T$2:$T$4001,X$1))</f>
        <v/>
      </c>
      <c r="Y425" s="49">
        <f>IF(OR($AE425&lt;&gt;1,Y$1=""),"",SUMIFS('All Donations'!$S$2:$S$4001,'All Donations'!$R$2:$R$4001,$AD425,'All Donations'!$T$2:$T$4001,Y$1))</f>
        <v/>
      </c>
      <c r="Z425" s="49">
        <f>IF(OR($AE425&lt;&gt;1,Z$1=""),"",SUMIFS('All Donations'!$S$2:$S$4001,'All Donations'!$R$2:$R$4001,$AD425,'All Donations'!$T$2:$T$4001,Z$1))</f>
        <v/>
      </c>
      <c r="AA425" s="49">
        <f>IF(OR($AE425&lt;&gt;1,AA$1=""),"",SUMIFS('All Donations'!$S$2:$S$4001,'All Donations'!$R$2:$R$4001,$AD425,'All Donations'!$T$2:$T$4001,AA$1))</f>
        <v/>
      </c>
      <c r="AB425" s="49">
        <f>IF(OR($AE425&lt;&gt;1,AB$1=""),"",SUMIFS('All Donations'!$S$2:$S$4001,'All Donations'!$R$2:$R$4001,$AD425,'All Donations'!$T$2:$T$4001,AB$1))</f>
        <v/>
      </c>
      <c r="AC425" s="49">
        <f>IF(OR($AE425&lt;&gt;1,AC$1=""),"",SUMIFS('All Donations'!$S$2:$S$4001,'All Donations'!$R$2:$R$4001,$AD425,'All Donations'!$T$2:$T$4001,AC$1))</f>
        <v/>
      </c>
      <c r="AD425">
        <f>IF(AE425=1,'Roster'!A425,"")</f>
        <v/>
      </c>
      <c r="AE425">
        <f>IF(TRIM('Roster'!B425&amp;'Roster'!C425)&lt;&gt;"",1,0)</f>
        <v/>
      </c>
      <c r="AF425">
        <f>IF(AE425=1,LOWER(A425),"#")</f>
        <v/>
      </c>
      <c r="AG425">
        <f>IF(AE425=1,LOWER(TRIM(TRIM('Roster'!C425)&amp;", "&amp;TRIM('Roster'!B425))),"#")</f>
        <v/>
      </c>
      <c r="AH425">
        <f>IF(AND(AE425=1,TRIM('Roster'!F425)&lt;&gt;""),LOWER(TRIM('Roster'!F425)),"#")</f>
        <v/>
      </c>
      <c r="AI425">
        <f>IF(AE425=1,IF(MATCH(B425,$B$2:$B$701,0)=ROW()-1,1,0),0)</f>
        <v/>
      </c>
      <c r="AJ425">
        <f>AJ424+AI425</f>
        <v/>
      </c>
      <c r="AK425">
        <f>IF(AE425=1,D425+(1000-ROW())/10^7,-1)</f>
        <v/>
      </c>
      <c r="AL425">
        <f>IF(AE425=1,TRIM('Roster'!B425)&amp;" "&amp;LEFT(TRIM('Roster'!C425),1)&amp;".","")</f>
        <v/>
      </c>
      <c r="AM425">
        <f>IF(AE425=1,TRIM('Roster'!C425)&amp;", "&amp;TRIM('Roster'!B425)&amp;" ("&amp;B425&amp;") #"&amp;AD425,"")</f>
        <v/>
      </c>
      <c r="AN425">
        <f>IF(AE425=1,TRIM('Roster'!E425),"")</f>
        <v/>
      </c>
      <c r="AO425">
        <f>IF(AE425=1,ROUND(SUMIFS('All Donations'!$S$2:$S$4001,'All Donations'!$R$2:$R$4001,AD425,'All Donations'!$T$2:$T$4001,"&gt;="&amp;'Settings'!$C$23,'All Donations'!$T$2:$T$4001,"&lt;="&amp;'Settings'!$D$23),2),0)</f>
        <v/>
      </c>
      <c r="AQ425">
        <f>IF(AE425=1,ROUND(SUMIFS('All Donations'!$S$2:$S$4001,'All Donations'!$R$2:$R$4001,AD425,'All Donations'!$T$2:$T$4001,"&gt;="&amp;'Settings'!$C$25,'All Donations'!$T$2:$T$4001,"&lt;="&amp;'Settings'!$D$25),2),0)</f>
        <v/>
      </c>
      <c r="AR425">
        <f>IF(AE425=1,ROUND(SUMIFS('All Donations'!$S$2:$S$4001,'All Donations'!$R$2:$R$4001,AD425,'All Donations'!$T$2:$T$4001,"&gt;="&amp;'Settings'!$C$26,'All Donations'!$T$2:$T$4001,"&lt;="&amp;'Settings'!$D$26),2),0)</f>
        <v/>
      </c>
      <c r="AS425">
        <f>IF(AE425=1,ROUND(SUMIFS('All Donations'!$S$2:$S$4001,'All Donations'!$R$2:$R$4001,AD425,'All Donations'!$T$2:$T$4001,"&lt;="&amp;'Settings'!$D$27),2),0)</f>
        <v/>
      </c>
      <c r="AT425">
        <f>IF(AE425=1,ROUND(SUMIFS('All Donations'!$S$2:$S$4001,'All Donations'!$R$2:$R$4001,AD425,'All Donations'!$T$2:$T$4001,"&gt;="&amp;'Settings'!$C$28,'All Donations'!$T$2:$T$4001,"&lt;="&amp;'Settings'!$D$28),2),0)</f>
        <v/>
      </c>
      <c r="AU425">
        <f>IF(AE425=1,ROUND(SUMIFS('All Donations'!$S$2:$S$4001,'All Donations'!$R$2:$R$4001,AD425,'All Donations'!$T$2:$T$4001,"&gt;="&amp;'Settings'!$C$29,'All Donations'!$T$2:$T$4001,"&lt;="&amp;'Settings'!$D$29),2),0)</f>
        <v/>
      </c>
      <c r="AV425">
        <f>IF(AE425=1,ROUND(SUMIFS('All Donations'!$S$2:$S$4001,'All Donations'!$R$2:$R$4001,AD425,'All Donations'!$T$2:$T$4001,"&lt;="&amp;'Settings'!$D$30),2),0)</f>
        <v/>
      </c>
      <c r="AZ425">
        <f>IF(AE425=1,ROUND(SUMIFS('All Donations'!$S$2:$S$4001,'All Donations'!$R$2:$R$4001,AD425,'All Donations'!$T$2:$T$4001,"&lt;="&amp;'Settings'!$D$34),2),0)</f>
        <v/>
      </c>
    </row>
    <row r="426">
      <c r="A426">
        <f>IF(AE426=1,TRIM(TRIM('Roster'!B426)&amp;" "&amp;TRIM('Roster'!C426)),"")</f>
        <v/>
      </c>
      <c r="B426">
        <f>IF(AE426=1,IF(AN426="","(no teacher)",AN426&amp;" – "&amp;C426),"")</f>
        <v/>
      </c>
      <c r="C426">
        <f>IF(AE426=1,TRIM('Roster'!D426&amp;""),"")</f>
        <v/>
      </c>
      <c r="D426" s="48">
        <f>IF(AE426=1,ROUND(SUMIFS('All Donations'!$S$2:$S$4001,'All Donations'!$R$2:$R$4001,AD426),2),"")</f>
        <v/>
      </c>
      <c r="E426" s="48">
        <f>IF(AE426=1,ROUND(SUMIFS('All Donations'!$S$2:$S$4001,'All Donations'!$R$2:$R$4001,AD426,'All Donations'!$G$2:$G$4001,"OneCause"),2),"")</f>
        <v/>
      </c>
      <c r="F426" s="48">
        <f>IF(AE426=1,D426-E426,"")</f>
        <v/>
      </c>
      <c r="G426">
        <f>IF(AE426=1,COUNTIFS('All Donations'!$R$2:$R$4001,AD426,'All Donations'!$H$2:$H$4001,"OK"),"")</f>
        <v/>
      </c>
      <c r="H426">
        <f>IF(AE426&lt;&gt;1,"",IF(D426&gt;0,"Yes",""))</f>
        <v/>
      </c>
      <c r="I426" s="49">
        <f>IF(OR($AE426&lt;&gt;1,I$1=""),"",SUMIFS('All Donations'!$S$2:$S$4001,'All Donations'!$R$2:$R$4001,$AD426,'All Donations'!$T$2:$T$4001,I$1))</f>
        <v/>
      </c>
      <c r="J426" s="49">
        <f>IF(OR($AE426&lt;&gt;1,J$1=""),"",SUMIFS('All Donations'!$S$2:$S$4001,'All Donations'!$R$2:$R$4001,$AD426,'All Donations'!$T$2:$T$4001,J$1))</f>
        <v/>
      </c>
      <c r="K426" s="49">
        <f>IF(OR($AE426&lt;&gt;1,K$1=""),"",SUMIFS('All Donations'!$S$2:$S$4001,'All Donations'!$R$2:$R$4001,$AD426,'All Donations'!$T$2:$T$4001,K$1))</f>
        <v/>
      </c>
      <c r="L426" s="49">
        <f>IF(OR($AE426&lt;&gt;1,L$1=""),"",SUMIFS('All Donations'!$S$2:$S$4001,'All Donations'!$R$2:$R$4001,$AD426,'All Donations'!$T$2:$T$4001,L$1))</f>
        <v/>
      </c>
      <c r="M426" s="49">
        <f>IF(OR($AE426&lt;&gt;1,M$1=""),"",SUMIFS('All Donations'!$S$2:$S$4001,'All Donations'!$R$2:$R$4001,$AD426,'All Donations'!$T$2:$T$4001,M$1))</f>
        <v/>
      </c>
      <c r="N426" s="49">
        <f>IF(OR($AE426&lt;&gt;1,N$1=""),"",SUMIFS('All Donations'!$S$2:$S$4001,'All Donations'!$R$2:$R$4001,$AD426,'All Donations'!$T$2:$T$4001,N$1))</f>
        <v/>
      </c>
      <c r="O426" s="49">
        <f>IF(OR($AE426&lt;&gt;1,O$1=""),"",SUMIFS('All Donations'!$S$2:$S$4001,'All Donations'!$R$2:$R$4001,$AD426,'All Donations'!$T$2:$T$4001,O$1))</f>
        <v/>
      </c>
      <c r="P426" s="49">
        <f>IF(OR($AE426&lt;&gt;1,P$1=""),"",SUMIFS('All Donations'!$S$2:$S$4001,'All Donations'!$R$2:$R$4001,$AD426,'All Donations'!$T$2:$T$4001,P$1))</f>
        <v/>
      </c>
      <c r="Q426" s="49">
        <f>IF(OR($AE426&lt;&gt;1,Q$1=""),"",SUMIFS('All Donations'!$S$2:$S$4001,'All Donations'!$R$2:$R$4001,$AD426,'All Donations'!$T$2:$T$4001,Q$1))</f>
        <v/>
      </c>
      <c r="R426" s="49">
        <f>IF(OR($AE426&lt;&gt;1,R$1=""),"",SUMIFS('All Donations'!$S$2:$S$4001,'All Donations'!$R$2:$R$4001,$AD426,'All Donations'!$T$2:$T$4001,R$1))</f>
        <v/>
      </c>
      <c r="S426" s="49">
        <f>IF(OR($AE426&lt;&gt;1,S$1=""),"",SUMIFS('All Donations'!$S$2:$S$4001,'All Donations'!$R$2:$R$4001,$AD426,'All Donations'!$T$2:$T$4001,S$1))</f>
        <v/>
      </c>
      <c r="T426" s="49">
        <f>IF(OR($AE426&lt;&gt;1,T$1=""),"",SUMIFS('All Donations'!$S$2:$S$4001,'All Donations'!$R$2:$R$4001,$AD426,'All Donations'!$T$2:$T$4001,T$1))</f>
        <v/>
      </c>
      <c r="U426" s="49">
        <f>IF(OR($AE426&lt;&gt;1,U$1=""),"",SUMIFS('All Donations'!$S$2:$S$4001,'All Donations'!$R$2:$R$4001,$AD426,'All Donations'!$T$2:$T$4001,U$1))</f>
        <v/>
      </c>
      <c r="V426" s="49">
        <f>IF(OR($AE426&lt;&gt;1,V$1=""),"",SUMIFS('All Donations'!$S$2:$S$4001,'All Donations'!$R$2:$R$4001,$AD426,'All Donations'!$T$2:$T$4001,V$1))</f>
        <v/>
      </c>
      <c r="W426" s="49">
        <f>IF(OR($AE426&lt;&gt;1,W$1=""),"",SUMIFS('All Donations'!$S$2:$S$4001,'All Donations'!$R$2:$R$4001,$AD426,'All Donations'!$T$2:$T$4001,W$1))</f>
        <v/>
      </c>
      <c r="X426" s="49">
        <f>IF(OR($AE426&lt;&gt;1,X$1=""),"",SUMIFS('All Donations'!$S$2:$S$4001,'All Donations'!$R$2:$R$4001,$AD426,'All Donations'!$T$2:$T$4001,X$1))</f>
        <v/>
      </c>
      <c r="Y426" s="49">
        <f>IF(OR($AE426&lt;&gt;1,Y$1=""),"",SUMIFS('All Donations'!$S$2:$S$4001,'All Donations'!$R$2:$R$4001,$AD426,'All Donations'!$T$2:$T$4001,Y$1))</f>
        <v/>
      </c>
      <c r="Z426" s="49">
        <f>IF(OR($AE426&lt;&gt;1,Z$1=""),"",SUMIFS('All Donations'!$S$2:$S$4001,'All Donations'!$R$2:$R$4001,$AD426,'All Donations'!$T$2:$T$4001,Z$1))</f>
        <v/>
      </c>
      <c r="AA426" s="49">
        <f>IF(OR($AE426&lt;&gt;1,AA$1=""),"",SUMIFS('All Donations'!$S$2:$S$4001,'All Donations'!$R$2:$R$4001,$AD426,'All Donations'!$T$2:$T$4001,AA$1))</f>
        <v/>
      </c>
      <c r="AB426" s="49">
        <f>IF(OR($AE426&lt;&gt;1,AB$1=""),"",SUMIFS('All Donations'!$S$2:$S$4001,'All Donations'!$R$2:$R$4001,$AD426,'All Donations'!$T$2:$T$4001,AB$1))</f>
        <v/>
      </c>
      <c r="AC426" s="49">
        <f>IF(OR($AE426&lt;&gt;1,AC$1=""),"",SUMIFS('All Donations'!$S$2:$S$4001,'All Donations'!$R$2:$R$4001,$AD426,'All Donations'!$T$2:$T$4001,AC$1))</f>
        <v/>
      </c>
      <c r="AD426">
        <f>IF(AE426=1,'Roster'!A426,"")</f>
        <v/>
      </c>
      <c r="AE426">
        <f>IF(TRIM('Roster'!B426&amp;'Roster'!C426)&lt;&gt;"",1,0)</f>
        <v/>
      </c>
      <c r="AF426">
        <f>IF(AE426=1,LOWER(A426),"#")</f>
        <v/>
      </c>
      <c r="AG426">
        <f>IF(AE426=1,LOWER(TRIM(TRIM('Roster'!C426)&amp;", "&amp;TRIM('Roster'!B426))),"#")</f>
        <v/>
      </c>
      <c r="AH426">
        <f>IF(AND(AE426=1,TRIM('Roster'!F426)&lt;&gt;""),LOWER(TRIM('Roster'!F426)),"#")</f>
        <v/>
      </c>
      <c r="AI426">
        <f>IF(AE426=1,IF(MATCH(B426,$B$2:$B$701,0)=ROW()-1,1,0),0)</f>
        <v/>
      </c>
      <c r="AJ426">
        <f>AJ425+AI426</f>
        <v/>
      </c>
      <c r="AK426">
        <f>IF(AE426=1,D426+(1000-ROW())/10^7,-1)</f>
        <v/>
      </c>
      <c r="AL426">
        <f>IF(AE426=1,TRIM('Roster'!B426)&amp;" "&amp;LEFT(TRIM('Roster'!C426),1)&amp;".","")</f>
        <v/>
      </c>
      <c r="AM426">
        <f>IF(AE426=1,TRIM('Roster'!C426)&amp;", "&amp;TRIM('Roster'!B426)&amp;" ("&amp;B426&amp;") #"&amp;AD426,"")</f>
        <v/>
      </c>
      <c r="AN426">
        <f>IF(AE426=1,TRIM('Roster'!E426),"")</f>
        <v/>
      </c>
      <c r="AO426">
        <f>IF(AE426=1,ROUND(SUMIFS('All Donations'!$S$2:$S$4001,'All Donations'!$R$2:$R$4001,AD426,'All Donations'!$T$2:$T$4001,"&gt;="&amp;'Settings'!$C$23,'All Donations'!$T$2:$T$4001,"&lt;="&amp;'Settings'!$D$23),2),0)</f>
        <v/>
      </c>
      <c r="AQ426">
        <f>IF(AE426=1,ROUND(SUMIFS('All Donations'!$S$2:$S$4001,'All Donations'!$R$2:$R$4001,AD426,'All Donations'!$T$2:$T$4001,"&gt;="&amp;'Settings'!$C$25,'All Donations'!$T$2:$T$4001,"&lt;="&amp;'Settings'!$D$25),2),0)</f>
        <v/>
      </c>
      <c r="AR426">
        <f>IF(AE426=1,ROUND(SUMIFS('All Donations'!$S$2:$S$4001,'All Donations'!$R$2:$R$4001,AD426,'All Donations'!$T$2:$T$4001,"&gt;="&amp;'Settings'!$C$26,'All Donations'!$T$2:$T$4001,"&lt;="&amp;'Settings'!$D$26),2),0)</f>
        <v/>
      </c>
      <c r="AS426">
        <f>IF(AE426=1,ROUND(SUMIFS('All Donations'!$S$2:$S$4001,'All Donations'!$R$2:$R$4001,AD426,'All Donations'!$T$2:$T$4001,"&lt;="&amp;'Settings'!$D$27),2),0)</f>
        <v/>
      </c>
      <c r="AT426">
        <f>IF(AE426=1,ROUND(SUMIFS('All Donations'!$S$2:$S$4001,'All Donations'!$R$2:$R$4001,AD426,'All Donations'!$T$2:$T$4001,"&gt;="&amp;'Settings'!$C$28,'All Donations'!$T$2:$T$4001,"&lt;="&amp;'Settings'!$D$28),2),0)</f>
        <v/>
      </c>
      <c r="AU426">
        <f>IF(AE426=1,ROUND(SUMIFS('All Donations'!$S$2:$S$4001,'All Donations'!$R$2:$R$4001,AD426,'All Donations'!$T$2:$T$4001,"&gt;="&amp;'Settings'!$C$29,'All Donations'!$T$2:$T$4001,"&lt;="&amp;'Settings'!$D$29),2),0)</f>
        <v/>
      </c>
      <c r="AV426">
        <f>IF(AE426=1,ROUND(SUMIFS('All Donations'!$S$2:$S$4001,'All Donations'!$R$2:$R$4001,AD426,'All Donations'!$T$2:$T$4001,"&lt;="&amp;'Settings'!$D$30),2),0)</f>
        <v/>
      </c>
      <c r="AZ426">
        <f>IF(AE426=1,ROUND(SUMIFS('All Donations'!$S$2:$S$4001,'All Donations'!$R$2:$R$4001,AD426,'All Donations'!$T$2:$T$4001,"&lt;="&amp;'Settings'!$D$34),2),0)</f>
        <v/>
      </c>
    </row>
    <row r="427">
      <c r="A427">
        <f>IF(AE427=1,TRIM(TRIM('Roster'!B427)&amp;" "&amp;TRIM('Roster'!C427)),"")</f>
        <v/>
      </c>
      <c r="B427">
        <f>IF(AE427=1,IF(AN427="","(no teacher)",AN427&amp;" – "&amp;C427),"")</f>
        <v/>
      </c>
      <c r="C427">
        <f>IF(AE427=1,TRIM('Roster'!D427&amp;""),"")</f>
        <v/>
      </c>
      <c r="D427" s="48">
        <f>IF(AE427=1,ROUND(SUMIFS('All Donations'!$S$2:$S$4001,'All Donations'!$R$2:$R$4001,AD427),2),"")</f>
        <v/>
      </c>
      <c r="E427" s="48">
        <f>IF(AE427=1,ROUND(SUMIFS('All Donations'!$S$2:$S$4001,'All Donations'!$R$2:$R$4001,AD427,'All Donations'!$G$2:$G$4001,"OneCause"),2),"")</f>
        <v/>
      </c>
      <c r="F427" s="48">
        <f>IF(AE427=1,D427-E427,"")</f>
        <v/>
      </c>
      <c r="G427">
        <f>IF(AE427=1,COUNTIFS('All Donations'!$R$2:$R$4001,AD427,'All Donations'!$H$2:$H$4001,"OK"),"")</f>
        <v/>
      </c>
      <c r="H427">
        <f>IF(AE427&lt;&gt;1,"",IF(D427&gt;0,"Yes",""))</f>
        <v/>
      </c>
      <c r="I427" s="49">
        <f>IF(OR($AE427&lt;&gt;1,I$1=""),"",SUMIFS('All Donations'!$S$2:$S$4001,'All Donations'!$R$2:$R$4001,$AD427,'All Donations'!$T$2:$T$4001,I$1))</f>
        <v/>
      </c>
      <c r="J427" s="49">
        <f>IF(OR($AE427&lt;&gt;1,J$1=""),"",SUMIFS('All Donations'!$S$2:$S$4001,'All Donations'!$R$2:$R$4001,$AD427,'All Donations'!$T$2:$T$4001,J$1))</f>
        <v/>
      </c>
      <c r="K427" s="49">
        <f>IF(OR($AE427&lt;&gt;1,K$1=""),"",SUMIFS('All Donations'!$S$2:$S$4001,'All Donations'!$R$2:$R$4001,$AD427,'All Donations'!$T$2:$T$4001,K$1))</f>
        <v/>
      </c>
      <c r="L427" s="49">
        <f>IF(OR($AE427&lt;&gt;1,L$1=""),"",SUMIFS('All Donations'!$S$2:$S$4001,'All Donations'!$R$2:$R$4001,$AD427,'All Donations'!$T$2:$T$4001,L$1))</f>
        <v/>
      </c>
      <c r="M427" s="49">
        <f>IF(OR($AE427&lt;&gt;1,M$1=""),"",SUMIFS('All Donations'!$S$2:$S$4001,'All Donations'!$R$2:$R$4001,$AD427,'All Donations'!$T$2:$T$4001,M$1))</f>
        <v/>
      </c>
      <c r="N427" s="49">
        <f>IF(OR($AE427&lt;&gt;1,N$1=""),"",SUMIFS('All Donations'!$S$2:$S$4001,'All Donations'!$R$2:$R$4001,$AD427,'All Donations'!$T$2:$T$4001,N$1))</f>
        <v/>
      </c>
      <c r="O427" s="49">
        <f>IF(OR($AE427&lt;&gt;1,O$1=""),"",SUMIFS('All Donations'!$S$2:$S$4001,'All Donations'!$R$2:$R$4001,$AD427,'All Donations'!$T$2:$T$4001,O$1))</f>
        <v/>
      </c>
      <c r="P427" s="49">
        <f>IF(OR($AE427&lt;&gt;1,P$1=""),"",SUMIFS('All Donations'!$S$2:$S$4001,'All Donations'!$R$2:$R$4001,$AD427,'All Donations'!$T$2:$T$4001,P$1))</f>
        <v/>
      </c>
      <c r="Q427" s="49">
        <f>IF(OR($AE427&lt;&gt;1,Q$1=""),"",SUMIFS('All Donations'!$S$2:$S$4001,'All Donations'!$R$2:$R$4001,$AD427,'All Donations'!$T$2:$T$4001,Q$1))</f>
        <v/>
      </c>
      <c r="R427" s="49">
        <f>IF(OR($AE427&lt;&gt;1,R$1=""),"",SUMIFS('All Donations'!$S$2:$S$4001,'All Donations'!$R$2:$R$4001,$AD427,'All Donations'!$T$2:$T$4001,R$1))</f>
        <v/>
      </c>
      <c r="S427" s="49">
        <f>IF(OR($AE427&lt;&gt;1,S$1=""),"",SUMIFS('All Donations'!$S$2:$S$4001,'All Donations'!$R$2:$R$4001,$AD427,'All Donations'!$T$2:$T$4001,S$1))</f>
        <v/>
      </c>
      <c r="T427" s="49">
        <f>IF(OR($AE427&lt;&gt;1,T$1=""),"",SUMIFS('All Donations'!$S$2:$S$4001,'All Donations'!$R$2:$R$4001,$AD427,'All Donations'!$T$2:$T$4001,T$1))</f>
        <v/>
      </c>
      <c r="U427" s="49">
        <f>IF(OR($AE427&lt;&gt;1,U$1=""),"",SUMIFS('All Donations'!$S$2:$S$4001,'All Donations'!$R$2:$R$4001,$AD427,'All Donations'!$T$2:$T$4001,U$1))</f>
        <v/>
      </c>
      <c r="V427" s="49">
        <f>IF(OR($AE427&lt;&gt;1,V$1=""),"",SUMIFS('All Donations'!$S$2:$S$4001,'All Donations'!$R$2:$R$4001,$AD427,'All Donations'!$T$2:$T$4001,V$1))</f>
        <v/>
      </c>
      <c r="W427" s="49">
        <f>IF(OR($AE427&lt;&gt;1,W$1=""),"",SUMIFS('All Donations'!$S$2:$S$4001,'All Donations'!$R$2:$R$4001,$AD427,'All Donations'!$T$2:$T$4001,W$1))</f>
        <v/>
      </c>
      <c r="X427" s="49">
        <f>IF(OR($AE427&lt;&gt;1,X$1=""),"",SUMIFS('All Donations'!$S$2:$S$4001,'All Donations'!$R$2:$R$4001,$AD427,'All Donations'!$T$2:$T$4001,X$1))</f>
        <v/>
      </c>
      <c r="Y427" s="49">
        <f>IF(OR($AE427&lt;&gt;1,Y$1=""),"",SUMIFS('All Donations'!$S$2:$S$4001,'All Donations'!$R$2:$R$4001,$AD427,'All Donations'!$T$2:$T$4001,Y$1))</f>
        <v/>
      </c>
      <c r="Z427" s="49">
        <f>IF(OR($AE427&lt;&gt;1,Z$1=""),"",SUMIFS('All Donations'!$S$2:$S$4001,'All Donations'!$R$2:$R$4001,$AD427,'All Donations'!$T$2:$T$4001,Z$1))</f>
        <v/>
      </c>
      <c r="AA427" s="49">
        <f>IF(OR($AE427&lt;&gt;1,AA$1=""),"",SUMIFS('All Donations'!$S$2:$S$4001,'All Donations'!$R$2:$R$4001,$AD427,'All Donations'!$T$2:$T$4001,AA$1))</f>
        <v/>
      </c>
      <c r="AB427" s="49">
        <f>IF(OR($AE427&lt;&gt;1,AB$1=""),"",SUMIFS('All Donations'!$S$2:$S$4001,'All Donations'!$R$2:$R$4001,$AD427,'All Donations'!$T$2:$T$4001,AB$1))</f>
        <v/>
      </c>
      <c r="AC427" s="49">
        <f>IF(OR($AE427&lt;&gt;1,AC$1=""),"",SUMIFS('All Donations'!$S$2:$S$4001,'All Donations'!$R$2:$R$4001,$AD427,'All Donations'!$T$2:$T$4001,AC$1))</f>
        <v/>
      </c>
      <c r="AD427">
        <f>IF(AE427=1,'Roster'!A427,"")</f>
        <v/>
      </c>
      <c r="AE427">
        <f>IF(TRIM('Roster'!B427&amp;'Roster'!C427)&lt;&gt;"",1,0)</f>
        <v/>
      </c>
      <c r="AF427">
        <f>IF(AE427=1,LOWER(A427),"#")</f>
        <v/>
      </c>
      <c r="AG427">
        <f>IF(AE427=1,LOWER(TRIM(TRIM('Roster'!C427)&amp;", "&amp;TRIM('Roster'!B427))),"#")</f>
        <v/>
      </c>
      <c r="AH427">
        <f>IF(AND(AE427=1,TRIM('Roster'!F427)&lt;&gt;""),LOWER(TRIM('Roster'!F427)),"#")</f>
        <v/>
      </c>
      <c r="AI427">
        <f>IF(AE427=1,IF(MATCH(B427,$B$2:$B$701,0)=ROW()-1,1,0),0)</f>
        <v/>
      </c>
      <c r="AJ427">
        <f>AJ426+AI427</f>
        <v/>
      </c>
      <c r="AK427">
        <f>IF(AE427=1,D427+(1000-ROW())/10^7,-1)</f>
        <v/>
      </c>
      <c r="AL427">
        <f>IF(AE427=1,TRIM('Roster'!B427)&amp;" "&amp;LEFT(TRIM('Roster'!C427),1)&amp;".","")</f>
        <v/>
      </c>
      <c r="AM427">
        <f>IF(AE427=1,TRIM('Roster'!C427)&amp;", "&amp;TRIM('Roster'!B427)&amp;" ("&amp;B427&amp;") #"&amp;AD427,"")</f>
        <v/>
      </c>
      <c r="AN427">
        <f>IF(AE427=1,TRIM('Roster'!E427),"")</f>
        <v/>
      </c>
      <c r="AO427">
        <f>IF(AE427=1,ROUND(SUMIFS('All Donations'!$S$2:$S$4001,'All Donations'!$R$2:$R$4001,AD427,'All Donations'!$T$2:$T$4001,"&gt;="&amp;'Settings'!$C$23,'All Donations'!$T$2:$T$4001,"&lt;="&amp;'Settings'!$D$23),2),0)</f>
        <v/>
      </c>
      <c r="AQ427">
        <f>IF(AE427=1,ROUND(SUMIFS('All Donations'!$S$2:$S$4001,'All Donations'!$R$2:$R$4001,AD427,'All Donations'!$T$2:$T$4001,"&gt;="&amp;'Settings'!$C$25,'All Donations'!$T$2:$T$4001,"&lt;="&amp;'Settings'!$D$25),2),0)</f>
        <v/>
      </c>
      <c r="AR427">
        <f>IF(AE427=1,ROUND(SUMIFS('All Donations'!$S$2:$S$4001,'All Donations'!$R$2:$R$4001,AD427,'All Donations'!$T$2:$T$4001,"&gt;="&amp;'Settings'!$C$26,'All Donations'!$T$2:$T$4001,"&lt;="&amp;'Settings'!$D$26),2),0)</f>
        <v/>
      </c>
      <c r="AS427">
        <f>IF(AE427=1,ROUND(SUMIFS('All Donations'!$S$2:$S$4001,'All Donations'!$R$2:$R$4001,AD427,'All Donations'!$T$2:$T$4001,"&lt;="&amp;'Settings'!$D$27),2),0)</f>
        <v/>
      </c>
      <c r="AT427">
        <f>IF(AE427=1,ROUND(SUMIFS('All Donations'!$S$2:$S$4001,'All Donations'!$R$2:$R$4001,AD427,'All Donations'!$T$2:$T$4001,"&gt;="&amp;'Settings'!$C$28,'All Donations'!$T$2:$T$4001,"&lt;="&amp;'Settings'!$D$28),2),0)</f>
        <v/>
      </c>
      <c r="AU427">
        <f>IF(AE427=1,ROUND(SUMIFS('All Donations'!$S$2:$S$4001,'All Donations'!$R$2:$R$4001,AD427,'All Donations'!$T$2:$T$4001,"&gt;="&amp;'Settings'!$C$29,'All Donations'!$T$2:$T$4001,"&lt;="&amp;'Settings'!$D$29),2),0)</f>
        <v/>
      </c>
      <c r="AV427">
        <f>IF(AE427=1,ROUND(SUMIFS('All Donations'!$S$2:$S$4001,'All Donations'!$R$2:$R$4001,AD427,'All Donations'!$T$2:$T$4001,"&lt;="&amp;'Settings'!$D$30),2),0)</f>
        <v/>
      </c>
      <c r="AZ427">
        <f>IF(AE427=1,ROUND(SUMIFS('All Donations'!$S$2:$S$4001,'All Donations'!$R$2:$R$4001,AD427,'All Donations'!$T$2:$T$4001,"&lt;="&amp;'Settings'!$D$34),2),0)</f>
        <v/>
      </c>
    </row>
    <row r="428">
      <c r="A428">
        <f>IF(AE428=1,TRIM(TRIM('Roster'!B428)&amp;" "&amp;TRIM('Roster'!C428)),"")</f>
        <v/>
      </c>
      <c r="B428">
        <f>IF(AE428=1,IF(AN428="","(no teacher)",AN428&amp;" – "&amp;C428),"")</f>
        <v/>
      </c>
      <c r="C428">
        <f>IF(AE428=1,TRIM('Roster'!D428&amp;""),"")</f>
        <v/>
      </c>
      <c r="D428" s="48">
        <f>IF(AE428=1,ROUND(SUMIFS('All Donations'!$S$2:$S$4001,'All Donations'!$R$2:$R$4001,AD428),2),"")</f>
        <v/>
      </c>
      <c r="E428" s="48">
        <f>IF(AE428=1,ROUND(SUMIFS('All Donations'!$S$2:$S$4001,'All Donations'!$R$2:$R$4001,AD428,'All Donations'!$G$2:$G$4001,"OneCause"),2),"")</f>
        <v/>
      </c>
      <c r="F428" s="48">
        <f>IF(AE428=1,D428-E428,"")</f>
        <v/>
      </c>
      <c r="G428">
        <f>IF(AE428=1,COUNTIFS('All Donations'!$R$2:$R$4001,AD428,'All Donations'!$H$2:$H$4001,"OK"),"")</f>
        <v/>
      </c>
      <c r="H428">
        <f>IF(AE428&lt;&gt;1,"",IF(D428&gt;0,"Yes",""))</f>
        <v/>
      </c>
      <c r="I428" s="49">
        <f>IF(OR($AE428&lt;&gt;1,I$1=""),"",SUMIFS('All Donations'!$S$2:$S$4001,'All Donations'!$R$2:$R$4001,$AD428,'All Donations'!$T$2:$T$4001,I$1))</f>
        <v/>
      </c>
      <c r="J428" s="49">
        <f>IF(OR($AE428&lt;&gt;1,J$1=""),"",SUMIFS('All Donations'!$S$2:$S$4001,'All Donations'!$R$2:$R$4001,$AD428,'All Donations'!$T$2:$T$4001,J$1))</f>
        <v/>
      </c>
      <c r="K428" s="49">
        <f>IF(OR($AE428&lt;&gt;1,K$1=""),"",SUMIFS('All Donations'!$S$2:$S$4001,'All Donations'!$R$2:$R$4001,$AD428,'All Donations'!$T$2:$T$4001,K$1))</f>
        <v/>
      </c>
      <c r="L428" s="49">
        <f>IF(OR($AE428&lt;&gt;1,L$1=""),"",SUMIFS('All Donations'!$S$2:$S$4001,'All Donations'!$R$2:$R$4001,$AD428,'All Donations'!$T$2:$T$4001,L$1))</f>
        <v/>
      </c>
      <c r="M428" s="49">
        <f>IF(OR($AE428&lt;&gt;1,M$1=""),"",SUMIFS('All Donations'!$S$2:$S$4001,'All Donations'!$R$2:$R$4001,$AD428,'All Donations'!$T$2:$T$4001,M$1))</f>
        <v/>
      </c>
      <c r="N428" s="49">
        <f>IF(OR($AE428&lt;&gt;1,N$1=""),"",SUMIFS('All Donations'!$S$2:$S$4001,'All Donations'!$R$2:$R$4001,$AD428,'All Donations'!$T$2:$T$4001,N$1))</f>
        <v/>
      </c>
      <c r="O428" s="49">
        <f>IF(OR($AE428&lt;&gt;1,O$1=""),"",SUMIFS('All Donations'!$S$2:$S$4001,'All Donations'!$R$2:$R$4001,$AD428,'All Donations'!$T$2:$T$4001,O$1))</f>
        <v/>
      </c>
      <c r="P428" s="49">
        <f>IF(OR($AE428&lt;&gt;1,P$1=""),"",SUMIFS('All Donations'!$S$2:$S$4001,'All Donations'!$R$2:$R$4001,$AD428,'All Donations'!$T$2:$T$4001,P$1))</f>
        <v/>
      </c>
      <c r="Q428" s="49">
        <f>IF(OR($AE428&lt;&gt;1,Q$1=""),"",SUMIFS('All Donations'!$S$2:$S$4001,'All Donations'!$R$2:$R$4001,$AD428,'All Donations'!$T$2:$T$4001,Q$1))</f>
        <v/>
      </c>
      <c r="R428" s="49">
        <f>IF(OR($AE428&lt;&gt;1,R$1=""),"",SUMIFS('All Donations'!$S$2:$S$4001,'All Donations'!$R$2:$R$4001,$AD428,'All Donations'!$T$2:$T$4001,R$1))</f>
        <v/>
      </c>
      <c r="S428" s="49">
        <f>IF(OR($AE428&lt;&gt;1,S$1=""),"",SUMIFS('All Donations'!$S$2:$S$4001,'All Donations'!$R$2:$R$4001,$AD428,'All Donations'!$T$2:$T$4001,S$1))</f>
        <v/>
      </c>
      <c r="T428" s="49">
        <f>IF(OR($AE428&lt;&gt;1,T$1=""),"",SUMIFS('All Donations'!$S$2:$S$4001,'All Donations'!$R$2:$R$4001,$AD428,'All Donations'!$T$2:$T$4001,T$1))</f>
        <v/>
      </c>
      <c r="U428" s="49">
        <f>IF(OR($AE428&lt;&gt;1,U$1=""),"",SUMIFS('All Donations'!$S$2:$S$4001,'All Donations'!$R$2:$R$4001,$AD428,'All Donations'!$T$2:$T$4001,U$1))</f>
        <v/>
      </c>
      <c r="V428" s="49">
        <f>IF(OR($AE428&lt;&gt;1,V$1=""),"",SUMIFS('All Donations'!$S$2:$S$4001,'All Donations'!$R$2:$R$4001,$AD428,'All Donations'!$T$2:$T$4001,V$1))</f>
        <v/>
      </c>
      <c r="W428" s="49">
        <f>IF(OR($AE428&lt;&gt;1,W$1=""),"",SUMIFS('All Donations'!$S$2:$S$4001,'All Donations'!$R$2:$R$4001,$AD428,'All Donations'!$T$2:$T$4001,W$1))</f>
        <v/>
      </c>
      <c r="X428" s="49">
        <f>IF(OR($AE428&lt;&gt;1,X$1=""),"",SUMIFS('All Donations'!$S$2:$S$4001,'All Donations'!$R$2:$R$4001,$AD428,'All Donations'!$T$2:$T$4001,X$1))</f>
        <v/>
      </c>
      <c r="Y428" s="49">
        <f>IF(OR($AE428&lt;&gt;1,Y$1=""),"",SUMIFS('All Donations'!$S$2:$S$4001,'All Donations'!$R$2:$R$4001,$AD428,'All Donations'!$T$2:$T$4001,Y$1))</f>
        <v/>
      </c>
      <c r="Z428" s="49">
        <f>IF(OR($AE428&lt;&gt;1,Z$1=""),"",SUMIFS('All Donations'!$S$2:$S$4001,'All Donations'!$R$2:$R$4001,$AD428,'All Donations'!$T$2:$T$4001,Z$1))</f>
        <v/>
      </c>
      <c r="AA428" s="49">
        <f>IF(OR($AE428&lt;&gt;1,AA$1=""),"",SUMIFS('All Donations'!$S$2:$S$4001,'All Donations'!$R$2:$R$4001,$AD428,'All Donations'!$T$2:$T$4001,AA$1))</f>
        <v/>
      </c>
      <c r="AB428" s="49">
        <f>IF(OR($AE428&lt;&gt;1,AB$1=""),"",SUMIFS('All Donations'!$S$2:$S$4001,'All Donations'!$R$2:$R$4001,$AD428,'All Donations'!$T$2:$T$4001,AB$1))</f>
        <v/>
      </c>
      <c r="AC428" s="49">
        <f>IF(OR($AE428&lt;&gt;1,AC$1=""),"",SUMIFS('All Donations'!$S$2:$S$4001,'All Donations'!$R$2:$R$4001,$AD428,'All Donations'!$T$2:$T$4001,AC$1))</f>
        <v/>
      </c>
      <c r="AD428">
        <f>IF(AE428=1,'Roster'!A428,"")</f>
        <v/>
      </c>
      <c r="AE428">
        <f>IF(TRIM('Roster'!B428&amp;'Roster'!C428)&lt;&gt;"",1,0)</f>
        <v/>
      </c>
      <c r="AF428">
        <f>IF(AE428=1,LOWER(A428),"#")</f>
        <v/>
      </c>
      <c r="AG428">
        <f>IF(AE428=1,LOWER(TRIM(TRIM('Roster'!C428)&amp;", "&amp;TRIM('Roster'!B428))),"#")</f>
        <v/>
      </c>
      <c r="AH428">
        <f>IF(AND(AE428=1,TRIM('Roster'!F428)&lt;&gt;""),LOWER(TRIM('Roster'!F428)),"#")</f>
        <v/>
      </c>
      <c r="AI428">
        <f>IF(AE428=1,IF(MATCH(B428,$B$2:$B$701,0)=ROW()-1,1,0),0)</f>
        <v/>
      </c>
      <c r="AJ428">
        <f>AJ427+AI428</f>
        <v/>
      </c>
      <c r="AK428">
        <f>IF(AE428=1,D428+(1000-ROW())/10^7,-1)</f>
        <v/>
      </c>
      <c r="AL428">
        <f>IF(AE428=1,TRIM('Roster'!B428)&amp;" "&amp;LEFT(TRIM('Roster'!C428),1)&amp;".","")</f>
        <v/>
      </c>
      <c r="AM428">
        <f>IF(AE428=1,TRIM('Roster'!C428)&amp;", "&amp;TRIM('Roster'!B428)&amp;" ("&amp;B428&amp;") #"&amp;AD428,"")</f>
        <v/>
      </c>
      <c r="AN428">
        <f>IF(AE428=1,TRIM('Roster'!E428),"")</f>
        <v/>
      </c>
      <c r="AO428">
        <f>IF(AE428=1,ROUND(SUMIFS('All Donations'!$S$2:$S$4001,'All Donations'!$R$2:$R$4001,AD428,'All Donations'!$T$2:$T$4001,"&gt;="&amp;'Settings'!$C$23,'All Donations'!$T$2:$T$4001,"&lt;="&amp;'Settings'!$D$23),2),0)</f>
        <v/>
      </c>
      <c r="AQ428">
        <f>IF(AE428=1,ROUND(SUMIFS('All Donations'!$S$2:$S$4001,'All Donations'!$R$2:$R$4001,AD428,'All Donations'!$T$2:$T$4001,"&gt;="&amp;'Settings'!$C$25,'All Donations'!$T$2:$T$4001,"&lt;="&amp;'Settings'!$D$25),2),0)</f>
        <v/>
      </c>
      <c r="AR428">
        <f>IF(AE428=1,ROUND(SUMIFS('All Donations'!$S$2:$S$4001,'All Donations'!$R$2:$R$4001,AD428,'All Donations'!$T$2:$T$4001,"&gt;="&amp;'Settings'!$C$26,'All Donations'!$T$2:$T$4001,"&lt;="&amp;'Settings'!$D$26),2),0)</f>
        <v/>
      </c>
      <c r="AS428">
        <f>IF(AE428=1,ROUND(SUMIFS('All Donations'!$S$2:$S$4001,'All Donations'!$R$2:$R$4001,AD428,'All Donations'!$T$2:$T$4001,"&lt;="&amp;'Settings'!$D$27),2),0)</f>
        <v/>
      </c>
      <c r="AT428">
        <f>IF(AE428=1,ROUND(SUMIFS('All Donations'!$S$2:$S$4001,'All Donations'!$R$2:$R$4001,AD428,'All Donations'!$T$2:$T$4001,"&gt;="&amp;'Settings'!$C$28,'All Donations'!$T$2:$T$4001,"&lt;="&amp;'Settings'!$D$28),2),0)</f>
        <v/>
      </c>
      <c r="AU428">
        <f>IF(AE428=1,ROUND(SUMIFS('All Donations'!$S$2:$S$4001,'All Donations'!$R$2:$R$4001,AD428,'All Donations'!$T$2:$T$4001,"&gt;="&amp;'Settings'!$C$29,'All Donations'!$T$2:$T$4001,"&lt;="&amp;'Settings'!$D$29),2),0)</f>
        <v/>
      </c>
      <c r="AV428">
        <f>IF(AE428=1,ROUND(SUMIFS('All Donations'!$S$2:$S$4001,'All Donations'!$R$2:$R$4001,AD428,'All Donations'!$T$2:$T$4001,"&lt;="&amp;'Settings'!$D$30),2),0)</f>
        <v/>
      </c>
      <c r="AZ428">
        <f>IF(AE428=1,ROUND(SUMIFS('All Donations'!$S$2:$S$4001,'All Donations'!$R$2:$R$4001,AD428,'All Donations'!$T$2:$T$4001,"&lt;="&amp;'Settings'!$D$34),2),0)</f>
        <v/>
      </c>
    </row>
    <row r="429">
      <c r="A429">
        <f>IF(AE429=1,TRIM(TRIM('Roster'!B429)&amp;" "&amp;TRIM('Roster'!C429)),"")</f>
        <v/>
      </c>
      <c r="B429">
        <f>IF(AE429=1,IF(AN429="","(no teacher)",AN429&amp;" – "&amp;C429),"")</f>
        <v/>
      </c>
      <c r="C429">
        <f>IF(AE429=1,TRIM('Roster'!D429&amp;""),"")</f>
        <v/>
      </c>
      <c r="D429" s="48">
        <f>IF(AE429=1,ROUND(SUMIFS('All Donations'!$S$2:$S$4001,'All Donations'!$R$2:$R$4001,AD429),2),"")</f>
        <v/>
      </c>
      <c r="E429" s="48">
        <f>IF(AE429=1,ROUND(SUMIFS('All Donations'!$S$2:$S$4001,'All Donations'!$R$2:$R$4001,AD429,'All Donations'!$G$2:$G$4001,"OneCause"),2),"")</f>
        <v/>
      </c>
      <c r="F429" s="48">
        <f>IF(AE429=1,D429-E429,"")</f>
        <v/>
      </c>
      <c r="G429">
        <f>IF(AE429=1,COUNTIFS('All Donations'!$R$2:$R$4001,AD429,'All Donations'!$H$2:$H$4001,"OK"),"")</f>
        <v/>
      </c>
      <c r="H429">
        <f>IF(AE429&lt;&gt;1,"",IF(D429&gt;0,"Yes",""))</f>
        <v/>
      </c>
      <c r="I429" s="49">
        <f>IF(OR($AE429&lt;&gt;1,I$1=""),"",SUMIFS('All Donations'!$S$2:$S$4001,'All Donations'!$R$2:$R$4001,$AD429,'All Donations'!$T$2:$T$4001,I$1))</f>
        <v/>
      </c>
      <c r="J429" s="49">
        <f>IF(OR($AE429&lt;&gt;1,J$1=""),"",SUMIFS('All Donations'!$S$2:$S$4001,'All Donations'!$R$2:$R$4001,$AD429,'All Donations'!$T$2:$T$4001,J$1))</f>
        <v/>
      </c>
      <c r="K429" s="49">
        <f>IF(OR($AE429&lt;&gt;1,K$1=""),"",SUMIFS('All Donations'!$S$2:$S$4001,'All Donations'!$R$2:$R$4001,$AD429,'All Donations'!$T$2:$T$4001,K$1))</f>
        <v/>
      </c>
      <c r="L429" s="49">
        <f>IF(OR($AE429&lt;&gt;1,L$1=""),"",SUMIFS('All Donations'!$S$2:$S$4001,'All Donations'!$R$2:$R$4001,$AD429,'All Donations'!$T$2:$T$4001,L$1))</f>
        <v/>
      </c>
      <c r="M429" s="49">
        <f>IF(OR($AE429&lt;&gt;1,M$1=""),"",SUMIFS('All Donations'!$S$2:$S$4001,'All Donations'!$R$2:$R$4001,$AD429,'All Donations'!$T$2:$T$4001,M$1))</f>
        <v/>
      </c>
      <c r="N429" s="49">
        <f>IF(OR($AE429&lt;&gt;1,N$1=""),"",SUMIFS('All Donations'!$S$2:$S$4001,'All Donations'!$R$2:$R$4001,$AD429,'All Donations'!$T$2:$T$4001,N$1))</f>
        <v/>
      </c>
      <c r="O429" s="49">
        <f>IF(OR($AE429&lt;&gt;1,O$1=""),"",SUMIFS('All Donations'!$S$2:$S$4001,'All Donations'!$R$2:$R$4001,$AD429,'All Donations'!$T$2:$T$4001,O$1))</f>
        <v/>
      </c>
      <c r="P429" s="49">
        <f>IF(OR($AE429&lt;&gt;1,P$1=""),"",SUMIFS('All Donations'!$S$2:$S$4001,'All Donations'!$R$2:$R$4001,$AD429,'All Donations'!$T$2:$T$4001,P$1))</f>
        <v/>
      </c>
      <c r="Q429" s="49">
        <f>IF(OR($AE429&lt;&gt;1,Q$1=""),"",SUMIFS('All Donations'!$S$2:$S$4001,'All Donations'!$R$2:$R$4001,$AD429,'All Donations'!$T$2:$T$4001,Q$1))</f>
        <v/>
      </c>
      <c r="R429" s="49">
        <f>IF(OR($AE429&lt;&gt;1,R$1=""),"",SUMIFS('All Donations'!$S$2:$S$4001,'All Donations'!$R$2:$R$4001,$AD429,'All Donations'!$T$2:$T$4001,R$1))</f>
        <v/>
      </c>
      <c r="S429" s="49">
        <f>IF(OR($AE429&lt;&gt;1,S$1=""),"",SUMIFS('All Donations'!$S$2:$S$4001,'All Donations'!$R$2:$R$4001,$AD429,'All Donations'!$T$2:$T$4001,S$1))</f>
        <v/>
      </c>
      <c r="T429" s="49">
        <f>IF(OR($AE429&lt;&gt;1,T$1=""),"",SUMIFS('All Donations'!$S$2:$S$4001,'All Donations'!$R$2:$R$4001,$AD429,'All Donations'!$T$2:$T$4001,T$1))</f>
        <v/>
      </c>
      <c r="U429" s="49">
        <f>IF(OR($AE429&lt;&gt;1,U$1=""),"",SUMIFS('All Donations'!$S$2:$S$4001,'All Donations'!$R$2:$R$4001,$AD429,'All Donations'!$T$2:$T$4001,U$1))</f>
        <v/>
      </c>
      <c r="V429" s="49">
        <f>IF(OR($AE429&lt;&gt;1,V$1=""),"",SUMIFS('All Donations'!$S$2:$S$4001,'All Donations'!$R$2:$R$4001,$AD429,'All Donations'!$T$2:$T$4001,V$1))</f>
        <v/>
      </c>
      <c r="W429" s="49">
        <f>IF(OR($AE429&lt;&gt;1,W$1=""),"",SUMIFS('All Donations'!$S$2:$S$4001,'All Donations'!$R$2:$R$4001,$AD429,'All Donations'!$T$2:$T$4001,W$1))</f>
        <v/>
      </c>
      <c r="X429" s="49">
        <f>IF(OR($AE429&lt;&gt;1,X$1=""),"",SUMIFS('All Donations'!$S$2:$S$4001,'All Donations'!$R$2:$R$4001,$AD429,'All Donations'!$T$2:$T$4001,X$1))</f>
        <v/>
      </c>
      <c r="Y429" s="49">
        <f>IF(OR($AE429&lt;&gt;1,Y$1=""),"",SUMIFS('All Donations'!$S$2:$S$4001,'All Donations'!$R$2:$R$4001,$AD429,'All Donations'!$T$2:$T$4001,Y$1))</f>
        <v/>
      </c>
      <c r="Z429" s="49">
        <f>IF(OR($AE429&lt;&gt;1,Z$1=""),"",SUMIFS('All Donations'!$S$2:$S$4001,'All Donations'!$R$2:$R$4001,$AD429,'All Donations'!$T$2:$T$4001,Z$1))</f>
        <v/>
      </c>
      <c r="AA429" s="49">
        <f>IF(OR($AE429&lt;&gt;1,AA$1=""),"",SUMIFS('All Donations'!$S$2:$S$4001,'All Donations'!$R$2:$R$4001,$AD429,'All Donations'!$T$2:$T$4001,AA$1))</f>
        <v/>
      </c>
      <c r="AB429" s="49">
        <f>IF(OR($AE429&lt;&gt;1,AB$1=""),"",SUMIFS('All Donations'!$S$2:$S$4001,'All Donations'!$R$2:$R$4001,$AD429,'All Donations'!$T$2:$T$4001,AB$1))</f>
        <v/>
      </c>
      <c r="AC429" s="49">
        <f>IF(OR($AE429&lt;&gt;1,AC$1=""),"",SUMIFS('All Donations'!$S$2:$S$4001,'All Donations'!$R$2:$R$4001,$AD429,'All Donations'!$T$2:$T$4001,AC$1))</f>
        <v/>
      </c>
      <c r="AD429">
        <f>IF(AE429=1,'Roster'!A429,"")</f>
        <v/>
      </c>
      <c r="AE429">
        <f>IF(TRIM('Roster'!B429&amp;'Roster'!C429)&lt;&gt;"",1,0)</f>
        <v/>
      </c>
      <c r="AF429">
        <f>IF(AE429=1,LOWER(A429),"#")</f>
        <v/>
      </c>
      <c r="AG429">
        <f>IF(AE429=1,LOWER(TRIM(TRIM('Roster'!C429)&amp;", "&amp;TRIM('Roster'!B429))),"#")</f>
        <v/>
      </c>
      <c r="AH429">
        <f>IF(AND(AE429=1,TRIM('Roster'!F429)&lt;&gt;""),LOWER(TRIM('Roster'!F429)),"#")</f>
        <v/>
      </c>
      <c r="AI429">
        <f>IF(AE429=1,IF(MATCH(B429,$B$2:$B$701,0)=ROW()-1,1,0),0)</f>
        <v/>
      </c>
      <c r="AJ429">
        <f>AJ428+AI429</f>
        <v/>
      </c>
      <c r="AK429">
        <f>IF(AE429=1,D429+(1000-ROW())/10^7,-1)</f>
        <v/>
      </c>
      <c r="AL429">
        <f>IF(AE429=1,TRIM('Roster'!B429)&amp;" "&amp;LEFT(TRIM('Roster'!C429),1)&amp;".","")</f>
        <v/>
      </c>
      <c r="AM429">
        <f>IF(AE429=1,TRIM('Roster'!C429)&amp;", "&amp;TRIM('Roster'!B429)&amp;" ("&amp;B429&amp;") #"&amp;AD429,"")</f>
        <v/>
      </c>
      <c r="AN429">
        <f>IF(AE429=1,TRIM('Roster'!E429),"")</f>
        <v/>
      </c>
      <c r="AO429">
        <f>IF(AE429=1,ROUND(SUMIFS('All Donations'!$S$2:$S$4001,'All Donations'!$R$2:$R$4001,AD429,'All Donations'!$T$2:$T$4001,"&gt;="&amp;'Settings'!$C$23,'All Donations'!$T$2:$T$4001,"&lt;="&amp;'Settings'!$D$23),2),0)</f>
        <v/>
      </c>
      <c r="AQ429">
        <f>IF(AE429=1,ROUND(SUMIFS('All Donations'!$S$2:$S$4001,'All Donations'!$R$2:$R$4001,AD429,'All Donations'!$T$2:$T$4001,"&gt;="&amp;'Settings'!$C$25,'All Donations'!$T$2:$T$4001,"&lt;="&amp;'Settings'!$D$25),2),0)</f>
        <v/>
      </c>
      <c r="AR429">
        <f>IF(AE429=1,ROUND(SUMIFS('All Donations'!$S$2:$S$4001,'All Donations'!$R$2:$R$4001,AD429,'All Donations'!$T$2:$T$4001,"&gt;="&amp;'Settings'!$C$26,'All Donations'!$T$2:$T$4001,"&lt;="&amp;'Settings'!$D$26),2),0)</f>
        <v/>
      </c>
      <c r="AS429">
        <f>IF(AE429=1,ROUND(SUMIFS('All Donations'!$S$2:$S$4001,'All Donations'!$R$2:$R$4001,AD429,'All Donations'!$T$2:$T$4001,"&lt;="&amp;'Settings'!$D$27),2),0)</f>
        <v/>
      </c>
      <c r="AT429">
        <f>IF(AE429=1,ROUND(SUMIFS('All Donations'!$S$2:$S$4001,'All Donations'!$R$2:$R$4001,AD429,'All Donations'!$T$2:$T$4001,"&gt;="&amp;'Settings'!$C$28,'All Donations'!$T$2:$T$4001,"&lt;="&amp;'Settings'!$D$28),2),0)</f>
        <v/>
      </c>
      <c r="AU429">
        <f>IF(AE429=1,ROUND(SUMIFS('All Donations'!$S$2:$S$4001,'All Donations'!$R$2:$R$4001,AD429,'All Donations'!$T$2:$T$4001,"&gt;="&amp;'Settings'!$C$29,'All Donations'!$T$2:$T$4001,"&lt;="&amp;'Settings'!$D$29),2),0)</f>
        <v/>
      </c>
      <c r="AV429">
        <f>IF(AE429=1,ROUND(SUMIFS('All Donations'!$S$2:$S$4001,'All Donations'!$R$2:$R$4001,AD429,'All Donations'!$T$2:$T$4001,"&lt;="&amp;'Settings'!$D$30),2),0)</f>
        <v/>
      </c>
      <c r="AZ429">
        <f>IF(AE429=1,ROUND(SUMIFS('All Donations'!$S$2:$S$4001,'All Donations'!$R$2:$R$4001,AD429,'All Donations'!$T$2:$T$4001,"&lt;="&amp;'Settings'!$D$34),2),0)</f>
        <v/>
      </c>
    </row>
    <row r="430">
      <c r="A430">
        <f>IF(AE430=1,TRIM(TRIM('Roster'!B430)&amp;" "&amp;TRIM('Roster'!C430)),"")</f>
        <v/>
      </c>
      <c r="B430">
        <f>IF(AE430=1,IF(AN430="","(no teacher)",AN430&amp;" – "&amp;C430),"")</f>
        <v/>
      </c>
      <c r="C430">
        <f>IF(AE430=1,TRIM('Roster'!D430&amp;""),"")</f>
        <v/>
      </c>
      <c r="D430" s="48">
        <f>IF(AE430=1,ROUND(SUMIFS('All Donations'!$S$2:$S$4001,'All Donations'!$R$2:$R$4001,AD430),2),"")</f>
        <v/>
      </c>
      <c r="E430" s="48">
        <f>IF(AE430=1,ROUND(SUMIFS('All Donations'!$S$2:$S$4001,'All Donations'!$R$2:$R$4001,AD430,'All Donations'!$G$2:$G$4001,"OneCause"),2),"")</f>
        <v/>
      </c>
      <c r="F430" s="48">
        <f>IF(AE430=1,D430-E430,"")</f>
        <v/>
      </c>
      <c r="G430">
        <f>IF(AE430=1,COUNTIFS('All Donations'!$R$2:$R$4001,AD430,'All Donations'!$H$2:$H$4001,"OK"),"")</f>
        <v/>
      </c>
      <c r="H430">
        <f>IF(AE430&lt;&gt;1,"",IF(D430&gt;0,"Yes",""))</f>
        <v/>
      </c>
      <c r="I430" s="49">
        <f>IF(OR($AE430&lt;&gt;1,I$1=""),"",SUMIFS('All Donations'!$S$2:$S$4001,'All Donations'!$R$2:$R$4001,$AD430,'All Donations'!$T$2:$T$4001,I$1))</f>
        <v/>
      </c>
      <c r="J430" s="49">
        <f>IF(OR($AE430&lt;&gt;1,J$1=""),"",SUMIFS('All Donations'!$S$2:$S$4001,'All Donations'!$R$2:$R$4001,$AD430,'All Donations'!$T$2:$T$4001,J$1))</f>
        <v/>
      </c>
      <c r="K430" s="49">
        <f>IF(OR($AE430&lt;&gt;1,K$1=""),"",SUMIFS('All Donations'!$S$2:$S$4001,'All Donations'!$R$2:$R$4001,$AD430,'All Donations'!$T$2:$T$4001,K$1))</f>
        <v/>
      </c>
      <c r="L430" s="49">
        <f>IF(OR($AE430&lt;&gt;1,L$1=""),"",SUMIFS('All Donations'!$S$2:$S$4001,'All Donations'!$R$2:$R$4001,$AD430,'All Donations'!$T$2:$T$4001,L$1))</f>
        <v/>
      </c>
      <c r="M430" s="49">
        <f>IF(OR($AE430&lt;&gt;1,M$1=""),"",SUMIFS('All Donations'!$S$2:$S$4001,'All Donations'!$R$2:$R$4001,$AD430,'All Donations'!$T$2:$T$4001,M$1))</f>
        <v/>
      </c>
      <c r="N430" s="49">
        <f>IF(OR($AE430&lt;&gt;1,N$1=""),"",SUMIFS('All Donations'!$S$2:$S$4001,'All Donations'!$R$2:$R$4001,$AD430,'All Donations'!$T$2:$T$4001,N$1))</f>
        <v/>
      </c>
      <c r="O430" s="49">
        <f>IF(OR($AE430&lt;&gt;1,O$1=""),"",SUMIFS('All Donations'!$S$2:$S$4001,'All Donations'!$R$2:$R$4001,$AD430,'All Donations'!$T$2:$T$4001,O$1))</f>
        <v/>
      </c>
      <c r="P430" s="49">
        <f>IF(OR($AE430&lt;&gt;1,P$1=""),"",SUMIFS('All Donations'!$S$2:$S$4001,'All Donations'!$R$2:$R$4001,$AD430,'All Donations'!$T$2:$T$4001,P$1))</f>
        <v/>
      </c>
      <c r="Q430" s="49">
        <f>IF(OR($AE430&lt;&gt;1,Q$1=""),"",SUMIFS('All Donations'!$S$2:$S$4001,'All Donations'!$R$2:$R$4001,$AD430,'All Donations'!$T$2:$T$4001,Q$1))</f>
        <v/>
      </c>
      <c r="R430" s="49">
        <f>IF(OR($AE430&lt;&gt;1,R$1=""),"",SUMIFS('All Donations'!$S$2:$S$4001,'All Donations'!$R$2:$R$4001,$AD430,'All Donations'!$T$2:$T$4001,R$1))</f>
        <v/>
      </c>
      <c r="S430" s="49">
        <f>IF(OR($AE430&lt;&gt;1,S$1=""),"",SUMIFS('All Donations'!$S$2:$S$4001,'All Donations'!$R$2:$R$4001,$AD430,'All Donations'!$T$2:$T$4001,S$1))</f>
        <v/>
      </c>
      <c r="T430" s="49">
        <f>IF(OR($AE430&lt;&gt;1,T$1=""),"",SUMIFS('All Donations'!$S$2:$S$4001,'All Donations'!$R$2:$R$4001,$AD430,'All Donations'!$T$2:$T$4001,T$1))</f>
        <v/>
      </c>
      <c r="U430" s="49">
        <f>IF(OR($AE430&lt;&gt;1,U$1=""),"",SUMIFS('All Donations'!$S$2:$S$4001,'All Donations'!$R$2:$R$4001,$AD430,'All Donations'!$T$2:$T$4001,U$1))</f>
        <v/>
      </c>
      <c r="V430" s="49">
        <f>IF(OR($AE430&lt;&gt;1,V$1=""),"",SUMIFS('All Donations'!$S$2:$S$4001,'All Donations'!$R$2:$R$4001,$AD430,'All Donations'!$T$2:$T$4001,V$1))</f>
        <v/>
      </c>
      <c r="W430" s="49">
        <f>IF(OR($AE430&lt;&gt;1,W$1=""),"",SUMIFS('All Donations'!$S$2:$S$4001,'All Donations'!$R$2:$R$4001,$AD430,'All Donations'!$T$2:$T$4001,W$1))</f>
        <v/>
      </c>
      <c r="X430" s="49">
        <f>IF(OR($AE430&lt;&gt;1,X$1=""),"",SUMIFS('All Donations'!$S$2:$S$4001,'All Donations'!$R$2:$R$4001,$AD430,'All Donations'!$T$2:$T$4001,X$1))</f>
        <v/>
      </c>
      <c r="Y430" s="49">
        <f>IF(OR($AE430&lt;&gt;1,Y$1=""),"",SUMIFS('All Donations'!$S$2:$S$4001,'All Donations'!$R$2:$R$4001,$AD430,'All Donations'!$T$2:$T$4001,Y$1))</f>
        <v/>
      </c>
      <c r="Z430" s="49">
        <f>IF(OR($AE430&lt;&gt;1,Z$1=""),"",SUMIFS('All Donations'!$S$2:$S$4001,'All Donations'!$R$2:$R$4001,$AD430,'All Donations'!$T$2:$T$4001,Z$1))</f>
        <v/>
      </c>
      <c r="AA430" s="49">
        <f>IF(OR($AE430&lt;&gt;1,AA$1=""),"",SUMIFS('All Donations'!$S$2:$S$4001,'All Donations'!$R$2:$R$4001,$AD430,'All Donations'!$T$2:$T$4001,AA$1))</f>
        <v/>
      </c>
      <c r="AB430" s="49">
        <f>IF(OR($AE430&lt;&gt;1,AB$1=""),"",SUMIFS('All Donations'!$S$2:$S$4001,'All Donations'!$R$2:$R$4001,$AD430,'All Donations'!$T$2:$T$4001,AB$1))</f>
        <v/>
      </c>
      <c r="AC430" s="49">
        <f>IF(OR($AE430&lt;&gt;1,AC$1=""),"",SUMIFS('All Donations'!$S$2:$S$4001,'All Donations'!$R$2:$R$4001,$AD430,'All Donations'!$T$2:$T$4001,AC$1))</f>
        <v/>
      </c>
      <c r="AD430">
        <f>IF(AE430=1,'Roster'!A430,"")</f>
        <v/>
      </c>
      <c r="AE430">
        <f>IF(TRIM('Roster'!B430&amp;'Roster'!C430)&lt;&gt;"",1,0)</f>
        <v/>
      </c>
      <c r="AF430">
        <f>IF(AE430=1,LOWER(A430),"#")</f>
        <v/>
      </c>
      <c r="AG430">
        <f>IF(AE430=1,LOWER(TRIM(TRIM('Roster'!C430)&amp;", "&amp;TRIM('Roster'!B430))),"#")</f>
        <v/>
      </c>
      <c r="AH430">
        <f>IF(AND(AE430=1,TRIM('Roster'!F430)&lt;&gt;""),LOWER(TRIM('Roster'!F430)),"#")</f>
        <v/>
      </c>
      <c r="AI430">
        <f>IF(AE430=1,IF(MATCH(B430,$B$2:$B$701,0)=ROW()-1,1,0),0)</f>
        <v/>
      </c>
      <c r="AJ430">
        <f>AJ429+AI430</f>
        <v/>
      </c>
      <c r="AK430">
        <f>IF(AE430=1,D430+(1000-ROW())/10^7,-1)</f>
        <v/>
      </c>
      <c r="AL430">
        <f>IF(AE430=1,TRIM('Roster'!B430)&amp;" "&amp;LEFT(TRIM('Roster'!C430),1)&amp;".","")</f>
        <v/>
      </c>
      <c r="AM430">
        <f>IF(AE430=1,TRIM('Roster'!C430)&amp;", "&amp;TRIM('Roster'!B430)&amp;" ("&amp;B430&amp;") #"&amp;AD430,"")</f>
        <v/>
      </c>
      <c r="AN430">
        <f>IF(AE430=1,TRIM('Roster'!E430),"")</f>
        <v/>
      </c>
      <c r="AO430">
        <f>IF(AE430=1,ROUND(SUMIFS('All Donations'!$S$2:$S$4001,'All Donations'!$R$2:$R$4001,AD430,'All Donations'!$T$2:$T$4001,"&gt;="&amp;'Settings'!$C$23,'All Donations'!$T$2:$T$4001,"&lt;="&amp;'Settings'!$D$23),2),0)</f>
        <v/>
      </c>
      <c r="AQ430">
        <f>IF(AE430=1,ROUND(SUMIFS('All Donations'!$S$2:$S$4001,'All Donations'!$R$2:$R$4001,AD430,'All Donations'!$T$2:$T$4001,"&gt;="&amp;'Settings'!$C$25,'All Donations'!$T$2:$T$4001,"&lt;="&amp;'Settings'!$D$25),2),0)</f>
        <v/>
      </c>
      <c r="AR430">
        <f>IF(AE430=1,ROUND(SUMIFS('All Donations'!$S$2:$S$4001,'All Donations'!$R$2:$R$4001,AD430,'All Donations'!$T$2:$T$4001,"&gt;="&amp;'Settings'!$C$26,'All Donations'!$T$2:$T$4001,"&lt;="&amp;'Settings'!$D$26),2),0)</f>
        <v/>
      </c>
      <c r="AS430">
        <f>IF(AE430=1,ROUND(SUMIFS('All Donations'!$S$2:$S$4001,'All Donations'!$R$2:$R$4001,AD430,'All Donations'!$T$2:$T$4001,"&lt;="&amp;'Settings'!$D$27),2),0)</f>
        <v/>
      </c>
      <c r="AT430">
        <f>IF(AE430=1,ROUND(SUMIFS('All Donations'!$S$2:$S$4001,'All Donations'!$R$2:$R$4001,AD430,'All Donations'!$T$2:$T$4001,"&gt;="&amp;'Settings'!$C$28,'All Donations'!$T$2:$T$4001,"&lt;="&amp;'Settings'!$D$28),2),0)</f>
        <v/>
      </c>
      <c r="AU430">
        <f>IF(AE430=1,ROUND(SUMIFS('All Donations'!$S$2:$S$4001,'All Donations'!$R$2:$R$4001,AD430,'All Donations'!$T$2:$T$4001,"&gt;="&amp;'Settings'!$C$29,'All Donations'!$T$2:$T$4001,"&lt;="&amp;'Settings'!$D$29),2),0)</f>
        <v/>
      </c>
      <c r="AV430">
        <f>IF(AE430=1,ROUND(SUMIFS('All Donations'!$S$2:$S$4001,'All Donations'!$R$2:$R$4001,AD430,'All Donations'!$T$2:$T$4001,"&lt;="&amp;'Settings'!$D$30),2),0)</f>
        <v/>
      </c>
      <c r="AZ430">
        <f>IF(AE430=1,ROUND(SUMIFS('All Donations'!$S$2:$S$4001,'All Donations'!$R$2:$R$4001,AD430,'All Donations'!$T$2:$T$4001,"&lt;="&amp;'Settings'!$D$34),2),0)</f>
        <v/>
      </c>
    </row>
    <row r="431">
      <c r="A431">
        <f>IF(AE431=1,TRIM(TRIM('Roster'!B431)&amp;" "&amp;TRIM('Roster'!C431)),"")</f>
        <v/>
      </c>
      <c r="B431">
        <f>IF(AE431=1,IF(AN431="","(no teacher)",AN431&amp;" – "&amp;C431),"")</f>
        <v/>
      </c>
      <c r="C431">
        <f>IF(AE431=1,TRIM('Roster'!D431&amp;""),"")</f>
        <v/>
      </c>
      <c r="D431" s="48">
        <f>IF(AE431=1,ROUND(SUMIFS('All Donations'!$S$2:$S$4001,'All Donations'!$R$2:$R$4001,AD431),2),"")</f>
        <v/>
      </c>
      <c r="E431" s="48">
        <f>IF(AE431=1,ROUND(SUMIFS('All Donations'!$S$2:$S$4001,'All Donations'!$R$2:$R$4001,AD431,'All Donations'!$G$2:$G$4001,"OneCause"),2),"")</f>
        <v/>
      </c>
      <c r="F431" s="48">
        <f>IF(AE431=1,D431-E431,"")</f>
        <v/>
      </c>
      <c r="G431">
        <f>IF(AE431=1,COUNTIFS('All Donations'!$R$2:$R$4001,AD431,'All Donations'!$H$2:$H$4001,"OK"),"")</f>
        <v/>
      </c>
      <c r="H431">
        <f>IF(AE431&lt;&gt;1,"",IF(D431&gt;0,"Yes",""))</f>
        <v/>
      </c>
      <c r="I431" s="49">
        <f>IF(OR($AE431&lt;&gt;1,I$1=""),"",SUMIFS('All Donations'!$S$2:$S$4001,'All Donations'!$R$2:$R$4001,$AD431,'All Donations'!$T$2:$T$4001,I$1))</f>
        <v/>
      </c>
      <c r="J431" s="49">
        <f>IF(OR($AE431&lt;&gt;1,J$1=""),"",SUMIFS('All Donations'!$S$2:$S$4001,'All Donations'!$R$2:$R$4001,$AD431,'All Donations'!$T$2:$T$4001,J$1))</f>
        <v/>
      </c>
      <c r="K431" s="49">
        <f>IF(OR($AE431&lt;&gt;1,K$1=""),"",SUMIFS('All Donations'!$S$2:$S$4001,'All Donations'!$R$2:$R$4001,$AD431,'All Donations'!$T$2:$T$4001,K$1))</f>
        <v/>
      </c>
      <c r="L431" s="49">
        <f>IF(OR($AE431&lt;&gt;1,L$1=""),"",SUMIFS('All Donations'!$S$2:$S$4001,'All Donations'!$R$2:$R$4001,$AD431,'All Donations'!$T$2:$T$4001,L$1))</f>
        <v/>
      </c>
      <c r="M431" s="49">
        <f>IF(OR($AE431&lt;&gt;1,M$1=""),"",SUMIFS('All Donations'!$S$2:$S$4001,'All Donations'!$R$2:$R$4001,$AD431,'All Donations'!$T$2:$T$4001,M$1))</f>
        <v/>
      </c>
      <c r="N431" s="49">
        <f>IF(OR($AE431&lt;&gt;1,N$1=""),"",SUMIFS('All Donations'!$S$2:$S$4001,'All Donations'!$R$2:$R$4001,$AD431,'All Donations'!$T$2:$T$4001,N$1))</f>
        <v/>
      </c>
      <c r="O431" s="49">
        <f>IF(OR($AE431&lt;&gt;1,O$1=""),"",SUMIFS('All Donations'!$S$2:$S$4001,'All Donations'!$R$2:$R$4001,$AD431,'All Donations'!$T$2:$T$4001,O$1))</f>
        <v/>
      </c>
      <c r="P431" s="49">
        <f>IF(OR($AE431&lt;&gt;1,P$1=""),"",SUMIFS('All Donations'!$S$2:$S$4001,'All Donations'!$R$2:$R$4001,$AD431,'All Donations'!$T$2:$T$4001,P$1))</f>
        <v/>
      </c>
      <c r="Q431" s="49">
        <f>IF(OR($AE431&lt;&gt;1,Q$1=""),"",SUMIFS('All Donations'!$S$2:$S$4001,'All Donations'!$R$2:$R$4001,$AD431,'All Donations'!$T$2:$T$4001,Q$1))</f>
        <v/>
      </c>
      <c r="R431" s="49">
        <f>IF(OR($AE431&lt;&gt;1,R$1=""),"",SUMIFS('All Donations'!$S$2:$S$4001,'All Donations'!$R$2:$R$4001,$AD431,'All Donations'!$T$2:$T$4001,R$1))</f>
        <v/>
      </c>
      <c r="S431" s="49">
        <f>IF(OR($AE431&lt;&gt;1,S$1=""),"",SUMIFS('All Donations'!$S$2:$S$4001,'All Donations'!$R$2:$R$4001,$AD431,'All Donations'!$T$2:$T$4001,S$1))</f>
        <v/>
      </c>
      <c r="T431" s="49">
        <f>IF(OR($AE431&lt;&gt;1,T$1=""),"",SUMIFS('All Donations'!$S$2:$S$4001,'All Donations'!$R$2:$R$4001,$AD431,'All Donations'!$T$2:$T$4001,T$1))</f>
        <v/>
      </c>
      <c r="U431" s="49">
        <f>IF(OR($AE431&lt;&gt;1,U$1=""),"",SUMIFS('All Donations'!$S$2:$S$4001,'All Donations'!$R$2:$R$4001,$AD431,'All Donations'!$T$2:$T$4001,U$1))</f>
        <v/>
      </c>
      <c r="V431" s="49">
        <f>IF(OR($AE431&lt;&gt;1,V$1=""),"",SUMIFS('All Donations'!$S$2:$S$4001,'All Donations'!$R$2:$R$4001,$AD431,'All Donations'!$T$2:$T$4001,V$1))</f>
        <v/>
      </c>
      <c r="W431" s="49">
        <f>IF(OR($AE431&lt;&gt;1,W$1=""),"",SUMIFS('All Donations'!$S$2:$S$4001,'All Donations'!$R$2:$R$4001,$AD431,'All Donations'!$T$2:$T$4001,W$1))</f>
        <v/>
      </c>
      <c r="X431" s="49">
        <f>IF(OR($AE431&lt;&gt;1,X$1=""),"",SUMIFS('All Donations'!$S$2:$S$4001,'All Donations'!$R$2:$R$4001,$AD431,'All Donations'!$T$2:$T$4001,X$1))</f>
        <v/>
      </c>
      <c r="Y431" s="49">
        <f>IF(OR($AE431&lt;&gt;1,Y$1=""),"",SUMIFS('All Donations'!$S$2:$S$4001,'All Donations'!$R$2:$R$4001,$AD431,'All Donations'!$T$2:$T$4001,Y$1))</f>
        <v/>
      </c>
      <c r="Z431" s="49">
        <f>IF(OR($AE431&lt;&gt;1,Z$1=""),"",SUMIFS('All Donations'!$S$2:$S$4001,'All Donations'!$R$2:$R$4001,$AD431,'All Donations'!$T$2:$T$4001,Z$1))</f>
        <v/>
      </c>
      <c r="AA431" s="49">
        <f>IF(OR($AE431&lt;&gt;1,AA$1=""),"",SUMIFS('All Donations'!$S$2:$S$4001,'All Donations'!$R$2:$R$4001,$AD431,'All Donations'!$T$2:$T$4001,AA$1))</f>
        <v/>
      </c>
      <c r="AB431" s="49">
        <f>IF(OR($AE431&lt;&gt;1,AB$1=""),"",SUMIFS('All Donations'!$S$2:$S$4001,'All Donations'!$R$2:$R$4001,$AD431,'All Donations'!$T$2:$T$4001,AB$1))</f>
        <v/>
      </c>
      <c r="AC431" s="49">
        <f>IF(OR($AE431&lt;&gt;1,AC$1=""),"",SUMIFS('All Donations'!$S$2:$S$4001,'All Donations'!$R$2:$R$4001,$AD431,'All Donations'!$T$2:$T$4001,AC$1))</f>
        <v/>
      </c>
      <c r="AD431">
        <f>IF(AE431=1,'Roster'!A431,"")</f>
        <v/>
      </c>
      <c r="AE431">
        <f>IF(TRIM('Roster'!B431&amp;'Roster'!C431)&lt;&gt;"",1,0)</f>
        <v/>
      </c>
      <c r="AF431">
        <f>IF(AE431=1,LOWER(A431),"#")</f>
        <v/>
      </c>
      <c r="AG431">
        <f>IF(AE431=1,LOWER(TRIM(TRIM('Roster'!C431)&amp;", "&amp;TRIM('Roster'!B431))),"#")</f>
        <v/>
      </c>
      <c r="AH431">
        <f>IF(AND(AE431=1,TRIM('Roster'!F431)&lt;&gt;""),LOWER(TRIM('Roster'!F431)),"#")</f>
        <v/>
      </c>
      <c r="AI431">
        <f>IF(AE431=1,IF(MATCH(B431,$B$2:$B$701,0)=ROW()-1,1,0),0)</f>
        <v/>
      </c>
      <c r="AJ431">
        <f>AJ430+AI431</f>
        <v/>
      </c>
      <c r="AK431">
        <f>IF(AE431=1,D431+(1000-ROW())/10^7,-1)</f>
        <v/>
      </c>
      <c r="AL431">
        <f>IF(AE431=1,TRIM('Roster'!B431)&amp;" "&amp;LEFT(TRIM('Roster'!C431),1)&amp;".","")</f>
        <v/>
      </c>
      <c r="AM431">
        <f>IF(AE431=1,TRIM('Roster'!C431)&amp;", "&amp;TRIM('Roster'!B431)&amp;" ("&amp;B431&amp;") #"&amp;AD431,"")</f>
        <v/>
      </c>
      <c r="AN431">
        <f>IF(AE431=1,TRIM('Roster'!E431),"")</f>
        <v/>
      </c>
      <c r="AO431">
        <f>IF(AE431=1,ROUND(SUMIFS('All Donations'!$S$2:$S$4001,'All Donations'!$R$2:$R$4001,AD431,'All Donations'!$T$2:$T$4001,"&gt;="&amp;'Settings'!$C$23,'All Donations'!$T$2:$T$4001,"&lt;="&amp;'Settings'!$D$23),2),0)</f>
        <v/>
      </c>
      <c r="AQ431">
        <f>IF(AE431=1,ROUND(SUMIFS('All Donations'!$S$2:$S$4001,'All Donations'!$R$2:$R$4001,AD431,'All Donations'!$T$2:$T$4001,"&gt;="&amp;'Settings'!$C$25,'All Donations'!$T$2:$T$4001,"&lt;="&amp;'Settings'!$D$25),2),0)</f>
        <v/>
      </c>
      <c r="AR431">
        <f>IF(AE431=1,ROUND(SUMIFS('All Donations'!$S$2:$S$4001,'All Donations'!$R$2:$R$4001,AD431,'All Donations'!$T$2:$T$4001,"&gt;="&amp;'Settings'!$C$26,'All Donations'!$T$2:$T$4001,"&lt;="&amp;'Settings'!$D$26),2),0)</f>
        <v/>
      </c>
      <c r="AS431">
        <f>IF(AE431=1,ROUND(SUMIFS('All Donations'!$S$2:$S$4001,'All Donations'!$R$2:$R$4001,AD431,'All Donations'!$T$2:$T$4001,"&lt;="&amp;'Settings'!$D$27),2),0)</f>
        <v/>
      </c>
      <c r="AT431">
        <f>IF(AE431=1,ROUND(SUMIFS('All Donations'!$S$2:$S$4001,'All Donations'!$R$2:$R$4001,AD431,'All Donations'!$T$2:$T$4001,"&gt;="&amp;'Settings'!$C$28,'All Donations'!$T$2:$T$4001,"&lt;="&amp;'Settings'!$D$28),2),0)</f>
        <v/>
      </c>
      <c r="AU431">
        <f>IF(AE431=1,ROUND(SUMIFS('All Donations'!$S$2:$S$4001,'All Donations'!$R$2:$R$4001,AD431,'All Donations'!$T$2:$T$4001,"&gt;="&amp;'Settings'!$C$29,'All Donations'!$T$2:$T$4001,"&lt;="&amp;'Settings'!$D$29),2),0)</f>
        <v/>
      </c>
      <c r="AV431">
        <f>IF(AE431=1,ROUND(SUMIFS('All Donations'!$S$2:$S$4001,'All Donations'!$R$2:$R$4001,AD431,'All Donations'!$T$2:$T$4001,"&lt;="&amp;'Settings'!$D$30),2),0)</f>
        <v/>
      </c>
      <c r="AZ431">
        <f>IF(AE431=1,ROUND(SUMIFS('All Donations'!$S$2:$S$4001,'All Donations'!$R$2:$R$4001,AD431,'All Donations'!$T$2:$T$4001,"&lt;="&amp;'Settings'!$D$34),2),0)</f>
        <v/>
      </c>
    </row>
    <row r="432">
      <c r="A432">
        <f>IF(AE432=1,TRIM(TRIM('Roster'!B432)&amp;" "&amp;TRIM('Roster'!C432)),"")</f>
        <v/>
      </c>
      <c r="B432">
        <f>IF(AE432=1,IF(AN432="","(no teacher)",AN432&amp;" – "&amp;C432),"")</f>
        <v/>
      </c>
      <c r="C432">
        <f>IF(AE432=1,TRIM('Roster'!D432&amp;""),"")</f>
        <v/>
      </c>
      <c r="D432" s="48">
        <f>IF(AE432=1,ROUND(SUMIFS('All Donations'!$S$2:$S$4001,'All Donations'!$R$2:$R$4001,AD432),2),"")</f>
        <v/>
      </c>
      <c r="E432" s="48">
        <f>IF(AE432=1,ROUND(SUMIFS('All Donations'!$S$2:$S$4001,'All Donations'!$R$2:$R$4001,AD432,'All Donations'!$G$2:$G$4001,"OneCause"),2),"")</f>
        <v/>
      </c>
      <c r="F432" s="48">
        <f>IF(AE432=1,D432-E432,"")</f>
        <v/>
      </c>
      <c r="G432">
        <f>IF(AE432=1,COUNTIFS('All Donations'!$R$2:$R$4001,AD432,'All Donations'!$H$2:$H$4001,"OK"),"")</f>
        <v/>
      </c>
      <c r="H432">
        <f>IF(AE432&lt;&gt;1,"",IF(D432&gt;0,"Yes",""))</f>
        <v/>
      </c>
      <c r="I432" s="49">
        <f>IF(OR($AE432&lt;&gt;1,I$1=""),"",SUMIFS('All Donations'!$S$2:$S$4001,'All Donations'!$R$2:$R$4001,$AD432,'All Donations'!$T$2:$T$4001,I$1))</f>
        <v/>
      </c>
      <c r="J432" s="49">
        <f>IF(OR($AE432&lt;&gt;1,J$1=""),"",SUMIFS('All Donations'!$S$2:$S$4001,'All Donations'!$R$2:$R$4001,$AD432,'All Donations'!$T$2:$T$4001,J$1))</f>
        <v/>
      </c>
      <c r="K432" s="49">
        <f>IF(OR($AE432&lt;&gt;1,K$1=""),"",SUMIFS('All Donations'!$S$2:$S$4001,'All Donations'!$R$2:$R$4001,$AD432,'All Donations'!$T$2:$T$4001,K$1))</f>
        <v/>
      </c>
      <c r="L432" s="49">
        <f>IF(OR($AE432&lt;&gt;1,L$1=""),"",SUMIFS('All Donations'!$S$2:$S$4001,'All Donations'!$R$2:$R$4001,$AD432,'All Donations'!$T$2:$T$4001,L$1))</f>
        <v/>
      </c>
      <c r="M432" s="49">
        <f>IF(OR($AE432&lt;&gt;1,M$1=""),"",SUMIFS('All Donations'!$S$2:$S$4001,'All Donations'!$R$2:$R$4001,$AD432,'All Donations'!$T$2:$T$4001,M$1))</f>
        <v/>
      </c>
      <c r="N432" s="49">
        <f>IF(OR($AE432&lt;&gt;1,N$1=""),"",SUMIFS('All Donations'!$S$2:$S$4001,'All Donations'!$R$2:$R$4001,$AD432,'All Donations'!$T$2:$T$4001,N$1))</f>
        <v/>
      </c>
      <c r="O432" s="49">
        <f>IF(OR($AE432&lt;&gt;1,O$1=""),"",SUMIFS('All Donations'!$S$2:$S$4001,'All Donations'!$R$2:$R$4001,$AD432,'All Donations'!$T$2:$T$4001,O$1))</f>
        <v/>
      </c>
      <c r="P432" s="49">
        <f>IF(OR($AE432&lt;&gt;1,P$1=""),"",SUMIFS('All Donations'!$S$2:$S$4001,'All Donations'!$R$2:$R$4001,$AD432,'All Donations'!$T$2:$T$4001,P$1))</f>
        <v/>
      </c>
      <c r="Q432" s="49">
        <f>IF(OR($AE432&lt;&gt;1,Q$1=""),"",SUMIFS('All Donations'!$S$2:$S$4001,'All Donations'!$R$2:$R$4001,$AD432,'All Donations'!$T$2:$T$4001,Q$1))</f>
        <v/>
      </c>
      <c r="R432" s="49">
        <f>IF(OR($AE432&lt;&gt;1,R$1=""),"",SUMIFS('All Donations'!$S$2:$S$4001,'All Donations'!$R$2:$R$4001,$AD432,'All Donations'!$T$2:$T$4001,R$1))</f>
        <v/>
      </c>
      <c r="S432" s="49">
        <f>IF(OR($AE432&lt;&gt;1,S$1=""),"",SUMIFS('All Donations'!$S$2:$S$4001,'All Donations'!$R$2:$R$4001,$AD432,'All Donations'!$T$2:$T$4001,S$1))</f>
        <v/>
      </c>
      <c r="T432" s="49">
        <f>IF(OR($AE432&lt;&gt;1,T$1=""),"",SUMIFS('All Donations'!$S$2:$S$4001,'All Donations'!$R$2:$R$4001,$AD432,'All Donations'!$T$2:$T$4001,T$1))</f>
        <v/>
      </c>
      <c r="U432" s="49">
        <f>IF(OR($AE432&lt;&gt;1,U$1=""),"",SUMIFS('All Donations'!$S$2:$S$4001,'All Donations'!$R$2:$R$4001,$AD432,'All Donations'!$T$2:$T$4001,U$1))</f>
        <v/>
      </c>
      <c r="V432" s="49">
        <f>IF(OR($AE432&lt;&gt;1,V$1=""),"",SUMIFS('All Donations'!$S$2:$S$4001,'All Donations'!$R$2:$R$4001,$AD432,'All Donations'!$T$2:$T$4001,V$1))</f>
        <v/>
      </c>
      <c r="W432" s="49">
        <f>IF(OR($AE432&lt;&gt;1,W$1=""),"",SUMIFS('All Donations'!$S$2:$S$4001,'All Donations'!$R$2:$R$4001,$AD432,'All Donations'!$T$2:$T$4001,W$1))</f>
        <v/>
      </c>
      <c r="X432" s="49">
        <f>IF(OR($AE432&lt;&gt;1,X$1=""),"",SUMIFS('All Donations'!$S$2:$S$4001,'All Donations'!$R$2:$R$4001,$AD432,'All Donations'!$T$2:$T$4001,X$1))</f>
        <v/>
      </c>
      <c r="Y432" s="49">
        <f>IF(OR($AE432&lt;&gt;1,Y$1=""),"",SUMIFS('All Donations'!$S$2:$S$4001,'All Donations'!$R$2:$R$4001,$AD432,'All Donations'!$T$2:$T$4001,Y$1))</f>
        <v/>
      </c>
      <c r="Z432" s="49">
        <f>IF(OR($AE432&lt;&gt;1,Z$1=""),"",SUMIFS('All Donations'!$S$2:$S$4001,'All Donations'!$R$2:$R$4001,$AD432,'All Donations'!$T$2:$T$4001,Z$1))</f>
        <v/>
      </c>
      <c r="AA432" s="49">
        <f>IF(OR($AE432&lt;&gt;1,AA$1=""),"",SUMIFS('All Donations'!$S$2:$S$4001,'All Donations'!$R$2:$R$4001,$AD432,'All Donations'!$T$2:$T$4001,AA$1))</f>
        <v/>
      </c>
      <c r="AB432" s="49">
        <f>IF(OR($AE432&lt;&gt;1,AB$1=""),"",SUMIFS('All Donations'!$S$2:$S$4001,'All Donations'!$R$2:$R$4001,$AD432,'All Donations'!$T$2:$T$4001,AB$1))</f>
        <v/>
      </c>
      <c r="AC432" s="49">
        <f>IF(OR($AE432&lt;&gt;1,AC$1=""),"",SUMIFS('All Donations'!$S$2:$S$4001,'All Donations'!$R$2:$R$4001,$AD432,'All Donations'!$T$2:$T$4001,AC$1))</f>
        <v/>
      </c>
      <c r="AD432">
        <f>IF(AE432=1,'Roster'!A432,"")</f>
        <v/>
      </c>
      <c r="AE432">
        <f>IF(TRIM('Roster'!B432&amp;'Roster'!C432)&lt;&gt;"",1,0)</f>
        <v/>
      </c>
      <c r="AF432">
        <f>IF(AE432=1,LOWER(A432),"#")</f>
        <v/>
      </c>
      <c r="AG432">
        <f>IF(AE432=1,LOWER(TRIM(TRIM('Roster'!C432)&amp;", "&amp;TRIM('Roster'!B432))),"#")</f>
        <v/>
      </c>
      <c r="AH432">
        <f>IF(AND(AE432=1,TRIM('Roster'!F432)&lt;&gt;""),LOWER(TRIM('Roster'!F432)),"#")</f>
        <v/>
      </c>
      <c r="AI432">
        <f>IF(AE432=1,IF(MATCH(B432,$B$2:$B$701,0)=ROW()-1,1,0),0)</f>
        <v/>
      </c>
      <c r="AJ432">
        <f>AJ431+AI432</f>
        <v/>
      </c>
      <c r="AK432">
        <f>IF(AE432=1,D432+(1000-ROW())/10^7,-1)</f>
        <v/>
      </c>
      <c r="AL432">
        <f>IF(AE432=1,TRIM('Roster'!B432)&amp;" "&amp;LEFT(TRIM('Roster'!C432),1)&amp;".","")</f>
        <v/>
      </c>
      <c r="AM432">
        <f>IF(AE432=1,TRIM('Roster'!C432)&amp;", "&amp;TRIM('Roster'!B432)&amp;" ("&amp;B432&amp;") #"&amp;AD432,"")</f>
        <v/>
      </c>
      <c r="AN432">
        <f>IF(AE432=1,TRIM('Roster'!E432),"")</f>
        <v/>
      </c>
      <c r="AO432">
        <f>IF(AE432=1,ROUND(SUMIFS('All Donations'!$S$2:$S$4001,'All Donations'!$R$2:$R$4001,AD432,'All Donations'!$T$2:$T$4001,"&gt;="&amp;'Settings'!$C$23,'All Donations'!$T$2:$T$4001,"&lt;="&amp;'Settings'!$D$23),2),0)</f>
        <v/>
      </c>
      <c r="AQ432">
        <f>IF(AE432=1,ROUND(SUMIFS('All Donations'!$S$2:$S$4001,'All Donations'!$R$2:$R$4001,AD432,'All Donations'!$T$2:$T$4001,"&gt;="&amp;'Settings'!$C$25,'All Donations'!$T$2:$T$4001,"&lt;="&amp;'Settings'!$D$25),2),0)</f>
        <v/>
      </c>
      <c r="AR432">
        <f>IF(AE432=1,ROUND(SUMIFS('All Donations'!$S$2:$S$4001,'All Donations'!$R$2:$R$4001,AD432,'All Donations'!$T$2:$T$4001,"&gt;="&amp;'Settings'!$C$26,'All Donations'!$T$2:$T$4001,"&lt;="&amp;'Settings'!$D$26),2),0)</f>
        <v/>
      </c>
      <c r="AS432">
        <f>IF(AE432=1,ROUND(SUMIFS('All Donations'!$S$2:$S$4001,'All Donations'!$R$2:$R$4001,AD432,'All Donations'!$T$2:$T$4001,"&lt;="&amp;'Settings'!$D$27),2),0)</f>
        <v/>
      </c>
      <c r="AT432">
        <f>IF(AE432=1,ROUND(SUMIFS('All Donations'!$S$2:$S$4001,'All Donations'!$R$2:$R$4001,AD432,'All Donations'!$T$2:$T$4001,"&gt;="&amp;'Settings'!$C$28,'All Donations'!$T$2:$T$4001,"&lt;="&amp;'Settings'!$D$28),2),0)</f>
        <v/>
      </c>
      <c r="AU432">
        <f>IF(AE432=1,ROUND(SUMIFS('All Donations'!$S$2:$S$4001,'All Donations'!$R$2:$R$4001,AD432,'All Donations'!$T$2:$T$4001,"&gt;="&amp;'Settings'!$C$29,'All Donations'!$T$2:$T$4001,"&lt;="&amp;'Settings'!$D$29),2),0)</f>
        <v/>
      </c>
      <c r="AV432">
        <f>IF(AE432=1,ROUND(SUMIFS('All Donations'!$S$2:$S$4001,'All Donations'!$R$2:$R$4001,AD432,'All Donations'!$T$2:$T$4001,"&lt;="&amp;'Settings'!$D$30),2),0)</f>
        <v/>
      </c>
      <c r="AZ432">
        <f>IF(AE432=1,ROUND(SUMIFS('All Donations'!$S$2:$S$4001,'All Donations'!$R$2:$R$4001,AD432,'All Donations'!$T$2:$T$4001,"&lt;="&amp;'Settings'!$D$34),2),0)</f>
        <v/>
      </c>
    </row>
    <row r="433">
      <c r="A433">
        <f>IF(AE433=1,TRIM(TRIM('Roster'!B433)&amp;" "&amp;TRIM('Roster'!C433)),"")</f>
        <v/>
      </c>
      <c r="B433">
        <f>IF(AE433=1,IF(AN433="","(no teacher)",AN433&amp;" – "&amp;C433),"")</f>
        <v/>
      </c>
      <c r="C433">
        <f>IF(AE433=1,TRIM('Roster'!D433&amp;""),"")</f>
        <v/>
      </c>
      <c r="D433" s="48">
        <f>IF(AE433=1,ROUND(SUMIFS('All Donations'!$S$2:$S$4001,'All Donations'!$R$2:$R$4001,AD433),2),"")</f>
        <v/>
      </c>
      <c r="E433" s="48">
        <f>IF(AE433=1,ROUND(SUMIFS('All Donations'!$S$2:$S$4001,'All Donations'!$R$2:$R$4001,AD433,'All Donations'!$G$2:$G$4001,"OneCause"),2),"")</f>
        <v/>
      </c>
      <c r="F433" s="48">
        <f>IF(AE433=1,D433-E433,"")</f>
        <v/>
      </c>
      <c r="G433">
        <f>IF(AE433=1,COUNTIFS('All Donations'!$R$2:$R$4001,AD433,'All Donations'!$H$2:$H$4001,"OK"),"")</f>
        <v/>
      </c>
      <c r="H433">
        <f>IF(AE433&lt;&gt;1,"",IF(D433&gt;0,"Yes",""))</f>
        <v/>
      </c>
      <c r="I433" s="49">
        <f>IF(OR($AE433&lt;&gt;1,I$1=""),"",SUMIFS('All Donations'!$S$2:$S$4001,'All Donations'!$R$2:$R$4001,$AD433,'All Donations'!$T$2:$T$4001,I$1))</f>
        <v/>
      </c>
      <c r="J433" s="49">
        <f>IF(OR($AE433&lt;&gt;1,J$1=""),"",SUMIFS('All Donations'!$S$2:$S$4001,'All Donations'!$R$2:$R$4001,$AD433,'All Donations'!$T$2:$T$4001,J$1))</f>
        <v/>
      </c>
      <c r="K433" s="49">
        <f>IF(OR($AE433&lt;&gt;1,K$1=""),"",SUMIFS('All Donations'!$S$2:$S$4001,'All Donations'!$R$2:$R$4001,$AD433,'All Donations'!$T$2:$T$4001,K$1))</f>
        <v/>
      </c>
      <c r="L433" s="49">
        <f>IF(OR($AE433&lt;&gt;1,L$1=""),"",SUMIFS('All Donations'!$S$2:$S$4001,'All Donations'!$R$2:$R$4001,$AD433,'All Donations'!$T$2:$T$4001,L$1))</f>
        <v/>
      </c>
      <c r="M433" s="49">
        <f>IF(OR($AE433&lt;&gt;1,M$1=""),"",SUMIFS('All Donations'!$S$2:$S$4001,'All Donations'!$R$2:$R$4001,$AD433,'All Donations'!$T$2:$T$4001,M$1))</f>
        <v/>
      </c>
      <c r="N433" s="49">
        <f>IF(OR($AE433&lt;&gt;1,N$1=""),"",SUMIFS('All Donations'!$S$2:$S$4001,'All Donations'!$R$2:$R$4001,$AD433,'All Donations'!$T$2:$T$4001,N$1))</f>
        <v/>
      </c>
      <c r="O433" s="49">
        <f>IF(OR($AE433&lt;&gt;1,O$1=""),"",SUMIFS('All Donations'!$S$2:$S$4001,'All Donations'!$R$2:$R$4001,$AD433,'All Donations'!$T$2:$T$4001,O$1))</f>
        <v/>
      </c>
      <c r="P433" s="49">
        <f>IF(OR($AE433&lt;&gt;1,P$1=""),"",SUMIFS('All Donations'!$S$2:$S$4001,'All Donations'!$R$2:$R$4001,$AD433,'All Donations'!$T$2:$T$4001,P$1))</f>
        <v/>
      </c>
      <c r="Q433" s="49">
        <f>IF(OR($AE433&lt;&gt;1,Q$1=""),"",SUMIFS('All Donations'!$S$2:$S$4001,'All Donations'!$R$2:$R$4001,$AD433,'All Donations'!$T$2:$T$4001,Q$1))</f>
        <v/>
      </c>
      <c r="R433" s="49">
        <f>IF(OR($AE433&lt;&gt;1,R$1=""),"",SUMIFS('All Donations'!$S$2:$S$4001,'All Donations'!$R$2:$R$4001,$AD433,'All Donations'!$T$2:$T$4001,R$1))</f>
        <v/>
      </c>
      <c r="S433" s="49">
        <f>IF(OR($AE433&lt;&gt;1,S$1=""),"",SUMIFS('All Donations'!$S$2:$S$4001,'All Donations'!$R$2:$R$4001,$AD433,'All Donations'!$T$2:$T$4001,S$1))</f>
        <v/>
      </c>
      <c r="T433" s="49">
        <f>IF(OR($AE433&lt;&gt;1,T$1=""),"",SUMIFS('All Donations'!$S$2:$S$4001,'All Donations'!$R$2:$R$4001,$AD433,'All Donations'!$T$2:$T$4001,T$1))</f>
        <v/>
      </c>
      <c r="U433" s="49">
        <f>IF(OR($AE433&lt;&gt;1,U$1=""),"",SUMIFS('All Donations'!$S$2:$S$4001,'All Donations'!$R$2:$R$4001,$AD433,'All Donations'!$T$2:$T$4001,U$1))</f>
        <v/>
      </c>
      <c r="V433" s="49">
        <f>IF(OR($AE433&lt;&gt;1,V$1=""),"",SUMIFS('All Donations'!$S$2:$S$4001,'All Donations'!$R$2:$R$4001,$AD433,'All Donations'!$T$2:$T$4001,V$1))</f>
        <v/>
      </c>
      <c r="W433" s="49">
        <f>IF(OR($AE433&lt;&gt;1,W$1=""),"",SUMIFS('All Donations'!$S$2:$S$4001,'All Donations'!$R$2:$R$4001,$AD433,'All Donations'!$T$2:$T$4001,W$1))</f>
        <v/>
      </c>
      <c r="X433" s="49">
        <f>IF(OR($AE433&lt;&gt;1,X$1=""),"",SUMIFS('All Donations'!$S$2:$S$4001,'All Donations'!$R$2:$R$4001,$AD433,'All Donations'!$T$2:$T$4001,X$1))</f>
        <v/>
      </c>
      <c r="Y433" s="49">
        <f>IF(OR($AE433&lt;&gt;1,Y$1=""),"",SUMIFS('All Donations'!$S$2:$S$4001,'All Donations'!$R$2:$R$4001,$AD433,'All Donations'!$T$2:$T$4001,Y$1))</f>
        <v/>
      </c>
      <c r="Z433" s="49">
        <f>IF(OR($AE433&lt;&gt;1,Z$1=""),"",SUMIFS('All Donations'!$S$2:$S$4001,'All Donations'!$R$2:$R$4001,$AD433,'All Donations'!$T$2:$T$4001,Z$1))</f>
        <v/>
      </c>
      <c r="AA433" s="49">
        <f>IF(OR($AE433&lt;&gt;1,AA$1=""),"",SUMIFS('All Donations'!$S$2:$S$4001,'All Donations'!$R$2:$R$4001,$AD433,'All Donations'!$T$2:$T$4001,AA$1))</f>
        <v/>
      </c>
      <c r="AB433" s="49">
        <f>IF(OR($AE433&lt;&gt;1,AB$1=""),"",SUMIFS('All Donations'!$S$2:$S$4001,'All Donations'!$R$2:$R$4001,$AD433,'All Donations'!$T$2:$T$4001,AB$1))</f>
        <v/>
      </c>
      <c r="AC433" s="49">
        <f>IF(OR($AE433&lt;&gt;1,AC$1=""),"",SUMIFS('All Donations'!$S$2:$S$4001,'All Donations'!$R$2:$R$4001,$AD433,'All Donations'!$T$2:$T$4001,AC$1))</f>
        <v/>
      </c>
      <c r="AD433">
        <f>IF(AE433=1,'Roster'!A433,"")</f>
        <v/>
      </c>
      <c r="AE433">
        <f>IF(TRIM('Roster'!B433&amp;'Roster'!C433)&lt;&gt;"",1,0)</f>
        <v/>
      </c>
      <c r="AF433">
        <f>IF(AE433=1,LOWER(A433),"#")</f>
        <v/>
      </c>
      <c r="AG433">
        <f>IF(AE433=1,LOWER(TRIM(TRIM('Roster'!C433)&amp;", "&amp;TRIM('Roster'!B433))),"#")</f>
        <v/>
      </c>
      <c r="AH433">
        <f>IF(AND(AE433=1,TRIM('Roster'!F433)&lt;&gt;""),LOWER(TRIM('Roster'!F433)),"#")</f>
        <v/>
      </c>
      <c r="AI433">
        <f>IF(AE433=1,IF(MATCH(B433,$B$2:$B$701,0)=ROW()-1,1,0),0)</f>
        <v/>
      </c>
      <c r="AJ433">
        <f>AJ432+AI433</f>
        <v/>
      </c>
      <c r="AK433">
        <f>IF(AE433=1,D433+(1000-ROW())/10^7,-1)</f>
        <v/>
      </c>
      <c r="AL433">
        <f>IF(AE433=1,TRIM('Roster'!B433)&amp;" "&amp;LEFT(TRIM('Roster'!C433),1)&amp;".","")</f>
        <v/>
      </c>
      <c r="AM433">
        <f>IF(AE433=1,TRIM('Roster'!C433)&amp;", "&amp;TRIM('Roster'!B433)&amp;" ("&amp;B433&amp;") #"&amp;AD433,"")</f>
        <v/>
      </c>
      <c r="AN433">
        <f>IF(AE433=1,TRIM('Roster'!E433),"")</f>
        <v/>
      </c>
      <c r="AO433">
        <f>IF(AE433=1,ROUND(SUMIFS('All Donations'!$S$2:$S$4001,'All Donations'!$R$2:$R$4001,AD433,'All Donations'!$T$2:$T$4001,"&gt;="&amp;'Settings'!$C$23,'All Donations'!$T$2:$T$4001,"&lt;="&amp;'Settings'!$D$23),2),0)</f>
        <v/>
      </c>
      <c r="AQ433">
        <f>IF(AE433=1,ROUND(SUMIFS('All Donations'!$S$2:$S$4001,'All Donations'!$R$2:$R$4001,AD433,'All Donations'!$T$2:$T$4001,"&gt;="&amp;'Settings'!$C$25,'All Donations'!$T$2:$T$4001,"&lt;="&amp;'Settings'!$D$25),2),0)</f>
        <v/>
      </c>
      <c r="AR433">
        <f>IF(AE433=1,ROUND(SUMIFS('All Donations'!$S$2:$S$4001,'All Donations'!$R$2:$R$4001,AD433,'All Donations'!$T$2:$T$4001,"&gt;="&amp;'Settings'!$C$26,'All Donations'!$T$2:$T$4001,"&lt;="&amp;'Settings'!$D$26),2),0)</f>
        <v/>
      </c>
      <c r="AS433">
        <f>IF(AE433=1,ROUND(SUMIFS('All Donations'!$S$2:$S$4001,'All Donations'!$R$2:$R$4001,AD433,'All Donations'!$T$2:$T$4001,"&lt;="&amp;'Settings'!$D$27),2),0)</f>
        <v/>
      </c>
      <c r="AT433">
        <f>IF(AE433=1,ROUND(SUMIFS('All Donations'!$S$2:$S$4001,'All Donations'!$R$2:$R$4001,AD433,'All Donations'!$T$2:$T$4001,"&gt;="&amp;'Settings'!$C$28,'All Donations'!$T$2:$T$4001,"&lt;="&amp;'Settings'!$D$28),2),0)</f>
        <v/>
      </c>
      <c r="AU433">
        <f>IF(AE433=1,ROUND(SUMIFS('All Donations'!$S$2:$S$4001,'All Donations'!$R$2:$R$4001,AD433,'All Donations'!$T$2:$T$4001,"&gt;="&amp;'Settings'!$C$29,'All Donations'!$T$2:$T$4001,"&lt;="&amp;'Settings'!$D$29),2),0)</f>
        <v/>
      </c>
      <c r="AV433">
        <f>IF(AE433=1,ROUND(SUMIFS('All Donations'!$S$2:$S$4001,'All Donations'!$R$2:$R$4001,AD433,'All Donations'!$T$2:$T$4001,"&lt;="&amp;'Settings'!$D$30),2),0)</f>
        <v/>
      </c>
      <c r="AZ433">
        <f>IF(AE433=1,ROUND(SUMIFS('All Donations'!$S$2:$S$4001,'All Donations'!$R$2:$R$4001,AD433,'All Donations'!$T$2:$T$4001,"&lt;="&amp;'Settings'!$D$34),2),0)</f>
        <v/>
      </c>
    </row>
    <row r="434">
      <c r="A434">
        <f>IF(AE434=1,TRIM(TRIM('Roster'!B434)&amp;" "&amp;TRIM('Roster'!C434)),"")</f>
        <v/>
      </c>
      <c r="B434">
        <f>IF(AE434=1,IF(AN434="","(no teacher)",AN434&amp;" – "&amp;C434),"")</f>
        <v/>
      </c>
      <c r="C434">
        <f>IF(AE434=1,TRIM('Roster'!D434&amp;""),"")</f>
        <v/>
      </c>
      <c r="D434" s="48">
        <f>IF(AE434=1,ROUND(SUMIFS('All Donations'!$S$2:$S$4001,'All Donations'!$R$2:$R$4001,AD434),2),"")</f>
        <v/>
      </c>
      <c r="E434" s="48">
        <f>IF(AE434=1,ROUND(SUMIFS('All Donations'!$S$2:$S$4001,'All Donations'!$R$2:$R$4001,AD434,'All Donations'!$G$2:$G$4001,"OneCause"),2),"")</f>
        <v/>
      </c>
      <c r="F434" s="48">
        <f>IF(AE434=1,D434-E434,"")</f>
        <v/>
      </c>
      <c r="G434">
        <f>IF(AE434=1,COUNTIFS('All Donations'!$R$2:$R$4001,AD434,'All Donations'!$H$2:$H$4001,"OK"),"")</f>
        <v/>
      </c>
      <c r="H434">
        <f>IF(AE434&lt;&gt;1,"",IF(D434&gt;0,"Yes",""))</f>
        <v/>
      </c>
      <c r="I434" s="49">
        <f>IF(OR($AE434&lt;&gt;1,I$1=""),"",SUMIFS('All Donations'!$S$2:$S$4001,'All Donations'!$R$2:$R$4001,$AD434,'All Donations'!$T$2:$T$4001,I$1))</f>
        <v/>
      </c>
      <c r="J434" s="49">
        <f>IF(OR($AE434&lt;&gt;1,J$1=""),"",SUMIFS('All Donations'!$S$2:$S$4001,'All Donations'!$R$2:$R$4001,$AD434,'All Donations'!$T$2:$T$4001,J$1))</f>
        <v/>
      </c>
      <c r="K434" s="49">
        <f>IF(OR($AE434&lt;&gt;1,K$1=""),"",SUMIFS('All Donations'!$S$2:$S$4001,'All Donations'!$R$2:$R$4001,$AD434,'All Donations'!$T$2:$T$4001,K$1))</f>
        <v/>
      </c>
      <c r="L434" s="49">
        <f>IF(OR($AE434&lt;&gt;1,L$1=""),"",SUMIFS('All Donations'!$S$2:$S$4001,'All Donations'!$R$2:$R$4001,$AD434,'All Donations'!$T$2:$T$4001,L$1))</f>
        <v/>
      </c>
      <c r="M434" s="49">
        <f>IF(OR($AE434&lt;&gt;1,M$1=""),"",SUMIFS('All Donations'!$S$2:$S$4001,'All Donations'!$R$2:$R$4001,$AD434,'All Donations'!$T$2:$T$4001,M$1))</f>
        <v/>
      </c>
      <c r="N434" s="49">
        <f>IF(OR($AE434&lt;&gt;1,N$1=""),"",SUMIFS('All Donations'!$S$2:$S$4001,'All Donations'!$R$2:$R$4001,$AD434,'All Donations'!$T$2:$T$4001,N$1))</f>
        <v/>
      </c>
      <c r="O434" s="49">
        <f>IF(OR($AE434&lt;&gt;1,O$1=""),"",SUMIFS('All Donations'!$S$2:$S$4001,'All Donations'!$R$2:$R$4001,$AD434,'All Donations'!$T$2:$T$4001,O$1))</f>
        <v/>
      </c>
      <c r="P434" s="49">
        <f>IF(OR($AE434&lt;&gt;1,P$1=""),"",SUMIFS('All Donations'!$S$2:$S$4001,'All Donations'!$R$2:$R$4001,$AD434,'All Donations'!$T$2:$T$4001,P$1))</f>
        <v/>
      </c>
      <c r="Q434" s="49">
        <f>IF(OR($AE434&lt;&gt;1,Q$1=""),"",SUMIFS('All Donations'!$S$2:$S$4001,'All Donations'!$R$2:$R$4001,$AD434,'All Donations'!$T$2:$T$4001,Q$1))</f>
        <v/>
      </c>
      <c r="R434" s="49">
        <f>IF(OR($AE434&lt;&gt;1,R$1=""),"",SUMIFS('All Donations'!$S$2:$S$4001,'All Donations'!$R$2:$R$4001,$AD434,'All Donations'!$T$2:$T$4001,R$1))</f>
        <v/>
      </c>
      <c r="S434" s="49">
        <f>IF(OR($AE434&lt;&gt;1,S$1=""),"",SUMIFS('All Donations'!$S$2:$S$4001,'All Donations'!$R$2:$R$4001,$AD434,'All Donations'!$T$2:$T$4001,S$1))</f>
        <v/>
      </c>
      <c r="T434" s="49">
        <f>IF(OR($AE434&lt;&gt;1,T$1=""),"",SUMIFS('All Donations'!$S$2:$S$4001,'All Donations'!$R$2:$R$4001,$AD434,'All Donations'!$T$2:$T$4001,T$1))</f>
        <v/>
      </c>
      <c r="U434" s="49">
        <f>IF(OR($AE434&lt;&gt;1,U$1=""),"",SUMIFS('All Donations'!$S$2:$S$4001,'All Donations'!$R$2:$R$4001,$AD434,'All Donations'!$T$2:$T$4001,U$1))</f>
        <v/>
      </c>
      <c r="V434" s="49">
        <f>IF(OR($AE434&lt;&gt;1,V$1=""),"",SUMIFS('All Donations'!$S$2:$S$4001,'All Donations'!$R$2:$R$4001,$AD434,'All Donations'!$T$2:$T$4001,V$1))</f>
        <v/>
      </c>
      <c r="W434" s="49">
        <f>IF(OR($AE434&lt;&gt;1,W$1=""),"",SUMIFS('All Donations'!$S$2:$S$4001,'All Donations'!$R$2:$R$4001,$AD434,'All Donations'!$T$2:$T$4001,W$1))</f>
        <v/>
      </c>
      <c r="X434" s="49">
        <f>IF(OR($AE434&lt;&gt;1,X$1=""),"",SUMIFS('All Donations'!$S$2:$S$4001,'All Donations'!$R$2:$R$4001,$AD434,'All Donations'!$T$2:$T$4001,X$1))</f>
        <v/>
      </c>
      <c r="Y434" s="49">
        <f>IF(OR($AE434&lt;&gt;1,Y$1=""),"",SUMIFS('All Donations'!$S$2:$S$4001,'All Donations'!$R$2:$R$4001,$AD434,'All Donations'!$T$2:$T$4001,Y$1))</f>
        <v/>
      </c>
      <c r="Z434" s="49">
        <f>IF(OR($AE434&lt;&gt;1,Z$1=""),"",SUMIFS('All Donations'!$S$2:$S$4001,'All Donations'!$R$2:$R$4001,$AD434,'All Donations'!$T$2:$T$4001,Z$1))</f>
        <v/>
      </c>
      <c r="AA434" s="49">
        <f>IF(OR($AE434&lt;&gt;1,AA$1=""),"",SUMIFS('All Donations'!$S$2:$S$4001,'All Donations'!$R$2:$R$4001,$AD434,'All Donations'!$T$2:$T$4001,AA$1))</f>
        <v/>
      </c>
      <c r="AB434" s="49">
        <f>IF(OR($AE434&lt;&gt;1,AB$1=""),"",SUMIFS('All Donations'!$S$2:$S$4001,'All Donations'!$R$2:$R$4001,$AD434,'All Donations'!$T$2:$T$4001,AB$1))</f>
        <v/>
      </c>
      <c r="AC434" s="49">
        <f>IF(OR($AE434&lt;&gt;1,AC$1=""),"",SUMIFS('All Donations'!$S$2:$S$4001,'All Donations'!$R$2:$R$4001,$AD434,'All Donations'!$T$2:$T$4001,AC$1))</f>
        <v/>
      </c>
      <c r="AD434">
        <f>IF(AE434=1,'Roster'!A434,"")</f>
        <v/>
      </c>
      <c r="AE434">
        <f>IF(TRIM('Roster'!B434&amp;'Roster'!C434)&lt;&gt;"",1,0)</f>
        <v/>
      </c>
      <c r="AF434">
        <f>IF(AE434=1,LOWER(A434),"#")</f>
        <v/>
      </c>
      <c r="AG434">
        <f>IF(AE434=1,LOWER(TRIM(TRIM('Roster'!C434)&amp;", "&amp;TRIM('Roster'!B434))),"#")</f>
        <v/>
      </c>
      <c r="AH434">
        <f>IF(AND(AE434=1,TRIM('Roster'!F434)&lt;&gt;""),LOWER(TRIM('Roster'!F434)),"#")</f>
        <v/>
      </c>
      <c r="AI434">
        <f>IF(AE434=1,IF(MATCH(B434,$B$2:$B$701,0)=ROW()-1,1,0),0)</f>
        <v/>
      </c>
      <c r="AJ434">
        <f>AJ433+AI434</f>
        <v/>
      </c>
      <c r="AK434">
        <f>IF(AE434=1,D434+(1000-ROW())/10^7,-1)</f>
        <v/>
      </c>
      <c r="AL434">
        <f>IF(AE434=1,TRIM('Roster'!B434)&amp;" "&amp;LEFT(TRIM('Roster'!C434),1)&amp;".","")</f>
        <v/>
      </c>
      <c r="AM434">
        <f>IF(AE434=1,TRIM('Roster'!C434)&amp;", "&amp;TRIM('Roster'!B434)&amp;" ("&amp;B434&amp;") #"&amp;AD434,"")</f>
        <v/>
      </c>
      <c r="AN434">
        <f>IF(AE434=1,TRIM('Roster'!E434),"")</f>
        <v/>
      </c>
      <c r="AO434">
        <f>IF(AE434=1,ROUND(SUMIFS('All Donations'!$S$2:$S$4001,'All Donations'!$R$2:$R$4001,AD434,'All Donations'!$T$2:$T$4001,"&gt;="&amp;'Settings'!$C$23,'All Donations'!$T$2:$T$4001,"&lt;="&amp;'Settings'!$D$23),2),0)</f>
        <v/>
      </c>
      <c r="AQ434">
        <f>IF(AE434=1,ROUND(SUMIFS('All Donations'!$S$2:$S$4001,'All Donations'!$R$2:$R$4001,AD434,'All Donations'!$T$2:$T$4001,"&gt;="&amp;'Settings'!$C$25,'All Donations'!$T$2:$T$4001,"&lt;="&amp;'Settings'!$D$25),2),0)</f>
        <v/>
      </c>
      <c r="AR434">
        <f>IF(AE434=1,ROUND(SUMIFS('All Donations'!$S$2:$S$4001,'All Donations'!$R$2:$R$4001,AD434,'All Donations'!$T$2:$T$4001,"&gt;="&amp;'Settings'!$C$26,'All Donations'!$T$2:$T$4001,"&lt;="&amp;'Settings'!$D$26),2),0)</f>
        <v/>
      </c>
      <c r="AS434">
        <f>IF(AE434=1,ROUND(SUMIFS('All Donations'!$S$2:$S$4001,'All Donations'!$R$2:$R$4001,AD434,'All Donations'!$T$2:$T$4001,"&lt;="&amp;'Settings'!$D$27),2),0)</f>
        <v/>
      </c>
      <c r="AT434">
        <f>IF(AE434=1,ROUND(SUMIFS('All Donations'!$S$2:$S$4001,'All Donations'!$R$2:$R$4001,AD434,'All Donations'!$T$2:$T$4001,"&gt;="&amp;'Settings'!$C$28,'All Donations'!$T$2:$T$4001,"&lt;="&amp;'Settings'!$D$28),2),0)</f>
        <v/>
      </c>
      <c r="AU434">
        <f>IF(AE434=1,ROUND(SUMIFS('All Donations'!$S$2:$S$4001,'All Donations'!$R$2:$R$4001,AD434,'All Donations'!$T$2:$T$4001,"&gt;="&amp;'Settings'!$C$29,'All Donations'!$T$2:$T$4001,"&lt;="&amp;'Settings'!$D$29),2),0)</f>
        <v/>
      </c>
      <c r="AV434">
        <f>IF(AE434=1,ROUND(SUMIFS('All Donations'!$S$2:$S$4001,'All Donations'!$R$2:$R$4001,AD434,'All Donations'!$T$2:$T$4001,"&lt;="&amp;'Settings'!$D$30),2),0)</f>
        <v/>
      </c>
      <c r="AZ434">
        <f>IF(AE434=1,ROUND(SUMIFS('All Donations'!$S$2:$S$4001,'All Donations'!$R$2:$R$4001,AD434,'All Donations'!$T$2:$T$4001,"&lt;="&amp;'Settings'!$D$34),2),0)</f>
        <v/>
      </c>
    </row>
    <row r="435">
      <c r="A435">
        <f>IF(AE435=1,TRIM(TRIM('Roster'!B435)&amp;" "&amp;TRIM('Roster'!C435)),"")</f>
        <v/>
      </c>
      <c r="B435">
        <f>IF(AE435=1,IF(AN435="","(no teacher)",AN435&amp;" – "&amp;C435),"")</f>
        <v/>
      </c>
      <c r="C435">
        <f>IF(AE435=1,TRIM('Roster'!D435&amp;""),"")</f>
        <v/>
      </c>
      <c r="D435" s="48">
        <f>IF(AE435=1,ROUND(SUMIFS('All Donations'!$S$2:$S$4001,'All Donations'!$R$2:$R$4001,AD435),2),"")</f>
        <v/>
      </c>
      <c r="E435" s="48">
        <f>IF(AE435=1,ROUND(SUMIFS('All Donations'!$S$2:$S$4001,'All Donations'!$R$2:$R$4001,AD435,'All Donations'!$G$2:$G$4001,"OneCause"),2),"")</f>
        <v/>
      </c>
      <c r="F435" s="48">
        <f>IF(AE435=1,D435-E435,"")</f>
        <v/>
      </c>
      <c r="G435">
        <f>IF(AE435=1,COUNTIFS('All Donations'!$R$2:$R$4001,AD435,'All Donations'!$H$2:$H$4001,"OK"),"")</f>
        <v/>
      </c>
      <c r="H435">
        <f>IF(AE435&lt;&gt;1,"",IF(D435&gt;0,"Yes",""))</f>
        <v/>
      </c>
      <c r="I435" s="49">
        <f>IF(OR($AE435&lt;&gt;1,I$1=""),"",SUMIFS('All Donations'!$S$2:$S$4001,'All Donations'!$R$2:$R$4001,$AD435,'All Donations'!$T$2:$T$4001,I$1))</f>
        <v/>
      </c>
      <c r="J435" s="49">
        <f>IF(OR($AE435&lt;&gt;1,J$1=""),"",SUMIFS('All Donations'!$S$2:$S$4001,'All Donations'!$R$2:$R$4001,$AD435,'All Donations'!$T$2:$T$4001,J$1))</f>
        <v/>
      </c>
      <c r="K435" s="49">
        <f>IF(OR($AE435&lt;&gt;1,K$1=""),"",SUMIFS('All Donations'!$S$2:$S$4001,'All Donations'!$R$2:$R$4001,$AD435,'All Donations'!$T$2:$T$4001,K$1))</f>
        <v/>
      </c>
      <c r="L435" s="49">
        <f>IF(OR($AE435&lt;&gt;1,L$1=""),"",SUMIFS('All Donations'!$S$2:$S$4001,'All Donations'!$R$2:$R$4001,$AD435,'All Donations'!$T$2:$T$4001,L$1))</f>
        <v/>
      </c>
      <c r="M435" s="49">
        <f>IF(OR($AE435&lt;&gt;1,M$1=""),"",SUMIFS('All Donations'!$S$2:$S$4001,'All Donations'!$R$2:$R$4001,$AD435,'All Donations'!$T$2:$T$4001,M$1))</f>
        <v/>
      </c>
      <c r="N435" s="49">
        <f>IF(OR($AE435&lt;&gt;1,N$1=""),"",SUMIFS('All Donations'!$S$2:$S$4001,'All Donations'!$R$2:$R$4001,$AD435,'All Donations'!$T$2:$T$4001,N$1))</f>
        <v/>
      </c>
      <c r="O435" s="49">
        <f>IF(OR($AE435&lt;&gt;1,O$1=""),"",SUMIFS('All Donations'!$S$2:$S$4001,'All Donations'!$R$2:$R$4001,$AD435,'All Donations'!$T$2:$T$4001,O$1))</f>
        <v/>
      </c>
      <c r="P435" s="49">
        <f>IF(OR($AE435&lt;&gt;1,P$1=""),"",SUMIFS('All Donations'!$S$2:$S$4001,'All Donations'!$R$2:$R$4001,$AD435,'All Donations'!$T$2:$T$4001,P$1))</f>
        <v/>
      </c>
      <c r="Q435" s="49">
        <f>IF(OR($AE435&lt;&gt;1,Q$1=""),"",SUMIFS('All Donations'!$S$2:$S$4001,'All Donations'!$R$2:$R$4001,$AD435,'All Donations'!$T$2:$T$4001,Q$1))</f>
        <v/>
      </c>
      <c r="R435" s="49">
        <f>IF(OR($AE435&lt;&gt;1,R$1=""),"",SUMIFS('All Donations'!$S$2:$S$4001,'All Donations'!$R$2:$R$4001,$AD435,'All Donations'!$T$2:$T$4001,R$1))</f>
        <v/>
      </c>
      <c r="S435" s="49">
        <f>IF(OR($AE435&lt;&gt;1,S$1=""),"",SUMIFS('All Donations'!$S$2:$S$4001,'All Donations'!$R$2:$R$4001,$AD435,'All Donations'!$T$2:$T$4001,S$1))</f>
        <v/>
      </c>
      <c r="T435" s="49">
        <f>IF(OR($AE435&lt;&gt;1,T$1=""),"",SUMIFS('All Donations'!$S$2:$S$4001,'All Donations'!$R$2:$R$4001,$AD435,'All Donations'!$T$2:$T$4001,T$1))</f>
        <v/>
      </c>
      <c r="U435" s="49">
        <f>IF(OR($AE435&lt;&gt;1,U$1=""),"",SUMIFS('All Donations'!$S$2:$S$4001,'All Donations'!$R$2:$R$4001,$AD435,'All Donations'!$T$2:$T$4001,U$1))</f>
        <v/>
      </c>
      <c r="V435" s="49">
        <f>IF(OR($AE435&lt;&gt;1,V$1=""),"",SUMIFS('All Donations'!$S$2:$S$4001,'All Donations'!$R$2:$R$4001,$AD435,'All Donations'!$T$2:$T$4001,V$1))</f>
        <v/>
      </c>
      <c r="W435" s="49">
        <f>IF(OR($AE435&lt;&gt;1,W$1=""),"",SUMIFS('All Donations'!$S$2:$S$4001,'All Donations'!$R$2:$R$4001,$AD435,'All Donations'!$T$2:$T$4001,W$1))</f>
        <v/>
      </c>
      <c r="X435" s="49">
        <f>IF(OR($AE435&lt;&gt;1,X$1=""),"",SUMIFS('All Donations'!$S$2:$S$4001,'All Donations'!$R$2:$R$4001,$AD435,'All Donations'!$T$2:$T$4001,X$1))</f>
        <v/>
      </c>
      <c r="Y435" s="49">
        <f>IF(OR($AE435&lt;&gt;1,Y$1=""),"",SUMIFS('All Donations'!$S$2:$S$4001,'All Donations'!$R$2:$R$4001,$AD435,'All Donations'!$T$2:$T$4001,Y$1))</f>
        <v/>
      </c>
      <c r="Z435" s="49">
        <f>IF(OR($AE435&lt;&gt;1,Z$1=""),"",SUMIFS('All Donations'!$S$2:$S$4001,'All Donations'!$R$2:$R$4001,$AD435,'All Donations'!$T$2:$T$4001,Z$1))</f>
        <v/>
      </c>
      <c r="AA435" s="49">
        <f>IF(OR($AE435&lt;&gt;1,AA$1=""),"",SUMIFS('All Donations'!$S$2:$S$4001,'All Donations'!$R$2:$R$4001,$AD435,'All Donations'!$T$2:$T$4001,AA$1))</f>
        <v/>
      </c>
      <c r="AB435" s="49">
        <f>IF(OR($AE435&lt;&gt;1,AB$1=""),"",SUMIFS('All Donations'!$S$2:$S$4001,'All Donations'!$R$2:$R$4001,$AD435,'All Donations'!$T$2:$T$4001,AB$1))</f>
        <v/>
      </c>
      <c r="AC435" s="49">
        <f>IF(OR($AE435&lt;&gt;1,AC$1=""),"",SUMIFS('All Donations'!$S$2:$S$4001,'All Donations'!$R$2:$R$4001,$AD435,'All Donations'!$T$2:$T$4001,AC$1))</f>
        <v/>
      </c>
      <c r="AD435">
        <f>IF(AE435=1,'Roster'!A435,"")</f>
        <v/>
      </c>
      <c r="AE435">
        <f>IF(TRIM('Roster'!B435&amp;'Roster'!C435)&lt;&gt;"",1,0)</f>
        <v/>
      </c>
      <c r="AF435">
        <f>IF(AE435=1,LOWER(A435),"#")</f>
        <v/>
      </c>
      <c r="AG435">
        <f>IF(AE435=1,LOWER(TRIM(TRIM('Roster'!C435)&amp;", "&amp;TRIM('Roster'!B435))),"#")</f>
        <v/>
      </c>
      <c r="AH435">
        <f>IF(AND(AE435=1,TRIM('Roster'!F435)&lt;&gt;""),LOWER(TRIM('Roster'!F435)),"#")</f>
        <v/>
      </c>
      <c r="AI435">
        <f>IF(AE435=1,IF(MATCH(B435,$B$2:$B$701,0)=ROW()-1,1,0),0)</f>
        <v/>
      </c>
      <c r="AJ435">
        <f>AJ434+AI435</f>
        <v/>
      </c>
      <c r="AK435">
        <f>IF(AE435=1,D435+(1000-ROW())/10^7,-1)</f>
        <v/>
      </c>
      <c r="AL435">
        <f>IF(AE435=1,TRIM('Roster'!B435)&amp;" "&amp;LEFT(TRIM('Roster'!C435),1)&amp;".","")</f>
        <v/>
      </c>
      <c r="AM435">
        <f>IF(AE435=1,TRIM('Roster'!C435)&amp;", "&amp;TRIM('Roster'!B435)&amp;" ("&amp;B435&amp;") #"&amp;AD435,"")</f>
        <v/>
      </c>
      <c r="AN435">
        <f>IF(AE435=1,TRIM('Roster'!E435),"")</f>
        <v/>
      </c>
      <c r="AO435">
        <f>IF(AE435=1,ROUND(SUMIFS('All Donations'!$S$2:$S$4001,'All Donations'!$R$2:$R$4001,AD435,'All Donations'!$T$2:$T$4001,"&gt;="&amp;'Settings'!$C$23,'All Donations'!$T$2:$T$4001,"&lt;="&amp;'Settings'!$D$23),2),0)</f>
        <v/>
      </c>
      <c r="AQ435">
        <f>IF(AE435=1,ROUND(SUMIFS('All Donations'!$S$2:$S$4001,'All Donations'!$R$2:$R$4001,AD435,'All Donations'!$T$2:$T$4001,"&gt;="&amp;'Settings'!$C$25,'All Donations'!$T$2:$T$4001,"&lt;="&amp;'Settings'!$D$25),2),0)</f>
        <v/>
      </c>
      <c r="AR435">
        <f>IF(AE435=1,ROUND(SUMIFS('All Donations'!$S$2:$S$4001,'All Donations'!$R$2:$R$4001,AD435,'All Donations'!$T$2:$T$4001,"&gt;="&amp;'Settings'!$C$26,'All Donations'!$T$2:$T$4001,"&lt;="&amp;'Settings'!$D$26),2),0)</f>
        <v/>
      </c>
      <c r="AS435">
        <f>IF(AE435=1,ROUND(SUMIFS('All Donations'!$S$2:$S$4001,'All Donations'!$R$2:$R$4001,AD435,'All Donations'!$T$2:$T$4001,"&lt;="&amp;'Settings'!$D$27),2),0)</f>
        <v/>
      </c>
      <c r="AT435">
        <f>IF(AE435=1,ROUND(SUMIFS('All Donations'!$S$2:$S$4001,'All Donations'!$R$2:$R$4001,AD435,'All Donations'!$T$2:$T$4001,"&gt;="&amp;'Settings'!$C$28,'All Donations'!$T$2:$T$4001,"&lt;="&amp;'Settings'!$D$28),2),0)</f>
        <v/>
      </c>
      <c r="AU435">
        <f>IF(AE435=1,ROUND(SUMIFS('All Donations'!$S$2:$S$4001,'All Donations'!$R$2:$R$4001,AD435,'All Donations'!$T$2:$T$4001,"&gt;="&amp;'Settings'!$C$29,'All Donations'!$T$2:$T$4001,"&lt;="&amp;'Settings'!$D$29),2),0)</f>
        <v/>
      </c>
      <c r="AV435">
        <f>IF(AE435=1,ROUND(SUMIFS('All Donations'!$S$2:$S$4001,'All Donations'!$R$2:$R$4001,AD435,'All Donations'!$T$2:$T$4001,"&lt;="&amp;'Settings'!$D$30),2),0)</f>
        <v/>
      </c>
      <c r="AZ435">
        <f>IF(AE435=1,ROUND(SUMIFS('All Donations'!$S$2:$S$4001,'All Donations'!$R$2:$R$4001,AD435,'All Donations'!$T$2:$T$4001,"&lt;="&amp;'Settings'!$D$34),2),0)</f>
        <v/>
      </c>
    </row>
    <row r="436">
      <c r="A436">
        <f>IF(AE436=1,TRIM(TRIM('Roster'!B436)&amp;" "&amp;TRIM('Roster'!C436)),"")</f>
        <v/>
      </c>
      <c r="B436">
        <f>IF(AE436=1,IF(AN436="","(no teacher)",AN436&amp;" – "&amp;C436),"")</f>
        <v/>
      </c>
      <c r="C436">
        <f>IF(AE436=1,TRIM('Roster'!D436&amp;""),"")</f>
        <v/>
      </c>
      <c r="D436" s="48">
        <f>IF(AE436=1,ROUND(SUMIFS('All Donations'!$S$2:$S$4001,'All Donations'!$R$2:$R$4001,AD436),2),"")</f>
        <v/>
      </c>
      <c r="E436" s="48">
        <f>IF(AE436=1,ROUND(SUMIFS('All Donations'!$S$2:$S$4001,'All Donations'!$R$2:$R$4001,AD436,'All Donations'!$G$2:$G$4001,"OneCause"),2),"")</f>
        <v/>
      </c>
      <c r="F436" s="48">
        <f>IF(AE436=1,D436-E436,"")</f>
        <v/>
      </c>
      <c r="G436">
        <f>IF(AE436=1,COUNTIFS('All Donations'!$R$2:$R$4001,AD436,'All Donations'!$H$2:$H$4001,"OK"),"")</f>
        <v/>
      </c>
      <c r="H436">
        <f>IF(AE436&lt;&gt;1,"",IF(D436&gt;0,"Yes",""))</f>
        <v/>
      </c>
      <c r="I436" s="49">
        <f>IF(OR($AE436&lt;&gt;1,I$1=""),"",SUMIFS('All Donations'!$S$2:$S$4001,'All Donations'!$R$2:$R$4001,$AD436,'All Donations'!$T$2:$T$4001,I$1))</f>
        <v/>
      </c>
      <c r="J436" s="49">
        <f>IF(OR($AE436&lt;&gt;1,J$1=""),"",SUMIFS('All Donations'!$S$2:$S$4001,'All Donations'!$R$2:$R$4001,$AD436,'All Donations'!$T$2:$T$4001,J$1))</f>
        <v/>
      </c>
      <c r="K436" s="49">
        <f>IF(OR($AE436&lt;&gt;1,K$1=""),"",SUMIFS('All Donations'!$S$2:$S$4001,'All Donations'!$R$2:$R$4001,$AD436,'All Donations'!$T$2:$T$4001,K$1))</f>
        <v/>
      </c>
      <c r="L436" s="49">
        <f>IF(OR($AE436&lt;&gt;1,L$1=""),"",SUMIFS('All Donations'!$S$2:$S$4001,'All Donations'!$R$2:$R$4001,$AD436,'All Donations'!$T$2:$T$4001,L$1))</f>
        <v/>
      </c>
      <c r="M436" s="49">
        <f>IF(OR($AE436&lt;&gt;1,M$1=""),"",SUMIFS('All Donations'!$S$2:$S$4001,'All Donations'!$R$2:$R$4001,$AD436,'All Donations'!$T$2:$T$4001,M$1))</f>
        <v/>
      </c>
      <c r="N436" s="49">
        <f>IF(OR($AE436&lt;&gt;1,N$1=""),"",SUMIFS('All Donations'!$S$2:$S$4001,'All Donations'!$R$2:$R$4001,$AD436,'All Donations'!$T$2:$T$4001,N$1))</f>
        <v/>
      </c>
      <c r="O436" s="49">
        <f>IF(OR($AE436&lt;&gt;1,O$1=""),"",SUMIFS('All Donations'!$S$2:$S$4001,'All Donations'!$R$2:$R$4001,$AD436,'All Donations'!$T$2:$T$4001,O$1))</f>
        <v/>
      </c>
      <c r="P436" s="49">
        <f>IF(OR($AE436&lt;&gt;1,P$1=""),"",SUMIFS('All Donations'!$S$2:$S$4001,'All Donations'!$R$2:$R$4001,$AD436,'All Donations'!$T$2:$T$4001,P$1))</f>
        <v/>
      </c>
      <c r="Q436" s="49">
        <f>IF(OR($AE436&lt;&gt;1,Q$1=""),"",SUMIFS('All Donations'!$S$2:$S$4001,'All Donations'!$R$2:$R$4001,$AD436,'All Donations'!$T$2:$T$4001,Q$1))</f>
        <v/>
      </c>
      <c r="R436" s="49">
        <f>IF(OR($AE436&lt;&gt;1,R$1=""),"",SUMIFS('All Donations'!$S$2:$S$4001,'All Donations'!$R$2:$R$4001,$AD436,'All Donations'!$T$2:$T$4001,R$1))</f>
        <v/>
      </c>
      <c r="S436" s="49">
        <f>IF(OR($AE436&lt;&gt;1,S$1=""),"",SUMIFS('All Donations'!$S$2:$S$4001,'All Donations'!$R$2:$R$4001,$AD436,'All Donations'!$T$2:$T$4001,S$1))</f>
        <v/>
      </c>
      <c r="T436" s="49">
        <f>IF(OR($AE436&lt;&gt;1,T$1=""),"",SUMIFS('All Donations'!$S$2:$S$4001,'All Donations'!$R$2:$R$4001,$AD436,'All Donations'!$T$2:$T$4001,T$1))</f>
        <v/>
      </c>
      <c r="U436" s="49">
        <f>IF(OR($AE436&lt;&gt;1,U$1=""),"",SUMIFS('All Donations'!$S$2:$S$4001,'All Donations'!$R$2:$R$4001,$AD436,'All Donations'!$T$2:$T$4001,U$1))</f>
        <v/>
      </c>
      <c r="V436" s="49">
        <f>IF(OR($AE436&lt;&gt;1,V$1=""),"",SUMIFS('All Donations'!$S$2:$S$4001,'All Donations'!$R$2:$R$4001,$AD436,'All Donations'!$T$2:$T$4001,V$1))</f>
        <v/>
      </c>
      <c r="W436" s="49">
        <f>IF(OR($AE436&lt;&gt;1,W$1=""),"",SUMIFS('All Donations'!$S$2:$S$4001,'All Donations'!$R$2:$R$4001,$AD436,'All Donations'!$T$2:$T$4001,W$1))</f>
        <v/>
      </c>
      <c r="X436" s="49">
        <f>IF(OR($AE436&lt;&gt;1,X$1=""),"",SUMIFS('All Donations'!$S$2:$S$4001,'All Donations'!$R$2:$R$4001,$AD436,'All Donations'!$T$2:$T$4001,X$1))</f>
        <v/>
      </c>
      <c r="Y436" s="49">
        <f>IF(OR($AE436&lt;&gt;1,Y$1=""),"",SUMIFS('All Donations'!$S$2:$S$4001,'All Donations'!$R$2:$R$4001,$AD436,'All Donations'!$T$2:$T$4001,Y$1))</f>
        <v/>
      </c>
      <c r="Z436" s="49">
        <f>IF(OR($AE436&lt;&gt;1,Z$1=""),"",SUMIFS('All Donations'!$S$2:$S$4001,'All Donations'!$R$2:$R$4001,$AD436,'All Donations'!$T$2:$T$4001,Z$1))</f>
        <v/>
      </c>
      <c r="AA436" s="49">
        <f>IF(OR($AE436&lt;&gt;1,AA$1=""),"",SUMIFS('All Donations'!$S$2:$S$4001,'All Donations'!$R$2:$R$4001,$AD436,'All Donations'!$T$2:$T$4001,AA$1))</f>
        <v/>
      </c>
      <c r="AB436" s="49">
        <f>IF(OR($AE436&lt;&gt;1,AB$1=""),"",SUMIFS('All Donations'!$S$2:$S$4001,'All Donations'!$R$2:$R$4001,$AD436,'All Donations'!$T$2:$T$4001,AB$1))</f>
        <v/>
      </c>
      <c r="AC436" s="49">
        <f>IF(OR($AE436&lt;&gt;1,AC$1=""),"",SUMIFS('All Donations'!$S$2:$S$4001,'All Donations'!$R$2:$R$4001,$AD436,'All Donations'!$T$2:$T$4001,AC$1))</f>
        <v/>
      </c>
      <c r="AD436">
        <f>IF(AE436=1,'Roster'!A436,"")</f>
        <v/>
      </c>
      <c r="AE436">
        <f>IF(TRIM('Roster'!B436&amp;'Roster'!C436)&lt;&gt;"",1,0)</f>
        <v/>
      </c>
      <c r="AF436">
        <f>IF(AE436=1,LOWER(A436),"#")</f>
        <v/>
      </c>
      <c r="AG436">
        <f>IF(AE436=1,LOWER(TRIM(TRIM('Roster'!C436)&amp;", "&amp;TRIM('Roster'!B436))),"#")</f>
        <v/>
      </c>
      <c r="AH436">
        <f>IF(AND(AE436=1,TRIM('Roster'!F436)&lt;&gt;""),LOWER(TRIM('Roster'!F436)),"#")</f>
        <v/>
      </c>
      <c r="AI436">
        <f>IF(AE436=1,IF(MATCH(B436,$B$2:$B$701,0)=ROW()-1,1,0),0)</f>
        <v/>
      </c>
      <c r="AJ436">
        <f>AJ435+AI436</f>
        <v/>
      </c>
      <c r="AK436">
        <f>IF(AE436=1,D436+(1000-ROW())/10^7,-1)</f>
        <v/>
      </c>
      <c r="AL436">
        <f>IF(AE436=1,TRIM('Roster'!B436)&amp;" "&amp;LEFT(TRIM('Roster'!C436),1)&amp;".","")</f>
        <v/>
      </c>
      <c r="AM436">
        <f>IF(AE436=1,TRIM('Roster'!C436)&amp;", "&amp;TRIM('Roster'!B436)&amp;" ("&amp;B436&amp;") #"&amp;AD436,"")</f>
        <v/>
      </c>
      <c r="AN436">
        <f>IF(AE436=1,TRIM('Roster'!E436),"")</f>
        <v/>
      </c>
      <c r="AO436">
        <f>IF(AE436=1,ROUND(SUMIFS('All Donations'!$S$2:$S$4001,'All Donations'!$R$2:$R$4001,AD436,'All Donations'!$T$2:$T$4001,"&gt;="&amp;'Settings'!$C$23,'All Donations'!$T$2:$T$4001,"&lt;="&amp;'Settings'!$D$23),2),0)</f>
        <v/>
      </c>
      <c r="AQ436">
        <f>IF(AE436=1,ROUND(SUMIFS('All Donations'!$S$2:$S$4001,'All Donations'!$R$2:$R$4001,AD436,'All Donations'!$T$2:$T$4001,"&gt;="&amp;'Settings'!$C$25,'All Donations'!$T$2:$T$4001,"&lt;="&amp;'Settings'!$D$25),2),0)</f>
        <v/>
      </c>
      <c r="AR436">
        <f>IF(AE436=1,ROUND(SUMIFS('All Donations'!$S$2:$S$4001,'All Donations'!$R$2:$R$4001,AD436,'All Donations'!$T$2:$T$4001,"&gt;="&amp;'Settings'!$C$26,'All Donations'!$T$2:$T$4001,"&lt;="&amp;'Settings'!$D$26),2),0)</f>
        <v/>
      </c>
      <c r="AS436">
        <f>IF(AE436=1,ROUND(SUMIFS('All Donations'!$S$2:$S$4001,'All Donations'!$R$2:$R$4001,AD436,'All Donations'!$T$2:$T$4001,"&lt;="&amp;'Settings'!$D$27),2),0)</f>
        <v/>
      </c>
      <c r="AT436">
        <f>IF(AE436=1,ROUND(SUMIFS('All Donations'!$S$2:$S$4001,'All Donations'!$R$2:$R$4001,AD436,'All Donations'!$T$2:$T$4001,"&gt;="&amp;'Settings'!$C$28,'All Donations'!$T$2:$T$4001,"&lt;="&amp;'Settings'!$D$28),2),0)</f>
        <v/>
      </c>
      <c r="AU436">
        <f>IF(AE436=1,ROUND(SUMIFS('All Donations'!$S$2:$S$4001,'All Donations'!$R$2:$R$4001,AD436,'All Donations'!$T$2:$T$4001,"&gt;="&amp;'Settings'!$C$29,'All Donations'!$T$2:$T$4001,"&lt;="&amp;'Settings'!$D$29),2),0)</f>
        <v/>
      </c>
      <c r="AV436">
        <f>IF(AE436=1,ROUND(SUMIFS('All Donations'!$S$2:$S$4001,'All Donations'!$R$2:$R$4001,AD436,'All Donations'!$T$2:$T$4001,"&lt;="&amp;'Settings'!$D$30),2),0)</f>
        <v/>
      </c>
      <c r="AZ436">
        <f>IF(AE436=1,ROUND(SUMIFS('All Donations'!$S$2:$S$4001,'All Donations'!$R$2:$R$4001,AD436,'All Donations'!$T$2:$T$4001,"&lt;="&amp;'Settings'!$D$34),2),0)</f>
        <v/>
      </c>
    </row>
    <row r="437">
      <c r="A437">
        <f>IF(AE437=1,TRIM(TRIM('Roster'!B437)&amp;" "&amp;TRIM('Roster'!C437)),"")</f>
        <v/>
      </c>
      <c r="B437">
        <f>IF(AE437=1,IF(AN437="","(no teacher)",AN437&amp;" – "&amp;C437),"")</f>
        <v/>
      </c>
      <c r="C437">
        <f>IF(AE437=1,TRIM('Roster'!D437&amp;""),"")</f>
        <v/>
      </c>
      <c r="D437" s="48">
        <f>IF(AE437=1,ROUND(SUMIFS('All Donations'!$S$2:$S$4001,'All Donations'!$R$2:$R$4001,AD437),2),"")</f>
        <v/>
      </c>
      <c r="E437" s="48">
        <f>IF(AE437=1,ROUND(SUMIFS('All Donations'!$S$2:$S$4001,'All Donations'!$R$2:$R$4001,AD437,'All Donations'!$G$2:$G$4001,"OneCause"),2),"")</f>
        <v/>
      </c>
      <c r="F437" s="48">
        <f>IF(AE437=1,D437-E437,"")</f>
        <v/>
      </c>
      <c r="G437">
        <f>IF(AE437=1,COUNTIFS('All Donations'!$R$2:$R$4001,AD437,'All Donations'!$H$2:$H$4001,"OK"),"")</f>
        <v/>
      </c>
      <c r="H437">
        <f>IF(AE437&lt;&gt;1,"",IF(D437&gt;0,"Yes",""))</f>
        <v/>
      </c>
      <c r="I437" s="49">
        <f>IF(OR($AE437&lt;&gt;1,I$1=""),"",SUMIFS('All Donations'!$S$2:$S$4001,'All Donations'!$R$2:$R$4001,$AD437,'All Donations'!$T$2:$T$4001,I$1))</f>
        <v/>
      </c>
      <c r="J437" s="49">
        <f>IF(OR($AE437&lt;&gt;1,J$1=""),"",SUMIFS('All Donations'!$S$2:$S$4001,'All Donations'!$R$2:$R$4001,$AD437,'All Donations'!$T$2:$T$4001,J$1))</f>
        <v/>
      </c>
      <c r="K437" s="49">
        <f>IF(OR($AE437&lt;&gt;1,K$1=""),"",SUMIFS('All Donations'!$S$2:$S$4001,'All Donations'!$R$2:$R$4001,$AD437,'All Donations'!$T$2:$T$4001,K$1))</f>
        <v/>
      </c>
      <c r="L437" s="49">
        <f>IF(OR($AE437&lt;&gt;1,L$1=""),"",SUMIFS('All Donations'!$S$2:$S$4001,'All Donations'!$R$2:$R$4001,$AD437,'All Donations'!$T$2:$T$4001,L$1))</f>
        <v/>
      </c>
      <c r="M437" s="49">
        <f>IF(OR($AE437&lt;&gt;1,M$1=""),"",SUMIFS('All Donations'!$S$2:$S$4001,'All Donations'!$R$2:$R$4001,$AD437,'All Donations'!$T$2:$T$4001,M$1))</f>
        <v/>
      </c>
      <c r="N437" s="49">
        <f>IF(OR($AE437&lt;&gt;1,N$1=""),"",SUMIFS('All Donations'!$S$2:$S$4001,'All Donations'!$R$2:$R$4001,$AD437,'All Donations'!$T$2:$T$4001,N$1))</f>
        <v/>
      </c>
      <c r="O437" s="49">
        <f>IF(OR($AE437&lt;&gt;1,O$1=""),"",SUMIFS('All Donations'!$S$2:$S$4001,'All Donations'!$R$2:$R$4001,$AD437,'All Donations'!$T$2:$T$4001,O$1))</f>
        <v/>
      </c>
      <c r="P437" s="49">
        <f>IF(OR($AE437&lt;&gt;1,P$1=""),"",SUMIFS('All Donations'!$S$2:$S$4001,'All Donations'!$R$2:$R$4001,$AD437,'All Donations'!$T$2:$T$4001,P$1))</f>
        <v/>
      </c>
      <c r="Q437" s="49">
        <f>IF(OR($AE437&lt;&gt;1,Q$1=""),"",SUMIFS('All Donations'!$S$2:$S$4001,'All Donations'!$R$2:$R$4001,$AD437,'All Donations'!$T$2:$T$4001,Q$1))</f>
        <v/>
      </c>
      <c r="R437" s="49">
        <f>IF(OR($AE437&lt;&gt;1,R$1=""),"",SUMIFS('All Donations'!$S$2:$S$4001,'All Donations'!$R$2:$R$4001,$AD437,'All Donations'!$T$2:$T$4001,R$1))</f>
        <v/>
      </c>
      <c r="S437" s="49">
        <f>IF(OR($AE437&lt;&gt;1,S$1=""),"",SUMIFS('All Donations'!$S$2:$S$4001,'All Donations'!$R$2:$R$4001,$AD437,'All Donations'!$T$2:$T$4001,S$1))</f>
        <v/>
      </c>
      <c r="T437" s="49">
        <f>IF(OR($AE437&lt;&gt;1,T$1=""),"",SUMIFS('All Donations'!$S$2:$S$4001,'All Donations'!$R$2:$R$4001,$AD437,'All Donations'!$T$2:$T$4001,T$1))</f>
        <v/>
      </c>
      <c r="U437" s="49">
        <f>IF(OR($AE437&lt;&gt;1,U$1=""),"",SUMIFS('All Donations'!$S$2:$S$4001,'All Donations'!$R$2:$R$4001,$AD437,'All Donations'!$T$2:$T$4001,U$1))</f>
        <v/>
      </c>
      <c r="V437" s="49">
        <f>IF(OR($AE437&lt;&gt;1,V$1=""),"",SUMIFS('All Donations'!$S$2:$S$4001,'All Donations'!$R$2:$R$4001,$AD437,'All Donations'!$T$2:$T$4001,V$1))</f>
        <v/>
      </c>
      <c r="W437" s="49">
        <f>IF(OR($AE437&lt;&gt;1,W$1=""),"",SUMIFS('All Donations'!$S$2:$S$4001,'All Donations'!$R$2:$R$4001,$AD437,'All Donations'!$T$2:$T$4001,W$1))</f>
        <v/>
      </c>
      <c r="X437" s="49">
        <f>IF(OR($AE437&lt;&gt;1,X$1=""),"",SUMIFS('All Donations'!$S$2:$S$4001,'All Donations'!$R$2:$R$4001,$AD437,'All Donations'!$T$2:$T$4001,X$1))</f>
        <v/>
      </c>
      <c r="Y437" s="49">
        <f>IF(OR($AE437&lt;&gt;1,Y$1=""),"",SUMIFS('All Donations'!$S$2:$S$4001,'All Donations'!$R$2:$R$4001,$AD437,'All Donations'!$T$2:$T$4001,Y$1))</f>
        <v/>
      </c>
      <c r="Z437" s="49">
        <f>IF(OR($AE437&lt;&gt;1,Z$1=""),"",SUMIFS('All Donations'!$S$2:$S$4001,'All Donations'!$R$2:$R$4001,$AD437,'All Donations'!$T$2:$T$4001,Z$1))</f>
        <v/>
      </c>
      <c r="AA437" s="49">
        <f>IF(OR($AE437&lt;&gt;1,AA$1=""),"",SUMIFS('All Donations'!$S$2:$S$4001,'All Donations'!$R$2:$R$4001,$AD437,'All Donations'!$T$2:$T$4001,AA$1))</f>
        <v/>
      </c>
      <c r="AB437" s="49">
        <f>IF(OR($AE437&lt;&gt;1,AB$1=""),"",SUMIFS('All Donations'!$S$2:$S$4001,'All Donations'!$R$2:$R$4001,$AD437,'All Donations'!$T$2:$T$4001,AB$1))</f>
        <v/>
      </c>
      <c r="AC437" s="49">
        <f>IF(OR($AE437&lt;&gt;1,AC$1=""),"",SUMIFS('All Donations'!$S$2:$S$4001,'All Donations'!$R$2:$R$4001,$AD437,'All Donations'!$T$2:$T$4001,AC$1))</f>
        <v/>
      </c>
      <c r="AD437">
        <f>IF(AE437=1,'Roster'!A437,"")</f>
        <v/>
      </c>
      <c r="AE437">
        <f>IF(TRIM('Roster'!B437&amp;'Roster'!C437)&lt;&gt;"",1,0)</f>
        <v/>
      </c>
      <c r="AF437">
        <f>IF(AE437=1,LOWER(A437),"#")</f>
        <v/>
      </c>
      <c r="AG437">
        <f>IF(AE437=1,LOWER(TRIM(TRIM('Roster'!C437)&amp;", "&amp;TRIM('Roster'!B437))),"#")</f>
        <v/>
      </c>
      <c r="AH437">
        <f>IF(AND(AE437=1,TRIM('Roster'!F437)&lt;&gt;""),LOWER(TRIM('Roster'!F437)),"#")</f>
        <v/>
      </c>
      <c r="AI437">
        <f>IF(AE437=1,IF(MATCH(B437,$B$2:$B$701,0)=ROW()-1,1,0),0)</f>
        <v/>
      </c>
      <c r="AJ437">
        <f>AJ436+AI437</f>
        <v/>
      </c>
      <c r="AK437">
        <f>IF(AE437=1,D437+(1000-ROW())/10^7,-1)</f>
        <v/>
      </c>
      <c r="AL437">
        <f>IF(AE437=1,TRIM('Roster'!B437)&amp;" "&amp;LEFT(TRIM('Roster'!C437),1)&amp;".","")</f>
        <v/>
      </c>
      <c r="AM437">
        <f>IF(AE437=1,TRIM('Roster'!C437)&amp;", "&amp;TRIM('Roster'!B437)&amp;" ("&amp;B437&amp;") #"&amp;AD437,"")</f>
        <v/>
      </c>
      <c r="AN437">
        <f>IF(AE437=1,TRIM('Roster'!E437),"")</f>
        <v/>
      </c>
      <c r="AO437">
        <f>IF(AE437=1,ROUND(SUMIFS('All Donations'!$S$2:$S$4001,'All Donations'!$R$2:$R$4001,AD437,'All Donations'!$T$2:$T$4001,"&gt;="&amp;'Settings'!$C$23,'All Donations'!$T$2:$T$4001,"&lt;="&amp;'Settings'!$D$23),2),0)</f>
        <v/>
      </c>
      <c r="AQ437">
        <f>IF(AE437=1,ROUND(SUMIFS('All Donations'!$S$2:$S$4001,'All Donations'!$R$2:$R$4001,AD437,'All Donations'!$T$2:$T$4001,"&gt;="&amp;'Settings'!$C$25,'All Donations'!$T$2:$T$4001,"&lt;="&amp;'Settings'!$D$25),2),0)</f>
        <v/>
      </c>
      <c r="AR437">
        <f>IF(AE437=1,ROUND(SUMIFS('All Donations'!$S$2:$S$4001,'All Donations'!$R$2:$R$4001,AD437,'All Donations'!$T$2:$T$4001,"&gt;="&amp;'Settings'!$C$26,'All Donations'!$T$2:$T$4001,"&lt;="&amp;'Settings'!$D$26),2),0)</f>
        <v/>
      </c>
      <c r="AS437">
        <f>IF(AE437=1,ROUND(SUMIFS('All Donations'!$S$2:$S$4001,'All Donations'!$R$2:$R$4001,AD437,'All Donations'!$T$2:$T$4001,"&lt;="&amp;'Settings'!$D$27),2),0)</f>
        <v/>
      </c>
      <c r="AT437">
        <f>IF(AE437=1,ROUND(SUMIFS('All Donations'!$S$2:$S$4001,'All Donations'!$R$2:$R$4001,AD437,'All Donations'!$T$2:$T$4001,"&gt;="&amp;'Settings'!$C$28,'All Donations'!$T$2:$T$4001,"&lt;="&amp;'Settings'!$D$28),2),0)</f>
        <v/>
      </c>
      <c r="AU437">
        <f>IF(AE437=1,ROUND(SUMIFS('All Donations'!$S$2:$S$4001,'All Donations'!$R$2:$R$4001,AD437,'All Donations'!$T$2:$T$4001,"&gt;="&amp;'Settings'!$C$29,'All Donations'!$T$2:$T$4001,"&lt;="&amp;'Settings'!$D$29),2),0)</f>
        <v/>
      </c>
      <c r="AV437">
        <f>IF(AE437=1,ROUND(SUMIFS('All Donations'!$S$2:$S$4001,'All Donations'!$R$2:$R$4001,AD437,'All Donations'!$T$2:$T$4001,"&lt;="&amp;'Settings'!$D$30),2),0)</f>
        <v/>
      </c>
      <c r="AZ437">
        <f>IF(AE437=1,ROUND(SUMIFS('All Donations'!$S$2:$S$4001,'All Donations'!$R$2:$R$4001,AD437,'All Donations'!$T$2:$T$4001,"&lt;="&amp;'Settings'!$D$34),2),0)</f>
        <v/>
      </c>
    </row>
    <row r="438">
      <c r="A438">
        <f>IF(AE438=1,TRIM(TRIM('Roster'!B438)&amp;" "&amp;TRIM('Roster'!C438)),"")</f>
        <v/>
      </c>
      <c r="B438">
        <f>IF(AE438=1,IF(AN438="","(no teacher)",AN438&amp;" – "&amp;C438),"")</f>
        <v/>
      </c>
      <c r="C438">
        <f>IF(AE438=1,TRIM('Roster'!D438&amp;""),"")</f>
        <v/>
      </c>
      <c r="D438" s="48">
        <f>IF(AE438=1,ROUND(SUMIFS('All Donations'!$S$2:$S$4001,'All Donations'!$R$2:$R$4001,AD438),2),"")</f>
        <v/>
      </c>
      <c r="E438" s="48">
        <f>IF(AE438=1,ROUND(SUMIFS('All Donations'!$S$2:$S$4001,'All Donations'!$R$2:$R$4001,AD438,'All Donations'!$G$2:$G$4001,"OneCause"),2),"")</f>
        <v/>
      </c>
      <c r="F438" s="48">
        <f>IF(AE438=1,D438-E438,"")</f>
        <v/>
      </c>
      <c r="G438">
        <f>IF(AE438=1,COUNTIFS('All Donations'!$R$2:$R$4001,AD438,'All Donations'!$H$2:$H$4001,"OK"),"")</f>
        <v/>
      </c>
      <c r="H438">
        <f>IF(AE438&lt;&gt;1,"",IF(D438&gt;0,"Yes",""))</f>
        <v/>
      </c>
      <c r="I438" s="49">
        <f>IF(OR($AE438&lt;&gt;1,I$1=""),"",SUMIFS('All Donations'!$S$2:$S$4001,'All Donations'!$R$2:$R$4001,$AD438,'All Donations'!$T$2:$T$4001,I$1))</f>
        <v/>
      </c>
      <c r="J438" s="49">
        <f>IF(OR($AE438&lt;&gt;1,J$1=""),"",SUMIFS('All Donations'!$S$2:$S$4001,'All Donations'!$R$2:$R$4001,$AD438,'All Donations'!$T$2:$T$4001,J$1))</f>
        <v/>
      </c>
      <c r="K438" s="49">
        <f>IF(OR($AE438&lt;&gt;1,K$1=""),"",SUMIFS('All Donations'!$S$2:$S$4001,'All Donations'!$R$2:$R$4001,$AD438,'All Donations'!$T$2:$T$4001,K$1))</f>
        <v/>
      </c>
      <c r="L438" s="49">
        <f>IF(OR($AE438&lt;&gt;1,L$1=""),"",SUMIFS('All Donations'!$S$2:$S$4001,'All Donations'!$R$2:$R$4001,$AD438,'All Donations'!$T$2:$T$4001,L$1))</f>
        <v/>
      </c>
      <c r="M438" s="49">
        <f>IF(OR($AE438&lt;&gt;1,M$1=""),"",SUMIFS('All Donations'!$S$2:$S$4001,'All Donations'!$R$2:$R$4001,$AD438,'All Donations'!$T$2:$T$4001,M$1))</f>
        <v/>
      </c>
      <c r="N438" s="49">
        <f>IF(OR($AE438&lt;&gt;1,N$1=""),"",SUMIFS('All Donations'!$S$2:$S$4001,'All Donations'!$R$2:$R$4001,$AD438,'All Donations'!$T$2:$T$4001,N$1))</f>
        <v/>
      </c>
      <c r="O438" s="49">
        <f>IF(OR($AE438&lt;&gt;1,O$1=""),"",SUMIFS('All Donations'!$S$2:$S$4001,'All Donations'!$R$2:$R$4001,$AD438,'All Donations'!$T$2:$T$4001,O$1))</f>
        <v/>
      </c>
      <c r="P438" s="49">
        <f>IF(OR($AE438&lt;&gt;1,P$1=""),"",SUMIFS('All Donations'!$S$2:$S$4001,'All Donations'!$R$2:$R$4001,$AD438,'All Donations'!$T$2:$T$4001,P$1))</f>
        <v/>
      </c>
      <c r="Q438" s="49">
        <f>IF(OR($AE438&lt;&gt;1,Q$1=""),"",SUMIFS('All Donations'!$S$2:$S$4001,'All Donations'!$R$2:$R$4001,$AD438,'All Donations'!$T$2:$T$4001,Q$1))</f>
        <v/>
      </c>
      <c r="R438" s="49">
        <f>IF(OR($AE438&lt;&gt;1,R$1=""),"",SUMIFS('All Donations'!$S$2:$S$4001,'All Donations'!$R$2:$R$4001,$AD438,'All Donations'!$T$2:$T$4001,R$1))</f>
        <v/>
      </c>
      <c r="S438" s="49">
        <f>IF(OR($AE438&lt;&gt;1,S$1=""),"",SUMIFS('All Donations'!$S$2:$S$4001,'All Donations'!$R$2:$R$4001,$AD438,'All Donations'!$T$2:$T$4001,S$1))</f>
        <v/>
      </c>
      <c r="T438" s="49">
        <f>IF(OR($AE438&lt;&gt;1,T$1=""),"",SUMIFS('All Donations'!$S$2:$S$4001,'All Donations'!$R$2:$R$4001,$AD438,'All Donations'!$T$2:$T$4001,T$1))</f>
        <v/>
      </c>
      <c r="U438" s="49">
        <f>IF(OR($AE438&lt;&gt;1,U$1=""),"",SUMIFS('All Donations'!$S$2:$S$4001,'All Donations'!$R$2:$R$4001,$AD438,'All Donations'!$T$2:$T$4001,U$1))</f>
        <v/>
      </c>
      <c r="V438" s="49">
        <f>IF(OR($AE438&lt;&gt;1,V$1=""),"",SUMIFS('All Donations'!$S$2:$S$4001,'All Donations'!$R$2:$R$4001,$AD438,'All Donations'!$T$2:$T$4001,V$1))</f>
        <v/>
      </c>
      <c r="W438" s="49">
        <f>IF(OR($AE438&lt;&gt;1,W$1=""),"",SUMIFS('All Donations'!$S$2:$S$4001,'All Donations'!$R$2:$R$4001,$AD438,'All Donations'!$T$2:$T$4001,W$1))</f>
        <v/>
      </c>
      <c r="X438" s="49">
        <f>IF(OR($AE438&lt;&gt;1,X$1=""),"",SUMIFS('All Donations'!$S$2:$S$4001,'All Donations'!$R$2:$R$4001,$AD438,'All Donations'!$T$2:$T$4001,X$1))</f>
        <v/>
      </c>
      <c r="Y438" s="49">
        <f>IF(OR($AE438&lt;&gt;1,Y$1=""),"",SUMIFS('All Donations'!$S$2:$S$4001,'All Donations'!$R$2:$R$4001,$AD438,'All Donations'!$T$2:$T$4001,Y$1))</f>
        <v/>
      </c>
      <c r="Z438" s="49">
        <f>IF(OR($AE438&lt;&gt;1,Z$1=""),"",SUMIFS('All Donations'!$S$2:$S$4001,'All Donations'!$R$2:$R$4001,$AD438,'All Donations'!$T$2:$T$4001,Z$1))</f>
        <v/>
      </c>
      <c r="AA438" s="49">
        <f>IF(OR($AE438&lt;&gt;1,AA$1=""),"",SUMIFS('All Donations'!$S$2:$S$4001,'All Donations'!$R$2:$R$4001,$AD438,'All Donations'!$T$2:$T$4001,AA$1))</f>
        <v/>
      </c>
      <c r="AB438" s="49">
        <f>IF(OR($AE438&lt;&gt;1,AB$1=""),"",SUMIFS('All Donations'!$S$2:$S$4001,'All Donations'!$R$2:$R$4001,$AD438,'All Donations'!$T$2:$T$4001,AB$1))</f>
        <v/>
      </c>
      <c r="AC438" s="49">
        <f>IF(OR($AE438&lt;&gt;1,AC$1=""),"",SUMIFS('All Donations'!$S$2:$S$4001,'All Donations'!$R$2:$R$4001,$AD438,'All Donations'!$T$2:$T$4001,AC$1))</f>
        <v/>
      </c>
      <c r="AD438">
        <f>IF(AE438=1,'Roster'!A438,"")</f>
        <v/>
      </c>
      <c r="AE438">
        <f>IF(TRIM('Roster'!B438&amp;'Roster'!C438)&lt;&gt;"",1,0)</f>
        <v/>
      </c>
      <c r="AF438">
        <f>IF(AE438=1,LOWER(A438),"#")</f>
        <v/>
      </c>
      <c r="AG438">
        <f>IF(AE438=1,LOWER(TRIM(TRIM('Roster'!C438)&amp;", "&amp;TRIM('Roster'!B438))),"#")</f>
        <v/>
      </c>
      <c r="AH438">
        <f>IF(AND(AE438=1,TRIM('Roster'!F438)&lt;&gt;""),LOWER(TRIM('Roster'!F438)),"#")</f>
        <v/>
      </c>
      <c r="AI438">
        <f>IF(AE438=1,IF(MATCH(B438,$B$2:$B$701,0)=ROW()-1,1,0),0)</f>
        <v/>
      </c>
      <c r="AJ438">
        <f>AJ437+AI438</f>
        <v/>
      </c>
      <c r="AK438">
        <f>IF(AE438=1,D438+(1000-ROW())/10^7,-1)</f>
        <v/>
      </c>
      <c r="AL438">
        <f>IF(AE438=1,TRIM('Roster'!B438)&amp;" "&amp;LEFT(TRIM('Roster'!C438),1)&amp;".","")</f>
        <v/>
      </c>
      <c r="AM438">
        <f>IF(AE438=1,TRIM('Roster'!C438)&amp;", "&amp;TRIM('Roster'!B438)&amp;" ("&amp;B438&amp;") #"&amp;AD438,"")</f>
        <v/>
      </c>
      <c r="AN438">
        <f>IF(AE438=1,TRIM('Roster'!E438),"")</f>
        <v/>
      </c>
      <c r="AO438">
        <f>IF(AE438=1,ROUND(SUMIFS('All Donations'!$S$2:$S$4001,'All Donations'!$R$2:$R$4001,AD438,'All Donations'!$T$2:$T$4001,"&gt;="&amp;'Settings'!$C$23,'All Donations'!$T$2:$T$4001,"&lt;="&amp;'Settings'!$D$23),2),0)</f>
        <v/>
      </c>
      <c r="AQ438">
        <f>IF(AE438=1,ROUND(SUMIFS('All Donations'!$S$2:$S$4001,'All Donations'!$R$2:$R$4001,AD438,'All Donations'!$T$2:$T$4001,"&gt;="&amp;'Settings'!$C$25,'All Donations'!$T$2:$T$4001,"&lt;="&amp;'Settings'!$D$25),2),0)</f>
        <v/>
      </c>
      <c r="AR438">
        <f>IF(AE438=1,ROUND(SUMIFS('All Donations'!$S$2:$S$4001,'All Donations'!$R$2:$R$4001,AD438,'All Donations'!$T$2:$T$4001,"&gt;="&amp;'Settings'!$C$26,'All Donations'!$T$2:$T$4001,"&lt;="&amp;'Settings'!$D$26),2),0)</f>
        <v/>
      </c>
      <c r="AS438">
        <f>IF(AE438=1,ROUND(SUMIFS('All Donations'!$S$2:$S$4001,'All Donations'!$R$2:$R$4001,AD438,'All Donations'!$T$2:$T$4001,"&lt;="&amp;'Settings'!$D$27),2),0)</f>
        <v/>
      </c>
      <c r="AT438">
        <f>IF(AE438=1,ROUND(SUMIFS('All Donations'!$S$2:$S$4001,'All Donations'!$R$2:$R$4001,AD438,'All Donations'!$T$2:$T$4001,"&gt;="&amp;'Settings'!$C$28,'All Donations'!$T$2:$T$4001,"&lt;="&amp;'Settings'!$D$28),2),0)</f>
        <v/>
      </c>
      <c r="AU438">
        <f>IF(AE438=1,ROUND(SUMIFS('All Donations'!$S$2:$S$4001,'All Donations'!$R$2:$R$4001,AD438,'All Donations'!$T$2:$T$4001,"&gt;="&amp;'Settings'!$C$29,'All Donations'!$T$2:$T$4001,"&lt;="&amp;'Settings'!$D$29),2),0)</f>
        <v/>
      </c>
      <c r="AV438">
        <f>IF(AE438=1,ROUND(SUMIFS('All Donations'!$S$2:$S$4001,'All Donations'!$R$2:$R$4001,AD438,'All Donations'!$T$2:$T$4001,"&lt;="&amp;'Settings'!$D$30),2),0)</f>
        <v/>
      </c>
      <c r="AZ438">
        <f>IF(AE438=1,ROUND(SUMIFS('All Donations'!$S$2:$S$4001,'All Donations'!$R$2:$R$4001,AD438,'All Donations'!$T$2:$T$4001,"&lt;="&amp;'Settings'!$D$34),2),0)</f>
        <v/>
      </c>
    </row>
    <row r="439">
      <c r="A439">
        <f>IF(AE439=1,TRIM(TRIM('Roster'!B439)&amp;" "&amp;TRIM('Roster'!C439)),"")</f>
        <v/>
      </c>
      <c r="B439">
        <f>IF(AE439=1,IF(AN439="","(no teacher)",AN439&amp;" – "&amp;C439),"")</f>
        <v/>
      </c>
      <c r="C439">
        <f>IF(AE439=1,TRIM('Roster'!D439&amp;""),"")</f>
        <v/>
      </c>
      <c r="D439" s="48">
        <f>IF(AE439=1,ROUND(SUMIFS('All Donations'!$S$2:$S$4001,'All Donations'!$R$2:$R$4001,AD439),2),"")</f>
        <v/>
      </c>
      <c r="E439" s="48">
        <f>IF(AE439=1,ROUND(SUMIFS('All Donations'!$S$2:$S$4001,'All Donations'!$R$2:$R$4001,AD439,'All Donations'!$G$2:$G$4001,"OneCause"),2),"")</f>
        <v/>
      </c>
      <c r="F439" s="48">
        <f>IF(AE439=1,D439-E439,"")</f>
        <v/>
      </c>
      <c r="G439">
        <f>IF(AE439=1,COUNTIFS('All Donations'!$R$2:$R$4001,AD439,'All Donations'!$H$2:$H$4001,"OK"),"")</f>
        <v/>
      </c>
      <c r="H439">
        <f>IF(AE439&lt;&gt;1,"",IF(D439&gt;0,"Yes",""))</f>
        <v/>
      </c>
      <c r="I439" s="49">
        <f>IF(OR($AE439&lt;&gt;1,I$1=""),"",SUMIFS('All Donations'!$S$2:$S$4001,'All Donations'!$R$2:$R$4001,$AD439,'All Donations'!$T$2:$T$4001,I$1))</f>
        <v/>
      </c>
      <c r="J439" s="49">
        <f>IF(OR($AE439&lt;&gt;1,J$1=""),"",SUMIFS('All Donations'!$S$2:$S$4001,'All Donations'!$R$2:$R$4001,$AD439,'All Donations'!$T$2:$T$4001,J$1))</f>
        <v/>
      </c>
      <c r="K439" s="49">
        <f>IF(OR($AE439&lt;&gt;1,K$1=""),"",SUMIFS('All Donations'!$S$2:$S$4001,'All Donations'!$R$2:$R$4001,$AD439,'All Donations'!$T$2:$T$4001,K$1))</f>
        <v/>
      </c>
      <c r="L439" s="49">
        <f>IF(OR($AE439&lt;&gt;1,L$1=""),"",SUMIFS('All Donations'!$S$2:$S$4001,'All Donations'!$R$2:$R$4001,$AD439,'All Donations'!$T$2:$T$4001,L$1))</f>
        <v/>
      </c>
      <c r="M439" s="49">
        <f>IF(OR($AE439&lt;&gt;1,M$1=""),"",SUMIFS('All Donations'!$S$2:$S$4001,'All Donations'!$R$2:$R$4001,$AD439,'All Donations'!$T$2:$T$4001,M$1))</f>
        <v/>
      </c>
      <c r="N439" s="49">
        <f>IF(OR($AE439&lt;&gt;1,N$1=""),"",SUMIFS('All Donations'!$S$2:$S$4001,'All Donations'!$R$2:$R$4001,$AD439,'All Donations'!$T$2:$T$4001,N$1))</f>
        <v/>
      </c>
      <c r="O439" s="49">
        <f>IF(OR($AE439&lt;&gt;1,O$1=""),"",SUMIFS('All Donations'!$S$2:$S$4001,'All Donations'!$R$2:$R$4001,$AD439,'All Donations'!$T$2:$T$4001,O$1))</f>
        <v/>
      </c>
      <c r="P439" s="49">
        <f>IF(OR($AE439&lt;&gt;1,P$1=""),"",SUMIFS('All Donations'!$S$2:$S$4001,'All Donations'!$R$2:$R$4001,$AD439,'All Donations'!$T$2:$T$4001,P$1))</f>
        <v/>
      </c>
      <c r="Q439" s="49">
        <f>IF(OR($AE439&lt;&gt;1,Q$1=""),"",SUMIFS('All Donations'!$S$2:$S$4001,'All Donations'!$R$2:$R$4001,$AD439,'All Donations'!$T$2:$T$4001,Q$1))</f>
        <v/>
      </c>
      <c r="R439" s="49">
        <f>IF(OR($AE439&lt;&gt;1,R$1=""),"",SUMIFS('All Donations'!$S$2:$S$4001,'All Donations'!$R$2:$R$4001,$AD439,'All Donations'!$T$2:$T$4001,R$1))</f>
        <v/>
      </c>
      <c r="S439" s="49">
        <f>IF(OR($AE439&lt;&gt;1,S$1=""),"",SUMIFS('All Donations'!$S$2:$S$4001,'All Donations'!$R$2:$R$4001,$AD439,'All Donations'!$T$2:$T$4001,S$1))</f>
        <v/>
      </c>
      <c r="T439" s="49">
        <f>IF(OR($AE439&lt;&gt;1,T$1=""),"",SUMIFS('All Donations'!$S$2:$S$4001,'All Donations'!$R$2:$R$4001,$AD439,'All Donations'!$T$2:$T$4001,T$1))</f>
        <v/>
      </c>
      <c r="U439" s="49">
        <f>IF(OR($AE439&lt;&gt;1,U$1=""),"",SUMIFS('All Donations'!$S$2:$S$4001,'All Donations'!$R$2:$R$4001,$AD439,'All Donations'!$T$2:$T$4001,U$1))</f>
        <v/>
      </c>
      <c r="V439" s="49">
        <f>IF(OR($AE439&lt;&gt;1,V$1=""),"",SUMIFS('All Donations'!$S$2:$S$4001,'All Donations'!$R$2:$R$4001,$AD439,'All Donations'!$T$2:$T$4001,V$1))</f>
        <v/>
      </c>
      <c r="W439" s="49">
        <f>IF(OR($AE439&lt;&gt;1,W$1=""),"",SUMIFS('All Donations'!$S$2:$S$4001,'All Donations'!$R$2:$R$4001,$AD439,'All Donations'!$T$2:$T$4001,W$1))</f>
        <v/>
      </c>
      <c r="X439" s="49">
        <f>IF(OR($AE439&lt;&gt;1,X$1=""),"",SUMIFS('All Donations'!$S$2:$S$4001,'All Donations'!$R$2:$R$4001,$AD439,'All Donations'!$T$2:$T$4001,X$1))</f>
        <v/>
      </c>
      <c r="Y439" s="49">
        <f>IF(OR($AE439&lt;&gt;1,Y$1=""),"",SUMIFS('All Donations'!$S$2:$S$4001,'All Donations'!$R$2:$R$4001,$AD439,'All Donations'!$T$2:$T$4001,Y$1))</f>
        <v/>
      </c>
      <c r="Z439" s="49">
        <f>IF(OR($AE439&lt;&gt;1,Z$1=""),"",SUMIFS('All Donations'!$S$2:$S$4001,'All Donations'!$R$2:$R$4001,$AD439,'All Donations'!$T$2:$T$4001,Z$1))</f>
        <v/>
      </c>
      <c r="AA439" s="49">
        <f>IF(OR($AE439&lt;&gt;1,AA$1=""),"",SUMIFS('All Donations'!$S$2:$S$4001,'All Donations'!$R$2:$R$4001,$AD439,'All Donations'!$T$2:$T$4001,AA$1))</f>
        <v/>
      </c>
      <c r="AB439" s="49">
        <f>IF(OR($AE439&lt;&gt;1,AB$1=""),"",SUMIFS('All Donations'!$S$2:$S$4001,'All Donations'!$R$2:$R$4001,$AD439,'All Donations'!$T$2:$T$4001,AB$1))</f>
        <v/>
      </c>
      <c r="AC439" s="49">
        <f>IF(OR($AE439&lt;&gt;1,AC$1=""),"",SUMIFS('All Donations'!$S$2:$S$4001,'All Donations'!$R$2:$R$4001,$AD439,'All Donations'!$T$2:$T$4001,AC$1))</f>
        <v/>
      </c>
      <c r="AD439">
        <f>IF(AE439=1,'Roster'!A439,"")</f>
        <v/>
      </c>
      <c r="AE439">
        <f>IF(TRIM('Roster'!B439&amp;'Roster'!C439)&lt;&gt;"",1,0)</f>
        <v/>
      </c>
      <c r="AF439">
        <f>IF(AE439=1,LOWER(A439),"#")</f>
        <v/>
      </c>
      <c r="AG439">
        <f>IF(AE439=1,LOWER(TRIM(TRIM('Roster'!C439)&amp;", "&amp;TRIM('Roster'!B439))),"#")</f>
        <v/>
      </c>
      <c r="AH439">
        <f>IF(AND(AE439=1,TRIM('Roster'!F439)&lt;&gt;""),LOWER(TRIM('Roster'!F439)),"#")</f>
        <v/>
      </c>
      <c r="AI439">
        <f>IF(AE439=1,IF(MATCH(B439,$B$2:$B$701,0)=ROW()-1,1,0),0)</f>
        <v/>
      </c>
      <c r="AJ439">
        <f>AJ438+AI439</f>
        <v/>
      </c>
      <c r="AK439">
        <f>IF(AE439=1,D439+(1000-ROW())/10^7,-1)</f>
        <v/>
      </c>
      <c r="AL439">
        <f>IF(AE439=1,TRIM('Roster'!B439)&amp;" "&amp;LEFT(TRIM('Roster'!C439),1)&amp;".","")</f>
        <v/>
      </c>
      <c r="AM439">
        <f>IF(AE439=1,TRIM('Roster'!C439)&amp;", "&amp;TRIM('Roster'!B439)&amp;" ("&amp;B439&amp;") #"&amp;AD439,"")</f>
        <v/>
      </c>
      <c r="AN439">
        <f>IF(AE439=1,TRIM('Roster'!E439),"")</f>
        <v/>
      </c>
      <c r="AO439">
        <f>IF(AE439=1,ROUND(SUMIFS('All Donations'!$S$2:$S$4001,'All Donations'!$R$2:$R$4001,AD439,'All Donations'!$T$2:$T$4001,"&gt;="&amp;'Settings'!$C$23,'All Donations'!$T$2:$T$4001,"&lt;="&amp;'Settings'!$D$23),2),0)</f>
        <v/>
      </c>
      <c r="AQ439">
        <f>IF(AE439=1,ROUND(SUMIFS('All Donations'!$S$2:$S$4001,'All Donations'!$R$2:$R$4001,AD439,'All Donations'!$T$2:$T$4001,"&gt;="&amp;'Settings'!$C$25,'All Donations'!$T$2:$T$4001,"&lt;="&amp;'Settings'!$D$25),2),0)</f>
        <v/>
      </c>
      <c r="AR439">
        <f>IF(AE439=1,ROUND(SUMIFS('All Donations'!$S$2:$S$4001,'All Donations'!$R$2:$R$4001,AD439,'All Donations'!$T$2:$T$4001,"&gt;="&amp;'Settings'!$C$26,'All Donations'!$T$2:$T$4001,"&lt;="&amp;'Settings'!$D$26),2),0)</f>
        <v/>
      </c>
      <c r="AS439">
        <f>IF(AE439=1,ROUND(SUMIFS('All Donations'!$S$2:$S$4001,'All Donations'!$R$2:$R$4001,AD439,'All Donations'!$T$2:$T$4001,"&lt;="&amp;'Settings'!$D$27),2),0)</f>
        <v/>
      </c>
      <c r="AT439">
        <f>IF(AE439=1,ROUND(SUMIFS('All Donations'!$S$2:$S$4001,'All Donations'!$R$2:$R$4001,AD439,'All Donations'!$T$2:$T$4001,"&gt;="&amp;'Settings'!$C$28,'All Donations'!$T$2:$T$4001,"&lt;="&amp;'Settings'!$D$28),2),0)</f>
        <v/>
      </c>
      <c r="AU439">
        <f>IF(AE439=1,ROUND(SUMIFS('All Donations'!$S$2:$S$4001,'All Donations'!$R$2:$R$4001,AD439,'All Donations'!$T$2:$T$4001,"&gt;="&amp;'Settings'!$C$29,'All Donations'!$T$2:$T$4001,"&lt;="&amp;'Settings'!$D$29),2),0)</f>
        <v/>
      </c>
      <c r="AV439">
        <f>IF(AE439=1,ROUND(SUMIFS('All Donations'!$S$2:$S$4001,'All Donations'!$R$2:$R$4001,AD439,'All Donations'!$T$2:$T$4001,"&lt;="&amp;'Settings'!$D$30),2),0)</f>
        <v/>
      </c>
      <c r="AZ439">
        <f>IF(AE439=1,ROUND(SUMIFS('All Donations'!$S$2:$S$4001,'All Donations'!$R$2:$R$4001,AD439,'All Donations'!$T$2:$T$4001,"&lt;="&amp;'Settings'!$D$34),2),0)</f>
        <v/>
      </c>
    </row>
    <row r="440">
      <c r="A440">
        <f>IF(AE440=1,TRIM(TRIM('Roster'!B440)&amp;" "&amp;TRIM('Roster'!C440)),"")</f>
        <v/>
      </c>
      <c r="B440">
        <f>IF(AE440=1,IF(AN440="","(no teacher)",AN440&amp;" – "&amp;C440),"")</f>
        <v/>
      </c>
      <c r="C440">
        <f>IF(AE440=1,TRIM('Roster'!D440&amp;""),"")</f>
        <v/>
      </c>
      <c r="D440" s="48">
        <f>IF(AE440=1,ROUND(SUMIFS('All Donations'!$S$2:$S$4001,'All Donations'!$R$2:$R$4001,AD440),2),"")</f>
        <v/>
      </c>
      <c r="E440" s="48">
        <f>IF(AE440=1,ROUND(SUMIFS('All Donations'!$S$2:$S$4001,'All Donations'!$R$2:$R$4001,AD440,'All Donations'!$G$2:$G$4001,"OneCause"),2),"")</f>
        <v/>
      </c>
      <c r="F440" s="48">
        <f>IF(AE440=1,D440-E440,"")</f>
        <v/>
      </c>
      <c r="G440">
        <f>IF(AE440=1,COUNTIFS('All Donations'!$R$2:$R$4001,AD440,'All Donations'!$H$2:$H$4001,"OK"),"")</f>
        <v/>
      </c>
      <c r="H440">
        <f>IF(AE440&lt;&gt;1,"",IF(D440&gt;0,"Yes",""))</f>
        <v/>
      </c>
      <c r="I440" s="49">
        <f>IF(OR($AE440&lt;&gt;1,I$1=""),"",SUMIFS('All Donations'!$S$2:$S$4001,'All Donations'!$R$2:$R$4001,$AD440,'All Donations'!$T$2:$T$4001,I$1))</f>
        <v/>
      </c>
      <c r="J440" s="49">
        <f>IF(OR($AE440&lt;&gt;1,J$1=""),"",SUMIFS('All Donations'!$S$2:$S$4001,'All Donations'!$R$2:$R$4001,$AD440,'All Donations'!$T$2:$T$4001,J$1))</f>
        <v/>
      </c>
      <c r="K440" s="49">
        <f>IF(OR($AE440&lt;&gt;1,K$1=""),"",SUMIFS('All Donations'!$S$2:$S$4001,'All Donations'!$R$2:$R$4001,$AD440,'All Donations'!$T$2:$T$4001,K$1))</f>
        <v/>
      </c>
      <c r="L440" s="49">
        <f>IF(OR($AE440&lt;&gt;1,L$1=""),"",SUMIFS('All Donations'!$S$2:$S$4001,'All Donations'!$R$2:$R$4001,$AD440,'All Donations'!$T$2:$T$4001,L$1))</f>
        <v/>
      </c>
      <c r="M440" s="49">
        <f>IF(OR($AE440&lt;&gt;1,M$1=""),"",SUMIFS('All Donations'!$S$2:$S$4001,'All Donations'!$R$2:$R$4001,$AD440,'All Donations'!$T$2:$T$4001,M$1))</f>
        <v/>
      </c>
      <c r="N440" s="49">
        <f>IF(OR($AE440&lt;&gt;1,N$1=""),"",SUMIFS('All Donations'!$S$2:$S$4001,'All Donations'!$R$2:$R$4001,$AD440,'All Donations'!$T$2:$T$4001,N$1))</f>
        <v/>
      </c>
      <c r="O440" s="49">
        <f>IF(OR($AE440&lt;&gt;1,O$1=""),"",SUMIFS('All Donations'!$S$2:$S$4001,'All Donations'!$R$2:$R$4001,$AD440,'All Donations'!$T$2:$T$4001,O$1))</f>
        <v/>
      </c>
      <c r="P440" s="49">
        <f>IF(OR($AE440&lt;&gt;1,P$1=""),"",SUMIFS('All Donations'!$S$2:$S$4001,'All Donations'!$R$2:$R$4001,$AD440,'All Donations'!$T$2:$T$4001,P$1))</f>
        <v/>
      </c>
      <c r="Q440" s="49">
        <f>IF(OR($AE440&lt;&gt;1,Q$1=""),"",SUMIFS('All Donations'!$S$2:$S$4001,'All Donations'!$R$2:$R$4001,$AD440,'All Donations'!$T$2:$T$4001,Q$1))</f>
        <v/>
      </c>
      <c r="R440" s="49">
        <f>IF(OR($AE440&lt;&gt;1,R$1=""),"",SUMIFS('All Donations'!$S$2:$S$4001,'All Donations'!$R$2:$R$4001,$AD440,'All Donations'!$T$2:$T$4001,R$1))</f>
        <v/>
      </c>
      <c r="S440" s="49">
        <f>IF(OR($AE440&lt;&gt;1,S$1=""),"",SUMIFS('All Donations'!$S$2:$S$4001,'All Donations'!$R$2:$R$4001,$AD440,'All Donations'!$T$2:$T$4001,S$1))</f>
        <v/>
      </c>
      <c r="T440" s="49">
        <f>IF(OR($AE440&lt;&gt;1,T$1=""),"",SUMIFS('All Donations'!$S$2:$S$4001,'All Donations'!$R$2:$R$4001,$AD440,'All Donations'!$T$2:$T$4001,T$1))</f>
        <v/>
      </c>
      <c r="U440" s="49">
        <f>IF(OR($AE440&lt;&gt;1,U$1=""),"",SUMIFS('All Donations'!$S$2:$S$4001,'All Donations'!$R$2:$R$4001,$AD440,'All Donations'!$T$2:$T$4001,U$1))</f>
        <v/>
      </c>
      <c r="V440" s="49">
        <f>IF(OR($AE440&lt;&gt;1,V$1=""),"",SUMIFS('All Donations'!$S$2:$S$4001,'All Donations'!$R$2:$R$4001,$AD440,'All Donations'!$T$2:$T$4001,V$1))</f>
        <v/>
      </c>
      <c r="W440" s="49">
        <f>IF(OR($AE440&lt;&gt;1,W$1=""),"",SUMIFS('All Donations'!$S$2:$S$4001,'All Donations'!$R$2:$R$4001,$AD440,'All Donations'!$T$2:$T$4001,W$1))</f>
        <v/>
      </c>
      <c r="X440" s="49">
        <f>IF(OR($AE440&lt;&gt;1,X$1=""),"",SUMIFS('All Donations'!$S$2:$S$4001,'All Donations'!$R$2:$R$4001,$AD440,'All Donations'!$T$2:$T$4001,X$1))</f>
        <v/>
      </c>
      <c r="Y440" s="49">
        <f>IF(OR($AE440&lt;&gt;1,Y$1=""),"",SUMIFS('All Donations'!$S$2:$S$4001,'All Donations'!$R$2:$R$4001,$AD440,'All Donations'!$T$2:$T$4001,Y$1))</f>
        <v/>
      </c>
      <c r="Z440" s="49">
        <f>IF(OR($AE440&lt;&gt;1,Z$1=""),"",SUMIFS('All Donations'!$S$2:$S$4001,'All Donations'!$R$2:$R$4001,$AD440,'All Donations'!$T$2:$T$4001,Z$1))</f>
        <v/>
      </c>
      <c r="AA440" s="49">
        <f>IF(OR($AE440&lt;&gt;1,AA$1=""),"",SUMIFS('All Donations'!$S$2:$S$4001,'All Donations'!$R$2:$R$4001,$AD440,'All Donations'!$T$2:$T$4001,AA$1))</f>
        <v/>
      </c>
      <c r="AB440" s="49">
        <f>IF(OR($AE440&lt;&gt;1,AB$1=""),"",SUMIFS('All Donations'!$S$2:$S$4001,'All Donations'!$R$2:$R$4001,$AD440,'All Donations'!$T$2:$T$4001,AB$1))</f>
        <v/>
      </c>
      <c r="AC440" s="49">
        <f>IF(OR($AE440&lt;&gt;1,AC$1=""),"",SUMIFS('All Donations'!$S$2:$S$4001,'All Donations'!$R$2:$R$4001,$AD440,'All Donations'!$T$2:$T$4001,AC$1))</f>
        <v/>
      </c>
      <c r="AD440">
        <f>IF(AE440=1,'Roster'!A440,"")</f>
        <v/>
      </c>
      <c r="AE440">
        <f>IF(TRIM('Roster'!B440&amp;'Roster'!C440)&lt;&gt;"",1,0)</f>
        <v/>
      </c>
      <c r="AF440">
        <f>IF(AE440=1,LOWER(A440),"#")</f>
        <v/>
      </c>
      <c r="AG440">
        <f>IF(AE440=1,LOWER(TRIM(TRIM('Roster'!C440)&amp;", "&amp;TRIM('Roster'!B440))),"#")</f>
        <v/>
      </c>
      <c r="AH440">
        <f>IF(AND(AE440=1,TRIM('Roster'!F440)&lt;&gt;""),LOWER(TRIM('Roster'!F440)),"#")</f>
        <v/>
      </c>
      <c r="AI440">
        <f>IF(AE440=1,IF(MATCH(B440,$B$2:$B$701,0)=ROW()-1,1,0),0)</f>
        <v/>
      </c>
      <c r="AJ440">
        <f>AJ439+AI440</f>
        <v/>
      </c>
      <c r="AK440">
        <f>IF(AE440=1,D440+(1000-ROW())/10^7,-1)</f>
        <v/>
      </c>
      <c r="AL440">
        <f>IF(AE440=1,TRIM('Roster'!B440)&amp;" "&amp;LEFT(TRIM('Roster'!C440),1)&amp;".","")</f>
        <v/>
      </c>
      <c r="AM440">
        <f>IF(AE440=1,TRIM('Roster'!C440)&amp;", "&amp;TRIM('Roster'!B440)&amp;" ("&amp;B440&amp;") #"&amp;AD440,"")</f>
        <v/>
      </c>
      <c r="AN440">
        <f>IF(AE440=1,TRIM('Roster'!E440),"")</f>
        <v/>
      </c>
      <c r="AO440">
        <f>IF(AE440=1,ROUND(SUMIFS('All Donations'!$S$2:$S$4001,'All Donations'!$R$2:$R$4001,AD440,'All Donations'!$T$2:$T$4001,"&gt;="&amp;'Settings'!$C$23,'All Donations'!$T$2:$T$4001,"&lt;="&amp;'Settings'!$D$23),2),0)</f>
        <v/>
      </c>
      <c r="AQ440">
        <f>IF(AE440=1,ROUND(SUMIFS('All Donations'!$S$2:$S$4001,'All Donations'!$R$2:$R$4001,AD440,'All Donations'!$T$2:$T$4001,"&gt;="&amp;'Settings'!$C$25,'All Donations'!$T$2:$T$4001,"&lt;="&amp;'Settings'!$D$25),2),0)</f>
        <v/>
      </c>
      <c r="AR440">
        <f>IF(AE440=1,ROUND(SUMIFS('All Donations'!$S$2:$S$4001,'All Donations'!$R$2:$R$4001,AD440,'All Donations'!$T$2:$T$4001,"&gt;="&amp;'Settings'!$C$26,'All Donations'!$T$2:$T$4001,"&lt;="&amp;'Settings'!$D$26),2),0)</f>
        <v/>
      </c>
      <c r="AS440">
        <f>IF(AE440=1,ROUND(SUMIFS('All Donations'!$S$2:$S$4001,'All Donations'!$R$2:$R$4001,AD440,'All Donations'!$T$2:$T$4001,"&lt;="&amp;'Settings'!$D$27),2),0)</f>
        <v/>
      </c>
      <c r="AT440">
        <f>IF(AE440=1,ROUND(SUMIFS('All Donations'!$S$2:$S$4001,'All Donations'!$R$2:$R$4001,AD440,'All Donations'!$T$2:$T$4001,"&gt;="&amp;'Settings'!$C$28,'All Donations'!$T$2:$T$4001,"&lt;="&amp;'Settings'!$D$28),2),0)</f>
        <v/>
      </c>
      <c r="AU440">
        <f>IF(AE440=1,ROUND(SUMIFS('All Donations'!$S$2:$S$4001,'All Donations'!$R$2:$R$4001,AD440,'All Donations'!$T$2:$T$4001,"&gt;="&amp;'Settings'!$C$29,'All Donations'!$T$2:$T$4001,"&lt;="&amp;'Settings'!$D$29),2),0)</f>
        <v/>
      </c>
      <c r="AV440">
        <f>IF(AE440=1,ROUND(SUMIFS('All Donations'!$S$2:$S$4001,'All Donations'!$R$2:$R$4001,AD440,'All Donations'!$T$2:$T$4001,"&lt;="&amp;'Settings'!$D$30),2),0)</f>
        <v/>
      </c>
      <c r="AZ440">
        <f>IF(AE440=1,ROUND(SUMIFS('All Donations'!$S$2:$S$4001,'All Donations'!$R$2:$R$4001,AD440,'All Donations'!$T$2:$T$4001,"&lt;="&amp;'Settings'!$D$34),2),0)</f>
        <v/>
      </c>
    </row>
    <row r="441">
      <c r="A441">
        <f>IF(AE441=1,TRIM(TRIM('Roster'!B441)&amp;" "&amp;TRIM('Roster'!C441)),"")</f>
        <v/>
      </c>
      <c r="B441">
        <f>IF(AE441=1,IF(AN441="","(no teacher)",AN441&amp;" – "&amp;C441),"")</f>
        <v/>
      </c>
      <c r="C441">
        <f>IF(AE441=1,TRIM('Roster'!D441&amp;""),"")</f>
        <v/>
      </c>
      <c r="D441" s="48">
        <f>IF(AE441=1,ROUND(SUMIFS('All Donations'!$S$2:$S$4001,'All Donations'!$R$2:$R$4001,AD441),2),"")</f>
        <v/>
      </c>
      <c r="E441" s="48">
        <f>IF(AE441=1,ROUND(SUMIFS('All Donations'!$S$2:$S$4001,'All Donations'!$R$2:$R$4001,AD441,'All Donations'!$G$2:$G$4001,"OneCause"),2),"")</f>
        <v/>
      </c>
      <c r="F441" s="48">
        <f>IF(AE441=1,D441-E441,"")</f>
        <v/>
      </c>
      <c r="G441">
        <f>IF(AE441=1,COUNTIFS('All Donations'!$R$2:$R$4001,AD441,'All Donations'!$H$2:$H$4001,"OK"),"")</f>
        <v/>
      </c>
      <c r="H441">
        <f>IF(AE441&lt;&gt;1,"",IF(D441&gt;0,"Yes",""))</f>
        <v/>
      </c>
      <c r="I441" s="49">
        <f>IF(OR($AE441&lt;&gt;1,I$1=""),"",SUMIFS('All Donations'!$S$2:$S$4001,'All Donations'!$R$2:$R$4001,$AD441,'All Donations'!$T$2:$T$4001,I$1))</f>
        <v/>
      </c>
      <c r="J441" s="49">
        <f>IF(OR($AE441&lt;&gt;1,J$1=""),"",SUMIFS('All Donations'!$S$2:$S$4001,'All Donations'!$R$2:$R$4001,$AD441,'All Donations'!$T$2:$T$4001,J$1))</f>
        <v/>
      </c>
      <c r="K441" s="49">
        <f>IF(OR($AE441&lt;&gt;1,K$1=""),"",SUMIFS('All Donations'!$S$2:$S$4001,'All Donations'!$R$2:$R$4001,$AD441,'All Donations'!$T$2:$T$4001,K$1))</f>
        <v/>
      </c>
      <c r="L441" s="49">
        <f>IF(OR($AE441&lt;&gt;1,L$1=""),"",SUMIFS('All Donations'!$S$2:$S$4001,'All Donations'!$R$2:$R$4001,$AD441,'All Donations'!$T$2:$T$4001,L$1))</f>
        <v/>
      </c>
      <c r="M441" s="49">
        <f>IF(OR($AE441&lt;&gt;1,M$1=""),"",SUMIFS('All Donations'!$S$2:$S$4001,'All Donations'!$R$2:$R$4001,$AD441,'All Donations'!$T$2:$T$4001,M$1))</f>
        <v/>
      </c>
      <c r="N441" s="49">
        <f>IF(OR($AE441&lt;&gt;1,N$1=""),"",SUMIFS('All Donations'!$S$2:$S$4001,'All Donations'!$R$2:$R$4001,$AD441,'All Donations'!$T$2:$T$4001,N$1))</f>
        <v/>
      </c>
      <c r="O441" s="49">
        <f>IF(OR($AE441&lt;&gt;1,O$1=""),"",SUMIFS('All Donations'!$S$2:$S$4001,'All Donations'!$R$2:$R$4001,$AD441,'All Donations'!$T$2:$T$4001,O$1))</f>
        <v/>
      </c>
      <c r="P441" s="49">
        <f>IF(OR($AE441&lt;&gt;1,P$1=""),"",SUMIFS('All Donations'!$S$2:$S$4001,'All Donations'!$R$2:$R$4001,$AD441,'All Donations'!$T$2:$T$4001,P$1))</f>
        <v/>
      </c>
      <c r="Q441" s="49">
        <f>IF(OR($AE441&lt;&gt;1,Q$1=""),"",SUMIFS('All Donations'!$S$2:$S$4001,'All Donations'!$R$2:$R$4001,$AD441,'All Donations'!$T$2:$T$4001,Q$1))</f>
        <v/>
      </c>
      <c r="R441" s="49">
        <f>IF(OR($AE441&lt;&gt;1,R$1=""),"",SUMIFS('All Donations'!$S$2:$S$4001,'All Donations'!$R$2:$R$4001,$AD441,'All Donations'!$T$2:$T$4001,R$1))</f>
        <v/>
      </c>
      <c r="S441" s="49">
        <f>IF(OR($AE441&lt;&gt;1,S$1=""),"",SUMIFS('All Donations'!$S$2:$S$4001,'All Donations'!$R$2:$R$4001,$AD441,'All Donations'!$T$2:$T$4001,S$1))</f>
        <v/>
      </c>
      <c r="T441" s="49">
        <f>IF(OR($AE441&lt;&gt;1,T$1=""),"",SUMIFS('All Donations'!$S$2:$S$4001,'All Donations'!$R$2:$R$4001,$AD441,'All Donations'!$T$2:$T$4001,T$1))</f>
        <v/>
      </c>
      <c r="U441" s="49">
        <f>IF(OR($AE441&lt;&gt;1,U$1=""),"",SUMIFS('All Donations'!$S$2:$S$4001,'All Donations'!$R$2:$R$4001,$AD441,'All Donations'!$T$2:$T$4001,U$1))</f>
        <v/>
      </c>
      <c r="V441" s="49">
        <f>IF(OR($AE441&lt;&gt;1,V$1=""),"",SUMIFS('All Donations'!$S$2:$S$4001,'All Donations'!$R$2:$R$4001,$AD441,'All Donations'!$T$2:$T$4001,V$1))</f>
        <v/>
      </c>
      <c r="W441" s="49">
        <f>IF(OR($AE441&lt;&gt;1,W$1=""),"",SUMIFS('All Donations'!$S$2:$S$4001,'All Donations'!$R$2:$R$4001,$AD441,'All Donations'!$T$2:$T$4001,W$1))</f>
        <v/>
      </c>
      <c r="X441" s="49">
        <f>IF(OR($AE441&lt;&gt;1,X$1=""),"",SUMIFS('All Donations'!$S$2:$S$4001,'All Donations'!$R$2:$R$4001,$AD441,'All Donations'!$T$2:$T$4001,X$1))</f>
        <v/>
      </c>
      <c r="Y441" s="49">
        <f>IF(OR($AE441&lt;&gt;1,Y$1=""),"",SUMIFS('All Donations'!$S$2:$S$4001,'All Donations'!$R$2:$R$4001,$AD441,'All Donations'!$T$2:$T$4001,Y$1))</f>
        <v/>
      </c>
      <c r="Z441" s="49">
        <f>IF(OR($AE441&lt;&gt;1,Z$1=""),"",SUMIFS('All Donations'!$S$2:$S$4001,'All Donations'!$R$2:$R$4001,$AD441,'All Donations'!$T$2:$T$4001,Z$1))</f>
        <v/>
      </c>
      <c r="AA441" s="49">
        <f>IF(OR($AE441&lt;&gt;1,AA$1=""),"",SUMIFS('All Donations'!$S$2:$S$4001,'All Donations'!$R$2:$R$4001,$AD441,'All Donations'!$T$2:$T$4001,AA$1))</f>
        <v/>
      </c>
      <c r="AB441" s="49">
        <f>IF(OR($AE441&lt;&gt;1,AB$1=""),"",SUMIFS('All Donations'!$S$2:$S$4001,'All Donations'!$R$2:$R$4001,$AD441,'All Donations'!$T$2:$T$4001,AB$1))</f>
        <v/>
      </c>
      <c r="AC441" s="49">
        <f>IF(OR($AE441&lt;&gt;1,AC$1=""),"",SUMIFS('All Donations'!$S$2:$S$4001,'All Donations'!$R$2:$R$4001,$AD441,'All Donations'!$T$2:$T$4001,AC$1))</f>
        <v/>
      </c>
      <c r="AD441">
        <f>IF(AE441=1,'Roster'!A441,"")</f>
        <v/>
      </c>
      <c r="AE441">
        <f>IF(TRIM('Roster'!B441&amp;'Roster'!C441)&lt;&gt;"",1,0)</f>
        <v/>
      </c>
      <c r="AF441">
        <f>IF(AE441=1,LOWER(A441),"#")</f>
        <v/>
      </c>
      <c r="AG441">
        <f>IF(AE441=1,LOWER(TRIM(TRIM('Roster'!C441)&amp;", "&amp;TRIM('Roster'!B441))),"#")</f>
        <v/>
      </c>
      <c r="AH441">
        <f>IF(AND(AE441=1,TRIM('Roster'!F441)&lt;&gt;""),LOWER(TRIM('Roster'!F441)),"#")</f>
        <v/>
      </c>
      <c r="AI441">
        <f>IF(AE441=1,IF(MATCH(B441,$B$2:$B$701,0)=ROW()-1,1,0),0)</f>
        <v/>
      </c>
      <c r="AJ441">
        <f>AJ440+AI441</f>
        <v/>
      </c>
      <c r="AK441">
        <f>IF(AE441=1,D441+(1000-ROW())/10^7,-1)</f>
        <v/>
      </c>
      <c r="AL441">
        <f>IF(AE441=1,TRIM('Roster'!B441)&amp;" "&amp;LEFT(TRIM('Roster'!C441),1)&amp;".","")</f>
        <v/>
      </c>
      <c r="AM441">
        <f>IF(AE441=1,TRIM('Roster'!C441)&amp;", "&amp;TRIM('Roster'!B441)&amp;" ("&amp;B441&amp;") #"&amp;AD441,"")</f>
        <v/>
      </c>
      <c r="AN441">
        <f>IF(AE441=1,TRIM('Roster'!E441),"")</f>
        <v/>
      </c>
      <c r="AO441">
        <f>IF(AE441=1,ROUND(SUMIFS('All Donations'!$S$2:$S$4001,'All Donations'!$R$2:$R$4001,AD441,'All Donations'!$T$2:$T$4001,"&gt;="&amp;'Settings'!$C$23,'All Donations'!$T$2:$T$4001,"&lt;="&amp;'Settings'!$D$23),2),0)</f>
        <v/>
      </c>
      <c r="AQ441">
        <f>IF(AE441=1,ROUND(SUMIFS('All Donations'!$S$2:$S$4001,'All Donations'!$R$2:$R$4001,AD441,'All Donations'!$T$2:$T$4001,"&gt;="&amp;'Settings'!$C$25,'All Donations'!$T$2:$T$4001,"&lt;="&amp;'Settings'!$D$25),2),0)</f>
        <v/>
      </c>
      <c r="AR441">
        <f>IF(AE441=1,ROUND(SUMIFS('All Donations'!$S$2:$S$4001,'All Donations'!$R$2:$R$4001,AD441,'All Donations'!$T$2:$T$4001,"&gt;="&amp;'Settings'!$C$26,'All Donations'!$T$2:$T$4001,"&lt;="&amp;'Settings'!$D$26),2),0)</f>
        <v/>
      </c>
      <c r="AS441">
        <f>IF(AE441=1,ROUND(SUMIFS('All Donations'!$S$2:$S$4001,'All Donations'!$R$2:$R$4001,AD441,'All Donations'!$T$2:$T$4001,"&lt;="&amp;'Settings'!$D$27),2),0)</f>
        <v/>
      </c>
      <c r="AT441">
        <f>IF(AE441=1,ROUND(SUMIFS('All Donations'!$S$2:$S$4001,'All Donations'!$R$2:$R$4001,AD441,'All Donations'!$T$2:$T$4001,"&gt;="&amp;'Settings'!$C$28,'All Donations'!$T$2:$T$4001,"&lt;="&amp;'Settings'!$D$28),2),0)</f>
        <v/>
      </c>
      <c r="AU441">
        <f>IF(AE441=1,ROUND(SUMIFS('All Donations'!$S$2:$S$4001,'All Donations'!$R$2:$R$4001,AD441,'All Donations'!$T$2:$T$4001,"&gt;="&amp;'Settings'!$C$29,'All Donations'!$T$2:$T$4001,"&lt;="&amp;'Settings'!$D$29),2),0)</f>
        <v/>
      </c>
      <c r="AV441">
        <f>IF(AE441=1,ROUND(SUMIFS('All Donations'!$S$2:$S$4001,'All Donations'!$R$2:$R$4001,AD441,'All Donations'!$T$2:$T$4001,"&lt;="&amp;'Settings'!$D$30),2),0)</f>
        <v/>
      </c>
      <c r="AZ441">
        <f>IF(AE441=1,ROUND(SUMIFS('All Donations'!$S$2:$S$4001,'All Donations'!$R$2:$R$4001,AD441,'All Donations'!$T$2:$T$4001,"&lt;="&amp;'Settings'!$D$34),2),0)</f>
        <v/>
      </c>
    </row>
    <row r="442">
      <c r="A442">
        <f>IF(AE442=1,TRIM(TRIM('Roster'!B442)&amp;" "&amp;TRIM('Roster'!C442)),"")</f>
        <v/>
      </c>
      <c r="B442">
        <f>IF(AE442=1,IF(AN442="","(no teacher)",AN442&amp;" – "&amp;C442),"")</f>
        <v/>
      </c>
      <c r="C442">
        <f>IF(AE442=1,TRIM('Roster'!D442&amp;""),"")</f>
        <v/>
      </c>
      <c r="D442" s="48">
        <f>IF(AE442=1,ROUND(SUMIFS('All Donations'!$S$2:$S$4001,'All Donations'!$R$2:$R$4001,AD442),2),"")</f>
        <v/>
      </c>
      <c r="E442" s="48">
        <f>IF(AE442=1,ROUND(SUMIFS('All Donations'!$S$2:$S$4001,'All Donations'!$R$2:$R$4001,AD442,'All Donations'!$G$2:$G$4001,"OneCause"),2),"")</f>
        <v/>
      </c>
      <c r="F442" s="48">
        <f>IF(AE442=1,D442-E442,"")</f>
        <v/>
      </c>
      <c r="G442">
        <f>IF(AE442=1,COUNTIFS('All Donations'!$R$2:$R$4001,AD442,'All Donations'!$H$2:$H$4001,"OK"),"")</f>
        <v/>
      </c>
      <c r="H442">
        <f>IF(AE442&lt;&gt;1,"",IF(D442&gt;0,"Yes",""))</f>
        <v/>
      </c>
      <c r="I442" s="49">
        <f>IF(OR($AE442&lt;&gt;1,I$1=""),"",SUMIFS('All Donations'!$S$2:$S$4001,'All Donations'!$R$2:$R$4001,$AD442,'All Donations'!$T$2:$T$4001,I$1))</f>
        <v/>
      </c>
      <c r="J442" s="49">
        <f>IF(OR($AE442&lt;&gt;1,J$1=""),"",SUMIFS('All Donations'!$S$2:$S$4001,'All Donations'!$R$2:$R$4001,$AD442,'All Donations'!$T$2:$T$4001,J$1))</f>
        <v/>
      </c>
      <c r="K442" s="49">
        <f>IF(OR($AE442&lt;&gt;1,K$1=""),"",SUMIFS('All Donations'!$S$2:$S$4001,'All Donations'!$R$2:$R$4001,$AD442,'All Donations'!$T$2:$T$4001,K$1))</f>
        <v/>
      </c>
      <c r="L442" s="49">
        <f>IF(OR($AE442&lt;&gt;1,L$1=""),"",SUMIFS('All Donations'!$S$2:$S$4001,'All Donations'!$R$2:$R$4001,$AD442,'All Donations'!$T$2:$T$4001,L$1))</f>
        <v/>
      </c>
      <c r="M442" s="49">
        <f>IF(OR($AE442&lt;&gt;1,M$1=""),"",SUMIFS('All Donations'!$S$2:$S$4001,'All Donations'!$R$2:$R$4001,$AD442,'All Donations'!$T$2:$T$4001,M$1))</f>
        <v/>
      </c>
      <c r="N442" s="49">
        <f>IF(OR($AE442&lt;&gt;1,N$1=""),"",SUMIFS('All Donations'!$S$2:$S$4001,'All Donations'!$R$2:$R$4001,$AD442,'All Donations'!$T$2:$T$4001,N$1))</f>
        <v/>
      </c>
      <c r="O442" s="49">
        <f>IF(OR($AE442&lt;&gt;1,O$1=""),"",SUMIFS('All Donations'!$S$2:$S$4001,'All Donations'!$R$2:$R$4001,$AD442,'All Donations'!$T$2:$T$4001,O$1))</f>
        <v/>
      </c>
      <c r="P442" s="49">
        <f>IF(OR($AE442&lt;&gt;1,P$1=""),"",SUMIFS('All Donations'!$S$2:$S$4001,'All Donations'!$R$2:$R$4001,$AD442,'All Donations'!$T$2:$T$4001,P$1))</f>
        <v/>
      </c>
      <c r="Q442" s="49">
        <f>IF(OR($AE442&lt;&gt;1,Q$1=""),"",SUMIFS('All Donations'!$S$2:$S$4001,'All Donations'!$R$2:$R$4001,$AD442,'All Donations'!$T$2:$T$4001,Q$1))</f>
        <v/>
      </c>
      <c r="R442" s="49">
        <f>IF(OR($AE442&lt;&gt;1,R$1=""),"",SUMIFS('All Donations'!$S$2:$S$4001,'All Donations'!$R$2:$R$4001,$AD442,'All Donations'!$T$2:$T$4001,R$1))</f>
        <v/>
      </c>
      <c r="S442" s="49">
        <f>IF(OR($AE442&lt;&gt;1,S$1=""),"",SUMIFS('All Donations'!$S$2:$S$4001,'All Donations'!$R$2:$R$4001,$AD442,'All Donations'!$T$2:$T$4001,S$1))</f>
        <v/>
      </c>
      <c r="T442" s="49">
        <f>IF(OR($AE442&lt;&gt;1,T$1=""),"",SUMIFS('All Donations'!$S$2:$S$4001,'All Donations'!$R$2:$R$4001,$AD442,'All Donations'!$T$2:$T$4001,T$1))</f>
        <v/>
      </c>
      <c r="U442" s="49">
        <f>IF(OR($AE442&lt;&gt;1,U$1=""),"",SUMIFS('All Donations'!$S$2:$S$4001,'All Donations'!$R$2:$R$4001,$AD442,'All Donations'!$T$2:$T$4001,U$1))</f>
        <v/>
      </c>
      <c r="V442" s="49">
        <f>IF(OR($AE442&lt;&gt;1,V$1=""),"",SUMIFS('All Donations'!$S$2:$S$4001,'All Donations'!$R$2:$R$4001,$AD442,'All Donations'!$T$2:$T$4001,V$1))</f>
        <v/>
      </c>
      <c r="W442" s="49">
        <f>IF(OR($AE442&lt;&gt;1,W$1=""),"",SUMIFS('All Donations'!$S$2:$S$4001,'All Donations'!$R$2:$R$4001,$AD442,'All Donations'!$T$2:$T$4001,W$1))</f>
        <v/>
      </c>
      <c r="X442" s="49">
        <f>IF(OR($AE442&lt;&gt;1,X$1=""),"",SUMIFS('All Donations'!$S$2:$S$4001,'All Donations'!$R$2:$R$4001,$AD442,'All Donations'!$T$2:$T$4001,X$1))</f>
        <v/>
      </c>
      <c r="Y442" s="49">
        <f>IF(OR($AE442&lt;&gt;1,Y$1=""),"",SUMIFS('All Donations'!$S$2:$S$4001,'All Donations'!$R$2:$R$4001,$AD442,'All Donations'!$T$2:$T$4001,Y$1))</f>
        <v/>
      </c>
      <c r="Z442" s="49">
        <f>IF(OR($AE442&lt;&gt;1,Z$1=""),"",SUMIFS('All Donations'!$S$2:$S$4001,'All Donations'!$R$2:$R$4001,$AD442,'All Donations'!$T$2:$T$4001,Z$1))</f>
        <v/>
      </c>
      <c r="AA442" s="49">
        <f>IF(OR($AE442&lt;&gt;1,AA$1=""),"",SUMIFS('All Donations'!$S$2:$S$4001,'All Donations'!$R$2:$R$4001,$AD442,'All Donations'!$T$2:$T$4001,AA$1))</f>
        <v/>
      </c>
      <c r="AB442" s="49">
        <f>IF(OR($AE442&lt;&gt;1,AB$1=""),"",SUMIFS('All Donations'!$S$2:$S$4001,'All Donations'!$R$2:$R$4001,$AD442,'All Donations'!$T$2:$T$4001,AB$1))</f>
        <v/>
      </c>
      <c r="AC442" s="49">
        <f>IF(OR($AE442&lt;&gt;1,AC$1=""),"",SUMIFS('All Donations'!$S$2:$S$4001,'All Donations'!$R$2:$R$4001,$AD442,'All Donations'!$T$2:$T$4001,AC$1))</f>
        <v/>
      </c>
      <c r="AD442">
        <f>IF(AE442=1,'Roster'!A442,"")</f>
        <v/>
      </c>
      <c r="AE442">
        <f>IF(TRIM('Roster'!B442&amp;'Roster'!C442)&lt;&gt;"",1,0)</f>
        <v/>
      </c>
      <c r="AF442">
        <f>IF(AE442=1,LOWER(A442),"#")</f>
        <v/>
      </c>
      <c r="AG442">
        <f>IF(AE442=1,LOWER(TRIM(TRIM('Roster'!C442)&amp;", "&amp;TRIM('Roster'!B442))),"#")</f>
        <v/>
      </c>
      <c r="AH442">
        <f>IF(AND(AE442=1,TRIM('Roster'!F442)&lt;&gt;""),LOWER(TRIM('Roster'!F442)),"#")</f>
        <v/>
      </c>
      <c r="AI442">
        <f>IF(AE442=1,IF(MATCH(B442,$B$2:$B$701,0)=ROW()-1,1,0),0)</f>
        <v/>
      </c>
      <c r="AJ442">
        <f>AJ441+AI442</f>
        <v/>
      </c>
      <c r="AK442">
        <f>IF(AE442=1,D442+(1000-ROW())/10^7,-1)</f>
        <v/>
      </c>
      <c r="AL442">
        <f>IF(AE442=1,TRIM('Roster'!B442)&amp;" "&amp;LEFT(TRIM('Roster'!C442),1)&amp;".","")</f>
        <v/>
      </c>
      <c r="AM442">
        <f>IF(AE442=1,TRIM('Roster'!C442)&amp;", "&amp;TRIM('Roster'!B442)&amp;" ("&amp;B442&amp;") #"&amp;AD442,"")</f>
        <v/>
      </c>
      <c r="AN442">
        <f>IF(AE442=1,TRIM('Roster'!E442),"")</f>
        <v/>
      </c>
      <c r="AO442">
        <f>IF(AE442=1,ROUND(SUMIFS('All Donations'!$S$2:$S$4001,'All Donations'!$R$2:$R$4001,AD442,'All Donations'!$T$2:$T$4001,"&gt;="&amp;'Settings'!$C$23,'All Donations'!$T$2:$T$4001,"&lt;="&amp;'Settings'!$D$23),2),0)</f>
        <v/>
      </c>
      <c r="AQ442">
        <f>IF(AE442=1,ROUND(SUMIFS('All Donations'!$S$2:$S$4001,'All Donations'!$R$2:$R$4001,AD442,'All Donations'!$T$2:$T$4001,"&gt;="&amp;'Settings'!$C$25,'All Donations'!$T$2:$T$4001,"&lt;="&amp;'Settings'!$D$25),2),0)</f>
        <v/>
      </c>
      <c r="AR442">
        <f>IF(AE442=1,ROUND(SUMIFS('All Donations'!$S$2:$S$4001,'All Donations'!$R$2:$R$4001,AD442,'All Donations'!$T$2:$T$4001,"&gt;="&amp;'Settings'!$C$26,'All Donations'!$T$2:$T$4001,"&lt;="&amp;'Settings'!$D$26),2),0)</f>
        <v/>
      </c>
      <c r="AS442">
        <f>IF(AE442=1,ROUND(SUMIFS('All Donations'!$S$2:$S$4001,'All Donations'!$R$2:$R$4001,AD442,'All Donations'!$T$2:$T$4001,"&lt;="&amp;'Settings'!$D$27),2),0)</f>
        <v/>
      </c>
      <c r="AT442">
        <f>IF(AE442=1,ROUND(SUMIFS('All Donations'!$S$2:$S$4001,'All Donations'!$R$2:$R$4001,AD442,'All Donations'!$T$2:$T$4001,"&gt;="&amp;'Settings'!$C$28,'All Donations'!$T$2:$T$4001,"&lt;="&amp;'Settings'!$D$28),2),0)</f>
        <v/>
      </c>
      <c r="AU442">
        <f>IF(AE442=1,ROUND(SUMIFS('All Donations'!$S$2:$S$4001,'All Donations'!$R$2:$R$4001,AD442,'All Donations'!$T$2:$T$4001,"&gt;="&amp;'Settings'!$C$29,'All Donations'!$T$2:$T$4001,"&lt;="&amp;'Settings'!$D$29),2),0)</f>
        <v/>
      </c>
      <c r="AV442">
        <f>IF(AE442=1,ROUND(SUMIFS('All Donations'!$S$2:$S$4001,'All Donations'!$R$2:$R$4001,AD442,'All Donations'!$T$2:$T$4001,"&lt;="&amp;'Settings'!$D$30),2),0)</f>
        <v/>
      </c>
      <c r="AZ442">
        <f>IF(AE442=1,ROUND(SUMIFS('All Donations'!$S$2:$S$4001,'All Donations'!$R$2:$R$4001,AD442,'All Donations'!$T$2:$T$4001,"&lt;="&amp;'Settings'!$D$34),2),0)</f>
        <v/>
      </c>
    </row>
    <row r="443">
      <c r="A443">
        <f>IF(AE443=1,TRIM(TRIM('Roster'!B443)&amp;" "&amp;TRIM('Roster'!C443)),"")</f>
        <v/>
      </c>
      <c r="B443">
        <f>IF(AE443=1,IF(AN443="","(no teacher)",AN443&amp;" – "&amp;C443),"")</f>
        <v/>
      </c>
      <c r="C443">
        <f>IF(AE443=1,TRIM('Roster'!D443&amp;""),"")</f>
        <v/>
      </c>
      <c r="D443" s="48">
        <f>IF(AE443=1,ROUND(SUMIFS('All Donations'!$S$2:$S$4001,'All Donations'!$R$2:$R$4001,AD443),2),"")</f>
        <v/>
      </c>
      <c r="E443" s="48">
        <f>IF(AE443=1,ROUND(SUMIFS('All Donations'!$S$2:$S$4001,'All Donations'!$R$2:$R$4001,AD443,'All Donations'!$G$2:$G$4001,"OneCause"),2),"")</f>
        <v/>
      </c>
      <c r="F443" s="48">
        <f>IF(AE443=1,D443-E443,"")</f>
        <v/>
      </c>
      <c r="G443">
        <f>IF(AE443=1,COUNTIFS('All Donations'!$R$2:$R$4001,AD443,'All Donations'!$H$2:$H$4001,"OK"),"")</f>
        <v/>
      </c>
      <c r="H443">
        <f>IF(AE443&lt;&gt;1,"",IF(D443&gt;0,"Yes",""))</f>
        <v/>
      </c>
      <c r="I443" s="49">
        <f>IF(OR($AE443&lt;&gt;1,I$1=""),"",SUMIFS('All Donations'!$S$2:$S$4001,'All Donations'!$R$2:$R$4001,$AD443,'All Donations'!$T$2:$T$4001,I$1))</f>
        <v/>
      </c>
      <c r="J443" s="49">
        <f>IF(OR($AE443&lt;&gt;1,J$1=""),"",SUMIFS('All Donations'!$S$2:$S$4001,'All Donations'!$R$2:$R$4001,$AD443,'All Donations'!$T$2:$T$4001,J$1))</f>
        <v/>
      </c>
      <c r="K443" s="49">
        <f>IF(OR($AE443&lt;&gt;1,K$1=""),"",SUMIFS('All Donations'!$S$2:$S$4001,'All Donations'!$R$2:$R$4001,$AD443,'All Donations'!$T$2:$T$4001,K$1))</f>
        <v/>
      </c>
      <c r="L443" s="49">
        <f>IF(OR($AE443&lt;&gt;1,L$1=""),"",SUMIFS('All Donations'!$S$2:$S$4001,'All Donations'!$R$2:$R$4001,$AD443,'All Donations'!$T$2:$T$4001,L$1))</f>
        <v/>
      </c>
      <c r="M443" s="49">
        <f>IF(OR($AE443&lt;&gt;1,M$1=""),"",SUMIFS('All Donations'!$S$2:$S$4001,'All Donations'!$R$2:$R$4001,$AD443,'All Donations'!$T$2:$T$4001,M$1))</f>
        <v/>
      </c>
      <c r="N443" s="49">
        <f>IF(OR($AE443&lt;&gt;1,N$1=""),"",SUMIFS('All Donations'!$S$2:$S$4001,'All Donations'!$R$2:$R$4001,$AD443,'All Donations'!$T$2:$T$4001,N$1))</f>
        <v/>
      </c>
      <c r="O443" s="49">
        <f>IF(OR($AE443&lt;&gt;1,O$1=""),"",SUMIFS('All Donations'!$S$2:$S$4001,'All Donations'!$R$2:$R$4001,$AD443,'All Donations'!$T$2:$T$4001,O$1))</f>
        <v/>
      </c>
      <c r="P443" s="49">
        <f>IF(OR($AE443&lt;&gt;1,P$1=""),"",SUMIFS('All Donations'!$S$2:$S$4001,'All Donations'!$R$2:$R$4001,$AD443,'All Donations'!$T$2:$T$4001,P$1))</f>
        <v/>
      </c>
      <c r="Q443" s="49">
        <f>IF(OR($AE443&lt;&gt;1,Q$1=""),"",SUMIFS('All Donations'!$S$2:$S$4001,'All Donations'!$R$2:$R$4001,$AD443,'All Donations'!$T$2:$T$4001,Q$1))</f>
        <v/>
      </c>
      <c r="R443" s="49">
        <f>IF(OR($AE443&lt;&gt;1,R$1=""),"",SUMIFS('All Donations'!$S$2:$S$4001,'All Donations'!$R$2:$R$4001,$AD443,'All Donations'!$T$2:$T$4001,R$1))</f>
        <v/>
      </c>
      <c r="S443" s="49">
        <f>IF(OR($AE443&lt;&gt;1,S$1=""),"",SUMIFS('All Donations'!$S$2:$S$4001,'All Donations'!$R$2:$R$4001,$AD443,'All Donations'!$T$2:$T$4001,S$1))</f>
        <v/>
      </c>
      <c r="T443" s="49">
        <f>IF(OR($AE443&lt;&gt;1,T$1=""),"",SUMIFS('All Donations'!$S$2:$S$4001,'All Donations'!$R$2:$R$4001,$AD443,'All Donations'!$T$2:$T$4001,T$1))</f>
        <v/>
      </c>
      <c r="U443" s="49">
        <f>IF(OR($AE443&lt;&gt;1,U$1=""),"",SUMIFS('All Donations'!$S$2:$S$4001,'All Donations'!$R$2:$R$4001,$AD443,'All Donations'!$T$2:$T$4001,U$1))</f>
        <v/>
      </c>
      <c r="V443" s="49">
        <f>IF(OR($AE443&lt;&gt;1,V$1=""),"",SUMIFS('All Donations'!$S$2:$S$4001,'All Donations'!$R$2:$R$4001,$AD443,'All Donations'!$T$2:$T$4001,V$1))</f>
        <v/>
      </c>
      <c r="W443" s="49">
        <f>IF(OR($AE443&lt;&gt;1,W$1=""),"",SUMIFS('All Donations'!$S$2:$S$4001,'All Donations'!$R$2:$R$4001,$AD443,'All Donations'!$T$2:$T$4001,W$1))</f>
        <v/>
      </c>
      <c r="X443" s="49">
        <f>IF(OR($AE443&lt;&gt;1,X$1=""),"",SUMIFS('All Donations'!$S$2:$S$4001,'All Donations'!$R$2:$R$4001,$AD443,'All Donations'!$T$2:$T$4001,X$1))</f>
        <v/>
      </c>
      <c r="Y443" s="49">
        <f>IF(OR($AE443&lt;&gt;1,Y$1=""),"",SUMIFS('All Donations'!$S$2:$S$4001,'All Donations'!$R$2:$R$4001,$AD443,'All Donations'!$T$2:$T$4001,Y$1))</f>
        <v/>
      </c>
      <c r="Z443" s="49">
        <f>IF(OR($AE443&lt;&gt;1,Z$1=""),"",SUMIFS('All Donations'!$S$2:$S$4001,'All Donations'!$R$2:$R$4001,$AD443,'All Donations'!$T$2:$T$4001,Z$1))</f>
        <v/>
      </c>
      <c r="AA443" s="49">
        <f>IF(OR($AE443&lt;&gt;1,AA$1=""),"",SUMIFS('All Donations'!$S$2:$S$4001,'All Donations'!$R$2:$R$4001,$AD443,'All Donations'!$T$2:$T$4001,AA$1))</f>
        <v/>
      </c>
      <c r="AB443" s="49">
        <f>IF(OR($AE443&lt;&gt;1,AB$1=""),"",SUMIFS('All Donations'!$S$2:$S$4001,'All Donations'!$R$2:$R$4001,$AD443,'All Donations'!$T$2:$T$4001,AB$1))</f>
        <v/>
      </c>
      <c r="AC443" s="49">
        <f>IF(OR($AE443&lt;&gt;1,AC$1=""),"",SUMIFS('All Donations'!$S$2:$S$4001,'All Donations'!$R$2:$R$4001,$AD443,'All Donations'!$T$2:$T$4001,AC$1))</f>
        <v/>
      </c>
      <c r="AD443">
        <f>IF(AE443=1,'Roster'!A443,"")</f>
        <v/>
      </c>
      <c r="AE443">
        <f>IF(TRIM('Roster'!B443&amp;'Roster'!C443)&lt;&gt;"",1,0)</f>
        <v/>
      </c>
      <c r="AF443">
        <f>IF(AE443=1,LOWER(A443),"#")</f>
        <v/>
      </c>
      <c r="AG443">
        <f>IF(AE443=1,LOWER(TRIM(TRIM('Roster'!C443)&amp;", "&amp;TRIM('Roster'!B443))),"#")</f>
        <v/>
      </c>
      <c r="AH443">
        <f>IF(AND(AE443=1,TRIM('Roster'!F443)&lt;&gt;""),LOWER(TRIM('Roster'!F443)),"#")</f>
        <v/>
      </c>
      <c r="AI443">
        <f>IF(AE443=1,IF(MATCH(B443,$B$2:$B$701,0)=ROW()-1,1,0),0)</f>
        <v/>
      </c>
      <c r="AJ443">
        <f>AJ442+AI443</f>
        <v/>
      </c>
      <c r="AK443">
        <f>IF(AE443=1,D443+(1000-ROW())/10^7,-1)</f>
        <v/>
      </c>
      <c r="AL443">
        <f>IF(AE443=1,TRIM('Roster'!B443)&amp;" "&amp;LEFT(TRIM('Roster'!C443),1)&amp;".","")</f>
        <v/>
      </c>
      <c r="AM443">
        <f>IF(AE443=1,TRIM('Roster'!C443)&amp;", "&amp;TRIM('Roster'!B443)&amp;" ("&amp;B443&amp;") #"&amp;AD443,"")</f>
        <v/>
      </c>
      <c r="AN443">
        <f>IF(AE443=1,TRIM('Roster'!E443),"")</f>
        <v/>
      </c>
      <c r="AO443">
        <f>IF(AE443=1,ROUND(SUMIFS('All Donations'!$S$2:$S$4001,'All Donations'!$R$2:$R$4001,AD443,'All Donations'!$T$2:$T$4001,"&gt;="&amp;'Settings'!$C$23,'All Donations'!$T$2:$T$4001,"&lt;="&amp;'Settings'!$D$23),2),0)</f>
        <v/>
      </c>
      <c r="AQ443">
        <f>IF(AE443=1,ROUND(SUMIFS('All Donations'!$S$2:$S$4001,'All Donations'!$R$2:$R$4001,AD443,'All Donations'!$T$2:$T$4001,"&gt;="&amp;'Settings'!$C$25,'All Donations'!$T$2:$T$4001,"&lt;="&amp;'Settings'!$D$25),2),0)</f>
        <v/>
      </c>
      <c r="AR443">
        <f>IF(AE443=1,ROUND(SUMIFS('All Donations'!$S$2:$S$4001,'All Donations'!$R$2:$R$4001,AD443,'All Donations'!$T$2:$T$4001,"&gt;="&amp;'Settings'!$C$26,'All Donations'!$T$2:$T$4001,"&lt;="&amp;'Settings'!$D$26),2),0)</f>
        <v/>
      </c>
      <c r="AS443">
        <f>IF(AE443=1,ROUND(SUMIFS('All Donations'!$S$2:$S$4001,'All Donations'!$R$2:$R$4001,AD443,'All Donations'!$T$2:$T$4001,"&lt;="&amp;'Settings'!$D$27),2),0)</f>
        <v/>
      </c>
      <c r="AT443">
        <f>IF(AE443=1,ROUND(SUMIFS('All Donations'!$S$2:$S$4001,'All Donations'!$R$2:$R$4001,AD443,'All Donations'!$T$2:$T$4001,"&gt;="&amp;'Settings'!$C$28,'All Donations'!$T$2:$T$4001,"&lt;="&amp;'Settings'!$D$28),2),0)</f>
        <v/>
      </c>
      <c r="AU443">
        <f>IF(AE443=1,ROUND(SUMIFS('All Donations'!$S$2:$S$4001,'All Donations'!$R$2:$R$4001,AD443,'All Donations'!$T$2:$T$4001,"&gt;="&amp;'Settings'!$C$29,'All Donations'!$T$2:$T$4001,"&lt;="&amp;'Settings'!$D$29),2),0)</f>
        <v/>
      </c>
      <c r="AV443">
        <f>IF(AE443=1,ROUND(SUMIFS('All Donations'!$S$2:$S$4001,'All Donations'!$R$2:$R$4001,AD443,'All Donations'!$T$2:$T$4001,"&lt;="&amp;'Settings'!$D$30),2),0)</f>
        <v/>
      </c>
      <c r="AZ443">
        <f>IF(AE443=1,ROUND(SUMIFS('All Donations'!$S$2:$S$4001,'All Donations'!$R$2:$R$4001,AD443,'All Donations'!$T$2:$T$4001,"&lt;="&amp;'Settings'!$D$34),2),0)</f>
        <v/>
      </c>
    </row>
    <row r="444">
      <c r="A444">
        <f>IF(AE444=1,TRIM(TRIM('Roster'!B444)&amp;" "&amp;TRIM('Roster'!C444)),"")</f>
        <v/>
      </c>
      <c r="B444">
        <f>IF(AE444=1,IF(AN444="","(no teacher)",AN444&amp;" – "&amp;C444),"")</f>
        <v/>
      </c>
      <c r="C444">
        <f>IF(AE444=1,TRIM('Roster'!D444&amp;""),"")</f>
        <v/>
      </c>
      <c r="D444" s="48">
        <f>IF(AE444=1,ROUND(SUMIFS('All Donations'!$S$2:$S$4001,'All Donations'!$R$2:$R$4001,AD444),2),"")</f>
        <v/>
      </c>
      <c r="E444" s="48">
        <f>IF(AE444=1,ROUND(SUMIFS('All Donations'!$S$2:$S$4001,'All Donations'!$R$2:$R$4001,AD444,'All Donations'!$G$2:$G$4001,"OneCause"),2),"")</f>
        <v/>
      </c>
      <c r="F444" s="48">
        <f>IF(AE444=1,D444-E444,"")</f>
        <v/>
      </c>
      <c r="G444">
        <f>IF(AE444=1,COUNTIFS('All Donations'!$R$2:$R$4001,AD444,'All Donations'!$H$2:$H$4001,"OK"),"")</f>
        <v/>
      </c>
      <c r="H444">
        <f>IF(AE444&lt;&gt;1,"",IF(D444&gt;0,"Yes",""))</f>
        <v/>
      </c>
      <c r="I444" s="49">
        <f>IF(OR($AE444&lt;&gt;1,I$1=""),"",SUMIFS('All Donations'!$S$2:$S$4001,'All Donations'!$R$2:$R$4001,$AD444,'All Donations'!$T$2:$T$4001,I$1))</f>
        <v/>
      </c>
      <c r="J444" s="49">
        <f>IF(OR($AE444&lt;&gt;1,J$1=""),"",SUMIFS('All Donations'!$S$2:$S$4001,'All Donations'!$R$2:$R$4001,$AD444,'All Donations'!$T$2:$T$4001,J$1))</f>
        <v/>
      </c>
      <c r="K444" s="49">
        <f>IF(OR($AE444&lt;&gt;1,K$1=""),"",SUMIFS('All Donations'!$S$2:$S$4001,'All Donations'!$R$2:$R$4001,$AD444,'All Donations'!$T$2:$T$4001,K$1))</f>
        <v/>
      </c>
      <c r="L444" s="49">
        <f>IF(OR($AE444&lt;&gt;1,L$1=""),"",SUMIFS('All Donations'!$S$2:$S$4001,'All Donations'!$R$2:$R$4001,$AD444,'All Donations'!$T$2:$T$4001,L$1))</f>
        <v/>
      </c>
      <c r="M444" s="49">
        <f>IF(OR($AE444&lt;&gt;1,M$1=""),"",SUMIFS('All Donations'!$S$2:$S$4001,'All Donations'!$R$2:$R$4001,$AD444,'All Donations'!$T$2:$T$4001,M$1))</f>
        <v/>
      </c>
      <c r="N444" s="49">
        <f>IF(OR($AE444&lt;&gt;1,N$1=""),"",SUMIFS('All Donations'!$S$2:$S$4001,'All Donations'!$R$2:$R$4001,$AD444,'All Donations'!$T$2:$T$4001,N$1))</f>
        <v/>
      </c>
      <c r="O444" s="49">
        <f>IF(OR($AE444&lt;&gt;1,O$1=""),"",SUMIFS('All Donations'!$S$2:$S$4001,'All Donations'!$R$2:$R$4001,$AD444,'All Donations'!$T$2:$T$4001,O$1))</f>
        <v/>
      </c>
      <c r="P444" s="49">
        <f>IF(OR($AE444&lt;&gt;1,P$1=""),"",SUMIFS('All Donations'!$S$2:$S$4001,'All Donations'!$R$2:$R$4001,$AD444,'All Donations'!$T$2:$T$4001,P$1))</f>
        <v/>
      </c>
      <c r="Q444" s="49">
        <f>IF(OR($AE444&lt;&gt;1,Q$1=""),"",SUMIFS('All Donations'!$S$2:$S$4001,'All Donations'!$R$2:$R$4001,$AD444,'All Donations'!$T$2:$T$4001,Q$1))</f>
        <v/>
      </c>
      <c r="R444" s="49">
        <f>IF(OR($AE444&lt;&gt;1,R$1=""),"",SUMIFS('All Donations'!$S$2:$S$4001,'All Donations'!$R$2:$R$4001,$AD444,'All Donations'!$T$2:$T$4001,R$1))</f>
        <v/>
      </c>
      <c r="S444" s="49">
        <f>IF(OR($AE444&lt;&gt;1,S$1=""),"",SUMIFS('All Donations'!$S$2:$S$4001,'All Donations'!$R$2:$R$4001,$AD444,'All Donations'!$T$2:$T$4001,S$1))</f>
        <v/>
      </c>
      <c r="T444" s="49">
        <f>IF(OR($AE444&lt;&gt;1,T$1=""),"",SUMIFS('All Donations'!$S$2:$S$4001,'All Donations'!$R$2:$R$4001,$AD444,'All Donations'!$T$2:$T$4001,T$1))</f>
        <v/>
      </c>
      <c r="U444" s="49">
        <f>IF(OR($AE444&lt;&gt;1,U$1=""),"",SUMIFS('All Donations'!$S$2:$S$4001,'All Donations'!$R$2:$R$4001,$AD444,'All Donations'!$T$2:$T$4001,U$1))</f>
        <v/>
      </c>
      <c r="V444" s="49">
        <f>IF(OR($AE444&lt;&gt;1,V$1=""),"",SUMIFS('All Donations'!$S$2:$S$4001,'All Donations'!$R$2:$R$4001,$AD444,'All Donations'!$T$2:$T$4001,V$1))</f>
        <v/>
      </c>
      <c r="W444" s="49">
        <f>IF(OR($AE444&lt;&gt;1,W$1=""),"",SUMIFS('All Donations'!$S$2:$S$4001,'All Donations'!$R$2:$R$4001,$AD444,'All Donations'!$T$2:$T$4001,W$1))</f>
        <v/>
      </c>
      <c r="X444" s="49">
        <f>IF(OR($AE444&lt;&gt;1,X$1=""),"",SUMIFS('All Donations'!$S$2:$S$4001,'All Donations'!$R$2:$R$4001,$AD444,'All Donations'!$T$2:$T$4001,X$1))</f>
        <v/>
      </c>
      <c r="Y444" s="49">
        <f>IF(OR($AE444&lt;&gt;1,Y$1=""),"",SUMIFS('All Donations'!$S$2:$S$4001,'All Donations'!$R$2:$R$4001,$AD444,'All Donations'!$T$2:$T$4001,Y$1))</f>
        <v/>
      </c>
      <c r="Z444" s="49">
        <f>IF(OR($AE444&lt;&gt;1,Z$1=""),"",SUMIFS('All Donations'!$S$2:$S$4001,'All Donations'!$R$2:$R$4001,$AD444,'All Donations'!$T$2:$T$4001,Z$1))</f>
        <v/>
      </c>
      <c r="AA444" s="49">
        <f>IF(OR($AE444&lt;&gt;1,AA$1=""),"",SUMIFS('All Donations'!$S$2:$S$4001,'All Donations'!$R$2:$R$4001,$AD444,'All Donations'!$T$2:$T$4001,AA$1))</f>
        <v/>
      </c>
      <c r="AB444" s="49">
        <f>IF(OR($AE444&lt;&gt;1,AB$1=""),"",SUMIFS('All Donations'!$S$2:$S$4001,'All Donations'!$R$2:$R$4001,$AD444,'All Donations'!$T$2:$T$4001,AB$1))</f>
        <v/>
      </c>
      <c r="AC444" s="49">
        <f>IF(OR($AE444&lt;&gt;1,AC$1=""),"",SUMIFS('All Donations'!$S$2:$S$4001,'All Donations'!$R$2:$R$4001,$AD444,'All Donations'!$T$2:$T$4001,AC$1))</f>
        <v/>
      </c>
      <c r="AD444">
        <f>IF(AE444=1,'Roster'!A444,"")</f>
        <v/>
      </c>
      <c r="AE444">
        <f>IF(TRIM('Roster'!B444&amp;'Roster'!C444)&lt;&gt;"",1,0)</f>
        <v/>
      </c>
      <c r="AF444">
        <f>IF(AE444=1,LOWER(A444),"#")</f>
        <v/>
      </c>
      <c r="AG444">
        <f>IF(AE444=1,LOWER(TRIM(TRIM('Roster'!C444)&amp;", "&amp;TRIM('Roster'!B444))),"#")</f>
        <v/>
      </c>
      <c r="AH444">
        <f>IF(AND(AE444=1,TRIM('Roster'!F444)&lt;&gt;""),LOWER(TRIM('Roster'!F444)),"#")</f>
        <v/>
      </c>
      <c r="AI444">
        <f>IF(AE444=1,IF(MATCH(B444,$B$2:$B$701,0)=ROW()-1,1,0),0)</f>
        <v/>
      </c>
      <c r="AJ444">
        <f>AJ443+AI444</f>
        <v/>
      </c>
      <c r="AK444">
        <f>IF(AE444=1,D444+(1000-ROW())/10^7,-1)</f>
        <v/>
      </c>
      <c r="AL444">
        <f>IF(AE444=1,TRIM('Roster'!B444)&amp;" "&amp;LEFT(TRIM('Roster'!C444),1)&amp;".","")</f>
        <v/>
      </c>
      <c r="AM444">
        <f>IF(AE444=1,TRIM('Roster'!C444)&amp;", "&amp;TRIM('Roster'!B444)&amp;" ("&amp;B444&amp;") #"&amp;AD444,"")</f>
        <v/>
      </c>
      <c r="AN444">
        <f>IF(AE444=1,TRIM('Roster'!E444),"")</f>
        <v/>
      </c>
      <c r="AO444">
        <f>IF(AE444=1,ROUND(SUMIFS('All Donations'!$S$2:$S$4001,'All Donations'!$R$2:$R$4001,AD444,'All Donations'!$T$2:$T$4001,"&gt;="&amp;'Settings'!$C$23,'All Donations'!$T$2:$T$4001,"&lt;="&amp;'Settings'!$D$23),2),0)</f>
        <v/>
      </c>
      <c r="AQ444">
        <f>IF(AE444=1,ROUND(SUMIFS('All Donations'!$S$2:$S$4001,'All Donations'!$R$2:$R$4001,AD444,'All Donations'!$T$2:$T$4001,"&gt;="&amp;'Settings'!$C$25,'All Donations'!$T$2:$T$4001,"&lt;="&amp;'Settings'!$D$25),2),0)</f>
        <v/>
      </c>
      <c r="AR444">
        <f>IF(AE444=1,ROUND(SUMIFS('All Donations'!$S$2:$S$4001,'All Donations'!$R$2:$R$4001,AD444,'All Donations'!$T$2:$T$4001,"&gt;="&amp;'Settings'!$C$26,'All Donations'!$T$2:$T$4001,"&lt;="&amp;'Settings'!$D$26),2),0)</f>
        <v/>
      </c>
      <c r="AS444">
        <f>IF(AE444=1,ROUND(SUMIFS('All Donations'!$S$2:$S$4001,'All Donations'!$R$2:$R$4001,AD444,'All Donations'!$T$2:$T$4001,"&lt;="&amp;'Settings'!$D$27),2),0)</f>
        <v/>
      </c>
      <c r="AT444">
        <f>IF(AE444=1,ROUND(SUMIFS('All Donations'!$S$2:$S$4001,'All Donations'!$R$2:$R$4001,AD444,'All Donations'!$T$2:$T$4001,"&gt;="&amp;'Settings'!$C$28,'All Donations'!$T$2:$T$4001,"&lt;="&amp;'Settings'!$D$28),2),0)</f>
        <v/>
      </c>
      <c r="AU444">
        <f>IF(AE444=1,ROUND(SUMIFS('All Donations'!$S$2:$S$4001,'All Donations'!$R$2:$R$4001,AD444,'All Donations'!$T$2:$T$4001,"&gt;="&amp;'Settings'!$C$29,'All Donations'!$T$2:$T$4001,"&lt;="&amp;'Settings'!$D$29),2),0)</f>
        <v/>
      </c>
      <c r="AV444">
        <f>IF(AE444=1,ROUND(SUMIFS('All Donations'!$S$2:$S$4001,'All Donations'!$R$2:$R$4001,AD444,'All Donations'!$T$2:$T$4001,"&lt;="&amp;'Settings'!$D$30),2),0)</f>
        <v/>
      </c>
      <c r="AZ444">
        <f>IF(AE444=1,ROUND(SUMIFS('All Donations'!$S$2:$S$4001,'All Donations'!$R$2:$R$4001,AD444,'All Donations'!$T$2:$T$4001,"&lt;="&amp;'Settings'!$D$34),2),0)</f>
        <v/>
      </c>
    </row>
    <row r="445">
      <c r="A445">
        <f>IF(AE445=1,TRIM(TRIM('Roster'!B445)&amp;" "&amp;TRIM('Roster'!C445)),"")</f>
        <v/>
      </c>
      <c r="B445">
        <f>IF(AE445=1,IF(AN445="","(no teacher)",AN445&amp;" – "&amp;C445),"")</f>
        <v/>
      </c>
      <c r="C445">
        <f>IF(AE445=1,TRIM('Roster'!D445&amp;""),"")</f>
        <v/>
      </c>
      <c r="D445" s="48">
        <f>IF(AE445=1,ROUND(SUMIFS('All Donations'!$S$2:$S$4001,'All Donations'!$R$2:$R$4001,AD445),2),"")</f>
        <v/>
      </c>
      <c r="E445" s="48">
        <f>IF(AE445=1,ROUND(SUMIFS('All Donations'!$S$2:$S$4001,'All Donations'!$R$2:$R$4001,AD445,'All Donations'!$G$2:$G$4001,"OneCause"),2),"")</f>
        <v/>
      </c>
      <c r="F445" s="48">
        <f>IF(AE445=1,D445-E445,"")</f>
        <v/>
      </c>
      <c r="G445">
        <f>IF(AE445=1,COUNTIFS('All Donations'!$R$2:$R$4001,AD445,'All Donations'!$H$2:$H$4001,"OK"),"")</f>
        <v/>
      </c>
      <c r="H445">
        <f>IF(AE445&lt;&gt;1,"",IF(D445&gt;0,"Yes",""))</f>
        <v/>
      </c>
      <c r="I445" s="49">
        <f>IF(OR($AE445&lt;&gt;1,I$1=""),"",SUMIFS('All Donations'!$S$2:$S$4001,'All Donations'!$R$2:$R$4001,$AD445,'All Donations'!$T$2:$T$4001,I$1))</f>
        <v/>
      </c>
      <c r="J445" s="49">
        <f>IF(OR($AE445&lt;&gt;1,J$1=""),"",SUMIFS('All Donations'!$S$2:$S$4001,'All Donations'!$R$2:$R$4001,$AD445,'All Donations'!$T$2:$T$4001,J$1))</f>
        <v/>
      </c>
      <c r="K445" s="49">
        <f>IF(OR($AE445&lt;&gt;1,K$1=""),"",SUMIFS('All Donations'!$S$2:$S$4001,'All Donations'!$R$2:$R$4001,$AD445,'All Donations'!$T$2:$T$4001,K$1))</f>
        <v/>
      </c>
      <c r="L445" s="49">
        <f>IF(OR($AE445&lt;&gt;1,L$1=""),"",SUMIFS('All Donations'!$S$2:$S$4001,'All Donations'!$R$2:$R$4001,$AD445,'All Donations'!$T$2:$T$4001,L$1))</f>
        <v/>
      </c>
      <c r="M445" s="49">
        <f>IF(OR($AE445&lt;&gt;1,M$1=""),"",SUMIFS('All Donations'!$S$2:$S$4001,'All Donations'!$R$2:$R$4001,$AD445,'All Donations'!$T$2:$T$4001,M$1))</f>
        <v/>
      </c>
      <c r="N445" s="49">
        <f>IF(OR($AE445&lt;&gt;1,N$1=""),"",SUMIFS('All Donations'!$S$2:$S$4001,'All Donations'!$R$2:$R$4001,$AD445,'All Donations'!$T$2:$T$4001,N$1))</f>
        <v/>
      </c>
      <c r="O445" s="49">
        <f>IF(OR($AE445&lt;&gt;1,O$1=""),"",SUMIFS('All Donations'!$S$2:$S$4001,'All Donations'!$R$2:$R$4001,$AD445,'All Donations'!$T$2:$T$4001,O$1))</f>
        <v/>
      </c>
      <c r="P445" s="49">
        <f>IF(OR($AE445&lt;&gt;1,P$1=""),"",SUMIFS('All Donations'!$S$2:$S$4001,'All Donations'!$R$2:$R$4001,$AD445,'All Donations'!$T$2:$T$4001,P$1))</f>
        <v/>
      </c>
      <c r="Q445" s="49">
        <f>IF(OR($AE445&lt;&gt;1,Q$1=""),"",SUMIFS('All Donations'!$S$2:$S$4001,'All Donations'!$R$2:$R$4001,$AD445,'All Donations'!$T$2:$T$4001,Q$1))</f>
        <v/>
      </c>
      <c r="R445" s="49">
        <f>IF(OR($AE445&lt;&gt;1,R$1=""),"",SUMIFS('All Donations'!$S$2:$S$4001,'All Donations'!$R$2:$R$4001,$AD445,'All Donations'!$T$2:$T$4001,R$1))</f>
        <v/>
      </c>
      <c r="S445" s="49">
        <f>IF(OR($AE445&lt;&gt;1,S$1=""),"",SUMIFS('All Donations'!$S$2:$S$4001,'All Donations'!$R$2:$R$4001,$AD445,'All Donations'!$T$2:$T$4001,S$1))</f>
        <v/>
      </c>
      <c r="T445" s="49">
        <f>IF(OR($AE445&lt;&gt;1,T$1=""),"",SUMIFS('All Donations'!$S$2:$S$4001,'All Donations'!$R$2:$R$4001,$AD445,'All Donations'!$T$2:$T$4001,T$1))</f>
        <v/>
      </c>
      <c r="U445" s="49">
        <f>IF(OR($AE445&lt;&gt;1,U$1=""),"",SUMIFS('All Donations'!$S$2:$S$4001,'All Donations'!$R$2:$R$4001,$AD445,'All Donations'!$T$2:$T$4001,U$1))</f>
        <v/>
      </c>
      <c r="V445" s="49">
        <f>IF(OR($AE445&lt;&gt;1,V$1=""),"",SUMIFS('All Donations'!$S$2:$S$4001,'All Donations'!$R$2:$R$4001,$AD445,'All Donations'!$T$2:$T$4001,V$1))</f>
        <v/>
      </c>
      <c r="W445" s="49">
        <f>IF(OR($AE445&lt;&gt;1,W$1=""),"",SUMIFS('All Donations'!$S$2:$S$4001,'All Donations'!$R$2:$R$4001,$AD445,'All Donations'!$T$2:$T$4001,W$1))</f>
        <v/>
      </c>
      <c r="X445" s="49">
        <f>IF(OR($AE445&lt;&gt;1,X$1=""),"",SUMIFS('All Donations'!$S$2:$S$4001,'All Donations'!$R$2:$R$4001,$AD445,'All Donations'!$T$2:$T$4001,X$1))</f>
        <v/>
      </c>
      <c r="Y445" s="49">
        <f>IF(OR($AE445&lt;&gt;1,Y$1=""),"",SUMIFS('All Donations'!$S$2:$S$4001,'All Donations'!$R$2:$R$4001,$AD445,'All Donations'!$T$2:$T$4001,Y$1))</f>
        <v/>
      </c>
      <c r="Z445" s="49">
        <f>IF(OR($AE445&lt;&gt;1,Z$1=""),"",SUMIFS('All Donations'!$S$2:$S$4001,'All Donations'!$R$2:$R$4001,$AD445,'All Donations'!$T$2:$T$4001,Z$1))</f>
        <v/>
      </c>
      <c r="AA445" s="49">
        <f>IF(OR($AE445&lt;&gt;1,AA$1=""),"",SUMIFS('All Donations'!$S$2:$S$4001,'All Donations'!$R$2:$R$4001,$AD445,'All Donations'!$T$2:$T$4001,AA$1))</f>
        <v/>
      </c>
      <c r="AB445" s="49">
        <f>IF(OR($AE445&lt;&gt;1,AB$1=""),"",SUMIFS('All Donations'!$S$2:$S$4001,'All Donations'!$R$2:$R$4001,$AD445,'All Donations'!$T$2:$T$4001,AB$1))</f>
        <v/>
      </c>
      <c r="AC445" s="49">
        <f>IF(OR($AE445&lt;&gt;1,AC$1=""),"",SUMIFS('All Donations'!$S$2:$S$4001,'All Donations'!$R$2:$R$4001,$AD445,'All Donations'!$T$2:$T$4001,AC$1))</f>
        <v/>
      </c>
      <c r="AD445">
        <f>IF(AE445=1,'Roster'!A445,"")</f>
        <v/>
      </c>
      <c r="AE445">
        <f>IF(TRIM('Roster'!B445&amp;'Roster'!C445)&lt;&gt;"",1,0)</f>
        <v/>
      </c>
      <c r="AF445">
        <f>IF(AE445=1,LOWER(A445),"#")</f>
        <v/>
      </c>
      <c r="AG445">
        <f>IF(AE445=1,LOWER(TRIM(TRIM('Roster'!C445)&amp;", "&amp;TRIM('Roster'!B445))),"#")</f>
        <v/>
      </c>
      <c r="AH445">
        <f>IF(AND(AE445=1,TRIM('Roster'!F445)&lt;&gt;""),LOWER(TRIM('Roster'!F445)),"#")</f>
        <v/>
      </c>
      <c r="AI445">
        <f>IF(AE445=1,IF(MATCH(B445,$B$2:$B$701,0)=ROW()-1,1,0),0)</f>
        <v/>
      </c>
      <c r="AJ445">
        <f>AJ444+AI445</f>
        <v/>
      </c>
      <c r="AK445">
        <f>IF(AE445=1,D445+(1000-ROW())/10^7,-1)</f>
        <v/>
      </c>
      <c r="AL445">
        <f>IF(AE445=1,TRIM('Roster'!B445)&amp;" "&amp;LEFT(TRIM('Roster'!C445),1)&amp;".","")</f>
        <v/>
      </c>
      <c r="AM445">
        <f>IF(AE445=1,TRIM('Roster'!C445)&amp;", "&amp;TRIM('Roster'!B445)&amp;" ("&amp;B445&amp;") #"&amp;AD445,"")</f>
        <v/>
      </c>
      <c r="AN445">
        <f>IF(AE445=1,TRIM('Roster'!E445),"")</f>
        <v/>
      </c>
      <c r="AO445">
        <f>IF(AE445=1,ROUND(SUMIFS('All Donations'!$S$2:$S$4001,'All Donations'!$R$2:$R$4001,AD445,'All Donations'!$T$2:$T$4001,"&gt;="&amp;'Settings'!$C$23,'All Donations'!$T$2:$T$4001,"&lt;="&amp;'Settings'!$D$23),2),0)</f>
        <v/>
      </c>
      <c r="AQ445">
        <f>IF(AE445=1,ROUND(SUMIFS('All Donations'!$S$2:$S$4001,'All Donations'!$R$2:$R$4001,AD445,'All Donations'!$T$2:$T$4001,"&gt;="&amp;'Settings'!$C$25,'All Donations'!$T$2:$T$4001,"&lt;="&amp;'Settings'!$D$25),2),0)</f>
        <v/>
      </c>
      <c r="AR445">
        <f>IF(AE445=1,ROUND(SUMIFS('All Donations'!$S$2:$S$4001,'All Donations'!$R$2:$R$4001,AD445,'All Donations'!$T$2:$T$4001,"&gt;="&amp;'Settings'!$C$26,'All Donations'!$T$2:$T$4001,"&lt;="&amp;'Settings'!$D$26),2),0)</f>
        <v/>
      </c>
      <c r="AS445">
        <f>IF(AE445=1,ROUND(SUMIFS('All Donations'!$S$2:$S$4001,'All Donations'!$R$2:$R$4001,AD445,'All Donations'!$T$2:$T$4001,"&lt;="&amp;'Settings'!$D$27),2),0)</f>
        <v/>
      </c>
      <c r="AT445">
        <f>IF(AE445=1,ROUND(SUMIFS('All Donations'!$S$2:$S$4001,'All Donations'!$R$2:$R$4001,AD445,'All Donations'!$T$2:$T$4001,"&gt;="&amp;'Settings'!$C$28,'All Donations'!$T$2:$T$4001,"&lt;="&amp;'Settings'!$D$28),2),0)</f>
        <v/>
      </c>
      <c r="AU445">
        <f>IF(AE445=1,ROUND(SUMIFS('All Donations'!$S$2:$S$4001,'All Donations'!$R$2:$R$4001,AD445,'All Donations'!$T$2:$T$4001,"&gt;="&amp;'Settings'!$C$29,'All Donations'!$T$2:$T$4001,"&lt;="&amp;'Settings'!$D$29),2),0)</f>
        <v/>
      </c>
      <c r="AV445">
        <f>IF(AE445=1,ROUND(SUMIFS('All Donations'!$S$2:$S$4001,'All Donations'!$R$2:$R$4001,AD445,'All Donations'!$T$2:$T$4001,"&lt;="&amp;'Settings'!$D$30),2),0)</f>
        <v/>
      </c>
      <c r="AZ445">
        <f>IF(AE445=1,ROUND(SUMIFS('All Donations'!$S$2:$S$4001,'All Donations'!$R$2:$R$4001,AD445,'All Donations'!$T$2:$T$4001,"&lt;="&amp;'Settings'!$D$34),2),0)</f>
        <v/>
      </c>
    </row>
    <row r="446">
      <c r="A446">
        <f>IF(AE446=1,TRIM(TRIM('Roster'!B446)&amp;" "&amp;TRIM('Roster'!C446)),"")</f>
        <v/>
      </c>
      <c r="B446">
        <f>IF(AE446=1,IF(AN446="","(no teacher)",AN446&amp;" – "&amp;C446),"")</f>
        <v/>
      </c>
      <c r="C446">
        <f>IF(AE446=1,TRIM('Roster'!D446&amp;""),"")</f>
        <v/>
      </c>
      <c r="D446" s="48">
        <f>IF(AE446=1,ROUND(SUMIFS('All Donations'!$S$2:$S$4001,'All Donations'!$R$2:$R$4001,AD446),2),"")</f>
        <v/>
      </c>
      <c r="E446" s="48">
        <f>IF(AE446=1,ROUND(SUMIFS('All Donations'!$S$2:$S$4001,'All Donations'!$R$2:$R$4001,AD446,'All Donations'!$G$2:$G$4001,"OneCause"),2),"")</f>
        <v/>
      </c>
      <c r="F446" s="48">
        <f>IF(AE446=1,D446-E446,"")</f>
        <v/>
      </c>
      <c r="G446">
        <f>IF(AE446=1,COUNTIFS('All Donations'!$R$2:$R$4001,AD446,'All Donations'!$H$2:$H$4001,"OK"),"")</f>
        <v/>
      </c>
      <c r="H446">
        <f>IF(AE446&lt;&gt;1,"",IF(D446&gt;0,"Yes",""))</f>
        <v/>
      </c>
      <c r="I446" s="49">
        <f>IF(OR($AE446&lt;&gt;1,I$1=""),"",SUMIFS('All Donations'!$S$2:$S$4001,'All Donations'!$R$2:$R$4001,$AD446,'All Donations'!$T$2:$T$4001,I$1))</f>
        <v/>
      </c>
      <c r="J446" s="49">
        <f>IF(OR($AE446&lt;&gt;1,J$1=""),"",SUMIFS('All Donations'!$S$2:$S$4001,'All Donations'!$R$2:$R$4001,$AD446,'All Donations'!$T$2:$T$4001,J$1))</f>
        <v/>
      </c>
      <c r="K446" s="49">
        <f>IF(OR($AE446&lt;&gt;1,K$1=""),"",SUMIFS('All Donations'!$S$2:$S$4001,'All Donations'!$R$2:$R$4001,$AD446,'All Donations'!$T$2:$T$4001,K$1))</f>
        <v/>
      </c>
      <c r="L446" s="49">
        <f>IF(OR($AE446&lt;&gt;1,L$1=""),"",SUMIFS('All Donations'!$S$2:$S$4001,'All Donations'!$R$2:$R$4001,$AD446,'All Donations'!$T$2:$T$4001,L$1))</f>
        <v/>
      </c>
      <c r="M446" s="49">
        <f>IF(OR($AE446&lt;&gt;1,M$1=""),"",SUMIFS('All Donations'!$S$2:$S$4001,'All Donations'!$R$2:$R$4001,$AD446,'All Donations'!$T$2:$T$4001,M$1))</f>
        <v/>
      </c>
      <c r="N446" s="49">
        <f>IF(OR($AE446&lt;&gt;1,N$1=""),"",SUMIFS('All Donations'!$S$2:$S$4001,'All Donations'!$R$2:$R$4001,$AD446,'All Donations'!$T$2:$T$4001,N$1))</f>
        <v/>
      </c>
      <c r="O446" s="49">
        <f>IF(OR($AE446&lt;&gt;1,O$1=""),"",SUMIFS('All Donations'!$S$2:$S$4001,'All Donations'!$R$2:$R$4001,$AD446,'All Donations'!$T$2:$T$4001,O$1))</f>
        <v/>
      </c>
      <c r="P446" s="49">
        <f>IF(OR($AE446&lt;&gt;1,P$1=""),"",SUMIFS('All Donations'!$S$2:$S$4001,'All Donations'!$R$2:$R$4001,$AD446,'All Donations'!$T$2:$T$4001,P$1))</f>
        <v/>
      </c>
      <c r="Q446" s="49">
        <f>IF(OR($AE446&lt;&gt;1,Q$1=""),"",SUMIFS('All Donations'!$S$2:$S$4001,'All Donations'!$R$2:$R$4001,$AD446,'All Donations'!$T$2:$T$4001,Q$1))</f>
        <v/>
      </c>
      <c r="R446" s="49">
        <f>IF(OR($AE446&lt;&gt;1,R$1=""),"",SUMIFS('All Donations'!$S$2:$S$4001,'All Donations'!$R$2:$R$4001,$AD446,'All Donations'!$T$2:$T$4001,R$1))</f>
        <v/>
      </c>
      <c r="S446" s="49">
        <f>IF(OR($AE446&lt;&gt;1,S$1=""),"",SUMIFS('All Donations'!$S$2:$S$4001,'All Donations'!$R$2:$R$4001,$AD446,'All Donations'!$T$2:$T$4001,S$1))</f>
        <v/>
      </c>
      <c r="T446" s="49">
        <f>IF(OR($AE446&lt;&gt;1,T$1=""),"",SUMIFS('All Donations'!$S$2:$S$4001,'All Donations'!$R$2:$R$4001,$AD446,'All Donations'!$T$2:$T$4001,T$1))</f>
        <v/>
      </c>
      <c r="U446" s="49">
        <f>IF(OR($AE446&lt;&gt;1,U$1=""),"",SUMIFS('All Donations'!$S$2:$S$4001,'All Donations'!$R$2:$R$4001,$AD446,'All Donations'!$T$2:$T$4001,U$1))</f>
        <v/>
      </c>
      <c r="V446" s="49">
        <f>IF(OR($AE446&lt;&gt;1,V$1=""),"",SUMIFS('All Donations'!$S$2:$S$4001,'All Donations'!$R$2:$R$4001,$AD446,'All Donations'!$T$2:$T$4001,V$1))</f>
        <v/>
      </c>
      <c r="W446" s="49">
        <f>IF(OR($AE446&lt;&gt;1,W$1=""),"",SUMIFS('All Donations'!$S$2:$S$4001,'All Donations'!$R$2:$R$4001,$AD446,'All Donations'!$T$2:$T$4001,W$1))</f>
        <v/>
      </c>
      <c r="X446" s="49">
        <f>IF(OR($AE446&lt;&gt;1,X$1=""),"",SUMIFS('All Donations'!$S$2:$S$4001,'All Donations'!$R$2:$R$4001,$AD446,'All Donations'!$T$2:$T$4001,X$1))</f>
        <v/>
      </c>
      <c r="Y446" s="49">
        <f>IF(OR($AE446&lt;&gt;1,Y$1=""),"",SUMIFS('All Donations'!$S$2:$S$4001,'All Donations'!$R$2:$R$4001,$AD446,'All Donations'!$T$2:$T$4001,Y$1))</f>
        <v/>
      </c>
      <c r="Z446" s="49">
        <f>IF(OR($AE446&lt;&gt;1,Z$1=""),"",SUMIFS('All Donations'!$S$2:$S$4001,'All Donations'!$R$2:$R$4001,$AD446,'All Donations'!$T$2:$T$4001,Z$1))</f>
        <v/>
      </c>
      <c r="AA446" s="49">
        <f>IF(OR($AE446&lt;&gt;1,AA$1=""),"",SUMIFS('All Donations'!$S$2:$S$4001,'All Donations'!$R$2:$R$4001,$AD446,'All Donations'!$T$2:$T$4001,AA$1))</f>
        <v/>
      </c>
      <c r="AB446" s="49">
        <f>IF(OR($AE446&lt;&gt;1,AB$1=""),"",SUMIFS('All Donations'!$S$2:$S$4001,'All Donations'!$R$2:$R$4001,$AD446,'All Donations'!$T$2:$T$4001,AB$1))</f>
        <v/>
      </c>
      <c r="AC446" s="49">
        <f>IF(OR($AE446&lt;&gt;1,AC$1=""),"",SUMIFS('All Donations'!$S$2:$S$4001,'All Donations'!$R$2:$R$4001,$AD446,'All Donations'!$T$2:$T$4001,AC$1))</f>
        <v/>
      </c>
      <c r="AD446">
        <f>IF(AE446=1,'Roster'!A446,"")</f>
        <v/>
      </c>
      <c r="AE446">
        <f>IF(TRIM('Roster'!B446&amp;'Roster'!C446)&lt;&gt;"",1,0)</f>
        <v/>
      </c>
      <c r="AF446">
        <f>IF(AE446=1,LOWER(A446),"#")</f>
        <v/>
      </c>
      <c r="AG446">
        <f>IF(AE446=1,LOWER(TRIM(TRIM('Roster'!C446)&amp;", "&amp;TRIM('Roster'!B446))),"#")</f>
        <v/>
      </c>
      <c r="AH446">
        <f>IF(AND(AE446=1,TRIM('Roster'!F446)&lt;&gt;""),LOWER(TRIM('Roster'!F446)),"#")</f>
        <v/>
      </c>
      <c r="AI446">
        <f>IF(AE446=1,IF(MATCH(B446,$B$2:$B$701,0)=ROW()-1,1,0),0)</f>
        <v/>
      </c>
      <c r="AJ446">
        <f>AJ445+AI446</f>
        <v/>
      </c>
      <c r="AK446">
        <f>IF(AE446=1,D446+(1000-ROW())/10^7,-1)</f>
        <v/>
      </c>
      <c r="AL446">
        <f>IF(AE446=1,TRIM('Roster'!B446)&amp;" "&amp;LEFT(TRIM('Roster'!C446),1)&amp;".","")</f>
        <v/>
      </c>
      <c r="AM446">
        <f>IF(AE446=1,TRIM('Roster'!C446)&amp;", "&amp;TRIM('Roster'!B446)&amp;" ("&amp;B446&amp;") #"&amp;AD446,"")</f>
        <v/>
      </c>
      <c r="AN446">
        <f>IF(AE446=1,TRIM('Roster'!E446),"")</f>
        <v/>
      </c>
      <c r="AO446">
        <f>IF(AE446=1,ROUND(SUMIFS('All Donations'!$S$2:$S$4001,'All Donations'!$R$2:$R$4001,AD446,'All Donations'!$T$2:$T$4001,"&gt;="&amp;'Settings'!$C$23,'All Donations'!$T$2:$T$4001,"&lt;="&amp;'Settings'!$D$23),2),0)</f>
        <v/>
      </c>
      <c r="AQ446">
        <f>IF(AE446=1,ROUND(SUMIFS('All Donations'!$S$2:$S$4001,'All Donations'!$R$2:$R$4001,AD446,'All Donations'!$T$2:$T$4001,"&gt;="&amp;'Settings'!$C$25,'All Donations'!$T$2:$T$4001,"&lt;="&amp;'Settings'!$D$25),2),0)</f>
        <v/>
      </c>
      <c r="AR446">
        <f>IF(AE446=1,ROUND(SUMIFS('All Donations'!$S$2:$S$4001,'All Donations'!$R$2:$R$4001,AD446,'All Donations'!$T$2:$T$4001,"&gt;="&amp;'Settings'!$C$26,'All Donations'!$T$2:$T$4001,"&lt;="&amp;'Settings'!$D$26),2),0)</f>
        <v/>
      </c>
      <c r="AS446">
        <f>IF(AE446=1,ROUND(SUMIFS('All Donations'!$S$2:$S$4001,'All Donations'!$R$2:$R$4001,AD446,'All Donations'!$T$2:$T$4001,"&lt;="&amp;'Settings'!$D$27),2),0)</f>
        <v/>
      </c>
      <c r="AT446">
        <f>IF(AE446=1,ROUND(SUMIFS('All Donations'!$S$2:$S$4001,'All Donations'!$R$2:$R$4001,AD446,'All Donations'!$T$2:$T$4001,"&gt;="&amp;'Settings'!$C$28,'All Donations'!$T$2:$T$4001,"&lt;="&amp;'Settings'!$D$28),2),0)</f>
        <v/>
      </c>
      <c r="AU446">
        <f>IF(AE446=1,ROUND(SUMIFS('All Donations'!$S$2:$S$4001,'All Donations'!$R$2:$R$4001,AD446,'All Donations'!$T$2:$T$4001,"&gt;="&amp;'Settings'!$C$29,'All Donations'!$T$2:$T$4001,"&lt;="&amp;'Settings'!$D$29),2),0)</f>
        <v/>
      </c>
      <c r="AV446">
        <f>IF(AE446=1,ROUND(SUMIFS('All Donations'!$S$2:$S$4001,'All Donations'!$R$2:$R$4001,AD446,'All Donations'!$T$2:$T$4001,"&lt;="&amp;'Settings'!$D$30),2),0)</f>
        <v/>
      </c>
      <c r="AZ446">
        <f>IF(AE446=1,ROUND(SUMIFS('All Donations'!$S$2:$S$4001,'All Donations'!$R$2:$R$4001,AD446,'All Donations'!$T$2:$T$4001,"&lt;="&amp;'Settings'!$D$34),2),0)</f>
        <v/>
      </c>
    </row>
    <row r="447">
      <c r="A447">
        <f>IF(AE447=1,TRIM(TRIM('Roster'!B447)&amp;" "&amp;TRIM('Roster'!C447)),"")</f>
        <v/>
      </c>
      <c r="B447">
        <f>IF(AE447=1,IF(AN447="","(no teacher)",AN447&amp;" – "&amp;C447),"")</f>
        <v/>
      </c>
      <c r="C447">
        <f>IF(AE447=1,TRIM('Roster'!D447&amp;""),"")</f>
        <v/>
      </c>
      <c r="D447" s="48">
        <f>IF(AE447=1,ROUND(SUMIFS('All Donations'!$S$2:$S$4001,'All Donations'!$R$2:$R$4001,AD447),2),"")</f>
        <v/>
      </c>
      <c r="E447" s="48">
        <f>IF(AE447=1,ROUND(SUMIFS('All Donations'!$S$2:$S$4001,'All Donations'!$R$2:$R$4001,AD447,'All Donations'!$G$2:$G$4001,"OneCause"),2),"")</f>
        <v/>
      </c>
      <c r="F447" s="48">
        <f>IF(AE447=1,D447-E447,"")</f>
        <v/>
      </c>
      <c r="G447">
        <f>IF(AE447=1,COUNTIFS('All Donations'!$R$2:$R$4001,AD447,'All Donations'!$H$2:$H$4001,"OK"),"")</f>
        <v/>
      </c>
      <c r="H447">
        <f>IF(AE447&lt;&gt;1,"",IF(D447&gt;0,"Yes",""))</f>
        <v/>
      </c>
      <c r="I447" s="49">
        <f>IF(OR($AE447&lt;&gt;1,I$1=""),"",SUMIFS('All Donations'!$S$2:$S$4001,'All Donations'!$R$2:$R$4001,$AD447,'All Donations'!$T$2:$T$4001,I$1))</f>
        <v/>
      </c>
      <c r="J447" s="49">
        <f>IF(OR($AE447&lt;&gt;1,J$1=""),"",SUMIFS('All Donations'!$S$2:$S$4001,'All Donations'!$R$2:$R$4001,$AD447,'All Donations'!$T$2:$T$4001,J$1))</f>
        <v/>
      </c>
      <c r="K447" s="49">
        <f>IF(OR($AE447&lt;&gt;1,K$1=""),"",SUMIFS('All Donations'!$S$2:$S$4001,'All Donations'!$R$2:$R$4001,$AD447,'All Donations'!$T$2:$T$4001,K$1))</f>
        <v/>
      </c>
      <c r="L447" s="49">
        <f>IF(OR($AE447&lt;&gt;1,L$1=""),"",SUMIFS('All Donations'!$S$2:$S$4001,'All Donations'!$R$2:$R$4001,$AD447,'All Donations'!$T$2:$T$4001,L$1))</f>
        <v/>
      </c>
      <c r="M447" s="49">
        <f>IF(OR($AE447&lt;&gt;1,M$1=""),"",SUMIFS('All Donations'!$S$2:$S$4001,'All Donations'!$R$2:$R$4001,$AD447,'All Donations'!$T$2:$T$4001,M$1))</f>
        <v/>
      </c>
      <c r="N447" s="49">
        <f>IF(OR($AE447&lt;&gt;1,N$1=""),"",SUMIFS('All Donations'!$S$2:$S$4001,'All Donations'!$R$2:$R$4001,$AD447,'All Donations'!$T$2:$T$4001,N$1))</f>
        <v/>
      </c>
      <c r="O447" s="49">
        <f>IF(OR($AE447&lt;&gt;1,O$1=""),"",SUMIFS('All Donations'!$S$2:$S$4001,'All Donations'!$R$2:$R$4001,$AD447,'All Donations'!$T$2:$T$4001,O$1))</f>
        <v/>
      </c>
      <c r="P447" s="49">
        <f>IF(OR($AE447&lt;&gt;1,P$1=""),"",SUMIFS('All Donations'!$S$2:$S$4001,'All Donations'!$R$2:$R$4001,$AD447,'All Donations'!$T$2:$T$4001,P$1))</f>
        <v/>
      </c>
      <c r="Q447" s="49">
        <f>IF(OR($AE447&lt;&gt;1,Q$1=""),"",SUMIFS('All Donations'!$S$2:$S$4001,'All Donations'!$R$2:$R$4001,$AD447,'All Donations'!$T$2:$T$4001,Q$1))</f>
        <v/>
      </c>
      <c r="R447" s="49">
        <f>IF(OR($AE447&lt;&gt;1,R$1=""),"",SUMIFS('All Donations'!$S$2:$S$4001,'All Donations'!$R$2:$R$4001,$AD447,'All Donations'!$T$2:$T$4001,R$1))</f>
        <v/>
      </c>
      <c r="S447" s="49">
        <f>IF(OR($AE447&lt;&gt;1,S$1=""),"",SUMIFS('All Donations'!$S$2:$S$4001,'All Donations'!$R$2:$R$4001,$AD447,'All Donations'!$T$2:$T$4001,S$1))</f>
        <v/>
      </c>
      <c r="T447" s="49">
        <f>IF(OR($AE447&lt;&gt;1,T$1=""),"",SUMIFS('All Donations'!$S$2:$S$4001,'All Donations'!$R$2:$R$4001,$AD447,'All Donations'!$T$2:$T$4001,T$1))</f>
        <v/>
      </c>
      <c r="U447" s="49">
        <f>IF(OR($AE447&lt;&gt;1,U$1=""),"",SUMIFS('All Donations'!$S$2:$S$4001,'All Donations'!$R$2:$R$4001,$AD447,'All Donations'!$T$2:$T$4001,U$1))</f>
        <v/>
      </c>
      <c r="V447" s="49">
        <f>IF(OR($AE447&lt;&gt;1,V$1=""),"",SUMIFS('All Donations'!$S$2:$S$4001,'All Donations'!$R$2:$R$4001,$AD447,'All Donations'!$T$2:$T$4001,V$1))</f>
        <v/>
      </c>
      <c r="W447" s="49">
        <f>IF(OR($AE447&lt;&gt;1,W$1=""),"",SUMIFS('All Donations'!$S$2:$S$4001,'All Donations'!$R$2:$R$4001,$AD447,'All Donations'!$T$2:$T$4001,W$1))</f>
        <v/>
      </c>
      <c r="X447" s="49">
        <f>IF(OR($AE447&lt;&gt;1,X$1=""),"",SUMIFS('All Donations'!$S$2:$S$4001,'All Donations'!$R$2:$R$4001,$AD447,'All Donations'!$T$2:$T$4001,X$1))</f>
        <v/>
      </c>
      <c r="Y447" s="49">
        <f>IF(OR($AE447&lt;&gt;1,Y$1=""),"",SUMIFS('All Donations'!$S$2:$S$4001,'All Donations'!$R$2:$R$4001,$AD447,'All Donations'!$T$2:$T$4001,Y$1))</f>
        <v/>
      </c>
      <c r="Z447" s="49">
        <f>IF(OR($AE447&lt;&gt;1,Z$1=""),"",SUMIFS('All Donations'!$S$2:$S$4001,'All Donations'!$R$2:$R$4001,$AD447,'All Donations'!$T$2:$T$4001,Z$1))</f>
        <v/>
      </c>
      <c r="AA447" s="49">
        <f>IF(OR($AE447&lt;&gt;1,AA$1=""),"",SUMIFS('All Donations'!$S$2:$S$4001,'All Donations'!$R$2:$R$4001,$AD447,'All Donations'!$T$2:$T$4001,AA$1))</f>
        <v/>
      </c>
      <c r="AB447" s="49">
        <f>IF(OR($AE447&lt;&gt;1,AB$1=""),"",SUMIFS('All Donations'!$S$2:$S$4001,'All Donations'!$R$2:$R$4001,$AD447,'All Donations'!$T$2:$T$4001,AB$1))</f>
        <v/>
      </c>
      <c r="AC447" s="49">
        <f>IF(OR($AE447&lt;&gt;1,AC$1=""),"",SUMIFS('All Donations'!$S$2:$S$4001,'All Donations'!$R$2:$R$4001,$AD447,'All Donations'!$T$2:$T$4001,AC$1))</f>
        <v/>
      </c>
      <c r="AD447">
        <f>IF(AE447=1,'Roster'!A447,"")</f>
        <v/>
      </c>
      <c r="AE447">
        <f>IF(TRIM('Roster'!B447&amp;'Roster'!C447)&lt;&gt;"",1,0)</f>
        <v/>
      </c>
      <c r="AF447">
        <f>IF(AE447=1,LOWER(A447),"#")</f>
        <v/>
      </c>
      <c r="AG447">
        <f>IF(AE447=1,LOWER(TRIM(TRIM('Roster'!C447)&amp;", "&amp;TRIM('Roster'!B447))),"#")</f>
        <v/>
      </c>
      <c r="AH447">
        <f>IF(AND(AE447=1,TRIM('Roster'!F447)&lt;&gt;""),LOWER(TRIM('Roster'!F447)),"#")</f>
        <v/>
      </c>
      <c r="AI447">
        <f>IF(AE447=1,IF(MATCH(B447,$B$2:$B$701,0)=ROW()-1,1,0),0)</f>
        <v/>
      </c>
      <c r="AJ447">
        <f>AJ446+AI447</f>
        <v/>
      </c>
      <c r="AK447">
        <f>IF(AE447=1,D447+(1000-ROW())/10^7,-1)</f>
        <v/>
      </c>
      <c r="AL447">
        <f>IF(AE447=1,TRIM('Roster'!B447)&amp;" "&amp;LEFT(TRIM('Roster'!C447),1)&amp;".","")</f>
        <v/>
      </c>
      <c r="AM447">
        <f>IF(AE447=1,TRIM('Roster'!C447)&amp;", "&amp;TRIM('Roster'!B447)&amp;" ("&amp;B447&amp;") #"&amp;AD447,"")</f>
        <v/>
      </c>
      <c r="AN447">
        <f>IF(AE447=1,TRIM('Roster'!E447),"")</f>
        <v/>
      </c>
      <c r="AO447">
        <f>IF(AE447=1,ROUND(SUMIFS('All Donations'!$S$2:$S$4001,'All Donations'!$R$2:$R$4001,AD447,'All Donations'!$T$2:$T$4001,"&gt;="&amp;'Settings'!$C$23,'All Donations'!$T$2:$T$4001,"&lt;="&amp;'Settings'!$D$23),2),0)</f>
        <v/>
      </c>
      <c r="AQ447">
        <f>IF(AE447=1,ROUND(SUMIFS('All Donations'!$S$2:$S$4001,'All Donations'!$R$2:$R$4001,AD447,'All Donations'!$T$2:$T$4001,"&gt;="&amp;'Settings'!$C$25,'All Donations'!$T$2:$T$4001,"&lt;="&amp;'Settings'!$D$25),2),0)</f>
        <v/>
      </c>
      <c r="AR447">
        <f>IF(AE447=1,ROUND(SUMIFS('All Donations'!$S$2:$S$4001,'All Donations'!$R$2:$R$4001,AD447,'All Donations'!$T$2:$T$4001,"&gt;="&amp;'Settings'!$C$26,'All Donations'!$T$2:$T$4001,"&lt;="&amp;'Settings'!$D$26),2),0)</f>
        <v/>
      </c>
      <c r="AS447">
        <f>IF(AE447=1,ROUND(SUMIFS('All Donations'!$S$2:$S$4001,'All Donations'!$R$2:$R$4001,AD447,'All Donations'!$T$2:$T$4001,"&lt;="&amp;'Settings'!$D$27),2),0)</f>
        <v/>
      </c>
      <c r="AT447">
        <f>IF(AE447=1,ROUND(SUMIFS('All Donations'!$S$2:$S$4001,'All Donations'!$R$2:$R$4001,AD447,'All Donations'!$T$2:$T$4001,"&gt;="&amp;'Settings'!$C$28,'All Donations'!$T$2:$T$4001,"&lt;="&amp;'Settings'!$D$28),2),0)</f>
        <v/>
      </c>
      <c r="AU447">
        <f>IF(AE447=1,ROUND(SUMIFS('All Donations'!$S$2:$S$4001,'All Donations'!$R$2:$R$4001,AD447,'All Donations'!$T$2:$T$4001,"&gt;="&amp;'Settings'!$C$29,'All Donations'!$T$2:$T$4001,"&lt;="&amp;'Settings'!$D$29),2),0)</f>
        <v/>
      </c>
      <c r="AV447">
        <f>IF(AE447=1,ROUND(SUMIFS('All Donations'!$S$2:$S$4001,'All Donations'!$R$2:$R$4001,AD447,'All Donations'!$T$2:$T$4001,"&lt;="&amp;'Settings'!$D$30),2),0)</f>
        <v/>
      </c>
      <c r="AZ447">
        <f>IF(AE447=1,ROUND(SUMIFS('All Donations'!$S$2:$S$4001,'All Donations'!$R$2:$R$4001,AD447,'All Donations'!$T$2:$T$4001,"&lt;="&amp;'Settings'!$D$34),2),0)</f>
        <v/>
      </c>
    </row>
    <row r="448">
      <c r="A448">
        <f>IF(AE448=1,TRIM(TRIM('Roster'!B448)&amp;" "&amp;TRIM('Roster'!C448)),"")</f>
        <v/>
      </c>
      <c r="B448">
        <f>IF(AE448=1,IF(AN448="","(no teacher)",AN448&amp;" – "&amp;C448),"")</f>
        <v/>
      </c>
      <c r="C448">
        <f>IF(AE448=1,TRIM('Roster'!D448&amp;""),"")</f>
        <v/>
      </c>
      <c r="D448" s="48">
        <f>IF(AE448=1,ROUND(SUMIFS('All Donations'!$S$2:$S$4001,'All Donations'!$R$2:$R$4001,AD448),2),"")</f>
        <v/>
      </c>
      <c r="E448" s="48">
        <f>IF(AE448=1,ROUND(SUMIFS('All Donations'!$S$2:$S$4001,'All Donations'!$R$2:$R$4001,AD448,'All Donations'!$G$2:$G$4001,"OneCause"),2),"")</f>
        <v/>
      </c>
      <c r="F448" s="48">
        <f>IF(AE448=1,D448-E448,"")</f>
        <v/>
      </c>
      <c r="G448">
        <f>IF(AE448=1,COUNTIFS('All Donations'!$R$2:$R$4001,AD448,'All Donations'!$H$2:$H$4001,"OK"),"")</f>
        <v/>
      </c>
      <c r="H448">
        <f>IF(AE448&lt;&gt;1,"",IF(D448&gt;0,"Yes",""))</f>
        <v/>
      </c>
      <c r="I448" s="49">
        <f>IF(OR($AE448&lt;&gt;1,I$1=""),"",SUMIFS('All Donations'!$S$2:$S$4001,'All Donations'!$R$2:$R$4001,$AD448,'All Donations'!$T$2:$T$4001,I$1))</f>
        <v/>
      </c>
      <c r="J448" s="49">
        <f>IF(OR($AE448&lt;&gt;1,J$1=""),"",SUMIFS('All Donations'!$S$2:$S$4001,'All Donations'!$R$2:$R$4001,$AD448,'All Donations'!$T$2:$T$4001,J$1))</f>
        <v/>
      </c>
      <c r="K448" s="49">
        <f>IF(OR($AE448&lt;&gt;1,K$1=""),"",SUMIFS('All Donations'!$S$2:$S$4001,'All Donations'!$R$2:$R$4001,$AD448,'All Donations'!$T$2:$T$4001,K$1))</f>
        <v/>
      </c>
      <c r="L448" s="49">
        <f>IF(OR($AE448&lt;&gt;1,L$1=""),"",SUMIFS('All Donations'!$S$2:$S$4001,'All Donations'!$R$2:$R$4001,$AD448,'All Donations'!$T$2:$T$4001,L$1))</f>
        <v/>
      </c>
      <c r="M448" s="49">
        <f>IF(OR($AE448&lt;&gt;1,M$1=""),"",SUMIFS('All Donations'!$S$2:$S$4001,'All Donations'!$R$2:$R$4001,$AD448,'All Donations'!$T$2:$T$4001,M$1))</f>
        <v/>
      </c>
      <c r="N448" s="49">
        <f>IF(OR($AE448&lt;&gt;1,N$1=""),"",SUMIFS('All Donations'!$S$2:$S$4001,'All Donations'!$R$2:$R$4001,$AD448,'All Donations'!$T$2:$T$4001,N$1))</f>
        <v/>
      </c>
      <c r="O448" s="49">
        <f>IF(OR($AE448&lt;&gt;1,O$1=""),"",SUMIFS('All Donations'!$S$2:$S$4001,'All Donations'!$R$2:$R$4001,$AD448,'All Donations'!$T$2:$T$4001,O$1))</f>
        <v/>
      </c>
      <c r="P448" s="49">
        <f>IF(OR($AE448&lt;&gt;1,P$1=""),"",SUMIFS('All Donations'!$S$2:$S$4001,'All Donations'!$R$2:$R$4001,$AD448,'All Donations'!$T$2:$T$4001,P$1))</f>
        <v/>
      </c>
      <c r="Q448" s="49">
        <f>IF(OR($AE448&lt;&gt;1,Q$1=""),"",SUMIFS('All Donations'!$S$2:$S$4001,'All Donations'!$R$2:$R$4001,$AD448,'All Donations'!$T$2:$T$4001,Q$1))</f>
        <v/>
      </c>
      <c r="R448" s="49">
        <f>IF(OR($AE448&lt;&gt;1,R$1=""),"",SUMIFS('All Donations'!$S$2:$S$4001,'All Donations'!$R$2:$R$4001,$AD448,'All Donations'!$T$2:$T$4001,R$1))</f>
        <v/>
      </c>
      <c r="S448" s="49">
        <f>IF(OR($AE448&lt;&gt;1,S$1=""),"",SUMIFS('All Donations'!$S$2:$S$4001,'All Donations'!$R$2:$R$4001,$AD448,'All Donations'!$T$2:$T$4001,S$1))</f>
        <v/>
      </c>
      <c r="T448" s="49">
        <f>IF(OR($AE448&lt;&gt;1,T$1=""),"",SUMIFS('All Donations'!$S$2:$S$4001,'All Donations'!$R$2:$R$4001,$AD448,'All Donations'!$T$2:$T$4001,T$1))</f>
        <v/>
      </c>
      <c r="U448" s="49">
        <f>IF(OR($AE448&lt;&gt;1,U$1=""),"",SUMIFS('All Donations'!$S$2:$S$4001,'All Donations'!$R$2:$R$4001,$AD448,'All Donations'!$T$2:$T$4001,U$1))</f>
        <v/>
      </c>
      <c r="V448" s="49">
        <f>IF(OR($AE448&lt;&gt;1,V$1=""),"",SUMIFS('All Donations'!$S$2:$S$4001,'All Donations'!$R$2:$R$4001,$AD448,'All Donations'!$T$2:$T$4001,V$1))</f>
        <v/>
      </c>
      <c r="W448" s="49">
        <f>IF(OR($AE448&lt;&gt;1,W$1=""),"",SUMIFS('All Donations'!$S$2:$S$4001,'All Donations'!$R$2:$R$4001,$AD448,'All Donations'!$T$2:$T$4001,W$1))</f>
        <v/>
      </c>
      <c r="X448" s="49">
        <f>IF(OR($AE448&lt;&gt;1,X$1=""),"",SUMIFS('All Donations'!$S$2:$S$4001,'All Donations'!$R$2:$R$4001,$AD448,'All Donations'!$T$2:$T$4001,X$1))</f>
        <v/>
      </c>
      <c r="Y448" s="49">
        <f>IF(OR($AE448&lt;&gt;1,Y$1=""),"",SUMIFS('All Donations'!$S$2:$S$4001,'All Donations'!$R$2:$R$4001,$AD448,'All Donations'!$T$2:$T$4001,Y$1))</f>
        <v/>
      </c>
      <c r="Z448" s="49">
        <f>IF(OR($AE448&lt;&gt;1,Z$1=""),"",SUMIFS('All Donations'!$S$2:$S$4001,'All Donations'!$R$2:$R$4001,$AD448,'All Donations'!$T$2:$T$4001,Z$1))</f>
        <v/>
      </c>
      <c r="AA448" s="49">
        <f>IF(OR($AE448&lt;&gt;1,AA$1=""),"",SUMIFS('All Donations'!$S$2:$S$4001,'All Donations'!$R$2:$R$4001,$AD448,'All Donations'!$T$2:$T$4001,AA$1))</f>
        <v/>
      </c>
      <c r="AB448" s="49">
        <f>IF(OR($AE448&lt;&gt;1,AB$1=""),"",SUMIFS('All Donations'!$S$2:$S$4001,'All Donations'!$R$2:$R$4001,$AD448,'All Donations'!$T$2:$T$4001,AB$1))</f>
        <v/>
      </c>
      <c r="AC448" s="49">
        <f>IF(OR($AE448&lt;&gt;1,AC$1=""),"",SUMIFS('All Donations'!$S$2:$S$4001,'All Donations'!$R$2:$R$4001,$AD448,'All Donations'!$T$2:$T$4001,AC$1))</f>
        <v/>
      </c>
      <c r="AD448">
        <f>IF(AE448=1,'Roster'!A448,"")</f>
        <v/>
      </c>
      <c r="AE448">
        <f>IF(TRIM('Roster'!B448&amp;'Roster'!C448)&lt;&gt;"",1,0)</f>
        <v/>
      </c>
      <c r="AF448">
        <f>IF(AE448=1,LOWER(A448),"#")</f>
        <v/>
      </c>
      <c r="AG448">
        <f>IF(AE448=1,LOWER(TRIM(TRIM('Roster'!C448)&amp;", "&amp;TRIM('Roster'!B448))),"#")</f>
        <v/>
      </c>
      <c r="AH448">
        <f>IF(AND(AE448=1,TRIM('Roster'!F448)&lt;&gt;""),LOWER(TRIM('Roster'!F448)),"#")</f>
        <v/>
      </c>
      <c r="AI448">
        <f>IF(AE448=1,IF(MATCH(B448,$B$2:$B$701,0)=ROW()-1,1,0),0)</f>
        <v/>
      </c>
      <c r="AJ448">
        <f>AJ447+AI448</f>
        <v/>
      </c>
      <c r="AK448">
        <f>IF(AE448=1,D448+(1000-ROW())/10^7,-1)</f>
        <v/>
      </c>
      <c r="AL448">
        <f>IF(AE448=1,TRIM('Roster'!B448)&amp;" "&amp;LEFT(TRIM('Roster'!C448),1)&amp;".","")</f>
        <v/>
      </c>
      <c r="AM448">
        <f>IF(AE448=1,TRIM('Roster'!C448)&amp;", "&amp;TRIM('Roster'!B448)&amp;" ("&amp;B448&amp;") #"&amp;AD448,"")</f>
        <v/>
      </c>
      <c r="AN448">
        <f>IF(AE448=1,TRIM('Roster'!E448),"")</f>
        <v/>
      </c>
      <c r="AO448">
        <f>IF(AE448=1,ROUND(SUMIFS('All Donations'!$S$2:$S$4001,'All Donations'!$R$2:$R$4001,AD448,'All Donations'!$T$2:$T$4001,"&gt;="&amp;'Settings'!$C$23,'All Donations'!$T$2:$T$4001,"&lt;="&amp;'Settings'!$D$23),2),0)</f>
        <v/>
      </c>
      <c r="AQ448">
        <f>IF(AE448=1,ROUND(SUMIFS('All Donations'!$S$2:$S$4001,'All Donations'!$R$2:$R$4001,AD448,'All Donations'!$T$2:$T$4001,"&gt;="&amp;'Settings'!$C$25,'All Donations'!$T$2:$T$4001,"&lt;="&amp;'Settings'!$D$25),2),0)</f>
        <v/>
      </c>
      <c r="AR448">
        <f>IF(AE448=1,ROUND(SUMIFS('All Donations'!$S$2:$S$4001,'All Donations'!$R$2:$R$4001,AD448,'All Donations'!$T$2:$T$4001,"&gt;="&amp;'Settings'!$C$26,'All Donations'!$T$2:$T$4001,"&lt;="&amp;'Settings'!$D$26),2),0)</f>
        <v/>
      </c>
      <c r="AS448">
        <f>IF(AE448=1,ROUND(SUMIFS('All Donations'!$S$2:$S$4001,'All Donations'!$R$2:$R$4001,AD448,'All Donations'!$T$2:$T$4001,"&lt;="&amp;'Settings'!$D$27),2),0)</f>
        <v/>
      </c>
      <c r="AT448">
        <f>IF(AE448=1,ROUND(SUMIFS('All Donations'!$S$2:$S$4001,'All Donations'!$R$2:$R$4001,AD448,'All Donations'!$T$2:$T$4001,"&gt;="&amp;'Settings'!$C$28,'All Donations'!$T$2:$T$4001,"&lt;="&amp;'Settings'!$D$28),2),0)</f>
        <v/>
      </c>
      <c r="AU448">
        <f>IF(AE448=1,ROUND(SUMIFS('All Donations'!$S$2:$S$4001,'All Donations'!$R$2:$R$4001,AD448,'All Donations'!$T$2:$T$4001,"&gt;="&amp;'Settings'!$C$29,'All Donations'!$T$2:$T$4001,"&lt;="&amp;'Settings'!$D$29),2),0)</f>
        <v/>
      </c>
      <c r="AV448">
        <f>IF(AE448=1,ROUND(SUMIFS('All Donations'!$S$2:$S$4001,'All Donations'!$R$2:$R$4001,AD448,'All Donations'!$T$2:$T$4001,"&lt;="&amp;'Settings'!$D$30),2),0)</f>
        <v/>
      </c>
      <c r="AZ448">
        <f>IF(AE448=1,ROUND(SUMIFS('All Donations'!$S$2:$S$4001,'All Donations'!$R$2:$R$4001,AD448,'All Donations'!$T$2:$T$4001,"&lt;="&amp;'Settings'!$D$34),2),0)</f>
        <v/>
      </c>
    </row>
    <row r="449">
      <c r="A449">
        <f>IF(AE449=1,TRIM(TRIM('Roster'!B449)&amp;" "&amp;TRIM('Roster'!C449)),"")</f>
        <v/>
      </c>
      <c r="B449">
        <f>IF(AE449=1,IF(AN449="","(no teacher)",AN449&amp;" – "&amp;C449),"")</f>
        <v/>
      </c>
      <c r="C449">
        <f>IF(AE449=1,TRIM('Roster'!D449&amp;""),"")</f>
        <v/>
      </c>
      <c r="D449" s="48">
        <f>IF(AE449=1,ROUND(SUMIFS('All Donations'!$S$2:$S$4001,'All Donations'!$R$2:$R$4001,AD449),2),"")</f>
        <v/>
      </c>
      <c r="E449" s="48">
        <f>IF(AE449=1,ROUND(SUMIFS('All Donations'!$S$2:$S$4001,'All Donations'!$R$2:$R$4001,AD449,'All Donations'!$G$2:$G$4001,"OneCause"),2),"")</f>
        <v/>
      </c>
      <c r="F449" s="48">
        <f>IF(AE449=1,D449-E449,"")</f>
        <v/>
      </c>
      <c r="G449">
        <f>IF(AE449=1,COUNTIFS('All Donations'!$R$2:$R$4001,AD449,'All Donations'!$H$2:$H$4001,"OK"),"")</f>
        <v/>
      </c>
      <c r="H449">
        <f>IF(AE449&lt;&gt;1,"",IF(D449&gt;0,"Yes",""))</f>
        <v/>
      </c>
      <c r="I449" s="49">
        <f>IF(OR($AE449&lt;&gt;1,I$1=""),"",SUMIFS('All Donations'!$S$2:$S$4001,'All Donations'!$R$2:$R$4001,$AD449,'All Donations'!$T$2:$T$4001,I$1))</f>
        <v/>
      </c>
      <c r="J449" s="49">
        <f>IF(OR($AE449&lt;&gt;1,J$1=""),"",SUMIFS('All Donations'!$S$2:$S$4001,'All Donations'!$R$2:$R$4001,$AD449,'All Donations'!$T$2:$T$4001,J$1))</f>
        <v/>
      </c>
      <c r="K449" s="49">
        <f>IF(OR($AE449&lt;&gt;1,K$1=""),"",SUMIFS('All Donations'!$S$2:$S$4001,'All Donations'!$R$2:$R$4001,$AD449,'All Donations'!$T$2:$T$4001,K$1))</f>
        <v/>
      </c>
      <c r="L449" s="49">
        <f>IF(OR($AE449&lt;&gt;1,L$1=""),"",SUMIFS('All Donations'!$S$2:$S$4001,'All Donations'!$R$2:$R$4001,$AD449,'All Donations'!$T$2:$T$4001,L$1))</f>
        <v/>
      </c>
      <c r="M449" s="49">
        <f>IF(OR($AE449&lt;&gt;1,M$1=""),"",SUMIFS('All Donations'!$S$2:$S$4001,'All Donations'!$R$2:$R$4001,$AD449,'All Donations'!$T$2:$T$4001,M$1))</f>
        <v/>
      </c>
      <c r="N449" s="49">
        <f>IF(OR($AE449&lt;&gt;1,N$1=""),"",SUMIFS('All Donations'!$S$2:$S$4001,'All Donations'!$R$2:$R$4001,$AD449,'All Donations'!$T$2:$T$4001,N$1))</f>
        <v/>
      </c>
      <c r="O449" s="49">
        <f>IF(OR($AE449&lt;&gt;1,O$1=""),"",SUMIFS('All Donations'!$S$2:$S$4001,'All Donations'!$R$2:$R$4001,$AD449,'All Donations'!$T$2:$T$4001,O$1))</f>
        <v/>
      </c>
      <c r="P449" s="49">
        <f>IF(OR($AE449&lt;&gt;1,P$1=""),"",SUMIFS('All Donations'!$S$2:$S$4001,'All Donations'!$R$2:$R$4001,$AD449,'All Donations'!$T$2:$T$4001,P$1))</f>
        <v/>
      </c>
      <c r="Q449" s="49">
        <f>IF(OR($AE449&lt;&gt;1,Q$1=""),"",SUMIFS('All Donations'!$S$2:$S$4001,'All Donations'!$R$2:$R$4001,$AD449,'All Donations'!$T$2:$T$4001,Q$1))</f>
        <v/>
      </c>
      <c r="R449" s="49">
        <f>IF(OR($AE449&lt;&gt;1,R$1=""),"",SUMIFS('All Donations'!$S$2:$S$4001,'All Donations'!$R$2:$R$4001,$AD449,'All Donations'!$T$2:$T$4001,R$1))</f>
        <v/>
      </c>
      <c r="S449" s="49">
        <f>IF(OR($AE449&lt;&gt;1,S$1=""),"",SUMIFS('All Donations'!$S$2:$S$4001,'All Donations'!$R$2:$R$4001,$AD449,'All Donations'!$T$2:$T$4001,S$1))</f>
        <v/>
      </c>
      <c r="T449" s="49">
        <f>IF(OR($AE449&lt;&gt;1,T$1=""),"",SUMIFS('All Donations'!$S$2:$S$4001,'All Donations'!$R$2:$R$4001,$AD449,'All Donations'!$T$2:$T$4001,T$1))</f>
        <v/>
      </c>
      <c r="U449" s="49">
        <f>IF(OR($AE449&lt;&gt;1,U$1=""),"",SUMIFS('All Donations'!$S$2:$S$4001,'All Donations'!$R$2:$R$4001,$AD449,'All Donations'!$T$2:$T$4001,U$1))</f>
        <v/>
      </c>
      <c r="V449" s="49">
        <f>IF(OR($AE449&lt;&gt;1,V$1=""),"",SUMIFS('All Donations'!$S$2:$S$4001,'All Donations'!$R$2:$R$4001,$AD449,'All Donations'!$T$2:$T$4001,V$1))</f>
        <v/>
      </c>
      <c r="W449" s="49">
        <f>IF(OR($AE449&lt;&gt;1,W$1=""),"",SUMIFS('All Donations'!$S$2:$S$4001,'All Donations'!$R$2:$R$4001,$AD449,'All Donations'!$T$2:$T$4001,W$1))</f>
        <v/>
      </c>
      <c r="X449" s="49">
        <f>IF(OR($AE449&lt;&gt;1,X$1=""),"",SUMIFS('All Donations'!$S$2:$S$4001,'All Donations'!$R$2:$R$4001,$AD449,'All Donations'!$T$2:$T$4001,X$1))</f>
        <v/>
      </c>
      <c r="Y449" s="49">
        <f>IF(OR($AE449&lt;&gt;1,Y$1=""),"",SUMIFS('All Donations'!$S$2:$S$4001,'All Donations'!$R$2:$R$4001,$AD449,'All Donations'!$T$2:$T$4001,Y$1))</f>
        <v/>
      </c>
      <c r="Z449" s="49">
        <f>IF(OR($AE449&lt;&gt;1,Z$1=""),"",SUMIFS('All Donations'!$S$2:$S$4001,'All Donations'!$R$2:$R$4001,$AD449,'All Donations'!$T$2:$T$4001,Z$1))</f>
        <v/>
      </c>
      <c r="AA449" s="49">
        <f>IF(OR($AE449&lt;&gt;1,AA$1=""),"",SUMIFS('All Donations'!$S$2:$S$4001,'All Donations'!$R$2:$R$4001,$AD449,'All Donations'!$T$2:$T$4001,AA$1))</f>
        <v/>
      </c>
      <c r="AB449" s="49">
        <f>IF(OR($AE449&lt;&gt;1,AB$1=""),"",SUMIFS('All Donations'!$S$2:$S$4001,'All Donations'!$R$2:$R$4001,$AD449,'All Donations'!$T$2:$T$4001,AB$1))</f>
        <v/>
      </c>
      <c r="AC449" s="49">
        <f>IF(OR($AE449&lt;&gt;1,AC$1=""),"",SUMIFS('All Donations'!$S$2:$S$4001,'All Donations'!$R$2:$R$4001,$AD449,'All Donations'!$T$2:$T$4001,AC$1))</f>
        <v/>
      </c>
      <c r="AD449">
        <f>IF(AE449=1,'Roster'!A449,"")</f>
        <v/>
      </c>
      <c r="AE449">
        <f>IF(TRIM('Roster'!B449&amp;'Roster'!C449)&lt;&gt;"",1,0)</f>
        <v/>
      </c>
      <c r="AF449">
        <f>IF(AE449=1,LOWER(A449),"#")</f>
        <v/>
      </c>
      <c r="AG449">
        <f>IF(AE449=1,LOWER(TRIM(TRIM('Roster'!C449)&amp;", "&amp;TRIM('Roster'!B449))),"#")</f>
        <v/>
      </c>
      <c r="AH449">
        <f>IF(AND(AE449=1,TRIM('Roster'!F449)&lt;&gt;""),LOWER(TRIM('Roster'!F449)),"#")</f>
        <v/>
      </c>
      <c r="AI449">
        <f>IF(AE449=1,IF(MATCH(B449,$B$2:$B$701,0)=ROW()-1,1,0),0)</f>
        <v/>
      </c>
      <c r="AJ449">
        <f>AJ448+AI449</f>
        <v/>
      </c>
      <c r="AK449">
        <f>IF(AE449=1,D449+(1000-ROW())/10^7,-1)</f>
        <v/>
      </c>
      <c r="AL449">
        <f>IF(AE449=1,TRIM('Roster'!B449)&amp;" "&amp;LEFT(TRIM('Roster'!C449),1)&amp;".","")</f>
        <v/>
      </c>
      <c r="AM449">
        <f>IF(AE449=1,TRIM('Roster'!C449)&amp;", "&amp;TRIM('Roster'!B449)&amp;" ("&amp;B449&amp;") #"&amp;AD449,"")</f>
        <v/>
      </c>
      <c r="AN449">
        <f>IF(AE449=1,TRIM('Roster'!E449),"")</f>
        <v/>
      </c>
      <c r="AO449">
        <f>IF(AE449=1,ROUND(SUMIFS('All Donations'!$S$2:$S$4001,'All Donations'!$R$2:$R$4001,AD449,'All Donations'!$T$2:$T$4001,"&gt;="&amp;'Settings'!$C$23,'All Donations'!$T$2:$T$4001,"&lt;="&amp;'Settings'!$D$23),2),0)</f>
        <v/>
      </c>
      <c r="AQ449">
        <f>IF(AE449=1,ROUND(SUMIFS('All Donations'!$S$2:$S$4001,'All Donations'!$R$2:$R$4001,AD449,'All Donations'!$T$2:$T$4001,"&gt;="&amp;'Settings'!$C$25,'All Donations'!$T$2:$T$4001,"&lt;="&amp;'Settings'!$D$25),2),0)</f>
        <v/>
      </c>
      <c r="AR449">
        <f>IF(AE449=1,ROUND(SUMIFS('All Donations'!$S$2:$S$4001,'All Donations'!$R$2:$R$4001,AD449,'All Donations'!$T$2:$T$4001,"&gt;="&amp;'Settings'!$C$26,'All Donations'!$T$2:$T$4001,"&lt;="&amp;'Settings'!$D$26),2),0)</f>
        <v/>
      </c>
      <c r="AS449">
        <f>IF(AE449=1,ROUND(SUMIFS('All Donations'!$S$2:$S$4001,'All Donations'!$R$2:$R$4001,AD449,'All Donations'!$T$2:$T$4001,"&lt;="&amp;'Settings'!$D$27),2),0)</f>
        <v/>
      </c>
      <c r="AT449">
        <f>IF(AE449=1,ROUND(SUMIFS('All Donations'!$S$2:$S$4001,'All Donations'!$R$2:$R$4001,AD449,'All Donations'!$T$2:$T$4001,"&gt;="&amp;'Settings'!$C$28,'All Donations'!$T$2:$T$4001,"&lt;="&amp;'Settings'!$D$28),2),0)</f>
        <v/>
      </c>
      <c r="AU449">
        <f>IF(AE449=1,ROUND(SUMIFS('All Donations'!$S$2:$S$4001,'All Donations'!$R$2:$R$4001,AD449,'All Donations'!$T$2:$T$4001,"&gt;="&amp;'Settings'!$C$29,'All Donations'!$T$2:$T$4001,"&lt;="&amp;'Settings'!$D$29),2),0)</f>
        <v/>
      </c>
      <c r="AV449">
        <f>IF(AE449=1,ROUND(SUMIFS('All Donations'!$S$2:$S$4001,'All Donations'!$R$2:$R$4001,AD449,'All Donations'!$T$2:$T$4001,"&lt;="&amp;'Settings'!$D$30),2),0)</f>
        <v/>
      </c>
      <c r="AZ449">
        <f>IF(AE449=1,ROUND(SUMIFS('All Donations'!$S$2:$S$4001,'All Donations'!$R$2:$R$4001,AD449,'All Donations'!$T$2:$T$4001,"&lt;="&amp;'Settings'!$D$34),2),0)</f>
        <v/>
      </c>
    </row>
    <row r="450">
      <c r="A450">
        <f>IF(AE450=1,TRIM(TRIM('Roster'!B450)&amp;" "&amp;TRIM('Roster'!C450)),"")</f>
        <v/>
      </c>
      <c r="B450">
        <f>IF(AE450=1,IF(AN450="","(no teacher)",AN450&amp;" – "&amp;C450),"")</f>
        <v/>
      </c>
      <c r="C450">
        <f>IF(AE450=1,TRIM('Roster'!D450&amp;""),"")</f>
        <v/>
      </c>
      <c r="D450" s="48">
        <f>IF(AE450=1,ROUND(SUMIFS('All Donations'!$S$2:$S$4001,'All Donations'!$R$2:$R$4001,AD450),2),"")</f>
        <v/>
      </c>
      <c r="E450" s="48">
        <f>IF(AE450=1,ROUND(SUMIFS('All Donations'!$S$2:$S$4001,'All Donations'!$R$2:$R$4001,AD450,'All Donations'!$G$2:$G$4001,"OneCause"),2),"")</f>
        <v/>
      </c>
      <c r="F450" s="48">
        <f>IF(AE450=1,D450-E450,"")</f>
        <v/>
      </c>
      <c r="G450">
        <f>IF(AE450=1,COUNTIFS('All Donations'!$R$2:$R$4001,AD450,'All Donations'!$H$2:$H$4001,"OK"),"")</f>
        <v/>
      </c>
      <c r="H450">
        <f>IF(AE450&lt;&gt;1,"",IF(D450&gt;0,"Yes",""))</f>
        <v/>
      </c>
      <c r="I450" s="49">
        <f>IF(OR($AE450&lt;&gt;1,I$1=""),"",SUMIFS('All Donations'!$S$2:$S$4001,'All Donations'!$R$2:$R$4001,$AD450,'All Donations'!$T$2:$T$4001,I$1))</f>
        <v/>
      </c>
      <c r="J450" s="49">
        <f>IF(OR($AE450&lt;&gt;1,J$1=""),"",SUMIFS('All Donations'!$S$2:$S$4001,'All Donations'!$R$2:$R$4001,$AD450,'All Donations'!$T$2:$T$4001,J$1))</f>
        <v/>
      </c>
      <c r="K450" s="49">
        <f>IF(OR($AE450&lt;&gt;1,K$1=""),"",SUMIFS('All Donations'!$S$2:$S$4001,'All Donations'!$R$2:$R$4001,$AD450,'All Donations'!$T$2:$T$4001,K$1))</f>
        <v/>
      </c>
      <c r="L450" s="49">
        <f>IF(OR($AE450&lt;&gt;1,L$1=""),"",SUMIFS('All Donations'!$S$2:$S$4001,'All Donations'!$R$2:$R$4001,$AD450,'All Donations'!$T$2:$T$4001,L$1))</f>
        <v/>
      </c>
      <c r="M450" s="49">
        <f>IF(OR($AE450&lt;&gt;1,M$1=""),"",SUMIFS('All Donations'!$S$2:$S$4001,'All Donations'!$R$2:$R$4001,$AD450,'All Donations'!$T$2:$T$4001,M$1))</f>
        <v/>
      </c>
      <c r="N450" s="49">
        <f>IF(OR($AE450&lt;&gt;1,N$1=""),"",SUMIFS('All Donations'!$S$2:$S$4001,'All Donations'!$R$2:$R$4001,$AD450,'All Donations'!$T$2:$T$4001,N$1))</f>
        <v/>
      </c>
      <c r="O450" s="49">
        <f>IF(OR($AE450&lt;&gt;1,O$1=""),"",SUMIFS('All Donations'!$S$2:$S$4001,'All Donations'!$R$2:$R$4001,$AD450,'All Donations'!$T$2:$T$4001,O$1))</f>
        <v/>
      </c>
      <c r="P450" s="49">
        <f>IF(OR($AE450&lt;&gt;1,P$1=""),"",SUMIFS('All Donations'!$S$2:$S$4001,'All Donations'!$R$2:$R$4001,$AD450,'All Donations'!$T$2:$T$4001,P$1))</f>
        <v/>
      </c>
      <c r="Q450" s="49">
        <f>IF(OR($AE450&lt;&gt;1,Q$1=""),"",SUMIFS('All Donations'!$S$2:$S$4001,'All Donations'!$R$2:$R$4001,$AD450,'All Donations'!$T$2:$T$4001,Q$1))</f>
        <v/>
      </c>
      <c r="R450" s="49">
        <f>IF(OR($AE450&lt;&gt;1,R$1=""),"",SUMIFS('All Donations'!$S$2:$S$4001,'All Donations'!$R$2:$R$4001,$AD450,'All Donations'!$T$2:$T$4001,R$1))</f>
        <v/>
      </c>
      <c r="S450" s="49">
        <f>IF(OR($AE450&lt;&gt;1,S$1=""),"",SUMIFS('All Donations'!$S$2:$S$4001,'All Donations'!$R$2:$R$4001,$AD450,'All Donations'!$T$2:$T$4001,S$1))</f>
        <v/>
      </c>
      <c r="T450" s="49">
        <f>IF(OR($AE450&lt;&gt;1,T$1=""),"",SUMIFS('All Donations'!$S$2:$S$4001,'All Donations'!$R$2:$R$4001,$AD450,'All Donations'!$T$2:$T$4001,T$1))</f>
        <v/>
      </c>
      <c r="U450" s="49">
        <f>IF(OR($AE450&lt;&gt;1,U$1=""),"",SUMIFS('All Donations'!$S$2:$S$4001,'All Donations'!$R$2:$R$4001,$AD450,'All Donations'!$T$2:$T$4001,U$1))</f>
        <v/>
      </c>
      <c r="V450" s="49">
        <f>IF(OR($AE450&lt;&gt;1,V$1=""),"",SUMIFS('All Donations'!$S$2:$S$4001,'All Donations'!$R$2:$R$4001,$AD450,'All Donations'!$T$2:$T$4001,V$1))</f>
        <v/>
      </c>
      <c r="W450" s="49">
        <f>IF(OR($AE450&lt;&gt;1,W$1=""),"",SUMIFS('All Donations'!$S$2:$S$4001,'All Donations'!$R$2:$R$4001,$AD450,'All Donations'!$T$2:$T$4001,W$1))</f>
        <v/>
      </c>
      <c r="X450" s="49">
        <f>IF(OR($AE450&lt;&gt;1,X$1=""),"",SUMIFS('All Donations'!$S$2:$S$4001,'All Donations'!$R$2:$R$4001,$AD450,'All Donations'!$T$2:$T$4001,X$1))</f>
        <v/>
      </c>
      <c r="Y450" s="49">
        <f>IF(OR($AE450&lt;&gt;1,Y$1=""),"",SUMIFS('All Donations'!$S$2:$S$4001,'All Donations'!$R$2:$R$4001,$AD450,'All Donations'!$T$2:$T$4001,Y$1))</f>
        <v/>
      </c>
      <c r="Z450" s="49">
        <f>IF(OR($AE450&lt;&gt;1,Z$1=""),"",SUMIFS('All Donations'!$S$2:$S$4001,'All Donations'!$R$2:$R$4001,$AD450,'All Donations'!$T$2:$T$4001,Z$1))</f>
        <v/>
      </c>
      <c r="AA450" s="49">
        <f>IF(OR($AE450&lt;&gt;1,AA$1=""),"",SUMIFS('All Donations'!$S$2:$S$4001,'All Donations'!$R$2:$R$4001,$AD450,'All Donations'!$T$2:$T$4001,AA$1))</f>
        <v/>
      </c>
      <c r="AB450" s="49">
        <f>IF(OR($AE450&lt;&gt;1,AB$1=""),"",SUMIFS('All Donations'!$S$2:$S$4001,'All Donations'!$R$2:$R$4001,$AD450,'All Donations'!$T$2:$T$4001,AB$1))</f>
        <v/>
      </c>
      <c r="AC450" s="49">
        <f>IF(OR($AE450&lt;&gt;1,AC$1=""),"",SUMIFS('All Donations'!$S$2:$S$4001,'All Donations'!$R$2:$R$4001,$AD450,'All Donations'!$T$2:$T$4001,AC$1))</f>
        <v/>
      </c>
      <c r="AD450">
        <f>IF(AE450=1,'Roster'!A450,"")</f>
        <v/>
      </c>
      <c r="AE450">
        <f>IF(TRIM('Roster'!B450&amp;'Roster'!C450)&lt;&gt;"",1,0)</f>
        <v/>
      </c>
      <c r="AF450">
        <f>IF(AE450=1,LOWER(A450),"#")</f>
        <v/>
      </c>
      <c r="AG450">
        <f>IF(AE450=1,LOWER(TRIM(TRIM('Roster'!C450)&amp;", "&amp;TRIM('Roster'!B450))),"#")</f>
        <v/>
      </c>
      <c r="AH450">
        <f>IF(AND(AE450=1,TRIM('Roster'!F450)&lt;&gt;""),LOWER(TRIM('Roster'!F450)),"#")</f>
        <v/>
      </c>
      <c r="AI450">
        <f>IF(AE450=1,IF(MATCH(B450,$B$2:$B$701,0)=ROW()-1,1,0),0)</f>
        <v/>
      </c>
      <c r="AJ450">
        <f>AJ449+AI450</f>
        <v/>
      </c>
      <c r="AK450">
        <f>IF(AE450=1,D450+(1000-ROW())/10^7,-1)</f>
        <v/>
      </c>
      <c r="AL450">
        <f>IF(AE450=1,TRIM('Roster'!B450)&amp;" "&amp;LEFT(TRIM('Roster'!C450),1)&amp;".","")</f>
        <v/>
      </c>
      <c r="AM450">
        <f>IF(AE450=1,TRIM('Roster'!C450)&amp;", "&amp;TRIM('Roster'!B450)&amp;" ("&amp;B450&amp;") #"&amp;AD450,"")</f>
        <v/>
      </c>
      <c r="AN450">
        <f>IF(AE450=1,TRIM('Roster'!E450),"")</f>
        <v/>
      </c>
      <c r="AO450">
        <f>IF(AE450=1,ROUND(SUMIFS('All Donations'!$S$2:$S$4001,'All Donations'!$R$2:$R$4001,AD450,'All Donations'!$T$2:$T$4001,"&gt;="&amp;'Settings'!$C$23,'All Donations'!$T$2:$T$4001,"&lt;="&amp;'Settings'!$D$23),2),0)</f>
        <v/>
      </c>
      <c r="AQ450">
        <f>IF(AE450=1,ROUND(SUMIFS('All Donations'!$S$2:$S$4001,'All Donations'!$R$2:$R$4001,AD450,'All Donations'!$T$2:$T$4001,"&gt;="&amp;'Settings'!$C$25,'All Donations'!$T$2:$T$4001,"&lt;="&amp;'Settings'!$D$25),2),0)</f>
        <v/>
      </c>
      <c r="AR450">
        <f>IF(AE450=1,ROUND(SUMIFS('All Donations'!$S$2:$S$4001,'All Donations'!$R$2:$R$4001,AD450,'All Donations'!$T$2:$T$4001,"&gt;="&amp;'Settings'!$C$26,'All Donations'!$T$2:$T$4001,"&lt;="&amp;'Settings'!$D$26),2),0)</f>
        <v/>
      </c>
      <c r="AS450">
        <f>IF(AE450=1,ROUND(SUMIFS('All Donations'!$S$2:$S$4001,'All Donations'!$R$2:$R$4001,AD450,'All Donations'!$T$2:$T$4001,"&lt;="&amp;'Settings'!$D$27),2),0)</f>
        <v/>
      </c>
      <c r="AT450">
        <f>IF(AE450=1,ROUND(SUMIFS('All Donations'!$S$2:$S$4001,'All Donations'!$R$2:$R$4001,AD450,'All Donations'!$T$2:$T$4001,"&gt;="&amp;'Settings'!$C$28,'All Donations'!$T$2:$T$4001,"&lt;="&amp;'Settings'!$D$28),2),0)</f>
        <v/>
      </c>
      <c r="AU450">
        <f>IF(AE450=1,ROUND(SUMIFS('All Donations'!$S$2:$S$4001,'All Donations'!$R$2:$R$4001,AD450,'All Donations'!$T$2:$T$4001,"&gt;="&amp;'Settings'!$C$29,'All Donations'!$T$2:$T$4001,"&lt;="&amp;'Settings'!$D$29),2),0)</f>
        <v/>
      </c>
      <c r="AV450">
        <f>IF(AE450=1,ROUND(SUMIFS('All Donations'!$S$2:$S$4001,'All Donations'!$R$2:$R$4001,AD450,'All Donations'!$T$2:$T$4001,"&lt;="&amp;'Settings'!$D$30),2),0)</f>
        <v/>
      </c>
      <c r="AZ450">
        <f>IF(AE450=1,ROUND(SUMIFS('All Donations'!$S$2:$S$4001,'All Donations'!$R$2:$R$4001,AD450,'All Donations'!$T$2:$T$4001,"&lt;="&amp;'Settings'!$D$34),2),0)</f>
        <v/>
      </c>
    </row>
    <row r="451">
      <c r="A451">
        <f>IF(AE451=1,TRIM(TRIM('Roster'!B451)&amp;" "&amp;TRIM('Roster'!C451)),"")</f>
        <v/>
      </c>
      <c r="B451">
        <f>IF(AE451=1,IF(AN451="","(no teacher)",AN451&amp;" – "&amp;C451),"")</f>
        <v/>
      </c>
      <c r="C451">
        <f>IF(AE451=1,TRIM('Roster'!D451&amp;""),"")</f>
        <v/>
      </c>
      <c r="D451" s="48">
        <f>IF(AE451=1,ROUND(SUMIFS('All Donations'!$S$2:$S$4001,'All Donations'!$R$2:$R$4001,AD451),2),"")</f>
        <v/>
      </c>
      <c r="E451" s="48">
        <f>IF(AE451=1,ROUND(SUMIFS('All Donations'!$S$2:$S$4001,'All Donations'!$R$2:$R$4001,AD451,'All Donations'!$G$2:$G$4001,"OneCause"),2),"")</f>
        <v/>
      </c>
      <c r="F451" s="48">
        <f>IF(AE451=1,D451-E451,"")</f>
        <v/>
      </c>
      <c r="G451">
        <f>IF(AE451=1,COUNTIFS('All Donations'!$R$2:$R$4001,AD451,'All Donations'!$H$2:$H$4001,"OK"),"")</f>
        <v/>
      </c>
      <c r="H451">
        <f>IF(AE451&lt;&gt;1,"",IF(D451&gt;0,"Yes",""))</f>
        <v/>
      </c>
      <c r="I451" s="49">
        <f>IF(OR($AE451&lt;&gt;1,I$1=""),"",SUMIFS('All Donations'!$S$2:$S$4001,'All Donations'!$R$2:$R$4001,$AD451,'All Donations'!$T$2:$T$4001,I$1))</f>
        <v/>
      </c>
      <c r="J451" s="49">
        <f>IF(OR($AE451&lt;&gt;1,J$1=""),"",SUMIFS('All Donations'!$S$2:$S$4001,'All Donations'!$R$2:$R$4001,$AD451,'All Donations'!$T$2:$T$4001,J$1))</f>
        <v/>
      </c>
      <c r="K451" s="49">
        <f>IF(OR($AE451&lt;&gt;1,K$1=""),"",SUMIFS('All Donations'!$S$2:$S$4001,'All Donations'!$R$2:$R$4001,$AD451,'All Donations'!$T$2:$T$4001,K$1))</f>
        <v/>
      </c>
      <c r="L451" s="49">
        <f>IF(OR($AE451&lt;&gt;1,L$1=""),"",SUMIFS('All Donations'!$S$2:$S$4001,'All Donations'!$R$2:$R$4001,$AD451,'All Donations'!$T$2:$T$4001,L$1))</f>
        <v/>
      </c>
      <c r="M451" s="49">
        <f>IF(OR($AE451&lt;&gt;1,M$1=""),"",SUMIFS('All Donations'!$S$2:$S$4001,'All Donations'!$R$2:$R$4001,$AD451,'All Donations'!$T$2:$T$4001,M$1))</f>
        <v/>
      </c>
      <c r="N451" s="49">
        <f>IF(OR($AE451&lt;&gt;1,N$1=""),"",SUMIFS('All Donations'!$S$2:$S$4001,'All Donations'!$R$2:$R$4001,$AD451,'All Donations'!$T$2:$T$4001,N$1))</f>
        <v/>
      </c>
      <c r="O451" s="49">
        <f>IF(OR($AE451&lt;&gt;1,O$1=""),"",SUMIFS('All Donations'!$S$2:$S$4001,'All Donations'!$R$2:$R$4001,$AD451,'All Donations'!$T$2:$T$4001,O$1))</f>
        <v/>
      </c>
      <c r="P451" s="49">
        <f>IF(OR($AE451&lt;&gt;1,P$1=""),"",SUMIFS('All Donations'!$S$2:$S$4001,'All Donations'!$R$2:$R$4001,$AD451,'All Donations'!$T$2:$T$4001,P$1))</f>
        <v/>
      </c>
      <c r="Q451" s="49">
        <f>IF(OR($AE451&lt;&gt;1,Q$1=""),"",SUMIFS('All Donations'!$S$2:$S$4001,'All Donations'!$R$2:$R$4001,$AD451,'All Donations'!$T$2:$T$4001,Q$1))</f>
        <v/>
      </c>
      <c r="R451" s="49">
        <f>IF(OR($AE451&lt;&gt;1,R$1=""),"",SUMIFS('All Donations'!$S$2:$S$4001,'All Donations'!$R$2:$R$4001,$AD451,'All Donations'!$T$2:$T$4001,R$1))</f>
        <v/>
      </c>
      <c r="S451" s="49">
        <f>IF(OR($AE451&lt;&gt;1,S$1=""),"",SUMIFS('All Donations'!$S$2:$S$4001,'All Donations'!$R$2:$R$4001,$AD451,'All Donations'!$T$2:$T$4001,S$1))</f>
        <v/>
      </c>
      <c r="T451" s="49">
        <f>IF(OR($AE451&lt;&gt;1,T$1=""),"",SUMIFS('All Donations'!$S$2:$S$4001,'All Donations'!$R$2:$R$4001,$AD451,'All Donations'!$T$2:$T$4001,T$1))</f>
        <v/>
      </c>
      <c r="U451" s="49">
        <f>IF(OR($AE451&lt;&gt;1,U$1=""),"",SUMIFS('All Donations'!$S$2:$S$4001,'All Donations'!$R$2:$R$4001,$AD451,'All Donations'!$T$2:$T$4001,U$1))</f>
        <v/>
      </c>
      <c r="V451" s="49">
        <f>IF(OR($AE451&lt;&gt;1,V$1=""),"",SUMIFS('All Donations'!$S$2:$S$4001,'All Donations'!$R$2:$R$4001,$AD451,'All Donations'!$T$2:$T$4001,V$1))</f>
        <v/>
      </c>
      <c r="W451" s="49">
        <f>IF(OR($AE451&lt;&gt;1,W$1=""),"",SUMIFS('All Donations'!$S$2:$S$4001,'All Donations'!$R$2:$R$4001,$AD451,'All Donations'!$T$2:$T$4001,W$1))</f>
        <v/>
      </c>
      <c r="X451" s="49">
        <f>IF(OR($AE451&lt;&gt;1,X$1=""),"",SUMIFS('All Donations'!$S$2:$S$4001,'All Donations'!$R$2:$R$4001,$AD451,'All Donations'!$T$2:$T$4001,X$1))</f>
        <v/>
      </c>
      <c r="Y451" s="49">
        <f>IF(OR($AE451&lt;&gt;1,Y$1=""),"",SUMIFS('All Donations'!$S$2:$S$4001,'All Donations'!$R$2:$R$4001,$AD451,'All Donations'!$T$2:$T$4001,Y$1))</f>
        <v/>
      </c>
      <c r="Z451" s="49">
        <f>IF(OR($AE451&lt;&gt;1,Z$1=""),"",SUMIFS('All Donations'!$S$2:$S$4001,'All Donations'!$R$2:$R$4001,$AD451,'All Donations'!$T$2:$T$4001,Z$1))</f>
        <v/>
      </c>
      <c r="AA451" s="49">
        <f>IF(OR($AE451&lt;&gt;1,AA$1=""),"",SUMIFS('All Donations'!$S$2:$S$4001,'All Donations'!$R$2:$R$4001,$AD451,'All Donations'!$T$2:$T$4001,AA$1))</f>
        <v/>
      </c>
      <c r="AB451" s="49">
        <f>IF(OR($AE451&lt;&gt;1,AB$1=""),"",SUMIFS('All Donations'!$S$2:$S$4001,'All Donations'!$R$2:$R$4001,$AD451,'All Donations'!$T$2:$T$4001,AB$1))</f>
        <v/>
      </c>
      <c r="AC451" s="49">
        <f>IF(OR($AE451&lt;&gt;1,AC$1=""),"",SUMIFS('All Donations'!$S$2:$S$4001,'All Donations'!$R$2:$R$4001,$AD451,'All Donations'!$T$2:$T$4001,AC$1))</f>
        <v/>
      </c>
      <c r="AD451">
        <f>IF(AE451=1,'Roster'!A451,"")</f>
        <v/>
      </c>
      <c r="AE451">
        <f>IF(TRIM('Roster'!B451&amp;'Roster'!C451)&lt;&gt;"",1,0)</f>
        <v/>
      </c>
      <c r="AF451">
        <f>IF(AE451=1,LOWER(A451),"#")</f>
        <v/>
      </c>
      <c r="AG451">
        <f>IF(AE451=1,LOWER(TRIM(TRIM('Roster'!C451)&amp;", "&amp;TRIM('Roster'!B451))),"#")</f>
        <v/>
      </c>
      <c r="AH451">
        <f>IF(AND(AE451=1,TRIM('Roster'!F451)&lt;&gt;""),LOWER(TRIM('Roster'!F451)),"#")</f>
        <v/>
      </c>
      <c r="AI451">
        <f>IF(AE451=1,IF(MATCH(B451,$B$2:$B$701,0)=ROW()-1,1,0),0)</f>
        <v/>
      </c>
      <c r="AJ451">
        <f>AJ450+AI451</f>
        <v/>
      </c>
      <c r="AK451">
        <f>IF(AE451=1,D451+(1000-ROW())/10^7,-1)</f>
        <v/>
      </c>
      <c r="AL451">
        <f>IF(AE451=1,TRIM('Roster'!B451)&amp;" "&amp;LEFT(TRIM('Roster'!C451),1)&amp;".","")</f>
        <v/>
      </c>
      <c r="AM451">
        <f>IF(AE451=1,TRIM('Roster'!C451)&amp;", "&amp;TRIM('Roster'!B451)&amp;" ("&amp;B451&amp;") #"&amp;AD451,"")</f>
        <v/>
      </c>
      <c r="AN451">
        <f>IF(AE451=1,TRIM('Roster'!E451),"")</f>
        <v/>
      </c>
      <c r="AO451">
        <f>IF(AE451=1,ROUND(SUMIFS('All Donations'!$S$2:$S$4001,'All Donations'!$R$2:$R$4001,AD451,'All Donations'!$T$2:$T$4001,"&gt;="&amp;'Settings'!$C$23,'All Donations'!$T$2:$T$4001,"&lt;="&amp;'Settings'!$D$23),2),0)</f>
        <v/>
      </c>
      <c r="AQ451">
        <f>IF(AE451=1,ROUND(SUMIFS('All Donations'!$S$2:$S$4001,'All Donations'!$R$2:$R$4001,AD451,'All Donations'!$T$2:$T$4001,"&gt;="&amp;'Settings'!$C$25,'All Donations'!$T$2:$T$4001,"&lt;="&amp;'Settings'!$D$25),2),0)</f>
        <v/>
      </c>
      <c r="AR451">
        <f>IF(AE451=1,ROUND(SUMIFS('All Donations'!$S$2:$S$4001,'All Donations'!$R$2:$R$4001,AD451,'All Donations'!$T$2:$T$4001,"&gt;="&amp;'Settings'!$C$26,'All Donations'!$T$2:$T$4001,"&lt;="&amp;'Settings'!$D$26),2),0)</f>
        <v/>
      </c>
      <c r="AS451">
        <f>IF(AE451=1,ROUND(SUMIFS('All Donations'!$S$2:$S$4001,'All Donations'!$R$2:$R$4001,AD451,'All Donations'!$T$2:$T$4001,"&lt;="&amp;'Settings'!$D$27),2),0)</f>
        <v/>
      </c>
      <c r="AT451">
        <f>IF(AE451=1,ROUND(SUMIFS('All Donations'!$S$2:$S$4001,'All Donations'!$R$2:$R$4001,AD451,'All Donations'!$T$2:$T$4001,"&gt;="&amp;'Settings'!$C$28,'All Donations'!$T$2:$T$4001,"&lt;="&amp;'Settings'!$D$28),2),0)</f>
        <v/>
      </c>
      <c r="AU451">
        <f>IF(AE451=1,ROUND(SUMIFS('All Donations'!$S$2:$S$4001,'All Donations'!$R$2:$R$4001,AD451,'All Donations'!$T$2:$T$4001,"&gt;="&amp;'Settings'!$C$29,'All Donations'!$T$2:$T$4001,"&lt;="&amp;'Settings'!$D$29),2),0)</f>
        <v/>
      </c>
      <c r="AV451">
        <f>IF(AE451=1,ROUND(SUMIFS('All Donations'!$S$2:$S$4001,'All Donations'!$R$2:$R$4001,AD451,'All Donations'!$T$2:$T$4001,"&lt;="&amp;'Settings'!$D$30),2),0)</f>
        <v/>
      </c>
      <c r="AZ451">
        <f>IF(AE451=1,ROUND(SUMIFS('All Donations'!$S$2:$S$4001,'All Donations'!$R$2:$R$4001,AD451,'All Donations'!$T$2:$T$4001,"&lt;="&amp;'Settings'!$D$34),2),0)</f>
        <v/>
      </c>
    </row>
    <row r="452">
      <c r="A452">
        <f>IF(AE452=1,TRIM(TRIM('Roster'!B452)&amp;" "&amp;TRIM('Roster'!C452)),"")</f>
        <v/>
      </c>
      <c r="B452">
        <f>IF(AE452=1,IF(AN452="","(no teacher)",AN452&amp;" – "&amp;C452),"")</f>
        <v/>
      </c>
      <c r="C452">
        <f>IF(AE452=1,TRIM('Roster'!D452&amp;""),"")</f>
        <v/>
      </c>
      <c r="D452" s="48">
        <f>IF(AE452=1,ROUND(SUMIFS('All Donations'!$S$2:$S$4001,'All Donations'!$R$2:$R$4001,AD452),2),"")</f>
        <v/>
      </c>
      <c r="E452" s="48">
        <f>IF(AE452=1,ROUND(SUMIFS('All Donations'!$S$2:$S$4001,'All Donations'!$R$2:$R$4001,AD452,'All Donations'!$G$2:$G$4001,"OneCause"),2),"")</f>
        <v/>
      </c>
      <c r="F452" s="48">
        <f>IF(AE452=1,D452-E452,"")</f>
        <v/>
      </c>
      <c r="G452">
        <f>IF(AE452=1,COUNTIFS('All Donations'!$R$2:$R$4001,AD452,'All Donations'!$H$2:$H$4001,"OK"),"")</f>
        <v/>
      </c>
      <c r="H452">
        <f>IF(AE452&lt;&gt;1,"",IF(D452&gt;0,"Yes",""))</f>
        <v/>
      </c>
      <c r="I452" s="49">
        <f>IF(OR($AE452&lt;&gt;1,I$1=""),"",SUMIFS('All Donations'!$S$2:$S$4001,'All Donations'!$R$2:$R$4001,$AD452,'All Donations'!$T$2:$T$4001,I$1))</f>
        <v/>
      </c>
      <c r="J452" s="49">
        <f>IF(OR($AE452&lt;&gt;1,J$1=""),"",SUMIFS('All Donations'!$S$2:$S$4001,'All Donations'!$R$2:$R$4001,$AD452,'All Donations'!$T$2:$T$4001,J$1))</f>
        <v/>
      </c>
      <c r="K452" s="49">
        <f>IF(OR($AE452&lt;&gt;1,K$1=""),"",SUMIFS('All Donations'!$S$2:$S$4001,'All Donations'!$R$2:$R$4001,$AD452,'All Donations'!$T$2:$T$4001,K$1))</f>
        <v/>
      </c>
      <c r="L452" s="49">
        <f>IF(OR($AE452&lt;&gt;1,L$1=""),"",SUMIFS('All Donations'!$S$2:$S$4001,'All Donations'!$R$2:$R$4001,$AD452,'All Donations'!$T$2:$T$4001,L$1))</f>
        <v/>
      </c>
      <c r="M452" s="49">
        <f>IF(OR($AE452&lt;&gt;1,M$1=""),"",SUMIFS('All Donations'!$S$2:$S$4001,'All Donations'!$R$2:$R$4001,$AD452,'All Donations'!$T$2:$T$4001,M$1))</f>
        <v/>
      </c>
      <c r="N452" s="49">
        <f>IF(OR($AE452&lt;&gt;1,N$1=""),"",SUMIFS('All Donations'!$S$2:$S$4001,'All Donations'!$R$2:$R$4001,$AD452,'All Donations'!$T$2:$T$4001,N$1))</f>
        <v/>
      </c>
      <c r="O452" s="49">
        <f>IF(OR($AE452&lt;&gt;1,O$1=""),"",SUMIFS('All Donations'!$S$2:$S$4001,'All Donations'!$R$2:$R$4001,$AD452,'All Donations'!$T$2:$T$4001,O$1))</f>
        <v/>
      </c>
      <c r="P452" s="49">
        <f>IF(OR($AE452&lt;&gt;1,P$1=""),"",SUMIFS('All Donations'!$S$2:$S$4001,'All Donations'!$R$2:$R$4001,$AD452,'All Donations'!$T$2:$T$4001,P$1))</f>
        <v/>
      </c>
      <c r="Q452" s="49">
        <f>IF(OR($AE452&lt;&gt;1,Q$1=""),"",SUMIFS('All Donations'!$S$2:$S$4001,'All Donations'!$R$2:$R$4001,$AD452,'All Donations'!$T$2:$T$4001,Q$1))</f>
        <v/>
      </c>
      <c r="R452" s="49">
        <f>IF(OR($AE452&lt;&gt;1,R$1=""),"",SUMIFS('All Donations'!$S$2:$S$4001,'All Donations'!$R$2:$R$4001,$AD452,'All Donations'!$T$2:$T$4001,R$1))</f>
        <v/>
      </c>
      <c r="S452" s="49">
        <f>IF(OR($AE452&lt;&gt;1,S$1=""),"",SUMIFS('All Donations'!$S$2:$S$4001,'All Donations'!$R$2:$R$4001,$AD452,'All Donations'!$T$2:$T$4001,S$1))</f>
        <v/>
      </c>
      <c r="T452" s="49">
        <f>IF(OR($AE452&lt;&gt;1,T$1=""),"",SUMIFS('All Donations'!$S$2:$S$4001,'All Donations'!$R$2:$R$4001,$AD452,'All Donations'!$T$2:$T$4001,T$1))</f>
        <v/>
      </c>
      <c r="U452" s="49">
        <f>IF(OR($AE452&lt;&gt;1,U$1=""),"",SUMIFS('All Donations'!$S$2:$S$4001,'All Donations'!$R$2:$R$4001,$AD452,'All Donations'!$T$2:$T$4001,U$1))</f>
        <v/>
      </c>
      <c r="V452" s="49">
        <f>IF(OR($AE452&lt;&gt;1,V$1=""),"",SUMIFS('All Donations'!$S$2:$S$4001,'All Donations'!$R$2:$R$4001,$AD452,'All Donations'!$T$2:$T$4001,V$1))</f>
        <v/>
      </c>
      <c r="W452" s="49">
        <f>IF(OR($AE452&lt;&gt;1,W$1=""),"",SUMIFS('All Donations'!$S$2:$S$4001,'All Donations'!$R$2:$R$4001,$AD452,'All Donations'!$T$2:$T$4001,W$1))</f>
        <v/>
      </c>
      <c r="X452" s="49">
        <f>IF(OR($AE452&lt;&gt;1,X$1=""),"",SUMIFS('All Donations'!$S$2:$S$4001,'All Donations'!$R$2:$R$4001,$AD452,'All Donations'!$T$2:$T$4001,X$1))</f>
        <v/>
      </c>
      <c r="Y452" s="49">
        <f>IF(OR($AE452&lt;&gt;1,Y$1=""),"",SUMIFS('All Donations'!$S$2:$S$4001,'All Donations'!$R$2:$R$4001,$AD452,'All Donations'!$T$2:$T$4001,Y$1))</f>
        <v/>
      </c>
      <c r="Z452" s="49">
        <f>IF(OR($AE452&lt;&gt;1,Z$1=""),"",SUMIFS('All Donations'!$S$2:$S$4001,'All Donations'!$R$2:$R$4001,$AD452,'All Donations'!$T$2:$T$4001,Z$1))</f>
        <v/>
      </c>
      <c r="AA452" s="49">
        <f>IF(OR($AE452&lt;&gt;1,AA$1=""),"",SUMIFS('All Donations'!$S$2:$S$4001,'All Donations'!$R$2:$R$4001,$AD452,'All Donations'!$T$2:$T$4001,AA$1))</f>
        <v/>
      </c>
      <c r="AB452" s="49">
        <f>IF(OR($AE452&lt;&gt;1,AB$1=""),"",SUMIFS('All Donations'!$S$2:$S$4001,'All Donations'!$R$2:$R$4001,$AD452,'All Donations'!$T$2:$T$4001,AB$1))</f>
        <v/>
      </c>
      <c r="AC452" s="49">
        <f>IF(OR($AE452&lt;&gt;1,AC$1=""),"",SUMIFS('All Donations'!$S$2:$S$4001,'All Donations'!$R$2:$R$4001,$AD452,'All Donations'!$T$2:$T$4001,AC$1))</f>
        <v/>
      </c>
      <c r="AD452">
        <f>IF(AE452=1,'Roster'!A452,"")</f>
        <v/>
      </c>
      <c r="AE452">
        <f>IF(TRIM('Roster'!B452&amp;'Roster'!C452)&lt;&gt;"",1,0)</f>
        <v/>
      </c>
      <c r="AF452">
        <f>IF(AE452=1,LOWER(A452),"#")</f>
        <v/>
      </c>
      <c r="AG452">
        <f>IF(AE452=1,LOWER(TRIM(TRIM('Roster'!C452)&amp;", "&amp;TRIM('Roster'!B452))),"#")</f>
        <v/>
      </c>
      <c r="AH452">
        <f>IF(AND(AE452=1,TRIM('Roster'!F452)&lt;&gt;""),LOWER(TRIM('Roster'!F452)),"#")</f>
        <v/>
      </c>
      <c r="AI452">
        <f>IF(AE452=1,IF(MATCH(B452,$B$2:$B$701,0)=ROW()-1,1,0),0)</f>
        <v/>
      </c>
      <c r="AJ452">
        <f>AJ451+AI452</f>
        <v/>
      </c>
      <c r="AK452">
        <f>IF(AE452=1,D452+(1000-ROW())/10^7,-1)</f>
        <v/>
      </c>
      <c r="AL452">
        <f>IF(AE452=1,TRIM('Roster'!B452)&amp;" "&amp;LEFT(TRIM('Roster'!C452),1)&amp;".","")</f>
        <v/>
      </c>
      <c r="AM452">
        <f>IF(AE452=1,TRIM('Roster'!C452)&amp;", "&amp;TRIM('Roster'!B452)&amp;" ("&amp;B452&amp;") #"&amp;AD452,"")</f>
        <v/>
      </c>
      <c r="AN452">
        <f>IF(AE452=1,TRIM('Roster'!E452),"")</f>
        <v/>
      </c>
      <c r="AO452">
        <f>IF(AE452=1,ROUND(SUMIFS('All Donations'!$S$2:$S$4001,'All Donations'!$R$2:$R$4001,AD452,'All Donations'!$T$2:$T$4001,"&gt;="&amp;'Settings'!$C$23,'All Donations'!$T$2:$T$4001,"&lt;="&amp;'Settings'!$D$23),2),0)</f>
        <v/>
      </c>
      <c r="AQ452">
        <f>IF(AE452=1,ROUND(SUMIFS('All Donations'!$S$2:$S$4001,'All Donations'!$R$2:$R$4001,AD452,'All Donations'!$T$2:$T$4001,"&gt;="&amp;'Settings'!$C$25,'All Donations'!$T$2:$T$4001,"&lt;="&amp;'Settings'!$D$25),2),0)</f>
        <v/>
      </c>
      <c r="AR452">
        <f>IF(AE452=1,ROUND(SUMIFS('All Donations'!$S$2:$S$4001,'All Donations'!$R$2:$R$4001,AD452,'All Donations'!$T$2:$T$4001,"&gt;="&amp;'Settings'!$C$26,'All Donations'!$T$2:$T$4001,"&lt;="&amp;'Settings'!$D$26),2),0)</f>
        <v/>
      </c>
      <c r="AS452">
        <f>IF(AE452=1,ROUND(SUMIFS('All Donations'!$S$2:$S$4001,'All Donations'!$R$2:$R$4001,AD452,'All Donations'!$T$2:$T$4001,"&lt;="&amp;'Settings'!$D$27),2),0)</f>
        <v/>
      </c>
      <c r="AT452">
        <f>IF(AE452=1,ROUND(SUMIFS('All Donations'!$S$2:$S$4001,'All Donations'!$R$2:$R$4001,AD452,'All Donations'!$T$2:$T$4001,"&gt;="&amp;'Settings'!$C$28,'All Donations'!$T$2:$T$4001,"&lt;="&amp;'Settings'!$D$28),2),0)</f>
        <v/>
      </c>
      <c r="AU452">
        <f>IF(AE452=1,ROUND(SUMIFS('All Donations'!$S$2:$S$4001,'All Donations'!$R$2:$R$4001,AD452,'All Donations'!$T$2:$T$4001,"&gt;="&amp;'Settings'!$C$29,'All Donations'!$T$2:$T$4001,"&lt;="&amp;'Settings'!$D$29),2),0)</f>
        <v/>
      </c>
      <c r="AV452">
        <f>IF(AE452=1,ROUND(SUMIFS('All Donations'!$S$2:$S$4001,'All Donations'!$R$2:$R$4001,AD452,'All Donations'!$T$2:$T$4001,"&lt;="&amp;'Settings'!$D$30),2),0)</f>
        <v/>
      </c>
      <c r="AZ452">
        <f>IF(AE452=1,ROUND(SUMIFS('All Donations'!$S$2:$S$4001,'All Donations'!$R$2:$R$4001,AD452,'All Donations'!$T$2:$T$4001,"&lt;="&amp;'Settings'!$D$34),2),0)</f>
        <v/>
      </c>
    </row>
    <row r="453">
      <c r="A453">
        <f>IF(AE453=1,TRIM(TRIM('Roster'!B453)&amp;" "&amp;TRIM('Roster'!C453)),"")</f>
        <v/>
      </c>
      <c r="B453">
        <f>IF(AE453=1,IF(AN453="","(no teacher)",AN453&amp;" – "&amp;C453),"")</f>
        <v/>
      </c>
      <c r="C453">
        <f>IF(AE453=1,TRIM('Roster'!D453&amp;""),"")</f>
        <v/>
      </c>
      <c r="D453" s="48">
        <f>IF(AE453=1,ROUND(SUMIFS('All Donations'!$S$2:$S$4001,'All Donations'!$R$2:$R$4001,AD453),2),"")</f>
        <v/>
      </c>
      <c r="E453" s="48">
        <f>IF(AE453=1,ROUND(SUMIFS('All Donations'!$S$2:$S$4001,'All Donations'!$R$2:$R$4001,AD453,'All Donations'!$G$2:$G$4001,"OneCause"),2),"")</f>
        <v/>
      </c>
      <c r="F453" s="48">
        <f>IF(AE453=1,D453-E453,"")</f>
        <v/>
      </c>
      <c r="G453">
        <f>IF(AE453=1,COUNTIFS('All Donations'!$R$2:$R$4001,AD453,'All Donations'!$H$2:$H$4001,"OK"),"")</f>
        <v/>
      </c>
      <c r="H453">
        <f>IF(AE453&lt;&gt;1,"",IF(D453&gt;0,"Yes",""))</f>
        <v/>
      </c>
      <c r="I453" s="49">
        <f>IF(OR($AE453&lt;&gt;1,I$1=""),"",SUMIFS('All Donations'!$S$2:$S$4001,'All Donations'!$R$2:$R$4001,$AD453,'All Donations'!$T$2:$T$4001,I$1))</f>
        <v/>
      </c>
      <c r="J453" s="49">
        <f>IF(OR($AE453&lt;&gt;1,J$1=""),"",SUMIFS('All Donations'!$S$2:$S$4001,'All Donations'!$R$2:$R$4001,$AD453,'All Donations'!$T$2:$T$4001,J$1))</f>
        <v/>
      </c>
      <c r="K453" s="49">
        <f>IF(OR($AE453&lt;&gt;1,K$1=""),"",SUMIFS('All Donations'!$S$2:$S$4001,'All Donations'!$R$2:$R$4001,$AD453,'All Donations'!$T$2:$T$4001,K$1))</f>
        <v/>
      </c>
      <c r="L453" s="49">
        <f>IF(OR($AE453&lt;&gt;1,L$1=""),"",SUMIFS('All Donations'!$S$2:$S$4001,'All Donations'!$R$2:$R$4001,$AD453,'All Donations'!$T$2:$T$4001,L$1))</f>
        <v/>
      </c>
      <c r="M453" s="49">
        <f>IF(OR($AE453&lt;&gt;1,M$1=""),"",SUMIFS('All Donations'!$S$2:$S$4001,'All Donations'!$R$2:$R$4001,$AD453,'All Donations'!$T$2:$T$4001,M$1))</f>
        <v/>
      </c>
      <c r="N453" s="49">
        <f>IF(OR($AE453&lt;&gt;1,N$1=""),"",SUMIFS('All Donations'!$S$2:$S$4001,'All Donations'!$R$2:$R$4001,$AD453,'All Donations'!$T$2:$T$4001,N$1))</f>
        <v/>
      </c>
      <c r="O453" s="49">
        <f>IF(OR($AE453&lt;&gt;1,O$1=""),"",SUMIFS('All Donations'!$S$2:$S$4001,'All Donations'!$R$2:$R$4001,$AD453,'All Donations'!$T$2:$T$4001,O$1))</f>
        <v/>
      </c>
      <c r="P453" s="49">
        <f>IF(OR($AE453&lt;&gt;1,P$1=""),"",SUMIFS('All Donations'!$S$2:$S$4001,'All Donations'!$R$2:$R$4001,$AD453,'All Donations'!$T$2:$T$4001,P$1))</f>
        <v/>
      </c>
      <c r="Q453" s="49">
        <f>IF(OR($AE453&lt;&gt;1,Q$1=""),"",SUMIFS('All Donations'!$S$2:$S$4001,'All Donations'!$R$2:$R$4001,$AD453,'All Donations'!$T$2:$T$4001,Q$1))</f>
        <v/>
      </c>
      <c r="R453" s="49">
        <f>IF(OR($AE453&lt;&gt;1,R$1=""),"",SUMIFS('All Donations'!$S$2:$S$4001,'All Donations'!$R$2:$R$4001,$AD453,'All Donations'!$T$2:$T$4001,R$1))</f>
        <v/>
      </c>
      <c r="S453" s="49">
        <f>IF(OR($AE453&lt;&gt;1,S$1=""),"",SUMIFS('All Donations'!$S$2:$S$4001,'All Donations'!$R$2:$R$4001,$AD453,'All Donations'!$T$2:$T$4001,S$1))</f>
        <v/>
      </c>
      <c r="T453" s="49">
        <f>IF(OR($AE453&lt;&gt;1,T$1=""),"",SUMIFS('All Donations'!$S$2:$S$4001,'All Donations'!$R$2:$R$4001,$AD453,'All Donations'!$T$2:$T$4001,T$1))</f>
        <v/>
      </c>
      <c r="U453" s="49">
        <f>IF(OR($AE453&lt;&gt;1,U$1=""),"",SUMIFS('All Donations'!$S$2:$S$4001,'All Donations'!$R$2:$R$4001,$AD453,'All Donations'!$T$2:$T$4001,U$1))</f>
        <v/>
      </c>
      <c r="V453" s="49">
        <f>IF(OR($AE453&lt;&gt;1,V$1=""),"",SUMIFS('All Donations'!$S$2:$S$4001,'All Donations'!$R$2:$R$4001,$AD453,'All Donations'!$T$2:$T$4001,V$1))</f>
        <v/>
      </c>
      <c r="W453" s="49">
        <f>IF(OR($AE453&lt;&gt;1,W$1=""),"",SUMIFS('All Donations'!$S$2:$S$4001,'All Donations'!$R$2:$R$4001,$AD453,'All Donations'!$T$2:$T$4001,W$1))</f>
        <v/>
      </c>
      <c r="X453" s="49">
        <f>IF(OR($AE453&lt;&gt;1,X$1=""),"",SUMIFS('All Donations'!$S$2:$S$4001,'All Donations'!$R$2:$R$4001,$AD453,'All Donations'!$T$2:$T$4001,X$1))</f>
        <v/>
      </c>
      <c r="Y453" s="49">
        <f>IF(OR($AE453&lt;&gt;1,Y$1=""),"",SUMIFS('All Donations'!$S$2:$S$4001,'All Donations'!$R$2:$R$4001,$AD453,'All Donations'!$T$2:$T$4001,Y$1))</f>
        <v/>
      </c>
      <c r="Z453" s="49">
        <f>IF(OR($AE453&lt;&gt;1,Z$1=""),"",SUMIFS('All Donations'!$S$2:$S$4001,'All Donations'!$R$2:$R$4001,$AD453,'All Donations'!$T$2:$T$4001,Z$1))</f>
        <v/>
      </c>
      <c r="AA453" s="49">
        <f>IF(OR($AE453&lt;&gt;1,AA$1=""),"",SUMIFS('All Donations'!$S$2:$S$4001,'All Donations'!$R$2:$R$4001,$AD453,'All Donations'!$T$2:$T$4001,AA$1))</f>
        <v/>
      </c>
      <c r="AB453" s="49">
        <f>IF(OR($AE453&lt;&gt;1,AB$1=""),"",SUMIFS('All Donations'!$S$2:$S$4001,'All Donations'!$R$2:$R$4001,$AD453,'All Donations'!$T$2:$T$4001,AB$1))</f>
        <v/>
      </c>
      <c r="AC453" s="49">
        <f>IF(OR($AE453&lt;&gt;1,AC$1=""),"",SUMIFS('All Donations'!$S$2:$S$4001,'All Donations'!$R$2:$R$4001,$AD453,'All Donations'!$T$2:$T$4001,AC$1))</f>
        <v/>
      </c>
      <c r="AD453">
        <f>IF(AE453=1,'Roster'!A453,"")</f>
        <v/>
      </c>
      <c r="AE453">
        <f>IF(TRIM('Roster'!B453&amp;'Roster'!C453)&lt;&gt;"",1,0)</f>
        <v/>
      </c>
      <c r="AF453">
        <f>IF(AE453=1,LOWER(A453),"#")</f>
        <v/>
      </c>
      <c r="AG453">
        <f>IF(AE453=1,LOWER(TRIM(TRIM('Roster'!C453)&amp;", "&amp;TRIM('Roster'!B453))),"#")</f>
        <v/>
      </c>
      <c r="AH453">
        <f>IF(AND(AE453=1,TRIM('Roster'!F453)&lt;&gt;""),LOWER(TRIM('Roster'!F453)),"#")</f>
        <v/>
      </c>
      <c r="AI453">
        <f>IF(AE453=1,IF(MATCH(B453,$B$2:$B$701,0)=ROW()-1,1,0),0)</f>
        <v/>
      </c>
      <c r="AJ453">
        <f>AJ452+AI453</f>
        <v/>
      </c>
      <c r="AK453">
        <f>IF(AE453=1,D453+(1000-ROW())/10^7,-1)</f>
        <v/>
      </c>
      <c r="AL453">
        <f>IF(AE453=1,TRIM('Roster'!B453)&amp;" "&amp;LEFT(TRIM('Roster'!C453),1)&amp;".","")</f>
        <v/>
      </c>
      <c r="AM453">
        <f>IF(AE453=1,TRIM('Roster'!C453)&amp;", "&amp;TRIM('Roster'!B453)&amp;" ("&amp;B453&amp;") #"&amp;AD453,"")</f>
        <v/>
      </c>
      <c r="AN453">
        <f>IF(AE453=1,TRIM('Roster'!E453),"")</f>
        <v/>
      </c>
      <c r="AO453">
        <f>IF(AE453=1,ROUND(SUMIFS('All Donations'!$S$2:$S$4001,'All Donations'!$R$2:$R$4001,AD453,'All Donations'!$T$2:$T$4001,"&gt;="&amp;'Settings'!$C$23,'All Donations'!$T$2:$T$4001,"&lt;="&amp;'Settings'!$D$23),2),0)</f>
        <v/>
      </c>
      <c r="AQ453">
        <f>IF(AE453=1,ROUND(SUMIFS('All Donations'!$S$2:$S$4001,'All Donations'!$R$2:$R$4001,AD453,'All Donations'!$T$2:$T$4001,"&gt;="&amp;'Settings'!$C$25,'All Donations'!$T$2:$T$4001,"&lt;="&amp;'Settings'!$D$25),2),0)</f>
        <v/>
      </c>
      <c r="AR453">
        <f>IF(AE453=1,ROUND(SUMIFS('All Donations'!$S$2:$S$4001,'All Donations'!$R$2:$R$4001,AD453,'All Donations'!$T$2:$T$4001,"&gt;="&amp;'Settings'!$C$26,'All Donations'!$T$2:$T$4001,"&lt;="&amp;'Settings'!$D$26),2),0)</f>
        <v/>
      </c>
      <c r="AS453">
        <f>IF(AE453=1,ROUND(SUMIFS('All Donations'!$S$2:$S$4001,'All Donations'!$R$2:$R$4001,AD453,'All Donations'!$T$2:$T$4001,"&lt;="&amp;'Settings'!$D$27),2),0)</f>
        <v/>
      </c>
      <c r="AT453">
        <f>IF(AE453=1,ROUND(SUMIFS('All Donations'!$S$2:$S$4001,'All Donations'!$R$2:$R$4001,AD453,'All Donations'!$T$2:$T$4001,"&gt;="&amp;'Settings'!$C$28,'All Donations'!$T$2:$T$4001,"&lt;="&amp;'Settings'!$D$28),2),0)</f>
        <v/>
      </c>
      <c r="AU453">
        <f>IF(AE453=1,ROUND(SUMIFS('All Donations'!$S$2:$S$4001,'All Donations'!$R$2:$R$4001,AD453,'All Donations'!$T$2:$T$4001,"&gt;="&amp;'Settings'!$C$29,'All Donations'!$T$2:$T$4001,"&lt;="&amp;'Settings'!$D$29),2),0)</f>
        <v/>
      </c>
      <c r="AV453">
        <f>IF(AE453=1,ROUND(SUMIFS('All Donations'!$S$2:$S$4001,'All Donations'!$R$2:$R$4001,AD453,'All Donations'!$T$2:$T$4001,"&lt;="&amp;'Settings'!$D$30),2),0)</f>
        <v/>
      </c>
      <c r="AZ453">
        <f>IF(AE453=1,ROUND(SUMIFS('All Donations'!$S$2:$S$4001,'All Donations'!$R$2:$R$4001,AD453,'All Donations'!$T$2:$T$4001,"&lt;="&amp;'Settings'!$D$34),2),0)</f>
        <v/>
      </c>
    </row>
    <row r="454">
      <c r="A454">
        <f>IF(AE454=1,TRIM(TRIM('Roster'!B454)&amp;" "&amp;TRIM('Roster'!C454)),"")</f>
        <v/>
      </c>
      <c r="B454">
        <f>IF(AE454=1,IF(AN454="","(no teacher)",AN454&amp;" – "&amp;C454),"")</f>
        <v/>
      </c>
      <c r="C454">
        <f>IF(AE454=1,TRIM('Roster'!D454&amp;""),"")</f>
        <v/>
      </c>
      <c r="D454" s="48">
        <f>IF(AE454=1,ROUND(SUMIFS('All Donations'!$S$2:$S$4001,'All Donations'!$R$2:$R$4001,AD454),2),"")</f>
        <v/>
      </c>
      <c r="E454" s="48">
        <f>IF(AE454=1,ROUND(SUMIFS('All Donations'!$S$2:$S$4001,'All Donations'!$R$2:$R$4001,AD454,'All Donations'!$G$2:$G$4001,"OneCause"),2),"")</f>
        <v/>
      </c>
      <c r="F454" s="48">
        <f>IF(AE454=1,D454-E454,"")</f>
        <v/>
      </c>
      <c r="G454">
        <f>IF(AE454=1,COUNTIFS('All Donations'!$R$2:$R$4001,AD454,'All Donations'!$H$2:$H$4001,"OK"),"")</f>
        <v/>
      </c>
      <c r="H454">
        <f>IF(AE454&lt;&gt;1,"",IF(D454&gt;0,"Yes",""))</f>
        <v/>
      </c>
      <c r="I454" s="49">
        <f>IF(OR($AE454&lt;&gt;1,I$1=""),"",SUMIFS('All Donations'!$S$2:$S$4001,'All Donations'!$R$2:$R$4001,$AD454,'All Donations'!$T$2:$T$4001,I$1))</f>
        <v/>
      </c>
      <c r="J454" s="49">
        <f>IF(OR($AE454&lt;&gt;1,J$1=""),"",SUMIFS('All Donations'!$S$2:$S$4001,'All Donations'!$R$2:$R$4001,$AD454,'All Donations'!$T$2:$T$4001,J$1))</f>
        <v/>
      </c>
      <c r="K454" s="49">
        <f>IF(OR($AE454&lt;&gt;1,K$1=""),"",SUMIFS('All Donations'!$S$2:$S$4001,'All Donations'!$R$2:$R$4001,$AD454,'All Donations'!$T$2:$T$4001,K$1))</f>
        <v/>
      </c>
      <c r="L454" s="49">
        <f>IF(OR($AE454&lt;&gt;1,L$1=""),"",SUMIFS('All Donations'!$S$2:$S$4001,'All Donations'!$R$2:$R$4001,$AD454,'All Donations'!$T$2:$T$4001,L$1))</f>
        <v/>
      </c>
      <c r="M454" s="49">
        <f>IF(OR($AE454&lt;&gt;1,M$1=""),"",SUMIFS('All Donations'!$S$2:$S$4001,'All Donations'!$R$2:$R$4001,$AD454,'All Donations'!$T$2:$T$4001,M$1))</f>
        <v/>
      </c>
      <c r="N454" s="49">
        <f>IF(OR($AE454&lt;&gt;1,N$1=""),"",SUMIFS('All Donations'!$S$2:$S$4001,'All Donations'!$R$2:$R$4001,$AD454,'All Donations'!$T$2:$T$4001,N$1))</f>
        <v/>
      </c>
      <c r="O454" s="49">
        <f>IF(OR($AE454&lt;&gt;1,O$1=""),"",SUMIFS('All Donations'!$S$2:$S$4001,'All Donations'!$R$2:$R$4001,$AD454,'All Donations'!$T$2:$T$4001,O$1))</f>
        <v/>
      </c>
      <c r="P454" s="49">
        <f>IF(OR($AE454&lt;&gt;1,P$1=""),"",SUMIFS('All Donations'!$S$2:$S$4001,'All Donations'!$R$2:$R$4001,$AD454,'All Donations'!$T$2:$T$4001,P$1))</f>
        <v/>
      </c>
      <c r="Q454" s="49">
        <f>IF(OR($AE454&lt;&gt;1,Q$1=""),"",SUMIFS('All Donations'!$S$2:$S$4001,'All Donations'!$R$2:$R$4001,$AD454,'All Donations'!$T$2:$T$4001,Q$1))</f>
        <v/>
      </c>
      <c r="R454" s="49">
        <f>IF(OR($AE454&lt;&gt;1,R$1=""),"",SUMIFS('All Donations'!$S$2:$S$4001,'All Donations'!$R$2:$R$4001,$AD454,'All Donations'!$T$2:$T$4001,R$1))</f>
        <v/>
      </c>
      <c r="S454" s="49">
        <f>IF(OR($AE454&lt;&gt;1,S$1=""),"",SUMIFS('All Donations'!$S$2:$S$4001,'All Donations'!$R$2:$R$4001,$AD454,'All Donations'!$T$2:$T$4001,S$1))</f>
        <v/>
      </c>
      <c r="T454" s="49">
        <f>IF(OR($AE454&lt;&gt;1,T$1=""),"",SUMIFS('All Donations'!$S$2:$S$4001,'All Donations'!$R$2:$R$4001,$AD454,'All Donations'!$T$2:$T$4001,T$1))</f>
        <v/>
      </c>
      <c r="U454" s="49">
        <f>IF(OR($AE454&lt;&gt;1,U$1=""),"",SUMIFS('All Donations'!$S$2:$S$4001,'All Donations'!$R$2:$R$4001,$AD454,'All Donations'!$T$2:$T$4001,U$1))</f>
        <v/>
      </c>
      <c r="V454" s="49">
        <f>IF(OR($AE454&lt;&gt;1,V$1=""),"",SUMIFS('All Donations'!$S$2:$S$4001,'All Donations'!$R$2:$R$4001,$AD454,'All Donations'!$T$2:$T$4001,V$1))</f>
        <v/>
      </c>
      <c r="W454" s="49">
        <f>IF(OR($AE454&lt;&gt;1,W$1=""),"",SUMIFS('All Donations'!$S$2:$S$4001,'All Donations'!$R$2:$R$4001,$AD454,'All Donations'!$T$2:$T$4001,W$1))</f>
        <v/>
      </c>
      <c r="X454" s="49">
        <f>IF(OR($AE454&lt;&gt;1,X$1=""),"",SUMIFS('All Donations'!$S$2:$S$4001,'All Donations'!$R$2:$R$4001,$AD454,'All Donations'!$T$2:$T$4001,X$1))</f>
        <v/>
      </c>
      <c r="Y454" s="49">
        <f>IF(OR($AE454&lt;&gt;1,Y$1=""),"",SUMIFS('All Donations'!$S$2:$S$4001,'All Donations'!$R$2:$R$4001,$AD454,'All Donations'!$T$2:$T$4001,Y$1))</f>
        <v/>
      </c>
      <c r="Z454" s="49">
        <f>IF(OR($AE454&lt;&gt;1,Z$1=""),"",SUMIFS('All Donations'!$S$2:$S$4001,'All Donations'!$R$2:$R$4001,$AD454,'All Donations'!$T$2:$T$4001,Z$1))</f>
        <v/>
      </c>
      <c r="AA454" s="49">
        <f>IF(OR($AE454&lt;&gt;1,AA$1=""),"",SUMIFS('All Donations'!$S$2:$S$4001,'All Donations'!$R$2:$R$4001,$AD454,'All Donations'!$T$2:$T$4001,AA$1))</f>
        <v/>
      </c>
      <c r="AB454" s="49">
        <f>IF(OR($AE454&lt;&gt;1,AB$1=""),"",SUMIFS('All Donations'!$S$2:$S$4001,'All Donations'!$R$2:$R$4001,$AD454,'All Donations'!$T$2:$T$4001,AB$1))</f>
        <v/>
      </c>
      <c r="AC454" s="49">
        <f>IF(OR($AE454&lt;&gt;1,AC$1=""),"",SUMIFS('All Donations'!$S$2:$S$4001,'All Donations'!$R$2:$R$4001,$AD454,'All Donations'!$T$2:$T$4001,AC$1))</f>
        <v/>
      </c>
      <c r="AD454">
        <f>IF(AE454=1,'Roster'!A454,"")</f>
        <v/>
      </c>
      <c r="AE454">
        <f>IF(TRIM('Roster'!B454&amp;'Roster'!C454)&lt;&gt;"",1,0)</f>
        <v/>
      </c>
      <c r="AF454">
        <f>IF(AE454=1,LOWER(A454),"#")</f>
        <v/>
      </c>
      <c r="AG454">
        <f>IF(AE454=1,LOWER(TRIM(TRIM('Roster'!C454)&amp;", "&amp;TRIM('Roster'!B454))),"#")</f>
        <v/>
      </c>
      <c r="AH454">
        <f>IF(AND(AE454=1,TRIM('Roster'!F454)&lt;&gt;""),LOWER(TRIM('Roster'!F454)),"#")</f>
        <v/>
      </c>
      <c r="AI454">
        <f>IF(AE454=1,IF(MATCH(B454,$B$2:$B$701,0)=ROW()-1,1,0),0)</f>
        <v/>
      </c>
      <c r="AJ454">
        <f>AJ453+AI454</f>
        <v/>
      </c>
      <c r="AK454">
        <f>IF(AE454=1,D454+(1000-ROW())/10^7,-1)</f>
        <v/>
      </c>
      <c r="AL454">
        <f>IF(AE454=1,TRIM('Roster'!B454)&amp;" "&amp;LEFT(TRIM('Roster'!C454),1)&amp;".","")</f>
        <v/>
      </c>
      <c r="AM454">
        <f>IF(AE454=1,TRIM('Roster'!C454)&amp;", "&amp;TRIM('Roster'!B454)&amp;" ("&amp;B454&amp;") #"&amp;AD454,"")</f>
        <v/>
      </c>
      <c r="AN454">
        <f>IF(AE454=1,TRIM('Roster'!E454),"")</f>
        <v/>
      </c>
      <c r="AO454">
        <f>IF(AE454=1,ROUND(SUMIFS('All Donations'!$S$2:$S$4001,'All Donations'!$R$2:$R$4001,AD454,'All Donations'!$T$2:$T$4001,"&gt;="&amp;'Settings'!$C$23,'All Donations'!$T$2:$T$4001,"&lt;="&amp;'Settings'!$D$23),2),0)</f>
        <v/>
      </c>
      <c r="AQ454">
        <f>IF(AE454=1,ROUND(SUMIFS('All Donations'!$S$2:$S$4001,'All Donations'!$R$2:$R$4001,AD454,'All Donations'!$T$2:$T$4001,"&gt;="&amp;'Settings'!$C$25,'All Donations'!$T$2:$T$4001,"&lt;="&amp;'Settings'!$D$25),2),0)</f>
        <v/>
      </c>
      <c r="AR454">
        <f>IF(AE454=1,ROUND(SUMIFS('All Donations'!$S$2:$S$4001,'All Donations'!$R$2:$R$4001,AD454,'All Donations'!$T$2:$T$4001,"&gt;="&amp;'Settings'!$C$26,'All Donations'!$T$2:$T$4001,"&lt;="&amp;'Settings'!$D$26),2),0)</f>
        <v/>
      </c>
      <c r="AS454">
        <f>IF(AE454=1,ROUND(SUMIFS('All Donations'!$S$2:$S$4001,'All Donations'!$R$2:$R$4001,AD454,'All Donations'!$T$2:$T$4001,"&lt;="&amp;'Settings'!$D$27),2),0)</f>
        <v/>
      </c>
      <c r="AT454">
        <f>IF(AE454=1,ROUND(SUMIFS('All Donations'!$S$2:$S$4001,'All Donations'!$R$2:$R$4001,AD454,'All Donations'!$T$2:$T$4001,"&gt;="&amp;'Settings'!$C$28,'All Donations'!$T$2:$T$4001,"&lt;="&amp;'Settings'!$D$28),2),0)</f>
        <v/>
      </c>
      <c r="AU454">
        <f>IF(AE454=1,ROUND(SUMIFS('All Donations'!$S$2:$S$4001,'All Donations'!$R$2:$R$4001,AD454,'All Donations'!$T$2:$T$4001,"&gt;="&amp;'Settings'!$C$29,'All Donations'!$T$2:$T$4001,"&lt;="&amp;'Settings'!$D$29),2),0)</f>
        <v/>
      </c>
      <c r="AV454">
        <f>IF(AE454=1,ROUND(SUMIFS('All Donations'!$S$2:$S$4001,'All Donations'!$R$2:$R$4001,AD454,'All Donations'!$T$2:$T$4001,"&lt;="&amp;'Settings'!$D$30),2),0)</f>
        <v/>
      </c>
      <c r="AZ454">
        <f>IF(AE454=1,ROUND(SUMIFS('All Donations'!$S$2:$S$4001,'All Donations'!$R$2:$R$4001,AD454,'All Donations'!$T$2:$T$4001,"&lt;="&amp;'Settings'!$D$34),2),0)</f>
        <v/>
      </c>
    </row>
    <row r="455">
      <c r="A455">
        <f>IF(AE455=1,TRIM(TRIM('Roster'!B455)&amp;" "&amp;TRIM('Roster'!C455)),"")</f>
        <v/>
      </c>
      <c r="B455">
        <f>IF(AE455=1,IF(AN455="","(no teacher)",AN455&amp;" – "&amp;C455),"")</f>
        <v/>
      </c>
      <c r="C455">
        <f>IF(AE455=1,TRIM('Roster'!D455&amp;""),"")</f>
        <v/>
      </c>
      <c r="D455" s="48">
        <f>IF(AE455=1,ROUND(SUMIFS('All Donations'!$S$2:$S$4001,'All Donations'!$R$2:$R$4001,AD455),2),"")</f>
        <v/>
      </c>
      <c r="E455" s="48">
        <f>IF(AE455=1,ROUND(SUMIFS('All Donations'!$S$2:$S$4001,'All Donations'!$R$2:$R$4001,AD455,'All Donations'!$G$2:$G$4001,"OneCause"),2),"")</f>
        <v/>
      </c>
      <c r="F455" s="48">
        <f>IF(AE455=1,D455-E455,"")</f>
        <v/>
      </c>
      <c r="G455">
        <f>IF(AE455=1,COUNTIFS('All Donations'!$R$2:$R$4001,AD455,'All Donations'!$H$2:$H$4001,"OK"),"")</f>
        <v/>
      </c>
      <c r="H455">
        <f>IF(AE455&lt;&gt;1,"",IF(D455&gt;0,"Yes",""))</f>
        <v/>
      </c>
      <c r="I455" s="49">
        <f>IF(OR($AE455&lt;&gt;1,I$1=""),"",SUMIFS('All Donations'!$S$2:$S$4001,'All Donations'!$R$2:$R$4001,$AD455,'All Donations'!$T$2:$T$4001,I$1))</f>
        <v/>
      </c>
      <c r="J455" s="49">
        <f>IF(OR($AE455&lt;&gt;1,J$1=""),"",SUMIFS('All Donations'!$S$2:$S$4001,'All Donations'!$R$2:$R$4001,$AD455,'All Donations'!$T$2:$T$4001,J$1))</f>
        <v/>
      </c>
      <c r="K455" s="49">
        <f>IF(OR($AE455&lt;&gt;1,K$1=""),"",SUMIFS('All Donations'!$S$2:$S$4001,'All Donations'!$R$2:$R$4001,$AD455,'All Donations'!$T$2:$T$4001,K$1))</f>
        <v/>
      </c>
      <c r="L455" s="49">
        <f>IF(OR($AE455&lt;&gt;1,L$1=""),"",SUMIFS('All Donations'!$S$2:$S$4001,'All Donations'!$R$2:$R$4001,$AD455,'All Donations'!$T$2:$T$4001,L$1))</f>
        <v/>
      </c>
      <c r="M455" s="49">
        <f>IF(OR($AE455&lt;&gt;1,M$1=""),"",SUMIFS('All Donations'!$S$2:$S$4001,'All Donations'!$R$2:$R$4001,$AD455,'All Donations'!$T$2:$T$4001,M$1))</f>
        <v/>
      </c>
      <c r="N455" s="49">
        <f>IF(OR($AE455&lt;&gt;1,N$1=""),"",SUMIFS('All Donations'!$S$2:$S$4001,'All Donations'!$R$2:$R$4001,$AD455,'All Donations'!$T$2:$T$4001,N$1))</f>
        <v/>
      </c>
      <c r="O455" s="49">
        <f>IF(OR($AE455&lt;&gt;1,O$1=""),"",SUMIFS('All Donations'!$S$2:$S$4001,'All Donations'!$R$2:$R$4001,$AD455,'All Donations'!$T$2:$T$4001,O$1))</f>
        <v/>
      </c>
      <c r="P455" s="49">
        <f>IF(OR($AE455&lt;&gt;1,P$1=""),"",SUMIFS('All Donations'!$S$2:$S$4001,'All Donations'!$R$2:$R$4001,$AD455,'All Donations'!$T$2:$T$4001,P$1))</f>
        <v/>
      </c>
      <c r="Q455" s="49">
        <f>IF(OR($AE455&lt;&gt;1,Q$1=""),"",SUMIFS('All Donations'!$S$2:$S$4001,'All Donations'!$R$2:$R$4001,$AD455,'All Donations'!$T$2:$T$4001,Q$1))</f>
        <v/>
      </c>
      <c r="R455" s="49">
        <f>IF(OR($AE455&lt;&gt;1,R$1=""),"",SUMIFS('All Donations'!$S$2:$S$4001,'All Donations'!$R$2:$R$4001,$AD455,'All Donations'!$T$2:$T$4001,R$1))</f>
        <v/>
      </c>
      <c r="S455" s="49">
        <f>IF(OR($AE455&lt;&gt;1,S$1=""),"",SUMIFS('All Donations'!$S$2:$S$4001,'All Donations'!$R$2:$R$4001,$AD455,'All Donations'!$T$2:$T$4001,S$1))</f>
        <v/>
      </c>
      <c r="T455" s="49">
        <f>IF(OR($AE455&lt;&gt;1,T$1=""),"",SUMIFS('All Donations'!$S$2:$S$4001,'All Donations'!$R$2:$R$4001,$AD455,'All Donations'!$T$2:$T$4001,T$1))</f>
        <v/>
      </c>
      <c r="U455" s="49">
        <f>IF(OR($AE455&lt;&gt;1,U$1=""),"",SUMIFS('All Donations'!$S$2:$S$4001,'All Donations'!$R$2:$R$4001,$AD455,'All Donations'!$T$2:$T$4001,U$1))</f>
        <v/>
      </c>
      <c r="V455" s="49">
        <f>IF(OR($AE455&lt;&gt;1,V$1=""),"",SUMIFS('All Donations'!$S$2:$S$4001,'All Donations'!$R$2:$R$4001,$AD455,'All Donations'!$T$2:$T$4001,V$1))</f>
        <v/>
      </c>
      <c r="W455" s="49">
        <f>IF(OR($AE455&lt;&gt;1,W$1=""),"",SUMIFS('All Donations'!$S$2:$S$4001,'All Donations'!$R$2:$R$4001,$AD455,'All Donations'!$T$2:$T$4001,W$1))</f>
        <v/>
      </c>
      <c r="X455" s="49">
        <f>IF(OR($AE455&lt;&gt;1,X$1=""),"",SUMIFS('All Donations'!$S$2:$S$4001,'All Donations'!$R$2:$R$4001,$AD455,'All Donations'!$T$2:$T$4001,X$1))</f>
        <v/>
      </c>
      <c r="Y455" s="49">
        <f>IF(OR($AE455&lt;&gt;1,Y$1=""),"",SUMIFS('All Donations'!$S$2:$S$4001,'All Donations'!$R$2:$R$4001,$AD455,'All Donations'!$T$2:$T$4001,Y$1))</f>
        <v/>
      </c>
      <c r="Z455" s="49">
        <f>IF(OR($AE455&lt;&gt;1,Z$1=""),"",SUMIFS('All Donations'!$S$2:$S$4001,'All Donations'!$R$2:$R$4001,$AD455,'All Donations'!$T$2:$T$4001,Z$1))</f>
        <v/>
      </c>
      <c r="AA455" s="49">
        <f>IF(OR($AE455&lt;&gt;1,AA$1=""),"",SUMIFS('All Donations'!$S$2:$S$4001,'All Donations'!$R$2:$R$4001,$AD455,'All Donations'!$T$2:$T$4001,AA$1))</f>
        <v/>
      </c>
      <c r="AB455" s="49">
        <f>IF(OR($AE455&lt;&gt;1,AB$1=""),"",SUMIFS('All Donations'!$S$2:$S$4001,'All Donations'!$R$2:$R$4001,$AD455,'All Donations'!$T$2:$T$4001,AB$1))</f>
        <v/>
      </c>
      <c r="AC455" s="49">
        <f>IF(OR($AE455&lt;&gt;1,AC$1=""),"",SUMIFS('All Donations'!$S$2:$S$4001,'All Donations'!$R$2:$R$4001,$AD455,'All Donations'!$T$2:$T$4001,AC$1))</f>
        <v/>
      </c>
      <c r="AD455">
        <f>IF(AE455=1,'Roster'!A455,"")</f>
        <v/>
      </c>
      <c r="AE455">
        <f>IF(TRIM('Roster'!B455&amp;'Roster'!C455)&lt;&gt;"",1,0)</f>
        <v/>
      </c>
      <c r="AF455">
        <f>IF(AE455=1,LOWER(A455),"#")</f>
        <v/>
      </c>
      <c r="AG455">
        <f>IF(AE455=1,LOWER(TRIM(TRIM('Roster'!C455)&amp;", "&amp;TRIM('Roster'!B455))),"#")</f>
        <v/>
      </c>
      <c r="AH455">
        <f>IF(AND(AE455=1,TRIM('Roster'!F455)&lt;&gt;""),LOWER(TRIM('Roster'!F455)),"#")</f>
        <v/>
      </c>
      <c r="AI455">
        <f>IF(AE455=1,IF(MATCH(B455,$B$2:$B$701,0)=ROW()-1,1,0),0)</f>
        <v/>
      </c>
      <c r="AJ455">
        <f>AJ454+AI455</f>
        <v/>
      </c>
      <c r="AK455">
        <f>IF(AE455=1,D455+(1000-ROW())/10^7,-1)</f>
        <v/>
      </c>
      <c r="AL455">
        <f>IF(AE455=1,TRIM('Roster'!B455)&amp;" "&amp;LEFT(TRIM('Roster'!C455),1)&amp;".","")</f>
        <v/>
      </c>
      <c r="AM455">
        <f>IF(AE455=1,TRIM('Roster'!C455)&amp;", "&amp;TRIM('Roster'!B455)&amp;" ("&amp;B455&amp;") #"&amp;AD455,"")</f>
        <v/>
      </c>
      <c r="AN455">
        <f>IF(AE455=1,TRIM('Roster'!E455),"")</f>
        <v/>
      </c>
      <c r="AO455">
        <f>IF(AE455=1,ROUND(SUMIFS('All Donations'!$S$2:$S$4001,'All Donations'!$R$2:$R$4001,AD455,'All Donations'!$T$2:$T$4001,"&gt;="&amp;'Settings'!$C$23,'All Donations'!$T$2:$T$4001,"&lt;="&amp;'Settings'!$D$23),2),0)</f>
        <v/>
      </c>
      <c r="AQ455">
        <f>IF(AE455=1,ROUND(SUMIFS('All Donations'!$S$2:$S$4001,'All Donations'!$R$2:$R$4001,AD455,'All Donations'!$T$2:$T$4001,"&gt;="&amp;'Settings'!$C$25,'All Donations'!$T$2:$T$4001,"&lt;="&amp;'Settings'!$D$25),2),0)</f>
        <v/>
      </c>
      <c r="AR455">
        <f>IF(AE455=1,ROUND(SUMIFS('All Donations'!$S$2:$S$4001,'All Donations'!$R$2:$R$4001,AD455,'All Donations'!$T$2:$T$4001,"&gt;="&amp;'Settings'!$C$26,'All Donations'!$T$2:$T$4001,"&lt;="&amp;'Settings'!$D$26),2),0)</f>
        <v/>
      </c>
      <c r="AS455">
        <f>IF(AE455=1,ROUND(SUMIFS('All Donations'!$S$2:$S$4001,'All Donations'!$R$2:$R$4001,AD455,'All Donations'!$T$2:$T$4001,"&lt;="&amp;'Settings'!$D$27),2),0)</f>
        <v/>
      </c>
      <c r="AT455">
        <f>IF(AE455=1,ROUND(SUMIFS('All Donations'!$S$2:$S$4001,'All Donations'!$R$2:$R$4001,AD455,'All Donations'!$T$2:$T$4001,"&gt;="&amp;'Settings'!$C$28,'All Donations'!$T$2:$T$4001,"&lt;="&amp;'Settings'!$D$28),2),0)</f>
        <v/>
      </c>
      <c r="AU455">
        <f>IF(AE455=1,ROUND(SUMIFS('All Donations'!$S$2:$S$4001,'All Donations'!$R$2:$R$4001,AD455,'All Donations'!$T$2:$T$4001,"&gt;="&amp;'Settings'!$C$29,'All Donations'!$T$2:$T$4001,"&lt;="&amp;'Settings'!$D$29),2),0)</f>
        <v/>
      </c>
      <c r="AV455">
        <f>IF(AE455=1,ROUND(SUMIFS('All Donations'!$S$2:$S$4001,'All Donations'!$R$2:$R$4001,AD455,'All Donations'!$T$2:$T$4001,"&lt;="&amp;'Settings'!$D$30),2),0)</f>
        <v/>
      </c>
      <c r="AZ455">
        <f>IF(AE455=1,ROUND(SUMIFS('All Donations'!$S$2:$S$4001,'All Donations'!$R$2:$R$4001,AD455,'All Donations'!$T$2:$T$4001,"&lt;="&amp;'Settings'!$D$34),2),0)</f>
        <v/>
      </c>
    </row>
    <row r="456">
      <c r="A456">
        <f>IF(AE456=1,TRIM(TRIM('Roster'!B456)&amp;" "&amp;TRIM('Roster'!C456)),"")</f>
        <v/>
      </c>
      <c r="B456">
        <f>IF(AE456=1,IF(AN456="","(no teacher)",AN456&amp;" – "&amp;C456),"")</f>
        <v/>
      </c>
      <c r="C456">
        <f>IF(AE456=1,TRIM('Roster'!D456&amp;""),"")</f>
        <v/>
      </c>
      <c r="D456" s="48">
        <f>IF(AE456=1,ROUND(SUMIFS('All Donations'!$S$2:$S$4001,'All Donations'!$R$2:$R$4001,AD456),2),"")</f>
        <v/>
      </c>
      <c r="E456" s="48">
        <f>IF(AE456=1,ROUND(SUMIFS('All Donations'!$S$2:$S$4001,'All Donations'!$R$2:$R$4001,AD456,'All Donations'!$G$2:$G$4001,"OneCause"),2),"")</f>
        <v/>
      </c>
      <c r="F456" s="48">
        <f>IF(AE456=1,D456-E456,"")</f>
        <v/>
      </c>
      <c r="G456">
        <f>IF(AE456=1,COUNTIFS('All Donations'!$R$2:$R$4001,AD456,'All Donations'!$H$2:$H$4001,"OK"),"")</f>
        <v/>
      </c>
      <c r="H456">
        <f>IF(AE456&lt;&gt;1,"",IF(D456&gt;0,"Yes",""))</f>
        <v/>
      </c>
      <c r="I456" s="49">
        <f>IF(OR($AE456&lt;&gt;1,I$1=""),"",SUMIFS('All Donations'!$S$2:$S$4001,'All Donations'!$R$2:$R$4001,$AD456,'All Donations'!$T$2:$T$4001,I$1))</f>
        <v/>
      </c>
      <c r="J456" s="49">
        <f>IF(OR($AE456&lt;&gt;1,J$1=""),"",SUMIFS('All Donations'!$S$2:$S$4001,'All Donations'!$R$2:$R$4001,$AD456,'All Donations'!$T$2:$T$4001,J$1))</f>
        <v/>
      </c>
      <c r="K456" s="49">
        <f>IF(OR($AE456&lt;&gt;1,K$1=""),"",SUMIFS('All Donations'!$S$2:$S$4001,'All Donations'!$R$2:$R$4001,$AD456,'All Donations'!$T$2:$T$4001,K$1))</f>
        <v/>
      </c>
      <c r="L456" s="49">
        <f>IF(OR($AE456&lt;&gt;1,L$1=""),"",SUMIFS('All Donations'!$S$2:$S$4001,'All Donations'!$R$2:$R$4001,$AD456,'All Donations'!$T$2:$T$4001,L$1))</f>
        <v/>
      </c>
      <c r="M456" s="49">
        <f>IF(OR($AE456&lt;&gt;1,M$1=""),"",SUMIFS('All Donations'!$S$2:$S$4001,'All Donations'!$R$2:$R$4001,$AD456,'All Donations'!$T$2:$T$4001,M$1))</f>
        <v/>
      </c>
      <c r="N456" s="49">
        <f>IF(OR($AE456&lt;&gt;1,N$1=""),"",SUMIFS('All Donations'!$S$2:$S$4001,'All Donations'!$R$2:$R$4001,$AD456,'All Donations'!$T$2:$T$4001,N$1))</f>
        <v/>
      </c>
      <c r="O456" s="49">
        <f>IF(OR($AE456&lt;&gt;1,O$1=""),"",SUMIFS('All Donations'!$S$2:$S$4001,'All Donations'!$R$2:$R$4001,$AD456,'All Donations'!$T$2:$T$4001,O$1))</f>
        <v/>
      </c>
      <c r="P456" s="49">
        <f>IF(OR($AE456&lt;&gt;1,P$1=""),"",SUMIFS('All Donations'!$S$2:$S$4001,'All Donations'!$R$2:$R$4001,$AD456,'All Donations'!$T$2:$T$4001,P$1))</f>
        <v/>
      </c>
      <c r="Q456" s="49">
        <f>IF(OR($AE456&lt;&gt;1,Q$1=""),"",SUMIFS('All Donations'!$S$2:$S$4001,'All Donations'!$R$2:$R$4001,$AD456,'All Donations'!$T$2:$T$4001,Q$1))</f>
        <v/>
      </c>
      <c r="R456" s="49">
        <f>IF(OR($AE456&lt;&gt;1,R$1=""),"",SUMIFS('All Donations'!$S$2:$S$4001,'All Donations'!$R$2:$R$4001,$AD456,'All Donations'!$T$2:$T$4001,R$1))</f>
        <v/>
      </c>
      <c r="S456" s="49">
        <f>IF(OR($AE456&lt;&gt;1,S$1=""),"",SUMIFS('All Donations'!$S$2:$S$4001,'All Donations'!$R$2:$R$4001,$AD456,'All Donations'!$T$2:$T$4001,S$1))</f>
        <v/>
      </c>
      <c r="T456" s="49">
        <f>IF(OR($AE456&lt;&gt;1,T$1=""),"",SUMIFS('All Donations'!$S$2:$S$4001,'All Donations'!$R$2:$R$4001,$AD456,'All Donations'!$T$2:$T$4001,T$1))</f>
        <v/>
      </c>
      <c r="U456" s="49">
        <f>IF(OR($AE456&lt;&gt;1,U$1=""),"",SUMIFS('All Donations'!$S$2:$S$4001,'All Donations'!$R$2:$R$4001,$AD456,'All Donations'!$T$2:$T$4001,U$1))</f>
        <v/>
      </c>
      <c r="V456" s="49">
        <f>IF(OR($AE456&lt;&gt;1,V$1=""),"",SUMIFS('All Donations'!$S$2:$S$4001,'All Donations'!$R$2:$R$4001,$AD456,'All Donations'!$T$2:$T$4001,V$1))</f>
        <v/>
      </c>
      <c r="W456" s="49">
        <f>IF(OR($AE456&lt;&gt;1,W$1=""),"",SUMIFS('All Donations'!$S$2:$S$4001,'All Donations'!$R$2:$R$4001,$AD456,'All Donations'!$T$2:$T$4001,W$1))</f>
        <v/>
      </c>
      <c r="X456" s="49">
        <f>IF(OR($AE456&lt;&gt;1,X$1=""),"",SUMIFS('All Donations'!$S$2:$S$4001,'All Donations'!$R$2:$R$4001,$AD456,'All Donations'!$T$2:$T$4001,X$1))</f>
        <v/>
      </c>
      <c r="Y456" s="49">
        <f>IF(OR($AE456&lt;&gt;1,Y$1=""),"",SUMIFS('All Donations'!$S$2:$S$4001,'All Donations'!$R$2:$R$4001,$AD456,'All Donations'!$T$2:$T$4001,Y$1))</f>
        <v/>
      </c>
      <c r="Z456" s="49">
        <f>IF(OR($AE456&lt;&gt;1,Z$1=""),"",SUMIFS('All Donations'!$S$2:$S$4001,'All Donations'!$R$2:$R$4001,$AD456,'All Donations'!$T$2:$T$4001,Z$1))</f>
        <v/>
      </c>
      <c r="AA456" s="49">
        <f>IF(OR($AE456&lt;&gt;1,AA$1=""),"",SUMIFS('All Donations'!$S$2:$S$4001,'All Donations'!$R$2:$R$4001,$AD456,'All Donations'!$T$2:$T$4001,AA$1))</f>
        <v/>
      </c>
      <c r="AB456" s="49">
        <f>IF(OR($AE456&lt;&gt;1,AB$1=""),"",SUMIFS('All Donations'!$S$2:$S$4001,'All Donations'!$R$2:$R$4001,$AD456,'All Donations'!$T$2:$T$4001,AB$1))</f>
        <v/>
      </c>
      <c r="AC456" s="49">
        <f>IF(OR($AE456&lt;&gt;1,AC$1=""),"",SUMIFS('All Donations'!$S$2:$S$4001,'All Donations'!$R$2:$R$4001,$AD456,'All Donations'!$T$2:$T$4001,AC$1))</f>
        <v/>
      </c>
      <c r="AD456">
        <f>IF(AE456=1,'Roster'!A456,"")</f>
        <v/>
      </c>
      <c r="AE456">
        <f>IF(TRIM('Roster'!B456&amp;'Roster'!C456)&lt;&gt;"",1,0)</f>
        <v/>
      </c>
      <c r="AF456">
        <f>IF(AE456=1,LOWER(A456),"#")</f>
        <v/>
      </c>
      <c r="AG456">
        <f>IF(AE456=1,LOWER(TRIM(TRIM('Roster'!C456)&amp;", "&amp;TRIM('Roster'!B456))),"#")</f>
        <v/>
      </c>
      <c r="AH456">
        <f>IF(AND(AE456=1,TRIM('Roster'!F456)&lt;&gt;""),LOWER(TRIM('Roster'!F456)),"#")</f>
        <v/>
      </c>
      <c r="AI456">
        <f>IF(AE456=1,IF(MATCH(B456,$B$2:$B$701,0)=ROW()-1,1,0),0)</f>
        <v/>
      </c>
      <c r="AJ456">
        <f>AJ455+AI456</f>
        <v/>
      </c>
      <c r="AK456">
        <f>IF(AE456=1,D456+(1000-ROW())/10^7,-1)</f>
        <v/>
      </c>
      <c r="AL456">
        <f>IF(AE456=1,TRIM('Roster'!B456)&amp;" "&amp;LEFT(TRIM('Roster'!C456),1)&amp;".","")</f>
        <v/>
      </c>
      <c r="AM456">
        <f>IF(AE456=1,TRIM('Roster'!C456)&amp;", "&amp;TRIM('Roster'!B456)&amp;" ("&amp;B456&amp;") #"&amp;AD456,"")</f>
        <v/>
      </c>
      <c r="AN456">
        <f>IF(AE456=1,TRIM('Roster'!E456),"")</f>
        <v/>
      </c>
      <c r="AO456">
        <f>IF(AE456=1,ROUND(SUMIFS('All Donations'!$S$2:$S$4001,'All Donations'!$R$2:$R$4001,AD456,'All Donations'!$T$2:$T$4001,"&gt;="&amp;'Settings'!$C$23,'All Donations'!$T$2:$T$4001,"&lt;="&amp;'Settings'!$D$23),2),0)</f>
        <v/>
      </c>
      <c r="AQ456">
        <f>IF(AE456=1,ROUND(SUMIFS('All Donations'!$S$2:$S$4001,'All Donations'!$R$2:$R$4001,AD456,'All Donations'!$T$2:$T$4001,"&gt;="&amp;'Settings'!$C$25,'All Donations'!$T$2:$T$4001,"&lt;="&amp;'Settings'!$D$25),2),0)</f>
        <v/>
      </c>
      <c r="AR456">
        <f>IF(AE456=1,ROUND(SUMIFS('All Donations'!$S$2:$S$4001,'All Donations'!$R$2:$R$4001,AD456,'All Donations'!$T$2:$T$4001,"&gt;="&amp;'Settings'!$C$26,'All Donations'!$T$2:$T$4001,"&lt;="&amp;'Settings'!$D$26),2),0)</f>
        <v/>
      </c>
      <c r="AS456">
        <f>IF(AE456=1,ROUND(SUMIFS('All Donations'!$S$2:$S$4001,'All Donations'!$R$2:$R$4001,AD456,'All Donations'!$T$2:$T$4001,"&lt;="&amp;'Settings'!$D$27),2),0)</f>
        <v/>
      </c>
      <c r="AT456">
        <f>IF(AE456=1,ROUND(SUMIFS('All Donations'!$S$2:$S$4001,'All Donations'!$R$2:$R$4001,AD456,'All Donations'!$T$2:$T$4001,"&gt;="&amp;'Settings'!$C$28,'All Donations'!$T$2:$T$4001,"&lt;="&amp;'Settings'!$D$28),2),0)</f>
        <v/>
      </c>
      <c r="AU456">
        <f>IF(AE456=1,ROUND(SUMIFS('All Donations'!$S$2:$S$4001,'All Donations'!$R$2:$R$4001,AD456,'All Donations'!$T$2:$T$4001,"&gt;="&amp;'Settings'!$C$29,'All Donations'!$T$2:$T$4001,"&lt;="&amp;'Settings'!$D$29),2),0)</f>
        <v/>
      </c>
      <c r="AV456">
        <f>IF(AE456=1,ROUND(SUMIFS('All Donations'!$S$2:$S$4001,'All Donations'!$R$2:$R$4001,AD456,'All Donations'!$T$2:$T$4001,"&lt;="&amp;'Settings'!$D$30),2),0)</f>
        <v/>
      </c>
      <c r="AZ456">
        <f>IF(AE456=1,ROUND(SUMIFS('All Donations'!$S$2:$S$4001,'All Donations'!$R$2:$R$4001,AD456,'All Donations'!$T$2:$T$4001,"&lt;="&amp;'Settings'!$D$34),2),0)</f>
        <v/>
      </c>
    </row>
    <row r="457">
      <c r="A457">
        <f>IF(AE457=1,TRIM(TRIM('Roster'!B457)&amp;" "&amp;TRIM('Roster'!C457)),"")</f>
        <v/>
      </c>
      <c r="B457">
        <f>IF(AE457=1,IF(AN457="","(no teacher)",AN457&amp;" – "&amp;C457),"")</f>
        <v/>
      </c>
      <c r="C457">
        <f>IF(AE457=1,TRIM('Roster'!D457&amp;""),"")</f>
        <v/>
      </c>
      <c r="D457" s="48">
        <f>IF(AE457=1,ROUND(SUMIFS('All Donations'!$S$2:$S$4001,'All Donations'!$R$2:$R$4001,AD457),2),"")</f>
        <v/>
      </c>
      <c r="E457" s="48">
        <f>IF(AE457=1,ROUND(SUMIFS('All Donations'!$S$2:$S$4001,'All Donations'!$R$2:$R$4001,AD457,'All Donations'!$G$2:$G$4001,"OneCause"),2),"")</f>
        <v/>
      </c>
      <c r="F457" s="48">
        <f>IF(AE457=1,D457-E457,"")</f>
        <v/>
      </c>
      <c r="G457">
        <f>IF(AE457=1,COUNTIFS('All Donations'!$R$2:$R$4001,AD457,'All Donations'!$H$2:$H$4001,"OK"),"")</f>
        <v/>
      </c>
      <c r="H457">
        <f>IF(AE457&lt;&gt;1,"",IF(D457&gt;0,"Yes",""))</f>
        <v/>
      </c>
      <c r="I457" s="49">
        <f>IF(OR($AE457&lt;&gt;1,I$1=""),"",SUMIFS('All Donations'!$S$2:$S$4001,'All Donations'!$R$2:$R$4001,$AD457,'All Donations'!$T$2:$T$4001,I$1))</f>
        <v/>
      </c>
      <c r="J457" s="49">
        <f>IF(OR($AE457&lt;&gt;1,J$1=""),"",SUMIFS('All Donations'!$S$2:$S$4001,'All Donations'!$R$2:$R$4001,$AD457,'All Donations'!$T$2:$T$4001,J$1))</f>
        <v/>
      </c>
      <c r="K457" s="49">
        <f>IF(OR($AE457&lt;&gt;1,K$1=""),"",SUMIFS('All Donations'!$S$2:$S$4001,'All Donations'!$R$2:$R$4001,$AD457,'All Donations'!$T$2:$T$4001,K$1))</f>
        <v/>
      </c>
      <c r="L457" s="49">
        <f>IF(OR($AE457&lt;&gt;1,L$1=""),"",SUMIFS('All Donations'!$S$2:$S$4001,'All Donations'!$R$2:$R$4001,$AD457,'All Donations'!$T$2:$T$4001,L$1))</f>
        <v/>
      </c>
      <c r="M457" s="49">
        <f>IF(OR($AE457&lt;&gt;1,M$1=""),"",SUMIFS('All Donations'!$S$2:$S$4001,'All Donations'!$R$2:$R$4001,$AD457,'All Donations'!$T$2:$T$4001,M$1))</f>
        <v/>
      </c>
      <c r="N457" s="49">
        <f>IF(OR($AE457&lt;&gt;1,N$1=""),"",SUMIFS('All Donations'!$S$2:$S$4001,'All Donations'!$R$2:$R$4001,$AD457,'All Donations'!$T$2:$T$4001,N$1))</f>
        <v/>
      </c>
      <c r="O457" s="49">
        <f>IF(OR($AE457&lt;&gt;1,O$1=""),"",SUMIFS('All Donations'!$S$2:$S$4001,'All Donations'!$R$2:$R$4001,$AD457,'All Donations'!$T$2:$T$4001,O$1))</f>
        <v/>
      </c>
      <c r="P457" s="49">
        <f>IF(OR($AE457&lt;&gt;1,P$1=""),"",SUMIFS('All Donations'!$S$2:$S$4001,'All Donations'!$R$2:$R$4001,$AD457,'All Donations'!$T$2:$T$4001,P$1))</f>
        <v/>
      </c>
      <c r="Q457" s="49">
        <f>IF(OR($AE457&lt;&gt;1,Q$1=""),"",SUMIFS('All Donations'!$S$2:$S$4001,'All Donations'!$R$2:$R$4001,$AD457,'All Donations'!$T$2:$T$4001,Q$1))</f>
        <v/>
      </c>
      <c r="R457" s="49">
        <f>IF(OR($AE457&lt;&gt;1,R$1=""),"",SUMIFS('All Donations'!$S$2:$S$4001,'All Donations'!$R$2:$R$4001,$AD457,'All Donations'!$T$2:$T$4001,R$1))</f>
        <v/>
      </c>
      <c r="S457" s="49">
        <f>IF(OR($AE457&lt;&gt;1,S$1=""),"",SUMIFS('All Donations'!$S$2:$S$4001,'All Donations'!$R$2:$R$4001,$AD457,'All Donations'!$T$2:$T$4001,S$1))</f>
        <v/>
      </c>
      <c r="T457" s="49">
        <f>IF(OR($AE457&lt;&gt;1,T$1=""),"",SUMIFS('All Donations'!$S$2:$S$4001,'All Donations'!$R$2:$R$4001,$AD457,'All Donations'!$T$2:$T$4001,T$1))</f>
        <v/>
      </c>
      <c r="U457" s="49">
        <f>IF(OR($AE457&lt;&gt;1,U$1=""),"",SUMIFS('All Donations'!$S$2:$S$4001,'All Donations'!$R$2:$R$4001,$AD457,'All Donations'!$T$2:$T$4001,U$1))</f>
        <v/>
      </c>
      <c r="V457" s="49">
        <f>IF(OR($AE457&lt;&gt;1,V$1=""),"",SUMIFS('All Donations'!$S$2:$S$4001,'All Donations'!$R$2:$R$4001,$AD457,'All Donations'!$T$2:$T$4001,V$1))</f>
        <v/>
      </c>
      <c r="W457" s="49">
        <f>IF(OR($AE457&lt;&gt;1,W$1=""),"",SUMIFS('All Donations'!$S$2:$S$4001,'All Donations'!$R$2:$R$4001,$AD457,'All Donations'!$T$2:$T$4001,W$1))</f>
        <v/>
      </c>
      <c r="X457" s="49">
        <f>IF(OR($AE457&lt;&gt;1,X$1=""),"",SUMIFS('All Donations'!$S$2:$S$4001,'All Donations'!$R$2:$R$4001,$AD457,'All Donations'!$T$2:$T$4001,X$1))</f>
        <v/>
      </c>
      <c r="Y457" s="49">
        <f>IF(OR($AE457&lt;&gt;1,Y$1=""),"",SUMIFS('All Donations'!$S$2:$S$4001,'All Donations'!$R$2:$R$4001,$AD457,'All Donations'!$T$2:$T$4001,Y$1))</f>
        <v/>
      </c>
      <c r="Z457" s="49">
        <f>IF(OR($AE457&lt;&gt;1,Z$1=""),"",SUMIFS('All Donations'!$S$2:$S$4001,'All Donations'!$R$2:$R$4001,$AD457,'All Donations'!$T$2:$T$4001,Z$1))</f>
        <v/>
      </c>
      <c r="AA457" s="49">
        <f>IF(OR($AE457&lt;&gt;1,AA$1=""),"",SUMIFS('All Donations'!$S$2:$S$4001,'All Donations'!$R$2:$R$4001,$AD457,'All Donations'!$T$2:$T$4001,AA$1))</f>
        <v/>
      </c>
      <c r="AB457" s="49">
        <f>IF(OR($AE457&lt;&gt;1,AB$1=""),"",SUMIFS('All Donations'!$S$2:$S$4001,'All Donations'!$R$2:$R$4001,$AD457,'All Donations'!$T$2:$T$4001,AB$1))</f>
        <v/>
      </c>
      <c r="AC457" s="49">
        <f>IF(OR($AE457&lt;&gt;1,AC$1=""),"",SUMIFS('All Donations'!$S$2:$S$4001,'All Donations'!$R$2:$R$4001,$AD457,'All Donations'!$T$2:$T$4001,AC$1))</f>
        <v/>
      </c>
      <c r="AD457">
        <f>IF(AE457=1,'Roster'!A457,"")</f>
        <v/>
      </c>
      <c r="AE457">
        <f>IF(TRIM('Roster'!B457&amp;'Roster'!C457)&lt;&gt;"",1,0)</f>
        <v/>
      </c>
      <c r="AF457">
        <f>IF(AE457=1,LOWER(A457),"#")</f>
        <v/>
      </c>
      <c r="AG457">
        <f>IF(AE457=1,LOWER(TRIM(TRIM('Roster'!C457)&amp;", "&amp;TRIM('Roster'!B457))),"#")</f>
        <v/>
      </c>
      <c r="AH457">
        <f>IF(AND(AE457=1,TRIM('Roster'!F457)&lt;&gt;""),LOWER(TRIM('Roster'!F457)),"#")</f>
        <v/>
      </c>
      <c r="AI457">
        <f>IF(AE457=1,IF(MATCH(B457,$B$2:$B$701,0)=ROW()-1,1,0),0)</f>
        <v/>
      </c>
      <c r="AJ457">
        <f>AJ456+AI457</f>
        <v/>
      </c>
      <c r="AK457">
        <f>IF(AE457=1,D457+(1000-ROW())/10^7,-1)</f>
        <v/>
      </c>
      <c r="AL457">
        <f>IF(AE457=1,TRIM('Roster'!B457)&amp;" "&amp;LEFT(TRIM('Roster'!C457),1)&amp;".","")</f>
        <v/>
      </c>
      <c r="AM457">
        <f>IF(AE457=1,TRIM('Roster'!C457)&amp;", "&amp;TRIM('Roster'!B457)&amp;" ("&amp;B457&amp;") #"&amp;AD457,"")</f>
        <v/>
      </c>
      <c r="AN457">
        <f>IF(AE457=1,TRIM('Roster'!E457),"")</f>
        <v/>
      </c>
      <c r="AO457">
        <f>IF(AE457=1,ROUND(SUMIFS('All Donations'!$S$2:$S$4001,'All Donations'!$R$2:$R$4001,AD457,'All Donations'!$T$2:$T$4001,"&gt;="&amp;'Settings'!$C$23,'All Donations'!$T$2:$T$4001,"&lt;="&amp;'Settings'!$D$23),2),0)</f>
        <v/>
      </c>
      <c r="AQ457">
        <f>IF(AE457=1,ROUND(SUMIFS('All Donations'!$S$2:$S$4001,'All Donations'!$R$2:$R$4001,AD457,'All Donations'!$T$2:$T$4001,"&gt;="&amp;'Settings'!$C$25,'All Donations'!$T$2:$T$4001,"&lt;="&amp;'Settings'!$D$25),2),0)</f>
        <v/>
      </c>
      <c r="AR457">
        <f>IF(AE457=1,ROUND(SUMIFS('All Donations'!$S$2:$S$4001,'All Donations'!$R$2:$R$4001,AD457,'All Donations'!$T$2:$T$4001,"&gt;="&amp;'Settings'!$C$26,'All Donations'!$T$2:$T$4001,"&lt;="&amp;'Settings'!$D$26),2),0)</f>
        <v/>
      </c>
      <c r="AS457">
        <f>IF(AE457=1,ROUND(SUMIFS('All Donations'!$S$2:$S$4001,'All Donations'!$R$2:$R$4001,AD457,'All Donations'!$T$2:$T$4001,"&lt;="&amp;'Settings'!$D$27),2),0)</f>
        <v/>
      </c>
      <c r="AT457">
        <f>IF(AE457=1,ROUND(SUMIFS('All Donations'!$S$2:$S$4001,'All Donations'!$R$2:$R$4001,AD457,'All Donations'!$T$2:$T$4001,"&gt;="&amp;'Settings'!$C$28,'All Donations'!$T$2:$T$4001,"&lt;="&amp;'Settings'!$D$28),2),0)</f>
        <v/>
      </c>
      <c r="AU457">
        <f>IF(AE457=1,ROUND(SUMIFS('All Donations'!$S$2:$S$4001,'All Donations'!$R$2:$R$4001,AD457,'All Donations'!$T$2:$T$4001,"&gt;="&amp;'Settings'!$C$29,'All Donations'!$T$2:$T$4001,"&lt;="&amp;'Settings'!$D$29),2),0)</f>
        <v/>
      </c>
      <c r="AV457">
        <f>IF(AE457=1,ROUND(SUMIFS('All Donations'!$S$2:$S$4001,'All Donations'!$R$2:$R$4001,AD457,'All Donations'!$T$2:$T$4001,"&lt;="&amp;'Settings'!$D$30),2),0)</f>
        <v/>
      </c>
      <c r="AZ457">
        <f>IF(AE457=1,ROUND(SUMIFS('All Donations'!$S$2:$S$4001,'All Donations'!$R$2:$R$4001,AD457,'All Donations'!$T$2:$T$4001,"&lt;="&amp;'Settings'!$D$34),2),0)</f>
        <v/>
      </c>
    </row>
    <row r="458">
      <c r="A458">
        <f>IF(AE458=1,TRIM(TRIM('Roster'!B458)&amp;" "&amp;TRIM('Roster'!C458)),"")</f>
        <v/>
      </c>
      <c r="B458">
        <f>IF(AE458=1,IF(AN458="","(no teacher)",AN458&amp;" – "&amp;C458),"")</f>
        <v/>
      </c>
      <c r="C458">
        <f>IF(AE458=1,TRIM('Roster'!D458&amp;""),"")</f>
        <v/>
      </c>
      <c r="D458" s="48">
        <f>IF(AE458=1,ROUND(SUMIFS('All Donations'!$S$2:$S$4001,'All Donations'!$R$2:$R$4001,AD458),2),"")</f>
        <v/>
      </c>
      <c r="E458" s="48">
        <f>IF(AE458=1,ROUND(SUMIFS('All Donations'!$S$2:$S$4001,'All Donations'!$R$2:$R$4001,AD458,'All Donations'!$G$2:$G$4001,"OneCause"),2),"")</f>
        <v/>
      </c>
      <c r="F458" s="48">
        <f>IF(AE458=1,D458-E458,"")</f>
        <v/>
      </c>
      <c r="G458">
        <f>IF(AE458=1,COUNTIFS('All Donations'!$R$2:$R$4001,AD458,'All Donations'!$H$2:$H$4001,"OK"),"")</f>
        <v/>
      </c>
      <c r="H458">
        <f>IF(AE458&lt;&gt;1,"",IF(D458&gt;0,"Yes",""))</f>
        <v/>
      </c>
      <c r="I458" s="49">
        <f>IF(OR($AE458&lt;&gt;1,I$1=""),"",SUMIFS('All Donations'!$S$2:$S$4001,'All Donations'!$R$2:$R$4001,$AD458,'All Donations'!$T$2:$T$4001,I$1))</f>
        <v/>
      </c>
      <c r="J458" s="49">
        <f>IF(OR($AE458&lt;&gt;1,J$1=""),"",SUMIFS('All Donations'!$S$2:$S$4001,'All Donations'!$R$2:$R$4001,$AD458,'All Donations'!$T$2:$T$4001,J$1))</f>
        <v/>
      </c>
      <c r="K458" s="49">
        <f>IF(OR($AE458&lt;&gt;1,K$1=""),"",SUMIFS('All Donations'!$S$2:$S$4001,'All Donations'!$R$2:$R$4001,$AD458,'All Donations'!$T$2:$T$4001,K$1))</f>
        <v/>
      </c>
      <c r="L458" s="49">
        <f>IF(OR($AE458&lt;&gt;1,L$1=""),"",SUMIFS('All Donations'!$S$2:$S$4001,'All Donations'!$R$2:$R$4001,$AD458,'All Donations'!$T$2:$T$4001,L$1))</f>
        <v/>
      </c>
      <c r="M458" s="49">
        <f>IF(OR($AE458&lt;&gt;1,M$1=""),"",SUMIFS('All Donations'!$S$2:$S$4001,'All Donations'!$R$2:$R$4001,$AD458,'All Donations'!$T$2:$T$4001,M$1))</f>
        <v/>
      </c>
      <c r="N458" s="49">
        <f>IF(OR($AE458&lt;&gt;1,N$1=""),"",SUMIFS('All Donations'!$S$2:$S$4001,'All Donations'!$R$2:$R$4001,$AD458,'All Donations'!$T$2:$T$4001,N$1))</f>
        <v/>
      </c>
      <c r="O458" s="49">
        <f>IF(OR($AE458&lt;&gt;1,O$1=""),"",SUMIFS('All Donations'!$S$2:$S$4001,'All Donations'!$R$2:$R$4001,$AD458,'All Donations'!$T$2:$T$4001,O$1))</f>
        <v/>
      </c>
      <c r="P458" s="49">
        <f>IF(OR($AE458&lt;&gt;1,P$1=""),"",SUMIFS('All Donations'!$S$2:$S$4001,'All Donations'!$R$2:$R$4001,$AD458,'All Donations'!$T$2:$T$4001,P$1))</f>
        <v/>
      </c>
      <c r="Q458" s="49">
        <f>IF(OR($AE458&lt;&gt;1,Q$1=""),"",SUMIFS('All Donations'!$S$2:$S$4001,'All Donations'!$R$2:$R$4001,$AD458,'All Donations'!$T$2:$T$4001,Q$1))</f>
        <v/>
      </c>
      <c r="R458" s="49">
        <f>IF(OR($AE458&lt;&gt;1,R$1=""),"",SUMIFS('All Donations'!$S$2:$S$4001,'All Donations'!$R$2:$R$4001,$AD458,'All Donations'!$T$2:$T$4001,R$1))</f>
        <v/>
      </c>
      <c r="S458" s="49">
        <f>IF(OR($AE458&lt;&gt;1,S$1=""),"",SUMIFS('All Donations'!$S$2:$S$4001,'All Donations'!$R$2:$R$4001,$AD458,'All Donations'!$T$2:$T$4001,S$1))</f>
        <v/>
      </c>
      <c r="T458" s="49">
        <f>IF(OR($AE458&lt;&gt;1,T$1=""),"",SUMIFS('All Donations'!$S$2:$S$4001,'All Donations'!$R$2:$R$4001,$AD458,'All Donations'!$T$2:$T$4001,T$1))</f>
        <v/>
      </c>
      <c r="U458" s="49">
        <f>IF(OR($AE458&lt;&gt;1,U$1=""),"",SUMIFS('All Donations'!$S$2:$S$4001,'All Donations'!$R$2:$R$4001,$AD458,'All Donations'!$T$2:$T$4001,U$1))</f>
        <v/>
      </c>
      <c r="V458" s="49">
        <f>IF(OR($AE458&lt;&gt;1,V$1=""),"",SUMIFS('All Donations'!$S$2:$S$4001,'All Donations'!$R$2:$R$4001,$AD458,'All Donations'!$T$2:$T$4001,V$1))</f>
        <v/>
      </c>
      <c r="W458" s="49">
        <f>IF(OR($AE458&lt;&gt;1,W$1=""),"",SUMIFS('All Donations'!$S$2:$S$4001,'All Donations'!$R$2:$R$4001,$AD458,'All Donations'!$T$2:$T$4001,W$1))</f>
        <v/>
      </c>
      <c r="X458" s="49">
        <f>IF(OR($AE458&lt;&gt;1,X$1=""),"",SUMIFS('All Donations'!$S$2:$S$4001,'All Donations'!$R$2:$R$4001,$AD458,'All Donations'!$T$2:$T$4001,X$1))</f>
        <v/>
      </c>
      <c r="Y458" s="49">
        <f>IF(OR($AE458&lt;&gt;1,Y$1=""),"",SUMIFS('All Donations'!$S$2:$S$4001,'All Donations'!$R$2:$R$4001,$AD458,'All Donations'!$T$2:$T$4001,Y$1))</f>
        <v/>
      </c>
      <c r="Z458" s="49">
        <f>IF(OR($AE458&lt;&gt;1,Z$1=""),"",SUMIFS('All Donations'!$S$2:$S$4001,'All Donations'!$R$2:$R$4001,$AD458,'All Donations'!$T$2:$T$4001,Z$1))</f>
        <v/>
      </c>
      <c r="AA458" s="49">
        <f>IF(OR($AE458&lt;&gt;1,AA$1=""),"",SUMIFS('All Donations'!$S$2:$S$4001,'All Donations'!$R$2:$R$4001,$AD458,'All Donations'!$T$2:$T$4001,AA$1))</f>
        <v/>
      </c>
      <c r="AB458" s="49">
        <f>IF(OR($AE458&lt;&gt;1,AB$1=""),"",SUMIFS('All Donations'!$S$2:$S$4001,'All Donations'!$R$2:$R$4001,$AD458,'All Donations'!$T$2:$T$4001,AB$1))</f>
        <v/>
      </c>
      <c r="AC458" s="49">
        <f>IF(OR($AE458&lt;&gt;1,AC$1=""),"",SUMIFS('All Donations'!$S$2:$S$4001,'All Donations'!$R$2:$R$4001,$AD458,'All Donations'!$T$2:$T$4001,AC$1))</f>
        <v/>
      </c>
      <c r="AD458">
        <f>IF(AE458=1,'Roster'!A458,"")</f>
        <v/>
      </c>
      <c r="AE458">
        <f>IF(TRIM('Roster'!B458&amp;'Roster'!C458)&lt;&gt;"",1,0)</f>
        <v/>
      </c>
      <c r="AF458">
        <f>IF(AE458=1,LOWER(A458),"#")</f>
        <v/>
      </c>
      <c r="AG458">
        <f>IF(AE458=1,LOWER(TRIM(TRIM('Roster'!C458)&amp;", "&amp;TRIM('Roster'!B458))),"#")</f>
        <v/>
      </c>
      <c r="AH458">
        <f>IF(AND(AE458=1,TRIM('Roster'!F458)&lt;&gt;""),LOWER(TRIM('Roster'!F458)),"#")</f>
        <v/>
      </c>
      <c r="AI458">
        <f>IF(AE458=1,IF(MATCH(B458,$B$2:$B$701,0)=ROW()-1,1,0),0)</f>
        <v/>
      </c>
      <c r="AJ458">
        <f>AJ457+AI458</f>
        <v/>
      </c>
      <c r="AK458">
        <f>IF(AE458=1,D458+(1000-ROW())/10^7,-1)</f>
        <v/>
      </c>
      <c r="AL458">
        <f>IF(AE458=1,TRIM('Roster'!B458)&amp;" "&amp;LEFT(TRIM('Roster'!C458),1)&amp;".","")</f>
        <v/>
      </c>
      <c r="AM458">
        <f>IF(AE458=1,TRIM('Roster'!C458)&amp;", "&amp;TRIM('Roster'!B458)&amp;" ("&amp;B458&amp;") #"&amp;AD458,"")</f>
        <v/>
      </c>
      <c r="AN458">
        <f>IF(AE458=1,TRIM('Roster'!E458),"")</f>
        <v/>
      </c>
      <c r="AO458">
        <f>IF(AE458=1,ROUND(SUMIFS('All Donations'!$S$2:$S$4001,'All Donations'!$R$2:$R$4001,AD458,'All Donations'!$T$2:$T$4001,"&gt;="&amp;'Settings'!$C$23,'All Donations'!$T$2:$T$4001,"&lt;="&amp;'Settings'!$D$23),2),0)</f>
        <v/>
      </c>
      <c r="AQ458">
        <f>IF(AE458=1,ROUND(SUMIFS('All Donations'!$S$2:$S$4001,'All Donations'!$R$2:$R$4001,AD458,'All Donations'!$T$2:$T$4001,"&gt;="&amp;'Settings'!$C$25,'All Donations'!$T$2:$T$4001,"&lt;="&amp;'Settings'!$D$25),2),0)</f>
        <v/>
      </c>
      <c r="AR458">
        <f>IF(AE458=1,ROUND(SUMIFS('All Donations'!$S$2:$S$4001,'All Donations'!$R$2:$R$4001,AD458,'All Donations'!$T$2:$T$4001,"&gt;="&amp;'Settings'!$C$26,'All Donations'!$T$2:$T$4001,"&lt;="&amp;'Settings'!$D$26),2),0)</f>
        <v/>
      </c>
      <c r="AS458">
        <f>IF(AE458=1,ROUND(SUMIFS('All Donations'!$S$2:$S$4001,'All Donations'!$R$2:$R$4001,AD458,'All Donations'!$T$2:$T$4001,"&lt;="&amp;'Settings'!$D$27),2),0)</f>
        <v/>
      </c>
      <c r="AT458">
        <f>IF(AE458=1,ROUND(SUMIFS('All Donations'!$S$2:$S$4001,'All Donations'!$R$2:$R$4001,AD458,'All Donations'!$T$2:$T$4001,"&gt;="&amp;'Settings'!$C$28,'All Donations'!$T$2:$T$4001,"&lt;="&amp;'Settings'!$D$28),2),0)</f>
        <v/>
      </c>
      <c r="AU458">
        <f>IF(AE458=1,ROUND(SUMIFS('All Donations'!$S$2:$S$4001,'All Donations'!$R$2:$R$4001,AD458,'All Donations'!$T$2:$T$4001,"&gt;="&amp;'Settings'!$C$29,'All Donations'!$T$2:$T$4001,"&lt;="&amp;'Settings'!$D$29),2),0)</f>
        <v/>
      </c>
      <c r="AV458">
        <f>IF(AE458=1,ROUND(SUMIFS('All Donations'!$S$2:$S$4001,'All Donations'!$R$2:$R$4001,AD458,'All Donations'!$T$2:$T$4001,"&lt;="&amp;'Settings'!$D$30),2),0)</f>
        <v/>
      </c>
      <c r="AZ458">
        <f>IF(AE458=1,ROUND(SUMIFS('All Donations'!$S$2:$S$4001,'All Donations'!$R$2:$R$4001,AD458,'All Donations'!$T$2:$T$4001,"&lt;="&amp;'Settings'!$D$34),2),0)</f>
        <v/>
      </c>
    </row>
    <row r="459">
      <c r="A459">
        <f>IF(AE459=1,TRIM(TRIM('Roster'!B459)&amp;" "&amp;TRIM('Roster'!C459)),"")</f>
        <v/>
      </c>
      <c r="B459">
        <f>IF(AE459=1,IF(AN459="","(no teacher)",AN459&amp;" – "&amp;C459),"")</f>
        <v/>
      </c>
      <c r="C459">
        <f>IF(AE459=1,TRIM('Roster'!D459&amp;""),"")</f>
        <v/>
      </c>
      <c r="D459" s="48">
        <f>IF(AE459=1,ROUND(SUMIFS('All Donations'!$S$2:$S$4001,'All Donations'!$R$2:$R$4001,AD459),2),"")</f>
        <v/>
      </c>
      <c r="E459" s="48">
        <f>IF(AE459=1,ROUND(SUMIFS('All Donations'!$S$2:$S$4001,'All Donations'!$R$2:$R$4001,AD459,'All Donations'!$G$2:$G$4001,"OneCause"),2),"")</f>
        <v/>
      </c>
      <c r="F459" s="48">
        <f>IF(AE459=1,D459-E459,"")</f>
        <v/>
      </c>
      <c r="G459">
        <f>IF(AE459=1,COUNTIFS('All Donations'!$R$2:$R$4001,AD459,'All Donations'!$H$2:$H$4001,"OK"),"")</f>
        <v/>
      </c>
      <c r="H459">
        <f>IF(AE459&lt;&gt;1,"",IF(D459&gt;0,"Yes",""))</f>
        <v/>
      </c>
      <c r="I459" s="49">
        <f>IF(OR($AE459&lt;&gt;1,I$1=""),"",SUMIFS('All Donations'!$S$2:$S$4001,'All Donations'!$R$2:$R$4001,$AD459,'All Donations'!$T$2:$T$4001,I$1))</f>
        <v/>
      </c>
      <c r="J459" s="49">
        <f>IF(OR($AE459&lt;&gt;1,J$1=""),"",SUMIFS('All Donations'!$S$2:$S$4001,'All Donations'!$R$2:$R$4001,$AD459,'All Donations'!$T$2:$T$4001,J$1))</f>
        <v/>
      </c>
      <c r="K459" s="49">
        <f>IF(OR($AE459&lt;&gt;1,K$1=""),"",SUMIFS('All Donations'!$S$2:$S$4001,'All Donations'!$R$2:$R$4001,$AD459,'All Donations'!$T$2:$T$4001,K$1))</f>
        <v/>
      </c>
      <c r="L459" s="49">
        <f>IF(OR($AE459&lt;&gt;1,L$1=""),"",SUMIFS('All Donations'!$S$2:$S$4001,'All Donations'!$R$2:$R$4001,$AD459,'All Donations'!$T$2:$T$4001,L$1))</f>
        <v/>
      </c>
      <c r="M459" s="49">
        <f>IF(OR($AE459&lt;&gt;1,M$1=""),"",SUMIFS('All Donations'!$S$2:$S$4001,'All Donations'!$R$2:$R$4001,$AD459,'All Donations'!$T$2:$T$4001,M$1))</f>
        <v/>
      </c>
      <c r="N459" s="49">
        <f>IF(OR($AE459&lt;&gt;1,N$1=""),"",SUMIFS('All Donations'!$S$2:$S$4001,'All Donations'!$R$2:$R$4001,$AD459,'All Donations'!$T$2:$T$4001,N$1))</f>
        <v/>
      </c>
      <c r="O459" s="49">
        <f>IF(OR($AE459&lt;&gt;1,O$1=""),"",SUMIFS('All Donations'!$S$2:$S$4001,'All Donations'!$R$2:$R$4001,$AD459,'All Donations'!$T$2:$T$4001,O$1))</f>
        <v/>
      </c>
      <c r="P459" s="49">
        <f>IF(OR($AE459&lt;&gt;1,P$1=""),"",SUMIFS('All Donations'!$S$2:$S$4001,'All Donations'!$R$2:$R$4001,$AD459,'All Donations'!$T$2:$T$4001,P$1))</f>
        <v/>
      </c>
      <c r="Q459" s="49">
        <f>IF(OR($AE459&lt;&gt;1,Q$1=""),"",SUMIFS('All Donations'!$S$2:$S$4001,'All Donations'!$R$2:$R$4001,$AD459,'All Donations'!$T$2:$T$4001,Q$1))</f>
        <v/>
      </c>
      <c r="R459" s="49">
        <f>IF(OR($AE459&lt;&gt;1,R$1=""),"",SUMIFS('All Donations'!$S$2:$S$4001,'All Donations'!$R$2:$R$4001,$AD459,'All Donations'!$T$2:$T$4001,R$1))</f>
        <v/>
      </c>
      <c r="S459" s="49">
        <f>IF(OR($AE459&lt;&gt;1,S$1=""),"",SUMIFS('All Donations'!$S$2:$S$4001,'All Donations'!$R$2:$R$4001,$AD459,'All Donations'!$T$2:$T$4001,S$1))</f>
        <v/>
      </c>
      <c r="T459" s="49">
        <f>IF(OR($AE459&lt;&gt;1,T$1=""),"",SUMIFS('All Donations'!$S$2:$S$4001,'All Donations'!$R$2:$R$4001,$AD459,'All Donations'!$T$2:$T$4001,T$1))</f>
        <v/>
      </c>
      <c r="U459" s="49">
        <f>IF(OR($AE459&lt;&gt;1,U$1=""),"",SUMIFS('All Donations'!$S$2:$S$4001,'All Donations'!$R$2:$R$4001,$AD459,'All Donations'!$T$2:$T$4001,U$1))</f>
        <v/>
      </c>
      <c r="V459" s="49">
        <f>IF(OR($AE459&lt;&gt;1,V$1=""),"",SUMIFS('All Donations'!$S$2:$S$4001,'All Donations'!$R$2:$R$4001,$AD459,'All Donations'!$T$2:$T$4001,V$1))</f>
        <v/>
      </c>
      <c r="W459" s="49">
        <f>IF(OR($AE459&lt;&gt;1,W$1=""),"",SUMIFS('All Donations'!$S$2:$S$4001,'All Donations'!$R$2:$R$4001,$AD459,'All Donations'!$T$2:$T$4001,W$1))</f>
        <v/>
      </c>
      <c r="X459" s="49">
        <f>IF(OR($AE459&lt;&gt;1,X$1=""),"",SUMIFS('All Donations'!$S$2:$S$4001,'All Donations'!$R$2:$R$4001,$AD459,'All Donations'!$T$2:$T$4001,X$1))</f>
        <v/>
      </c>
      <c r="Y459" s="49">
        <f>IF(OR($AE459&lt;&gt;1,Y$1=""),"",SUMIFS('All Donations'!$S$2:$S$4001,'All Donations'!$R$2:$R$4001,$AD459,'All Donations'!$T$2:$T$4001,Y$1))</f>
        <v/>
      </c>
      <c r="Z459" s="49">
        <f>IF(OR($AE459&lt;&gt;1,Z$1=""),"",SUMIFS('All Donations'!$S$2:$S$4001,'All Donations'!$R$2:$R$4001,$AD459,'All Donations'!$T$2:$T$4001,Z$1))</f>
        <v/>
      </c>
      <c r="AA459" s="49">
        <f>IF(OR($AE459&lt;&gt;1,AA$1=""),"",SUMIFS('All Donations'!$S$2:$S$4001,'All Donations'!$R$2:$R$4001,$AD459,'All Donations'!$T$2:$T$4001,AA$1))</f>
        <v/>
      </c>
      <c r="AB459" s="49">
        <f>IF(OR($AE459&lt;&gt;1,AB$1=""),"",SUMIFS('All Donations'!$S$2:$S$4001,'All Donations'!$R$2:$R$4001,$AD459,'All Donations'!$T$2:$T$4001,AB$1))</f>
        <v/>
      </c>
      <c r="AC459" s="49">
        <f>IF(OR($AE459&lt;&gt;1,AC$1=""),"",SUMIFS('All Donations'!$S$2:$S$4001,'All Donations'!$R$2:$R$4001,$AD459,'All Donations'!$T$2:$T$4001,AC$1))</f>
        <v/>
      </c>
      <c r="AD459">
        <f>IF(AE459=1,'Roster'!A459,"")</f>
        <v/>
      </c>
      <c r="AE459">
        <f>IF(TRIM('Roster'!B459&amp;'Roster'!C459)&lt;&gt;"",1,0)</f>
        <v/>
      </c>
      <c r="AF459">
        <f>IF(AE459=1,LOWER(A459),"#")</f>
        <v/>
      </c>
      <c r="AG459">
        <f>IF(AE459=1,LOWER(TRIM(TRIM('Roster'!C459)&amp;", "&amp;TRIM('Roster'!B459))),"#")</f>
        <v/>
      </c>
      <c r="AH459">
        <f>IF(AND(AE459=1,TRIM('Roster'!F459)&lt;&gt;""),LOWER(TRIM('Roster'!F459)),"#")</f>
        <v/>
      </c>
      <c r="AI459">
        <f>IF(AE459=1,IF(MATCH(B459,$B$2:$B$701,0)=ROW()-1,1,0),0)</f>
        <v/>
      </c>
      <c r="AJ459">
        <f>AJ458+AI459</f>
        <v/>
      </c>
      <c r="AK459">
        <f>IF(AE459=1,D459+(1000-ROW())/10^7,-1)</f>
        <v/>
      </c>
      <c r="AL459">
        <f>IF(AE459=1,TRIM('Roster'!B459)&amp;" "&amp;LEFT(TRIM('Roster'!C459),1)&amp;".","")</f>
        <v/>
      </c>
      <c r="AM459">
        <f>IF(AE459=1,TRIM('Roster'!C459)&amp;", "&amp;TRIM('Roster'!B459)&amp;" ("&amp;B459&amp;") #"&amp;AD459,"")</f>
        <v/>
      </c>
      <c r="AN459">
        <f>IF(AE459=1,TRIM('Roster'!E459),"")</f>
        <v/>
      </c>
      <c r="AO459">
        <f>IF(AE459=1,ROUND(SUMIFS('All Donations'!$S$2:$S$4001,'All Donations'!$R$2:$R$4001,AD459,'All Donations'!$T$2:$T$4001,"&gt;="&amp;'Settings'!$C$23,'All Donations'!$T$2:$T$4001,"&lt;="&amp;'Settings'!$D$23),2),0)</f>
        <v/>
      </c>
      <c r="AQ459">
        <f>IF(AE459=1,ROUND(SUMIFS('All Donations'!$S$2:$S$4001,'All Donations'!$R$2:$R$4001,AD459,'All Donations'!$T$2:$T$4001,"&gt;="&amp;'Settings'!$C$25,'All Donations'!$T$2:$T$4001,"&lt;="&amp;'Settings'!$D$25),2),0)</f>
        <v/>
      </c>
      <c r="AR459">
        <f>IF(AE459=1,ROUND(SUMIFS('All Donations'!$S$2:$S$4001,'All Donations'!$R$2:$R$4001,AD459,'All Donations'!$T$2:$T$4001,"&gt;="&amp;'Settings'!$C$26,'All Donations'!$T$2:$T$4001,"&lt;="&amp;'Settings'!$D$26),2),0)</f>
        <v/>
      </c>
      <c r="AS459">
        <f>IF(AE459=1,ROUND(SUMIFS('All Donations'!$S$2:$S$4001,'All Donations'!$R$2:$R$4001,AD459,'All Donations'!$T$2:$T$4001,"&lt;="&amp;'Settings'!$D$27),2),0)</f>
        <v/>
      </c>
      <c r="AT459">
        <f>IF(AE459=1,ROUND(SUMIFS('All Donations'!$S$2:$S$4001,'All Donations'!$R$2:$R$4001,AD459,'All Donations'!$T$2:$T$4001,"&gt;="&amp;'Settings'!$C$28,'All Donations'!$T$2:$T$4001,"&lt;="&amp;'Settings'!$D$28),2),0)</f>
        <v/>
      </c>
      <c r="AU459">
        <f>IF(AE459=1,ROUND(SUMIFS('All Donations'!$S$2:$S$4001,'All Donations'!$R$2:$R$4001,AD459,'All Donations'!$T$2:$T$4001,"&gt;="&amp;'Settings'!$C$29,'All Donations'!$T$2:$T$4001,"&lt;="&amp;'Settings'!$D$29),2),0)</f>
        <v/>
      </c>
      <c r="AV459">
        <f>IF(AE459=1,ROUND(SUMIFS('All Donations'!$S$2:$S$4001,'All Donations'!$R$2:$R$4001,AD459,'All Donations'!$T$2:$T$4001,"&lt;="&amp;'Settings'!$D$30),2),0)</f>
        <v/>
      </c>
      <c r="AZ459">
        <f>IF(AE459=1,ROUND(SUMIFS('All Donations'!$S$2:$S$4001,'All Donations'!$R$2:$R$4001,AD459,'All Donations'!$T$2:$T$4001,"&lt;="&amp;'Settings'!$D$34),2),0)</f>
        <v/>
      </c>
    </row>
    <row r="460">
      <c r="A460">
        <f>IF(AE460=1,TRIM(TRIM('Roster'!B460)&amp;" "&amp;TRIM('Roster'!C460)),"")</f>
        <v/>
      </c>
      <c r="B460">
        <f>IF(AE460=1,IF(AN460="","(no teacher)",AN460&amp;" – "&amp;C460),"")</f>
        <v/>
      </c>
      <c r="C460">
        <f>IF(AE460=1,TRIM('Roster'!D460&amp;""),"")</f>
        <v/>
      </c>
      <c r="D460" s="48">
        <f>IF(AE460=1,ROUND(SUMIFS('All Donations'!$S$2:$S$4001,'All Donations'!$R$2:$R$4001,AD460),2),"")</f>
        <v/>
      </c>
      <c r="E460" s="48">
        <f>IF(AE460=1,ROUND(SUMIFS('All Donations'!$S$2:$S$4001,'All Donations'!$R$2:$R$4001,AD460,'All Donations'!$G$2:$G$4001,"OneCause"),2),"")</f>
        <v/>
      </c>
      <c r="F460" s="48">
        <f>IF(AE460=1,D460-E460,"")</f>
        <v/>
      </c>
      <c r="G460">
        <f>IF(AE460=1,COUNTIFS('All Donations'!$R$2:$R$4001,AD460,'All Donations'!$H$2:$H$4001,"OK"),"")</f>
        <v/>
      </c>
      <c r="H460">
        <f>IF(AE460&lt;&gt;1,"",IF(D460&gt;0,"Yes",""))</f>
        <v/>
      </c>
      <c r="I460" s="49">
        <f>IF(OR($AE460&lt;&gt;1,I$1=""),"",SUMIFS('All Donations'!$S$2:$S$4001,'All Donations'!$R$2:$R$4001,$AD460,'All Donations'!$T$2:$T$4001,I$1))</f>
        <v/>
      </c>
      <c r="J460" s="49">
        <f>IF(OR($AE460&lt;&gt;1,J$1=""),"",SUMIFS('All Donations'!$S$2:$S$4001,'All Donations'!$R$2:$R$4001,$AD460,'All Donations'!$T$2:$T$4001,J$1))</f>
        <v/>
      </c>
      <c r="K460" s="49">
        <f>IF(OR($AE460&lt;&gt;1,K$1=""),"",SUMIFS('All Donations'!$S$2:$S$4001,'All Donations'!$R$2:$R$4001,$AD460,'All Donations'!$T$2:$T$4001,K$1))</f>
        <v/>
      </c>
      <c r="L460" s="49">
        <f>IF(OR($AE460&lt;&gt;1,L$1=""),"",SUMIFS('All Donations'!$S$2:$S$4001,'All Donations'!$R$2:$R$4001,$AD460,'All Donations'!$T$2:$T$4001,L$1))</f>
        <v/>
      </c>
      <c r="M460" s="49">
        <f>IF(OR($AE460&lt;&gt;1,M$1=""),"",SUMIFS('All Donations'!$S$2:$S$4001,'All Donations'!$R$2:$R$4001,$AD460,'All Donations'!$T$2:$T$4001,M$1))</f>
        <v/>
      </c>
      <c r="N460" s="49">
        <f>IF(OR($AE460&lt;&gt;1,N$1=""),"",SUMIFS('All Donations'!$S$2:$S$4001,'All Donations'!$R$2:$R$4001,$AD460,'All Donations'!$T$2:$T$4001,N$1))</f>
        <v/>
      </c>
      <c r="O460" s="49">
        <f>IF(OR($AE460&lt;&gt;1,O$1=""),"",SUMIFS('All Donations'!$S$2:$S$4001,'All Donations'!$R$2:$R$4001,$AD460,'All Donations'!$T$2:$T$4001,O$1))</f>
        <v/>
      </c>
      <c r="P460" s="49">
        <f>IF(OR($AE460&lt;&gt;1,P$1=""),"",SUMIFS('All Donations'!$S$2:$S$4001,'All Donations'!$R$2:$R$4001,$AD460,'All Donations'!$T$2:$T$4001,P$1))</f>
        <v/>
      </c>
      <c r="Q460" s="49">
        <f>IF(OR($AE460&lt;&gt;1,Q$1=""),"",SUMIFS('All Donations'!$S$2:$S$4001,'All Donations'!$R$2:$R$4001,$AD460,'All Donations'!$T$2:$T$4001,Q$1))</f>
        <v/>
      </c>
      <c r="R460" s="49">
        <f>IF(OR($AE460&lt;&gt;1,R$1=""),"",SUMIFS('All Donations'!$S$2:$S$4001,'All Donations'!$R$2:$R$4001,$AD460,'All Donations'!$T$2:$T$4001,R$1))</f>
        <v/>
      </c>
      <c r="S460" s="49">
        <f>IF(OR($AE460&lt;&gt;1,S$1=""),"",SUMIFS('All Donations'!$S$2:$S$4001,'All Donations'!$R$2:$R$4001,$AD460,'All Donations'!$T$2:$T$4001,S$1))</f>
        <v/>
      </c>
      <c r="T460" s="49">
        <f>IF(OR($AE460&lt;&gt;1,T$1=""),"",SUMIFS('All Donations'!$S$2:$S$4001,'All Donations'!$R$2:$R$4001,$AD460,'All Donations'!$T$2:$T$4001,T$1))</f>
        <v/>
      </c>
      <c r="U460" s="49">
        <f>IF(OR($AE460&lt;&gt;1,U$1=""),"",SUMIFS('All Donations'!$S$2:$S$4001,'All Donations'!$R$2:$R$4001,$AD460,'All Donations'!$T$2:$T$4001,U$1))</f>
        <v/>
      </c>
      <c r="V460" s="49">
        <f>IF(OR($AE460&lt;&gt;1,V$1=""),"",SUMIFS('All Donations'!$S$2:$S$4001,'All Donations'!$R$2:$R$4001,$AD460,'All Donations'!$T$2:$T$4001,V$1))</f>
        <v/>
      </c>
      <c r="W460" s="49">
        <f>IF(OR($AE460&lt;&gt;1,W$1=""),"",SUMIFS('All Donations'!$S$2:$S$4001,'All Donations'!$R$2:$R$4001,$AD460,'All Donations'!$T$2:$T$4001,W$1))</f>
        <v/>
      </c>
      <c r="X460" s="49">
        <f>IF(OR($AE460&lt;&gt;1,X$1=""),"",SUMIFS('All Donations'!$S$2:$S$4001,'All Donations'!$R$2:$R$4001,$AD460,'All Donations'!$T$2:$T$4001,X$1))</f>
        <v/>
      </c>
      <c r="Y460" s="49">
        <f>IF(OR($AE460&lt;&gt;1,Y$1=""),"",SUMIFS('All Donations'!$S$2:$S$4001,'All Donations'!$R$2:$R$4001,$AD460,'All Donations'!$T$2:$T$4001,Y$1))</f>
        <v/>
      </c>
      <c r="Z460" s="49">
        <f>IF(OR($AE460&lt;&gt;1,Z$1=""),"",SUMIFS('All Donations'!$S$2:$S$4001,'All Donations'!$R$2:$R$4001,$AD460,'All Donations'!$T$2:$T$4001,Z$1))</f>
        <v/>
      </c>
      <c r="AA460" s="49">
        <f>IF(OR($AE460&lt;&gt;1,AA$1=""),"",SUMIFS('All Donations'!$S$2:$S$4001,'All Donations'!$R$2:$R$4001,$AD460,'All Donations'!$T$2:$T$4001,AA$1))</f>
        <v/>
      </c>
      <c r="AB460" s="49">
        <f>IF(OR($AE460&lt;&gt;1,AB$1=""),"",SUMIFS('All Donations'!$S$2:$S$4001,'All Donations'!$R$2:$R$4001,$AD460,'All Donations'!$T$2:$T$4001,AB$1))</f>
        <v/>
      </c>
      <c r="AC460" s="49">
        <f>IF(OR($AE460&lt;&gt;1,AC$1=""),"",SUMIFS('All Donations'!$S$2:$S$4001,'All Donations'!$R$2:$R$4001,$AD460,'All Donations'!$T$2:$T$4001,AC$1))</f>
        <v/>
      </c>
      <c r="AD460">
        <f>IF(AE460=1,'Roster'!A460,"")</f>
        <v/>
      </c>
      <c r="AE460">
        <f>IF(TRIM('Roster'!B460&amp;'Roster'!C460)&lt;&gt;"",1,0)</f>
        <v/>
      </c>
      <c r="AF460">
        <f>IF(AE460=1,LOWER(A460),"#")</f>
        <v/>
      </c>
      <c r="AG460">
        <f>IF(AE460=1,LOWER(TRIM(TRIM('Roster'!C460)&amp;", "&amp;TRIM('Roster'!B460))),"#")</f>
        <v/>
      </c>
      <c r="AH460">
        <f>IF(AND(AE460=1,TRIM('Roster'!F460)&lt;&gt;""),LOWER(TRIM('Roster'!F460)),"#")</f>
        <v/>
      </c>
      <c r="AI460">
        <f>IF(AE460=1,IF(MATCH(B460,$B$2:$B$701,0)=ROW()-1,1,0),0)</f>
        <v/>
      </c>
      <c r="AJ460">
        <f>AJ459+AI460</f>
        <v/>
      </c>
      <c r="AK460">
        <f>IF(AE460=1,D460+(1000-ROW())/10^7,-1)</f>
        <v/>
      </c>
      <c r="AL460">
        <f>IF(AE460=1,TRIM('Roster'!B460)&amp;" "&amp;LEFT(TRIM('Roster'!C460),1)&amp;".","")</f>
        <v/>
      </c>
      <c r="AM460">
        <f>IF(AE460=1,TRIM('Roster'!C460)&amp;", "&amp;TRIM('Roster'!B460)&amp;" ("&amp;B460&amp;") #"&amp;AD460,"")</f>
        <v/>
      </c>
      <c r="AN460">
        <f>IF(AE460=1,TRIM('Roster'!E460),"")</f>
        <v/>
      </c>
      <c r="AO460">
        <f>IF(AE460=1,ROUND(SUMIFS('All Donations'!$S$2:$S$4001,'All Donations'!$R$2:$R$4001,AD460,'All Donations'!$T$2:$T$4001,"&gt;="&amp;'Settings'!$C$23,'All Donations'!$T$2:$T$4001,"&lt;="&amp;'Settings'!$D$23),2),0)</f>
        <v/>
      </c>
      <c r="AQ460">
        <f>IF(AE460=1,ROUND(SUMIFS('All Donations'!$S$2:$S$4001,'All Donations'!$R$2:$R$4001,AD460,'All Donations'!$T$2:$T$4001,"&gt;="&amp;'Settings'!$C$25,'All Donations'!$T$2:$T$4001,"&lt;="&amp;'Settings'!$D$25),2),0)</f>
        <v/>
      </c>
      <c r="AR460">
        <f>IF(AE460=1,ROUND(SUMIFS('All Donations'!$S$2:$S$4001,'All Donations'!$R$2:$R$4001,AD460,'All Donations'!$T$2:$T$4001,"&gt;="&amp;'Settings'!$C$26,'All Donations'!$T$2:$T$4001,"&lt;="&amp;'Settings'!$D$26),2),0)</f>
        <v/>
      </c>
      <c r="AS460">
        <f>IF(AE460=1,ROUND(SUMIFS('All Donations'!$S$2:$S$4001,'All Donations'!$R$2:$R$4001,AD460,'All Donations'!$T$2:$T$4001,"&lt;="&amp;'Settings'!$D$27),2),0)</f>
        <v/>
      </c>
      <c r="AT460">
        <f>IF(AE460=1,ROUND(SUMIFS('All Donations'!$S$2:$S$4001,'All Donations'!$R$2:$R$4001,AD460,'All Donations'!$T$2:$T$4001,"&gt;="&amp;'Settings'!$C$28,'All Donations'!$T$2:$T$4001,"&lt;="&amp;'Settings'!$D$28),2),0)</f>
        <v/>
      </c>
      <c r="AU460">
        <f>IF(AE460=1,ROUND(SUMIFS('All Donations'!$S$2:$S$4001,'All Donations'!$R$2:$R$4001,AD460,'All Donations'!$T$2:$T$4001,"&gt;="&amp;'Settings'!$C$29,'All Donations'!$T$2:$T$4001,"&lt;="&amp;'Settings'!$D$29),2),0)</f>
        <v/>
      </c>
      <c r="AV460">
        <f>IF(AE460=1,ROUND(SUMIFS('All Donations'!$S$2:$S$4001,'All Donations'!$R$2:$R$4001,AD460,'All Donations'!$T$2:$T$4001,"&lt;="&amp;'Settings'!$D$30),2),0)</f>
        <v/>
      </c>
      <c r="AZ460">
        <f>IF(AE460=1,ROUND(SUMIFS('All Donations'!$S$2:$S$4001,'All Donations'!$R$2:$R$4001,AD460,'All Donations'!$T$2:$T$4001,"&lt;="&amp;'Settings'!$D$34),2),0)</f>
        <v/>
      </c>
    </row>
    <row r="461">
      <c r="A461">
        <f>IF(AE461=1,TRIM(TRIM('Roster'!B461)&amp;" "&amp;TRIM('Roster'!C461)),"")</f>
        <v/>
      </c>
      <c r="B461">
        <f>IF(AE461=1,IF(AN461="","(no teacher)",AN461&amp;" – "&amp;C461),"")</f>
        <v/>
      </c>
      <c r="C461">
        <f>IF(AE461=1,TRIM('Roster'!D461&amp;""),"")</f>
        <v/>
      </c>
      <c r="D461" s="48">
        <f>IF(AE461=1,ROUND(SUMIFS('All Donations'!$S$2:$S$4001,'All Donations'!$R$2:$R$4001,AD461),2),"")</f>
        <v/>
      </c>
      <c r="E461" s="48">
        <f>IF(AE461=1,ROUND(SUMIFS('All Donations'!$S$2:$S$4001,'All Donations'!$R$2:$R$4001,AD461,'All Donations'!$G$2:$G$4001,"OneCause"),2),"")</f>
        <v/>
      </c>
      <c r="F461" s="48">
        <f>IF(AE461=1,D461-E461,"")</f>
        <v/>
      </c>
      <c r="G461">
        <f>IF(AE461=1,COUNTIFS('All Donations'!$R$2:$R$4001,AD461,'All Donations'!$H$2:$H$4001,"OK"),"")</f>
        <v/>
      </c>
      <c r="H461">
        <f>IF(AE461&lt;&gt;1,"",IF(D461&gt;0,"Yes",""))</f>
        <v/>
      </c>
      <c r="I461" s="49">
        <f>IF(OR($AE461&lt;&gt;1,I$1=""),"",SUMIFS('All Donations'!$S$2:$S$4001,'All Donations'!$R$2:$R$4001,$AD461,'All Donations'!$T$2:$T$4001,I$1))</f>
        <v/>
      </c>
      <c r="J461" s="49">
        <f>IF(OR($AE461&lt;&gt;1,J$1=""),"",SUMIFS('All Donations'!$S$2:$S$4001,'All Donations'!$R$2:$R$4001,$AD461,'All Donations'!$T$2:$T$4001,J$1))</f>
        <v/>
      </c>
      <c r="K461" s="49">
        <f>IF(OR($AE461&lt;&gt;1,K$1=""),"",SUMIFS('All Donations'!$S$2:$S$4001,'All Donations'!$R$2:$R$4001,$AD461,'All Donations'!$T$2:$T$4001,K$1))</f>
        <v/>
      </c>
      <c r="L461" s="49">
        <f>IF(OR($AE461&lt;&gt;1,L$1=""),"",SUMIFS('All Donations'!$S$2:$S$4001,'All Donations'!$R$2:$R$4001,$AD461,'All Donations'!$T$2:$T$4001,L$1))</f>
        <v/>
      </c>
      <c r="M461" s="49">
        <f>IF(OR($AE461&lt;&gt;1,M$1=""),"",SUMIFS('All Donations'!$S$2:$S$4001,'All Donations'!$R$2:$R$4001,$AD461,'All Donations'!$T$2:$T$4001,M$1))</f>
        <v/>
      </c>
      <c r="N461" s="49">
        <f>IF(OR($AE461&lt;&gt;1,N$1=""),"",SUMIFS('All Donations'!$S$2:$S$4001,'All Donations'!$R$2:$R$4001,$AD461,'All Donations'!$T$2:$T$4001,N$1))</f>
        <v/>
      </c>
      <c r="O461" s="49">
        <f>IF(OR($AE461&lt;&gt;1,O$1=""),"",SUMIFS('All Donations'!$S$2:$S$4001,'All Donations'!$R$2:$R$4001,$AD461,'All Donations'!$T$2:$T$4001,O$1))</f>
        <v/>
      </c>
      <c r="P461" s="49">
        <f>IF(OR($AE461&lt;&gt;1,P$1=""),"",SUMIFS('All Donations'!$S$2:$S$4001,'All Donations'!$R$2:$R$4001,$AD461,'All Donations'!$T$2:$T$4001,P$1))</f>
        <v/>
      </c>
      <c r="Q461" s="49">
        <f>IF(OR($AE461&lt;&gt;1,Q$1=""),"",SUMIFS('All Donations'!$S$2:$S$4001,'All Donations'!$R$2:$R$4001,$AD461,'All Donations'!$T$2:$T$4001,Q$1))</f>
        <v/>
      </c>
      <c r="R461" s="49">
        <f>IF(OR($AE461&lt;&gt;1,R$1=""),"",SUMIFS('All Donations'!$S$2:$S$4001,'All Donations'!$R$2:$R$4001,$AD461,'All Donations'!$T$2:$T$4001,R$1))</f>
        <v/>
      </c>
      <c r="S461" s="49">
        <f>IF(OR($AE461&lt;&gt;1,S$1=""),"",SUMIFS('All Donations'!$S$2:$S$4001,'All Donations'!$R$2:$R$4001,$AD461,'All Donations'!$T$2:$T$4001,S$1))</f>
        <v/>
      </c>
      <c r="T461" s="49">
        <f>IF(OR($AE461&lt;&gt;1,T$1=""),"",SUMIFS('All Donations'!$S$2:$S$4001,'All Donations'!$R$2:$R$4001,$AD461,'All Donations'!$T$2:$T$4001,T$1))</f>
        <v/>
      </c>
      <c r="U461" s="49">
        <f>IF(OR($AE461&lt;&gt;1,U$1=""),"",SUMIFS('All Donations'!$S$2:$S$4001,'All Donations'!$R$2:$R$4001,$AD461,'All Donations'!$T$2:$T$4001,U$1))</f>
        <v/>
      </c>
      <c r="V461" s="49">
        <f>IF(OR($AE461&lt;&gt;1,V$1=""),"",SUMIFS('All Donations'!$S$2:$S$4001,'All Donations'!$R$2:$R$4001,$AD461,'All Donations'!$T$2:$T$4001,V$1))</f>
        <v/>
      </c>
      <c r="W461" s="49">
        <f>IF(OR($AE461&lt;&gt;1,W$1=""),"",SUMIFS('All Donations'!$S$2:$S$4001,'All Donations'!$R$2:$R$4001,$AD461,'All Donations'!$T$2:$T$4001,W$1))</f>
        <v/>
      </c>
      <c r="X461" s="49">
        <f>IF(OR($AE461&lt;&gt;1,X$1=""),"",SUMIFS('All Donations'!$S$2:$S$4001,'All Donations'!$R$2:$R$4001,$AD461,'All Donations'!$T$2:$T$4001,X$1))</f>
        <v/>
      </c>
      <c r="Y461" s="49">
        <f>IF(OR($AE461&lt;&gt;1,Y$1=""),"",SUMIFS('All Donations'!$S$2:$S$4001,'All Donations'!$R$2:$R$4001,$AD461,'All Donations'!$T$2:$T$4001,Y$1))</f>
        <v/>
      </c>
      <c r="Z461" s="49">
        <f>IF(OR($AE461&lt;&gt;1,Z$1=""),"",SUMIFS('All Donations'!$S$2:$S$4001,'All Donations'!$R$2:$R$4001,$AD461,'All Donations'!$T$2:$T$4001,Z$1))</f>
        <v/>
      </c>
      <c r="AA461" s="49">
        <f>IF(OR($AE461&lt;&gt;1,AA$1=""),"",SUMIFS('All Donations'!$S$2:$S$4001,'All Donations'!$R$2:$R$4001,$AD461,'All Donations'!$T$2:$T$4001,AA$1))</f>
        <v/>
      </c>
      <c r="AB461" s="49">
        <f>IF(OR($AE461&lt;&gt;1,AB$1=""),"",SUMIFS('All Donations'!$S$2:$S$4001,'All Donations'!$R$2:$R$4001,$AD461,'All Donations'!$T$2:$T$4001,AB$1))</f>
        <v/>
      </c>
      <c r="AC461" s="49">
        <f>IF(OR($AE461&lt;&gt;1,AC$1=""),"",SUMIFS('All Donations'!$S$2:$S$4001,'All Donations'!$R$2:$R$4001,$AD461,'All Donations'!$T$2:$T$4001,AC$1))</f>
        <v/>
      </c>
      <c r="AD461">
        <f>IF(AE461=1,'Roster'!A461,"")</f>
        <v/>
      </c>
      <c r="AE461">
        <f>IF(TRIM('Roster'!B461&amp;'Roster'!C461)&lt;&gt;"",1,0)</f>
        <v/>
      </c>
      <c r="AF461">
        <f>IF(AE461=1,LOWER(A461),"#")</f>
        <v/>
      </c>
      <c r="AG461">
        <f>IF(AE461=1,LOWER(TRIM(TRIM('Roster'!C461)&amp;", "&amp;TRIM('Roster'!B461))),"#")</f>
        <v/>
      </c>
      <c r="AH461">
        <f>IF(AND(AE461=1,TRIM('Roster'!F461)&lt;&gt;""),LOWER(TRIM('Roster'!F461)),"#")</f>
        <v/>
      </c>
      <c r="AI461">
        <f>IF(AE461=1,IF(MATCH(B461,$B$2:$B$701,0)=ROW()-1,1,0),0)</f>
        <v/>
      </c>
      <c r="AJ461">
        <f>AJ460+AI461</f>
        <v/>
      </c>
      <c r="AK461">
        <f>IF(AE461=1,D461+(1000-ROW())/10^7,-1)</f>
        <v/>
      </c>
      <c r="AL461">
        <f>IF(AE461=1,TRIM('Roster'!B461)&amp;" "&amp;LEFT(TRIM('Roster'!C461),1)&amp;".","")</f>
        <v/>
      </c>
      <c r="AM461">
        <f>IF(AE461=1,TRIM('Roster'!C461)&amp;", "&amp;TRIM('Roster'!B461)&amp;" ("&amp;B461&amp;") #"&amp;AD461,"")</f>
        <v/>
      </c>
      <c r="AN461">
        <f>IF(AE461=1,TRIM('Roster'!E461),"")</f>
        <v/>
      </c>
      <c r="AO461">
        <f>IF(AE461=1,ROUND(SUMIFS('All Donations'!$S$2:$S$4001,'All Donations'!$R$2:$R$4001,AD461,'All Donations'!$T$2:$T$4001,"&gt;="&amp;'Settings'!$C$23,'All Donations'!$T$2:$T$4001,"&lt;="&amp;'Settings'!$D$23),2),0)</f>
        <v/>
      </c>
      <c r="AQ461">
        <f>IF(AE461=1,ROUND(SUMIFS('All Donations'!$S$2:$S$4001,'All Donations'!$R$2:$R$4001,AD461,'All Donations'!$T$2:$T$4001,"&gt;="&amp;'Settings'!$C$25,'All Donations'!$T$2:$T$4001,"&lt;="&amp;'Settings'!$D$25),2),0)</f>
        <v/>
      </c>
      <c r="AR461">
        <f>IF(AE461=1,ROUND(SUMIFS('All Donations'!$S$2:$S$4001,'All Donations'!$R$2:$R$4001,AD461,'All Donations'!$T$2:$T$4001,"&gt;="&amp;'Settings'!$C$26,'All Donations'!$T$2:$T$4001,"&lt;="&amp;'Settings'!$D$26),2),0)</f>
        <v/>
      </c>
      <c r="AS461">
        <f>IF(AE461=1,ROUND(SUMIFS('All Donations'!$S$2:$S$4001,'All Donations'!$R$2:$R$4001,AD461,'All Donations'!$T$2:$T$4001,"&lt;="&amp;'Settings'!$D$27),2),0)</f>
        <v/>
      </c>
      <c r="AT461">
        <f>IF(AE461=1,ROUND(SUMIFS('All Donations'!$S$2:$S$4001,'All Donations'!$R$2:$R$4001,AD461,'All Donations'!$T$2:$T$4001,"&gt;="&amp;'Settings'!$C$28,'All Donations'!$T$2:$T$4001,"&lt;="&amp;'Settings'!$D$28),2),0)</f>
        <v/>
      </c>
      <c r="AU461">
        <f>IF(AE461=1,ROUND(SUMIFS('All Donations'!$S$2:$S$4001,'All Donations'!$R$2:$R$4001,AD461,'All Donations'!$T$2:$T$4001,"&gt;="&amp;'Settings'!$C$29,'All Donations'!$T$2:$T$4001,"&lt;="&amp;'Settings'!$D$29),2),0)</f>
        <v/>
      </c>
      <c r="AV461">
        <f>IF(AE461=1,ROUND(SUMIFS('All Donations'!$S$2:$S$4001,'All Donations'!$R$2:$R$4001,AD461,'All Donations'!$T$2:$T$4001,"&lt;="&amp;'Settings'!$D$30),2),0)</f>
        <v/>
      </c>
      <c r="AZ461">
        <f>IF(AE461=1,ROUND(SUMIFS('All Donations'!$S$2:$S$4001,'All Donations'!$R$2:$R$4001,AD461,'All Donations'!$T$2:$T$4001,"&lt;="&amp;'Settings'!$D$34),2),0)</f>
        <v/>
      </c>
    </row>
    <row r="462">
      <c r="A462">
        <f>IF(AE462=1,TRIM(TRIM('Roster'!B462)&amp;" "&amp;TRIM('Roster'!C462)),"")</f>
        <v/>
      </c>
      <c r="B462">
        <f>IF(AE462=1,IF(AN462="","(no teacher)",AN462&amp;" – "&amp;C462),"")</f>
        <v/>
      </c>
      <c r="C462">
        <f>IF(AE462=1,TRIM('Roster'!D462&amp;""),"")</f>
        <v/>
      </c>
      <c r="D462" s="48">
        <f>IF(AE462=1,ROUND(SUMIFS('All Donations'!$S$2:$S$4001,'All Donations'!$R$2:$R$4001,AD462),2),"")</f>
        <v/>
      </c>
      <c r="E462" s="48">
        <f>IF(AE462=1,ROUND(SUMIFS('All Donations'!$S$2:$S$4001,'All Donations'!$R$2:$R$4001,AD462,'All Donations'!$G$2:$G$4001,"OneCause"),2),"")</f>
        <v/>
      </c>
      <c r="F462" s="48">
        <f>IF(AE462=1,D462-E462,"")</f>
        <v/>
      </c>
      <c r="G462">
        <f>IF(AE462=1,COUNTIFS('All Donations'!$R$2:$R$4001,AD462,'All Donations'!$H$2:$H$4001,"OK"),"")</f>
        <v/>
      </c>
      <c r="H462">
        <f>IF(AE462&lt;&gt;1,"",IF(D462&gt;0,"Yes",""))</f>
        <v/>
      </c>
      <c r="I462" s="49">
        <f>IF(OR($AE462&lt;&gt;1,I$1=""),"",SUMIFS('All Donations'!$S$2:$S$4001,'All Donations'!$R$2:$R$4001,$AD462,'All Donations'!$T$2:$T$4001,I$1))</f>
        <v/>
      </c>
      <c r="J462" s="49">
        <f>IF(OR($AE462&lt;&gt;1,J$1=""),"",SUMIFS('All Donations'!$S$2:$S$4001,'All Donations'!$R$2:$R$4001,$AD462,'All Donations'!$T$2:$T$4001,J$1))</f>
        <v/>
      </c>
      <c r="K462" s="49">
        <f>IF(OR($AE462&lt;&gt;1,K$1=""),"",SUMIFS('All Donations'!$S$2:$S$4001,'All Donations'!$R$2:$R$4001,$AD462,'All Donations'!$T$2:$T$4001,K$1))</f>
        <v/>
      </c>
      <c r="L462" s="49">
        <f>IF(OR($AE462&lt;&gt;1,L$1=""),"",SUMIFS('All Donations'!$S$2:$S$4001,'All Donations'!$R$2:$R$4001,$AD462,'All Donations'!$T$2:$T$4001,L$1))</f>
        <v/>
      </c>
      <c r="M462" s="49">
        <f>IF(OR($AE462&lt;&gt;1,M$1=""),"",SUMIFS('All Donations'!$S$2:$S$4001,'All Donations'!$R$2:$R$4001,$AD462,'All Donations'!$T$2:$T$4001,M$1))</f>
        <v/>
      </c>
      <c r="N462" s="49">
        <f>IF(OR($AE462&lt;&gt;1,N$1=""),"",SUMIFS('All Donations'!$S$2:$S$4001,'All Donations'!$R$2:$R$4001,$AD462,'All Donations'!$T$2:$T$4001,N$1))</f>
        <v/>
      </c>
      <c r="O462" s="49">
        <f>IF(OR($AE462&lt;&gt;1,O$1=""),"",SUMIFS('All Donations'!$S$2:$S$4001,'All Donations'!$R$2:$R$4001,$AD462,'All Donations'!$T$2:$T$4001,O$1))</f>
        <v/>
      </c>
      <c r="P462" s="49">
        <f>IF(OR($AE462&lt;&gt;1,P$1=""),"",SUMIFS('All Donations'!$S$2:$S$4001,'All Donations'!$R$2:$R$4001,$AD462,'All Donations'!$T$2:$T$4001,P$1))</f>
        <v/>
      </c>
      <c r="Q462" s="49">
        <f>IF(OR($AE462&lt;&gt;1,Q$1=""),"",SUMIFS('All Donations'!$S$2:$S$4001,'All Donations'!$R$2:$R$4001,$AD462,'All Donations'!$T$2:$T$4001,Q$1))</f>
        <v/>
      </c>
      <c r="R462" s="49">
        <f>IF(OR($AE462&lt;&gt;1,R$1=""),"",SUMIFS('All Donations'!$S$2:$S$4001,'All Donations'!$R$2:$R$4001,$AD462,'All Donations'!$T$2:$T$4001,R$1))</f>
        <v/>
      </c>
      <c r="S462" s="49">
        <f>IF(OR($AE462&lt;&gt;1,S$1=""),"",SUMIFS('All Donations'!$S$2:$S$4001,'All Donations'!$R$2:$R$4001,$AD462,'All Donations'!$T$2:$T$4001,S$1))</f>
        <v/>
      </c>
      <c r="T462" s="49">
        <f>IF(OR($AE462&lt;&gt;1,T$1=""),"",SUMIFS('All Donations'!$S$2:$S$4001,'All Donations'!$R$2:$R$4001,$AD462,'All Donations'!$T$2:$T$4001,T$1))</f>
        <v/>
      </c>
      <c r="U462" s="49">
        <f>IF(OR($AE462&lt;&gt;1,U$1=""),"",SUMIFS('All Donations'!$S$2:$S$4001,'All Donations'!$R$2:$R$4001,$AD462,'All Donations'!$T$2:$T$4001,U$1))</f>
        <v/>
      </c>
      <c r="V462" s="49">
        <f>IF(OR($AE462&lt;&gt;1,V$1=""),"",SUMIFS('All Donations'!$S$2:$S$4001,'All Donations'!$R$2:$R$4001,$AD462,'All Donations'!$T$2:$T$4001,V$1))</f>
        <v/>
      </c>
      <c r="W462" s="49">
        <f>IF(OR($AE462&lt;&gt;1,W$1=""),"",SUMIFS('All Donations'!$S$2:$S$4001,'All Donations'!$R$2:$R$4001,$AD462,'All Donations'!$T$2:$T$4001,W$1))</f>
        <v/>
      </c>
      <c r="X462" s="49">
        <f>IF(OR($AE462&lt;&gt;1,X$1=""),"",SUMIFS('All Donations'!$S$2:$S$4001,'All Donations'!$R$2:$R$4001,$AD462,'All Donations'!$T$2:$T$4001,X$1))</f>
        <v/>
      </c>
      <c r="Y462" s="49">
        <f>IF(OR($AE462&lt;&gt;1,Y$1=""),"",SUMIFS('All Donations'!$S$2:$S$4001,'All Donations'!$R$2:$R$4001,$AD462,'All Donations'!$T$2:$T$4001,Y$1))</f>
        <v/>
      </c>
      <c r="Z462" s="49">
        <f>IF(OR($AE462&lt;&gt;1,Z$1=""),"",SUMIFS('All Donations'!$S$2:$S$4001,'All Donations'!$R$2:$R$4001,$AD462,'All Donations'!$T$2:$T$4001,Z$1))</f>
        <v/>
      </c>
      <c r="AA462" s="49">
        <f>IF(OR($AE462&lt;&gt;1,AA$1=""),"",SUMIFS('All Donations'!$S$2:$S$4001,'All Donations'!$R$2:$R$4001,$AD462,'All Donations'!$T$2:$T$4001,AA$1))</f>
        <v/>
      </c>
      <c r="AB462" s="49">
        <f>IF(OR($AE462&lt;&gt;1,AB$1=""),"",SUMIFS('All Donations'!$S$2:$S$4001,'All Donations'!$R$2:$R$4001,$AD462,'All Donations'!$T$2:$T$4001,AB$1))</f>
        <v/>
      </c>
      <c r="AC462" s="49">
        <f>IF(OR($AE462&lt;&gt;1,AC$1=""),"",SUMIFS('All Donations'!$S$2:$S$4001,'All Donations'!$R$2:$R$4001,$AD462,'All Donations'!$T$2:$T$4001,AC$1))</f>
        <v/>
      </c>
      <c r="AD462">
        <f>IF(AE462=1,'Roster'!A462,"")</f>
        <v/>
      </c>
      <c r="AE462">
        <f>IF(TRIM('Roster'!B462&amp;'Roster'!C462)&lt;&gt;"",1,0)</f>
        <v/>
      </c>
      <c r="AF462">
        <f>IF(AE462=1,LOWER(A462),"#")</f>
        <v/>
      </c>
      <c r="AG462">
        <f>IF(AE462=1,LOWER(TRIM(TRIM('Roster'!C462)&amp;", "&amp;TRIM('Roster'!B462))),"#")</f>
        <v/>
      </c>
      <c r="AH462">
        <f>IF(AND(AE462=1,TRIM('Roster'!F462)&lt;&gt;""),LOWER(TRIM('Roster'!F462)),"#")</f>
        <v/>
      </c>
      <c r="AI462">
        <f>IF(AE462=1,IF(MATCH(B462,$B$2:$B$701,0)=ROW()-1,1,0),0)</f>
        <v/>
      </c>
      <c r="AJ462">
        <f>AJ461+AI462</f>
        <v/>
      </c>
      <c r="AK462">
        <f>IF(AE462=1,D462+(1000-ROW())/10^7,-1)</f>
        <v/>
      </c>
      <c r="AL462">
        <f>IF(AE462=1,TRIM('Roster'!B462)&amp;" "&amp;LEFT(TRIM('Roster'!C462),1)&amp;".","")</f>
        <v/>
      </c>
      <c r="AM462">
        <f>IF(AE462=1,TRIM('Roster'!C462)&amp;", "&amp;TRIM('Roster'!B462)&amp;" ("&amp;B462&amp;") #"&amp;AD462,"")</f>
        <v/>
      </c>
      <c r="AN462">
        <f>IF(AE462=1,TRIM('Roster'!E462),"")</f>
        <v/>
      </c>
      <c r="AO462">
        <f>IF(AE462=1,ROUND(SUMIFS('All Donations'!$S$2:$S$4001,'All Donations'!$R$2:$R$4001,AD462,'All Donations'!$T$2:$T$4001,"&gt;="&amp;'Settings'!$C$23,'All Donations'!$T$2:$T$4001,"&lt;="&amp;'Settings'!$D$23),2),0)</f>
        <v/>
      </c>
      <c r="AQ462">
        <f>IF(AE462=1,ROUND(SUMIFS('All Donations'!$S$2:$S$4001,'All Donations'!$R$2:$R$4001,AD462,'All Donations'!$T$2:$T$4001,"&gt;="&amp;'Settings'!$C$25,'All Donations'!$T$2:$T$4001,"&lt;="&amp;'Settings'!$D$25),2),0)</f>
        <v/>
      </c>
      <c r="AR462">
        <f>IF(AE462=1,ROUND(SUMIFS('All Donations'!$S$2:$S$4001,'All Donations'!$R$2:$R$4001,AD462,'All Donations'!$T$2:$T$4001,"&gt;="&amp;'Settings'!$C$26,'All Donations'!$T$2:$T$4001,"&lt;="&amp;'Settings'!$D$26),2),0)</f>
        <v/>
      </c>
      <c r="AS462">
        <f>IF(AE462=1,ROUND(SUMIFS('All Donations'!$S$2:$S$4001,'All Donations'!$R$2:$R$4001,AD462,'All Donations'!$T$2:$T$4001,"&lt;="&amp;'Settings'!$D$27),2),0)</f>
        <v/>
      </c>
      <c r="AT462">
        <f>IF(AE462=1,ROUND(SUMIFS('All Donations'!$S$2:$S$4001,'All Donations'!$R$2:$R$4001,AD462,'All Donations'!$T$2:$T$4001,"&gt;="&amp;'Settings'!$C$28,'All Donations'!$T$2:$T$4001,"&lt;="&amp;'Settings'!$D$28),2),0)</f>
        <v/>
      </c>
      <c r="AU462">
        <f>IF(AE462=1,ROUND(SUMIFS('All Donations'!$S$2:$S$4001,'All Donations'!$R$2:$R$4001,AD462,'All Donations'!$T$2:$T$4001,"&gt;="&amp;'Settings'!$C$29,'All Donations'!$T$2:$T$4001,"&lt;="&amp;'Settings'!$D$29),2),0)</f>
        <v/>
      </c>
      <c r="AV462">
        <f>IF(AE462=1,ROUND(SUMIFS('All Donations'!$S$2:$S$4001,'All Donations'!$R$2:$R$4001,AD462,'All Donations'!$T$2:$T$4001,"&lt;="&amp;'Settings'!$D$30),2),0)</f>
        <v/>
      </c>
      <c r="AZ462">
        <f>IF(AE462=1,ROUND(SUMIFS('All Donations'!$S$2:$S$4001,'All Donations'!$R$2:$R$4001,AD462,'All Donations'!$T$2:$T$4001,"&lt;="&amp;'Settings'!$D$34),2),0)</f>
        <v/>
      </c>
    </row>
    <row r="463">
      <c r="A463">
        <f>IF(AE463=1,TRIM(TRIM('Roster'!B463)&amp;" "&amp;TRIM('Roster'!C463)),"")</f>
        <v/>
      </c>
      <c r="B463">
        <f>IF(AE463=1,IF(AN463="","(no teacher)",AN463&amp;" – "&amp;C463),"")</f>
        <v/>
      </c>
      <c r="C463">
        <f>IF(AE463=1,TRIM('Roster'!D463&amp;""),"")</f>
        <v/>
      </c>
      <c r="D463" s="48">
        <f>IF(AE463=1,ROUND(SUMIFS('All Donations'!$S$2:$S$4001,'All Donations'!$R$2:$R$4001,AD463),2),"")</f>
        <v/>
      </c>
      <c r="E463" s="48">
        <f>IF(AE463=1,ROUND(SUMIFS('All Donations'!$S$2:$S$4001,'All Donations'!$R$2:$R$4001,AD463,'All Donations'!$G$2:$G$4001,"OneCause"),2),"")</f>
        <v/>
      </c>
      <c r="F463" s="48">
        <f>IF(AE463=1,D463-E463,"")</f>
        <v/>
      </c>
      <c r="G463">
        <f>IF(AE463=1,COUNTIFS('All Donations'!$R$2:$R$4001,AD463,'All Donations'!$H$2:$H$4001,"OK"),"")</f>
        <v/>
      </c>
      <c r="H463">
        <f>IF(AE463&lt;&gt;1,"",IF(D463&gt;0,"Yes",""))</f>
        <v/>
      </c>
      <c r="I463" s="49">
        <f>IF(OR($AE463&lt;&gt;1,I$1=""),"",SUMIFS('All Donations'!$S$2:$S$4001,'All Donations'!$R$2:$R$4001,$AD463,'All Donations'!$T$2:$T$4001,I$1))</f>
        <v/>
      </c>
      <c r="J463" s="49">
        <f>IF(OR($AE463&lt;&gt;1,J$1=""),"",SUMIFS('All Donations'!$S$2:$S$4001,'All Donations'!$R$2:$R$4001,$AD463,'All Donations'!$T$2:$T$4001,J$1))</f>
        <v/>
      </c>
      <c r="K463" s="49">
        <f>IF(OR($AE463&lt;&gt;1,K$1=""),"",SUMIFS('All Donations'!$S$2:$S$4001,'All Donations'!$R$2:$R$4001,$AD463,'All Donations'!$T$2:$T$4001,K$1))</f>
        <v/>
      </c>
      <c r="L463" s="49">
        <f>IF(OR($AE463&lt;&gt;1,L$1=""),"",SUMIFS('All Donations'!$S$2:$S$4001,'All Donations'!$R$2:$R$4001,$AD463,'All Donations'!$T$2:$T$4001,L$1))</f>
        <v/>
      </c>
      <c r="M463" s="49">
        <f>IF(OR($AE463&lt;&gt;1,M$1=""),"",SUMIFS('All Donations'!$S$2:$S$4001,'All Donations'!$R$2:$R$4001,$AD463,'All Donations'!$T$2:$T$4001,M$1))</f>
        <v/>
      </c>
      <c r="N463" s="49">
        <f>IF(OR($AE463&lt;&gt;1,N$1=""),"",SUMIFS('All Donations'!$S$2:$S$4001,'All Donations'!$R$2:$R$4001,$AD463,'All Donations'!$T$2:$T$4001,N$1))</f>
        <v/>
      </c>
      <c r="O463" s="49">
        <f>IF(OR($AE463&lt;&gt;1,O$1=""),"",SUMIFS('All Donations'!$S$2:$S$4001,'All Donations'!$R$2:$R$4001,$AD463,'All Donations'!$T$2:$T$4001,O$1))</f>
        <v/>
      </c>
      <c r="P463" s="49">
        <f>IF(OR($AE463&lt;&gt;1,P$1=""),"",SUMIFS('All Donations'!$S$2:$S$4001,'All Donations'!$R$2:$R$4001,$AD463,'All Donations'!$T$2:$T$4001,P$1))</f>
        <v/>
      </c>
      <c r="Q463" s="49">
        <f>IF(OR($AE463&lt;&gt;1,Q$1=""),"",SUMIFS('All Donations'!$S$2:$S$4001,'All Donations'!$R$2:$R$4001,$AD463,'All Donations'!$T$2:$T$4001,Q$1))</f>
        <v/>
      </c>
      <c r="R463" s="49">
        <f>IF(OR($AE463&lt;&gt;1,R$1=""),"",SUMIFS('All Donations'!$S$2:$S$4001,'All Donations'!$R$2:$R$4001,$AD463,'All Donations'!$T$2:$T$4001,R$1))</f>
        <v/>
      </c>
      <c r="S463" s="49">
        <f>IF(OR($AE463&lt;&gt;1,S$1=""),"",SUMIFS('All Donations'!$S$2:$S$4001,'All Donations'!$R$2:$R$4001,$AD463,'All Donations'!$T$2:$T$4001,S$1))</f>
        <v/>
      </c>
      <c r="T463" s="49">
        <f>IF(OR($AE463&lt;&gt;1,T$1=""),"",SUMIFS('All Donations'!$S$2:$S$4001,'All Donations'!$R$2:$R$4001,$AD463,'All Donations'!$T$2:$T$4001,T$1))</f>
        <v/>
      </c>
      <c r="U463" s="49">
        <f>IF(OR($AE463&lt;&gt;1,U$1=""),"",SUMIFS('All Donations'!$S$2:$S$4001,'All Donations'!$R$2:$R$4001,$AD463,'All Donations'!$T$2:$T$4001,U$1))</f>
        <v/>
      </c>
      <c r="V463" s="49">
        <f>IF(OR($AE463&lt;&gt;1,V$1=""),"",SUMIFS('All Donations'!$S$2:$S$4001,'All Donations'!$R$2:$R$4001,$AD463,'All Donations'!$T$2:$T$4001,V$1))</f>
        <v/>
      </c>
      <c r="W463" s="49">
        <f>IF(OR($AE463&lt;&gt;1,W$1=""),"",SUMIFS('All Donations'!$S$2:$S$4001,'All Donations'!$R$2:$R$4001,$AD463,'All Donations'!$T$2:$T$4001,W$1))</f>
        <v/>
      </c>
      <c r="X463" s="49">
        <f>IF(OR($AE463&lt;&gt;1,X$1=""),"",SUMIFS('All Donations'!$S$2:$S$4001,'All Donations'!$R$2:$R$4001,$AD463,'All Donations'!$T$2:$T$4001,X$1))</f>
        <v/>
      </c>
      <c r="Y463" s="49">
        <f>IF(OR($AE463&lt;&gt;1,Y$1=""),"",SUMIFS('All Donations'!$S$2:$S$4001,'All Donations'!$R$2:$R$4001,$AD463,'All Donations'!$T$2:$T$4001,Y$1))</f>
        <v/>
      </c>
      <c r="Z463" s="49">
        <f>IF(OR($AE463&lt;&gt;1,Z$1=""),"",SUMIFS('All Donations'!$S$2:$S$4001,'All Donations'!$R$2:$R$4001,$AD463,'All Donations'!$T$2:$T$4001,Z$1))</f>
        <v/>
      </c>
      <c r="AA463" s="49">
        <f>IF(OR($AE463&lt;&gt;1,AA$1=""),"",SUMIFS('All Donations'!$S$2:$S$4001,'All Donations'!$R$2:$R$4001,$AD463,'All Donations'!$T$2:$T$4001,AA$1))</f>
        <v/>
      </c>
      <c r="AB463" s="49">
        <f>IF(OR($AE463&lt;&gt;1,AB$1=""),"",SUMIFS('All Donations'!$S$2:$S$4001,'All Donations'!$R$2:$R$4001,$AD463,'All Donations'!$T$2:$T$4001,AB$1))</f>
        <v/>
      </c>
      <c r="AC463" s="49">
        <f>IF(OR($AE463&lt;&gt;1,AC$1=""),"",SUMIFS('All Donations'!$S$2:$S$4001,'All Donations'!$R$2:$R$4001,$AD463,'All Donations'!$T$2:$T$4001,AC$1))</f>
        <v/>
      </c>
      <c r="AD463">
        <f>IF(AE463=1,'Roster'!A463,"")</f>
        <v/>
      </c>
      <c r="AE463">
        <f>IF(TRIM('Roster'!B463&amp;'Roster'!C463)&lt;&gt;"",1,0)</f>
        <v/>
      </c>
      <c r="AF463">
        <f>IF(AE463=1,LOWER(A463),"#")</f>
        <v/>
      </c>
      <c r="AG463">
        <f>IF(AE463=1,LOWER(TRIM(TRIM('Roster'!C463)&amp;", "&amp;TRIM('Roster'!B463))),"#")</f>
        <v/>
      </c>
      <c r="AH463">
        <f>IF(AND(AE463=1,TRIM('Roster'!F463)&lt;&gt;""),LOWER(TRIM('Roster'!F463)),"#")</f>
        <v/>
      </c>
      <c r="AI463">
        <f>IF(AE463=1,IF(MATCH(B463,$B$2:$B$701,0)=ROW()-1,1,0),0)</f>
        <v/>
      </c>
      <c r="AJ463">
        <f>AJ462+AI463</f>
        <v/>
      </c>
      <c r="AK463">
        <f>IF(AE463=1,D463+(1000-ROW())/10^7,-1)</f>
        <v/>
      </c>
      <c r="AL463">
        <f>IF(AE463=1,TRIM('Roster'!B463)&amp;" "&amp;LEFT(TRIM('Roster'!C463),1)&amp;".","")</f>
        <v/>
      </c>
      <c r="AM463">
        <f>IF(AE463=1,TRIM('Roster'!C463)&amp;", "&amp;TRIM('Roster'!B463)&amp;" ("&amp;B463&amp;") #"&amp;AD463,"")</f>
        <v/>
      </c>
      <c r="AN463">
        <f>IF(AE463=1,TRIM('Roster'!E463),"")</f>
        <v/>
      </c>
      <c r="AO463">
        <f>IF(AE463=1,ROUND(SUMIFS('All Donations'!$S$2:$S$4001,'All Donations'!$R$2:$R$4001,AD463,'All Donations'!$T$2:$T$4001,"&gt;="&amp;'Settings'!$C$23,'All Donations'!$T$2:$T$4001,"&lt;="&amp;'Settings'!$D$23),2),0)</f>
        <v/>
      </c>
      <c r="AQ463">
        <f>IF(AE463=1,ROUND(SUMIFS('All Donations'!$S$2:$S$4001,'All Donations'!$R$2:$R$4001,AD463,'All Donations'!$T$2:$T$4001,"&gt;="&amp;'Settings'!$C$25,'All Donations'!$T$2:$T$4001,"&lt;="&amp;'Settings'!$D$25),2),0)</f>
        <v/>
      </c>
      <c r="AR463">
        <f>IF(AE463=1,ROUND(SUMIFS('All Donations'!$S$2:$S$4001,'All Donations'!$R$2:$R$4001,AD463,'All Donations'!$T$2:$T$4001,"&gt;="&amp;'Settings'!$C$26,'All Donations'!$T$2:$T$4001,"&lt;="&amp;'Settings'!$D$26),2),0)</f>
        <v/>
      </c>
      <c r="AS463">
        <f>IF(AE463=1,ROUND(SUMIFS('All Donations'!$S$2:$S$4001,'All Donations'!$R$2:$R$4001,AD463,'All Donations'!$T$2:$T$4001,"&lt;="&amp;'Settings'!$D$27),2),0)</f>
        <v/>
      </c>
      <c r="AT463">
        <f>IF(AE463=1,ROUND(SUMIFS('All Donations'!$S$2:$S$4001,'All Donations'!$R$2:$R$4001,AD463,'All Donations'!$T$2:$T$4001,"&gt;="&amp;'Settings'!$C$28,'All Donations'!$T$2:$T$4001,"&lt;="&amp;'Settings'!$D$28),2),0)</f>
        <v/>
      </c>
      <c r="AU463">
        <f>IF(AE463=1,ROUND(SUMIFS('All Donations'!$S$2:$S$4001,'All Donations'!$R$2:$R$4001,AD463,'All Donations'!$T$2:$T$4001,"&gt;="&amp;'Settings'!$C$29,'All Donations'!$T$2:$T$4001,"&lt;="&amp;'Settings'!$D$29),2),0)</f>
        <v/>
      </c>
      <c r="AV463">
        <f>IF(AE463=1,ROUND(SUMIFS('All Donations'!$S$2:$S$4001,'All Donations'!$R$2:$R$4001,AD463,'All Donations'!$T$2:$T$4001,"&lt;="&amp;'Settings'!$D$30),2),0)</f>
        <v/>
      </c>
      <c r="AZ463">
        <f>IF(AE463=1,ROUND(SUMIFS('All Donations'!$S$2:$S$4001,'All Donations'!$R$2:$R$4001,AD463,'All Donations'!$T$2:$T$4001,"&lt;="&amp;'Settings'!$D$34),2),0)</f>
        <v/>
      </c>
    </row>
    <row r="464">
      <c r="A464">
        <f>IF(AE464=1,TRIM(TRIM('Roster'!B464)&amp;" "&amp;TRIM('Roster'!C464)),"")</f>
        <v/>
      </c>
      <c r="B464">
        <f>IF(AE464=1,IF(AN464="","(no teacher)",AN464&amp;" – "&amp;C464),"")</f>
        <v/>
      </c>
      <c r="C464">
        <f>IF(AE464=1,TRIM('Roster'!D464&amp;""),"")</f>
        <v/>
      </c>
      <c r="D464" s="48">
        <f>IF(AE464=1,ROUND(SUMIFS('All Donations'!$S$2:$S$4001,'All Donations'!$R$2:$R$4001,AD464),2),"")</f>
        <v/>
      </c>
      <c r="E464" s="48">
        <f>IF(AE464=1,ROUND(SUMIFS('All Donations'!$S$2:$S$4001,'All Donations'!$R$2:$R$4001,AD464,'All Donations'!$G$2:$G$4001,"OneCause"),2),"")</f>
        <v/>
      </c>
      <c r="F464" s="48">
        <f>IF(AE464=1,D464-E464,"")</f>
        <v/>
      </c>
      <c r="G464">
        <f>IF(AE464=1,COUNTIFS('All Donations'!$R$2:$R$4001,AD464,'All Donations'!$H$2:$H$4001,"OK"),"")</f>
        <v/>
      </c>
      <c r="H464">
        <f>IF(AE464&lt;&gt;1,"",IF(D464&gt;0,"Yes",""))</f>
        <v/>
      </c>
      <c r="I464" s="49">
        <f>IF(OR($AE464&lt;&gt;1,I$1=""),"",SUMIFS('All Donations'!$S$2:$S$4001,'All Donations'!$R$2:$R$4001,$AD464,'All Donations'!$T$2:$T$4001,I$1))</f>
        <v/>
      </c>
      <c r="J464" s="49">
        <f>IF(OR($AE464&lt;&gt;1,J$1=""),"",SUMIFS('All Donations'!$S$2:$S$4001,'All Donations'!$R$2:$R$4001,$AD464,'All Donations'!$T$2:$T$4001,J$1))</f>
        <v/>
      </c>
      <c r="K464" s="49">
        <f>IF(OR($AE464&lt;&gt;1,K$1=""),"",SUMIFS('All Donations'!$S$2:$S$4001,'All Donations'!$R$2:$R$4001,$AD464,'All Donations'!$T$2:$T$4001,K$1))</f>
        <v/>
      </c>
      <c r="L464" s="49">
        <f>IF(OR($AE464&lt;&gt;1,L$1=""),"",SUMIFS('All Donations'!$S$2:$S$4001,'All Donations'!$R$2:$R$4001,$AD464,'All Donations'!$T$2:$T$4001,L$1))</f>
        <v/>
      </c>
      <c r="M464" s="49">
        <f>IF(OR($AE464&lt;&gt;1,M$1=""),"",SUMIFS('All Donations'!$S$2:$S$4001,'All Donations'!$R$2:$R$4001,$AD464,'All Donations'!$T$2:$T$4001,M$1))</f>
        <v/>
      </c>
      <c r="N464" s="49">
        <f>IF(OR($AE464&lt;&gt;1,N$1=""),"",SUMIFS('All Donations'!$S$2:$S$4001,'All Donations'!$R$2:$R$4001,$AD464,'All Donations'!$T$2:$T$4001,N$1))</f>
        <v/>
      </c>
      <c r="O464" s="49">
        <f>IF(OR($AE464&lt;&gt;1,O$1=""),"",SUMIFS('All Donations'!$S$2:$S$4001,'All Donations'!$R$2:$R$4001,$AD464,'All Donations'!$T$2:$T$4001,O$1))</f>
        <v/>
      </c>
      <c r="P464" s="49">
        <f>IF(OR($AE464&lt;&gt;1,P$1=""),"",SUMIFS('All Donations'!$S$2:$S$4001,'All Donations'!$R$2:$R$4001,$AD464,'All Donations'!$T$2:$T$4001,P$1))</f>
        <v/>
      </c>
      <c r="Q464" s="49">
        <f>IF(OR($AE464&lt;&gt;1,Q$1=""),"",SUMIFS('All Donations'!$S$2:$S$4001,'All Donations'!$R$2:$R$4001,$AD464,'All Donations'!$T$2:$T$4001,Q$1))</f>
        <v/>
      </c>
      <c r="R464" s="49">
        <f>IF(OR($AE464&lt;&gt;1,R$1=""),"",SUMIFS('All Donations'!$S$2:$S$4001,'All Donations'!$R$2:$R$4001,$AD464,'All Donations'!$T$2:$T$4001,R$1))</f>
        <v/>
      </c>
      <c r="S464" s="49">
        <f>IF(OR($AE464&lt;&gt;1,S$1=""),"",SUMIFS('All Donations'!$S$2:$S$4001,'All Donations'!$R$2:$R$4001,$AD464,'All Donations'!$T$2:$T$4001,S$1))</f>
        <v/>
      </c>
      <c r="T464" s="49">
        <f>IF(OR($AE464&lt;&gt;1,T$1=""),"",SUMIFS('All Donations'!$S$2:$S$4001,'All Donations'!$R$2:$R$4001,$AD464,'All Donations'!$T$2:$T$4001,T$1))</f>
        <v/>
      </c>
      <c r="U464" s="49">
        <f>IF(OR($AE464&lt;&gt;1,U$1=""),"",SUMIFS('All Donations'!$S$2:$S$4001,'All Donations'!$R$2:$R$4001,$AD464,'All Donations'!$T$2:$T$4001,U$1))</f>
        <v/>
      </c>
      <c r="V464" s="49">
        <f>IF(OR($AE464&lt;&gt;1,V$1=""),"",SUMIFS('All Donations'!$S$2:$S$4001,'All Donations'!$R$2:$R$4001,$AD464,'All Donations'!$T$2:$T$4001,V$1))</f>
        <v/>
      </c>
      <c r="W464" s="49">
        <f>IF(OR($AE464&lt;&gt;1,W$1=""),"",SUMIFS('All Donations'!$S$2:$S$4001,'All Donations'!$R$2:$R$4001,$AD464,'All Donations'!$T$2:$T$4001,W$1))</f>
        <v/>
      </c>
      <c r="X464" s="49">
        <f>IF(OR($AE464&lt;&gt;1,X$1=""),"",SUMIFS('All Donations'!$S$2:$S$4001,'All Donations'!$R$2:$R$4001,$AD464,'All Donations'!$T$2:$T$4001,X$1))</f>
        <v/>
      </c>
      <c r="Y464" s="49">
        <f>IF(OR($AE464&lt;&gt;1,Y$1=""),"",SUMIFS('All Donations'!$S$2:$S$4001,'All Donations'!$R$2:$R$4001,$AD464,'All Donations'!$T$2:$T$4001,Y$1))</f>
        <v/>
      </c>
      <c r="Z464" s="49">
        <f>IF(OR($AE464&lt;&gt;1,Z$1=""),"",SUMIFS('All Donations'!$S$2:$S$4001,'All Donations'!$R$2:$R$4001,$AD464,'All Donations'!$T$2:$T$4001,Z$1))</f>
        <v/>
      </c>
      <c r="AA464" s="49">
        <f>IF(OR($AE464&lt;&gt;1,AA$1=""),"",SUMIFS('All Donations'!$S$2:$S$4001,'All Donations'!$R$2:$R$4001,$AD464,'All Donations'!$T$2:$T$4001,AA$1))</f>
        <v/>
      </c>
      <c r="AB464" s="49">
        <f>IF(OR($AE464&lt;&gt;1,AB$1=""),"",SUMIFS('All Donations'!$S$2:$S$4001,'All Donations'!$R$2:$R$4001,$AD464,'All Donations'!$T$2:$T$4001,AB$1))</f>
        <v/>
      </c>
      <c r="AC464" s="49">
        <f>IF(OR($AE464&lt;&gt;1,AC$1=""),"",SUMIFS('All Donations'!$S$2:$S$4001,'All Donations'!$R$2:$R$4001,$AD464,'All Donations'!$T$2:$T$4001,AC$1))</f>
        <v/>
      </c>
      <c r="AD464">
        <f>IF(AE464=1,'Roster'!A464,"")</f>
        <v/>
      </c>
      <c r="AE464">
        <f>IF(TRIM('Roster'!B464&amp;'Roster'!C464)&lt;&gt;"",1,0)</f>
        <v/>
      </c>
      <c r="AF464">
        <f>IF(AE464=1,LOWER(A464),"#")</f>
        <v/>
      </c>
      <c r="AG464">
        <f>IF(AE464=1,LOWER(TRIM(TRIM('Roster'!C464)&amp;", "&amp;TRIM('Roster'!B464))),"#")</f>
        <v/>
      </c>
      <c r="AH464">
        <f>IF(AND(AE464=1,TRIM('Roster'!F464)&lt;&gt;""),LOWER(TRIM('Roster'!F464)),"#")</f>
        <v/>
      </c>
      <c r="AI464">
        <f>IF(AE464=1,IF(MATCH(B464,$B$2:$B$701,0)=ROW()-1,1,0),0)</f>
        <v/>
      </c>
      <c r="AJ464">
        <f>AJ463+AI464</f>
        <v/>
      </c>
      <c r="AK464">
        <f>IF(AE464=1,D464+(1000-ROW())/10^7,-1)</f>
        <v/>
      </c>
      <c r="AL464">
        <f>IF(AE464=1,TRIM('Roster'!B464)&amp;" "&amp;LEFT(TRIM('Roster'!C464),1)&amp;".","")</f>
        <v/>
      </c>
      <c r="AM464">
        <f>IF(AE464=1,TRIM('Roster'!C464)&amp;", "&amp;TRIM('Roster'!B464)&amp;" ("&amp;B464&amp;") #"&amp;AD464,"")</f>
        <v/>
      </c>
      <c r="AN464">
        <f>IF(AE464=1,TRIM('Roster'!E464),"")</f>
        <v/>
      </c>
      <c r="AO464">
        <f>IF(AE464=1,ROUND(SUMIFS('All Donations'!$S$2:$S$4001,'All Donations'!$R$2:$R$4001,AD464,'All Donations'!$T$2:$T$4001,"&gt;="&amp;'Settings'!$C$23,'All Donations'!$T$2:$T$4001,"&lt;="&amp;'Settings'!$D$23),2),0)</f>
        <v/>
      </c>
      <c r="AQ464">
        <f>IF(AE464=1,ROUND(SUMIFS('All Donations'!$S$2:$S$4001,'All Donations'!$R$2:$R$4001,AD464,'All Donations'!$T$2:$T$4001,"&gt;="&amp;'Settings'!$C$25,'All Donations'!$T$2:$T$4001,"&lt;="&amp;'Settings'!$D$25),2),0)</f>
        <v/>
      </c>
      <c r="AR464">
        <f>IF(AE464=1,ROUND(SUMIFS('All Donations'!$S$2:$S$4001,'All Donations'!$R$2:$R$4001,AD464,'All Donations'!$T$2:$T$4001,"&gt;="&amp;'Settings'!$C$26,'All Donations'!$T$2:$T$4001,"&lt;="&amp;'Settings'!$D$26),2),0)</f>
        <v/>
      </c>
      <c r="AS464">
        <f>IF(AE464=1,ROUND(SUMIFS('All Donations'!$S$2:$S$4001,'All Donations'!$R$2:$R$4001,AD464,'All Donations'!$T$2:$T$4001,"&lt;="&amp;'Settings'!$D$27),2),0)</f>
        <v/>
      </c>
      <c r="AT464">
        <f>IF(AE464=1,ROUND(SUMIFS('All Donations'!$S$2:$S$4001,'All Donations'!$R$2:$R$4001,AD464,'All Donations'!$T$2:$T$4001,"&gt;="&amp;'Settings'!$C$28,'All Donations'!$T$2:$T$4001,"&lt;="&amp;'Settings'!$D$28),2),0)</f>
        <v/>
      </c>
      <c r="AU464">
        <f>IF(AE464=1,ROUND(SUMIFS('All Donations'!$S$2:$S$4001,'All Donations'!$R$2:$R$4001,AD464,'All Donations'!$T$2:$T$4001,"&gt;="&amp;'Settings'!$C$29,'All Donations'!$T$2:$T$4001,"&lt;="&amp;'Settings'!$D$29),2),0)</f>
        <v/>
      </c>
      <c r="AV464">
        <f>IF(AE464=1,ROUND(SUMIFS('All Donations'!$S$2:$S$4001,'All Donations'!$R$2:$R$4001,AD464,'All Donations'!$T$2:$T$4001,"&lt;="&amp;'Settings'!$D$30),2),0)</f>
        <v/>
      </c>
      <c r="AZ464">
        <f>IF(AE464=1,ROUND(SUMIFS('All Donations'!$S$2:$S$4001,'All Donations'!$R$2:$R$4001,AD464,'All Donations'!$T$2:$T$4001,"&lt;="&amp;'Settings'!$D$34),2),0)</f>
        <v/>
      </c>
    </row>
    <row r="465">
      <c r="A465">
        <f>IF(AE465=1,TRIM(TRIM('Roster'!B465)&amp;" "&amp;TRIM('Roster'!C465)),"")</f>
        <v/>
      </c>
      <c r="B465">
        <f>IF(AE465=1,IF(AN465="","(no teacher)",AN465&amp;" – "&amp;C465),"")</f>
        <v/>
      </c>
      <c r="C465">
        <f>IF(AE465=1,TRIM('Roster'!D465&amp;""),"")</f>
        <v/>
      </c>
      <c r="D465" s="48">
        <f>IF(AE465=1,ROUND(SUMIFS('All Donations'!$S$2:$S$4001,'All Donations'!$R$2:$R$4001,AD465),2),"")</f>
        <v/>
      </c>
      <c r="E465" s="48">
        <f>IF(AE465=1,ROUND(SUMIFS('All Donations'!$S$2:$S$4001,'All Donations'!$R$2:$R$4001,AD465,'All Donations'!$G$2:$G$4001,"OneCause"),2),"")</f>
        <v/>
      </c>
      <c r="F465" s="48">
        <f>IF(AE465=1,D465-E465,"")</f>
        <v/>
      </c>
      <c r="G465">
        <f>IF(AE465=1,COUNTIFS('All Donations'!$R$2:$R$4001,AD465,'All Donations'!$H$2:$H$4001,"OK"),"")</f>
        <v/>
      </c>
      <c r="H465">
        <f>IF(AE465&lt;&gt;1,"",IF(D465&gt;0,"Yes",""))</f>
        <v/>
      </c>
      <c r="I465" s="49">
        <f>IF(OR($AE465&lt;&gt;1,I$1=""),"",SUMIFS('All Donations'!$S$2:$S$4001,'All Donations'!$R$2:$R$4001,$AD465,'All Donations'!$T$2:$T$4001,I$1))</f>
        <v/>
      </c>
      <c r="J465" s="49">
        <f>IF(OR($AE465&lt;&gt;1,J$1=""),"",SUMIFS('All Donations'!$S$2:$S$4001,'All Donations'!$R$2:$R$4001,$AD465,'All Donations'!$T$2:$T$4001,J$1))</f>
        <v/>
      </c>
      <c r="K465" s="49">
        <f>IF(OR($AE465&lt;&gt;1,K$1=""),"",SUMIFS('All Donations'!$S$2:$S$4001,'All Donations'!$R$2:$R$4001,$AD465,'All Donations'!$T$2:$T$4001,K$1))</f>
        <v/>
      </c>
      <c r="L465" s="49">
        <f>IF(OR($AE465&lt;&gt;1,L$1=""),"",SUMIFS('All Donations'!$S$2:$S$4001,'All Donations'!$R$2:$R$4001,$AD465,'All Donations'!$T$2:$T$4001,L$1))</f>
        <v/>
      </c>
      <c r="M465" s="49">
        <f>IF(OR($AE465&lt;&gt;1,M$1=""),"",SUMIFS('All Donations'!$S$2:$S$4001,'All Donations'!$R$2:$R$4001,$AD465,'All Donations'!$T$2:$T$4001,M$1))</f>
        <v/>
      </c>
      <c r="N465" s="49">
        <f>IF(OR($AE465&lt;&gt;1,N$1=""),"",SUMIFS('All Donations'!$S$2:$S$4001,'All Donations'!$R$2:$R$4001,$AD465,'All Donations'!$T$2:$T$4001,N$1))</f>
        <v/>
      </c>
      <c r="O465" s="49">
        <f>IF(OR($AE465&lt;&gt;1,O$1=""),"",SUMIFS('All Donations'!$S$2:$S$4001,'All Donations'!$R$2:$R$4001,$AD465,'All Donations'!$T$2:$T$4001,O$1))</f>
        <v/>
      </c>
      <c r="P465" s="49">
        <f>IF(OR($AE465&lt;&gt;1,P$1=""),"",SUMIFS('All Donations'!$S$2:$S$4001,'All Donations'!$R$2:$R$4001,$AD465,'All Donations'!$T$2:$T$4001,P$1))</f>
        <v/>
      </c>
      <c r="Q465" s="49">
        <f>IF(OR($AE465&lt;&gt;1,Q$1=""),"",SUMIFS('All Donations'!$S$2:$S$4001,'All Donations'!$R$2:$R$4001,$AD465,'All Donations'!$T$2:$T$4001,Q$1))</f>
        <v/>
      </c>
      <c r="R465" s="49">
        <f>IF(OR($AE465&lt;&gt;1,R$1=""),"",SUMIFS('All Donations'!$S$2:$S$4001,'All Donations'!$R$2:$R$4001,$AD465,'All Donations'!$T$2:$T$4001,R$1))</f>
        <v/>
      </c>
      <c r="S465" s="49">
        <f>IF(OR($AE465&lt;&gt;1,S$1=""),"",SUMIFS('All Donations'!$S$2:$S$4001,'All Donations'!$R$2:$R$4001,$AD465,'All Donations'!$T$2:$T$4001,S$1))</f>
        <v/>
      </c>
      <c r="T465" s="49">
        <f>IF(OR($AE465&lt;&gt;1,T$1=""),"",SUMIFS('All Donations'!$S$2:$S$4001,'All Donations'!$R$2:$R$4001,$AD465,'All Donations'!$T$2:$T$4001,T$1))</f>
        <v/>
      </c>
      <c r="U465" s="49">
        <f>IF(OR($AE465&lt;&gt;1,U$1=""),"",SUMIFS('All Donations'!$S$2:$S$4001,'All Donations'!$R$2:$R$4001,$AD465,'All Donations'!$T$2:$T$4001,U$1))</f>
        <v/>
      </c>
      <c r="V465" s="49">
        <f>IF(OR($AE465&lt;&gt;1,V$1=""),"",SUMIFS('All Donations'!$S$2:$S$4001,'All Donations'!$R$2:$R$4001,$AD465,'All Donations'!$T$2:$T$4001,V$1))</f>
        <v/>
      </c>
      <c r="W465" s="49">
        <f>IF(OR($AE465&lt;&gt;1,W$1=""),"",SUMIFS('All Donations'!$S$2:$S$4001,'All Donations'!$R$2:$R$4001,$AD465,'All Donations'!$T$2:$T$4001,W$1))</f>
        <v/>
      </c>
      <c r="X465" s="49">
        <f>IF(OR($AE465&lt;&gt;1,X$1=""),"",SUMIFS('All Donations'!$S$2:$S$4001,'All Donations'!$R$2:$R$4001,$AD465,'All Donations'!$T$2:$T$4001,X$1))</f>
        <v/>
      </c>
      <c r="Y465" s="49">
        <f>IF(OR($AE465&lt;&gt;1,Y$1=""),"",SUMIFS('All Donations'!$S$2:$S$4001,'All Donations'!$R$2:$R$4001,$AD465,'All Donations'!$T$2:$T$4001,Y$1))</f>
        <v/>
      </c>
      <c r="Z465" s="49">
        <f>IF(OR($AE465&lt;&gt;1,Z$1=""),"",SUMIFS('All Donations'!$S$2:$S$4001,'All Donations'!$R$2:$R$4001,$AD465,'All Donations'!$T$2:$T$4001,Z$1))</f>
        <v/>
      </c>
      <c r="AA465" s="49">
        <f>IF(OR($AE465&lt;&gt;1,AA$1=""),"",SUMIFS('All Donations'!$S$2:$S$4001,'All Donations'!$R$2:$R$4001,$AD465,'All Donations'!$T$2:$T$4001,AA$1))</f>
        <v/>
      </c>
      <c r="AB465" s="49">
        <f>IF(OR($AE465&lt;&gt;1,AB$1=""),"",SUMIFS('All Donations'!$S$2:$S$4001,'All Donations'!$R$2:$R$4001,$AD465,'All Donations'!$T$2:$T$4001,AB$1))</f>
        <v/>
      </c>
      <c r="AC465" s="49">
        <f>IF(OR($AE465&lt;&gt;1,AC$1=""),"",SUMIFS('All Donations'!$S$2:$S$4001,'All Donations'!$R$2:$R$4001,$AD465,'All Donations'!$T$2:$T$4001,AC$1))</f>
        <v/>
      </c>
      <c r="AD465">
        <f>IF(AE465=1,'Roster'!A465,"")</f>
        <v/>
      </c>
      <c r="AE465">
        <f>IF(TRIM('Roster'!B465&amp;'Roster'!C465)&lt;&gt;"",1,0)</f>
        <v/>
      </c>
      <c r="AF465">
        <f>IF(AE465=1,LOWER(A465),"#")</f>
        <v/>
      </c>
      <c r="AG465">
        <f>IF(AE465=1,LOWER(TRIM(TRIM('Roster'!C465)&amp;", "&amp;TRIM('Roster'!B465))),"#")</f>
        <v/>
      </c>
      <c r="AH465">
        <f>IF(AND(AE465=1,TRIM('Roster'!F465)&lt;&gt;""),LOWER(TRIM('Roster'!F465)),"#")</f>
        <v/>
      </c>
      <c r="AI465">
        <f>IF(AE465=1,IF(MATCH(B465,$B$2:$B$701,0)=ROW()-1,1,0),0)</f>
        <v/>
      </c>
      <c r="AJ465">
        <f>AJ464+AI465</f>
        <v/>
      </c>
      <c r="AK465">
        <f>IF(AE465=1,D465+(1000-ROW())/10^7,-1)</f>
        <v/>
      </c>
      <c r="AL465">
        <f>IF(AE465=1,TRIM('Roster'!B465)&amp;" "&amp;LEFT(TRIM('Roster'!C465),1)&amp;".","")</f>
        <v/>
      </c>
      <c r="AM465">
        <f>IF(AE465=1,TRIM('Roster'!C465)&amp;", "&amp;TRIM('Roster'!B465)&amp;" ("&amp;B465&amp;") #"&amp;AD465,"")</f>
        <v/>
      </c>
      <c r="AN465">
        <f>IF(AE465=1,TRIM('Roster'!E465),"")</f>
        <v/>
      </c>
      <c r="AO465">
        <f>IF(AE465=1,ROUND(SUMIFS('All Donations'!$S$2:$S$4001,'All Donations'!$R$2:$R$4001,AD465,'All Donations'!$T$2:$T$4001,"&gt;="&amp;'Settings'!$C$23,'All Donations'!$T$2:$T$4001,"&lt;="&amp;'Settings'!$D$23),2),0)</f>
        <v/>
      </c>
      <c r="AQ465">
        <f>IF(AE465=1,ROUND(SUMIFS('All Donations'!$S$2:$S$4001,'All Donations'!$R$2:$R$4001,AD465,'All Donations'!$T$2:$T$4001,"&gt;="&amp;'Settings'!$C$25,'All Donations'!$T$2:$T$4001,"&lt;="&amp;'Settings'!$D$25),2),0)</f>
        <v/>
      </c>
      <c r="AR465">
        <f>IF(AE465=1,ROUND(SUMIFS('All Donations'!$S$2:$S$4001,'All Donations'!$R$2:$R$4001,AD465,'All Donations'!$T$2:$T$4001,"&gt;="&amp;'Settings'!$C$26,'All Donations'!$T$2:$T$4001,"&lt;="&amp;'Settings'!$D$26),2),0)</f>
        <v/>
      </c>
      <c r="AS465">
        <f>IF(AE465=1,ROUND(SUMIFS('All Donations'!$S$2:$S$4001,'All Donations'!$R$2:$R$4001,AD465,'All Donations'!$T$2:$T$4001,"&lt;="&amp;'Settings'!$D$27),2),0)</f>
        <v/>
      </c>
      <c r="AT465">
        <f>IF(AE465=1,ROUND(SUMIFS('All Donations'!$S$2:$S$4001,'All Donations'!$R$2:$R$4001,AD465,'All Donations'!$T$2:$T$4001,"&gt;="&amp;'Settings'!$C$28,'All Donations'!$T$2:$T$4001,"&lt;="&amp;'Settings'!$D$28),2),0)</f>
        <v/>
      </c>
      <c r="AU465">
        <f>IF(AE465=1,ROUND(SUMIFS('All Donations'!$S$2:$S$4001,'All Donations'!$R$2:$R$4001,AD465,'All Donations'!$T$2:$T$4001,"&gt;="&amp;'Settings'!$C$29,'All Donations'!$T$2:$T$4001,"&lt;="&amp;'Settings'!$D$29),2),0)</f>
        <v/>
      </c>
      <c r="AV465">
        <f>IF(AE465=1,ROUND(SUMIFS('All Donations'!$S$2:$S$4001,'All Donations'!$R$2:$R$4001,AD465,'All Donations'!$T$2:$T$4001,"&lt;="&amp;'Settings'!$D$30),2),0)</f>
        <v/>
      </c>
      <c r="AZ465">
        <f>IF(AE465=1,ROUND(SUMIFS('All Donations'!$S$2:$S$4001,'All Donations'!$R$2:$R$4001,AD465,'All Donations'!$T$2:$T$4001,"&lt;="&amp;'Settings'!$D$34),2),0)</f>
        <v/>
      </c>
    </row>
    <row r="466">
      <c r="A466">
        <f>IF(AE466=1,TRIM(TRIM('Roster'!B466)&amp;" "&amp;TRIM('Roster'!C466)),"")</f>
        <v/>
      </c>
      <c r="B466">
        <f>IF(AE466=1,IF(AN466="","(no teacher)",AN466&amp;" – "&amp;C466),"")</f>
        <v/>
      </c>
      <c r="C466">
        <f>IF(AE466=1,TRIM('Roster'!D466&amp;""),"")</f>
        <v/>
      </c>
      <c r="D466" s="48">
        <f>IF(AE466=1,ROUND(SUMIFS('All Donations'!$S$2:$S$4001,'All Donations'!$R$2:$R$4001,AD466),2),"")</f>
        <v/>
      </c>
      <c r="E466" s="48">
        <f>IF(AE466=1,ROUND(SUMIFS('All Donations'!$S$2:$S$4001,'All Donations'!$R$2:$R$4001,AD466,'All Donations'!$G$2:$G$4001,"OneCause"),2),"")</f>
        <v/>
      </c>
      <c r="F466" s="48">
        <f>IF(AE466=1,D466-E466,"")</f>
        <v/>
      </c>
      <c r="G466">
        <f>IF(AE466=1,COUNTIFS('All Donations'!$R$2:$R$4001,AD466,'All Donations'!$H$2:$H$4001,"OK"),"")</f>
        <v/>
      </c>
      <c r="H466">
        <f>IF(AE466&lt;&gt;1,"",IF(D466&gt;0,"Yes",""))</f>
        <v/>
      </c>
      <c r="I466" s="49">
        <f>IF(OR($AE466&lt;&gt;1,I$1=""),"",SUMIFS('All Donations'!$S$2:$S$4001,'All Donations'!$R$2:$R$4001,$AD466,'All Donations'!$T$2:$T$4001,I$1))</f>
        <v/>
      </c>
      <c r="J466" s="49">
        <f>IF(OR($AE466&lt;&gt;1,J$1=""),"",SUMIFS('All Donations'!$S$2:$S$4001,'All Donations'!$R$2:$R$4001,$AD466,'All Donations'!$T$2:$T$4001,J$1))</f>
        <v/>
      </c>
      <c r="K466" s="49">
        <f>IF(OR($AE466&lt;&gt;1,K$1=""),"",SUMIFS('All Donations'!$S$2:$S$4001,'All Donations'!$R$2:$R$4001,$AD466,'All Donations'!$T$2:$T$4001,K$1))</f>
        <v/>
      </c>
      <c r="L466" s="49">
        <f>IF(OR($AE466&lt;&gt;1,L$1=""),"",SUMIFS('All Donations'!$S$2:$S$4001,'All Donations'!$R$2:$R$4001,$AD466,'All Donations'!$T$2:$T$4001,L$1))</f>
        <v/>
      </c>
      <c r="M466" s="49">
        <f>IF(OR($AE466&lt;&gt;1,M$1=""),"",SUMIFS('All Donations'!$S$2:$S$4001,'All Donations'!$R$2:$R$4001,$AD466,'All Donations'!$T$2:$T$4001,M$1))</f>
        <v/>
      </c>
      <c r="N466" s="49">
        <f>IF(OR($AE466&lt;&gt;1,N$1=""),"",SUMIFS('All Donations'!$S$2:$S$4001,'All Donations'!$R$2:$R$4001,$AD466,'All Donations'!$T$2:$T$4001,N$1))</f>
        <v/>
      </c>
      <c r="O466" s="49">
        <f>IF(OR($AE466&lt;&gt;1,O$1=""),"",SUMIFS('All Donations'!$S$2:$S$4001,'All Donations'!$R$2:$R$4001,$AD466,'All Donations'!$T$2:$T$4001,O$1))</f>
        <v/>
      </c>
      <c r="P466" s="49">
        <f>IF(OR($AE466&lt;&gt;1,P$1=""),"",SUMIFS('All Donations'!$S$2:$S$4001,'All Donations'!$R$2:$R$4001,$AD466,'All Donations'!$T$2:$T$4001,P$1))</f>
        <v/>
      </c>
      <c r="Q466" s="49">
        <f>IF(OR($AE466&lt;&gt;1,Q$1=""),"",SUMIFS('All Donations'!$S$2:$S$4001,'All Donations'!$R$2:$R$4001,$AD466,'All Donations'!$T$2:$T$4001,Q$1))</f>
        <v/>
      </c>
      <c r="R466" s="49">
        <f>IF(OR($AE466&lt;&gt;1,R$1=""),"",SUMIFS('All Donations'!$S$2:$S$4001,'All Donations'!$R$2:$R$4001,$AD466,'All Donations'!$T$2:$T$4001,R$1))</f>
        <v/>
      </c>
      <c r="S466" s="49">
        <f>IF(OR($AE466&lt;&gt;1,S$1=""),"",SUMIFS('All Donations'!$S$2:$S$4001,'All Donations'!$R$2:$R$4001,$AD466,'All Donations'!$T$2:$T$4001,S$1))</f>
        <v/>
      </c>
      <c r="T466" s="49">
        <f>IF(OR($AE466&lt;&gt;1,T$1=""),"",SUMIFS('All Donations'!$S$2:$S$4001,'All Donations'!$R$2:$R$4001,$AD466,'All Donations'!$T$2:$T$4001,T$1))</f>
        <v/>
      </c>
      <c r="U466" s="49">
        <f>IF(OR($AE466&lt;&gt;1,U$1=""),"",SUMIFS('All Donations'!$S$2:$S$4001,'All Donations'!$R$2:$R$4001,$AD466,'All Donations'!$T$2:$T$4001,U$1))</f>
        <v/>
      </c>
      <c r="V466" s="49">
        <f>IF(OR($AE466&lt;&gt;1,V$1=""),"",SUMIFS('All Donations'!$S$2:$S$4001,'All Donations'!$R$2:$R$4001,$AD466,'All Donations'!$T$2:$T$4001,V$1))</f>
        <v/>
      </c>
      <c r="W466" s="49">
        <f>IF(OR($AE466&lt;&gt;1,W$1=""),"",SUMIFS('All Donations'!$S$2:$S$4001,'All Donations'!$R$2:$R$4001,$AD466,'All Donations'!$T$2:$T$4001,W$1))</f>
        <v/>
      </c>
      <c r="X466" s="49">
        <f>IF(OR($AE466&lt;&gt;1,X$1=""),"",SUMIFS('All Donations'!$S$2:$S$4001,'All Donations'!$R$2:$R$4001,$AD466,'All Donations'!$T$2:$T$4001,X$1))</f>
        <v/>
      </c>
      <c r="Y466" s="49">
        <f>IF(OR($AE466&lt;&gt;1,Y$1=""),"",SUMIFS('All Donations'!$S$2:$S$4001,'All Donations'!$R$2:$R$4001,$AD466,'All Donations'!$T$2:$T$4001,Y$1))</f>
        <v/>
      </c>
      <c r="Z466" s="49">
        <f>IF(OR($AE466&lt;&gt;1,Z$1=""),"",SUMIFS('All Donations'!$S$2:$S$4001,'All Donations'!$R$2:$R$4001,$AD466,'All Donations'!$T$2:$T$4001,Z$1))</f>
        <v/>
      </c>
      <c r="AA466" s="49">
        <f>IF(OR($AE466&lt;&gt;1,AA$1=""),"",SUMIFS('All Donations'!$S$2:$S$4001,'All Donations'!$R$2:$R$4001,$AD466,'All Donations'!$T$2:$T$4001,AA$1))</f>
        <v/>
      </c>
      <c r="AB466" s="49">
        <f>IF(OR($AE466&lt;&gt;1,AB$1=""),"",SUMIFS('All Donations'!$S$2:$S$4001,'All Donations'!$R$2:$R$4001,$AD466,'All Donations'!$T$2:$T$4001,AB$1))</f>
        <v/>
      </c>
      <c r="AC466" s="49">
        <f>IF(OR($AE466&lt;&gt;1,AC$1=""),"",SUMIFS('All Donations'!$S$2:$S$4001,'All Donations'!$R$2:$R$4001,$AD466,'All Donations'!$T$2:$T$4001,AC$1))</f>
        <v/>
      </c>
      <c r="AD466">
        <f>IF(AE466=1,'Roster'!A466,"")</f>
        <v/>
      </c>
      <c r="AE466">
        <f>IF(TRIM('Roster'!B466&amp;'Roster'!C466)&lt;&gt;"",1,0)</f>
        <v/>
      </c>
      <c r="AF466">
        <f>IF(AE466=1,LOWER(A466),"#")</f>
        <v/>
      </c>
      <c r="AG466">
        <f>IF(AE466=1,LOWER(TRIM(TRIM('Roster'!C466)&amp;", "&amp;TRIM('Roster'!B466))),"#")</f>
        <v/>
      </c>
      <c r="AH466">
        <f>IF(AND(AE466=1,TRIM('Roster'!F466)&lt;&gt;""),LOWER(TRIM('Roster'!F466)),"#")</f>
        <v/>
      </c>
      <c r="AI466">
        <f>IF(AE466=1,IF(MATCH(B466,$B$2:$B$701,0)=ROW()-1,1,0),0)</f>
        <v/>
      </c>
      <c r="AJ466">
        <f>AJ465+AI466</f>
        <v/>
      </c>
      <c r="AK466">
        <f>IF(AE466=1,D466+(1000-ROW())/10^7,-1)</f>
        <v/>
      </c>
      <c r="AL466">
        <f>IF(AE466=1,TRIM('Roster'!B466)&amp;" "&amp;LEFT(TRIM('Roster'!C466),1)&amp;".","")</f>
        <v/>
      </c>
      <c r="AM466">
        <f>IF(AE466=1,TRIM('Roster'!C466)&amp;", "&amp;TRIM('Roster'!B466)&amp;" ("&amp;B466&amp;") #"&amp;AD466,"")</f>
        <v/>
      </c>
      <c r="AN466">
        <f>IF(AE466=1,TRIM('Roster'!E466),"")</f>
        <v/>
      </c>
      <c r="AO466">
        <f>IF(AE466=1,ROUND(SUMIFS('All Donations'!$S$2:$S$4001,'All Donations'!$R$2:$R$4001,AD466,'All Donations'!$T$2:$T$4001,"&gt;="&amp;'Settings'!$C$23,'All Donations'!$T$2:$T$4001,"&lt;="&amp;'Settings'!$D$23),2),0)</f>
        <v/>
      </c>
      <c r="AQ466">
        <f>IF(AE466=1,ROUND(SUMIFS('All Donations'!$S$2:$S$4001,'All Donations'!$R$2:$R$4001,AD466,'All Donations'!$T$2:$T$4001,"&gt;="&amp;'Settings'!$C$25,'All Donations'!$T$2:$T$4001,"&lt;="&amp;'Settings'!$D$25),2),0)</f>
        <v/>
      </c>
      <c r="AR466">
        <f>IF(AE466=1,ROUND(SUMIFS('All Donations'!$S$2:$S$4001,'All Donations'!$R$2:$R$4001,AD466,'All Donations'!$T$2:$T$4001,"&gt;="&amp;'Settings'!$C$26,'All Donations'!$T$2:$T$4001,"&lt;="&amp;'Settings'!$D$26),2),0)</f>
        <v/>
      </c>
      <c r="AS466">
        <f>IF(AE466=1,ROUND(SUMIFS('All Donations'!$S$2:$S$4001,'All Donations'!$R$2:$R$4001,AD466,'All Donations'!$T$2:$T$4001,"&lt;="&amp;'Settings'!$D$27),2),0)</f>
        <v/>
      </c>
      <c r="AT466">
        <f>IF(AE466=1,ROUND(SUMIFS('All Donations'!$S$2:$S$4001,'All Donations'!$R$2:$R$4001,AD466,'All Donations'!$T$2:$T$4001,"&gt;="&amp;'Settings'!$C$28,'All Donations'!$T$2:$T$4001,"&lt;="&amp;'Settings'!$D$28),2),0)</f>
        <v/>
      </c>
      <c r="AU466">
        <f>IF(AE466=1,ROUND(SUMIFS('All Donations'!$S$2:$S$4001,'All Donations'!$R$2:$R$4001,AD466,'All Donations'!$T$2:$T$4001,"&gt;="&amp;'Settings'!$C$29,'All Donations'!$T$2:$T$4001,"&lt;="&amp;'Settings'!$D$29),2),0)</f>
        <v/>
      </c>
      <c r="AV466">
        <f>IF(AE466=1,ROUND(SUMIFS('All Donations'!$S$2:$S$4001,'All Donations'!$R$2:$R$4001,AD466,'All Donations'!$T$2:$T$4001,"&lt;="&amp;'Settings'!$D$30),2),0)</f>
        <v/>
      </c>
      <c r="AZ466">
        <f>IF(AE466=1,ROUND(SUMIFS('All Donations'!$S$2:$S$4001,'All Donations'!$R$2:$R$4001,AD466,'All Donations'!$T$2:$T$4001,"&lt;="&amp;'Settings'!$D$34),2),0)</f>
        <v/>
      </c>
    </row>
    <row r="467">
      <c r="A467">
        <f>IF(AE467=1,TRIM(TRIM('Roster'!B467)&amp;" "&amp;TRIM('Roster'!C467)),"")</f>
        <v/>
      </c>
      <c r="B467">
        <f>IF(AE467=1,IF(AN467="","(no teacher)",AN467&amp;" – "&amp;C467),"")</f>
        <v/>
      </c>
      <c r="C467">
        <f>IF(AE467=1,TRIM('Roster'!D467&amp;""),"")</f>
        <v/>
      </c>
      <c r="D467" s="48">
        <f>IF(AE467=1,ROUND(SUMIFS('All Donations'!$S$2:$S$4001,'All Donations'!$R$2:$R$4001,AD467),2),"")</f>
        <v/>
      </c>
      <c r="E467" s="48">
        <f>IF(AE467=1,ROUND(SUMIFS('All Donations'!$S$2:$S$4001,'All Donations'!$R$2:$R$4001,AD467,'All Donations'!$G$2:$G$4001,"OneCause"),2),"")</f>
        <v/>
      </c>
      <c r="F467" s="48">
        <f>IF(AE467=1,D467-E467,"")</f>
        <v/>
      </c>
      <c r="G467">
        <f>IF(AE467=1,COUNTIFS('All Donations'!$R$2:$R$4001,AD467,'All Donations'!$H$2:$H$4001,"OK"),"")</f>
        <v/>
      </c>
      <c r="H467">
        <f>IF(AE467&lt;&gt;1,"",IF(D467&gt;0,"Yes",""))</f>
        <v/>
      </c>
      <c r="I467" s="49">
        <f>IF(OR($AE467&lt;&gt;1,I$1=""),"",SUMIFS('All Donations'!$S$2:$S$4001,'All Donations'!$R$2:$R$4001,$AD467,'All Donations'!$T$2:$T$4001,I$1))</f>
        <v/>
      </c>
      <c r="J467" s="49">
        <f>IF(OR($AE467&lt;&gt;1,J$1=""),"",SUMIFS('All Donations'!$S$2:$S$4001,'All Donations'!$R$2:$R$4001,$AD467,'All Donations'!$T$2:$T$4001,J$1))</f>
        <v/>
      </c>
      <c r="K467" s="49">
        <f>IF(OR($AE467&lt;&gt;1,K$1=""),"",SUMIFS('All Donations'!$S$2:$S$4001,'All Donations'!$R$2:$R$4001,$AD467,'All Donations'!$T$2:$T$4001,K$1))</f>
        <v/>
      </c>
      <c r="L467" s="49">
        <f>IF(OR($AE467&lt;&gt;1,L$1=""),"",SUMIFS('All Donations'!$S$2:$S$4001,'All Donations'!$R$2:$R$4001,$AD467,'All Donations'!$T$2:$T$4001,L$1))</f>
        <v/>
      </c>
      <c r="M467" s="49">
        <f>IF(OR($AE467&lt;&gt;1,M$1=""),"",SUMIFS('All Donations'!$S$2:$S$4001,'All Donations'!$R$2:$R$4001,$AD467,'All Donations'!$T$2:$T$4001,M$1))</f>
        <v/>
      </c>
      <c r="N467" s="49">
        <f>IF(OR($AE467&lt;&gt;1,N$1=""),"",SUMIFS('All Donations'!$S$2:$S$4001,'All Donations'!$R$2:$R$4001,$AD467,'All Donations'!$T$2:$T$4001,N$1))</f>
        <v/>
      </c>
      <c r="O467" s="49">
        <f>IF(OR($AE467&lt;&gt;1,O$1=""),"",SUMIFS('All Donations'!$S$2:$S$4001,'All Donations'!$R$2:$R$4001,$AD467,'All Donations'!$T$2:$T$4001,O$1))</f>
        <v/>
      </c>
      <c r="P467" s="49">
        <f>IF(OR($AE467&lt;&gt;1,P$1=""),"",SUMIFS('All Donations'!$S$2:$S$4001,'All Donations'!$R$2:$R$4001,$AD467,'All Donations'!$T$2:$T$4001,P$1))</f>
        <v/>
      </c>
      <c r="Q467" s="49">
        <f>IF(OR($AE467&lt;&gt;1,Q$1=""),"",SUMIFS('All Donations'!$S$2:$S$4001,'All Donations'!$R$2:$R$4001,$AD467,'All Donations'!$T$2:$T$4001,Q$1))</f>
        <v/>
      </c>
      <c r="R467" s="49">
        <f>IF(OR($AE467&lt;&gt;1,R$1=""),"",SUMIFS('All Donations'!$S$2:$S$4001,'All Donations'!$R$2:$R$4001,$AD467,'All Donations'!$T$2:$T$4001,R$1))</f>
        <v/>
      </c>
      <c r="S467" s="49">
        <f>IF(OR($AE467&lt;&gt;1,S$1=""),"",SUMIFS('All Donations'!$S$2:$S$4001,'All Donations'!$R$2:$R$4001,$AD467,'All Donations'!$T$2:$T$4001,S$1))</f>
        <v/>
      </c>
      <c r="T467" s="49">
        <f>IF(OR($AE467&lt;&gt;1,T$1=""),"",SUMIFS('All Donations'!$S$2:$S$4001,'All Donations'!$R$2:$R$4001,$AD467,'All Donations'!$T$2:$T$4001,T$1))</f>
        <v/>
      </c>
      <c r="U467" s="49">
        <f>IF(OR($AE467&lt;&gt;1,U$1=""),"",SUMIFS('All Donations'!$S$2:$S$4001,'All Donations'!$R$2:$R$4001,$AD467,'All Donations'!$T$2:$T$4001,U$1))</f>
        <v/>
      </c>
      <c r="V467" s="49">
        <f>IF(OR($AE467&lt;&gt;1,V$1=""),"",SUMIFS('All Donations'!$S$2:$S$4001,'All Donations'!$R$2:$R$4001,$AD467,'All Donations'!$T$2:$T$4001,V$1))</f>
        <v/>
      </c>
      <c r="W467" s="49">
        <f>IF(OR($AE467&lt;&gt;1,W$1=""),"",SUMIFS('All Donations'!$S$2:$S$4001,'All Donations'!$R$2:$R$4001,$AD467,'All Donations'!$T$2:$T$4001,W$1))</f>
        <v/>
      </c>
      <c r="X467" s="49">
        <f>IF(OR($AE467&lt;&gt;1,X$1=""),"",SUMIFS('All Donations'!$S$2:$S$4001,'All Donations'!$R$2:$R$4001,$AD467,'All Donations'!$T$2:$T$4001,X$1))</f>
        <v/>
      </c>
      <c r="Y467" s="49">
        <f>IF(OR($AE467&lt;&gt;1,Y$1=""),"",SUMIFS('All Donations'!$S$2:$S$4001,'All Donations'!$R$2:$R$4001,$AD467,'All Donations'!$T$2:$T$4001,Y$1))</f>
        <v/>
      </c>
      <c r="Z467" s="49">
        <f>IF(OR($AE467&lt;&gt;1,Z$1=""),"",SUMIFS('All Donations'!$S$2:$S$4001,'All Donations'!$R$2:$R$4001,$AD467,'All Donations'!$T$2:$T$4001,Z$1))</f>
        <v/>
      </c>
      <c r="AA467" s="49">
        <f>IF(OR($AE467&lt;&gt;1,AA$1=""),"",SUMIFS('All Donations'!$S$2:$S$4001,'All Donations'!$R$2:$R$4001,$AD467,'All Donations'!$T$2:$T$4001,AA$1))</f>
        <v/>
      </c>
      <c r="AB467" s="49">
        <f>IF(OR($AE467&lt;&gt;1,AB$1=""),"",SUMIFS('All Donations'!$S$2:$S$4001,'All Donations'!$R$2:$R$4001,$AD467,'All Donations'!$T$2:$T$4001,AB$1))</f>
        <v/>
      </c>
      <c r="AC467" s="49">
        <f>IF(OR($AE467&lt;&gt;1,AC$1=""),"",SUMIFS('All Donations'!$S$2:$S$4001,'All Donations'!$R$2:$R$4001,$AD467,'All Donations'!$T$2:$T$4001,AC$1))</f>
        <v/>
      </c>
      <c r="AD467">
        <f>IF(AE467=1,'Roster'!A467,"")</f>
        <v/>
      </c>
      <c r="AE467">
        <f>IF(TRIM('Roster'!B467&amp;'Roster'!C467)&lt;&gt;"",1,0)</f>
        <v/>
      </c>
      <c r="AF467">
        <f>IF(AE467=1,LOWER(A467),"#")</f>
        <v/>
      </c>
      <c r="AG467">
        <f>IF(AE467=1,LOWER(TRIM(TRIM('Roster'!C467)&amp;", "&amp;TRIM('Roster'!B467))),"#")</f>
        <v/>
      </c>
      <c r="AH467">
        <f>IF(AND(AE467=1,TRIM('Roster'!F467)&lt;&gt;""),LOWER(TRIM('Roster'!F467)),"#")</f>
        <v/>
      </c>
      <c r="AI467">
        <f>IF(AE467=1,IF(MATCH(B467,$B$2:$B$701,0)=ROW()-1,1,0),0)</f>
        <v/>
      </c>
      <c r="AJ467">
        <f>AJ466+AI467</f>
        <v/>
      </c>
      <c r="AK467">
        <f>IF(AE467=1,D467+(1000-ROW())/10^7,-1)</f>
        <v/>
      </c>
      <c r="AL467">
        <f>IF(AE467=1,TRIM('Roster'!B467)&amp;" "&amp;LEFT(TRIM('Roster'!C467),1)&amp;".","")</f>
        <v/>
      </c>
      <c r="AM467">
        <f>IF(AE467=1,TRIM('Roster'!C467)&amp;", "&amp;TRIM('Roster'!B467)&amp;" ("&amp;B467&amp;") #"&amp;AD467,"")</f>
        <v/>
      </c>
      <c r="AN467">
        <f>IF(AE467=1,TRIM('Roster'!E467),"")</f>
        <v/>
      </c>
      <c r="AO467">
        <f>IF(AE467=1,ROUND(SUMIFS('All Donations'!$S$2:$S$4001,'All Donations'!$R$2:$R$4001,AD467,'All Donations'!$T$2:$T$4001,"&gt;="&amp;'Settings'!$C$23,'All Donations'!$T$2:$T$4001,"&lt;="&amp;'Settings'!$D$23),2),0)</f>
        <v/>
      </c>
      <c r="AQ467">
        <f>IF(AE467=1,ROUND(SUMIFS('All Donations'!$S$2:$S$4001,'All Donations'!$R$2:$R$4001,AD467,'All Donations'!$T$2:$T$4001,"&gt;="&amp;'Settings'!$C$25,'All Donations'!$T$2:$T$4001,"&lt;="&amp;'Settings'!$D$25),2),0)</f>
        <v/>
      </c>
      <c r="AR467">
        <f>IF(AE467=1,ROUND(SUMIFS('All Donations'!$S$2:$S$4001,'All Donations'!$R$2:$R$4001,AD467,'All Donations'!$T$2:$T$4001,"&gt;="&amp;'Settings'!$C$26,'All Donations'!$T$2:$T$4001,"&lt;="&amp;'Settings'!$D$26),2),0)</f>
        <v/>
      </c>
      <c r="AS467">
        <f>IF(AE467=1,ROUND(SUMIFS('All Donations'!$S$2:$S$4001,'All Donations'!$R$2:$R$4001,AD467,'All Donations'!$T$2:$T$4001,"&lt;="&amp;'Settings'!$D$27),2),0)</f>
        <v/>
      </c>
      <c r="AT467">
        <f>IF(AE467=1,ROUND(SUMIFS('All Donations'!$S$2:$S$4001,'All Donations'!$R$2:$R$4001,AD467,'All Donations'!$T$2:$T$4001,"&gt;="&amp;'Settings'!$C$28,'All Donations'!$T$2:$T$4001,"&lt;="&amp;'Settings'!$D$28),2),0)</f>
        <v/>
      </c>
      <c r="AU467">
        <f>IF(AE467=1,ROUND(SUMIFS('All Donations'!$S$2:$S$4001,'All Donations'!$R$2:$R$4001,AD467,'All Donations'!$T$2:$T$4001,"&gt;="&amp;'Settings'!$C$29,'All Donations'!$T$2:$T$4001,"&lt;="&amp;'Settings'!$D$29),2),0)</f>
        <v/>
      </c>
      <c r="AV467">
        <f>IF(AE467=1,ROUND(SUMIFS('All Donations'!$S$2:$S$4001,'All Donations'!$R$2:$R$4001,AD467,'All Donations'!$T$2:$T$4001,"&lt;="&amp;'Settings'!$D$30),2),0)</f>
        <v/>
      </c>
      <c r="AZ467">
        <f>IF(AE467=1,ROUND(SUMIFS('All Donations'!$S$2:$S$4001,'All Donations'!$R$2:$R$4001,AD467,'All Donations'!$T$2:$T$4001,"&lt;="&amp;'Settings'!$D$34),2),0)</f>
        <v/>
      </c>
    </row>
    <row r="468">
      <c r="A468">
        <f>IF(AE468=1,TRIM(TRIM('Roster'!B468)&amp;" "&amp;TRIM('Roster'!C468)),"")</f>
        <v/>
      </c>
      <c r="B468">
        <f>IF(AE468=1,IF(AN468="","(no teacher)",AN468&amp;" – "&amp;C468),"")</f>
        <v/>
      </c>
      <c r="C468">
        <f>IF(AE468=1,TRIM('Roster'!D468&amp;""),"")</f>
        <v/>
      </c>
      <c r="D468" s="48">
        <f>IF(AE468=1,ROUND(SUMIFS('All Donations'!$S$2:$S$4001,'All Donations'!$R$2:$R$4001,AD468),2),"")</f>
        <v/>
      </c>
      <c r="E468" s="48">
        <f>IF(AE468=1,ROUND(SUMIFS('All Donations'!$S$2:$S$4001,'All Donations'!$R$2:$R$4001,AD468,'All Donations'!$G$2:$G$4001,"OneCause"),2),"")</f>
        <v/>
      </c>
      <c r="F468" s="48">
        <f>IF(AE468=1,D468-E468,"")</f>
        <v/>
      </c>
      <c r="G468">
        <f>IF(AE468=1,COUNTIFS('All Donations'!$R$2:$R$4001,AD468,'All Donations'!$H$2:$H$4001,"OK"),"")</f>
        <v/>
      </c>
      <c r="H468">
        <f>IF(AE468&lt;&gt;1,"",IF(D468&gt;0,"Yes",""))</f>
        <v/>
      </c>
      <c r="I468" s="49">
        <f>IF(OR($AE468&lt;&gt;1,I$1=""),"",SUMIFS('All Donations'!$S$2:$S$4001,'All Donations'!$R$2:$R$4001,$AD468,'All Donations'!$T$2:$T$4001,I$1))</f>
        <v/>
      </c>
      <c r="J468" s="49">
        <f>IF(OR($AE468&lt;&gt;1,J$1=""),"",SUMIFS('All Donations'!$S$2:$S$4001,'All Donations'!$R$2:$R$4001,$AD468,'All Donations'!$T$2:$T$4001,J$1))</f>
        <v/>
      </c>
      <c r="K468" s="49">
        <f>IF(OR($AE468&lt;&gt;1,K$1=""),"",SUMIFS('All Donations'!$S$2:$S$4001,'All Donations'!$R$2:$R$4001,$AD468,'All Donations'!$T$2:$T$4001,K$1))</f>
        <v/>
      </c>
      <c r="L468" s="49">
        <f>IF(OR($AE468&lt;&gt;1,L$1=""),"",SUMIFS('All Donations'!$S$2:$S$4001,'All Donations'!$R$2:$R$4001,$AD468,'All Donations'!$T$2:$T$4001,L$1))</f>
        <v/>
      </c>
      <c r="M468" s="49">
        <f>IF(OR($AE468&lt;&gt;1,M$1=""),"",SUMIFS('All Donations'!$S$2:$S$4001,'All Donations'!$R$2:$R$4001,$AD468,'All Donations'!$T$2:$T$4001,M$1))</f>
        <v/>
      </c>
      <c r="N468" s="49">
        <f>IF(OR($AE468&lt;&gt;1,N$1=""),"",SUMIFS('All Donations'!$S$2:$S$4001,'All Donations'!$R$2:$R$4001,$AD468,'All Donations'!$T$2:$T$4001,N$1))</f>
        <v/>
      </c>
      <c r="O468" s="49">
        <f>IF(OR($AE468&lt;&gt;1,O$1=""),"",SUMIFS('All Donations'!$S$2:$S$4001,'All Donations'!$R$2:$R$4001,$AD468,'All Donations'!$T$2:$T$4001,O$1))</f>
        <v/>
      </c>
      <c r="P468" s="49">
        <f>IF(OR($AE468&lt;&gt;1,P$1=""),"",SUMIFS('All Donations'!$S$2:$S$4001,'All Donations'!$R$2:$R$4001,$AD468,'All Donations'!$T$2:$T$4001,P$1))</f>
        <v/>
      </c>
      <c r="Q468" s="49">
        <f>IF(OR($AE468&lt;&gt;1,Q$1=""),"",SUMIFS('All Donations'!$S$2:$S$4001,'All Donations'!$R$2:$R$4001,$AD468,'All Donations'!$T$2:$T$4001,Q$1))</f>
        <v/>
      </c>
      <c r="R468" s="49">
        <f>IF(OR($AE468&lt;&gt;1,R$1=""),"",SUMIFS('All Donations'!$S$2:$S$4001,'All Donations'!$R$2:$R$4001,$AD468,'All Donations'!$T$2:$T$4001,R$1))</f>
        <v/>
      </c>
      <c r="S468" s="49">
        <f>IF(OR($AE468&lt;&gt;1,S$1=""),"",SUMIFS('All Donations'!$S$2:$S$4001,'All Donations'!$R$2:$R$4001,$AD468,'All Donations'!$T$2:$T$4001,S$1))</f>
        <v/>
      </c>
      <c r="T468" s="49">
        <f>IF(OR($AE468&lt;&gt;1,T$1=""),"",SUMIFS('All Donations'!$S$2:$S$4001,'All Donations'!$R$2:$R$4001,$AD468,'All Donations'!$T$2:$T$4001,T$1))</f>
        <v/>
      </c>
      <c r="U468" s="49">
        <f>IF(OR($AE468&lt;&gt;1,U$1=""),"",SUMIFS('All Donations'!$S$2:$S$4001,'All Donations'!$R$2:$R$4001,$AD468,'All Donations'!$T$2:$T$4001,U$1))</f>
        <v/>
      </c>
      <c r="V468" s="49">
        <f>IF(OR($AE468&lt;&gt;1,V$1=""),"",SUMIFS('All Donations'!$S$2:$S$4001,'All Donations'!$R$2:$R$4001,$AD468,'All Donations'!$T$2:$T$4001,V$1))</f>
        <v/>
      </c>
      <c r="W468" s="49">
        <f>IF(OR($AE468&lt;&gt;1,W$1=""),"",SUMIFS('All Donations'!$S$2:$S$4001,'All Donations'!$R$2:$R$4001,$AD468,'All Donations'!$T$2:$T$4001,W$1))</f>
        <v/>
      </c>
      <c r="X468" s="49">
        <f>IF(OR($AE468&lt;&gt;1,X$1=""),"",SUMIFS('All Donations'!$S$2:$S$4001,'All Donations'!$R$2:$R$4001,$AD468,'All Donations'!$T$2:$T$4001,X$1))</f>
        <v/>
      </c>
      <c r="Y468" s="49">
        <f>IF(OR($AE468&lt;&gt;1,Y$1=""),"",SUMIFS('All Donations'!$S$2:$S$4001,'All Donations'!$R$2:$R$4001,$AD468,'All Donations'!$T$2:$T$4001,Y$1))</f>
        <v/>
      </c>
      <c r="Z468" s="49">
        <f>IF(OR($AE468&lt;&gt;1,Z$1=""),"",SUMIFS('All Donations'!$S$2:$S$4001,'All Donations'!$R$2:$R$4001,$AD468,'All Donations'!$T$2:$T$4001,Z$1))</f>
        <v/>
      </c>
      <c r="AA468" s="49">
        <f>IF(OR($AE468&lt;&gt;1,AA$1=""),"",SUMIFS('All Donations'!$S$2:$S$4001,'All Donations'!$R$2:$R$4001,$AD468,'All Donations'!$T$2:$T$4001,AA$1))</f>
        <v/>
      </c>
      <c r="AB468" s="49">
        <f>IF(OR($AE468&lt;&gt;1,AB$1=""),"",SUMIFS('All Donations'!$S$2:$S$4001,'All Donations'!$R$2:$R$4001,$AD468,'All Donations'!$T$2:$T$4001,AB$1))</f>
        <v/>
      </c>
      <c r="AC468" s="49">
        <f>IF(OR($AE468&lt;&gt;1,AC$1=""),"",SUMIFS('All Donations'!$S$2:$S$4001,'All Donations'!$R$2:$R$4001,$AD468,'All Donations'!$T$2:$T$4001,AC$1))</f>
        <v/>
      </c>
      <c r="AD468">
        <f>IF(AE468=1,'Roster'!A468,"")</f>
        <v/>
      </c>
      <c r="AE468">
        <f>IF(TRIM('Roster'!B468&amp;'Roster'!C468)&lt;&gt;"",1,0)</f>
        <v/>
      </c>
      <c r="AF468">
        <f>IF(AE468=1,LOWER(A468),"#")</f>
        <v/>
      </c>
      <c r="AG468">
        <f>IF(AE468=1,LOWER(TRIM(TRIM('Roster'!C468)&amp;", "&amp;TRIM('Roster'!B468))),"#")</f>
        <v/>
      </c>
      <c r="AH468">
        <f>IF(AND(AE468=1,TRIM('Roster'!F468)&lt;&gt;""),LOWER(TRIM('Roster'!F468)),"#")</f>
        <v/>
      </c>
      <c r="AI468">
        <f>IF(AE468=1,IF(MATCH(B468,$B$2:$B$701,0)=ROW()-1,1,0),0)</f>
        <v/>
      </c>
      <c r="AJ468">
        <f>AJ467+AI468</f>
        <v/>
      </c>
      <c r="AK468">
        <f>IF(AE468=1,D468+(1000-ROW())/10^7,-1)</f>
        <v/>
      </c>
      <c r="AL468">
        <f>IF(AE468=1,TRIM('Roster'!B468)&amp;" "&amp;LEFT(TRIM('Roster'!C468),1)&amp;".","")</f>
        <v/>
      </c>
      <c r="AM468">
        <f>IF(AE468=1,TRIM('Roster'!C468)&amp;", "&amp;TRIM('Roster'!B468)&amp;" ("&amp;B468&amp;") #"&amp;AD468,"")</f>
        <v/>
      </c>
      <c r="AN468">
        <f>IF(AE468=1,TRIM('Roster'!E468),"")</f>
        <v/>
      </c>
      <c r="AO468">
        <f>IF(AE468=1,ROUND(SUMIFS('All Donations'!$S$2:$S$4001,'All Donations'!$R$2:$R$4001,AD468,'All Donations'!$T$2:$T$4001,"&gt;="&amp;'Settings'!$C$23,'All Donations'!$T$2:$T$4001,"&lt;="&amp;'Settings'!$D$23),2),0)</f>
        <v/>
      </c>
      <c r="AQ468">
        <f>IF(AE468=1,ROUND(SUMIFS('All Donations'!$S$2:$S$4001,'All Donations'!$R$2:$R$4001,AD468,'All Donations'!$T$2:$T$4001,"&gt;="&amp;'Settings'!$C$25,'All Donations'!$T$2:$T$4001,"&lt;="&amp;'Settings'!$D$25),2),0)</f>
        <v/>
      </c>
      <c r="AR468">
        <f>IF(AE468=1,ROUND(SUMIFS('All Donations'!$S$2:$S$4001,'All Donations'!$R$2:$R$4001,AD468,'All Donations'!$T$2:$T$4001,"&gt;="&amp;'Settings'!$C$26,'All Donations'!$T$2:$T$4001,"&lt;="&amp;'Settings'!$D$26),2),0)</f>
        <v/>
      </c>
      <c r="AS468">
        <f>IF(AE468=1,ROUND(SUMIFS('All Donations'!$S$2:$S$4001,'All Donations'!$R$2:$R$4001,AD468,'All Donations'!$T$2:$T$4001,"&lt;="&amp;'Settings'!$D$27),2),0)</f>
        <v/>
      </c>
      <c r="AT468">
        <f>IF(AE468=1,ROUND(SUMIFS('All Donations'!$S$2:$S$4001,'All Donations'!$R$2:$R$4001,AD468,'All Donations'!$T$2:$T$4001,"&gt;="&amp;'Settings'!$C$28,'All Donations'!$T$2:$T$4001,"&lt;="&amp;'Settings'!$D$28),2),0)</f>
        <v/>
      </c>
      <c r="AU468">
        <f>IF(AE468=1,ROUND(SUMIFS('All Donations'!$S$2:$S$4001,'All Donations'!$R$2:$R$4001,AD468,'All Donations'!$T$2:$T$4001,"&gt;="&amp;'Settings'!$C$29,'All Donations'!$T$2:$T$4001,"&lt;="&amp;'Settings'!$D$29),2),0)</f>
        <v/>
      </c>
      <c r="AV468">
        <f>IF(AE468=1,ROUND(SUMIFS('All Donations'!$S$2:$S$4001,'All Donations'!$R$2:$R$4001,AD468,'All Donations'!$T$2:$T$4001,"&lt;="&amp;'Settings'!$D$30),2),0)</f>
        <v/>
      </c>
      <c r="AZ468">
        <f>IF(AE468=1,ROUND(SUMIFS('All Donations'!$S$2:$S$4001,'All Donations'!$R$2:$R$4001,AD468,'All Donations'!$T$2:$T$4001,"&lt;="&amp;'Settings'!$D$34),2),0)</f>
        <v/>
      </c>
    </row>
    <row r="469">
      <c r="A469">
        <f>IF(AE469=1,TRIM(TRIM('Roster'!B469)&amp;" "&amp;TRIM('Roster'!C469)),"")</f>
        <v/>
      </c>
      <c r="B469">
        <f>IF(AE469=1,IF(AN469="","(no teacher)",AN469&amp;" – "&amp;C469),"")</f>
        <v/>
      </c>
      <c r="C469">
        <f>IF(AE469=1,TRIM('Roster'!D469&amp;""),"")</f>
        <v/>
      </c>
      <c r="D469" s="48">
        <f>IF(AE469=1,ROUND(SUMIFS('All Donations'!$S$2:$S$4001,'All Donations'!$R$2:$R$4001,AD469),2),"")</f>
        <v/>
      </c>
      <c r="E469" s="48">
        <f>IF(AE469=1,ROUND(SUMIFS('All Donations'!$S$2:$S$4001,'All Donations'!$R$2:$R$4001,AD469,'All Donations'!$G$2:$G$4001,"OneCause"),2),"")</f>
        <v/>
      </c>
      <c r="F469" s="48">
        <f>IF(AE469=1,D469-E469,"")</f>
        <v/>
      </c>
      <c r="G469">
        <f>IF(AE469=1,COUNTIFS('All Donations'!$R$2:$R$4001,AD469,'All Donations'!$H$2:$H$4001,"OK"),"")</f>
        <v/>
      </c>
      <c r="H469">
        <f>IF(AE469&lt;&gt;1,"",IF(D469&gt;0,"Yes",""))</f>
        <v/>
      </c>
      <c r="I469" s="49">
        <f>IF(OR($AE469&lt;&gt;1,I$1=""),"",SUMIFS('All Donations'!$S$2:$S$4001,'All Donations'!$R$2:$R$4001,$AD469,'All Donations'!$T$2:$T$4001,I$1))</f>
        <v/>
      </c>
      <c r="J469" s="49">
        <f>IF(OR($AE469&lt;&gt;1,J$1=""),"",SUMIFS('All Donations'!$S$2:$S$4001,'All Donations'!$R$2:$R$4001,$AD469,'All Donations'!$T$2:$T$4001,J$1))</f>
        <v/>
      </c>
      <c r="K469" s="49">
        <f>IF(OR($AE469&lt;&gt;1,K$1=""),"",SUMIFS('All Donations'!$S$2:$S$4001,'All Donations'!$R$2:$R$4001,$AD469,'All Donations'!$T$2:$T$4001,K$1))</f>
        <v/>
      </c>
      <c r="L469" s="49">
        <f>IF(OR($AE469&lt;&gt;1,L$1=""),"",SUMIFS('All Donations'!$S$2:$S$4001,'All Donations'!$R$2:$R$4001,$AD469,'All Donations'!$T$2:$T$4001,L$1))</f>
        <v/>
      </c>
      <c r="M469" s="49">
        <f>IF(OR($AE469&lt;&gt;1,M$1=""),"",SUMIFS('All Donations'!$S$2:$S$4001,'All Donations'!$R$2:$R$4001,$AD469,'All Donations'!$T$2:$T$4001,M$1))</f>
        <v/>
      </c>
      <c r="N469" s="49">
        <f>IF(OR($AE469&lt;&gt;1,N$1=""),"",SUMIFS('All Donations'!$S$2:$S$4001,'All Donations'!$R$2:$R$4001,$AD469,'All Donations'!$T$2:$T$4001,N$1))</f>
        <v/>
      </c>
      <c r="O469" s="49">
        <f>IF(OR($AE469&lt;&gt;1,O$1=""),"",SUMIFS('All Donations'!$S$2:$S$4001,'All Donations'!$R$2:$R$4001,$AD469,'All Donations'!$T$2:$T$4001,O$1))</f>
        <v/>
      </c>
      <c r="P469" s="49">
        <f>IF(OR($AE469&lt;&gt;1,P$1=""),"",SUMIFS('All Donations'!$S$2:$S$4001,'All Donations'!$R$2:$R$4001,$AD469,'All Donations'!$T$2:$T$4001,P$1))</f>
        <v/>
      </c>
      <c r="Q469" s="49">
        <f>IF(OR($AE469&lt;&gt;1,Q$1=""),"",SUMIFS('All Donations'!$S$2:$S$4001,'All Donations'!$R$2:$R$4001,$AD469,'All Donations'!$T$2:$T$4001,Q$1))</f>
        <v/>
      </c>
      <c r="R469" s="49">
        <f>IF(OR($AE469&lt;&gt;1,R$1=""),"",SUMIFS('All Donations'!$S$2:$S$4001,'All Donations'!$R$2:$R$4001,$AD469,'All Donations'!$T$2:$T$4001,R$1))</f>
        <v/>
      </c>
      <c r="S469" s="49">
        <f>IF(OR($AE469&lt;&gt;1,S$1=""),"",SUMIFS('All Donations'!$S$2:$S$4001,'All Donations'!$R$2:$R$4001,$AD469,'All Donations'!$T$2:$T$4001,S$1))</f>
        <v/>
      </c>
      <c r="T469" s="49">
        <f>IF(OR($AE469&lt;&gt;1,T$1=""),"",SUMIFS('All Donations'!$S$2:$S$4001,'All Donations'!$R$2:$R$4001,$AD469,'All Donations'!$T$2:$T$4001,T$1))</f>
        <v/>
      </c>
      <c r="U469" s="49">
        <f>IF(OR($AE469&lt;&gt;1,U$1=""),"",SUMIFS('All Donations'!$S$2:$S$4001,'All Donations'!$R$2:$R$4001,$AD469,'All Donations'!$T$2:$T$4001,U$1))</f>
        <v/>
      </c>
      <c r="V469" s="49">
        <f>IF(OR($AE469&lt;&gt;1,V$1=""),"",SUMIFS('All Donations'!$S$2:$S$4001,'All Donations'!$R$2:$R$4001,$AD469,'All Donations'!$T$2:$T$4001,V$1))</f>
        <v/>
      </c>
      <c r="W469" s="49">
        <f>IF(OR($AE469&lt;&gt;1,W$1=""),"",SUMIFS('All Donations'!$S$2:$S$4001,'All Donations'!$R$2:$R$4001,$AD469,'All Donations'!$T$2:$T$4001,W$1))</f>
        <v/>
      </c>
      <c r="X469" s="49">
        <f>IF(OR($AE469&lt;&gt;1,X$1=""),"",SUMIFS('All Donations'!$S$2:$S$4001,'All Donations'!$R$2:$R$4001,$AD469,'All Donations'!$T$2:$T$4001,X$1))</f>
        <v/>
      </c>
      <c r="Y469" s="49">
        <f>IF(OR($AE469&lt;&gt;1,Y$1=""),"",SUMIFS('All Donations'!$S$2:$S$4001,'All Donations'!$R$2:$R$4001,$AD469,'All Donations'!$T$2:$T$4001,Y$1))</f>
        <v/>
      </c>
      <c r="Z469" s="49">
        <f>IF(OR($AE469&lt;&gt;1,Z$1=""),"",SUMIFS('All Donations'!$S$2:$S$4001,'All Donations'!$R$2:$R$4001,$AD469,'All Donations'!$T$2:$T$4001,Z$1))</f>
        <v/>
      </c>
      <c r="AA469" s="49">
        <f>IF(OR($AE469&lt;&gt;1,AA$1=""),"",SUMIFS('All Donations'!$S$2:$S$4001,'All Donations'!$R$2:$R$4001,$AD469,'All Donations'!$T$2:$T$4001,AA$1))</f>
        <v/>
      </c>
      <c r="AB469" s="49">
        <f>IF(OR($AE469&lt;&gt;1,AB$1=""),"",SUMIFS('All Donations'!$S$2:$S$4001,'All Donations'!$R$2:$R$4001,$AD469,'All Donations'!$T$2:$T$4001,AB$1))</f>
        <v/>
      </c>
      <c r="AC469" s="49">
        <f>IF(OR($AE469&lt;&gt;1,AC$1=""),"",SUMIFS('All Donations'!$S$2:$S$4001,'All Donations'!$R$2:$R$4001,$AD469,'All Donations'!$T$2:$T$4001,AC$1))</f>
        <v/>
      </c>
      <c r="AD469">
        <f>IF(AE469=1,'Roster'!A469,"")</f>
        <v/>
      </c>
      <c r="AE469">
        <f>IF(TRIM('Roster'!B469&amp;'Roster'!C469)&lt;&gt;"",1,0)</f>
        <v/>
      </c>
      <c r="AF469">
        <f>IF(AE469=1,LOWER(A469),"#")</f>
        <v/>
      </c>
      <c r="AG469">
        <f>IF(AE469=1,LOWER(TRIM(TRIM('Roster'!C469)&amp;", "&amp;TRIM('Roster'!B469))),"#")</f>
        <v/>
      </c>
      <c r="AH469">
        <f>IF(AND(AE469=1,TRIM('Roster'!F469)&lt;&gt;""),LOWER(TRIM('Roster'!F469)),"#")</f>
        <v/>
      </c>
      <c r="AI469">
        <f>IF(AE469=1,IF(MATCH(B469,$B$2:$B$701,0)=ROW()-1,1,0),0)</f>
        <v/>
      </c>
      <c r="AJ469">
        <f>AJ468+AI469</f>
        <v/>
      </c>
      <c r="AK469">
        <f>IF(AE469=1,D469+(1000-ROW())/10^7,-1)</f>
        <v/>
      </c>
      <c r="AL469">
        <f>IF(AE469=1,TRIM('Roster'!B469)&amp;" "&amp;LEFT(TRIM('Roster'!C469),1)&amp;".","")</f>
        <v/>
      </c>
      <c r="AM469">
        <f>IF(AE469=1,TRIM('Roster'!C469)&amp;", "&amp;TRIM('Roster'!B469)&amp;" ("&amp;B469&amp;") #"&amp;AD469,"")</f>
        <v/>
      </c>
      <c r="AN469">
        <f>IF(AE469=1,TRIM('Roster'!E469),"")</f>
        <v/>
      </c>
      <c r="AO469">
        <f>IF(AE469=1,ROUND(SUMIFS('All Donations'!$S$2:$S$4001,'All Donations'!$R$2:$R$4001,AD469,'All Donations'!$T$2:$T$4001,"&gt;="&amp;'Settings'!$C$23,'All Donations'!$T$2:$T$4001,"&lt;="&amp;'Settings'!$D$23),2),0)</f>
        <v/>
      </c>
      <c r="AQ469">
        <f>IF(AE469=1,ROUND(SUMIFS('All Donations'!$S$2:$S$4001,'All Donations'!$R$2:$R$4001,AD469,'All Donations'!$T$2:$T$4001,"&gt;="&amp;'Settings'!$C$25,'All Donations'!$T$2:$T$4001,"&lt;="&amp;'Settings'!$D$25),2),0)</f>
        <v/>
      </c>
      <c r="AR469">
        <f>IF(AE469=1,ROUND(SUMIFS('All Donations'!$S$2:$S$4001,'All Donations'!$R$2:$R$4001,AD469,'All Donations'!$T$2:$T$4001,"&gt;="&amp;'Settings'!$C$26,'All Donations'!$T$2:$T$4001,"&lt;="&amp;'Settings'!$D$26),2),0)</f>
        <v/>
      </c>
      <c r="AS469">
        <f>IF(AE469=1,ROUND(SUMIFS('All Donations'!$S$2:$S$4001,'All Donations'!$R$2:$R$4001,AD469,'All Donations'!$T$2:$T$4001,"&lt;="&amp;'Settings'!$D$27),2),0)</f>
        <v/>
      </c>
      <c r="AT469">
        <f>IF(AE469=1,ROUND(SUMIFS('All Donations'!$S$2:$S$4001,'All Donations'!$R$2:$R$4001,AD469,'All Donations'!$T$2:$T$4001,"&gt;="&amp;'Settings'!$C$28,'All Donations'!$T$2:$T$4001,"&lt;="&amp;'Settings'!$D$28),2),0)</f>
        <v/>
      </c>
      <c r="AU469">
        <f>IF(AE469=1,ROUND(SUMIFS('All Donations'!$S$2:$S$4001,'All Donations'!$R$2:$R$4001,AD469,'All Donations'!$T$2:$T$4001,"&gt;="&amp;'Settings'!$C$29,'All Donations'!$T$2:$T$4001,"&lt;="&amp;'Settings'!$D$29),2),0)</f>
        <v/>
      </c>
      <c r="AV469">
        <f>IF(AE469=1,ROUND(SUMIFS('All Donations'!$S$2:$S$4001,'All Donations'!$R$2:$R$4001,AD469,'All Donations'!$T$2:$T$4001,"&lt;="&amp;'Settings'!$D$30),2),0)</f>
        <v/>
      </c>
      <c r="AZ469">
        <f>IF(AE469=1,ROUND(SUMIFS('All Donations'!$S$2:$S$4001,'All Donations'!$R$2:$R$4001,AD469,'All Donations'!$T$2:$T$4001,"&lt;="&amp;'Settings'!$D$34),2),0)</f>
        <v/>
      </c>
    </row>
    <row r="470">
      <c r="A470">
        <f>IF(AE470=1,TRIM(TRIM('Roster'!B470)&amp;" "&amp;TRIM('Roster'!C470)),"")</f>
        <v/>
      </c>
      <c r="B470">
        <f>IF(AE470=1,IF(AN470="","(no teacher)",AN470&amp;" – "&amp;C470),"")</f>
        <v/>
      </c>
      <c r="C470">
        <f>IF(AE470=1,TRIM('Roster'!D470&amp;""),"")</f>
        <v/>
      </c>
      <c r="D470" s="48">
        <f>IF(AE470=1,ROUND(SUMIFS('All Donations'!$S$2:$S$4001,'All Donations'!$R$2:$R$4001,AD470),2),"")</f>
        <v/>
      </c>
      <c r="E470" s="48">
        <f>IF(AE470=1,ROUND(SUMIFS('All Donations'!$S$2:$S$4001,'All Donations'!$R$2:$R$4001,AD470,'All Donations'!$G$2:$G$4001,"OneCause"),2),"")</f>
        <v/>
      </c>
      <c r="F470" s="48">
        <f>IF(AE470=1,D470-E470,"")</f>
        <v/>
      </c>
      <c r="G470">
        <f>IF(AE470=1,COUNTIFS('All Donations'!$R$2:$R$4001,AD470,'All Donations'!$H$2:$H$4001,"OK"),"")</f>
        <v/>
      </c>
      <c r="H470">
        <f>IF(AE470&lt;&gt;1,"",IF(D470&gt;0,"Yes",""))</f>
        <v/>
      </c>
      <c r="I470" s="49">
        <f>IF(OR($AE470&lt;&gt;1,I$1=""),"",SUMIFS('All Donations'!$S$2:$S$4001,'All Donations'!$R$2:$R$4001,$AD470,'All Donations'!$T$2:$T$4001,I$1))</f>
        <v/>
      </c>
      <c r="J470" s="49">
        <f>IF(OR($AE470&lt;&gt;1,J$1=""),"",SUMIFS('All Donations'!$S$2:$S$4001,'All Donations'!$R$2:$R$4001,$AD470,'All Donations'!$T$2:$T$4001,J$1))</f>
        <v/>
      </c>
      <c r="K470" s="49">
        <f>IF(OR($AE470&lt;&gt;1,K$1=""),"",SUMIFS('All Donations'!$S$2:$S$4001,'All Donations'!$R$2:$R$4001,$AD470,'All Donations'!$T$2:$T$4001,K$1))</f>
        <v/>
      </c>
      <c r="L470" s="49">
        <f>IF(OR($AE470&lt;&gt;1,L$1=""),"",SUMIFS('All Donations'!$S$2:$S$4001,'All Donations'!$R$2:$R$4001,$AD470,'All Donations'!$T$2:$T$4001,L$1))</f>
        <v/>
      </c>
      <c r="M470" s="49">
        <f>IF(OR($AE470&lt;&gt;1,M$1=""),"",SUMIFS('All Donations'!$S$2:$S$4001,'All Donations'!$R$2:$R$4001,$AD470,'All Donations'!$T$2:$T$4001,M$1))</f>
        <v/>
      </c>
      <c r="N470" s="49">
        <f>IF(OR($AE470&lt;&gt;1,N$1=""),"",SUMIFS('All Donations'!$S$2:$S$4001,'All Donations'!$R$2:$R$4001,$AD470,'All Donations'!$T$2:$T$4001,N$1))</f>
        <v/>
      </c>
      <c r="O470" s="49">
        <f>IF(OR($AE470&lt;&gt;1,O$1=""),"",SUMIFS('All Donations'!$S$2:$S$4001,'All Donations'!$R$2:$R$4001,$AD470,'All Donations'!$T$2:$T$4001,O$1))</f>
        <v/>
      </c>
      <c r="P470" s="49">
        <f>IF(OR($AE470&lt;&gt;1,P$1=""),"",SUMIFS('All Donations'!$S$2:$S$4001,'All Donations'!$R$2:$R$4001,$AD470,'All Donations'!$T$2:$T$4001,P$1))</f>
        <v/>
      </c>
      <c r="Q470" s="49">
        <f>IF(OR($AE470&lt;&gt;1,Q$1=""),"",SUMIFS('All Donations'!$S$2:$S$4001,'All Donations'!$R$2:$R$4001,$AD470,'All Donations'!$T$2:$T$4001,Q$1))</f>
        <v/>
      </c>
      <c r="R470" s="49">
        <f>IF(OR($AE470&lt;&gt;1,R$1=""),"",SUMIFS('All Donations'!$S$2:$S$4001,'All Donations'!$R$2:$R$4001,$AD470,'All Donations'!$T$2:$T$4001,R$1))</f>
        <v/>
      </c>
      <c r="S470" s="49">
        <f>IF(OR($AE470&lt;&gt;1,S$1=""),"",SUMIFS('All Donations'!$S$2:$S$4001,'All Donations'!$R$2:$R$4001,$AD470,'All Donations'!$T$2:$T$4001,S$1))</f>
        <v/>
      </c>
      <c r="T470" s="49">
        <f>IF(OR($AE470&lt;&gt;1,T$1=""),"",SUMIFS('All Donations'!$S$2:$S$4001,'All Donations'!$R$2:$R$4001,$AD470,'All Donations'!$T$2:$T$4001,T$1))</f>
        <v/>
      </c>
      <c r="U470" s="49">
        <f>IF(OR($AE470&lt;&gt;1,U$1=""),"",SUMIFS('All Donations'!$S$2:$S$4001,'All Donations'!$R$2:$R$4001,$AD470,'All Donations'!$T$2:$T$4001,U$1))</f>
        <v/>
      </c>
      <c r="V470" s="49">
        <f>IF(OR($AE470&lt;&gt;1,V$1=""),"",SUMIFS('All Donations'!$S$2:$S$4001,'All Donations'!$R$2:$R$4001,$AD470,'All Donations'!$T$2:$T$4001,V$1))</f>
        <v/>
      </c>
      <c r="W470" s="49">
        <f>IF(OR($AE470&lt;&gt;1,W$1=""),"",SUMIFS('All Donations'!$S$2:$S$4001,'All Donations'!$R$2:$R$4001,$AD470,'All Donations'!$T$2:$T$4001,W$1))</f>
        <v/>
      </c>
      <c r="X470" s="49">
        <f>IF(OR($AE470&lt;&gt;1,X$1=""),"",SUMIFS('All Donations'!$S$2:$S$4001,'All Donations'!$R$2:$R$4001,$AD470,'All Donations'!$T$2:$T$4001,X$1))</f>
        <v/>
      </c>
      <c r="Y470" s="49">
        <f>IF(OR($AE470&lt;&gt;1,Y$1=""),"",SUMIFS('All Donations'!$S$2:$S$4001,'All Donations'!$R$2:$R$4001,$AD470,'All Donations'!$T$2:$T$4001,Y$1))</f>
        <v/>
      </c>
      <c r="Z470" s="49">
        <f>IF(OR($AE470&lt;&gt;1,Z$1=""),"",SUMIFS('All Donations'!$S$2:$S$4001,'All Donations'!$R$2:$R$4001,$AD470,'All Donations'!$T$2:$T$4001,Z$1))</f>
        <v/>
      </c>
      <c r="AA470" s="49">
        <f>IF(OR($AE470&lt;&gt;1,AA$1=""),"",SUMIFS('All Donations'!$S$2:$S$4001,'All Donations'!$R$2:$R$4001,$AD470,'All Donations'!$T$2:$T$4001,AA$1))</f>
        <v/>
      </c>
      <c r="AB470" s="49">
        <f>IF(OR($AE470&lt;&gt;1,AB$1=""),"",SUMIFS('All Donations'!$S$2:$S$4001,'All Donations'!$R$2:$R$4001,$AD470,'All Donations'!$T$2:$T$4001,AB$1))</f>
        <v/>
      </c>
      <c r="AC470" s="49">
        <f>IF(OR($AE470&lt;&gt;1,AC$1=""),"",SUMIFS('All Donations'!$S$2:$S$4001,'All Donations'!$R$2:$R$4001,$AD470,'All Donations'!$T$2:$T$4001,AC$1))</f>
        <v/>
      </c>
      <c r="AD470">
        <f>IF(AE470=1,'Roster'!A470,"")</f>
        <v/>
      </c>
      <c r="AE470">
        <f>IF(TRIM('Roster'!B470&amp;'Roster'!C470)&lt;&gt;"",1,0)</f>
        <v/>
      </c>
      <c r="AF470">
        <f>IF(AE470=1,LOWER(A470),"#")</f>
        <v/>
      </c>
      <c r="AG470">
        <f>IF(AE470=1,LOWER(TRIM(TRIM('Roster'!C470)&amp;", "&amp;TRIM('Roster'!B470))),"#")</f>
        <v/>
      </c>
      <c r="AH470">
        <f>IF(AND(AE470=1,TRIM('Roster'!F470)&lt;&gt;""),LOWER(TRIM('Roster'!F470)),"#")</f>
        <v/>
      </c>
      <c r="AI470">
        <f>IF(AE470=1,IF(MATCH(B470,$B$2:$B$701,0)=ROW()-1,1,0),0)</f>
        <v/>
      </c>
      <c r="AJ470">
        <f>AJ469+AI470</f>
        <v/>
      </c>
      <c r="AK470">
        <f>IF(AE470=1,D470+(1000-ROW())/10^7,-1)</f>
        <v/>
      </c>
      <c r="AL470">
        <f>IF(AE470=1,TRIM('Roster'!B470)&amp;" "&amp;LEFT(TRIM('Roster'!C470),1)&amp;".","")</f>
        <v/>
      </c>
      <c r="AM470">
        <f>IF(AE470=1,TRIM('Roster'!C470)&amp;", "&amp;TRIM('Roster'!B470)&amp;" ("&amp;B470&amp;") #"&amp;AD470,"")</f>
        <v/>
      </c>
      <c r="AN470">
        <f>IF(AE470=1,TRIM('Roster'!E470),"")</f>
        <v/>
      </c>
      <c r="AO470">
        <f>IF(AE470=1,ROUND(SUMIFS('All Donations'!$S$2:$S$4001,'All Donations'!$R$2:$R$4001,AD470,'All Donations'!$T$2:$T$4001,"&gt;="&amp;'Settings'!$C$23,'All Donations'!$T$2:$T$4001,"&lt;="&amp;'Settings'!$D$23),2),0)</f>
        <v/>
      </c>
      <c r="AQ470">
        <f>IF(AE470=1,ROUND(SUMIFS('All Donations'!$S$2:$S$4001,'All Donations'!$R$2:$R$4001,AD470,'All Donations'!$T$2:$T$4001,"&gt;="&amp;'Settings'!$C$25,'All Donations'!$T$2:$T$4001,"&lt;="&amp;'Settings'!$D$25),2),0)</f>
        <v/>
      </c>
      <c r="AR470">
        <f>IF(AE470=1,ROUND(SUMIFS('All Donations'!$S$2:$S$4001,'All Donations'!$R$2:$R$4001,AD470,'All Donations'!$T$2:$T$4001,"&gt;="&amp;'Settings'!$C$26,'All Donations'!$T$2:$T$4001,"&lt;="&amp;'Settings'!$D$26),2),0)</f>
        <v/>
      </c>
      <c r="AS470">
        <f>IF(AE470=1,ROUND(SUMIFS('All Donations'!$S$2:$S$4001,'All Donations'!$R$2:$R$4001,AD470,'All Donations'!$T$2:$T$4001,"&lt;="&amp;'Settings'!$D$27),2),0)</f>
        <v/>
      </c>
      <c r="AT470">
        <f>IF(AE470=1,ROUND(SUMIFS('All Donations'!$S$2:$S$4001,'All Donations'!$R$2:$R$4001,AD470,'All Donations'!$T$2:$T$4001,"&gt;="&amp;'Settings'!$C$28,'All Donations'!$T$2:$T$4001,"&lt;="&amp;'Settings'!$D$28),2),0)</f>
        <v/>
      </c>
      <c r="AU470">
        <f>IF(AE470=1,ROUND(SUMIFS('All Donations'!$S$2:$S$4001,'All Donations'!$R$2:$R$4001,AD470,'All Donations'!$T$2:$T$4001,"&gt;="&amp;'Settings'!$C$29,'All Donations'!$T$2:$T$4001,"&lt;="&amp;'Settings'!$D$29),2),0)</f>
        <v/>
      </c>
      <c r="AV470">
        <f>IF(AE470=1,ROUND(SUMIFS('All Donations'!$S$2:$S$4001,'All Donations'!$R$2:$R$4001,AD470,'All Donations'!$T$2:$T$4001,"&lt;="&amp;'Settings'!$D$30),2),0)</f>
        <v/>
      </c>
      <c r="AZ470">
        <f>IF(AE470=1,ROUND(SUMIFS('All Donations'!$S$2:$S$4001,'All Donations'!$R$2:$R$4001,AD470,'All Donations'!$T$2:$T$4001,"&lt;="&amp;'Settings'!$D$34),2),0)</f>
        <v/>
      </c>
    </row>
    <row r="471">
      <c r="A471">
        <f>IF(AE471=1,TRIM(TRIM('Roster'!B471)&amp;" "&amp;TRIM('Roster'!C471)),"")</f>
        <v/>
      </c>
      <c r="B471">
        <f>IF(AE471=1,IF(AN471="","(no teacher)",AN471&amp;" – "&amp;C471),"")</f>
        <v/>
      </c>
      <c r="C471">
        <f>IF(AE471=1,TRIM('Roster'!D471&amp;""),"")</f>
        <v/>
      </c>
      <c r="D471" s="48">
        <f>IF(AE471=1,ROUND(SUMIFS('All Donations'!$S$2:$S$4001,'All Donations'!$R$2:$R$4001,AD471),2),"")</f>
        <v/>
      </c>
      <c r="E471" s="48">
        <f>IF(AE471=1,ROUND(SUMIFS('All Donations'!$S$2:$S$4001,'All Donations'!$R$2:$R$4001,AD471,'All Donations'!$G$2:$G$4001,"OneCause"),2),"")</f>
        <v/>
      </c>
      <c r="F471" s="48">
        <f>IF(AE471=1,D471-E471,"")</f>
        <v/>
      </c>
      <c r="G471">
        <f>IF(AE471=1,COUNTIFS('All Donations'!$R$2:$R$4001,AD471,'All Donations'!$H$2:$H$4001,"OK"),"")</f>
        <v/>
      </c>
      <c r="H471">
        <f>IF(AE471&lt;&gt;1,"",IF(D471&gt;0,"Yes",""))</f>
        <v/>
      </c>
      <c r="I471" s="49">
        <f>IF(OR($AE471&lt;&gt;1,I$1=""),"",SUMIFS('All Donations'!$S$2:$S$4001,'All Donations'!$R$2:$R$4001,$AD471,'All Donations'!$T$2:$T$4001,I$1))</f>
        <v/>
      </c>
      <c r="J471" s="49">
        <f>IF(OR($AE471&lt;&gt;1,J$1=""),"",SUMIFS('All Donations'!$S$2:$S$4001,'All Donations'!$R$2:$R$4001,$AD471,'All Donations'!$T$2:$T$4001,J$1))</f>
        <v/>
      </c>
      <c r="K471" s="49">
        <f>IF(OR($AE471&lt;&gt;1,K$1=""),"",SUMIFS('All Donations'!$S$2:$S$4001,'All Donations'!$R$2:$R$4001,$AD471,'All Donations'!$T$2:$T$4001,K$1))</f>
        <v/>
      </c>
      <c r="L471" s="49">
        <f>IF(OR($AE471&lt;&gt;1,L$1=""),"",SUMIFS('All Donations'!$S$2:$S$4001,'All Donations'!$R$2:$R$4001,$AD471,'All Donations'!$T$2:$T$4001,L$1))</f>
        <v/>
      </c>
      <c r="M471" s="49">
        <f>IF(OR($AE471&lt;&gt;1,M$1=""),"",SUMIFS('All Donations'!$S$2:$S$4001,'All Donations'!$R$2:$R$4001,$AD471,'All Donations'!$T$2:$T$4001,M$1))</f>
        <v/>
      </c>
      <c r="N471" s="49">
        <f>IF(OR($AE471&lt;&gt;1,N$1=""),"",SUMIFS('All Donations'!$S$2:$S$4001,'All Donations'!$R$2:$R$4001,$AD471,'All Donations'!$T$2:$T$4001,N$1))</f>
        <v/>
      </c>
      <c r="O471" s="49">
        <f>IF(OR($AE471&lt;&gt;1,O$1=""),"",SUMIFS('All Donations'!$S$2:$S$4001,'All Donations'!$R$2:$R$4001,$AD471,'All Donations'!$T$2:$T$4001,O$1))</f>
        <v/>
      </c>
      <c r="P471" s="49">
        <f>IF(OR($AE471&lt;&gt;1,P$1=""),"",SUMIFS('All Donations'!$S$2:$S$4001,'All Donations'!$R$2:$R$4001,$AD471,'All Donations'!$T$2:$T$4001,P$1))</f>
        <v/>
      </c>
      <c r="Q471" s="49">
        <f>IF(OR($AE471&lt;&gt;1,Q$1=""),"",SUMIFS('All Donations'!$S$2:$S$4001,'All Donations'!$R$2:$R$4001,$AD471,'All Donations'!$T$2:$T$4001,Q$1))</f>
        <v/>
      </c>
      <c r="R471" s="49">
        <f>IF(OR($AE471&lt;&gt;1,R$1=""),"",SUMIFS('All Donations'!$S$2:$S$4001,'All Donations'!$R$2:$R$4001,$AD471,'All Donations'!$T$2:$T$4001,R$1))</f>
        <v/>
      </c>
      <c r="S471" s="49">
        <f>IF(OR($AE471&lt;&gt;1,S$1=""),"",SUMIFS('All Donations'!$S$2:$S$4001,'All Donations'!$R$2:$R$4001,$AD471,'All Donations'!$T$2:$T$4001,S$1))</f>
        <v/>
      </c>
      <c r="T471" s="49">
        <f>IF(OR($AE471&lt;&gt;1,T$1=""),"",SUMIFS('All Donations'!$S$2:$S$4001,'All Donations'!$R$2:$R$4001,$AD471,'All Donations'!$T$2:$T$4001,T$1))</f>
        <v/>
      </c>
      <c r="U471" s="49">
        <f>IF(OR($AE471&lt;&gt;1,U$1=""),"",SUMIFS('All Donations'!$S$2:$S$4001,'All Donations'!$R$2:$R$4001,$AD471,'All Donations'!$T$2:$T$4001,U$1))</f>
        <v/>
      </c>
      <c r="V471" s="49">
        <f>IF(OR($AE471&lt;&gt;1,V$1=""),"",SUMIFS('All Donations'!$S$2:$S$4001,'All Donations'!$R$2:$R$4001,$AD471,'All Donations'!$T$2:$T$4001,V$1))</f>
        <v/>
      </c>
      <c r="W471" s="49">
        <f>IF(OR($AE471&lt;&gt;1,W$1=""),"",SUMIFS('All Donations'!$S$2:$S$4001,'All Donations'!$R$2:$R$4001,$AD471,'All Donations'!$T$2:$T$4001,W$1))</f>
        <v/>
      </c>
      <c r="X471" s="49">
        <f>IF(OR($AE471&lt;&gt;1,X$1=""),"",SUMIFS('All Donations'!$S$2:$S$4001,'All Donations'!$R$2:$R$4001,$AD471,'All Donations'!$T$2:$T$4001,X$1))</f>
        <v/>
      </c>
      <c r="Y471" s="49">
        <f>IF(OR($AE471&lt;&gt;1,Y$1=""),"",SUMIFS('All Donations'!$S$2:$S$4001,'All Donations'!$R$2:$R$4001,$AD471,'All Donations'!$T$2:$T$4001,Y$1))</f>
        <v/>
      </c>
      <c r="Z471" s="49">
        <f>IF(OR($AE471&lt;&gt;1,Z$1=""),"",SUMIFS('All Donations'!$S$2:$S$4001,'All Donations'!$R$2:$R$4001,$AD471,'All Donations'!$T$2:$T$4001,Z$1))</f>
        <v/>
      </c>
      <c r="AA471" s="49">
        <f>IF(OR($AE471&lt;&gt;1,AA$1=""),"",SUMIFS('All Donations'!$S$2:$S$4001,'All Donations'!$R$2:$R$4001,$AD471,'All Donations'!$T$2:$T$4001,AA$1))</f>
        <v/>
      </c>
      <c r="AB471" s="49">
        <f>IF(OR($AE471&lt;&gt;1,AB$1=""),"",SUMIFS('All Donations'!$S$2:$S$4001,'All Donations'!$R$2:$R$4001,$AD471,'All Donations'!$T$2:$T$4001,AB$1))</f>
        <v/>
      </c>
      <c r="AC471" s="49">
        <f>IF(OR($AE471&lt;&gt;1,AC$1=""),"",SUMIFS('All Donations'!$S$2:$S$4001,'All Donations'!$R$2:$R$4001,$AD471,'All Donations'!$T$2:$T$4001,AC$1))</f>
        <v/>
      </c>
      <c r="AD471">
        <f>IF(AE471=1,'Roster'!A471,"")</f>
        <v/>
      </c>
      <c r="AE471">
        <f>IF(TRIM('Roster'!B471&amp;'Roster'!C471)&lt;&gt;"",1,0)</f>
        <v/>
      </c>
      <c r="AF471">
        <f>IF(AE471=1,LOWER(A471),"#")</f>
        <v/>
      </c>
      <c r="AG471">
        <f>IF(AE471=1,LOWER(TRIM(TRIM('Roster'!C471)&amp;", "&amp;TRIM('Roster'!B471))),"#")</f>
        <v/>
      </c>
      <c r="AH471">
        <f>IF(AND(AE471=1,TRIM('Roster'!F471)&lt;&gt;""),LOWER(TRIM('Roster'!F471)),"#")</f>
        <v/>
      </c>
      <c r="AI471">
        <f>IF(AE471=1,IF(MATCH(B471,$B$2:$B$701,0)=ROW()-1,1,0),0)</f>
        <v/>
      </c>
      <c r="AJ471">
        <f>AJ470+AI471</f>
        <v/>
      </c>
      <c r="AK471">
        <f>IF(AE471=1,D471+(1000-ROW())/10^7,-1)</f>
        <v/>
      </c>
      <c r="AL471">
        <f>IF(AE471=1,TRIM('Roster'!B471)&amp;" "&amp;LEFT(TRIM('Roster'!C471),1)&amp;".","")</f>
        <v/>
      </c>
      <c r="AM471">
        <f>IF(AE471=1,TRIM('Roster'!C471)&amp;", "&amp;TRIM('Roster'!B471)&amp;" ("&amp;B471&amp;") #"&amp;AD471,"")</f>
        <v/>
      </c>
      <c r="AN471">
        <f>IF(AE471=1,TRIM('Roster'!E471),"")</f>
        <v/>
      </c>
      <c r="AO471">
        <f>IF(AE471=1,ROUND(SUMIFS('All Donations'!$S$2:$S$4001,'All Donations'!$R$2:$R$4001,AD471,'All Donations'!$T$2:$T$4001,"&gt;="&amp;'Settings'!$C$23,'All Donations'!$T$2:$T$4001,"&lt;="&amp;'Settings'!$D$23),2),0)</f>
        <v/>
      </c>
      <c r="AQ471">
        <f>IF(AE471=1,ROUND(SUMIFS('All Donations'!$S$2:$S$4001,'All Donations'!$R$2:$R$4001,AD471,'All Donations'!$T$2:$T$4001,"&gt;="&amp;'Settings'!$C$25,'All Donations'!$T$2:$T$4001,"&lt;="&amp;'Settings'!$D$25),2),0)</f>
        <v/>
      </c>
      <c r="AR471">
        <f>IF(AE471=1,ROUND(SUMIFS('All Donations'!$S$2:$S$4001,'All Donations'!$R$2:$R$4001,AD471,'All Donations'!$T$2:$T$4001,"&gt;="&amp;'Settings'!$C$26,'All Donations'!$T$2:$T$4001,"&lt;="&amp;'Settings'!$D$26),2),0)</f>
        <v/>
      </c>
      <c r="AS471">
        <f>IF(AE471=1,ROUND(SUMIFS('All Donations'!$S$2:$S$4001,'All Donations'!$R$2:$R$4001,AD471,'All Donations'!$T$2:$T$4001,"&lt;="&amp;'Settings'!$D$27),2),0)</f>
        <v/>
      </c>
      <c r="AT471">
        <f>IF(AE471=1,ROUND(SUMIFS('All Donations'!$S$2:$S$4001,'All Donations'!$R$2:$R$4001,AD471,'All Donations'!$T$2:$T$4001,"&gt;="&amp;'Settings'!$C$28,'All Donations'!$T$2:$T$4001,"&lt;="&amp;'Settings'!$D$28),2),0)</f>
        <v/>
      </c>
      <c r="AU471">
        <f>IF(AE471=1,ROUND(SUMIFS('All Donations'!$S$2:$S$4001,'All Donations'!$R$2:$R$4001,AD471,'All Donations'!$T$2:$T$4001,"&gt;="&amp;'Settings'!$C$29,'All Donations'!$T$2:$T$4001,"&lt;="&amp;'Settings'!$D$29),2),0)</f>
        <v/>
      </c>
      <c r="AV471">
        <f>IF(AE471=1,ROUND(SUMIFS('All Donations'!$S$2:$S$4001,'All Donations'!$R$2:$R$4001,AD471,'All Donations'!$T$2:$T$4001,"&lt;="&amp;'Settings'!$D$30),2),0)</f>
        <v/>
      </c>
      <c r="AZ471">
        <f>IF(AE471=1,ROUND(SUMIFS('All Donations'!$S$2:$S$4001,'All Donations'!$R$2:$R$4001,AD471,'All Donations'!$T$2:$T$4001,"&lt;="&amp;'Settings'!$D$34),2),0)</f>
        <v/>
      </c>
    </row>
    <row r="472">
      <c r="A472">
        <f>IF(AE472=1,TRIM(TRIM('Roster'!B472)&amp;" "&amp;TRIM('Roster'!C472)),"")</f>
        <v/>
      </c>
      <c r="B472">
        <f>IF(AE472=1,IF(AN472="","(no teacher)",AN472&amp;" – "&amp;C472),"")</f>
        <v/>
      </c>
      <c r="C472">
        <f>IF(AE472=1,TRIM('Roster'!D472&amp;""),"")</f>
        <v/>
      </c>
      <c r="D472" s="48">
        <f>IF(AE472=1,ROUND(SUMIFS('All Donations'!$S$2:$S$4001,'All Donations'!$R$2:$R$4001,AD472),2),"")</f>
        <v/>
      </c>
      <c r="E472" s="48">
        <f>IF(AE472=1,ROUND(SUMIFS('All Donations'!$S$2:$S$4001,'All Donations'!$R$2:$R$4001,AD472,'All Donations'!$G$2:$G$4001,"OneCause"),2),"")</f>
        <v/>
      </c>
      <c r="F472" s="48">
        <f>IF(AE472=1,D472-E472,"")</f>
        <v/>
      </c>
      <c r="G472">
        <f>IF(AE472=1,COUNTIFS('All Donations'!$R$2:$R$4001,AD472,'All Donations'!$H$2:$H$4001,"OK"),"")</f>
        <v/>
      </c>
      <c r="H472">
        <f>IF(AE472&lt;&gt;1,"",IF(D472&gt;0,"Yes",""))</f>
        <v/>
      </c>
      <c r="I472" s="49">
        <f>IF(OR($AE472&lt;&gt;1,I$1=""),"",SUMIFS('All Donations'!$S$2:$S$4001,'All Donations'!$R$2:$R$4001,$AD472,'All Donations'!$T$2:$T$4001,I$1))</f>
        <v/>
      </c>
      <c r="J472" s="49">
        <f>IF(OR($AE472&lt;&gt;1,J$1=""),"",SUMIFS('All Donations'!$S$2:$S$4001,'All Donations'!$R$2:$R$4001,$AD472,'All Donations'!$T$2:$T$4001,J$1))</f>
        <v/>
      </c>
      <c r="K472" s="49">
        <f>IF(OR($AE472&lt;&gt;1,K$1=""),"",SUMIFS('All Donations'!$S$2:$S$4001,'All Donations'!$R$2:$R$4001,$AD472,'All Donations'!$T$2:$T$4001,K$1))</f>
        <v/>
      </c>
      <c r="L472" s="49">
        <f>IF(OR($AE472&lt;&gt;1,L$1=""),"",SUMIFS('All Donations'!$S$2:$S$4001,'All Donations'!$R$2:$R$4001,$AD472,'All Donations'!$T$2:$T$4001,L$1))</f>
        <v/>
      </c>
      <c r="M472" s="49">
        <f>IF(OR($AE472&lt;&gt;1,M$1=""),"",SUMIFS('All Donations'!$S$2:$S$4001,'All Donations'!$R$2:$R$4001,$AD472,'All Donations'!$T$2:$T$4001,M$1))</f>
        <v/>
      </c>
      <c r="N472" s="49">
        <f>IF(OR($AE472&lt;&gt;1,N$1=""),"",SUMIFS('All Donations'!$S$2:$S$4001,'All Donations'!$R$2:$R$4001,$AD472,'All Donations'!$T$2:$T$4001,N$1))</f>
        <v/>
      </c>
      <c r="O472" s="49">
        <f>IF(OR($AE472&lt;&gt;1,O$1=""),"",SUMIFS('All Donations'!$S$2:$S$4001,'All Donations'!$R$2:$R$4001,$AD472,'All Donations'!$T$2:$T$4001,O$1))</f>
        <v/>
      </c>
      <c r="P472" s="49">
        <f>IF(OR($AE472&lt;&gt;1,P$1=""),"",SUMIFS('All Donations'!$S$2:$S$4001,'All Donations'!$R$2:$R$4001,$AD472,'All Donations'!$T$2:$T$4001,P$1))</f>
        <v/>
      </c>
      <c r="Q472" s="49">
        <f>IF(OR($AE472&lt;&gt;1,Q$1=""),"",SUMIFS('All Donations'!$S$2:$S$4001,'All Donations'!$R$2:$R$4001,$AD472,'All Donations'!$T$2:$T$4001,Q$1))</f>
        <v/>
      </c>
      <c r="R472" s="49">
        <f>IF(OR($AE472&lt;&gt;1,R$1=""),"",SUMIFS('All Donations'!$S$2:$S$4001,'All Donations'!$R$2:$R$4001,$AD472,'All Donations'!$T$2:$T$4001,R$1))</f>
        <v/>
      </c>
      <c r="S472" s="49">
        <f>IF(OR($AE472&lt;&gt;1,S$1=""),"",SUMIFS('All Donations'!$S$2:$S$4001,'All Donations'!$R$2:$R$4001,$AD472,'All Donations'!$T$2:$T$4001,S$1))</f>
        <v/>
      </c>
      <c r="T472" s="49">
        <f>IF(OR($AE472&lt;&gt;1,T$1=""),"",SUMIFS('All Donations'!$S$2:$S$4001,'All Donations'!$R$2:$R$4001,$AD472,'All Donations'!$T$2:$T$4001,T$1))</f>
        <v/>
      </c>
      <c r="U472" s="49">
        <f>IF(OR($AE472&lt;&gt;1,U$1=""),"",SUMIFS('All Donations'!$S$2:$S$4001,'All Donations'!$R$2:$R$4001,$AD472,'All Donations'!$T$2:$T$4001,U$1))</f>
        <v/>
      </c>
      <c r="V472" s="49">
        <f>IF(OR($AE472&lt;&gt;1,V$1=""),"",SUMIFS('All Donations'!$S$2:$S$4001,'All Donations'!$R$2:$R$4001,$AD472,'All Donations'!$T$2:$T$4001,V$1))</f>
        <v/>
      </c>
      <c r="W472" s="49">
        <f>IF(OR($AE472&lt;&gt;1,W$1=""),"",SUMIFS('All Donations'!$S$2:$S$4001,'All Donations'!$R$2:$R$4001,$AD472,'All Donations'!$T$2:$T$4001,W$1))</f>
        <v/>
      </c>
      <c r="X472" s="49">
        <f>IF(OR($AE472&lt;&gt;1,X$1=""),"",SUMIFS('All Donations'!$S$2:$S$4001,'All Donations'!$R$2:$R$4001,$AD472,'All Donations'!$T$2:$T$4001,X$1))</f>
        <v/>
      </c>
      <c r="Y472" s="49">
        <f>IF(OR($AE472&lt;&gt;1,Y$1=""),"",SUMIFS('All Donations'!$S$2:$S$4001,'All Donations'!$R$2:$R$4001,$AD472,'All Donations'!$T$2:$T$4001,Y$1))</f>
        <v/>
      </c>
      <c r="Z472" s="49">
        <f>IF(OR($AE472&lt;&gt;1,Z$1=""),"",SUMIFS('All Donations'!$S$2:$S$4001,'All Donations'!$R$2:$R$4001,$AD472,'All Donations'!$T$2:$T$4001,Z$1))</f>
        <v/>
      </c>
      <c r="AA472" s="49">
        <f>IF(OR($AE472&lt;&gt;1,AA$1=""),"",SUMIFS('All Donations'!$S$2:$S$4001,'All Donations'!$R$2:$R$4001,$AD472,'All Donations'!$T$2:$T$4001,AA$1))</f>
        <v/>
      </c>
      <c r="AB472" s="49">
        <f>IF(OR($AE472&lt;&gt;1,AB$1=""),"",SUMIFS('All Donations'!$S$2:$S$4001,'All Donations'!$R$2:$R$4001,$AD472,'All Donations'!$T$2:$T$4001,AB$1))</f>
        <v/>
      </c>
      <c r="AC472" s="49">
        <f>IF(OR($AE472&lt;&gt;1,AC$1=""),"",SUMIFS('All Donations'!$S$2:$S$4001,'All Donations'!$R$2:$R$4001,$AD472,'All Donations'!$T$2:$T$4001,AC$1))</f>
        <v/>
      </c>
      <c r="AD472">
        <f>IF(AE472=1,'Roster'!A472,"")</f>
        <v/>
      </c>
      <c r="AE472">
        <f>IF(TRIM('Roster'!B472&amp;'Roster'!C472)&lt;&gt;"",1,0)</f>
        <v/>
      </c>
      <c r="AF472">
        <f>IF(AE472=1,LOWER(A472),"#")</f>
        <v/>
      </c>
      <c r="AG472">
        <f>IF(AE472=1,LOWER(TRIM(TRIM('Roster'!C472)&amp;", "&amp;TRIM('Roster'!B472))),"#")</f>
        <v/>
      </c>
      <c r="AH472">
        <f>IF(AND(AE472=1,TRIM('Roster'!F472)&lt;&gt;""),LOWER(TRIM('Roster'!F472)),"#")</f>
        <v/>
      </c>
      <c r="AI472">
        <f>IF(AE472=1,IF(MATCH(B472,$B$2:$B$701,0)=ROW()-1,1,0),0)</f>
        <v/>
      </c>
      <c r="AJ472">
        <f>AJ471+AI472</f>
        <v/>
      </c>
      <c r="AK472">
        <f>IF(AE472=1,D472+(1000-ROW())/10^7,-1)</f>
        <v/>
      </c>
      <c r="AL472">
        <f>IF(AE472=1,TRIM('Roster'!B472)&amp;" "&amp;LEFT(TRIM('Roster'!C472),1)&amp;".","")</f>
        <v/>
      </c>
      <c r="AM472">
        <f>IF(AE472=1,TRIM('Roster'!C472)&amp;", "&amp;TRIM('Roster'!B472)&amp;" ("&amp;B472&amp;") #"&amp;AD472,"")</f>
        <v/>
      </c>
      <c r="AN472">
        <f>IF(AE472=1,TRIM('Roster'!E472),"")</f>
        <v/>
      </c>
      <c r="AO472">
        <f>IF(AE472=1,ROUND(SUMIFS('All Donations'!$S$2:$S$4001,'All Donations'!$R$2:$R$4001,AD472,'All Donations'!$T$2:$T$4001,"&gt;="&amp;'Settings'!$C$23,'All Donations'!$T$2:$T$4001,"&lt;="&amp;'Settings'!$D$23),2),0)</f>
        <v/>
      </c>
      <c r="AQ472">
        <f>IF(AE472=1,ROUND(SUMIFS('All Donations'!$S$2:$S$4001,'All Donations'!$R$2:$R$4001,AD472,'All Donations'!$T$2:$T$4001,"&gt;="&amp;'Settings'!$C$25,'All Donations'!$T$2:$T$4001,"&lt;="&amp;'Settings'!$D$25),2),0)</f>
        <v/>
      </c>
      <c r="AR472">
        <f>IF(AE472=1,ROUND(SUMIFS('All Donations'!$S$2:$S$4001,'All Donations'!$R$2:$R$4001,AD472,'All Donations'!$T$2:$T$4001,"&gt;="&amp;'Settings'!$C$26,'All Donations'!$T$2:$T$4001,"&lt;="&amp;'Settings'!$D$26),2),0)</f>
        <v/>
      </c>
      <c r="AS472">
        <f>IF(AE472=1,ROUND(SUMIFS('All Donations'!$S$2:$S$4001,'All Donations'!$R$2:$R$4001,AD472,'All Donations'!$T$2:$T$4001,"&lt;="&amp;'Settings'!$D$27),2),0)</f>
        <v/>
      </c>
      <c r="AT472">
        <f>IF(AE472=1,ROUND(SUMIFS('All Donations'!$S$2:$S$4001,'All Donations'!$R$2:$R$4001,AD472,'All Donations'!$T$2:$T$4001,"&gt;="&amp;'Settings'!$C$28,'All Donations'!$T$2:$T$4001,"&lt;="&amp;'Settings'!$D$28),2),0)</f>
        <v/>
      </c>
      <c r="AU472">
        <f>IF(AE472=1,ROUND(SUMIFS('All Donations'!$S$2:$S$4001,'All Donations'!$R$2:$R$4001,AD472,'All Donations'!$T$2:$T$4001,"&gt;="&amp;'Settings'!$C$29,'All Donations'!$T$2:$T$4001,"&lt;="&amp;'Settings'!$D$29),2),0)</f>
        <v/>
      </c>
      <c r="AV472">
        <f>IF(AE472=1,ROUND(SUMIFS('All Donations'!$S$2:$S$4001,'All Donations'!$R$2:$R$4001,AD472,'All Donations'!$T$2:$T$4001,"&lt;="&amp;'Settings'!$D$30),2),0)</f>
        <v/>
      </c>
      <c r="AZ472">
        <f>IF(AE472=1,ROUND(SUMIFS('All Donations'!$S$2:$S$4001,'All Donations'!$R$2:$R$4001,AD472,'All Donations'!$T$2:$T$4001,"&lt;="&amp;'Settings'!$D$34),2),0)</f>
        <v/>
      </c>
    </row>
    <row r="473">
      <c r="A473">
        <f>IF(AE473=1,TRIM(TRIM('Roster'!B473)&amp;" "&amp;TRIM('Roster'!C473)),"")</f>
        <v/>
      </c>
      <c r="B473">
        <f>IF(AE473=1,IF(AN473="","(no teacher)",AN473&amp;" – "&amp;C473),"")</f>
        <v/>
      </c>
      <c r="C473">
        <f>IF(AE473=1,TRIM('Roster'!D473&amp;""),"")</f>
        <v/>
      </c>
      <c r="D473" s="48">
        <f>IF(AE473=1,ROUND(SUMIFS('All Donations'!$S$2:$S$4001,'All Donations'!$R$2:$R$4001,AD473),2),"")</f>
        <v/>
      </c>
      <c r="E473" s="48">
        <f>IF(AE473=1,ROUND(SUMIFS('All Donations'!$S$2:$S$4001,'All Donations'!$R$2:$R$4001,AD473,'All Donations'!$G$2:$G$4001,"OneCause"),2),"")</f>
        <v/>
      </c>
      <c r="F473" s="48">
        <f>IF(AE473=1,D473-E473,"")</f>
        <v/>
      </c>
      <c r="G473">
        <f>IF(AE473=1,COUNTIFS('All Donations'!$R$2:$R$4001,AD473,'All Donations'!$H$2:$H$4001,"OK"),"")</f>
        <v/>
      </c>
      <c r="H473">
        <f>IF(AE473&lt;&gt;1,"",IF(D473&gt;0,"Yes",""))</f>
        <v/>
      </c>
      <c r="I473" s="49">
        <f>IF(OR($AE473&lt;&gt;1,I$1=""),"",SUMIFS('All Donations'!$S$2:$S$4001,'All Donations'!$R$2:$R$4001,$AD473,'All Donations'!$T$2:$T$4001,I$1))</f>
        <v/>
      </c>
      <c r="J473" s="49">
        <f>IF(OR($AE473&lt;&gt;1,J$1=""),"",SUMIFS('All Donations'!$S$2:$S$4001,'All Donations'!$R$2:$R$4001,$AD473,'All Donations'!$T$2:$T$4001,J$1))</f>
        <v/>
      </c>
      <c r="K473" s="49">
        <f>IF(OR($AE473&lt;&gt;1,K$1=""),"",SUMIFS('All Donations'!$S$2:$S$4001,'All Donations'!$R$2:$R$4001,$AD473,'All Donations'!$T$2:$T$4001,K$1))</f>
        <v/>
      </c>
      <c r="L473" s="49">
        <f>IF(OR($AE473&lt;&gt;1,L$1=""),"",SUMIFS('All Donations'!$S$2:$S$4001,'All Donations'!$R$2:$R$4001,$AD473,'All Donations'!$T$2:$T$4001,L$1))</f>
        <v/>
      </c>
      <c r="M473" s="49">
        <f>IF(OR($AE473&lt;&gt;1,M$1=""),"",SUMIFS('All Donations'!$S$2:$S$4001,'All Donations'!$R$2:$R$4001,$AD473,'All Donations'!$T$2:$T$4001,M$1))</f>
        <v/>
      </c>
      <c r="N473" s="49">
        <f>IF(OR($AE473&lt;&gt;1,N$1=""),"",SUMIFS('All Donations'!$S$2:$S$4001,'All Donations'!$R$2:$R$4001,$AD473,'All Donations'!$T$2:$T$4001,N$1))</f>
        <v/>
      </c>
      <c r="O473" s="49">
        <f>IF(OR($AE473&lt;&gt;1,O$1=""),"",SUMIFS('All Donations'!$S$2:$S$4001,'All Donations'!$R$2:$R$4001,$AD473,'All Donations'!$T$2:$T$4001,O$1))</f>
        <v/>
      </c>
      <c r="P473" s="49">
        <f>IF(OR($AE473&lt;&gt;1,P$1=""),"",SUMIFS('All Donations'!$S$2:$S$4001,'All Donations'!$R$2:$R$4001,$AD473,'All Donations'!$T$2:$T$4001,P$1))</f>
        <v/>
      </c>
      <c r="Q473" s="49">
        <f>IF(OR($AE473&lt;&gt;1,Q$1=""),"",SUMIFS('All Donations'!$S$2:$S$4001,'All Donations'!$R$2:$R$4001,$AD473,'All Donations'!$T$2:$T$4001,Q$1))</f>
        <v/>
      </c>
      <c r="R473" s="49">
        <f>IF(OR($AE473&lt;&gt;1,R$1=""),"",SUMIFS('All Donations'!$S$2:$S$4001,'All Donations'!$R$2:$R$4001,$AD473,'All Donations'!$T$2:$T$4001,R$1))</f>
        <v/>
      </c>
      <c r="S473" s="49">
        <f>IF(OR($AE473&lt;&gt;1,S$1=""),"",SUMIFS('All Donations'!$S$2:$S$4001,'All Donations'!$R$2:$R$4001,$AD473,'All Donations'!$T$2:$T$4001,S$1))</f>
        <v/>
      </c>
      <c r="T473" s="49">
        <f>IF(OR($AE473&lt;&gt;1,T$1=""),"",SUMIFS('All Donations'!$S$2:$S$4001,'All Donations'!$R$2:$R$4001,$AD473,'All Donations'!$T$2:$T$4001,T$1))</f>
        <v/>
      </c>
      <c r="U473" s="49">
        <f>IF(OR($AE473&lt;&gt;1,U$1=""),"",SUMIFS('All Donations'!$S$2:$S$4001,'All Donations'!$R$2:$R$4001,$AD473,'All Donations'!$T$2:$T$4001,U$1))</f>
        <v/>
      </c>
      <c r="V473" s="49">
        <f>IF(OR($AE473&lt;&gt;1,V$1=""),"",SUMIFS('All Donations'!$S$2:$S$4001,'All Donations'!$R$2:$R$4001,$AD473,'All Donations'!$T$2:$T$4001,V$1))</f>
        <v/>
      </c>
      <c r="W473" s="49">
        <f>IF(OR($AE473&lt;&gt;1,W$1=""),"",SUMIFS('All Donations'!$S$2:$S$4001,'All Donations'!$R$2:$R$4001,$AD473,'All Donations'!$T$2:$T$4001,W$1))</f>
        <v/>
      </c>
      <c r="X473" s="49">
        <f>IF(OR($AE473&lt;&gt;1,X$1=""),"",SUMIFS('All Donations'!$S$2:$S$4001,'All Donations'!$R$2:$R$4001,$AD473,'All Donations'!$T$2:$T$4001,X$1))</f>
        <v/>
      </c>
      <c r="Y473" s="49">
        <f>IF(OR($AE473&lt;&gt;1,Y$1=""),"",SUMIFS('All Donations'!$S$2:$S$4001,'All Donations'!$R$2:$R$4001,$AD473,'All Donations'!$T$2:$T$4001,Y$1))</f>
        <v/>
      </c>
      <c r="Z473" s="49">
        <f>IF(OR($AE473&lt;&gt;1,Z$1=""),"",SUMIFS('All Donations'!$S$2:$S$4001,'All Donations'!$R$2:$R$4001,$AD473,'All Donations'!$T$2:$T$4001,Z$1))</f>
        <v/>
      </c>
      <c r="AA473" s="49">
        <f>IF(OR($AE473&lt;&gt;1,AA$1=""),"",SUMIFS('All Donations'!$S$2:$S$4001,'All Donations'!$R$2:$R$4001,$AD473,'All Donations'!$T$2:$T$4001,AA$1))</f>
        <v/>
      </c>
      <c r="AB473" s="49">
        <f>IF(OR($AE473&lt;&gt;1,AB$1=""),"",SUMIFS('All Donations'!$S$2:$S$4001,'All Donations'!$R$2:$R$4001,$AD473,'All Donations'!$T$2:$T$4001,AB$1))</f>
        <v/>
      </c>
      <c r="AC473" s="49">
        <f>IF(OR($AE473&lt;&gt;1,AC$1=""),"",SUMIFS('All Donations'!$S$2:$S$4001,'All Donations'!$R$2:$R$4001,$AD473,'All Donations'!$T$2:$T$4001,AC$1))</f>
        <v/>
      </c>
      <c r="AD473">
        <f>IF(AE473=1,'Roster'!A473,"")</f>
        <v/>
      </c>
      <c r="AE473">
        <f>IF(TRIM('Roster'!B473&amp;'Roster'!C473)&lt;&gt;"",1,0)</f>
        <v/>
      </c>
      <c r="AF473">
        <f>IF(AE473=1,LOWER(A473),"#")</f>
        <v/>
      </c>
      <c r="AG473">
        <f>IF(AE473=1,LOWER(TRIM(TRIM('Roster'!C473)&amp;", "&amp;TRIM('Roster'!B473))),"#")</f>
        <v/>
      </c>
      <c r="AH473">
        <f>IF(AND(AE473=1,TRIM('Roster'!F473)&lt;&gt;""),LOWER(TRIM('Roster'!F473)),"#")</f>
        <v/>
      </c>
      <c r="AI473">
        <f>IF(AE473=1,IF(MATCH(B473,$B$2:$B$701,0)=ROW()-1,1,0),0)</f>
        <v/>
      </c>
      <c r="AJ473">
        <f>AJ472+AI473</f>
        <v/>
      </c>
      <c r="AK473">
        <f>IF(AE473=1,D473+(1000-ROW())/10^7,-1)</f>
        <v/>
      </c>
      <c r="AL473">
        <f>IF(AE473=1,TRIM('Roster'!B473)&amp;" "&amp;LEFT(TRIM('Roster'!C473),1)&amp;".","")</f>
        <v/>
      </c>
      <c r="AM473">
        <f>IF(AE473=1,TRIM('Roster'!C473)&amp;", "&amp;TRIM('Roster'!B473)&amp;" ("&amp;B473&amp;") #"&amp;AD473,"")</f>
        <v/>
      </c>
      <c r="AN473">
        <f>IF(AE473=1,TRIM('Roster'!E473),"")</f>
        <v/>
      </c>
      <c r="AO473">
        <f>IF(AE473=1,ROUND(SUMIFS('All Donations'!$S$2:$S$4001,'All Donations'!$R$2:$R$4001,AD473,'All Donations'!$T$2:$T$4001,"&gt;="&amp;'Settings'!$C$23,'All Donations'!$T$2:$T$4001,"&lt;="&amp;'Settings'!$D$23),2),0)</f>
        <v/>
      </c>
      <c r="AQ473">
        <f>IF(AE473=1,ROUND(SUMIFS('All Donations'!$S$2:$S$4001,'All Donations'!$R$2:$R$4001,AD473,'All Donations'!$T$2:$T$4001,"&gt;="&amp;'Settings'!$C$25,'All Donations'!$T$2:$T$4001,"&lt;="&amp;'Settings'!$D$25),2),0)</f>
        <v/>
      </c>
      <c r="AR473">
        <f>IF(AE473=1,ROUND(SUMIFS('All Donations'!$S$2:$S$4001,'All Donations'!$R$2:$R$4001,AD473,'All Donations'!$T$2:$T$4001,"&gt;="&amp;'Settings'!$C$26,'All Donations'!$T$2:$T$4001,"&lt;="&amp;'Settings'!$D$26),2),0)</f>
        <v/>
      </c>
      <c r="AS473">
        <f>IF(AE473=1,ROUND(SUMIFS('All Donations'!$S$2:$S$4001,'All Donations'!$R$2:$R$4001,AD473,'All Donations'!$T$2:$T$4001,"&lt;="&amp;'Settings'!$D$27),2),0)</f>
        <v/>
      </c>
      <c r="AT473">
        <f>IF(AE473=1,ROUND(SUMIFS('All Donations'!$S$2:$S$4001,'All Donations'!$R$2:$R$4001,AD473,'All Donations'!$T$2:$T$4001,"&gt;="&amp;'Settings'!$C$28,'All Donations'!$T$2:$T$4001,"&lt;="&amp;'Settings'!$D$28),2),0)</f>
        <v/>
      </c>
      <c r="AU473">
        <f>IF(AE473=1,ROUND(SUMIFS('All Donations'!$S$2:$S$4001,'All Donations'!$R$2:$R$4001,AD473,'All Donations'!$T$2:$T$4001,"&gt;="&amp;'Settings'!$C$29,'All Donations'!$T$2:$T$4001,"&lt;="&amp;'Settings'!$D$29),2),0)</f>
        <v/>
      </c>
      <c r="AV473">
        <f>IF(AE473=1,ROUND(SUMIFS('All Donations'!$S$2:$S$4001,'All Donations'!$R$2:$R$4001,AD473,'All Donations'!$T$2:$T$4001,"&lt;="&amp;'Settings'!$D$30),2),0)</f>
        <v/>
      </c>
      <c r="AZ473">
        <f>IF(AE473=1,ROUND(SUMIFS('All Donations'!$S$2:$S$4001,'All Donations'!$R$2:$R$4001,AD473,'All Donations'!$T$2:$T$4001,"&lt;="&amp;'Settings'!$D$34),2),0)</f>
        <v/>
      </c>
    </row>
    <row r="474">
      <c r="A474">
        <f>IF(AE474=1,TRIM(TRIM('Roster'!B474)&amp;" "&amp;TRIM('Roster'!C474)),"")</f>
        <v/>
      </c>
      <c r="B474">
        <f>IF(AE474=1,IF(AN474="","(no teacher)",AN474&amp;" – "&amp;C474),"")</f>
        <v/>
      </c>
      <c r="C474">
        <f>IF(AE474=1,TRIM('Roster'!D474&amp;""),"")</f>
        <v/>
      </c>
      <c r="D474" s="48">
        <f>IF(AE474=1,ROUND(SUMIFS('All Donations'!$S$2:$S$4001,'All Donations'!$R$2:$R$4001,AD474),2),"")</f>
        <v/>
      </c>
      <c r="E474" s="48">
        <f>IF(AE474=1,ROUND(SUMIFS('All Donations'!$S$2:$S$4001,'All Donations'!$R$2:$R$4001,AD474,'All Donations'!$G$2:$G$4001,"OneCause"),2),"")</f>
        <v/>
      </c>
      <c r="F474" s="48">
        <f>IF(AE474=1,D474-E474,"")</f>
        <v/>
      </c>
      <c r="G474">
        <f>IF(AE474=1,COUNTIFS('All Donations'!$R$2:$R$4001,AD474,'All Donations'!$H$2:$H$4001,"OK"),"")</f>
        <v/>
      </c>
      <c r="H474">
        <f>IF(AE474&lt;&gt;1,"",IF(D474&gt;0,"Yes",""))</f>
        <v/>
      </c>
      <c r="I474" s="49">
        <f>IF(OR($AE474&lt;&gt;1,I$1=""),"",SUMIFS('All Donations'!$S$2:$S$4001,'All Donations'!$R$2:$R$4001,$AD474,'All Donations'!$T$2:$T$4001,I$1))</f>
        <v/>
      </c>
      <c r="J474" s="49">
        <f>IF(OR($AE474&lt;&gt;1,J$1=""),"",SUMIFS('All Donations'!$S$2:$S$4001,'All Donations'!$R$2:$R$4001,$AD474,'All Donations'!$T$2:$T$4001,J$1))</f>
        <v/>
      </c>
      <c r="K474" s="49">
        <f>IF(OR($AE474&lt;&gt;1,K$1=""),"",SUMIFS('All Donations'!$S$2:$S$4001,'All Donations'!$R$2:$R$4001,$AD474,'All Donations'!$T$2:$T$4001,K$1))</f>
        <v/>
      </c>
      <c r="L474" s="49">
        <f>IF(OR($AE474&lt;&gt;1,L$1=""),"",SUMIFS('All Donations'!$S$2:$S$4001,'All Donations'!$R$2:$R$4001,$AD474,'All Donations'!$T$2:$T$4001,L$1))</f>
        <v/>
      </c>
      <c r="M474" s="49">
        <f>IF(OR($AE474&lt;&gt;1,M$1=""),"",SUMIFS('All Donations'!$S$2:$S$4001,'All Donations'!$R$2:$R$4001,$AD474,'All Donations'!$T$2:$T$4001,M$1))</f>
        <v/>
      </c>
      <c r="N474" s="49">
        <f>IF(OR($AE474&lt;&gt;1,N$1=""),"",SUMIFS('All Donations'!$S$2:$S$4001,'All Donations'!$R$2:$R$4001,$AD474,'All Donations'!$T$2:$T$4001,N$1))</f>
        <v/>
      </c>
      <c r="O474" s="49">
        <f>IF(OR($AE474&lt;&gt;1,O$1=""),"",SUMIFS('All Donations'!$S$2:$S$4001,'All Donations'!$R$2:$R$4001,$AD474,'All Donations'!$T$2:$T$4001,O$1))</f>
        <v/>
      </c>
      <c r="P474" s="49">
        <f>IF(OR($AE474&lt;&gt;1,P$1=""),"",SUMIFS('All Donations'!$S$2:$S$4001,'All Donations'!$R$2:$R$4001,$AD474,'All Donations'!$T$2:$T$4001,P$1))</f>
        <v/>
      </c>
      <c r="Q474" s="49">
        <f>IF(OR($AE474&lt;&gt;1,Q$1=""),"",SUMIFS('All Donations'!$S$2:$S$4001,'All Donations'!$R$2:$R$4001,$AD474,'All Donations'!$T$2:$T$4001,Q$1))</f>
        <v/>
      </c>
      <c r="R474" s="49">
        <f>IF(OR($AE474&lt;&gt;1,R$1=""),"",SUMIFS('All Donations'!$S$2:$S$4001,'All Donations'!$R$2:$R$4001,$AD474,'All Donations'!$T$2:$T$4001,R$1))</f>
        <v/>
      </c>
      <c r="S474" s="49">
        <f>IF(OR($AE474&lt;&gt;1,S$1=""),"",SUMIFS('All Donations'!$S$2:$S$4001,'All Donations'!$R$2:$R$4001,$AD474,'All Donations'!$T$2:$T$4001,S$1))</f>
        <v/>
      </c>
      <c r="T474" s="49">
        <f>IF(OR($AE474&lt;&gt;1,T$1=""),"",SUMIFS('All Donations'!$S$2:$S$4001,'All Donations'!$R$2:$R$4001,$AD474,'All Donations'!$T$2:$T$4001,T$1))</f>
        <v/>
      </c>
      <c r="U474" s="49">
        <f>IF(OR($AE474&lt;&gt;1,U$1=""),"",SUMIFS('All Donations'!$S$2:$S$4001,'All Donations'!$R$2:$R$4001,$AD474,'All Donations'!$T$2:$T$4001,U$1))</f>
        <v/>
      </c>
      <c r="V474" s="49">
        <f>IF(OR($AE474&lt;&gt;1,V$1=""),"",SUMIFS('All Donations'!$S$2:$S$4001,'All Donations'!$R$2:$R$4001,$AD474,'All Donations'!$T$2:$T$4001,V$1))</f>
        <v/>
      </c>
      <c r="W474" s="49">
        <f>IF(OR($AE474&lt;&gt;1,W$1=""),"",SUMIFS('All Donations'!$S$2:$S$4001,'All Donations'!$R$2:$R$4001,$AD474,'All Donations'!$T$2:$T$4001,W$1))</f>
        <v/>
      </c>
      <c r="X474" s="49">
        <f>IF(OR($AE474&lt;&gt;1,X$1=""),"",SUMIFS('All Donations'!$S$2:$S$4001,'All Donations'!$R$2:$R$4001,$AD474,'All Donations'!$T$2:$T$4001,X$1))</f>
        <v/>
      </c>
      <c r="Y474" s="49">
        <f>IF(OR($AE474&lt;&gt;1,Y$1=""),"",SUMIFS('All Donations'!$S$2:$S$4001,'All Donations'!$R$2:$R$4001,$AD474,'All Donations'!$T$2:$T$4001,Y$1))</f>
        <v/>
      </c>
      <c r="Z474" s="49">
        <f>IF(OR($AE474&lt;&gt;1,Z$1=""),"",SUMIFS('All Donations'!$S$2:$S$4001,'All Donations'!$R$2:$R$4001,$AD474,'All Donations'!$T$2:$T$4001,Z$1))</f>
        <v/>
      </c>
      <c r="AA474" s="49">
        <f>IF(OR($AE474&lt;&gt;1,AA$1=""),"",SUMIFS('All Donations'!$S$2:$S$4001,'All Donations'!$R$2:$R$4001,$AD474,'All Donations'!$T$2:$T$4001,AA$1))</f>
        <v/>
      </c>
      <c r="AB474" s="49">
        <f>IF(OR($AE474&lt;&gt;1,AB$1=""),"",SUMIFS('All Donations'!$S$2:$S$4001,'All Donations'!$R$2:$R$4001,$AD474,'All Donations'!$T$2:$T$4001,AB$1))</f>
        <v/>
      </c>
      <c r="AC474" s="49">
        <f>IF(OR($AE474&lt;&gt;1,AC$1=""),"",SUMIFS('All Donations'!$S$2:$S$4001,'All Donations'!$R$2:$R$4001,$AD474,'All Donations'!$T$2:$T$4001,AC$1))</f>
        <v/>
      </c>
      <c r="AD474">
        <f>IF(AE474=1,'Roster'!A474,"")</f>
        <v/>
      </c>
      <c r="AE474">
        <f>IF(TRIM('Roster'!B474&amp;'Roster'!C474)&lt;&gt;"",1,0)</f>
        <v/>
      </c>
      <c r="AF474">
        <f>IF(AE474=1,LOWER(A474),"#")</f>
        <v/>
      </c>
      <c r="AG474">
        <f>IF(AE474=1,LOWER(TRIM(TRIM('Roster'!C474)&amp;", "&amp;TRIM('Roster'!B474))),"#")</f>
        <v/>
      </c>
      <c r="AH474">
        <f>IF(AND(AE474=1,TRIM('Roster'!F474)&lt;&gt;""),LOWER(TRIM('Roster'!F474)),"#")</f>
        <v/>
      </c>
      <c r="AI474">
        <f>IF(AE474=1,IF(MATCH(B474,$B$2:$B$701,0)=ROW()-1,1,0),0)</f>
        <v/>
      </c>
      <c r="AJ474">
        <f>AJ473+AI474</f>
        <v/>
      </c>
      <c r="AK474">
        <f>IF(AE474=1,D474+(1000-ROW())/10^7,-1)</f>
        <v/>
      </c>
      <c r="AL474">
        <f>IF(AE474=1,TRIM('Roster'!B474)&amp;" "&amp;LEFT(TRIM('Roster'!C474),1)&amp;".","")</f>
        <v/>
      </c>
      <c r="AM474">
        <f>IF(AE474=1,TRIM('Roster'!C474)&amp;", "&amp;TRIM('Roster'!B474)&amp;" ("&amp;B474&amp;") #"&amp;AD474,"")</f>
        <v/>
      </c>
      <c r="AN474">
        <f>IF(AE474=1,TRIM('Roster'!E474),"")</f>
        <v/>
      </c>
      <c r="AO474">
        <f>IF(AE474=1,ROUND(SUMIFS('All Donations'!$S$2:$S$4001,'All Donations'!$R$2:$R$4001,AD474,'All Donations'!$T$2:$T$4001,"&gt;="&amp;'Settings'!$C$23,'All Donations'!$T$2:$T$4001,"&lt;="&amp;'Settings'!$D$23),2),0)</f>
        <v/>
      </c>
      <c r="AQ474">
        <f>IF(AE474=1,ROUND(SUMIFS('All Donations'!$S$2:$S$4001,'All Donations'!$R$2:$R$4001,AD474,'All Donations'!$T$2:$T$4001,"&gt;="&amp;'Settings'!$C$25,'All Donations'!$T$2:$T$4001,"&lt;="&amp;'Settings'!$D$25),2),0)</f>
        <v/>
      </c>
      <c r="AR474">
        <f>IF(AE474=1,ROUND(SUMIFS('All Donations'!$S$2:$S$4001,'All Donations'!$R$2:$R$4001,AD474,'All Donations'!$T$2:$T$4001,"&gt;="&amp;'Settings'!$C$26,'All Donations'!$T$2:$T$4001,"&lt;="&amp;'Settings'!$D$26),2),0)</f>
        <v/>
      </c>
      <c r="AS474">
        <f>IF(AE474=1,ROUND(SUMIFS('All Donations'!$S$2:$S$4001,'All Donations'!$R$2:$R$4001,AD474,'All Donations'!$T$2:$T$4001,"&lt;="&amp;'Settings'!$D$27),2),0)</f>
        <v/>
      </c>
      <c r="AT474">
        <f>IF(AE474=1,ROUND(SUMIFS('All Donations'!$S$2:$S$4001,'All Donations'!$R$2:$R$4001,AD474,'All Donations'!$T$2:$T$4001,"&gt;="&amp;'Settings'!$C$28,'All Donations'!$T$2:$T$4001,"&lt;="&amp;'Settings'!$D$28),2),0)</f>
        <v/>
      </c>
      <c r="AU474">
        <f>IF(AE474=1,ROUND(SUMIFS('All Donations'!$S$2:$S$4001,'All Donations'!$R$2:$R$4001,AD474,'All Donations'!$T$2:$T$4001,"&gt;="&amp;'Settings'!$C$29,'All Donations'!$T$2:$T$4001,"&lt;="&amp;'Settings'!$D$29),2),0)</f>
        <v/>
      </c>
      <c r="AV474">
        <f>IF(AE474=1,ROUND(SUMIFS('All Donations'!$S$2:$S$4001,'All Donations'!$R$2:$R$4001,AD474,'All Donations'!$T$2:$T$4001,"&lt;="&amp;'Settings'!$D$30),2),0)</f>
        <v/>
      </c>
      <c r="AZ474">
        <f>IF(AE474=1,ROUND(SUMIFS('All Donations'!$S$2:$S$4001,'All Donations'!$R$2:$R$4001,AD474,'All Donations'!$T$2:$T$4001,"&lt;="&amp;'Settings'!$D$34),2),0)</f>
        <v/>
      </c>
    </row>
    <row r="475">
      <c r="A475">
        <f>IF(AE475=1,TRIM(TRIM('Roster'!B475)&amp;" "&amp;TRIM('Roster'!C475)),"")</f>
        <v/>
      </c>
      <c r="B475">
        <f>IF(AE475=1,IF(AN475="","(no teacher)",AN475&amp;" – "&amp;C475),"")</f>
        <v/>
      </c>
      <c r="C475">
        <f>IF(AE475=1,TRIM('Roster'!D475&amp;""),"")</f>
        <v/>
      </c>
      <c r="D475" s="48">
        <f>IF(AE475=1,ROUND(SUMIFS('All Donations'!$S$2:$S$4001,'All Donations'!$R$2:$R$4001,AD475),2),"")</f>
        <v/>
      </c>
      <c r="E475" s="48">
        <f>IF(AE475=1,ROUND(SUMIFS('All Donations'!$S$2:$S$4001,'All Donations'!$R$2:$R$4001,AD475,'All Donations'!$G$2:$G$4001,"OneCause"),2),"")</f>
        <v/>
      </c>
      <c r="F475" s="48">
        <f>IF(AE475=1,D475-E475,"")</f>
        <v/>
      </c>
      <c r="G475">
        <f>IF(AE475=1,COUNTIFS('All Donations'!$R$2:$R$4001,AD475,'All Donations'!$H$2:$H$4001,"OK"),"")</f>
        <v/>
      </c>
      <c r="H475">
        <f>IF(AE475&lt;&gt;1,"",IF(D475&gt;0,"Yes",""))</f>
        <v/>
      </c>
      <c r="I475" s="49">
        <f>IF(OR($AE475&lt;&gt;1,I$1=""),"",SUMIFS('All Donations'!$S$2:$S$4001,'All Donations'!$R$2:$R$4001,$AD475,'All Donations'!$T$2:$T$4001,I$1))</f>
        <v/>
      </c>
      <c r="J475" s="49">
        <f>IF(OR($AE475&lt;&gt;1,J$1=""),"",SUMIFS('All Donations'!$S$2:$S$4001,'All Donations'!$R$2:$R$4001,$AD475,'All Donations'!$T$2:$T$4001,J$1))</f>
        <v/>
      </c>
      <c r="K475" s="49">
        <f>IF(OR($AE475&lt;&gt;1,K$1=""),"",SUMIFS('All Donations'!$S$2:$S$4001,'All Donations'!$R$2:$R$4001,$AD475,'All Donations'!$T$2:$T$4001,K$1))</f>
        <v/>
      </c>
      <c r="L475" s="49">
        <f>IF(OR($AE475&lt;&gt;1,L$1=""),"",SUMIFS('All Donations'!$S$2:$S$4001,'All Donations'!$R$2:$R$4001,$AD475,'All Donations'!$T$2:$T$4001,L$1))</f>
        <v/>
      </c>
      <c r="M475" s="49">
        <f>IF(OR($AE475&lt;&gt;1,M$1=""),"",SUMIFS('All Donations'!$S$2:$S$4001,'All Donations'!$R$2:$R$4001,$AD475,'All Donations'!$T$2:$T$4001,M$1))</f>
        <v/>
      </c>
      <c r="N475" s="49">
        <f>IF(OR($AE475&lt;&gt;1,N$1=""),"",SUMIFS('All Donations'!$S$2:$S$4001,'All Donations'!$R$2:$R$4001,$AD475,'All Donations'!$T$2:$T$4001,N$1))</f>
        <v/>
      </c>
      <c r="O475" s="49">
        <f>IF(OR($AE475&lt;&gt;1,O$1=""),"",SUMIFS('All Donations'!$S$2:$S$4001,'All Donations'!$R$2:$R$4001,$AD475,'All Donations'!$T$2:$T$4001,O$1))</f>
        <v/>
      </c>
      <c r="P475" s="49">
        <f>IF(OR($AE475&lt;&gt;1,P$1=""),"",SUMIFS('All Donations'!$S$2:$S$4001,'All Donations'!$R$2:$R$4001,$AD475,'All Donations'!$T$2:$T$4001,P$1))</f>
        <v/>
      </c>
      <c r="Q475" s="49">
        <f>IF(OR($AE475&lt;&gt;1,Q$1=""),"",SUMIFS('All Donations'!$S$2:$S$4001,'All Donations'!$R$2:$R$4001,$AD475,'All Donations'!$T$2:$T$4001,Q$1))</f>
        <v/>
      </c>
      <c r="R475" s="49">
        <f>IF(OR($AE475&lt;&gt;1,R$1=""),"",SUMIFS('All Donations'!$S$2:$S$4001,'All Donations'!$R$2:$R$4001,$AD475,'All Donations'!$T$2:$T$4001,R$1))</f>
        <v/>
      </c>
      <c r="S475" s="49">
        <f>IF(OR($AE475&lt;&gt;1,S$1=""),"",SUMIFS('All Donations'!$S$2:$S$4001,'All Donations'!$R$2:$R$4001,$AD475,'All Donations'!$T$2:$T$4001,S$1))</f>
        <v/>
      </c>
      <c r="T475" s="49">
        <f>IF(OR($AE475&lt;&gt;1,T$1=""),"",SUMIFS('All Donations'!$S$2:$S$4001,'All Donations'!$R$2:$R$4001,$AD475,'All Donations'!$T$2:$T$4001,T$1))</f>
        <v/>
      </c>
      <c r="U475" s="49">
        <f>IF(OR($AE475&lt;&gt;1,U$1=""),"",SUMIFS('All Donations'!$S$2:$S$4001,'All Donations'!$R$2:$R$4001,$AD475,'All Donations'!$T$2:$T$4001,U$1))</f>
        <v/>
      </c>
      <c r="V475" s="49">
        <f>IF(OR($AE475&lt;&gt;1,V$1=""),"",SUMIFS('All Donations'!$S$2:$S$4001,'All Donations'!$R$2:$R$4001,$AD475,'All Donations'!$T$2:$T$4001,V$1))</f>
        <v/>
      </c>
      <c r="W475" s="49">
        <f>IF(OR($AE475&lt;&gt;1,W$1=""),"",SUMIFS('All Donations'!$S$2:$S$4001,'All Donations'!$R$2:$R$4001,$AD475,'All Donations'!$T$2:$T$4001,W$1))</f>
        <v/>
      </c>
      <c r="X475" s="49">
        <f>IF(OR($AE475&lt;&gt;1,X$1=""),"",SUMIFS('All Donations'!$S$2:$S$4001,'All Donations'!$R$2:$R$4001,$AD475,'All Donations'!$T$2:$T$4001,X$1))</f>
        <v/>
      </c>
      <c r="Y475" s="49">
        <f>IF(OR($AE475&lt;&gt;1,Y$1=""),"",SUMIFS('All Donations'!$S$2:$S$4001,'All Donations'!$R$2:$R$4001,$AD475,'All Donations'!$T$2:$T$4001,Y$1))</f>
        <v/>
      </c>
      <c r="Z475" s="49">
        <f>IF(OR($AE475&lt;&gt;1,Z$1=""),"",SUMIFS('All Donations'!$S$2:$S$4001,'All Donations'!$R$2:$R$4001,$AD475,'All Donations'!$T$2:$T$4001,Z$1))</f>
        <v/>
      </c>
      <c r="AA475" s="49">
        <f>IF(OR($AE475&lt;&gt;1,AA$1=""),"",SUMIFS('All Donations'!$S$2:$S$4001,'All Donations'!$R$2:$R$4001,$AD475,'All Donations'!$T$2:$T$4001,AA$1))</f>
        <v/>
      </c>
      <c r="AB475" s="49">
        <f>IF(OR($AE475&lt;&gt;1,AB$1=""),"",SUMIFS('All Donations'!$S$2:$S$4001,'All Donations'!$R$2:$R$4001,$AD475,'All Donations'!$T$2:$T$4001,AB$1))</f>
        <v/>
      </c>
      <c r="AC475" s="49">
        <f>IF(OR($AE475&lt;&gt;1,AC$1=""),"",SUMIFS('All Donations'!$S$2:$S$4001,'All Donations'!$R$2:$R$4001,$AD475,'All Donations'!$T$2:$T$4001,AC$1))</f>
        <v/>
      </c>
      <c r="AD475">
        <f>IF(AE475=1,'Roster'!A475,"")</f>
        <v/>
      </c>
      <c r="AE475">
        <f>IF(TRIM('Roster'!B475&amp;'Roster'!C475)&lt;&gt;"",1,0)</f>
        <v/>
      </c>
      <c r="AF475">
        <f>IF(AE475=1,LOWER(A475),"#")</f>
        <v/>
      </c>
      <c r="AG475">
        <f>IF(AE475=1,LOWER(TRIM(TRIM('Roster'!C475)&amp;", "&amp;TRIM('Roster'!B475))),"#")</f>
        <v/>
      </c>
      <c r="AH475">
        <f>IF(AND(AE475=1,TRIM('Roster'!F475)&lt;&gt;""),LOWER(TRIM('Roster'!F475)),"#")</f>
        <v/>
      </c>
      <c r="AI475">
        <f>IF(AE475=1,IF(MATCH(B475,$B$2:$B$701,0)=ROW()-1,1,0),0)</f>
        <v/>
      </c>
      <c r="AJ475">
        <f>AJ474+AI475</f>
        <v/>
      </c>
      <c r="AK475">
        <f>IF(AE475=1,D475+(1000-ROW())/10^7,-1)</f>
        <v/>
      </c>
      <c r="AL475">
        <f>IF(AE475=1,TRIM('Roster'!B475)&amp;" "&amp;LEFT(TRIM('Roster'!C475),1)&amp;".","")</f>
        <v/>
      </c>
      <c r="AM475">
        <f>IF(AE475=1,TRIM('Roster'!C475)&amp;", "&amp;TRIM('Roster'!B475)&amp;" ("&amp;B475&amp;") #"&amp;AD475,"")</f>
        <v/>
      </c>
      <c r="AN475">
        <f>IF(AE475=1,TRIM('Roster'!E475),"")</f>
        <v/>
      </c>
      <c r="AO475">
        <f>IF(AE475=1,ROUND(SUMIFS('All Donations'!$S$2:$S$4001,'All Donations'!$R$2:$R$4001,AD475,'All Donations'!$T$2:$T$4001,"&gt;="&amp;'Settings'!$C$23,'All Donations'!$T$2:$T$4001,"&lt;="&amp;'Settings'!$D$23),2),0)</f>
        <v/>
      </c>
      <c r="AQ475">
        <f>IF(AE475=1,ROUND(SUMIFS('All Donations'!$S$2:$S$4001,'All Donations'!$R$2:$R$4001,AD475,'All Donations'!$T$2:$T$4001,"&gt;="&amp;'Settings'!$C$25,'All Donations'!$T$2:$T$4001,"&lt;="&amp;'Settings'!$D$25),2),0)</f>
        <v/>
      </c>
      <c r="AR475">
        <f>IF(AE475=1,ROUND(SUMIFS('All Donations'!$S$2:$S$4001,'All Donations'!$R$2:$R$4001,AD475,'All Donations'!$T$2:$T$4001,"&gt;="&amp;'Settings'!$C$26,'All Donations'!$T$2:$T$4001,"&lt;="&amp;'Settings'!$D$26),2),0)</f>
        <v/>
      </c>
      <c r="AS475">
        <f>IF(AE475=1,ROUND(SUMIFS('All Donations'!$S$2:$S$4001,'All Donations'!$R$2:$R$4001,AD475,'All Donations'!$T$2:$T$4001,"&lt;="&amp;'Settings'!$D$27),2),0)</f>
        <v/>
      </c>
      <c r="AT475">
        <f>IF(AE475=1,ROUND(SUMIFS('All Donations'!$S$2:$S$4001,'All Donations'!$R$2:$R$4001,AD475,'All Donations'!$T$2:$T$4001,"&gt;="&amp;'Settings'!$C$28,'All Donations'!$T$2:$T$4001,"&lt;="&amp;'Settings'!$D$28),2),0)</f>
        <v/>
      </c>
      <c r="AU475">
        <f>IF(AE475=1,ROUND(SUMIFS('All Donations'!$S$2:$S$4001,'All Donations'!$R$2:$R$4001,AD475,'All Donations'!$T$2:$T$4001,"&gt;="&amp;'Settings'!$C$29,'All Donations'!$T$2:$T$4001,"&lt;="&amp;'Settings'!$D$29),2),0)</f>
        <v/>
      </c>
      <c r="AV475">
        <f>IF(AE475=1,ROUND(SUMIFS('All Donations'!$S$2:$S$4001,'All Donations'!$R$2:$R$4001,AD475,'All Donations'!$T$2:$T$4001,"&lt;="&amp;'Settings'!$D$30),2),0)</f>
        <v/>
      </c>
      <c r="AZ475">
        <f>IF(AE475=1,ROUND(SUMIFS('All Donations'!$S$2:$S$4001,'All Donations'!$R$2:$R$4001,AD475,'All Donations'!$T$2:$T$4001,"&lt;="&amp;'Settings'!$D$34),2),0)</f>
        <v/>
      </c>
    </row>
    <row r="476">
      <c r="A476">
        <f>IF(AE476=1,TRIM(TRIM('Roster'!B476)&amp;" "&amp;TRIM('Roster'!C476)),"")</f>
        <v/>
      </c>
      <c r="B476">
        <f>IF(AE476=1,IF(AN476="","(no teacher)",AN476&amp;" – "&amp;C476),"")</f>
        <v/>
      </c>
      <c r="C476">
        <f>IF(AE476=1,TRIM('Roster'!D476&amp;""),"")</f>
        <v/>
      </c>
      <c r="D476" s="48">
        <f>IF(AE476=1,ROUND(SUMIFS('All Donations'!$S$2:$S$4001,'All Donations'!$R$2:$R$4001,AD476),2),"")</f>
        <v/>
      </c>
      <c r="E476" s="48">
        <f>IF(AE476=1,ROUND(SUMIFS('All Donations'!$S$2:$S$4001,'All Donations'!$R$2:$R$4001,AD476,'All Donations'!$G$2:$G$4001,"OneCause"),2),"")</f>
        <v/>
      </c>
      <c r="F476" s="48">
        <f>IF(AE476=1,D476-E476,"")</f>
        <v/>
      </c>
      <c r="G476">
        <f>IF(AE476=1,COUNTIFS('All Donations'!$R$2:$R$4001,AD476,'All Donations'!$H$2:$H$4001,"OK"),"")</f>
        <v/>
      </c>
      <c r="H476">
        <f>IF(AE476&lt;&gt;1,"",IF(D476&gt;0,"Yes",""))</f>
        <v/>
      </c>
      <c r="I476" s="49">
        <f>IF(OR($AE476&lt;&gt;1,I$1=""),"",SUMIFS('All Donations'!$S$2:$S$4001,'All Donations'!$R$2:$R$4001,$AD476,'All Donations'!$T$2:$T$4001,I$1))</f>
        <v/>
      </c>
      <c r="J476" s="49">
        <f>IF(OR($AE476&lt;&gt;1,J$1=""),"",SUMIFS('All Donations'!$S$2:$S$4001,'All Donations'!$R$2:$R$4001,$AD476,'All Donations'!$T$2:$T$4001,J$1))</f>
        <v/>
      </c>
      <c r="K476" s="49">
        <f>IF(OR($AE476&lt;&gt;1,K$1=""),"",SUMIFS('All Donations'!$S$2:$S$4001,'All Donations'!$R$2:$R$4001,$AD476,'All Donations'!$T$2:$T$4001,K$1))</f>
        <v/>
      </c>
      <c r="L476" s="49">
        <f>IF(OR($AE476&lt;&gt;1,L$1=""),"",SUMIFS('All Donations'!$S$2:$S$4001,'All Donations'!$R$2:$R$4001,$AD476,'All Donations'!$T$2:$T$4001,L$1))</f>
        <v/>
      </c>
      <c r="M476" s="49">
        <f>IF(OR($AE476&lt;&gt;1,M$1=""),"",SUMIFS('All Donations'!$S$2:$S$4001,'All Donations'!$R$2:$R$4001,$AD476,'All Donations'!$T$2:$T$4001,M$1))</f>
        <v/>
      </c>
      <c r="N476" s="49">
        <f>IF(OR($AE476&lt;&gt;1,N$1=""),"",SUMIFS('All Donations'!$S$2:$S$4001,'All Donations'!$R$2:$R$4001,$AD476,'All Donations'!$T$2:$T$4001,N$1))</f>
        <v/>
      </c>
      <c r="O476" s="49">
        <f>IF(OR($AE476&lt;&gt;1,O$1=""),"",SUMIFS('All Donations'!$S$2:$S$4001,'All Donations'!$R$2:$R$4001,$AD476,'All Donations'!$T$2:$T$4001,O$1))</f>
        <v/>
      </c>
      <c r="P476" s="49">
        <f>IF(OR($AE476&lt;&gt;1,P$1=""),"",SUMIFS('All Donations'!$S$2:$S$4001,'All Donations'!$R$2:$R$4001,$AD476,'All Donations'!$T$2:$T$4001,P$1))</f>
        <v/>
      </c>
      <c r="Q476" s="49">
        <f>IF(OR($AE476&lt;&gt;1,Q$1=""),"",SUMIFS('All Donations'!$S$2:$S$4001,'All Donations'!$R$2:$R$4001,$AD476,'All Donations'!$T$2:$T$4001,Q$1))</f>
        <v/>
      </c>
      <c r="R476" s="49">
        <f>IF(OR($AE476&lt;&gt;1,R$1=""),"",SUMIFS('All Donations'!$S$2:$S$4001,'All Donations'!$R$2:$R$4001,$AD476,'All Donations'!$T$2:$T$4001,R$1))</f>
        <v/>
      </c>
      <c r="S476" s="49">
        <f>IF(OR($AE476&lt;&gt;1,S$1=""),"",SUMIFS('All Donations'!$S$2:$S$4001,'All Donations'!$R$2:$R$4001,$AD476,'All Donations'!$T$2:$T$4001,S$1))</f>
        <v/>
      </c>
      <c r="T476" s="49">
        <f>IF(OR($AE476&lt;&gt;1,T$1=""),"",SUMIFS('All Donations'!$S$2:$S$4001,'All Donations'!$R$2:$R$4001,$AD476,'All Donations'!$T$2:$T$4001,T$1))</f>
        <v/>
      </c>
      <c r="U476" s="49">
        <f>IF(OR($AE476&lt;&gt;1,U$1=""),"",SUMIFS('All Donations'!$S$2:$S$4001,'All Donations'!$R$2:$R$4001,$AD476,'All Donations'!$T$2:$T$4001,U$1))</f>
        <v/>
      </c>
      <c r="V476" s="49">
        <f>IF(OR($AE476&lt;&gt;1,V$1=""),"",SUMIFS('All Donations'!$S$2:$S$4001,'All Donations'!$R$2:$R$4001,$AD476,'All Donations'!$T$2:$T$4001,V$1))</f>
        <v/>
      </c>
      <c r="W476" s="49">
        <f>IF(OR($AE476&lt;&gt;1,W$1=""),"",SUMIFS('All Donations'!$S$2:$S$4001,'All Donations'!$R$2:$R$4001,$AD476,'All Donations'!$T$2:$T$4001,W$1))</f>
        <v/>
      </c>
      <c r="X476" s="49">
        <f>IF(OR($AE476&lt;&gt;1,X$1=""),"",SUMIFS('All Donations'!$S$2:$S$4001,'All Donations'!$R$2:$R$4001,$AD476,'All Donations'!$T$2:$T$4001,X$1))</f>
        <v/>
      </c>
      <c r="Y476" s="49">
        <f>IF(OR($AE476&lt;&gt;1,Y$1=""),"",SUMIFS('All Donations'!$S$2:$S$4001,'All Donations'!$R$2:$R$4001,$AD476,'All Donations'!$T$2:$T$4001,Y$1))</f>
        <v/>
      </c>
      <c r="Z476" s="49">
        <f>IF(OR($AE476&lt;&gt;1,Z$1=""),"",SUMIFS('All Donations'!$S$2:$S$4001,'All Donations'!$R$2:$R$4001,$AD476,'All Donations'!$T$2:$T$4001,Z$1))</f>
        <v/>
      </c>
      <c r="AA476" s="49">
        <f>IF(OR($AE476&lt;&gt;1,AA$1=""),"",SUMIFS('All Donations'!$S$2:$S$4001,'All Donations'!$R$2:$R$4001,$AD476,'All Donations'!$T$2:$T$4001,AA$1))</f>
        <v/>
      </c>
      <c r="AB476" s="49">
        <f>IF(OR($AE476&lt;&gt;1,AB$1=""),"",SUMIFS('All Donations'!$S$2:$S$4001,'All Donations'!$R$2:$R$4001,$AD476,'All Donations'!$T$2:$T$4001,AB$1))</f>
        <v/>
      </c>
      <c r="AC476" s="49">
        <f>IF(OR($AE476&lt;&gt;1,AC$1=""),"",SUMIFS('All Donations'!$S$2:$S$4001,'All Donations'!$R$2:$R$4001,$AD476,'All Donations'!$T$2:$T$4001,AC$1))</f>
        <v/>
      </c>
      <c r="AD476">
        <f>IF(AE476=1,'Roster'!A476,"")</f>
        <v/>
      </c>
      <c r="AE476">
        <f>IF(TRIM('Roster'!B476&amp;'Roster'!C476)&lt;&gt;"",1,0)</f>
        <v/>
      </c>
      <c r="AF476">
        <f>IF(AE476=1,LOWER(A476),"#")</f>
        <v/>
      </c>
      <c r="AG476">
        <f>IF(AE476=1,LOWER(TRIM(TRIM('Roster'!C476)&amp;", "&amp;TRIM('Roster'!B476))),"#")</f>
        <v/>
      </c>
      <c r="AH476">
        <f>IF(AND(AE476=1,TRIM('Roster'!F476)&lt;&gt;""),LOWER(TRIM('Roster'!F476)),"#")</f>
        <v/>
      </c>
      <c r="AI476">
        <f>IF(AE476=1,IF(MATCH(B476,$B$2:$B$701,0)=ROW()-1,1,0),0)</f>
        <v/>
      </c>
      <c r="AJ476">
        <f>AJ475+AI476</f>
        <v/>
      </c>
      <c r="AK476">
        <f>IF(AE476=1,D476+(1000-ROW())/10^7,-1)</f>
        <v/>
      </c>
      <c r="AL476">
        <f>IF(AE476=1,TRIM('Roster'!B476)&amp;" "&amp;LEFT(TRIM('Roster'!C476),1)&amp;".","")</f>
        <v/>
      </c>
      <c r="AM476">
        <f>IF(AE476=1,TRIM('Roster'!C476)&amp;", "&amp;TRIM('Roster'!B476)&amp;" ("&amp;B476&amp;") #"&amp;AD476,"")</f>
        <v/>
      </c>
      <c r="AN476">
        <f>IF(AE476=1,TRIM('Roster'!E476),"")</f>
        <v/>
      </c>
      <c r="AO476">
        <f>IF(AE476=1,ROUND(SUMIFS('All Donations'!$S$2:$S$4001,'All Donations'!$R$2:$R$4001,AD476,'All Donations'!$T$2:$T$4001,"&gt;="&amp;'Settings'!$C$23,'All Donations'!$T$2:$T$4001,"&lt;="&amp;'Settings'!$D$23),2),0)</f>
        <v/>
      </c>
      <c r="AQ476">
        <f>IF(AE476=1,ROUND(SUMIFS('All Donations'!$S$2:$S$4001,'All Donations'!$R$2:$R$4001,AD476,'All Donations'!$T$2:$T$4001,"&gt;="&amp;'Settings'!$C$25,'All Donations'!$T$2:$T$4001,"&lt;="&amp;'Settings'!$D$25),2),0)</f>
        <v/>
      </c>
      <c r="AR476">
        <f>IF(AE476=1,ROUND(SUMIFS('All Donations'!$S$2:$S$4001,'All Donations'!$R$2:$R$4001,AD476,'All Donations'!$T$2:$T$4001,"&gt;="&amp;'Settings'!$C$26,'All Donations'!$T$2:$T$4001,"&lt;="&amp;'Settings'!$D$26),2),0)</f>
        <v/>
      </c>
      <c r="AS476">
        <f>IF(AE476=1,ROUND(SUMIFS('All Donations'!$S$2:$S$4001,'All Donations'!$R$2:$R$4001,AD476,'All Donations'!$T$2:$T$4001,"&lt;="&amp;'Settings'!$D$27),2),0)</f>
        <v/>
      </c>
      <c r="AT476">
        <f>IF(AE476=1,ROUND(SUMIFS('All Donations'!$S$2:$S$4001,'All Donations'!$R$2:$R$4001,AD476,'All Donations'!$T$2:$T$4001,"&gt;="&amp;'Settings'!$C$28,'All Donations'!$T$2:$T$4001,"&lt;="&amp;'Settings'!$D$28),2),0)</f>
        <v/>
      </c>
      <c r="AU476">
        <f>IF(AE476=1,ROUND(SUMIFS('All Donations'!$S$2:$S$4001,'All Donations'!$R$2:$R$4001,AD476,'All Donations'!$T$2:$T$4001,"&gt;="&amp;'Settings'!$C$29,'All Donations'!$T$2:$T$4001,"&lt;="&amp;'Settings'!$D$29),2),0)</f>
        <v/>
      </c>
      <c r="AV476">
        <f>IF(AE476=1,ROUND(SUMIFS('All Donations'!$S$2:$S$4001,'All Donations'!$R$2:$R$4001,AD476,'All Donations'!$T$2:$T$4001,"&lt;="&amp;'Settings'!$D$30),2),0)</f>
        <v/>
      </c>
      <c r="AZ476">
        <f>IF(AE476=1,ROUND(SUMIFS('All Donations'!$S$2:$S$4001,'All Donations'!$R$2:$R$4001,AD476,'All Donations'!$T$2:$T$4001,"&lt;="&amp;'Settings'!$D$34),2),0)</f>
        <v/>
      </c>
    </row>
    <row r="477">
      <c r="A477">
        <f>IF(AE477=1,TRIM(TRIM('Roster'!B477)&amp;" "&amp;TRIM('Roster'!C477)),"")</f>
        <v/>
      </c>
      <c r="B477">
        <f>IF(AE477=1,IF(AN477="","(no teacher)",AN477&amp;" – "&amp;C477),"")</f>
        <v/>
      </c>
      <c r="C477">
        <f>IF(AE477=1,TRIM('Roster'!D477&amp;""),"")</f>
        <v/>
      </c>
      <c r="D477" s="48">
        <f>IF(AE477=1,ROUND(SUMIFS('All Donations'!$S$2:$S$4001,'All Donations'!$R$2:$R$4001,AD477),2),"")</f>
        <v/>
      </c>
      <c r="E477" s="48">
        <f>IF(AE477=1,ROUND(SUMIFS('All Donations'!$S$2:$S$4001,'All Donations'!$R$2:$R$4001,AD477,'All Donations'!$G$2:$G$4001,"OneCause"),2),"")</f>
        <v/>
      </c>
      <c r="F477" s="48">
        <f>IF(AE477=1,D477-E477,"")</f>
        <v/>
      </c>
      <c r="G477">
        <f>IF(AE477=1,COUNTIFS('All Donations'!$R$2:$R$4001,AD477,'All Donations'!$H$2:$H$4001,"OK"),"")</f>
        <v/>
      </c>
      <c r="H477">
        <f>IF(AE477&lt;&gt;1,"",IF(D477&gt;0,"Yes",""))</f>
        <v/>
      </c>
      <c r="I477" s="49">
        <f>IF(OR($AE477&lt;&gt;1,I$1=""),"",SUMIFS('All Donations'!$S$2:$S$4001,'All Donations'!$R$2:$R$4001,$AD477,'All Donations'!$T$2:$T$4001,I$1))</f>
        <v/>
      </c>
      <c r="J477" s="49">
        <f>IF(OR($AE477&lt;&gt;1,J$1=""),"",SUMIFS('All Donations'!$S$2:$S$4001,'All Donations'!$R$2:$R$4001,$AD477,'All Donations'!$T$2:$T$4001,J$1))</f>
        <v/>
      </c>
      <c r="K477" s="49">
        <f>IF(OR($AE477&lt;&gt;1,K$1=""),"",SUMIFS('All Donations'!$S$2:$S$4001,'All Donations'!$R$2:$R$4001,$AD477,'All Donations'!$T$2:$T$4001,K$1))</f>
        <v/>
      </c>
      <c r="L477" s="49">
        <f>IF(OR($AE477&lt;&gt;1,L$1=""),"",SUMIFS('All Donations'!$S$2:$S$4001,'All Donations'!$R$2:$R$4001,$AD477,'All Donations'!$T$2:$T$4001,L$1))</f>
        <v/>
      </c>
      <c r="M477" s="49">
        <f>IF(OR($AE477&lt;&gt;1,M$1=""),"",SUMIFS('All Donations'!$S$2:$S$4001,'All Donations'!$R$2:$R$4001,$AD477,'All Donations'!$T$2:$T$4001,M$1))</f>
        <v/>
      </c>
      <c r="N477" s="49">
        <f>IF(OR($AE477&lt;&gt;1,N$1=""),"",SUMIFS('All Donations'!$S$2:$S$4001,'All Donations'!$R$2:$R$4001,$AD477,'All Donations'!$T$2:$T$4001,N$1))</f>
        <v/>
      </c>
      <c r="O477" s="49">
        <f>IF(OR($AE477&lt;&gt;1,O$1=""),"",SUMIFS('All Donations'!$S$2:$S$4001,'All Donations'!$R$2:$R$4001,$AD477,'All Donations'!$T$2:$T$4001,O$1))</f>
        <v/>
      </c>
      <c r="P477" s="49">
        <f>IF(OR($AE477&lt;&gt;1,P$1=""),"",SUMIFS('All Donations'!$S$2:$S$4001,'All Donations'!$R$2:$R$4001,$AD477,'All Donations'!$T$2:$T$4001,P$1))</f>
        <v/>
      </c>
      <c r="Q477" s="49">
        <f>IF(OR($AE477&lt;&gt;1,Q$1=""),"",SUMIFS('All Donations'!$S$2:$S$4001,'All Donations'!$R$2:$R$4001,$AD477,'All Donations'!$T$2:$T$4001,Q$1))</f>
        <v/>
      </c>
      <c r="R477" s="49">
        <f>IF(OR($AE477&lt;&gt;1,R$1=""),"",SUMIFS('All Donations'!$S$2:$S$4001,'All Donations'!$R$2:$R$4001,$AD477,'All Donations'!$T$2:$T$4001,R$1))</f>
        <v/>
      </c>
      <c r="S477" s="49">
        <f>IF(OR($AE477&lt;&gt;1,S$1=""),"",SUMIFS('All Donations'!$S$2:$S$4001,'All Donations'!$R$2:$R$4001,$AD477,'All Donations'!$T$2:$T$4001,S$1))</f>
        <v/>
      </c>
      <c r="T477" s="49">
        <f>IF(OR($AE477&lt;&gt;1,T$1=""),"",SUMIFS('All Donations'!$S$2:$S$4001,'All Donations'!$R$2:$R$4001,$AD477,'All Donations'!$T$2:$T$4001,T$1))</f>
        <v/>
      </c>
      <c r="U477" s="49">
        <f>IF(OR($AE477&lt;&gt;1,U$1=""),"",SUMIFS('All Donations'!$S$2:$S$4001,'All Donations'!$R$2:$R$4001,$AD477,'All Donations'!$T$2:$T$4001,U$1))</f>
        <v/>
      </c>
      <c r="V477" s="49">
        <f>IF(OR($AE477&lt;&gt;1,V$1=""),"",SUMIFS('All Donations'!$S$2:$S$4001,'All Donations'!$R$2:$R$4001,$AD477,'All Donations'!$T$2:$T$4001,V$1))</f>
        <v/>
      </c>
      <c r="W477" s="49">
        <f>IF(OR($AE477&lt;&gt;1,W$1=""),"",SUMIFS('All Donations'!$S$2:$S$4001,'All Donations'!$R$2:$R$4001,$AD477,'All Donations'!$T$2:$T$4001,W$1))</f>
        <v/>
      </c>
      <c r="X477" s="49">
        <f>IF(OR($AE477&lt;&gt;1,X$1=""),"",SUMIFS('All Donations'!$S$2:$S$4001,'All Donations'!$R$2:$R$4001,$AD477,'All Donations'!$T$2:$T$4001,X$1))</f>
        <v/>
      </c>
      <c r="Y477" s="49">
        <f>IF(OR($AE477&lt;&gt;1,Y$1=""),"",SUMIFS('All Donations'!$S$2:$S$4001,'All Donations'!$R$2:$R$4001,$AD477,'All Donations'!$T$2:$T$4001,Y$1))</f>
        <v/>
      </c>
      <c r="Z477" s="49">
        <f>IF(OR($AE477&lt;&gt;1,Z$1=""),"",SUMIFS('All Donations'!$S$2:$S$4001,'All Donations'!$R$2:$R$4001,$AD477,'All Donations'!$T$2:$T$4001,Z$1))</f>
        <v/>
      </c>
      <c r="AA477" s="49">
        <f>IF(OR($AE477&lt;&gt;1,AA$1=""),"",SUMIFS('All Donations'!$S$2:$S$4001,'All Donations'!$R$2:$R$4001,$AD477,'All Donations'!$T$2:$T$4001,AA$1))</f>
        <v/>
      </c>
      <c r="AB477" s="49">
        <f>IF(OR($AE477&lt;&gt;1,AB$1=""),"",SUMIFS('All Donations'!$S$2:$S$4001,'All Donations'!$R$2:$R$4001,$AD477,'All Donations'!$T$2:$T$4001,AB$1))</f>
        <v/>
      </c>
      <c r="AC477" s="49">
        <f>IF(OR($AE477&lt;&gt;1,AC$1=""),"",SUMIFS('All Donations'!$S$2:$S$4001,'All Donations'!$R$2:$R$4001,$AD477,'All Donations'!$T$2:$T$4001,AC$1))</f>
        <v/>
      </c>
      <c r="AD477">
        <f>IF(AE477=1,'Roster'!A477,"")</f>
        <v/>
      </c>
      <c r="AE477">
        <f>IF(TRIM('Roster'!B477&amp;'Roster'!C477)&lt;&gt;"",1,0)</f>
        <v/>
      </c>
      <c r="AF477">
        <f>IF(AE477=1,LOWER(A477),"#")</f>
        <v/>
      </c>
      <c r="AG477">
        <f>IF(AE477=1,LOWER(TRIM(TRIM('Roster'!C477)&amp;", "&amp;TRIM('Roster'!B477))),"#")</f>
        <v/>
      </c>
      <c r="AH477">
        <f>IF(AND(AE477=1,TRIM('Roster'!F477)&lt;&gt;""),LOWER(TRIM('Roster'!F477)),"#")</f>
        <v/>
      </c>
      <c r="AI477">
        <f>IF(AE477=1,IF(MATCH(B477,$B$2:$B$701,0)=ROW()-1,1,0),0)</f>
        <v/>
      </c>
      <c r="AJ477">
        <f>AJ476+AI477</f>
        <v/>
      </c>
      <c r="AK477">
        <f>IF(AE477=1,D477+(1000-ROW())/10^7,-1)</f>
        <v/>
      </c>
      <c r="AL477">
        <f>IF(AE477=1,TRIM('Roster'!B477)&amp;" "&amp;LEFT(TRIM('Roster'!C477),1)&amp;".","")</f>
        <v/>
      </c>
      <c r="AM477">
        <f>IF(AE477=1,TRIM('Roster'!C477)&amp;", "&amp;TRIM('Roster'!B477)&amp;" ("&amp;B477&amp;") #"&amp;AD477,"")</f>
        <v/>
      </c>
      <c r="AN477">
        <f>IF(AE477=1,TRIM('Roster'!E477),"")</f>
        <v/>
      </c>
      <c r="AO477">
        <f>IF(AE477=1,ROUND(SUMIFS('All Donations'!$S$2:$S$4001,'All Donations'!$R$2:$R$4001,AD477,'All Donations'!$T$2:$T$4001,"&gt;="&amp;'Settings'!$C$23,'All Donations'!$T$2:$T$4001,"&lt;="&amp;'Settings'!$D$23),2),0)</f>
        <v/>
      </c>
      <c r="AQ477">
        <f>IF(AE477=1,ROUND(SUMIFS('All Donations'!$S$2:$S$4001,'All Donations'!$R$2:$R$4001,AD477,'All Donations'!$T$2:$T$4001,"&gt;="&amp;'Settings'!$C$25,'All Donations'!$T$2:$T$4001,"&lt;="&amp;'Settings'!$D$25),2),0)</f>
        <v/>
      </c>
      <c r="AR477">
        <f>IF(AE477=1,ROUND(SUMIFS('All Donations'!$S$2:$S$4001,'All Donations'!$R$2:$R$4001,AD477,'All Donations'!$T$2:$T$4001,"&gt;="&amp;'Settings'!$C$26,'All Donations'!$T$2:$T$4001,"&lt;="&amp;'Settings'!$D$26),2),0)</f>
        <v/>
      </c>
      <c r="AS477">
        <f>IF(AE477=1,ROUND(SUMIFS('All Donations'!$S$2:$S$4001,'All Donations'!$R$2:$R$4001,AD477,'All Donations'!$T$2:$T$4001,"&lt;="&amp;'Settings'!$D$27),2),0)</f>
        <v/>
      </c>
      <c r="AT477">
        <f>IF(AE477=1,ROUND(SUMIFS('All Donations'!$S$2:$S$4001,'All Donations'!$R$2:$R$4001,AD477,'All Donations'!$T$2:$T$4001,"&gt;="&amp;'Settings'!$C$28,'All Donations'!$T$2:$T$4001,"&lt;="&amp;'Settings'!$D$28),2),0)</f>
        <v/>
      </c>
      <c r="AU477">
        <f>IF(AE477=1,ROUND(SUMIFS('All Donations'!$S$2:$S$4001,'All Donations'!$R$2:$R$4001,AD477,'All Donations'!$T$2:$T$4001,"&gt;="&amp;'Settings'!$C$29,'All Donations'!$T$2:$T$4001,"&lt;="&amp;'Settings'!$D$29),2),0)</f>
        <v/>
      </c>
      <c r="AV477">
        <f>IF(AE477=1,ROUND(SUMIFS('All Donations'!$S$2:$S$4001,'All Donations'!$R$2:$R$4001,AD477,'All Donations'!$T$2:$T$4001,"&lt;="&amp;'Settings'!$D$30),2),0)</f>
        <v/>
      </c>
      <c r="AZ477">
        <f>IF(AE477=1,ROUND(SUMIFS('All Donations'!$S$2:$S$4001,'All Donations'!$R$2:$R$4001,AD477,'All Donations'!$T$2:$T$4001,"&lt;="&amp;'Settings'!$D$34),2),0)</f>
        <v/>
      </c>
    </row>
    <row r="478">
      <c r="A478">
        <f>IF(AE478=1,TRIM(TRIM('Roster'!B478)&amp;" "&amp;TRIM('Roster'!C478)),"")</f>
        <v/>
      </c>
      <c r="B478">
        <f>IF(AE478=1,IF(AN478="","(no teacher)",AN478&amp;" – "&amp;C478),"")</f>
        <v/>
      </c>
      <c r="C478">
        <f>IF(AE478=1,TRIM('Roster'!D478&amp;""),"")</f>
        <v/>
      </c>
      <c r="D478" s="48">
        <f>IF(AE478=1,ROUND(SUMIFS('All Donations'!$S$2:$S$4001,'All Donations'!$R$2:$R$4001,AD478),2),"")</f>
        <v/>
      </c>
      <c r="E478" s="48">
        <f>IF(AE478=1,ROUND(SUMIFS('All Donations'!$S$2:$S$4001,'All Donations'!$R$2:$R$4001,AD478,'All Donations'!$G$2:$G$4001,"OneCause"),2),"")</f>
        <v/>
      </c>
      <c r="F478" s="48">
        <f>IF(AE478=1,D478-E478,"")</f>
        <v/>
      </c>
      <c r="G478">
        <f>IF(AE478=1,COUNTIFS('All Donations'!$R$2:$R$4001,AD478,'All Donations'!$H$2:$H$4001,"OK"),"")</f>
        <v/>
      </c>
      <c r="H478">
        <f>IF(AE478&lt;&gt;1,"",IF(D478&gt;0,"Yes",""))</f>
        <v/>
      </c>
      <c r="I478" s="49">
        <f>IF(OR($AE478&lt;&gt;1,I$1=""),"",SUMIFS('All Donations'!$S$2:$S$4001,'All Donations'!$R$2:$R$4001,$AD478,'All Donations'!$T$2:$T$4001,I$1))</f>
        <v/>
      </c>
      <c r="J478" s="49">
        <f>IF(OR($AE478&lt;&gt;1,J$1=""),"",SUMIFS('All Donations'!$S$2:$S$4001,'All Donations'!$R$2:$R$4001,$AD478,'All Donations'!$T$2:$T$4001,J$1))</f>
        <v/>
      </c>
      <c r="K478" s="49">
        <f>IF(OR($AE478&lt;&gt;1,K$1=""),"",SUMIFS('All Donations'!$S$2:$S$4001,'All Donations'!$R$2:$R$4001,$AD478,'All Donations'!$T$2:$T$4001,K$1))</f>
        <v/>
      </c>
      <c r="L478" s="49">
        <f>IF(OR($AE478&lt;&gt;1,L$1=""),"",SUMIFS('All Donations'!$S$2:$S$4001,'All Donations'!$R$2:$R$4001,$AD478,'All Donations'!$T$2:$T$4001,L$1))</f>
        <v/>
      </c>
      <c r="M478" s="49">
        <f>IF(OR($AE478&lt;&gt;1,M$1=""),"",SUMIFS('All Donations'!$S$2:$S$4001,'All Donations'!$R$2:$R$4001,$AD478,'All Donations'!$T$2:$T$4001,M$1))</f>
        <v/>
      </c>
      <c r="N478" s="49">
        <f>IF(OR($AE478&lt;&gt;1,N$1=""),"",SUMIFS('All Donations'!$S$2:$S$4001,'All Donations'!$R$2:$R$4001,$AD478,'All Donations'!$T$2:$T$4001,N$1))</f>
        <v/>
      </c>
      <c r="O478" s="49">
        <f>IF(OR($AE478&lt;&gt;1,O$1=""),"",SUMIFS('All Donations'!$S$2:$S$4001,'All Donations'!$R$2:$R$4001,$AD478,'All Donations'!$T$2:$T$4001,O$1))</f>
        <v/>
      </c>
      <c r="P478" s="49">
        <f>IF(OR($AE478&lt;&gt;1,P$1=""),"",SUMIFS('All Donations'!$S$2:$S$4001,'All Donations'!$R$2:$R$4001,$AD478,'All Donations'!$T$2:$T$4001,P$1))</f>
        <v/>
      </c>
      <c r="Q478" s="49">
        <f>IF(OR($AE478&lt;&gt;1,Q$1=""),"",SUMIFS('All Donations'!$S$2:$S$4001,'All Donations'!$R$2:$R$4001,$AD478,'All Donations'!$T$2:$T$4001,Q$1))</f>
        <v/>
      </c>
      <c r="R478" s="49">
        <f>IF(OR($AE478&lt;&gt;1,R$1=""),"",SUMIFS('All Donations'!$S$2:$S$4001,'All Donations'!$R$2:$R$4001,$AD478,'All Donations'!$T$2:$T$4001,R$1))</f>
        <v/>
      </c>
      <c r="S478" s="49">
        <f>IF(OR($AE478&lt;&gt;1,S$1=""),"",SUMIFS('All Donations'!$S$2:$S$4001,'All Donations'!$R$2:$R$4001,$AD478,'All Donations'!$T$2:$T$4001,S$1))</f>
        <v/>
      </c>
      <c r="T478" s="49">
        <f>IF(OR($AE478&lt;&gt;1,T$1=""),"",SUMIFS('All Donations'!$S$2:$S$4001,'All Donations'!$R$2:$R$4001,$AD478,'All Donations'!$T$2:$T$4001,T$1))</f>
        <v/>
      </c>
      <c r="U478" s="49">
        <f>IF(OR($AE478&lt;&gt;1,U$1=""),"",SUMIFS('All Donations'!$S$2:$S$4001,'All Donations'!$R$2:$R$4001,$AD478,'All Donations'!$T$2:$T$4001,U$1))</f>
        <v/>
      </c>
      <c r="V478" s="49">
        <f>IF(OR($AE478&lt;&gt;1,V$1=""),"",SUMIFS('All Donations'!$S$2:$S$4001,'All Donations'!$R$2:$R$4001,$AD478,'All Donations'!$T$2:$T$4001,V$1))</f>
        <v/>
      </c>
      <c r="W478" s="49">
        <f>IF(OR($AE478&lt;&gt;1,W$1=""),"",SUMIFS('All Donations'!$S$2:$S$4001,'All Donations'!$R$2:$R$4001,$AD478,'All Donations'!$T$2:$T$4001,W$1))</f>
        <v/>
      </c>
      <c r="X478" s="49">
        <f>IF(OR($AE478&lt;&gt;1,X$1=""),"",SUMIFS('All Donations'!$S$2:$S$4001,'All Donations'!$R$2:$R$4001,$AD478,'All Donations'!$T$2:$T$4001,X$1))</f>
        <v/>
      </c>
      <c r="Y478" s="49">
        <f>IF(OR($AE478&lt;&gt;1,Y$1=""),"",SUMIFS('All Donations'!$S$2:$S$4001,'All Donations'!$R$2:$R$4001,$AD478,'All Donations'!$T$2:$T$4001,Y$1))</f>
        <v/>
      </c>
      <c r="Z478" s="49">
        <f>IF(OR($AE478&lt;&gt;1,Z$1=""),"",SUMIFS('All Donations'!$S$2:$S$4001,'All Donations'!$R$2:$R$4001,$AD478,'All Donations'!$T$2:$T$4001,Z$1))</f>
        <v/>
      </c>
      <c r="AA478" s="49">
        <f>IF(OR($AE478&lt;&gt;1,AA$1=""),"",SUMIFS('All Donations'!$S$2:$S$4001,'All Donations'!$R$2:$R$4001,$AD478,'All Donations'!$T$2:$T$4001,AA$1))</f>
        <v/>
      </c>
      <c r="AB478" s="49">
        <f>IF(OR($AE478&lt;&gt;1,AB$1=""),"",SUMIFS('All Donations'!$S$2:$S$4001,'All Donations'!$R$2:$R$4001,$AD478,'All Donations'!$T$2:$T$4001,AB$1))</f>
        <v/>
      </c>
      <c r="AC478" s="49">
        <f>IF(OR($AE478&lt;&gt;1,AC$1=""),"",SUMIFS('All Donations'!$S$2:$S$4001,'All Donations'!$R$2:$R$4001,$AD478,'All Donations'!$T$2:$T$4001,AC$1))</f>
        <v/>
      </c>
      <c r="AD478">
        <f>IF(AE478=1,'Roster'!A478,"")</f>
        <v/>
      </c>
      <c r="AE478">
        <f>IF(TRIM('Roster'!B478&amp;'Roster'!C478)&lt;&gt;"",1,0)</f>
        <v/>
      </c>
      <c r="AF478">
        <f>IF(AE478=1,LOWER(A478),"#")</f>
        <v/>
      </c>
      <c r="AG478">
        <f>IF(AE478=1,LOWER(TRIM(TRIM('Roster'!C478)&amp;", "&amp;TRIM('Roster'!B478))),"#")</f>
        <v/>
      </c>
      <c r="AH478">
        <f>IF(AND(AE478=1,TRIM('Roster'!F478)&lt;&gt;""),LOWER(TRIM('Roster'!F478)),"#")</f>
        <v/>
      </c>
      <c r="AI478">
        <f>IF(AE478=1,IF(MATCH(B478,$B$2:$B$701,0)=ROW()-1,1,0),0)</f>
        <v/>
      </c>
      <c r="AJ478">
        <f>AJ477+AI478</f>
        <v/>
      </c>
      <c r="AK478">
        <f>IF(AE478=1,D478+(1000-ROW())/10^7,-1)</f>
        <v/>
      </c>
      <c r="AL478">
        <f>IF(AE478=1,TRIM('Roster'!B478)&amp;" "&amp;LEFT(TRIM('Roster'!C478),1)&amp;".","")</f>
        <v/>
      </c>
      <c r="AM478">
        <f>IF(AE478=1,TRIM('Roster'!C478)&amp;", "&amp;TRIM('Roster'!B478)&amp;" ("&amp;B478&amp;") #"&amp;AD478,"")</f>
        <v/>
      </c>
      <c r="AN478">
        <f>IF(AE478=1,TRIM('Roster'!E478),"")</f>
        <v/>
      </c>
      <c r="AO478">
        <f>IF(AE478=1,ROUND(SUMIFS('All Donations'!$S$2:$S$4001,'All Donations'!$R$2:$R$4001,AD478,'All Donations'!$T$2:$T$4001,"&gt;="&amp;'Settings'!$C$23,'All Donations'!$T$2:$T$4001,"&lt;="&amp;'Settings'!$D$23),2),0)</f>
        <v/>
      </c>
      <c r="AQ478">
        <f>IF(AE478=1,ROUND(SUMIFS('All Donations'!$S$2:$S$4001,'All Donations'!$R$2:$R$4001,AD478,'All Donations'!$T$2:$T$4001,"&gt;="&amp;'Settings'!$C$25,'All Donations'!$T$2:$T$4001,"&lt;="&amp;'Settings'!$D$25),2),0)</f>
        <v/>
      </c>
      <c r="AR478">
        <f>IF(AE478=1,ROUND(SUMIFS('All Donations'!$S$2:$S$4001,'All Donations'!$R$2:$R$4001,AD478,'All Donations'!$T$2:$T$4001,"&gt;="&amp;'Settings'!$C$26,'All Donations'!$T$2:$T$4001,"&lt;="&amp;'Settings'!$D$26),2),0)</f>
        <v/>
      </c>
      <c r="AS478">
        <f>IF(AE478=1,ROUND(SUMIFS('All Donations'!$S$2:$S$4001,'All Donations'!$R$2:$R$4001,AD478,'All Donations'!$T$2:$T$4001,"&lt;="&amp;'Settings'!$D$27),2),0)</f>
        <v/>
      </c>
      <c r="AT478">
        <f>IF(AE478=1,ROUND(SUMIFS('All Donations'!$S$2:$S$4001,'All Donations'!$R$2:$R$4001,AD478,'All Donations'!$T$2:$T$4001,"&gt;="&amp;'Settings'!$C$28,'All Donations'!$T$2:$T$4001,"&lt;="&amp;'Settings'!$D$28),2),0)</f>
        <v/>
      </c>
      <c r="AU478">
        <f>IF(AE478=1,ROUND(SUMIFS('All Donations'!$S$2:$S$4001,'All Donations'!$R$2:$R$4001,AD478,'All Donations'!$T$2:$T$4001,"&gt;="&amp;'Settings'!$C$29,'All Donations'!$T$2:$T$4001,"&lt;="&amp;'Settings'!$D$29),2),0)</f>
        <v/>
      </c>
      <c r="AV478">
        <f>IF(AE478=1,ROUND(SUMIFS('All Donations'!$S$2:$S$4001,'All Donations'!$R$2:$R$4001,AD478,'All Donations'!$T$2:$T$4001,"&lt;="&amp;'Settings'!$D$30),2),0)</f>
        <v/>
      </c>
      <c r="AZ478">
        <f>IF(AE478=1,ROUND(SUMIFS('All Donations'!$S$2:$S$4001,'All Donations'!$R$2:$R$4001,AD478,'All Donations'!$T$2:$T$4001,"&lt;="&amp;'Settings'!$D$34),2),0)</f>
        <v/>
      </c>
    </row>
    <row r="479">
      <c r="A479">
        <f>IF(AE479=1,TRIM(TRIM('Roster'!B479)&amp;" "&amp;TRIM('Roster'!C479)),"")</f>
        <v/>
      </c>
      <c r="B479">
        <f>IF(AE479=1,IF(AN479="","(no teacher)",AN479&amp;" – "&amp;C479),"")</f>
        <v/>
      </c>
      <c r="C479">
        <f>IF(AE479=1,TRIM('Roster'!D479&amp;""),"")</f>
        <v/>
      </c>
      <c r="D479" s="48">
        <f>IF(AE479=1,ROUND(SUMIFS('All Donations'!$S$2:$S$4001,'All Donations'!$R$2:$R$4001,AD479),2),"")</f>
        <v/>
      </c>
      <c r="E479" s="48">
        <f>IF(AE479=1,ROUND(SUMIFS('All Donations'!$S$2:$S$4001,'All Donations'!$R$2:$R$4001,AD479,'All Donations'!$G$2:$G$4001,"OneCause"),2),"")</f>
        <v/>
      </c>
      <c r="F479" s="48">
        <f>IF(AE479=1,D479-E479,"")</f>
        <v/>
      </c>
      <c r="G479">
        <f>IF(AE479=1,COUNTIFS('All Donations'!$R$2:$R$4001,AD479,'All Donations'!$H$2:$H$4001,"OK"),"")</f>
        <v/>
      </c>
      <c r="H479">
        <f>IF(AE479&lt;&gt;1,"",IF(D479&gt;0,"Yes",""))</f>
        <v/>
      </c>
      <c r="I479" s="49">
        <f>IF(OR($AE479&lt;&gt;1,I$1=""),"",SUMIFS('All Donations'!$S$2:$S$4001,'All Donations'!$R$2:$R$4001,$AD479,'All Donations'!$T$2:$T$4001,I$1))</f>
        <v/>
      </c>
      <c r="J479" s="49">
        <f>IF(OR($AE479&lt;&gt;1,J$1=""),"",SUMIFS('All Donations'!$S$2:$S$4001,'All Donations'!$R$2:$R$4001,$AD479,'All Donations'!$T$2:$T$4001,J$1))</f>
        <v/>
      </c>
      <c r="K479" s="49">
        <f>IF(OR($AE479&lt;&gt;1,K$1=""),"",SUMIFS('All Donations'!$S$2:$S$4001,'All Donations'!$R$2:$R$4001,$AD479,'All Donations'!$T$2:$T$4001,K$1))</f>
        <v/>
      </c>
      <c r="L479" s="49">
        <f>IF(OR($AE479&lt;&gt;1,L$1=""),"",SUMIFS('All Donations'!$S$2:$S$4001,'All Donations'!$R$2:$R$4001,$AD479,'All Donations'!$T$2:$T$4001,L$1))</f>
        <v/>
      </c>
      <c r="M479" s="49">
        <f>IF(OR($AE479&lt;&gt;1,M$1=""),"",SUMIFS('All Donations'!$S$2:$S$4001,'All Donations'!$R$2:$R$4001,$AD479,'All Donations'!$T$2:$T$4001,M$1))</f>
        <v/>
      </c>
      <c r="N479" s="49">
        <f>IF(OR($AE479&lt;&gt;1,N$1=""),"",SUMIFS('All Donations'!$S$2:$S$4001,'All Donations'!$R$2:$R$4001,$AD479,'All Donations'!$T$2:$T$4001,N$1))</f>
        <v/>
      </c>
      <c r="O479" s="49">
        <f>IF(OR($AE479&lt;&gt;1,O$1=""),"",SUMIFS('All Donations'!$S$2:$S$4001,'All Donations'!$R$2:$R$4001,$AD479,'All Donations'!$T$2:$T$4001,O$1))</f>
        <v/>
      </c>
      <c r="P479" s="49">
        <f>IF(OR($AE479&lt;&gt;1,P$1=""),"",SUMIFS('All Donations'!$S$2:$S$4001,'All Donations'!$R$2:$R$4001,$AD479,'All Donations'!$T$2:$T$4001,P$1))</f>
        <v/>
      </c>
      <c r="Q479" s="49">
        <f>IF(OR($AE479&lt;&gt;1,Q$1=""),"",SUMIFS('All Donations'!$S$2:$S$4001,'All Donations'!$R$2:$R$4001,$AD479,'All Donations'!$T$2:$T$4001,Q$1))</f>
        <v/>
      </c>
      <c r="R479" s="49">
        <f>IF(OR($AE479&lt;&gt;1,R$1=""),"",SUMIFS('All Donations'!$S$2:$S$4001,'All Donations'!$R$2:$R$4001,$AD479,'All Donations'!$T$2:$T$4001,R$1))</f>
        <v/>
      </c>
      <c r="S479" s="49">
        <f>IF(OR($AE479&lt;&gt;1,S$1=""),"",SUMIFS('All Donations'!$S$2:$S$4001,'All Donations'!$R$2:$R$4001,$AD479,'All Donations'!$T$2:$T$4001,S$1))</f>
        <v/>
      </c>
      <c r="T479" s="49">
        <f>IF(OR($AE479&lt;&gt;1,T$1=""),"",SUMIFS('All Donations'!$S$2:$S$4001,'All Donations'!$R$2:$R$4001,$AD479,'All Donations'!$T$2:$T$4001,T$1))</f>
        <v/>
      </c>
      <c r="U479" s="49">
        <f>IF(OR($AE479&lt;&gt;1,U$1=""),"",SUMIFS('All Donations'!$S$2:$S$4001,'All Donations'!$R$2:$R$4001,$AD479,'All Donations'!$T$2:$T$4001,U$1))</f>
        <v/>
      </c>
      <c r="V479" s="49">
        <f>IF(OR($AE479&lt;&gt;1,V$1=""),"",SUMIFS('All Donations'!$S$2:$S$4001,'All Donations'!$R$2:$R$4001,$AD479,'All Donations'!$T$2:$T$4001,V$1))</f>
        <v/>
      </c>
      <c r="W479" s="49">
        <f>IF(OR($AE479&lt;&gt;1,W$1=""),"",SUMIFS('All Donations'!$S$2:$S$4001,'All Donations'!$R$2:$R$4001,$AD479,'All Donations'!$T$2:$T$4001,W$1))</f>
        <v/>
      </c>
      <c r="X479" s="49">
        <f>IF(OR($AE479&lt;&gt;1,X$1=""),"",SUMIFS('All Donations'!$S$2:$S$4001,'All Donations'!$R$2:$R$4001,$AD479,'All Donations'!$T$2:$T$4001,X$1))</f>
        <v/>
      </c>
      <c r="Y479" s="49">
        <f>IF(OR($AE479&lt;&gt;1,Y$1=""),"",SUMIFS('All Donations'!$S$2:$S$4001,'All Donations'!$R$2:$R$4001,$AD479,'All Donations'!$T$2:$T$4001,Y$1))</f>
        <v/>
      </c>
      <c r="Z479" s="49">
        <f>IF(OR($AE479&lt;&gt;1,Z$1=""),"",SUMIFS('All Donations'!$S$2:$S$4001,'All Donations'!$R$2:$R$4001,$AD479,'All Donations'!$T$2:$T$4001,Z$1))</f>
        <v/>
      </c>
      <c r="AA479" s="49">
        <f>IF(OR($AE479&lt;&gt;1,AA$1=""),"",SUMIFS('All Donations'!$S$2:$S$4001,'All Donations'!$R$2:$R$4001,$AD479,'All Donations'!$T$2:$T$4001,AA$1))</f>
        <v/>
      </c>
      <c r="AB479" s="49">
        <f>IF(OR($AE479&lt;&gt;1,AB$1=""),"",SUMIFS('All Donations'!$S$2:$S$4001,'All Donations'!$R$2:$R$4001,$AD479,'All Donations'!$T$2:$T$4001,AB$1))</f>
        <v/>
      </c>
      <c r="AC479" s="49">
        <f>IF(OR($AE479&lt;&gt;1,AC$1=""),"",SUMIFS('All Donations'!$S$2:$S$4001,'All Donations'!$R$2:$R$4001,$AD479,'All Donations'!$T$2:$T$4001,AC$1))</f>
        <v/>
      </c>
      <c r="AD479">
        <f>IF(AE479=1,'Roster'!A479,"")</f>
        <v/>
      </c>
      <c r="AE479">
        <f>IF(TRIM('Roster'!B479&amp;'Roster'!C479)&lt;&gt;"",1,0)</f>
        <v/>
      </c>
      <c r="AF479">
        <f>IF(AE479=1,LOWER(A479),"#")</f>
        <v/>
      </c>
      <c r="AG479">
        <f>IF(AE479=1,LOWER(TRIM(TRIM('Roster'!C479)&amp;", "&amp;TRIM('Roster'!B479))),"#")</f>
        <v/>
      </c>
      <c r="AH479">
        <f>IF(AND(AE479=1,TRIM('Roster'!F479)&lt;&gt;""),LOWER(TRIM('Roster'!F479)),"#")</f>
        <v/>
      </c>
      <c r="AI479">
        <f>IF(AE479=1,IF(MATCH(B479,$B$2:$B$701,0)=ROW()-1,1,0),0)</f>
        <v/>
      </c>
      <c r="AJ479">
        <f>AJ478+AI479</f>
        <v/>
      </c>
      <c r="AK479">
        <f>IF(AE479=1,D479+(1000-ROW())/10^7,-1)</f>
        <v/>
      </c>
      <c r="AL479">
        <f>IF(AE479=1,TRIM('Roster'!B479)&amp;" "&amp;LEFT(TRIM('Roster'!C479),1)&amp;".","")</f>
        <v/>
      </c>
      <c r="AM479">
        <f>IF(AE479=1,TRIM('Roster'!C479)&amp;", "&amp;TRIM('Roster'!B479)&amp;" ("&amp;B479&amp;") #"&amp;AD479,"")</f>
        <v/>
      </c>
      <c r="AN479">
        <f>IF(AE479=1,TRIM('Roster'!E479),"")</f>
        <v/>
      </c>
      <c r="AO479">
        <f>IF(AE479=1,ROUND(SUMIFS('All Donations'!$S$2:$S$4001,'All Donations'!$R$2:$R$4001,AD479,'All Donations'!$T$2:$T$4001,"&gt;="&amp;'Settings'!$C$23,'All Donations'!$T$2:$T$4001,"&lt;="&amp;'Settings'!$D$23),2),0)</f>
        <v/>
      </c>
      <c r="AQ479">
        <f>IF(AE479=1,ROUND(SUMIFS('All Donations'!$S$2:$S$4001,'All Donations'!$R$2:$R$4001,AD479,'All Donations'!$T$2:$T$4001,"&gt;="&amp;'Settings'!$C$25,'All Donations'!$T$2:$T$4001,"&lt;="&amp;'Settings'!$D$25),2),0)</f>
        <v/>
      </c>
      <c r="AR479">
        <f>IF(AE479=1,ROUND(SUMIFS('All Donations'!$S$2:$S$4001,'All Donations'!$R$2:$R$4001,AD479,'All Donations'!$T$2:$T$4001,"&gt;="&amp;'Settings'!$C$26,'All Donations'!$T$2:$T$4001,"&lt;="&amp;'Settings'!$D$26),2),0)</f>
        <v/>
      </c>
      <c r="AS479">
        <f>IF(AE479=1,ROUND(SUMIFS('All Donations'!$S$2:$S$4001,'All Donations'!$R$2:$R$4001,AD479,'All Donations'!$T$2:$T$4001,"&lt;="&amp;'Settings'!$D$27),2),0)</f>
        <v/>
      </c>
      <c r="AT479">
        <f>IF(AE479=1,ROUND(SUMIFS('All Donations'!$S$2:$S$4001,'All Donations'!$R$2:$R$4001,AD479,'All Donations'!$T$2:$T$4001,"&gt;="&amp;'Settings'!$C$28,'All Donations'!$T$2:$T$4001,"&lt;="&amp;'Settings'!$D$28),2),0)</f>
        <v/>
      </c>
      <c r="AU479">
        <f>IF(AE479=1,ROUND(SUMIFS('All Donations'!$S$2:$S$4001,'All Donations'!$R$2:$R$4001,AD479,'All Donations'!$T$2:$T$4001,"&gt;="&amp;'Settings'!$C$29,'All Donations'!$T$2:$T$4001,"&lt;="&amp;'Settings'!$D$29),2),0)</f>
        <v/>
      </c>
      <c r="AV479">
        <f>IF(AE479=1,ROUND(SUMIFS('All Donations'!$S$2:$S$4001,'All Donations'!$R$2:$R$4001,AD479,'All Donations'!$T$2:$T$4001,"&lt;="&amp;'Settings'!$D$30),2),0)</f>
        <v/>
      </c>
      <c r="AZ479">
        <f>IF(AE479=1,ROUND(SUMIFS('All Donations'!$S$2:$S$4001,'All Donations'!$R$2:$R$4001,AD479,'All Donations'!$T$2:$T$4001,"&lt;="&amp;'Settings'!$D$34),2),0)</f>
        <v/>
      </c>
    </row>
    <row r="480">
      <c r="A480">
        <f>IF(AE480=1,TRIM(TRIM('Roster'!B480)&amp;" "&amp;TRIM('Roster'!C480)),"")</f>
        <v/>
      </c>
      <c r="B480">
        <f>IF(AE480=1,IF(AN480="","(no teacher)",AN480&amp;" – "&amp;C480),"")</f>
        <v/>
      </c>
      <c r="C480">
        <f>IF(AE480=1,TRIM('Roster'!D480&amp;""),"")</f>
        <v/>
      </c>
      <c r="D480" s="48">
        <f>IF(AE480=1,ROUND(SUMIFS('All Donations'!$S$2:$S$4001,'All Donations'!$R$2:$R$4001,AD480),2),"")</f>
        <v/>
      </c>
      <c r="E480" s="48">
        <f>IF(AE480=1,ROUND(SUMIFS('All Donations'!$S$2:$S$4001,'All Donations'!$R$2:$R$4001,AD480,'All Donations'!$G$2:$G$4001,"OneCause"),2),"")</f>
        <v/>
      </c>
      <c r="F480" s="48">
        <f>IF(AE480=1,D480-E480,"")</f>
        <v/>
      </c>
      <c r="G480">
        <f>IF(AE480=1,COUNTIFS('All Donations'!$R$2:$R$4001,AD480,'All Donations'!$H$2:$H$4001,"OK"),"")</f>
        <v/>
      </c>
      <c r="H480">
        <f>IF(AE480&lt;&gt;1,"",IF(D480&gt;0,"Yes",""))</f>
        <v/>
      </c>
      <c r="I480" s="49">
        <f>IF(OR($AE480&lt;&gt;1,I$1=""),"",SUMIFS('All Donations'!$S$2:$S$4001,'All Donations'!$R$2:$R$4001,$AD480,'All Donations'!$T$2:$T$4001,I$1))</f>
        <v/>
      </c>
      <c r="J480" s="49">
        <f>IF(OR($AE480&lt;&gt;1,J$1=""),"",SUMIFS('All Donations'!$S$2:$S$4001,'All Donations'!$R$2:$R$4001,$AD480,'All Donations'!$T$2:$T$4001,J$1))</f>
        <v/>
      </c>
      <c r="K480" s="49">
        <f>IF(OR($AE480&lt;&gt;1,K$1=""),"",SUMIFS('All Donations'!$S$2:$S$4001,'All Donations'!$R$2:$R$4001,$AD480,'All Donations'!$T$2:$T$4001,K$1))</f>
        <v/>
      </c>
      <c r="L480" s="49">
        <f>IF(OR($AE480&lt;&gt;1,L$1=""),"",SUMIFS('All Donations'!$S$2:$S$4001,'All Donations'!$R$2:$R$4001,$AD480,'All Donations'!$T$2:$T$4001,L$1))</f>
        <v/>
      </c>
      <c r="M480" s="49">
        <f>IF(OR($AE480&lt;&gt;1,M$1=""),"",SUMIFS('All Donations'!$S$2:$S$4001,'All Donations'!$R$2:$R$4001,$AD480,'All Donations'!$T$2:$T$4001,M$1))</f>
        <v/>
      </c>
      <c r="N480" s="49">
        <f>IF(OR($AE480&lt;&gt;1,N$1=""),"",SUMIFS('All Donations'!$S$2:$S$4001,'All Donations'!$R$2:$R$4001,$AD480,'All Donations'!$T$2:$T$4001,N$1))</f>
        <v/>
      </c>
      <c r="O480" s="49">
        <f>IF(OR($AE480&lt;&gt;1,O$1=""),"",SUMIFS('All Donations'!$S$2:$S$4001,'All Donations'!$R$2:$R$4001,$AD480,'All Donations'!$T$2:$T$4001,O$1))</f>
        <v/>
      </c>
      <c r="P480" s="49">
        <f>IF(OR($AE480&lt;&gt;1,P$1=""),"",SUMIFS('All Donations'!$S$2:$S$4001,'All Donations'!$R$2:$R$4001,$AD480,'All Donations'!$T$2:$T$4001,P$1))</f>
        <v/>
      </c>
      <c r="Q480" s="49">
        <f>IF(OR($AE480&lt;&gt;1,Q$1=""),"",SUMIFS('All Donations'!$S$2:$S$4001,'All Donations'!$R$2:$R$4001,$AD480,'All Donations'!$T$2:$T$4001,Q$1))</f>
        <v/>
      </c>
      <c r="R480" s="49">
        <f>IF(OR($AE480&lt;&gt;1,R$1=""),"",SUMIFS('All Donations'!$S$2:$S$4001,'All Donations'!$R$2:$R$4001,$AD480,'All Donations'!$T$2:$T$4001,R$1))</f>
        <v/>
      </c>
      <c r="S480" s="49">
        <f>IF(OR($AE480&lt;&gt;1,S$1=""),"",SUMIFS('All Donations'!$S$2:$S$4001,'All Donations'!$R$2:$R$4001,$AD480,'All Donations'!$T$2:$T$4001,S$1))</f>
        <v/>
      </c>
      <c r="T480" s="49">
        <f>IF(OR($AE480&lt;&gt;1,T$1=""),"",SUMIFS('All Donations'!$S$2:$S$4001,'All Donations'!$R$2:$R$4001,$AD480,'All Donations'!$T$2:$T$4001,T$1))</f>
        <v/>
      </c>
      <c r="U480" s="49">
        <f>IF(OR($AE480&lt;&gt;1,U$1=""),"",SUMIFS('All Donations'!$S$2:$S$4001,'All Donations'!$R$2:$R$4001,$AD480,'All Donations'!$T$2:$T$4001,U$1))</f>
        <v/>
      </c>
      <c r="V480" s="49">
        <f>IF(OR($AE480&lt;&gt;1,V$1=""),"",SUMIFS('All Donations'!$S$2:$S$4001,'All Donations'!$R$2:$R$4001,$AD480,'All Donations'!$T$2:$T$4001,V$1))</f>
        <v/>
      </c>
      <c r="W480" s="49">
        <f>IF(OR($AE480&lt;&gt;1,W$1=""),"",SUMIFS('All Donations'!$S$2:$S$4001,'All Donations'!$R$2:$R$4001,$AD480,'All Donations'!$T$2:$T$4001,W$1))</f>
        <v/>
      </c>
      <c r="X480" s="49">
        <f>IF(OR($AE480&lt;&gt;1,X$1=""),"",SUMIFS('All Donations'!$S$2:$S$4001,'All Donations'!$R$2:$R$4001,$AD480,'All Donations'!$T$2:$T$4001,X$1))</f>
        <v/>
      </c>
      <c r="Y480" s="49">
        <f>IF(OR($AE480&lt;&gt;1,Y$1=""),"",SUMIFS('All Donations'!$S$2:$S$4001,'All Donations'!$R$2:$R$4001,$AD480,'All Donations'!$T$2:$T$4001,Y$1))</f>
        <v/>
      </c>
      <c r="Z480" s="49">
        <f>IF(OR($AE480&lt;&gt;1,Z$1=""),"",SUMIFS('All Donations'!$S$2:$S$4001,'All Donations'!$R$2:$R$4001,$AD480,'All Donations'!$T$2:$T$4001,Z$1))</f>
        <v/>
      </c>
      <c r="AA480" s="49">
        <f>IF(OR($AE480&lt;&gt;1,AA$1=""),"",SUMIFS('All Donations'!$S$2:$S$4001,'All Donations'!$R$2:$R$4001,$AD480,'All Donations'!$T$2:$T$4001,AA$1))</f>
        <v/>
      </c>
      <c r="AB480" s="49">
        <f>IF(OR($AE480&lt;&gt;1,AB$1=""),"",SUMIFS('All Donations'!$S$2:$S$4001,'All Donations'!$R$2:$R$4001,$AD480,'All Donations'!$T$2:$T$4001,AB$1))</f>
        <v/>
      </c>
      <c r="AC480" s="49">
        <f>IF(OR($AE480&lt;&gt;1,AC$1=""),"",SUMIFS('All Donations'!$S$2:$S$4001,'All Donations'!$R$2:$R$4001,$AD480,'All Donations'!$T$2:$T$4001,AC$1))</f>
        <v/>
      </c>
      <c r="AD480">
        <f>IF(AE480=1,'Roster'!A480,"")</f>
        <v/>
      </c>
      <c r="AE480">
        <f>IF(TRIM('Roster'!B480&amp;'Roster'!C480)&lt;&gt;"",1,0)</f>
        <v/>
      </c>
      <c r="AF480">
        <f>IF(AE480=1,LOWER(A480),"#")</f>
        <v/>
      </c>
      <c r="AG480">
        <f>IF(AE480=1,LOWER(TRIM(TRIM('Roster'!C480)&amp;", "&amp;TRIM('Roster'!B480))),"#")</f>
        <v/>
      </c>
      <c r="AH480">
        <f>IF(AND(AE480=1,TRIM('Roster'!F480)&lt;&gt;""),LOWER(TRIM('Roster'!F480)),"#")</f>
        <v/>
      </c>
      <c r="AI480">
        <f>IF(AE480=1,IF(MATCH(B480,$B$2:$B$701,0)=ROW()-1,1,0),0)</f>
        <v/>
      </c>
      <c r="AJ480">
        <f>AJ479+AI480</f>
        <v/>
      </c>
      <c r="AK480">
        <f>IF(AE480=1,D480+(1000-ROW())/10^7,-1)</f>
        <v/>
      </c>
      <c r="AL480">
        <f>IF(AE480=1,TRIM('Roster'!B480)&amp;" "&amp;LEFT(TRIM('Roster'!C480),1)&amp;".","")</f>
        <v/>
      </c>
      <c r="AM480">
        <f>IF(AE480=1,TRIM('Roster'!C480)&amp;", "&amp;TRIM('Roster'!B480)&amp;" ("&amp;B480&amp;") #"&amp;AD480,"")</f>
        <v/>
      </c>
      <c r="AN480">
        <f>IF(AE480=1,TRIM('Roster'!E480),"")</f>
        <v/>
      </c>
      <c r="AO480">
        <f>IF(AE480=1,ROUND(SUMIFS('All Donations'!$S$2:$S$4001,'All Donations'!$R$2:$R$4001,AD480,'All Donations'!$T$2:$T$4001,"&gt;="&amp;'Settings'!$C$23,'All Donations'!$T$2:$T$4001,"&lt;="&amp;'Settings'!$D$23),2),0)</f>
        <v/>
      </c>
      <c r="AQ480">
        <f>IF(AE480=1,ROUND(SUMIFS('All Donations'!$S$2:$S$4001,'All Donations'!$R$2:$R$4001,AD480,'All Donations'!$T$2:$T$4001,"&gt;="&amp;'Settings'!$C$25,'All Donations'!$T$2:$T$4001,"&lt;="&amp;'Settings'!$D$25),2),0)</f>
        <v/>
      </c>
      <c r="AR480">
        <f>IF(AE480=1,ROUND(SUMIFS('All Donations'!$S$2:$S$4001,'All Donations'!$R$2:$R$4001,AD480,'All Donations'!$T$2:$T$4001,"&gt;="&amp;'Settings'!$C$26,'All Donations'!$T$2:$T$4001,"&lt;="&amp;'Settings'!$D$26),2),0)</f>
        <v/>
      </c>
      <c r="AS480">
        <f>IF(AE480=1,ROUND(SUMIFS('All Donations'!$S$2:$S$4001,'All Donations'!$R$2:$R$4001,AD480,'All Donations'!$T$2:$T$4001,"&lt;="&amp;'Settings'!$D$27),2),0)</f>
        <v/>
      </c>
      <c r="AT480">
        <f>IF(AE480=1,ROUND(SUMIFS('All Donations'!$S$2:$S$4001,'All Donations'!$R$2:$R$4001,AD480,'All Donations'!$T$2:$T$4001,"&gt;="&amp;'Settings'!$C$28,'All Donations'!$T$2:$T$4001,"&lt;="&amp;'Settings'!$D$28),2),0)</f>
        <v/>
      </c>
      <c r="AU480">
        <f>IF(AE480=1,ROUND(SUMIFS('All Donations'!$S$2:$S$4001,'All Donations'!$R$2:$R$4001,AD480,'All Donations'!$T$2:$T$4001,"&gt;="&amp;'Settings'!$C$29,'All Donations'!$T$2:$T$4001,"&lt;="&amp;'Settings'!$D$29),2),0)</f>
        <v/>
      </c>
      <c r="AV480">
        <f>IF(AE480=1,ROUND(SUMIFS('All Donations'!$S$2:$S$4001,'All Donations'!$R$2:$R$4001,AD480,'All Donations'!$T$2:$T$4001,"&lt;="&amp;'Settings'!$D$30),2),0)</f>
        <v/>
      </c>
      <c r="AZ480">
        <f>IF(AE480=1,ROUND(SUMIFS('All Donations'!$S$2:$S$4001,'All Donations'!$R$2:$R$4001,AD480,'All Donations'!$T$2:$T$4001,"&lt;="&amp;'Settings'!$D$34),2),0)</f>
        <v/>
      </c>
    </row>
    <row r="481">
      <c r="A481">
        <f>IF(AE481=1,TRIM(TRIM('Roster'!B481)&amp;" "&amp;TRIM('Roster'!C481)),"")</f>
        <v/>
      </c>
      <c r="B481">
        <f>IF(AE481=1,IF(AN481="","(no teacher)",AN481&amp;" – "&amp;C481),"")</f>
        <v/>
      </c>
      <c r="C481">
        <f>IF(AE481=1,TRIM('Roster'!D481&amp;""),"")</f>
        <v/>
      </c>
      <c r="D481" s="48">
        <f>IF(AE481=1,ROUND(SUMIFS('All Donations'!$S$2:$S$4001,'All Donations'!$R$2:$R$4001,AD481),2),"")</f>
        <v/>
      </c>
      <c r="E481" s="48">
        <f>IF(AE481=1,ROUND(SUMIFS('All Donations'!$S$2:$S$4001,'All Donations'!$R$2:$R$4001,AD481,'All Donations'!$G$2:$G$4001,"OneCause"),2),"")</f>
        <v/>
      </c>
      <c r="F481" s="48">
        <f>IF(AE481=1,D481-E481,"")</f>
        <v/>
      </c>
      <c r="G481">
        <f>IF(AE481=1,COUNTIFS('All Donations'!$R$2:$R$4001,AD481,'All Donations'!$H$2:$H$4001,"OK"),"")</f>
        <v/>
      </c>
      <c r="H481">
        <f>IF(AE481&lt;&gt;1,"",IF(D481&gt;0,"Yes",""))</f>
        <v/>
      </c>
      <c r="I481" s="49">
        <f>IF(OR($AE481&lt;&gt;1,I$1=""),"",SUMIFS('All Donations'!$S$2:$S$4001,'All Donations'!$R$2:$R$4001,$AD481,'All Donations'!$T$2:$T$4001,I$1))</f>
        <v/>
      </c>
      <c r="J481" s="49">
        <f>IF(OR($AE481&lt;&gt;1,J$1=""),"",SUMIFS('All Donations'!$S$2:$S$4001,'All Donations'!$R$2:$R$4001,$AD481,'All Donations'!$T$2:$T$4001,J$1))</f>
        <v/>
      </c>
      <c r="K481" s="49">
        <f>IF(OR($AE481&lt;&gt;1,K$1=""),"",SUMIFS('All Donations'!$S$2:$S$4001,'All Donations'!$R$2:$R$4001,$AD481,'All Donations'!$T$2:$T$4001,K$1))</f>
        <v/>
      </c>
      <c r="L481" s="49">
        <f>IF(OR($AE481&lt;&gt;1,L$1=""),"",SUMIFS('All Donations'!$S$2:$S$4001,'All Donations'!$R$2:$R$4001,$AD481,'All Donations'!$T$2:$T$4001,L$1))</f>
        <v/>
      </c>
      <c r="M481" s="49">
        <f>IF(OR($AE481&lt;&gt;1,M$1=""),"",SUMIFS('All Donations'!$S$2:$S$4001,'All Donations'!$R$2:$R$4001,$AD481,'All Donations'!$T$2:$T$4001,M$1))</f>
        <v/>
      </c>
      <c r="N481" s="49">
        <f>IF(OR($AE481&lt;&gt;1,N$1=""),"",SUMIFS('All Donations'!$S$2:$S$4001,'All Donations'!$R$2:$R$4001,$AD481,'All Donations'!$T$2:$T$4001,N$1))</f>
        <v/>
      </c>
      <c r="O481" s="49">
        <f>IF(OR($AE481&lt;&gt;1,O$1=""),"",SUMIFS('All Donations'!$S$2:$S$4001,'All Donations'!$R$2:$R$4001,$AD481,'All Donations'!$T$2:$T$4001,O$1))</f>
        <v/>
      </c>
      <c r="P481" s="49">
        <f>IF(OR($AE481&lt;&gt;1,P$1=""),"",SUMIFS('All Donations'!$S$2:$S$4001,'All Donations'!$R$2:$R$4001,$AD481,'All Donations'!$T$2:$T$4001,P$1))</f>
        <v/>
      </c>
      <c r="Q481" s="49">
        <f>IF(OR($AE481&lt;&gt;1,Q$1=""),"",SUMIFS('All Donations'!$S$2:$S$4001,'All Donations'!$R$2:$R$4001,$AD481,'All Donations'!$T$2:$T$4001,Q$1))</f>
        <v/>
      </c>
      <c r="R481" s="49">
        <f>IF(OR($AE481&lt;&gt;1,R$1=""),"",SUMIFS('All Donations'!$S$2:$S$4001,'All Donations'!$R$2:$R$4001,$AD481,'All Donations'!$T$2:$T$4001,R$1))</f>
        <v/>
      </c>
      <c r="S481" s="49">
        <f>IF(OR($AE481&lt;&gt;1,S$1=""),"",SUMIFS('All Donations'!$S$2:$S$4001,'All Donations'!$R$2:$R$4001,$AD481,'All Donations'!$T$2:$T$4001,S$1))</f>
        <v/>
      </c>
      <c r="T481" s="49">
        <f>IF(OR($AE481&lt;&gt;1,T$1=""),"",SUMIFS('All Donations'!$S$2:$S$4001,'All Donations'!$R$2:$R$4001,$AD481,'All Donations'!$T$2:$T$4001,T$1))</f>
        <v/>
      </c>
      <c r="U481" s="49">
        <f>IF(OR($AE481&lt;&gt;1,U$1=""),"",SUMIFS('All Donations'!$S$2:$S$4001,'All Donations'!$R$2:$R$4001,$AD481,'All Donations'!$T$2:$T$4001,U$1))</f>
        <v/>
      </c>
      <c r="V481" s="49">
        <f>IF(OR($AE481&lt;&gt;1,V$1=""),"",SUMIFS('All Donations'!$S$2:$S$4001,'All Donations'!$R$2:$R$4001,$AD481,'All Donations'!$T$2:$T$4001,V$1))</f>
        <v/>
      </c>
      <c r="W481" s="49">
        <f>IF(OR($AE481&lt;&gt;1,W$1=""),"",SUMIFS('All Donations'!$S$2:$S$4001,'All Donations'!$R$2:$R$4001,$AD481,'All Donations'!$T$2:$T$4001,W$1))</f>
        <v/>
      </c>
      <c r="X481" s="49">
        <f>IF(OR($AE481&lt;&gt;1,X$1=""),"",SUMIFS('All Donations'!$S$2:$S$4001,'All Donations'!$R$2:$R$4001,$AD481,'All Donations'!$T$2:$T$4001,X$1))</f>
        <v/>
      </c>
      <c r="Y481" s="49">
        <f>IF(OR($AE481&lt;&gt;1,Y$1=""),"",SUMIFS('All Donations'!$S$2:$S$4001,'All Donations'!$R$2:$R$4001,$AD481,'All Donations'!$T$2:$T$4001,Y$1))</f>
        <v/>
      </c>
      <c r="Z481" s="49">
        <f>IF(OR($AE481&lt;&gt;1,Z$1=""),"",SUMIFS('All Donations'!$S$2:$S$4001,'All Donations'!$R$2:$R$4001,$AD481,'All Donations'!$T$2:$T$4001,Z$1))</f>
        <v/>
      </c>
      <c r="AA481" s="49">
        <f>IF(OR($AE481&lt;&gt;1,AA$1=""),"",SUMIFS('All Donations'!$S$2:$S$4001,'All Donations'!$R$2:$R$4001,$AD481,'All Donations'!$T$2:$T$4001,AA$1))</f>
        <v/>
      </c>
      <c r="AB481" s="49">
        <f>IF(OR($AE481&lt;&gt;1,AB$1=""),"",SUMIFS('All Donations'!$S$2:$S$4001,'All Donations'!$R$2:$R$4001,$AD481,'All Donations'!$T$2:$T$4001,AB$1))</f>
        <v/>
      </c>
      <c r="AC481" s="49">
        <f>IF(OR($AE481&lt;&gt;1,AC$1=""),"",SUMIFS('All Donations'!$S$2:$S$4001,'All Donations'!$R$2:$R$4001,$AD481,'All Donations'!$T$2:$T$4001,AC$1))</f>
        <v/>
      </c>
      <c r="AD481">
        <f>IF(AE481=1,'Roster'!A481,"")</f>
        <v/>
      </c>
      <c r="AE481">
        <f>IF(TRIM('Roster'!B481&amp;'Roster'!C481)&lt;&gt;"",1,0)</f>
        <v/>
      </c>
      <c r="AF481">
        <f>IF(AE481=1,LOWER(A481),"#")</f>
        <v/>
      </c>
      <c r="AG481">
        <f>IF(AE481=1,LOWER(TRIM(TRIM('Roster'!C481)&amp;", "&amp;TRIM('Roster'!B481))),"#")</f>
        <v/>
      </c>
      <c r="AH481">
        <f>IF(AND(AE481=1,TRIM('Roster'!F481)&lt;&gt;""),LOWER(TRIM('Roster'!F481)),"#")</f>
        <v/>
      </c>
      <c r="AI481">
        <f>IF(AE481=1,IF(MATCH(B481,$B$2:$B$701,0)=ROW()-1,1,0),0)</f>
        <v/>
      </c>
      <c r="AJ481">
        <f>AJ480+AI481</f>
        <v/>
      </c>
      <c r="AK481">
        <f>IF(AE481=1,D481+(1000-ROW())/10^7,-1)</f>
        <v/>
      </c>
      <c r="AL481">
        <f>IF(AE481=1,TRIM('Roster'!B481)&amp;" "&amp;LEFT(TRIM('Roster'!C481),1)&amp;".","")</f>
        <v/>
      </c>
      <c r="AM481">
        <f>IF(AE481=1,TRIM('Roster'!C481)&amp;", "&amp;TRIM('Roster'!B481)&amp;" ("&amp;B481&amp;") #"&amp;AD481,"")</f>
        <v/>
      </c>
      <c r="AN481">
        <f>IF(AE481=1,TRIM('Roster'!E481),"")</f>
        <v/>
      </c>
      <c r="AO481">
        <f>IF(AE481=1,ROUND(SUMIFS('All Donations'!$S$2:$S$4001,'All Donations'!$R$2:$R$4001,AD481,'All Donations'!$T$2:$T$4001,"&gt;="&amp;'Settings'!$C$23,'All Donations'!$T$2:$T$4001,"&lt;="&amp;'Settings'!$D$23),2),0)</f>
        <v/>
      </c>
      <c r="AQ481">
        <f>IF(AE481=1,ROUND(SUMIFS('All Donations'!$S$2:$S$4001,'All Donations'!$R$2:$R$4001,AD481,'All Donations'!$T$2:$T$4001,"&gt;="&amp;'Settings'!$C$25,'All Donations'!$T$2:$T$4001,"&lt;="&amp;'Settings'!$D$25),2),0)</f>
        <v/>
      </c>
      <c r="AR481">
        <f>IF(AE481=1,ROUND(SUMIFS('All Donations'!$S$2:$S$4001,'All Donations'!$R$2:$R$4001,AD481,'All Donations'!$T$2:$T$4001,"&gt;="&amp;'Settings'!$C$26,'All Donations'!$T$2:$T$4001,"&lt;="&amp;'Settings'!$D$26),2),0)</f>
        <v/>
      </c>
      <c r="AS481">
        <f>IF(AE481=1,ROUND(SUMIFS('All Donations'!$S$2:$S$4001,'All Donations'!$R$2:$R$4001,AD481,'All Donations'!$T$2:$T$4001,"&lt;="&amp;'Settings'!$D$27),2),0)</f>
        <v/>
      </c>
      <c r="AT481">
        <f>IF(AE481=1,ROUND(SUMIFS('All Donations'!$S$2:$S$4001,'All Donations'!$R$2:$R$4001,AD481,'All Donations'!$T$2:$T$4001,"&gt;="&amp;'Settings'!$C$28,'All Donations'!$T$2:$T$4001,"&lt;="&amp;'Settings'!$D$28),2),0)</f>
        <v/>
      </c>
      <c r="AU481">
        <f>IF(AE481=1,ROUND(SUMIFS('All Donations'!$S$2:$S$4001,'All Donations'!$R$2:$R$4001,AD481,'All Donations'!$T$2:$T$4001,"&gt;="&amp;'Settings'!$C$29,'All Donations'!$T$2:$T$4001,"&lt;="&amp;'Settings'!$D$29),2),0)</f>
        <v/>
      </c>
      <c r="AV481">
        <f>IF(AE481=1,ROUND(SUMIFS('All Donations'!$S$2:$S$4001,'All Donations'!$R$2:$R$4001,AD481,'All Donations'!$T$2:$T$4001,"&lt;="&amp;'Settings'!$D$30),2),0)</f>
        <v/>
      </c>
      <c r="AZ481">
        <f>IF(AE481=1,ROUND(SUMIFS('All Donations'!$S$2:$S$4001,'All Donations'!$R$2:$R$4001,AD481,'All Donations'!$T$2:$T$4001,"&lt;="&amp;'Settings'!$D$34),2),0)</f>
        <v/>
      </c>
    </row>
    <row r="482">
      <c r="A482">
        <f>IF(AE482=1,TRIM(TRIM('Roster'!B482)&amp;" "&amp;TRIM('Roster'!C482)),"")</f>
        <v/>
      </c>
      <c r="B482">
        <f>IF(AE482=1,IF(AN482="","(no teacher)",AN482&amp;" – "&amp;C482),"")</f>
        <v/>
      </c>
      <c r="C482">
        <f>IF(AE482=1,TRIM('Roster'!D482&amp;""),"")</f>
        <v/>
      </c>
      <c r="D482" s="48">
        <f>IF(AE482=1,ROUND(SUMIFS('All Donations'!$S$2:$S$4001,'All Donations'!$R$2:$R$4001,AD482),2),"")</f>
        <v/>
      </c>
      <c r="E482" s="48">
        <f>IF(AE482=1,ROUND(SUMIFS('All Donations'!$S$2:$S$4001,'All Donations'!$R$2:$R$4001,AD482,'All Donations'!$G$2:$G$4001,"OneCause"),2),"")</f>
        <v/>
      </c>
      <c r="F482" s="48">
        <f>IF(AE482=1,D482-E482,"")</f>
        <v/>
      </c>
      <c r="G482">
        <f>IF(AE482=1,COUNTIFS('All Donations'!$R$2:$R$4001,AD482,'All Donations'!$H$2:$H$4001,"OK"),"")</f>
        <v/>
      </c>
      <c r="H482">
        <f>IF(AE482&lt;&gt;1,"",IF(D482&gt;0,"Yes",""))</f>
        <v/>
      </c>
      <c r="I482" s="49">
        <f>IF(OR($AE482&lt;&gt;1,I$1=""),"",SUMIFS('All Donations'!$S$2:$S$4001,'All Donations'!$R$2:$R$4001,$AD482,'All Donations'!$T$2:$T$4001,I$1))</f>
        <v/>
      </c>
      <c r="J482" s="49">
        <f>IF(OR($AE482&lt;&gt;1,J$1=""),"",SUMIFS('All Donations'!$S$2:$S$4001,'All Donations'!$R$2:$R$4001,$AD482,'All Donations'!$T$2:$T$4001,J$1))</f>
        <v/>
      </c>
      <c r="K482" s="49">
        <f>IF(OR($AE482&lt;&gt;1,K$1=""),"",SUMIFS('All Donations'!$S$2:$S$4001,'All Donations'!$R$2:$R$4001,$AD482,'All Donations'!$T$2:$T$4001,K$1))</f>
        <v/>
      </c>
      <c r="L482" s="49">
        <f>IF(OR($AE482&lt;&gt;1,L$1=""),"",SUMIFS('All Donations'!$S$2:$S$4001,'All Donations'!$R$2:$R$4001,$AD482,'All Donations'!$T$2:$T$4001,L$1))</f>
        <v/>
      </c>
      <c r="M482" s="49">
        <f>IF(OR($AE482&lt;&gt;1,M$1=""),"",SUMIFS('All Donations'!$S$2:$S$4001,'All Donations'!$R$2:$R$4001,$AD482,'All Donations'!$T$2:$T$4001,M$1))</f>
        <v/>
      </c>
      <c r="N482" s="49">
        <f>IF(OR($AE482&lt;&gt;1,N$1=""),"",SUMIFS('All Donations'!$S$2:$S$4001,'All Donations'!$R$2:$R$4001,$AD482,'All Donations'!$T$2:$T$4001,N$1))</f>
        <v/>
      </c>
      <c r="O482" s="49">
        <f>IF(OR($AE482&lt;&gt;1,O$1=""),"",SUMIFS('All Donations'!$S$2:$S$4001,'All Donations'!$R$2:$R$4001,$AD482,'All Donations'!$T$2:$T$4001,O$1))</f>
        <v/>
      </c>
      <c r="P482" s="49">
        <f>IF(OR($AE482&lt;&gt;1,P$1=""),"",SUMIFS('All Donations'!$S$2:$S$4001,'All Donations'!$R$2:$R$4001,$AD482,'All Donations'!$T$2:$T$4001,P$1))</f>
        <v/>
      </c>
      <c r="Q482" s="49">
        <f>IF(OR($AE482&lt;&gt;1,Q$1=""),"",SUMIFS('All Donations'!$S$2:$S$4001,'All Donations'!$R$2:$R$4001,$AD482,'All Donations'!$T$2:$T$4001,Q$1))</f>
        <v/>
      </c>
      <c r="R482" s="49">
        <f>IF(OR($AE482&lt;&gt;1,R$1=""),"",SUMIFS('All Donations'!$S$2:$S$4001,'All Donations'!$R$2:$R$4001,$AD482,'All Donations'!$T$2:$T$4001,R$1))</f>
        <v/>
      </c>
      <c r="S482" s="49">
        <f>IF(OR($AE482&lt;&gt;1,S$1=""),"",SUMIFS('All Donations'!$S$2:$S$4001,'All Donations'!$R$2:$R$4001,$AD482,'All Donations'!$T$2:$T$4001,S$1))</f>
        <v/>
      </c>
      <c r="T482" s="49">
        <f>IF(OR($AE482&lt;&gt;1,T$1=""),"",SUMIFS('All Donations'!$S$2:$S$4001,'All Donations'!$R$2:$R$4001,$AD482,'All Donations'!$T$2:$T$4001,T$1))</f>
        <v/>
      </c>
      <c r="U482" s="49">
        <f>IF(OR($AE482&lt;&gt;1,U$1=""),"",SUMIFS('All Donations'!$S$2:$S$4001,'All Donations'!$R$2:$R$4001,$AD482,'All Donations'!$T$2:$T$4001,U$1))</f>
        <v/>
      </c>
      <c r="V482" s="49">
        <f>IF(OR($AE482&lt;&gt;1,V$1=""),"",SUMIFS('All Donations'!$S$2:$S$4001,'All Donations'!$R$2:$R$4001,$AD482,'All Donations'!$T$2:$T$4001,V$1))</f>
        <v/>
      </c>
      <c r="W482" s="49">
        <f>IF(OR($AE482&lt;&gt;1,W$1=""),"",SUMIFS('All Donations'!$S$2:$S$4001,'All Donations'!$R$2:$R$4001,$AD482,'All Donations'!$T$2:$T$4001,W$1))</f>
        <v/>
      </c>
      <c r="X482" s="49">
        <f>IF(OR($AE482&lt;&gt;1,X$1=""),"",SUMIFS('All Donations'!$S$2:$S$4001,'All Donations'!$R$2:$R$4001,$AD482,'All Donations'!$T$2:$T$4001,X$1))</f>
        <v/>
      </c>
      <c r="Y482" s="49">
        <f>IF(OR($AE482&lt;&gt;1,Y$1=""),"",SUMIFS('All Donations'!$S$2:$S$4001,'All Donations'!$R$2:$R$4001,$AD482,'All Donations'!$T$2:$T$4001,Y$1))</f>
        <v/>
      </c>
      <c r="Z482" s="49">
        <f>IF(OR($AE482&lt;&gt;1,Z$1=""),"",SUMIFS('All Donations'!$S$2:$S$4001,'All Donations'!$R$2:$R$4001,$AD482,'All Donations'!$T$2:$T$4001,Z$1))</f>
        <v/>
      </c>
      <c r="AA482" s="49">
        <f>IF(OR($AE482&lt;&gt;1,AA$1=""),"",SUMIFS('All Donations'!$S$2:$S$4001,'All Donations'!$R$2:$R$4001,$AD482,'All Donations'!$T$2:$T$4001,AA$1))</f>
        <v/>
      </c>
      <c r="AB482" s="49">
        <f>IF(OR($AE482&lt;&gt;1,AB$1=""),"",SUMIFS('All Donations'!$S$2:$S$4001,'All Donations'!$R$2:$R$4001,$AD482,'All Donations'!$T$2:$T$4001,AB$1))</f>
        <v/>
      </c>
      <c r="AC482" s="49">
        <f>IF(OR($AE482&lt;&gt;1,AC$1=""),"",SUMIFS('All Donations'!$S$2:$S$4001,'All Donations'!$R$2:$R$4001,$AD482,'All Donations'!$T$2:$T$4001,AC$1))</f>
        <v/>
      </c>
      <c r="AD482">
        <f>IF(AE482=1,'Roster'!A482,"")</f>
        <v/>
      </c>
      <c r="AE482">
        <f>IF(TRIM('Roster'!B482&amp;'Roster'!C482)&lt;&gt;"",1,0)</f>
        <v/>
      </c>
      <c r="AF482">
        <f>IF(AE482=1,LOWER(A482),"#")</f>
        <v/>
      </c>
      <c r="AG482">
        <f>IF(AE482=1,LOWER(TRIM(TRIM('Roster'!C482)&amp;", "&amp;TRIM('Roster'!B482))),"#")</f>
        <v/>
      </c>
      <c r="AH482">
        <f>IF(AND(AE482=1,TRIM('Roster'!F482)&lt;&gt;""),LOWER(TRIM('Roster'!F482)),"#")</f>
        <v/>
      </c>
      <c r="AI482">
        <f>IF(AE482=1,IF(MATCH(B482,$B$2:$B$701,0)=ROW()-1,1,0),0)</f>
        <v/>
      </c>
      <c r="AJ482">
        <f>AJ481+AI482</f>
        <v/>
      </c>
      <c r="AK482">
        <f>IF(AE482=1,D482+(1000-ROW())/10^7,-1)</f>
        <v/>
      </c>
      <c r="AL482">
        <f>IF(AE482=1,TRIM('Roster'!B482)&amp;" "&amp;LEFT(TRIM('Roster'!C482),1)&amp;".","")</f>
        <v/>
      </c>
      <c r="AM482">
        <f>IF(AE482=1,TRIM('Roster'!C482)&amp;", "&amp;TRIM('Roster'!B482)&amp;" ("&amp;B482&amp;") #"&amp;AD482,"")</f>
        <v/>
      </c>
      <c r="AN482">
        <f>IF(AE482=1,TRIM('Roster'!E482),"")</f>
        <v/>
      </c>
      <c r="AO482">
        <f>IF(AE482=1,ROUND(SUMIFS('All Donations'!$S$2:$S$4001,'All Donations'!$R$2:$R$4001,AD482,'All Donations'!$T$2:$T$4001,"&gt;="&amp;'Settings'!$C$23,'All Donations'!$T$2:$T$4001,"&lt;="&amp;'Settings'!$D$23),2),0)</f>
        <v/>
      </c>
      <c r="AQ482">
        <f>IF(AE482=1,ROUND(SUMIFS('All Donations'!$S$2:$S$4001,'All Donations'!$R$2:$R$4001,AD482,'All Donations'!$T$2:$T$4001,"&gt;="&amp;'Settings'!$C$25,'All Donations'!$T$2:$T$4001,"&lt;="&amp;'Settings'!$D$25),2),0)</f>
        <v/>
      </c>
      <c r="AR482">
        <f>IF(AE482=1,ROUND(SUMIFS('All Donations'!$S$2:$S$4001,'All Donations'!$R$2:$R$4001,AD482,'All Donations'!$T$2:$T$4001,"&gt;="&amp;'Settings'!$C$26,'All Donations'!$T$2:$T$4001,"&lt;="&amp;'Settings'!$D$26),2),0)</f>
        <v/>
      </c>
      <c r="AS482">
        <f>IF(AE482=1,ROUND(SUMIFS('All Donations'!$S$2:$S$4001,'All Donations'!$R$2:$R$4001,AD482,'All Donations'!$T$2:$T$4001,"&lt;="&amp;'Settings'!$D$27),2),0)</f>
        <v/>
      </c>
      <c r="AT482">
        <f>IF(AE482=1,ROUND(SUMIFS('All Donations'!$S$2:$S$4001,'All Donations'!$R$2:$R$4001,AD482,'All Donations'!$T$2:$T$4001,"&gt;="&amp;'Settings'!$C$28,'All Donations'!$T$2:$T$4001,"&lt;="&amp;'Settings'!$D$28),2),0)</f>
        <v/>
      </c>
      <c r="AU482">
        <f>IF(AE482=1,ROUND(SUMIFS('All Donations'!$S$2:$S$4001,'All Donations'!$R$2:$R$4001,AD482,'All Donations'!$T$2:$T$4001,"&gt;="&amp;'Settings'!$C$29,'All Donations'!$T$2:$T$4001,"&lt;="&amp;'Settings'!$D$29),2),0)</f>
        <v/>
      </c>
      <c r="AV482">
        <f>IF(AE482=1,ROUND(SUMIFS('All Donations'!$S$2:$S$4001,'All Donations'!$R$2:$R$4001,AD482,'All Donations'!$T$2:$T$4001,"&lt;="&amp;'Settings'!$D$30),2),0)</f>
        <v/>
      </c>
      <c r="AZ482">
        <f>IF(AE482=1,ROUND(SUMIFS('All Donations'!$S$2:$S$4001,'All Donations'!$R$2:$R$4001,AD482,'All Donations'!$T$2:$T$4001,"&lt;="&amp;'Settings'!$D$34),2),0)</f>
        <v/>
      </c>
    </row>
    <row r="483">
      <c r="A483">
        <f>IF(AE483=1,TRIM(TRIM('Roster'!B483)&amp;" "&amp;TRIM('Roster'!C483)),"")</f>
        <v/>
      </c>
      <c r="B483">
        <f>IF(AE483=1,IF(AN483="","(no teacher)",AN483&amp;" – "&amp;C483),"")</f>
        <v/>
      </c>
      <c r="C483">
        <f>IF(AE483=1,TRIM('Roster'!D483&amp;""),"")</f>
        <v/>
      </c>
      <c r="D483" s="48">
        <f>IF(AE483=1,ROUND(SUMIFS('All Donations'!$S$2:$S$4001,'All Donations'!$R$2:$R$4001,AD483),2),"")</f>
        <v/>
      </c>
      <c r="E483" s="48">
        <f>IF(AE483=1,ROUND(SUMIFS('All Donations'!$S$2:$S$4001,'All Donations'!$R$2:$R$4001,AD483,'All Donations'!$G$2:$G$4001,"OneCause"),2),"")</f>
        <v/>
      </c>
      <c r="F483" s="48">
        <f>IF(AE483=1,D483-E483,"")</f>
        <v/>
      </c>
      <c r="G483">
        <f>IF(AE483=1,COUNTIFS('All Donations'!$R$2:$R$4001,AD483,'All Donations'!$H$2:$H$4001,"OK"),"")</f>
        <v/>
      </c>
      <c r="H483">
        <f>IF(AE483&lt;&gt;1,"",IF(D483&gt;0,"Yes",""))</f>
        <v/>
      </c>
      <c r="I483" s="49">
        <f>IF(OR($AE483&lt;&gt;1,I$1=""),"",SUMIFS('All Donations'!$S$2:$S$4001,'All Donations'!$R$2:$R$4001,$AD483,'All Donations'!$T$2:$T$4001,I$1))</f>
        <v/>
      </c>
      <c r="J483" s="49">
        <f>IF(OR($AE483&lt;&gt;1,J$1=""),"",SUMIFS('All Donations'!$S$2:$S$4001,'All Donations'!$R$2:$R$4001,$AD483,'All Donations'!$T$2:$T$4001,J$1))</f>
        <v/>
      </c>
      <c r="K483" s="49">
        <f>IF(OR($AE483&lt;&gt;1,K$1=""),"",SUMIFS('All Donations'!$S$2:$S$4001,'All Donations'!$R$2:$R$4001,$AD483,'All Donations'!$T$2:$T$4001,K$1))</f>
        <v/>
      </c>
      <c r="L483" s="49">
        <f>IF(OR($AE483&lt;&gt;1,L$1=""),"",SUMIFS('All Donations'!$S$2:$S$4001,'All Donations'!$R$2:$R$4001,$AD483,'All Donations'!$T$2:$T$4001,L$1))</f>
        <v/>
      </c>
      <c r="M483" s="49">
        <f>IF(OR($AE483&lt;&gt;1,M$1=""),"",SUMIFS('All Donations'!$S$2:$S$4001,'All Donations'!$R$2:$R$4001,$AD483,'All Donations'!$T$2:$T$4001,M$1))</f>
        <v/>
      </c>
      <c r="N483" s="49">
        <f>IF(OR($AE483&lt;&gt;1,N$1=""),"",SUMIFS('All Donations'!$S$2:$S$4001,'All Donations'!$R$2:$R$4001,$AD483,'All Donations'!$T$2:$T$4001,N$1))</f>
        <v/>
      </c>
      <c r="O483" s="49">
        <f>IF(OR($AE483&lt;&gt;1,O$1=""),"",SUMIFS('All Donations'!$S$2:$S$4001,'All Donations'!$R$2:$R$4001,$AD483,'All Donations'!$T$2:$T$4001,O$1))</f>
        <v/>
      </c>
      <c r="P483" s="49">
        <f>IF(OR($AE483&lt;&gt;1,P$1=""),"",SUMIFS('All Donations'!$S$2:$S$4001,'All Donations'!$R$2:$R$4001,$AD483,'All Donations'!$T$2:$T$4001,P$1))</f>
        <v/>
      </c>
      <c r="Q483" s="49">
        <f>IF(OR($AE483&lt;&gt;1,Q$1=""),"",SUMIFS('All Donations'!$S$2:$S$4001,'All Donations'!$R$2:$R$4001,$AD483,'All Donations'!$T$2:$T$4001,Q$1))</f>
        <v/>
      </c>
      <c r="R483" s="49">
        <f>IF(OR($AE483&lt;&gt;1,R$1=""),"",SUMIFS('All Donations'!$S$2:$S$4001,'All Donations'!$R$2:$R$4001,$AD483,'All Donations'!$T$2:$T$4001,R$1))</f>
        <v/>
      </c>
      <c r="S483" s="49">
        <f>IF(OR($AE483&lt;&gt;1,S$1=""),"",SUMIFS('All Donations'!$S$2:$S$4001,'All Donations'!$R$2:$R$4001,$AD483,'All Donations'!$T$2:$T$4001,S$1))</f>
        <v/>
      </c>
      <c r="T483" s="49">
        <f>IF(OR($AE483&lt;&gt;1,T$1=""),"",SUMIFS('All Donations'!$S$2:$S$4001,'All Donations'!$R$2:$R$4001,$AD483,'All Donations'!$T$2:$T$4001,T$1))</f>
        <v/>
      </c>
      <c r="U483" s="49">
        <f>IF(OR($AE483&lt;&gt;1,U$1=""),"",SUMIFS('All Donations'!$S$2:$S$4001,'All Donations'!$R$2:$R$4001,$AD483,'All Donations'!$T$2:$T$4001,U$1))</f>
        <v/>
      </c>
      <c r="V483" s="49">
        <f>IF(OR($AE483&lt;&gt;1,V$1=""),"",SUMIFS('All Donations'!$S$2:$S$4001,'All Donations'!$R$2:$R$4001,$AD483,'All Donations'!$T$2:$T$4001,V$1))</f>
        <v/>
      </c>
      <c r="W483" s="49">
        <f>IF(OR($AE483&lt;&gt;1,W$1=""),"",SUMIFS('All Donations'!$S$2:$S$4001,'All Donations'!$R$2:$R$4001,$AD483,'All Donations'!$T$2:$T$4001,W$1))</f>
        <v/>
      </c>
      <c r="X483" s="49">
        <f>IF(OR($AE483&lt;&gt;1,X$1=""),"",SUMIFS('All Donations'!$S$2:$S$4001,'All Donations'!$R$2:$R$4001,$AD483,'All Donations'!$T$2:$T$4001,X$1))</f>
        <v/>
      </c>
      <c r="Y483" s="49">
        <f>IF(OR($AE483&lt;&gt;1,Y$1=""),"",SUMIFS('All Donations'!$S$2:$S$4001,'All Donations'!$R$2:$R$4001,$AD483,'All Donations'!$T$2:$T$4001,Y$1))</f>
        <v/>
      </c>
      <c r="Z483" s="49">
        <f>IF(OR($AE483&lt;&gt;1,Z$1=""),"",SUMIFS('All Donations'!$S$2:$S$4001,'All Donations'!$R$2:$R$4001,$AD483,'All Donations'!$T$2:$T$4001,Z$1))</f>
        <v/>
      </c>
      <c r="AA483" s="49">
        <f>IF(OR($AE483&lt;&gt;1,AA$1=""),"",SUMIFS('All Donations'!$S$2:$S$4001,'All Donations'!$R$2:$R$4001,$AD483,'All Donations'!$T$2:$T$4001,AA$1))</f>
        <v/>
      </c>
      <c r="AB483" s="49">
        <f>IF(OR($AE483&lt;&gt;1,AB$1=""),"",SUMIFS('All Donations'!$S$2:$S$4001,'All Donations'!$R$2:$R$4001,$AD483,'All Donations'!$T$2:$T$4001,AB$1))</f>
        <v/>
      </c>
      <c r="AC483" s="49">
        <f>IF(OR($AE483&lt;&gt;1,AC$1=""),"",SUMIFS('All Donations'!$S$2:$S$4001,'All Donations'!$R$2:$R$4001,$AD483,'All Donations'!$T$2:$T$4001,AC$1))</f>
        <v/>
      </c>
      <c r="AD483">
        <f>IF(AE483=1,'Roster'!A483,"")</f>
        <v/>
      </c>
      <c r="AE483">
        <f>IF(TRIM('Roster'!B483&amp;'Roster'!C483)&lt;&gt;"",1,0)</f>
        <v/>
      </c>
      <c r="AF483">
        <f>IF(AE483=1,LOWER(A483),"#")</f>
        <v/>
      </c>
      <c r="AG483">
        <f>IF(AE483=1,LOWER(TRIM(TRIM('Roster'!C483)&amp;", "&amp;TRIM('Roster'!B483))),"#")</f>
        <v/>
      </c>
      <c r="AH483">
        <f>IF(AND(AE483=1,TRIM('Roster'!F483)&lt;&gt;""),LOWER(TRIM('Roster'!F483)),"#")</f>
        <v/>
      </c>
      <c r="AI483">
        <f>IF(AE483=1,IF(MATCH(B483,$B$2:$B$701,0)=ROW()-1,1,0),0)</f>
        <v/>
      </c>
      <c r="AJ483">
        <f>AJ482+AI483</f>
        <v/>
      </c>
      <c r="AK483">
        <f>IF(AE483=1,D483+(1000-ROW())/10^7,-1)</f>
        <v/>
      </c>
      <c r="AL483">
        <f>IF(AE483=1,TRIM('Roster'!B483)&amp;" "&amp;LEFT(TRIM('Roster'!C483),1)&amp;".","")</f>
        <v/>
      </c>
      <c r="AM483">
        <f>IF(AE483=1,TRIM('Roster'!C483)&amp;", "&amp;TRIM('Roster'!B483)&amp;" ("&amp;B483&amp;") #"&amp;AD483,"")</f>
        <v/>
      </c>
      <c r="AN483">
        <f>IF(AE483=1,TRIM('Roster'!E483),"")</f>
        <v/>
      </c>
      <c r="AO483">
        <f>IF(AE483=1,ROUND(SUMIFS('All Donations'!$S$2:$S$4001,'All Donations'!$R$2:$R$4001,AD483,'All Donations'!$T$2:$T$4001,"&gt;="&amp;'Settings'!$C$23,'All Donations'!$T$2:$T$4001,"&lt;="&amp;'Settings'!$D$23),2),0)</f>
        <v/>
      </c>
      <c r="AQ483">
        <f>IF(AE483=1,ROUND(SUMIFS('All Donations'!$S$2:$S$4001,'All Donations'!$R$2:$R$4001,AD483,'All Donations'!$T$2:$T$4001,"&gt;="&amp;'Settings'!$C$25,'All Donations'!$T$2:$T$4001,"&lt;="&amp;'Settings'!$D$25),2),0)</f>
        <v/>
      </c>
      <c r="AR483">
        <f>IF(AE483=1,ROUND(SUMIFS('All Donations'!$S$2:$S$4001,'All Donations'!$R$2:$R$4001,AD483,'All Donations'!$T$2:$T$4001,"&gt;="&amp;'Settings'!$C$26,'All Donations'!$T$2:$T$4001,"&lt;="&amp;'Settings'!$D$26),2),0)</f>
        <v/>
      </c>
      <c r="AS483">
        <f>IF(AE483=1,ROUND(SUMIFS('All Donations'!$S$2:$S$4001,'All Donations'!$R$2:$R$4001,AD483,'All Donations'!$T$2:$T$4001,"&lt;="&amp;'Settings'!$D$27),2),0)</f>
        <v/>
      </c>
      <c r="AT483">
        <f>IF(AE483=1,ROUND(SUMIFS('All Donations'!$S$2:$S$4001,'All Donations'!$R$2:$R$4001,AD483,'All Donations'!$T$2:$T$4001,"&gt;="&amp;'Settings'!$C$28,'All Donations'!$T$2:$T$4001,"&lt;="&amp;'Settings'!$D$28),2),0)</f>
        <v/>
      </c>
      <c r="AU483">
        <f>IF(AE483=1,ROUND(SUMIFS('All Donations'!$S$2:$S$4001,'All Donations'!$R$2:$R$4001,AD483,'All Donations'!$T$2:$T$4001,"&gt;="&amp;'Settings'!$C$29,'All Donations'!$T$2:$T$4001,"&lt;="&amp;'Settings'!$D$29),2),0)</f>
        <v/>
      </c>
      <c r="AV483">
        <f>IF(AE483=1,ROUND(SUMIFS('All Donations'!$S$2:$S$4001,'All Donations'!$R$2:$R$4001,AD483,'All Donations'!$T$2:$T$4001,"&lt;="&amp;'Settings'!$D$30),2),0)</f>
        <v/>
      </c>
      <c r="AZ483">
        <f>IF(AE483=1,ROUND(SUMIFS('All Donations'!$S$2:$S$4001,'All Donations'!$R$2:$R$4001,AD483,'All Donations'!$T$2:$T$4001,"&lt;="&amp;'Settings'!$D$34),2),0)</f>
        <v/>
      </c>
    </row>
    <row r="484">
      <c r="A484">
        <f>IF(AE484=1,TRIM(TRIM('Roster'!B484)&amp;" "&amp;TRIM('Roster'!C484)),"")</f>
        <v/>
      </c>
      <c r="B484">
        <f>IF(AE484=1,IF(AN484="","(no teacher)",AN484&amp;" – "&amp;C484),"")</f>
        <v/>
      </c>
      <c r="C484">
        <f>IF(AE484=1,TRIM('Roster'!D484&amp;""),"")</f>
        <v/>
      </c>
      <c r="D484" s="48">
        <f>IF(AE484=1,ROUND(SUMIFS('All Donations'!$S$2:$S$4001,'All Donations'!$R$2:$R$4001,AD484),2),"")</f>
        <v/>
      </c>
      <c r="E484" s="48">
        <f>IF(AE484=1,ROUND(SUMIFS('All Donations'!$S$2:$S$4001,'All Donations'!$R$2:$R$4001,AD484,'All Donations'!$G$2:$G$4001,"OneCause"),2),"")</f>
        <v/>
      </c>
      <c r="F484" s="48">
        <f>IF(AE484=1,D484-E484,"")</f>
        <v/>
      </c>
      <c r="G484">
        <f>IF(AE484=1,COUNTIFS('All Donations'!$R$2:$R$4001,AD484,'All Donations'!$H$2:$H$4001,"OK"),"")</f>
        <v/>
      </c>
      <c r="H484">
        <f>IF(AE484&lt;&gt;1,"",IF(D484&gt;0,"Yes",""))</f>
        <v/>
      </c>
      <c r="I484" s="49">
        <f>IF(OR($AE484&lt;&gt;1,I$1=""),"",SUMIFS('All Donations'!$S$2:$S$4001,'All Donations'!$R$2:$R$4001,$AD484,'All Donations'!$T$2:$T$4001,I$1))</f>
        <v/>
      </c>
      <c r="J484" s="49">
        <f>IF(OR($AE484&lt;&gt;1,J$1=""),"",SUMIFS('All Donations'!$S$2:$S$4001,'All Donations'!$R$2:$R$4001,$AD484,'All Donations'!$T$2:$T$4001,J$1))</f>
        <v/>
      </c>
      <c r="K484" s="49">
        <f>IF(OR($AE484&lt;&gt;1,K$1=""),"",SUMIFS('All Donations'!$S$2:$S$4001,'All Donations'!$R$2:$R$4001,$AD484,'All Donations'!$T$2:$T$4001,K$1))</f>
        <v/>
      </c>
      <c r="L484" s="49">
        <f>IF(OR($AE484&lt;&gt;1,L$1=""),"",SUMIFS('All Donations'!$S$2:$S$4001,'All Donations'!$R$2:$R$4001,$AD484,'All Donations'!$T$2:$T$4001,L$1))</f>
        <v/>
      </c>
      <c r="M484" s="49">
        <f>IF(OR($AE484&lt;&gt;1,M$1=""),"",SUMIFS('All Donations'!$S$2:$S$4001,'All Donations'!$R$2:$R$4001,$AD484,'All Donations'!$T$2:$T$4001,M$1))</f>
        <v/>
      </c>
      <c r="N484" s="49">
        <f>IF(OR($AE484&lt;&gt;1,N$1=""),"",SUMIFS('All Donations'!$S$2:$S$4001,'All Donations'!$R$2:$R$4001,$AD484,'All Donations'!$T$2:$T$4001,N$1))</f>
        <v/>
      </c>
      <c r="O484" s="49">
        <f>IF(OR($AE484&lt;&gt;1,O$1=""),"",SUMIFS('All Donations'!$S$2:$S$4001,'All Donations'!$R$2:$R$4001,$AD484,'All Donations'!$T$2:$T$4001,O$1))</f>
        <v/>
      </c>
      <c r="P484" s="49">
        <f>IF(OR($AE484&lt;&gt;1,P$1=""),"",SUMIFS('All Donations'!$S$2:$S$4001,'All Donations'!$R$2:$R$4001,$AD484,'All Donations'!$T$2:$T$4001,P$1))</f>
        <v/>
      </c>
      <c r="Q484" s="49">
        <f>IF(OR($AE484&lt;&gt;1,Q$1=""),"",SUMIFS('All Donations'!$S$2:$S$4001,'All Donations'!$R$2:$R$4001,$AD484,'All Donations'!$T$2:$T$4001,Q$1))</f>
        <v/>
      </c>
      <c r="R484" s="49">
        <f>IF(OR($AE484&lt;&gt;1,R$1=""),"",SUMIFS('All Donations'!$S$2:$S$4001,'All Donations'!$R$2:$R$4001,$AD484,'All Donations'!$T$2:$T$4001,R$1))</f>
        <v/>
      </c>
      <c r="S484" s="49">
        <f>IF(OR($AE484&lt;&gt;1,S$1=""),"",SUMIFS('All Donations'!$S$2:$S$4001,'All Donations'!$R$2:$R$4001,$AD484,'All Donations'!$T$2:$T$4001,S$1))</f>
        <v/>
      </c>
      <c r="T484" s="49">
        <f>IF(OR($AE484&lt;&gt;1,T$1=""),"",SUMIFS('All Donations'!$S$2:$S$4001,'All Donations'!$R$2:$R$4001,$AD484,'All Donations'!$T$2:$T$4001,T$1))</f>
        <v/>
      </c>
      <c r="U484" s="49">
        <f>IF(OR($AE484&lt;&gt;1,U$1=""),"",SUMIFS('All Donations'!$S$2:$S$4001,'All Donations'!$R$2:$R$4001,$AD484,'All Donations'!$T$2:$T$4001,U$1))</f>
        <v/>
      </c>
      <c r="V484" s="49">
        <f>IF(OR($AE484&lt;&gt;1,V$1=""),"",SUMIFS('All Donations'!$S$2:$S$4001,'All Donations'!$R$2:$R$4001,$AD484,'All Donations'!$T$2:$T$4001,V$1))</f>
        <v/>
      </c>
      <c r="W484" s="49">
        <f>IF(OR($AE484&lt;&gt;1,W$1=""),"",SUMIFS('All Donations'!$S$2:$S$4001,'All Donations'!$R$2:$R$4001,$AD484,'All Donations'!$T$2:$T$4001,W$1))</f>
        <v/>
      </c>
      <c r="X484" s="49">
        <f>IF(OR($AE484&lt;&gt;1,X$1=""),"",SUMIFS('All Donations'!$S$2:$S$4001,'All Donations'!$R$2:$R$4001,$AD484,'All Donations'!$T$2:$T$4001,X$1))</f>
        <v/>
      </c>
      <c r="Y484" s="49">
        <f>IF(OR($AE484&lt;&gt;1,Y$1=""),"",SUMIFS('All Donations'!$S$2:$S$4001,'All Donations'!$R$2:$R$4001,$AD484,'All Donations'!$T$2:$T$4001,Y$1))</f>
        <v/>
      </c>
      <c r="Z484" s="49">
        <f>IF(OR($AE484&lt;&gt;1,Z$1=""),"",SUMIFS('All Donations'!$S$2:$S$4001,'All Donations'!$R$2:$R$4001,$AD484,'All Donations'!$T$2:$T$4001,Z$1))</f>
        <v/>
      </c>
      <c r="AA484" s="49">
        <f>IF(OR($AE484&lt;&gt;1,AA$1=""),"",SUMIFS('All Donations'!$S$2:$S$4001,'All Donations'!$R$2:$R$4001,$AD484,'All Donations'!$T$2:$T$4001,AA$1))</f>
        <v/>
      </c>
      <c r="AB484" s="49">
        <f>IF(OR($AE484&lt;&gt;1,AB$1=""),"",SUMIFS('All Donations'!$S$2:$S$4001,'All Donations'!$R$2:$R$4001,$AD484,'All Donations'!$T$2:$T$4001,AB$1))</f>
        <v/>
      </c>
      <c r="AC484" s="49">
        <f>IF(OR($AE484&lt;&gt;1,AC$1=""),"",SUMIFS('All Donations'!$S$2:$S$4001,'All Donations'!$R$2:$R$4001,$AD484,'All Donations'!$T$2:$T$4001,AC$1))</f>
        <v/>
      </c>
      <c r="AD484">
        <f>IF(AE484=1,'Roster'!A484,"")</f>
        <v/>
      </c>
      <c r="AE484">
        <f>IF(TRIM('Roster'!B484&amp;'Roster'!C484)&lt;&gt;"",1,0)</f>
        <v/>
      </c>
      <c r="AF484">
        <f>IF(AE484=1,LOWER(A484),"#")</f>
        <v/>
      </c>
      <c r="AG484">
        <f>IF(AE484=1,LOWER(TRIM(TRIM('Roster'!C484)&amp;", "&amp;TRIM('Roster'!B484))),"#")</f>
        <v/>
      </c>
      <c r="AH484">
        <f>IF(AND(AE484=1,TRIM('Roster'!F484)&lt;&gt;""),LOWER(TRIM('Roster'!F484)),"#")</f>
        <v/>
      </c>
      <c r="AI484">
        <f>IF(AE484=1,IF(MATCH(B484,$B$2:$B$701,0)=ROW()-1,1,0),0)</f>
        <v/>
      </c>
      <c r="AJ484">
        <f>AJ483+AI484</f>
        <v/>
      </c>
      <c r="AK484">
        <f>IF(AE484=1,D484+(1000-ROW())/10^7,-1)</f>
        <v/>
      </c>
      <c r="AL484">
        <f>IF(AE484=1,TRIM('Roster'!B484)&amp;" "&amp;LEFT(TRIM('Roster'!C484),1)&amp;".","")</f>
        <v/>
      </c>
      <c r="AM484">
        <f>IF(AE484=1,TRIM('Roster'!C484)&amp;", "&amp;TRIM('Roster'!B484)&amp;" ("&amp;B484&amp;") #"&amp;AD484,"")</f>
        <v/>
      </c>
      <c r="AN484">
        <f>IF(AE484=1,TRIM('Roster'!E484),"")</f>
        <v/>
      </c>
      <c r="AO484">
        <f>IF(AE484=1,ROUND(SUMIFS('All Donations'!$S$2:$S$4001,'All Donations'!$R$2:$R$4001,AD484,'All Donations'!$T$2:$T$4001,"&gt;="&amp;'Settings'!$C$23,'All Donations'!$T$2:$T$4001,"&lt;="&amp;'Settings'!$D$23),2),0)</f>
        <v/>
      </c>
      <c r="AQ484">
        <f>IF(AE484=1,ROUND(SUMIFS('All Donations'!$S$2:$S$4001,'All Donations'!$R$2:$R$4001,AD484,'All Donations'!$T$2:$T$4001,"&gt;="&amp;'Settings'!$C$25,'All Donations'!$T$2:$T$4001,"&lt;="&amp;'Settings'!$D$25),2),0)</f>
        <v/>
      </c>
      <c r="AR484">
        <f>IF(AE484=1,ROUND(SUMIFS('All Donations'!$S$2:$S$4001,'All Donations'!$R$2:$R$4001,AD484,'All Donations'!$T$2:$T$4001,"&gt;="&amp;'Settings'!$C$26,'All Donations'!$T$2:$T$4001,"&lt;="&amp;'Settings'!$D$26),2),0)</f>
        <v/>
      </c>
      <c r="AS484">
        <f>IF(AE484=1,ROUND(SUMIFS('All Donations'!$S$2:$S$4001,'All Donations'!$R$2:$R$4001,AD484,'All Donations'!$T$2:$T$4001,"&lt;="&amp;'Settings'!$D$27),2),0)</f>
        <v/>
      </c>
      <c r="AT484">
        <f>IF(AE484=1,ROUND(SUMIFS('All Donations'!$S$2:$S$4001,'All Donations'!$R$2:$R$4001,AD484,'All Donations'!$T$2:$T$4001,"&gt;="&amp;'Settings'!$C$28,'All Donations'!$T$2:$T$4001,"&lt;="&amp;'Settings'!$D$28),2),0)</f>
        <v/>
      </c>
      <c r="AU484">
        <f>IF(AE484=1,ROUND(SUMIFS('All Donations'!$S$2:$S$4001,'All Donations'!$R$2:$R$4001,AD484,'All Donations'!$T$2:$T$4001,"&gt;="&amp;'Settings'!$C$29,'All Donations'!$T$2:$T$4001,"&lt;="&amp;'Settings'!$D$29),2),0)</f>
        <v/>
      </c>
      <c r="AV484">
        <f>IF(AE484=1,ROUND(SUMIFS('All Donations'!$S$2:$S$4001,'All Donations'!$R$2:$R$4001,AD484,'All Donations'!$T$2:$T$4001,"&lt;="&amp;'Settings'!$D$30),2),0)</f>
        <v/>
      </c>
      <c r="AZ484">
        <f>IF(AE484=1,ROUND(SUMIFS('All Donations'!$S$2:$S$4001,'All Donations'!$R$2:$R$4001,AD484,'All Donations'!$T$2:$T$4001,"&lt;="&amp;'Settings'!$D$34),2),0)</f>
        <v/>
      </c>
    </row>
    <row r="485">
      <c r="A485">
        <f>IF(AE485=1,TRIM(TRIM('Roster'!B485)&amp;" "&amp;TRIM('Roster'!C485)),"")</f>
        <v/>
      </c>
      <c r="B485">
        <f>IF(AE485=1,IF(AN485="","(no teacher)",AN485&amp;" – "&amp;C485),"")</f>
        <v/>
      </c>
      <c r="C485">
        <f>IF(AE485=1,TRIM('Roster'!D485&amp;""),"")</f>
        <v/>
      </c>
      <c r="D485" s="48">
        <f>IF(AE485=1,ROUND(SUMIFS('All Donations'!$S$2:$S$4001,'All Donations'!$R$2:$R$4001,AD485),2),"")</f>
        <v/>
      </c>
      <c r="E485" s="48">
        <f>IF(AE485=1,ROUND(SUMIFS('All Donations'!$S$2:$S$4001,'All Donations'!$R$2:$R$4001,AD485,'All Donations'!$G$2:$G$4001,"OneCause"),2),"")</f>
        <v/>
      </c>
      <c r="F485" s="48">
        <f>IF(AE485=1,D485-E485,"")</f>
        <v/>
      </c>
      <c r="G485">
        <f>IF(AE485=1,COUNTIFS('All Donations'!$R$2:$R$4001,AD485,'All Donations'!$H$2:$H$4001,"OK"),"")</f>
        <v/>
      </c>
      <c r="H485">
        <f>IF(AE485&lt;&gt;1,"",IF(D485&gt;0,"Yes",""))</f>
        <v/>
      </c>
      <c r="I485" s="49">
        <f>IF(OR($AE485&lt;&gt;1,I$1=""),"",SUMIFS('All Donations'!$S$2:$S$4001,'All Donations'!$R$2:$R$4001,$AD485,'All Donations'!$T$2:$T$4001,I$1))</f>
        <v/>
      </c>
      <c r="J485" s="49">
        <f>IF(OR($AE485&lt;&gt;1,J$1=""),"",SUMIFS('All Donations'!$S$2:$S$4001,'All Donations'!$R$2:$R$4001,$AD485,'All Donations'!$T$2:$T$4001,J$1))</f>
        <v/>
      </c>
      <c r="K485" s="49">
        <f>IF(OR($AE485&lt;&gt;1,K$1=""),"",SUMIFS('All Donations'!$S$2:$S$4001,'All Donations'!$R$2:$R$4001,$AD485,'All Donations'!$T$2:$T$4001,K$1))</f>
        <v/>
      </c>
      <c r="L485" s="49">
        <f>IF(OR($AE485&lt;&gt;1,L$1=""),"",SUMIFS('All Donations'!$S$2:$S$4001,'All Donations'!$R$2:$R$4001,$AD485,'All Donations'!$T$2:$T$4001,L$1))</f>
        <v/>
      </c>
      <c r="M485" s="49">
        <f>IF(OR($AE485&lt;&gt;1,M$1=""),"",SUMIFS('All Donations'!$S$2:$S$4001,'All Donations'!$R$2:$R$4001,$AD485,'All Donations'!$T$2:$T$4001,M$1))</f>
        <v/>
      </c>
      <c r="N485" s="49">
        <f>IF(OR($AE485&lt;&gt;1,N$1=""),"",SUMIFS('All Donations'!$S$2:$S$4001,'All Donations'!$R$2:$R$4001,$AD485,'All Donations'!$T$2:$T$4001,N$1))</f>
        <v/>
      </c>
      <c r="O485" s="49">
        <f>IF(OR($AE485&lt;&gt;1,O$1=""),"",SUMIFS('All Donations'!$S$2:$S$4001,'All Donations'!$R$2:$R$4001,$AD485,'All Donations'!$T$2:$T$4001,O$1))</f>
        <v/>
      </c>
      <c r="P485" s="49">
        <f>IF(OR($AE485&lt;&gt;1,P$1=""),"",SUMIFS('All Donations'!$S$2:$S$4001,'All Donations'!$R$2:$R$4001,$AD485,'All Donations'!$T$2:$T$4001,P$1))</f>
        <v/>
      </c>
      <c r="Q485" s="49">
        <f>IF(OR($AE485&lt;&gt;1,Q$1=""),"",SUMIFS('All Donations'!$S$2:$S$4001,'All Donations'!$R$2:$R$4001,$AD485,'All Donations'!$T$2:$T$4001,Q$1))</f>
        <v/>
      </c>
      <c r="R485" s="49">
        <f>IF(OR($AE485&lt;&gt;1,R$1=""),"",SUMIFS('All Donations'!$S$2:$S$4001,'All Donations'!$R$2:$R$4001,$AD485,'All Donations'!$T$2:$T$4001,R$1))</f>
        <v/>
      </c>
      <c r="S485" s="49">
        <f>IF(OR($AE485&lt;&gt;1,S$1=""),"",SUMIFS('All Donations'!$S$2:$S$4001,'All Donations'!$R$2:$R$4001,$AD485,'All Donations'!$T$2:$T$4001,S$1))</f>
        <v/>
      </c>
      <c r="T485" s="49">
        <f>IF(OR($AE485&lt;&gt;1,T$1=""),"",SUMIFS('All Donations'!$S$2:$S$4001,'All Donations'!$R$2:$R$4001,$AD485,'All Donations'!$T$2:$T$4001,T$1))</f>
        <v/>
      </c>
      <c r="U485" s="49">
        <f>IF(OR($AE485&lt;&gt;1,U$1=""),"",SUMIFS('All Donations'!$S$2:$S$4001,'All Donations'!$R$2:$R$4001,$AD485,'All Donations'!$T$2:$T$4001,U$1))</f>
        <v/>
      </c>
      <c r="V485" s="49">
        <f>IF(OR($AE485&lt;&gt;1,V$1=""),"",SUMIFS('All Donations'!$S$2:$S$4001,'All Donations'!$R$2:$R$4001,$AD485,'All Donations'!$T$2:$T$4001,V$1))</f>
        <v/>
      </c>
      <c r="W485" s="49">
        <f>IF(OR($AE485&lt;&gt;1,W$1=""),"",SUMIFS('All Donations'!$S$2:$S$4001,'All Donations'!$R$2:$R$4001,$AD485,'All Donations'!$T$2:$T$4001,W$1))</f>
        <v/>
      </c>
      <c r="X485" s="49">
        <f>IF(OR($AE485&lt;&gt;1,X$1=""),"",SUMIFS('All Donations'!$S$2:$S$4001,'All Donations'!$R$2:$R$4001,$AD485,'All Donations'!$T$2:$T$4001,X$1))</f>
        <v/>
      </c>
      <c r="Y485" s="49">
        <f>IF(OR($AE485&lt;&gt;1,Y$1=""),"",SUMIFS('All Donations'!$S$2:$S$4001,'All Donations'!$R$2:$R$4001,$AD485,'All Donations'!$T$2:$T$4001,Y$1))</f>
        <v/>
      </c>
      <c r="Z485" s="49">
        <f>IF(OR($AE485&lt;&gt;1,Z$1=""),"",SUMIFS('All Donations'!$S$2:$S$4001,'All Donations'!$R$2:$R$4001,$AD485,'All Donations'!$T$2:$T$4001,Z$1))</f>
        <v/>
      </c>
      <c r="AA485" s="49">
        <f>IF(OR($AE485&lt;&gt;1,AA$1=""),"",SUMIFS('All Donations'!$S$2:$S$4001,'All Donations'!$R$2:$R$4001,$AD485,'All Donations'!$T$2:$T$4001,AA$1))</f>
        <v/>
      </c>
      <c r="AB485" s="49">
        <f>IF(OR($AE485&lt;&gt;1,AB$1=""),"",SUMIFS('All Donations'!$S$2:$S$4001,'All Donations'!$R$2:$R$4001,$AD485,'All Donations'!$T$2:$T$4001,AB$1))</f>
        <v/>
      </c>
      <c r="AC485" s="49">
        <f>IF(OR($AE485&lt;&gt;1,AC$1=""),"",SUMIFS('All Donations'!$S$2:$S$4001,'All Donations'!$R$2:$R$4001,$AD485,'All Donations'!$T$2:$T$4001,AC$1))</f>
        <v/>
      </c>
      <c r="AD485">
        <f>IF(AE485=1,'Roster'!A485,"")</f>
        <v/>
      </c>
      <c r="AE485">
        <f>IF(TRIM('Roster'!B485&amp;'Roster'!C485)&lt;&gt;"",1,0)</f>
        <v/>
      </c>
      <c r="AF485">
        <f>IF(AE485=1,LOWER(A485),"#")</f>
        <v/>
      </c>
      <c r="AG485">
        <f>IF(AE485=1,LOWER(TRIM(TRIM('Roster'!C485)&amp;", "&amp;TRIM('Roster'!B485))),"#")</f>
        <v/>
      </c>
      <c r="AH485">
        <f>IF(AND(AE485=1,TRIM('Roster'!F485)&lt;&gt;""),LOWER(TRIM('Roster'!F485)),"#")</f>
        <v/>
      </c>
      <c r="AI485">
        <f>IF(AE485=1,IF(MATCH(B485,$B$2:$B$701,0)=ROW()-1,1,0),0)</f>
        <v/>
      </c>
      <c r="AJ485">
        <f>AJ484+AI485</f>
        <v/>
      </c>
      <c r="AK485">
        <f>IF(AE485=1,D485+(1000-ROW())/10^7,-1)</f>
        <v/>
      </c>
      <c r="AL485">
        <f>IF(AE485=1,TRIM('Roster'!B485)&amp;" "&amp;LEFT(TRIM('Roster'!C485),1)&amp;".","")</f>
        <v/>
      </c>
      <c r="AM485">
        <f>IF(AE485=1,TRIM('Roster'!C485)&amp;", "&amp;TRIM('Roster'!B485)&amp;" ("&amp;B485&amp;") #"&amp;AD485,"")</f>
        <v/>
      </c>
      <c r="AN485">
        <f>IF(AE485=1,TRIM('Roster'!E485),"")</f>
        <v/>
      </c>
      <c r="AO485">
        <f>IF(AE485=1,ROUND(SUMIFS('All Donations'!$S$2:$S$4001,'All Donations'!$R$2:$R$4001,AD485,'All Donations'!$T$2:$T$4001,"&gt;="&amp;'Settings'!$C$23,'All Donations'!$T$2:$T$4001,"&lt;="&amp;'Settings'!$D$23),2),0)</f>
        <v/>
      </c>
      <c r="AQ485">
        <f>IF(AE485=1,ROUND(SUMIFS('All Donations'!$S$2:$S$4001,'All Donations'!$R$2:$R$4001,AD485,'All Donations'!$T$2:$T$4001,"&gt;="&amp;'Settings'!$C$25,'All Donations'!$T$2:$T$4001,"&lt;="&amp;'Settings'!$D$25),2),0)</f>
        <v/>
      </c>
      <c r="AR485">
        <f>IF(AE485=1,ROUND(SUMIFS('All Donations'!$S$2:$S$4001,'All Donations'!$R$2:$R$4001,AD485,'All Donations'!$T$2:$T$4001,"&gt;="&amp;'Settings'!$C$26,'All Donations'!$T$2:$T$4001,"&lt;="&amp;'Settings'!$D$26),2),0)</f>
        <v/>
      </c>
      <c r="AS485">
        <f>IF(AE485=1,ROUND(SUMIFS('All Donations'!$S$2:$S$4001,'All Donations'!$R$2:$R$4001,AD485,'All Donations'!$T$2:$T$4001,"&lt;="&amp;'Settings'!$D$27),2),0)</f>
        <v/>
      </c>
      <c r="AT485">
        <f>IF(AE485=1,ROUND(SUMIFS('All Donations'!$S$2:$S$4001,'All Donations'!$R$2:$R$4001,AD485,'All Donations'!$T$2:$T$4001,"&gt;="&amp;'Settings'!$C$28,'All Donations'!$T$2:$T$4001,"&lt;="&amp;'Settings'!$D$28),2),0)</f>
        <v/>
      </c>
      <c r="AU485">
        <f>IF(AE485=1,ROUND(SUMIFS('All Donations'!$S$2:$S$4001,'All Donations'!$R$2:$R$4001,AD485,'All Donations'!$T$2:$T$4001,"&gt;="&amp;'Settings'!$C$29,'All Donations'!$T$2:$T$4001,"&lt;="&amp;'Settings'!$D$29),2),0)</f>
        <v/>
      </c>
      <c r="AV485">
        <f>IF(AE485=1,ROUND(SUMIFS('All Donations'!$S$2:$S$4001,'All Donations'!$R$2:$R$4001,AD485,'All Donations'!$T$2:$T$4001,"&lt;="&amp;'Settings'!$D$30),2),0)</f>
        <v/>
      </c>
      <c r="AZ485">
        <f>IF(AE485=1,ROUND(SUMIFS('All Donations'!$S$2:$S$4001,'All Donations'!$R$2:$R$4001,AD485,'All Donations'!$T$2:$T$4001,"&lt;="&amp;'Settings'!$D$34),2),0)</f>
        <v/>
      </c>
    </row>
    <row r="486">
      <c r="A486">
        <f>IF(AE486=1,TRIM(TRIM('Roster'!B486)&amp;" "&amp;TRIM('Roster'!C486)),"")</f>
        <v/>
      </c>
      <c r="B486">
        <f>IF(AE486=1,IF(AN486="","(no teacher)",AN486&amp;" – "&amp;C486),"")</f>
        <v/>
      </c>
      <c r="C486">
        <f>IF(AE486=1,TRIM('Roster'!D486&amp;""),"")</f>
        <v/>
      </c>
      <c r="D486" s="48">
        <f>IF(AE486=1,ROUND(SUMIFS('All Donations'!$S$2:$S$4001,'All Donations'!$R$2:$R$4001,AD486),2),"")</f>
        <v/>
      </c>
      <c r="E486" s="48">
        <f>IF(AE486=1,ROUND(SUMIFS('All Donations'!$S$2:$S$4001,'All Donations'!$R$2:$R$4001,AD486,'All Donations'!$G$2:$G$4001,"OneCause"),2),"")</f>
        <v/>
      </c>
      <c r="F486" s="48">
        <f>IF(AE486=1,D486-E486,"")</f>
        <v/>
      </c>
      <c r="G486">
        <f>IF(AE486=1,COUNTIFS('All Donations'!$R$2:$R$4001,AD486,'All Donations'!$H$2:$H$4001,"OK"),"")</f>
        <v/>
      </c>
      <c r="H486">
        <f>IF(AE486&lt;&gt;1,"",IF(D486&gt;0,"Yes",""))</f>
        <v/>
      </c>
      <c r="I486" s="49">
        <f>IF(OR($AE486&lt;&gt;1,I$1=""),"",SUMIFS('All Donations'!$S$2:$S$4001,'All Donations'!$R$2:$R$4001,$AD486,'All Donations'!$T$2:$T$4001,I$1))</f>
        <v/>
      </c>
      <c r="J486" s="49">
        <f>IF(OR($AE486&lt;&gt;1,J$1=""),"",SUMIFS('All Donations'!$S$2:$S$4001,'All Donations'!$R$2:$R$4001,$AD486,'All Donations'!$T$2:$T$4001,J$1))</f>
        <v/>
      </c>
      <c r="K486" s="49">
        <f>IF(OR($AE486&lt;&gt;1,K$1=""),"",SUMIFS('All Donations'!$S$2:$S$4001,'All Donations'!$R$2:$R$4001,$AD486,'All Donations'!$T$2:$T$4001,K$1))</f>
        <v/>
      </c>
      <c r="L486" s="49">
        <f>IF(OR($AE486&lt;&gt;1,L$1=""),"",SUMIFS('All Donations'!$S$2:$S$4001,'All Donations'!$R$2:$R$4001,$AD486,'All Donations'!$T$2:$T$4001,L$1))</f>
        <v/>
      </c>
      <c r="M486" s="49">
        <f>IF(OR($AE486&lt;&gt;1,M$1=""),"",SUMIFS('All Donations'!$S$2:$S$4001,'All Donations'!$R$2:$R$4001,$AD486,'All Donations'!$T$2:$T$4001,M$1))</f>
        <v/>
      </c>
      <c r="N486" s="49">
        <f>IF(OR($AE486&lt;&gt;1,N$1=""),"",SUMIFS('All Donations'!$S$2:$S$4001,'All Donations'!$R$2:$R$4001,$AD486,'All Donations'!$T$2:$T$4001,N$1))</f>
        <v/>
      </c>
      <c r="O486" s="49">
        <f>IF(OR($AE486&lt;&gt;1,O$1=""),"",SUMIFS('All Donations'!$S$2:$S$4001,'All Donations'!$R$2:$R$4001,$AD486,'All Donations'!$T$2:$T$4001,O$1))</f>
        <v/>
      </c>
      <c r="P486" s="49">
        <f>IF(OR($AE486&lt;&gt;1,P$1=""),"",SUMIFS('All Donations'!$S$2:$S$4001,'All Donations'!$R$2:$R$4001,$AD486,'All Donations'!$T$2:$T$4001,P$1))</f>
        <v/>
      </c>
      <c r="Q486" s="49">
        <f>IF(OR($AE486&lt;&gt;1,Q$1=""),"",SUMIFS('All Donations'!$S$2:$S$4001,'All Donations'!$R$2:$R$4001,$AD486,'All Donations'!$T$2:$T$4001,Q$1))</f>
        <v/>
      </c>
      <c r="R486" s="49">
        <f>IF(OR($AE486&lt;&gt;1,R$1=""),"",SUMIFS('All Donations'!$S$2:$S$4001,'All Donations'!$R$2:$R$4001,$AD486,'All Donations'!$T$2:$T$4001,R$1))</f>
        <v/>
      </c>
      <c r="S486" s="49">
        <f>IF(OR($AE486&lt;&gt;1,S$1=""),"",SUMIFS('All Donations'!$S$2:$S$4001,'All Donations'!$R$2:$R$4001,$AD486,'All Donations'!$T$2:$T$4001,S$1))</f>
        <v/>
      </c>
      <c r="T486" s="49">
        <f>IF(OR($AE486&lt;&gt;1,T$1=""),"",SUMIFS('All Donations'!$S$2:$S$4001,'All Donations'!$R$2:$R$4001,$AD486,'All Donations'!$T$2:$T$4001,T$1))</f>
        <v/>
      </c>
      <c r="U486" s="49">
        <f>IF(OR($AE486&lt;&gt;1,U$1=""),"",SUMIFS('All Donations'!$S$2:$S$4001,'All Donations'!$R$2:$R$4001,$AD486,'All Donations'!$T$2:$T$4001,U$1))</f>
        <v/>
      </c>
      <c r="V486" s="49">
        <f>IF(OR($AE486&lt;&gt;1,V$1=""),"",SUMIFS('All Donations'!$S$2:$S$4001,'All Donations'!$R$2:$R$4001,$AD486,'All Donations'!$T$2:$T$4001,V$1))</f>
        <v/>
      </c>
      <c r="W486" s="49">
        <f>IF(OR($AE486&lt;&gt;1,W$1=""),"",SUMIFS('All Donations'!$S$2:$S$4001,'All Donations'!$R$2:$R$4001,$AD486,'All Donations'!$T$2:$T$4001,W$1))</f>
        <v/>
      </c>
      <c r="X486" s="49">
        <f>IF(OR($AE486&lt;&gt;1,X$1=""),"",SUMIFS('All Donations'!$S$2:$S$4001,'All Donations'!$R$2:$R$4001,$AD486,'All Donations'!$T$2:$T$4001,X$1))</f>
        <v/>
      </c>
      <c r="Y486" s="49">
        <f>IF(OR($AE486&lt;&gt;1,Y$1=""),"",SUMIFS('All Donations'!$S$2:$S$4001,'All Donations'!$R$2:$R$4001,$AD486,'All Donations'!$T$2:$T$4001,Y$1))</f>
        <v/>
      </c>
      <c r="Z486" s="49">
        <f>IF(OR($AE486&lt;&gt;1,Z$1=""),"",SUMIFS('All Donations'!$S$2:$S$4001,'All Donations'!$R$2:$R$4001,$AD486,'All Donations'!$T$2:$T$4001,Z$1))</f>
        <v/>
      </c>
      <c r="AA486" s="49">
        <f>IF(OR($AE486&lt;&gt;1,AA$1=""),"",SUMIFS('All Donations'!$S$2:$S$4001,'All Donations'!$R$2:$R$4001,$AD486,'All Donations'!$T$2:$T$4001,AA$1))</f>
        <v/>
      </c>
      <c r="AB486" s="49">
        <f>IF(OR($AE486&lt;&gt;1,AB$1=""),"",SUMIFS('All Donations'!$S$2:$S$4001,'All Donations'!$R$2:$R$4001,$AD486,'All Donations'!$T$2:$T$4001,AB$1))</f>
        <v/>
      </c>
      <c r="AC486" s="49">
        <f>IF(OR($AE486&lt;&gt;1,AC$1=""),"",SUMIFS('All Donations'!$S$2:$S$4001,'All Donations'!$R$2:$R$4001,$AD486,'All Donations'!$T$2:$T$4001,AC$1))</f>
        <v/>
      </c>
      <c r="AD486">
        <f>IF(AE486=1,'Roster'!A486,"")</f>
        <v/>
      </c>
      <c r="AE486">
        <f>IF(TRIM('Roster'!B486&amp;'Roster'!C486)&lt;&gt;"",1,0)</f>
        <v/>
      </c>
      <c r="AF486">
        <f>IF(AE486=1,LOWER(A486),"#")</f>
        <v/>
      </c>
      <c r="AG486">
        <f>IF(AE486=1,LOWER(TRIM(TRIM('Roster'!C486)&amp;", "&amp;TRIM('Roster'!B486))),"#")</f>
        <v/>
      </c>
      <c r="AH486">
        <f>IF(AND(AE486=1,TRIM('Roster'!F486)&lt;&gt;""),LOWER(TRIM('Roster'!F486)),"#")</f>
        <v/>
      </c>
      <c r="AI486">
        <f>IF(AE486=1,IF(MATCH(B486,$B$2:$B$701,0)=ROW()-1,1,0),0)</f>
        <v/>
      </c>
      <c r="AJ486">
        <f>AJ485+AI486</f>
        <v/>
      </c>
      <c r="AK486">
        <f>IF(AE486=1,D486+(1000-ROW())/10^7,-1)</f>
        <v/>
      </c>
      <c r="AL486">
        <f>IF(AE486=1,TRIM('Roster'!B486)&amp;" "&amp;LEFT(TRIM('Roster'!C486),1)&amp;".","")</f>
        <v/>
      </c>
      <c r="AM486">
        <f>IF(AE486=1,TRIM('Roster'!C486)&amp;", "&amp;TRIM('Roster'!B486)&amp;" ("&amp;B486&amp;") #"&amp;AD486,"")</f>
        <v/>
      </c>
      <c r="AN486">
        <f>IF(AE486=1,TRIM('Roster'!E486),"")</f>
        <v/>
      </c>
      <c r="AO486">
        <f>IF(AE486=1,ROUND(SUMIFS('All Donations'!$S$2:$S$4001,'All Donations'!$R$2:$R$4001,AD486,'All Donations'!$T$2:$T$4001,"&gt;="&amp;'Settings'!$C$23,'All Donations'!$T$2:$T$4001,"&lt;="&amp;'Settings'!$D$23),2),0)</f>
        <v/>
      </c>
      <c r="AQ486">
        <f>IF(AE486=1,ROUND(SUMIFS('All Donations'!$S$2:$S$4001,'All Donations'!$R$2:$R$4001,AD486,'All Donations'!$T$2:$T$4001,"&gt;="&amp;'Settings'!$C$25,'All Donations'!$T$2:$T$4001,"&lt;="&amp;'Settings'!$D$25),2),0)</f>
        <v/>
      </c>
      <c r="AR486">
        <f>IF(AE486=1,ROUND(SUMIFS('All Donations'!$S$2:$S$4001,'All Donations'!$R$2:$R$4001,AD486,'All Donations'!$T$2:$T$4001,"&gt;="&amp;'Settings'!$C$26,'All Donations'!$T$2:$T$4001,"&lt;="&amp;'Settings'!$D$26),2),0)</f>
        <v/>
      </c>
      <c r="AS486">
        <f>IF(AE486=1,ROUND(SUMIFS('All Donations'!$S$2:$S$4001,'All Donations'!$R$2:$R$4001,AD486,'All Donations'!$T$2:$T$4001,"&lt;="&amp;'Settings'!$D$27),2),0)</f>
        <v/>
      </c>
      <c r="AT486">
        <f>IF(AE486=1,ROUND(SUMIFS('All Donations'!$S$2:$S$4001,'All Donations'!$R$2:$R$4001,AD486,'All Donations'!$T$2:$T$4001,"&gt;="&amp;'Settings'!$C$28,'All Donations'!$T$2:$T$4001,"&lt;="&amp;'Settings'!$D$28),2),0)</f>
        <v/>
      </c>
      <c r="AU486">
        <f>IF(AE486=1,ROUND(SUMIFS('All Donations'!$S$2:$S$4001,'All Donations'!$R$2:$R$4001,AD486,'All Donations'!$T$2:$T$4001,"&gt;="&amp;'Settings'!$C$29,'All Donations'!$T$2:$T$4001,"&lt;="&amp;'Settings'!$D$29),2),0)</f>
        <v/>
      </c>
      <c r="AV486">
        <f>IF(AE486=1,ROUND(SUMIFS('All Donations'!$S$2:$S$4001,'All Donations'!$R$2:$R$4001,AD486,'All Donations'!$T$2:$T$4001,"&lt;="&amp;'Settings'!$D$30),2),0)</f>
        <v/>
      </c>
      <c r="AZ486">
        <f>IF(AE486=1,ROUND(SUMIFS('All Donations'!$S$2:$S$4001,'All Donations'!$R$2:$R$4001,AD486,'All Donations'!$T$2:$T$4001,"&lt;="&amp;'Settings'!$D$34),2),0)</f>
        <v/>
      </c>
    </row>
    <row r="487">
      <c r="A487">
        <f>IF(AE487=1,TRIM(TRIM('Roster'!B487)&amp;" "&amp;TRIM('Roster'!C487)),"")</f>
        <v/>
      </c>
      <c r="B487">
        <f>IF(AE487=1,IF(AN487="","(no teacher)",AN487&amp;" – "&amp;C487),"")</f>
        <v/>
      </c>
      <c r="C487">
        <f>IF(AE487=1,TRIM('Roster'!D487&amp;""),"")</f>
        <v/>
      </c>
      <c r="D487" s="48">
        <f>IF(AE487=1,ROUND(SUMIFS('All Donations'!$S$2:$S$4001,'All Donations'!$R$2:$R$4001,AD487),2),"")</f>
        <v/>
      </c>
      <c r="E487" s="48">
        <f>IF(AE487=1,ROUND(SUMIFS('All Donations'!$S$2:$S$4001,'All Donations'!$R$2:$R$4001,AD487,'All Donations'!$G$2:$G$4001,"OneCause"),2),"")</f>
        <v/>
      </c>
      <c r="F487" s="48">
        <f>IF(AE487=1,D487-E487,"")</f>
        <v/>
      </c>
      <c r="G487">
        <f>IF(AE487=1,COUNTIFS('All Donations'!$R$2:$R$4001,AD487,'All Donations'!$H$2:$H$4001,"OK"),"")</f>
        <v/>
      </c>
      <c r="H487">
        <f>IF(AE487&lt;&gt;1,"",IF(D487&gt;0,"Yes",""))</f>
        <v/>
      </c>
      <c r="I487" s="49">
        <f>IF(OR($AE487&lt;&gt;1,I$1=""),"",SUMIFS('All Donations'!$S$2:$S$4001,'All Donations'!$R$2:$R$4001,$AD487,'All Donations'!$T$2:$T$4001,I$1))</f>
        <v/>
      </c>
      <c r="J487" s="49">
        <f>IF(OR($AE487&lt;&gt;1,J$1=""),"",SUMIFS('All Donations'!$S$2:$S$4001,'All Donations'!$R$2:$R$4001,$AD487,'All Donations'!$T$2:$T$4001,J$1))</f>
        <v/>
      </c>
      <c r="K487" s="49">
        <f>IF(OR($AE487&lt;&gt;1,K$1=""),"",SUMIFS('All Donations'!$S$2:$S$4001,'All Donations'!$R$2:$R$4001,$AD487,'All Donations'!$T$2:$T$4001,K$1))</f>
        <v/>
      </c>
      <c r="L487" s="49">
        <f>IF(OR($AE487&lt;&gt;1,L$1=""),"",SUMIFS('All Donations'!$S$2:$S$4001,'All Donations'!$R$2:$R$4001,$AD487,'All Donations'!$T$2:$T$4001,L$1))</f>
        <v/>
      </c>
      <c r="M487" s="49">
        <f>IF(OR($AE487&lt;&gt;1,M$1=""),"",SUMIFS('All Donations'!$S$2:$S$4001,'All Donations'!$R$2:$R$4001,$AD487,'All Donations'!$T$2:$T$4001,M$1))</f>
        <v/>
      </c>
      <c r="N487" s="49">
        <f>IF(OR($AE487&lt;&gt;1,N$1=""),"",SUMIFS('All Donations'!$S$2:$S$4001,'All Donations'!$R$2:$R$4001,$AD487,'All Donations'!$T$2:$T$4001,N$1))</f>
        <v/>
      </c>
      <c r="O487" s="49">
        <f>IF(OR($AE487&lt;&gt;1,O$1=""),"",SUMIFS('All Donations'!$S$2:$S$4001,'All Donations'!$R$2:$R$4001,$AD487,'All Donations'!$T$2:$T$4001,O$1))</f>
        <v/>
      </c>
      <c r="P487" s="49">
        <f>IF(OR($AE487&lt;&gt;1,P$1=""),"",SUMIFS('All Donations'!$S$2:$S$4001,'All Donations'!$R$2:$R$4001,$AD487,'All Donations'!$T$2:$T$4001,P$1))</f>
        <v/>
      </c>
      <c r="Q487" s="49">
        <f>IF(OR($AE487&lt;&gt;1,Q$1=""),"",SUMIFS('All Donations'!$S$2:$S$4001,'All Donations'!$R$2:$R$4001,$AD487,'All Donations'!$T$2:$T$4001,Q$1))</f>
        <v/>
      </c>
      <c r="R487" s="49">
        <f>IF(OR($AE487&lt;&gt;1,R$1=""),"",SUMIFS('All Donations'!$S$2:$S$4001,'All Donations'!$R$2:$R$4001,$AD487,'All Donations'!$T$2:$T$4001,R$1))</f>
        <v/>
      </c>
      <c r="S487" s="49">
        <f>IF(OR($AE487&lt;&gt;1,S$1=""),"",SUMIFS('All Donations'!$S$2:$S$4001,'All Donations'!$R$2:$R$4001,$AD487,'All Donations'!$T$2:$T$4001,S$1))</f>
        <v/>
      </c>
      <c r="T487" s="49">
        <f>IF(OR($AE487&lt;&gt;1,T$1=""),"",SUMIFS('All Donations'!$S$2:$S$4001,'All Donations'!$R$2:$R$4001,$AD487,'All Donations'!$T$2:$T$4001,T$1))</f>
        <v/>
      </c>
      <c r="U487" s="49">
        <f>IF(OR($AE487&lt;&gt;1,U$1=""),"",SUMIFS('All Donations'!$S$2:$S$4001,'All Donations'!$R$2:$R$4001,$AD487,'All Donations'!$T$2:$T$4001,U$1))</f>
        <v/>
      </c>
      <c r="V487" s="49">
        <f>IF(OR($AE487&lt;&gt;1,V$1=""),"",SUMIFS('All Donations'!$S$2:$S$4001,'All Donations'!$R$2:$R$4001,$AD487,'All Donations'!$T$2:$T$4001,V$1))</f>
        <v/>
      </c>
      <c r="W487" s="49">
        <f>IF(OR($AE487&lt;&gt;1,W$1=""),"",SUMIFS('All Donations'!$S$2:$S$4001,'All Donations'!$R$2:$R$4001,$AD487,'All Donations'!$T$2:$T$4001,W$1))</f>
        <v/>
      </c>
      <c r="X487" s="49">
        <f>IF(OR($AE487&lt;&gt;1,X$1=""),"",SUMIFS('All Donations'!$S$2:$S$4001,'All Donations'!$R$2:$R$4001,$AD487,'All Donations'!$T$2:$T$4001,X$1))</f>
        <v/>
      </c>
      <c r="Y487" s="49">
        <f>IF(OR($AE487&lt;&gt;1,Y$1=""),"",SUMIFS('All Donations'!$S$2:$S$4001,'All Donations'!$R$2:$R$4001,$AD487,'All Donations'!$T$2:$T$4001,Y$1))</f>
        <v/>
      </c>
      <c r="Z487" s="49">
        <f>IF(OR($AE487&lt;&gt;1,Z$1=""),"",SUMIFS('All Donations'!$S$2:$S$4001,'All Donations'!$R$2:$R$4001,$AD487,'All Donations'!$T$2:$T$4001,Z$1))</f>
        <v/>
      </c>
      <c r="AA487" s="49">
        <f>IF(OR($AE487&lt;&gt;1,AA$1=""),"",SUMIFS('All Donations'!$S$2:$S$4001,'All Donations'!$R$2:$R$4001,$AD487,'All Donations'!$T$2:$T$4001,AA$1))</f>
        <v/>
      </c>
      <c r="AB487" s="49">
        <f>IF(OR($AE487&lt;&gt;1,AB$1=""),"",SUMIFS('All Donations'!$S$2:$S$4001,'All Donations'!$R$2:$R$4001,$AD487,'All Donations'!$T$2:$T$4001,AB$1))</f>
        <v/>
      </c>
      <c r="AC487" s="49">
        <f>IF(OR($AE487&lt;&gt;1,AC$1=""),"",SUMIFS('All Donations'!$S$2:$S$4001,'All Donations'!$R$2:$R$4001,$AD487,'All Donations'!$T$2:$T$4001,AC$1))</f>
        <v/>
      </c>
      <c r="AD487">
        <f>IF(AE487=1,'Roster'!A487,"")</f>
        <v/>
      </c>
      <c r="AE487">
        <f>IF(TRIM('Roster'!B487&amp;'Roster'!C487)&lt;&gt;"",1,0)</f>
        <v/>
      </c>
      <c r="AF487">
        <f>IF(AE487=1,LOWER(A487),"#")</f>
        <v/>
      </c>
      <c r="AG487">
        <f>IF(AE487=1,LOWER(TRIM(TRIM('Roster'!C487)&amp;", "&amp;TRIM('Roster'!B487))),"#")</f>
        <v/>
      </c>
      <c r="AH487">
        <f>IF(AND(AE487=1,TRIM('Roster'!F487)&lt;&gt;""),LOWER(TRIM('Roster'!F487)),"#")</f>
        <v/>
      </c>
      <c r="AI487">
        <f>IF(AE487=1,IF(MATCH(B487,$B$2:$B$701,0)=ROW()-1,1,0),0)</f>
        <v/>
      </c>
      <c r="AJ487">
        <f>AJ486+AI487</f>
        <v/>
      </c>
      <c r="AK487">
        <f>IF(AE487=1,D487+(1000-ROW())/10^7,-1)</f>
        <v/>
      </c>
      <c r="AL487">
        <f>IF(AE487=1,TRIM('Roster'!B487)&amp;" "&amp;LEFT(TRIM('Roster'!C487),1)&amp;".","")</f>
        <v/>
      </c>
      <c r="AM487">
        <f>IF(AE487=1,TRIM('Roster'!C487)&amp;", "&amp;TRIM('Roster'!B487)&amp;" ("&amp;B487&amp;") #"&amp;AD487,"")</f>
        <v/>
      </c>
      <c r="AN487">
        <f>IF(AE487=1,TRIM('Roster'!E487),"")</f>
        <v/>
      </c>
      <c r="AO487">
        <f>IF(AE487=1,ROUND(SUMIFS('All Donations'!$S$2:$S$4001,'All Donations'!$R$2:$R$4001,AD487,'All Donations'!$T$2:$T$4001,"&gt;="&amp;'Settings'!$C$23,'All Donations'!$T$2:$T$4001,"&lt;="&amp;'Settings'!$D$23),2),0)</f>
        <v/>
      </c>
      <c r="AQ487">
        <f>IF(AE487=1,ROUND(SUMIFS('All Donations'!$S$2:$S$4001,'All Donations'!$R$2:$R$4001,AD487,'All Donations'!$T$2:$T$4001,"&gt;="&amp;'Settings'!$C$25,'All Donations'!$T$2:$T$4001,"&lt;="&amp;'Settings'!$D$25),2),0)</f>
        <v/>
      </c>
      <c r="AR487">
        <f>IF(AE487=1,ROUND(SUMIFS('All Donations'!$S$2:$S$4001,'All Donations'!$R$2:$R$4001,AD487,'All Donations'!$T$2:$T$4001,"&gt;="&amp;'Settings'!$C$26,'All Donations'!$T$2:$T$4001,"&lt;="&amp;'Settings'!$D$26),2),0)</f>
        <v/>
      </c>
      <c r="AS487">
        <f>IF(AE487=1,ROUND(SUMIFS('All Donations'!$S$2:$S$4001,'All Donations'!$R$2:$R$4001,AD487,'All Donations'!$T$2:$T$4001,"&lt;="&amp;'Settings'!$D$27),2),0)</f>
        <v/>
      </c>
      <c r="AT487">
        <f>IF(AE487=1,ROUND(SUMIFS('All Donations'!$S$2:$S$4001,'All Donations'!$R$2:$R$4001,AD487,'All Donations'!$T$2:$T$4001,"&gt;="&amp;'Settings'!$C$28,'All Donations'!$T$2:$T$4001,"&lt;="&amp;'Settings'!$D$28),2),0)</f>
        <v/>
      </c>
      <c r="AU487">
        <f>IF(AE487=1,ROUND(SUMIFS('All Donations'!$S$2:$S$4001,'All Donations'!$R$2:$R$4001,AD487,'All Donations'!$T$2:$T$4001,"&gt;="&amp;'Settings'!$C$29,'All Donations'!$T$2:$T$4001,"&lt;="&amp;'Settings'!$D$29),2),0)</f>
        <v/>
      </c>
      <c r="AV487">
        <f>IF(AE487=1,ROUND(SUMIFS('All Donations'!$S$2:$S$4001,'All Donations'!$R$2:$R$4001,AD487,'All Donations'!$T$2:$T$4001,"&lt;="&amp;'Settings'!$D$30),2),0)</f>
        <v/>
      </c>
      <c r="AZ487">
        <f>IF(AE487=1,ROUND(SUMIFS('All Donations'!$S$2:$S$4001,'All Donations'!$R$2:$R$4001,AD487,'All Donations'!$T$2:$T$4001,"&lt;="&amp;'Settings'!$D$34),2),0)</f>
        <v/>
      </c>
    </row>
    <row r="488">
      <c r="A488">
        <f>IF(AE488=1,TRIM(TRIM('Roster'!B488)&amp;" "&amp;TRIM('Roster'!C488)),"")</f>
        <v/>
      </c>
      <c r="B488">
        <f>IF(AE488=1,IF(AN488="","(no teacher)",AN488&amp;" – "&amp;C488),"")</f>
        <v/>
      </c>
      <c r="C488">
        <f>IF(AE488=1,TRIM('Roster'!D488&amp;""),"")</f>
        <v/>
      </c>
      <c r="D488" s="48">
        <f>IF(AE488=1,ROUND(SUMIFS('All Donations'!$S$2:$S$4001,'All Donations'!$R$2:$R$4001,AD488),2),"")</f>
        <v/>
      </c>
      <c r="E488" s="48">
        <f>IF(AE488=1,ROUND(SUMIFS('All Donations'!$S$2:$S$4001,'All Donations'!$R$2:$R$4001,AD488,'All Donations'!$G$2:$G$4001,"OneCause"),2),"")</f>
        <v/>
      </c>
      <c r="F488" s="48">
        <f>IF(AE488=1,D488-E488,"")</f>
        <v/>
      </c>
      <c r="G488">
        <f>IF(AE488=1,COUNTIFS('All Donations'!$R$2:$R$4001,AD488,'All Donations'!$H$2:$H$4001,"OK"),"")</f>
        <v/>
      </c>
      <c r="H488">
        <f>IF(AE488&lt;&gt;1,"",IF(D488&gt;0,"Yes",""))</f>
        <v/>
      </c>
      <c r="I488" s="49">
        <f>IF(OR($AE488&lt;&gt;1,I$1=""),"",SUMIFS('All Donations'!$S$2:$S$4001,'All Donations'!$R$2:$R$4001,$AD488,'All Donations'!$T$2:$T$4001,I$1))</f>
        <v/>
      </c>
      <c r="J488" s="49">
        <f>IF(OR($AE488&lt;&gt;1,J$1=""),"",SUMIFS('All Donations'!$S$2:$S$4001,'All Donations'!$R$2:$R$4001,$AD488,'All Donations'!$T$2:$T$4001,J$1))</f>
        <v/>
      </c>
      <c r="K488" s="49">
        <f>IF(OR($AE488&lt;&gt;1,K$1=""),"",SUMIFS('All Donations'!$S$2:$S$4001,'All Donations'!$R$2:$R$4001,$AD488,'All Donations'!$T$2:$T$4001,K$1))</f>
        <v/>
      </c>
      <c r="L488" s="49">
        <f>IF(OR($AE488&lt;&gt;1,L$1=""),"",SUMIFS('All Donations'!$S$2:$S$4001,'All Donations'!$R$2:$R$4001,$AD488,'All Donations'!$T$2:$T$4001,L$1))</f>
        <v/>
      </c>
      <c r="M488" s="49">
        <f>IF(OR($AE488&lt;&gt;1,M$1=""),"",SUMIFS('All Donations'!$S$2:$S$4001,'All Donations'!$R$2:$R$4001,$AD488,'All Donations'!$T$2:$T$4001,M$1))</f>
        <v/>
      </c>
      <c r="N488" s="49">
        <f>IF(OR($AE488&lt;&gt;1,N$1=""),"",SUMIFS('All Donations'!$S$2:$S$4001,'All Donations'!$R$2:$R$4001,$AD488,'All Donations'!$T$2:$T$4001,N$1))</f>
        <v/>
      </c>
      <c r="O488" s="49">
        <f>IF(OR($AE488&lt;&gt;1,O$1=""),"",SUMIFS('All Donations'!$S$2:$S$4001,'All Donations'!$R$2:$R$4001,$AD488,'All Donations'!$T$2:$T$4001,O$1))</f>
        <v/>
      </c>
      <c r="P488" s="49">
        <f>IF(OR($AE488&lt;&gt;1,P$1=""),"",SUMIFS('All Donations'!$S$2:$S$4001,'All Donations'!$R$2:$R$4001,$AD488,'All Donations'!$T$2:$T$4001,P$1))</f>
        <v/>
      </c>
      <c r="Q488" s="49">
        <f>IF(OR($AE488&lt;&gt;1,Q$1=""),"",SUMIFS('All Donations'!$S$2:$S$4001,'All Donations'!$R$2:$R$4001,$AD488,'All Donations'!$T$2:$T$4001,Q$1))</f>
        <v/>
      </c>
      <c r="R488" s="49">
        <f>IF(OR($AE488&lt;&gt;1,R$1=""),"",SUMIFS('All Donations'!$S$2:$S$4001,'All Donations'!$R$2:$R$4001,$AD488,'All Donations'!$T$2:$T$4001,R$1))</f>
        <v/>
      </c>
      <c r="S488" s="49">
        <f>IF(OR($AE488&lt;&gt;1,S$1=""),"",SUMIFS('All Donations'!$S$2:$S$4001,'All Donations'!$R$2:$R$4001,$AD488,'All Donations'!$T$2:$T$4001,S$1))</f>
        <v/>
      </c>
      <c r="T488" s="49">
        <f>IF(OR($AE488&lt;&gt;1,T$1=""),"",SUMIFS('All Donations'!$S$2:$S$4001,'All Donations'!$R$2:$R$4001,$AD488,'All Donations'!$T$2:$T$4001,T$1))</f>
        <v/>
      </c>
      <c r="U488" s="49">
        <f>IF(OR($AE488&lt;&gt;1,U$1=""),"",SUMIFS('All Donations'!$S$2:$S$4001,'All Donations'!$R$2:$R$4001,$AD488,'All Donations'!$T$2:$T$4001,U$1))</f>
        <v/>
      </c>
      <c r="V488" s="49">
        <f>IF(OR($AE488&lt;&gt;1,V$1=""),"",SUMIFS('All Donations'!$S$2:$S$4001,'All Donations'!$R$2:$R$4001,$AD488,'All Donations'!$T$2:$T$4001,V$1))</f>
        <v/>
      </c>
      <c r="W488" s="49">
        <f>IF(OR($AE488&lt;&gt;1,W$1=""),"",SUMIFS('All Donations'!$S$2:$S$4001,'All Donations'!$R$2:$R$4001,$AD488,'All Donations'!$T$2:$T$4001,W$1))</f>
        <v/>
      </c>
      <c r="X488" s="49">
        <f>IF(OR($AE488&lt;&gt;1,X$1=""),"",SUMIFS('All Donations'!$S$2:$S$4001,'All Donations'!$R$2:$R$4001,$AD488,'All Donations'!$T$2:$T$4001,X$1))</f>
        <v/>
      </c>
      <c r="Y488" s="49">
        <f>IF(OR($AE488&lt;&gt;1,Y$1=""),"",SUMIFS('All Donations'!$S$2:$S$4001,'All Donations'!$R$2:$R$4001,$AD488,'All Donations'!$T$2:$T$4001,Y$1))</f>
        <v/>
      </c>
      <c r="Z488" s="49">
        <f>IF(OR($AE488&lt;&gt;1,Z$1=""),"",SUMIFS('All Donations'!$S$2:$S$4001,'All Donations'!$R$2:$R$4001,$AD488,'All Donations'!$T$2:$T$4001,Z$1))</f>
        <v/>
      </c>
      <c r="AA488" s="49">
        <f>IF(OR($AE488&lt;&gt;1,AA$1=""),"",SUMIFS('All Donations'!$S$2:$S$4001,'All Donations'!$R$2:$R$4001,$AD488,'All Donations'!$T$2:$T$4001,AA$1))</f>
        <v/>
      </c>
      <c r="AB488" s="49">
        <f>IF(OR($AE488&lt;&gt;1,AB$1=""),"",SUMIFS('All Donations'!$S$2:$S$4001,'All Donations'!$R$2:$R$4001,$AD488,'All Donations'!$T$2:$T$4001,AB$1))</f>
        <v/>
      </c>
      <c r="AC488" s="49">
        <f>IF(OR($AE488&lt;&gt;1,AC$1=""),"",SUMIFS('All Donations'!$S$2:$S$4001,'All Donations'!$R$2:$R$4001,$AD488,'All Donations'!$T$2:$T$4001,AC$1))</f>
        <v/>
      </c>
      <c r="AD488">
        <f>IF(AE488=1,'Roster'!A488,"")</f>
        <v/>
      </c>
      <c r="AE488">
        <f>IF(TRIM('Roster'!B488&amp;'Roster'!C488)&lt;&gt;"",1,0)</f>
        <v/>
      </c>
      <c r="AF488">
        <f>IF(AE488=1,LOWER(A488),"#")</f>
        <v/>
      </c>
      <c r="AG488">
        <f>IF(AE488=1,LOWER(TRIM(TRIM('Roster'!C488)&amp;", "&amp;TRIM('Roster'!B488))),"#")</f>
        <v/>
      </c>
      <c r="AH488">
        <f>IF(AND(AE488=1,TRIM('Roster'!F488)&lt;&gt;""),LOWER(TRIM('Roster'!F488)),"#")</f>
        <v/>
      </c>
      <c r="AI488">
        <f>IF(AE488=1,IF(MATCH(B488,$B$2:$B$701,0)=ROW()-1,1,0),0)</f>
        <v/>
      </c>
      <c r="AJ488">
        <f>AJ487+AI488</f>
        <v/>
      </c>
      <c r="AK488">
        <f>IF(AE488=1,D488+(1000-ROW())/10^7,-1)</f>
        <v/>
      </c>
      <c r="AL488">
        <f>IF(AE488=1,TRIM('Roster'!B488)&amp;" "&amp;LEFT(TRIM('Roster'!C488),1)&amp;".","")</f>
        <v/>
      </c>
      <c r="AM488">
        <f>IF(AE488=1,TRIM('Roster'!C488)&amp;", "&amp;TRIM('Roster'!B488)&amp;" ("&amp;B488&amp;") #"&amp;AD488,"")</f>
        <v/>
      </c>
      <c r="AN488">
        <f>IF(AE488=1,TRIM('Roster'!E488),"")</f>
        <v/>
      </c>
      <c r="AO488">
        <f>IF(AE488=1,ROUND(SUMIFS('All Donations'!$S$2:$S$4001,'All Donations'!$R$2:$R$4001,AD488,'All Donations'!$T$2:$T$4001,"&gt;="&amp;'Settings'!$C$23,'All Donations'!$T$2:$T$4001,"&lt;="&amp;'Settings'!$D$23),2),0)</f>
        <v/>
      </c>
      <c r="AQ488">
        <f>IF(AE488=1,ROUND(SUMIFS('All Donations'!$S$2:$S$4001,'All Donations'!$R$2:$R$4001,AD488,'All Donations'!$T$2:$T$4001,"&gt;="&amp;'Settings'!$C$25,'All Donations'!$T$2:$T$4001,"&lt;="&amp;'Settings'!$D$25),2),0)</f>
        <v/>
      </c>
      <c r="AR488">
        <f>IF(AE488=1,ROUND(SUMIFS('All Donations'!$S$2:$S$4001,'All Donations'!$R$2:$R$4001,AD488,'All Donations'!$T$2:$T$4001,"&gt;="&amp;'Settings'!$C$26,'All Donations'!$T$2:$T$4001,"&lt;="&amp;'Settings'!$D$26),2),0)</f>
        <v/>
      </c>
      <c r="AS488">
        <f>IF(AE488=1,ROUND(SUMIFS('All Donations'!$S$2:$S$4001,'All Donations'!$R$2:$R$4001,AD488,'All Donations'!$T$2:$T$4001,"&lt;="&amp;'Settings'!$D$27),2),0)</f>
        <v/>
      </c>
      <c r="AT488">
        <f>IF(AE488=1,ROUND(SUMIFS('All Donations'!$S$2:$S$4001,'All Donations'!$R$2:$R$4001,AD488,'All Donations'!$T$2:$T$4001,"&gt;="&amp;'Settings'!$C$28,'All Donations'!$T$2:$T$4001,"&lt;="&amp;'Settings'!$D$28),2),0)</f>
        <v/>
      </c>
      <c r="AU488">
        <f>IF(AE488=1,ROUND(SUMIFS('All Donations'!$S$2:$S$4001,'All Donations'!$R$2:$R$4001,AD488,'All Donations'!$T$2:$T$4001,"&gt;="&amp;'Settings'!$C$29,'All Donations'!$T$2:$T$4001,"&lt;="&amp;'Settings'!$D$29),2),0)</f>
        <v/>
      </c>
      <c r="AV488">
        <f>IF(AE488=1,ROUND(SUMIFS('All Donations'!$S$2:$S$4001,'All Donations'!$R$2:$R$4001,AD488,'All Donations'!$T$2:$T$4001,"&lt;="&amp;'Settings'!$D$30),2),0)</f>
        <v/>
      </c>
      <c r="AZ488">
        <f>IF(AE488=1,ROUND(SUMIFS('All Donations'!$S$2:$S$4001,'All Donations'!$R$2:$R$4001,AD488,'All Donations'!$T$2:$T$4001,"&lt;="&amp;'Settings'!$D$34),2),0)</f>
        <v/>
      </c>
    </row>
    <row r="489">
      <c r="A489">
        <f>IF(AE489=1,TRIM(TRIM('Roster'!B489)&amp;" "&amp;TRIM('Roster'!C489)),"")</f>
        <v/>
      </c>
      <c r="B489">
        <f>IF(AE489=1,IF(AN489="","(no teacher)",AN489&amp;" – "&amp;C489),"")</f>
        <v/>
      </c>
      <c r="C489">
        <f>IF(AE489=1,TRIM('Roster'!D489&amp;""),"")</f>
        <v/>
      </c>
      <c r="D489" s="48">
        <f>IF(AE489=1,ROUND(SUMIFS('All Donations'!$S$2:$S$4001,'All Donations'!$R$2:$R$4001,AD489),2),"")</f>
        <v/>
      </c>
      <c r="E489" s="48">
        <f>IF(AE489=1,ROUND(SUMIFS('All Donations'!$S$2:$S$4001,'All Donations'!$R$2:$R$4001,AD489,'All Donations'!$G$2:$G$4001,"OneCause"),2),"")</f>
        <v/>
      </c>
      <c r="F489" s="48">
        <f>IF(AE489=1,D489-E489,"")</f>
        <v/>
      </c>
      <c r="G489">
        <f>IF(AE489=1,COUNTIFS('All Donations'!$R$2:$R$4001,AD489,'All Donations'!$H$2:$H$4001,"OK"),"")</f>
        <v/>
      </c>
      <c r="H489">
        <f>IF(AE489&lt;&gt;1,"",IF(D489&gt;0,"Yes",""))</f>
        <v/>
      </c>
      <c r="I489" s="49">
        <f>IF(OR($AE489&lt;&gt;1,I$1=""),"",SUMIFS('All Donations'!$S$2:$S$4001,'All Donations'!$R$2:$R$4001,$AD489,'All Donations'!$T$2:$T$4001,I$1))</f>
        <v/>
      </c>
      <c r="J489" s="49">
        <f>IF(OR($AE489&lt;&gt;1,J$1=""),"",SUMIFS('All Donations'!$S$2:$S$4001,'All Donations'!$R$2:$R$4001,$AD489,'All Donations'!$T$2:$T$4001,J$1))</f>
        <v/>
      </c>
      <c r="K489" s="49">
        <f>IF(OR($AE489&lt;&gt;1,K$1=""),"",SUMIFS('All Donations'!$S$2:$S$4001,'All Donations'!$R$2:$R$4001,$AD489,'All Donations'!$T$2:$T$4001,K$1))</f>
        <v/>
      </c>
      <c r="L489" s="49">
        <f>IF(OR($AE489&lt;&gt;1,L$1=""),"",SUMIFS('All Donations'!$S$2:$S$4001,'All Donations'!$R$2:$R$4001,$AD489,'All Donations'!$T$2:$T$4001,L$1))</f>
        <v/>
      </c>
      <c r="M489" s="49">
        <f>IF(OR($AE489&lt;&gt;1,M$1=""),"",SUMIFS('All Donations'!$S$2:$S$4001,'All Donations'!$R$2:$R$4001,$AD489,'All Donations'!$T$2:$T$4001,M$1))</f>
        <v/>
      </c>
      <c r="N489" s="49">
        <f>IF(OR($AE489&lt;&gt;1,N$1=""),"",SUMIFS('All Donations'!$S$2:$S$4001,'All Donations'!$R$2:$R$4001,$AD489,'All Donations'!$T$2:$T$4001,N$1))</f>
        <v/>
      </c>
      <c r="O489" s="49">
        <f>IF(OR($AE489&lt;&gt;1,O$1=""),"",SUMIFS('All Donations'!$S$2:$S$4001,'All Donations'!$R$2:$R$4001,$AD489,'All Donations'!$T$2:$T$4001,O$1))</f>
        <v/>
      </c>
      <c r="P489" s="49">
        <f>IF(OR($AE489&lt;&gt;1,P$1=""),"",SUMIFS('All Donations'!$S$2:$S$4001,'All Donations'!$R$2:$R$4001,$AD489,'All Donations'!$T$2:$T$4001,P$1))</f>
        <v/>
      </c>
      <c r="Q489" s="49">
        <f>IF(OR($AE489&lt;&gt;1,Q$1=""),"",SUMIFS('All Donations'!$S$2:$S$4001,'All Donations'!$R$2:$R$4001,$AD489,'All Donations'!$T$2:$T$4001,Q$1))</f>
        <v/>
      </c>
      <c r="R489" s="49">
        <f>IF(OR($AE489&lt;&gt;1,R$1=""),"",SUMIFS('All Donations'!$S$2:$S$4001,'All Donations'!$R$2:$R$4001,$AD489,'All Donations'!$T$2:$T$4001,R$1))</f>
        <v/>
      </c>
      <c r="S489" s="49">
        <f>IF(OR($AE489&lt;&gt;1,S$1=""),"",SUMIFS('All Donations'!$S$2:$S$4001,'All Donations'!$R$2:$R$4001,$AD489,'All Donations'!$T$2:$T$4001,S$1))</f>
        <v/>
      </c>
      <c r="T489" s="49">
        <f>IF(OR($AE489&lt;&gt;1,T$1=""),"",SUMIFS('All Donations'!$S$2:$S$4001,'All Donations'!$R$2:$R$4001,$AD489,'All Donations'!$T$2:$T$4001,T$1))</f>
        <v/>
      </c>
      <c r="U489" s="49">
        <f>IF(OR($AE489&lt;&gt;1,U$1=""),"",SUMIFS('All Donations'!$S$2:$S$4001,'All Donations'!$R$2:$R$4001,$AD489,'All Donations'!$T$2:$T$4001,U$1))</f>
        <v/>
      </c>
      <c r="V489" s="49">
        <f>IF(OR($AE489&lt;&gt;1,V$1=""),"",SUMIFS('All Donations'!$S$2:$S$4001,'All Donations'!$R$2:$R$4001,$AD489,'All Donations'!$T$2:$T$4001,V$1))</f>
        <v/>
      </c>
      <c r="W489" s="49">
        <f>IF(OR($AE489&lt;&gt;1,W$1=""),"",SUMIFS('All Donations'!$S$2:$S$4001,'All Donations'!$R$2:$R$4001,$AD489,'All Donations'!$T$2:$T$4001,W$1))</f>
        <v/>
      </c>
      <c r="X489" s="49">
        <f>IF(OR($AE489&lt;&gt;1,X$1=""),"",SUMIFS('All Donations'!$S$2:$S$4001,'All Donations'!$R$2:$R$4001,$AD489,'All Donations'!$T$2:$T$4001,X$1))</f>
        <v/>
      </c>
      <c r="Y489" s="49">
        <f>IF(OR($AE489&lt;&gt;1,Y$1=""),"",SUMIFS('All Donations'!$S$2:$S$4001,'All Donations'!$R$2:$R$4001,$AD489,'All Donations'!$T$2:$T$4001,Y$1))</f>
        <v/>
      </c>
      <c r="Z489" s="49">
        <f>IF(OR($AE489&lt;&gt;1,Z$1=""),"",SUMIFS('All Donations'!$S$2:$S$4001,'All Donations'!$R$2:$R$4001,$AD489,'All Donations'!$T$2:$T$4001,Z$1))</f>
        <v/>
      </c>
      <c r="AA489" s="49">
        <f>IF(OR($AE489&lt;&gt;1,AA$1=""),"",SUMIFS('All Donations'!$S$2:$S$4001,'All Donations'!$R$2:$R$4001,$AD489,'All Donations'!$T$2:$T$4001,AA$1))</f>
        <v/>
      </c>
      <c r="AB489" s="49">
        <f>IF(OR($AE489&lt;&gt;1,AB$1=""),"",SUMIFS('All Donations'!$S$2:$S$4001,'All Donations'!$R$2:$R$4001,$AD489,'All Donations'!$T$2:$T$4001,AB$1))</f>
        <v/>
      </c>
      <c r="AC489" s="49">
        <f>IF(OR($AE489&lt;&gt;1,AC$1=""),"",SUMIFS('All Donations'!$S$2:$S$4001,'All Donations'!$R$2:$R$4001,$AD489,'All Donations'!$T$2:$T$4001,AC$1))</f>
        <v/>
      </c>
      <c r="AD489">
        <f>IF(AE489=1,'Roster'!A489,"")</f>
        <v/>
      </c>
      <c r="AE489">
        <f>IF(TRIM('Roster'!B489&amp;'Roster'!C489)&lt;&gt;"",1,0)</f>
        <v/>
      </c>
      <c r="AF489">
        <f>IF(AE489=1,LOWER(A489),"#")</f>
        <v/>
      </c>
      <c r="AG489">
        <f>IF(AE489=1,LOWER(TRIM(TRIM('Roster'!C489)&amp;", "&amp;TRIM('Roster'!B489))),"#")</f>
        <v/>
      </c>
      <c r="AH489">
        <f>IF(AND(AE489=1,TRIM('Roster'!F489)&lt;&gt;""),LOWER(TRIM('Roster'!F489)),"#")</f>
        <v/>
      </c>
      <c r="AI489">
        <f>IF(AE489=1,IF(MATCH(B489,$B$2:$B$701,0)=ROW()-1,1,0),0)</f>
        <v/>
      </c>
      <c r="AJ489">
        <f>AJ488+AI489</f>
        <v/>
      </c>
      <c r="AK489">
        <f>IF(AE489=1,D489+(1000-ROW())/10^7,-1)</f>
        <v/>
      </c>
      <c r="AL489">
        <f>IF(AE489=1,TRIM('Roster'!B489)&amp;" "&amp;LEFT(TRIM('Roster'!C489),1)&amp;".","")</f>
        <v/>
      </c>
      <c r="AM489">
        <f>IF(AE489=1,TRIM('Roster'!C489)&amp;", "&amp;TRIM('Roster'!B489)&amp;" ("&amp;B489&amp;") #"&amp;AD489,"")</f>
        <v/>
      </c>
      <c r="AN489">
        <f>IF(AE489=1,TRIM('Roster'!E489),"")</f>
        <v/>
      </c>
      <c r="AO489">
        <f>IF(AE489=1,ROUND(SUMIFS('All Donations'!$S$2:$S$4001,'All Donations'!$R$2:$R$4001,AD489,'All Donations'!$T$2:$T$4001,"&gt;="&amp;'Settings'!$C$23,'All Donations'!$T$2:$T$4001,"&lt;="&amp;'Settings'!$D$23),2),0)</f>
        <v/>
      </c>
      <c r="AQ489">
        <f>IF(AE489=1,ROUND(SUMIFS('All Donations'!$S$2:$S$4001,'All Donations'!$R$2:$R$4001,AD489,'All Donations'!$T$2:$T$4001,"&gt;="&amp;'Settings'!$C$25,'All Donations'!$T$2:$T$4001,"&lt;="&amp;'Settings'!$D$25),2),0)</f>
        <v/>
      </c>
      <c r="AR489">
        <f>IF(AE489=1,ROUND(SUMIFS('All Donations'!$S$2:$S$4001,'All Donations'!$R$2:$R$4001,AD489,'All Donations'!$T$2:$T$4001,"&gt;="&amp;'Settings'!$C$26,'All Donations'!$T$2:$T$4001,"&lt;="&amp;'Settings'!$D$26),2),0)</f>
        <v/>
      </c>
      <c r="AS489">
        <f>IF(AE489=1,ROUND(SUMIFS('All Donations'!$S$2:$S$4001,'All Donations'!$R$2:$R$4001,AD489,'All Donations'!$T$2:$T$4001,"&lt;="&amp;'Settings'!$D$27),2),0)</f>
        <v/>
      </c>
      <c r="AT489">
        <f>IF(AE489=1,ROUND(SUMIFS('All Donations'!$S$2:$S$4001,'All Donations'!$R$2:$R$4001,AD489,'All Donations'!$T$2:$T$4001,"&gt;="&amp;'Settings'!$C$28,'All Donations'!$T$2:$T$4001,"&lt;="&amp;'Settings'!$D$28),2),0)</f>
        <v/>
      </c>
      <c r="AU489">
        <f>IF(AE489=1,ROUND(SUMIFS('All Donations'!$S$2:$S$4001,'All Donations'!$R$2:$R$4001,AD489,'All Donations'!$T$2:$T$4001,"&gt;="&amp;'Settings'!$C$29,'All Donations'!$T$2:$T$4001,"&lt;="&amp;'Settings'!$D$29),2),0)</f>
        <v/>
      </c>
      <c r="AV489">
        <f>IF(AE489=1,ROUND(SUMIFS('All Donations'!$S$2:$S$4001,'All Donations'!$R$2:$R$4001,AD489,'All Donations'!$T$2:$T$4001,"&lt;="&amp;'Settings'!$D$30),2),0)</f>
        <v/>
      </c>
      <c r="AZ489">
        <f>IF(AE489=1,ROUND(SUMIFS('All Donations'!$S$2:$S$4001,'All Donations'!$R$2:$R$4001,AD489,'All Donations'!$T$2:$T$4001,"&lt;="&amp;'Settings'!$D$34),2),0)</f>
        <v/>
      </c>
    </row>
    <row r="490">
      <c r="A490">
        <f>IF(AE490=1,TRIM(TRIM('Roster'!B490)&amp;" "&amp;TRIM('Roster'!C490)),"")</f>
        <v/>
      </c>
      <c r="B490">
        <f>IF(AE490=1,IF(AN490="","(no teacher)",AN490&amp;" – "&amp;C490),"")</f>
        <v/>
      </c>
      <c r="C490">
        <f>IF(AE490=1,TRIM('Roster'!D490&amp;""),"")</f>
        <v/>
      </c>
      <c r="D490" s="48">
        <f>IF(AE490=1,ROUND(SUMIFS('All Donations'!$S$2:$S$4001,'All Donations'!$R$2:$R$4001,AD490),2),"")</f>
        <v/>
      </c>
      <c r="E490" s="48">
        <f>IF(AE490=1,ROUND(SUMIFS('All Donations'!$S$2:$S$4001,'All Donations'!$R$2:$R$4001,AD490,'All Donations'!$G$2:$G$4001,"OneCause"),2),"")</f>
        <v/>
      </c>
      <c r="F490" s="48">
        <f>IF(AE490=1,D490-E490,"")</f>
        <v/>
      </c>
      <c r="G490">
        <f>IF(AE490=1,COUNTIFS('All Donations'!$R$2:$R$4001,AD490,'All Donations'!$H$2:$H$4001,"OK"),"")</f>
        <v/>
      </c>
      <c r="H490">
        <f>IF(AE490&lt;&gt;1,"",IF(D490&gt;0,"Yes",""))</f>
        <v/>
      </c>
      <c r="I490" s="49">
        <f>IF(OR($AE490&lt;&gt;1,I$1=""),"",SUMIFS('All Donations'!$S$2:$S$4001,'All Donations'!$R$2:$R$4001,$AD490,'All Donations'!$T$2:$T$4001,I$1))</f>
        <v/>
      </c>
      <c r="J490" s="49">
        <f>IF(OR($AE490&lt;&gt;1,J$1=""),"",SUMIFS('All Donations'!$S$2:$S$4001,'All Donations'!$R$2:$R$4001,$AD490,'All Donations'!$T$2:$T$4001,J$1))</f>
        <v/>
      </c>
      <c r="K490" s="49">
        <f>IF(OR($AE490&lt;&gt;1,K$1=""),"",SUMIFS('All Donations'!$S$2:$S$4001,'All Donations'!$R$2:$R$4001,$AD490,'All Donations'!$T$2:$T$4001,K$1))</f>
        <v/>
      </c>
      <c r="L490" s="49">
        <f>IF(OR($AE490&lt;&gt;1,L$1=""),"",SUMIFS('All Donations'!$S$2:$S$4001,'All Donations'!$R$2:$R$4001,$AD490,'All Donations'!$T$2:$T$4001,L$1))</f>
        <v/>
      </c>
      <c r="M490" s="49">
        <f>IF(OR($AE490&lt;&gt;1,M$1=""),"",SUMIFS('All Donations'!$S$2:$S$4001,'All Donations'!$R$2:$R$4001,$AD490,'All Donations'!$T$2:$T$4001,M$1))</f>
        <v/>
      </c>
      <c r="N490" s="49">
        <f>IF(OR($AE490&lt;&gt;1,N$1=""),"",SUMIFS('All Donations'!$S$2:$S$4001,'All Donations'!$R$2:$R$4001,$AD490,'All Donations'!$T$2:$T$4001,N$1))</f>
        <v/>
      </c>
      <c r="O490" s="49">
        <f>IF(OR($AE490&lt;&gt;1,O$1=""),"",SUMIFS('All Donations'!$S$2:$S$4001,'All Donations'!$R$2:$R$4001,$AD490,'All Donations'!$T$2:$T$4001,O$1))</f>
        <v/>
      </c>
      <c r="P490" s="49">
        <f>IF(OR($AE490&lt;&gt;1,P$1=""),"",SUMIFS('All Donations'!$S$2:$S$4001,'All Donations'!$R$2:$R$4001,$AD490,'All Donations'!$T$2:$T$4001,P$1))</f>
        <v/>
      </c>
      <c r="Q490" s="49">
        <f>IF(OR($AE490&lt;&gt;1,Q$1=""),"",SUMIFS('All Donations'!$S$2:$S$4001,'All Donations'!$R$2:$R$4001,$AD490,'All Donations'!$T$2:$T$4001,Q$1))</f>
        <v/>
      </c>
      <c r="R490" s="49">
        <f>IF(OR($AE490&lt;&gt;1,R$1=""),"",SUMIFS('All Donations'!$S$2:$S$4001,'All Donations'!$R$2:$R$4001,$AD490,'All Donations'!$T$2:$T$4001,R$1))</f>
        <v/>
      </c>
      <c r="S490" s="49">
        <f>IF(OR($AE490&lt;&gt;1,S$1=""),"",SUMIFS('All Donations'!$S$2:$S$4001,'All Donations'!$R$2:$R$4001,$AD490,'All Donations'!$T$2:$T$4001,S$1))</f>
        <v/>
      </c>
      <c r="T490" s="49">
        <f>IF(OR($AE490&lt;&gt;1,T$1=""),"",SUMIFS('All Donations'!$S$2:$S$4001,'All Donations'!$R$2:$R$4001,$AD490,'All Donations'!$T$2:$T$4001,T$1))</f>
        <v/>
      </c>
      <c r="U490" s="49">
        <f>IF(OR($AE490&lt;&gt;1,U$1=""),"",SUMIFS('All Donations'!$S$2:$S$4001,'All Donations'!$R$2:$R$4001,$AD490,'All Donations'!$T$2:$T$4001,U$1))</f>
        <v/>
      </c>
      <c r="V490" s="49">
        <f>IF(OR($AE490&lt;&gt;1,V$1=""),"",SUMIFS('All Donations'!$S$2:$S$4001,'All Donations'!$R$2:$R$4001,$AD490,'All Donations'!$T$2:$T$4001,V$1))</f>
        <v/>
      </c>
      <c r="W490" s="49">
        <f>IF(OR($AE490&lt;&gt;1,W$1=""),"",SUMIFS('All Donations'!$S$2:$S$4001,'All Donations'!$R$2:$R$4001,$AD490,'All Donations'!$T$2:$T$4001,W$1))</f>
        <v/>
      </c>
      <c r="X490" s="49">
        <f>IF(OR($AE490&lt;&gt;1,X$1=""),"",SUMIFS('All Donations'!$S$2:$S$4001,'All Donations'!$R$2:$R$4001,$AD490,'All Donations'!$T$2:$T$4001,X$1))</f>
        <v/>
      </c>
      <c r="Y490" s="49">
        <f>IF(OR($AE490&lt;&gt;1,Y$1=""),"",SUMIFS('All Donations'!$S$2:$S$4001,'All Donations'!$R$2:$R$4001,$AD490,'All Donations'!$T$2:$T$4001,Y$1))</f>
        <v/>
      </c>
      <c r="Z490" s="49">
        <f>IF(OR($AE490&lt;&gt;1,Z$1=""),"",SUMIFS('All Donations'!$S$2:$S$4001,'All Donations'!$R$2:$R$4001,$AD490,'All Donations'!$T$2:$T$4001,Z$1))</f>
        <v/>
      </c>
      <c r="AA490" s="49">
        <f>IF(OR($AE490&lt;&gt;1,AA$1=""),"",SUMIFS('All Donations'!$S$2:$S$4001,'All Donations'!$R$2:$R$4001,$AD490,'All Donations'!$T$2:$T$4001,AA$1))</f>
        <v/>
      </c>
      <c r="AB490" s="49">
        <f>IF(OR($AE490&lt;&gt;1,AB$1=""),"",SUMIFS('All Donations'!$S$2:$S$4001,'All Donations'!$R$2:$R$4001,$AD490,'All Donations'!$T$2:$T$4001,AB$1))</f>
        <v/>
      </c>
      <c r="AC490" s="49">
        <f>IF(OR($AE490&lt;&gt;1,AC$1=""),"",SUMIFS('All Donations'!$S$2:$S$4001,'All Donations'!$R$2:$R$4001,$AD490,'All Donations'!$T$2:$T$4001,AC$1))</f>
        <v/>
      </c>
      <c r="AD490">
        <f>IF(AE490=1,'Roster'!A490,"")</f>
        <v/>
      </c>
      <c r="AE490">
        <f>IF(TRIM('Roster'!B490&amp;'Roster'!C490)&lt;&gt;"",1,0)</f>
        <v/>
      </c>
      <c r="AF490">
        <f>IF(AE490=1,LOWER(A490),"#")</f>
        <v/>
      </c>
      <c r="AG490">
        <f>IF(AE490=1,LOWER(TRIM(TRIM('Roster'!C490)&amp;", "&amp;TRIM('Roster'!B490))),"#")</f>
        <v/>
      </c>
      <c r="AH490">
        <f>IF(AND(AE490=1,TRIM('Roster'!F490)&lt;&gt;""),LOWER(TRIM('Roster'!F490)),"#")</f>
        <v/>
      </c>
      <c r="AI490">
        <f>IF(AE490=1,IF(MATCH(B490,$B$2:$B$701,0)=ROW()-1,1,0),0)</f>
        <v/>
      </c>
      <c r="AJ490">
        <f>AJ489+AI490</f>
        <v/>
      </c>
      <c r="AK490">
        <f>IF(AE490=1,D490+(1000-ROW())/10^7,-1)</f>
        <v/>
      </c>
      <c r="AL490">
        <f>IF(AE490=1,TRIM('Roster'!B490)&amp;" "&amp;LEFT(TRIM('Roster'!C490),1)&amp;".","")</f>
        <v/>
      </c>
      <c r="AM490">
        <f>IF(AE490=1,TRIM('Roster'!C490)&amp;", "&amp;TRIM('Roster'!B490)&amp;" ("&amp;B490&amp;") #"&amp;AD490,"")</f>
        <v/>
      </c>
      <c r="AN490">
        <f>IF(AE490=1,TRIM('Roster'!E490),"")</f>
        <v/>
      </c>
      <c r="AO490">
        <f>IF(AE490=1,ROUND(SUMIFS('All Donations'!$S$2:$S$4001,'All Donations'!$R$2:$R$4001,AD490,'All Donations'!$T$2:$T$4001,"&gt;="&amp;'Settings'!$C$23,'All Donations'!$T$2:$T$4001,"&lt;="&amp;'Settings'!$D$23),2),0)</f>
        <v/>
      </c>
      <c r="AQ490">
        <f>IF(AE490=1,ROUND(SUMIFS('All Donations'!$S$2:$S$4001,'All Donations'!$R$2:$R$4001,AD490,'All Donations'!$T$2:$T$4001,"&gt;="&amp;'Settings'!$C$25,'All Donations'!$T$2:$T$4001,"&lt;="&amp;'Settings'!$D$25),2),0)</f>
        <v/>
      </c>
      <c r="AR490">
        <f>IF(AE490=1,ROUND(SUMIFS('All Donations'!$S$2:$S$4001,'All Donations'!$R$2:$R$4001,AD490,'All Donations'!$T$2:$T$4001,"&gt;="&amp;'Settings'!$C$26,'All Donations'!$T$2:$T$4001,"&lt;="&amp;'Settings'!$D$26),2),0)</f>
        <v/>
      </c>
      <c r="AS490">
        <f>IF(AE490=1,ROUND(SUMIFS('All Donations'!$S$2:$S$4001,'All Donations'!$R$2:$R$4001,AD490,'All Donations'!$T$2:$T$4001,"&lt;="&amp;'Settings'!$D$27),2),0)</f>
        <v/>
      </c>
      <c r="AT490">
        <f>IF(AE490=1,ROUND(SUMIFS('All Donations'!$S$2:$S$4001,'All Donations'!$R$2:$R$4001,AD490,'All Donations'!$T$2:$T$4001,"&gt;="&amp;'Settings'!$C$28,'All Donations'!$T$2:$T$4001,"&lt;="&amp;'Settings'!$D$28),2),0)</f>
        <v/>
      </c>
      <c r="AU490">
        <f>IF(AE490=1,ROUND(SUMIFS('All Donations'!$S$2:$S$4001,'All Donations'!$R$2:$R$4001,AD490,'All Donations'!$T$2:$T$4001,"&gt;="&amp;'Settings'!$C$29,'All Donations'!$T$2:$T$4001,"&lt;="&amp;'Settings'!$D$29),2),0)</f>
        <v/>
      </c>
      <c r="AV490">
        <f>IF(AE490=1,ROUND(SUMIFS('All Donations'!$S$2:$S$4001,'All Donations'!$R$2:$R$4001,AD490,'All Donations'!$T$2:$T$4001,"&lt;="&amp;'Settings'!$D$30),2),0)</f>
        <v/>
      </c>
      <c r="AZ490">
        <f>IF(AE490=1,ROUND(SUMIFS('All Donations'!$S$2:$S$4001,'All Donations'!$R$2:$R$4001,AD490,'All Donations'!$T$2:$T$4001,"&lt;="&amp;'Settings'!$D$34),2),0)</f>
        <v/>
      </c>
    </row>
    <row r="491">
      <c r="A491">
        <f>IF(AE491=1,TRIM(TRIM('Roster'!B491)&amp;" "&amp;TRIM('Roster'!C491)),"")</f>
        <v/>
      </c>
      <c r="B491">
        <f>IF(AE491=1,IF(AN491="","(no teacher)",AN491&amp;" – "&amp;C491),"")</f>
        <v/>
      </c>
      <c r="C491">
        <f>IF(AE491=1,TRIM('Roster'!D491&amp;""),"")</f>
        <v/>
      </c>
      <c r="D491" s="48">
        <f>IF(AE491=1,ROUND(SUMIFS('All Donations'!$S$2:$S$4001,'All Donations'!$R$2:$R$4001,AD491),2),"")</f>
        <v/>
      </c>
      <c r="E491" s="48">
        <f>IF(AE491=1,ROUND(SUMIFS('All Donations'!$S$2:$S$4001,'All Donations'!$R$2:$R$4001,AD491,'All Donations'!$G$2:$G$4001,"OneCause"),2),"")</f>
        <v/>
      </c>
      <c r="F491" s="48">
        <f>IF(AE491=1,D491-E491,"")</f>
        <v/>
      </c>
      <c r="G491">
        <f>IF(AE491=1,COUNTIFS('All Donations'!$R$2:$R$4001,AD491,'All Donations'!$H$2:$H$4001,"OK"),"")</f>
        <v/>
      </c>
      <c r="H491">
        <f>IF(AE491&lt;&gt;1,"",IF(D491&gt;0,"Yes",""))</f>
        <v/>
      </c>
      <c r="I491" s="49">
        <f>IF(OR($AE491&lt;&gt;1,I$1=""),"",SUMIFS('All Donations'!$S$2:$S$4001,'All Donations'!$R$2:$R$4001,$AD491,'All Donations'!$T$2:$T$4001,I$1))</f>
        <v/>
      </c>
      <c r="J491" s="49">
        <f>IF(OR($AE491&lt;&gt;1,J$1=""),"",SUMIFS('All Donations'!$S$2:$S$4001,'All Donations'!$R$2:$R$4001,$AD491,'All Donations'!$T$2:$T$4001,J$1))</f>
        <v/>
      </c>
      <c r="K491" s="49">
        <f>IF(OR($AE491&lt;&gt;1,K$1=""),"",SUMIFS('All Donations'!$S$2:$S$4001,'All Donations'!$R$2:$R$4001,$AD491,'All Donations'!$T$2:$T$4001,K$1))</f>
        <v/>
      </c>
      <c r="L491" s="49">
        <f>IF(OR($AE491&lt;&gt;1,L$1=""),"",SUMIFS('All Donations'!$S$2:$S$4001,'All Donations'!$R$2:$R$4001,$AD491,'All Donations'!$T$2:$T$4001,L$1))</f>
        <v/>
      </c>
      <c r="M491" s="49">
        <f>IF(OR($AE491&lt;&gt;1,M$1=""),"",SUMIFS('All Donations'!$S$2:$S$4001,'All Donations'!$R$2:$R$4001,$AD491,'All Donations'!$T$2:$T$4001,M$1))</f>
        <v/>
      </c>
      <c r="N491" s="49">
        <f>IF(OR($AE491&lt;&gt;1,N$1=""),"",SUMIFS('All Donations'!$S$2:$S$4001,'All Donations'!$R$2:$R$4001,$AD491,'All Donations'!$T$2:$T$4001,N$1))</f>
        <v/>
      </c>
      <c r="O491" s="49">
        <f>IF(OR($AE491&lt;&gt;1,O$1=""),"",SUMIFS('All Donations'!$S$2:$S$4001,'All Donations'!$R$2:$R$4001,$AD491,'All Donations'!$T$2:$T$4001,O$1))</f>
        <v/>
      </c>
      <c r="P491" s="49">
        <f>IF(OR($AE491&lt;&gt;1,P$1=""),"",SUMIFS('All Donations'!$S$2:$S$4001,'All Donations'!$R$2:$R$4001,$AD491,'All Donations'!$T$2:$T$4001,P$1))</f>
        <v/>
      </c>
      <c r="Q491" s="49">
        <f>IF(OR($AE491&lt;&gt;1,Q$1=""),"",SUMIFS('All Donations'!$S$2:$S$4001,'All Donations'!$R$2:$R$4001,$AD491,'All Donations'!$T$2:$T$4001,Q$1))</f>
        <v/>
      </c>
      <c r="R491" s="49">
        <f>IF(OR($AE491&lt;&gt;1,R$1=""),"",SUMIFS('All Donations'!$S$2:$S$4001,'All Donations'!$R$2:$R$4001,$AD491,'All Donations'!$T$2:$T$4001,R$1))</f>
        <v/>
      </c>
      <c r="S491" s="49">
        <f>IF(OR($AE491&lt;&gt;1,S$1=""),"",SUMIFS('All Donations'!$S$2:$S$4001,'All Donations'!$R$2:$R$4001,$AD491,'All Donations'!$T$2:$T$4001,S$1))</f>
        <v/>
      </c>
      <c r="T491" s="49">
        <f>IF(OR($AE491&lt;&gt;1,T$1=""),"",SUMIFS('All Donations'!$S$2:$S$4001,'All Donations'!$R$2:$R$4001,$AD491,'All Donations'!$T$2:$T$4001,T$1))</f>
        <v/>
      </c>
      <c r="U491" s="49">
        <f>IF(OR($AE491&lt;&gt;1,U$1=""),"",SUMIFS('All Donations'!$S$2:$S$4001,'All Donations'!$R$2:$R$4001,$AD491,'All Donations'!$T$2:$T$4001,U$1))</f>
        <v/>
      </c>
      <c r="V491" s="49">
        <f>IF(OR($AE491&lt;&gt;1,V$1=""),"",SUMIFS('All Donations'!$S$2:$S$4001,'All Donations'!$R$2:$R$4001,$AD491,'All Donations'!$T$2:$T$4001,V$1))</f>
        <v/>
      </c>
      <c r="W491" s="49">
        <f>IF(OR($AE491&lt;&gt;1,W$1=""),"",SUMIFS('All Donations'!$S$2:$S$4001,'All Donations'!$R$2:$R$4001,$AD491,'All Donations'!$T$2:$T$4001,W$1))</f>
        <v/>
      </c>
      <c r="X491" s="49">
        <f>IF(OR($AE491&lt;&gt;1,X$1=""),"",SUMIFS('All Donations'!$S$2:$S$4001,'All Donations'!$R$2:$R$4001,$AD491,'All Donations'!$T$2:$T$4001,X$1))</f>
        <v/>
      </c>
      <c r="Y491" s="49">
        <f>IF(OR($AE491&lt;&gt;1,Y$1=""),"",SUMIFS('All Donations'!$S$2:$S$4001,'All Donations'!$R$2:$R$4001,$AD491,'All Donations'!$T$2:$T$4001,Y$1))</f>
        <v/>
      </c>
      <c r="Z491" s="49">
        <f>IF(OR($AE491&lt;&gt;1,Z$1=""),"",SUMIFS('All Donations'!$S$2:$S$4001,'All Donations'!$R$2:$R$4001,$AD491,'All Donations'!$T$2:$T$4001,Z$1))</f>
        <v/>
      </c>
      <c r="AA491" s="49">
        <f>IF(OR($AE491&lt;&gt;1,AA$1=""),"",SUMIFS('All Donations'!$S$2:$S$4001,'All Donations'!$R$2:$R$4001,$AD491,'All Donations'!$T$2:$T$4001,AA$1))</f>
        <v/>
      </c>
      <c r="AB491" s="49">
        <f>IF(OR($AE491&lt;&gt;1,AB$1=""),"",SUMIFS('All Donations'!$S$2:$S$4001,'All Donations'!$R$2:$R$4001,$AD491,'All Donations'!$T$2:$T$4001,AB$1))</f>
        <v/>
      </c>
      <c r="AC491" s="49">
        <f>IF(OR($AE491&lt;&gt;1,AC$1=""),"",SUMIFS('All Donations'!$S$2:$S$4001,'All Donations'!$R$2:$R$4001,$AD491,'All Donations'!$T$2:$T$4001,AC$1))</f>
        <v/>
      </c>
      <c r="AD491">
        <f>IF(AE491=1,'Roster'!A491,"")</f>
        <v/>
      </c>
      <c r="AE491">
        <f>IF(TRIM('Roster'!B491&amp;'Roster'!C491)&lt;&gt;"",1,0)</f>
        <v/>
      </c>
      <c r="AF491">
        <f>IF(AE491=1,LOWER(A491),"#")</f>
        <v/>
      </c>
      <c r="AG491">
        <f>IF(AE491=1,LOWER(TRIM(TRIM('Roster'!C491)&amp;", "&amp;TRIM('Roster'!B491))),"#")</f>
        <v/>
      </c>
      <c r="AH491">
        <f>IF(AND(AE491=1,TRIM('Roster'!F491)&lt;&gt;""),LOWER(TRIM('Roster'!F491)),"#")</f>
        <v/>
      </c>
      <c r="AI491">
        <f>IF(AE491=1,IF(MATCH(B491,$B$2:$B$701,0)=ROW()-1,1,0),0)</f>
        <v/>
      </c>
      <c r="AJ491">
        <f>AJ490+AI491</f>
        <v/>
      </c>
      <c r="AK491">
        <f>IF(AE491=1,D491+(1000-ROW())/10^7,-1)</f>
        <v/>
      </c>
      <c r="AL491">
        <f>IF(AE491=1,TRIM('Roster'!B491)&amp;" "&amp;LEFT(TRIM('Roster'!C491),1)&amp;".","")</f>
        <v/>
      </c>
      <c r="AM491">
        <f>IF(AE491=1,TRIM('Roster'!C491)&amp;", "&amp;TRIM('Roster'!B491)&amp;" ("&amp;B491&amp;") #"&amp;AD491,"")</f>
        <v/>
      </c>
      <c r="AN491">
        <f>IF(AE491=1,TRIM('Roster'!E491),"")</f>
        <v/>
      </c>
      <c r="AO491">
        <f>IF(AE491=1,ROUND(SUMIFS('All Donations'!$S$2:$S$4001,'All Donations'!$R$2:$R$4001,AD491,'All Donations'!$T$2:$T$4001,"&gt;="&amp;'Settings'!$C$23,'All Donations'!$T$2:$T$4001,"&lt;="&amp;'Settings'!$D$23),2),0)</f>
        <v/>
      </c>
      <c r="AQ491">
        <f>IF(AE491=1,ROUND(SUMIFS('All Donations'!$S$2:$S$4001,'All Donations'!$R$2:$R$4001,AD491,'All Donations'!$T$2:$T$4001,"&gt;="&amp;'Settings'!$C$25,'All Donations'!$T$2:$T$4001,"&lt;="&amp;'Settings'!$D$25),2),0)</f>
        <v/>
      </c>
      <c r="AR491">
        <f>IF(AE491=1,ROUND(SUMIFS('All Donations'!$S$2:$S$4001,'All Donations'!$R$2:$R$4001,AD491,'All Donations'!$T$2:$T$4001,"&gt;="&amp;'Settings'!$C$26,'All Donations'!$T$2:$T$4001,"&lt;="&amp;'Settings'!$D$26),2),0)</f>
        <v/>
      </c>
      <c r="AS491">
        <f>IF(AE491=1,ROUND(SUMIFS('All Donations'!$S$2:$S$4001,'All Donations'!$R$2:$R$4001,AD491,'All Donations'!$T$2:$T$4001,"&lt;="&amp;'Settings'!$D$27),2),0)</f>
        <v/>
      </c>
      <c r="AT491">
        <f>IF(AE491=1,ROUND(SUMIFS('All Donations'!$S$2:$S$4001,'All Donations'!$R$2:$R$4001,AD491,'All Donations'!$T$2:$T$4001,"&gt;="&amp;'Settings'!$C$28,'All Donations'!$T$2:$T$4001,"&lt;="&amp;'Settings'!$D$28),2),0)</f>
        <v/>
      </c>
      <c r="AU491">
        <f>IF(AE491=1,ROUND(SUMIFS('All Donations'!$S$2:$S$4001,'All Donations'!$R$2:$R$4001,AD491,'All Donations'!$T$2:$T$4001,"&gt;="&amp;'Settings'!$C$29,'All Donations'!$T$2:$T$4001,"&lt;="&amp;'Settings'!$D$29),2),0)</f>
        <v/>
      </c>
      <c r="AV491">
        <f>IF(AE491=1,ROUND(SUMIFS('All Donations'!$S$2:$S$4001,'All Donations'!$R$2:$R$4001,AD491,'All Donations'!$T$2:$T$4001,"&lt;="&amp;'Settings'!$D$30),2),0)</f>
        <v/>
      </c>
      <c r="AZ491">
        <f>IF(AE491=1,ROUND(SUMIFS('All Donations'!$S$2:$S$4001,'All Donations'!$R$2:$R$4001,AD491,'All Donations'!$T$2:$T$4001,"&lt;="&amp;'Settings'!$D$34),2),0)</f>
        <v/>
      </c>
    </row>
    <row r="492">
      <c r="A492">
        <f>IF(AE492=1,TRIM(TRIM('Roster'!B492)&amp;" "&amp;TRIM('Roster'!C492)),"")</f>
        <v/>
      </c>
      <c r="B492">
        <f>IF(AE492=1,IF(AN492="","(no teacher)",AN492&amp;" – "&amp;C492),"")</f>
        <v/>
      </c>
      <c r="C492">
        <f>IF(AE492=1,TRIM('Roster'!D492&amp;""),"")</f>
        <v/>
      </c>
      <c r="D492" s="48">
        <f>IF(AE492=1,ROUND(SUMIFS('All Donations'!$S$2:$S$4001,'All Donations'!$R$2:$R$4001,AD492),2),"")</f>
        <v/>
      </c>
      <c r="E492" s="48">
        <f>IF(AE492=1,ROUND(SUMIFS('All Donations'!$S$2:$S$4001,'All Donations'!$R$2:$R$4001,AD492,'All Donations'!$G$2:$G$4001,"OneCause"),2),"")</f>
        <v/>
      </c>
      <c r="F492" s="48">
        <f>IF(AE492=1,D492-E492,"")</f>
        <v/>
      </c>
      <c r="G492">
        <f>IF(AE492=1,COUNTIFS('All Donations'!$R$2:$R$4001,AD492,'All Donations'!$H$2:$H$4001,"OK"),"")</f>
        <v/>
      </c>
      <c r="H492">
        <f>IF(AE492&lt;&gt;1,"",IF(D492&gt;0,"Yes",""))</f>
        <v/>
      </c>
      <c r="I492" s="49">
        <f>IF(OR($AE492&lt;&gt;1,I$1=""),"",SUMIFS('All Donations'!$S$2:$S$4001,'All Donations'!$R$2:$R$4001,$AD492,'All Donations'!$T$2:$T$4001,I$1))</f>
        <v/>
      </c>
      <c r="J492" s="49">
        <f>IF(OR($AE492&lt;&gt;1,J$1=""),"",SUMIFS('All Donations'!$S$2:$S$4001,'All Donations'!$R$2:$R$4001,$AD492,'All Donations'!$T$2:$T$4001,J$1))</f>
        <v/>
      </c>
      <c r="K492" s="49">
        <f>IF(OR($AE492&lt;&gt;1,K$1=""),"",SUMIFS('All Donations'!$S$2:$S$4001,'All Donations'!$R$2:$R$4001,$AD492,'All Donations'!$T$2:$T$4001,K$1))</f>
        <v/>
      </c>
      <c r="L492" s="49">
        <f>IF(OR($AE492&lt;&gt;1,L$1=""),"",SUMIFS('All Donations'!$S$2:$S$4001,'All Donations'!$R$2:$R$4001,$AD492,'All Donations'!$T$2:$T$4001,L$1))</f>
        <v/>
      </c>
      <c r="M492" s="49">
        <f>IF(OR($AE492&lt;&gt;1,M$1=""),"",SUMIFS('All Donations'!$S$2:$S$4001,'All Donations'!$R$2:$R$4001,$AD492,'All Donations'!$T$2:$T$4001,M$1))</f>
        <v/>
      </c>
      <c r="N492" s="49">
        <f>IF(OR($AE492&lt;&gt;1,N$1=""),"",SUMIFS('All Donations'!$S$2:$S$4001,'All Donations'!$R$2:$R$4001,$AD492,'All Donations'!$T$2:$T$4001,N$1))</f>
        <v/>
      </c>
      <c r="O492" s="49">
        <f>IF(OR($AE492&lt;&gt;1,O$1=""),"",SUMIFS('All Donations'!$S$2:$S$4001,'All Donations'!$R$2:$R$4001,$AD492,'All Donations'!$T$2:$T$4001,O$1))</f>
        <v/>
      </c>
      <c r="P492" s="49">
        <f>IF(OR($AE492&lt;&gt;1,P$1=""),"",SUMIFS('All Donations'!$S$2:$S$4001,'All Donations'!$R$2:$R$4001,$AD492,'All Donations'!$T$2:$T$4001,P$1))</f>
        <v/>
      </c>
      <c r="Q492" s="49">
        <f>IF(OR($AE492&lt;&gt;1,Q$1=""),"",SUMIFS('All Donations'!$S$2:$S$4001,'All Donations'!$R$2:$R$4001,$AD492,'All Donations'!$T$2:$T$4001,Q$1))</f>
        <v/>
      </c>
      <c r="R492" s="49">
        <f>IF(OR($AE492&lt;&gt;1,R$1=""),"",SUMIFS('All Donations'!$S$2:$S$4001,'All Donations'!$R$2:$R$4001,$AD492,'All Donations'!$T$2:$T$4001,R$1))</f>
        <v/>
      </c>
      <c r="S492" s="49">
        <f>IF(OR($AE492&lt;&gt;1,S$1=""),"",SUMIFS('All Donations'!$S$2:$S$4001,'All Donations'!$R$2:$R$4001,$AD492,'All Donations'!$T$2:$T$4001,S$1))</f>
        <v/>
      </c>
      <c r="T492" s="49">
        <f>IF(OR($AE492&lt;&gt;1,T$1=""),"",SUMIFS('All Donations'!$S$2:$S$4001,'All Donations'!$R$2:$R$4001,$AD492,'All Donations'!$T$2:$T$4001,T$1))</f>
        <v/>
      </c>
      <c r="U492" s="49">
        <f>IF(OR($AE492&lt;&gt;1,U$1=""),"",SUMIFS('All Donations'!$S$2:$S$4001,'All Donations'!$R$2:$R$4001,$AD492,'All Donations'!$T$2:$T$4001,U$1))</f>
        <v/>
      </c>
      <c r="V492" s="49">
        <f>IF(OR($AE492&lt;&gt;1,V$1=""),"",SUMIFS('All Donations'!$S$2:$S$4001,'All Donations'!$R$2:$R$4001,$AD492,'All Donations'!$T$2:$T$4001,V$1))</f>
        <v/>
      </c>
      <c r="W492" s="49">
        <f>IF(OR($AE492&lt;&gt;1,W$1=""),"",SUMIFS('All Donations'!$S$2:$S$4001,'All Donations'!$R$2:$R$4001,$AD492,'All Donations'!$T$2:$T$4001,W$1))</f>
        <v/>
      </c>
      <c r="X492" s="49">
        <f>IF(OR($AE492&lt;&gt;1,X$1=""),"",SUMIFS('All Donations'!$S$2:$S$4001,'All Donations'!$R$2:$R$4001,$AD492,'All Donations'!$T$2:$T$4001,X$1))</f>
        <v/>
      </c>
      <c r="Y492" s="49">
        <f>IF(OR($AE492&lt;&gt;1,Y$1=""),"",SUMIFS('All Donations'!$S$2:$S$4001,'All Donations'!$R$2:$R$4001,$AD492,'All Donations'!$T$2:$T$4001,Y$1))</f>
        <v/>
      </c>
      <c r="Z492" s="49">
        <f>IF(OR($AE492&lt;&gt;1,Z$1=""),"",SUMIFS('All Donations'!$S$2:$S$4001,'All Donations'!$R$2:$R$4001,$AD492,'All Donations'!$T$2:$T$4001,Z$1))</f>
        <v/>
      </c>
      <c r="AA492" s="49">
        <f>IF(OR($AE492&lt;&gt;1,AA$1=""),"",SUMIFS('All Donations'!$S$2:$S$4001,'All Donations'!$R$2:$R$4001,$AD492,'All Donations'!$T$2:$T$4001,AA$1))</f>
        <v/>
      </c>
      <c r="AB492" s="49">
        <f>IF(OR($AE492&lt;&gt;1,AB$1=""),"",SUMIFS('All Donations'!$S$2:$S$4001,'All Donations'!$R$2:$R$4001,$AD492,'All Donations'!$T$2:$T$4001,AB$1))</f>
        <v/>
      </c>
      <c r="AC492" s="49">
        <f>IF(OR($AE492&lt;&gt;1,AC$1=""),"",SUMIFS('All Donations'!$S$2:$S$4001,'All Donations'!$R$2:$R$4001,$AD492,'All Donations'!$T$2:$T$4001,AC$1))</f>
        <v/>
      </c>
      <c r="AD492">
        <f>IF(AE492=1,'Roster'!A492,"")</f>
        <v/>
      </c>
      <c r="AE492">
        <f>IF(TRIM('Roster'!B492&amp;'Roster'!C492)&lt;&gt;"",1,0)</f>
        <v/>
      </c>
      <c r="AF492">
        <f>IF(AE492=1,LOWER(A492),"#")</f>
        <v/>
      </c>
      <c r="AG492">
        <f>IF(AE492=1,LOWER(TRIM(TRIM('Roster'!C492)&amp;", "&amp;TRIM('Roster'!B492))),"#")</f>
        <v/>
      </c>
      <c r="AH492">
        <f>IF(AND(AE492=1,TRIM('Roster'!F492)&lt;&gt;""),LOWER(TRIM('Roster'!F492)),"#")</f>
        <v/>
      </c>
      <c r="AI492">
        <f>IF(AE492=1,IF(MATCH(B492,$B$2:$B$701,0)=ROW()-1,1,0),0)</f>
        <v/>
      </c>
      <c r="AJ492">
        <f>AJ491+AI492</f>
        <v/>
      </c>
      <c r="AK492">
        <f>IF(AE492=1,D492+(1000-ROW())/10^7,-1)</f>
        <v/>
      </c>
      <c r="AL492">
        <f>IF(AE492=1,TRIM('Roster'!B492)&amp;" "&amp;LEFT(TRIM('Roster'!C492),1)&amp;".","")</f>
        <v/>
      </c>
      <c r="AM492">
        <f>IF(AE492=1,TRIM('Roster'!C492)&amp;", "&amp;TRIM('Roster'!B492)&amp;" ("&amp;B492&amp;") #"&amp;AD492,"")</f>
        <v/>
      </c>
      <c r="AN492">
        <f>IF(AE492=1,TRIM('Roster'!E492),"")</f>
        <v/>
      </c>
      <c r="AO492">
        <f>IF(AE492=1,ROUND(SUMIFS('All Donations'!$S$2:$S$4001,'All Donations'!$R$2:$R$4001,AD492,'All Donations'!$T$2:$T$4001,"&gt;="&amp;'Settings'!$C$23,'All Donations'!$T$2:$T$4001,"&lt;="&amp;'Settings'!$D$23),2),0)</f>
        <v/>
      </c>
      <c r="AQ492">
        <f>IF(AE492=1,ROUND(SUMIFS('All Donations'!$S$2:$S$4001,'All Donations'!$R$2:$R$4001,AD492,'All Donations'!$T$2:$T$4001,"&gt;="&amp;'Settings'!$C$25,'All Donations'!$T$2:$T$4001,"&lt;="&amp;'Settings'!$D$25),2),0)</f>
        <v/>
      </c>
      <c r="AR492">
        <f>IF(AE492=1,ROUND(SUMIFS('All Donations'!$S$2:$S$4001,'All Donations'!$R$2:$R$4001,AD492,'All Donations'!$T$2:$T$4001,"&gt;="&amp;'Settings'!$C$26,'All Donations'!$T$2:$T$4001,"&lt;="&amp;'Settings'!$D$26),2),0)</f>
        <v/>
      </c>
      <c r="AS492">
        <f>IF(AE492=1,ROUND(SUMIFS('All Donations'!$S$2:$S$4001,'All Donations'!$R$2:$R$4001,AD492,'All Donations'!$T$2:$T$4001,"&lt;="&amp;'Settings'!$D$27),2),0)</f>
        <v/>
      </c>
      <c r="AT492">
        <f>IF(AE492=1,ROUND(SUMIFS('All Donations'!$S$2:$S$4001,'All Donations'!$R$2:$R$4001,AD492,'All Donations'!$T$2:$T$4001,"&gt;="&amp;'Settings'!$C$28,'All Donations'!$T$2:$T$4001,"&lt;="&amp;'Settings'!$D$28),2),0)</f>
        <v/>
      </c>
      <c r="AU492">
        <f>IF(AE492=1,ROUND(SUMIFS('All Donations'!$S$2:$S$4001,'All Donations'!$R$2:$R$4001,AD492,'All Donations'!$T$2:$T$4001,"&gt;="&amp;'Settings'!$C$29,'All Donations'!$T$2:$T$4001,"&lt;="&amp;'Settings'!$D$29),2),0)</f>
        <v/>
      </c>
      <c r="AV492">
        <f>IF(AE492=1,ROUND(SUMIFS('All Donations'!$S$2:$S$4001,'All Donations'!$R$2:$R$4001,AD492,'All Donations'!$T$2:$T$4001,"&lt;="&amp;'Settings'!$D$30),2),0)</f>
        <v/>
      </c>
      <c r="AZ492">
        <f>IF(AE492=1,ROUND(SUMIFS('All Donations'!$S$2:$S$4001,'All Donations'!$R$2:$R$4001,AD492,'All Donations'!$T$2:$T$4001,"&lt;="&amp;'Settings'!$D$34),2),0)</f>
        <v/>
      </c>
    </row>
    <row r="493">
      <c r="A493">
        <f>IF(AE493=1,TRIM(TRIM('Roster'!B493)&amp;" "&amp;TRIM('Roster'!C493)),"")</f>
        <v/>
      </c>
      <c r="B493">
        <f>IF(AE493=1,IF(AN493="","(no teacher)",AN493&amp;" – "&amp;C493),"")</f>
        <v/>
      </c>
      <c r="C493">
        <f>IF(AE493=1,TRIM('Roster'!D493&amp;""),"")</f>
        <v/>
      </c>
      <c r="D493" s="48">
        <f>IF(AE493=1,ROUND(SUMIFS('All Donations'!$S$2:$S$4001,'All Donations'!$R$2:$R$4001,AD493),2),"")</f>
        <v/>
      </c>
      <c r="E493" s="48">
        <f>IF(AE493=1,ROUND(SUMIFS('All Donations'!$S$2:$S$4001,'All Donations'!$R$2:$R$4001,AD493,'All Donations'!$G$2:$G$4001,"OneCause"),2),"")</f>
        <v/>
      </c>
      <c r="F493" s="48">
        <f>IF(AE493=1,D493-E493,"")</f>
        <v/>
      </c>
      <c r="G493">
        <f>IF(AE493=1,COUNTIFS('All Donations'!$R$2:$R$4001,AD493,'All Donations'!$H$2:$H$4001,"OK"),"")</f>
        <v/>
      </c>
      <c r="H493">
        <f>IF(AE493&lt;&gt;1,"",IF(D493&gt;0,"Yes",""))</f>
        <v/>
      </c>
      <c r="I493" s="49">
        <f>IF(OR($AE493&lt;&gt;1,I$1=""),"",SUMIFS('All Donations'!$S$2:$S$4001,'All Donations'!$R$2:$R$4001,$AD493,'All Donations'!$T$2:$T$4001,I$1))</f>
        <v/>
      </c>
      <c r="J493" s="49">
        <f>IF(OR($AE493&lt;&gt;1,J$1=""),"",SUMIFS('All Donations'!$S$2:$S$4001,'All Donations'!$R$2:$R$4001,$AD493,'All Donations'!$T$2:$T$4001,J$1))</f>
        <v/>
      </c>
      <c r="K493" s="49">
        <f>IF(OR($AE493&lt;&gt;1,K$1=""),"",SUMIFS('All Donations'!$S$2:$S$4001,'All Donations'!$R$2:$R$4001,$AD493,'All Donations'!$T$2:$T$4001,K$1))</f>
        <v/>
      </c>
      <c r="L493" s="49">
        <f>IF(OR($AE493&lt;&gt;1,L$1=""),"",SUMIFS('All Donations'!$S$2:$S$4001,'All Donations'!$R$2:$R$4001,$AD493,'All Donations'!$T$2:$T$4001,L$1))</f>
        <v/>
      </c>
      <c r="M493" s="49">
        <f>IF(OR($AE493&lt;&gt;1,M$1=""),"",SUMIFS('All Donations'!$S$2:$S$4001,'All Donations'!$R$2:$R$4001,$AD493,'All Donations'!$T$2:$T$4001,M$1))</f>
        <v/>
      </c>
      <c r="N493" s="49">
        <f>IF(OR($AE493&lt;&gt;1,N$1=""),"",SUMIFS('All Donations'!$S$2:$S$4001,'All Donations'!$R$2:$R$4001,$AD493,'All Donations'!$T$2:$T$4001,N$1))</f>
        <v/>
      </c>
      <c r="O493" s="49">
        <f>IF(OR($AE493&lt;&gt;1,O$1=""),"",SUMIFS('All Donations'!$S$2:$S$4001,'All Donations'!$R$2:$R$4001,$AD493,'All Donations'!$T$2:$T$4001,O$1))</f>
        <v/>
      </c>
      <c r="P493" s="49">
        <f>IF(OR($AE493&lt;&gt;1,P$1=""),"",SUMIFS('All Donations'!$S$2:$S$4001,'All Donations'!$R$2:$R$4001,$AD493,'All Donations'!$T$2:$T$4001,P$1))</f>
        <v/>
      </c>
      <c r="Q493" s="49">
        <f>IF(OR($AE493&lt;&gt;1,Q$1=""),"",SUMIFS('All Donations'!$S$2:$S$4001,'All Donations'!$R$2:$R$4001,$AD493,'All Donations'!$T$2:$T$4001,Q$1))</f>
        <v/>
      </c>
      <c r="R493" s="49">
        <f>IF(OR($AE493&lt;&gt;1,R$1=""),"",SUMIFS('All Donations'!$S$2:$S$4001,'All Donations'!$R$2:$R$4001,$AD493,'All Donations'!$T$2:$T$4001,R$1))</f>
        <v/>
      </c>
      <c r="S493" s="49">
        <f>IF(OR($AE493&lt;&gt;1,S$1=""),"",SUMIFS('All Donations'!$S$2:$S$4001,'All Donations'!$R$2:$R$4001,$AD493,'All Donations'!$T$2:$T$4001,S$1))</f>
        <v/>
      </c>
      <c r="T493" s="49">
        <f>IF(OR($AE493&lt;&gt;1,T$1=""),"",SUMIFS('All Donations'!$S$2:$S$4001,'All Donations'!$R$2:$R$4001,$AD493,'All Donations'!$T$2:$T$4001,T$1))</f>
        <v/>
      </c>
      <c r="U493" s="49">
        <f>IF(OR($AE493&lt;&gt;1,U$1=""),"",SUMIFS('All Donations'!$S$2:$S$4001,'All Donations'!$R$2:$R$4001,$AD493,'All Donations'!$T$2:$T$4001,U$1))</f>
        <v/>
      </c>
      <c r="V493" s="49">
        <f>IF(OR($AE493&lt;&gt;1,V$1=""),"",SUMIFS('All Donations'!$S$2:$S$4001,'All Donations'!$R$2:$R$4001,$AD493,'All Donations'!$T$2:$T$4001,V$1))</f>
        <v/>
      </c>
      <c r="W493" s="49">
        <f>IF(OR($AE493&lt;&gt;1,W$1=""),"",SUMIFS('All Donations'!$S$2:$S$4001,'All Donations'!$R$2:$R$4001,$AD493,'All Donations'!$T$2:$T$4001,W$1))</f>
        <v/>
      </c>
      <c r="X493" s="49">
        <f>IF(OR($AE493&lt;&gt;1,X$1=""),"",SUMIFS('All Donations'!$S$2:$S$4001,'All Donations'!$R$2:$R$4001,$AD493,'All Donations'!$T$2:$T$4001,X$1))</f>
        <v/>
      </c>
      <c r="Y493" s="49">
        <f>IF(OR($AE493&lt;&gt;1,Y$1=""),"",SUMIFS('All Donations'!$S$2:$S$4001,'All Donations'!$R$2:$R$4001,$AD493,'All Donations'!$T$2:$T$4001,Y$1))</f>
        <v/>
      </c>
      <c r="Z493" s="49">
        <f>IF(OR($AE493&lt;&gt;1,Z$1=""),"",SUMIFS('All Donations'!$S$2:$S$4001,'All Donations'!$R$2:$R$4001,$AD493,'All Donations'!$T$2:$T$4001,Z$1))</f>
        <v/>
      </c>
      <c r="AA493" s="49">
        <f>IF(OR($AE493&lt;&gt;1,AA$1=""),"",SUMIFS('All Donations'!$S$2:$S$4001,'All Donations'!$R$2:$R$4001,$AD493,'All Donations'!$T$2:$T$4001,AA$1))</f>
        <v/>
      </c>
      <c r="AB493" s="49">
        <f>IF(OR($AE493&lt;&gt;1,AB$1=""),"",SUMIFS('All Donations'!$S$2:$S$4001,'All Donations'!$R$2:$R$4001,$AD493,'All Donations'!$T$2:$T$4001,AB$1))</f>
        <v/>
      </c>
      <c r="AC493" s="49">
        <f>IF(OR($AE493&lt;&gt;1,AC$1=""),"",SUMIFS('All Donations'!$S$2:$S$4001,'All Donations'!$R$2:$R$4001,$AD493,'All Donations'!$T$2:$T$4001,AC$1))</f>
        <v/>
      </c>
      <c r="AD493">
        <f>IF(AE493=1,'Roster'!A493,"")</f>
        <v/>
      </c>
      <c r="AE493">
        <f>IF(TRIM('Roster'!B493&amp;'Roster'!C493)&lt;&gt;"",1,0)</f>
        <v/>
      </c>
      <c r="AF493">
        <f>IF(AE493=1,LOWER(A493),"#")</f>
        <v/>
      </c>
      <c r="AG493">
        <f>IF(AE493=1,LOWER(TRIM(TRIM('Roster'!C493)&amp;", "&amp;TRIM('Roster'!B493))),"#")</f>
        <v/>
      </c>
      <c r="AH493">
        <f>IF(AND(AE493=1,TRIM('Roster'!F493)&lt;&gt;""),LOWER(TRIM('Roster'!F493)),"#")</f>
        <v/>
      </c>
      <c r="AI493">
        <f>IF(AE493=1,IF(MATCH(B493,$B$2:$B$701,0)=ROW()-1,1,0),0)</f>
        <v/>
      </c>
      <c r="AJ493">
        <f>AJ492+AI493</f>
        <v/>
      </c>
      <c r="AK493">
        <f>IF(AE493=1,D493+(1000-ROW())/10^7,-1)</f>
        <v/>
      </c>
      <c r="AL493">
        <f>IF(AE493=1,TRIM('Roster'!B493)&amp;" "&amp;LEFT(TRIM('Roster'!C493),1)&amp;".","")</f>
        <v/>
      </c>
      <c r="AM493">
        <f>IF(AE493=1,TRIM('Roster'!C493)&amp;", "&amp;TRIM('Roster'!B493)&amp;" ("&amp;B493&amp;") #"&amp;AD493,"")</f>
        <v/>
      </c>
      <c r="AN493">
        <f>IF(AE493=1,TRIM('Roster'!E493),"")</f>
        <v/>
      </c>
      <c r="AO493">
        <f>IF(AE493=1,ROUND(SUMIFS('All Donations'!$S$2:$S$4001,'All Donations'!$R$2:$R$4001,AD493,'All Donations'!$T$2:$T$4001,"&gt;="&amp;'Settings'!$C$23,'All Donations'!$T$2:$T$4001,"&lt;="&amp;'Settings'!$D$23),2),0)</f>
        <v/>
      </c>
      <c r="AQ493">
        <f>IF(AE493=1,ROUND(SUMIFS('All Donations'!$S$2:$S$4001,'All Donations'!$R$2:$R$4001,AD493,'All Donations'!$T$2:$T$4001,"&gt;="&amp;'Settings'!$C$25,'All Donations'!$T$2:$T$4001,"&lt;="&amp;'Settings'!$D$25),2),0)</f>
        <v/>
      </c>
      <c r="AR493">
        <f>IF(AE493=1,ROUND(SUMIFS('All Donations'!$S$2:$S$4001,'All Donations'!$R$2:$R$4001,AD493,'All Donations'!$T$2:$T$4001,"&gt;="&amp;'Settings'!$C$26,'All Donations'!$T$2:$T$4001,"&lt;="&amp;'Settings'!$D$26),2),0)</f>
        <v/>
      </c>
      <c r="AS493">
        <f>IF(AE493=1,ROUND(SUMIFS('All Donations'!$S$2:$S$4001,'All Donations'!$R$2:$R$4001,AD493,'All Donations'!$T$2:$T$4001,"&lt;="&amp;'Settings'!$D$27),2),0)</f>
        <v/>
      </c>
      <c r="AT493">
        <f>IF(AE493=1,ROUND(SUMIFS('All Donations'!$S$2:$S$4001,'All Donations'!$R$2:$R$4001,AD493,'All Donations'!$T$2:$T$4001,"&gt;="&amp;'Settings'!$C$28,'All Donations'!$T$2:$T$4001,"&lt;="&amp;'Settings'!$D$28),2),0)</f>
        <v/>
      </c>
      <c r="AU493">
        <f>IF(AE493=1,ROUND(SUMIFS('All Donations'!$S$2:$S$4001,'All Donations'!$R$2:$R$4001,AD493,'All Donations'!$T$2:$T$4001,"&gt;="&amp;'Settings'!$C$29,'All Donations'!$T$2:$T$4001,"&lt;="&amp;'Settings'!$D$29),2),0)</f>
        <v/>
      </c>
      <c r="AV493">
        <f>IF(AE493=1,ROUND(SUMIFS('All Donations'!$S$2:$S$4001,'All Donations'!$R$2:$R$4001,AD493,'All Donations'!$T$2:$T$4001,"&lt;="&amp;'Settings'!$D$30),2),0)</f>
        <v/>
      </c>
      <c r="AZ493">
        <f>IF(AE493=1,ROUND(SUMIFS('All Donations'!$S$2:$S$4001,'All Donations'!$R$2:$R$4001,AD493,'All Donations'!$T$2:$T$4001,"&lt;="&amp;'Settings'!$D$34),2),0)</f>
        <v/>
      </c>
    </row>
    <row r="494">
      <c r="A494">
        <f>IF(AE494=1,TRIM(TRIM('Roster'!B494)&amp;" "&amp;TRIM('Roster'!C494)),"")</f>
        <v/>
      </c>
      <c r="B494">
        <f>IF(AE494=1,IF(AN494="","(no teacher)",AN494&amp;" – "&amp;C494),"")</f>
        <v/>
      </c>
      <c r="C494">
        <f>IF(AE494=1,TRIM('Roster'!D494&amp;""),"")</f>
        <v/>
      </c>
      <c r="D494" s="48">
        <f>IF(AE494=1,ROUND(SUMIFS('All Donations'!$S$2:$S$4001,'All Donations'!$R$2:$R$4001,AD494),2),"")</f>
        <v/>
      </c>
      <c r="E494" s="48">
        <f>IF(AE494=1,ROUND(SUMIFS('All Donations'!$S$2:$S$4001,'All Donations'!$R$2:$R$4001,AD494,'All Donations'!$G$2:$G$4001,"OneCause"),2),"")</f>
        <v/>
      </c>
      <c r="F494" s="48">
        <f>IF(AE494=1,D494-E494,"")</f>
        <v/>
      </c>
      <c r="G494">
        <f>IF(AE494=1,COUNTIFS('All Donations'!$R$2:$R$4001,AD494,'All Donations'!$H$2:$H$4001,"OK"),"")</f>
        <v/>
      </c>
      <c r="H494">
        <f>IF(AE494&lt;&gt;1,"",IF(D494&gt;0,"Yes",""))</f>
        <v/>
      </c>
      <c r="I494" s="49">
        <f>IF(OR($AE494&lt;&gt;1,I$1=""),"",SUMIFS('All Donations'!$S$2:$S$4001,'All Donations'!$R$2:$R$4001,$AD494,'All Donations'!$T$2:$T$4001,I$1))</f>
        <v/>
      </c>
      <c r="J494" s="49">
        <f>IF(OR($AE494&lt;&gt;1,J$1=""),"",SUMIFS('All Donations'!$S$2:$S$4001,'All Donations'!$R$2:$R$4001,$AD494,'All Donations'!$T$2:$T$4001,J$1))</f>
        <v/>
      </c>
      <c r="K494" s="49">
        <f>IF(OR($AE494&lt;&gt;1,K$1=""),"",SUMIFS('All Donations'!$S$2:$S$4001,'All Donations'!$R$2:$R$4001,$AD494,'All Donations'!$T$2:$T$4001,K$1))</f>
        <v/>
      </c>
      <c r="L494" s="49">
        <f>IF(OR($AE494&lt;&gt;1,L$1=""),"",SUMIFS('All Donations'!$S$2:$S$4001,'All Donations'!$R$2:$R$4001,$AD494,'All Donations'!$T$2:$T$4001,L$1))</f>
        <v/>
      </c>
      <c r="M494" s="49">
        <f>IF(OR($AE494&lt;&gt;1,M$1=""),"",SUMIFS('All Donations'!$S$2:$S$4001,'All Donations'!$R$2:$R$4001,$AD494,'All Donations'!$T$2:$T$4001,M$1))</f>
        <v/>
      </c>
      <c r="N494" s="49">
        <f>IF(OR($AE494&lt;&gt;1,N$1=""),"",SUMIFS('All Donations'!$S$2:$S$4001,'All Donations'!$R$2:$R$4001,$AD494,'All Donations'!$T$2:$T$4001,N$1))</f>
        <v/>
      </c>
      <c r="O494" s="49">
        <f>IF(OR($AE494&lt;&gt;1,O$1=""),"",SUMIFS('All Donations'!$S$2:$S$4001,'All Donations'!$R$2:$R$4001,$AD494,'All Donations'!$T$2:$T$4001,O$1))</f>
        <v/>
      </c>
      <c r="P494" s="49">
        <f>IF(OR($AE494&lt;&gt;1,P$1=""),"",SUMIFS('All Donations'!$S$2:$S$4001,'All Donations'!$R$2:$R$4001,$AD494,'All Donations'!$T$2:$T$4001,P$1))</f>
        <v/>
      </c>
      <c r="Q494" s="49">
        <f>IF(OR($AE494&lt;&gt;1,Q$1=""),"",SUMIFS('All Donations'!$S$2:$S$4001,'All Donations'!$R$2:$R$4001,$AD494,'All Donations'!$T$2:$T$4001,Q$1))</f>
        <v/>
      </c>
      <c r="R494" s="49">
        <f>IF(OR($AE494&lt;&gt;1,R$1=""),"",SUMIFS('All Donations'!$S$2:$S$4001,'All Donations'!$R$2:$R$4001,$AD494,'All Donations'!$T$2:$T$4001,R$1))</f>
        <v/>
      </c>
      <c r="S494" s="49">
        <f>IF(OR($AE494&lt;&gt;1,S$1=""),"",SUMIFS('All Donations'!$S$2:$S$4001,'All Donations'!$R$2:$R$4001,$AD494,'All Donations'!$T$2:$T$4001,S$1))</f>
        <v/>
      </c>
      <c r="T494" s="49">
        <f>IF(OR($AE494&lt;&gt;1,T$1=""),"",SUMIFS('All Donations'!$S$2:$S$4001,'All Donations'!$R$2:$R$4001,$AD494,'All Donations'!$T$2:$T$4001,T$1))</f>
        <v/>
      </c>
      <c r="U494" s="49">
        <f>IF(OR($AE494&lt;&gt;1,U$1=""),"",SUMIFS('All Donations'!$S$2:$S$4001,'All Donations'!$R$2:$R$4001,$AD494,'All Donations'!$T$2:$T$4001,U$1))</f>
        <v/>
      </c>
      <c r="V494" s="49">
        <f>IF(OR($AE494&lt;&gt;1,V$1=""),"",SUMIFS('All Donations'!$S$2:$S$4001,'All Donations'!$R$2:$R$4001,$AD494,'All Donations'!$T$2:$T$4001,V$1))</f>
        <v/>
      </c>
      <c r="W494" s="49">
        <f>IF(OR($AE494&lt;&gt;1,W$1=""),"",SUMIFS('All Donations'!$S$2:$S$4001,'All Donations'!$R$2:$R$4001,$AD494,'All Donations'!$T$2:$T$4001,W$1))</f>
        <v/>
      </c>
      <c r="X494" s="49">
        <f>IF(OR($AE494&lt;&gt;1,X$1=""),"",SUMIFS('All Donations'!$S$2:$S$4001,'All Donations'!$R$2:$R$4001,$AD494,'All Donations'!$T$2:$T$4001,X$1))</f>
        <v/>
      </c>
      <c r="Y494" s="49">
        <f>IF(OR($AE494&lt;&gt;1,Y$1=""),"",SUMIFS('All Donations'!$S$2:$S$4001,'All Donations'!$R$2:$R$4001,$AD494,'All Donations'!$T$2:$T$4001,Y$1))</f>
        <v/>
      </c>
      <c r="Z494" s="49">
        <f>IF(OR($AE494&lt;&gt;1,Z$1=""),"",SUMIFS('All Donations'!$S$2:$S$4001,'All Donations'!$R$2:$R$4001,$AD494,'All Donations'!$T$2:$T$4001,Z$1))</f>
        <v/>
      </c>
      <c r="AA494" s="49">
        <f>IF(OR($AE494&lt;&gt;1,AA$1=""),"",SUMIFS('All Donations'!$S$2:$S$4001,'All Donations'!$R$2:$R$4001,$AD494,'All Donations'!$T$2:$T$4001,AA$1))</f>
        <v/>
      </c>
      <c r="AB494" s="49">
        <f>IF(OR($AE494&lt;&gt;1,AB$1=""),"",SUMIFS('All Donations'!$S$2:$S$4001,'All Donations'!$R$2:$R$4001,$AD494,'All Donations'!$T$2:$T$4001,AB$1))</f>
        <v/>
      </c>
      <c r="AC494" s="49">
        <f>IF(OR($AE494&lt;&gt;1,AC$1=""),"",SUMIFS('All Donations'!$S$2:$S$4001,'All Donations'!$R$2:$R$4001,$AD494,'All Donations'!$T$2:$T$4001,AC$1))</f>
        <v/>
      </c>
      <c r="AD494">
        <f>IF(AE494=1,'Roster'!A494,"")</f>
        <v/>
      </c>
      <c r="AE494">
        <f>IF(TRIM('Roster'!B494&amp;'Roster'!C494)&lt;&gt;"",1,0)</f>
        <v/>
      </c>
      <c r="AF494">
        <f>IF(AE494=1,LOWER(A494),"#")</f>
        <v/>
      </c>
      <c r="AG494">
        <f>IF(AE494=1,LOWER(TRIM(TRIM('Roster'!C494)&amp;", "&amp;TRIM('Roster'!B494))),"#")</f>
        <v/>
      </c>
      <c r="AH494">
        <f>IF(AND(AE494=1,TRIM('Roster'!F494)&lt;&gt;""),LOWER(TRIM('Roster'!F494)),"#")</f>
        <v/>
      </c>
      <c r="AI494">
        <f>IF(AE494=1,IF(MATCH(B494,$B$2:$B$701,0)=ROW()-1,1,0),0)</f>
        <v/>
      </c>
      <c r="AJ494">
        <f>AJ493+AI494</f>
        <v/>
      </c>
      <c r="AK494">
        <f>IF(AE494=1,D494+(1000-ROW())/10^7,-1)</f>
        <v/>
      </c>
      <c r="AL494">
        <f>IF(AE494=1,TRIM('Roster'!B494)&amp;" "&amp;LEFT(TRIM('Roster'!C494),1)&amp;".","")</f>
        <v/>
      </c>
      <c r="AM494">
        <f>IF(AE494=1,TRIM('Roster'!C494)&amp;", "&amp;TRIM('Roster'!B494)&amp;" ("&amp;B494&amp;") #"&amp;AD494,"")</f>
        <v/>
      </c>
      <c r="AN494">
        <f>IF(AE494=1,TRIM('Roster'!E494),"")</f>
        <v/>
      </c>
      <c r="AO494">
        <f>IF(AE494=1,ROUND(SUMIFS('All Donations'!$S$2:$S$4001,'All Donations'!$R$2:$R$4001,AD494,'All Donations'!$T$2:$T$4001,"&gt;="&amp;'Settings'!$C$23,'All Donations'!$T$2:$T$4001,"&lt;="&amp;'Settings'!$D$23),2),0)</f>
        <v/>
      </c>
      <c r="AQ494">
        <f>IF(AE494=1,ROUND(SUMIFS('All Donations'!$S$2:$S$4001,'All Donations'!$R$2:$R$4001,AD494,'All Donations'!$T$2:$T$4001,"&gt;="&amp;'Settings'!$C$25,'All Donations'!$T$2:$T$4001,"&lt;="&amp;'Settings'!$D$25),2),0)</f>
        <v/>
      </c>
      <c r="AR494">
        <f>IF(AE494=1,ROUND(SUMIFS('All Donations'!$S$2:$S$4001,'All Donations'!$R$2:$R$4001,AD494,'All Donations'!$T$2:$T$4001,"&gt;="&amp;'Settings'!$C$26,'All Donations'!$T$2:$T$4001,"&lt;="&amp;'Settings'!$D$26),2),0)</f>
        <v/>
      </c>
      <c r="AS494">
        <f>IF(AE494=1,ROUND(SUMIFS('All Donations'!$S$2:$S$4001,'All Donations'!$R$2:$R$4001,AD494,'All Donations'!$T$2:$T$4001,"&lt;="&amp;'Settings'!$D$27),2),0)</f>
        <v/>
      </c>
      <c r="AT494">
        <f>IF(AE494=1,ROUND(SUMIFS('All Donations'!$S$2:$S$4001,'All Donations'!$R$2:$R$4001,AD494,'All Donations'!$T$2:$T$4001,"&gt;="&amp;'Settings'!$C$28,'All Donations'!$T$2:$T$4001,"&lt;="&amp;'Settings'!$D$28),2),0)</f>
        <v/>
      </c>
      <c r="AU494">
        <f>IF(AE494=1,ROUND(SUMIFS('All Donations'!$S$2:$S$4001,'All Donations'!$R$2:$R$4001,AD494,'All Donations'!$T$2:$T$4001,"&gt;="&amp;'Settings'!$C$29,'All Donations'!$T$2:$T$4001,"&lt;="&amp;'Settings'!$D$29),2),0)</f>
        <v/>
      </c>
      <c r="AV494">
        <f>IF(AE494=1,ROUND(SUMIFS('All Donations'!$S$2:$S$4001,'All Donations'!$R$2:$R$4001,AD494,'All Donations'!$T$2:$T$4001,"&lt;="&amp;'Settings'!$D$30),2),0)</f>
        <v/>
      </c>
      <c r="AZ494">
        <f>IF(AE494=1,ROUND(SUMIFS('All Donations'!$S$2:$S$4001,'All Donations'!$R$2:$R$4001,AD494,'All Donations'!$T$2:$T$4001,"&lt;="&amp;'Settings'!$D$34),2),0)</f>
        <v/>
      </c>
    </row>
    <row r="495">
      <c r="A495">
        <f>IF(AE495=1,TRIM(TRIM('Roster'!B495)&amp;" "&amp;TRIM('Roster'!C495)),"")</f>
        <v/>
      </c>
      <c r="B495">
        <f>IF(AE495=1,IF(AN495="","(no teacher)",AN495&amp;" – "&amp;C495),"")</f>
        <v/>
      </c>
      <c r="C495">
        <f>IF(AE495=1,TRIM('Roster'!D495&amp;""),"")</f>
        <v/>
      </c>
      <c r="D495" s="48">
        <f>IF(AE495=1,ROUND(SUMIFS('All Donations'!$S$2:$S$4001,'All Donations'!$R$2:$R$4001,AD495),2),"")</f>
        <v/>
      </c>
      <c r="E495" s="48">
        <f>IF(AE495=1,ROUND(SUMIFS('All Donations'!$S$2:$S$4001,'All Donations'!$R$2:$R$4001,AD495,'All Donations'!$G$2:$G$4001,"OneCause"),2),"")</f>
        <v/>
      </c>
      <c r="F495" s="48">
        <f>IF(AE495=1,D495-E495,"")</f>
        <v/>
      </c>
      <c r="G495">
        <f>IF(AE495=1,COUNTIFS('All Donations'!$R$2:$R$4001,AD495,'All Donations'!$H$2:$H$4001,"OK"),"")</f>
        <v/>
      </c>
      <c r="H495">
        <f>IF(AE495&lt;&gt;1,"",IF(D495&gt;0,"Yes",""))</f>
        <v/>
      </c>
      <c r="I495" s="49">
        <f>IF(OR($AE495&lt;&gt;1,I$1=""),"",SUMIFS('All Donations'!$S$2:$S$4001,'All Donations'!$R$2:$R$4001,$AD495,'All Donations'!$T$2:$T$4001,I$1))</f>
        <v/>
      </c>
      <c r="J495" s="49">
        <f>IF(OR($AE495&lt;&gt;1,J$1=""),"",SUMIFS('All Donations'!$S$2:$S$4001,'All Donations'!$R$2:$R$4001,$AD495,'All Donations'!$T$2:$T$4001,J$1))</f>
        <v/>
      </c>
      <c r="K495" s="49">
        <f>IF(OR($AE495&lt;&gt;1,K$1=""),"",SUMIFS('All Donations'!$S$2:$S$4001,'All Donations'!$R$2:$R$4001,$AD495,'All Donations'!$T$2:$T$4001,K$1))</f>
        <v/>
      </c>
      <c r="L495" s="49">
        <f>IF(OR($AE495&lt;&gt;1,L$1=""),"",SUMIFS('All Donations'!$S$2:$S$4001,'All Donations'!$R$2:$R$4001,$AD495,'All Donations'!$T$2:$T$4001,L$1))</f>
        <v/>
      </c>
      <c r="M495" s="49">
        <f>IF(OR($AE495&lt;&gt;1,M$1=""),"",SUMIFS('All Donations'!$S$2:$S$4001,'All Donations'!$R$2:$R$4001,$AD495,'All Donations'!$T$2:$T$4001,M$1))</f>
        <v/>
      </c>
      <c r="N495" s="49">
        <f>IF(OR($AE495&lt;&gt;1,N$1=""),"",SUMIFS('All Donations'!$S$2:$S$4001,'All Donations'!$R$2:$R$4001,$AD495,'All Donations'!$T$2:$T$4001,N$1))</f>
        <v/>
      </c>
      <c r="O495" s="49">
        <f>IF(OR($AE495&lt;&gt;1,O$1=""),"",SUMIFS('All Donations'!$S$2:$S$4001,'All Donations'!$R$2:$R$4001,$AD495,'All Donations'!$T$2:$T$4001,O$1))</f>
        <v/>
      </c>
      <c r="P495" s="49">
        <f>IF(OR($AE495&lt;&gt;1,P$1=""),"",SUMIFS('All Donations'!$S$2:$S$4001,'All Donations'!$R$2:$R$4001,$AD495,'All Donations'!$T$2:$T$4001,P$1))</f>
        <v/>
      </c>
      <c r="Q495" s="49">
        <f>IF(OR($AE495&lt;&gt;1,Q$1=""),"",SUMIFS('All Donations'!$S$2:$S$4001,'All Donations'!$R$2:$R$4001,$AD495,'All Donations'!$T$2:$T$4001,Q$1))</f>
        <v/>
      </c>
      <c r="R495" s="49">
        <f>IF(OR($AE495&lt;&gt;1,R$1=""),"",SUMIFS('All Donations'!$S$2:$S$4001,'All Donations'!$R$2:$R$4001,$AD495,'All Donations'!$T$2:$T$4001,R$1))</f>
        <v/>
      </c>
      <c r="S495" s="49">
        <f>IF(OR($AE495&lt;&gt;1,S$1=""),"",SUMIFS('All Donations'!$S$2:$S$4001,'All Donations'!$R$2:$R$4001,$AD495,'All Donations'!$T$2:$T$4001,S$1))</f>
        <v/>
      </c>
      <c r="T495" s="49">
        <f>IF(OR($AE495&lt;&gt;1,T$1=""),"",SUMIFS('All Donations'!$S$2:$S$4001,'All Donations'!$R$2:$R$4001,$AD495,'All Donations'!$T$2:$T$4001,T$1))</f>
        <v/>
      </c>
      <c r="U495" s="49">
        <f>IF(OR($AE495&lt;&gt;1,U$1=""),"",SUMIFS('All Donations'!$S$2:$S$4001,'All Donations'!$R$2:$R$4001,$AD495,'All Donations'!$T$2:$T$4001,U$1))</f>
        <v/>
      </c>
      <c r="V495" s="49">
        <f>IF(OR($AE495&lt;&gt;1,V$1=""),"",SUMIFS('All Donations'!$S$2:$S$4001,'All Donations'!$R$2:$R$4001,$AD495,'All Donations'!$T$2:$T$4001,V$1))</f>
        <v/>
      </c>
      <c r="W495" s="49">
        <f>IF(OR($AE495&lt;&gt;1,W$1=""),"",SUMIFS('All Donations'!$S$2:$S$4001,'All Donations'!$R$2:$R$4001,$AD495,'All Donations'!$T$2:$T$4001,W$1))</f>
        <v/>
      </c>
      <c r="X495" s="49">
        <f>IF(OR($AE495&lt;&gt;1,X$1=""),"",SUMIFS('All Donations'!$S$2:$S$4001,'All Donations'!$R$2:$R$4001,$AD495,'All Donations'!$T$2:$T$4001,X$1))</f>
        <v/>
      </c>
      <c r="Y495" s="49">
        <f>IF(OR($AE495&lt;&gt;1,Y$1=""),"",SUMIFS('All Donations'!$S$2:$S$4001,'All Donations'!$R$2:$R$4001,$AD495,'All Donations'!$T$2:$T$4001,Y$1))</f>
        <v/>
      </c>
      <c r="Z495" s="49">
        <f>IF(OR($AE495&lt;&gt;1,Z$1=""),"",SUMIFS('All Donations'!$S$2:$S$4001,'All Donations'!$R$2:$R$4001,$AD495,'All Donations'!$T$2:$T$4001,Z$1))</f>
        <v/>
      </c>
      <c r="AA495" s="49">
        <f>IF(OR($AE495&lt;&gt;1,AA$1=""),"",SUMIFS('All Donations'!$S$2:$S$4001,'All Donations'!$R$2:$R$4001,$AD495,'All Donations'!$T$2:$T$4001,AA$1))</f>
        <v/>
      </c>
      <c r="AB495" s="49">
        <f>IF(OR($AE495&lt;&gt;1,AB$1=""),"",SUMIFS('All Donations'!$S$2:$S$4001,'All Donations'!$R$2:$R$4001,$AD495,'All Donations'!$T$2:$T$4001,AB$1))</f>
        <v/>
      </c>
      <c r="AC495" s="49">
        <f>IF(OR($AE495&lt;&gt;1,AC$1=""),"",SUMIFS('All Donations'!$S$2:$S$4001,'All Donations'!$R$2:$R$4001,$AD495,'All Donations'!$T$2:$T$4001,AC$1))</f>
        <v/>
      </c>
      <c r="AD495">
        <f>IF(AE495=1,'Roster'!A495,"")</f>
        <v/>
      </c>
      <c r="AE495">
        <f>IF(TRIM('Roster'!B495&amp;'Roster'!C495)&lt;&gt;"",1,0)</f>
        <v/>
      </c>
      <c r="AF495">
        <f>IF(AE495=1,LOWER(A495),"#")</f>
        <v/>
      </c>
      <c r="AG495">
        <f>IF(AE495=1,LOWER(TRIM(TRIM('Roster'!C495)&amp;", "&amp;TRIM('Roster'!B495))),"#")</f>
        <v/>
      </c>
      <c r="AH495">
        <f>IF(AND(AE495=1,TRIM('Roster'!F495)&lt;&gt;""),LOWER(TRIM('Roster'!F495)),"#")</f>
        <v/>
      </c>
      <c r="AI495">
        <f>IF(AE495=1,IF(MATCH(B495,$B$2:$B$701,0)=ROW()-1,1,0),0)</f>
        <v/>
      </c>
      <c r="AJ495">
        <f>AJ494+AI495</f>
        <v/>
      </c>
      <c r="AK495">
        <f>IF(AE495=1,D495+(1000-ROW())/10^7,-1)</f>
        <v/>
      </c>
      <c r="AL495">
        <f>IF(AE495=1,TRIM('Roster'!B495)&amp;" "&amp;LEFT(TRIM('Roster'!C495),1)&amp;".","")</f>
        <v/>
      </c>
      <c r="AM495">
        <f>IF(AE495=1,TRIM('Roster'!C495)&amp;", "&amp;TRIM('Roster'!B495)&amp;" ("&amp;B495&amp;") #"&amp;AD495,"")</f>
        <v/>
      </c>
      <c r="AN495">
        <f>IF(AE495=1,TRIM('Roster'!E495),"")</f>
        <v/>
      </c>
      <c r="AO495">
        <f>IF(AE495=1,ROUND(SUMIFS('All Donations'!$S$2:$S$4001,'All Donations'!$R$2:$R$4001,AD495,'All Donations'!$T$2:$T$4001,"&gt;="&amp;'Settings'!$C$23,'All Donations'!$T$2:$T$4001,"&lt;="&amp;'Settings'!$D$23),2),0)</f>
        <v/>
      </c>
      <c r="AQ495">
        <f>IF(AE495=1,ROUND(SUMIFS('All Donations'!$S$2:$S$4001,'All Donations'!$R$2:$R$4001,AD495,'All Donations'!$T$2:$T$4001,"&gt;="&amp;'Settings'!$C$25,'All Donations'!$T$2:$T$4001,"&lt;="&amp;'Settings'!$D$25),2),0)</f>
        <v/>
      </c>
      <c r="AR495">
        <f>IF(AE495=1,ROUND(SUMIFS('All Donations'!$S$2:$S$4001,'All Donations'!$R$2:$R$4001,AD495,'All Donations'!$T$2:$T$4001,"&gt;="&amp;'Settings'!$C$26,'All Donations'!$T$2:$T$4001,"&lt;="&amp;'Settings'!$D$26),2),0)</f>
        <v/>
      </c>
      <c r="AS495">
        <f>IF(AE495=1,ROUND(SUMIFS('All Donations'!$S$2:$S$4001,'All Donations'!$R$2:$R$4001,AD495,'All Donations'!$T$2:$T$4001,"&lt;="&amp;'Settings'!$D$27),2),0)</f>
        <v/>
      </c>
      <c r="AT495">
        <f>IF(AE495=1,ROUND(SUMIFS('All Donations'!$S$2:$S$4001,'All Donations'!$R$2:$R$4001,AD495,'All Donations'!$T$2:$T$4001,"&gt;="&amp;'Settings'!$C$28,'All Donations'!$T$2:$T$4001,"&lt;="&amp;'Settings'!$D$28),2),0)</f>
        <v/>
      </c>
      <c r="AU495">
        <f>IF(AE495=1,ROUND(SUMIFS('All Donations'!$S$2:$S$4001,'All Donations'!$R$2:$R$4001,AD495,'All Donations'!$T$2:$T$4001,"&gt;="&amp;'Settings'!$C$29,'All Donations'!$T$2:$T$4001,"&lt;="&amp;'Settings'!$D$29),2),0)</f>
        <v/>
      </c>
      <c r="AV495">
        <f>IF(AE495=1,ROUND(SUMIFS('All Donations'!$S$2:$S$4001,'All Donations'!$R$2:$R$4001,AD495,'All Donations'!$T$2:$T$4001,"&lt;="&amp;'Settings'!$D$30),2),0)</f>
        <v/>
      </c>
      <c r="AZ495">
        <f>IF(AE495=1,ROUND(SUMIFS('All Donations'!$S$2:$S$4001,'All Donations'!$R$2:$R$4001,AD495,'All Donations'!$T$2:$T$4001,"&lt;="&amp;'Settings'!$D$34),2),0)</f>
        <v/>
      </c>
    </row>
    <row r="496">
      <c r="A496">
        <f>IF(AE496=1,TRIM(TRIM('Roster'!B496)&amp;" "&amp;TRIM('Roster'!C496)),"")</f>
        <v/>
      </c>
      <c r="B496">
        <f>IF(AE496=1,IF(AN496="","(no teacher)",AN496&amp;" – "&amp;C496),"")</f>
        <v/>
      </c>
      <c r="C496">
        <f>IF(AE496=1,TRIM('Roster'!D496&amp;""),"")</f>
        <v/>
      </c>
      <c r="D496" s="48">
        <f>IF(AE496=1,ROUND(SUMIFS('All Donations'!$S$2:$S$4001,'All Donations'!$R$2:$R$4001,AD496),2),"")</f>
        <v/>
      </c>
      <c r="E496" s="48">
        <f>IF(AE496=1,ROUND(SUMIFS('All Donations'!$S$2:$S$4001,'All Donations'!$R$2:$R$4001,AD496,'All Donations'!$G$2:$G$4001,"OneCause"),2),"")</f>
        <v/>
      </c>
      <c r="F496" s="48">
        <f>IF(AE496=1,D496-E496,"")</f>
        <v/>
      </c>
      <c r="G496">
        <f>IF(AE496=1,COUNTIFS('All Donations'!$R$2:$R$4001,AD496,'All Donations'!$H$2:$H$4001,"OK"),"")</f>
        <v/>
      </c>
      <c r="H496">
        <f>IF(AE496&lt;&gt;1,"",IF(D496&gt;0,"Yes",""))</f>
        <v/>
      </c>
      <c r="I496" s="49">
        <f>IF(OR($AE496&lt;&gt;1,I$1=""),"",SUMIFS('All Donations'!$S$2:$S$4001,'All Donations'!$R$2:$R$4001,$AD496,'All Donations'!$T$2:$T$4001,I$1))</f>
        <v/>
      </c>
      <c r="J496" s="49">
        <f>IF(OR($AE496&lt;&gt;1,J$1=""),"",SUMIFS('All Donations'!$S$2:$S$4001,'All Donations'!$R$2:$R$4001,$AD496,'All Donations'!$T$2:$T$4001,J$1))</f>
        <v/>
      </c>
      <c r="K496" s="49">
        <f>IF(OR($AE496&lt;&gt;1,K$1=""),"",SUMIFS('All Donations'!$S$2:$S$4001,'All Donations'!$R$2:$R$4001,$AD496,'All Donations'!$T$2:$T$4001,K$1))</f>
        <v/>
      </c>
      <c r="L496" s="49">
        <f>IF(OR($AE496&lt;&gt;1,L$1=""),"",SUMIFS('All Donations'!$S$2:$S$4001,'All Donations'!$R$2:$R$4001,$AD496,'All Donations'!$T$2:$T$4001,L$1))</f>
        <v/>
      </c>
      <c r="M496" s="49">
        <f>IF(OR($AE496&lt;&gt;1,M$1=""),"",SUMIFS('All Donations'!$S$2:$S$4001,'All Donations'!$R$2:$R$4001,$AD496,'All Donations'!$T$2:$T$4001,M$1))</f>
        <v/>
      </c>
      <c r="N496" s="49">
        <f>IF(OR($AE496&lt;&gt;1,N$1=""),"",SUMIFS('All Donations'!$S$2:$S$4001,'All Donations'!$R$2:$R$4001,$AD496,'All Donations'!$T$2:$T$4001,N$1))</f>
        <v/>
      </c>
      <c r="O496" s="49">
        <f>IF(OR($AE496&lt;&gt;1,O$1=""),"",SUMIFS('All Donations'!$S$2:$S$4001,'All Donations'!$R$2:$R$4001,$AD496,'All Donations'!$T$2:$T$4001,O$1))</f>
        <v/>
      </c>
      <c r="P496" s="49">
        <f>IF(OR($AE496&lt;&gt;1,P$1=""),"",SUMIFS('All Donations'!$S$2:$S$4001,'All Donations'!$R$2:$R$4001,$AD496,'All Donations'!$T$2:$T$4001,P$1))</f>
        <v/>
      </c>
      <c r="Q496" s="49">
        <f>IF(OR($AE496&lt;&gt;1,Q$1=""),"",SUMIFS('All Donations'!$S$2:$S$4001,'All Donations'!$R$2:$R$4001,$AD496,'All Donations'!$T$2:$T$4001,Q$1))</f>
        <v/>
      </c>
      <c r="R496" s="49">
        <f>IF(OR($AE496&lt;&gt;1,R$1=""),"",SUMIFS('All Donations'!$S$2:$S$4001,'All Donations'!$R$2:$R$4001,$AD496,'All Donations'!$T$2:$T$4001,R$1))</f>
        <v/>
      </c>
      <c r="S496" s="49">
        <f>IF(OR($AE496&lt;&gt;1,S$1=""),"",SUMIFS('All Donations'!$S$2:$S$4001,'All Donations'!$R$2:$R$4001,$AD496,'All Donations'!$T$2:$T$4001,S$1))</f>
        <v/>
      </c>
      <c r="T496" s="49">
        <f>IF(OR($AE496&lt;&gt;1,T$1=""),"",SUMIFS('All Donations'!$S$2:$S$4001,'All Donations'!$R$2:$R$4001,$AD496,'All Donations'!$T$2:$T$4001,T$1))</f>
        <v/>
      </c>
      <c r="U496" s="49">
        <f>IF(OR($AE496&lt;&gt;1,U$1=""),"",SUMIFS('All Donations'!$S$2:$S$4001,'All Donations'!$R$2:$R$4001,$AD496,'All Donations'!$T$2:$T$4001,U$1))</f>
        <v/>
      </c>
      <c r="V496" s="49">
        <f>IF(OR($AE496&lt;&gt;1,V$1=""),"",SUMIFS('All Donations'!$S$2:$S$4001,'All Donations'!$R$2:$R$4001,$AD496,'All Donations'!$T$2:$T$4001,V$1))</f>
        <v/>
      </c>
      <c r="W496" s="49">
        <f>IF(OR($AE496&lt;&gt;1,W$1=""),"",SUMIFS('All Donations'!$S$2:$S$4001,'All Donations'!$R$2:$R$4001,$AD496,'All Donations'!$T$2:$T$4001,W$1))</f>
        <v/>
      </c>
      <c r="X496" s="49">
        <f>IF(OR($AE496&lt;&gt;1,X$1=""),"",SUMIFS('All Donations'!$S$2:$S$4001,'All Donations'!$R$2:$R$4001,$AD496,'All Donations'!$T$2:$T$4001,X$1))</f>
        <v/>
      </c>
      <c r="Y496" s="49">
        <f>IF(OR($AE496&lt;&gt;1,Y$1=""),"",SUMIFS('All Donations'!$S$2:$S$4001,'All Donations'!$R$2:$R$4001,$AD496,'All Donations'!$T$2:$T$4001,Y$1))</f>
        <v/>
      </c>
      <c r="Z496" s="49">
        <f>IF(OR($AE496&lt;&gt;1,Z$1=""),"",SUMIFS('All Donations'!$S$2:$S$4001,'All Donations'!$R$2:$R$4001,$AD496,'All Donations'!$T$2:$T$4001,Z$1))</f>
        <v/>
      </c>
      <c r="AA496" s="49">
        <f>IF(OR($AE496&lt;&gt;1,AA$1=""),"",SUMIFS('All Donations'!$S$2:$S$4001,'All Donations'!$R$2:$R$4001,$AD496,'All Donations'!$T$2:$T$4001,AA$1))</f>
        <v/>
      </c>
      <c r="AB496" s="49">
        <f>IF(OR($AE496&lt;&gt;1,AB$1=""),"",SUMIFS('All Donations'!$S$2:$S$4001,'All Donations'!$R$2:$R$4001,$AD496,'All Donations'!$T$2:$T$4001,AB$1))</f>
        <v/>
      </c>
      <c r="AC496" s="49">
        <f>IF(OR($AE496&lt;&gt;1,AC$1=""),"",SUMIFS('All Donations'!$S$2:$S$4001,'All Donations'!$R$2:$R$4001,$AD496,'All Donations'!$T$2:$T$4001,AC$1))</f>
        <v/>
      </c>
      <c r="AD496">
        <f>IF(AE496=1,'Roster'!A496,"")</f>
        <v/>
      </c>
      <c r="AE496">
        <f>IF(TRIM('Roster'!B496&amp;'Roster'!C496)&lt;&gt;"",1,0)</f>
        <v/>
      </c>
      <c r="AF496">
        <f>IF(AE496=1,LOWER(A496),"#")</f>
        <v/>
      </c>
      <c r="AG496">
        <f>IF(AE496=1,LOWER(TRIM(TRIM('Roster'!C496)&amp;", "&amp;TRIM('Roster'!B496))),"#")</f>
        <v/>
      </c>
      <c r="AH496">
        <f>IF(AND(AE496=1,TRIM('Roster'!F496)&lt;&gt;""),LOWER(TRIM('Roster'!F496)),"#")</f>
        <v/>
      </c>
      <c r="AI496">
        <f>IF(AE496=1,IF(MATCH(B496,$B$2:$B$701,0)=ROW()-1,1,0),0)</f>
        <v/>
      </c>
      <c r="AJ496">
        <f>AJ495+AI496</f>
        <v/>
      </c>
      <c r="AK496">
        <f>IF(AE496=1,D496+(1000-ROW())/10^7,-1)</f>
        <v/>
      </c>
      <c r="AL496">
        <f>IF(AE496=1,TRIM('Roster'!B496)&amp;" "&amp;LEFT(TRIM('Roster'!C496),1)&amp;".","")</f>
        <v/>
      </c>
      <c r="AM496">
        <f>IF(AE496=1,TRIM('Roster'!C496)&amp;", "&amp;TRIM('Roster'!B496)&amp;" ("&amp;B496&amp;") #"&amp;AD496,"")</f>
        <v/>
      </c>
      <c r="AN496">
        <f>IF(AE496=1,TRIM('Roster'!E496),"")</f>
        <v/>
      </c>
      <c r="AO496">
        <f>IF(AE496=1,ROUND(SUMIFS('All Donations'!$S$2:$S$4001,'All Donations'!$R$2:$R$4001,AD496,'All Donations'!$T$2:$T$4001,"&gt;="&amp;'Settings'!$C$23,'All Donations'!$T$2:$T$4001,"&lt;="&amp;'Settings'!$D$23),2),0)</f>
        <v/>
      </c>
      <c r="AQ496">
        <f>IF(AE496=1,ROUND(SUMIFS('All Donations'!$S$2:$S$4001,'All Donations'!$R$2:$R$4001,AD496,'All Donations'!$T$2:$T$4001,"&gt;="&amp;'Settings'!$C$25,'All Donations'!$T$2:$T$4001,"&lt;="&amp;'Settings'!$D$25),2),0)</f>
        <v/>
      </c>
      <c r="AR496">
        <f>IF(AE496=1,ROUND(SUMIFS('All Donations'!$S$2:$S$4001,'All Donations'!$R$2:$R$4001,AD496,'All Donations'!$T$2:$T$4001,"&gt;="&amp;'Settings'!$C$26,'All Donations'!$T$2:$T$4001,"&lt;="&amp;'Settings'!$D$26),2),0)</f>
        <v/>
      </c>
      <c r="AS496">
        <f>IF(AE496=1,ROUND(SUMIFS('All Donations'!$S$2:$S$4001,'All Donations'!$R$2:$R$4001,AD496,'All Donations'!$T$2:$T$4001,"&lt;="&amp;'Settings'!$D$27),2),0)</f>
        <v/>
      </c>
      <c r="AT496">
        <f>IF(AE496=1,ROUND(SUMIFS('All Donations'!$S$2:$S$4001,'All Donations'!$R$2:$R$4001,AD496,'All Donations'!$T$2:$T$4001,"&gt;="&amp;'Settings'!$C$28,'All Donations'!$T$2:$T$4001,"&lt;="&amp;'Settings'!$D$28),2),0)</f>
        <v/>
      </c>
      <c r="AU496">
        <f>IF(AE496=1,ROUND(SUMIFS('All Donations'!$S$2:$S$4001,'All Donations'!$R$2:$R$4001,AD496,'All Donations'!$T$2:$T$4001,"&gt;="&amp;'Settings'!$C$29,'All Donations'!$T$2:$T$4001,"&lt;="&amp;'Settings'!$D$29),2),0)</f>
        <v/>
      </c>
      <c r="AV496">
        <f>IF(AE496=1,ROUND(SUMIFS('All Donations'!$S$2:$S$4001,'All Donations'!$R$2:$R$4001,AD496,'All Donations'!$T$2:$T$4001,"&lt;="&amp;'Settings'!$D$30),2),0)</f>
        <v/>
      </c>
      <c r="AZ496">
        <f>IF(AE496=1,ROUND(SUMIFS('All Donations'!$S$2:$S$4001,'All Donations'!$R$2:$R$4001,AD496,'All Donations'!$T$2:$T$4001,"&lt;="&amp;'Settings'!$D$34),2),0)</f>
        <v/>
      </c>
    </row>
    <row r="497">
      <c r="A497">
        <f>IF(AE497=1,TRIM(TRIM('Roster'!B497)&amp;" "&amp;TRIM('Roster'!C497)),"")</f>
        <v/>
      </c>
      <c r="B497">
        <f>IF(AE497=1,IF(AN497="","(no teacher)",AN497&amp;" – "&amp;C497),"")</f>
        <v/>
      </c>
      <c r="C497">
        <f>IF(AE497=1,TRIM('Roster'!D497&amp;""),"")</f>
        <v/>
      </c>
      <c r="D497" s="48">
        <f>IF(AE497=1,ROUND(SUMIFS('All Donations'!$S$2:$S$4001,'All Donations'!$R$2:$R$4001,AD497),2),"")</f>
        <v/>
      </c>
      <c r="E497" s="48">
        <f>IF(AE497=1,ROUND(SUMIFS('All Donations'!$S$2:$S$4001,'All Donations'!$R$2:$R$4001,AD497,'All Donations'!$G$2:$G$4001,"OneCause"),2),"")</f>
        <v/>
      </c>
      <c r="F497" s="48">
        <f>IF(AE497=1,D497-E497,"")</f>
        <v/>
      </c>
      <c r="G497">
        <f>IF(AE497=1,COUNTIFS('All Donations'!$R$2:$R$4001,AD497,'All Donations'!$H$2:$H$4001,"OK"),"")</f>
        <v/>
      </c>
      <c r="H497">
        <f>IF(AE497&lt;&gt;1,"",IF(D497&gt;0,"Yes",""))</f>
        <v/>
      </c>
      <c r="I497" s="49">
        <f>IF(OR($AE497&lt;&gt;1,I$1=""),"",SUMIFS('All Donations'!$S$2:$S$4001,'All Donations'!$R$2:$R$4001,$AD497,'All Donations'!$T$2:$T$4001,I$1))</f>
        <v/>
      </c>
      <c r="J497" s="49">
        <f>IF(OR($AE497&lt;&gt;1,J$1=""),"",SUMIFS('All Donations'!$S$2:$S$4001,'All Donations'!$R$2:$R$4001,$AD497,'All Donations'!$T$2:$T$4001,J$1))</f>
        <v/>
      </c>
      <c r="K497" s="49">
        <f>IF(OR($AE497&lt;&gt;1,K$1=""),"",SUMIFS('All Donations'!$S$2:$S$4001,'All Donations'!$R$2:$R$4001,$AD497,'All Donations'!$T$2:$T$4001,K$1))</f>
        <v/>
      </c>
      <c r="L497" s="49">
        <f>IF(OR($AE497&lt;&gt;1,L$1=""),"",SUMIFS('All Donations'!$S$2:$S$4001,'All Donations'!$R$2:$R$4001,$AD497,'All Donations'!$T$2:$T$4001,L$1))</f>
        <v/>
      </c>
      <c r="M497" s="49">
        <f>IF(OR($AE497&lt;&gt;1,M$1=""),"",SUMIFS('All Donations'!$S$2:$S$4001,'All Donations'!$R$2:$R$4001,$AD497,'All Donations'!$T$2:$T$4001,M$1))</f>
        <v/>
      </c>
      <c r="N497" s="49">
        <f>IF(OR($AE497&lt;&gt;1,N$1=""),"",SUMIFS('All Donations'!$S$2:$S$4001,'All Donations'!$R$2:$R$4001,$AD497,'All Donations'!$T$2:$T$4001,N$1))</f>
        <v/>
      </c>
      <c r="O497" s="49">
        <f>IF(OR($AE497&lt;&gt;1,O$1=""),"",SUMIFS('All Donations'!$S$2:$S$4001,'All Donations'!$R$2:$R$4001,$AD497,'All Donations'!$T$2:$T$4001,O$1))</f>
        <v/>
      </c>
      <c r="P497" s="49">
        <f>IF(OR($AE497&lt;&gt;1,P$1=""),"",SUMIFS('All Donations'!$S$2:$S$4001,'All Donations'!$R$2:$R$4001,$AD497,'All Donations'!$T$2:$T$4001,P$1))</f>
        <v/>
      </c>
      <c r="Q497" s="49">
        <f>IF(OR($AE497&lt;&gt;1,Q$1=""),"",SUMIFS('All Donations'!$S$2:$S$4001,'All Donations'!$R$2:$R$4001,$AD497,'All Donations'!$T$2:$T$4001,Q$1))</f>
        <v/>
      </c>
      <c r="R497" s="49">
        <f>IF(OR($AE497&lt;&gt;1,R$1=""),"",SUMIFS('All Donations'!$S$2:$S$4001,'All Donations'!$R$2:$R$4001,$AD497,'All Donations'!$T$2:$T$4001,R$1))</f>
        <v/>
      </c>
      <c r="S497" s="49">
        <f>IF(OR($AE497&lt;&gt;1,S$1=""),"",SUMIFS('All Donations'!$S$2:$S$4001,'All Donations'!$R$2:$R$4001,$AD497,'All Donations'!$T$2:$T$4001,S$1))</f>
        <v/>
      </c>
      <c r="T497" s="49">
        <f>IF(OR($AE497&lt;&gt;1,T$1=""),"",SUMIFS('All Donations'!$S$2:$S$4001,'All Donations'!$R$2:$R$4001,$AD497,'All Donations'!$T$2:$T$4001,T$1))</f>
        <v/>
      </c>
      <c r="U497" s="49">
        <f>IF(OR($AE497&lt;&gt;1,U$1=""),"",SUMIFS('All Donations'!$S$2:$S$4001,'All Donations'!$R$2:$R$4001,$AD497,'All Donations'!$T$2:$T$4001,U$1))</f>
        <v/>
      </c>
      <c r="V497" s="49">
        <f>IF(OR($AE497&lt;&gt;1,V$1=""),"",SUMIFS('All Donations'!$S$2:$S$4001,'All Donations'!$R$2:$R$4001,$AD497,'All Donations'!$T$2:$T$4001,V$1))</f>
        <v/>
      </c>
      <c r="W497" s="49">
        <f>IF(OR($AE497&lt;&gt;1,W$1=""),"",SUMIFS('All Donations'!$S$2:$S$4001,'All Donations'!$R$2:$R$4001,$AD497,'All Donations'!$T$2:$T$4001,W$1))</f>
        <v/>
      </c>
      <c r="X497" s="49">
        <f>IF(OR($AE497&lt;&gt;1,X$1=""),"",SUMIFS('All Donations'!$S$2:$S$4001,'All Donations'!$R$2:$R$4001,$AD497,'All Donations'!$T$2:$T$4001,X$1))</f>
        <v/>
      </c>
      <c r="Y497" s="49">
        <f>IF(OR($AE497&lt;&gt;1,Y$1=""),"",SUMIFS('All Donations'!$S$2:$S$4001,'All Donations'!$R$2:$R$4001,$AD497,'All Donations'!$T$2:$T$4001,Y$1))</f>
        <v/>
      </c>
      <c r="Z497" s="49">
        <f>IF(OR($AE497&lt;&gt;1,Z$1=""),"",SUMIFS('All Donations'!$S$2:$S$4001,'All Donations'!$R$2:$R$4001,$AD497,'All Donations'!$T$2:$T$4001,Z$1))</f>
        <v/>
      </c>
      <c r="AA497" s="49">
        <f>IF(OR($AE497&lt;&gt;1,AA$1=""),"",SUMIFS('All Donations'!$S$2:$S$4001,'All Donations'!$R$2:$R$4001,$AD497,'All Donations'!$T$2:$T$4001,AA$1))</f>
        <v/>
      </c>
      <c r="AB497" s="49">
        <f>IF(OR($AE497&lt;&gt;1,AB$1=""),"",SUMIFS('All Donations'!$S$2:$S$4001,'All Donations'!$R$2:$R$4001,$AD497,'All Donations'!$T$2:$T$4001,AB$1))</f>
        <v/>
      </c>
      <c r="AC497" s="49">
        <f>IF(OR($AE497&lt;&gt;1,AC$1=""),"",SUMIFS('All Donations'!$S$2:$S$4001,'All Donations'!$R$2:$R$4001,$AD497,'All Donations'!$T$2:$T$4001,AC$1))</f>
        <v/>
      </c>
      <c r="AD497">
        <f>IF(AE497=1,'Roster'!A497,"")</f>
        <v/>
      </c>
      <c r="AE497">
        <f>IF(TRIM('Roster'!B497&amp;'Roster'!C497)&lt;&gt;"",1,0)</f>
        <v/>
      </c>
      <c r="AF497">
        <f>IF(AE497=1,LOWER(A497),"#")</f>
        <v/>
      </c>
      <c r="AG497">
        <f>IF(AE497=1,LOWER(TRIM(TRIM('Roster'!C497)&amp;", "&amp;TRIM('Roster'!B497))),"#")</f>
        <v/>
      </c>
      <c r="AH497">
        <f>IF(AND(AE497=1,TRIM('Roster'!F497)&lt;&gt;""),LOWER(TRIM('Roster'!F497)),"#")</f>
        <v/>
      </c>
      <c r="AI497">
        <f>IF(AE497=1,IF(MATCH(B497,$B$2:$B$701,0)=ROW()-1,1,0),0)</f>
        <v/>
      </c>
      <c r="AJ497">
        <f>AJ496+AI497</f>
        <v/>
      </c>
      <c r="AK497">
        <f>IF(AE497=1,D497+(1000-ROW())/10^7,-1)</f>
        <v/>
      </c>
      <c r="AL497">
        <f>IF(AE497=1,TRIM('Roster'!B497)&amp;" "&amp;LEFT(TRIM('Roster'!C497),1)&amp;".","")</f>
        <v/>
      </c>
      <c r="AM497">
        <f>IF(AE497=1,TRIM('Roster'!C497)&amp;", "&amp;TRIM('Roster'!B497)&amp;" ("&amp;B497&amp;") #"&amp;AD497,"")</f>
        <v/>
      </c>
      <c r="AN497">
        <f>IF(AE497=1,TRIM('Roster'!E497),"")</f>
        <v/>
      </c>
      <c r="AO497">
        <f>IF(AE497=1,ROUND(SUMIFS('All Donations'!$S$2:$S$4001,'All Donations'!$R$2:$R$4001,AD497,'All Donations'!$T$2:$T$4001,"&gt;="&amp;'Settings'!$C$23,'All Donations'!$T$2:$T$4001,"&lt;="&amp;'Settings'!$D$23),2),0)</f>
        <v/>
      </c>
      <c r="AQ497">
        <f>IF(AE497=1,ROUND(SUMIFS('All Donations'!$S$2:$S$4001,'All Donations'!$R$2:$R$4001,AD497,'All Donations'!$T$2:$T$4001,"&gt;="&amp;'Settings'!$C$25,'All Donations'!$T$2:$T$4001,"&lt;="&amp;'Settings'!$D$25),2),0)</f>
        <v/>
      </c>
      <c r="AR497">
        <f>IF(AE497=1,ROUND(SUMIFS('All Donations'!$S$2:$S$4001,'All Donations'!$R$2:$R$4001,AD497,'All Donations'!$T$2:$T$4001,"&gt;="&amp;'Settings'!$C$26,'All Donations'!$T$2:$T$4001,"&lt;="&amp;'Settings'!$D$26),2),0)</f>
        <v/>
      </c>
      <c r="AS497">
        <f>IF(AE497=1,ROUND(SUMIFS('All Donations'!$S$2:$S$4001,'All Donations'!$R$2:$R$4001,AD497,'All Donations'!$T$2:$T$4001,"&lt;="&amp;'Settings'!$D$27),2),0)</f>
        <v/>
      </c>
      <c r="AT497">
        <f>IF(AE497=1,ROUND(SUMIFS('All Donations'!$S$2:$S$4001,'All Donations'!$R$2:$R$4001,AD497,'All Donations'!$T$2:$T$4001,"&gt;="&amp;'Settings'!$C$28,'All Donations'!$T$2:$T$4001,"&lt;="&amp;'Settings'!$D$28),2),0)</f>
        <v/>
      </c>
      <c r="AU497">
        <f>IF(AE497=1,ROUND(SUMIFS('All Donations'!$S$2:$S$4001,'All Donations'!$R$2:$R$4001,AD497,'All Donations'!$T$2:$T$4001,"&gt;="&amp;'Settings'!$C$29,'All Donations'!$T$2:$T$4001,"&lt;="&amp;'Settings'!$D$29),2),0)</f>
        <v/>
      </c>
      <c r="AV497">
        <f>IF(AE497=1,ROUND(SUMIFS('All Donations'!$S$2:$S$4001,'All Donations'!$R$2:$R$4001,AD497,'All Donations'!$T$2:$T$4001,"&lt;="&amp;'Settings'!$D$30),2),0)</f>
        <v/>
      </c>
      <c r="AZ497">
        <f>IF(AE497=1,ROUND(SUMIFS('All Donations'!$S$2:$S$4001,'All Donations'!$R$2:$R$4001,AD497,'All Donations'!$T$2:$T$4001,"&lt;="&amp;'Settings'!$D$34),2),0)</f>
        <v/>
      </c>
    </row>
    <row r="498">
      <c r="A498">
        <f>IF(AE498=1,TRIM(TRIM('Roster'!B498)&amp;" "&amp;TRIM('Roster'!C498)),"")</f>
        <v/>
      </c>
      <c r="B498">
        <f>IF(AE498=1,IF(AN498="","(no teacher)",AN498&amp;" – "&amp;C498),"")</f>
        <v/>
      </c>
      <c r="C498">
        <f>IF(AE498=1,TRIM('Roster'!D498&amp;""),"")</f>
        <v/>
      </c>
      <c r="D498" s="48">
        <f>IF(AE498=1,ROUND(SUMIFS('All Donations'!$S$2:$S$4001,'All Donations'!$R$2:$R$4001,AD498),2),"")</f>
        <v/>
      </c>
      <c r="E498" s="48">
        <f>IF(AE498=1,ROUND(SUMIFS('All Donations'!$S$2:$S$4001,'All Donations'!$R$2:$R$4001,AD498,'All Donations'!$G$2:$G$4001,"OneCause"),2),"")</f>
        <v/>
      </c>
      <c r="F498" s="48">
        <f>IF(AE498=1,D498-E498,"")</f>
        <v/>
      </c>
      <c r="G498">
        <f>IF(AE498=1,COUNTIFS('All Donations'!$R$2:$R$4001,AD498,'All Donations'!$H$2:$H$4001,"OK"),"")</f>
        <v/>
      </c>
      <c r="H498">
        <f>IF(AE498&lt;&gt;1,"",IF(D498&gt;0,"Yes",""))</f>
        <v/>
      </c>
      <c r="I498" s="49">
        <f>IF(OR($AE498&lt;&gt;1,I$1=""),"",SUMIFS('All Donations'!$S$2:$S$4001,'All Donations'!$R$2:$R$4001,$AD498,'All Donations'!$T$2:$T$4001,I$1))</f>
        <v/>
      </c>
      <c r="J498" s="49">
        <f>IF(OR($AE498&lt;&gt;1,J$1=""),"",SUMIFS('All Donations'!$S$2:$S$4001,'All Donations'!$R$2:$R$4001,$AD498,'All Donations'!$T$2:$T$4001,J$1))</f>
        <v/>
      </c>
      <c r="K498" s="49">
        <f>IF(OR($AE498&lt;&gt;1,K$1=""),"",SUMIFS('All Donations'!$S$2:$S$4001,'All Donations'!$R$2:$R$4001,$AD498,'All Donations'!$T$2:$T$4001,K$1))</f>
        <v/>
      </c>
      <c r="L498" s="49">
        <f>IF(OR($AE498&lt;&gt;1,L$1=""),"",SUMIFS('All Donations'!$S$2:$S$4001,'All Donations'!$R$2:$R$4001,$AD498,'All Donations'!$T$2:$T$4001,L$1))</f>
        <v/>
      </c>
      <c r="M498" s="49">
        <f>IF(OR($AE498&lt;&gt;1,M$1=""),"",SUMIFS('All Donations'!$S$2:$S$4001,'All Donations'!$R$2:$R$4001,$AD498,'All Donations'!$T$2:$T$4001,M$1))</f>
        <v/>
      </c>
      <c r="N498" s="49">
        <f>IF(OR($AE498&lt;&gt;1,N$1=""),"",SUMIFS('All Donations'!$S$2:$S$4001,'All Donations'!$R$2:$R$4001,$AD498,'All Donations'!$T$2:$T$4001,N$1))</f>
        <v/>
      </c>
      <c r="O498" s="49">
        <f>IF(OR($AE498&lt;&gt;1,O$1=""),"",SUMIFS('All Donations'!$S$2:$S$4001,'All Donations'!$R$2:$R$4001,$AD498,'All Donations'!$T$2:$T$4001,O$1))</f>
        <v/>
      </c>
      <c r="P498" s="49">
        <f>IF(OR($AE498&lt;&gt;1,P$1=""),"",SUMIFS('All Donations'!$S$2:$S$4001,'All Donations'!$R$2:$R$4001,$AD498,'All Donations'!$T$2:$T$4001,P$1))</f>
        <v/>
      </c>
      <c r="Q498" s="49">
        <f>IF(OR($AE498&lt;&gt;1,Q$1=""),"",SUMIFS('All Donations'!$S$2:$S$4001,'All Donations'!$R$2:$R$4001,$AD498,'All Donations'!$T$2:$T$4001,Q$1))</f>
        <v/>
      </c>
      <c r="R498" s="49">
        <f>IF(OR($AE498&lt;&gt;1,R$1=""),"",SUMIFS('All Donations'!$S$2:$S$4001,'All Donations'!$R$2:$R$4001,$AD498,'All Donations'!$T$2:$T$4001,R$1))</f>
        <v/>
      </c>
      <c r="S498" s="49">
        <f>IF(OR($AE498&lt;&gt;1,S$1=""),"",SUMIFS('All Donations'!$S$2:$S$4001,'All Donations'!$R$2:$R$4001,$AD498,'All Donations'!$T$2:$T$4001,S$1))</f>
        <v/>
      </c>
      <c r="T498" s="49">
        <f>IF(OR($AE498&lt;&gt;1,T$1=""),"",SUMIFS('All Donations'!$S$2:$S$4001,'All Donations'!$R$2:$R$4001,$AD498,'All Donations'!$T$2:$T$4001,T$1))</f>
        <v/>
      </c>
      <c r="U498" s="49">
        <f>IF(OR($AE498&lt;&gt;1,U$1=""),"",SUMIFS('All Donations'!$S$2:$S$4001,'All Donations'!$R$2:$R$4001,$AD498,'All Donations'!$T$2:$T$4001,U$1))</f>
        <v/>
      </c>
      <c r="V498" s="49">
        <f>IF(OR($AE498&lt;&gt;1,V$1=""),"",SUMIFS('All Donations'!$S$2:$S$4001,'All Donations'!$R$2:$R$4001,$AD498,'All Donations'!$T$2:$T$4001,V$1))</f>
        <v/>
      </c>
      <c r="W498" s="49">
        <f>IF(OR($AE498&lt;&gt;1,W$1=""),"",SUMIFS('All Donations'!$S$2:$S$4001,'All Donations'!$R$2:$R$4001,$AD498,'All Donations'!$T$2:$T$4001,W$1))</f>
        <v/>
      </c>
      <c r="X498" s="49">
        <f>IF(OR($AE498&lt;&gt;1,X$1=""),"",SUMIFS('All Donations'!$S$2:$S$4001,'All Donations'!$R$2:$R$4001,$AD498,'All Donations'!$T$2:$T$4001,X$1))</f>
        <v/>
      </c>
      <c r="Y498" s="49">
        <f>IF(OR($AE498&lt;&gt;1,Y$1=""),"",SUMIFS('All Donations'!$S$2:$S$4001,'All Donations'!$R$2:$R$4001,$AD498,'All Donations'!$T$2:$T$4001,Y$1))</f>
        <v/>
      </c>
      <c r="Z498" s="49">
        <f>IF(OR($AE498&lt;&gt;1,Z$1=""),"",SUMIFS('All Donations'!$S$2:$S$4001,'All Donations'!$R$2:$R$4001,$AD498,'All Donations'!$T$2:$T$4001,Z$1))</f>
        <v/>
      </c>
      <c r="AA498" s="49">
        <f>IF(OR($AE498&lt;&gt;1,AA$1=""),"",SUMIFS('All Donations'!$S$2:$S$4001,'All Donations'!$R$2:$R$4001,$AD498,'All Donations'!$T$2:$T$4001,AA$1))</f>
        <v/>
      </c>
      <c r="AB498" s="49">
        <f>IF(OR($AE498&lt;&gt;1,AB$1=""),"",SUMIFS('All Donations'!$S$2:$S$4001,'All Donations'!$R$2:$R$4001,$AD498,'All Donations'!$T$2:$T$4001,AB$1))</f>
        <v/>
      </c>
      <c r="AC498" s="49">
        <f>IF(OR($AE498&lt;&gt;1,AC$1=""),"",SUMIFS('All Donations'!$S$2:$S$4001,'All Donations'!$R$2:$R$4001,$AD498,'All Donations'!$T$2:$T$4001,AC$1))</f>
        <v/>
      </c>
      <c r="AD498">
        <f>IF(AE498=1,'Roster'!A498,"")</f>
        <v/>
      </c>
      <c r="AE498">
        <f>IF(TRIM('Roster'!B498&amp;'Roster'!C498)&lt;&gt;"",1,0)</f>
        <v/>
      </c>
      <c r="AF498">
        <f>IF(AE498=1,LOWER(A498),"#")</f>
        <v/>
      </c>
      <c r="AG498">
        <f>IF(AE498=1,LOWER(TRIM(TRIM('Roster'!C498)&amp;", "&amp;TRIM('Roster'!B498))),"#")</f>
        <v/>
      </c>
      <c r="AH498">
        <f>IF(AND(AE498=1,TRIM('Roster'!F498)&lt;&gt;""),LOWER(TRIM('Roster'!F498)),"#")</f>
        <v/>
      </c>
      <c r="AI498">
        <f>IF(AE498=1,IF(MATCH(B498,$B$2:$B$701,0)=ROW()-1,1,0),0)</f>
        <v/>
      </c>
      <c r="AJ498">
        <f>AJ497+AI498</f>
        <v/>
      </c>
      <c r="AK498">
        <f>IF(AE498=1,D498+(1000-ROW())/10^7,-1)</f>
        <v/>
      </c>
      <c r="AL498">
        <f>IF(AE498=1,TRIM('Roster'!B498)&amp;" "&amp;LEFT(TRIM('Roster'!C498),1)&amp;".","")</f>
        <v/>
      </c>
      <c r="AM498">
        <f>IF(AE498=1,TRIM('Roster'!C498)&amp;", "&amp;TRIM('Roster'!B498)&amp;" ("&amp;B498&amp;") #"&amp;AD498,"")</f>
        <v/>
      </c>
      <c r="AN498">
        <f>IF(AE498=1,TRIM('Roster'!E498),"")</f>
        <v/>
      </c>
      <c r="AO498">
        <f>IF(AE498=1,ROUND(SUMIFS('All Donations'!$S$2:$S$4001,'All Donations'!$R$2:$R$4001,AD498,'All Donations'!$T$2:$T$4001,"&gt;="&amp;'Settings'!$C$23,'All Donations'!$T$2:$T$4001,"&lt;="&amp;'Settings'!$D$23),2),0)</f>
        <v/>
      </c>
      <c r="AQ498">
        <f>IF(AE498=1,ROUND(SUMIFS('All Donations'!$S$2:$S$4001,'All Donations'!$R$2:$R$4001,AD498,'All Donations'!$T$2:$T$4001,"&gt;="&amp;'Settings'!$C$25,'All Donations'!$T$2:$T$4001,"&lt;="&amp;'Settings'!$D$25),2),0)</f>
        <v/>
      </c>
      <c r="AR498">
        <f>IF(AE498=1,ROUND(SUMIFS('All Donations'!$S$2:$S$4001,'All Donations'!$R$2:$R$4001,AD498,'All Donations'!$T$2:$T$4001,"&gt;="&amp;'Settings'!$C$26,'All Donations'!$T$2:$T$4001,"&lt;="&amp;'Settings'!$D$26),2),0)</f>
        <v/>
      </c>
      <c r="AS498">
        <f>IF(AE498=1,ROUND(SUMIFS('All Donations'!$S$2:$S$4001,'All Donations'!$R$2:$R$4001,AD498,'All Donations'!$T$2:$T$4001,"&lt;="&amp;'Settings'!$D$27),2),0)</f>
        <v/>
      </c>
      <c r="AT498">
        <f>IF(AE498=1,ROUND(SUMIFS('All Donations'!$S$2:$S$4001,'All Donations'!$R$2:$R$4001,AD498,'All Donations'!$T$2:$T$4001,"&gt;="&amp;'Settings'!$C$28,'All Donations'!$T$2:$T$4001,"&lt;="&amp;'Settings'!$D$28),2),0)</f>
        <v/>
      </c>
      <c r="AU498">
        <f>IF(AE498=1,ROUND(SUMIFS('All Donations'!$S$2:$S$4001,'All Donations'!$R$2:$R$4001,AD498,'All Donations'!$T$2:$T$4001,"&gt;="&amp;'Settings'!$C$29,'All Donations'!$T$2:$T$4001,"&lt;="&amp;'Settings'!$D$29),2),0)</f>
        <v/>
      </c>
      <c r="AV498">
        <f>IF(AE498=1,ROUND(SUMIFS('All Donations'!$S$2:$S$4001,'All Donations'!$R$2:$R$4001,AD498,'All Donations'!$T$2:$T$4001,"&lt;="&amp;'Settings'!$D$30),2),0)</f>
        <v/>
      </c>
      <c r="AZ498">
        <f>IF(AE498=1,ROUND(SUMIFS('All Donations'!$S$2:$S$4001,'All Donations'!$R$2:$R$4001,AD498,'All Donations'!$T$2:$T$4001,"&lt;="&amp;'Settings'!$D$34),2),0)</f>
        <v/>
      </c>
    </row>
    <row r="499">
      <c r="A499">
        <f>IF(AE499=1,TRIM(TRIM('Roster'!B499)&amp;" "&amp;TRIM('Roster'!C499)),"")</f>
        <v/>
      </c>
      <c r="B499">
        <f>IF(AE499=1,IF(AN499="","(no teacher)",AN499&amp;" – "&amp;C499),"")</f>
        <v/>
      </c>
      <c r="C499">
        <f>IF(AE499=1,TRIM('Roster'!D499&amp;""),"")</f>
        <v/>
      </c>
      <c r="D499" s="48">
        <f>IF(AE499=1,ROUND(SUMIFS('All Donations'!$S$2:$S$4001,'All Donations'!$R$2:$R$4001,AD499),2),"")</f>
        <v/>
      </c>
      <c r="E499" s="48">
        <f>IF(AE499=1,ROUND(SUMIFS('All Donations'!$S$2:$S$4001,'All Donations'!$R$2:$R$4001,AD499,'All Donations'!$G$2:$G$4001,"OneCause"),2),"")</f>
        <v/>
      </c>
      <c r="F499" s="48">
        <f>IF(AE499=1,D499-E499,"")</f>
        <v/>
      </c>
      <c r="G499">
        <f>IF(AE499=1,COUNTIFS('All Donations'!$R$2:$R$4001,AD499,'All Donations'!$H$2:$H$4001,"OK"),"")</f>
        <v/>
      </c>
      <c r="H499">
        <f>IF(AE499&lt;&gt;1,"",IF(D499&gt;0,"Yes",""))</f>
        <v/>
      </c>
      <c r="I499" s="49">
        <f>IF(OR($AE499&lt;&gt;1,I$1=""),"",SUMIFS('All Donations'!$S$2:$S$4001,'All Donations'!$R$2:$R$4001,$AD499,'All Donations'!$T$2:$T$4001,I$1))</f>
        <v/>
      </c>
      <c r="J499" s="49">
        <f>IF(OR($AE499&lt;&gt;1,J$1=""),"",SUMIFS('All Donations'!$S$2:$S$4001,'All Donations'!$R$2:$R$4001,$AD499,'All Donations'!$T$2:$T$4001,J$1))</f>
        <v/>
      </c>
      <c r="K499" s="49">
        <f>IF(OR($AE499&lt;&gt;1,K$1=""),"",SUMIFS('All Donations'!$S$2:$S$4001,'All Donations'!$R$2:$R$4001,$AD499,'All Donations'!$T$2:$T$4001,K$1))</f>
        <v/>
      </c>
      <c r="L499" s="49">
        <f>IF(OR($AE499&lt;&gt;1,L$1=""),"",SUMIFS('All Donations'!$S$2:$S$4001,'All Donations'!$R$2:$R$4001,$AD499,'All Donations'!$T$2:$T$4001,L$1))</f>
        <v/>
      </c>
      <c r="M499" s="49">
        <f>IF(OR($AE499&lt;&gt;1,M$1=""),"",SUMIFS('All Donations'!$S$2:$S$4001,'All Donations'!$R$2:$R$4001,$AD499,'All Donations'!$T$2:$T$4001,M$1))</f>
        <v/>
      </c>
      <c r="N499" s="49">
        <f>IF(OR($AE499&lt;&gt;1,N$1=""),"",SUMIFS('All Donations'!$S$2:$S$4001,'All Donations'!$R$2:$R$4001,$AD499,'All Donations'!$T$2:$T$4001,N$1))</f>
        <v/>
      </c>
      <c r="O499" s="49">
        <f>IF(OR($AE499&lt;&gt;1,O$1=""),"",SUMIFS('All Donations'!$S$2:$S$4001,'All Donations'!$R$2:$R$4001,$AD499,'All Donations'!$T$2:$T$4001,O$1))</f>
        <v/>
      </c>
      <c r="P499" s="49">
        <f>IF(OR($AE499&lt;&gt;1,P$1=""),"",SUMIFS('All Donations'!$S$2:$S$4001,'All Donations'!$R$2:$R$4001,$AD499,'All Donations'!$T$2:$T$4001,P$1))</f>
        <v/>
      </c>
      <c r="Q499" s="49">
        <f>IF(OR($AE499&lt;&gt;1,Q$1=""),"",SUMIFS('All Donations'!$S$2:$S$4001,'All Donations'!$R$2:$R$4001,$AD499,'All Donations'!$T$2:$T$4001,Q$1))</f>
        <v/>
      </c>
      <c r="R499" s="49">
        <f>IF(OR($AE499&lt;&gt;1,R$1=""),"",SUMIFS('All Donations'!$S$2:$S$4001,'All Donations'!$R$2:$R$4001,$AD499,'All Donations'!$T$2:$T$4001,R$1))</f>
        <v/>
      </c>
      <c r="S499" s="49">
        <f>IF(OR($AE499&lt;&gt;1,S$1=""),"",SUMIFS('All Donations'!$S$2:$S$4001,'All Donations'!$R$2:$R$4001,$AD499,'All Donations'!$T$2:$T$4001,S$1))</f>
        <v/>
      </c>
      <c r="T499" s="49">
        <f>IF(OR($AE499&lt;&gt;1,T$1=""),"",SUMIFS('All Donations'!$S$2:$S$4001,'All Donations'!$R$2:$R$4001,$AD499,'All Donations'!$T$2:$T$4001,T$1))</f>
        <v/>
      </c>
      <c r="U499" s="49">
        <f>IF(OR($AE499&lt;&gt;1,U$1=""),"",SUMIFS('All Donations'!$S$2:$S$4001,'All Donations'!$R$2:$R$4001,$AD499,'All Donations'!$T$2:$T$4001,U$1))</f>
        <v/>
      </c>
      <c r="V499" s="49">
        <f>IF(OR($AE499&lt;&gt;1,V$1=""),"",SUMIFS('All Donations'!$S$2:$S$4001,'All Donations'!$R$2:$R$4001,$AD499,'All Donations'!$T$2:$T$4001,V$1))</f>
        <v/>
      </c>
      <c r="W499" s="49">
        <f>IF(OR($AE499&lt;&gt;1,W$1=""),"",SUMIFS('All Donations'!$S$2:$S$4001,'All Donations'!$R$2:$R$4001,$AD499,'All Donations'!$T$2:$T$4001,W$1))</f>
        <v/>
      </c>
      <c r="X499" s="49">
        <f>IF(OR($AE499&lt;&gt;1,X$1=""),"",SUMIFS('All Donations'!$S$2:$S$4001,'All Donations'!$R$2:$R$4001,$AD499,'All Donations'!$T$2:$T$4001,X$1))</f>
        <v/>
      </c>
      <c r="Y499" s="49">
        <f>IF(OR($AE499&lt;&gt;1,Y$1=""),"",SUMIFS('All Donations'!$S$2:$S$4001,'All Donations'!$R$2:$R$4001,$AD499,'All Donations'!$T$2:$T$4001,Y$1))</f>
        <v/>
      </c>
      <c r="Z499" s="49">
        <f>IF(OR($AE499&lt;&gt;1,Z$1=""),"",SUMIFS('All Donations'!$S$2:$S$4001,'All Donations'!$R$2:$R$4001,$AD499,'All Donations'!$T$2:$T$4001,Z$1))</f>
        <v/>
      </c>
      <c r="AA499" s="49">
        <f>IF(OR($AE499&lt;&gt;1,AA$1=""),"",SUMIFS('All Donations'!$S$2:$S$4001,'All Donations'!$R$2:$R$4001,$AD499,'All Donations'!$T$2:$T$4001,AA$1))</f>
        <v/>
      </c>
      <c r="AB499" s="49">
        <f>IF(OR($AE499&lt;&gt;1,AB$1=""),"",SUMIFS('All Donations'!$S$2:$S$4001,'All Donations'!$R$2:$R$4001,$AD499,'All Donations'!$T$2:$T$4001,AB$1))</f>
        <v/>
      </c>
      <c r="AC499" s="49">
        <f>IF(OR($AE499&lt;&gt;1,AC$1=""),"",SUMIFS('All Donations'!$S$2:$S$4001,'All Donations'!$R$2:$R$4001,$AD499,'All Donations'!$T$2:$T$4001,AC$1))</f>
        <v/>
      </c>
      <c r="AD499">
        <f>IF(AE499=1,'Roster'!A499,"")</f>
        <v/>
      </c>
      <c r="AE499">
        <f>IF(TRIM('Roster'!B499&amp;'Roster'!C499)&lt;&gt;"",1,0)</f>
        <v/>
      </c>
      <c r="AF499">
        <f>IF(AE499=1,LOWER(A499),"#")</f>
        <v/>
      </c>
      <c r="AG499">
        <f>IF(AE499=1,LOWER(TRIM(TRIM('Roster'!C499)&amp;", "&amp;TRIM('Roster'!B499))),"#")</f>
        <v/>
      </c>
      <c r="AH499">
        <f>IF(AND(AE499=1,TRIM('Roster'!F499)&lt;&gt;""),LOWER(TRIM('Roster'!F499)),"#")</f>
        <v/>
      </c>
      <c r="AI499">
        <f>IF(AE499=1,IF(MATCH(B499,$B$2:$B$701,0)=ROW()-1,1,0),0)</f>
        <v/>
      </c>
      <c r="AJ499">
        <f>AJ498+AI499</f>
        <v/>
      </c>
      <c r="AK499">
        <f>IF(AE499=1,D499+(1000-ROW())/10^7,-1)</f>
        <v/>
      </c>
      <c r="AL499">
        <f>IF(AE499=1,TRIM('Roster'!B499)&amp;" "&amp;LEFT(TRIM('Roster'!C499),1)&amp;".","")</f>
        <v/>
      </c>
      <c r="AM499">
        <f>IF(AE499=1,TRIM('Roster'!C499)&amp;", "&amp;TRIM('Roster'!B499)&amp;" ("&amp;B499&amp;") #"&amp;AD499,"")</f>
        <v/>
      </c>
      <c r="AN499">
        <f>IF(AE499=1,TRIM('Roster'!E499),"")</f>
        <v/>
      </c>
      <c r="AO499">
        <f>IF(AE499=1,ROUND(SUMIFS('All Donations'!$S$2:$S$4001,'All Donations'!$R$2:$R$4001,AD499,'All Donations'!$T$2:$T$4001,"&gt;="&amp;'Settings'!$C$23,'All Donations'!$T$2:$T$4001,"&lt;="&amp;'Settings'!$D$23),2),0)</f>
        <v/>
      </c>
      <c r="AQ499">
        <f>IF(AE499=1,ROUND(SUMIFS('All Donations'!$S$2:$S$4001,'All Donations'!$R$2:$R$4001,AD499,'All Donations'!$T$2:$T$4001,"&gt;="&amp;'Settings'!$C$25,'All Donations'!$T$2:$T$4001,"&lt;="&amp;'Settings'!$D$25),2),0)</f>
        <v/>
      </c>
      <c r="AR499">
        <f>IF(AE499=1,ROUND(SUMIFS('All Donations'!$S$2:$S$4001,'All Donations'!$R$2:$R$4001,AD499,'All Donations'!$T$2:$T$4001,"&gt;="&amp;'Settings'!$C$26,'All Donations'!$T$2:$T$4001,"&lt;="&amp;'Settings'!$D$26),2),0)</f>
        <v/>
      </c>
      <c r="AS499">
        <f>IF(AE499=1,ROUND(SUMIFS('All Donations'!$S$2:$S$4001,'All Donations'!$R$2:$R$4001,AD499,'All Donations'!$T$2:$T$4001,"&lt;="&amp;'Settings'!$D$27),2),0)</f>
        <v/>
      </c>
      <c r="AT499">
        <f>IF(AE499=1,ROUND(SUMIFS('All Donations'!$S$2:$S$4001,'All Donations'!$R$2:$R$4001,AD499,'All Donations'!$T$2:$T$4001,"&gt;="&amp;'Settings'!$C$28,'All Donations'!$T$2:$T$4001,"&lt;="&amp;'Settings'!$D$28),2),0)</f>
        <v/>
      </c>
      <c r="AU499">
        <f>IF(AE499=1,ROUND(SUMIFS('All Donations'!$S$2:$S$4001,'All Donations'!$R$2:$R$4001,AD499,'All Donations'!$T$2:$T$4001,"&gt;="&amp;'Settings'!$C$29,'All Donations'!$T$2:$T$4001,"&lt;="&amp;'Settings'!$D$29),2),0)</f>
        <v/>
      </c>
      <c r="AV499">
        <f>IF(AE499=1,ROUND(SUMIFS('All Donations'!$S$2:$S$4001,'All Donations'!$R$2:$R$4001,AD499,'All Donations'!$T$2:$T$4001,"&lt;="&amp;'Settings'!$D$30),2),0)</f>
        <v/>
      </c>
      <c r="AZ499">
        <f>IF(AE499=1,ROUND(SUMIFS('All Donations'!$S$2:$S$4001,'All Donations'!$R$2:$R$4001,AD499,'All Donations'!$T$2:$T$4001,"&lt;="&amp;'Settings'!$D$34),2),0)</f>
        <v/>
      </c>
    </row>
    <row r="500">
      <c r="A500">
        <f>IF(AE500=1,TRIM(TRIM('Roster'!B500)&amp;" "&amp;TRIM('Roster'!C500)),"")</f>
        <v/>
      </c>
      <c r="B500">
        <f>IF(AE500=1,IF(AN500="","(no teacher)",AN500&amp;" – "&amp;C500),"")</f>
        <v/>
      </c>
      <c r="C500">
        <f>IF(AE500=1,TRIM('Roster'!D500&amp;""),"")</f>
        <v/>
      </c>
      <c r="D500" s="48">
        <f>IF(AE500=1,ROUND(SUMIFS('All Donations'!$S$2:$S$4001,'All Donations'!$R$2:$R$4001,AD500),2),"")</f>
        <v/>
      </c>
      <c r="E500" s="48">
        <f>IF(AE500=1,ROUND(SUMIFS('All Donations'!$S$2:$S$4001,'All Donations'!$R$2:$R$4001,AD500,'All Donations'!$G$2:$G$4001,"OneCause"),2),"")</f>
        <v/>
      </c>
      <c r="F500" s="48">
        <f>IF(AE500=1,D500-E500,"")</f>
        <v/>
      </c>
      <c r="G500">
        <f>IF(AE500=1,COUNTIFS('All Donations'!$R$2:$R$4001,AD500,'All Donations'!$H$2:$H$4001,"OK"),"")</f>
        <v/>
      </c>
      <c r="H500">
        <f>IF(AE500&lt;&gt;1,"",IF(D500&gt;0,"Yes",""))</f>
        <v/>
      </c>
      <c r="I500" s="49">
        <f>IF(OR($AE500&lt;&gt;1,I$1=""),"",SUMIFS('All Donations'!$S$2:$S$4001,'All Donations'!$R$2:$R$4001,$AD500,'All Donations'!$T$2:$T$4001,I$1))</f>
        <v/>
      </c>
      <c r="J500" s="49">
        <f>IF(OR($AE500&lt;&gt;1,J$1=""),"",SUMIFS('All Donations'!$S$2:$S$4001,'All Donations'!$R$2:$R$4001,$AD500,'All Donations'!$T$2:$T$4001,J$1))</f>
        <v/>
      </c>
      <c r="K500" s="49">
        <f>IF(OR($AE500&lt;&gt;1,K$1=""),"",SUMIFS('All Donations'!$S$2:$S$4001,'All Donations'!$R$2:$R$4001,$AD500,'All Donations'!$T$2:$T$4001,K$1))</f>
        <v/>
      </c>
      <c r="L500" s="49">
        <f>IF(OR($AE500&lt;&gt;1,L$1=""),"",SUMIFS('All Donations'!$S$2:$S$4001,'All Donations'!$R$2:$R$4001,$AD500,'All Donations'!$T$2:$T$4001,L$1))</f>
        <v/>
      </c>
      <c r="M500" s="49">
        <f>IF(OR($AE500&lt;&gt;1,M$1=""),"",SUMIFS('All Donations'!$S$2:$S$4001,'All Donations'!$R$2:$R$4001,$AD500,'All Donations'!$T$2:$T$4001,M$1))</f>
        <v/>
      </c>
      <c r="N500" s="49">
        <f>IF(OR($AE500&lt;&gt;1,N$1=""),"",SUMIFS('All Donations'!$S$2:$S$4001,'All Donations'!$R$2:$R$4001,$AD500,'All Donations'!$T$2:$T$4001,N$1))</f>
        <v/>
      </c>
      <c r="O500" s="49">
        <f>IF(OR($AE500&lt;&gt;1,O$1=""),"",SUMIFS('All Donations'!$S$2:$S$4001,'All Donations'!$R$2:$R$4001,$AD500,'All Donations'!$T$2:$T$4001,O$1))</f>
        <v/>
      </c>
      <c r="P500" s="49">
        <f>IF(OR($AE500&lt;&gt;1,P$1=""),"",SUMIFS('All Donations'!$S$2:$S$4001,'All Donations'!$R$2:$R$4001,$AD500,'All Donations'!$T$2:$T$4001,P$1))</f>
        <v/>
      </c>
      <c r="Q500" s="49">
        <f>IF(OR($AE500&lt;&gt;1,Q$1=""),"",SUMIFS('All Donations'!$S$2:$S$4001,'All Donations'!$R$2:$R$4001,$AD500,'All Donations'!$T$2:$T$4001,Q$1))</f>
        <v/>
      </c>
      <c r="R500" s="49">
        <f>IF(OR($AE500&lt;&gt;1,R$1=""),"",SUMIFS('All Donations'!$S$2:$S$4001,'All Donations'!$R$2:$R$4001,$AD500,'All Donations'!$T$2:$T$4001,R$1))</f>
        <v/>
      </c>
      <c r="S500" s="49">
        <f>IF(OR($AE500&lt;&gt;1,S$1=""),"",SUMIFS('All Donations'!$S$2:$S$4001,'All Donations'!$R$2:$R$4001,$AD500,'All Donations'!$T$2:$T$4001,S$1))</f>
        <v/>
      </c>
      <c r="T500" s="49">
        <f>IF(OR($AE500&lt;&gt;1,T$1=""),"",SUMIFS('All Donations'!$S$2:$S$4001,'All Donations'!$R$2:$R$4001,$AD500,'All Donations'!$T$2:$T$4001,T$1))</f>
        <v/>
      </c>
      <c r="U500" s="49">
        <f>IF(OR($AE500&lt;&gt;1,U$1=""),"",SUMIFS('All Donations'!$S$2:$S$4001,'All Donations'!$R$2:$R$4001,$AD500,'All Donations'!$T$2:$T$4001,U$1))</f>
        <v/>
      </c>
      <c r="V500" s="49">
        <f>IF(OR($AE500&lt;&gt;1,V$1=""),"",SUMIFS('All Donations'!$S$2:$S$4001,'All Donations'!$R$2:$R$4001,$AD500,'All Donations'!$T$2:$T$4001,V$1))</f>
        <v/>
      </c>
      <c r="W500" s="49">
        <f>IF(OR($AE500&lt;&gt;1,W$1=""),"",SUMIFS('All Donations'!$S$2:$S$4001,'All Donations'!$R$2:$R$4001,$AD500,'All Donations'!$T$2:$T$4001,W$1))</f>
        <v/>
      </c>
      <c r="X500" s="49">
        <f>IF(OR($AE500&lt;&gt;1,X$1=""),"",SUMIFS('All Donations'!$S$2:$S$4001,'All Donations'!$R$2:$R$4001,$AD500,'All Donations'!$T$2:$T$4001,X$1))</f>
        <v/>
      </c>
      <c r="Y500" s="49">
        <f>IF(OR($AE500&lt;&gt;1,Y$1=""),"",SUMIFS('All Donations'!$S$2:$S$4001,'All Donations'!$R$2:$R$4001,$AD500,'All Donations'!$T$2:$T$4001,Y$1))</f>
        <v/>
      </c>
      <c r="Z500" s="49">
        <f>IF(OR($AE500&lt;&gt;1,Z$1=""),"",SUMIFS('All Donations'!$S$2:$S$4001,'All Donations'!$R$2:$R$4001,$AD500,'All Donations'!$T$2:$T$4001,Z$1))</f>
        <v/>
      </c>
      <c r="AA500" s="49">
        <f>IF(OR($AE500&lt;&gt;1,AA$1=""),"",SUMIFS('All Donations'!$S$2:$S$4001,'All Donations'!$R$2:$R$4001,$AD500,'All Donations'!$T$2:$T$4001,AA$1))</f>
        <v/>
      </c>
      <c r="AB500" s="49">
        <f>IF(OR($AE500&lt;&gt;1,AB$1=""),"",SUMIFS('All Donations'!$S$2:$S$4001,'All Donations'!$R$2:$R$4001,$AD500,'All Donations'!$T$2:$T$4001,AB$1))</f>
        <v/>
      </c>
      <c r="AC500" s="49">
        <f>IF(OR($AE500&lt;&gt;1,AC$1=""),"",SUMIFS('All Donations'!$S$2:$S$4001,'All Donations'!$R$2:$R$4001,$AD500,'All Donations'!$T$2:$T$4001,AC$1))</f>
        <v/>
      </c>
      <c r="AD500">
        <f>IF(AE500=1,'Roster'!A500,"")</f>
        <v/>
      </c>
      <c r="AE500">
        <f>IF(TRIM('Roster'!B500&amp;'Roster'!C500)&lt;&gt;"",1,0)</f>
        <v/>
      </c>
      <c r="AF500">
        <f>IF(AE500=1,LOWER(A500),"#")</f>
        <v/>
      </c>
      <c r="AG500">
        <f>IF(AE500=1,LOWER(TRIM(TRIM('Roster'!C500)&amp;", "&amp;TRIM('Roster'!B500))),"#")</f>
        <v/>
      </c>
      <c r="AH500">
        <f>IF(AND(AE500=1,TRIM('Roster'!F500)&lt;&gt;""),LOWER(TRIM('Roster'!F500)),"#")</f>
        <v/>
      </c>
      <c r="AI500">
        <f>IF(AE500=1,IF(MATCH(B500,$B$2:$B$701,0)=ROW()-1,1,0),0)</f>
        <v/>
      </c>
      <c r="AJ500">
        <f>AJ499+AI500</f>
        <v/>
      </c>
      <c r="AK500">
        <f>IF(AE500=1,D500+(1000-ROW())/10^7,-1)</f>
        <v/>
      </c>
      <c r="AL500">
        <f>IF(AE500=1,TRIM('Roster'!B500)&amp;" "&amp;LEFT(TRIM('Roster'!C500),1)&amp;".","")</f>
        <v/>
      </c>
      <c r="AM500">
        <f>IF(AE500=1,TRIM('Roster'!C500)&amp;", "&amp;TRIM('Roster'!B500)&amp;" ("&amp;B500&amp;") #"&amp;AD500,"")</f>
        <v/>
      </c>
      <c r="AN500">
        <f>IF(AE500=1,TRIM('Roster'!E500),"")</f>
        <v/>
      </c>
      <c r="AO500">
        <f>IF(AE500=1,ROUND(SUMIFS('All Donations'!$S$2:$S$4001,'All Donations'!$R$2:$R$4001,AD500,'All Donations'!$T$2:$T$4001,"&gt;="&amp;'Settings'!$C$23,'All Donations'!$T$2:$T$4001,"&lt;="&amp;'Settings'!$D$23),2),0)</f>
        <v/>
      </c>
      <c r="AQ500">
        <f>IF(AE500=1,ROUND(SUMIFS('All Donations'!$S$2:$S$4001,'All Donations'!$R$2:$R$4001,AD500,'All Donations'!$T$2:$T$4001,"&gt;="&amp;'Settings'!$C$25,'All Donations'!$T$2:$T$4001,"&lt;="&amp;'Settings'!$D$25),2),0)</f>
        <v/>
      </c>
      <c r="AR500">
        <f>IF(AE500=1,ROUND(SUMIFS('All Donations'!$S$2:$S$4001,'All Donations'!$R$2:$R$4001,AD500,'All Donations'!$T$2:$T$4001,"&gt;="&amp;'Settings'!$C$26,'All Donations'!$T$2:$T$4001,"&lt;="&amp;'Settings'!$D$26),2),0)</f>
        <v/>
      </c>
      <c r="AS500">
        <f>IF(AE500=1,ROUND(SUMIFS('All Donations'!$S$2:$S$4001,'All Donations'!$R$2:$R$4001,AD500,'All Donations'!$T$2:$T$4001,"&lt;="&amp;'Settings'!$D$27),2),0)</f>
        <v/>
      </c>
      <c r="AT500">
        <f>IF(AE500=1,ROUND(SUMIFS('All Donations'!$S$2:$S$4001,'All Donations'!$R$2:$R$4001,AD500,'All Donations'!$T$2:$T$4001,"&gt;="&amp;'Settings'!$C$28,'All Donations'!$T$2:$T$4001,"&lt;="&amp;'Settings'!$D$28),2),0)</f>
        <v/>
      </c>
      <c r="AU500">
        <f>IF(AE500=1,ROUND(SUMIFS('All Donations'!$S$2:$S$4001,'All Donations'!$R$2:$R$4001,AD500,'All Donations'!$T$2:$T$4001,"&gt;="&amp;'Settings'!$C$29,'All Donations'!$T$2:$T$4001,"&lt;="&amp;'Settings'!$D$29),2),0)</f>
        <v/>
      </c>
      <c r="AV500">
        <f>IF(AE500=1,ROUND(SUMIFS('All Donations'!$S$2:$S$4001,'All Donations'!$R$2:$R$4001,AD500,'All Donations'!$T$2:$T$4001,"&lt;="&amp;'Settings'!$D$30),2),0)</f>
        <v/>
      </c>
      <c r="AZ500">
        <f>IF(AE500=1,ROUND(SUMIFS('All Donations'!$S$2:$S$4001,'All Donations'!$R$2:$R$4001,AD500,'All Donations'!$T$2:$T$4001,"&lt;="&amp;'Settings'!$D$34),2),0)</f>
        <v/>
      </c>
    </row>
    <row r="501">
      <c r="A501">
        <f>IF(AE501=1,TRIM(TRIM('Roster'!B501)&amp;" "&amp;TRIM('Roster'!C501)),"")</f>
        <v/>
      </c>
      <c r="B501">
        <f>IF(AE501=1,IF(AN501="","(no teacher)",AN501&amp;" – "&amp;C501),"")</f>
        <v/>
      </c>
      <c r="C501">
        <f>IF(AE501=1,TRIM('Roster'!D501&amp;""),"")</f>
        <v/>
      </c>
      <c r="D501" s="48">
        <f>IF(AE501=1,ROUND(SUMIFS('All Donations'!$S$2:$S$4001,'All Donations'!$R$2:$R$4001,AD501),2),"")</f>
        <v/>
      </c>
      <c r="E501" s="48">
        <f>IF(AE501=1,ROUND(SUMIFS('All Donations'!$S$2:$S$4001,'All Donations'!$R$2:$R$4001,AD501,'All Donations'!$G$2:$G$4001,"OneCause"),2),"")</f>
        <v/>
      </c>
      <c r="F501" s="48">
        <f>IF(AE501=1,D501-E501,"")</f>
        <v/>
      </c>
      <c r="G501">
        <f>IF(AE501=1,COUNTIFS('All Donations'!$R$2:$R$4001,AD501,'All Donations'!$H$2:$H$4001,"OK"),"")</f>
        <v/>
      </c>
      <c r="H501">
        <f>IF(AE501&lt;&gt;1,"",IF(D501&gt;0,"Yes",""))</f>
        <v/>
      </c>
      <c r="I501" s="49">
        <f>IF(OR($AE501&lt;&gt;1,I$1=""),"",SUMIFS('All Donations'!$S$2:$S$4001,'All Donations'!$R$2:$R$4001,$AD501,'All Donations'!$T$2:$T$4001,I$1))</f>
        <v/>
      </c>
      <c r="J501" s="49">
        <f>IF(OR($AE501&lt;&gt;1,J$1=""),"",SUMIFS('All Donations'!$S$2:$S$4001,'All Donations'!$R$2:$R$4001,$AD501,'All Donations'!$T$2:$T$4001,J$1))</f>
        <v/>
      </c>
      <c r="K501" s="49">
        <f>IF(OR($AE501&lt;&gt;1,K$1=""),"",SUMIFS('All Donations'!$S$2:$S$4001,'All Donations'!$R$2:$R$4001,$AD501,'All Donations'!$T$2:$T$4001,K$1))</f>
        <v/>
      </c>
      <c r="L501" s="49">
        <f>IF(OR($AE501&lt;&gt;1,L$1=""),"",SUMIFS('All Donations'!$S$2:$S$4001,'All Donations'!$R$2:$R$4001,$AD501,'All Donations'!$T$2:$T$4001,L$1))</f>
        <v/>
      </c>
      <c r="M501" s="49">
        <f>IF(OR($AE501&lt;&gt;1,M$1=""),"",SUMIFS('All Donations'!$S$2:$S$4001,'All Donations'!$R$2:$R$4001,$AD501,'All Donations'!$T$2:$T$4001,M$1))</f>
        <v/>
      </c>
      <c r="N501" s="49">
        <f>IF(OR($AE501&lt;&gt;1,N$1=""),"",SUMIFS('All Donations'!$S$2:$S$4001,'All Donations'!$R$2:$R$4001,$AD501,'All Donations'!$T$2:$T$4001,N$1))</f>
        <v/>
      </c>
      <c r="O501" s="49">
        <f>IF(OR($AE501&lt;&gt;1,O$1=""),"",SUMIFS('All Donations'!$S$2:$S$4001,'All Donations'!$R$2:$R$4001,$AD501,'All Donations'!$T$2:$T$4001,O$1))</f>
        <v/>
      </c>
      <c r="P501" s="49">
        <f>IF(OR($AE501&lt;&gt;1,P$1=""),"",SUMIFS('All Donations'!$S$2:$S$4001,'All Donations'!$R$2:$R$4001,$AD501,'All Donations'!$T$2:$T$4001,P$1))</f>
        <v/>
      </c>
      <c r="Q501" s="49">
        <f>IF(OR($AE501&lt;&gt;1,Q$1=""),"",SUMIFS('All Donations'!$S$2:$S$4001,'All Donations'!$R$2:$R$4001,$AD501,'All Donations'!$T$2:$T$4001,Q$1))</f>
        <v/>
      </c>
      <c r="R501" s="49">
        <f>IF(OR($AE501&lt;&gt;1,R$1=""),"",SUMIFS('All Donations'!$S$2:$S$4001,'All Donations'!$R$2:$R$4001,$AD501,'All Donations'!$T$2:$T$4001,R$1))</f>
        <v/>
      </c>
      <c r="S501" s="49">
        <f>IF(OR($AE501&lt;&gt;1,S$1=""),"",SUMIFS('All Donations'!$S$2:$S$4001,'All Donations'!$R$2:$R$4001,$AD501,'All Donations'!$T$2:$T$4001,S$1))</f>
        <v/>
      </c>
      <c r="T501" s="49">
        <f>IF(OR($AE501&lt;&gt;1,T$1=""),"",SUMIFS('All Donations'!$S$2:$S$4001,'All Donations'!$R$2:$R$4001,$AD501,'All Donations'!$T$2:$T$4001,T$1))</f>
        <v/>
      </c>
      <c r="U501" s="49">
        <f>IF(OR($AE501&lt;&gt;1,U$1=""),"",SUMIFS('All Donations'!$S$2:$S$4001,'All Donations'!$R$2:$R$4001,$AD501,'All Donations'!$T$2:$T$4001,U$1))</f>
        <v/>
      </c>
      <c r="V501" s="49">
        <f>IF(OR($AE501&lt;&gt;1,V$1=""),"",SUMIFS('All Donations'!$S$2:$S$4001,'All Donations'!$R$2:$R$4001,$AD501,'All Donations'!$T$2:$T$4001,V$1))</f>
        <v/>
      </c>
      <c r="W501" s="49">
        <f>IF(OR($AE501&lt;&gt;1,W$1=""),"",SUMIFS('All Donations'!$S$2:$S$4001,'All Donations'!$R$2:$R$4001,$AD501,'All Donations'!$T$2:$T$4001,W$1))</f>
        <v/>
      </c>
      <c r="X501" s="49">
        <f>IF(OR($AE501&lt;&gt;1,X$1=""),"",SUMIFS('All Donations'!$S$2:$S$4001,'All Donations'!$R$2:$R$4001,$AD501,'All Donations'!$T$2:$T$4001,X$1))</f>
        <v/>
      </c>
      <c r="Y501" s="49">
        <f>IF(OR($AE501&lt;&gt;1,Y$1=""),"",SUMIFS('All Donations'!$S$2:$S$4001,'All Donations'!$R$2:$R$4001,$AD501,'All Donations'!$T$2:$T$4001,Y$1))</f>
        <v/>
      </c>
      <c r="Z501" s="49">
        <f>IF(OR($AE501&lt;&gt;1,Z$1=""),"",SUMIFS('All Donations'!$S$2:$S$4001,'All Donations'!$R$2:$R$4001,$AD501,'All Donations'!$T$2:$T$4001,Z$1))</f>
        <v/>
      </c>
      <c r="AA501" s="49">
        <f>IF(OR($AE501&lt;&gt;1,AA$1=""),"",SUMIFS('All Donations'!$S$2:$S$4001,'All Donations'!$R$2:$R$4001,$AD501,'All Donations'!$T$2:$T$4001,AA$1))</f>
        <v/>
      </c>
      <c r="AB501" s="49">
        <f>IF(OR($AE501&lt;&gt;1,AB$1=""),"",SUMIFS('All Donations'!$S$2:$S$4001,'All Donations'!$R$2:$R$4001,$AD501,'All Donations'!$T$2:$T$4001,AB$1))</f>
        <v/>
      </c>
      <c r="AC501" s="49">
        <f>IF(OR($AE501&lt;&gt;1,AC$1=""),"",SUMIFS('All Donations'!$S$2:$S$4001,'All Donations'!$R$2:$R$4001,$AD501,'All Donations'!$T$2:$T$4001,AC$1))</f>
        <v/>
      </c>
      <c r="AD501">
        <f>IF(AE501=1,'Roster'!A501,"")</f>
        <v/>
      </c>
      <c r="AE501">
        <f>IF(TRIM('Roster'!B501&amp;'Roster'!C501)&lt;&gt;"",1,0)</f>
        <v/>
      </c>
      <c r="AF501">
        <f>IF(AE501=1,LOWER(A501),"#")</f>
        <v/>
      </c>
      <c r="AG501">
        <f>IF(AE501=1,LOWER(TRIM(TRIM('Roster'!C501)&amp;", "&amp;TRIM('Roster'!B501))),"#")</f>
        <v/>
      </c>
      <c r="AH501">
        <f>IF(AND(AE501=1,TRIM('Roster'!F501)&lt;&gt;""),LOWER(TRIM('Roster'!F501)),"#")</f>
        <v/>
      </c>
      <c r="AI501">
        <f>IF(AE501=1,IF(MATCH(B501,$B$2:$B$701,0)=ROW()-1,1,0),0)</f>
        <v/>
      </c>
      <c r="AJ501">
        <f>AJ500+AI501</f>
        <v/>
      </c>
      <c r="AK501">
        <f>IF(AE501=1,D501+(1000-ROW())/10^7,-1)</f>
        <v/>
      </c>
      <c r="AL501">
        <f>IF(AE501=1,TRIM('Roster'!B501)&amp;" "&amp;LEFT(TRIM('Roster'!C501),1)&amp;".","")</f>
        <v/>
      </c>
      <c r="AM501">
        <f>IF(AE501=1,TRIM('Roster'!C501)&amp;", "&amp;TRIM('Roster'!B501)&amp;" ("&amp;B501&amp;") #"&amp;AD501,"")</f>
        <v/>
      </c>
      <c r="AN501">
        <f>IF(AE501=1,TRIM('Roster'!E501),"")</f>
        <v/>
      </c>
      <c r="AO501">
        <f>IF(AE501=1,ROUND(SUMIFS('All Donations'!$S$2:$S$4001,'All Donations'!$R$2:$R$4001,AD501,'All Donations'!$T$2:$T$4001,"&gt;="&amp;'Settings'!$C$23,'All Donations'!$T$2:$T$4001,"&lt;="&amp;'Settings'!$D$23),2),0)</f>
        <v/>
      </c>
      <c r="AQ501">
        <f>IF(AE501=1,ROUND(SUMIFS('All Donations'!$S$2:$S$4001,'All Donations'!$R$2:$R$4001,AD501,'All Donations'!$T$2:$T$4001,"&gt;="&amp;'Settings'!$C$25,'All Donations'!$T$2:$T$4001,"&lt;="&amp;'Settings'!$D$25),2),0)</f>
        <v/>
      </c>
      <c r="AR501">
        <f>IF(AE501=1,ROUND(SUMIFS('All Donations'!$S$2:$S$4001,'All Donations'!$R$2:$R$4001,AD501,'All Donations'!$T$2:$T$4001,"&gt;="&amp;'Settings'!$C$26,'All Donations'!$T$2:$T$4001,"&lt;="&amp;'Settings'!$D$26),2),0)</f>
        <v/>
      </c>
      <c r="AS501">
        <f>IF(AE501=1,ROUND(SUMIFS('All Donations'!$S$2:$S$4001,'All Donations'!$R$2:$R$4001,AD501,'All Donations'!$T$2:$T$4001,"&lt;="&amp;'Settings'!$D$27),2),0)</f>
        <v/>
      </c>
      <c r="AT501">
        <f>IF(AE501=1,ROUND(SUMIFS('All Donations'!$S$2:$S$4001,'All Donations'!$R$2:$R$4001,AD501,'All Donations'!$T$2:$T$4001,"&gt;="&amp;'Settings'!$C$28,'All Donations'!$T$2:$T$4001,"&lt;="&amp;'Settings'!$D$28),2),0)</f>
        <v/>
      </c>
      <c r="AU501">
        <f>IF(AE501=1,ROUND(SUMIFS('All Donations'!$S$2:$S$4001,'All Donations'!$R$2:$R$4001,AD501,'All Donations'!$T$2:$T$4001,"&gt;="&amp;'Settings'!$C$29,'All Donations'!$T$2:$T$4001,"&lt;="&amp;'Settings'!$D$29),2),0)</f>
        <v/>
      </c>
      <c r="AV501">
        <f>IF(AE501=1,ROUND(SUMIFS('All Donations'!$S$2:$S$4001,'All Donations'!$R$2:$R$4001,AD501,'All Donations'!$T$2:$T$4001,"&lt;="&amp;'Settings'!$D$30),2),0)</f>
        <v/>
      </c>
      <c r="AZ501">
        <f>IF(AE501=1,ROUND(SUMIFS('All Donations'!$S$2:$S$4001,'All Donations'!$R$2:$R$4001,AD501,'All Donations'!$T$2:$T$4001,"&lt;="&amp;'Settings'!$D$34),2),0)</f>
        <v/>
      </c>
    </row>
    <row r="502">
      <c r="A502">
        <f>IF(AE502=1,TRIM(TRIM('Roster'!B502)&amp;" "&amp;TRIM('Roster'!C502)),"")</f>
        <v/>
      </c>
      <c r="B502">
        <f>IF(AE502=1,IF(AN502="","(no teacher)",AN502&amp;" – "&amp;C502),"")</f>
        <v/>
      </c>
      <c r="C502">
        <f>IF(AE502=1,TRIM('Roster'!D502&amp;""),"")</f>
        <v/>
      </c>
      <c r="D502" s="48">
        <f>IF(AE502=1,ROUND(SUMIFS('All Donations'!$S$2:$S$4001,'All Donations'!$R$2:$R$4001,AD502),2),"")</f>
        <v/>
      </c>
      <c r="E502" s="48">
        <f>IF(AE502=1,ROUND(SUMIFS('All Donations'!$S$2:$S$4001,'All Donations'!$R$2:$R$4001,AD502,'All Donations'!$G$2:$G$4001,"OneCause"),2),"")</f>
        <v/>
      </c>
      <c r="F502" s="48">
        <f>IF(AE502=1,D502-E502,"")</f>
        <v/>
      </c>
      <c r="G502">
        <f>IF(AE502=1,COUNTIFS('All Donations'!$R$2:$R$4001,AD502,'All Donations'!$H$2:$H$4001,"OK"),"")</f>
        <v/>
      </c>
      <c r="H502">
        <f>IF(AE502&lt;&gt;1,"",IF(D502&gt;0,"Yes",""))</f>
        <v/>
      </c>
      <c r="I502" s="49">
        <f>IF(OR($AE502&lt;&gt;1,I$1=""),"",SUMIFS('All Donations'!$S$2:$S$4001,'All Donations'!$R$2:$R$4001,$AD502,'All Donations'!$T$2:$T$4001,I$1))</f>
        <v/>
      </c>
      <c r="J502" s="49">
        <f>IF(OR($AE502&lt;&gt;1,J$1=""),"",SUMIFS('All Donations'!$S$2:$S$4001,'All Donations'!$R$2:$R$4001,$AD502,'All Donations'!$T$2:$T$4001,J$1))</f>
        <v/>
      </c>
      <c r="K502" s="49">
        <f>IF(OR($AE502&lt;&gt;1,K$1=""),"",SUMIFS('All Donations'!$S$2:$S$4001,'All Donations'!$R$2:$R$4001,$AD502,'All Donations'!$T$2:$T$4001,K$1))</f>
        <v/>
      </c>
      <c r="L502" s="49">
        <f>IF(OR($AE502&lt;&gt;1,L$1=""),"",SUMIFS('All Donations'!$S$2:$S$4001,'All Donations'!$R$2:$R$4001,$AD502,'All Donations'!$T$2:$T$4001,L$1))</f>
        <v/>
      </c>
      <c r="M502" s="49">
        <f>IF(OR($AE502&lt;&gt;1,M$1=""),"",SUMIFS('All Donations'!$S$2:$S$4001,'All Donations'!$R$2:$R$4001,$AD502,'All Donations'!$T$2:$T$4001,M$1))</f>
        <v/>
      </c>
      <c r="N502" s="49">
        <f>IF(OR($AE502&lt;&gt;1,N$1=""),"",SUMIFS('All Donations'!$S$2:$S$4001,'All Donations'!$R$2:$R$4001,$AD502,'All Donations'!$T$2:$T$4001,N$1))</f>
        <v/>
      </c>
      <c r="O502" s="49">
        <f>IF(OR($AE502&lt;&gt;1,O$1=""),"",SUMIFS('All Donations'!$S$2:$S$4001,'All Donations'!$R$2:$R$4001,$AD502,'All Donations'!$T$2:$T$4001,O$1))</f>
        <v/>
      </c>
      <c r="P502" s="49">
        <f>IF(OR($AE502&lt;&gt;1,P$1=""),"",SUMIFS('All Donations'!$S$2:$S$4001,'All Donations'!$R$2:$R$4001,$AD502,'All Donations'!$T$2:$T$4001,P$1))</f>
        <v/>
      </c>
      <c r="Q502" s="49">
        <f>IF(OR($AE502&lt;&gt;1,Q$1=""),"",SUMIFS('All Donations'!$S$2:$S$4001,'All Donations'!$R$2:$R$4001,$AD502,'All Donations'!$T$2:$T$4001,Q$1))</f>
        <v/>
      </c>
      <c r="R502" s="49">
        <f>IF(OR($AE502&lt;&gt;1,R$1=""),"",SUMIFS('All Donations'!$S$2:$S$4001,'All Donations'!$R$2:$R$4001,$AD502,'All Donations'!$T$2:$T$4001,R$1))</f>
        <v/>
      </c>
      <c r="S502" s="49">
        <f>IF(OR($AE502&lt;&gt;1,S$1=""),"",SUMIFS('All Donations'!$S$2:$S$4001,'All Donations'!$R$2:$R$4001,$AD502,'All Donations'!$T$2:$T$4001,S$1))</f>
        <v/>
      </c>
      <c r="T502" s="49">
        <f>IF(OR($AE502&lt;&gt;1,T$1=""),"",SUMIFS('All Donations'!$S$2:$S$4001,'All Donations'!$R$2:$R$4001,$AD502,'All Donations'!$T$2:$T$4001,T$1))</f>
        <v/>
      </c>
      <c r="U502" s="49">
        <f>IF(OR($AE502&lt;&gt;1,U$1=""),"",SUMIFS('All Donations'!$S$2:$S$4001,'All Donations'!$R$2:$R$4001,$AD502,'All Donations'!$T$2:$T$4001,U$1))</f>
        <v/>
      </c>
      <c r="V502" s="49">
        <f>IF(OR($AE502&lt;&gt;1,V$1=""),"",SUMIFS('All Donations'!$S$2:$S$4001,'All Donations'!$R$2:$R$4001,$AD502,'All Donations'!$T$2:$T$4001,V$1))</f>
        <v/>
      </c>
      <c r="W502" s="49">
        <f>IF(OR($AE502&lt;&gt;1,W$1=""),"",SUMIFS('All Donations'!$S$2:$S$4001,'All Donations'!$R$2:$R$4001,$AD502,'All Donations'!$T$2:$T$4001,W$1))</f>
        <v/>
      </c>
      <c r="X502" s="49">
        <f>IF(OR($AE502&lt;&gt;1,X$1=""),"",SUMIFS('All Donations'!$S$2:$S$4001,'All Donations'!$R$2:$R$4001,$AD502,'All Donations'!$T$2:$T$4001,X$1))</f>
        <v/>
      </c>
      <c r="Y502" s="49">
        <f>IF(OR($AE502&lt;&gt;1,Y$1=""),"",SUMIFS('All Donations'!$S$2:$S$4001,'All Donations'!$R$2:$R$4001,$AD502,'All Donations'!$T$2:$T$4001,Y$1))</f>
        <v/>
      </c>
      <c r="Z502" s="49">
        <f>IF(OR($AE502&lt;&gt;1,Z$1=""),"",SUMIFS('All Donations'!$S$2:$S$4001,'All Donations'!$R$2:$R$4001,$AD502,'All Donations'!$T$2:$T$4001,Z$1))</f>
        <v/>
      </c>
      <c r="AA502" s="49">
        <f>IF(OR($AE502&lt;&gt;1,AA$1=""),"",SUMIFS('All Donations'!$S$2:$S$4001,'All Donations'!$R$2:$R$4001,$AD502,'All Donations'!$T$2:$T$4001,AA$1))</f>
        <v/>
      </c>
      <c r="AB502" s="49">
        <f>IF(OR($AE502&lt;&gt;1,AB$1=""),"",SUMIFS('All Donations'!$S$2:$S$4001,'All Donations'!$R$2:$R$4001,$AD502,'All Donations'!$T$2:$T$4001,AB$1))</f>
        <v/>
      </c>
      <c r="AC502" s="49">
        <f>IF(OR($AE502&lt;&gt;1,AC$1=""),"",SUMIFS('All Donations'!$S$2:$S$4001,'All Donations'!$R$2:$R$4001,$AD502,'All Donations'!$T$2:$T$4001,AC$1))</f>
        <v/>
      </c>
      <c r="AD502">
        <f>IF(AE502=1,'Roster'!A502,"")</f>
        <v/>
      </c>
      <c r="AE502">
        <f>IF(TRIM('Roster'!B502&amp;'Roster'!C502)&lt;&gt;"",1,0)</f>
        <v/>
      </c>
      <c r="AF502">
        <f>IF(AE502=1,LOWER(A502),"#")</f>
        <v/>
      </c>
      <c r="AG502">
        <f>IF(AE502=1,LOWER(TRIM(TRIM('Roster'!C502)&amp;", "&amp;TRIM('Roster'!B502))),"#")</f>
        <v/>
      </c>
      <c r="AH502">
        <f>IF(AND(AE502=1,TRIM('Roster'!F502)&lt;&gt;""),LOWER(TRIM('Roster'!F502)),"#")</f>
        <v/>
      </c>
      <c r="AI502">
        <f>IF(AE502=1,IF(MATCH(B502,$B$2:$B$701,0)=ROW()-1,1,0),0)</f>
        <v/>
      </c>
      <c r="AJ502">
        <f>AJ501+AI502</f>
        <v/>
      </c>
      <c r="AK502">
        <f>IF(AE502=1,D502+(1000-ROW())/10^7,-1)</f>
        <v/>
      </c>
      <c r="AL502">
        <f>IF(AE502=1,TRIM('Roster'!B502)&amp;" "&amp;LEFT(TRIM('Roster'!C502),1)&amp;".","")</f>
        <v/>
      </c>
      <c r="AM502">
        <f>IF(AE502=1,TRIM('Roster'!C502)&amp;", "&amp;TRIM('Roster'!B502)&amp;" ("&amp;B502&amp;") #"&amp;AD502,"")</f>
        <v/>
      </c>
      <c r="AN502">
        <f>IF(AE502=1,TRIM('Roster'!E502),"")</f>
        <v/>
      </c>
      <c r="AO502">
        <f>IF(AE502=1,ROUND(SUMIFS('All Donations'!$S$2:$S$4001,'All Donations'!$R$2:$R$4001,AD502,'All Donations'!$T$2:$T$4001,"&gt;="&amp;'Settings'!$C$23,'All Donations'!$T$2:$T$4001,"&lt;="&amp;'Settings'!$D$23),2),0)</f>
        <v/>
      </c>
      <c r="AQ502">
        <f>IF(AE502=1,ROUND(SUMIFS('All Donations'!$S$2:$S$4001,'All Donations'!$R$2:$R$4001,AD502,'All Donations'!$T$2:$T$4001,"&gt;="&amp;'Settings'!$C$25,'All Donations'!$T$2:$T$4001,"&lt;="&amp;'Settings'!$D$25),2),0)</f>
        <v/>
      </c>
      <c r="AR502">
        <f>IF(AE502=1,ROUND(SUMIFS('All Donations'!$S$2:$S$4001,'All Donations'!$R$2:$R$4001,AD502,'All Donations'!$T$2:$T$4001,"&gt;="&amp;'Settings'!$C$26,'All Donations'!$T$2:$T$4001,"&lt;="&amp;'Settings'!$D$26),2),0)</f>
        <v/>
      </c>
      <c r="AS502">
        <f>IF(AE502=1,ROUND(SUMIFS('All Donations'!$S$2:$S$4001,'All Donations'!$R$2:$R$4001,AD502,'All Donations'!$T$2:$T$4001,"&lt;="&amp;'Settings'!$D$27),2),0)</f>
        <v/>
      </c>
      <c r="AT502">
        <f>IF(AE502=1,ROUND(SUMIFS('All Donations'!$S$2:$S$4001,'All Donations'!$R$2:$R$4001,AD502,'All Donations'!$T$2:$T$4001,"&gt;="&amp;'Settings'!$C$28,'All Donations'!$T$2:$T$4001,"&lt;="&amp;'Settings'!$D$28),2),0)</f>
        <v/>
      </c>
      <c r="AU502">
        <f>IF(AE502=1,ROUND(SUMIFS('All Donations'!$S$2:$S$4001,'All Donations'!$R$2:$R$4001,AD502,'All Donations'!$T$2:$T$4001,"&gt;="&amp;'Settings'!$C$29,'All Donations'!$T$2:$T$4001,"&lt;="&amp;'Settings'!$D$29),2),0)</f>
        <v/>
      </c>
      <c r="AV502">
        <f>IF(AE502=1,ROUND(SUMIFS('All Donations'!$S$2:$S$4001,'All Donations'!$R$2:$R$4001,AD502,'All Donations'!$T$2:$T$4001,"&lt;="&amp;'Settings'!$D$30),2),0)</f>
        <v/>
      </c>
      <c r="AZ502">
        <f>IF(AE502=1,ROUND(SUMIFS('All Donations'!$S$2:$S$4001,'All Donations'!$R$2:$R$4001,AD502,'All Donations'!$T$2:$T$4001,"&lt;="&amp;'Settings'!$D$34),2),0)</f>
        <v/>
      </c>
    </row>
    <row r="503">
      <c r="A503">
        <f>IF(AE503=1,TRIM(TRIM('Roster'!B503)&amp;" "&amp;TRIM('Roster'!C503)),"")</f>
        <v/>
      </c>
      <c r="B503">
        <f>IF(AE503=1,IF(AN503="","(no teacher)",AN503&amp;" – "&amp;C503),"")</f>
        <v/>
      </c>
      <c r="C503">
        <f>IF(AE503=1,TRIM('Roster'!D503&amp;""),"")</f>
        <v/>
      </c>
      <c r="D503" s="48">
        <f>IF(AE503=1,ROUND(SUMIFS('All Donations'!$S$2:$S$4001,'All Donations'!$R$2:$R$4001,AD503),2),"")</f>
        <v/>
      </c>
      <c r="E503" s="48">
        <f>IF(AE503=1,ROUND(SUMIFS('All Donations'!$S$2:$S$4001,'All Donations'!$R$2:$R$4001,AD503,'All Donations'!$G$2:$G$4001,"OneCause"),2),"")</f>
        <v/>
      </c>
      <c r="F503" s="48">
        <f>IF(AE503=1,D503-E503,"")</f>
        <v/>
      </c>
      <c r="G503">
        <f>IF(AE503=1,COUNTIFS('All Donations'!$R$2:$R$4001,AD503,'All Donations'!$H$2:$H$4001,"OK"),"")</f>
        <v/>
      </c>
      <c r="H503">
        <f>IF(AE503&lt;&gt;1,"",IF(D503&gt;0,"Yes",""))</f>
        <v/>
      </c>
      <c r="I503" s="49">
        <f>IF(OR($AE503&lt;&gt;1,I$1=""),"",SUMIFS('All Donations'!$S$2:$S$4001,'All Donations'!$R$2:$R$4001,$AD503,'All Donations'!$T$2:$T$4001,I$1))</f>
        <v/>
      </c>
      <c r="J503" s="49">
        <f>IF(OR($AE503&lt;&gt;1,J$1=""),"",SUMIFS('All Donations'!$S$2:$S$4001,'All Donations'!$R$2:$R$4001,$AD503,'All Donations'!$T$2:$T$4001,J$1))</f>
        <v/>
      </c>
      <c r="K503" s="49">
        <f>IF(OR($AE503&lt;&gt;1,K$1=""),"",SUMIFS('All Donations'!$S$2:$S$4001,'All Donations'!$R$2:$R$4001,$AD503,'All Donations'!$T$2:$T$4001,K$1))</f>
        <v/>
      </c>
      <c r="L503" s="49">
        <f>IF(OR($AE503&lt;&gt;1,L$1=""),"",SUMIFS('All Donations'!$S$2:$S$4001,'All Donations'!$R$2:$R$4001,$AD503,'All Donations'!$T$2:$T$4001,L$1))</f>
        <v/>
      </c>
      <c r="M503" s="49">
        <f>IF(OR($AE503&lt;&gt;1,M$1=""),"",SUMIFS('All Donations'!$S$2:$S$4001,'All Donations'!$R$2:$R$4001,$AD503,'All Donations'!$T$2:$T$4001,M$1))</f>
        <v/>
      </c>
      <c r="N503" s="49">
        <f>IF(OR($AE503&lt;&gt;1,N$1=""),"",SUMIFS('All Donations'!$S$2:$S$4001,'All Donations'!$R$2:$R$4001,$AD503,'All Donations'!$T$2:$T$4001,N$1))</f>
        <v/>
      </c>
      <c r="O503" s="49">
        <f>IF(OR($AE503&lt;&gt;1,O$1=""),"",SUMIFS('All Donations'!$S$2:$S$4001,'All Donations'!$R$2:$R$4001,$AD503,'All Donations'!$T$2:$T$4001,O$1))</f>
        <v/>
      </c>
      <c r="P503" s="49">
        <f>IF(OR($AE503&lt;&gt;1,P$1=""),"",SUMIFS('All Donations'!$S$2:$S$4001,'All Donations'!$R$2:$R$4001,$AD503,'All Donations'!$T$2:$T$4001,P$1))</f>
        <v/>
      </c>
      <c r="Q503" s="49">
        <f>IF(OR($AE503&lt;&gt;1,Q$1=""),"",SUMIFS('All Donations'!$S$2:$S$4001,'All Donations'!$R$2:$R$4001,$AD503,'All Donations'!$T$2:$T$4001,Q$1))</f>
        <v/>
      </c>
      <c r="R503" s="49">
        <f>IF(OR($AE503&lt;&gt;1,R$1=""),"",SUMIFS('All Donations'!$S$2:$S$4001,'All Donations'!$R$2:$R$4001,$AD503,'All Donations'!$T$2:$T$4001,R$1))</f>
        <v/>
      </c>
      <c r="S503" s="49">
        <f>IF(OR($AE503&lt;&gt;1,S$1=""),"",SUMIFS('All Donations'!$S$2:$S$4001,'All Donations'!$R$2:$R$4001,$AD503,'All Donations'!$T$2:$T$4001,S$1))</f>
        <v/>
      </c>
      <c r="T503" s="49">
        <f>IF(OR($AE503&lt;&gt;1,T$1=""),"",SUMIFS('All Donations'!$S$2:$S$4001,'All Donations'!$R$2:$R$4001,$AD503,'All Donations'!$T$2:$T$4001,T$1))</f>
        <v/>
      </c>
      <c r="U503" s="49">
        <f>IF(OR($AE503&lt;&gt;1,U$1=""),"",SUMIFS('All Donations'!$S$2:$S$4001,'All Donations'!$R$2:$R$4001,$AD503,'All Donations'!$T$2:$T$4001,U$1))</f>
        <v/>
      </c>
      <c r="V503" s="49">
        <f>IF(OR($AE503&lt;&gt;1,V$1=""),"",SUMIFS('All Donations'!$S$2:$S$4001,'All Donations'!$R$2:$R$4001,$AD503,'All Donations'!$T$2:$T$4001,V$1))</f>
        <v/>
      </c>
      <c r="W503" s="49">
        <f>IF(OR($AE503&lt;&gt;1,W$1=""),"",SUMIFS('All Donations'!$S$2:$S$4001,'All Donations'!$R$2:$R$4001,$AD503,'All Donations'!$T$2:$T$4001,W$1))</f>
        <v/>
      </c>
      <c r="X503" s="49">
        <f>IF(OR($AE503&lt;&gt;1,X$1=""),"",SUMIFS('All Donations'!$S$2:$S$4001,'All Donations'!$R$2:$R$4001,$AD503,'All Donations'!$T$2:$T$4001,X$1))</f>
        <v/>
      </c>
      <c r="Y503" s="49">
        <f>IF(OR($AE503&lt;&gt;1,Y$1=""),"",SUMIFS('All Donations'!$S$2:$S$4001,'All Donations'!$R$2:$R$4001,$AD503,'All Donations'!$T$2:$T$4001,Y$1))</f>
        <v/>
      </c>
      <c r="Z503" s="49">
        <f>IF(OR($AE503&lt;&gt;1,Z$1=""),"",SUMIFS('All Donations'!$S$2:$S$4001,'All Donations'!$R$2:$R$4001,$AD503,'All Donations'!$T$2:$T$4001,Z$1))</f>
        <v/>
      </c>
      <c r="AA503" s="49">
        <f>IF(OR($AE503&lt;&gt;1,AA$1=""),"",SUMIFS('All Donations'!$S$2:$S$4001,'All Donations'!$R$2:$R$4001,$AD503,'All Donations'!$T$2:$T$4001,AA$1))</f>
        <v/>
      </c>
      <c r="AB503" s="49">
        <f>IF(OR($AE503&lt;&gt;1,AB$1=""),"",SUMIFS('All Donations'!$S$2:$S$4001,'All Donations'!$R$2:$R$4001,$AD503,'All Donations'!$T$2:$T$4001,AB$1))</f>
        <v/>
      </c>
      <c r="AC503" s="49">
        <f>IF(OR($AE503&lt;&gt;1,AC$1=""),"",SUMIFS('All Donations'!$S$2:$S$4001,'All Donations'!$R$2:$R$4001,$AD503,'All Donations'!$T$2:$T$4001,AC$1))</f>
        <v/>
      </c>
      <c r="AD503">
        <f>IF(AE503=1,'Roster'!A503,"")</f>
        <v/>
      </c>
      <c r="AE503">
        <f>IF(TRIM('Roster'!B503&amp;'Roster'!C503)&lt;&gt;"",1,0)</f>
        <v/>
      </c>
      <c r="AF503">
        <f>IF(AE503=1,LOWER(A503),"#")</f>
        <v/>
      </c>
      <c r="AG503">
        <f>IF(AE503=1,LOWER(TRIM(TRIM('Roster'!C503)&amp;", "&amp;TRIM('Roster'!B503))),"#")</f>
        <v/>
      </c>
      <c r="AH503">
        <f>IF(AND(AE503=1,TRIM('Roster'!F503)&lt;&gt;""),LOWER(TRIM('Roster'!F503)),"#")</f>
        <v/>
      </c>
      <c r="AI503">
        <f>IF(AE503=1,IF(MATCH(B503,$B$2:$B$701,0)=ROW()-1,1,0),0)</f>
        <v/>
      </c>
      <c r="AJ503">
        <f>AJ502+AI503</f>
        <v/>
      </c>
      <c r="AK503">
        <f>IF(AE503=1,D503+(1000-ROW())/10^7,-1)</f>
        <v/>
      </c>
      <c r="AL503">
        <f>IF(AE503=1,TRIM('Roster'!B503)&amp;" "&amp;LEFT(TRIM('Roster'!C503),1)&amp;".","")</f>
        <v/>
      </c>
      <c r="AM503">
        <f>IF(AE503=1,TRIM('Roster'!C503)&amp;", "&amp;TRIM('Roster'!B503)&amp;" ("&amp;B503&amp;") #"&amp;AD503,"")</f>
        <v/>
      </c>
      <c r="AN503">
        <f>IF(AE503=1,TRIM('Roster'!E503),"")</f>
        <v/>
      </c>
      <c r="AO503">
        <f>IF(AE503=1,ROUND(SUMIFS('All Donations'!$S$2:$S$4001,'All Donations'!$R$2:$R$4001,AD503,'All Donations'!$T$2:$T$4001,"&gt;="&amp;'Settings'!$C$23,'All Donations'!$T$2:$T$4001,"&lt;="&amp;'Settings'!$D$23),2),0)</f>
        <v/>
      </c>
      <c r="AQ503">
        <f>IF(AE503=1,ROUND(SUMIFS('All Donations'!$S$2:$S$4001,'All Donations'!$R$2:$R$4001,AD503,'All Donations'!$T$2:$T$4001,"&gt;="&amp;'Settings'!$C$25,'All Donations'!$T$2:$T$4001,"&lt;="&amp;'Settings'!$D$25),2),0)</f>
        <v/>
      </c>
      <c r="AR503">
        <f>IF(AE503=1,ROUND(SUMIFS('All Donations'!$S$2:$S$4001,'All Donations'!$R$2:$R$4001,AD503,'All Donations'!$T$2:$T$4001,"&gt;="&amp;'Settings'!$C$26,'All Donations'!$T$2:$T$4001,"&lt;="&amp;'Settings'!$D$26),2),0)</f>
        <v/>
      </c>
      <c r="AS503">
        <f>IF(AE503=1,ROUND(SUMIFS('All Donations'!$S$2:$S$4001,'All Donations'!$R$2:$R$4001,AD503,'All Donations'!$T$2:$T$4001,"&lt;="&amp;'Settings'!$D$27),2),0)</f>
        <v/>
      </c>
      <c r="AT503">
        <f>IF(AE503=1,ROUND(SUMIFS('All Donations'!$S$2:$S$4001,'All Donations'!$R$2:$R$4001,AD503,'All Donations'!$T$2:$T$4001,"&gt;="&amp;'Settings'!$C$28,'All Donations'!$T$2:$T$4001,"&lt;="&amp;'Settings'!$D$28),2),0)</f>
        <v/>
      </c>
      <c r="AU503">
        <f>IF(AE503=1,ROUND(SUMIFS('All Donations'!$S$2:$S$4001,'All Donations'!$R$2:$R$4001,AD503,'All Donations'!$T$2:$T$4001,"&gt;="&amp;'Settings'!$C$29,'All Donations'!$T$2:$T$4001,"&lt;="&amp;'Settings'!$D$29),2),0)</f>
        <v/>
      </c>
      <c r="AV503">
        <f>IF(AE503=1,ROUND(SUMIFS('All Donations'!$S$2:$S$4001,'All Donations'!$R$2:$R$4001,AD503,'All Donations'!$T$2:$T$4001,"&lt;="&amp;'Settings'!$D$30),2),0)</f>
        <v/>
      </c>
      <c r="AZ503">
        <f>IF(AE503=1,ROUND(SUMIFS('All Donations'!$S$2:$S$4001,'All Donations'!$R$2:$R$4001,AD503,'All Donations'!$T$2:$T$4001,"&lt;="&amp;'Settings'!$D$34),2),0)</f>
        <v/>
      </c>
    </row>
    <row r="504">
      <c r="A504">
        <f>IF(AE504=1,TRIM(TRIM('Roster'!B504)&amp;" "&amp;TRIM('Roster'!C504)),"")</f>
        <v/>
      </c>
      <c r="B504">
        <f>IF(AE504=1,IF(AN504="","(no teacher)",AN504&amp;" – "&amp;C504),"")</f>
        <v/>
      </c>
      <c r="C504">
        <f>IF(AE504=1,TRIM('Roster'!D504&amp;""),"")</f>
        <v/>
      </c>
      <c r="D504" s="48">
        <f>IF(AE504=1,ROUND(SUMIFS('All Donations'!$S$2:$S$4001,'All Donations'!$R$2:$R$4001,AD504),2),"")</f>
        <v/>
      </c>
      <c r="E504" s="48">
        <f>IF(AE504=1,ROUND(SUMIFS('All Donations'!$S$2:$S$4001,'All Donations'!$R$2:$R$4001,AD504,'All Donations'!$G$2:$G$4001,"OneCause"),2),"")</f>
        <v/>
      </c>
      <c r="F504" s="48">
        <f>IF(AE504=1,D504-E504,"")</f>
        <v/>
      </c>
      <c r="G504">
        <f>IF(AE504=1,COUNTIFS('All Donations'!$R$2:$R$4001,AD504,'All Donations'!$H$2:$H$4001,"OK"),"")</f>
        <v/>
      </c>
      <c r="H504">
        <f>IF(AE504&lt;&gt;1,"",IF(D504&gt;0,"Yes",""))</f>
        <v/>
      </c>
      <c r="I504" s="49">
        <f>IF(OR($AE504&lt;&gt;1,I$1=""),"",SUMIFS('All Donations'!$S$2:$S$4001,'All Donations'!$R$2:$R$4001,$AD504,'All Donations'!$T$2:$T$4001,I$1))</f>
        <v/>
      </c>
      <c r="J504" s="49">
        <f>IF(OR($AE504&lt;&gt;1,J$1=""),"",SUMIFS('All Donations'!$S$2:$S$4001,'All Donations'!$R$2:$R$4001,$AD504,'All Donations'!$T$2:$T$4001,J$1))</f>
        <v/>
      </c>
      <c r="K504" s="49">
        <f>IF(OR($AE504&lt;&gt;1,K$1=""),"",SUMIFS('All Donations'!$S$2:$S$4001,'All Donations'!$R$2:$R$4001,$AD504,'All Donations'!$T$2:$T$4001,K$1))</f>
        <v/>
      </c>
      <c r="L504" s="49">
        <f>IF(OR($AE504&lt;&gt;1,L$1=""),"",SUMIFS('All Donations'!$S$2:$S$4001,'All Donations'!$R$2:$R$4001,$AD504,'All Donations'!$T$2:$T$4001,L$1))</f>
        <v/>
      </c>
      <c r="M504" s="49">
        <f>IF(OR($AE504&lt;&gt;1,M$1=""),"",SUMIFS('All Donations'!$S$2:$S$4001,'All Donations'!$R$2:$R$4001,$AD504,'All Donations'!$T$2:$T$4001,M$1))</f>
        <v/>
      </c>
      <c r="N504" s="49">
        <f>IF(OR($AE504&lt;&gt;1,N$1=""),"",SUMIFS('All Donations'!$S$2:$S$4001,'All Donations'!$R$2:$R$4001,$AD504,'All Donations'!$T$2:$T$4001,N$1))</f>
        <v/>
      </c>
      <c r="O504" s="49">
        <f>IF(OR($AE504&lt;&gt;1,O$1=""),"",SUMIFS('All Donations'!$S$2:$S$4001,'All Donations'!$R$2:$R$4001,$AD504,'All Donations'!$T$2:$T$4001,O$1))</f>
        <v/>
      </c>
      <c r="P504" s="49">
        <f>IF(OR($AE504&lt;&gt;1,P$1=""),"",SUMIFS('All Donations'!$S$2:$S$4001,'All Donations'!$R$2:$R$4001,$AD504,'All Donations'!$T$2:$T$4001,P$1))</f>
        <v/>
      </c>
      <c r="Q504" s="49">
        <f>IF(OR($AE504&lt;&gt;1,Q$1=""),"",SUMIFS('All Donations'!$S$2:$S$4001,'All Donations'!$R$2:$R$4001,$AD504,'All Donations'!$T$2:$T$4001,Q$1))</f>
        <v/>
      </c>
      <c r="R504" s="49">
        <f>IF(OR($AE504&lt;&gt;1,R$1=""),"",SUMIFS('All Donations'!$S$2:$S$4001,'All Donations'!$R$2:$R$4001,$AD504,'All Donations'!$T$2:$T$4001,R$1))</f>
        <v/>
      </c>
      <c r="S504" s="49">
        <f>IF(OR($AE504&lt;&gt;1,S$1=""),"",SUMIFS('All Donations'!$S$2:$S$4001,'All Donations'!$R$2:$R$4001,$AD504,'All Donations'!$T$2:$T$4001,S$1))</f>
        <v/>
      </c>
      <c r="T504" s="49">
        <f>IF(OR($AE504&lt;&gt;1,T$1=""),"",SUMIFS('All Donations'!$S$2:$S$4001,'All Donations'!$R$2:$R$4001,$AD504,'All Donations'!$T$2:$T$4001,T$1))</f>
        <v/>
      </c>
      <c r="U504" s="49">
        <f>IF(OR($AE504&lt;&gt;1,U$1=""),"",SUMIFS('All Donations'!$S$2:$S$4001,'All Donations'!$R$2:$R$4001,$AD504,'All Donations'!$T$2:$T$4001,U$1))</f>
        <v/>
      </c>
      <c r="V504" s="49">
        <f>IF(OR($AE504&lt;&gt;1,V$1=""),"",SUMIFS('All Donations'!$S$2:$S$4001,'All Donations'!$R$2:$R$4001,$AD504,'All Donations'!$T$2:$T$4001,V$1))</f>
        <v/>
      </c>
      <c r="W504" s="49">
        <f>IF(OR($AE504&lt;&gt;1,W$1=""),"",SUMIFS('All Donations'!$S$2:$S$4001,'All Donations'!$R$2:$R$4001,$AD504,'All Donations'!$T$2:$T$4001,W$1))</f>
        <v/>
      </c>
      <c r="X504" s="49">
        <f>IF(OR($AE504&lt;&gt;1,X$1=""),"",SUMIFS('All Donations'!$S$2:$S$4001,'All Donations'!$R$2:$R$4001,$AD504,'All Donations'!$T$2:$T$4001,X$1))</f>
        <v/>
      </c>
      <c r="Y504" s="49">
        <f>IF(OR($AE504&lt;&gt;1,Y$1=""),"",SUMIFS('All Donations'!$S$2:$S$4001,'All Donations'!$R$2:$R$4001,$AD504,'All Donations'!$T$2:$T$4001,Y$1))</f>
        <v/>
      </c>
      <c r="Z504" s="49">
        <f>IF(OR($AE504&lt;&gt;1,Z$1=""),"",SUMIFS('All Donations'!$S$2:$S$4001,'All Donations'!$R$2:$R$4001,$AD504,'All Donations'!$T$2:$T$4001,Z$1))</f>
        <v/>
      </c>
      <c r="AA504" s="49">
        <f>IF(OR($AE504&lt;&gt;1,AA$1=""),"",SUMIFS('All Donations'!$S$2:$S$4001,'All Donations'!$R$2:$R$4001,$AD504,'All Donations'!$T$2:$T$4001,AA$1))</f>
        <v/>
      </c>
      <c r="AB504" s="49">
        <f>IF(OR($AE504&lt;&gt;1,AB$1=""),"",SUMIFS('All Donations'!$S$2:$S$4001,'All Donations'!$R$2:$R$4001,$AD504,'All Donations'!$T$2:$T$4001,AB$1))</f>
        <v/>
      </c>
      <c r="AC504" s="49">
        <f>IF(OR($AE504&lt;&gt;1,AC$1=""),"",SUMIFS('All Donations'!$S$2:$S$4001,'All Donations'!$R$2:$R$4001,$AD504,'All Donations'!$T$2:$T$4001,AC$1))</f>
        <v/>
      </c>
      <c r="AD504">
        <f>IF(AE504=1,'Roster'!A504,"")</f>
        <v/>
      </c>
      <c r="AE504">
        <f>IF(TRIM('Roster'!B504&amp;'Roster'!C504)&lt;&gt;"",1,0)</f>
        <v/>
      </c>
      <c r="AF504">
        <f>IF(AE504=1,LOWER(A504),"#")</f>
        <v/>
      </c>
      <c r="AG504">
        <f>IF(AE504=1,LOWER(TRIM(TRIM('Roster'!C504)&amp;", "&amp;TRIM('Roster'!B504))),"#")</f>
        <v/>
      </c>
      <c r="AH504">
        <f>IF(AND(AE504=1,TRIM('Roster'!F504)&lt;&gt;""),LOWER(TRIM('Roster'!F504)),"#")</f>
        <v/>
      </c>
      <c r="AI504">
        <f>IF(AE504=1,IF(MATCH(B504,$B$2:$B$701,0)=ROW()-1,1,0),0)</f>
        <v/>
      </c>
      <c r="AJ504">
        <f>AJ503+AI504</f>
        <v/>
      </c>
      <c r="AK504">
        <f>IF(AE504=1,D504+(1000-ROW())/10^7,-1)</f>
        <v/>
      </c>
      <c r="AL504">
        <f>IF(AE504=1,TRIM('Roster'!B504)&amp;" "&amp;LEFT(TRIM('Roster'!C504),1)&amp;".","")</f>
        <v/>
      </c>
      <c r="AM504">
        <f>IF(AE504=1,TRIM('Roster'!C504)&amp;", "&amp;TRIM('Roster'!B504)&amp;" ("&amp;B504&amp;") #"&amp;AD504,"")</f>
        <v/>
      </c>
      <c r="AN504">
        <f>IF(AE504=1,TRIM('Roster'!E504),"")</f>
        <v/>
      </c>
      <c r="AO504">
        <f>IF(AE504=1,ROUND(SUMIFS('All Donations'!$S$2:$S$4001,'All Donations'!$R$2:$R$4001,AD504,'All Donations'!$T$2:$T$4001,"&gt;="&amp;'Settings'!$C$23,'All Donations'!$T$2:$T$4001,"&lt;="&amp;'Settings'!$D$23),2),0)</f>
        <v/>
      </c>
      <c r="AQ504">
        <f>IF(AE504=1,ROUND(SUMIFS('All Donations'!$S$2:$S$4001,'All Donations'!$R$2:$R$4001,AD504,'All Donations'!$T$2:$T$4001,"&gt;="&amp;'Settings'!$C$25,'All Donations'!$T$2:$T$4001,"&lt;="&amp;'Settings'!$D$25),2),0)</f>
        <v/>
      </c>
      <c r="AR504">
        <f>IF(AE504=1,ROUND(SUMIFS('All Donations'!$S$2:$S$4001,'All Donations'!$R$2:$R$4001,AD504,'All Donations'!$T$2:$T$4001,"&gt;="&amp;'Settings'!$C$26,'All Donations'!$T$2:$T$4001,"&lt;="&amp;'Settings'!$D$26),2),0)</f>
        <v/>
      </c>
      <c r="AS504">
        <f>IF(AE504=1,ROUND(SUMIFS('All Donations'!$S$2:$S$4001,'All Donations'!$R$2:$R$4001,AD504,'All Donations'!$T$2:$T$4001,"&lt;="&amp;'Settings'!$D$27),2),0)</f>
        <v/>
      </c>
      <c r="AT504">
        <f>IF(AE504=1,ROUND(SUMIFS('All Donations'!$S$2:$S$4001,'All Donations'!$R$2:$R$4001,AD504,'All Donations'!$T$2:$T$4001,"&gt;="&amp;'Settings'!$C$28,'All Donations'!$T$2:$T$4001,"&lt;="&amp;'Settings'!$D$28),2),0)</f>
        <v/>
      </c>
      <c r="AU504">
        <f>IF(AE504=1,ROUND(SUMIFS('All Donations'!$S$2:$S$4001,'All Donations'!$R$2:$R$4001,AD504,'All Donations'!$T$2:$T$4001,"&gt;="&amp;'Settings'!$C$29,'All Donations'!$T$2:$T$4001,"&lt;="&amp;'Settings'!$D$29),2),0)</f>
        <v/>
      </c>
      <c r="AV504">
        <f>IF(AE504=1,ROUND(SUMIFS('All Donations'!$S$2:$S$4001,'All Donations'!$R$2:$R$4001,AD504,'All Donations'!$T$2:$T$4001,"&lt;="&amp;'Settings'!$D$30),2),0)</f>
        <v/>
      </c>
      <c r="AZ504">
        <f>IF(AE504=1,ROUND(SUMIFS('All Donations'!$S$2:$S$4001,'All Donations'!$R$2:$R$4001,AD504,'All Donations'!$T$2:$T$4001,"&lt;="&amp;'Settings'!$D$34),2),0)</f>
        <v/>
      </c>
    </row>
    <row r="505">
      <c r="A505">
        <f>IF(AE505=1,TRIM(TRIM('Roster'!B505)&amp;" "&amp;TRIM('Roster'!C505)),"")</f>
        <v/>
      </c>
      <c r="B505">
        <f>IF(AE505=1,IF(AN505="","(no teacher)",AN505&amp;" – "&amp;C505),"")</f>
        <v/>
      </c>
      <c r="C505">
        <f>IF(AE505=1,TRIM('Roster'!D505&amp;""),"")</f>
        <v/>
      </c>
      <c r="D505" s="48">
        <f>IF(AE505=1,ROUND(SUMIFS('All Donations'!$S$2:$S$4001,'All Donations'!$R$2:$R$4001,AD505),2),"")</f>
        <v/>
      </c>
      <c r="E505" s="48">
        <f>IF(AE505=1,ROUND(SUMIFS('All Donations'!$S$2:$S$4001,'All Donations'!$R$2:$R$4001,AD505,'All Donations'!$G$2:$G$4001,"OneCause"),2),"")</f>
        <v/>
      </c>
      <c r="F505" s="48">
        <f>IF(AE505=1,D505-E505,"")</f>
        <v/>
      </c>
      <c r="G505">
        <f>IF(AE505=1,COUNTIFS('All Donations'!$R$2:$R$4001,AD505,'All Donations'!$H$2:$H$4001,"OK"),"")</f>
        <v/>
      </c>
      <c r="H505">
        <f>IF(AE505&lt;&gt;1,"",IF(D505&gt;0,"Yes",""))</f>
        <v/>
      </c>
      <c r="I505" s="49">
        <f>IF(OR($AE505&lt;&gt;1,I$1=""),"",SUMIFS('All Donations'!$S$2:$S$4001,'All Donations'!$R$2:$R$4001,$AD505,'All Donations'!$T$2:$T$4001,I$1))</f>
        <v/>
      </c>
      <c r="J505" s="49">
        <f>IF(OR($AE505&lt;&gt;1,J$1=""),"",SUMIFS('All Donations'!$S$2:$S$4001,'All Donations'!$R$2:$R$4001,$AD505,'All Donations'!$T$2:$T$4001,J$1))</f>
        <v/>
      </c>
      <c r="K505" s="49">
        <f>IF(OR($AE505&lt;&gt;1,K$1=""),"",SUMIFS('All Donations'!$S$2:$S$4001,'All Donations'!$R$2:$R$4001,$AD505,'All Donations'!$T$2:$T$4001,K$1))</f>
        <v/>
      </c>
      <c r="L505" s="49">
        <f>IF(OR($AE505&lt;&gt;1,L$1=""),"",SUMIFS('All Donations'!$S$2:$S$4001,'All Donations'!$R$2:$R$4001,$AD505,'All Donations'!$T$2:$T$4001,L$1))</f>
        <v/>
      </c>
      <c r="M505" s="49">
        <f>IF(OR($AE505&lt;&gt;1,M$1=""),"",SUMIFS('All Donations'!$S$2:$S$4001,'All Donations'!$R$2:$R$4001,$AD505,'All Donations'!$T$2:$T$4001,M$1))</f>
        <v/>
      </c>
      <c r="N505" s="49">
        <f>IF(OR($AE505&lt;&gt;1,N$1=""),"",SUMIFS('All Donations'!$S$2:$S$4001,'All Donations'!$R$2:$R$4001,$AD505,'All Donations'!$T$2:$T$4001,N$1))</f>
        <v/>
      </c>
      <c r="O505" s="49">
        <f>IF(OR($AE505&lt;&gt;1,O$1=""),"",SUMIFS('All Donations'!$S$2:$S$4001,'All Donations'!$R$2:$R$4001,$AD505,'All Donations'!$T$2:$T$4001,O$1))</f>
        <v/>
      </c>
      <c r="P505" s="49">
        <f>IF(OR($AE505&lt;&gt;1,P$1=""),"",SUMIFS('All Donations'!$S$2:$S$4001,'All Donations'!$R$2:$R$4001,$AD505,'All Donations'!$T$2:$T$4001,P$1))</f>
        <v/>
      </c>
      <c r="Q505" s="49">
        <f>IF(OR($AE505&lt;&gt;1,Q$1=""),"",SUMIFS('All Donations'!$S$2:$S$4001,'All Donations'!$R$2:$R$4001,$AD505,'All Donations'!$T$2:$T$4001,Q$1))</f>
        <v/>
      </c>
      <c r="R505" s="49">
        <f>IF(OR($AE505&lt;&gt;1,R$1=""),"",SUMIFS('All Donations'!$S$2:$S$4001,'All Donations'!$R$2:$R$4001,$AD505,'All Donations'!$T$2:$T$4001,R$1))</f>
        <v/>
      </c>
      <c r="S505" s="49">
        <f>IF(OR($AE505&lt;&gt;1,S$1=""),"",SUMIFS('All Donations'!$S$2:$S$4001,'All Donations'!$R$2:$R$4001,$AD505,'All Donations'!$T$2:$T$4001,S$1))</f>
        <v/>
      </c>
      <c r="T505" s="49">
        <f>IF(OR($AE505&lt;&gt;1,T$1=""),"",SUMIFS('All Donations'!$S$2:$S$4001,'All Donations'!$R$2:$R$4001,$AD505,'All Donations'!$T$2:$T$4001,T$1))</f>
        <v/>
      </c>
      <c r="U505" s="49">
        <f>IF(OR($AE505&lt;&gt;1,U$1=""),"",SUMIFS('All Donations'!$S$2:$S$4001,'All Donations'!$R$2:$R$4001,$AD505,'All Donations'!$T$2:$T$4001,U$1))</f>
        <v/>
      </c>
      <c r="V505" s="49">
        <f>IF(OR($AE505&lt;&gt;1,V$1=""),"",SUMIFS('All Donations'!$S$2:$S$4001,'All Donations'!$R$2:$R$4001,$AD505,'All Donations'!$T$2:$T$4001,V$1))</f>
        <v/>
      </c>
      <c r="W505" s="49">
        <f>IF(OR($AE505&lt;&gt;1,W$1=""),"",SUMIFS('All Donations'!$S$2:$S$4001,'All Donations'!$R$2:$R$4001,$AD505,'All Donations'!$T$2:$T$4001,W$1))</f>
        <v/>
      </c>
      <c r="X505" s="49">
        <f>IF(OR($AE505&lt;&gt;1,X$1=""),"",SUMIFS('All Donations'!$S$2:$S$4001,'All Donations'!$R$2:$R$4001,$AD505,'All Donations'!$T$2:$T$4001,X$1))</f>
        <v/>
      </c>
      <c r="Y505" s="49">
        <f>IF(OR($AE505&lt;&gt;1,Y$1=""),"",SUMIFS('All Donations'!$S$2:$S$4001,'All Donations'!$R$2:$R$4001,$AD505,'All Donations'!$T$2:$T$4001,Y$1))</f>
        <v/>
      </c>
      <c r="Z505" s="49">
        <f>IF(OR($AE505&lt;&gt;1,Z$1=""),"",SUMIFS('All Donations'!$S$2:$S$4001,'All Donations'!$R$2:$R$4001,$AD505,'All Donations'!$T$2:$T$4001,Z$1))</f>
        <v/>
      </c>
      <c r="AA505" s="49">
        <f>IF(OR($AE505&lt;&gt;1,AA$1=""),"",SUMIFS('All Donations'!$S$2:$S$4001,'All Donations'!$R$2:$R$4001,$AD505,'All Donations'!$T$2:$T$4001,AA$1))</f>
        <v/>
      </c>
      <c r="AB505" s="49">
        <f>IF(OR($AE505&lt;&gt;1,AB$1=""),"",SUMIFS('All Donations'!$S$2:$S$4001,'All Donations'!$R$2:$R$4001,$AD505,'All Donations'!$T$2:$T$4001,AB$1))</f>
        <v/>
      </c>
      <c r="AC505" s="49">
        <f>IF(OR($AE505&lt;&gt;1,AC$1=""),"",SUMIFS('All Donations'!$S$2:$S$4001,'All Donations'!$R$2:$R$4001,$AD505,'All Donations'!$T$2:$T$4001,AC$1))</f>
        <v/>
      </c>
      <c r="AD505">
        <f>IF(AE505=1,'Roster'!A505,"")</f>
        <v/>
      </c>
      <c r="AE505">
        <f>IF(TRIM('Roster'!B505&amp;'Roster'!C505)&lt;&gt;"",1,0)</f>
        <v/>
      </c>
      <c r="AF505">
        <f>IF(AE505=1,LOWER(A505),"#")</f>
        <v/>
      </c>
      <c r="AG505">
        <f>IF(AE505=1,LOWER(TRIM(TRIM('Roster'!C505)&amp;", "&amp;TRIM('Roster'!B505))),"#")</f>
        <v/>
      </c>
      <c r="AH505">
        <f>IF(AND(AE505=1,TRIM('Roster'!F505)&lt;&gt;""),LOWER(TRIM('Roster'!F505)),"#")</f>
        <v/>
      </c>
      <c r="AI505">
        <f>IF(AE505=1,IF(MATCH(B505,$B$2:$B$701,0)=ROW()-1,1,0),0)</f>
        <v/>
      </c>
      <c r="AJ505">
        <f>AJ504+AI505</f>
        <v/>
      </c>
      <c r="AK505">
        <f>IF(AE505=1,D505+(1000-ROW())/10^7,-1)</f>
        <v/>
      </c>
      <c r="AL505">
        <f>IF(AE505=1,TRIM('Roster'!B505)&amp;" "&amp;LEFT(TRIM('Roster'!C505),1)&amp;".","")</f>
        <v/>
      </c>
      <c r="AM505">
        <f>IF(AE505=1,TRIM('Roster'!C505)&amp;", "&amp;TRIM('Roster'!B505)&amp;" ("&amp;B505&amp;") #"&amp;AD505,"")</f>
        <v/>
      </c>
      <c r="AN505">
        <f>IF(AE505=1,TRIM('Roster'!E505),"")</f>
        <v/>
      </c>
      <c r="AO505">
        <f>IF(AE505=1,ROUND(SUMIFS('All Donations'!$S$2:$S$4001,'All Donations'!$R$2:$R$4001,AD505,'All Donations'!$T$2:$T$4001,"&gt;="&amp;'Settings'!$C$23,'All Donations'!$T$2:$T$4001,"&lt;="&amp;'Settings'!$D$23),2),0)</f>
        <v/>
      </c>
      <c r="AQ505">
        <f>IF(AE505=1,ROUND(SUMIFS('All Donations'!$S$2:$S$4001,'All Donations'!$R$2:$R$4001,AD505,'All Donations'!$T$2:$T$4001,"&gt;="&amp;'Settings'!$C$25,'All Donations'!$T$2:$T$4001,"&lt;="&amp;'Settings'!$D$25),2),0)</f>
        <v/>
      </c>
      <c r="AR505">
        <f>IF(AE505=1,ROUND(SUMIFS('All Donations'!$S$2:$S$4001,'All Donations'!$R$2:$R$4001,AD505,'All Donations'!$T$2:$T$4001,"&gt;="&amp;'Settings'!$C$26,'All Donations'!$T$2:$T$4001,"&lt;="&amp;'Settings'!$D$26),2),0)</f>
        <v/>
      </c>
      <c r="AS505">
        <f>IF(AE505=1,ROUND(SUMIFS('All Donations'!$S$2:$S$4001,'All Donations'!$R$2:$R$4001,AD505,'All Donations'!$T$2:$T$4001,"&lt;="&amp;'Settings'!$D$27),2),0)</f>
        <v/>
      </c>
      <c r="AT505">
        <f>IF(AE505=1,ROUND(SUMIFS('All Donations'!$S$2:$S$4001,'All Donations'!$R$2:$R$4001,AD505,'All Donations'!$T$2:$T$4001,"&gt;="&amp;'Settings'!$C$28,'All Donations'!$T$2:$T$4001,"&lt;="&amp;'Settings'!$D$28),2),0)</f>
        <v/>
      </c>
      <c r="AU505">
        <f>IF(AE505=1,ROUND(SUMIFS('All Donations'!$S$2:$S$4001,'All Donations'!$R$2:$R$4001,AD505,'All Donations'!$T$2:$T$4001,"&gt;="&amp;'Settings'!$C$29,'All Donations'!$T$2:$T$4001,"&lt;="&amp;'Settings'!$D$29),2),0)</f>
        <v/>
      </c>
      <c r="AV505">
        <f>IF(AE505=1,ROUND(SUMIFS('All Donations'!$S$2:$S$4001,'All Donations'!$R$2:$R$4001,AD505,'All Donations'!$T$2:$T$4001,"&lt;="&amp;'Settings'!$D$30),2),0)</f>
        <v/>
      </c>
      <c r="AZ505">
        <f>IF(AE505=1,ROUND(SUMIFS('All Donations'!$S$2:$S$4001,'All Donations'!$R$2:$R$4001,AD505,'All Donations'!$T$2:$T$4001,"&lt;="&amp;'Settings'!$D$34),2),0)</f>
        <v/>
      </c>
    </row>
    <row r="506">
      <c r="A506">
        <f>IF(AE506=1,TRIM(TRIM('Roster'!B506)&amp;" "&amp;TRIM('Roster'!C506)),"")</f>
        <v/>
      </c>
      <c r="B506">
        <f>IF(AE506=1,IF(AN506="","(no teacher)",AN506&amp;" – "&amp;C506),"")</f>
        <v/>
      </c>
      <c r="C506">
        <f>IF(AE506=1,TRIM('Roster'!D506&amp;""),"")</f>
        <v/>
      </c>
      <c r="D506" s="48">
        <f>IF(AE506=1,ROUND(SUMIFS('All Donations'!$S$2:$S$4001,'All Donations'!$R$2:$R$4001,AD506),2),"")</f>
        <v/>
      </c>
      <c r="E506" s="48">
        <f>IF(AE506=1,ROUND(SUMIFS('All Donations'!$S$2:$S$4001,'All Donations'!$R$2:$R$4001,AD506,'All Donations'!$G$2:$G$4001,"OneCause"),2),"")</f>
        <v/>
      </c>
      <c r="F506" s="48">
        <f>IF(AE506=1,D506-E506,"")</f>
        <v/>
      </c>
      <c r="G506">
        <f>IF(AE506=1,COUNTIFS('All Donations'!$R$2:$R$4001,AD506,'All Donations'!$H$2:$H$4001,"OK"),"")</f>
        <v/>
      </c>
      <c r="H506">
        <f>IF(AE506&lt;&gt;1,"",IF(D506&gt;0,"Yes",""))</f>
        <v/>
      </c>
      <c r="I506" s="49">
        <f>IF(OR($AE506&lt;&gt;1,I$1=""),"",SUMIFS('All Donations'!$S$2:$S$4001,'All Donations'!$R$2:$R$4001,$AD506,'All Donations'!$T$2:$T$4001,I$1))</f>
        <v/>
      </c>
      <c r="J506" s="49">
        <f>IF(OR($AE506&lt;&gt;1,J$1=""),"",SUMIFS('All Donations'!$S$2:$S$4001,'All Donations'!$R$2:$R$4001,$AD506,'All Donations'!$T$2:$T$4001,J$1))</f>
        <v/>
      </c>
      <c r="K506" s="49">
        <f>IF(OR($AE506&lt;&gt;1,K$1=""),"",SUMIFS('All Donations'!$S$2:$S$4001,'All Donations'!$R$2:$R$4001,$AD506,'All Donations'!$T$2:$T$4001,K$1))</f>
        <v/>
      </c>
      <c r="L506" s="49">
        <f>IF(OR($AE506&lt;&gt;1,L$1=""),"",SUMIFS('All Donations'!$S$2:$S$4001,'All Donations'!$R$2:$R$4001,$AD506,'All Donations'!$T$2:$T$4001,L$1))</f>
        <v/>
      </c>
      <c r="M506" s="49">
        <f>IF(OR($AE506&lt;&gt;1,M$1=""),"",SUMIFS('All Donations'!$S$2:$S$4001,'All Donations'!$R$2:$R$4001,$AD506,'All Donations'!$T$2:$T$4001,M$1))</f>
        <v/>
      </c>
      <c r="N506" s="49">
        <f>IF(OR($AE506&lt;&gt;1,N$1=""),"",SUMIFS('All Donations'!$S$2:$S$4001,'All Donations'!$R$2:$R$4001,$AD506,'All Donations'!$T$2:$T$4001,N$1))</f>
        <v/>
      </c>
      <c r="O506" s="49">
        <f>IF(OR($AE506&lt;&gt;1,O$1=""),"",SUMIFS('All Donations'!$S$2:$S$4001,'All Donations'!$R$2:$R$4001,$AD506,'All Donations'!$T$2:$T$4001,O$1))</f>
        <v/>
      </c>
      <c r="P506" s="49">
        <f>IF(OR($AE506&lt;&gt;1,P$1=""),"",SUMIFS('All Donations'!$S$2:$S$4001,'All Donations'!$R$2:$R$4001,$AD506,'All Donations'!$T$2:$T$4001,P$1))</f>
        <v/>
      </c>
      <c r="Q506" s="49">
        <f>IF(OR($AE506&lt;&gt;1,Q$1=""),"",SUMIFS('All Donations'!$S$2:$S$4001,'All Donations'!$R$2:$R$4001,$AD506,'All Donations'!$T$2:$T$4001,Q$1))</f>
        <v/>
      </c>
      <c r="R506" s="49">
        <f>IF(OR($AE506&lt;&gt;1,R$1=""),"",SUMIFS('All Donations'!$S$2:$S$4001,'All Donations'!$R$2:$R$4001,$AD506,'All Donations'!$T$2:$T$4001,R$1))</f>
        <v/>
      </c>
      <c r="S506" s="49">
        <f>IF(OR($AE506&lt;&gt;1,S$1=""),"",SUMIFS('All Donations'!$S$2:$S$4001,'All Donations'!$R$2:$R$4001,$AD506,'All Donations'!$T$2:$T$4001,S$1))</f>
        <v/>
      </c>
      <c r="T506" s="49">
        <f>IF(OR($AE506&lt;&gt;1,T$1=""),"",SUMIFS('All Donations'!$S$2:$S$4001,'All Donations'!$R$2:$R$4001,$AD506,'All Donations'!$T$2:$T$4001,T$1))</f>
        <v/>
      </c>
      <c r="U506" s="49">
        <f>IF(OR($AE506&lt;&gt;1,U$1=""),"",SUMIFS('All Donations'!$S$2:$S$4001,'All Donations'!$R$2:$R$4001,$AD506,'All Donations'!$T$2:$T$4001,U$1))</f>
        <v/>
      </c>
      <c r="V506" s="49">
        <f>IF(OR($AE506&lt;&gt;1,V$1=""),"",SUMIFS('All Donations'!$S$2:$S$4001,'All Donations'!$R$2:$R$4001,$AD506,'All Donations'!$T$2:$T$4001,V$1))</f>
        <v/>
      </c>
      <c r="W506" s="49">
        <f>IF(OR($AE506&lt;&gt;1,W$1=""),"",SUMIFS('All Donations'!$S$2:$S$4001,'All Donations'!$R$2:$R$4001,$AD506,'All Donations'!$T$2:$T$4001,W$1))</f>
        <v/>
      </c>
      <c r="X506" s="49">
        <f>IF(OR($AE506&lt;&gt;1,X$1=""),"",SUMIFS('All Donations'!$S$2:$S$4001,'All Donations'!$R$2:$R$4001,$AD506,'All Donations'!$T$2:$T$4001,X$1))</f>
        <v/>
      </c>
      <c r="Y506" s="49">
        <f>IF(OR($AE506&lt;&gt;1,Y$1=""),"",SUMIFS('All Donations'!$S$2:$S$4001,'All Donations'!$R$2:$R$4001,$AD506,'All Donations'!$T$2:$T$4001,Y$1))</f>
        <v/>
      </c>
      <c r="Z506" s="49">
        <f>IF(OR($AE506&lt;&gt;1,Z$1=""),"",SUMIFS('All Donations'!$S$2:$S$4001,'All Donations'!$R$2:$R$4001,$AD506,'All Donations'!$T$2:$T$4001,Z$1))</f>
        <v/>
      </c>
      <c r="AA506" s="49">
        <f>IF(OR($AE506&lt;&gt;1,AA$1=""),"",SUMIFS('All Donations'!$S$2:$S$4001,'All Donations'!$R$2:$R$4001,$AD506,'All Donations'!$T$2:$T$4001,AA$1))</f>
        <v/>
      </c>
      <c r="AB506" s="49">
        <f>IF(OR($AE506&lt;&gt;1,AB$1=""),"",SUMIFS('All Donations'!$S$2:$S$4001,'All Donations'!$R$2:$R$4001,$AD506,'All Donations'!$T$2:$T$4001,AB$1))</f>
        <v/>
      </c>
      <c r="AC506" s="49">
        <f>IF(OR($AE506&lt;&gt;1,AC$1=""),"",SUMIFS('All Donations'!$S$2:$S$4001,'All Donations'!$R$2:$R$4001,$AD506,'All Donations'!$T$2:$T$4001,AC$1))</f>
        <v/>
      </c>
      <c r="AD506">
        <f>IF(AE506=1,'Roster'!A506,"")</f>
        <v/>
      </c>
      <c r="AE506">
        <f>IF(TRIM('Roster'!B506&amp;'Roster'!C506)&lt;&gt;"",1,0)</f>
        <v/>
      </c>
      <c r="AF506">
        <f>IF(AE506=1,LOWER(A506),"#")</f>
        <v/>
      </c>
      <c r="AG506">
        <f>IF(AE506=1,LOWER(TRIM(TRIM('Roster'!C506)&amp;", "&amp;TRIM('Roster'!B506))),"#")</f>
        <v/>
      </c>
      <c r="AH506">
        <f>IF(AND(AE506=1,TRIM('Roster'!F506)&lt;&gt;""),LOWER(TRIM('Roster'!F506)),"#")</f>
        <v/>
      </c>
      <c r="AI506">
        <f>IF(AE506=1,IF(MATCH(B506,$B$2:$B$701,0)=ROW()-1,1,0),0)</f>
        <v/>
      </c>
      <c r="AJ506">
        <f>AJ505+AI506</f>
        <v/>
      </c>
      <c r="AK506">
        <f>IF(AE506=1,D506+(1000-ROW())/10^7,-1)</f>
        <v/>
      </c>
      <c r="AL506">
        <f>IF(AE506=1,TRIM('Roster'!B506)&amp;" "&amp;LEFT(TRIM('Roster'!C506),1)&amp;".","")</f>
        <v/>
      </c>
      <c r="AM506">
        <f>IF(AE506=1,TRIM('Roster'!C506)&amp;", "&amp;TRIM('Roster'!B506)&amp;" ("&amp;B506&amp;") #"&amp;AD506,"")</f>
        <v/>
      </c>
      <c r="AN506">
        <f>IF(AE506=1,TRIM('Roster'!E506),"")</f>
        <v/>
      </c>
      <c r="AO506">
        <f>IF(AE506=1,ROUND(SUMIFS('All Donations'!$S$2:$S$4001,'All Donations'!$R$2:$R$4001,AD506,'All Donations'!$T$2:$T$4001,"&gt;="&amp;'Settings'!$C$23,'All Donations'!$T$2:$T$4001,"&lt;="&amp;'Settings'!$D$23),2),0)</f>
        <v/>
      </c>
      <c r="AQ506">
        <f>IF(AE506=1,ROUND(SUMIFS('All Donations'!$S$2:$S$4001,'All Donations'!$R$2:$R$4001,AD506,'All Donations'!$T$2:$T$4001,"&gt;="&amp;'Settings'!$C$25,'All Donations'!$T$2:$T$4001,"&lt;="&amp;'Settings'!$D$25),2),0)</f>
        <v/>
      </c>
      <c r="AR506">
        <f>IF(AE506=1,ROUND(SUMIFS('All Donations'!$S$2:$S$4001,'All Donations'!$R$2:$R$4001,AD506,'All Donations'!$T$2:$T$4001,"&gt;="&amp;'Settings'!$C$26,'All Donations'!$T$2:$T$4001,"&lt;="&amp;'Settings'!$D$26),2),0)</f>
        <v/>
      </c>
      <c r="AS506">
        <f>IF(AE506=1,ROUND(SUMIFS('All Donations'!$S$2:$S$4001,'All Donations'!$R$2:$R$4001,AD506,'All Donations'!$T$2:$T$4001,"&lt;="&amp;'Settings'!$D$27),2),0)</f>
        <v/>
      </c>
      <c r="AT506">
        <f>IF(AE506=1,ROUND(SUMIFS('All Donations'!$S$2:$S$4001,'All Donations'!$R$2:$R$4001,AD506,'All Donations'!$T$2:$T$4001,"&gt;="&amp;'Settings'!$C$28,'All Donations'!$T$2:$T$4001,"&lt;="&amp;'Settings'!$D$28),2),0)</f>
        <v/>
      </c>
      <c r="AU506">
        <f>IF(AE506=1,ROUND(SUMIFS('All Donations'!$S$2:$S$4001,'All Donations'!$R$2:$R$4001,AD506,'All Donations'!$T$2:$T$4001,"&gt;="&amp;'Settings'!$C$29,'All Donations'!$T$2:$T$4001,"&lt;="&amp;'Settings'!$D$29),2),0)</f>
        <v/>
      </c>
      <c r="AV506">
        <f>IF(AE506=1,ROUND(SUMIFS('All Donations'!$S$2:$S$4001,'All Donations'!$R$2:$R$4001,AD506,'All Donations'!$T$2:$T$4001,"&lt;="&amp;'Settings'!$D$30),2),0)</f>
        <v/>
      </c>
      <c r="AZ506">
        <f>IF(AE506=1,ROUND(SUMIFS('All Donations'!$S$2:$S$4001,'All Donations'!$R$2:$R$4001,AD506,'All Donations'!$T$2:$T$4001,"&lt;="&amp;'Settings'!$D$34),2),0)</f>
        <v/>
      </c>
    </row>
    <row r="507">
      <c r="A507">
        <f>IF(AE507=1,TRIM(TRIM('Roster'!B507)&amp;" "&amp;TRIM('Roster'!C507)),"")</f>
        <v/>
      </c>
      <c r="B507">
        <f>IF(AE507=1,IF(AN507="","(no teacher)",AN507&amp;" – "&amp;C507),"")</f>
        <v/>
      </c>
      <c r="C507">
        <f>IF(AE507=1,TRIM('Roster'!D507&amp;""),"")</f>
        <v/>
      </c>
      <c r="D507" s="48">
        <f>IF(AE507=1,ROUND(SUMIFS('All Donations'!$S$2:$S$4001,'All Donations'!$R$2:$R$4001,AD507),2),"")</f>
        <v/>
      </c>
      <c r="E507" s="48">
        <f>IF(AE507=1,ROUND(SUMIFS('All Donations'!$S$2:$S$4001,'All Donations'!$R$2:$R$4001,AD507,'All Donations'!$G$2:$G$4001,"OneCause"),2),"")</f>
        <v/>
      </c>
      <c r="F507" s="48">
        <f>IF(AE507=1,D507-E507,"")</f>
        <v/>
      </c>
      <c r="G507">
        <f>IF(AE507=1,COUNTIFS('All Donations'!$R$2:$R$4001,AD507,'All Donations'!$H$2:$H$4001,"OK"),"")</f>
        <v/>
      </c>
      <c r="H507">
        <f>IF(AE507&lt;&gt;1,"",IF(D507&gt;0,"Yes",""))</f>
        <v/>
      </c>
      <c r="I507" s="49">
        <f>IF(OR($AE507&lt;&gt;1,I$1=""),"",SUMIFS('All Donations'!$S$2:$S$4001,'All Donations'!$R$2:$R$4001,$AD507,'All Donations'!$T$2:$T$4001,I$1))</f>
        <v/>
      </c>
      <c r="J507" s="49">
        <f>IF(OR($AE507&lt;&gt;1,J$1=""),"",SUMIFS('All Donations'!$S$2:$S$4001,'All Donations'!$R$2:$R$4001,$AD507,'All Donations'!$T$2:$T$4001,J$1))</f>
        <v/>
      </c>
      <c r="K507" s="49">
        <f>IF(OR($AE507&lt;&gt;1,K$1=""),"",SUMIFS('All Donations'!$S$2:$S$4001,'All Donations'!$R$2:$R$4001,$AD507,'All Donations'!$T$2:$T$4001,K$1))</f>
        <v/>
      </c>
      <c r="L507" s="49">
        <f>IF(OR($AE507&lt;&gt;1,L$1=""),"",SUMIFS('All Donations'!$S$2:$S$4001,'All Donations'!$R$2:$R$4001,$AD507,'All Donations'!$T$2:$T$4001,L$1))</f>
        <v/>
      </c>
      <c r="M507" s="49">
        <f>IF(OR($AE507&lt;&gt;1,M$1=""),"",SUMIFS('All Donations'!$S$2:$S$4001,'All Donations'!$R$2:$R$4001,$AD507,'All Donations'!$T$2:$T$4001,M$1))</f>
        <v/>
      </c>
      <c r="N507" s="49">
        <f>IF(OR($AE507&lt;&gt;1,N$1=""),"",SUMIFS('All Donations'!$S$2:$S$4001,'All Donations'!$R$2:$R$4001,$AD507,'All Donations'!$T$2:$T$4001,N$1))</f>
        <v/>
      </c>
      <c r="O507" s="49">
        <f>IF(OR($AE507&lt;&gt;1,O$1=""),"",SUMIFS('All Donations'!$S$2:$S$4001,'All Donations'!$R$2:$R$4001,$AD507,'All Donations'!$T$2:$T$4001,O$1))</f>
        <v/>
      </c>
      <c r="P507" s="49">
        <f>IF(OR($AE507&lt;&gt;1,P$1=""),"",SUMIFS('All Donations'!$S$2:$S$4001,'All Donations'!$R$2:$R$4001,$AD507,'All Donations'!$T$2:$T$4001,P$1))</f>
        <v/>
      </c>
      <c r="Q507" s="49">
        <f>IF(OR($AE507&lt;&gt;1,Q$1=""),"",SUMIFS('All Donations'!$S$2:$S$4001,'All Donations'!$R$2:$R$4001,$AD507,'All Donations'!$T$2:$T$4001,Q$1))</f>
        <v/>
      </c>
      <c r="R507" s="49">
        <f>IF(OR($AE507&lt;&gt;1,R$1=""),"",SUMIFS('All Donations'!$S$2:$S$4001,'All Donations'!$R$2:$R$4001,$AD507,'All Donations'!$T$2:$T$4001,R$1))</f>
        <v/>
      </c>
      <c r="S507" s="49">
        <f>IF(OR($AE507&lt;&gt;1,S$1=""),"",SUMIFS('All Donations'!$S$2:$S$4001,'All Donations'!$R$2:$R$4001,$AD507,'All Donations'!$T$2:$T$4001,S$1))</f>
        <v/>
      </c>
      <c r="T507" s="49">
        <f>IF(OR($AE507&lt;&gt;1,T$1=""),"",SUMIFS('All Donations'!$S$2:$S$4001,'All Donations'!$R$2:$R$4001,$AD507,'All Donations'!$T$2:$T$4001,T$1))</f>
        <v/>
      </c>
      <c r="U507" s="49">
        <f>IF(OR($AE507&lt;&gt;1,U$1=""),"",SUMIFS('All Donations'!$S$2:$S$4001,'All Donations'!$R$2:$R$4001,$AD507,'All Donations'!$T$2:$T$4001,U$1))</f>
        <v/>
      </c>
      <c r="V507" s="49">
        <f>IF(OR($AE507&lt;&gt;1,V$1=""),"",SUMIFS('All Donations'!$S$2:$S$4001,'All Donations'!$R$2:$R$4001,$AD507,'All Donations'!$T$2:$T$4001,V$1))</f>
        <v/>
      </c>
      <c r="W507" s="49">
        <f>IF(OR($AE507&lt;&gt;1,W$1=""),"",SUMIFS('All Donations'!$S$2:$S$4001,'All Donations'!$R$2:$R$4001,$AD507,'All Donations'!$T$2:$T$4001,W$1))</f>
        <v/>
      </c>
      <c r="X507" s="49">
        <f>IF(OR($AE507&lt;&gt;1,X$1=""),"",SUMIFS('All Donations'!$S$2:$S$4001,'All Donations'!$R$2:$R$4001,$AD507,'All Donations'!$T$2:$T$4001,X$1))</f>
        <v/>
      </c>
      <c r="Y507" s="49">
        <f>IF(OR($AE507&lt;&gt;1,Y$1=""),"",SUMIFS('All Donations'!$S$2:$S$4001,'All Donations'!$R$2:$R$4001,$AD507,'All Donations'!$T$2:$T$4001,Y$1))</f>
        <v/>
      </c>
      <c r="Z507" s="49">
        <f>IF(OR($AE507&lt;&gt;1,Z$1=""),"",SUMIFS('All Donations'!$S$2:$S$4001,'All Donations'!$R$2:$R$4001,$AD507,'All Donations'!$T$2:$T$4001,Z$1))</f>
        <v/>
      </c>
      <c r="AA507" s="49">
        <f>IF(OR($AE507&lt;&gt;1,AA$1=""),"",SUMIFS('All Donations'!$S$2:$S$4001,'All Donations'!$R$2:$R$4001,$AD507,'All Donations'!$T$2:$T$4001,AA$1))</f>
        <v/>
      </c>
      <c r="AB507" s="49">
        <f>IF(OR($AE507&lt;&gt;1,AB$1=""),"",SUMIFS('All Donations'!$S$2:$S$4001,'All Donations'!$R$2:$R$4001,$AD507,'All Donations'!$T$2:$T$4001,AB$1))</f>
        <v/>
      </c>
      <c r="AC507" s="49">
        <f>IF(OR($AE507&lt;&gt;1,AC$1=""),"",SUMIFS('All Donations'!$S$2:$S$4001,'All Donations'!$R$2:$R$4001,$AD507,'All Donations'!$T$2:$T$4001,AC$1))</f>
        <v/>
      </c>
      <c r="AD507">
        <f>IF(AE507=1,'Roster'!A507,"")</f>
        <v/>
      </c>
      <c r="AE507">
        <f>IF(TRIM('Roster'!B507&amp;'Roster'!C507)&lt;&gt;"",1,0)</f>
        <v/>
      </c>
      <c r="AF507">
        <f>IF(AE507=1,LOWER(A507),"#")</f>
        <v/>
      </c>
      <c r="AG507">
        <f>IF(AE507=1,LOWER(TRIM(TRIM('Roster'!C507)&amp;", "&amp;TRIM('Roster'!B507))),"#")</f>
        <v/>
      </c>
      <c r="AH507">
        <f>IF(AND(AE507=1,TRIM('Roster'!F507)&lt;&gt;""),LOWER(TRIM('Roster'!F507)),"#")</f>
        <v/>
      </c>
      <c r="AI507">
        <f>IF(AE507=1,IF(MATCH(B507,$B$2:$B$701,0)=ROW()-1,1,0),0)</f>
        <v/>
      </c>
      <c r="AJ507">
        <f>AJ506+AI507</f>
        <v/>
      </c>
      <c r="AK507">
        <f>IF(AE507=1,D507+(1000-ROW())/10^7,-1)</f>
        <v/>
      </c>
      <c r="AL507">
        <f>IF(AE507=1,TRIM('Roster'!B507)&amp;" "&amp;LEFT(TRIM('Roster'!C507),1)&amp;".","")</f>
        <v/>
      </c>
      <c r="AM507">
        <f>IF(AE507=1,TRIM('Roster'!C507)&amp;", "&amp;TRIM('Roster'!B507)&amp;" ("&amp;B507&amp;") #"&amp;AD507,"")</f>
        <v/>
      </c>
      <c r="AN507">
        <f>IF(AE507=1,TRIM('Roster'!E507),"")</f>
        <v/>
      </c>
      <c r="AO507">
        <f>IF(AE507=1,ROUND(SUMIFS('All Donations'!$S$2:$S$4001,'All Donations'!$R$2:$R$4001,AD507,'All Donations'!$T$2:$T$4001,"&gt;="&amp;'Settings'!$C$23,'All Donations'!$T$2:$T$4001,"&lt;="&amp;'Settings'!$D$23),2),0)</f>
        <v/>
      </c>
      <c r="AQ507">
        <f>IF(AE507=1,ROUND(SUMIFS('All Donations'!$S$2:$S$4001,'All Donations'!$R$2:$R$4001,AD507,'All Donations'!$T$2:$T$4001,"&gt;="&amp;'Settings'!$C$25,'All Donations'!$T$2:$T$4001,"&lt;="&amp;'Settings'!$D$25),2),0)</f>
        <v/>
      </c>
      <c r="AR507">
        <f>IF(AE507=1,ROUND(SUMIFS('All Donations'!$S$2:$S$4001,'All Donations'!$R$2:$R$4001,AD507,'All Donations'!$T$2:$T$4001,"&gt;="&amp;'Settings'!$C$26,'All Donations'!$T$2:$T$4001,"&lt;="&amp;'Settings'!$D$26),2),0)</f>
        <v/>
      </c>
      <c r="AS507">
        <f>IF(AE507=1,ROUND(SUMIFS('All Donations'!$S$2:$S$4001,'All Donations'!$R$2:$R$4001,AD507,'All Donations'!$T$2:$T$4001,"&lt;="&amp;'Settings'!$D$27),2),0)</f>
        <v/>
      </c>
      <c r="AT507">
        <f>IF(AE507=1,ROUND(SUMIFS('All Donations'!$S$2:$S$4001,'All Donations'!$R$2:$R$4001,AD507,'All Donations'!$T$2:$T$4001,"&gt;="&amp;'Settings'!$C$28,'All Donations'!$T$2:$T$4001,"&lt;="&amp;'Settings'!$D$28),2),0)</f>
        <v/>
      </c>
      <c r="AU507">
        <f>IF(AE507=1,ROUND(SUMIFS('All Donations'!$S$2:$S$4001,'All Donations'!$R$2:$R$4001,AD507,'All Donations'!$T$2:$T$4001,"&gt;="&amp;'Settings'!$C$29,'All Donations'!$T$2:$T$4001,"&lt;="&amp;'Settings'!$D$29),2),0)</f>
        <v/>
      </c>
      <c r="AV507">
        <f>IF(AE507=1,ROUND(SUMIFS('All Donations'!$S$2:$S$4001,'All Donations'!$R$2:$R$4001,AD507,'All Donations'!$T$2:$T$4001,"&lt;="&amp;'Settings'!$D$30),2),0)</f>
        <v/>
      </c>
      <c r="AZ507">
        <f>IF(AE507=1,ROUND(SUMIFS('All Donations'!$S$2:$S$4001,'All Donations'!$R$2:$R$4001,AD507,'All Donations'!$T$2:$T$4001,"&lt;="&amp;'Settings'!$D$34),2),0)</f>
        <v/>
      </c>
    </row>
    <row r="508">
      <c r="A508">
        <f>IF(AE508=1,TRIM(TRIM('Roster'!B508)&amp;" "&amp;TRIM('Roster'!C508)),"")</f>
        <v/>
      </c>
      <c r="B508">
        <f>IF(AE508=1,IF(AN508="","(no teacher)",AN508&amp;" – "&amp;C508),"")</f>
        <v/>
      </c>
      <c r="C508">
        <f>IF(AE508=1,TRIM('Roster'!D508&amp;""),"")</f>
        <v/>
      </c>
      <c r="D508" s="48">
        <f>IF(AE508=1,ROUND(SUMIFS('All Donations'!$S$2:$S$4001,'All Donations'!$R$2:$R$4001,AD508),2),"")</f>
        <v/>
      </c>
      <c r="E508" s="48">
        <f>IF(AE508=1,ROUND(SUMIFS('All Donations'!$S$2:$S$4001,'All Donations'!$R$2:$R$4001,AD508,'All Donations'!$G$2:$G$4001,"OneCause"),2),"")</f>
        <v/>
      </c>
      <c r="F508" s="48">
        <f>IF(AE508=1,D508-E508,"")</f>
        <v/>
      </c>
      <c r="G508">
        <f>IF(AE508=1,COUNTIFS('All Donations'!$R$2:$R$4001,AD508,'All Donations'!$H$2:$H$4001,"OK"),"")</f>
        <v/>
      </c>
      <c r="H508">
        <f>IF(AE508&lt;&gt;1,"",IF(D508&gt;0,"Yes",""))</f>
        <v/>
      </c>
      <c r="I508" s="49">
        <f>IF(OR($AE508&lt;&gt;1,I$1=""),"",SUMIFS('All Donations'!$S$2:$S$4001,'All Donations'!$R$2:$R$4001,$AD508,'All Donations'!$T$2:$T$4001,I$1))</f>
        <v/>
      </c>
      <c r="J508" s="49">
        <f>IF(OR($AE508&lt;&gt;1,J$1=""),"",SUMIFS('All Donations'!$S$2:$S$4001,'All Donations'!$R$2:$R$4001,$AD508,'All Donations'!$T$2:$T$4001,J$1))</f>
        <v/>
      </c>
      <c r="K508" s="49">
        <f>IF(OR($AE508&lt;&gt;1,K$1=""),"",SUMIFS('All Donations'!$S$2:$S$4001,'All Donations'!$R$2:$R$4001,$AD508,'All Donations'!$T$2:$T$4001,K$1))</f>
        <v/>
      </c>
      <c r="L508" s="49">
        <f>IF(OR($AE508&lt;&gt;1,L$1=""),"",SUMIFS('All Donations'!$S$2:$S$4001,'All Donations'!$R$2:$R$4001,$AD508,'All Donations'!$T$2:$T$4001,L$1))</f>
        <v/>
      </c>
      <c r="M508" s="49">
        <f>IF(OR($AE508&lt;&gt;1,M$1=""),"",SUMIFS('All Donations'!$S$2:$S$4001,'All Donations'!$R$2:$R$4001,$AD508,'All Donations'!$T$2:$T$4001,M$1))</f>
        <v/>
      </c>
      <c r="N508" s="49">
        <f>IF(OR($AE508&lt;&gt;1,N$1=""),"",SUMIFS('All Donations'!$S$2:$S$4001,'All Donations'!$R$2:$R$4001,$AD508,'All Donations'!$T$2:$T$4001,N$1))</f>
        <v/>
      </c>
      <c r="O508" s="49">
        <f>IF(OR($AE508&lt;&gt;1,O$1=""),"",SUMIFS('All Donations'!$S$2:$S$4001,'All Donations'!$R$2:$R$4001,$AD508,'All Donations'!$T$2:$T$4001,O$1))</f>
        <v/>
      </c>
      <c r="P508" s="49">
        <f>IF(OR($AE508&lt;&gt;1,P$1=""),"",SUMIFS('All Donations'!$S$2:$S$4001,'All Donations'!$R$2:$R$4001,$AD508,'All Donations'!$T$2:$T$4001,P$1))</f>
        <v/>
      </c>
      <c r="Q508" s="49">
        <f>IF(OR($AE508&lt;&gt;1,Q$1=""),"",SUMIFS('All Donations'!$S$2:$S$4001,'All Donations'!$R$2:$R$4001,$AD508,'All Donations'!$T$2:$T$4001,Q$1))</f>
        <v/>
      </c>
      <c r="R508" s="49">
        <f>IF(OR($AE508&lt;&gt;1,R$1=""),"",SUMIFS('All Donations'!$S$2:$S$4001,'All Donations'!$R$2:$R$4001,$AD508,'All Donations'!$T$2:$T$4001,R$1))</f>
        <v/>
      </c>
      <c r="S508" s="49">
        <f>IF(OR($AE508&lt;&gt;1,S$1=""),"",SUMIFS('All Donations'!$S$2:$S$4001,'All Donations'!$R$2:$R$4001,$AD508,'All Donations'!$T$2:$T$4001,S$1))</f>
        <v/>
      </c>
      <c r="T508" s="49">
        <f>IF(OR($AE508&lt;&gt;1,T$1=""),"",SUMIFS('All Donations'!$S$2:$S$4001,'All Donations'!$R$2:$R$4001,$AD508,'All Donations'!$T$2:$T$4001,T$1))</f>
        <v/>
      </c>
      <c r="U508" s="49">
        <f>IF(OR($AE508&lt;&gt;1,U$1=""),"",SUMIFS('All Donations'!$S$2:$S$4001,'All Donations'!$R$2:$R$4001,$AD508,'All Donations'!$T$2:$T$4001,U$1))</f>
        <v/>
      </c>
      <c r="V508" s="49">
        <f>IF(OR($AE508&lt;&gt;1,V$1=""),"",SUMIFS('All Donations'!$S$2:$S$4001,'All Donations'!$R$2:$R$4001,$AD508,'All Donations'!$T$2:$T$4001,V$1))</f>
        <v/>
      </c>
      <c r="W508" s="49">
        <f>IF(OR($AE508&lt;&gt;1,W$1=""),"",SUMIFS('All Donations'!$S$2:$S$4001,'All Donations'!$R$2:$R$4001,$AD508,'All Donations'!$T$2:$T$4001,W$1))</f>
        <v/>
      </c>
      <c r="X508" s="49">
        <f>IF(OR($AE508&lt;&gt;1,X$1=""),"",SUMIFS('All Donations'!$S$2:$S$4001,'All Donations'!$R$2:$R$4001,$AD508,'All Donations'!$T$2:$T$4001,X$1))</f>
        <v/>
      </c>
      <c r="Y508" s="49">
        <f>IF(OR($AE508&lt;&gt;1,Y$1=""),"",SUMIFS('All Donations'!$S$2:$S$4001,'All Donations'!$R$2:$R$4001,$AD508,'All Donations'!$T$2:$T$4001,Y$1))</f>
        <v/>
      </c>
      <c r="Z508" s="49">
        <f>IF(OR($AE508&lt;&gt;1,Z$1=""),"",SUMIFS('All Donations'!$S$2:$S$4001,'All Donations'!$R$2:$R$4001,$AD508,'All Donations'!$T$2:$T$4001,Z$1))</f>
        <v/>
      </c>
      <c r="AA508" s="49">
        <f>IF(OR($AE508&lt;&gt;1,AA$1=""),"",SUMIFS('All Donations'!$S$2:$S$4001,'All Donations'!$R$2:$R$4001,$AD508,'All Donations'!$T$2:$T$4001,AA$1))</f>
        <v/>
      </c>
      <c r="AB508" s="49">
        <f>IF(OR($AE508&lt;&gt;1,AB$1=""),"",SUMIFS('All Donations'!$S$2:$S$4001,'All Donations'!$R$2:$R$4001,$AD508,'All Donations'!$T$2:$T$4001,AB$1))</f>
        <v/>
      </c>
      <c r="AC508" s="49">
        <f>IF(OR($AE508&lt;&gt;1,AC$1=""),"",SUMIFS('All Donations'!$S$2:$S$4001,'All Donations'!$R$2:$R$4001,$AD508,'All Donations'!$T$2:$T$4001,AC$1))</f>
        <v/>
      </c>
      <c r="AD508">
        <f>IF(AE508=1,'Roster'!A508,"")</f>
        <v/>
      </c>
      <c r="AE508">
        <f>IF(TRIM('Roster'!B508&amp;'Roster'!C508)&lt;&gt;"",1,0)</f>
        <v/>
      </c>
      <c r="AF508">
        <f>IF(AE508=1,LOWER(A508),"#")</f>
        <v/>
      </c>
      <c r="AG508">
        <f>IF(AE508=1,LOWER(TRIM(TRIM('Roster'!C508)&amp;", "&amp;TRIM('Roster'!B508))),"#")</f>
        <v/>
      </c>
      <c r="AH508">
        <f>IF(AND(AE508=1,TRIM('Roster'!F508)&lt;&gt;""),LOWER(TRIM('Roster'!F508)),"#")</f>
        <v/>
      </c>
      <c r="AI508">
        <f>IF(AE508=1,IF(MATCH(B508,$B$2:$B$701,0)=ROW()-1,1,0),0)</f>
        <v/>
      </c>
      <c r="AJ508">
        <f>AJ507+AI508</f>
        <v/>
      </c>
      <c r="AK508">
        <f>IF(AE508=1,D508+(1000-ROW())/10^7,-1)</f>
        <v/>
      </c>
      <c r="AL508">
        <f>IF(AE508=1,TRIM('Roster'!B508)&amp;" "&amp;LEFT(TRIM('Roster'!C508),1)&amp;".","")</f>
        <v/>
      </c>
      <c r="AM508">
        <f>IF(AE508=1,TRIM('Roster'!C508)&amp;", "&amp;TRIM('Roster'!B508)&amp;" ("&amp;B508&amp;") #"&amp;AD508,"")</f>
        <v/>
      </c>
      <c r="AN508">
        <f>IF(AE508=1,TRIM('Roster'!E508),"")</f>
        <v/>
      </c>
      <c r="AO508">
        <f>IF(AE508=1,ROUND(SUMIFS('All Donations'!$S$2:$S$4001,'All Donations'!$R$2:$R$4001,AD508,'All Donations'!$T$2:$T$4001,"&gt;="&amp;'Settings'!$C$23,'All Donations'!$T$2:$T$4001,"&lt;="&amp;'Settings'!$D$23),2),0)</f>
        <v/>
      </c>
      <c r="AQ508">
        <f>IF(AE508=1,ROUND(SUMIFS('All Donations'!$S$2:$S$4001,'All Donations'!$R$2:$R$4001,AD508,'All Donations'!$T$2:$T$4001,"&gt;="&amp;'Settings'!$C$25,'All Donations'!$T$2:$T$4001,"&lt;="&amp;'Settings'!$D$25),2),0)</f>
        <v/>
      </c>
      <c r="AR508">
        <f>IF(AE508=1,ROUND(SUMIFS('All Donations'!$S$2:$S$4001,'All Donations'!$R$2:$R$4001,AD508,'All Donations'!$T$2:$T$4001,"&gt;="&amp;'Settings'!$C$26,'All Donations'!$T$2:$T$4001,"&lt;="&amp;'Settings'!$D$26),2),0)</f>
        <v/>
      </c>
      <c r="AS508">
        <f>IF(AE508=1,ROUND(SUMIFS('All Donations'!$S$2:$S$4001,'All Donations'!$R$2:$R$4001,AD508,'All Donations'!$T$2:$T$4001,"&lt;="&amp;'Settings'!$D$27),2),0)</f>
        <v/>
      </c>
      <c r="AT508">
        <f>IF(AE508=1,ROUND(SUMIFS('All Donations'!$S$2:$S$4001,'All Donations'!$R$2:$R$4001,AD508,'All Donations'!$T$2:$T$4001,"&gt;="&amp;'Settings'!$C$28,'All Donations'!$T$2:$T$4001,"&lt;="&amp;'Settings'!$D$28),2),0)</f>
        <v/>
      </c>
      <c r="AU508">
        <f>IF(AE508=1,ROUND(SUMIFS('All Donations'!$S$2:$S$4001,'All Donations'!$R$2:$R$4001,AD508,'All Donations'!$T$2:$T$4001,"&gt;="&amp;'Settings'!$C$29,'All Donations'!$T$2:$T$4001,"&lt;="&amp;'Settings'!$D$29),2),0)</f>
        <v/>
      </c>
      <c r="AV508">
        <f>IF(AE508=1,ROUND(SUMIFS('All Donations'!$S$2:$S$4001,'All Donations'!$R$2:$R$4001,AD508,'All Donations'!$T$2:$T$4001,"&lt;="&amp;'Settings'!$D$30),2),0)</f>
        <v/>
      </c>
      <c r="AZ508">
        <f>IF(AE508=1,ROUND(SUMIFS('All Donations'!$S$2:$S$4001,'All Donations'!$R$2:$R$4001,AD508,'All Donations'!$T$2:$T$4001,"&lt;="&amp;'Settings'!$D$34),2),0)</f>
        <v/>
      </c>
    </row>
    <row r="509">
      <c r="A509">
        <f>IF(AE509=1,TRIM(TRIM('Roster'!B509)&amp;" "&amp;TRIM('Roster'!C509)),"")</f>
        <v/>
      </c>
      <c r="B509">
        <f>IF(AE509=1,IF(AN509="","(no teacher)",AN509&amp;" – "&amp;C509),"")</f>
        <v/>
      </c>
      <c r="C509">
        <f>IF(AE509=1,TRIM('Roster'!D509&amp;""),"")</f>
        <v/>
      </c>
      <c r="D509" s="48">
        <f>IF(AE509=1,ROUND(SUMIFS('All Donations'!$S$2:$S$4001,'All Donations'!$R$2:$R$4001,AD509),2),"")</f>
        <v/>
      </c>
      <c r="E509" s="48">
        <f>IF(AE509=1,ROUND(SUMIFS('All Donations'!$S$2:$S$4001,'All Donations'!$R$2:$R$4001,AD509,'All Donations'!$G$2:$G$4001,"OneCause"),2),"")</f>
        <v/>
      </c>
      <c r="F509" s="48">
        <f>IF(AE509=1,D509-E509,"")</f>
        <v/>
      </c>
      <c r="G509">
        <f>IF(AE509=1,COUNTIFS('All Donations'!$R$2:$R$4001,AD509,'All Donations'!$H$2:$H$4001,"OK"),"")</f>
        <v/>
      </c>
      <c r="H509">
        <f>IF(AE509&lt;&gt;1,"",IF(D509&gt;0,"Yes",""))</f>
        <v/>
      </c>
      <c r="I509" s="49">
        <f>IF(OR($AE509&lt;&gt;1,I$1=""),"",SUMIFS('All Donations'!$S$2:$S$4001,'All Donations'!$R$2:$R$4001,$AD509,'All Donations'!$T$2:$T$4001,I$1))</f>
        <v/>
      </c>
      <c r="J509" s="49">
        <f>IF(OR($AE509&lt;&gt;1,J$1=""),"",SUMIFS('All Donations'!$S$2:$S$4001,'All Donations'!$R$2:$R$4001,$AD509,'All Donations'!$T$2:$T$4001,J$1))</f>
        <v/>
      </c>
      <c r="K509" s="49">
        <f>IF(OR($AE509&lt;&gt;1,K$1=""),"",SUMIFS('All Donations'!$S$2:$S$4001,'All Donations'!$R$2:$R$4001,$AD509,'All Donations'!$T$2:$T$4001,K$1))</f>
        <v/>
      </c>
      <c r="L509" s="49">
        <f>IF(OR($AE509&lt;&gt;1,L$1=""),"",SUMIFS('All Donations'!$S$2:$S$4001,'All Donations'!$R$2:$R$4001,$AD509,'All Donations'!$T$2:$T$4001,L$1))</f>
        <v/>
      </c>
      <c r="M509" s="49">
        <f>IF(OR($AE509&lt;&gt;1,M$1=""),"",SUMIFS('All Donations'!$S$2:$S$4001,'All Donations'!$R$2:$R$4001,$AD509,'All Donations'!$T$2:$T$4001,M$1))</f>
        <v/>
      </c>
      <c r="N509" s="49">
        <f>IF(OR($AE509&lt;&gt;1,N$1=""),"",SUMIFS('All Donations'!$S$2:$S$4001,'All Donations'!$R$2:$R$4001,$AD509,'All Donations'!$T$2:$T$4001,N$1))</f>
        <v/>
      </c>
      <c r="O509" s="49">
        <f>IF(OR($AE509&lt;&gt;1,O$1=""),"",SUMIFS('All Donations'!$S$2:$S$4001,'All Donations'!$R$2:$R$4001,$AD509,'All Donations'!$T$2:$T$4001,O$1))</f>
        <v/>
      </c>
      <c r="P509" s="49">
        <f>IF(OR($AE509&lt;&gt;1,P$1=""),"",SUMIFS('All Donations'!$S$2:$S$4001,'All Donations'!$R$2:$R$4001,$AD509,'All Donations'!$T$2:$T$4001,P$1))</f>
        <v/>
      </c>
      <c r="Q509" s="49">
        <f>IF(OR($AE509&lt;&gt;1,Q$1=""),"",SUMIFS('All Donations'!$S$2:$S$4001,'All Donations'!$R$2:$R$4001,$AD509,'All Donations'!$T$2:$T$4001,Q$1))</f>
        <v/>
      </c>
      <c r="R509" s="49">
        <f>IF(OR($AE509&lt;&gt;1,R$1=""),"",SUMIFS('All Donations'!$S$2:$S$4001,'All Donations'!$R$2:$R$4001,$AD509,'All Donations'!$T$2:$T$4001,R$1))</f>
        <v/>
      </c>
      <c r="S509" s="49">
        <f>IF(OR($AE509&lt;&gt;1,S$1=""),"",SUMIFS('All Donations'!$S$2:$S$4001,'All Donations'!$R$2:$R$4001,$AD509,'All Donations'!$T$2:$T$4001,S$1))</f>
        <v/>
      </c>
      <c r="T509" s="49">
        <f>IF(OR($AE509&lt;&gt;1,T$1=""),"",SUMIFS('All Donations'!$S$2:$S$4001,'All Donations'!$R$2:$R$4001,$AD509,'All Donations'!$T$2:$T$4001,T$1))</f>
        <v/>
      </c>
      <c r="U509" s="49">
        <f>IF(OR($AE509&lt;&gt;1,U$1=""),"",SUMIFS('All Donations'!$S$2:$S$4001,'All Donations'!$R$2:$R$4001,$AD509,'All Donations'!$T$2:$T$4001,U$1))</f>
        <v/>
      </c>
      <c r="V509" s="49">
        <f>IF(OR($AE509&lt;&gt;1,V$1=""),"",SUMIFS('All Donations'!$S$2:$S$4001,'All Donations'!$R$2:$R$4001,$AD509,'All Donations'!$T$2:$T$4001,V$1))</f>
        <v/>
      </c>
      <c r="W509" s="49">
        <f>IF(OR($AE509&lt;&gt;1,W$1=""),"",SUMIFS('All Donations'!$S$2:$S$4001,'All Donations'!$R$2:$R$4001,$AD509,'All Donations'!$T$2:$T$4001,W$1))</f>
        <v/>
      </c>
      <c r="X509" s="49">
        <f>IF(OR($AE509&lt;&gt;1,X$1=""),"",SUMIFS('All Donations'!$S$2:$S$4001,'All Donations'!$R$2:$R$4001,$AD509,'All Donations'!$T$2:$T$4001,X$1))</f>
        <v/>
      </c>
      <c r="Y509" s="49">
        <f>IF(OR($AE509&lt;&gt;1,Y$1=""),"",SUMIFS('All Donations'!$S$2:$S$4001,'All Donations'!$R$2:$R$4001,$AD509,'All Donations'!$T$2:$T$4001,Y$1))</f>
        <v/>
      </c>
      <c r="Z509" s="49">
        <f>IF(OR($AE509&lt;&gt;1,Z$1=""),"",SUMIFS('All Donations'!$S$2:$S$4001,'All Donations'!$R$2:$R$4001,$AD509,'All Donations'!$T$2:$T$4001,Z$1))</f>
        <v/>
      </c>
      <c r="AA509" s="49">
        <f>IF(OR($AE509&lt;&gt;1,AA$1=""),"",SUMIFS('All Donations'!$S$2:$S$4001,'All Donations'!$R$2:$R$4001,$AD509,'All Donations'!$T$2:$T$4001,AA$1))</f>
        <v/>
      </c>
      <c r="AB509" s="49">
        <f>IF(OR($AE509&lt;&gt;1,AB$1=""),"",SUMIFS('All Donations'!$S$2:$S$4001,'All Donations'!$R$2:$R$4001,$AD509,'All Donations'!$T$2:$T$4001,AB$1))</f>
        <v/>
      </c>
      <c r="AC509" s="49">
        <f>IF(OR($AE509&lt;&gt;1,AC$1=""),"",SUMIFS('All Donations'!$S$2:$S$4001,'All Donations'!$R$2:$R$4001,$AD509,'All Donations'!$T$2:$T$4001,AC$1))</f>
        <v/>
      </c>
      <c r="AD509">
        <f>IF(AE509=1,'Roster'!A509,"")</f>
        <v/>
      </c>
      <c r="AE509">
        <f>IF(TRIM('Roster'!B509&amp;'Roster'!C509)&lt;&gt;"",1,0)</f>
        <v/>
      </c>
      <c r="AF509">
        <f>IF(AE509=1,LOWER(A509),"#")</f>
        <v/>
      </c>
      <c r="AG509">
        <f>IF(AE509=1,LOWER(TRIM(TRIM('Roster'!C509)&amp;", "&amp;TRIM('Roster'!B509))),"#")</f>
        <v/>
      </c>
      <c r="AH509">
        <f>IF(AND(AE509=1,TRIM('Roster'!F509)&lt;&gt;""),LOWER(TRIM('Roster'!F509)),"#")</f>
        <v/>
      </c>
      <c r="AI509">
        <f>IF(AE509=1,IF(MATCH(B509,$B$2:$B$701,0)=ROW()-1,1,0),0)</f>
        <v/>
      </c>
      <c r="AJ509">
        <f>AJ508+AI509</f>
        <v/>
      </c>
      <c r="AK509">
        <f>IF(AE509=1,D509+(1000-ROW())/10^7,-1)</f>
        <v/>
      </c>
      <c r="AL509">
        <f>IF(AE509=1,TRIM('Roster'!B509)&amp;" "&amp;LEFT(TRIM('Roster'!C509),1)&amp;".","")</f>
        <v/>
      </c>
      <c r="AM509">
        <f>IF(AE509=1,TRIM('Roster'!C509)&amp;", "&amp;TRIM('Roster'!B509)&amp;" ("&amp;B509&amp;") #"&amp;AD509,"")</f>
        <v/>
      </c>
      <c r="AN509">
        <f>IF(AE509=1,TRIM('Roster'!E509),"")</f>
        <v/>
      </c>
      <c r="AO509">
        <f>IF(AE509=1,ROUND(SUMIFS('All Donations'!$S$2:$S$4001,'All Donations'!$R$2:$R$4001,AD509,'All Donations'!$T$2:$T$4001,"&gt;="&amp;'Settings'!$C$23,'All Donations'!$T$2:$T$4001,"&lt;="&amp;'Settings'!$D$23),2),0)</f>
        <v/>
      </c>
      <c r="AQ509">
        <f>IF(AE509=1,ROUND(SUMIFS('All Donations'!$S$2:$S$4001,'All Donations'!$R$2:$R$4001,AD509,'All Donations'!$T$2:$T$4001,"&gt;="&amp;'Settings'!$C$25,'All Donations'!$T$2:$T$4001,"&lt;="&amp;'Settings'!$D$25),2),0)</f>
        <v/>
      </c>
      <c r="AR509">
        <f>IF(AE509=1,ROUND(SUMIFS('All Donations'!$S$2:$S$4001,'All Donations'!$R$2:$R$4001,AD509,'All Donations'!$T$2:$T$4001,"&gt;="&amp;'Settings'!$C$26,'All Donations'!$T$2:$T$4001,"&lt;="&amp;'Settings'!$D$26),2),0)</f>
        <v/>
      </c>
      <c r="AS509">
        <f>IF(AE509=1,ROUND(SUMIFS('All Donations'!$S$2:$S$4001,'All Donations'!$R$2:$R$4001,AD509,'All Donations'!$T$2:$T$4001,"&lt;="&amp;'Settings'!$D$27),2),0)</f>
        <v/>
      </c>
      <c r="AT509">
        <f>IF(AE509=1,ROUND(SUMIFS('All Donations'!$S$2:$S$4001,'All Donations'!$R$2:$R$4001,AD509,'All Donations'!$T$2:$T$4001,"&gt;="&amp;'Settings'!$C$28,'All Donations'!$T$2:$T$4001,"&lt;="&amp;'Settings'!$D$28),2),0)</f>
        <v/>
      </c>
      <c r="AU509">
        <f>IF(AE509=1,ROUND(SUMIFS('All Donations'!$S$2:$S$4001,'All Donations'!$R$2:$R$4001,AD509,'All Donations'!$T$2:$T$4001,"&gt;="&amp;'Settings'!$C$29,'All Donations'!$T$2:$T$4001,"&lt;="&amp;'Settings'!$D$29),2),0)</f>
        <v/>
      </c>
      <c r="AV509">
        <f>IF(AE509=1,ROUND(SUMIFS('All Donations'!$S$2:$S$4001,'All Donations'!$R$2:$R$4001,AD509,'All Donations'!$T$2:$T$4001,"&lt;="&amp;'Settings'!$D$30),2),0)</f>
        <v/>
      </c>
      <c r="AZ509">
        <f>IF(AE509=1,ROUND(SUMIFS('All Donations'!$S$2:$S$4001,'All Donations'!$R$2:$R$4001,AD509,'All Donations'!$T$2:$T$4001,"&lt;="&amp;'Settings'!$D$34),2),0)</f>
        <v/>
      </c>
    </row>
    <row r="510">
      <c r="A510">
        <f>IF(AE510=1,TRIM(TRIM('Roster'!B510)&amp;" "&amp;TRIM('Roster'!C510)),"")</f>
        <v/>
      </c>
      <c r="B510">
        <f>IF(AE510=1,IF(AN510="","(no teacher)",AN510&amp;" – "&amp;C510),"")</f>
        <v/>
      </c>
      <c r="C510">
        <f>IF(AE510=1,TRIM('Roster'!D510&amp;""),"")</f>
        <v/>
      </c>
      <c r="D510" s="48">
        <f>IF(AE510=1,ROUND(SUMIFS('All Donations'!$S$2:$S$4001,'All Donations'!$R$2:$R$4001,AD510),2),"")</f>
        <v/>
      </c>
      <c r="E510" s="48">
        <f>IF(AE510=1,ROUND(SUMIFS('All Donations'!$S$2:$S$4001,'All Donations'!$R$2:$R$4001,AD510,'All Donations'!$G$2:$G$4001,"OneCause"),2),"")</f>
        <v/>
      </c>
      <c r="F510" s="48">
        <f>IF(AE510=1,D510-E510,"")</f>
        <v/>
      </c>
      <c r="G510">
        <f>IF(AE510=1,COUNTIFS('All Donations'!$R$2:$R$4001,AD510,'All Donations'!$H$2:$H$4001,"OK"),"")</f>
        <v/>
      </c>
      <c r="H510">
        <f>IF(AE510&lt;&gt;1,"",IF(D510&gt;0,"Yes",""))</f>
        <v/>
      </c>
      <c r="I510" s="49">
        <f>IF(OR($AE510&lt;&gt;1,I$1=""),"",SUMIFS('All Donations'!$S$2:$S$4001,'All Donations'!$R$2:$R$4001,$AD510,'All Donations'!$T$2:$T$4001,I$1))</f>
        <v/>
      </c>
      <c r="J510" s="49">
        <f>IF(OR($AE510&lt;&gt;1,J$1=""),"",SUMIFS('All Donations'!$S$2:$S$4001,'All Donations'!$R$2:$R$4001,$AD510,'All Donations'!$T$2:$T$4001,J$1))</f>
        <v/>
      </c>
      <c r="K510" s="49">
        <f>IF(OR($AE510&lt;&gt;1,K$1=""),"",SUMIFS('All Donations'!$S$2:$S$4001,'All Donations'!$R$2:$R$4001,$AD510,'All Donations'!$T$2:$T$4001,K$1))</f>
        <v/>
      </c>
      <c r="L510" s="49">
        <f>IF(OR($AE510&lt;&gt;1,L$1=""),"",SUMIFS('All Donations'!$S$2:$S$4001,'All Donations'!$R$2:$R$4001,$AD510,'All Donations'!$T$2:$T$4001,L$1))</f>
        <v/>
      </c>
      <c r="M510" s="49">
        <f>IF(OR($AE510&lt;&gt;1,M$1=""),"",SUMIFS('All Donations'!$S$2:$S$4001,'All Donations'!$R$2:$R$4001,$AD510,'All Donations'!$T$2:$T$4001,M$1))</f>
        <v/>
      </c>
      <c r="N510" s="49">
        <f>IF(OR($AE510&lt;&gt;1,N$1=""),"",SUMIFS('All Donations'!$S$2:$S$4001,'All Donations'!$R$2:$R$4001,$AD510,'All Donations'!$T$2:$T$4001,N$1))</f>
        <v/>
      </c>
      <c r="O510" s="49">
        <f>IF(OR($AE510&lt;&gt;1,O$1=""),"",SUMIFS('All Donations'!$S$2:$S$4001,'All Donations'!$R$2:$R$4001,$AD510,'All Donations'!$T$2:$T$4001,O$1))</f>
        <v/>
      </c>
      <c r="P510" s="49">
        <f>IF(OR($AE510&lt;&gt;1,P$1=""),"",SUMIFS('All Donations'!$S$2:$S$4001,'All Donations'!$R$2:$R$4001,$AD510,'All Donations'!$T$2:$T$4001,P$1))</f>
        <v/>
      </c>
      <c r="Q510" s="49">
        <f>IF(OR($AE510&lt;&gt;1,Q$1=""),"",SUMIFS('All Donations'!$S$2:$S$4001,'All Donations'!$R$2:$R$4001,$AD510,'All Donations'!$T$2:$T$4001,Q$1))</f>
        <v/>
      </c>
      <c r="R510" s="49">
        <f>IF(OR($AE510&lt;&gt;1,R$1=""),"",SUMIFS('All Donations'!$S$2:$S$4001,'All Donations'!$R$2:$R$4001,$AD510,'All Donations'!$T$2:$T$4001,R$1))</f>
        <v/>
      </c>
      <c r="S510" s="49">
        <f>IF(OR($AE510&lt;&gt;1,S$1=""),"",SUMIFS('All Donations'!$S$2:$S$4001,'All Donations'!$R$2:$R$4001,$AD510,'All Donations'!$T$2:$T$4001,S$1))</f>
        <v/>
      </c>
      <c r="T510" s="49">
        <f>IF(OR($AE510&lt;&gt;1,T$1=""),"",SUMIFS('All Donations'!$S$2:$S$4001,'All Donations'!$R$2:$R$4001,$AD510,'All Donations'!$T$2:$T$4001,T$1))</f>
        <v/>
      </c>
      <c r="U510" s="49">
        <f>IF(OR($AE510&lt;&gt;1,U$1=""),"",SUMIFS('All Donations'!$S$2:$S$4001,'All Donations'!$R$2:$R$4001,$AD510,'All Donations'!$T$2:$T$4001,U$1))</f>
        <v/>
      </c>
      <c r="V510" s="49">
        <f>IF(OR($AE510&lt;&gt;1,V$1=""),"",SUMIFS('All Donations'!$S$2:$S$4001,'All Donations'!$R$2:$R$4001,$AD510,'All Donations'!$T$2:$T$4001,V$1))</f>
        <v/>
      </c>
      <c r="W510" s="49">
        <f>IF(OR($AE510&lt;&gt;1,W$1=""),"",SUMIFS('All Donations'!$S$2:$S$4001,'All Donations'!$R$2:$R$4001,$AD510,'All Donations'!$T$2:$T$4001,W$1))</f>
        <v/>
      </c>
      <c r="X510" s="49">
        <f>IF(OR($AE510&lt;&gt;1,X$1=""),"",SUMIFS('All Donations'!$S$2:$S$4001,'All Donations'!$R$2:$R$4001,$AD510,'All Donations'!$T$2:$T$4001,X$1))</f>
        <v/>
      </c>
      <c r="Y510" s="49">
        <f>IF(OR($AE510&lt;&gt;1,Y$1=""),"",SUMIFS('All Donations'!$S$2:$S$4001,'All Donations'!$R$2:$R$4001,$AD510,'All Donations'!$T$2:$T$4001,Y$1))</f>
        <v/>
      </c>
      <c r="Z510" s="49">
        <f>IF(OR($AE510&lt;&gt;1,Z$1=""),"",SUMIFS('All Donations'!$S$2:$S$4001,'All Donations'!$R$2:$R$4001,$AD510,'All Donations'!$T$2:$T$4001,Z$1))</f>
        <v/>
      </c>
      <c r="AA510" s="49">
        <f>IF(OR($AE510&lt;&gt;1,AA$1=""),"",SUMIFS('All Donations'!$S$2:$S$4001,'All Donations'!$R$2:$R$4001,$AD510,'All Donations'!$T$2:$T$4001,AA$1))</f>
        <v/>
      </c>
      <c r="AB510" s="49">
        <f>IF(OR($AE510&lt;&gt;1,AB$1=""),"",SUMIFS('All Donations'!$S$2:$S$4001,'All Donations'!$R$2:$R$4001,$AD510,'All Donations'!$T$2:$T$4001,AB$1))</f>
        <v/>
      </c>
      <c r="AC510" s="49">
        <f>IF(OR($AE510&lt;&gt;1,AC$1=""),"",SUMIFS('All Donations'!$S$2:$S$4001,'All Donations'!$R$2:$R$4001,$AD510,'All Donations'!$T$2:$T$4001,AC$1))</f>
        <v/>
      </c>
      <c r="AD510">
        <f>IF(AE510=1,'Roster'!A510,"")</f>
        <v/>
      </c>
      <c r="AE510">
        <f>IF(TRIM('Roster'!B510&amp;'Roster'!C510)&lt;&gt;"",1,0)</f>
        <v/>
      </c>
      <c r="AF510">
        <f>IF(AE510=1,LOWER(A510),"#")</f>
        <v/>
      </c>
      <c r="AG510">
        <f>IF(AE510=1,LOWER(TRIM(TRIM('Roster'!C510)&amp;", "&amp;TRIM('Roster'!B510))),"#")</f>
        <v/>
      </c>
      <c r="AH510">
        <f>IF(AND(AE510=1,TRIM('Roster'!F510)&lt;&gt;""),LOWER(TRIM('Roster'!F510)),"#")</f>
        <v/>
      </c>
      <c r="AI510">
        <f>IF(AE510=1,IF(MATCH(B510,$B$2:$B$701,0)=ROW()-1,1,0),0)</f>
        <v/>
      </c>
      <c r="AJ510">
        <f>AJ509+AI510</f>
        <v/>
      </c>
      <c r="AK510">
        <f>IF(AE510=1,D510+(1000-ROW())/10^7,-1)</f>
        <v/>
      </c>
      <c r="AL510">
        <f>IF(AE510=1,TRIM('Roster'!B510)&amp;" "&amp;LEFT(TRIM('Roster'!C510),1)&amp;".","")</f>
        <v/>
      </c>
      <c r="AM510">
        <f>IF(AE510=1,TRIM('Roster'!C510)&amp;", "&amp;TRIM('Roster'!B510)&amp;" ("&amp;B510&amp;") #"&amp;AD510,"")</f>
        <v/>
      </c>
      <c r="AN510">
        <f>IF(AE510=1,TRIM('Roster'!E510),"")</f>
        <v/>
      </c>
      <c r="AO510">
        <f>IF(AE510=1,ROUND(SUMIFS('All Donations'!$S$2:$S$4001,'All Donations'!$R$2:$R$4001,AD510,'All Donations'!$T$2:$T$4001,"&gt;="&amp;'Settings'!$C$23,'All Donations'!$T$2:$T$4001,"&lt;="&amp;'Settings'!$D$23),2),0)</f>
        <v/>
      </c>
      <c r="AQ510">
        <f>IF(AE510=1,ROUND(SUMIFS('All Donations'!$S$2:$S$4001,'All Donations'!$R$2:$R$4001,AD510,'All Donations'!$T$2:$T$4001,"&gt;="&amp;'Settings'!$C$25,'All Donations'!$T$2:$T$4001,"&lt;="&amp;'Settings'!$D$25),2),0)</f>
        <v/>
      </c>
      <c r="AR510">
        <f>IF(AE510=1,ROUND(SUMIFS('All Donations'!$S$2:$S$4001,'All Donations'!$R$2:$R$4001,AD510,'All Donations'!$T$2:$T$4001,"&gt;="&amp;'Settings'!$C$26,'All Donations'!$T$2:$T$4001,"&lt;="&amp;'Settings'!$D$26),2),0)</f>
        <v/>
      </c>
      <c r="AS510">
        <f>IF(AE510=1,ROUND(SUMIFS('All Donations'!$S$2:$S$4001,'All Donations'!$R$2:$R$4001,AD510,'All Donations'!$T$2:$T$4001,"&lt;="&amp;'Settings'!$D$27),2),0)</f>
        <v/>
      </c>
      <c r="AT510">
        <f>IF(AE510=1,ROUND(SUMIFS('All Donations'!$S$2:$S$4001,'All Donations'!$R$2:$R$4001,AD510,'All Donations'!$T$2:$T$4001,"&gt;="&amp;'Settings'!$C$28,'All Donations'!$T$2:$T$4001,"&lt;="&amp;'Settings'!$D$28),2),0)</f>
        <v/>
      </c>
      <c r="AU510">
        <f>IF(AE510=1,ROUND(SUMIFS('All Donations'!$S$2:$S$4001,'All Donations'!$R$2:$R$4001,AD510,'All Donations'!$T$2:$T$4001,"&gt;="&amp;'Settings'!$C$29,'All Donations'!$T$2:$T$4001,"&lt;="&amp;'Settings'!$D$29),2),0)</f>
        <v/>
      </c>
      <c r="AV510">
        <f>IF(AE510=1,ROUND(SUMIFS('All Donations'!$S$2:$S$4001,'All Donations'!$R$2:$R$4001,AD510,'All Donations'!$T$2:$T$4001,"&lt;="&amp;'Settings'!$D$30),2),0)</f>
        <v/>
      </c>
      <c r="AZ510">
        <f>IF(AE510=1,ROUND(SUMIFS('All Donations'!$S$2:$S$4001,'All Donations'!$R$2:$R$4001,AD510,'All Donations'!$T$2:$T$4001,"&lt;="&amp;'Settings'!$D$34),2),0)</f>
        <v/>
      </c>
    </row>
    <row r="511">
      <c r="A511">
        <f>IF(AE511=1,TRIM(TRIM('Roster'!B511)&amp;" "&amp;TRIM('Roster'!C511)),"")</f>
        <v/>
      </c>
      <c r="B511">
        <f>IF(AE511=1,IF(AN511="","(no teacher)",AN511&amp;" – "&amp;C511),"")</f>
        <v/>
      </c>
      <c r="C511">
        <f>IF(AE511=1,TRIM('Roster'!D511&amp;""),"")</f>
        <v/>
      </c>
      <c r="D511" s="48">
        <f>IF(AE511=1,ROUND(SUMIFS('All Donations'!$S$2:$S$4001,'All Donations'!$R$2:$R$4001,AD511),2),"")</f>
        <v/>
      </c>
      <c r="E511" s="48">
        <f>IF(AE511=1,ROUND(SUMIFS('All Donations'!$S$2:$S$4001,'All Donations'!$R$2:$R$4001,AD511,'All Donations'!$G$2:$G$4001,"OneCause"),2),"")</f>
        <v/>
      </c>
      <c r="F511" s="48">
        <f>IF(AE511=1,D511-E511,"")</f>
        <v/>
      </c>
      <c r="G511">
        <f>IF(AE511=1,COUNTIFS('All Donations'!$R$2:$R$4001,AD511,'All Donations'!$H$2:$H$4001,"OK"),"")</f>
        <v/>
      </c>
      <c r="H511">
        <f>IF(AE511&lt;&gt;1,"",IF(D511&gt;0,"Yes",""))</f>
        <v/>
      </c>
      <c r="I511" s="49">
        <f>IF(OR($AE511&lt;&gt;1,I$1=""),"",SUMIFS('All Donations'!$S$2:$S$4001,'All Donations'!$R$2:$R$4001,$AD511,'All Donations'!$T$2:$T$4001,I$1))</f>
        <v/>
      </c>
      <c r="J511" s="49">
        <f>IF(OR($AE511&lt;&gt;1,J$1=""),"",SUMIFS('All Donations'!$S$2:$S$4001,'All Donations'!$R$2:$R$4001,$AD511,'All Donations'!$T$2:$T$4001,J$1))</f>
        <v/>
      </c>
      <c r="K511" s="49">
        <f>IF(OR($AE511&lt;&gt;1,K$1=""),"",SUMIFS('All Donations'!$S$2:$S$4001,'All Donations'!$R$2:$R$4001,$AD511,'All Donations'!$T$2:$T$4001,K$1))</f>
        <v/>
      </c>
      <c r="L511" s="49">
        <f>IF(OR($AE511&lt;&gt;1,L$1=""),"",SUMIFS('All Donations'!$S$2:$S$4001,'All Donations'!$R$2:$R$4001,$AD511,'All Donations'!$T$2:$T$4001,L$1))</f>
        <v/>
      </c>
      <c r="M511" s="49">
        <f>IF(OR($AE511&lt;&gt;1,M$1=""),"",SUMIFS('All Donations'!$S$2:$S$4001,'All Donations'!$R$2:$R$4001,$AD511,'All Donations'!$T$2:$T$4001,M$1))</f>
        <v/>
      </c>
      <c r="N511" s="49">
        <f>IF(OR($AE511&lt;&gt;1,N$1=""),"",SUMIFS('All Donations'!$S$2:$S$4001,'All Donations'!$R$2:$R$4001,$AD511,'All Donations'!$T$2:$T$4001,N$1))</f>
        <v/>
      </c>
      <c r="O511" s="49">
        <f>IF(OR($AE511&lt;&gt;1,O$1=""),"",SUMIFS('All Donations'!$S$2:$S$4001,'All Donations'!$R$2:$R$4001,$AD511,'All Donations'!$T$2:$T$4001,O$1))</f>
        <v/>
      </c>
      <c r="P511" s="49">
        <f>IF(OR($AE511&lt;&gt;1,P$1=""),"",SUMIFS('All Donations'!$S$2:$S$4001,'All Donations'!$R$2:$R$4001,$AD511,'All Donations'!$T$2:$T$4001,P$1))</f>
        <v/>
      </c>
      <c r="Q511" s="49">
        <f>IF(OR($AE511&lt;&gt;1,Q$1=""),"",SUMIFS('All Donations'!$S$2:$S$4001,'All Donations'!$R$2:$R$4001,$AD511,'All Donations'!$T$2:$T$4001,Q$1))</f>
        <v/>
      </c>
      <c r="R511" s="49">
        <f>IF(OR($AE511&lt;&gt;1,R$1=""),"",SUMIFS('All Donations'!$S$2:$S$4001,'All Donations'!$R$2:$R$4001,$AD511,'All Donations'!$T$2:$T$4001,R$1))</f>
        <v/>
      </c>
      <c r="S511" s="49">
        <f>IF(OR($AE511&lt;&gt;1,S$1=""),"",SUMIFS('All Donations'!$S$2:$S$4001,'All Donations'!$R$2:$R$4001,$AD511,'All Donations'!$T$2:$T$4001,S$1))</f>
        <v/>
      </c>
      <c r="T511" s="49">
        <f>IF(OR($AE511&lt;&gt;1,T$1=""),"",SUMIFS('All Donations'!$S$2:$S$4001,'All Donations'!$R$2:$R$4001,$AD511,'All Donations'!$T$2:$T$4001,T$1))</f>
        <v/>
      </c>
      <c r="U511" s="49">
        <f>IF(OR($AE511&lt;&gt;1,U$1=""),"",SUMIFS('All Donations'!$S$2:$S$4001,'All Donations'!$R$2:$R$4001,$AD511,'All Donations'!$T$2:$T$4001,U$1))</f>
        <v/>
      </c>
      <c r="V511" s="49">
        <f>IF(OR($AE511&lt;&gt;1,V$1=""),"",SUMIFS('All Donations'!$S$2:$S$4001,'All Donations'!$R$2:$R$4001,$AD511,'All Donations'!$T$2:$T$4001,V$1))</f>
        <v/>
      </c>
      <c r="W511" s="49">
        <f>IF(OR($AE511&lt;&gt;1,W$1=""),"",SUMIFS('All Donations'!$S$2:$S$4001,'All Donations'!$R$2:$R$4001,$AD511,'All Donations'!$T$2:$T$4001,W$1))</f>
        <v/>
      </c>
      <c r="X511" s="49">
        <f>IF(OR($AE511&lt;&gt;1,X$1=""),"",SUMIFS('All Donations'!$S$2:$S$4001,'All Donations'!$R$2:$R$4001,$AD511,'All Donations'!$T$2:$T$4001,X$1))</f>
        <v/>
      </c>
      <c r="Y511" s="49">
        <f>IF(OR($AE511&lt;&gt;1,Y$1=""),"",SUMIFS('All Donations'!$S$2:$S$4001,'All Donations'!$R$2:$R$4001,$AD511,'All Donations'!$T$2:$T$4001,Y$1))</f>
        <v/>
      </c>
      <c r="Z511" s="49">
        <f>IF(OR($AE511&lt;&gt;1,Z$1=""),"",SUMIFS('All Donations'!$S$2:$S$4001,'All Donations'!$R$2:$R$4001,$AD511,'All Donations'!$T$2:$T$4001,Z$1))</f>
        <v/>
      </c>
      <c r="AA511" s="49">
        <f>IF(OR($AE511&lt;&gt;1,AA$1=""),"",SUMIFS('All Donations'!$S$2:$S$4001,'All Donations'!$R$2:$R$4001,$AD511,'All Donations'!$T$2:$T$4001,AA$1))</f>
        <v/>
      </c>
      <c r="AB511" s="49">
        <f>IF(OR($AE511&lt;&gt;1,AB$1=""),"",SUMIFS('All Donations'!$S$2:$S$4001,'All Donations'!$R$2:$R$4001,$AD511,'All Donations'!$T$2:$T$4001,AB$1))</f>
        <v/>
      </c>
      <c r="AC511" s="49">
        <f>IF(OR($AE511&lt;&gt;1,AC$1=""),"",SUMIFS('All Donations'!$S$2:$S$4001,'All Donations'!$R$2:$R$4001,$AD511,'All Donations'!$T$2:$T$4001,AC$1))</f>
        <v/>
      </c>
      <c r="AD511">
        <f>IF(AE511=1,'Roster'!A511,"")</f>
        <v/>
      </c>
      <c r="AE511">
        <f>IF(TRIM('Roster'!B511&amp;'Roster'!C511)&lt;&gt;"",1,0)</f>
        <v/>
      </c>
      <c r="AF511">
        <f>IF(AE511=1,LOWER(A511),"#")</f>
        <v/>
      </c>
      <c r="AG511">
        <f>IF(AE511=1,LOWER(TRIM(TRIM('Roster'!C511)&amp;", "&amp;TRIM('Roster'!B511))),"#")</f>
        <v/>
      </c>
      <c r="AH511">
        <f>IF(AND(AE511=1,TRIM('Roster'!F511)&lt;&gt;""),LOWER(TRIM('Roster'!F511)),"#")</f>
        <v/>
      </c>
      <c r="AI511">
        <f>IF(AE511=1,IF(MATCH(B511,$B$2:$B$701,0)=ROW()-1,1,0),0)</f>
        <v/>
      </c>
      <c r="AJ511">
        <f>AJ510+AI511</f>
        <v/>
      </c>
      <c r="AK511">
        <f>IF(AE511=1,D511+(1000-ROW())/10^7,-1)</f>
        <v/>
      </c>
      <c r="AL511">
        <f>IF(AE511=1,TRIM('Roster'!B511)&amp;" "&amp;LEFT(TRIM('Roster'!C511),1)&amp;".","")</f>
        <v/>
      </c>
      <c r="AM511">
        <f>IF(AE511=1,TRIM('Roster'!C511)&amp;", "&amp;TRIM('Roster'!B511)&amp;" ("&amp;B511&amp;") #"&amp;AD511,"")</f>
        <v/>
      </c>
      <c r="AN511">
        <f>IF(AE511=1,TRIM('Roster'!E511),"")</f>
        <v/>
      </c>
      <c r="AO511">
        <f>IF(AE511=1,ROUND(SUMIFS('All Donations'!$S$2:$S$4001,'All Donations'!$R$2:$R$4001,AD511,'All Donations'!$T$2:$T$4001,"&gt;="&amp;'Settings'!$C$23,'All Donations'!$T$2:$T$4001,"&lt;="&amp;'Settings'!$D$23),2),0)</f>
        <v/>
      </c>
      <c r="AQ511">
        <f>IF(AE511=1,ROUND(SUMIFS('All Donations'!$S$2:$S$4001,'All Donations'!$R$2:$R$4001,AD511,'All Donations'!$T$2:$T$4001,"&gt;="&amp;'Settings'!$C$25,'All Donations'!$T$2:$T$4001,"&lt;="&amp;'Settings'!$D$25),2),0)</f>
        <v/>
      </c>
      <c r="AR511">
        <f>IF(AE511=1,ROUND(SUMIFS('All Donations'!$S$2:$S$4001,'All Donations'!$R$2:$R$4001,AD511,'All Donations'!$T$2:$T$4001,"&gt;="&amp;'Settings'!$C$26,'All Donations'!$T$2:$T$4001,"&lt;="&amp;'Settings'!$D$26),2),0)</f>
        <v/>
      </c>
      <c r="AS511">
        <f>IF(AE511=1,ROUND(SUMIFS('All Donations'!$S$2:$S$4001,'All Donations'!$R$2:$R$4001,AD511,'All Donations'!$T$2:$T$4001,"&lt;="&amp;'Settings'!$D$27),2),0)</f>
        <v/>
      </c>
      <c r="AT511">
        <f>IF(AE511=1,ROUND(SUMIFS('All Donations'!$S$2:$S$4001,'All Donations'!$R$2:$R$4001,AD511,'All Donations'!$T$2:$T$4001,"&gt;="&amp;'Settings'!$C$28,'All Donations'!$T$2:$T$4001,"&lt;="&amp;'Settings'!$D$28),2),0)</f>
        <v/>
      </c>
      <c r="AU511">
        <f>IF(AE511=1,ROUND(SUMIFS('All Donations'!$S$2:$S$4001,'All Donations'!$R$2:$R$4001,AD511,'All Donations'!$T$2:$T$4001,"&gt;="&amp;'Settings'!$C$29,'All Donations'!$T$2:$T$4001,"&lt;="&amp;'Settings'!$D$29),2),0)</f>
        <v/>
      </c>
      <c r="AV511">
        <f>IF(AE511=1,ROUND(SUMIFS('All Donations'!$S$2:$S$4001,'All Donations'!$R$2:$R$4001,AD511,'All Donations'!$T$2:$T$4001,"&lt;="&amp;'Settings'!$D$30),2),0)</f>
        <v/>
      </c>
      <c r="AZ511">
        <f>IF(AE511=1,ROUND(SUMIFS('All Donations'!$S$2:$S$4001,'All Donations'!$R$2:$R$4001,AD511,'All Donations'!$T$2:$T$4001,"&lt;="&amp;'Settings'!$D$34),2),0)</f>
        <v/>
      </c>
    </row>
    <row r="512">
      <c r="A512">
        <f>IF(AE512=1,TRIM(TRIM('Roster'!B512)&amp;" "&amp;TRIM('Roster'!C512)),"")</f>
        <v/>
      </c>
      <c r="B512">
        <f>IF(AE512=1,IF(AN512="","(no teacher)",AN512&amp;" – "&amp;C512),"")</f>
        <v/>
      </c>
      <c r="C512">
        <f>IF(AE512=1,TRIM('Roster'!D512&amp;""),"")</f>
        <v/>
      </c>
      <c r="D512" s="48">
        <f>IF(AE512=1,ROUND(SUMIFS('All Donations'!$S$2:$S$4001,'All Donations'!$R$2:$R$4001,AD512),2),"")</f>
        <v/>
      </c>
      <c r="E512" s="48">
        <f>IF(AE512=1,ROUND(SUMIFS('All Donations'!$S$2:$S$4001,'All Donations'!$R$2:$R$4001,AD512,'All Donations'!$G$2:$G$4001,"OneCause"),2),"")</f>
        <v/>
      </c>
      <c r="F512" s="48">
        <f>IF(AE512=1,D512-E512,"")</f>
        <v/>
      </c>
      <c r="G512">
        <f>IF(AE512=1,COUNTIFS('All Donations'!$R$2:$R$4001,AD512,'All Donations'!$H$2:$H$4001,"OK"),"")</f>
        <v/>
      </c>
      <c r="H512">
        <f>IF(AE512&lt;&gt;1,"",IF(D512&gt;0,"Yes",""))</f>
        <v/>
      </c>
      <c r="I512" s="49">
        <f>IF(OR($AE512&lt;&gt;1,I$1=""),"",SUMIFS('All Donations'!$S$2:$S$4001,'All Donations'!$R$2:$R$4001,$AD512,'All Donations'!$T$2:$T$4001,I$1))</f>
        <v/>
      </c>
      <c r="J512" s="49">
        <f>IF(OR($AE512&lt;&gt;1,J$1=""),"",SUMIFS('All Donations'!$S$2:$S$4001,'All Donations'!$R$2:$R$4001,$AD512,'All Donations'!$T$2:$T$4001,J$1))</f>
        <v/>
      </c>
      <c r="K512" s="49">
        <f>IF(OR($AE512&lt;&gt;1,K$1=""),"",SUMIFS('All Donations'!$S$2:$S$4001,'All Donations'!$R$2:$R$4001,$AD512,'All Donations'!$T$2:$T$4001,K$1))</f>
        <v/>
      </c>
      <c r="L512" s="49">
        <f>IF(OR($AE512&lt;&gt;1,L$1=""),"",SUMIFS('All Donations'!$S$2:$S$4001,'All Donations'!$R$2:$R$4001,$AD512,'All Donations'!$T$2:$T$4001,L$1))</f>
        <v/>
      </c>
      <c r="M512" s="49">
        <f>IF(OR($AE512&lt;&gt;1,M$1=""),"",SUMIFS('All Donations'!$S$2:$S$4001,'All Donations'!$R$2:$R$4001,$AD512,'All Donations'!$T$2:$T$4001,M$1))</f>
        <v/>
      </c>
      <c r="N512" s="49">
        <f>IF(OR($AE512&lt;&gt;1,N$1=""),"",SUMIFS('All Donations'!$S$2:$S$4001,'All Donations'!$R$2:$R$4001,$AD512,'All Donations'!$T$2:$T$4001,N$1))</f>
        <v/>
      </c>
      <c r="O512" s="49">
        <f>IF(OR($AE512&lt;&gt;1,O$1=""),"",SUMIFS('All Donations'!$S$2:$S$4001,'All Donations'!$R$2:$R$4001,$AD512,'All Donations'!$T$2:$T$4001,O$1))</f>
        <v/>
      </c>
      <c r="P512" s="49">
        <f>IF(OR($AE512&lt;&gt;1,P$1=""),"",SUMIFS('All Donations'!$S$2:$S$4001,'All Donations'!$R$2:$R$4001,$AD512,'All Donations'!$T$2:$T$4001,P$1))</f>
        <v/>
      </c>
      <c r="Q512" s="49">
        <f>IF(OR($AE512&lt;&gt;1,Q$1=""),"",SUMIFS('All Donations'!$S$2:$S$4001,'All Donations'!$R$2:$R$4001,$AD512,'All Donations'!$T$2:$T$4001,Q$1))</f>
        <v/>
      </c>
      <c r="R512" s="49">
        <f>IF(OR($AE512&lt;&gt;1,R$1=""),"",SUMIFS('All Donations'!$S$2:$S$4001,'All Donations'!$R$2:$R$4001,$AD512,'All Donations'!$T$2:$T$4001,R$1))</f>
        <v/>
      </c>
      <c r="S512" s="49">
        <f>IF(OR($AE512&lt;&gt;1,S$1=""),"",SUMIFS('All Donations'!$S$2:$S$4001,'All Donations'!$R$2:$R$4001,$AD512,'All Donations'!$T$2:$T$4001,S$1))</f>
        <v/>
      </c>
      <c r="T512" s="49">
        <f>IF(OR($AE512&lt;&gt;1,T$1=""),"",SUMIFS('All Donations'!$S$2:$S$4001,'All Donations'!$R$2:$R$4001,$AD512,'All Donations'!$T$2:$T$4001,T$1))</f>
        <v/>
      </c>
      <c r="U512" s="49">
        <f>IF(OR($AE512&lt;&gt;1,U$1=""),"",SUMIFS('All Donations'!$S$2:$S$4001,'All Donations'!$R$2:$R$4001,$AD512,'All Donations'!$T$2:$T$4001,U$1))</f>
        <v/>
      </c>
      <c r="V512" s="49">
        <f>IF(OR($AE512&lt;&gt;1,V$1=""),"",SUMIFS('All Donations'!$S$2:$S$4001,'All Donations'!$R$2:$R$4001,$AD512,'All Donations'!$T$2:$T$4001,V$1))</f>
        <v/>
      </c>
      <c r="W512" s="49">
        <f>IF(OR($AE512&lt;&gt;1,W$1=""),"",SUMIFS('All Donations'!$S$2:$S$4001,'All Donations'!$R$2:$R$4001,$AD512,'All Donations'!$T$2:$T$4001,W$1))</f>
        <v/>
      </c>
      <c r="X512" s="49">
        <f>IF(OR($AE512&lt;&gt;1,X$1=""),"",SUMIFS('All Donations'!$S$2:$S$4001,'All Donations'!$R$2:$R$4001,$AD512,'All Donations'!$T$2:$T$4001,X$1))</f>
        <v/>
      </c>
      <c r="Y512" s="49">
        <f>IF(OR($AE512&lt;&gt;1,Y$1=""),"",SUMIFS('All Donations'!$S$2:$S$4001,'All Donations'!$R$2:$R$4001,$AD512,'All Donations'!$T$2:$T$4001,Y$1))</f>
        <v/>
      </c>
      <c r="Z512" s="49">
        <f>IF(OR($AE512&lt;&gt;1,Z$1=""),"",SUMIFS('All Donations'!$S$2:$S$4001,'All Donations'!$R$2:$R$4001,$AD512,'All Donations'!$T$2:$T$4001,Z$1))</f>
        <v/>
      </c>
      <c r="AA512" s="49">
        <f>IF(OR($AE512&lt;&gt;1,AA$1=""),"",SUMIFS('All Donations'!$S$2:$S$4001,'All Donations'!$R$2:$R$4001,$AD512,'All Donations'!$T$2:$T$4001,AA$1))</f>
        <v/>
      </c>
      <c r="AB512" s="49">
        <f>IF(OR($AE512&lt;&gt;1,AB$1=""),"",SUMIFS('All Donations'!$S$2:$S$4001,'All Donations'!$R$2:$R$4001,$AD512,'All Donations'!$T$2:$T$4001,AB$1))</f>
        <v/>
      </c>
      <c r="AC512" s="49">
        <f>IF(OR($AE512&lt;&gt;1,AC$1=""),"",SUMIFS('All Donations'!$S$2:$S$4001,'All Donations'!$R$2:$R$4001,$AD512,'All Donations'!$T$2:$T$4001,AC$1))</f>
        <v/>
      </c>
      <c r="AD512">
        <f>IF(AE512=1,'Roster'!A512,"")</f>
        <v/>
      </c>
      <c r="AE512">
        <f>IF(TRIM('Roster'!B512&amp;'Roster'!C512)&lt;&gt;"",1,0)</f>
        <v/>
      </c>
      <c r="AF512">
        <f>IF(AE512=1,LOWER(A512),"#")</f>
        <v/>
      </c>
      <c r="AG512">
        <f>IF(AE512=1,LOWER(TRIM(TRIM('Roster'!C512)&amp;", "&amp;TRIM('Roster'!B512))),"#")</f>
        <v/>
      </c>
      <c r="AH512">
        <f>IF(AND(AE512=1,TRIM('Roster'!F512)&lt;&gt;""),LOWER(TRIM('Roster'!F512)),"#")</f>
        <v/>
      </c>
      <c r="AI512">
        <f>IF(AE512=1,IF(MATCH(B512,$B$2:$B$701,0)=ROW()-1,1,0),0)</f>
        <v/>
      </c>
      <c r="AJ512">
        <f>AJ511+AI512</f>
        <v/>
      </c>
      <c r="AK512">
        <f>IF(AE512=1,D512+(1000-ROW())/10^7,-1)</f>
        <v/>
      </c>
      <c r="AL512">
        <f>IF(AE512=1,TRIM('Roster'!B512)&amp;" "&amp;LEFT(TRIM('Roster'!C512),1)&amp;".","")</f>
        <v/>
      </c>
      <c r="AM512">
        <f>IF(AE512=1,TRIM('Roster'!C512)&amp;", "&amp;TRIM('Roster'!B512)&amp;" ("&amp;B512&amp;") #"&amp;AD512,"")</f>
        <v/>
      </c>
      <c r="AN512">
        <f>IF(AE512=1,TRIM('Roster'!E512),"")</f>
        <v/>
      </c>
      <c r="AO512">
        <f>IF(AE512=1,ROUND(SUMIFS('All Donations'!$S$2:$S$4001,'All Donations'!$R$2:$R$4001,AD512,'All Donations'!$T$2:$T$4001,"&gt;="&amp;'Settings'!$C$23,'All Donations'!$T$2:$T$4001,"&lt;="&amp;'Settings'!$D$23),2),0)</f>
        <v/>
      </c>
      <c r="AQ512">
        <f>IF(AE512=1,ROUND(SUMIFS('All Donations'!$S$2:$S$4001,'All Donations'!$R$2:$R$4001,AD512,'All Donations'!$T$2:$T$4001,"&gt;="&amp;'Settings'!$C$25,'All Donations'!$T$2:$T$4001,"&lt;="&amp;'Settings'!$D$25),2),0)</f>
        <v/>
      </c>
      <c r="AR512">
        <f>IF(AE512=1,ROUND(SUMIFS('All Donations'!$S$2:$S$4001,'All Donations'!$R$2:$R$4001,AD512,'All Donations'!$T$2:$T$4001,"&gt;="&amp;'Settings'!$C$26,'All Donations'!$T$2:$T$4001,"&lt;="&amp;'Settings'!$D$26),2),0)</f>
        <v/>
      </c>
      <c r="AS512">
        <f>IF(AE512=1,ROUND(SUMIFS('All Donations'!$S$2:$S$4001,'All Donations'!$R$2:$R$4001,AD512,'All Donations'!$T$2:$T$4001,"&lt;="&amp;'Settings'!$D$27),2),0)</f>
        <v/>
      </c>
      <c r="AT512">
        <f>IF(AE512=1,ROUND(SUMIFS('All Donations'!$S$2:$S$4001,'All Donations'!$R$2:$R$4001,AD512,'All Donations'!$T$2:$T$4001,"&gt;="&amp;'Settings'!$C$28,'All Donations'!$T$2:$T$4001,"&lt;="&amp;'Settings'!$D$28),2),0)</f>
        <v/>
      </c>
      <c r="AU512">
        <f>IF(AE512=1,ROUND(SUMIFS('All Donations'!$S$2:$S$4001,'All Donations'!$R$2:$R$4001,AD512,'All Donations'!$T$2:$T$4001,"&gt;="&amp;'Settings'!$C$29,'All Donations'!$T$2:$T$4001,"&lt;="&amp;'Settings'!$D$29),2),0)</f>
        <v/>
      </c>
      <c r="AV512">
        <f>IF(AE512=1,ROUND(SUMIFS('All Donations'!$S$2:$S$4001,'All Donations'!$R$2:$R$4001,AD512,'All Donations'!$T$2:$T$4001,"&lt;="&amp;'Settings'!$D$30),2),0)</f>
        <v/>
      </c>
      <c r="AZ512">
        <f>IF(AE512=1,ROUND(SUMIFS('All Donations'!$S$2:$S$4001,'All Donations'!$R$2:$R$4001,AD512,'All Donations'!$T$2:$T$4001,"&lt;="&amp;'Settings'!$D$34),2),0)</f>
        <v/>
      </c>
    </row>
    <row r="513">
      <c r="A513">
        <f>IF(AE513=1,TRIM(TRIM('Roster'!B513)&amp;" "&amp;TRIM('Roster'!C513)),"")</f>
        <v/>
      </c>
      <c r="B513">
        <f>IF(AE513=1,IF(AN513="","(no teacher)",AN513&amp;" – "&amp;C513),"")</f>
        <v/>
      </c>
      <c r="C513">
        <f>IF(AE513=1,TRIM('Roster'!D513&amp;""),"")</f>
        <v/>
      </c>
      <c r="D513" s="48">
        <f>IF(AE513=1,ROUND(SUMIFS('All Donations'!$S$2:$S$4001,'All Donations'!$R$2:$R$4001,AD513),2),"")</f>
        <v/>
      </c>
      <c r="E513" s="48">
        <f>IF(AE513=1,ROUND(SUMIFS('All Donations'!$S$2:$S$4001,'All Donations'!$R$2:$R$4001,AD513,'All Donations'!$G$2:$G$4001,"OneCause"),2),"")</f>
        <v/>
      </c>
      <c r="F513" s="48">
        <f>IF(AE513=1,D513-E513,"")</f>
        <v/>
      </c>
      <c r="G513">
        <f>IF(AE513=1,COUNTIFS('All Donations'!$R$2:$R$4001,AD513,'All Donations'!$H$2:$H$4001,"OK"),"")</f>
        <v/>
      </c>
      <c r="H513">
        <f>IF(AE513&lt;&gt;1,"",IF(D513&gt;0,"Yes",""))</f>
        <v/>
      </c>
      <c r="I513" s="49">
        <f>IF(OR($AE513&lt;&gt;1,I$1=""),"",SUMIFS('All Donations'!$S$2:$S$4001,'All Donations'!$R$2:$R$4001,$AD513,'All Donations'!$T$2:$T$4001,I$1))</f>
        <v/>
      </c>
      <c r="J513" s="49">
        <f>IF(OR($AE513&lt;&gt;1,J$1=""),"",SUMIFS('All Donations'!$S$2:$S$4001,'All Donations'!$R$2:$R$4001,$AD513,'All Donations'!$T$2:$T$4001,J$1))</f>
        <v/>
      </c>
      <c r="K513" s="49">
        <f>IF(OR($AE513&lt;&gt;1,K$1=""),"",SUMIFS('All Donations'!$S$2:$S$4001,'All Donations'!$R$2:$R$4001,$AD513,'All Donations'!$T$2:$T$4001,K$1))</f>
        <v/>
      </c>
      <c r="L513" s="49">
        <f>IF(OR($AE513&lt;&gt;1,L$1=""),"",SUMIFS('All Donations'!$S$2:$S$4001,'All Donations'!$R$2:$R$4001,$AD513,'All Donations'!$T$2:$T$4001,L$1))</f>
        <v/>
      </c>
      <c r="M513" s="49">
        <f>IF(OR($AE513&lt;&gt;1,M$1=""),"",SUMIFS('All Donations'!$S$2:$S$4001,'All Donations'!$R$2:$R$4001,$AD513,'All Donations'!$T$2:$T$4001,M$1))</f>
        <v/>
      </c>
      <c r="N513" s="49">
        <f>IF(OR($AE513&lt;&gt;1,N$1=""),"",SUMIFS('All Donations'!$S$2:$S$4001,'All Donations'!$R$2:$R$4001,$AD513,'All Donations'!$T$2:$T$4001,N$1))</f>
        <v/>
      </c>
      <c r="O513" s="49">
        <f>IF(OR($AE513&lt;&gt;1,O$1=""),"",SUMIFS('All Donations'!$S$2:$S$4001,'All Donations'!$R$2:$R$4001,$AD513,'All Donations'!$T$2:$T$4001,O$1))</f>
        <v/>
      </c>
      <c r="P513" s="49">
        <f>IF(OR($AE513&lt;&gt;1,P$1=""),"",SUMIFS('All Donations'!$S$2:$S$4001,'All Donations'!$R$2:$R$4001,$AD513,'All Donations'!$T$2:$T$4001,P$1))</f>
        <v/>
      </c>
      <c r="Q513" s="49">
        <f>IF(OR($AE513&lt;&gt;1,Q$1=""),"",SUMIFS('All Donations'!$S$2:$S$4001,'All Donations'!$R$2:$R$4001,$AD513,'All Donations'!$T$2:$T$4001,Q$1))</f>
        <v/>
      </c>
      <c r="R513" s="49">
        <f>IF(OR($AE513&lt;&gt;1,R$1=""),"",SUMIFS('All Donations'!$S$2:$S$4001,'All Donations'!$R$2:$R$4001,$AD513,'All Donations'!$T$2:$T$4001,R$1))</f>
        <v/>
      </c>
      <c r="S513" s="49">
        <f>IF(OR($AE513&lt;&gt;1,S$1=""),"",SUMIFS('All Donations'!$S$2:$S$4001,'All Donations'!$R$2:$R$4001,$AD513,'All Donations'!$T$2:$T$4001,S$1))</f>
        <v/>
      </c>
      <c r="T513" s="49">
        <f>IF(OR($AE513&lt;&gt;1,T$1=""),"",SUMIFS('All Donations'!$S$2:$S$4001,'All Donations'!$R$2:$R$4001,$AD513,'All Donations'!$T$2:$T$4001,T$1))</f>
        <v/>
      </c>
      <c r="U513" s="49">
        <f>IF(OR($AE513&lt;&gt;1,U$1=""),"",SUMIFS('All Donations'!$S$2:$S$4001,'All Donations'!$R$2:$R$4001,$AD513,'All Donations'!$T$2:$T$4001,U$1))</f>
        <v/>
      </c>
      <c r="V513" s="49">
        <f>IF(OR($AE513&lt;&gt;1,V$1=""),"",SUMIFS('All Donations'!$S$2:$S$4001,'All Donations'!$R$2:$R$4001,$AD513,'All Donations'!$T$2:$T$4001,V$1))</f>
        <v/>
      </c>
      <c r="W513" s="49">
        <f>IF(OR($AE513&lt;&gt;1,W$1=""),"",SUMIFS('All Donations'!$S$2:$S$4001,'All Donations'!$R$2:$R$4001,$AD513,'All Donations'!$T$2:$T$4001,W$1))</f>
        <v/>
      </c>
      <c r="X513" s="49">
        <f>IF(OR($AE513&lt;&gt;1,X$1=""),"",SUMIFS('All Donations'!$S$2:$S$4001,'All Donations'!$R$2:$R$4001,$AD513,'All Donations'!$T$2:$T$4001,X$1))</f>
        <v/>
      </c>
      <c r="Y513" s="49">
        <f>IF(OR($AE513&lt;&gt;1,Y$1=""),"",SUMIFS('All Donations'!$S$2:$S$4001,'All Donations'!$R$2:$R$4001,$AD513,'All Donations'!$T$2:$T$4001,Y$1))</f>
        <v/>
      </c>
      <c r="Z513" s="49">
        <f>IF(OR($AE513&lt;&gt;1,Z$1=""),"",SUMIFS('All Donations'!$S$2:$S$4001,'All Donations'!$R$2:$R$4001,$AD513,'All Donations'!$T$2:$T$4001,Z$1))</f>
        <v/>
      </c>
      <c r="AA513" s="49">
        <f>IF(OR($AE513&lt;&gt;1,AA$1=""),"",SUMIFS('All Donations'!$S$2:$S$4001,'All Donations'!$R$2:$R$4001,$AD513,'All Donations'!$T$2:$T$4001,AA$1))</f>
        <v/>
      </c>
      <c r="AB513" s="49">
        <f>IF(OR($AE513&lt;&gt;1,AB$1=""),"",SUMIFS('All Donations'!$S$2:$S$4001,'All Donations'!$R$2:$R$4001,$AD513,'All Donations'!$T$2:$T$4001,AB$1))</f>
        <v/>
      </c>
      <c r="AC513" s="49">
        <f>IF(OR($AE513&lt;&gt;1,AC$1=""),"",SUMIFS('All Donations'!$S$2:$S$4001,'All Donations'!$R$2:$R$4001,$AD513,'All Donations'!$T$2:$T$4001,AC$1))</f>
        <v/>
      </c>
      <c r="AD513">
        <f>IF(AE513=1,'Roster'!A513,"")</f>
        <v/>
      </c>
      <c r="AE513">
        <f>IF(TRIM('Roster'!B513&amp;'Roster'!C513)&lt;&gt;"",1,0)</f>
        <v/>
      </c>
      <c r="AF513">
        <f>IF(AE513=1,LOWER(A513),"#")</f>
        <v/>
      </c>
      <c r="AG513">
        <f>IF(AE513=1,LOWER(TRIM(TRIM('Roster'!C513)&amp;", "&amp;TRIM('Roster'!B513))),"#")</f>
        <v/>
      </c>
      <c r="AH513">
        <f>IF(AND(AE513=1,TRIM('Roster'!F513)&lt;&gt;""),LOWER(TRIM('Roster'!F513)),"#")</f>
        <v/>
      </c>
      <c r="AI513">
        <f>IF(AE513=1,IF(MATCH(B513,$B$2:$B$701,0)=ROW()-1,1,0),0)</f>
        <v/>
      </c>
      <c r="AJ513">
        <f>AJ512+AI513</f>
        <v/>
      </c>
      <c r="AK513">
        <f>IF(AE513=1,D513+(1000-ROW())/10^7,-1)</f>
        <v/>
      </c>
      <c r="AL513">
        <f>IF(AE513=1,TRIM('Roster'!B513)&amp;" "&amp;LEFT(TRIM('Roster'!C513),1)&amp;".","")</f>
        <v/>
      </c>
      <c r="AM513">
        <f>IF(AE513=1,TRIM('Roster'!C513)&amp;", "&amp;TRIM('Roster'!B513)&amp;" ("&amp;B513&amp;") #"&amp;AD513,"")</f>
        <v/>
      </c>
      <c r="AN513">
        <f>IF(AE513=1,TRIM('Roster'!E513),"")</f>
        <v/>
      </c>
      <c r="AO513">
        <f>IF(AE513=1,ROUND(SUMIFS('All Donations'!$S$2:$S$4001,'All Donations'!$R$2:$R$4001,AD513,'All Donations'!$T$2:$T$4001,"&gt;="&amp;'Settings'!$C$23,'All Donations'!$T$2:$T$4001,"&lt;="&amp;'Settings'!$D$23),2),0)</f>
        <v/>
      </c>
      <c r="AQ513">
        <f>IF(AE513=1,ROUND(SUMIFS('All Donations'!$S$2:$S$4001,'All Donations'!$R$2:$R$4001,AD513,'All Donations'!$T$2:$T$4001,"&gt;="&amp;'Settings'!$C$25,'All Donations'!$T$2:$T$4001,"&lt;="&amp;'Settings'!$D$25),2),0)</f>
        <v/>
      </c>
      <c r="AR513">
        <f>IF(AE513=1,ROUND(SUMIFS('All Donations'!$S$2:$S$4001,'All Donations'!$R$2:$R$4001,AD513,'All Donations'!$T$2:$T$4001,"&gt;="&amp;'Settings'!$C$26,'All Donations'!$T$2:$T$4001,"&lt;="&amp;'Settings'!$D$26),2),0)</f>
        <v/>
      </c>
      <c r="AS513">
        <f>IF(AE513=1,ROUND(SUMIFS('All Donations'!$S$2:$S$4001,'All Donations'!$R$2:$R$4001,AD513,'All Donations'!$T$2:$T$4001,"&lt;="&amp;'Settings'!$D$27),2),0)</f>
        <v/>
      </c>
      <c r="AT513">
        <f>IF(AE513=1,ROUND(SUMIFS('All Donations'!$S$2:$S$4001,'All Donations'!$R$2:$R$4001,AD513,'All Donations'!$T$2:$T$4001,"&gt;="&amp;'Settings'!$C$28,'All Donations'!$T$2:$T$4001,"&lt;="&amp;'Settings'!$D$28),2),0)</f>
        <v/>
      </c>
      <c r="AU513">
        <f>IF(AE513=1,ROUND(SUMIFS('All Donations'!$S$2:$S$4001,'All Donations'!$R$2:$R$4001,AD513,'All Donations'!$T$2:$T$4001,"&gt;="&amp;'Settings'!$C$29,'All Donations'!$T$2:$T$4001,"&lt;="&amp;'Settings'!$D$29),2),0)</f>
        <v/>
      </c>
      <c r="AV513">
        <f>IF(AE513=1,ROUND(SUMIFS('All Donations'!$S$2:$S$4001,'All Donations'!$R$2:$R$4001,AD513,'All Donations'!$T$2:$T$4001,"&lt;="&amp;'Settings'!$D$30),2),0)</f>
        <v/>
      </c>
      <c r="AZ513">
        <f>IF(AE513=1,ROUND(SUMIFS('All Donations'!$S$2:$S$4001,'All Donations'!$R$2:$R$4001,AD513,'All Donations'!$T$2:$T$4001,"&lt;="&amp;'Settings'!$D$34),2),0)</f>
        <v/>
      </c>
    </row>
    <row r="514">
      <c r="A514">
        <f>IF(AE514=1,TRIM(TRIM('Roster'!B514)&amp;" "&amp;TRIM('Roster'!C514)),"")</f>
        <v/>
      </c>
      <c r="B514">
        <f>IF(AE514=1,IF(AN514="","(no teacher)",AN514&amp;" – "&amp;C514),"")</f>
        <v/>
      </c>
      <c r="C514">
        <f>IF(AE514=1,TRIM('Roster'!D514&amp;""),"")</f>
        <v/>
      </c>
      <c r="D514" s="48">
        <f>IF(AE514=1,ROUND(SUMIFS('All Donations'!$S$2:$S$4001,'All Donations'!$R$2:$R$4001,AD514),2),"")</f>
        <v/>
      </c>
      <c r="E514" s="48">
        <f>IF(AE514=1,ROUND(SUMIFS('All Donations'!$S$2:$S$4001,'All Donations'!$R$2:$R$4001,AD514,'All Donations'!$G$2:$G$4001,"OneCause"),2),"")</f>
        <v/>
      </c>
      <c r="F514" s="48">
        <f>IF(AE514=1,D514-E514,"")</f>
        <v/>
      </c>
      <c r="G514">
        <f>IF(AE514=1,COUNTIFS('All Donations'!$R$2:$R$4001,AD514,'All Donations'!$H$2:$H$4001,"OK"),"")</f>
        <v/>
      </c>
      <c r="H514">
        <f>IF(AE514&lt;&gt;1,"",IF(D514&gt;0,"Yes",""))</f>
        <v/>
      </c>
      <c r="I514" s="49">
        <f>IF(OR($AE514&lt;&gt;1,I$1=""),"",SUMIFS('All Donations'!$S$2:$S$4001,'All Donations'!$R$2:$R$4001,$AD514,'All Donations'!$T$2:$T$4001,I$1))</f>
        <v/>
      </c>
      <c r="J514" s="49">
        <f>IF(OR($AE514&lt;&gt;1,J$1=""),"",SUMIFS('All Donations'!$S$2:$S$4001,'All Donations'!$R$2:$R$4001,$AD514,'All Donations'!$T$2:$T$4001,J$1))</f>
        <v/>
      </c>
      <c r="K514" s="49">
        <f>IF(OR($AE514&lt;&gt;1,K$1=""),"",SUMIFS('All Donations'!$S$2:$S$4001,'All Donations'!$R$2:$R$4001,$AD514,'All Donations'!$T$2:$T$4001,K$1))</f>
        <v/>
      </c>
      <c r="L514" s="49">
        <f>IF(OR($AE514&lt;&gt;1,L$1=""),"",SUMIFS('All Donations'!$S$2:$S$4001,'All Donations'!$R$2:$R$4001,$AD514,'All Donations'!$T$2:$T$4001,L$1))</f>
        <v/>
      </c>
      <c r="M514" s="49">
        <f>IF(OR($AE514&lt;&gt;1,M$1=""),"",SUMIFS('All Donations'!$S$2:$S$4001,'All Donations'!$R$2:$R$4001,$AD514,'All Donations'!$T$2:$T$4001,M$1))</f>
        <v/>
      </c>
      <c r="N514" s="49">
        <f>IF(OR($AE514&lt;&gt;1,N$1=""),"",SUMIFS('All Donations'!$S$2:$S$4001,'All Donations'!$R$2:$R$4001,$AD514,'All Donations'!$T$2:$T$4001,N$1))</f>
        <v/>
      </c>
      <c r="O514" s="49">
        <f>IF(OR($AE514&lt;&gt;1,O$1=""),"",SUMIFS('All Donations'!$S$2:$S$4001,'All Donations'!$R$2:$R$4001,$AD514,'All Donations'!$T$2:$T$4001,O$1))</f>
        <v/>
      </c>
      <c r="P514" s="49">
        <f>IF(OR($AE514&lt;&gt;1,P$1=""),"",SUMIFS('All Donations'!$S$2:$S$4001,'All Donations'!$R$2:$R$4001,$AD514,'All Donations'!$T$2:$T$4001,P$1))</f>
        <v/>
      </c>
      <c r="Q514" s="49">
        <f>IF(OR($AE514&lt;&gt;1,Q$1=""),"",SUMIFS('All Donations'!$S$2:$S$4001,'All Donations'!$R$2:$R$4001,$AD514,'All Donations'!$T$2:$T$4001,Q$1))</f>
        <v/>
      </c>
      <c r="R514" s="49">
        <f>IF(OR($AE514&lt;&gt;1,R$1=""),"",SUMIFS('All Donations'!$S$2:$S$4001,'All Donations'!$R$2:$R$4001,$AD514,'All Donations'!$T$2:$T$4001,R$1))</f>
        <v/>
      </c>
      <c r="S514" s="49">
        <f>IF(OR($AE514&lt;&gt;1,S$1=""),"",SUMIFS('All Donations'!$S$2:$S$4001,'All Donations'!$R$2:$R$4001,$AD514,'All Donations'!$T$2:$T$4001,S$1))</f>
        <v/>
      </c>
      <c r="T514" s="49">
        <f>IF(OR($AE514&lt;&gt;1,T$1=""),"",SUMIFS('All Donations'!$S$2:$S$4001,'All Donations'!$R$2:$R$4001,$AD514,'All Donations'!$T$2:$T$4001,T$1))</f>
        <v/>
      </c>
      <c r="U514" s="49">
        <f>IF(OR($AE514&lt;&gt;1,U$1=""),"",SUMIFS('All Donations'!$S$2:$S$4001,'All Donations'!$R$2:$R$4001,$AD514,'All Donations'!$T$2:$T$4001,U$1))</f>
        <v/>
      </c>
      <c r="V514" s="49">
        <f>IF(OR($AE514&lt;&gt;1,V$1=""),"",SUMIFS('All Donations'!$S$2:$S$4001,'All Donations'!$R$2:$R$4001,$AD514,'All Donations'!$T$2:$T$4001,V$1))</f>
        <v/>
      </c>
      <c r="W514" s="49">
        <f>IF(OR($AE514&lt;&gt;1,W$1=""),"",SUMIFS('All Donations'!$S$2:$S$4001,'All Donations'!$R$2:$R$4001,$AD514,'All Donations'!$T$2:$T$4001,W$1))</f>
        <v/>
      </c>
      <c r="X514" s="49">
        <f>IF(OR($AE514&lt;&gt;1,X$1=""),"",SUMIFS('All Donations'!$S$2:$S$4001,'All Donations'!$R$2:$R$4001,$AD514,'All Donations'!$T$2:$T$4001,X$1))</f>
        <v/>
      </c>
      <c r="Y514" s="49">
        <f>IF(OR($AE514&lt;&gt;1,Y$1=""),"",SUMIFS('All Donations'!$S$2:$S$4001,'All Donations'!$R$2:$R$4001,$AD514,'All Donations'!$T$2:$T$4001,Y$1))</f>
        <v/>
      </c>
      <c r="Z514" s="49">
        <f>IF(OR($AE514&lt;&gt;1,Z$1=""),"",SUMIFS('All Donations'!$S$2:$S$4001,'All Donations'!$R$2:$R$4001,$AD514,'All Donations'!$T$2:$T$4001,Z$1))</f>
        <v/>
      </c>
      <c r="AA514" s="49">
        <f>IF(OR($AE514&lt;&gt;1,AA$1=""),"",SUMIFS('All Donations'!$S$2:$S$4001,'All Donations'!$R$2:$R$4001,$AD514,'All Donations'!$T$2:$T$4001,AA$1))</f>
        <v/>
      </c>
      <c r="AB514" s="49">
        <f>IF(OR($AE514&lt;&gt;1,AB$1=""),"",SUMIFS('All Donations'!$S$2:$S$4001,'All Donations'!$R$2:$R$4001,$AD514,'All Donations'!$T$2:$T$4001,AB$1))</f>
        <v/>
      </c>
      <c r="AC514" s="49">
        <f>IF(OR($AE514&lt;&gt;1,AC$1=""),"",SUMIFS('All Donations'!$S$2:$S$4001,'All Donations'!$R$2:$R$4001,$AD514,'All Donations'!$T$2:$T$4001,AC$1))</f>
        <v/>
      </c>
      <c r="AD514">
        <f>IF(AE514=1,'Roster'!A514,"")</f>
        <v/>
      </c>
      <c r="AE514">
        <f>IF(TRIM('Roster'!B514&amp;'Roster'!C514)&lt;&gt;"",1,0)</f>
        <v/>
      </c>
      <c r="AF514">
        <f>IF(AE514=1,LOWER(A514),"#")</f>
        <v/>
      </c>
      <c r="AG514">
        <f>IF(AE514=1,LOWER(TRIM(TRIM('Roster'!C514)&amp;", "&amp;TRIM('Roster'!B514))),"#")</f>
        <v/>
      </c>
      <c r="AH514">
        <f>IF(AND(AE514=1,TRIM('Roster'!F514)&lt;&gt;""),LOWER(TRIM('Roster'!F514)),"#")</f>
        <v/>
      </c>
      <c r="AI514">
        <f>IF(AE514=1,IF(MATCH(B514,$B$2:$B$701,0)=ROW()-1,1,0),0)</f>
        <v/>
      </c>
      <c r="AJ514">
        <f>AJ513+AI514</f>
        <v/>
      </c>
      <c r="AK514">
        <f>IF(AE514=1,D514+(1000-ROW())/10^7,-1)</f>
        <v/>
      </c>
      <c r="AL514">
        <f>IF(AE514=1,TRIM('Roster'!B514)&amp;" "&amp;LEFT(TRIM('Roster'!C514),1)&amp;".","")</f>
        <v/>
      </c>
      <c r="AM514">
        <f>IF(AE514=1,TRIM('Roster'!C514)&amp;", "&amp;TRIM('Roster'!B514)&amp;" ("&amp;B514&amp;") #"&amp;AD514,"")</f>
        <v/>
      </c>
      <c r="AN514">
        <f>IF(AE514=1,TRIM('Roster'!E514),"")</f>
        <v/>
      </c>
      <c r="AO514">
        <f>IF(AE514=1,ROUND(SUMIFS('All Donations'!$S$2:$S$4001,'All Donations'!$R$2:$R$4001,AD514,'All Donations'!$T$2:$T$4001,"&gt;="&amp;'Settings'!$C$23,'All Donations'!$T$2:$T$4001,"&lt;="&amp;'Settings'!$D$23),2),0)</f>
        <v/>
      </c>
      <c r="AQ514">
        <f>IF(AE514=1,ROUND(SUMIFS('All Donations'!$S$2:$S$4001,'All Donations'!$R$2:$R$4001,AD514,'All Donations'!$T$2:$T$4001,"&gt;="&amp;'Settings'!$C$25,'All Donations'!$T$2:$T$4001,"&lt;="&amp;'Settings'!$D$25),2),0)</f>
        <v/>
      </c>
      <c r="AR514">
        <f>IF(AE514=1,ROUND(SUMIFS('All Donations'!$S$2:$S$4001,'All Donations'!$R$2:$R$4001,AD514,'All Donations'!$T$2:$T$4001,"&gt;="&amp;'Settings'!$C$26,'All Donations'!$T$2:$T$4001,"&lt;="&amp;'Settings'!$D$26),2),0)</f>
        <v/>
      </c>
      <c r="AS514">
        <f>IF(AE514=1,ROUND(SUMIFS('All Donations'!$S$2:$S$4001,'All Donations'!$R$2:$R$4001,AD514,'All Donations'!$T$2:$T$4001,"&lt;="&amp;'Settings'!$D$27),2),0)</f>
        <v/>
      </c>
      <c r="AT514">
        <f>IF(AE514=1,ROUND(SUMIFS('All Donations'!$S$2:$S$4001,'All Donations'!$R$2:$R$4001,AD514,'All Donations'!$T$2:$T$4001,"&gt;="&amp;'Settings'!$C$28,'All Donations'!$T$2:$T$4001,"&lt;="&amp;'Settings'!$D$28),2),0)</f>
        <v/>
      </c>
      <c r="AU514">
        <f>IF(AE514=1,ROUND(SUMIFS('All Donations'!$S$2:$S$4001,'All Donations'!$R$2:$R$4001,AD514,'All Donations'!$T$2:$T$4001,"&gt;="&amp;'Settings'!$C$29,'All Donations'!$T$2:$T$4001,"&lt;="&amp;'Settings'!$D$29),2),0)</f>
        <v/>
      </c>
      <c r="AV514">
        <f>IF(AE514=1,ROUND(SUMIFS('All Donations'!$S$2:$S$4001,'All Donations'!$R$2:$R$4001,AD514,'All Donations'!$T$2:$T$4001,"&lt;="&amp;'Settings'!$D$30),2),0)</f>
        <v/>
      </c>
      <c r="AZ514">
        <f>IF(AE514=1,ROUND(SUMIFS('All Donations'!$S$2:$S$4001,'All Donations'!$R$2:$R$4001,AD514,'All Donations'!$T$2:$T$4001,"&lt;="&amp;'Settings'!$D$34),2),0)</f>
        <v/>
      </c>
    </row>
    <row r="515">
      <c r="A515">
        <f>IF(AE515=1,TRIM(TRIM('Roster'!B515)&amp;" "&amp;TRIM('Roster'!C515)),"")</f>
        <v/>
      </c>
      <c r="B515">
        <f>IF(AE515=1,IF(AN515="","(no teacher)",AN515&amp;" – "&amp;C515),"")</f>
        <v/>
      </c>
      <c r="C515">
        <f>IF(AE515=1,TRIM('Roster'!D515&amp;""),"")</f>
        <v/>
      </c>
      <c r="D515" s="48">
        <f>IF(AE515=1,ROUND(SUMIFS('All Donations'!$S$2:$S$4001,'All Donations'!$R$2:$R$4001,AD515),2),"")</f>
        <v/>
      </c>
      <c r="E515" s="48">
        <f>IF(AE515=1,ROUND(SUMIFS('All Donations'!$S$2:$S$4001,'All Donations'!$R$2:$R$4001,AD515,'All Donations'!$G$2:$G$4001,"OneCause"),2),"")</f>
        <v/>
      </c>
      <c r="F515" s="48">
        <f>IF(AE515=1,D515-E515,"")</f>
        <v/>
      </c>
      <c r="G515">
        <f>IF(AE515=1,COUNTIFS('All Donations'!$R$2:$R$4001,AD515,'All Donations'!$H$2:$H$4001,"OK"),"")</f>
        <v/>
      </c>
      <c r="H515">
        <f>IF(AE515&lt;&gt;1,"",IF(D515&gt;0,"Yes",""))</f>
        <v/>
      </c>
      <c r="I515" s="49">
        <f>IF(OR($AE515&lt;&gt;1,I$1=""),"",SUMIFS('All Donations'!$S$2:$S$4001,'All Donations'!$R$2:$R$4001,$AD515,'All Donations'!$T$2:$T$4001,I$1))</f>
        <v/>
      </c>
      <c r="J515" s="49">
        <f>IF(OR($AE515&lt;&gt;1,J$1=""),"",SUMIFS('All Donations'!$S$2:$S$4001,'All Donations'!$R$2:$R$4001,$AD515,'All Donations'!$T$2:$T$4001,J$1))</f>
        <v/>
      </c>
      <c r="K515" s="49">
        <f>IF(OR($AE515&lt;&gt;1,K$1=""),"",SUMIFS('All Donations'!$S$2:$S$4001,'All Donations'!$R$2:$R$4001,$AD515,'All Donations'!$T$2:$T$4001,K$1))</f>
        <v/>
      </c>
      <c r="L515" s="49">
        <f>IF(OR($AE515&lt;&gt;1,L$1=""),"",SUMIFS('All Donations'!$S$2:$S$4001,'All Donations'!$R$2:$R$4001,$AD515,'All Donations'!$T$2:$T$4001,L$1))</f>
        <v/>
      </c>
      <c r="M515" s="49">
        <f>IF(OR($AE515&lt;&gt;1,M$1=""),"",SUMIFS('All Donations'!$S$2:$S$4001,'All Donations'!$R$2:$R$4001,$AD515,'All Donations'!$T$2:$T$4001,M$1))</f>
        <v/>
      </c>
      <c r="N515" s="49">
        <f>IF(OR($AE515&lt;&gt;1,N$1=""),"",SUMIFS('All Donations'!$S$2:$S$4001,'All Donations'!$R$2:$R$4001,$AD515,'All Donations'!$T$2:$T$4001,N$1))</f>
        <v/>
      </c>
      <c r="O515" s="49">
        <f>IF(OR($AE515&lt;&gt;1,O$1=""),"",SUMIFS('All Donations'!$S$2:$S$4001,'All Donations'!$R$2:$R$4001,$AD515,'All Donations'!$T$2:$T$4001,O$1))</f>
        <v/>
      </c>
      <c r="P515" s="49">
        <f>IF(OR($AE515&lt;&gt;1,P$1=""),"",SUMIFS('All Donations'!$S$2:$S$4001,'All Donations'!$R$2:$R$4001,$AD515,'All Donations'!$T$2:$T$4001,P$1))</f>
        <v/>
      </c>
      <c r="Q515" s="49">
        <f>IF(OR($AE515&lt;&gt;1,Q$1=""),"",SUMIFS('All Donations'!$S$2:$S$4001,'All Donations'!$R$2:$R$4001,$AD515,'All Donations'!$T$2:$T$4001,Q$1))</f>
        <v/>
      </c>
      <c r="R515" s="49">
        <f>IF(OR($AE515&lt;&gt;1,R$1=""),"",SUMIFS('All Donations'!$S$2:$S$4001,'All Donations'!$R$2:$R$4001,$AD515,'All Donations'!$T$2:$T$4001,R$1))</f>
        <v/>
      </c>
      <c r="S515" s="49">
        <f>IF(OR($AE515&lt;&gt;1,S$1=""),"",SUMIFS('All Donations'!$S$2:$S$4001,'All Donations'!$R$2:$R$4001,$AD515,'All Donations'!$T$2:$T$4001,S$1))</f>
        <v/>
      </c>
      <c r="T515" s="49">
        <f>IF(OR($AE515&lt;&gt;1,T$1=""),"",SUMIFS('All Donations'!$S$2:$S$4001,'All Donations'!$R$2:$R$4001,$AD515,'All Donations'!$T$2:$T$4001,T$1))</f>
        <v/>
      </c>
      <c r="U515" s="49">
        <f>IF(OR($AE515&lt;&gt;1,U$1=""),"",SUMIFS('All Donations'!$S$2:$S$4001,'All Donations'!$R$2:$R$4001,$AD515,'All Donations'!$T$2:$T$4001,U$1))</f>
        <v/>
      </c>
      <c r="V515" s="49">
        <f>IF(OR($AE515&lt;&gt;1,V$1=""),"",SUMIFS('All Donations'!$S$2:$S$4001,'All Donations'!$R$2:$R$4001,$AD515,'All Donations'!$T$2:$T$4001,V$1))</f>
        <v/>
      </c>
      <c r="W515" s="49">
        <f>IF(OR($AE515&lt;&gt;1,W$1=""),"",SUMIFS('All Donations'!$S$2:$S$4001,'All Donations'!$R$2:$R$4001,$AD515,'All Donations'!$T$2:$T$4001,W$1))</f>
        <v/>
      </c>
      <c r="X515" s="49">
        <f>IF(OR($AE515&lt;&gt;1,X$1=""),"",SUMIFS('All Donations'!$S$2:$S$4001,'All Donations'!$R$2:$R$4001,$AD515,'All Donations'!$T$2:$T$4001,X$1))</f>
        <v/>
      </c>
      <c r="Y515" s="49">
        <f>IF(OR($AE515&lt;&gt;1,Y$1=""),"",SUMIFS('All Donations'!$S$2:$S$4001,'All Donations'!$R$2:$R$4001,$AD515,'All Donations'!$T$2:$T$4001,Y$1))</f>
        <v/>
      </c>
      <c r="Z515" s="49">
        <f>IF(OR($AE515&lt;&gt;1,Z$1=""),"",SUMIFS('All Donations'!$S$2:$S$4001,'All Donations'!$R$2:$R$4001,$AD515,'All Donations'!$T$2:$T$4001,Z$1))</f>
        <v/>
      </c>
      <c r="AA515" s="49">
        <f>IF(OR($AE515&lt;&gt;1,AA$1=""),"",SUMIFS('All Donations'!$S$2:$S$4001,'All Donations'!$R$2:$R$4001,$AD515,'All Donations'!$T$2:$T$4001,AA$1))</f>
        <v/>
      </c>
      <c r="AB515" s="49">
        <f>IF(OR($AE515&lt;&gt;1,AB$1=""),"",SUMIFS('All Donations'!$S$2:$S$4001,'All Donations'!$R$2:$R$4001,$AD515,'All Donations'!$T$2:$T$4001,AB$1))</f>
        <v/>
      </c>
      <c r="AC515" s="49">
        <f>IF(OR($AE515&lt;&gt;1,AC$1=""),"",SUMIFS('All Donations'!$S$2:$S$4001,'All Donations'!$R$2:$R$4001,$AD515,'All Donations'!$T$2:$T$4001,AC$1))</f>
        <v/>
      </c>
      <c r="AD515">
        <f>IF(AE515=1,'Roster'!A515,"")</f>
        <v/>
      </c>
      <c r="AE515">
        <f>IF(TRIM('Roster'!B515&amp;'Roster'!C515)&lt;&gt;"",1,0)</f>
        <v/>
      </c>
      <c r="AF515">
        <f>IF(AE515=1,LOWER(A515),"#")</f>
        <v/>
      </c>
      <c r="AG515">
        <f>IF(AE515=1,LOWER(TRIM(TRIM('Roster'!C515)&amp;", "&amp;TRIM('Roster'!B515))),"#")</f>
        <v/>
      </c>
      <c r="AH515">
        <f>IF(AND(AE515=1,TRIM('Roster'!F515)&lt;&gt;""),LOWER(TRIM('Roster'!F515)),"#")</f>
        <v/>
      </c>
      <c r="AI515">
        <f>IF(AE515=1,IF(MATCH(B515,$B$2:$B$701,0)=ROW()-1,1,0),0)</f>
        <v/>
      </c>
      <c r="AJ515">
        <f>AJ514+AI515</f>
        <v/>
      </c>
      <c r="AK515">
        <f>IF(AE515=1,D515+(1000-ROW())/10^7,-1)</f>
        <v/>
      </c>
      <c r="AL515">
        <f>IF(AE515=1,TRIM('Roster'!B515)&amp;" "&amp;LEFT(TRIM('Roster'!C515),1)&amp;".","")</f>
        <v/>
      </c>
      <c r="AM515">
        <f>IF(AE515=1,TRIM('Roster'!C515)&amp;", "&amp;TRIM('Roster'!B515)&amp;" ("&amp;B515&amp;") #"&amp;AD515,"")</f>
        <v/>
      </c>
      <c r="AN515">
        <f>IF(AE515=1,TRIM('Roster'!E515),"")</f>
        <v/>
      </c>
      <c r="AO515">
        <f>IF(AE515=1,ROUND(SUMIFS('All Donations'!$S$2:$S$4001,'All Donations'!$R$2:$R$4001,AD515,'All Donations'!$T$2:$T$4001,"&gt;="&amp;'Settings'!$C$23,'All Donations'!$T$2:$T$4001,"&lt;="&amp;'Settings'!$D$23),2),0)</f>
        <v/>
      </c>
      <c r="AQ515">
        <f>IF(AE515=1,ROUND(SUMIFS('All Donations'!$S$2:$S$4001,'All Donations'!$R$2:$R$4001,AD515,'All Donations'!$T$2:$T$4001,"&gt;="&amp;'Settings'!$C$25,'All Donations'!$T$2:$T$4001,"&lt;="&amp;'Settings'!$D$25),2),0)</f>
        <v/>
      </c>
      <c r="AR515">
        <f>IF(AE515=1,ROUND(SUMIFS('All Donations'!$S$2:$S$4001,'All Donations'!$R$2:$R$4001,AD515,'All Donations'!$T$2:$T$4001,"&gt;="&amp;'Settings'!$C$26,'All Donations'!$T$2:$T$4001,"&lt;="&amp;'Settings'!$D$26),2),0)</f>
        <v/>
      </c>
      <c r="AS515">
        <f>IF(AE515=1,ROUND(SUMIFS('All Donations'!$S$2:$S$4001,'All Donations'!$R$2:$R$4001,AD515,'All Donations'!$T$2:$T$4001,"&lt;="&amp;'Settings'!$D$27),2),0)</f>
        <v/>
      </c>
      <c r="AT515">
        <f>IF(AE515=1,ROUND(SUMIFS('All Donations'!$S$2:$S$4001,'All Donations'!$R$2:$R$4001,AD515,'All Donations'!$T$2:$T$4001,"&gt;="&amp;'Settings'!$C$28,'All Donations'!$T$2:$T$4001,"&lt;="&amp;'Settings'!$D$28),2),0)</f>
        <v/>
      </c>
      <c r="AU515">
        <f>IF(AE515=1,ROUND(SUMIFS('All Donations'!$S$2:$S$4001,'All Donations'!$R$2:$R$4001,AD515,'All Donations'!$T$2:$T$4001,"&gt;="&amp;'Settings'!$C$29,'All Donations'!$T$2:$T$4001,"&lt;="&amp;'Settings'!$D$29),2),0)</f>
        <v/>
      </c>
      <c r="AV515">
        <f>IF(AE515=1,ROUND(SUMIFS('All Donations'!$S$2:$S$4001,'All Donations'!$R$2:$R$4001,AD515,'All Donations'!$T$2:$T$4001,"&lt;="&amp;'Settings'!$D$30),2),0)</f>
        <v/>
      </c>
      <c r="AZ515">
        <f>IF(AE515=1,ROUND(SUMIFS('All Donations'!$S$2:$S$4001,'All Donations'!$R$2:$R$4001,AD515,'All Donations'!$T$2:$T$4001,"&lt;="&amp;'Settings'!$D$34),2),0)</f>
        <v/>
      </c>
    </row>
    <row r="516">
      <c r="A516">
        <f>IF(AE516=1,TRIM(TRIM('Roster'!B516)&amp;" "&amp;TRIM('Roster'!C516)),"")</f>
        <v/>
      </c>
      <c r="B516">
        <f>IF(AE516=1,IF(AN516="","(no teacher)",AN516&amp;" – "&amp;C516),"")</f>
        <v/>
      </c>
      <c r="C516">
        <f>IF(AE516=1,TRIM('Roster'!D516&amp;""),"")</f>
        <v/>
      </c>
      <c r="D516" s="48">
        <f>IF(AE516=1,ROUND(SUMIFS('All Donations'!$S$2:$S$4001,'All Donations'!$R$2:$R$4001,AD516),2),"")</f>
        <v/>
      </c>
      <c r="E516" s="48">
        <f>IF(AE516=1,ROUND(SUMIFS('All Donations'!$S$2:$S$4001,'All Donations'!$R$2:$R$4001,AD516,'All Donations'!$G$2:$G$4001,"OneCause"),2),"")</f>
        <v/>
      </c>
      <c r="F516" s="48">
        <f>IF(AE516=1,D516-E516,"")</f>
        <v/>
      </c>
      <c r="G516">
        <f>IF(AE516=1,COUNTIFS('All Donations'!$R$2:$R$4001,AD516,'All Donations'!$H$2:$H$4001,"OK"),"")</f>
        <v/>
      </c>
      <c r="H516">
        <f>IF(AE516&lt;&gt;1,"",IF(D516&gt;0,"Yes",""))</f>
        <v/>
      </c>
      <c r="I516" s="49">
        <f>IF(OR($AE516&lt;&gt;1,I$1=""),"",SUMIFS('All Donations'!$S$2:$S$4001,'All Donations'!$R$2:$R$4001,$AD516,'All Donations'!$T$2:$T$4001,I$1))</f>
        <v/>
      </c>
      <c r="J516" s="49">
        <f>IF(OR($AE516&lt;&gt;1,J$1=""),"",SUMIFS('All Donations'!$S$2:$S$4001,'All Donations'!$R$2:$R$4001,$AD516,'All Donations'!$T$2:$T$4001,J$1))</f>
        <v/>
      </c>
      <c r="K516" s="49">
        <f>IF(OR($AE516&lt;&gt;1,K$1=""),"",SUMIFS('All Donations'!$S$2:$S$4001,'All Donations'!$R$2:$R$4001,$AD516,'All Donations'!$T$2:$T$4001,K$1))</f>
        <v/>
      </c>
      <c r="L516" s="49">
        <f>IF(OR($AE516&lt;&gt;1,L$1=""),"",SUMIFS('All Donations'!$S$2:$S$4001,'All Donations'!$R$2:$R$4001,$AD516,'All Donations'!$T$2:$T$4001,L$1))</f>
        <v/>
      </c>
      <c r="M516" s="49">
        <f>IF(OR($AE516&lt;&gt;1,M$1=""),"",SUMIFS('All Donations'!$S$2:$S$4001,'All Donations'!$R$2:$R$4001,$AD516,'All Donations'!$T$2:$T$4001,M$1))</f>
        <v/>
      </c>
      <c r="N516" s="49">
        <f>IF(OR($AE516&lt;&gt;1,N$1=""),"",SUMIFS('All Donations'!$S$2:$S$4001,'All Donations'!$R$2:$R$4001,$AD516,'All Donations'!$T$2:$T$4001,N$1))</f>
        <v/>
      </c>
      <c r="O516" s="49">
        <f>IF(OR($AE516&lt;&gt;1,O$1=""),"",SUMIFS('All Donations'!$S$2:$S$4001,'All Donations'!$R$2:$R$4001,$AD516,'All Donations'!$T$2:$T$4001,O$1))</f>
        <v/>
      </c>
      <c r="P516" s="49">
        <f>IF(OR($AE516&lt;&gt;1,P$1=""),"",SUMIFS('All Donations'!$S$2:$S$4001,'All Donations'!$R$2:$R$4001,$AD516,'All Donations'!$T$2:$T$4001,P$1))</f>
        <v/>
      </c>
      <c r="Q516" s="49">
        <f>IF(OR($AE516&lt;&gt;1,Q$1=""),"",SUMIFS('All Donations'!$S$2:$S$4001,'All Donations'!$R$2:$R$4001,$AD516,'All Donations'!$T$2:$T$4001,Q$1))</f>
        <v/>
      </c>
      <c r="R516" s="49">
        <f>IF(OR($AE516&lt;&gt;1,R$1=""),"",SUMIFS('All Donations'!$S$2:$S$4001,'All Donations'!$R$2:$R$4001,$AD516,'All Donations'!$T$2:$T$4001,R$1))</f>
        <v/>
      </c>
      <c r="S516" s="49">
        <f>IF(OR($AE516&lt;&gt;1,S$1=""),"",SUMIFS('All Donations'!$S$2:$S$4001,'All Donations'!$R$2:$R$4001,$AD516,'All Donations'!$T$2:$T$4001,S$1))</f>
        <v/>
      </c>
      <c r="T516" s="49">
        <f>IF(OR($AE516&lt;&gt;1,T$1=""),"",SUMIFS('All Donations'!$S$2:$S$4001,'All Donations'!$R$2:$R$4001,$AD516,'All Donations'!$T$2:$T$4001,T$1))</f>
        <v/>
      </c>
      <c r="U516" s="49">
        <f>IF(OR($AE516&lt;&gt;1,U$1=""),"",SUMIFS('All Donations'!$S$2:$S$4001,'All Donations'!$R$2:$R$4001,$AD516,'All Donations'!$T$2:$T$4001,U$1))</f>
        <v/>
      </c>
      <c r="V516" s="49">
        <f>IF(OR($AE516&lt;&gt;1,V$1=""),"",SUMIFS('All Donations'!$S$2:$S$4001,'All Donations'!$R$2:$R$4001,$AD516,'All Donations'!$T$2:$T$4001,V$1))</f>
        <v/>
      </c>
      <c r="W516" s="49">
        <f>IF(OR($AE516&lt;&gt;1,W$1=""),"",SUMIFS('All Donations'!$S$2:$S$4001,'All Donations'!$R$2:$R$4001,$AD516,'All Donations'!$T$2:$T$4001,W$1))</f>
        <v/>
      </c>
      <c r="X516" s="49">
        <f>IF(OR($AE516&lt;&gt;1,X$1=""),"",SUMIFS('All Donations'!$S$2:$S$4001,'All Donations'!$R$2:$R$4001,$AD516,'All Donations'!$T$2:$T$4001,X$1))</f>
        <v/>
      </c>
      <c r="Y516" s="49">
        <f>IF(OR($AE516&lt;&gt;1,Y$1=""),"",SUMIFS('All Donations'!$S$2:$S$4001,'All Donations'!$R$2:$R$4001,$AD516,'All Donations'!$T$2:$T$4001,Y$1))</f>
        <v/>
      </c>
      <c r="Z516" s="49">
        <f>IF(OR($AE516&lt;&gt;1,Z$1=""),"",SUMIFS('All Donations'!$S$2:$S$4001,'All Donations'!$R$2:$R$4001,$AD516,'All Donations'!$T$2:$T$4001,Z$1))</f>
        <v/>
      </c>
      <c r="AA516" s="49">
        <f>IF(OR($AE516&lt;&gt;1,AA$1=""),"",SUMIFS('All Donations'!$S$2:$S$4001,'All Donations'!$R$2:$R$4001,$AD516,'All Donations'!$T$2:$T$4001,AA$1))</f>
        <v/>
      </c>
      <c r="AB516" s="49">
        <f>IF(OR($AE516&lt;&gt;1,AB$1=""),"",SUMIFS('All Donations'!$S$2:$S$4001,'All Donations'!$R$2:$R$4001,$AD516,'All Donations'!$T$2:$T$4001,AB$1))</f>
        <v/>
      </c>
      <c r="AC516" s="49">
        <f>IF(OR($AE516&lt;&gt;1,AC$1=""),"",SUMIFS('All Donations'!$S$2:$S$4001,'All Donations'!$R$2:$R$4001,$AD516,'All Donations'!$T$2:$T$4001,AC$1))</f>
        <v/>
      </c>
      <c r="AD516">
        <f>IF(AE516=1,'Roster'!A516,"")</f>
        <v/>
      </c>
      <c r="AE516">
        <f>IF(TRIM('Roster'!B516&amp;'Roster'!C516)&lt;&gt;"",1,0)</f>
        <v/>
      </c>
      <c r="AF516">
        <f>IF(AE516=1,LOWER(A516),"#")</f>
        <v/>
      </c>
      <c r="AG516">
        <f>IF(AE516=1,LOWER(TRIM(TRIM('Roster'!C516)&amp;", "&amp;TRIM('Roster'!B516))),"#")</f>
        <v/>
      </c>
      <c r="AH516">
        <f>IF(AND(AE516=1,TRIM('Roster'!F516)&lt;&gt;""),LOWER(TRIM('Roster'!F516)),"#")</f>
        <v/>
      </c>
      <c r="AI516">
        <f>IF(AE516=1,IF(MATCH(B516,$B$2:$B$701,0)=ROW()-1,1,0),0)</f>
        <v/>
      </c>
      <c r="AJ516">
        <f>AJ515+AI516</f>
        <v/>
      </c>
      <c r="AK516">
        <f>IF(AE516=1,D516+(1000-ROW())/10^7,-1)</f>
        <v/>
      </c>
      <c r="AL516">
        <f>IF(AE516=1,TRIM('Roster'!B516)&amp;" "&amp;LEFT(TRIM('Roster'!C516),1)&amp;".","")</f>
        <v/>
      </c>
      <c r="AM516">
        <f>IF(AE516=1,TRIM('Roster'!C516)&amp;", "&amp;TRIM('Roster'!B516)&amp;" ("&amp;B516&amp;") #"&amp;AD516,"")</f>
        <v/>
      </c>
      <c r="AN516">
        <f>IF(AE516=1,TRIM('Roster'!E516),"")</f>
        <v/>
      </c>
      <c r="AO516">
        <f>IF(AE516=1,ROUND(SUMIFS('All Donations'!$S$2:$S$4001,'All Donations'!$R$2:$R$4001,AD516,'All Donations'!$T$2:$T$4001,"&gt;="&amp;'Settings'!$C$23,'All Donations'!$T$2:$T$4001,"&lt;="&amp;'Settings'!$D$23),2),0)</f>
        <v/>
      </c>
      <c r="AQ516">
        <f>IF(AE516=1,ROUND(SUMIFS('All Donations'!$S$2:$S$4001,'All Donations'!$R$2:$R$4001,AD516,'All Donations'!$T$2:$T$4001,"&gt;="&amp;'Settings'!$C$25,'All Donations'!$T$2:$T$4001,"&lt;="&amp;'Settings'!$D$25),2),0)</f>
        <v/>
      </c>
      <c r="AR516">
        <f>IF(AE516=1,ROUND(SUMIFS('All Donations'!$S$2:$S$4001,'All Donations'!$R$2:$R$4001,AD516,'All Donations'!$T$2:$T$4001,"&gt;="&amp;'Settings'!$C$26,'All Donations'!$T$2:$T$4001,"&lt;="&amp;'Settings'!$D$26),2),0)</f>
        <v/>
      </c>
      <c r="AS516">
        <f>IF(AE516=1,ROUND(SUMIFS('All Donations'!$S$2:$S$4001,'All Donations'!$R$2:$R$4001,AD516,'All Donations'!$T$2:$T$4001,"&lt;="&amp;'Settings'!$D$27),2),0)</f>
        <v/>
      </c>
      <c r="AT516">
        <f>IF(AE516=1,ROUND(SUMIFS('All Donations'!$S$2:$S$4001,'All Donations'!$R$2:$R$4001,AD516,'All Donations'!$T$2:$T$4001,"&gt;="&amp;'Settings'!$C$28,'All Donations'!$T$2:$T$4001,"&lt;="&amp;'Settings'!$D$28),2),0)</f>
        <v/>
      </c>
      <c r="AU516">
        <f>IF(AE516=1,ROUND(SUMIFS('All Donations'!$S$2:$S$4001,'All Donations'!$R$2:$R$4001,AD516,'All Donations'!$T$2:$T$4001,"&gt;="&amp;'Settings'!$C$29,'All Donations'!$T$2:$T$4001,"&lt;="&amp;'Settings'!$D$29),2),0)</f>
        <v/>
      </c>
      <c r="AV516">
        <f>IF(AE516=1,ROUND(SUMIFS('All Donations'!$S$2:$S$4001,'All Donations'!$R$2:$R$4001,AD516,'All Donations'!$T$2:$T$4001,"&lt;="&amp;'Settings'!$D$30),2),0)</f>
        <v/>
      </c>
      <c r="AZ516">
        <f>IF(AE516=1,ROUND(SUMIFS('All Donations'!$S$2:$S$4001,'All Donations'!$R$2:$R$4001,AD516,'All Donations'!$T$2:$T$4001,"&lt;="&amp;'Settings'!$D$34),2),0)</f>
        <v/>
      </c>
    </row>
    <row r="517">
      <c r="A517">
        <f>IF(AE517=1,TRIM(TRIM('Roster'!B517)&amp;" "&amp;TRIM('Roster'!C517)),"")</f>
        <v/>
      </c>
      <c r="B517">
        <f>IF(AE517=1,IF(AN517="","(no teacher)",AN517&amp;" – "&amp;C517),"")</f>
        <v/>
      </c>
      <c r="C517">
        <f>IF(AE517=1,TRIM('Roster'!D517&amp;""),"")</f>
        <v/>
      </c>
      <c r="D517" s="48">
        <f>IF(AE517=1,ROUND(SUMIFS('All Donations'!$S$2:$S$4001,'All Donations'!$R$2:$R$4001,AD517),2),"")</f>
        <v/>
      </c>
      <c r="E517" s="48">
        <f>IF(AE517=1,ROUND(SUMIFS('All Donations'!$S$2:$S$4001,'All Donations'!$R$2:$R$4001,AD517,'All Donations'!$G$2:$G$4001,"OneCause"),2),"")</f>
        <v/>
      </c>
      <c r="F517" s="48">
        <f>IF(AE517=1,D517-E517,"")</f>
        <v/>
      </c>
      <c r="G517">
        <f>IF(AE517=1,COUNTIFS('All Donations'!$R$2:$R$4001,AD517,'All Donations'!$H$2:$H$4001,"OK"),"")</f>
        <v/>
      </c>
      <c r="H517">
        <f>IF(AE517&lt;&gt;1,"",IF(D517&gt;0,"Yes",""))</f>
        <v/>
      </c>
      <c r="I517" s="49">
        <f>IF(OR($AE517&lt;&gt;1,I$1=""),"",SUMIFS('All Donations'!$S$2:$S$4001,'All Donations'!$R$2:$R$4001,$AD517,'All Donations'!$T$2:$T$4001,I$1))</f>
        <v/>
      </c>
      <c r="J517" s="49">
        <f>IF(OR($AE517&lt;&gt;1,J$1=""),"",SUMIFS('All Donations'!$S$2:$S$4001,'All Donations'!$R$2:$R$4001,$AD517,'All Donations'!$T$2:$T$4001,J$1))</f>
        <v/>
      </c>
      <c r="K517" s="49">
        <f>IF(OR($AE517&lt;&gt;1,K$1=""),"",SUMIFS('All Donations'!$S$2:$S$4001,'All Donations'!$R$2:$R$4001,$AD517,'All Donations'!$T$2:$T$4001,K$1))</f>
        <v/>
      </c>
      <c r="L517" s="49">
        <f>IF(OR($AE517&lt;&gt;1,L$1=""),"",SUMIFS('All Donations'!$S$2:$S$4001,'All Donations'!$R$2:$R$4001,$AD517,'All Donations'!$T$2:$T$4001,L$1))</f>
        <v/>
      </c>
      <c r="M517" s="49">
        <f>IF(OR($AE517&lt;&gt;1,M$1=""),"",SUMIFS('All Donations'!$S$2:$S$4001,'All Donations'!$R$2:$R$4001,$AD517,'All Donations'!$T$2:$T$4001,M$1))</f>
        <v/>
      </c>
      <c r="N517" s="49">
        <f>IF(OR($AE517&lt;&gt;1,N$1=""),"",SUMIFS('All Donations'!$S$2:$S$4001,'All Donations'!$R$2:$R$4001,$AD517,'All Donations'!$T$2:$T$4001,N$1))</f>
        <v/>
      </c>
      <c r="O517" s="49">
        <f>IF(OR($AE517&lt;&gt;1,O$1=""),"",SUMIFS('All Donations'!$S$2:$S$4001,'All Donations'!$R$2:$R$4001,$AD517,'All Donations'!$T$2:$T$4001,O$1))</f>
        <v/>
      </c>
      <c r="P517" s="49">
        <f>IF(OR($AE517&lt;&gt;1,P$1=""),"",SUMIFS('All Donations'!$S$2:$S$4001,'All Donations'!$R$2:$R$4001,$AD517,'All Donations'!$T$2:$T$4001,P$1))</f>
        <v/>
      </c>
      <c r="Q517" s="49">
        <f>IF(OR($AE517&lt;&gt;1,Q$1=""),"",SUMIFS('All Donations'!$S$2:$S$4001,'All Donations'!$R$2:$R$4001,$AD517,'All Donations'!$T$2:$T$4001,Q$1))</f>
        <v/>
      </c>
      <c r="R517" s="49">
        <f>IF(OR($AE517&lt;&gt;1,R$1=""),"",SUMIFS('All Donations'!$S$2:$S$4001,'All Donations'!$R$2:$R$4001,$AD517,'All Donations'!$T$2:$T$4001,R$1))</f>
        <v/>
      </c>
      <c r="S517" s="49">
        <f>IF(OR($AE517&lt;&gt;1,S$1=""),"",SUMIFS('All Donations'!$S$2:$S$4001,'All Donations'!$R$2:$R$4001,$AD517,'All Donations'!$T$2:$T$4001,S$1))</f>
        <v/>
      </c>
      <c r="T517" s="49">
        <f>IF(OR($AE517&lt;&gt;1,T$1=""),"",SUMIFS('All Donations'!$S$2:$S$4001,'All Donations'!$R$2:$R$4001,$AD517,'All Donations'!$T$2:$T$4001,T$1))</f>
        <v/>
      </c>
      <c r="U517" s="49">
        <f>IF(OR($AE517&lt;&gt;1,U$1=""),"",SUMIFS('All Donations'!$S$2:$S$4001,'All Donations'!$R$2:$R$4001,$AD517,'All Donations'!$T$2:$T$4001,U$1))</f>
        <v/>
      </c>
      <c r="V517" s="49">
        <f>IF(OR($AE517&lt;&gt;1,V$1=""),"",SUMIFS('All Donations'!$S$2:$S$4001,'All Donations'!$R$2:$R$4001,$AD517,'All Donations'!$T$2:$T$4001,V$1))</f>
        <v/>
      </c>
      <c r="W517" s="49">
        <f>IF(OR($AE517&lt;&gt;1,W$1=""),"",SUMIFS('All Donations'!$S$2:$S$4001,'All Donations'!$R$2:$R$4001,$AD517,'All Donations'!$T$2:$T$4001,W$1))</f>
        <v/>
      </c>
      <c r="X517" s="49">
        <f>IF(OR($AE517&lt;&gt;1,X$1=""),"",SUMIFS('All Donations'!$S$2:$S$4001,'All Donations'!$R$2:$R$4001,$AD517,'All Donations'!$T$2:$T$4001,X$1))</f>
        <v/>
      </c>
      <c r="Y517" s="49">
        <f>IF(OR($AE517&lt;&gt;1,Y$1=""),"",SUMIFS('All Donations'!$S$2:$S$4001,'All Donations'!$R$2:$R$4001,$AD517,'All Donations'!$T$2:$T$4001,Y$1))</f>
        <v/>
      </c>
      <c r="Z517" s="49">
        <f>IF(OR($AE517&lt;&gt;1,Z$1=""),"",SUMIFS('All Donations'!$S$2:$S$4001,'All Donations'!$R$2:$R$4001,$AD517,'All Donations'!$T$2:$T$4001,Z$1))</f>
        <v/>
      </c>
      <c r="AA517" s="49">
        <f>IF(OR($AE517&lt;&gt;1,AA$1=""),"",SUMIFS('All Donations'!$S$2:$S$4001,'All Donations'!$R$2:$R$4001,$AD517,'All Donations'!$T$2:$T$4001,AA$1))</f>
        <v/>
      </c>
      <c r="AB517" s="49">
        <f>IF(OR($AE517&lt;&gt;1,AB$1=""),"",SUMIFS('All Donations'!$S$2:$S$4001,'All Donations'!$R$2:$R$4001,$AD517,'All Donations'!$T$2:$T$4001,AB$1))</f>
        <v/>
      </c>
      <c r="AC517" s="49">
        <f>IF(OR($AE517&lt;&gt;1,AC$1=""),"",SUMIFS('All Donations'!$S$2:$S$4001,'All Donations'!$R$2:$R$4001,$AD517,'All Donations'!$T$2:$T$4001,AC$1))</f>
        <v/>
      </c>
      <c r="AD517">
        <f>IF(AE517=1,'Roster'!A517,"")</f>
        <v/>
      </c>
      <c r="AE517">
        <f>IF(TRIM('Roster'!B517&amp;'Roster'!C517)&lt;&gt;"",1,0)</f>
        <v/>
      </c>
      <c r="AF517">
        <f>IF(AE517=1,LOWER(A517),"#")</f>
        <v/>
      </c>
      <c r="AG517">
        <f>IF(AE517=1,LOWER(TRIM(TRIM('Roster'!C517)&amp;", "&amp;TRIM('Roster'!B517))),"#")</f>
        <v/>
      </c>
      <c r="AH517">
        <f>IF(AND(AE517=1,TRIM('Roster'!F517)&lt;&gt;""),LOWER(TRIM('Roster'!F517)),"#")</f>
        <v/>
      </c>
      <c r="AI517">
        <f>IF(AE517=1,IF(MATCH(B517,$B$2:$B$701,0)=ROW()-1,1,0),0)</f>
        <v/>
      </c>
      <c r="AJ517">
        <f>AJ516+AI517</f>
        <v/>
      </c>
      <c r="AK517">
        <f>IF(AE517=1,D517+(1000-ROW())/10^7,-1)</f>
        <v/>
      </c>
      <c r="AL517">
        <f>IF(AE517=1,TRIM('Roster'!B517)&amp;" "&amp;LEFT(TRIM('Roster'!C517),1)&amp;".","")</f>
        <v/>
      </c>
      <c r="AM517">
        <f>IF(AE517=1,TRIM('Roster'!C517)&amp;", "&amp;TRIM('Roster'!B517)&amp;" ("&amp;B517&amp;") #"&amp;AD517,"")</f>
        <v/>
      </c>
      <c r="AN517">
        <f>IF(AE517=1,TRIM('Roster'!E517),"")</f>
        <v/>
      </c>
      <c r="AO517">
        <f>IF(AE517=1,ROUND(SUMIFS('All Donations'!$S$2:$S$4001,'All Donations'!$R$2:$R$4001,AD517,'All Donations'!$T$2:$T$4001,"&gt;="&amp;'Settings'!$C$23,'All Donations'!$T$2:$T$4001,"&lt;="&amp;'Settings'!$D$23),2),0)</f>
        <v/>
      </c>
      <c r="AQ517">
        <f>IF(AE517=1,ROUND(SUMIFS('All Donations'!$S$2:$S$4001,'All Donations'!$R$2:$R$4001,AD517,'All Donations'!$T$2:$T$4001,"&gt;="&amp;'Settings'!$C$25,'All Donations'!$T$2:$T$4001,"&lt;="&amp;'Settings'!$D$25),2),0)</f>
        <v/>
      </c>
      <c r="AR517">
        <f>IF(AE517=1,ROUND(SUMIFS('All Donations'!$S$2:$S$4001,'All Donations'!$R$2:$R$4001,AD517,'All Donations'!$T$2:$T$4001,"&gt;="&amp;'Settings'!$C$26,'All Donations'!$T$2:$T$4001,"&lt;="&amp;'Settings'!$D$26),2),0)</f>
        <v/>
      </c>
      <c r="AS517">
        <f>IF(AE517=1,ROUND(SUMIFS('All Donations'!$S$2:$S$4001,'All Donations'!$R$2:$R$4001,AD517,'All Donations'!$T$2:$T$4001,"&lt;="&amp;'Settings'!$D$27),2),0)</f>
        <v/>
      </c>
      <c r="AT517">
        <f>IF(AE517=1,ROUND(SUMIFS('All Donations'!$S$2:$S$4001,'All Donations'!$R$2:$R$4001,AD517,'All Donations'!$T$2:$T$4001,"&gt;="&amp;'Settings'!$C$28,'All Donations'!$T$2:$T$4001,"&lt;="&amp;'Settings'!$D$28),2),0)</f>
        <v/>
      </c>
      <c r="AU517">
        <f>IF(AE517=1,ROUND(SUMIFS('All Donations'!$S$2:$S$4001,'All Donations'!$R$2:$R$4001,AD517,'All Donations'!$T$2:$T$4001,"&gt;="&amp;'Settings'!$C$29,'All Donations'!$T$2:$T$4001,"&lt;="&amp;'Settings'!$D$29),2),0)</f>
        <v/>
      </c>
      <c r="AV517">
        <f>IF(AE517=1,ROUND(SUMIFS('All Donations'!$S$2:$S$4001,'All Donations'!$R$2:$R$4001,AD517,'All Donations'!$T$2:$T$4001,"&lt;="&amp;'Settings'!$D$30),2),0)</f>
        <v/>
      </c>
      <c r="AZ517">
        <f>IF(AE517=1,ROUND(SUMIFS('All Donations'!$S$2:$S$4001,'All Donations'!$R$2:$R$4001,AD517,'All Donations'!$T$2:$T$4001,"&lt;="&amp;'Settings'!$D$34),2),0)</f>
        <v/>
      </c>
    </row>
    <row r="518">
      <c r="A518">
        <f>IF(AE518=1,TRIM(TRIM('Roster'!B518)&amp;" "&amp;TRIM('Roster'!C518)),"")</f>
        <v/>
      </c>
      <c r="B518">
        <f>IF(AE518=1,IF(AN518="","(no teacher)",AN518&amp;" – "&amp;C518),"")</f>
        <v/>
      </c>
      <c r="C518">
        <f>IF(AE518=1,TRIM('Roster'!D518&amp;""),"")</f>
        <v/>
      </c>
      <c r="D518" s="48">
        <f>IF(AE518=1,ROUND(SUMIFS('All Donations'!$S$2:$S$4001,'All Donations'!$R$2:$R$4001,AD518),2),"")</f>
        <v/>
      </c>
      <c r="E518" s="48">
        <f>IF(AE518=1,ROUND(SUMIFS('All Donations'!$S$2:$S$4001,'All Donations'!$R$2:$R$4001,AD518,'All Donations'!$G$2:$G$4001,"OneCause"),2),"")</f>
        <v/>
      </c>
      <c r="F518" s="48">
        <f>IF(AE518=1,D518-E518,"")</f>
        <v/>
      </c>
      <c r="G518">
        <f>IF(AE518=1,COUNTIFS('All Donations'!$R$2:$R$4001,AD518,'All Donations'!$H$2:$H$4001,"OK"),"")</f>
        <v/>
      </c>
      <c r="H518">
        <f>IF(AE518&lt;&gt;1,"",IF(D518&gt;0,"Yes",""))</f>
        <v/>
      </c>
      <c r="I518" s="49">
        <f>IF(OR($AE518&lt;&gt;1,I$1=""),"",SUMIFS('All Donations'!$S$2:$S$4001,'All Donations'!$R$2:$R$4001,$AD518,'All Donations'!$T$2:$T$4001,I$1))</f>
        <v/>
      </c>
      <c r="J518" s="49">
        <f>IF(OR($AE518&lt;&gt;1,J$1=""),"",SUMIFS('All Donations'!$S$2:$S$4001,'All Donations'!$R$2:$R$4001,$AD518,'All Donations'!$T$2:$T$4001,J$1))</f>
        <v/>
      </c>
      <c r="K518" s="49">
        <f>IF(OR($AE518&lt;&gt;1,K$1=""),"",SUMIFS('All Donations'!$S$2:$S$4001,'All Donations'!$R$2:$R$4001,$AD518,'All Donations'!$T$2:$T$4001,K$1))</f>
        <v/>
      </c>
      <c r="L518" s="49">
        <f>IF(OR($AE518&lt;&gt;1,L$1=""),"",SUMIFS('All Donations'!$S$2:$S$4001,'All Donations'!$R$2:$R$4001,$AD518,'All Donations'!$T$2:$T$4001,L$1))</f>
        <v/>
      </c>
      <c r="M518" s="49">
        <f>IF(OR($AE518&lt;&gt;1,M$1=""),"",SUMIFS('All Donations'!$S$2:$S$4001,'All Donations'!$R$2:$R$4001,$AD518,'All Donations'!$T$2:$T$4001,M$1))</f>
        <v/>
      </c>
      <c r="N518" s="49">
        <f>IF(OR($AE518&lt;&gt;1,N$1=""),"",SUMIFS('All Donations'!$S$2:$S$4001,'All Donations'!$R$2:$R$4001,$AD518,'All Donations'!$T$2:$T$4001,N$1))</f>
        <v/>
      </c>
      <c r="O518" s="49">
        <f>IF(OR($AE518&lt;&gt;1,O$1=""),"",SUMIFS('All Donations'!$S$2:$S$4001,'All Donations'!$R$2:$R$4001,$AD518,'All Donations'!$T$2:$T$4001,O$1))</f>
        <v/>
      </c>
      <c r="P518" s="49">
        <f>IF(OR($AE518&lt;&gt;1,P$1=""),"",SUMIFS('All Donations'!$S$2:$S$4001,'All Donations'!$R$2:$R$4001,$AD518,'All Donations'!$T$2:$T$4001,P$1))</f>
        <v/>
      </c>
      <c r="Q518" s="49">
        <f>IF(OR($AE518&lt;&gt;1,Q$1=""),"",SUMIFS('All Donations'!$S$2:$S$4001,'All Donations'!$R$2:$R$4001,$AD518,'All Donations'!$T$2:$T$4001,Q$1))</f>
        <v/>
      </c>
      <c r="R518" s="49">
        <f>IF(OR($AE518&lt;&gt;1,R$1=""),"",SUMIFS('All Donations'!$S$2:$S$4001,'All Donations'!$R$2:$R$4001,$AD518,'All Donations'!$T$2:$T$4001,R$1))</f>
        <v/>
      </c>
      <c r="S518" s="49">
        <f>IF(OR($AE518&lt;&gt;1,S$1=""),"",SUMIFS('All Donations'!$S$2:$S$4001,'All Donations'!$R$2:$R$4001,$AD518,'All Donations'!$T$2:$T$4001,S$1))</f>
        <v/>
      </c>
      <c r="T518" s="49">
        <f>IF(OR($AE518&lt;&gt;1,T$1=""),"",SUMIFS('All Donations'!$S$2:$S$4001,'All Donations'!$R$2:$R$4001,$AD518,'All Donations'!$T$2:$T$4001,T$1))</f>
        <v/>
      </c>
      <c r="U518" s="49">
        <f>IF(OR($AE518&lt;&gt;1,U$1=""),"",SUMIFS('All Donations'!$S$2:$S$4001,'All Donations'!$R$2:$R$4001,$AD518,'All Donations'!$T$2:$T$4001,U$1))</f>
        <v/>
      </c>
      <c r="V518" s="49">
        <f>IF(OR($AE518&lt;&gt;1,V$1=""),"",SUMIFS('All Donations'!$S$2:$S$4001,'All Donations'!$R$2:$R$4001,$AD518,'All Donations'!$T$2:$T$4001,V$1))</f>
        <v/>
      </c>
      <c r="W518" s="49">
        <f>IF(OR($AE518&lt;&gt;1,W$1=""),"",SUMIFS('All Donations'!$S$2:$S$4001,'All Donations'!$R$2:$R$4001,$AD518,'All Donations'!$T$2:$T$4001,W$1))</f>
        <v/>
      </c>
      <c r="X518" s="49">
        <f>IF(OR($AE518&lt;&gt;1,X$1=""),"",SUMIFS('All Donations'!$S$2:$S$4001,'All Donations'!$R$2:$R$4001,$AD518,'All Donations'!$T$2:$T$4001,X$1))</f>
        <v/>
      </c>
      <c r="Y518" s="49">
        <f>IF(OR($AE518&lt;&gt;1,Y$1=""),"",SUMIFS('All Donations'!$S$2:$S$4001,'All Donations'!$R$2:$R$4001,$AD518,'All Donations'!$T$2:$T$4001,Y$1))</f>
        <v/>
      </c>
      <c r="Z518" s="49">
        <f>IF(OR($AE518&lt;&gt;1,Z$1=""),"",SUMIFS('All Donations'!$S$2:$S$4001,'All Donations'!$R$2:$R$4001,$AD518,'All Donations'!$T$2:$T$4001,Z$1))</f>
        <v/>
      </c>
      <c r="AA518" s="49">
        <f>IF(OR($AE518&lt;&gt;1,AA$1=""),"",SUMIFS('All Donations'!$S$2:$S$4001,'All Donations'!$R$2:$R$4001,$AD518,'All Donations'!$T$2:$T$4001,AA$1))</f>
        <v/>
      </c>
      <c r="AB518" s="49">
        <f>IF(OR($AE518&lt;&gt;1,AB$1=""),"",SUMIFS('All Donations'!$S$2:$S$4001,'All Donations'!$R$2:$R$4001,$AD518,'All Donations'!$T$2:$T$4001,AB$1))</f>
        <v/>
      </c>
      <c r="AC518" s="49">
        <f>IF(OR($AE518&lt;&gt;1,AC$1=""),"",SUMIFS('All Donations'!$S$2:$S$4001,'All Donations'!$R$2:$R$4001,$AD518,'All Donations'!$T$2:$T$4001,AC$1))</f>
        <v/>
      </c>
      <c r="AD518">
        <f>IF(AE518=1,'Roster'!A518,"")</f>
        <v/>
      </c>
      <c r="AE518">
        <f>IF(TRIM('Roster'!B518&amp;'Roster'!C518)&lt;&gt;"",1,0)</f>
        <v/>
      </c>
      <c r="AF518">
        <f>IF(AE518=1,LOWER(A518),"#")</f>
        <v/>
      </c>
      <c r="AG518">
        <f>IF(AE518=1,LOWER(TRIM(TRIM('Roster'!C518)&amp;", "&amp;TRIM('Roster'!B518))),"#")</f>
        <v/>
      </c>
      <c r="AH518">
        <f>IF(AND(AE518=1,TRIM('Roster'!F518)&lt;&gt;""),LOWER(TRIM('Roster'!F518)),"#")</f>
        <v/>
      </c>
      <c r="AI518">
        <f>IF(AE518=1,IF(MATCH(B518,$B$2:$B$701,0)=ROW()-1,1,0),0)</f>
        <v/>
      </c>
      <c r="AJ518">
        <f>AJ517+AI518</f>
        <v/>
      </c>
      <c r="AK518">
        <f>IF(AE518=1,D518+(1000-ROW())/10^7,-1)</f>
        <v/>
      </c>
      <c r="AL518">
        <f>IF(AE518=1,TRIM('Roster'!B518)&amp;" "&amp;LEFT(TRIM('Roster'!C518),1)&amp;".","")</f>
        <v/>
      </c>
      <c r="AM518">
        <f>IF(AE518=1,TRIM('Roster'!C518)&amp;", "&amp;TRIM('Roster'!B518)&amp;" ("&amp;B518&amp;") #"&amp;AD518,"")</f>
        <v/>
      </c>
      <c r="AN518">
        <f>IF(AE518=1,TRIM('Roster'!E518),"")</f>
        <v/>
      </c>
      <c r="AO518">
        <f>IF(AE518=1,ROUND(SUMIFS('All Donations'!$S$2:$S$4001,'All Donations'!$R$2:$R$4001,AD518,'All Donations'!$T$2:$T$4001,"&gt;="&amp;'Settings'!$C$23,'All Donations'!$T$2:$T$4001,"&lt;="&amp;'Settings'!$D$23),2),0)</f>
        <v/>
      </c>
      <c r="AQ518">
        <f>IF(AE518=1,ROUND(SUMIFS('All Donations'!$S$2:$S$4001,'All Donations'!$R$2:$R$4001,AD518,'All Donations'!$T$2:$T$4001,"&gt;="&amp;'Settings'!$C$25,'All Donations'!$T$2:$T$4001,"&lt;="&amp;'Settings'!$D$25),2),0)</f>
        <v/>
      </c>
      <c r="AR518">
        <f>IF(AE518=1,ROUND(SUMIFS('All Donations'!$S$2:$S$4001,'All Donations'!$R$2:$R$4001,AD518,'All Donations'!$T$2:$T$4001,"&gt;="&amp;'Settings'!$C$26,'All Donations'!$T$2:$T$4001,"&lt;="&amp;'Settings'!$D$26),2),0)</f>
        <v/>
      </c>
      <c r="AS518">
        <f>IF(AE518=1,ROUND(SUMIFS('All Donations'!$S$2:$S$4001,'All Donations'!$R$2:$R$4001,AD518,'All Donations'!$T$2:$T$4001,"&lt;="&amp;'Settings'!$D$27),2),0)</f>
        <v/>
      </c>
      <c r="AT518">
        <f>IF(AE518=1,ROUND(SUMIFS('All Donations'!$S$2:$S$4001,'All Donations'!$R$2:$R$4001,AD518,'All Donations'!$T$2:$T$4001,"&gt;="&amp;'Settings'!$C$28,'All Donations'!$T$2:$T$4001,"&lt;="&amp;'Settings'!$D$28),2),0)</f>
        <v/>
      </c>
      <c r="AU518">
        <f>IF(AE518=1,ROUND(SUMIFS('All Donations'!$S$2:$S$4001,'All Donations'!$R$2:$R$4001,AD518,'All Donations'!$T$2:$T$4001,"&gt;="&amp;'Settings'!$C$29,'All Donations'!$T$2:$T$4001,"&lt;="&amp;'Settings'!$D$29),2),0)</f>
        <v/>
      </c>
      <c r="AV518">
        <f>IF(AE518=1,ROUND(SUMIFS('All Donations'!$S$2:$S$4001,'All Donations'!$R$2:$R$4001,AD518,'All Donations'!$T$2:$T$4001,"&lt;="&amp;'Settings'!$D$30),2),0)</f>
        <v/>
      </c>
      <c r="AZ518">
        <f>IF(AE518=1,ROUND(SUMIFS('All Donations'!$S$2:$S$4001,'All Donations'!$R$2:$R$4001,AD518,'All Donations'!$T$2:$T$4001,"&lt;="&amp;'Settings'!$D$34),2),0)</f>
        <v/>
      </c>
    </row>
    <row r="519">
      <c r="A519">
        <f>IF(AE519=1,TRIM(TRIM('Roster'!B519)&amp;" "&amp;TRIM('Roster'!C519)),"")</f>
        <v/>
      </c>
      <c r="B519">
        <f>IF(AE519=1,IF(AN519="","(no teacher)",AN519&amp;" – "&amp;C519),"")</f>
        <v/>
      </c>
      <c r="C519">
        <f>IF(AE519=1,TRIM('Roster'!D519&amp;""),"")</f>
        <v/>
      </c>
      <c r="D519" s="48">
        <f>IF(AE519=1,ROUND(SUMIFS('All Donations'!$S$2:$S$4001,'All Donations'!$R$2:$R$4001,AD519),2),"")</f>
        <v/>
      </c>
      <c r="E519" s="48">
        <f>IF(AE519=1,ROUND(SUMIFS('All Donations'!$S$2:$S$4001,'All Donations'!$R$2:$R$4001,AD519,'All Donations'!$G$2:$G$4001,"OneCause"),2),"")</f>
        <v/>
      </c>
      <c r="F519" s="48">
        <f>IF(AE519=1,D519-E519,"")</f>
        <v/>
      </c>
      <c r="G519">
        <f>IF(AE519=1,COUNTIFS('All Donations'!$R$2:$R$4001,AD519,'All Donations'!$H$2:$H$4001,"OK"),"")</f>
        <v/>
      </c>
      <c r="H519">
        <f>IF(AE519&lt;&gt;1,"",IF(D519&gt;0,"Yes",""))</f>
        <v/>
      </c>
      <c r="I519" s="49">
        <f>IF(OR($AE519&lt;&gt;1,I$1=""),"",SUMIFS('All Donations'!$S$2:$S$4001,'All Donations'!$R$2:$R$4001,$AD519,'All Donations'!$T$2:$T$4001,I$1))</f>
        <v/>
      </c>
      <c r="J519" s="49">
        <f>IF(OR($AE519&lt;&gt;1,J$1=""),"",SUMIFS('All Donations'!$S$2:$S$4001,'All Donations'!$R$2:$R$4001,$AD519,'All Donations'!$T$2:$T$4001,J$1))</f>
        <v/>
      </c>
      <c r="K519" s="49">
        <f>IF(OR($AE519&lt;&gt;1,K$1=""),"",SUMIFS('All Donations'!$S$2:$S$4001,'All Donations'!$R$2:$R$4001,$AD519,'All Donations'!$T$2:$T$4001,K$1))</f>
        <v/>
      </c>
      <c r="L519" s="49">
        <f>IF(OR($AE519&lt;&gt;1,L$1=""),"",SUMIFS('All Donations'!$S$2:$S$4001,'All Donations'!$R$2:$R$4001,$AD519,'All Donations'!$T$2:$T$4001,L$1))</f>
        <v/>
      </c>
      <c r="M519" s="49">
        <f>IF(OR($AE519&lt;&gt;1,M$1=""),"",SUMIFS('All Donations'!$S$2:$S$4001,'All Donations'!$R$2:$R$4001,$AD519,'All Donations'!$T$2:$T$4001,M$1))</f>
        <v/>
      </c>
      <c r="N519" s="49">
        <f>IF(OR($AE519&lt;&gt;1,N$1=""),"",SUMIFS('All Donations'!$S$2:$S$4001,'All Donations'!$R$2:$R$4001,$AD519,'All Donations'!$T$2:$T$4001,N$1))</f>
        <v/>
      </c>
      <c r="O519" s="49">
        <f>IF(OR($AE519&lt;&gt;1,O$1=""),"",SUMIFS('All Donations'!$S$2:$S$4001,'All Donations'!$R$2:$R$4001,$AD519,'All Donations'!$T$2:$T$4001,O$1))</f>
        <v/>
      </c>
      <c r="P519" s="49">
        <f>IF(OR($AE519&lt;&gt;1,P$1=""),"",SUMIFS('All Donations'!$S$2:$S$4001,'All Donations'!$R$2:$R$4001,$AD519,'All Donations'!$T$2:$T$4001,P$1))</f>
        <v/>
      </c>
      <c r="Q519" s="49">
        <f>IF(OR($AE519&lt;&gt;1,Q$1=""),"",SUMIFS('All Donations'!$S$2:$S$4001,'All Donations'!$R$2:$R$4001,$AD519,'All Donations'!$T$2:$T$4001,Q$1))</f>
        <v/>
      </c>
      <c r="R519" s="49">
        <f>IF(OR($AE519&lt;&gt;1,R$1=""),"",SUMIFS('All Donations'!$S$2:$S$4001,'All Donations'!$R$2:$R$4001,$AD519,'All Donations'!$T$2:$T$4001,R$1))</f>
        <v/>
      </c>
      <c r="S519" s="49">
        <f>IF(OR($AE519&lt;&gt;1,S$1=""),"",SUMIFS('All Donations'!$S$2:$S$4001,'All Donations'!$R$2:$R$4001,$AD519,'All Donations'!$T$2:$T$4001,S$1))</f>
        <v/>
      </c>
      <c r="T519" s="49">
        <f>IF(OR($AE519&lt;&gt;1,T$1=""),"",SUMIFS('All Donations'!$S$2:$S$4001,'All Donations'!$R$2:$R$4001,$AD519,'All Donations'!$T$2:$T$4001,T$1))</f>
        <v/>
      </c>
      <c r="U519" s="49">
        <f>IF(OR($AE519&lt;&gt;1,U$1=""),"",SUMIFS('All Donations'!$S$2:$S$4001,'All Donations'!$R$2:$R$4001,$AD519,'All Donations'!$T$2:$T$4001,U$1))</f>
        <v/>
      </c>
      <c r="V519" s="49">
        <f>IF(OR($AE519&lt;&gt;1,V$1=""),"",SUMIFS('All Donations'!$S$2:$S$4001,'All Donations'!$R$2:$R$4001,$AD519,'All Donations'!$T$2:$T$4001,V$1))</f>
        <v/>
      </c>
      <c r="W519" s="49">
        <f>IF(OR($AE519&lt;&gt;1,W$1=""),"",SUMIFS('All Donations'!$S$2:$S$4001,'All Donations'!$R$2:$R$4001,$AD519,'All Donations'!$T$2:$T$4001,W$1))</f>
        <v/>
      </c>
      <c r="X519" s="49">
        <f>IF(OR($AE519&lt;&gt;1,X$1=""),"",SUMIFS('All Donations'!$S$2:$S$4001,'All Donations'!$R$2:$R$4001,$AD519,'All Donations'!$T$2:$T$4001,X$1))</f>
        <v/>
      </c>
      <c r="Y519" s="49">
        <f>IF(OR($AE519&lt;&gt;1,Y$1=""),"",SUMIFS('All Donations'!$S$2:$S$4001,'All Donations'!$R$2:$R$4001,$AD519,'All Donations'!$T$2:$T$4001,Y$1))</f>
        <v/>
      </c>
      <c r="Z519" s="49">
        <f>IF(OR($AE519&lt;&gt;1,Z$1=""),"",SUMIFS('All Donations'!$S$2:$S$4001,'All Donations'!$R$2:$R$4001,$AD519,'All Donations'!$T$2:$T$4001,Z$1))</f>
        <v/>
      </c>
      <c r="AA519" s="49">
        <f>IF(OR($AE519&lt;&gt;1,AA$1=""),"",SUMIFS('All Donations'!$S$2:$S$4001,'All Donations'!$R$2:$R$4001,$AD519,'All Donations'!$T$2:$T$4001,AA$1))</f>
        <v/>
      </c>
      <c r="AB519" s="49">
        <f>IF(OR($AE519&lt;&gt;1,AB$1=""),"",SUMIFS('All Donations'!$S$2:$S$4001,'All Donations'!$R$2:$R$4001,$AD519,'All Donations'!$T$2:$T$4001,AB$1))</f>
        <v/>
      </c>
      <c r="AC519" s="49">
        <f>IF(OR($AE519&lt;&gt;1,AC$1=""),"",SUMIFS('All Donations'!$S$2:$S$4001,'All Donations'!$R$2:$R$4001,$AD519,'All Donations'!$T$2:$T$4001,AC$1))</f>
        <v/>
      </c>
      <c r="AD519">
        <f>IF(AE519=1,'Roster'!A519,"")</f>
        <v/>
      </c>
      <c r="AE519">
        <f>IF(TRIM('Roster'!B519&amp;'Roster'!C519)&lt;&gt;"",1,0)</f>
        <v/>
      </c>
      <c r="AF519">
        <f>IF(AE519=1,LOWER(A519),"#")</f>
        <v/>
      </c>
      <c r="AG519">
        <f>IF(AE519=1,LOWER(TRIM(TRIM('Roster'!C519)&amp;", "&amp;TRIM('Roster'!B519))),"#")</f>
        <v/>
      </c>
      <c r="AH519">
        <f>IF(AND(AE519=1,TRIM('Roster'!F519)&lt;&gt;""),LOWER(TRIM('Roster'!F519)),"#")</f>
        <v/>
      </c>
      <c r="AI519">
        <f>IF(AE519=1,IF(MATCH(B519,$B$2:$B$701,0)=ROW()-1,1,0),0)</f>
        <v/>
      </c>
      <c r="AJ519">
        <f>AJ518+AI519</f>
        <v/>
      </c>
      <c r="AK519">
        <f>IF(AE519=1,D519+(1000-ROW())/10^7,-1)</f>
        <v/>
      </c>
      <c r="AL519">
        <f>IF(AE519=1,TRIM('Roster'!B519)&amp;" "&amp;LEFT(TRIM('Roster'!C519),1)&amp;".","")</f>
        <v/>
      </c>
      <c r="AM519">
        <f>IF(AE519=1,TRIM('Roster'!C519)&amp;", "&amp;TRIM('Roster'!B519)&amp;" ("&amp;B519&amp;") #"&amp;AD519,"")</f>
        <v/>
      </c>
      <c r="AN519">
        <f>IF(AE519=1,TRIM('Roster'!E519),"")</f>
        <v/>
      </c>
      <c r="AO519">
        <f>IF(AE519=1,ROUND(SUMIFS('All Donations'!$S$2:$S$4001,'All Donations'!$R$2:$R$4001,AD519,'All Donations'!$T$2:$T$4001,"&gt;="&amp;'Settings'!$C$23,'All Donations'!$T$2:$T$4001,"&lt;="&amp;'Settings'!$D$23),2),0)</f>
        <v/>
      </c>
      <c r="AQ519">
        <f>IF(AE519=1,ROUND(SUMIFS('All Donations'!$S$2:$S$4001,'All Donations'!$R$2:$R$4001,AD519,'All Donations'!$T$2:$T$4001,"&gt;="&amp;'Settings'!$C$25,'All Donations'!$T$2:$T$4001,"&lt;="&amp;'Settings'!$D$25),2),0)</f>
        <v/>
      </c>
      <c r="AR519">
        <f>IF(AE519=1,ROUND(SUMIFS('All Donations'!$S$2:$S$4001,'All Donations'!$R$2:$R$4001,AD519,'All Donations'!$T$2:$T$4001,"&gt;="&amp;'Settings'!$C$26,'All Donations'!$T$2:$T$4001,"&lt;="&amp;'Settings'!$D$26),2),0)</f>
        <v/>
      </c>
      <c r="AS519">
        <f>IF(AE519=1,ROUND(SUMIFS('All Donations'!$S$2:$S$4001,'All Donations'!$R$2:$R$4001,AD519,'All Donations'!$T$2:$T$4001,"&lt;="&amp;'Settings'!$D$27),2),0)</f>
        <v/>
      </c>
      <c r="AT519">
        <f>IF(AE519=1,ROUND(SUMIFS('All Donations'!$S$2:$S$4001,'All Donations'!$R$2:$R$4001,AD519,'All Donations'!$T$2:$T$4001,"&gt;="&amp;'Settings'!$C$28,'All Donations'!$T$2:$T$4001,"&lt;="&amp;'Settings'!$D$28),2),0)</f>
        <v/>
      </c>
      <c r="AU519">
        <f>IF(AE519=1,ROUND(SUMIFS('All Donations'!$S$2:$S$4001,'All Donations'!$R$2:$R$4001,AD519,'All Donations'!$T$2:$T$4001,"&gt;="&amp;'Settings'!$C$29,'All Donations'!$T$2:$T$4001,"&lt;="&amp;'Settings'!$D$29),2),0)</f>
        <v/>
      </c>
      <c r="AV519">
        <f>IF(AE519=1,ROUND(SUMIFS('All Donations'!$S$2:$S$4001,'All Donations'!$R$2:$R$4001,AD519,'All Donations'!$T$2:$T$4001,"&lt;="&amp;'Settings'!$D$30),2),0)</f>
        <v/>
      </c>
      <c r="AZ519">
        <f>IF(AE519=1,ROUND(SUMIFS('All Donations'!$S$2:$S$4001,'All Donations'!$R$2:$R$4001,AD519,'All Donations'!$T$2:$T$4001,"&lt;="&amp;'Settings'!$D$34),2),0)</f>
        <v/>
      </c>
    </row>
    <row r="520">
      <c r="A520">
        <f>IF(AE520=1,TRIM(TRIM('Roster'!B520)&amp;" "&amp;TRIM('Roster'!C520)),"")</f>
        <v/>
      </c>
      <c r="B520">
        <f>IF(AE520=1,IF(AN520="","(no teacher)",AN520&amp;" – "&amp;C520),"")</f>
        <v/>
      </c>
      <c r="C520">
        <f>IF(AE520=1,TRIM('Roster'!D520&amp;""),"")</f>
        <v/>
      </c>
      <c r="D520" s="48">
        <f>IF(AE520=1,ROUND(SUMIFS('All Donations'!$S$2:$S$4001,'All Donations'!$R$2:$R$4001,AD520),2),"")</f>
        <v/>
      </c>
      <c r="E520" s="48">
        <f>IF(AE520=1,ROUND(SUMIFS('All Donations'!$S$2:$S$4001,'All Donations'!$R$2:$R$4001,AD520,'All Donations'!$G$2:$G$4001,"OneCause"),2),"")</f>
        <v/>
      </c>
      <c r="F520" s="48">
        <f>IF(AE520=1,D520-E520,"")</f>
        <v/>
      </c>
      <c r="G520">
        <f>IF(AE520=1,COUNTIFS('All Donations'!$R$2:$R$4001,AD520,'All Donations'!$H$2:$H$4001,"OK"),"")</f>
        <v/>
      </c>
      <c r="H520">
        <f>IF(AE520&lt;&gt;1,"",IF(D520&gt;0,"Yes",""))</f>
        <v/>
      </c>
      <c r="I520" s="49">
        <f>IF(OR($AE520&lt;&gt;1,I$1=""),"",SUMIFS('All Donations'!$S$2:$S$4001,'All Donations'!$R$2:$R$4001,$AD520,'All Donations'!$T$2:$T$4001,I$1))</f>
        <v/>
      </c>
      <c r="J520" s="49">
        <f>IF(OR($AE520&lt;&gt;1,J$1=""),"",SUMIFS('All Donations'!$S$2:$S$4001,'All Donations'!$R$2:$R$4001,$AD520,'All Donations'!$T$2:$T$4001,J$1))</f>
        <v/>
      </c>
      <c r="K520" s="49">
        <f>IF(OR($AE520&lt;&gt;1,K$1=""),"",SUMIFS('All Donations'!$S$2:$S$4001,'All Donations'!$R$2:$R$4001,$AD520,'All Donations'!$T$2:$T$4001,K$1))</f>
        <v/>
      </c>
      <c r="L520" s="49">
        <f>IF(OR($AE520&lt;&gt;1,L$1=""),"",SUMIFS('All Donations'!$S$2:$S$4001,'All Donations'!$R$2:$R$4001,$AD520,'All Donations'!$T$2:$T$4001,L$1))</f>
        <v/>
      </c>
      <c r="M520" s="49">
        <f>IF(OR($AE520&lt;&gt;1,M$1=""),"",SUMIFS('All Donations'!$S$2:$S$4001,'All Donations'!$R$2:$R$4001,$AD520,'All Donations'!$T$2:$T$4001,M$1))</f>
        <v/>
      </c>
      <c r="N520" s="49">
        <f>IF(OR($AE520&lt;&gt;1,N$1=""),"",SUMIFS('All Donations'!$S$2:$S$4001,'All Donations'!$R$2:$R$4001,$AD520,'All Donations'!$T$2:$T$4001,N$1))</f>
        <v/>
      </c>
      <c r="O520" s="49">
        <f>IF(OR($AE520&lt;&gt;1,O$1=""),"",SUMIFS('All Donations'!$S$2:$S$4001,'All Donations'!$R$2:$R$4001,$AD520,'All Donations'!$T$2:$T$4001,O$1))</f>
        <v/>
      </c>
      <c r="P520" s="49">
        <f>IF(OR($AE520&lt;&gt;1,P$1=""),"",SUMIFS('All Donations'!$S$2:$S$4001,'All Donations'!$R$2:$R$4001,$AD520,'All Donations'!$T$2:$T$4001,P$1))</f>
        <v/>
      </c>
      <c r="Q520" s="49">
        <f>IF(OR($AE520&lt;&gt;1,Q$1=""),"",SUMIFS('All Donations'!$S$2:$S$4001,'All Donations'!$R$2:$R$4001,$AD520,'All Donations'!$T$2:$T$4001,Q$1))</f>
        <v/>
      </c>
      <c r="R520" s="49">
        <f>IF(OR($AE520&lt;&gt;1,R$1=""),"",SUMIFS('All Donations'!$S$2:$S$4001,'All Donations'!$R$2:$R$4001,$AD520,'All Donations'!$T$2:$T$4001,R$1))</f>
        <v/>
      </c>
      <c r="S520" s="49">
        <f>IF(OR($AE520&lt;&gt;1,S$1=""),"",SUMIFS('All Donations'!$S$2:$S$4001,'All Donations'!$R$2:$R$4001,$AD520,'All Donations'!$T$2:$T$4001,S$1))</f>
        <v/>
      </c>
      <c r="T520" s="49">
        <f>IF(OR($AE520&lt;&gt;1,T$1=""),"",SUMIFS('All Donations'!$S$2:$S$4001,'All Donations'!$R$2:$R$4001,$AD520,'All Donations'!$T$2:$T$4001,T$1))</f>
        <v/>
      </c>
      <c r="U520" s="49">
        <f>IF(OR($AE520&lt;&gt;1,U$1=""),"",SUMIFS('All Donations'!$S$2:$S$4001,'All Donations'!$R$2:$R$4001,$AD520,'All Donations'!$T$2:$T$4001,U$1))</f>
        <v/>
      </c>
      <c r="V520" s="49">
        <f>IF(OR($AE520&lt;&gt;1,V$1=""),"",SUMIFS('All Donations'!$S$2:$S$4001,'All Donations'!$R$2:$R$4001,$AD520,'All Donations'!$T$2:$T$4001,V$1))</f>
        <v/>
      </c>
      <c r="W520" s="49">
        <f>IF(OR($AE520&lt;&gt;1,W$1=""),"",SUMIFS('All Donations'!$S$2:$S$4001,'All Donations'!$R$2:$R$4001,$AD520,'All Donations'!$T$2:$T$4001,W$1))</f>
        <v/>
      </c>
      <c r="X520" s="49">
        <f>IF(OR($AE520&lt;&gt;1,X$1=""),"",SUMIFS('All Donations'!$S$2:$S$4001,'All Donations'!$R$2:$R$4001,$AD520,'All Donations'!$T$2:$T$4001,X$1))</f>
        <v/>
      </c>
      <c r="Y520" s="49">
        <f>IF(OR($AE520&lt;&gt;1,Y$1=""),"",SUMIFS('All Donations'!$S$2:$S$4001,'All Donations'!$R$2:$R$4001,$AD520,'All Donations'!$T$2:$T$4001,Y$1))</f>
        <v/>
      </c>
      <c r="Z520" s="49">
        <f>IF(OR($AE520&lt;&gt;1,Z$1=""),"",SUMIFS('All Donations'!$S$2:$S$4001,'All Donations'!$R$2:$R$4001,$AD520,'All Donations'!$T$2:$T$4001,Z$1))</f>
        <v/>
      </c>
      <c r="AA520" s="49">
        <f>IF(OR($AE520&lt;&gt;1,AA$1=""),"",SUMIFS('All Donations'!$S$2:$S$4001,'All Donations'!$R$2:$R$4001,$AD520,'All Donations'!$T$2:$T$4001,AA$1))</f>
        <v/>
      </c>
      <c r="AB520" s="49">
        <f>IF(OR($AE520&lt;&gt;1,AB$1=""),"",SUMIFS('All Donations'!$S$2:$S$4001,'All Donations'!$R$2:$R$4001,$AD520,'All Donations'!$T$2:$T$4001,AB$1))</f>
        <v/>
      </c>
      <c r="AC520" s="49">
        <f>IF(OR($AE520&lt;&gt;1,AC$1=""),"",SUMIFS('All Donations'!$S$2:$S$4001,'All Donations'!$R$2:$R$4001,$AD520,'All Donations'!$T$2:$T$4001,AC$1))</f>
        <v/>
      </c>
      <c r="AD520">
        <f>IF(AE520=1,'Roster'!A520,"")</f>
        <v/>
      </c>
      <c r="AE520">
        <f>IF(TRIM('Roster'!B520&amp;'Roster'!C520)&lt;&gt;"",1,0)</f>
        <v/>
      </c>
      <c r="AF520">
        <f>IF(AE520=1,LOWER(A520),"#")</f>
        <v/>
      </c>
      <c r="AG520">
        <f>IF(AE520=1,LOWER(TRIM(TRIM('Roster'!C520)&amp;", "&amp;TRIM('Roster'!B520))),"#")</f>
        <v/>
      </c>
      <c r="AH520">
        <f>IF(AND(AE520=1,TRIM('Roster'!F520)&lt;&gt;""),LOWER(TRIM('Roster'!F520)),"#")</f>
        <v/>
      </c>
      <c r="AI520">
        <f>IF(AE520=1,IF(MATCH(B520,$B$2:$B$701,0)=ROW()-1,1,0),0)</f>
        <v/>
      </c>
      <c r="AJ520">
        <f>AJ519+AI520</f>
        <v/>
      </c>
      <c r="AK520">
        <f>IF(AE520=1,D520+(1000-ROW())/10^7,-1)</f>
        <v/>
      </c>
      <c r="AL520">
        <f>IF(AE520=1,TRIM('Roster'!B520)&amp;" "&amp;LEFT(TRIM('Roster'!C520),1)&amp;".","")</f>
        <v/>
      </c>
      <c r="AM520">
        <f>IF(AE520=1,TRIM('Roster'!C520)&amp;", "&amp;TRIM('Roster'!B520)&amp;" ("&amp;B520&amp;") #"&amp;AD520,"")</f>
        <v/>
      </c>
      <c r="AN520">
        <f>IF(AE520=1,TRIM('Roster'!E520),"")</f>
        <v/>
      </c>
      <c r="AO520">
        <f>IF(AE520=1,ROUND(SUMIFS('All Donations'!$S$2:$S$4001,'All Donations'!$R$2:$R$4001,AD520,'All Donations'!$T$2:$T$4001,"&gt;="&amp;'Settings'!$C$23,'All Donations'!$T$2:$T$4001,"&lt;="&amp;'Settings'!$D$23),2),0)</f>
        <v/>
      </c>
      <c r="AQ520">
        <f>IF(AE520=1,ROUND(SUMIFS('All Donations'!$S$2:$S$4001,'All Donations'!$R$2:$R$4001,AD520,'All Donations'!$T$2:$T$4001,"&gt;="&amp;'Settings'!$C$25,'All Donations'!$T$2:$T$4001,"&lt;="&amp;'Settings'!$D$25),2),0)</f>
        <v/>
      </c>
      <c r="AR520">
        <f>IF(AE520=1,ROUND(SUMIFS('All Donations'!$S$2:$S$4001,'All Donations'!$R$2:$R$4001,AD520,'All Donations'!$T$2:$T$4001,"&gt;="&amp;'Settings'!$C$26,'All Donations'!$T$2:$T$4001,"&lt;="&amp;'Settings'!$D$26),2),0)</f>
        <v/>
      </c>
      <c r="AS520">
        <f>IF(AE520=1,ROUND(SUMIFS('All Donations'!$S$2:$S$4001,'All Donations'!$R$2:$R$4001,AD520,'All Donations'!$T$2:$T$4001,"&lt;="&amp;'Settings'!$D$27),2),0)</f>
        <v/>
      </c>
      <c r="AT520">
        <f>IF(AE520=1,ROUND(SUMIFS('All Donations'!$S$2:$S$4001,'All Donations'!$R$2:$R$4001,AD520,'All Donations'!$T$2:$T$4001,"&gt;="&amp;'Settings'!$C$28,'All Donations'!$T$2:$T$4001,"&lt;="&amp;'Settings'!$D$28),2),0)</f>
        <v/>
      </c>
      <c r="AU520">
        <f>IF(AE520=1,ROUND(SUMIFS('All Donations'!$S$2:$S$4001,'All Donations'!$R$2:$R$4001,AD520,'All Donations'!$T$2:$T$4001,"&gt;="&amp;'Settings'!$C$29,'All Donations'!$T$2:$T$4001,"&lt;="&amp;'Settings'!$D$29),2),0)</f>
        <v/>
      </c>
      <c r="AV520">
        <f>IF(AE520=1,ROUND(SUMIFS('All Donations'!$S$2:$S$4001,'All Donations'!$R$2:$R$4001,AD520,'All Donations'!$T$2:$T$4001,"&lt;="&amp;'Settings'!$D$30),2),0)</f>
        <v/>
      </c>
      <c r="AZ520">
        <f>IF(AE520=1,ROUND(SUMIFS('All Donations'!$S$2:$S$4001,'All Donations'!$R$2:$R$4001,AD520,'All Donations'!$T$2:$T$4001,"&lt;="&amp;'Settings'!$D$34),2),0)</f>
        <v/>
      </c>
    </row>
    <row r="521">
      <c r="A521">
        <f>IF(AE521=1,TRIM(TRIM('Roster'!B521)&amp;" "&amp;TRIM('Roster'!C521)),"")</f>
        <v/>
      </c>
      <c r="B521">
        <f>IF(AE521=1,IF(AN521="","(no teacher)",AN521&amp;" – "&amp;C521),"")</f>
        <v/>
      </c>
      <c r="C521">
        <f>IF(AE521=1,TRIM('Roster'!D521&amp;""),"")</f>
        <v/>
      </c>
      <c r="D521" s="48">
        <f>IF(AE521=1,ROUND(SUMIFS('All Donations'!$S$2:$S$4001,'All Donations'!$R$2:$R$4001,AD521),2),"")</f>
        <v/>
      </c>
      <c r="E521" s="48">
        <f>IF(AE521=1,ROUND(SUMIFS('All Donations'!$S$2:$S$4001,'All Donations'!$R$2:$R$4001,AD521,'All Donations'!$G$2:$G$4001,"OneCause"),2),"")</f>
        <v/>
      </c>
      <c r="F521" s="48">
        <f>IF(AE521=1,D521-E521,"")</f>
        <v/>
      </c>
      <c r="G521">
        <f>IF(AE521=1,COUNTIFS('All Donations'!$R$2:$R$4001,AD521,'All Donations'!$H$2:$H$4001,"OK"),"")</f>
        <v/>
      </c>
      <c r="H521">
        <f>IF(AE521&lt;&gt;1,"",IF(D521&gt;0,"Yes",""))</f>
        <v/>
      </c>
      <c r="I521" s="49">
        <f>IF(OR($AE521&lt;&gt;1,I$1=""),"",SUMIFS('All Donations'!$S$2:$S$4001,'All Donations'!$R$2:$R$4001,$AD521,'All Donations'!$T$2:$T$4001,I$1))</f>
        <v/>
      </c>
      <c r="J521" s="49">
        <f>IF(OR($AE521&lt;&gt;1,J$1=""),"",SUMIFS('All Donations'!$S$2:$S$4001,'All Donations'!$R$2:$R$4001,$AD521,'All Donations'!$T$2:$T$4001,J$1))</f>
        <v/>
      </c>
      <c r="K521" s="49">
        <f>IF(OR($AE521&lt;&gt;1,K$1=""),"",SUMIFS('All Donations'!$S$2:$S$4001,'All Donations'!$R$2:$R$4001,$AD521,'All Donations'!$T$2:$T$4001,K$1))</f>
        <v/>
      </c>
      <c r="L521" s="49">
        <f>IF(OR($AE521&lt;&gt;1,L$1=""),"",SUMIFS('All Donations'!$S$2:$S$4001,'All Donations'!$R$2:$R$4001,$AD521,'All Donations'!$T$2:$T$4001,L$1))</f>
        <v/>
      </c>
      <c r="M521" s="49">
        <f>IF(OR($AE521&lt;&gt;1,M$1=""),"",SUMIFS('All Donations'!$S$2:$S$4001,'All Donations'!$R$2:$R$4001,$AD521,'All Donations'!$T$2:$T$4001,M$1))</f>
        <v/>
      </c>
      <c r="N521" s="49">
        <f>IF(OR($AE521&lt;&gt;1,N$1=""),"",SUMIFS('All Donations'!$S$2:$S$4001,'All Donations'!$R$2:$R$4001,$AD521,'All Donations'!$T$2:$T$4001,N$1))</f>
        <v/>
      </c>
      <c r="O521" s="49">
        <f>IF(OR($AE521&lt;&gt;1,O$1=""),"",SUMIFS('All Donations'!$S$2:$S$4001,'All Donations'!$R$2:$R$4001,$AD521,'All Donations'!$T$2:$T$4001,O$1))</f>
        <v/>
      </c>
      <c r="P521" s="49">
        <f>IF(OR($AE521&lt;&gt;1,P$1=""),"",SUMIFS('All Donations'!$S$2:$S$4001,'All Donations'!$R$2:$R$4001,$AD521,'All Donations'!$T$2:$T$4001,P$1))</f>
        <v/>
      </c>
      <c r="Q521" s="49">
        <f>IF(OR($AE521&lt;&gt;1,Q$1=""),"",SUMIFS('All Donations'!$S$2:$S$4001,'All Donations'!$R$2:$R$4001,$AD521,'All Donations'!$T$2:$T$4001,Q$1))</f>
        <v/>
      </c>
      <c r="R521" s="49">
        <f>IF(OR($AE521&lt;&gt;1,R$1=""),"",SUMIFS('All Donations'!$S$2:$S$4001,'All Donations'!$R$2:$R$4001,$AD521,'All Donations'!$T$2:$T$4001,R$1))</f>
        <v/>
      </c>
      <c r="S521" s="49">
        <f>IF(OR($AE521&lt;&gt;1,S$1=""),"",SUMIFS('All Donations'!$S$2:$S$4001,'All Donations'!$R$2:$R$4001,$AD521,'All Donations'!$T$2:$T$4001,S$1))</f>
        <v/>
      </c>
      <c r="T521" s="49">
        <f>IF(OR($AE521&lt;&gt;1,T$1=""),"",SUMIFS('All Donations'!$S$2:$S$4001,'All Donations'!$R$2:$R$4001,$AD521,'All Donations'!$T$2:$T$4001,T$1))</f>
        <v/>
      </c>
      <c r="U521" s="49">
        <f>IF(OR($AE521&lt;&gt;1,U$1=""),"",SUMIFS('All Donations'!$S$2:$S$4001,'All Donations'!$R$2:$R$4001,$AD521,'All Donations'!$T$2:$T$4001,U$1))</f>
        <v/>
      </c>
      <c r="V521" s="49">
        <f>IF(OR($AE521&lt;&gt;1,V$1=""),"",SUMIFS('All Donations'!$S$2:$S$4001,'All Donations'!$R$2:$R$4001,$AD521,'All Donations'!$T$2:$T$4001,V$1))</f>
        <v/>
      </c>
      <c r="W521" s="49">
        <f>IF(OR($AE521&lt;&gt;1,W$1=""),"",SUMIFS('All Donations'!$S$2:$S$4001,'All Donations'!$R$2:$R$4001,$AD521,'All Donations'!$T$2:$T$4001,W$1))</f>
        <v/>
      </c>
      <c r="X521" s="49">
        <f>IF(OR($AE521&lt;&gt;1,X$1=""),"",SUMIFS('All Donations'!$S$2:$S$4001,'All Donations'!$R$2:$R$4001,$AD521,'All Donations'!$T$2:$T$4001,X$1))</f>
        <v/>
      </c>
      <c r="Y521" s="49">
        <f>IF(OR($AE521&lt;&gt;1,Y$1=""),"",SUMIFS('All Donations'!$S$2:$S$4001,'All Donations'!$R$2:$R$4001,$AD521,'All Donations'!$T$2:$T$4001,Y$1))</f>
        <v/>
      </c>
      <c r="Z521" s="49">
        <f>IF(OR($AE521&lt;&gt;1,Z$1=""),"",SUMIFS('All Donations'!$S$2:$S$4001,'All Donations'!$R$2:$R$4001,$AD521,'All Donations'!$T$2:$T$4001,Z$1))</f>
        <v/>
      </c>
      <c r="AA521" s="49">
        <f>IF(OR($AE521&lt;&gt;1,AA$1=""),"",SUMIFS('All Donations'!$S$2:$S$4001,'All Donations'!$R$2:$R$4001,$AD521,'All Donations'!$T$2:$T$4001,AA$1))</f>
        <v/>
      </c>
      <c r="AB521" s="49">
        <f>IF(OR($AE521&lt;&gt;1,AB$1=""),"",SUMIFS('All Donations'!$S$2:$S$4001,'All Donations'!$R$2:$R$4001,$AD521,'All Donations'!$T$2:$T$4001,AB$1))</f>
        <v/>
      </c>
      <c r="AC521" s="49">
        <f>IF(OR($AE521&lt;&gt;1,AC$1=""),"",SUMIFS('All Donations'!$S$2:$S$4001,'All Donations'!$R$2:$R$4001,$AD521,'All Donations'!$T$2:$T$4001,AC$1))</f>
        <v/>
      </c>
      <c r="AD521">
        <f>IF(AE521=1,'Roster'!A521,"")</f>
        <v/>
      </c>
      <c r="AE521">
        <f>IF(TRIM('Roster'!B521&amp;'Roster'!C521)&lt;&gt;"",1,0)</f>
        <v/>
      </c>
      <c r="AF521">
        <f>IF(AE521=1,LOWER(A521),"#")</f>
        <v/>
      </c>
      <c r="AG521">
        <f>IF(AE521=1,LOWER(TRIM(TRIM('Roster'!C521)&amp;", "&amp;TRIM('Roster'!B521))),"#")</f>
        <v/>
      </c>
      <c r="AH521">
        <f>IF(AND(AE521=1,TRIM('Roster'!F521)&lt;&gt;""),LOWER(TRIM('Roster'!F521)),"#")</f>
        <v/>
      </c>
      <c r="AI521">
        <f>IF(AE521=1,IF(MATCH(B521,$B$2:$B$701,0)=ROW()-1,1,0),0)</f>
        <v/>
      </c>
      <c r="AJ521">
        <f>AJ520+AI521</f>
        <v/>
      </c>
      <c r="AK521">
        <f>IF(AE521=1,D521+(1000-ROW())/10^7,-1)</f>
        <v/>
      </c>
      <c r="AL521">
        <f>IF(AE521=1,TRIM('Roster'!B521)&amp;" "&amp;LEFT(TRIM('Roster'!C521),1)&amp;".","")</f>
        <v/>
      </c>
      <c r="AM521">
        <f>IF(AE521=1,TRIM('Roster'!C521)&amp;", "&amp;TRIM('Roster'!B521)&amp;" ("&amp;B521&amp;") #"&amp;AD521,"")</f>
        <v/>
      </c>
      <c r="AN521">
        <f>IF(AE521=1,TRIM('Roster'!E521),"")</f>
        <v/>
      </c>
      <c r="AO521">
        <f>IF(AE521=1,ROUND(SUMIFS('All Donations'!$S$2:$S$4001,'All Donations'!$R$2:$R$4001,AD521,'All Donations'!$T$2:$T$4001,"&gt;="&amp;'Settings'!$C$23,'All Donations'!$T$2:$T$4001,"&lt;="&amp;'Settings'!$D$23),2),0)</f>
        <v/>
      </c>
      <c r="AQ521">
        <f>IF(AE521=1,ROUND(SUMIFS('All Donations'!$S$2:$S$4001,'All Donations'!$R$2:$R$4001,AD521,'All Donations'!$T$2:$T$4001,"&gt;="&amp;'Settings'!$C$25,'All Donations'!$T$2:$T$4001,"&lt;="&amp;'Settings'!$D$25),2),0)</f>
        <v/>
      </c>
      <c r="AR521">
        <f>IF(AE521=1,ROUND(SUMIFS('All Donations'!$S$2:$S$4001,'All Donations'!$R$2:$R$4001,AD521,'All Donations'!$T$2:$T$4001,"&gt;="&amp;'Settings'!$C$26,'All Donations'!$T$2:$T$4001,"&lt;="&amp;'Settings'!$D$26),2),0)</f>
        <v/>
      </c>
      <c r="AS521">
        <f>IF(AE521=1,ROUND(SUMIFS('All Donations'!$S$2:$S$4001,'All Donations'!$R$2:$R$4001,AD521,'All Donations'!$T$2:$T$4001,"&lt;="&amp;'Settings'!$D$27),2),0)</f>
        <v/>
      </c>
      <c r="AT521">
        <f>IF(AE521=1,ROUND(SUMIFS('All Donations'!$S$2:$S$4001,'All Donations'!$R$2:$R$4001,AD521,'All Donations'!$T$2:$T$4001,"&gt;="&amp;'Settings'!$C$28,'All Donations'!$T$2:$T$4001,"&lt;="&amp;'Settings'!$D$28),2),0)</f>
        <v/>
      </c>
      <c r="AU521">
        <f>IF(AE521=1,ROUND(SUMIFS('All Donations'!$S$2:$S$4001,'All Donations'!$R$2:$R$4001,AD521,'All Donations'!$T$2:$T$4001,"&gt;="&amp;'Settings'!$C$29,'All Donations'!$T$2:$T$4001,"&lt;="&amp;'Settings'!$D$29),2),0)</f>
        <v/>
      </c>
      <c r="AV521">
        <f>IF(AE521=1,ROUND(SUMIFS('All Donations'!$S$2:$S$4001,'All Donations'!$R$2:$R$4001,AD521,'All Donations'!$T$2:$T$4001,"&lt;="&amp;'Settings'!$D$30),2),0)</f>
        <v/>
      </c>
      <c r="AZ521">
        <f>IF(AE521=1,ROUND(SUMIFS('All Donations'!$S$2:$S$4001,'All Donations'!$R$2:$R$4001,AD521,'All Donations'!$T$2:$T$4001,"&lt;="&amp;'Settings'!$D$34),2),0)</f>
        <v/>
      </c>
    </row>
    <row r="522">
      <c r="A522">
        <f>IF(AE522=1,TRIM(TRIM('Roster'!B522)&amp;" "&amp;TRIM('Roster'!C522)),"")</f>
        <v/>
      </c>
      <c r="B522">
        <f>IF(AE522=1,IF(AN522="","(no teacher)",AN522&amp;" – "&amp;C522),"")</f>
        <v/>
      </c>
      <c r="C522">
        <f>IF(AE522=1,TRIM('Roster'!D522&amp;""),"")</f>
        <v/>
      </c>
      <c r="D522" s="48">
        <f>IF(AE522=1,ROUND(SUMIFS('All Donations'!$S$2:$S$4001,'All Donations'!$R$2:$R$4001,AD522),2),"")</f>
        <v/>
      </c>
      <c r="E522" s="48">
        <f>IF(AE522=1,ROUND(SUMIFS('All Donations'!$S$2:$S$4001,'All Donations'!$R$2:$R$4001,AD522,'All Donations'!$G$2:$G$4001,"OneCause"),2),"")</f>
        <v/>
      </c>
      <c r="F522" s="48">
        <f>IF(AE522=1,D522-E522,"")</f>
        <v/>
      </c>
      <c r="G522">
        <f>IF(AE522=1,COUNTIFS('All Donations'!$R$2:$R$4001,AD522,'All Donations'!$H$2:$H$4001,"OK"),"")</f>
        <v/>
      </c>
      <c r="H522">
        <f>IF(AE522&lt;&gt;1,"",IF(D522&gt;0,"Yes",""))</f>
        <v/>
      </c>
      <c r="I522" s="49">
        <f>IF(OR($AE522&lt;&gt;1,I$1=""),"",SUMIFS('All Donations'!$S$2:$S$4001,'All Donations'!$R$2:$R$4001,$AD522,'All Donations'!$T$2:$T$4001,I$1))</f>
        <v/>
      </c>
      <c r="J522" s="49">
        <f>IF(OR($AE522&lt;&gt;1,J$1=""),"",SUMIFS('All Donations'!$S$2:$S$4001,'All Donations'!$R$2:$R$4001,$AD522,'All Donations'!$T$2:$T$4001,J$1))</f>
        <v/>
      </c>
      <c r="K522" s="49">
        <f>IF(OR($AE522&lt;&gt;1,K$1=""),"",SUMIFS('All Donations'!$S$2:$S$4001,'All Donations'!$R$2:$R$4001,$AD522,'All Donations'!$T$2:$T$4001,K$1))</f>
        <v/>
      </c>
      <c r="L522" s="49">
        <f>IF(OR($AE522&lt;&gt;1,L$1=""),"",SUMIFS('All Donations'!$S$2:$S$4001,'All Donations'!$R$2:$R$4001,$AD522,'All Donations'!$T$2:$T$4001,L$1))</f>
        <v/>
      </c>
      <c r="M522" s="49">
        <f>IF(OR($AE522&lt;&gt;1,M$1=""),"",SUMIFS('All Donations'!$S$2:$S$4001,'All Donations'!$R$2:$R$4001,$AD522,'All Donations'!$T$2:$T$4001,M$1))</f>
        <v/>
      </c>
      <c r="N522" s="49">
        <f>IF(OR($AE522&lt;&gt;1,N$1=""),"",SUMIFS('All Donations'!$S$2:$S$4001,'All Donations'!$R$2:$R$4001,$AD522,'All Donations'!$T$2:$T$4001,N$1))</f>
        <v/>
      </c>
      <c r="O522" s="49">
        <f>IF(OR($AE522&lt;&gt;1,O$1=""),"",SUMIFS('All Donations'!$S$2:$S$4001,'All Donations'!$R$2:$R$4001,$AD522,'All Donations'!$T$2:$T$4001,O$1))</f>
        <v/>
      </c>
      <c r="P522" s="49">
        <f>IF(OR($AE522&lt;&gt;1,P$1=""),"",SUMIFS('All Donations'!$S$2:$S$4001,'All Donations'!$R$2:$R$4001,$AD522,'All Donations'!$T$2:$T$4001,P$1))</f>
        <v/>
      </c>
      <c r="Q522" s="49">
        <f>IF(OR($AE522&lt;&gt;1,Q$1=""),"",SUMIFS('All Donations'!$S$2:$S$4001,'All Donations'!$R$2:$R$4001,$AD522,'All Donations'!$T$2:$T$4001,Q$1))</f>
        <v/>
      </c>
      <c r="R522" s="49">
        <f>IF(OR($AE522&lt;&gt;1,R$1=""),"",SUMIFS('All Donations'!$S$2:$S$4001,'All Donations'!$R$2:$R$4001,$AD522,'All Donations'!$T$2:$T$4001,R$1))</f>
        <v/>
      </c>
      <c r="S522" s="49">
        <f>IF(OR($AE522&lt;&gt;1,S$1=""),"",SUMIFS('All Donations'!$S$2:$S$4001,'All Donations'!$R$2:$R$4001,$AD522,'All Donations'!$T$2:$T$4001,S$1))</f>
        <v/>
      </c>
      <c r="T522" s="49">
        <f>IF(OR($AE522&lt;&gt;1,T$1=""),"",SUMIFS('All Donations'!$S$2:$S$4001,'All Donations'!$R$2:$R$4001,$AD522,'All Donations'!$T$2:$T$4001,T$1))</f>
        <v/>
      </c>
      <c r="U522" s="49">
        <f>IF(OR($AE522&lt;&gt;1,U$1=""),"",SUMIFS('All Donations'!$S$2:$S$4001,'All Donations'!$R$2:$R$4001,$AD522,'All Donations'!$T$2:$T$4001,U$1))</f>
        <v/>
      </c>
      <c r="V522" s="49">
        <f>IF(OR($AE522&lt;&gt;1,V$1=""),"",SUMIFS('All Donations'!$S$2:$S$4001,'All Donations'!$R$2:$R$4001,$AD522,'All Donations'!$T$2:$T$4001,V$1))</f>
        <v/>
      </c>
      <c r="W522" s="49">
        <f>IF(OR($AE522&lt;&gt;1,W$1=""),"",SUMIFS('All Donations'!$S$2:$S$4001,'All Donations'!$R$2:$R$4001,$AD522,'All Donations'!$T$2:$T$4001,W$1))</f>
        <v/>
      </c>
      <c r="X522" s="49">
        <f>IF(OR($AE522&lt;&gt;1,X$1=""),"",SUMIFS('All Donations'!$S$2:$S$4001,'All Donations'!$R$2:$R$4001,$AD522,'All Donations'!$T$2:$T$4001,X$1))</f>
        <v/>
      </c>
      <c r="Y522" s="49">
        <f>IF(OR($AE522&lt;&gt;1,Y$1=""),"",SUMIFS('All Donations'!$S$2:$S$4001,'All Donations'!$R$2:$R$4001,$AD522,'All Donations'!$T$2:$T$4001,Y$1))</f>
        <v/>
      </c>
      <c r="Z522" s="49">
        <f>IF(OR($AE522&lt;&gt;1,Z$1=""),"",SUMIFS('All Donations'!$S$2:$S$4001,'All Donations'!$R$2:$R$4001,$AD522,'All Donations'!$T$2:$T$4001,Z$1))</f>
        <v/>
      </c>
      <c r="AA522" s="49">
        <f>IF(OR($AE522&lt;&gt;1,AA$1=""),"",SUMIFS('All Donations'!$S$2:$S$4001,'All Donations'!$R$2:$R$4001,$AD522,'All Donations'!$T$2:$T$4001,AA$1))</f>
        <v/>
      </c>
      <c r="AB522" s="49">
        <f>IF(OR($AE522&lt;&gt;1,AB$1=""),"",SUMIFS('All Donations'!$S$2:$S$4001,'All Donations'!$R$2:$R$4001,$AD522,'All Donations'!$T$2:$T$4001,AB$1))</f>
        <v/>
      </c>
      <c r="AC522" s="49">
        <f>IF(OR($AE522&lt;&gt;1,AC$1=""),"",SUMIFS('All Donations'!$S$2:$S$4001,'All Donations'!$R$2:$R$4001,$AD522,'All Donations'!$T$2:$T$4001,AC$1))</f>
        <v/>
      </c>
      <c r="AD522">
        <f>IF(AE522=1,'Roster'!A522,"")</f>
        <v/>
      </c>
      <c r="AE522">
        <f>IF(TRIM('Roster'!B522&amp;'Roster'!C522)&lt;&gt;"",1,0)</f>
        <v/>
      </c>
      <c r="AF522">
        <f>IF(AE522=1,LOWER(A522),"#")</f>
        <v/>
      </c>
      <c r="AG522">
        <f>IF(AE522=1,LOWER(TRIM(TRIM('Roster'!C522)&amp;", "&amp;TRIM('Roster'!B522))),"#")</f>
        <v/>
      </c>
      <c r="AH522">
        <f>IF(AND(AE522=1,TRIM('Roster'!F522)&lt;&gt;""),LOWER(TRIM('Roster'!F522)),"#")</f>
        <v/>
      </c>
      <c r="AI522">
        <f>IF(AE522=1,IF(MATCH(B522,$B$2:$B$701,0)=ROW()-1,1,0),0)</f>
        <v/>
      </c>
      <c r="AJ522">
        <f>AJ521+AI522</f>
        <v/>
      </c>
      <c r="AK522">
        <f>IF(AE522=1,D522+(1000-ROW())/10^7,-1)</f>
        <v/>
      </c>
      <c r="AL522">
        <f>IF(AE522=1,TRIM('Roster'!B522)&amp;" "&amp;LEFT(TRIM('Roster'!C522),1)&amp;".","")</f>
        <v/>
      </c>
      <c r="AM522">
        <f>IF(AE522=1,TRIM('Roster'!C522)&amp;", "&amp;TRIM('Roster'!B522)&amp;" ("&amp;B522&amp;") #"&amp;AD522,"")</f>
        <v/>
      </c>
      <c r="AN522">
        <f>IF(AE522=1,TRIM('Roster'!E522),"")</f>
        <v/>
      </c>
      <c r="AO522">
        <f>IF(AE522=1,ROUND(SUMIFS('All Donations'!$S$2:$S$4001,'All Donations'!$R$2:$R$4001,AD522,'All Donations'!$T$2:$T$4001,"&gt;="&amp;'Settings'!$C$23,'All Donations'!$T$2:$T$4001,"&lt;="&amp;'Settings'!$D$23),2),0)</f>
        <v/>
      </c>
      <c r="AQ522">
        <f>IF(AE522=1,ROUND(SUMIFS('All Donations'!$S$2:$S$4001,'All Donations'!$R$2:$R$4001,AD522,'All Donations'!$T$2:$T$4001,"&gt;="&amp;'Settings'!$C$25,'All Donations'!$T$2:$T$4001,"&lt;="&amp;'Settings'!$D$25),2),0)</f>
        <v/>
      </c>
      <c r="AR522">
        <f>IF(AE522=1,ROUND(SUMIFS('All Donations'!$S$2:$S$4001,'All Donations'!$R$2:$R$4001,AD522,'All Donations'!$T$2:$T$4001,"&gt;="&amp;'Settings'!$C$26,'All Donations'!$T$2:$T$4001,"&lt;="&amp;'Settings'!$D$26),2),0)</f>
        <v/>
      </c>
      <c r="AS522">
        <f>IF(AE522=1,ROUND(SUMIFS('All Donations'!$S$2:$S$4001,'All Donations'!$R$2:$R$4001,AD522,'All Donations'!$T$2:$T$4001,"&lt;="&amp;'Settings'!$D$27),2),0)</f>
        <v/>
      </c>
      <c r="AT522">
        <f>IF(AE522=1,ROUND(SUMIFS('All Donations'!$S$2:$S$4001,'All Donations'!$R$2:$R$4001,AD522,'All Donations'!$T$2:$T$4001,"&gt;="&amp;'Settings'!$C$28,'All Donations'!$T$2:$T$4001,"&lt;="&amp;'Settings'!$D$28),2),0)</f>
        <v/>
      </c>
      <c r="AU522">
        <f>IF(AE522=1,ROUND(SUMIFS('All Donations'!$S$2:$S$4001,'All Donations'!$R$2:$R$4001,AD522,'All Donations'!$T$2:$T$4001,"&gt;="&amp;'Settings'!$C$29,'All Donations'!$T$2:$T$4001,"&lt;="&amp;'Settings'!$D$29),2),0)</f>
        <v/>
      </c>
      <c r="AV522">
        <f>IF(AE522=1,ROUND(SUMIFS('All Donations'!$S$2:$S$4001,'All Donations'!$R$2:$R$4001,AD522,'All Donations'!$T$2:$T$4001,"&lt;="&amp;'Settings'!$D$30),2),0)</f>
        <v/>
      </c>
      <c r="AZ522">
        <f>IF(AE522=1,ROUND(SUMIFS('All Donations'!$S$2:$S$4001,'All Donations'!$R$2:$R$4001,AD522,'All Donations'!$T$2:$T$4001,"&lt;="&amp;'Settings'!$D$34),2),0)</f>
        <v/>
      </c>
    </row>
    <row r="523">
      <c r="A523">
        <f>IF(AE523=1,TRIM(TRIM('Roster'!B523)&amp;" "&amp;TRIM('Roster'!C523)),"")</f>
        <v/>
      </c>
      <c r="B523">
        <f>IF(AE523=1,IF(AN523="","(no teacher)",AN523&amp;" – "&amp;C523),"")</f>
        <v/>
      </c>
      <c r="C523">
        <f>IF(AE523=1,TRIM('Roster'!D523&amp;""),"")</f>
        <v/>
      </c>
      <c r="D523" s="48">
        <f>IF(AE523=1,ROUND(SUMIFS('All Donations'!$S$2:$S$4001,'All Donations'!$R$2:$R$4001,AD523),2),"")</f>
        <v/>
      </c>
      <c r="E523" s="48">
        <f>IF(AE523=1,ROUND(SUMIFS('All Donations'!$S$2:$S$4001,'All Donations'!$R$2:$R$4001,AD523,'All Donations'!$G$2:$G$4001,"OneCause"),2),"")</f>
        <v/>
      </c>
      <c r="F523" s="48">
        <f>IF(AE523=1,D523-E523,"")</f>
        <v/>
      </c>
      <c r="G523">
        <f>IF(AE523=1,COUNTIFS('All Donations'!$R$2:$R$4001,AD523,'All Donations'!$H$2:$H$4001,"OK"),"")</f>
        <v/>
      </c>
      <c r="H523">
        <f>IF(AE523&lt;&gt;1,"",IF(D523&gt;0,"Yes",""))</f>
        <v/>
      </c>
      <c r="I523" s="49">
        <f>IF(OR($AE523&lt;&gt;1,I$1=""),"",SUMIFS('All Donations'!$S$2:$S$4001,'All Donations'!$R$2:$R$4001,$AD523,'All Donations'!$T$2:$T$4001,I$1))</f>
        <v/>
      </c>
      <c r="J523" s="49">
        <f>IF(OR($AE523&lt;&gt;1,J$1=""),"",SUMIFS('All Donations'!$S$2:$S$4001,'All Donations'!$R$2:$R$4001,$AD523,'All Donations'!$T$2:$T$4001,J$1))</f>
        <v/>
      </c>
      <c r="K523" s="49">
        <f>IF(OR($AE523&lt;&gt;1,K$1=""),"",SUMIFS('All Donations'!$S$2:$S$4001,'All Donations'!$R$2:$R$4001,$AD523,'All Donations'!$T$2:$T$4001,K$1))</f>
        <v/>
      </c>
      <c r="L523" s="49">
        <f>IF(OR($AE523&lt;&gt;1,L$1=""),"",SUMIFS('All Donations'!$S$2:$S$4001,'All Donations'!$R$2:$R$4001,$AD523,'All Donations'!$T$2:$T$4001,L$1))</f>
        <v/>
      </c>
      <c r="M523" s="49">
        <f>IF(OR($AE523&lt;&gt;1,M$1=""),"",SUMIFS('All Donations'!$S$2:$S$4001,'All Donations'!$R$2:$R$4001,$AD523,'All Donations'!$T$2:$T$4001,M$1))</f>
        <v/>
      </c>
      <c r="N523" s="49">
        <f>IF(OR($AE523&lt;&gt;1,N$1=""),"",SUMIFS('All Donations'!$S$2:$S$4001,'All Donations'!$R$2:$R$4001,$AD523,'All Donations'!$T$2:$T$4001,N$1))</f>
        <v/>
      </c>
      <c r="O523" s="49">
        <f>IF(OR($AE523&lt;&gt;1,O$1=""),"",SUMIFS('All Donations'!$S$2:$S$4001,'All Donations'!$R$2:$R$4001,$AD523,'All Donations'!$T$2:$T$4001,O$1))</f>
        <v/>
      </c>
      <c r="P523" s="49">
        <f>IF(OR($AE523&lt;&gt;1,P$1=""),"",SUMIFS('All Donations'!$S$2:$S$4001,'All Donations'!$R$2:$R$4001,$AD523,'All Donations'!$T$2:$T$4001,P$1))</f>
        <v/>
      </c>
      <c r="Q523" s="49">
        <f>IF(OR($AE523&lt;&gt;1,Q$1=""),"",SUMIFS('All Donations'!$S$2:$S$4001,'All Donations'!$R$2:$R$4001,$AD523,'All Donations'!$T$2:$T$4001,Q$1))</f>
        <v/>
      </c>
      <c r="R523" s="49">
        <f>IF(OR($AE523&lt;&gt;1,R$1=""),"",SUMIFS('All Donations'!$S$2:$S$4001,'All Donations'!$R$2:$R$4001,$AD523,'All Donations'!$T$2:$T$4001,R$1))</f>
        <v/>
      </c>
      <c r="S523" s="49">
        <f>IF(OR($AE523&lt;&gt;1,S$1=""),"",SUMIFS('All Donations'!$S$2:$S$4001,'All Donations'!$R$2:$R$4001,$AD523,'All Donations'!$T$2:$T$4001,S$1))</f>
        <v/>
      </c>
      <c r="T523" s="49">
        <f>IF(OR($AE523&lt;&gt;1,T$1=""),"",SUMIFS('All Donations'!$S$2:$S$4001,'All Donations'!$R$2:$R$4001,$AD523,'All Donations'!$T$2:$T$4001,T$1))</f>
        <v/>
      </c>
      <c r="U523" s="49">
        <f>IF(OR($AE523&lt;&gt;1,U$1=""),"",SUMIFS('All Donations'!$S$2:$S$4001,'All Donations'!$R$2:$R$4001,$AD523,'All Donations'!$T$2:$T$4001,U$1))</f>
        <v/>
      </c>
      <c r="V523" s="49">
        <f>IF(OR($AE523&lt;&gt;1,V$1=""),"",SUMIFS('All Donations'!$S$2:$S$4001,'All Donations'!$R$2:$R$4001,$AD523,'All Donations'!$T$2:$T$4001,V$1))</f>
        <v/>
      </c>
      <c r="W523" s="49">
        <f>IF(OR($AE523&lt;&gt;1,W$1=""),"",SUMIFS('All Donations'!$S$2:$S$4001,'All Donations'!$R$2:$R$4001,$AD523,'All Donations'!$T$2:$T$4001,W$1))</f>
        <v/>
      </c>
      <c r="X523" s="49">
        <f>IF(OR($AE523&lt;&gt;1,X$1=""),"",SUMIFS('All Donations'!$S$2:$S$4001,'All Donations'!$R$2:$R$4001,$AD523,'All Donations'!$T$2:$T$4001,X$1))</f>
        <v/>
      </c>
      <c r="Y523" s="49">
        <f>IF(OR($AE523&lt;&gt;1,Y$1=""),"",SUMIFS('All Donations'!$S$2:$S$4001,'All Donations'!$R$2:$R$4001,$AD523,'All Donations'!$T$2:$T$4001,Y$1))</f>
        <v/>
      </c>
      <c r="Z523" s="49">
        <f>IF(OR($AE523&lt;&gt;1,Z$1=""),"",SUMIFS('All Donations'!$S$2:$S$4001,'All Donations'!$R$2:$R$4001,$AD523,'All Donations'!$T$2:$T$4001,Z$1))</f>
        <v/>
      </c>
      <c r="AA523" s="49">
        <f>IF(OR($AE523&lt;&gt;1,AA$1=""),"",SUMIFS('All Donations'!$S$2:$S$4001,'All Donations'!$R$2:$R$4001,$AD523,'All Donations'!$T$2:$T$4001,AA$1))</f>
        <v/>
      </c>
      <c r="AB523" s="49">
        <f>IF(OR($AE523&lt;&gt;1,AB$1=""),"",SUMIFS('All Donations'!$S$2:$S$4001,'All Donations'!$R$2:$R$4001,$AD523,'All Donations'!$T$2:$T$4001,AB$1))</f>
        <v/>
      </c>
      <c r="AC523" s="49">
        <f>IF(OR($AE523&lt;&gt;1,AC$1=""),"",SUMIFS('All Donations'!$S$2:$S$4001,'All Donations'!$R$2:$R$4001,$AD523,'All Donations'!$T$2:$T$4001,AC$1))</f>
        <v/>
      </c>
      <c r="AD523">
        <f>IF(AE523=1,'Roster'!A523,"")</f>
        <v/>
      </c>
      <c r="AE523">
        <f>IF(TRIM('Roster'!B523&amp;'Roster'!C523)&lt;&gt;"",1,0)</f>
        <v/>
      </c>
      <c r="AF523">
        <f>IF(AE523=1,LOWER(A523),"#")</f>
        <v/>
      </c>
      <c r="AG523">
        <f>IF(AE523=1,LOWER(TRIM(TRIM('Roster'!C523)&amp;", "&amp;TRIM('Roster'!B523))),"#")</f>
        <v/>
      </c>
      <c r="AH523">
        <f>IF(AND(AE523=1,TRIM('Roster'!F523)&lt;&gt;""),LOWER(TRIM('Roster'!F523)),"#")</f>
        <v/>
      </c>
      <c r="AI523">
        <f>IF(AE523=1,IF(MATCH(B523,$B$2:$B$701,0)=ROW()-1,1,0),0)</f>
        <v/>
      </c>
      <c r="AJ523">
        <f>AJ522+AI523</f>
        <v/>
      </c>
      <c r="AK523">
        <f>IF(AE523=1,D523+(1000-ROW())/10^7,-1)</f>
        <v/>
      </c>
      <c r="AL523">
        <f>IF(AE523=1,TRIM('Roster'!B523)&amp;" "&amp;LEFT(TRIM('Roster'!C523),1)&amp;".","")</f>
        <v/>
      </c>
      <c r="AM523">
        <f>IF(AE523=1,TRIM('Roster'!C523)&amp;", "&amp;TRIM('Roster'!B523)&amp;" ("&amp;B523&amp;") #"&amp;AD523,"")</f>
        <v/>
      </c>
      <c r="AN523">
        <f>IF(AE523=1,TRIM('Roster'!E523),"")</f>
        <v/>
      </c>
      <c r="AO523">
        <f>IF(AE523=1,ROUND(SUMIFS('All Donations'!$S$2:$S$4001,'All Donations'!$R$2:$R$4001,AD523,'All Donations'!$T$2:$T$4001,"&gt;="&amp;'Settings'!$C$23,'All Donations'!$T$2:$T$4001,"&lt;="&amp;'Settings'!$D$23),2),0)</f>
        <v/>
      </c>
      <c r="AQ523">
        <f>IF(AE523=1,ROUND(SUMIFS('All Donations'!$S$2:$S$4001,'All Donations'!$R$2:$R$4001,AD523,'All Donations'!$T$2:$T$4001,"&gt;="&amp;'Settings'!$C$25,'All Donations'!$T$2:$T$4001,"&lt;="&amp;'Settings'!$D$25),2),0)</f>
        <v/>
      </c>
      <c r="AR523">
        <f>IF(AE523=1,ROUND(SUMIFS('All Donations'!$S$2:$S$4001,'All Donations'!$R$2:$R$4001,AD523,'All Donations'!$T$2:$T$4001,"&gt;="&amp;'Settings'!$C$26,'All Donations'!$T$2:$T$4001,"&lt;="&amp;'Settings'!$D$26),2),0)</f>
        <v/>
      </c>
      <c r="AS523">
        <f>IF(AE523=1,ROUND(SUMIFS('All Donations'!$S$2:$S$4001,'All Donations'!$R$2:$R$4001,AD523,'All Donations'!$T$2:$T$4001,"&lt;="&amp;'Settings'!$D$27),2),0)</f>
        <v/>
      </c>
      <c r="AT523">
        <f>IF(AE523=1,ROUND(SUMIFS('All Donations'!$S$2:$S$4001,'All Donations'!$R$2:$R$4001,AD523,'All Donations'!$T$2:$T$4001,"&gt;="&amp;'Settings'!$C$28,'All Donations'!$T$2:$T$4001,"&lt;="&amp;'Settings'!$D$28),2),0)</f>
        <v/>
      </c>
      <c r="AU523">
        <f>IF(AE523=1,ROUND(SUMIFS('All Donations'!$S$2:$S$4001,'All Donations'!$R$2:$R$4001,AD523,'All Donations'!$T$2:$T$4001,"&gt;="&amp;'Settings'!$C$29,'All Donations'!$T$2:$T$4001,"&lt;="&amp;'Settings'!$D$29),2),0)</f>
        <v/>
      </c>
      <c r="AV523">
        <f>IF(AE523=1,ROUND(SUMIFS('All Donations'!$S$2:$S$4001,'All Donations'!$R$2:$R$4001,AD523,'All Donations'!$T$2:$T$4001,"&lt;="&amp;'Settings'!$D$30),2),0)</f>
        <v/>
      </c>
      <c r="AZ523">
        <f>IF(AE523=1,ROUND(SUMIFS('All Donations'!$S$2:$S$4001,'All Donations'!$R$2:$R$4001,AD523,'All Donations'!$T$2:$T$4001,"&lt;="&amp;'Settings'!$D$34),2),0)</f>
        <v/>
      </c>
    </row>
    <row r="524">
      <c r="A524">
        <f>IF(AE524=1,TRIM(TRIM('Roster'!B524)&amp;" "&amp;TRIM('Roster'!C524)),"")</f>
        <v/>
      </c>
      <c r="B524">
        <f>IF(AE524=1,IF(AN524="","(no teacher)",AN524&amp;" – "&amp;C524),"")</f>
        <v/>
      </c>
      <c r="C524">
        <f>IF(AE524=1,TRIM('Roster'!D524&amp;""),"")</f>
        <v/>
      </c>
      <c r="D524" s="48">
        <f>IF(AE524=1,ROUND(SUMIFS('All Donations'!$S$2:$S$4001,'All Donations'!$R$2:$R$4001,AD524),2),"")</f>
        <v/>
      </c>
      <c r="E524" s="48">
        <f>IF(AE524=1,ROUND(SUMIFS('All Donations'!$S$2:$S$4001,'All Donations'!$R$2:$R$4001,AD524,'All Donations'!$G$2:$G$4001,"OneCause"),2),"")</f>
        <v/>
      </c>
      <c r="F524" s="48">
        <f>IF(AE524=1,D524-E524,"")</f>
        <v/>
      </c>
      <c r="G524">
        <f>IF(AE524=1,COUNTIFS('All Donations'!$R$2:$R$4001,AD524,'All Donations'!$H$2:$H$4001,"OK"),"")</f>
        <v/>
      </c>
      <c r="H524">
        <f>IF(AE524&lt;&gt;1,"",IF(D524&gt;0,"Yes",""))</f>
        <v/>
      </c>
      <c r="I524" s="49">
        <f>IF(OR($AE524&lt;&gt;1,I$1=""),"",SUMIFS('All Donations'!$S$2:$S$4001,'All Donations'!$R$2:$R$4001,$AD524,'All Donations'!$T$2:$T$4001,I$1))</f>
        <v/>
      </c>
      <c r="J524" s="49">
        <f>IF(OR($AE524&lt;&gt;1,J$1=""),"",SUMIFS('All Donations'!$S$2:$S$4001,'All Donations'!$R$2:$R$4001,$AD524,'All Donations'!$T$2:$T$4001,J$1))</f>
        <v/>
      </c>
      <c r="K524" s="49">
        <f>IF(OR($AE524&lt;&gt;1,K$1=""),"",SUMIFS('All Donations'!$S$2:$S$4001,'All Donations'!$R$2:$R$4001,$AD524,'All Donations'!$T$2:$T$4001,K$1))</f>
        <v/>
      </c>
      <c r="L524" s="49">
        <f>IF(OR($AE524&lt;&gt;1,L$1=""),"",SUMIFS('All Donations'!$S$2:$S$4001,'All Donations'!$R$2:$R$4001,$AD524,'All Donations'!$T$2:$T$4001,L$1))</f>
        <v/>
      </c>
      <c r="M524" s="49">
        <f>IF(OR($AE524&lt;&gt;1,M$1=""),"",SUMIFS('All Donations'!$S$2:$S$4001,'All Donations'!$R$2:$R$4001,$AD524,'All Donations'!$T$2:$T$4001,M$1))</f>
        <v/>
      </c>
      <c r="N524" s="49">
        <f>IF(OR($AE524&lt;&gt;1,N$1=""),"",SUMIFS('All Donations'!$S$2:$S$4001,'All Donations'!$R$2:$R$4001,$AD524,'All Donations'!$T$2:$T$4001,N$1))</f>
        <v/>
      </c>
      <c r="O524" s="49">
        <f>IF(OR($AE524&lt;&gt;1,O$1=""),"",SUMIFS('All Donations'!$S$2:$S$4001,'All Donations'!$R$2:$R$4001,$AD524,'All Donations'!$T$2:$T$4001,O$1))</f>
        <v/>
      </c>
      <c r="P524" s="49">
        <f>IF(OR($AE524&lt;&gt;1,P$1=""),"",SUMIFS('All Donations'!$S$2:$S$4001,'All Donations'!$R$2:$R$4001,$AD524,'All Donations'!$T$2:$T$4001,P$1))</f>
        <v/>
      </c>
      <c r="Q524" s="49">
        <f>IF(OR($AE524&lt;&gt;1,Q$1=""),"",SUMIFS('All Donations'!$S$2:$S$4001,'All Donations'!$R$2:$R$4001,$AD524,'All Donations'!$T$2:$T$4001,Q$1))</f>
        <v/>
      </c>
      <c r="R524" s="49">
        <f>IF(OR($AE524&lt;&gt;1,R$1=""),"",SUMIFS('All Donations'!$S$2:$S$4001,'All Donations'!$R$2:$R$4001,$AD524,'All Donations'!$T$2:$T$4001,R$1))</f>
        <v/>
      </c>
      <c r="S524" s="49">
        <f>IF(OR($AE524&lt;&gt;1,S$1=""),"",SUMIFS('All Donations'!$S$2:$S$4001,'All Donations'!$R$2:$R$4001,$AD524,'All Donations'!$T$2:$T$4001,S$1))</f>
        <v/>
      </c>
      <c r="T524" s="49">
        <f>IF(OR($AE524&lt;&gt;1,T$1=""),"",SUMIFS('All Donations'!$S$2:$S$4001,'All Donations'!$R$2:$R$4001,$AD524,'All Donations'!$T$2:$T$4001,T$1))</f>
        <v/>
      </c>
      <c r="U524" s="49">
        <f>IF(OR($AE524&lt;&gt;1,U$1=""),"",SUMIFS('All Donations'!$S$2:$S$4001,'All Donations'!$R$2:$R$4001,$AD524,'All Donations'!$T$2:$T$4001,U$1))</f>
        <v/>
      </c>
      <c r="V524" s="49">
        <f>IF(OR($AE524&lt;&gt;1,V$1=""),"",SUMIFS('All Donations'!$S$2:$S$4001,'All Donations'!$R$2:$R$4001,$AD524,'All Donations'!$T$2:$T$4001,V$1))</f>
        <v/>
      </c>
      <c r="W524" s="49">
        <f>IF(OR($AE524&lt;&gt;1,W$1=""),"",SUMIFS('All Donations'!$S$2:$S$4001,'All Donations'!$R$2:$R$4001,$AD524,'All Donations'!$T$2:$T$4001,W$1))</f>
        <v/>
      </c>
      <c r="X524" s="49">
        <f>IF(OR($AE524&lt;&gt;1,X$1=""),"",SUMIFS('All Donations'!$S$2:$S$4001,'All Donations'!$R$2:$R$4001,$AD524,'All Donations'!$T$2:$T$4001,X$1))</f>
        <v/>
      </c>
      <c r="Y524" s="49">
        <f>IF(OR($AE524&lt;&gt;1,Y$1=""),"",SUMIFS('All Donations'!$S$2:$S$4001,'All Donations'!$R$2:$R$4001,$AD524,'All Donations'!$T$2:$T$4001,Y$1))</f>
        <v/>
      </c>
      <c r="Z524" s="49">
        <f>IF(OR($AE524&lt;&gt;1,Z$1=""),"",SUMIFS('All Donations'!$S$2:$S$4001,'All Donations'!$R$2:$R$4001,$AD524,'All Donations'!$T$2:$T$4001,Z$1))</f>
        <v/>
      </c>
      <c r="AA524" s="49">
        <f>IF(OR($AE524&lt;&gt;1,AA$1=""),"",SUMIFS('All Donations'!$S$2:$S$4001,'All Donations'!$R$2:$R$4001,$AD524,'All Donations'!$T$2:$T$4001,AA$1))</f>
        <v/>
      </c>
      <c r="AB524" s="49">
        <f>IF(OR($AE524&lt;&gt;1,AB$1=""),"",SUMIFS('All Donations'!$S$2:$S$4001,'All Donations'!$R$2:$R$4001,$AD524,'All Donations'!$T$2:$T$4001,AB$1))</f>
        <v/>
      </c>
      <c r="AC524" s="49">
        <f>IF(OR($AE524&lt;&gt;1,AC$1=""),"",SUMIFS('All Donations'!$S$2:$S$4001,'All Donations'!$R$2:$R$4001,$AD524,'All Donations'!$T$2:$T$4001,AC$1))</f>
        <v/>
      </c>
      <c r="AD524">
        <f>IF(AE524=1,'Roster'!A524,"")</f>
        <v/>
      </c>
      <c r="AE524">
        <f>IF(TRIM('Roster'!B524&amp;'Roster'!C524)&lt;&gt;"",1,0)</f>
        <v/>
      </c>
      <c r="AF524">
        <f>IF(AE524=1,LOWER(A524),"#")</f>
        <v/>
      </c>
      <c r="AG524">
        <f>IF(AE524=1,LOWER(TRIM(TRIM('Roster'!C524)&amp;", "&amp;TRIM('Roster'!B524))),"#")</f>
        <v/>
      </c>
      <c r="AH524">
        <f>IF(AND(AE524=1,TRIM('Roster'!F524)&lt;&gt;""),LOWER(TRIM('Roster'!F524)),"#")</f>
        <v/>
      </c>
      <c r="AI524">
        <f>IF(AE524=1,IF(MATCH(B524,$B$2:$B$701,0)=ROW()-1,1,0),0)</f>
        <v/>
      </c>
      <c r="AJ524">
        <f>AJ523+AI524</f>
        <v/>
      </c>
      <c r="AK524">
        <f>IF(AE524=1,D524+(1000-ROW())/10^7,-1)</f>
        <v/>
      </c>
      <c r="AL524">
        <f>IF(AE524=1,TRIM('Roster'!B524)&amp;" "&amp;LEFT(TRIM('Roster'!C524),1)&amp;".","")</f>
        <v/>
      </c>
      <c r="AM524">
        <f>IF(AE524=1,TRIM('Roster'!C524)&amp;", "&amp;TRIM('Roster'!B524)&amp;" ("&amp;B524&amp;") #"&amp;AD524,"")</f>
        <v/>
      </c>
      <c r="AN524">
        <f>IF(AE524=1,TRIM('Roster'!E524),"")</f>
        <v/>
      </c>
      <c r="AO524">
        <f>IF(AE524=1,ROUND(SUMIFS('All Donations'!$S$2:$S$4001,'All Donations'!$R$2:$R$4001,AD524,'All Donations'!$T$2:$T$4001,"&gt;="&amp;'Settings'!$C$23,'All Donations'!$T$2:$T$4001,"&lt;="&amp;'Settings'!$D$23),2),0)</f>
        <v/>
      </c>
      <c r="AQ524">
        <f>IF(AE524=1,ROUND(SUMIFS('All Donations'!$S$2:$S$4001,'All Donations'!$R$2:$R$4001,AD524,'All Donations'!$T$2:$T$4001,"&gt;="&amp;'Settings'!$C$25,'All Donations'!$T$2:$T$4001,"&lt;="&amp;'Settings'!$D$25),2),0)</f>
        <v/>
      </c>
      <c r="AR524">
        <f>IF(AE524=1,ROUND(SUMIFS('All Donations'!$S$2:$S$4001,'All Donations'!$R$2:$R$4001,AD524,'All Donations'!$T$2:$T$4001,"&gt;="&amp;'Settings'!$C$26,'All Donations'!$T$2:$T$4001,"&lt;="&amp;'Settings'!$D$26),2),0)</f>
        <v/>
      </c>
      <c r="AS524">
        <f>IF(AE524=1,ROUND(SUMIFS('All Donations'!$S$2:$S$4001,'All Donations'!$R$2:$R$4001,AD524,'All Donations'!$T$2:$T$4001,"&lt;="&amp;'Settings'!$D$27),2),0)</f>
        <v/>
      </c>
      <c r="AT524">
        <f>IF(AE524=1,ROUND(SUMIFS('All Donations'!$S$2:$S$4001,'All Donations'!$R$2:$R$4001,AD524,'All Donations'!$T$2:$T$4001,"&gt;="&amp;'Settings'!$C$28,'All Donations'!$T$2:$T$4001,"&lt;="&amp;'Settings'!$D$28),2),0)</f>
        <v/>
      </c>
      <c r="AU524">
        <f>IF(AE524=1,ROUND(SUMIFS('All Donations'!$S$2:$S$4001,'All Donations'!$R$2:$R$4001,AD524,'All Donations'!$T$2:$T$4001,"&gt;="&amp;'Settings'!$C$29,'All Donations'!$T$2:$T$4001,"&lt;="&amp;'Settings'!$D$29),2),0)</f>
        <v/>
      </c>
      <c r="AV524">
        <f>IF(AE524=1,ROUND(SUMIFS('All Donations'!$S$2:$S$4001,'All Donations'!$R$2:$R$4001,AD524,'All Donations'!$T$2:$T$4001,"&lt;="&amp;'Settings'!$D$30),2),0)</f>
        <v/>
      </c>
      <c r="AZ524">
        <f>IF(AE524=1,ROUND(SUMIFS('All Donations'!$S$2:$S$4001,'All Donations'!$R$2:$R$4001,AD524,'All Donations'!$T$2:$T$4001,"&lt;="&amp;'Settings'!$D$34),2),0)</f>
        <v/>
      </c>
    </row>
    <row r="525">
      <c r="A525">
        <f>IF(AE525=1,TRIM(TRIM('Roster'!B525)&amp;" "&amp;TRIM('Roster'!C525)),"")</f>
        <v/>
      </c>
      <c r="B525">
        <f>IF(AE525=1,IF(AN525="","(no teacher)",AN525&amp;" – "&amp;C525),"")</f>
        <v/>
      </c>
      <c r="C525">
        <f>IF(AE525=1,TRIM('Roster'!D525&amp;""),"")</f>
        <v/>
      </c>
      <c r="D525" s="48">
        <f>IF(AE525=1,ROUND(SUMIFS('All Donations'!$S$2:$S$4001,'All Donations'!$R$2:$R$4001,AD525),2),"")</f>
        <v/>
      </c>
      <c r="E525" s="48">
        <f>IF(AE525=1,ROUND(SUMIFS('All Donations'!$S$2:$S$4001,'All Donations'!$R$2:$R$4001,AD525,'All Donations'!$G$2:$G$4001,"OneCause"),2),"")</f>
        <v/>
      </c>
      <c r="F525" s="48">
        <f>IF(AE525=1,D525-E525,"")</f>
        <v/>
      </c>
      <c r="G525">
        <f>IF(AE525=1,COUNTIFS('All Donations'!$R$2:$R$4001,AD525,'All Donations'!$H$2:$H$4001,"OK"),"")</f>
        <v/>
      </c>
      <c r="H525">
        <f>IF(AE525&lt;&gt;1,"",IF(D525&gt;0,"Yes",""))</f>
        <v/>
      </c>
      <c r="I525" s="49">
        <f>IF(OR($AE525&lt;&gt;1,I$1=""),"",SUMIFS('All Donations'!$S$2:$S$4001,'All Donations'!$R$2:$R$4001,$AD525,'All Donations'!$T$2:$T$4001,I$1))</f>
        <v/>
      </c>
      <c r="J525" s="49">
        <f>IF(OR($AE525&lt;&gt;1,J$1=""),"",SUMIFS('All Donations'!$S$2:$S$4001,'All Donations'!$R$2:$R$4001,$AD525,'All Donations'!$T$2:$T$4001,J$1))</f>
        <v/>
      </c>
      <c r="K525" s="49">
        <f>IF(OR($AE525&lt;&gt;1,K$1=""),"",SUMIFS('All Donations'!$S$2:$S$4001,'All Donations'!$R$2:$R$4001,$AD525,'All Donations'!$T$2:$T$4001,K$1))</f>
        <v/>
      </c>
      <c r="L525" s="49">
        <f>IF(OR($AE525&lt;&gt;1,L$1=""),"",SUMIFS('All Donations'!$S$2:$S$4001,'All Donations'!$R$2:$R$4001,$AD525,'All Donations'!$T$2:$T$4001,L$1))</f>
        <v/>
      </c>
      <c r="M525" s="49">
        <f>IF(OR($AE525&lt;&gt;1,M$1=""),"",SUMIFS('All Donations'!$S$2:$S$4001,'All Donations'!$R$2:$R$4001,$AD525,'All Donations'!$T$2:$T$4001,M$1))</f>
        <v/>
      </c>
      <c r="N525" s="49">
        <f>IF(OR($AE525&lt;&gt;1,N$1=""),"",SUMIFS('All Donations'!$S$2:$S$4001,'All Donations'!$R$2:$R$4001,$AD525,'All Donations'!$T$2:$T$4001,N$1))</f>
        <v/>
      </c>
      <c r="O525" s="49">
        <f>IF(OR($AE525&lt;&gt;1,O$1=""),"",SUMIFS('All Donations'!$S$2:$S$4001,'All Donations'!$R$2:$R$4001,$AD525,'All Donations'!$T$2:$T$4001,O$1))</f>
        <v/>
      </c>
      <c r="P525" s="49">
        <f>IF(OR($AE525&lt;&gt;1,P$1=""),"",SUMIFS('All Donations'!$S$2:$S$4001,'All Donations'!$R$2:$R$4001,$AD525,'All Donations'!$T$2:$T$4001,P$1))</f>
        <v/>
      </c>
      <c r="Q525" s="49">
        <f>IF(OR($AE525&lt;&gt;1,Q$1=""),"",SUMIFS('All Donations'!$S$2:$S$4001,'All Donations'!$R$2:$R$4001,$AD525,'All Donations'!$T$2:$T$4001,Q$1))</f>
        <v/>
      </c>
      <c r="R525" s="49">
        <f>IF(OR($AE525&lt;&gt;1,R$1=""),"",SUMIFS('All Donations'!$S$2:$S$4001,'All Donations'!$R$2:$R$4001,$AD525,'All Donations'!$T$2:$T$4001,R$1))</f>
        <v/>
      </c>
      <c r="S525" s="49">
        <f>IF(OR($AE525&lt;&gt;1,S$1=""),"",SUMIFS('All Donations'!$S$2:$S$4001,'All Donations'!$R$2:$R$4001,$AD525,'All Donations'!$T$2:$T$4001,S$1))</f>
        <v/>
      </c>
      <c r="T525" s="49">
        <f>IF(OR($AE525&lt;&gt;1,T$1=""),"",SUMIFS('All Donations'!$S$2:$S$4001,'All Donations'!$R$2:$R$4001,$AD525,'All Donations'!$T$2:$T$4001,T$1))</f>
        <v/>
      </c>
      <c r="U525" s="49">
        <f>IF(OR($AE525&lt;&gt;1,U$1=""),"",SUMIFS('All Donations'!$S$2:$S$4001,'All Donations'!$R$2:$R$4001,$AD525,'All Donations'!$T$2:$T$4001,U$1))</f>
        <v/>
      </c>
      <c r="V525" s="49">
        <f>IF(OR($AE525&lt;&gt;1,V$1=""),"",SUMIFS('All Donations'!$S$2:$S$4001,'All Donations'!$R$2:$R$4001,$AD525,'All Donations'!$T$2:$T$4001,V$1))</f>
        <v/>
      </c>
      <c r="W525" s="49">
        <f>IF(OR($AE525&lt;&gt;1,W$1=""),"",SUMIFS('All Donations'!$S$2:$S$4001,'All Donations'!$R$2:$R$4001,$AD525,'All Donations'!$T$2:$T$4001,W$1))</f>
        <v/>
      </c>
      <c r="X525" s="49">
        <f>IF(OR($AE525&lt;&gt;1,X$1=""),"",SUMIFS('All Donations'!$S$2:$S$4001,'All Donations'!$R$2:$R$4001,$AD525,'All Donations'!$T$2:$T$4001,X$1))</f>
        <v/>
      </c>
      <c r="Y525" s="49">
        <f>IF(OR($AE525&lt;&gt;1,Y$1=""),"",SUMIFS('All Donations'!$S$2:$S$4001,'All Donations'!$R$2:$R$4001,$AD525,'All Donations'!$T$2:$T$4001,Y$1))</f>
        <v/>
      </c>
      <c r="Z525" s="49">
        <f>IF(OR($AE525&lt;&gt;1,Z$1=""),"",SUMIFS('All Donations'!$S$2:$S$4001,'All Donations'!$R$2:$R$4001,$AD525,'All Donations'!$T$2:$T$4001,Z$1))</f>
        <v/>
      </c>
      <c r="AA525" s="49">
        <f>IF(OR($AE525&lt;&gt;1,AA$1=""),"",SUMIFS('All Donations'!$S$2:$S$4001,'All Donations'!$R$2:$R$4001,$AD525,'All Donations'!$T$2:$T$4001,AA$1))</f>
        <v/>
      </c>
      <c r="AB525" s="49">
        <f>IF(OR($AE525&lt;&gt;1,AB$1=""),"",SUMIFS('All Donations'!$S$2:$S$4001,'All Donations'!$R$2:$R$4001,$AD525,'All Donations'!$T$2:$T$4001,AB$1))</f>
        <v/>
      </c>
      <c r="AC525" s="49">
        <f>IF(OR($AE525&lt;&gt;1,AC$1=""),"",SUMIFS('All Donations'!$S$2:$S$4001,'All Donations'!$R$2:$R$4001,$AD525,'All Donations'!$T$2:$T$4001,AC$1))</f>
        <v/>
      </c>
      <c r="AD525">
        <f>IF(AE525=1,'Roster'!A525,"")</f>
        <v/>
      </c>
      <c r="AE525">
        <f>IF(TRIM('Roster'!B525&amp;'Roster'!C525)&lt;&gt;"",1,0)</f>
        <v/>
      </c>
      <c r="AF525">
        <f>IF(AE525=1,LOWER(A525),"#")</f>
        <v/>
      </c>
      <c r="AG525">
        <f>IF(AE525=1,LOWER(TRIM(TRIM('Roster'!C525)&amp;", "&amp;TRIM('Roster'!B525))),"#")</f>
        <v/>
      </c>
      <c r="AH525">
        <f>IF(AND(AE525=1,TRIM('Roster'!F525)&lt;&gt;""),LOWER(TRIM('Roster'!F525)),"#")</f>
        <v/>
      </c>
      <c r="AI525">
        <f>IF(AE525=1,IF(MATCH(B525,$B$2:$B$701,0)=ROW()-1,1,0),0)</f>
        <v/>
      </c>
      <c r="AJ525">
        <f>AJ524+AI525</f>
        <v/>
      </c>
      <c r="AK525">
        <f>IF(AE525=1,D525+(1000-ROW())/10^7,-1)</f>
        <v/>
      </c>
      <c r="AL525">
        <f>IF(AE525=1,TRIM('Roster'!B525)&amp;" "&amp;LEFT(TRIM('Roster'!C525),1)&amp;".","")</f>
        <v/>
      </c>
      <c r="AM525">
        <f>IF(AE525=1,TRIM('Roster'!C525)&amp;", "&amp;TRIM('Roster'!B525)&amp;" ("&amp;B525&amp;") #"&amp;AD525,"")</f>
        <v/>
      </c>
      <c r="AN525">
        <f>IF(AE525=1,TRIM('Roster'!E525),"")</f>
        <v/>
      </c>
      <c r="AO525">
        <f>IF(AE525=1,ROUND(SUMIFS('All Donations'!$S$2:$S$4001,'All Donations'!$R$2:$R$4001,AD525,'All Donations'!$T$2:$T$4001,"&gt;="&amp;'Settings'!$C$23,'All Donations'!$T$2:$T$4001,"&lt;="&amp;'Settings'!$D$23),2),0)</f>
        <v/>
      </c>
      <c r="AQ525">
        <f>IF(AE525=1,ROUND(SUMIFS('All Donations'!$S$2:$S$4001,'All Donations'!$R$2:$R$4001,AD525,'All Donations'!$T$2:$T$4001,"&gt;="&amp;'Settings'!$C$25,'All Donations'!$T$2:$T$4001,"&lt;="&amp;'Settings'!$D$25),2),0)</f>
        <v/>
      </c>
      <c r="AR525">
        <f>IF(AE525=1,ROUND(SUMIFS('All Donations'!$S$2:$S$4001,'All Donations'!$R$2:$R$4001,AD525,'All Donations'!$T$2:$T$4001,"&gt;="&amp;'Settings'!$C$26,'All Donations'!$T$2:$T$4001,"&lt;="&amp;'Settings'!$D$26),2),0)</f>
        <v/>
      </c>
      <c r="AS525">
        <f>IF(AE525=1,ROUND(SUMIFS('All Donations'!$S$2:$S$4001,'All Donations'!$R$2:$R$4001,AD525,'All Donations'!$T$2:$T$4001,"&lt;="&amp;'Settings'!$D$27),2),0)</f>
        <v/>
      </c>
      <c r="AT525">
        <f>IF(AE525=1,ROUND(SUMIFS('All Donations'!$S$2:$S$4001,'All Donations'!$R$2:$R$4001,AD525,'All Donations'!$T$2:$T$4001,"&gt;="&amp;'Settings'!$C$28,'All Donations'!$T$2:$T$4001,"&lt;="&amp;'Settings'!$D$28),2),0)</f>
        <v/>
      </c>
      <c r="AU525">
        <f>IF(AE525=1,ROUND(SUMIFS('All Donations'!$S$2:$S$4001,'All Donations'!$R$2:$R$4001,AD525,'All Donations'!$T$2:$T$4001,"&gt;="&amp;'Settings'!$C$29,'All Donations'!$T$2:$T$4001,"&lt;="&amp;'Settings'!$D$29),2),0)</f>
        <v/>
      </c>
      <c r="AV525">
        <f>IF(AE525=1,ROUND(SUMIFS('All Donations'!$S$2:$S$4001,'All Donations'!$R$2:$R$4001,AD525,'All Donations'!$T$2:$T$4001,"&lt;="&amp;'Settings'!$D$30),2),0)</f>
        <v/>
      </c>
      <c r="AZ525">
        <f>IF(AE525=1,ROUND(SUMIFS('All Donations'!$S$2:$S$4001,'All Donations'!$R$2:$R$4001,AD525,'All Donations'!$T$2:$T$4001,"&lt;="&amp;'Settings'!$D$34),2),0)</f>
        <v/>
      </c>
    </row>
    <row r="526">
      <c r="A526">
        <f>IF(AE526=1,TRIM(TRIM('Roster'!B526)&amp;" "&amp;TRIM('Roster'!C526)),"")</f>
        <v/>
      </c>
      <c r="B526">
        <f>IF(AE526=1,IF(AN526="","(no teacher)",AN526&amp;" – "&amp;C526),"")</f>
        <v/>
      </c>
      <c r="C526">
        <f>IF(AE526=1,TRIM('Roster'!D526&amp;""),"")</f>
        <v/>
      </c>
      <c r="D526" s="48">
        <f>IF(AE526=1,ROUND(SUMIFS('All Donations'!$S$2:$S$4001,'All Donations'!$R$2:$R$4001,AD526),2),"")</f>
        <v/>
      </c>
      <c r="E526" s="48">
        <f>IF(AE526=1,ROUND(SUMIFS('All Donations'!$S$2:$S$4001,'All Donations'!$R$2:$R$4001,AD526,'All Donations'!$G$2:$G$4001,"OneCause"),2),"")</f>
        <v/>
      </c>
      <c r="F526" s="48">
        <f>IF(AE526=1,D526-E526,"")</f>
        <v/>
      </c>
      <c r="G526">
        <f>IF(AE526=1,COUNTIFS('All Donations'!$R$2:$R$4001,AD526,'All Donations'!$H$2:$H$4001,"OK"),"")</f>
        <v/>
      </c>
      <c r="H526">
        <f>IF(AE526&lt;&gt;1,"",IF(D526&gt;0,"Yes",""))</f>
        <v/>
      </c>
      <c r="I526" s="49">
        <f>IF(OR($AE526&lt;&gt;1,I$1=""),"",SUMIFS('All Donations'!$S$2:$S$4001,'All Donations'!$R$2:$R$4001,$AD526,'All Donations'!$T$2:$T$4001,I$1))</f>
        <v/>
      </c>
      <c r="J526" s="49">
        <f>IF(OR($AE526&lt;&gt;1,J$1=""),"",SUMIFS('All Donations'!$S$2:$S$4001,'All Donations'!$R$2:$R$4001,$AD526,'All Donations'!$T$2:$T$4001,J$1))</f>
        <v/>
      </c>
      <c r="K526" s="49">
        <f>IF(OR($AE526&lt;&gt;1,K$1=""),"",SUMIFS('All Donations'!$S$2:$S$4001,'All Donations'!$R$2:$R$4001,$AD526,'All Donations'!$T$2:$T$4001,K$1))</f>
        <v/>
      </c>
      <c r="L526" s="49">
        <f>IF(OR($AE526&lt;&gt;1,L$1=""),"",SUMIFS('All Donations'!$S$2:$S$4001,'All Donations'!$R$2:$R$4001,$AD526,'All Donations'!$T$2:$T$4001,L$1))</f>
        <v/>
      </c>
      <c r="M526" s="49">
        <f>IF(OR($AE526&lt;&gt;1,M$1=""),"",SUMIFS('All Donations'!$S$2:$S$4001,'All Donations'!$R$2:$R$4001,$AD526,'All Donations'!$T$2:$T$4001,M$1))</f>
        <v/>
      </c>
      <c r="N526" s="49">
        <f>IF(OR($AE526&lt;&gt;1,N$1=""),"",SUMIFS('All Donations'!$S$2:$S$4001,'All Donations'!$R$2:$R$4001,$AD526,'All Donations'!$T$2:$T$4001,N$1))</f>
        <v/>
      </c>
      <c r="O526" s="49">
        <f>IF(OR($AE526&lt;&gt;1,O$1=""),"",SUMIFS('All Donations'!$S$2:$S$4001,'All Donations'!$R$2:$R$4001,$AD526,'All Donations'!$T$2:$T$4001,O$1))</f>
        <v/>
      </c>
      <c r="P526" s="49">
        <f>IF(OR($AE526&lt;&gt;1,P$1=""),"",SUMIFS('All Donations'!$S$2:$S$4001,'All Donations'!$R$2:$R$4001,$AD526,'All Donations'!$T$2:$T$4001,P$1))</f>
        <v/>
      </c>
      <c r="Q526" s="49">
        <f>IF(OR($AE526&lt;&gt;1,Q$1=""),"",SUMIFS('All Donations'!$S$2:$S$4001,'All Donations'!$R$2:$R$4001,$AD526,'All Donations'!$T$2:$T$4001,Q$1))</f>
        <v/>
      </c>
      <c r="R526" s="49">
        <f>IF(OR($AE526&lt;&gt;1,R$1=""),"",SUMIFS('All Donations'!$S$2:$S$4001,'All Donations'!$R$2:$R$4001,$AD526,'All Donations'!$T$2:$T$4001,R$1))</f>
        <v/>
      </c>
      <c r="S526" s="49">
        <f>IF(OR($AE526&lt;&gt;1,S$1=""),"",SUMIFS('All Donations'!$S$2:$S$4001,'All Donations'!$R$2:$R$4001,$AD526,'All Donations'!$T$2:$T$4001,S$1))</f>
        <v/>
      </c>
      <c r="T526" s="49">
        <f>IF(OR($AE526&lt;&gt;1,T$1=""),"",SUMIFS('All Donations'!$S$2:$S$4001,'All Donations'!$R$2:$R$4001,$AD526,'All Donations'!$T$2:$T$4001,T$1))</f>
        <v/>
      </c>
      <c r="U526" s="49">
        <f>IF(OR($AE526&lt;&gt;1,U$1=""),"",SUMIFS('All Donations'!$S$2:$S$4001,'All Donations'!$R$2:$R$4001,$AD526,'All Donations'!$T$2:$T$4001,U$1))</f>
        <v/>
      </c>
      <c r="V526" s="49">
        <f>IF(OR($AE526&lt;&gt;1,V$1=""),"",SUMIFS('All Donations'!$S$2:$S$4001,'All Donations'!$R$2:$R$4001,$AD526,'All Donations'!$T$2:$T$4001,V$1))</f>
        <v/>
      </c>
      <c r="W526" s="49">
        <f>IF(OR($AE526&lt;&gt;1,W$1=""),"",SUMIFS('All Donations'!$S$2:$S$4001,'All Donations'!$R$2:$R$4001,$AD526,'All Donations'!$T$2:$T$4001,W$1))</f>
        <v/>
      </c>
      <c r="X526" s="49">
        <f>IF(OR($AE526&lt;&gt;1,X$1=""),"",SUMIFS('All Donations'!$S$2:$S$4001,'All Donations'!$R$2:$R$4001,$AD526,'All Donations'!$T$2:$T$4001,X$1))</f>
        <v/>
      </c>
      <c r="Y526" s="49">
        <f>IF(OR($AE526&lt;&gt;1,Y$1=""),"",SUMIFS('All Donations'!$S$2:$S$4001,'All Donations'!$R$2:$R$4001,$AD526,'All Donations'!$T$2:$T$4001,Y$1))</f>
        <v/>
      </c>
      <c r="Z526" s="49">
        <f>IF(OR($AE526&lt;&gt;1,Z$1=""),"",SUMIFS('All Donations'!$S$2:$S$4001,'All Donations'!$R$2:$R$4001,$AD526,'All Donations'!$T$2:$T$4001,Z$1))</f>
        <v/>
      </c>
      <c r="AA526" s="49">
        <f>IF(OR($AE526&lt;&gt;1,AA$1=""),"",SUMIFS('All Donations'!$S$2:$S$4001,'All Donations'!$R$2:$R$4001,$AD526,'All Donations'!$T$2:$T$4001,AA$1))</f>
        <v/>
      </c>
      <c r="AB526" s="49">
        <f>IF(OR($AE526&lt;&gt;1,AB$1=""),"",SUMIFS('All Donations'!$S$2:$S$4001,'All Donations'!$R$2:$R$4001,$AD526,'All Donations'!$T$2:$T$4001,AB$1))</f>
        <v/>
      </c>
      <c r="AC526" s="49">
        <f>IF(OR($AE526&lt;&gt;1,AC$1=""),"",SUMIFS('All Donations'!$S$2:$S$4001,'All Donations'!$R$2:$R$4001,$AD526,'All Donations'!$T$2:$T$4001,AC$1))</f>
        <v/>
      </c>
      <c r="AD526">
        <f>IF(AE526=1,'Roster'!A526,"")</f>
        <v/>
      </c>
      <c r="AE526">
        <f>IF(TRIM('Roster'!B526&amp;'Roster'!C526)&lt;&gt;"",1,0)</f>
        <v/>
      </c>
      <c r="AF526">
        <f>IF(AE526=1,LOWER(A526),"#")</f>
        <v/>
      </c>
      <c r="AG526">
        <f>IF(AE526=1,LOWER(TRIM(TRIM('Roster'!C526)&amp;", "&amp;TRIM('Roster'!B526))),"#")</f>
        <v/>
      </c>
      <c r="AH526">
        <f>IF(AND(AE526=1,TRIM('Roster'!F526)&lt;&gt;""),LOWER(TRIM('Roster'!F526)),"#")</f>
        <v/>
      </c>
      <c r="AI526">
        <f>IF(AE526=1,IF(MATCH(B526,$B$2:$B$701,0)=ROW()-1,1,0),0)</f>
        <v/>
      </c>
      <c r="AJ526">
        <f>AJ525+AI526</f>
        <v/>
      </c>
      <c r="AK526">
        <f>IF(AE526=1,D526+(1000-ROW())/10^7,-1)</f>
        <v/>
      </c>
      <c r="AL526">
        <f>IF(AE526=1,TRIM('Roster'!B526)&amp;" "&amp;LEFT(TRIM('Roster'!C526),1)&amp;".","")</f>
        <v/>
      </c>
      <c r="AM526">
        <f>IF(AE526=1,TRIM('Roster'!C526)&amp;", "&amp;TRIM('Roster'!B526)&amp;" ("&amp;B526&amp;") #"&amp;AD526,"")</f>
        <v/>
      </c>
      <c r="AN526">
        <f>IF(AE526=1,TRIM('Roster'!E526),"")</f>
        <v/>
      </c>
      <c r="AO526">
        <f>IF(AE526=1,ROUND(SUMIFS('All Donations'!$S$2:$S$4001,'All Donations'!$R$2:$R$4001,AD526,'All Donations'!$T$2:$T$4001,"&gt;="&amp;'Settings'!$C$23,'All Donations'!$T$2:$T$4001,"&lt;="&amp;'Settings'!$D$23),2),0)</f>
        <v/>
      </c>
      <c r="AQ526">
        <f>IF(AE526=1,ROUND(SUMIFS('All Donations'!$S$2:$S$4001,'All Donations'!$R$2:$R$4001,AD526,'All Donations'!$T$2:$T$4001,"&gt;="&amp;'Settings'!$C$25,'All Donations'!$T$2:$T$4001,"&lt;="&amp;'Settings'!$D$25),2),0)</f>
        <v/>
      </c>
      <c r="AR526">
        <f>IF(AE526=1,ROUND(SUMIFS('All Donations'!$S$2:$S$4001,'All Donations'!$R$2:$R$4001,AD526,'All Donations'!$T$2:$T$4001,"&gt;="&amp;'Settings'!$C$26,'All Donations'!$T$2:$T$4001,"&lt;="&amp;'Settings'!$D$26),2),0)</f>
        <v/>
      </c>
      <c r="AS526">
        <f>IF(AE526=1,ROUND(SUMIFS('All Donations'!$S$2:$S$4001,'All Donations'!$R$2:$R$4001,AD526,'All Donations'!$T$2:$T$4001,"&lt;="&amp;'Settings'!$D$27),2),0)</f>
        <v/>
      </c>
      <c r="AT526">
        <f>IF(AE526=1,ROUND(SUMIFS('All Donations'!$S$2:$S$4001,'All Donations'!$R$2:$R$4001,AD526,'All Donations'!$T$2:$T$4001,"&gt;="&amp;'Settings'!$C$28,'All Donations'!$T$2:$T$4001,"&lt;="&amp;'Settings'!$D$28),2),0)</f>
        <v/>
      </c>
      <c r="AU526">
        <f>IF(AE526=1,ROUND(SUMIFS('All Donations'!$S$2:$S$4001,'All Donations'!$R$2:$R$4001,AD526,'All Donations'!$T$2:$T$4001,"&gt;="&amp;'Settings'!$C$29,'All Donations'!$T$2:$T$4001,"&lt;="&amp;'Settings'!$D$29),2),0)</f>
        <v/>
      </c>
      <c r="AV526">
        <f>IF(AE526=1,ROUND(SUMIFS('All Donations'!$S$2:$S$4001,'All Donations'!$R$2:$R$4001,AD526,'All Donations'!$T$2:$T$4001,"&lt;="&amp;'Settings'!$D$30),2),0)</f>
        <v/>
      </c>
      <c r="AZ526">
        <f>IF(AE526=1,ROUND(SUMIFS('All Donations'!$S$2:$S$4001,'All Donations'!$R$2:$R$4001,AD526,'All Donations'!$T$2:$T$4001,"&lt;="&amp;'Settings'!$D$34),2),0)</f>
        <v/>
      </c>
    </row>
    <row r="527">
      <c r="A527">
        <f>IF(AE527=1,TRIM(TRIM('Roster'!B527)&amp;" "&amp;TRIM('Roster'!C527)),"")</f>
        <v/>
      </c>
      <c r="B527">
        <f>IF(AE527=1,IF(AN527="","(no teacher)",AN527&amp;" – "&amp;C527),"")</f>
        <v/>
      </c>
      <c r="C527">
        <f>IF(AE527=1,TRIM('Roster'!D527&amp;""),"")</f>
        <v/>
      </c>
      <c r="D527" s="48">
        <f>IF(AE527=1,ROUND(SUMIFS('All Donations'!$S$2:$S$4001,'All Donations'!$R$2:$R$4001,AD527),2),"")</f>
        <v/>
      </c>
      <c r="E527" s="48">
        <f>IF(AE527=1,ROUND(SUMIFS('All Donations'!$S$2:$S$4001,'All Donations'!$R$2:$R$4001,AD527,'All Donations'!$G$2:$G$4001,"OneCause"),2),"")</f>
        <v/>
      </c>
      <c r="F527" s="48">
        <f>IF(AE527=1,D527-E527,"")</f>
        <v/>
      </c>
      <c r="G527">
        <f>IF(AE527=1,COUNTIFS('All Donations'!$R$2:$R$4001,AD527,'All Donations'!$H$2:$H$4001,"OK"),"")</f>
        <v/>
      </c>
      <c r="H527">
        <f>IF(AE527&lt;&gt;1,"",IF(D527&gt;0,"Yes",""))</f>
        <v/>
      </c>
      <c r="I527" s="49">
        <f>IF(OR($AE527&lt;&gt;1,I$1=""),"",SUMIFS('All Donations'!$S$2:$S$4001,'All Donations'!$R$2:$R$4001,$AD527,'All Donations'!$T$2:$T$4001,I$1))</f>
        <v/>
      </c>
      <c r="J527" s="49">
        <f>IF(OR($AE527&lt;&gt;1,J$1=""),"",SUMIFS('All Donations'!$S$2:$S$4001,'All Donations'!$R$2:$R$4001,$AD527,'All Donations'!$T$2:$T$4001,J$1))</f>
        <v/>
      </c>
      <c r="K527" s="49">
        <f>IF(OR($AE527&lt;&gt;1,K$1=""),"",SUMIFS('All Donations'!$S$2:$S$4001,'All Donations'!$R$2:$R$4001,$AD527,'All Donations'!$T$2:$T$4001,K$1))</f>
        <v/>
      </c>
      <c r="L527" s="49">
        <f>IF(OR($AE527&lt;&gt;1,L$1=""),"",SUMIFS('All Donations'!$S$2:$S$4001,'All Donations'!$R$2:$R$4001,$AD527,'All Donations'!$T$2:$T$4001,L$1))</f>
        <v/>
      </c>
      <c r="M527" s="49">
        <f>IF(OR($AE527&lt;&gt;1,M$1=""),"",SUMIFS('All Donations'!$S$2:$S$4001,'All Donations'!$R$2:$R$4001,$AD527,'All Donations'!$T$2:$T$4001,M$1))</f>
        <v/>
      </c>
      <c r="N527" s="49">
        <f>IF(OR($AE527&lt;&gt;1,N$1=""),"",SUMIFS('All Donations'!$S$2:$S$4001,'All Donations'!$R$2:$R$4001,$AD527,'All Donations'!$T$2:$T$4001,N$1))</f>
        <v/>
      </c>
      <c r="O527" s="49">
        <f>IF(OR($AE527&lt;&gt;1,O$1=""),"",SUMIFS('All Donations'!$S$2:$S$4001,'All Donations'!$R$2:$R$4001,$AD527,'All Donations'!$T$2:$T$4001,O$1))</f>
        <v/>
      </c>
      <c r="P527" s="49">
        <f>IF(OR($AE527&lt;&gt;1,P$1=""),"",SUMIFS('All Donations'!$S$2:$S$4001,'All Donations'!$R$2:$R$4001,$AD527,'All Donations'!$T$2:$T$4001,P$1))</f>
        <v/>
      </c>
      <c r="Q527" s="49">
        <f>IF(OR($AE527&lt;&gt;1,Q$1=""),"",SUMIFS('All Donations'!$S$2:$S$4001,'All Donations'!$R$2:$R$4001,$AD527,'All Donations'!$T$2:$T$4001,Q$1))</f>
        <v/>
      </c>
      <c r="R527" s="49">
        <f>IF(OR($AE527&lt;&gt;1,R$1=""),"",SUMIFS('All Donations'!$S$2:$S$4001,'All Donations'!$R$2:$R$4001,$AD527,'All Donations'!$T$2:$T$4001,R$1))</f>
        <v/>
      </c>
      <c r="S527" s="49">
        <f>IF(OR($AE527&lt;&gt;1,S$1=""),"",SUMIFS('All Donations'!$S$2:$S$4001,'All Donations'!$R$2:$R$4001,$AD527,'All Donations'!$T$2:$T$4001,S$1))</f>
        <v/>
      </c>
      <c r="T527" s="49">
        <f>IF(OR($AE527&lt;&gt;1,T$1=""),"",SUMIFS('All Donations'!$S$2:$S$4001,'All Donations'!$R$2:$R$4001,$AD527,'All Donations'!$T$2:$T$4001,T$1))</f>
        <v/>
      </c>
      <c r="U527" s="49">
        <f>IF(OR($AE527&lt;&gt;1,U$1=""),"",SUMIFS('All Donations'!$S$2:$S$4001,'All Donations'!$R$2:$R$4001,$AD527,'All Donations'!$T$2:$T$4001,U$1))</f>
        <v/>
      </c>
      <c r="V527" s="49">
        <f>IF(OR($AE527&lt;&gt;1,V$1=""),"",SUMIFS('All Donations'!$S$2:$S$4001,'All Donations'!$R$2:$R$4001,$AD527,'All Donations'!$T$2:$T$4001,V$1))</f>
        <v/>
      </c>
      <c r="W527" s="49">
        <f>IF(OR($AE527&lt;&gt;1,W$1=""),"",SUMIFS('All Donations'!$S$2:$S$4001,'All Donations'!$R$2:$R$4001,$AD527,'All Donations'!$T$2:$T$4001,W$1))</f>
        <v/>
      </c>
      <c r="X527" s="49">
        <f>IF(OR($AE527&lt;&gt;1,X$1=""),"",SUMIFS('All Donations'!$S$2:$S$4001,'All Donations'!$R$2:$R$4001,$AD527,'All Donations'!$T$2:$T$4001,X$1))</f>
        <v/>
      </c>
      <c r="Y527" s="49">
        <f>IF(OR($AE527&lt;&gt;1,Y$1=""),"",SUMIFS('All Donations'!$S$2:$S$4001,'All Donations'!$R$2:$R$4001,$AD527,'All Donations'!$T$2:$T$4001,Y$1))</f>
        <v/>
      </c>
      <c r="Z527" s="49">
        <f>IF(OR($AE527&lt;&gt;1,Z$1=""),"",SUMIFS('All Donations'!$S$2:$S$4001,'All Donations'!$R$2:$R$4001,$AD527,'All Donations'!$T$2:$T$4001,Z$1))</f>
        <v/>
      </c>
      <c r="AA527" s="49">
        <f>IF(OR($AE527&lt;&gt;1,AA$1=""),"",SUMIFS('All Donations'!$S$2:$S$4001,'All Donations'!$R$2:$R$4001,$AD527,'All Donations'!$T$2:$T$4001,AA$1))</f>
        <v/>
      </c>
      <c r="AB527" s="49">
        <f>IF(OR($AE527&lt;&gt;1,AB$1=""),"",SUMIFS('All Donations'!$S$2:$S$4001,'All Donations'!$R$2:$R$4001,$AD527,'All Donations'!$T$2:$T$4001,AB$1))</f>
        <v/>
      </c>
      <c r="AC527" s="49">
        <f>IF(OR($AE527&lt;&gt;1,AC$1=""),"",SUMIFS('All Donations'!$S$2:$S$4001,'All Donations'!$R$2:$R$4001,$AD527,'All Donations'!$T$2:$T$4001,AC$1))</f>
        <v/>
      </c>
      <c r="AD527">
        <f>IF(AE527=1,'Roster'!A527,"")</f>
        <v/>
      </c>
      <c r="AE527">
        <f>IF(TRIM('Roster'!B527&amp;'Roster'!C527)&lt;&gt;"",1,0)</f>
        <v/>
      </c>
      <c r="AF527">
        <f>IF(AE527=1,LOWER(A527),"#")</f>
        <v/>
      </c>
      <c r="AG527">
        <f>IF(AE527=1,LOWER(TRIM(TRIM('Roster'!C527)&amp;", "&amp;TRIM('Roster'!B527))),"#")</f>
        <v/>
      </c>
      <c r="AH527">
        <f>IF(AND(AE527=1,TRIM('Roster'!F527)&lt;&gt;""),LOWER(TRIM('Roster'!F527)),"#")</f>
        <v/>
      </c>
      <c r="AI527">
        <f>IF(AE527=1,IF(MATCH(B527,$B$2:$B$701,0)=ROW()-1,1,0),0)</f>
        <v/>
      </c>
      <c r="AJ527">
        <f>AJ526+AI527</f>
        <v/>
      </c>
      <c r="AK527">
        <f>IF(AE527=1,D527+(1000-ROW())/10^7,-1)</f>
        <v/>
      </c>
      <c r="AL527">
        <f>IF(AE527=1,TRIM('Roster'!B527)&amp;" "&amp;LEFT(TRIM('Roster'!C527),1)&amp;".","")</f>
        <v/>
      </c>
      <c r="AM527">
        <f>IF(AE527=1,TRIM('Roster'!C527)&amp;", "&amp;TRIM('Roster'!B527)&amp;" ("&amp;B527&amp;") #"&amp;AD527,"")</f>
        <v/>
      </c>
      <c r="AN527">
        <f>IF(AE527=1,TRIM('Roster'!E527),"")</f>
        <v/>
      </c>
      <c r="AO527">
        <f>IF(AE527=1,ROUND(SUMIFS('All Donations'!$S$2:$S$4001,'All Donations'!$R$2:$R$4001,AD527,'All Donations'!$T$2:$T$4001,"&gt;="&amp;'Settings'!$C$23,'All Donations'!$T$2:$T$4001,"&lt;="&amp;'Settings'!$D$23),2),0)</f>
        <v/>
      </c>
      <c r="AQ527">
        <f>IF(AE527=1,ROUND(SUMIFS('All Donations'!$S$2:$S$4001,'All Donations'!$R$2:$R$4001,AD527,'All Donations'!$T$2:$T$4001,"&gt;="&amp;'Settings'!$C$25,'All Donations'!$T$2:$T$4001,"&lt;="&amp;'Settings'!$D$25),2),0)</f>
        <v/>
      </c>
      <c r="AR527">
        <f>IF(AE527=1,ROUND(SUMIFS('All Donations'!$S$2:$S$4001,'All Donations'!$R$2:$R$4001,AD527,'All Donations'!$T$2:$T$4001,"&gt;="&amp;'Settings'!$C$26,'All Donations'!$T$2:$T$4001,"&lt;="&amp;'Settings'!$D$26),2),0)</f>
        <v/>
      </c>
      <c r="AS527">
        <f>IF(AE527=1,ROUND(SUMIFS('All Donations'!$S$2:$S$4001,'All Donations'!$R$2:$R$4001,AD527,'All Donations'!$T$2:$T$4001,"&lt;="&amp;'Settings'!$D$27),2),0)</f>
        <v/>
      </c>
      <c r="AT527">
        <f>IF(AE527=1,ROUND(SUMIFS('All Donations'!$S$2:$S$4001,'All Donations'!$R$2:$R$4001,AD527,'All Donations'!$T$2:$T$4001,"&gt;="&amp;'Settings'!$C$28,'All Donations'!$T$2:$T$4001,"&lt;="&amp;'Settings'!$D$28),2),0)</f>
        <v/>
      </c>
      <c r="AU527">
        <f>IF(AE527=1,ROUND(SUMIFS('All Donations'!$S$2:$S$4001,'All Donations'!$R$2:$R$4001,AD527,'All Donations'!$T$2:$T$4001,"&gt;="&amp;'Settings'!$C$29,'All Donations'!$T$2:$T$4001,"&lt;="&amp;'Settings'!$D$29),2),0)</f>
        <v/>
      </c>
      <c r="AV527">
        <f>IF(AE527=1,ROUND(SUMIFS('All Donations'!$S$2:$S$4001,'All Donations'!$R$2:$R$4001,AD527,'All Donations'!$T$2:$T$4001,"&lt;="&amp;'Settings'!$D$30),2),0)</f>
        <v/>
      </c>
      <c r="AZ527">
        <f>IF(AE527=1,ROUND(SUMIFS('All Donations'!$S$2:$S$4001,'All Donations'!$R$2:$R$4001,AD527,'All Donations'!$T$2:$T$4001,"&lt;="&amp;'Settings'!$D$34),2),0)</f>
        <v/>
      </c>
    </row>
    <row r="528">
      <c r="A528">
        <f>IF(AE528=1,TRIM(TRIM('Roster'!B528)&amp;" "&amp;TRIM('Roster'!C528)),"")</f>
        <v/>
      </c>
      <c r="B528">
        <f>IF(AE528=1,IF(AN528="","(no teacher)",AN528&amp;" – "&amp;C528),"")</f>
        <v/>
      </c>
      <c r="C528">
        <f>IF(AE528=1,TRIM('Roster'!D528&amp;""),"")</f>
        <v/>
      </c>
      <c r="D528" s="48">
        <f>IF(AE528=1,ROUND(SUMIFS('All Donations'!$S$2:$S$4001,'All Donations'!$R$2:$R$4001,AD528),2),"")</f>
        <v/>
      </c>
      <c r="E528" s="48">
        <f>IF(AE528=1,ROUND(SUMIFS('All Donations'!$S$2:$S$4001,'All Donations'!$R$2:$R$4001,AD528,'All Donations'!$G$2:$G$4001,"OneCause"),2),"")</f>
        <v/>
      </c>
      <c r="F528" s="48">
        <f>IF(AE528=1,D528-E528,"")</f>
        <v/>
      </c>
      <c r="G528">
        <f>IF(AE528=1,COUNTIFS('All Donations'!$R$2:$R$4001,AD528,'All Donations'!$H$2:$H$4001,"OK"),"")</f>
        <v/>
      </c>
      <c r="H528">
        <f>IF(AE528&lt;&gt;1,"",IF(D528&gt;0,"Yes",""))</f>
        <v/>
      </c>
      <c r="I528" s="49">
        <f>IF(OR($AE528&lt;&gt;1,I$1=""),"",SUMIFS('All Donations'!$S$2:$S$4001,'All Donations'!$R$2:$R$4001,$AD528,'All Donations'!$T$2:$T$4001,I$1))</f>
        <v/>
      </c>
      <c r="J528" s="49">
        <f>IF(OR($AE528&lt;&gt;1,J$1=""),"",SUMIFS('All Donations'!$S$2:$S$4001,'All Donations'!$R$2:$R$4001,$AD528,'All Donations'!$T$2:$T$4001,J$1))</f>
        <v/>
      </c>
      <c r="K528" s="49">
        <f>IF(OR($AE528&lt;&gt;1,K$1=""),"",SUMIFS('All Donations'!$S$2:$S$4001,'All Donations'!$R$2:$R$4001,$AD528,'All Donations'!$T$2:$T$4001,K$1))</f>
        <v/>
      </c>
      <c r="L528" s="49">
        <f>IF(OR($AE528&lt;&gt;1,L$1=""),"",SUMIFS('All Donations'!$S$2:$S$4001,'All Donations'!$R$2:$R$4001,$AD528,'All Donations'!$T$2:$T$4001,L$1))</f>
        <v/>
      </c>
      <c r="M528" s="49">
        <f>IF(OR($AE528&lt;&gt;1,M$1=""),"",SUMIFS('All Donations'!$S$2:$S$4001,'All Donations'!$R$2:$R$4001,$AD528,'All Donations'!$T$2:$T$4001,M$1))</f>
        <v/>
      </c>
      <c r="N528" s="49">
        <f>IF(OR($AE528&lt;&gt;1,N$1=""),"",SUMIFS('All Donations'!$S$2:$S$4001,'All Donations'!$R$2:$R$4001,$AD528,'All Donations'!$T$2:$T$4001,N$1))</f>
        <v/>
      </c>
      <c r="O528" s="49">
        <f>IF(OR($AE528&lt;&gt;1,O$1=""),"",SUMIFS('All Donations'!$S$2:$S$4001,'All Donations'!$R$2:$R$4001,$AD528,'All Donations'!$T$2:$T$4001,O$1))</f>
        <v/>
      </c>
      <c r="P528" s="49">
        <f>IF(OR($AE528&lt;&gt;1,P$1=""),"",SUMIFS('All Donations'!$S$2:$S$4001,'All Donations'!$R$2:$R$4001,$AD528,'All Donations'!$T$2:$T$4001,P$1))</f>
        <v/>
      </c>
      <c r="Q528" s="49">
        <f>IF(OR($AE528&lt;&gt;1,Q$1=""),"",SUMIFS('All Donations'!$S$2:$S$4001,'All Donations'!$R$2:$R$4001,$AD528,'All Donations'!$T$2:$T$4001,Q$1))</f>
        <v/>
      </c>
      <c r="R528" s="49">
        <f>IF(OR($AE528&lt;&gt;1,R$1=""),"",SUMIFS('All Donations'!$S$2:$S$4001,'All Donations'!$R$2:$R$4001,$AD528,'All Donations'!$T$2:$T$4001,R$1))</f>
        <v/>
      </c>
      <c r="S528" s="49">
        <f>IF(OR($AE528&lt;&gt;1,S$1=""),"",SUMIFS('All Donations'!$S$2:$S$4001,'All Donations'!$R$2:$R$4001,$AD528,'All Donations'!$T$2:$T$4001,S$1))</f>
        <v/>
      </c>
      <c r="T528" s="49">
        <f>IF(OR($AE528&lt;&gt;1,T$1=""),"",SUMIFS('All Donations'!$S$2:$S$4001,'All Donations'!$R$2:$R$4001,$AD528,'All Donations'!$T$2:$T$4001,T$1))</f>
        <v/>
      </c>
      <c r="U528" s="49">
        <f>IF(OR($AE528&lt;&gt;1,U$1=""),"",SUMIFS('All Donations'!$S$2:$S$4001,'All Donations'!$R$2:$R$4001,$AD528,'All Donations'!$T$2:$T$4001,U$1))</f>
        <v/>
      </c>
      <c r="V528" s="49">
        <f>IF(OR($AE528&lt;&gt;1,V$1=""),"",SUMIFS('All Donations'!$S$2:$S$4001,'All Donations'!$R$2:$R$4001,$AD528,'All Donations'!$T$2:$T$4001,V$1))</f>
        <v/>
      </c>
      <c r="W528" s="49">
        <f>IF(OR($AE528&lt;&gt;1,W$1=""),"",SUMIFS('All Donations'!$S$2:$S$4001,'All Donations'!$R$2:$R$4001,$AD528,'All Donations'!$T$2:$T$4001,W$1))</f>
        <v/>
      </c>
      <c r="X528" s="49">
        <f>IF(OR($AE528&lt;&gt;1,X$1=""),"",SUMIFS('All Donations'!$S$2:$S$4001,'All Donations'!$R$2:$R$4001,$AD528,'All Donations'!$T$2:$T$4001,X$1))</f>
        <v/>
      </c>
      <c r="Y528" s="49">
        <f>IF(OR($AE528&lt;&gt;1,Y$1=""),"",SUMIFS('All Donations'!$S$2:$S$4001,'All Donations'!$R$2:$R$4001,$AD528,'All Donations'!$T$2:$T$4001,Y$1))</f>
        <v/>
      </c>
      <c r="Z528" s="49">
        <f>IF(OR($AE528&lt;&gt;1,Z$1=""),"",SUMIFS('All Donations'!$S$2:$S$4001,'All Donations'!$R$2:$R$4001,$AD528,'All Donations'!$T$2:$T$4001,Z$1))</f>
        <v/>
      </c>
      <c r="AA528" s="49">
        <f>IF(OR($AE528&lt;&gt;1,AA$1=""),"",SUMIFS('All Donations'!$S$2:$S$4001,'All Donations'!$R$2:$R$4001,$AD528,'All Donations'!$T$2:$T$4001,AA$1))</f>
        <v/>
      </c>
      <c r="AB528" s="49">
        <f>IF(OR($AE528&lt;&gt;1,AB$1=""),"",SUMIFS('All Donations'!$S$2:$S$4001,'All Donations'!$R$2:$R$4001,$AD528,'All Donations'!$T$2:$T$4001,AB$1))</f>
        <v/>
      </c>
      <c r="AC528" s="49">
        <f>IF(OR($AE528&lt;&gt;1,AC$1=""),"",SUMIFS('All Donations'!$S$2:$S$4001,'All Donations'!$R$2:$R$4001,$AD528,'All Donations'!$T$2:$T$4001,AC$1))</f>
        <v/>
      </c>
      <c r="AD528">
        <f>IF(AE528=1,'Roster'!A528,"")</f>
        <v/>
      </c>
      <c r="AE528">
        <f>IF(TRIM('Roster'!B528&amp;'Roster'!C528)&lt;&gt;"",1,0)</f>
        <v/>
      </c>
      <c r="AF528">
        <f>IF(AE528=1,LOWER(A528),"#")</f>
        <v/>
      </c>
      <c r="AG528">
        <f>IF(AE528=1,LOWER(TRIM(TRIM('Roster'!C528)&amp;", "&amp;TRIM('Roster'!B528))),"#")</f>
        <v/>
      </c>
      <c r="AH528">
        <f>IF(AND(AE528=1,TRIM('Roster'!F528)&lt;&gt;""),LOWER(TRIM('Roster'!F528)),"#")</f>
        <v/>
      </c>
      <c r="AI528">
        <f>IF(AE528=1,IF(MATCH(B528,$B$2:$B$701,0)=ROW()-1,1,0),0)</f>
        <v/>
      </c>
      <c r="AJ528">
        <f>AJ527+AI528</f>
        <v/>
      </c>
      <c r="AK528">
        <f>IF(AE528=1,D528+(1000-ROW())/10^7,-1)</f>
        <v/>
      </c>
      <c r="AL528">
        <f>IF(AE528=1,TRIM('Roster'!B528)&amp;" "&amp;LEFT(TRIM('Roster'!C528),1)&amp;".","")</f>
        <v/>
      </c>
      <c r="AM528">
        <f>IF(AE528=1,TRIM('Roster'!C528)&amp;", "&amp;TRIM('Roster'!B528)&amp;" ("&amp;B528&amp;") #"&amp;AD528,"")</f>
        <v/>
      </c>
      <c r="AN528">
        <f>IF(AE528=1,TRIM('Roster'!E528),"")</f>
        <v/>
      </c>
      <c r="AO528">
        <f>IF(AE528=1,ROUND(SUMIFS('All Donations'!$S$2:$S$4001,'All Donations'!$R$2:$R$4001,AD528,'All Donations'!$T$2:$T$4001,"&gt;="&amp;'Settings'!$C$23,'All Donations'!$T$2:$T$4001,"&lt;="&amp;'Settings'!$D$23),2),0)</f>
        <v/>
      </c>
      <c r="AQ528">
        <f>IF(AE528=1,ROUND(SUMIFS('All Donations'!$S$2:$S$4001,'All Donations'!$R$2:$R$4001,AD528,'All Donations'!$T$2:$T$4001,"&gt;="&amp;'Settings'!$C$25,'All Donations'!$T$2:$T$4001,"&lt;="&amp;'Settings'!$D$25),2),0)</f>
        <v/>
      </c>
      <c r="AR528">
        <f>IF(AE528=1,ROUND(SUMIFS('All Donations'!$S$2:$S$4001,'All Donations'!$R$2:$R$4001,AD528,'All Donations'!$T$2:$T$4001,"&gt;="&amp;'Settings'!$C$26,'All Donations'!$T$2:$T$4001,"&lt;="&amp;'Settings'!$D$26),2),0)</f>
        <v/>
      </c>
      <c r="AS528">
        <f>IF(AE528=1,ROUND(SUMIFS('All Donations'!$S$2:$S$4001,'All Donations'!$R$2:$R$4001,AD528,'All Donations'!$T$2:$T$4001,"&lt;="&amp;'Settings'!$D$27),2),0)</f>
        <v/>
      </c>
      <c r="AT528">
        <f>IF(AE528=1,ROUND(SUMIFS('All Donations'!$S$2:$S$4001,'All Donations'!$R$2:$R$4001,AD528,'All Donations'!$T$2:$T$4001,"&gt;="&amp;'Settings'!$C$28,'All Donations'!$T$2:$T$4001,"&lt;="&amp;'Settings'!$D$28),2),0)</f>
        <v/>
      </c>
      <c r="AU528">
        <f>IF(AE528=1,ROUND(SUMIFS('All Donations'!$S$2:$S$4001,'All Donations'!$R$2:$R$4001,AD528,'All Donations'!$T$2:$T$4001,"&gt;="&amp;'Settings'!$C$29,'All Donations'!$T$2:$T$4001,"&lt;="&amp;'Settings'!$D$29),2),0)</f>
        <v/>
      </c>
      <c r="AV528">
        <f>IF(AE528=1,ROUND(SUMIFS('All Donations'!$S$2:$S$4001,'All Donations'!$R$2:$R$4001,AD528,'All Donations'!$T$2:$T$4001,"&lt;="&amp;'Settings'!$D$30),2),0)</f>
        <v/>
      </c>
      <c r="AZ528">
        <f>IF(AE528=1,ROUND(SUMIFS('All Donations'!$S$2:$S$4001,'All Donations'!$R$2:$R$4001,AD528,'All Donations'!$T$2:$T$4001,"&lt;="&amp;'Settings'!$D$34),2),0)</f>
        <v/>
      </c>
    </row>
    <row r="529">
      <c r="A529">
        <f>IF(AE529=1,TRIM(TRIM('Roster'!B529)&amp;" "&amp;TRIM('Roster'!C529)),"")</f>
        <v/>
      </c>
      <c r="B529">
        <f>IF(AE529=1,IF(AN529="","(no teacher)",AN529&amp;" – "&amp;C529),"")</f>
        <v/>
      </c>
      <c r="C529">
        <f>IF(AE529=1,TRIM('Roster'!D529&amp;""),"")</f>
        <v/>
      </c>
      <c r="D529" s="48">
        <f>IF(AE529=1,ROUND(SUMIFS('All Donations'!$S$2:$S$4001,'All Donations'!$R$2:$R$4001,AD529),2),"")</f>
        <v/>
      </c>
      <c r="E529" s="48">
        <f>IF(AE529=1,ROUND(SUMIFS('All Donations'!$S$2:$S$4001,'All Donations'!$R$2:$R$4001,AD529,'All Donations'!$G$2:$G$4001,"OneCause"),2),"")</f>
        <v/>
      </c>
      <c r="F529" s="48">
        <f>IF(AE529=1,D529-E529,"")</f>
        <v/>
      </c>
      <c r="G529">
        <f>IF(AE529=1,COUNTIFS('All Donations'!$R$2:$R$4001,AD529,'All Donations'!$H$2:$H$4001,"OK"),"")</f>
        <v/>
      </c>
      <c r="H529">
        <f>IF(AE529&lt;&gt;1,"",IF(D529&gt;0,"Yes",""))</f>
        <v/>
      </c>
      <c r="I529" s="49">
        <f>IF(OR($AE529&lt;&gt;1,I$1=""),"",SUMIFS('All Donations'!$S$2:$S$4001,'All Donations'!$R$2:$R$4001,$AD529,'All Donations'!$T$2:$T$4001,I$1))</f>
        <v/>
      </c>
      <c r="J529" s="49">
        <f>IF(OR($AE529&lt;&gt;1,J$1=""),"",SUMIFS('All Donations'!$S$2:$S$4001,'All Donations'!$R$2:$R$4001,$AD529,'All Donations'!$T$2:$T$4001,J$1))</f>
        <v/>
      </c>
      <c r="K529" s="49">
        <f>IF(OR($AE529&lt;&gt;1,K$1=""),"",SUMIFS('All Donations'!$S$2:$S$4001,'All Donations'!$R$2:$R$4001,$AD529,'All Donations'!$T$2:$T$4001,K$1))</f>
        <v/>
      </c>
      <c r="L529" s="49">
        <f>IF(OR($AE529&lt;&gt;1,L$1=""),"",SUMIFS('All Donations'!$S$2:$S$4001,'All Donations'!$R$2:$R$4001,$AD529,'All Donations'!$T$2:$T$4001,L$1))</f>
        <v/>
      </c>
      <c r="M529" s="49">
        <f>IF(OR($AE529&lt;&gt;1,M$1=""),"",SUMIFS('All Donations'!$S$2:$S$4001,'All Donations'!$R$2:$R$4001,$AD529,'All Donations'!$T$2:$T$4001,M$1))</f>
        <v/>
      </c>
      <c r="N529" s="49">
        <f>IF(OR($AE529&lt;&gt;1,N$1=""),"",SUMIFS('All Donations'!$S$2:$S$4001,'All Donations'!$R$2:$R$4001,$AD529,'All Donations'!$T$2:$T$4001,N$1))</f>
        <v/>
      </c>
      <c r="O529" s="49">
        <f>IF(OR($AE529&lt;&gt;1,O$1=""),"",SUMIFS('All Donations'!$S$2:$S$4001,'All Donations'!$R$2:$R$4001,$AD529,'All Donations'!$T$2:$T$4001,O$1))</f>
        <v/>
      </c>
      <c r="P529" s="49">
        <f>IF(OR($AE529&lt;&gt;1,P$1=""),"",SUMIFS('All Donations'!$S$2:$S$4001,'All Donations'!$R$2:$R$4001,$AD529,'All Donations'!$T$2:$T$4001,P$1))</f>
        <v/>
      </c>
      <c r="Q529" s="49">
        <f>IF(OR($AE529&lt;&gt;1,Q$1=""),"",SUMIFS('All Donations'!$S$2:$S$4001,'All Donations'!$R$2:$R$4001,$AD529,'All Donations'!$T$2:$T$4001,Q$1))</f>
        <v/>
      </c>
      <c r="R529" s="49">
        <f>IF(OR($AE529&lt;&gt;1,R$1=""),"",SUMIFS('All Donations'!$S$2:$S$4001,'All Donations'!$R$2:$R$4001,$AD529,'All Donations'!$T$2:$T$4001,R$1))</f>
        <v/>
      </c>
      <c r="S529" s="49">
        <f>IF(OR($AE529&lt;&gt;1,S$1=""),"",SUMIFS('All Donations'!$S$2:$S$4001,'All Donations'!$R$2:$R$4001,$AD529,'All Donations'!$T$2:$T$4001,S$1))</f>
        <v/>
      </c>
      <c r="T529" s="49">
        <f>IF(OR($AE529&lt;&gt;1,T$1=""),"",SUMIFS('All Donations'!$S$2:$S$4001,'All Donations'!$R$2:$R$4001,$AD529,'All Donations'!$T$2:$T$4001,T$1))</f>
        <v/>
      </c>
      <c r="U529" s="49">
        <f>IF(OR($AE529&lt;&gt;1,U$1=""),"",SUMIFS('All Donations'!$S$2:$S$4001,'All Donations'!$R$2:$R$4001,$AD529,'All Donations'!$T$2:$T$4001,U$1))</f>
        <v/>
      </c>
      <c r="V529" s="49">
        <f>IF(OR($AE529&lt;&gt;1,V$1=""),"",SUMIFS('All Donations'!$S$2:$S$4001,'All Donations'!$R$2:$R$4001,$AD529,'All Donations'!$T$2:$T$4001,V$1))</f>
        <v/>
      </c>
      <c r="W529" s="49">
        <f>IF(OR($AE529&lt;&gt;1,W$1=""),"",SUMIFS('All Donations'!$S$2:$S$4001,'All Donations'!$R$2:$R$4001,$AD529,'All Donations'!$T$2:$T$4001,W$1))</f>
        <v/>
      </c>
      <c r="X529" s="49">
        <f>IF(OR($AE529&lt;&gt;1,X$1=""),"",SUMIFS('All Donations'!$S$2:$S$4001,'All Donations'!$R$2:$R$4001,$AD529,'All Donations'!$T$2:$T$4001,X$1))</f>
        <v/>
      </c>
      <c r="Y529" s="49">
        <f>IF(OR($AE529&lt;&gt;1,Y$1=""),"",SUMIFS('All Donations'!$S$2:$S$4001,'All Donations'!$R$2:$R$4001,$AD529,'All Donations'!$T$2:$T$4001,Y$1))</f>
        <v/>
      </c>
      <c r="Z529" s="49">
        <f>IF(OR($AE529&lt;&gt;1,Z$1=""),"",SUMIFS('All Donations'!$S$2:$S$4001,'All Donations'!$R$2:$R$4001,$AD529,'All Donations'!$T$2:$T$4001,Z$1))</f>
        <v/>
      </c>
      <c r="AA529" s="49">
        <f>IF(OR($AE529&lt;&gt;1,AA$1=""),"",SUMIFS('All Donations'!$S$2:$S$4001,'All Donations'!$R$2:$R$4001,$AD529,'All Donations'!$T$2:$T$4001,AA$1))</f>
        <v/>
      </c>
      <c r="AB529" s="49">
        <f>IF(OR($AE529&lt;&gt;1,AB$1=""),"",SUMIFS('All Donations'!$S$2:$S$4001,'All Donations'!$R$2:$R$4001,$AD529,'All Donations'!$T$2:$T$4001,AB$1))</f>
        <v/>
      </c>
      <c r="AC529" s="49">
        <f>IF(OR($AE529&lt;&gt;1,AC$1=""),"",SUMIFS('All Donations'!$S$2:$S$4001,'All Donations'!$R$2:$R$4001,$AD529,'All Donations'!$T$2:$T$4001,AC$1))</f>
        <v/>
      </c>
      <c r="AD529">
        <f>IF(AE529=1,'Roster'!A529,"")</f>
        <v/>
      </c>
      <c r="AE529">
        <f>IF(TRIM('Roster'!B529&amp;'Roster'!C529)&lt;&gt;"",1,0)</f>
        <v/>
      </c>
      <c r="AF529">
        <f>IF(AE529=1,LOWER(A529),"#")</f>
        <v/>
      </c>
      <c r="AG529">
        <f>IF(AE529=1,LOWER(TRIM(TRIM('Roster'!C529)&amp;", "&amp;TRIM('Roster'!B529))),"#")</f>
        <v/>
      </c>
      <c r="AH529">
        <f>IF(AND(AE529=1,TRIM('Roster'!F529)&lt;&gt;""),LOWER(TRIM('Roster'!F529)),"#")</f>
        <v/>
      </c>
      <c r="AI529">
        <f>IF(AE529=1,IF(MATCH(B529,$B$2:$B$701,0)=ROW()-1,1,0),0)</f>
        <v/>
      </c>
      <c r="AJ529">
        <f>AJ528+AI529</f>
        <v/>
      </c>
      <c r="AK529">
        <f>IF(AE529=1,D529+(1000-ROW())/10^7,-1)</f>
        <v/>
      </c>
      <c r="AL529">
        <f>IF(AE529=1,TRIM('Roster'!B529)&amp;" "&amp;LEFT(TRIM('Roster'!C529),1)&amp;".","")</f>
        <v/>
      </c>
      <c r="AM529">
        <f>IF(AE529=1,TRIM('Roster'!C529)&amp;", "&amp;TRIM('Roster'!B529)&amp;" ("&amp;B529&amp;") #"&amp;AD529,"")</f>
        <v/>
      </c>
      <c r="AN529">
        <f>IF(AE529=1,TRIM('Roster'!E529),"")</f>
        <v/>
      </c>
      <c r="AO529">
        <f>IF(AE529=1,ROUND(SUMIFS('All Donations'!$S$2:$S$4001,'All Donations'!$R$2:$R$4001,AD529,'All Donations'!$T$2:$T$4001,"&gt;="&amp;'Settings'!$C$23,'All Donations'!$T$2:$T$4001,"&lt;="&amp;'Settings'!$D$23),2),0)</f>
        <v/>
      </c>
      <c r="AQ529">
        <f>IF(AE529=1,ROUND(SUMIFS('All Donations'!$S$2:$S$4001,'All Donations'!$R$2:$R$4001,AD529,'All Donations'!$T$2:$T$4001,"&gt;="&amp;'Settings'!$C$25,'All Donations'!$T$2:$T$4001,"&lt;="&amp;'Settings'!$D$25),2),0)</f>
        <v/>
      </c>
      <c r="AR529">
        <f>IF(AE529=1,ROUND(SUMIFS('All Donations'!$S$2:$S$4001,'All Donations'!$R$2:$R$4001,AD529,'All Donations'!$T$2:$T$4001,"&gt;="&amp;'Settings'!$C$26,'All Donations'!$T$2:$T$4001,"&lt;="&amp;'Settings'!$D$26),2),0)</f>
        <v/>
      </c>
      <c r="AS529">
        <f>IF(AE529=1,ROUND(SUMIFS('All Donations'!$S$2:$S$4001,'All Donations'!$R$2:$R$4001,AD529,'All Donations'!$T$2:$T$4001,"&lt;="&amp;'Settings'!$D$27),2),0)</f>
        <v/>
      </c>
      <c r="AT529">
        <f>IF(AE529=1,ROUND(SUMIFS('All Donations'!$S$2:$S$4001,'All Donations'!$R$2:$R$4001,AD529,'All Donations'!$T$2:$T$4001,"&gt;="&amp;'Settings'!$C$28,'All Donations'!$T$2:$T$4001,"&lt;="&amp;'Settings'!$D$28),2),0)</f>
        <v/>
      </c>
      <c r="AU529">
        <f>IF(AE529=1,ROUND(SUMIFS('All Donations'!$S$2:$S$4001,'All Donations'!$R$2:$R$4001,AD529,'All Donations'!$T$2:$T$4001,"&gt;="&amp;'Settings'!$C$29,'All Donations'!$T$2:$T$4001,"&lt;="&amp;'Settings'!$D$29),2),0)</f>
        <v/>
      </c>
      <c r="AV529">
        <f>IF(AE529=1,ROUND(SUMIFS('All Donations'!$S$2:$S$4001,'All Donations'!$R$2:$R$4001,AD529,'All Donations'!$T$2:$T$4001,"&lt;="&amp;'Settings'!$D$30),2),0)</f>
        <v/>
      </c>
      <c r="AZ529">
        <f>IF(AE529=1,ROUND(SUMIFS('All Donations'!$S$2:$S$4001,'All Donations'!$R$2:$R$4001,AD529,'All Donations'!$T$2:$T$4001,"&lt;="&amp;'Settings'!$D$34),2),0)</f>
        <v/>
      </c>
    </row>
    <row r="530">
      <c r="A530">
        <f>IF(AE530=1,TRIM(TRIM('Roster'!B530)&amp;" "&amp;TRIM('Roster'!C530)),"")</f>
        <v/>
      </c>
      <c r="B530">
        <f>IF(AE530=1,IF(AN530="","(no teacher)",AN530&amp;" – "&amp;C530),"")</f>
        <v/>
      </c>
      <c r="C530">
        <f>IF(AE530=1,TRIM('Roster'!D530&amp;""),"")</f>
        <v/>
      </c>
      <c r="D530" s="48">
        <f>IF(AE530=1,ROUND(SUMIFS('All Donations'!$S$2:$S$4001,'All Donations'!$R$2:$R$4001,AD530),2),"")</f>
        <v/>
      </c>
      <c r="E530" s="48">
        <f>IF(AE530=1,ROUND(SUMIFS('All Donations'!$S$2:$S$4001,'All Donations'!$R$2:$R$4001,AD530,'All Donations'!$G$2:$G$4001,"OneCause"),2),"")</f>
        <v/>
      </c>
      <c r="F530" s="48">
        <f>IF(AE530=1,D530-E530,"")</f>
        <v/>
      </c>
      <c r="G530">
        <f>IF(AE530=1,COUNTIFS('All Donations'!$R$2:$R$4001,AD530,'All Donations'!$H$2:$H$4001,"OK"),"")</f>
        <v/>
      </c>
      <c r="H530">
        <f>IF(AE530&lt;&gt;1,"",IF(D530&gt;0,"Yes",""))</f>
        <v/>
      </c>
      <c r="I530" s="49">
        <f>IF(OR($AE530&lt;&gt;1,I$1=""),"",SUMIFS('All Donations'!$S$2:$S$4001,'All Donations'!$R$2:$R$4001,$AD530,'All Donations'!$T$2:$T$4001,I$1))</f>
        <v/>
      </c>
      <c r="J530" s="49">
        <f>IF(OR($AE530&lt;&gt;1,J$1=""),"",SUMIFS('All Donations'!$S$2:$S$4001,'All Donations'!$R$2:$R$4001,$AD530,'All Donations'!$T$2:$T$4001,J$1))</f>
        <v/>
      </c>
      <c r="K530" s="49">
        <f>IF(OR($AE530&lt;&gt;1,K$1=""),"",SUMIFS('All Donations'!$S$2:$S$4001,'All Donations'!$R$2:$R$4001,$AD530,'All Donations'!$T$2:$T$4001,K$1))</f>
        <v/>
      </c>
      <c r="L530" s="49">
        <f>IF(OR($AE530&lt;&gt;1,L$1=""),"",SUMIFS('All Donations'!$S$2:$S$4001,'All Donations'!$R$2:$R$4001,$AD530,'All Donations'!$T$2:$T$4001,L$1))</f>
        <v/>
      </c>
      <c r="M530" s="49">
        <f>IF(OR($AE530&lt;&gt;1,M$1=""),"",SUMIFS('All Donations'!$S$2:$S$4001,'All Donations'!$R$2:$R$4001,$AD530,'All Donations'!$T$2:$T$4001,M$1))</f>
        <v/>
      </c>
      <c r="N530" s="49">
        <f>IF(OR($AE530&lt;&gt;1,N$1=""),"",SUMIFS('All Donations'!$S$2:$S$4001,'All Donations'!$R$2:$R$4001,$AD530,'All Donations'!$T$2:$T$4001,N$1))</f>
        <v/>
      </c>
      <c r="O530" s="49">
        <f>IF(OR($AE530&lt;&gt;1,O$1=""),"",SUMIFS('All Donations'!$S$2:$S$4001,'All Donations'!$R$2:$R$4001,$AD530,'All Donations'!$T$2:$T$4001,O$1))</f>
        <v/>
      </c>
      <c r="P530" s="49">
        <f>IF(OR($AE530&lt;&gt;1,P$1=""),"",SUMIFS('All Donations'!$S$2:$S$4001,'All Donations'!$R$2:$R$4001,$AD530,'All Donations'!$T$2:$T$4001,P$1))</f>
        <v/>
      </c>
      <c r="Q530" s="49">
        <f>IF(OR($AE530&lt;&gt;1,Q$1=""),"",SUMIFS('All Donations'!$S$2:$S$4001,'All Donations'!$R$2:$R$4001,$AD530,'All Donations'!$T$2:$T$4001,Q$1))</f>
        <v/>
      </c>
      <c r="R530" s="49">
        <f>IF(OR($AE530&lt;&gt;1,R$1=""),"",SUMIFS('All Donations'!$S$2:$S$4001,'All Donations'!$R$2:$R$4001,$AD530,'All Donations'!$T$2:$T$4001,R$1))</f>
        <v/>
      </c>
      <c r="S530" s="49">
        <f>IF(OR($AE530&lt;&gt;1,S$1=""),"",SUMIFS('All Donations'!$S$2:$S$4001,'All Donations'!$R$2:$R$4001,$AD530,'All Donations'!$T$2:$T$4001,S$1))</f>
        <v/>
      </c>
      <c r="T530" s="49">
        <f>IF(OR($AE530&lt;&gt;1,T$1=""),"",SUMIFS('All Donations'!$S$2:$S$4001,'All Donations'!$R$2:$R$4001,$AD530,'All Donations'!$T$2:$T$4001,T$1))</f>
        <v/>
      </c>
      <c r="U530" s="49">
        <f>IF(OR($AE530&lt;&gt;1,U$1=""),"",SUMIFS('All Donations'!$S$2:$S$4001,'All Donations'!$R$2:$R$4001,$AD530,'All Donations'!$T$2:$T$4001,U$1))</f>
        <v/>
      </c>
      <c r="V530" s="49">
        <f>IF(OR($AE530&lt;&gt;1,V$1=""),"",SUMIFS('All Donations'!$S$2:$S$4001,'All Donations'!$R$2:$R$4001,$AD530,'All Donations'!$T$2:$T$4001,V$1))</f>
        <v/>
      </c>
      <c r="W530" s="49">
        <f>IF(OR($AE530&lt;&gt;1,W$1=""),"",SUMIFS('All Donations'!$S$2:$S$4001,'All Donations'!$R$2:$R$4001,$AD530,'All Donations'!$T$2:$T$4001,W$1))</f>
        <v/>
      </c>
      <c r="X530" s="49">
        <f>IF(OR($AE530&lt;&gt;1,X$1=""),"",SUMIFS('All Donations'!$S$2:$S$4001,'All Donations'!$R$2:$R$4001,$AD530,'All Donations'!$T$2:$T$4001,X$1))</f>
        <v/>
      </c>
      <c r="Y530" s="49">
        <f>IF(OR($AE530&lt;&gt;1,Y$1=""),"",SUMIFS('All Donations'!$S$2:$S$4001,'All Donations'!$R$2:$R$4001,$AD530,'All Donations'!$T$2:$T$4001,Y$1))</f>
        <v/>
      </c>
      <c r="Z530" s="49">
        <f>IF(OR($AE530&lt;&gt;1,Z$1=""),"",SUMIFS('All Donations'!$S$2:$S$4001,'All Donations'!$R$2:$R$4001,$AD530,'All Donations'!$T$2:$T$4001,Z$1))</f>
        <v/>
      </c>
      <c r="AA530" s="49">
        <f>IF(OR($AE530&lt;&gt;1,AA$1=""),"",SUMIFS('All Donations'!$S$2:$S$4001,'All Donations'!$R$2:$R$4001,$AD530,'All Donations'!$T$2:$T$4001,AA$1))</f>
        <v/>
      </c>
      <c r="AB530" s="49">
        <f>IF(OR($AE530&lt;&gt;1,AB$1=""),"",SUMIFS('All Donations'!$S$2:$S$4001,'All Donations'!$R$2:$R$4001,$AD530,'All Donations'!$T$2:$T$4001,AB$1))</f>
        <v/>
      </c>
      <c r="AC530" s="49">
        <f>IF(OR($AE530&lt;&gt;1,AC$1=""),"",SUMIFS('All Donations'!$S$2:$S$4001,'All Donations'!$R$2:$R$4001,$AD530,'All Donations'!$T$2:$T$4001,AC$1))</f>
        <v/>
      </c>
      <c r="AD530">
        <f>IF(AE530=1,'Roster'!A530,"")</f>
        <v/>
      </c>
      <c r="AE530">
        <f>IF(TRIM('Roster'!B530&amp;'Roster'!C530)&lt;&gt;"",1,0)</f>
        <v/>
      </c>
      <c r="AF530">
        <f>IF(AE530=1,LOWER(A530),"#")</f>
        <v/>
      </c>
      <c r="AG530">
        <f>IF(AE530=1,LOWER(TRIM(TRIM('Roster'!C530)&amp;", "&amp;TRIM('Roster'!B530))),"#")</f>
        <v/>
      </c>
      <c r="AH530">
        <f>IF(AND(AE530=1,TRIM('Roster'!F530)&lt;&gt;""),LOWER(TRIM('Roster'!F530)),"#")</f>
        <v/>
      </c>
      <c r="AI530">
        <f>IF(AE530=1,IF(MATCH(B530,$B$2:$B$701,0)=ROW()-1,1,0),0)</f>
        <v/>
      </c>
      <c r="AJ530">
        <f>AJ529+AI530</f>
        <v/>
      </c>
      <c r="AK530">
        <f>IF(AE530=1,D530+(1000-ROW())/10^7,-1)</f>
        <v/>
      </c>
      <c r="AL530">
        <f>IF(AE530=1,TRIM('Roster'!B530)&amp;" "&amp;LEFT(TRIM('Roster'!C530),1)&amp;".","")</f>
        <v/>
      </c>
      <c r="AM530">
        <f>IF(AE530=1,TRIM('Roster'!C530)&amp;", "&amp;TRIM('Roster'!B530)&amp;" ("&amp;B530&amp;") #"&amp;AD530,"")</f>
        <v/>
      </c>
      <c r="AN530">
        <f>IF(AE530=1,TRIM('Roster'!E530),"")</f>
        <v/>
      </c>
      <c r="AO530">
        <f>IF(AE530=1,ROUND(SUMIFS('All Donations'!$S$2:$S$4001,'All Donations'!$R$2:$R$4001,AD530,'All Donations'!$T$2:$T$4001,"&gt;="&amp;'Settings'!$C$23,'All Donations'!$T$2:$T$4001,"&lt;="&amp;'Settings'!$D$23),2),0)</f>
        <v/>
      </c>
      <c r="AQ530">
        <f>IF(AE530=1,ROUND(SUMIFS('All Donations'!$S$2:$S$4001,'All Donations'!$R$2:$R$4001,AD530,'All Donations'!$T$2:$T$4001,"&gt;="&amp;'Settings'!$C$25,'All Donations'!$T$2:$T$4001,"&lt;="&amp;'Settings'!$D$25),2),0)</f>
        <v/>
      </c>
      <c r="AR530">
        <f>IF(AE530=1,ROUND(SUMIFS('All Donations'!$S$2:$S$4001,'All Donations'!$R$2:$R$4001,AD530,'All Donations'!$T$2:$T$4001,"&gt;="&amp;'Settings'!$C$26,'All Donations'!$T$2:$T$4001,"&lt;="&amp;'Settings'!$D$26),2),0)</f>
        <v/>
      </c>
      <c r="AS530">
        <f>IF(AE530=1,ROUND(SUMIFS('All Donations'!$S$2:$S$4001,'All Donations'!$R$2:$R$4001,AD530,'All Donations'!$T$2:$T$4001,"&lt;="&amp;'Settings'!$D$27),2),0)</f>
        <v/>
      </c>
      <c r="AT530">
        <f>IF(AE530=1,ROUND(SUMIFS('All Donations'!$S$2:$S$4001,'All Donations'!$R$2:$R$4001,AD530,'All Donations'!$T$2:$T$4001,"&gt;="&amp;'Settings'!$C$28,'All Donations'!$T$2:$T$4001,"&lt;="&amp;'Settings'!$D$28),2),0)</f>
        <v/>
      </c>
      <c r="AU530">
        <f>IF(AE530=1,ROUND(SUMIFS('All Donations'!$S$2:$S$4001,'All Donations'!$R$2:$R$4001,AD530,'All Donations'!$T$2:$T$4001,"&gt;="&amp;'Settings'!$C$29,'All Donations'!$T$2:$T$4001,"&lt;="&amp;'Settings'!$D$29),2),0)</f>
        <v/>
      </c>
      <c r="AV530">
        <f>IF(AE530=1,ROUND(SUMIFS('All Donations'!$S$2:$S$4001,'All Donations'!$R$2:$R$4001,AD530,'All Donations'!$T$2:$T$4001,"&lt;="&amp;'Settings'!$D$30),2),0)</f>
        <v/>
      </c>
      <c r="AZ530">
        <f>IF(AE530=1,ROUND(SUMIFS('All Donations'!$S$2:$S$4001,'All Donations'!$R$2:$R$4001,AD530,'All Donations'!$T$2:$T$4001,"&lt;="&amp;'Settings'!$D$34),2),0)</f>
        <v/>
      </c>
    </row>
    <row r="531">
      <c r="A531">
        <f>IF(AE531=1,TRIM(TRIM('Roster'!B531)&amp;" "&amp;TRIM('Roster'!C531)),"")</f>
        <v/>
      </c>
      <c r="B531">
        <f>IF(AE531=1,IF(AN531="","(no teacher)",AN531&amp;" – "&amp;C531),"")</f>
        <v/>
      </c>
      <c r="C531">
        <f>IF(AE531=1,TRIM('Roster'!D531&amp;""),"")</f>
        <v/>
      </c>
      <c r="D531" s="48">
        <f>IF(AE531=1,ROUND(SUMIFS('All Donations'!$S$2:$S$4001,'All Donations'!$R$2:$R$4001,AD531),2),"")</f>
        <v/>
      </c>
      <c r="E531" s="48">
        <f>IF(AE531=1,ROUND(SUMIFS('All Donations'!$S$2:$S$4001,'All Donations'!$R$2:$R$4001,AD531,'All Donations'!$G$2:$G$4001,"OneCause"),2),"")</f>
        <v/>
      </c>
      <c r="F531" s="48">
        <f>IF(AE531=1,D531-E531,"")</f>
        <v/>
      </c>
      <c r="G531">
        <f>IF(AE531=1,COUNTIFS('All Donations'!$R$2:$R$4001,AD531,'All Donations'!$H$2:$H$4001,"OK"),"")</f>
        <v/>
      </c>
      <c r="H531">
        <f>IF(AE531&lt;&gt;1,"",IF(D531&gt;0,"Yes",""))</f>
        <v/>
      </c>
      <c r="I531" s="49">
        <f>IF(OR($AE531&lt;&gt;1,I$1=""),"",SUMIFS('All Donations'!$S$2:$S$4001,'All Donations'!$R$2:$R$4001,$AD531,'All Donations'!$T$2:$T$4001,I$1))</f>
        <v/>
      </c>
      <c r="J531" s="49">
        <f>IF(OR($AE531&lt;&gt;1,J$1=""),"",SUMIFS('All Donations'!$S$2:$S$4001,'All Donations'!$R$2:$R$4001,$AD531,'All Donations'!$T$2:$T$4001,J$1))</f>
        <v/>
      </c>
      <c r="K531" s="49">
        <f>IF(OR($AE531&lt;&gt;1,K$1=""),"",SUMIFS('All Donations'!$S$2:$S$4001,'All Donations'!$R$2:$R$4001,$AD531,'All Donations'!$T$2:$T$4001,K$1))</f>
        <v/>
      </c>
      <c r="L531" s="49">
        <f>IF(OR($AE531&lt;&gt;1,L$1=""),"",SUMIFS('All Donations'!$S$2:$S$4001,'All Donations'!$R$2:$R$4001,$AD531,'All Donations'!$T$2:$T$4001,L$1))</f>
        <v/>
      </c>
      <c r="M531" s="49">
        <f>IF(OR($AE531&lt;&gt;1,M$1=""),"",SUMIFS('All Donations'!$S$2:$S$4001,'All Donations'!$R$2:$R$4001,$AD531,'All Donations'!$T$2:$T$4001,M$1))</f>
        <v/>
      </c>
      <c r="N531" s="49">
        <f>IF(OR($AE531&lt;&gt;1,N$1=""),"",SUMIFS('All Donations'!$S$2:$S$4001,'All Donations'!$R$2:$R$4001,$AD531,'All Donations'!$T$2:$T$4001,N$1))</f>
        <v/>
      </c>
      <c r="O531" s="49">
        <f>IF(OR($AE531&lt;&gt;1,O$1=""),"",SUMIFS('All Donations'!$S$2:$S$4001,'All Donations'!$R$2:$R$4001,$AD531,'All Donations'!$T$2:$T$4001,O$1))</f>
        <v/>
      </c>
      <c r="P531" s="49">
        <f>IF(OR($AE531&lt;&gt;1,P$1=""),"",SUMIFS('All Donations'!$S$2:$S$4001,'All Donations'!$R$2:$R$4001,$AD531,'All Donations'!$T$2:$T$4001,P$1))</f>
        <v/>
      </c>
      <c r="Q531" s="49">
        <f>IF(OR($AE531&lt;&gt;1,Q$1=""),"",SUMIFS('All Donations'!$S$2:$S$4001,'All Donations'!$R$2:$R$4001,$AD531,'All Donations'!$T$2:$T$4001,Q$1))</f>
        <v/>
      </c>
      <c r="R531" s="49">
        <f>IF(OR($AE531&lt;&gt;1,R$1=""),"",SUMIFS('All Donations'!$S$2:$S$4001,'All Donations'!$R$2:$R$4001,$AD531,'All Donations'!$T$2:$T$4001,R$1))</f>
        <v/>
      </c>
      <c r="S531" s="49">
        <f>IF(OR($AE531&lt;&gt;1,S$1=""),"",SUMIFS('All Donations'!$S$2:$S$4001,'All Donations'!$R$2:$R$4001,$AD531,'All Donations'!$T$2:$T$4001,S$1))</f>
        <v/>
      </c>
      <c r="T531" s="49">
        <f>IF(OR($AE531&lt;&gt;1,T$1=""),"",SUMIFS('All Donations'!$S$2:$S$4001,'All Donations'!$R$2:$R$4001,$AD531,'All Donations'!$T$2:$T$4001,T$1))</f>
        <v/>
      </c>
      <c r="U531" s="49">
        <f>IF(OR($AE531&lt;&gt;1,U$1=""),"",SUMIFS('All Donations'!$S$2:$S$4001,'All Donations'!$R$2:$R$4001,$AD531,'All Donations'!$T$2:$T$4001,U$1))</f>
        <v/>
      </c>
      <c r="V531" s="49">
        <f>IF(OR($AE531&lt;&gt;1,V$1=""),"",SUMIFS('All Donations'!$S$2:$S$4001,'All Donations'!$R$2:$R$4001,$AD531,'All Donations'!$T$2:$T$4001,V$1))</f>
        <v/>
      </c>
      <c r="W531" s="49">
        <f>IF(OR($AE531&lt;&gt;1,W$1=""),"",SUMIFS('All Donations'!$S$2:$S$4001,'All Donations'!$R$2:$R$4001,$AD531,'All Donations'!$T$2:$T$4001,W$1))</f>
        <v/>
      </c>
      <c r="X531" s="49">
        <f>IF(OR($AE531&lt;&gt;1,X$1=""),"",SUMIFS('All Donations'!$S$2:$S$4001,'All Donations'!$R$2:$R$4001,$AD531,'All Donations'!$T$2:$T$4001,X$1))</f>
        <v/>
      </c>
      <c r="Y531" s="49">
        <f>IF(OR($AE531&lt;&gt;1,Y$1=""),"",SUMIFS('All Donations'!$S$2:$S$4001,'All Donations'!$R$2:$R$4001,$AD531,'All Donations'!$T$2:$T$4001,Y$1))</f>
        <v/>
      </c>
      <c r="Z531" s="49">
        <f>IF(OR($AE531&lt;&gt;1,Z$1=""),"",SUMIFS('All Donations'!$S$2:$S$4001,'All Donations'!$R$2:$R$4001,$AD531,'All Donations'!$T$2:$T$4001,Z$1))</f>
        <v/>
      </c>
      <c r="AA531" s="49">
        <f>IF(OR($AE531&lt;&gt;1,AA$1=""),"",SUMIFS('All Donations'!$S$2:$S$4001,'All Donations'!$R$2:$R$4001,$AD531,'All Donations'!$T$2:$T$4001,AA$1))</f>
        <v/>
      </c>
      <c r="AB531" s="49">
        <f>IF(OR($AE531&lt;&gt;1,AB$1=""),"",SUMIFS('All Donations'!$S$2:$S$4001,'All Donations'!$R$2:$R$4001,$AD531,'All Donations'!$T$2:$T$4001,AB$1))</f>
        <v/>
      </c>
      <c r="AC531" s="49">
        <f>IF(OR($AE531&lt;&gt;1,AC$1=""),"",SUMIFS('All Donations'!$S$2:$S$4001,'All Donations'!$R$2:$R$4001,$AD531,'All Donations'!$T$2:$T$4001,AC$1))</f>
        <v/>
      </c>
      <c r="AD531">
        <f>IF(AE531=1,'Roster'!A531,"")</f>
        <v/>
      </c>
      <c r="AE531">
        <f>IF(TRIM('Roster'!B531&amp;'Roster'!C531)&lt;&gt;"",1,0)</f>
        <v/>
      </c>
      <c r="AF531">
        <f>IF(AE531=1,LOWER(A531),"#")</f>
        <v/>
      </c>
      <c r="AG531">
        <f>IF(AE531=1,LOWER(TRIM(TRIM('Roster'!C531)&amp;", "&amp;TRIM('Roster'!B531))),"#")</f>
        <v/>
      </c>
      <c r="AH531">
        <f>IF(AND(AE531=1,TRIM('Roster'!F531)&lt;&gt;""),LOWER(TRIM('Roster'!F531)),"#")</f>
        <v/>
      </c>
      <c r="AI531">
        <f>IF(AE531=1,IF(MATCH(B531,$B$2:$B$701,0)=ROW()-1,1,0),0)</f>
        <v/>
      </c>
      <c r="AJ531">
        <f>AJ530+AI531</f>
        <v/>
      </c>
      <c r="AK531">
        <f>IF(AE531=1,D531+(1000-ROW())/10^7,-1)</f>
        <v/>
      </c>
      <c r="AL531">
        <f>IF(AE531=1,TRIM('Roster'!B531)&amp;" "&amp;LEFT(TRIM('Roster'!C531),1)&amp;".","")</f>
        <v/>
      </c>
      <c r="AM531">
        <f>IF(AE531=1,TRIM('Roster'!C531)&amp;", "&amp;TRIM('Roster'!B531)&amp;" ("&amp;B531&amp;") #"&amp;AD531,"")</f>
        <v/>
      </c>
      <c r="AN531">
        <f>IF(AE531=1,TRIM('Roster'!E531),"")</f>
        <v/>
      </c>
      <c r="AO531">
        <f>IF(AE531=1,ROUND(SUMIFS('All Donations'!$S$2:$S$4001,'All Donations'!$R$2:$R$4001,AD531,'All Donations'!$T$2:$T$4001,"&gt;="&amp;'Settings'!$C$23,'All Donations'!$T$2:$T$4001,"&lt;="&amp;'Settings'!$D$23),2),0)</f>
        <v/>
      </c>
      <c r="AQ531">
        <f>IF(AE531=1,ROUND(SUMIFS('All Donations'!$S$2:$S$4001,'All Donations'!$R$2:$R$4001,AD531,'All Donations'!$T$2:$T$4001,"&gt;="&amp;'Settings'!$C$25,'All Donations'!$T$2:$T$4001,"&lt;="&amp;'Settings'!$D$25),2),0)</f>
        <v/>
      </c>
      <c r="AR531">
        <f>IF(AE531=1,ROUND(SUMIFS('All Donations'!$S$2:$S$4001,'All Donations'!$R$2:$R$4001,AD531,'All Donations'!$T$2:$T$4001,"&gt;="&amp;'Settings'!$C$26,'All Donations'!$T$2:$T$4001,"&lt;="&amp;'Settings'!$D$26),2),0)</f>
        <v/>
      </c>
      <c r="AS531">
        <f>IF(AE531=1,ROUND(SUMIFS('All Donations'!$S$2:$S$4001,'All Donations'!$R$2:$R$4001,AD531,'All Donations'!$T$2:$T$4001,"&lt;="&amp;'Settings'!$D$27),2),0)</f>
        <v/>
      </c>
      <c r="AT531">
        <f>IF(AE531=1,ROUND(SUMIFS('All Donations'!$S$2:$S$4001,'All Donations'!$R$2:$R$4001,AD531,'All Donations'!$T$2:$T$4001,"&gt;="&amp;'Settings'!$C$28,'All Donations'!$T$2:$T$4001,"&lt;="&amp;'Settings'!$D$28),2),0)</f>
        <v/>
      </c>
      <c r="AU531">
        <f>IF(AE531=1,ROUND(SUMIFS('All Donations'!$S$2:$S$4001,'All Donations'!$R$2:$R$4001,AD531,'All Donations'!$T$2:$T$4001,"&gt;="&amp;'Settings'!$C$29,'All Donations'!$T$2:$T$4001,"&lt;="&amp;'Settings'!$D$29),2),0)</f>
        <v/>
      </c>
      <c r="AV531">
        <f>IF(AE531=1,ROUND(SUMIFS('All Donations'!$S$2:$S$4001,'All Donations'!$R$2:$R$4001,AD531,'All Donations'!$T$2:$T$4001,"&lt;="&amp;'Settings'!$D$30),2),0)</f>
        <v/>
      </c>
      <c r="AZ531">
        <f>IF(AE531=1,ROUND(SUMIFS('All Donations'!$S$2:$S$4001,'All Donations'!$R$2:$R$4001,AD531,'All Donations'!$T$2:$T$4001,"&lt;="&amp;'Settings'!$D$34),2),0)</f>
        <v/>
      </c>
    </row>
    <row r="532">
      <c r="A532">
        <f>IF(AE532=1,TRIM(TRIM('Roster'!B532)&amp;" "&amp;TRIM('Roster'!C532)),"")</f>
        <v/>
      </c>
      <c r="B532">
        <f>IF(AE532=1,IF(AN532="","(no teacher)",AN532&amp;" – "&amp;C532),"")</f>
        <v/>
      </c>
      <c r="C532">
        <f>IF(AE532=1,TRIM('Roster'!D532&amp;""),"")</f>
        <v/>
      </c>
      <c r="D532" s="48">
        <f>IF(AE532=1,ROUND(SUMIFS('All Donations'!$S$2:$S$4001,'All Donations'!$R$2:$R$4001,AD532),2),"")</f>
        <v/>
      </c>
      <c r="E532" s="48">
        <f>IF(AE532=1,ROUND(SUMIFS('All Donations'!$S$2:$S$4001,'All Donations'!$R$2:$R$4001,AD532,'All Donations'!$G$2:$G$4001,"OneCause"),2),"")</f>
        <v/>
      </c>
      <c r="F532" s="48">
        <f>IF(AE532=1,D532-E532,"")</f>
        <v/>
      </c>
      <c r="G532">
        <f>IF(AE532=1,COUNTIFS('All Donations'!$R$2:$R$4001,AD532,'All Donations'!$H$2:$H$4001,"OK"),"")</f>
        <v/>
      </c>
      <c r="H532">
        <f>IF(AE532&lt;&gt;1,"",IF(D532&gt;0,"Yes",""))</f>
        <v/>
      </c>
      <c r="I532" s="49">
        <f>IF(OR($AE532&lt;&gt;1,I$1=""),"",SUMIFS('All Donations'!$S$2:$S$4001,'All Donations'!$R$2:$R$4001,$AD532,'All Donations'!$T$2:$T$4001,I$1))</f>
        <v/>
      </c>
      <c r="J532" s="49">
        <f>IF(OR($AE532&lt;&gt;1,J$1=""),"",SUMIFS('All Donations'!$S$2:$S$4001,'All Donations'!$R$2:$R$4001,$AD532,'All Donations'!$T$2:$T$4001,J$1))</f>
        <v/>
      </c>
      <c r="K532" s="49">
        <f>IF(OR($AE532&lt;&gt;1,K$1=""),"",SUMIFS('All Donations'!$S$2:$S$4001,'All Donations'!$R$2:$R$4001,$AD532,'All Donations'!$T$2:$T$4001,K$1))</f>
        <v/>
      </c>
      <c r="L532" s="49">
        <f>IF(OR($AE532&lt;&gt;1,L$1=""),"",SUMIFS('All Donations'!$S$2:$S$4001,'All Donations'!$R$2:$R$4001,$AD532,'All Donations'!$T$2:$T$4001,L$1))</f>
        <v/>
      </c>
      <c r="M532" s="49">
        <f>IF(OR($AE532&lt;&gt;1,M$1=""),"",SUMIFS('All Donations'!$S$2:$S$4001,'All Donations'!$R$2:$R$4001,$AD532,'All Donations'!$T$2:$T$4001,M$1))</f>
        <v/>
      </c>
      <c r="N532" s="49">
        <f>IF(OR($AE532&lt;&gt;1,N$1=""),"",SUMIFS('All Donations'!$S$2:$S$4001,'All Donations'!$R$2:$R$4001,$AD532,'All Donations'!$T$2:$T$4001,N$1))</f>
        <v/>
      </c>
      <c r="O532" s="49">
        <f>IF(OR($AE532&lt;&gt;1,O$1=""),"",SUMIFS('All Donations'!$S$2:$S$4001,'All Donations'!$R$2:$R$4001,$AD532,'All Donations'!$T$2:$T$4001,O$1))</f>
        <v/>
      </c>
      <c r="P532" s="49">
        <f>IF(OR($AE532&lt;&gt;1,P$1=""),"",SUMIFS('All Donations'!$S$2:$S$4001,'All Donations'!$R$2:$R$4001,$AD532,'All Donations'!$T$2:$T$4001,P$1))</f>
        <v/>
      </c>
      <c r="Q532" s="49">
        <f>IF(OR($AE532&lt;&gt;1,Q$1=""),"",SUMIFS('All Donations'!$S$2:$S$4001,'All Donations'!$R$2:$R$4001,$AD532,'All Donations'!$T$2:$T$4001,Q$1))</f>
        <v/>
      </c>
      <c r="R532" s="49">
        <f>IF(OR($AE532&lt;&gt;1,R$1=""),"",SUMIFS('All Donations'!$S$2:$S$4001,'All Donations'!$R$2:$R$4001,$AD532,'All Donations'!$T$2:$T$4001,R$1))</f>
        <v/>
      </c>
      <c r="S532" s="49">
        <f>IF(OR($AE532&lt;&gt;1,S$1=""),"",SUMIFS('All Donations'!$S$2:$S$4001,'All Donations'!$R$2:$R$4001,$AD532,'All Donations'!$T$2:$T$4001,S$1))</f>
        <v/>
      </c>
      <c r="T532" s="49">
        <f>IF(OR($AE532&lt;&gt;1,T$1=""),"",SUMIFS('All Donations'!$S$2:$S$4001,'All Donations'!$R$2:$R$4001,$AD532,'All Donations'!$T$2:$T$4001,T$1))</f>
        <v/>
      </c>
      <c r="U532" s="49">
        <f>IF(OR($AE532&lt;&gt;1,U$1=""),"",SUMIFS('All Donations'!$S$2:$S$4001,'All Donations'!$R$2:$R$4001,$AD532,'All Donations'!$T$2:$T$4001,U$1))</f>
        <v/>
      </c>
      <c r="V532" s="49">
        <f>IF(OR($AE532&lt;&gt;1,V$1=""),"",SUMIFS('All Donations'!$S$2:$S$4001,'All Donations'!$R$2:$R$4001,$AD532,'All Donations'!$T$2:$T$4001,V$1))</f>
        <v/>
      </c>
      <c r="W532" s="49">
        <f>IF(OR($AE532&lt;&gt;1,W$1=""),"",SUMIFS('All Donations'!$S$2:$S$4001,'All Donations'!$R$2:$R$4001,$AD532,'All Donations'!$T$2:$T$4001,W$1))</f>
        <v/>
      </c>
      <c r="X532" s="49">
        <f>IF(OR($AE532&lt;&gt;1,X$1=""),"",SUMIFS('All Donations'!$S$2:$S$4001,'All Donations'!$R$2:$R$4001,$AD532,'All Donations'!$T$2:$T$4001,X$1))</f>
        <v/>
      </c>
      <c r="Y532" s="49">
        <f>IF(OR($AE532&lt;&gt;1,Y$1=""),"",SUMIFS('All Donations'!$S$2:$S$4001,'All Donations'!$R$2:$R$4001,$AD532,'All Donations'!$T$2:$T$4001,Y$1))</f>
        <v/>
      </c>
      <c r="Z532" s="49">
        <f>IF(OR($AE532&lt;&gt;1,Z$1=""),"",SUMIFS('All Donations'!$S$2:$S$4001,'All Donations'!$R$2:$R$4001,$AD532,'All Donations'!$T$2:$T$4001,Z$1))</f>
        <v/>
      </c>
      <c r="AA532" s="49">
        <f>IF(OR($AE532&lt;&gt;1,AA$1=""),"",SUMIFS('All Donations'!$S$2:$S$4001,'All Donations'!$R$2:$R$4001,$AD532,'All Donations'!$T$2:$T$4001,AA$1))</f>
        <v/>
      </c>
      <c r="AB532" s="49">
        <f>IF(OR($AE532&lt;&gt;1,AB$1=""),"",SUMIFS('All Donations'!$S$2:$S$4001,'All Donations'!$R$2:$R$4001,$AD532,'All Donations'!$T$2:$T$4001,AB$1))</f>
        <v/>
      </c>
      <c r="AC532" s="49">
        <f>IF(OR($AE532&lt;&gt;1,AC$1=""),"",SUMIFS('All Donations'!$S$2:$S$4001,'All Donations'!$R$2:$R$4001,$AD532,'All Donations'!$T$2:$T$4001,AC$1))</f>
        <v/>
      </c>
      <c r="AD532">
        <f>IF(AE532=1,'Roster'!A532,"")</f>
        <v/>
      </c>
      <c r="AE532">
        <f>IF(TRIM('Roster'!B532&amp;'Roster'!C532)&lt;&gt;"",1,0)</f>
        <v/>
      </c>
      <c r="AF532">
        <f>IF(AE532=1,LOWER(A532),"#")</f>
        <v/>
      </c>
      <c r="AG532">
        <f>IF(AE532=1,LOWER(TRIM(TRIM('Roster'!C532)&amp;", "&amp;TRIM('Roster'!B532))),"#")</f>
        <v/>
      </c>
      <c r="AH532">
        <f>IF(AND(AE532=1,TRIM('Roster'!F532)&lt;&gt;""),LOWER(TRIM('Roster'!F532)),"#")</f>
        <v/>
      </c>
      <c r="AI532">
        <f>IF(AE532=1,IF(MATCH(B532,$B$2:$B$701,0)=ROW()-1,1,0),0)</f>
        <v/>
      </c>
      <c r="AJ532">
        <f>AJ531+AI532</f>
        <v/>
      </c>
      <c r="AK532">
        <f>IF(AE532=1,D532+(1000-ROW())/10^7,-1)</f>
        <v/>
      </c>
      <c r="AL532">
        <f>IF(AE532=1,TRIM('Roster'!B532)&amp;" "&amp;LEFT(TRIM('Roster'!C532),1)&amp;".","")</f>
        <v/>
      </c>
      <c r="AM532">
        <f>IF(AE532=1,TRIM('Roster'!C532)&amp;", "&amp;TRIM('Roster'!B532)&amp;" ("&amp;B532&amp;") #"&amp;AD532,"")</f>
        <v/>
      </c>
      <c r="AN532">
        <f>IF(AE532=1,TRIM('Roster'!E532),"")</f>
        <v/>
      </c>
      <c r="AO532">
        <f>IF(AE532=1,ROUND(SUMIFS('All Donations'!$S$2:$S$4001,'All Donations'!$R$2:$R$4001,AD532,'All Donations'!$T$2:$T$4001,"&gt;="&amp;'Settings'!$C$23,'All Donations'!$T$2:$T$4001,"&lt;="&amp;'Settings'!$D$23),2),0)</f>
        <v/>
      </c>
      <c r="AQ532">
        <f>IF(AE532=1,ROUND(SUMIFS('All Donations'!$S$2:$S$4001,'All Donations'!$R$2:$R$4001,AD532,'All Donations'!$T$2:$T$4001,"&gt;="&amp;'Settings'!$C$25,'All Donations'!$T$2:$T$4001,"&lt;="&amp;'Settings'!$D$25),2),0)</f>
        <v/>
      </c>
      <c r="AR532">
        <f>IF(AE532=1,ROUND(SUMIFS('All Donations'!$S$2:$S$4001,'All Donations'!$R$2:$R$4001,AD532,'All Donations'!$T$2:$T$4001,"&gt;="&amp;'Settings'!$C$26,'All Donations'!$T$2:$T$4001,"&lt;="&amp;'Settings'!$D$26),2),0)</f>
        <v/>
      </c>
      <c r="AS532">
        <f>IF(AE532=1,ROUND(SUMIFS('All Donations'!$S$2:$S$4001,'All Donations'!$R$2:$R$4001,AD532,'All Donations'!$T$2:$T$4001,"&lt;="&amp;'Settings'!$D$27),2),0)</f>
        <v/>
      </c>
      <c r="AT532">
        <f>IF(AE532=1,ROUND(SUMIFS('All Donations'!$S$2:$S$4001,'All Donations'!$R$2:$R$4001,AD532,'All Donations'!$T$2:$T$4001,"&gt;="&amp;'Settings'!$C$28,'All Donations'!$T$2:$T$4001,"&lt;="&amp;'Settings'!$D$28),2),0)</f>
        <v/>
      </c>
      <c r="AU532">
        <f>IF(AE532=1,ROUND(SUMIFS('All Donations'!$S$2:$S$4001,'All Donations'!$R$2:$R$4001,AD532,'All Donations'!$T$2:$T$4001,"&gt;="&amp;'Settings'!$C$29,'All Donations'!$T$2:$T$4001,"&lt;="&amp;'Settings'!$D$29),2),0)</f>
        <v/>
      </c>
      <c r="AV532">
        <f>IF(AE532=1,ROUND(SUMIFS('All Donations'!$S$2:$S$4001,'All Donations'!$R$2:$R$4001,AD532,'All Donations'!$T$2:$T$4001,"&lt;="&amp;'Settings'!$D$30),2),0)</f>
        <v/>
      </c>
      <c r="AZ532">
        <f>IF(AE532=1,ROUND(SUMIFS('All Donations'!$S$2:$S$4001,'All Donations'!$R$2:$R$4001,AD532,'All Donations'!$T$2:$T$4001,"&lt;="&amp;'Settings'!$D$34),2),0)</f>
        <v/>
      </c>
    </row>
    <row r="533">
      <c r="A533">
        <f>IF(AE533=1,TRIM(TRIM('Roster'!B533)&amp;" "&amp;TRIM('Roster'!C533)),"")</f>
        <v/>
      </c>
      <c r="B533">
        <f>IF(AE533=1,IF(AN533="","(no teacher)",AN533&amp;" – "&amp;C533),"")</f>
        <v/>
      </c>
      <c r="C533">
        <f>IF(AE533=1,TRIM('Roster'!D533&amp;""),"")</f>
        <v/>
      </c>
      <c r="D533" s="48">
        <f>IF(AE533=1,ROUND(SUMIFS('All Donations'!$S$2:$S$4001,'All Donations'!$R$2:$R$4001,AD533),2),"")</f>
        <v/>
      </c>
      <c r="E533" s="48">
        <f>IF(AE533=1,ROUND(SUMIFS('All Donations'!$S$2:$S$4001,'All Donations'!$R$2:$R$4001,AD533,'All Donations'!$G$2:$G$4001,"OneCause"),2),"")</f>
        <v/>
      </c>
      <c r="F533" s="48">
        <f>IF(AE533=1,D533-E533,"")</f>
        <v/>
      </c>
      <c r="G533">
        <f>IF(AE533=1,COUNTIFS('All Donations'!$R$2:$R$4001,AD533,'All Donations'!$H$2:$H$4001,"OK"),"")</f>
        <v/>
      </c>
      <c r="H533">
        <f>IF(AE533&lt;&gt;1,"",IF(D533&gt;0,"Yes",""))</f>
        <v/>
      </c>
      <c r="I533" s="49">
        <f>IF(OR($AE533&lt;&gt;1,I$1=""),"",SUMIFS('All Donations'!$S$2:$S$4001,'All Donations'!$R$2:$R$4001,$AD533,'All Donations'!$T$2:$T$4001,I$1))</f>
        <v/>
      </c>
      <c r="J533" s="49">
        <f>IF(OR($AE533&lt;&gt;1,J$1=""),"",SUMIFS('All Donations'!$S$2:$S$4001,'All Donations'!$R$2:$R$4001,$AD533,'All Donations'!$T$2:$T$4001,J$1))</f>
        <v/>
      </c>
      <c r="K533" s="49">
        <f>IF(OR($AE533&lt;&gt;1,K$1=""),"",SUMIFS('All Donations'!$S$2:$S$4001,'All Donations'!$R$2:$R$4001,$AD533,'All Donations'!$T$2:$T$4001,K$1))</f>
        <v/>
      </c>
      <c r="L533" s="49">
        <f>IF(OR($AE533&lt;&gt;1,L$1=""),"",SUMIFS('All Donations'!$S$2:$S$4001,'All Donations'!$R$2:$R$4001,$AD533,'All Donations'!$T$2:$T$4001,L$1))</f>
        <v/>
      </c>
      <c r="M533" s="49">
        <f>IF(OR($AE533&lt;&gt;1,M$1=""),"",SUMIFS('All Donations'!$S$2:$S$4001,'All Donations'!$R$2:$R$4001,$AD533,'All Donations'!$T$2:$T$4001,M$1))</f>
        <v/>
      </c>
      <c r="N533" s="49">
        <f>IF(OR($AE533&lt;&gt;1,N$1=""),"",SUMIFS('All Donations'!$S$2:$S$4001,'All Donations'!$R$2:$R$4001,$AD533,'All Donations'!$T$2:$T$4001,N$1))</f>
        <v/>
      </c>
      <c r="O533" s="49">
        <f>IF(OR($AE533&lt;&gt;1,O$1=""),"",SUMIFS('All Donations'!$S$2:$S$4001,'All Donations'!$R$2:$R$4001,$AD533,'All Donations'!$T$2:$T$4001,O$1))</f>
        <v/>
      </c>
      <c r="P533" s="49">
        <f>IF(OR($AE533&lt;&gt;1,P$1=""),"",SUMIFS('All Donations'!$S$2:$S$4001,'All Donations'!$R$2:$R$4001,$AD533,'All Donations'!$T$2:$T$4001,P$1))</f>
        <v/>
      </c>
      <c r="Q533" s="49">
        <f>IF(OR($AE533&lt;&gt;1,Q$1=""),"",SUMIFS('All Donations'!$S$2:$S$4001,'All Donations'!$R$2:$R$4001,$AD533,'All Donations'!$T$2:$T$4001,Q$1))</f>
        <v/>
      </c>
      <c r="R533" s="49">
        <f>IF(OR($AE533&lt;&gt;1,R$1=""),"",SUMIFS('All Donations'!$S$2:$S$4001,'All Donations'!$R$2:$R$4001,$AD533,'All Donations'!$T$2:$T$4001,R$1))</f>
        <v/>
      </c>
      <c r="S533" s="49">
        <f>IF(OR($AE533&lt;&gt;1,S$1=""),"",SUMIFS('All Donations'!$S$2:$S$4001,'All Donations'!$R$2:$R$4001,$AD533,'All Donations'!$T$2:$T$4001,S$1))</f>
        <v/>
      </c>
      <c r="T533" s="49">
        <f>IF(OR($AE533&lt;&gt;1,T$1=""),"",SUMIFS('All Donations'!$S$2:$S$4001,'All Donations'!$R$2:$R$4001,$AD533,'All Donations'!$T$2:$T$4001,T$1))</f>
        <v/>
      </c>
      <c r="U533" s="49">
        <f>IF(OR($AE533&lt;&gt;1,U$1=""),"",SUMIFS('All Donations'!$S$2:$S$4001,'All Donations'!$R$2:$R$4001,$AD533,'All Donations'!$T$2:$T$4001,U$1))</f>
        <v/>
      </c>
      <c r="V533" s="49">
        <f>IF(OR($AE533&lt;&gt;1,V$1=""),"",SUMIFS('All Donations'!$S$2:$S$4001,'All Donations'!$R$2:$R$4001,$AD533,'All Donations'!$T$2:$T$4001,V$1))</f>
        <v/>
      </c>
      <c r="W533" s="49">
        <f>IF(OR($AE533&lt;&gt;1,W$1=""),"",SUMIFS('All Donations'!$S$2:$S$4001,'All Donations'!$R$2:$R$4001,$AD533,'All Donations'!$T$2:$T$4001,W$1))</f>
        <v/>
      </c>
      <c r="X533" s="49">
        <f>IF(OR($AE533&lt;&gt;1,X$1=""),"",SUMIFS('All Donations'!$S$2:$S$4001,'All Donations'!$R$2:$R$4001,$AD533,'All Donations'!$T$2:$T$4001,X$1))</f>
        <v/>
      </c>
      <c r="Y533" s="49">
        <f>IF(OR($AE533&lt;&gt;1,Y$1=""),"",SUMIFS('All Donations'!$S$2:$S$4001,'All Donations'!$R$2:$R$4001,$AD533,'All Donations'!$T$2:$T$4001,Y$1))</f>
        <v/>
      </c>
      <c r="Z533" s="49">
        <f>IF(OR($AE533&lt;&gt;1,Z$1=""),"",SUMIFS('All Donations'!$S$2:$S$4001,'All Donations'!$R$2:$R$4001,$AD533,'All Donations'!$T$2:$T$4001,Z$1))</f>
        <v/>
      </c>
      <c r="AA533" s="49">
        <f>IF(OR($AE533&lt;&gt;1,AA$1=""),"",SUMIFS('All Donations'!$S$2:$S$4001,'All Donations'!$R$2:$R$4001,$AD533,'All Donations'!$T$2:$T$4001,AA$1))</f>
        <v/>
      </c>
      <c r="AB533" s="49">
        <f>IF(OR($AE533&lt;&gt;1,AB$1=""),"",SUMIFS('All Donations'!$S$2:$S$4001,'All Donations'!$R$2:$R$4001,$AD533,'All Donations'!$T$2:$T$4001,AB$1))</f>
        <v/>
      </c>
      <c r="AC533" s="49">
        <f>IF(OR($AE533&lt;&gt;1,AC$1=""),"",SUMIFS('All Donations'!$S$2:$S$4001,'All Donations'!$R$2:$R$4001,$AD533,'All Donations'!$T$2:$T$4001,AC$1))</f>
        <v/>
      </c>
      <c r="AD533">
        <f>IF(AE533=1,'Roster'!A533,"")</f>
        <v/>
      </c>
      <c r="AE533">
        <f>IF(TRIM('Roster'!B533&amp;'Roster'!C533)&lt;&gt;"",1,0)</f>
        <v/>
      </c>
      <c r="AF533">
        <f>IF(AE533=1,LOWER(A533),"#")</f>
        <v/>
      </c>
      <c r="AG533">
        <f>IF(AE533=1,LOWER(TRIM(TRIM('Roster'!C533)&amp;", "&amp;TRIM('Roster'!B533))),"#")</f>
        <v/>
      </c>
      <c r="AH533">
        <f>IF(AND(AE533=1,TRIM('Roster'!F533)&lt;&gt;""),LOWER(TRIM('Roster'!F533)),"#")</f>
        <v/>
      </c>
      <c r="AI533">
        <f>IF(AE533=1,IF(MATCH(B533,$B$2:$B$701,0)=ROW()-1,1,0),0)</f>
        <v/>
      </c>
      <c r="AJ533">
        <f>AJ532+AI533</f>
        <v/>
      </c>
      <c r="AK533">
        <f>IF(AE533=1,D533+(1000-ROW())/10^7,-1)</f>
        <v/>
      </c>
      <c r="AL533">
        <f>IF(AE533=1,TRIM('Roster'!B533)&amp;" "&amp;LEFT(TRIM('Roster'!C533),1)&amp;".","")</f>
        <v/>
      </c>
      <c r="AM533">
        <f>IF(AE533=1,TRIM('Roster'!C533)&amp;", "&amp;TRIM('Roster'!B533)&amp;" ("&amp;B533&amp;") #"&amp;AD533,"")</f>
        <v/>
      </c>
      <c r="AN533">
        <f>IF(AE533=1,TRIM('Roster'!E533),"")</f>
        <v/>
      </c>
      <c r="AO533">
        <f>IF(AE533=1,ROUND(SUMIFS('All Donations'!$S$2:$S$4001,'All Donations'!$R$2:$R$4001,AD533,'All Donations'!$T$2:$T$4001,"&gt;="&amp;'Settings'!$C$23,'All Donations'!$T$2:$T$4001,"&lt;="&amp;'Settings'!$D$23),2),0)</f>
        <v/>
      </c>
      <c r="AQ533">
        <f>IF(AE533=1,ROUND(SUMIFS('All Donations'!$S$2:$S$4001,'All Donations'!$R$2:$R$4001,AD533,'All Donations'!$T$2:$T$4001,"&gt;="&amp;'Settings'!$C$25,'All Donations'!$T$2:$T$4001,"&lt;="&amp;'Settings'!$D$25),2),0)</f>
        <v/>
      </c>
      <c r="AR533">
        <f>IF(AE533=1,ROUND(SUMIFS('All Donations'!$S$2:$S$4001,'All Donations'!$R$2:$R$4001,AD533,'All Donations'!$T$2:$T$4001,"&gt;="&amp;'Settings'!$C$26,'All Donations'!$T$2:$T$4001,"&lt;="&amp;'Settings'!$D$26),2),0)</f>
        <v/>
      </c>
      <c r="AS533">
        <f>IF(AE533=1,ROUND(SUMIFS('All Donations'!$S$2:$S$4001,'All Donations'!$R$2:$R$4001,AD533,'All Donations'!$T$2:$T$4001,"&lt;="&amp;'Settings'!$D$27),2),0)</f>
        <v/>
      </c>
      <c r="AT533">
        <f>IF(AE533=1,ROUND(SUMIFS('All Donations'!$S$2:$S$4001,'All Donations'!$R$2:$R$4001,AD533,'All Donations'!$T$2:$T$4001,"&gt;="&amp;'Settings'!$C$28,'All Donations'!$T$2:$T$4001,"&lt;="&amp;'Settings'!$D$28),2),0)</f>
        <v/>
      </c>
      <c r="AU533">
        <f>IF(AE533=1,ROUND(SUMIFS('All Donations'!$S$2:$S$4001,'All Donations'!$R$2:$R$4001,AD533,'All Donations'!$T$2:$T$4001,"&gt;="&amp;'Settings'!$C$29,'All Donations'!$T$2:$T$4001,"&lt;="&amp;'Settings'!$D$29),2),0)</f>
        <v/>
      </c>
      <c r="AV533">
        <f>IF(AE533=1,ROUND(SUMIFS('All Donations'!$S$2:$S$4001,'All Donations'!$R$2:$R$4001,AD533,'All Donations'!$T$2:$T$4001,"&lt;="&amp;'Settings'!$D$30),2),0)</f>
        <v/>
      </c>
      <c r="AZ533">
        <f>IF(AE533=1,ROUND(SUMIFS('All Donations'!$S$2:$S$4001,'All Donations'!$R$2:$R$4001,AD533,'All Donations'!$T$2:$T$4001,"&lt;="&amp;'Settings'!$D$34),2),0)</f>
        <v/>
      </c>
    </row>
    <row r="534">
      <c r="A534">
        <f>IF(AE534=1,TRIM(TRIM('Roster'!B534)&amp;" "&amp;TRIM('Roster'!C534)),"")</f>
        <v/>
      </c>
      <c r="B534">
        <f>IF(AE534=1,IF(AN534="","(no teacher)",AN534&amp;" – "&amp;C534),"")</f>
        <v/>
      </c>
      <c r="C534">
        <f>IF(AE534=1,TRIM('Roster'!D534&amp;""),"")</f>
        <v/>
      </c>
      <c r="D534" s="48">
        <f>IF(AE534=1,ROUND(SUMIFS('All Donations'!$S$2:$S$4001,'All Donations'!$R$2:$R$4001,AD534),2),"")</f>
        <v/>
      </c>
      <c r="E534" s="48">
        <f>IF(AE534=1,ROUND(SUMIFS('All Donations'!$S$2:$S$4001,'All Donations'!$R$2:$R$4001,AD534,'All Donations'!$G$2:$G$4001,"OneCause"),2),"")</f>
        <v/>
      </c>
      <c r="F534" s="48">
        <f>IF(AE534=1,D534-E534,"")</f>
        <v/>
      </c>
      <c r="G534">
        <f>IF(AE534=1,COUNTIFS('All Donations'!$R$2:$R$4001,AD534,'All Donations'!$H$2:$H$4001,"OK"),"")</f>
        <v/>
      </c>
      <c r="H534">
        <f>IF(AE534&lt;&gt;1,"",IF(D534&gt;0,"Yes",""))</f>
        <v/>
      </c>
      <c r="I534" s="49">
        <f>IF(OR($AE534&lt;&gt;1,I$1=""),"",SUMIFS('All Donations'!$S$2:$S$4001,'All Donations'!$R$2:$R$4001,$AD534,'All Donations'!$T$2:$T$4001,I$1))</f>
        <v/>
      </c>
      <c r="J534" s="49">
        <f>IF(OR($AE534&lt;&gt;1,J$1=""),"",SUMIFS('All Donations'!$S$2:$S$4001,'All Donations'!$R$2:$R$4001,$AD534,'All Donations'!$T$2:$T$4001,J$1))</f>
        <v/>
      </c>
      <c r="K534" s="49">
        <f>IF(OR($AE534&lt;&gt;1,K$1=""),"",SUMIFS('All Donations'!$S$2:$S$4001,'All Donations'!$R$2:$R$4001,$AD534,'All Donations'!$T$2:$T$4001,K$1))</f>
        <v/>
      </c>
      <c r="L534" s="49">
        <f>IF(OR($AE534&lt;&gt;1,L$1=""),"",SUMIFS('All Donations'!$S$2:$S$4001,'All Donations'!$R$2:$R$4001,$AD534,'All Donations'!$T$2:$T$4001,L$1))</f>
        <v/>
      </c>
      <c r="M534" s="49">
        <f>IF(OR($AE534&lt;&gt;1,M$1=""),"",SUMIFS('All Donations'!$S$2:$S$4001,'All Donations'!$R$2:$R$4001,$AD534,'All Donations'!$T$2:$T$4001,M$1))</f>
        <v/>
      </c>
      <c r="N534" s="49">
        <f>IF(OR($AE534&lt;&gt;1,N$1=""),"",SUMIFS('All Donations'!$S$2:$S$4001,'All Donations'!$R$2:$R$4001,$AD534,'All Donations'!$T$2:$T$4001,N$1))</f>
        <v/>
      </c>
      <c r="O534" s="49">
        <f>IF(OR($AE534&lt;&gt;1,O$1=""),"",SUMIFS('All Donations'!$S$2:$S$4001,'All Donations'!$R$2:$R$4001,$AD534,'All Donations'!$T$2:$T$4001,O$1))</f>
        <v/>
      </c>
      <c r="P534" s="49">
        <f>IF(OR($AE534&lt;&gt;1,P$1=""),"",SUMIFS('All Donations'!$S$2:$S$4001,'All Donations'!$R$2:$R$4001,$AD534,'All Donations'!$T$2:$T$4001,P$1))</f>
        <v/>
      </c>
      <c r="Q534" s="49">
        <f>IF(OR($AE534&lt;&gt;1,Q$1=""),"",SUMIFS('All Donations'!$S$2:$S$4001,'All Donations'!$R$2:$R$4001,$AD534,'All Donations'!$T$2:$T$4001,Q$1))</f>
        <v/>
      </c>
      <c r="R534" s="49">
        <f>IF(OR($AE534&lt;&gt;1,R$1=""),"",SUMIFS('All Donations'!$S$2:$S$4001,'All Donations'!$R$2:$R$4001,$AD534,'All Donations'!$T$2:$T$4001,R$1))</f>
        <v/>
      </c>
      <c r="S534" s="49">
        <f>IF(OR($AE534&lt;&gt;1,S$1=""),"",SUMIFS('All Donations'!$S$2:$S$4001,'All Donations'!$R$2:$R$4001,$AD534,'All Donations'!$T$2:$T$4001,S$1))</f>
        <v/>
      </c>
      <c r="T534" s="49">
        <f>IF(OR($AE534&lt;&gt;1,T$1=""),"",SUMIFS('All Donations'!$S$2:$S$4001,'All Donations'!$R$2:$R$4001,$AD534,'All Donations'!$T$2:$T$4001,T$1))</f>
        <v/>
      </c>
      <c r="U534" s="49">
        <f>IF(OR($AE534&lt;&gt;1,U$1=""),"",SUMIFS('All Donations'!$S$2:$S$4001,'All Donations'!$R$2:$R$4001,$AD534,'All Donations'!$T$2:$T$4001,U$1))</f>
        <v/>
      </c>
      <c r="V534" s="49">
        <f>IF(OR($AE534&lt;&gt;1,V$1=""),"",SUMIFS('All Donations'!$S$2:$S$4001,'All Donations'!$R$2:$R$4001,$AD534,'All Donations'!$T$2:$T$4001,V$1))</f>
        <v/>
      </c>
      <c r="W534" s="49">
        <f>IF(OR($AE534&lt;&gt;1,W$1=""),"",SUMIFS('All Donations'!$S$2:$S$4001,'All Donations'!$R$2:$R$4001,$AD534,'All Donations'!$T$2:$T$4001,W$1))</f>
        <v/>
      </c>
      <c r="X534" s="49">
        <f>IF(OR($AE534&lt;&gt;1,X$1=""),"",SUMIFS('All Donations'!$S$2:$S$4001,'All Donations'!$R$2:$R$4001,$AD534,'All Donations'!$T$2:$T$4001,X$1))</f>
        <v/>
      </c>
      <c r="Y534" s="49">
        <f>IF(OR($AE534&lt;&gt;1,Y$1=""),"",SUMIFS('All Donations'!$S$2:$S$4001,'All Donations'!$R$2:$R$4001,$AD534,'All Donations'!$T$2:$T$4001,Y$1))</f>
        <v/>
      </c>
      <c r="Z534" s="49">
        <f>IF(OR($AE534&lt;&gt;1,Z$1=""),"",SUMIFS('All Donations'!$S$2:$S$4001,'All Donations'!$R$2:$R$4001,$AD534,'All Donations'!$T$2:$T$4001,Z$1))</f>
        <v/>
      </c>
      <c r="AA534" s="49">
        <f>IF(OR($AE534&lt;&gt;1,AA$1=""),"",SUMIFS('All Donations'!$S$2:$S$4001,'All Donations'!$R$2:$R$4001,$AD534,'All Donations'!$T$2:$T$4001,AA$1))</f>
        <v/>
      </c>
      <c r="AB534" s="49">
        <f>IF(OR($AE534&lt;&gt;1,AB$1=""),"",SUMIFS('All Donations'!$S$2:$S$4001,'All Donations'!$R$2:$R$4001,$AD534,'All Donations'!$T$2:$T$4001,AB$1))</f>
        <v/>
      </c>
      <c r="AC534" s="49">
        <f>IF(OR($AE534&lt;&gt;1,AC$1=""),"",SUMIFS('All Donations'!$S$2:$S$4001,'All Donations'!$R$2:$R$4001,$AD534,'All Donations'!$T$2:$T$4001,AC$1))</f>
        <v/>
      </c>
      <c r="AD534">
        <f>IF(AE534=1,'Roster'!A534,"")</f>
        <v/>
      </c>
      <c r="AE534">
        <f>IF(TRIM('Roster'!B534&amp;'Roster'!C534)&lt;&gt;"",1,0)</f>
        <v/>
      </c>
      <c r="AF534">
        <f>IF(AE534=1,LOWER(A534),"#")</f>
        <v/>
      </c>
      <c r="AG534">
        <f>IF(AE534=1,LOWER(TRIM(TRIM('Roster'!C534)&amp;", "&amp;TRIM('Roster'!B534))),"#")</f>
        <v/>
      </c>
      <c r="AH534">
        <f>IF(AND(AE534=1,TRIM('Roster'!F534)&lt;&gt;""),LOWER(TRIM('Roster'!F534)),"#")</f>
        <v/>
      </c>
      <c r="AI534">
        <f>IF(AE534=1,IF(MATCH(B534,$B$2:$B$701,0)=ROW()-1,1,0),0)</f>
        <v/>
      </c>
      <c r="AJ534">
        <f>AJ533+AI534</f>
        <v/>
      </c>
      <c r="AK534">
        <f>IF(AE534=1,D534+(1000-ROW())/10^7,-1)</f>
        <v/>
      </c>
      <c r="AL534">
        <f>IF(AE534=1,TRIM('Roster'!B534)&amp;" "&amp;LEFT(TRIM('Roster'!C534),1)&amp;".","")</f>
        <v/>
      </c>
      <c r="AM534">
        <f>IF(AE534=1,TRIM('Roster'!C534)&amp;", "&amp;TRIM('Roster'!B534)&amp;" ("&amp;B534&amp;") #"&amp;AD534,"")</f>
        <v/>
      </c>
      <c r="AN534">
        <f>IF(AE534=1,TRIM('Roster'!E534),"")</f>
        <v/>
      </c>
      <c r="AO534">
        <f>IF(AE534=1,ROUND(SUMIFS('All Donations'!$S$2:$S$4001,'All Donations'!$R$2:$R$4001,AD534,'All Donations'!$T$2:$T$4001,"&gt;="&amp;'Settings'!$C$23,'All Donations'!$T$2:$T$4001,"&lt;="&amp;'Settings'!$D$23),2),0)</f>
        <v/>
      </c>
      <c r="AQ534">
        <f>IF(AE534=1,ROUND(SUMIFS('All Donations'!$S$2:$S$4001,'All Donations'!$R$2:$R$4001,AD534,'All Donations'!$T$2:$T$4001,"&gt;="&amp;'Settings'!$C$25,'All Donations'!$T$2:$T$4001,"&lt;="&amp;'Settings'!$D$25),2),0)</f>
        <v/>
      </c>
      <c r="AR534">
        <f>IF(AE534=1,ROUND(SUMIFS('All Donations'!$S$2:$S$4001,'All Donations'!$R$2:$R$4001,AD534,'All Donations'!$T$2:$T$4001,"&gt;="&amp;'Settings'!$C$26,'All Donations'!$T$2:$T$4001,"&lt;="&amp;'Settings'!$D$26),2),0)</f>
        <v/>
      </c>
      <c r="AS534">
        <f>IF(AE534=1,ROUND(SUMIFS('All Donations'!$S$2:$S$4001,'All Donations'!$R$2:$R$4001,AD534,'All Donations'!$T$2:$T$4001,"&lt;="&amp;'Settings'!$D$27),2),0)</f>
        <v/>
      </c>
      <c r="AT534">
        <f>IF(AE534=1,ROUND(SUMIFS('All Donations'!$S$2:$S$4001,'All Donations'!$R$2:$R$4001,AD534,'All Donations'!$T$2:$T$4001,"&gt;="&amp;'Settings'!$C$28,'All Donations'!$T$2:$T$4001,"&lt;="&amp;'Settings'!$D$28),2),0)</f>
        <v/>
      </c>
      <c r="AU534">
        <f>IF(AE534=1,ROUND(SUMIFS('All Donations'!$S$2:$S$4001,'All Donations'!$R$2:$R$4001,AD534,'All Donations'!$T$2:$T$4001,"&gt;="&amp;'Settings'!$C$29,'All Donations'!$T$2:$T$4001,"&lt;="&amp;'Settings'!$D$29),2),0)</f>
        <v/>
      </c>
      <c r="AV534">
        <f>IF(AE534=1,ROUND(SUMIFS('All Donations'!$S$2:$S$4001,'All Donations'!$R$2:$R$4001,AD534,'All Donations'!$T$2:$T$4001,"&lt;="&amp;'Settings'!$D$30),2),0)</f>
        <v/>
      </c>
      <c r="AZ534">
        <f>IF(AE534=1,ROUND(SUMIFS('All Donations'!$S$2:$S$4001,'All Donations'!$R$2:$R$4001,AD534,'All Donations'!$T$2:$T$4001,"&lt;="&amp;'Settings'!$D$34),2),0)</f>
        <v/>
      </c>
    </row>
    <row r="535">
      <c r="A535">
        <f>IF(AE535=1,TRIM(TRIM('Roster'!B535)&amp;" "&amp;TRIM('Roster'!C535)),"")</f>
        <v/>
      </c>
      <c r="B535">
        <f>IF(AE535=1,IF(AN535="","(no teacher)",AN535&amp;" – "&amp;C535),"")</f>
        <v/>
      </c>
      <c r="C535">
        <f>IF(AE535=1,TRIM('Roster'!D535&amp;""),"")</f>
        <v/>
      </c>
      <c r="D535" s="48">
        <f>IF(AE535=1,ROUND(SUMIFS('All Donations'!$S$2:$S$4001,'All Donations'!$R$2:$R$4001,AD535),2),"")</f>
        <v/>
      </c>
      <c r="E535" s="48">
        <f>IF(AE535=1,ROUND(SUMIFS('All Donations'!$S$2:$S$4001,'All Donations'!$R$2:$R$4001,AD535,'All Donations'!$G$2:$G$4001,"OneCause"),2),"")</f>
        <v/>
      </c>
      <c r="F535" s="48">
        <f>IF(AE535=1,D535-E535,"")</f>
        <v/>
      </c>
      <c r="G535">
        <f>IF(AE535=1,COUNTIFS('All Donations'!$R$2:$R$4001,AD535,'All Donations'!$H$2:$H$4001,"OK"),"")</f>
        <v/>
      </c>
      <c r="H535">
        <f>IF(AE535&lt;&gt;1,"",IF(D535&gt;0,"Yes",""))</f>
        <v/>
      </c>
      <c r="I535" s="49">
        <f>IF(OR($AE535&lt;&gt;1,I$1=""),"",SUMIFS('All Donations'!$S$2:$S$4001,'All Donations'!$R$2:$R$4001,$AD535,'All Donations'!$T$2:$T$4001,I$1))</f>
        <v/>
      </c>
      <c r="J535" s="49">
        <f>IF(OR($AE535&lt;&gt;1,J$1=""),"",SUMIFS('All Donations'!$S$2:$S$4001,'All Donations'!$R$2:$R$4001,$AD535,'All Donations'!$T$2:$T$4001,J$1))</f>
        <v/>
      </c>
      <c r="K535" s="49">
        <f>IF(OR($AE535&lt;&gt;1,K$1=""),"",SUMIFS('All Donations'!$S$2:$S$4001,'All Donations'!$R$2:$R$4001,$AD535,'All Donations'!$T$2:$T$4001,K$1))</f>
        <v/>
      </c>
      <c r="L535" s="49">
        <f>IF(OR($AE535&lt;&gt;1,L$1=""),"",SUMIFS('All Donations'!$S$2:$S$4001,'All Donations'!$R$2:$R$4001,$AD535,'All Donations'!$T$2:$T$4001,L$1))</f>
        <v/>
      </c>
      <c r="M535" s="49">
        <f>IF(OR($AE535&lt;&gt;1,M$1=""),"",SUMIFS('All Donations'!$S$2:$S$4001,'All Donations'!$R$2:$R$4001,$AD535,'All Donations'!$T$2:$T$4001,M$1))</f>
        <v/>
      </c>
      <c r="N535" s="49">
        <f>IF(OR($AE535&lt;&gt;1,N$1=""),"",SUMIFS('All Donations'!$S$2:$S$4001,'All Donations'!$R$2:$R$4001,$AD535,'All Donations'!$T$2:$T$4001,N$1))</f>
        <v/>
      </c>
      <c r="O535" s="49">
        <f>IF(OR($AE535&lt;&gt;1,O$1=""),"",SUMIFS('All Donations'!$S$2:$S$4001,'All Donations'!$R$2:$R$4001,$AD535,'All Donations'!$T$2:$T$4001,O$1))</f>
        <v/>
      </c>
      <c r="P535" s="49">
        <f>IF(OR($AE535&lt;&gt;1,P$1=""),"",SUMIFS('All Donations'!$S$2:$S$4001,'All Donations'!$R$2:$R$4001,$AD535,'All Donations'!$T$2:$T$4001,P$1))</f>
        <v/>
      </c>
      <c r="Q535" s="49">
        <f>IF(OR($AE535&lt;&gt;1,Q$1=""),"",SUMIFS('All Donations'!$S$2:$S$4001,'All Donations'!$R$2:$R$4001,$AD535,'All Donations'!$T$2:$T$4001,Q$1))</f>
        <v/>
      </c>
      <c r="R535" s="49">
        <f>IF(OR($AE535&lt;&gt;1,R$1=""),"",SUMIFS('All Donations'!$S$2:$S$4001,'All Donations'!$R$2:$R$4001,$AD535,'All Donations'!$T$2:$T$4001,R$1))</f>
        <v/>
      </c>
      <c r="S535" s="49">
        <f>IF(OR($AE535&lt;&gt;1,S$1=""),"",SUMIFS('All Donations'!$S$2:$S$4001,'All Donations'!$R$2:$R$4001,$AD535,'All Donations'!$T$2:$T$4001,S$1))</f>
        <v/>
      </c>
      <c r="T535" s="49">
        <f>IF(OR($AE535&lt;&gt;1,T$1=""),"",SUMIFS('All Donations'!$S$2:$S$4001,'All Donations'!$R$2:$R$4001,$AD535,'All Donations'!$T$2:$T$4001,T$1))</f>
        <v/>
      </c>
      <c r="U535" s="49">
        <f>IF(OR($AE535&lt;&gt;1,U$1=""),"",SUMIFS('All Donations'!$S$2:$S$4001,'All Donations'!$R$2:$R$4001,$AD535,'All Donations'!$T$2:$T$4001,U$1))</f>
        <v/>
      </c>
      <c r="V535" s="49">
        <f>IF(OR($AE535&lt;&gt;1,V$1=""),"",SUMIFS('All Donations'!$S$2:$S$4001,'All Donations'!$R$2:$R$4001,$AD535,'All Donations'!$T$2:$T$4001,V$1))</f>
        <v/>
      </c>
      <c r="W535" s="49">
        <f>IF(OR($AE535&lt;&gt;1,W$1=""),"",SUMIFS('All Donations'!$S$2:$S$4001,'All Donations'!$R$2:$R$4001,$AD535,'All Donations'!$T$2:$T$4001,W$1))</f>
        <v/>
      </c>
      <c r="X535" s="49">
        <f>IF(OR($AE535&lt;&gt;1,X$1=""),"",SUMIFS('All Donations'!$S$2:$S$4001,'All Donations'!$R$2:$R$4001,$AD535,'All Donations'!$T$2:$T$4001,X$1))</f>
        <v/>
      </c>
      <c r="Y535" s="49">
        <f>IF(OR($AE535&lt;&gt;1,Y$1=""),"",SUMIFS('All Donations'!$S$2:$S$4001,'All Donations'!$R$2:$R$4001,$AD535,'All Donations'!$T$2:$T$4001,Y$1))</f>
        <v/>
      </c>
      <c r="Z535" s="49">
        <f>IF(OR($AE535&lt;&gt;1,Z$1=""),"",SUMIFS('All Donations'!$S$2:$S$4001,'All Donations'!$R$2:$R$4001,$AD535,'All Donations'!$T$2:$T$4001,Z$1))</f>
        <v/>
      </c>
      <c r="AA535" s="49">
        <f>IF(OR($AE535&lt;&gt;1,AA$1=""),"",SUMIFS('All Donations'!$S$2:$S$4001,'All Donations'!$R$2:$R$4001,$AD535,'All Donations'!$T$2:$T$4001,AA$1))</f>
        <v/>
      </c>
      <c r="AB535" s="49">
        <f>IF(OR($AE535&lt;&gt;1,AB$1=""),"",SUMIFS('All Donations'!$S$2:$S$4001,'All Donations'!$R$2:$R$4001,$AD535,'All Donations'!$T$2:$T$4001,AB$1))</f>
        <v/>
      </c>
      <c r="AC535" s="49">
        <f>IF(OR($AE535&lt;&gt;1,AC$1=""),"",SUMIFS('All Donations'!$S$2:$S$4001,'All Donations'!$R$2:$R$4001,$AD535,'All Donations'!$T$2:$T$4001,AC$1))</f>
        <v/>
      </c>
      <c r="AD535">
        <f>IF(AE535=1,'Roster'!A535,"")</f>
        <v/>
      </c>
      <c r="AE535">
        <f>IF(TRIM('Roster'!B535&amp;'Roster'!C535)&lt;&gt;"",1,0)</f>
        <v/>
      </c>
      <c r="AF535">
        <f>IF(AE535=1,LOWER(A535),"#")</f>
        <v/>
      </c>
      <c r="AG535">
        <f>IF(AE535=1,LOWER(TRIM(TRIM('Roster'!C535)&amp;", "&amp;TRIM('Roster'!B535))),"#")</f>
        <v/>
      </c>
      <c r="AH535">
        <f>IF(AND(AE535=1,TRIM('Roster'!F535)&lt;&gt;""),LOWER(TRIM('Roster'!F535)),"#")</f>
        <v/>
      </c>
      <c r="AI535">
        <f>IF(AE535=1,IF(MATCH(B535,$B$2:$B$701,0)=ROW()-1,1,0),0)</f>
        <v/>
      </c>
      <c r="AJ535">
        <f>AJ534+AI535</f>
        <v/>
      </c>
      <c r="AK535">
        <f>IF(AE535=1,D535+(1000-ROW())/10^7,-1)</f>
        <v/>
      </c>
      <c r="AL535">
        <f>IF(AE535=1,TRIM('Roster'!B535)&amp;" "&amp;LEFT(TRIM('Roster'!C535),1)&amp;".","")</f>
        <v/>
      </c>
      <c r="AM535">
        <f>IF(AE535=1,TRIM('Roster'!C535)&amp;", "&amp;TRIM('Roster'!B535)&amp;" ("&amp;B535&amp;") #"&amp;AD535,"")</f>
        <v/>
      </c>
      <c r="AN535">
        <f>IF(AE535=1,TRIM('Roster'!E535),"")</f>
        <v/>
      </c>
      <c r="AO535">
        <f>IF(AE535=1,ROUND(SUMIFS('All Donations'!$S$2:$S$4001,'All Donations'!$R$2:$R$4001,AD535,'All Donations'!$T$2:$T$4001,"&gt;="&amp;'Settings'!$C$23,'All Donations'!$T$2:$T$4001,"&lt;="&amp;'Settings'!$D$23),2),0)</f>
        <v/>
      </c>
      <c r="AQ535">
        <f>IF(AE535=1,ROUND(SUMIFS('All Donations'!$S$2:$S$4001,'All Donations'!$R$2:$R$4001,AD535,'All Donations'!$T$2:$T$4001,"&gt;="&amp;'Settings'!$C$25,'All Donations'!$T$2:$T$4001,"&lt;="&amp;'Settings'!$D$25),2),0)</f>
        <v/>
      </c>
      <c r="AR535">
        <f>IF(AE535=1,ROUND(SUMIFS('All Donations'!$S$2:$S$4001,'All Donations'!$R$2:$R$4001,AD535,'All Donations'!$T$2:$T$4001,"&gt;="&amp;'Settings'!$C$26,'All Donations'!$T$2:$T$4001,"&lt;="&amp;'Settings'!$D$26),2),0)</f>
        <v/>
      </c>
      <c r="AS535">
        <f>IF(AE535=1,ROUND(SUMIFS('All Donations'!$S$2:$S$4001,'All Donations'!$R$2:$R$4001,AD535,'All Donations'!$T$2:$T$4001,"&lt;="&amp;'Settings'!$D$27),2),0)</f>
        <v/>
      </c>
      <c r="AT535">
        <f>IF(AE535=1,ROUND(SUMIFS('All Donations'!$S$2:$S$4001,'All Donations'!$R$2:$R$4001,AD535,'All Donations'!$T$2:$T$4001,"&gt;="&amp;'Settings'!$C$28,'All Donations'!$T$2:$T$4001,"&lt;="&amp;'Settings'!$D$28),2),0)</f>
        <v/>
      </c>
      <c r="AU535">
        <f>IF(AE535=1,ROUND(SUMIFS('All Donations'!$S$2:$S$4001,'All Donations'!$R$2:$R$4001,AD535,'All Donations'!$T$2:$T$4001,"&gt;="&amp;'Settings'!$C$29,'All Donations'!$T$2:$T$4001,"&lt;="&amp;'Settings'!$D$29),2),0)</f>
        <v/>
      </c>
      <c r="AV535">
        <f>IF(AE535=1,ROUND(SUMIFS('All Donations'!$S$2:$S$4001,'All Donations'!$R$2:$R$4001,AD535,'All Donations'!$T$2:$T$4001,"&lt;="&amp;'Settings'!$D$30),2),0)</f>
        <v/>
      </c>
      <c r="AZ535">
        <f>IF(AE535=1,ROUND(SUMIFS('All Donations'!$S$2:$S$4001,'All Donations'!$R$2:$R$4001,AD535,'All Donations'!$T$2:$T$4001,"&lt;="&amp;'Settings'!$D$34),2),0)</f>
        <v/>
      </c>
    </row>
    <row r="536">
      <c r="A536">
        <f>IF(AE536=1,TRIM(TRIM('Roster'!B536)&amp;" "&amp;TRIM('Roster'!C536)),"")</f>
        <v/>
      </c>
      <c r="B536">
        <f>IF(AE536=1,IF(AN536="","(no teacher)",AN536&amp;" – "&amp;C536),"")</f>
        <v/>
      </c>
      <c r="C536">
        <f>IF(AE536=1,TRIM('Roster'!D536&amp;""),"")</f>
        <v/>
      </c>
      <c r="D536" s="48">
        <f>IF(AE536=1,ROUND(SUMIFS('All Donations'!$S$2:$S$4001,'All Donations'!$R$2:$R$4001,AD536),2),"")</f>
        <v/>
      </c>
      <c r="E536" s="48">
        <f>IF(AE536=1,ROUND(SUMIFS('All Donations'!$S$2:$S$4001,'All Donations'!$R$2:$R$4001,AD536,'All Donations'!$G$2:$G$4001,"OneCause"),2),"")</f>
        <v/>
      </c>
      <c r="F536" s="48">
        <f>IF(AE536=1,D536-E536,"")</f>
        <v/>
      </c>
      <c r="G536">
        <f>IF(AE536=1,COUNTIFS('All Donations'!$R$2:$R$4001,AD536,'All Donations'!$H$2:$H$4001,"OK"),"")</f>
        <v/>
      </c>
      <c r="H536">
        <f>IF(AE536&lt;&gt;1,"",IF(D536&gt;0,"Yes",""))</f>
        <v/>
      </c>
      <c r="I536" s="49">
        <f>IF(OR($AE536&lt;&gt;1,I$1=""),"",SUMIFS('All Donations'!$S$2:$S$4001,'All Donations'!$R$2:$R$4001,$AD536,'All Donations'!$T$2:$T$4001,I$1))</f>
        <v/>
      </c>
      <c r="J536" s="49">
        <f>IF(OR($AE536&lt;&gt;1,J$1=""),"",SUMIFS('All Donations'!$S$2:$S$4001,'All Donations'!$R$2:$R$4001,$AD536,'All Donations'!$T$2:$T$4001,J$1))</f>
        <v/>
      </c>
      <c r="K536" s="49">
        <f>IF(OR($AE536&lt;&gt;1,K$1=""),"",SUMIFS('All Donations'!$S$2:$S$4001,'All Donations'!$R$2:$R$4001,$AD536,'All Donations'!$T$2:$T$4001,K$1))</f>
        <v/>
      </c>
      <c r="L536" s="49">
        <f>IF(OR($AE536&lt;&gt;1,L$1=""),"",SUMIFS('All Donations'!$S$2:$S$4001,'All Donations'!$R$2:$R$4001,$AD536,'All Donations'!$T$2:$T$4001,L$1))</f>
        <v/>
      </c>
      <c r="M536" s="49">
        <f>IF(OR($AE536&lt;&gt;1,M$1=""),"",SUMIFS('All Donations'!$S$2:$S$4001,'All Donations'!$R$2:$R$4001,$AD536,'All Donations'!$T$2:$T$4001,M$1))</f>
        <v/>
      </c>
      <c r="N536" s="49">
        <f>IF(OR($AE536&lt;&gt;1,N$1=""),"",SUMIFS('All Donations'!$S$2:$S$4001,'All Donations'!$R$2:$R$4001,$AD536,'All Donations'!$T$2:$T$4001,N$1))</f>
        <v/>
      </c>
      <c r="O536" s="49">
        <f>IF(OR($AE536&lt;&gt;1,O$1=""),"",SUMIFS('All Donations'!$S$2:$S$4001,'All Donations'!$R$2:$R$4001,$AD536,'All Donations'!$T$2:$T$4001,O$1))</f>
        <v/>
      </c>
      <c r="P536" s="49">
        <f>IF(OR($AE536&lt;&gt;1,P$1=""),"",SUMIFS('All Donations'!$S$2:$S$4001,'All Donations'!$R$2:$R$4001,$AD536,'All Donations'!$T$2:$T$4001,P$1))</f>
        <v/>
      </c>
      <c r="Q536" s="49">
        <f>IF(OR($AE536&lt;&gt;1,Q$1=""),"",SUMIFS('All Donations'!$S$2:$S$4001,'All Donations'!$R$2:$R$4001,$AD536,'All Donations'!$T$2:$T$4001,Q$1))</f>
        <v/>
      </c>
      <c r="R536" s="49">
        <f>IF(OR($AE536&lt;&gt;1,R$1=""),"",SUMIFS('All Donations'!$S$2:$S$4001,'All Donations'!$R$2:$R$4001,$AD536,'All Donations'!$T$2:$T$4001,R$1))</f>
        <v/>
      </c>
      <c r="S536" s="49">
        <f>IF(OR($AE536&lt;&gt;1,S$1=""),"",SUMIFS('All Donations'!$S$2:$S$4001,'All Donations'!$R$2:$R$4001,$AD536,'All Donations'!$T$2:$T$4001,S$1))</f>
        <v/>
      </c>
      <c r="T536" s="49">
        <f>IF(OR($AE536&lt;&gt;1,T$1=""),"",SUMIFS('All Donations'!$S$2:$S$4001,'All Donations'!$R$2:$R$4001,$AD536,'All Donations'!$T$2:$T$4001,T$1))</f>
        <v/>
      </c>
      <c r="U536" s="49">
        <f>IF(OR($AE536&lt;&gt;1,U$1=""),"",SUMIFS('All Donations'!$S$2:$S$4001,'All Donations'!$R$2:$R$4001,$AD536,'All Donations'!$T$2:$T$4001,U$1))</f>
        <v/>
      </c>
      <c r="V536" s="49">
        <f>IF(OR($AE536&lt;&gt;1,V$1=""),"",SUMIFS('All Donations'!$S$2:$S$4001,'All Donations'!$R$2:$R$4001,$AD536,'All Donations'!$T$2:$T$4001,V$1))</f>
        <v/>
      </c>
      <c r="W536" s="49">
        <f>IF(OR($AE536&lt;&gt;1,W$1=""),"",SUMIFS('All Donations'!$S$2:$S$4001,'All Donations'!$R$2:$R$4001,$AD536,'All Donations'!$T$2:$T$4001,W$1))</f>
        <v/>
      </c>
      <c r="X536" s="49">
        <f>IF(OR($AE536&lt;&gt;1,X$1=""),"",SUMIFS('All Donations'!$S$2:$S$4001,'All Donations'!$R$2:$R$4001,$AD536,'All Donations'!$T$2:$T$4001,X$1))</f>
        <v/>
      </c>
      <c r="Y536" s="49">
        <f>IF(OR($AE536&lt;&gt;1,Y$1=""),"",SUMIFS('All Donations'!$S$2:$S$4001,'All Donations'!$R$2:$R$4001,$AD536,'All Donations'!$T$2:$T$4001,Y$1))</f>
        <v/>
      </c>
      <c r="Z536" s="49">
        <f>IF(OR($AE536&lt;&gt;1,Z$1=""),"",SUMIFS('All Donations'!$S$2:$S$4001,'All Donations'!$R$2:$R$4001,$AD536,'All Donations'!$T$2:$T$4001,Z$1))</f>
        <v/>
      </c>
      <c r="AA536" s="49">
        <f>IF(OR($AE536&lt;&gt;1,AA$1=""),"",SUMIFS('All Donations'!$S$2:$S$4001,'All Donations'!$R$2:$R$4001,$AD536,'All Donations'!$T$2:$T$4001,AA$1))</f>
        <v/>
      </c>
      <c r="AB536" s="49">
        <f>IF(OR($AE536&lt;&gt;1,AB$1=""),"",SUMIFS('All Donations'!$S$2:$S$4001,'All Donations'!$R$2:$R$4001,$AD536,'All Donations'!$T$2:$T$4001,AB$1))</f>
        <v/>
      </c>
      <c r="AC536" s="49">
        <f>IF(OR($AE536&lt;&gt;1,AC$1=""),"",SUMIFS('All Donations'!$S$2:$S$4001,'All Donations'!$R$2:$R$4001,$AD536,'All Donations'!$T$2:$T$4001,AC$1))</f>
        <v/>
      </c>
      <c r="AD536">
        <f>IF(AE536=1,'Roster'!A536,"")</f>
        <v/>
      </c>
      <c r="AE536">
        <f>IF(TRIM('Roster'!B536&amp;'Roster'!C536)&lt;&gt;"",1,0)</f>
        <v/>
      </c>
      <c r="AF536">
        <f>IF(AE536=1,LOWER(A536),"#")</f>
        <v/>
      </c>
      <c r="AG536">
        <f>IF(AE536=1,LOWER(TRIM(TRIM('Roster'!C536)&amp;", "&amp;TRIM('Roster'!B536))),"#")</f>
        <v/>
      </c>
      <c r="AH536">
        <f>IF(AND(AE536=1,TRIM('Roster'!F536)&lt;&gt;""),LOWER(TRIM('Roster'!F536)),"#")</f>
        <v/>
      </c>
      <c r="AI536">
        <f>IF(AE536=1,IF(MATCH(B536,$B$2:$B$701,0)=ROW()-1,1,0),0)</f>
        <v/>
      </c>
      <c r="AJ536">
        <f>AJ535+AI536</f>
        <v/>
      </c>
      <c r="AK536">
        <f>IF(AE536=1,D536+(1000-ROW())/10^7,-1)</f>
        <v/>
      </c>
      <c r="AL536">
        <f>IF(AE536=1,TRIM('Roster'!B536)&amp;" "&amp;LEFT(TRIM('Roster'!C536),1)&amp;".","")</f>
        <v/>
      </c>
      <c r="AM536">
        <f>IF(AE536=1,TRIM('Roster'!C536)&amp;", "&amp;TRIM('Roster'!B536)&amp;" ("&amp;B536&amp;") #"&amp;AD536,"")</f>
        <v/>
      </c>
      <c r="AN536">
        <f>IF(AE536=1,TRIM('Roster'!E536),"")</f>
        <v/>
      </c>
      <c r="AO536">
        <f>IF(AE536=1,ROUND(SUMIFS('All Donations'!$S$2:$S$4001,'All Donations'!$R$2:$R$4001,AD536,'All Donations'!$T$2:$T$4001,"&gt;="&amp;'Settings'!$C$23,'All Donations'!$T$2:$T$4001,"&lt;="&amp;'Settings'!$D$23),2),0)</f>
        <v/>
      </c>
      <c r="AQ536">
        <f>IF(AE536=1,ROUND(SUMIFS('All Donations'!$S$2:$S$4001,'All Donations'!$R$2:$R$4001,AD536,'All Donations'!$T$2:$T$4001,"&gt;="&amp;'Settings'!$C$25,'All Donations'!$T$2:$T$4001,"&lt;="&amp;'Settings'!$D$25),2),0)</f>
        <v/>
      </c>
      <c r="AR536">
        <f>IF(AE536=1,ROUND(SUMIFS('All Donations'!$S$2:$S$4001,'All Donations'!$R$2:$R$4001,AD536,'All Donations'!$T$2:$T$4001,"&gt;="&amp;'Settings'!$C$26,'All Donations'!$T$2:$T$4001,"&lt;="&amp;'Settings'!$D$26),2),0)</f>
        <v/>
      </c>
      <c r="AS536">
        <f>IF(AE536=1,ROUND(SUMIFS('All Donations'!$S$2:$S$4001,'All Donations'!$R$2:$R$4001,AD536,'All Donations'!$T$2:$T$4001,"&lt;="&amp;'Settings'!$D$27),2),0)</f>
        <v/>
      </c>
      <c r="AT536">
        <f>IF(AE536=1,ROUND(SUMIFS('All Donations'!$S$2:$S$4001,'All Donations'!$R$2:$R$4001,AD536,'All Donations'!$T$2:$T$4001,"&gt;="&amp;'Settings'!$C$28,'All Donations'!$T$2:$T$4001,"&lt;="&amp;'Settings'!$D$28),2),0)</f>
        <v/>
      </c>
      <c r="AU536">
        <f>IF(AE536=1,ROUND(SUMIFS('All Donations'!$S$2:$S$4001,'All Donations'!$R$2:$R$4001,AD536,'All Donations'!$T$2:$T$4001,"&gt;="&amp;'Settings'!$C$29,'All Donations'!$T$2:$T$4001,"&lt;="&amp;'Settings'!$D$29),2),0)</f>
        <v/>
      </c>
      <c r="AV536">
        <f>IF(AE536=1,ROUND(SUMIFS('All Donations'!$S$2:$S$4001,'All Donations'!$R$2:$R$4001,AD536,'All Donations'!$T$2:$T$4001,"&lt;="&amp;'Settings'!$D$30),2),0)</f>
        <v/>
      </c>
      <c r="AZ536">
        <f>IF(AE536=1,ROUND(SUMIFS('All Donations'!$S$2:$S$4001,'All Donations'!$R$2:$R$4001,AD536,'All Donations'!$T$2:$T$4001,"&lt;="&amp;'Settings'!$D$34),2),0)</f>
        <v/>
      </c>
    </row>
    <row r="537">
      <c r="A537">
        <f>IF(AE537=1,TRIM(TRIM('Roster'!B537)&amp;" "&amp;TRIM('Roster'!C537)),"")</f>
        <v/>
      </c>
      <c r="B537">
        <f>IF(AE537=1,IF(AN537="","(no teacher)",AN537&amp;" – "&amp;C537),"")</f>
        <v/>
      </c>
      <c r="C537">
        <f>IF(AE537=1,TRIM('Roster'!D537&amp;""),"")</f>
        <v/>
      </c>
      <c r="D537" s="48">
        <f>IF(AE537=1,ROUND(SUMIFS('All Donations'!$S$2:$S$4001,'All Donations'!$R$2:$R$4001,AD537),2),"")</f>
        <v/>
      </c>
      <c r="E537" s="48">
        <f>IF(AE537=1,ROUND(SUMIFS('All Donations'!$S$2:$S$4001,'All Donations'!$R$2:$R$4001,AD537,'All Donations'!$G$2:$G$4001,"OneCause"),2),"")</f>
        <v/>
      </c>
      <c r="F537" s="48">
        <f>IF(AE537=1,D537-E537,"")</f>
        <v/>
      </c>
      <c r="G537">
        <f>IF(AE537=1,COUNTIFS('All Donations'!$R$2:$R$4001,AD537,'All Donations'!$H$2:$H$4001,"OK"),"")</f>
        <v/>
      </c>
      <c r="H537">
        <f>IF(AE537&lt;&gt;1,"",IF(D537&gt;0,"Yes",""))</f>
        <v/>
      </c>
      <c r="I537" s="49">
        <f>IF(OR($AE537&lt;&gt;1,I$1=""),"",SUMIFS('All Donations'!$S$2:$S$4001,'All Donations'!$R$2:$R$4001,$AD537,'All Donations'!$T$2:$T$4001,I$1))</f>
        <v/>
      </c>
      <c r="J537" s="49">
        <f>IF(OR($AE537&lt;&gt;1,J$1=""),"",SUMIFS('All Donations'!$S$2:$S$4001,'All Donations'!$R$2:$R$4001,$AD537,'All Donations'!$T$2:$T$4001,J$1))</f>
        <v/>
      </c>
      <c r="K537" s="49">
        <f>IF(OR($AE537&lt;&gt;1,K$1=""),"",SUMIFS('All Donations'!$S$2:$S$4001,'All Donations'!$R$2:$R$4001,$AD537,'All Donations'!$T$2:$T$4001,K$1))</f>
        <v/>
      </c>
      <c r="L537" s="49">
        <f>IF(OR($AE537&lt;&gt;1,L$1=""),"",SUMIFS('All Donations'!$S$2:$S$4001,'All Donations'!$R$2:$R$4001,$AD537,'All Donations'!$T$2:$T$4001,L$1))</f>
        <v/>
      </c>
      <c r="M537" s="49">
        <f>IF(OR($AE537&lt;&gt;1,M$1=""),"",SUMIFS('All Donations'!$S$2:$S$4001,'All Donations'!$R$2:$R$4001,$AD537,'All Donations'!$T$2:$T$4001,M$1))</f>
        <v/>
      </c>
      <c r="N537" s="49">
        <f>IF(OR($AE537&lt;&gt;1,N$1=""),"",SUMIFS('All Donations'!$S$2:$S$4001,'All Donations'!$R$2:$R$4001,$AD537,'All Donations'!$T$2:$T$4001,N$1))</f>
        <v/>
      </c>
      <c r="O537" s="49">
        <f>IF(OR($AE537&lt;&gt;1,O$1=""),"",SUMIFS('All Donations'!$S$2:$S$4001,'All Donations'!$R$2:$R$4001,$AD537,'All Donations'!$T$2:$T$4001,O$1))</f>
        <v/>
      </c>
      <c r="P537" s="49">
        <f>IF(OR($AE537&lt;&gt;1,P$1=""),"",SUMIFS('All Donations'!$S$2:$S$4001,'All Donations'!$R$2:$R$4001,$AD537,'All Donations'!$T$2:$T$4001,P$1))</f>
        <v/>
      </c>
      <c r="Q537" s="49">
        <f>IF(OR($AE537&lt;&gt;1,Q$1=""),"",SUMIFS('All Donations'!$S$2:$S$4001,'All Donations'!$R$2:$R$4001,$AD537,'All Donations'!$T$2:$T$4001,Q$1))</f>
        <v/>
      </c>
      <c r="R537" s="49">
        <f>IF(OR($AE537&lt;&gt;1,R$1=""),"",SUMIFS('All Donations'!$S$2:$S$4001,'All Donations'!$R$2:$R$4001,$AD537,'All Donations'!$T$2:$T$4001,R$1))</f>
        <v/>
      </c>
      <c r="S537" s="49">
        <f>IF(OR($AE537&lt;&gt;1,S$1=""),"",SUMIFS('All Donations'!$S$2:$S$4001,'All Donations'!$R$2:$R$4001,$AD537,'All Donations'!$T$2:$T$4001,S$1))</f>
        <v/>
      </c>
      <c r="T537" s="49">
        <f>IF(OR($AE537&lt;&gt;1,T$1=""),"",SUMIFS('All Donations'!$S$2:$S$4001,'All Donations'!$R$2:$R$4001,$AD537,'All Donations'!$T$2:$T$4001,T$1))</f>
        <v/>
      </c>
      <c r="U537" s="49">
        <f>IF(OR($AE537&lt;&gt;1,U$1=""),"",SUMIFS('All Donations'!$S$2:$S$4001,'All Donations'!$R$2:$R$4001,$AD537,'All Donations'!$T$2:$T$4001,U$1))</f>
        <v/>
      </c>
      <c r="V537" s="49">
        <f>IF(OR($AE537&lt;&gt;1,V$1=""),"",SUMIFS('All Donations'!$S$2:$S$4001,'All Donations'!$R$2:$R$4001,$AD537,'All Donations'!$T$2:$T$4001,V$1))</f>
        <v/>
      </c>
      <c r="W537" s="49">
        <f>IF(OR($AE537&lt;&gt;1,W$1=""),"",SUMIFS('All Donations'!$S$2:$S$4001,'All Donations'!$R$2:$R$4001,$AD537,'All Donations'!$T$2:$T$4001,W$1))</f>
        <v/>
      </c>
      <c r="X537" s="49">
        <f>IF(OR($AE537&lt;&gt;1,X$1=""),"",SUMIFS('All Donations'!$S$2:$S$4001,'All Donations'!$R$2:$R$4001,$AD537,'All Donations'!$T$2:$T$4001,X$1))</f>
        <v/>
      </c>
      <c r="Y537" s="49">
        <f>IF(OR($AE537&lt;&gt;1,Y$1=""),"",SUMIFS('All Donations'!$S$2:$S$4001,'All Donations'!$R$2:$R$4001,$AD537,'All Donations'!$T$2:$T$4001,Y$1))</f>
        <v/>
      </c>
      <c r="Z537" s="49">
        <f>IF(OR($AE537&lt;&gt;1,Z$1=""),"",SUMIFS('All Donations'!$S$2:$S$4001,'All Donations'!$R$2:$R$4001,$AD537,'All Donations'!$T$2:$T$4001,Z$1))</f>
        <v/>
      </c>
      <c r="AA537" s="49">
        <f>IF(OR($AE537&lt;&gt;1,AA$1=""),"",SUMIFS('All Donations'!$S$2:$S$4001,'All Donations'!$R$2:$R$4001,$AD537,'All Donations'!$T$2:$T$4001,AA$1))</f>
        <v/>
      </c>
      <c r="AB537" s="49">
        <f>IF(OR($AE537&lt;&gt;1,AB$1=""),"",SUMIFS('All Donations'!$S$2:$S$4001,'All Donations'!$R$2:$R$4001,$AD537,'All Donations'!$T$2:$T$4001,AB$1))</f>
        <v/>
      </c>
      <c r="AC537" s="49">
        <f>IF(OR($AE537&lt;&gt;1,AC$1=""),"",SUMIFS('All Donations'!$S$2:$S$4001,'All Donations'!$R$2:$R$4001,$AD537,'All Donations'!$T$2:$T$4001,AC$1))</f>
        <v/>
      </c>
      <c r="AD537">
        <f>IF(AE537=1,'Roster'!A537,"")</f>
        <v/>
      </c>
      <c r="AE537">
        <f>IF(TRIM('Roster'!B537&amp;'Roster'!C537)&lt;&gt;"",1,0)</f>
        <v/>
      </c>
      <c r="AF537">
        <f>IF(AE537=1,LOWER(A537),"#")</f>
        <v/>
      </c>
      <c r="AG537">
        <f>IF(AE537=1,LOWER(TRIM(TRIM('Roster'!C537)&amp;", "&amp;TRIM('Roster'!B537))),"#")</f>
        <v/>
      </c>
      <c r="AH537">
        <f>IF(AND(AE537=1,TRIM('Roster'!F537)&lt;&gt;""),LOWER(TRIM('Roster'!F537)),"#")</f>
        <v/>
      </c>
      <c r="AI537">
        <f>IF(AE537=1,IF(MATCH(B537,$B$2:$B$701,0)=ROW()-1,1,0),0)</f>
        <v/>
      </c>
      <c r="AJ537">
        <f>AJ536+AI537</f>
        <v/>
      </c>
      <c r="AK537">
        <f>IF(AE537=1,D537+(1000-ROW())/10^7,-1)</f>
        <v/>
      </c>
      <c r="AL537">
        <f>IF(AE537=1,TRIM('Roster'!B537)&amp;" "&amp;LEFT(TRIM('Roster'!C537),1)&amp;".","")</f>
        <v/>
      </c>
      <c r="AM537">
        <f>IF(AE537=1,TRIM('Roster'!C537)&amp;", "&amp;TRIM('Roster'!B537)&amp;" ("&amp;B537&amp;") #"&amp;AD537,"")</f>
        <v/>
      </c>
      <c r="AN537">
        <f>IF(AE537=1,TRIM('Roster'!E537),"")</f>
        <v/>
      </c>
      <c r="AO537">
        <f>IF(AE537=1,ROUND(SUMIFS('All Donations'!$S$2:$S$4001,'All Donations'!$R$2:$R$4001,AD537,'All Donations'!$T$2:$T$4001,"&gt;="&amp;'Settings'!$C$23,'All Donations'!$T$2:$T$4001,"&lt;="&amp;'Settings'!$D$23),2),0)</f>
        <v/>
      </c>
      <c r="AQ537">
        <f>IF(AE537=1,ROUND(SUMIFS('All Donations'!$S$2:$S$4001,'All Donations'!$R$2:$R$4001,AD537,'All Donations'!$T$2:$T$4001,"&gt;="&amp;'Settings'!$C$25,'All Donations'!$T$2:$T$4001,"&lt;="&amp;'Settings'!$D$25),2),0)</f>
        <v/>
      </c>
      <c r="AR537">
        <f>IF(AE537=1,ROUND(SUMIFS('All Donations'!$S$2:$S$4001,'All Donations'!$R$2:$R$4001,AD537,'All Donations'!$T$2:$T$4001,"&gt;="&amp;'Settings'!$C$26,'All Donations'!$T$2:$T$4001,"&lt;="&amp;'Settings'!$D$26),2),0)</f>
        <v/>
      </c>
      <c r="AS537">
        <f>IF(AE537=1,ROUND(SUMIFS('All Donations'!$S$2:$S$4001,'All Donations'!$R$2:$R$4001,AD537,'All Donations'!$T$2:$T$4001,"&lt;="&amp;'Settings'!$D$27),2),0)</f>
        <v/>
      </c>
      <c r="AT537">
        <f>IF(AE537=1,ROUND(SUMIFS('All Donations'!$S$2:$S$4001,'All Donations'!$R$2:$R$4001,AD537,'All Donations'!$T$2:$T$4001,"&gt;="&amp;'Settings'!$C$28,'All Donations'!$T$2:$T$4001,"&lt;="&amp;'Settings'!$D$28),2),0)</f>
        <v/>
      </c>
      <c r="AU537">
        <f>IF(AE537=1,ROUND(SUMIFS('All Donations'!$S$2:$S$4001,'All Donations'!$R$2:$R$4001,AD537,'All Donations'!$T$2:$T$4001,"&gt;="&amp;'Settings'!$C$29,'All Donations'!$T$2:$T$4001,"&lt;="&amp;'Settings'!$D$29),2),0)</f>
        <v/>
      </c>
      <c r="AV537">
        <f>IF(AE537=1,ROUND(SUMIFS('All Donations'!$S$2:$S$4001,'All Donations'!$R$2:$R$4001,AD537,'All Donations'!$T$2:$T$4001,"&lt;="&amp;'Settings'!$D$30),2),0)</f>
        <v/>
      </c>
      <c r="AZ537">
        <f>IF(AE537=1,ROUND(SUMIFS('All Donations'!$S$2:$S$4001,'All Donations'!$R$2:$R$4001,AD537,'All Donations'!$T$2:$T$4001,"&lt;="&amp;'Settings'!$D$34),2),0)</f>
        <v/>
      </c>
    </row>
    <row r="538">
      <c r="A538">
        <f>IF(AE538=1,TRIM(TRIM('Roster'!B538)&amp;" "&amp;TRIM('Roster'!C538)),"")</f>
        <v/>
      </c>
      <c r="B538">
        <f>IF(AE538=1,IF(AN538="","(no teacher)",AN538&amp;" – "&amp;C538),"")</f>
        <v/>
      </c>
      <c r="C538">
        <f>IF(AE538=1,TRIM('Roster'!D538&amp;""),"")</f>
        <v/>
      </c>
      <c r="D538" s="48">
        <f>IF(AE538=1,ROUND(SUMIFS('All Donations'!$S$2:$S$4001,'All Donations'!$R$2:$R$4001,AD538),2),"")</f>
        <v/>
      </c>
      <c r="E538" s="48">
        <f>IF(AE538=1,ROUND(SUMIFS('All Donations'!$S$2:$S$4001,'All Donations'!$R$2:$R$4001,AD538,'All Donations'!$G$2:$G$4001,"OneCause"),2),"")</f>
        <v/>
      </c>
      <c r="F538" s="48">
        <f>IF(AE538=1,D538-E538,"")</f>
        <v/>
      </c>
      <c r="G538">
        <f>IF(AE538=1,COUNTIFS('All Donations'!$R$2:$R$4001,AD538,'All Donations'!$H$2:$H$4001,"OK"),"")</f>
        <v/>
      </c>
      <c r="H538">
        <f>IF(AE538&lt;&gt;1,"",IF(D538&gt;0,"Yes",""))</f>
        <v/>
      </c>
      <c r="I538" s="49">
        <f>IF(OR($AE538&lt;&gt;1,I$1=""),"",SUMIFS('All Donations'!$S$2:$S$4001,'All Donations'!$R$2:$R$4001,$AD538,'All Donations'!$T$2:$T$4001,I$1))</f>
        <v/>
      </c>
      <c r="J538" s="49">
        <f>IF(OR($AE538&lt;&gt;1,J$1=""),"",SUMIFS('All Donations'!$S$2:$S$4001,'All Donations'!$R$2:$R$4001,$AD538,'All Donations'!$T$2:$T$4001,J$1))</f>
        <v/>
      </c>
      <c r="K538" s="49">
        <f>IF(OR($AE538&lt;&gt;1,K$1=""),"",SUMIFS('All Donations'!$S$2:$S$4001,'All Donations'!$R$2:$R$4001,$AD538,'All Donations'!$T$2:$T$4001,K$1))</f>
        <v/>
      </c>
      <c r="L538" s="49">
        <f>IF(OR($AE538&lt;&gt;1,L$1=""),"",SUMIFS('All Donations'!$S$2:$S$4001,'All Donations'!$R$2:$R$4001,$AD538,'All Donations'!$T$2:$T$4001,L$1))</f>
        <v/>
      </c>
      <c r="M538" s="49">
        <f>IF(OR($AE538&lt;&gt;1,M$1=""),"",SUMIFS('All Donations'!$S$2:$S$4001,'All Donations'!$R$2:$R$4001,$AD538,'All Donations'!$T$2:$T$4001,M$1))</f>
        <v/>
      </c>
      <c r="N538" s="49">
        <f>IF(OR($AE538&lt;&gt;1,N$1=""),"",SUMIFS('All Donations'!$S$2:$S$4001,'All Donations'!$R$2:$R$4001,$AD538,'All Donations'!$T$2:$T$4001,N$1))</f>
        <v/>
      </c>
      <c r="O538" s="49">
        <f>IF(OR($AE538&lt;&gt;1,O$1=""),"",SUMIFS('All Donations'!$S$2:$S$4001,'All Donations'!$R$2:$R$4001,$AD538,'All Donations'!$T$2:$T$4001,O$1))</f>
        <v/>
      </c>
      <c r="P538" s="49">
        <f>IF(OR($AE538&lt;&gt;1,P$1=""),"",SUMIFS('All Donations'!$S$2:$S$4001,'All Donations'!$R$2:$R$4001,$AD538,'All Donations'!$T$2:$T$4001,P$1))</f>
        <v/>
      </c>
      <c r="Q538" s="49">
        <f>IF(OR($AE538&lt;&gt;1,Q$1=""),"",SUMIFS('All Donations'!$S$2:$S$4001,'All Donations'!$R$2:$R$4001,$AD538,'All Donations'!$T$2:$T$4001,Q$1))</f>
        <v/>
      </c>
      <c r="R538" s="49">
        <f>IF(OR($AE538&lt;&gt;1,R$1=""),"",SUMIFS('All Donations'!$S$2:$S$4001,'All Donations'!$R$2:$R$4001,$AD538,'All Donations'!$T$2:$T$4001,R$1))</f>
        <v/>
      </c>
      <c r="S538" s="49">
        <f>IF(OR($AE538&lt;&gt;1,S$1=""),"",SUMIFS('All Donations'!$S$2:$S$4001,'All Donations'!$R$2:$R$4001,$AD538,'All Donations'!$T$2:$T$4001,S$1))</f>
        <v/>
      </c>
      <c r="T538" s="49">
        <f>IF(OR($AE538&lt;&gt;1,T$1=""),"",SUMIFS('All Donations'!$S$2:$S$4001,'All Donations'!$R$2:$R$4001,$AD538,'All Donations'!$T$2:$T$4001,T$1))</f>
        <v/>
      </c>
      <c r="U538" s="49">
        <f>IF(OR($AE538&lt;&gt;1,U$1=""),"",SUMIFS('All Donations'!$S$2:$S$4001,'All Donations'!$R$2:$R$4001,$AD538,'All Donations'!$T$2:$T$4001,U$1))</f>
        <v/>
      </c>
      <c r="V538" s="49">
        <f>IF(OR($AE538&lt;&gt;1,V$1=""),"",SUMIFS('All Donations'!$S$2:$S$4001,'All Donations'!$R$2:$R$4001,$AD538,'All Donations'!$T$2:$T$4001,V$1))</f>
        <v/>
      </c>
      <c r="W538" s="49">
        <f>IF(OR($AE538&lt;&gt;1,W$1=""),"",SUMIFS('All Donations'!$S$2:$S$4001,'All Donations'!$R$2:$R$4001,$AD538,'All Donations'!$T$2:$T$4001,W$1))</f>
        <v/>
      </c>
      <c r="X538" s="49">
        <f>IF(OR($AE538&lt;&gt;1,X$1=""),"",SUMIFS('All Donations'!$S$2:$S$4001,'All Donations'!$R$2:$R$4001,$AD538,'All Donations'!$T$2:$T$4001,X$1))</f>
        <v/>
      </c>
      <c r="Y538" s="49">
        <f>IF(OR($AE538&lt;&gt;1,Y$1=""),"",SUMIFS('All Donations'!$S$2:$S$4001,'All Donations'!$R$2:$R$4001,$AD538,'All Donations'!$T$2:$T$4001,Y$1))</f>
        <v/>
      </c>
      <c r="Z538" s="49">
        <f>IF(OR($AE538&lt;&gt;1,Z$1=""),"",SUMIFS('All Donations'!$S$2:$S$4001,'All Donations'!$R$2:$R$4001,$AD538,'All Donations'!$T$2:$T$4001,Z$1))</f>
        <v/>
      </c>
      <c r="AA538" s="49">
        <f>IF(OR($AE538&lt;&gt;1,AA$1=""),"",SUMIFS('All Donations'!$S$2:$S$4001,'All Donations'!$R$2:$R$4001,$AD538,'All Donations'!$T$2:$T$4001,AA$1))</f>
        <v/>
      </c>
      <c r="AB538" s="49">
        <f>IF(OR($AE538&lt;&gt;1,AB$1=""),"",SUMIFS('All Donations'!$S$2:$S$4001,'All Donations'!$R$2:$R$4001,$AD538,'All Donations'!$T$2:$T$4001,AB$1))</f>
        <v/>
      </c>
      <c r="AC538" s="49">
        <f>IF(OR($AE538&lt;&gt;1,AC$1=""),"",SUMIFS('All Donations'!$S$2:$S$4001,'All Donations'!$R$2:$R$4001,$AD538,'All Donations'!$T$2:$T$4001,AC$1))</f>
        <v/>
      </c>
      <c r="AD538">
        <f>IF(AE538=1,'Roster'!A538,"")</f>
        <v/>
      </c>
      <c r="AE538">
        <f>IF(TRIM('Roster'!B538&amp;'Roster'!C538)&lt;&gt;"",1,0)</f>
        <v/>
      </c>
      <c r="AF538">
        <f>IF(AE538=1,LOWER(A538),"#")</f>
        <v/>
      </c>
      <c r="AG538">
        <f>IF(AE538=1,LOWER(TRIM(TRIM('Roster'!C538)&amp;", "&amp;TRIM('Roster'!B538))),"#")</f>
        <v/>
      </c>
      <c r="AH538">
        <f>IF(AND(AE538=1,TRIM('Roster'!F538)&lt;&gt;""),LOWER(TRIM('Roster'!F538)),"#")</f>
        <v/>
      </c>
      <c r="AI538">
        <f>IF(AE538=1,IF(MATCH(B538,$B$2:$B$701,0)=ROW()-1,1,0),0)</f>
        <v/>
      </c>
      <c r="AJ538">
        <f>AJ537+AI538</f>
        <v/>
      </c>
      <c r="AK538">
        <f>IF(AE538=1,D538+(1000-ROW())/10^7,-1)</f>
        <v/>
      </c>
      <c r="AL538">
        <f>IF(AE538=1,TRIM('Roster'!B538)&amp;" "&amp;LEFT(TRIM('Roster'!C538),1)&amp;".","")</f>
        <v/>
      </c>
      <c r="AM538">
        <f>IF(AE538=1,TRIM('Roster'!C538)&amp;", "&amp;TRIM('Roster'!B538)&amp;" ("&amp;B538&amp;") #"&amp;AD538,"")</f>
        <v/>
      </c>
      <c r="AN538">
        <f>IF(AE538=1,TRIM('Roster'!E538),"")</f>
        <v/>
      </c>
      <c r="AO538">
        <f>IF(AE538=1,ROUND(SUMIFS('All Donations'!$S$2:$S$4001,'All Donations'!$R$2:$R$4001,AD538,'All Donations'!$T$2:$T$4001,"&gt;="&amp;'Settings'!$C$23,'All Donations'!$T$2:$T$4001,"&lt;="&amp;'Settings'!$D$23),2),0)</f>
        <v/>
      </c>
      <c r="AQ538">
        <f>IF(AE538=1,ROUND(SUMIFS('All Donations'!$S$2:$S$4001,'All Donations'!$R$2:$R$4001,AD538,'All Donations'!$T$2:$T$4001,"&gt;="&amp;'Settings'!$C$25,'All Donations'!$T$2:$T$4001,"&lt;="&amp;'Settings'!$D$25),2),0)</f>
        <v/>
      </c>
      <c r="AR538">
        <f>IF(AE538=1,ROUND(SUMIFS('All Donations'!$S$2:$S$4001,'All Donations'!$R$2:$R$4001,AD538,'All Donations'!$T$2:$T$4001,"&gt;="&amp;'Settings'!$C$26,'All Donations'!$T$2:$T$4001,"&lt;="&amp;'Settings'!$D$26),2),0)</f>
        <v/>
      </c>
      <c r="AS538">
        <f>IF(AE538=1,ROUND(SUMIFS('All Donations'!$S$2:$S$4001,'All Donations'!$R$2:$R$4001,AD538,'All Donations'!$T$2:$T$4001,"&lt;="&amp;'Settings'!$D$27),2),0)</f>
        <v/>
      </c>
      <c r="AT538">
        <f>IF(AE538=1,ROUND(SUMIFS('All Donations'!$S$2:$S$4001,'All Donations'!$R$2:$R$4001,AD538,'All Donations'!$T$2:$T$4001,"&gt;="&amp;'Settings'!$C$28,'All Donations'!$T$2:$T$4001,"&lt;="&amp;'Settings'!$D$28),2),0)</f>
        <v/>
      </c>
      <c r="AU538">
        <f>IF(AE538=1,ROUND(SUMIFS('All Donations'!$S$2:$S$4001,'All Donations'!$R$2:$R$4001,AD538,'All Donations'!$T$2:$T$4001,"&gt;="&amp;'Settings'!$C$29,'All Donations'!$T$2:$T$4001,"&lt;="&amp;'Settings'!$D$29),2),0)</f>
        <v/>
      </c>
      <c r="AV538">
        <f>IF(AE538=1,ROUND(SUMIFS('All Donations'!$S$2:$S$4001,'All Donations'!$R$2:$R$4001,AD538,'All Donations'!$T$2:$T$4001,"&lt;="&amp;'Settings'!$D$30),2),0)</f>
        <v/>
      </c>
      <c r="AZ538">
        <f>IF(AE538=1,ROUND(SUMIFS('All Donations'!$S$2:$S$4001,'All Donations'!$R$2:$R$4001,AD538,'All Donations'!$T$2:$T$4001,"&lt;="&amp;'Settings'!$D$34),2),0)</f>
        <v/>
      </c>
    </row>
    <row r="539">
      <c r="A539">
        <f>IF(AE539=1,TRIM(TRIM('Roster'!B539)&amp;" "&amp;TRIM('Roster'!C539)),"")</f>
        <v/>
      </c>
      <c r="B539">
        <f>IF(AE539=1,IF(AN539="","(no teacher)",AN539&amp;" – "&amp;C539),"")</f>
        <v/>
      </c>
      <c r="C539">
        <f>IF(AE539=1,TRIM('Roster'!D539&amp;""),"")</f>
        <v/>
      </c>
      <c r="D539" s="48">
        <f>IF(AE539=1,ROUND(SUMIFS('All Donations'!$S$2:$S$4001,'All Donations'!$R$2:$R$4001,AD539),2),"")</f>
        <v/>
      </c>
      <c r="E539" s="48">
        <f>IF(AE539=1,ROUND(SUMIFS('All Donations'!$S$2:$S$4001,'All Donations'!$R$2:$R$4001,AD539,'All Donations'!$G$2:$G$4001,"OneCause"),2),"")</f>
        <v/>
      </c>
      <c r="F539" s="48">
        <f>IF(AE539=1,D539-E539,"")</f>
        <v/>
      </c>
      <c r="G539">
        <f>IF(AE539=1,COUNTIFS('All Donations'!$R$2:$R$4001,AD539,'All Donations'!$H$2:$H$4001,"OK"),"")</f>
        <v/>
      </c>
      <c r="H539">
        <f>IF(AE539&lt;&gt;1,"",IF(D539&gt;0,"Yes",""))</f>
        <v/>
      </c>
      <c r="I539" s="49">
        <f>IF(OR($AE539&lt;&gt;1,I$1=""),"",SUMIFS('All Donations'!$S$2:$S$4001,'All Donations'!$R$2:$R$4001,$AD539,'All Donations'!$T$2:$T$4001,I$1))</f>
        <v/>
      </c>
      <c r="J539" s="49">
        <f>IF(OR($AE539&lt;&gt;1,J$1=""),"",SUMIFS('All Donations'!$S$2:$S$4001,'All Donations'!$R$2:$R$4001,$AD539,'All Donations'!$T$2:$T$4001,J$1))</f>
        <v/>
      </c>
      <c r="K539" s="49">
        <f>IF(OR($AE539&lt;&gt;1,K$1=""),"",SUMIFS('All Donations'!$S$2:$S$4001,'All Donations'!$R$2:$R$4001,$AD539,'All Donations'!$T$2:$T$4001,K$1))</f>
        <v/>
      </c>
      <c r="L539" s="49">
        <f>IF(OR($AE539&lt;&gt;1,L$1=""),"",SUMIFS('All Donations'!$S$2:$S$4001,'All Donations'!$R$2:$R$4001,$AD539,'All Donations'!$T$2:$T$4001,L$1))</f>
        <v/>
      </c>
      <c r="M539" s="49">
        <f>IF(OR($AE539&lt;&gt;1,M$1=""),"",SUMIFS('All Donations'!$S$2:$S$4001,'All Donations'!$R$2:$R$4001,$AD539,'All Donations'!$T$2:$T$4001,M$1))</f>
        <v/>
      </c>
      <c r="N539" s="49">
        <f>IF(OR($AE539&lt;&gt;1,N$1=""),"",SUMIFS('All Donations'!$S$2:$S$4001,'All Donations'!$R$2:$R$4001,$AD539,'All Donations'!$T$2:$T$4001,N$1))</f>
        <v/>
      </c>
      <c r="O539" s="49">
        <f>IF(OR($AE539&lt;&gt;1,O$1=""),"",SUMIFS('All Donations'!$S$2:$S$4001,'All Donations'!$R$2:$R$4001,$AD539,'All Donations'!$T$2:$T$4001,O$1))</f>
        <v/>
      </c>
      <c r="P539" s="49">
        <f>IF(OR($AE539&lt;&gt;1,P$1=""),"",SUMIFS('All Donations'!$S$2:$S$4001,'All Donations'!$R$2:$R$4001,$AD539,'All Donations'!$T$2:$T$4001,P$1))</f>
        <v/>
      </c>
      <c r="Q539" s="49">
        <f>IF(OR($AE539&lt;&gt;1,Q$1=""),"",SUMIFS('All Donations'!$S$2:$S$4001,'All Donations'!$R$2:$R$4001,$AD539,'All Donations'!$T$2:$T$4001,Q$1))</f>
        <v/>
      </c>
      <c r="R539" s="49">
        <f>IF(OR($AE539&lt;&gt;1,R$1=""),"",SUMIFS('All Donations'!$S$2:$S$4001,'All Donations'!$R$2:$R$4001,$AD539,'All Donations'!$T$2:$T$4001,R$1))</f>
        <v/>
      </c>
      <c r="S539" s="49">
        <f>IF(OR($AE539&lt;&gt;1,S$1=""),"",SUMIFS('All Donations'!$S$2:$S$4001,'All Donations'!$R$2:$R$4001,$AD539,'All Donations'!$T$2:$T$4001,S$1))</f>
        <v/>
      </c>
      <c r="T539" s="49">
        <f>IF(OR($AE539&lt;&gt;1,T$1=""),"",SUMIFS('All Donations'!$S$2:$S$4001,'All Donations'!$R$2:$R$4001,$AD539,'All Donations'!$T$2:$T$4001,T$1))</f>
        <v/>
      </c>
      <c r="U539" s="49">
        <f>IF(OR($AE539&lt;&gt;1,U$1=""),"",SUMIFS('All Donations'!$S$2:$S$4001,'All Donations'!$R$2:$R$4001,$AD539,'All Donations'!$T$2:$T$4001,U$1))</f>
        <v/>
      </c>
      <c r="V539" s="49">
        <f>IF(OR($AE539&lt;&gt;1,V$1=""),"",SUMIFS('All Donations'!$S$2:$S$4001,'All Donations'!$R$2:$R$4001,$AD539,'All Donations'!$T$2:$T$4001,V$1))</f>
        <v/>
      </c>
      <c r="W539" s="49">
        <f>IF(OR($AE539&lt;&gt;1,W$1=""),"",SUMIFS('All Donations'!$S$2:$S$4001,'All Donations'!$R$2:$R$4001,$AD539,'All Donations'!$T$2:$T$4001,W$1))</f>
        <v/>
      </c>
      <c r="X539" s="49">
        <f>IF(OR($AE539&lt;&gt;1,X$1=""),"",SUMIFS('All Donations'!$S$2:$S$4001,'All Donations'!$R$2:$R$4001,$AD539,'All Donations'!$T$2:$T$4001,X$1))</f>
        <v/>
      </c>
      <c r="Y539" s="49">
        <f>IF(OR($AE539&lt;&gt;1,Y$1=""),"",SUMIFS('All Donations'!$S$2:$S$4001,'All Donations'!$R$2:$R$4001,$AD539,'All Donations'!$T$2:$T$4001,Y$1))</f>
        <v/>
      </c>
      <c r="Z539" s="49">
        <f>IF(OR($AE539&lt;&gt;1,Z$1=""),"",SUMIFS('All Donations'!$S$2:$S$4001,'All Donations'!$R$2:$R$4001,$AD539,'All Donations'!$T$2:$T$4001,Z$1))</f>
        <v/>
      </c>
      <c r="AA539" s="49">
        <f>IF(OR($AE539&lt;&gt;1,AA$1=""),"",SUMIFS('All Donations'!$S$2:$S$4001,'All Donations'!$R$2:$R$4001,$AD539,'All Donations'!$T$2:$T$4001,AA$1))</f>
        <v/>
      </c>
      <c r="AB539" s="49">
        <f>IF(OR($AE539&lt;&gt;1,AB$1=""),"",SUMIFS('All Donations'!$S$2:$S$4001,'All Donations'!$R$2:$R$4001,$AD539,'All Donations'!$T$2:$T$4001,AB$1))</f>
        <v/>
      </c>
      <c r="AC539" s="49">
        <f>IF(OR($AE539&lt;&gt;1,AC$1=""),"",SUMIFS('All Donations'!$S$2:$S$4001,'All Donations'!$R$2:$R$4001,$AD539,'All Donations'!$T$2:$T$4001,AC$1))</f>
        <v/>
      </c>
      <c r="AD539">
        <f>IF(AE539=1,'Roster'!A539,"")</f>
        <v/>
      </c>
      <c r="AE539">
        <f>IF(TRIM('Roster'!B539&amp;'Roster'!C539)&lt;&gt;"",1,0)</f>
        <v/>
      </c>
      <c r="AF539">
        <f>IF(AE539=1,LOWER(A539),"#")</f>
        <v/>
      </c>
      <c r="AG539">
        <f>IF(AE539=1,LOWER(TRIM(TRIM('Roster'!C539)&amp;", "&amp;TRIM('Roster'!B539))),"#")</f>
        <v/>
      </c>
      <c r="AH539">
        <f>IF(AND(AE539=1,TRIM('Roster'!F539)&lt;&gt;""),LOWER(TRIM('Roster'!F539)),"#")</f>
        <v/>
      </c>
      <c r="AI539">
        <f>IF(AE539=1,IF(MATCH(B539,$B$2:$B$701,0)=ROW()-1,1,0),0)</f>
        <v/>
      </c>
      <c r="AJ539">
        <f>AJ538+AI539</f>
        <v/>
      </c>
      <c r="AK539">
        <f>IF(AE539=1,D539+(1000-ROW())/10^7,-1)</f>
        <v/>
      </c>
      <c r="AL539">
        <f>IF(AE539=1,TRIM('Roster'!B539)&amp;" "&amp;LEFT(TRIM('Roster'!C539),1)&amp;".","")</f>
        <v/>
      </c>
      <c r="AM539">
        <f>IF(AE539=1,TRIM('Roster'!C539)&amp;", "&amp;TRIM('Roster'!B539)&amp;" ("&amp;B539&amp;") #"&amp;AD539,"")</f>
        <v/>
      </c>
      <c r="AN539">
        <f>IF(AE539=1,TRIM('Roster'!E539),"")</f>
        <v/>
      </c>
      <c r="AO539">
        <f>IF(AE539=1,ROUND(SUMIFS('All Donations'!$S$2:$S$4001,'All Donations'!$R$2:$R$4001,AD539,'All Donations'!$T$2:$T$4001,"&gt;="&amp;'Settings'!$C$23,'All Donations'!$T$2:$T$4001,"&lt;="&amp;'Settings'!$D$23),2),0)</f>
        <v/>
      </c>
      <c r="AQ539">
        <f>IF(AE539=1,ROUND(SUMIFS('All Donations'!$S$2:$S$4001,'All Donations'!$R$2:$R$4001,AD539,'All Donations'!$T$2:$T$4001,"&gt;="&amp;'Settings'!$C$25,'All Donations'!$T$2:$T$4001,"&lt;="&amp;'Settings'!$D$25),2),0)</f>
        <v/>
      </c>
      <c r="AR539">
        <f>IF(AE539=1,ROUND(SUMIFS('All Donations'!$S$2:$S$4001,'All Donations'!$R$2:$R$4001,AD539,'All Donations'!$T$2:$T$4001,"&gt;="&amp;'Settings'!$C$26,'All Donations'!$T$2:$T$4001,"&lt;="&amp;'Settings'!$D$26),2),0)</f>
        <v/>
      </c>
      <c r="AS539">
        <f>IF(AE539=1,ROUND(SUMIFS('All Donations'!$S$2:$S$4001,'All Donations'!$R$2:$R$4001,AD539,'All Donations'!$T$2:$T$4001,"&lt;="&amp;'Settings'!$D$27),2),0)</f>
        <v/>
      </c>
      <c r="AT539">
        <f>IF(AE539=1,ROUND(SUMIFS('All Donations'!$S$2:$S$4001,'All Donations'!$R$2:$R$4001,AD539,'All Donations'!$T$2:$T$4001,"&gt;="&amp;'Settings'!$C$28,'All Donations'!$T$2:$T$4001,"&lt;="&amp;'Settings'!$D$28),2),0)</f>
        <v/>
      </c>
      <c r="AU539">
        <f>IF(AE539=1,ROUND(SUMIFS('All Donations'!$S$2:$S$4001,'All Donations'!$R$2:$R$4001,AD539,'All Donations'!$T$2:$T$4001,"&gt;="&amp;'Settings'!$C$29,'All Donations'!$T$2:$T$4001,"&lt;="&amp;'Settings'!$D$29),2),0)</f>
        <v/>
      </c>
      <c r="AV539">
        <f>IF(AE539=1,ROUND(SUMIFS('All Donations'!$S$2:$S$4001,'All Donations'!$R$2:$R$4001,AD539,'All Donations'!$T$2:$T$4001,"&lt;="&amp;'Settings'!$D$30),2),0)</f>
        <v/>
      </c>
      <c r="AZ539">
        <f>IF(AE539=1,ROUND(SUMIFS('All Donations'!$S$2:$S$4001,'All Donations'!$R$2:$R$4001,AD539,'All Donations'!$T$2:$T$4001,"&lt;="&amp;'Settings'!$D$34),2),0)</f>
        <v/>
      </c>
    </row>
    <row r="540">
      <c r="A540">
        <f>IF(AE540=1,TRIM(TRIM('Roster'!B540)&amp;" "&amp;TRIM('Roster'!C540)),"")</f>
        <v/>
      </c>
      <c r="B540">
        <f>IF(AE540=1,IF(AN540="","(no teacher)",AN540&amp;" – "&amp;C540),"")</f>
        <v/>
      </c>
      <c r="C540">
        <f>IF(AE540=1,TRIM('Roster'!D540&amp;""),"")</f>
        <v/>
      </c>
      <c r="D540" s="48">
        <f>IF(AE540=1,ROUND(SUMIFS('All Donations'!$S$2:$S$4001,'All Donations'!$R$2:$R$4001,AD540),2),"")</f>
        <v/>
      </c>
      <c r="E540" s="48">
        <f>IF(AE540=1,ROUND(SUMIFS('All Donations'!$S$2:$S$4001,'All Donations'!$R$2:$R$4001,AD540,'All Donations'!$G$2:$G$4001,"OneCause"),2),"")</f>
        <v/>
      </c>
      <c r="F540" s="48">
        <f>IF(AE540=1,D540-E540,"")</f>
        <v/>
      </c>
      <c r="G540">
        <f>IF(AE540=1,COUNTIFS('All Donations'!$R$2:$R$4001,AD540,'All Donations'!$H$2:$H$4001,"OK"),"")</f>
        <v/>
      </c>
      <c r="H540">
        <f>IF(AE540&lt;&gt;1,"",IF(D540&gt;0,"Yes",""))</f>
        <v/>
      </c>
      <c r="I540" s="49">
        <f>IF(OR($AE540&lt;&gt;1,I$1=""),"",SUMIFS('All Donations'!$S$2:$S$4001,'All Donations'!$R$2:$R$4001,$AD540,'All Donations'!$T$2:$T$4001,I$1))</f>
        <v/>
      </c>
      <c r="J540" s="49">
        <f>IF(OR($AE540&lt;&gt;1,J$1=""),"",SUMIFS('All Donations'!$S$2:$S$4001,'All Donations'!$R$2:$R$4001,$AD540,'All Donations'!$T$2:$T$4001,J$1))</f>
        <v/>
      </c>
      <c r="K540" s="49">
        <f>IF(OR($AE540&lt;&gt;1,K$1=""),"",SUMIFS('All Donations'!$S$2:$S$4001,'All Donations'!$R$2:$R$4001,$AD540,'All Donations'!$T$2:$T$4001,K$1))</f>
        <v/>
      </c>
      <c r="L540" s="49">
        <f>IF(OR($AE540&lt;&gt;1,L$1=""),"",SUMIFS('All Donations'!$S$2:$S$4001,'All Donations'!$R$2:$R$4001,$AD540,'All Donations'!$T$2:$T$4001,L$1))</f>
        <v/>
      </c>
      <c r="M540" s="49">
        <f>IF(OR($AE540&lt;&gt;1,M$1=""),"",SUMIFS('All Donations'!$S$2:$S$4001,'All Donations'!$R$2:$R$4001,$AD540,'All Donations'!$T$2:$T$4001,M$1))</f>
        <v/>
      </c>
      <c r="N540" s="49">
        <f>IF(OR($AE540&lt;&gt;1,N$1=""),"",SUMIFS('All Donations'!$S$2:$S$4001,'All Donations'!$R$2:$R$4001,$AD540,'All Donations'!$T$2:$T$4001,N$1))</f>
        <v/>
      </c>
      <c r="O540" s="49">
        <f>IF(OR($AE540&lt;&gt;1,O$1=""),"",SUMIFS('All Donations'!$S$2:$S$4001,'All Donations'!$R$2:$R$4001,$AD540,'All Donations'!$T$2:$T$4001,O$1))</f>
        <v/>
      </c>
      <c r="P540" s="49">
        <f>IF(OR($AE540&lt;&gt;1,P$1=""),"",SUMIFS('All Donations'!$S$2:$S$4001,'All Donations'!$R$2:$R$4001,$AD540,'All Donations'!$T$2:$T$4001,P$1))</f>
        <v/>
      </c>
      <c r="Q540" s="49">
        <f>IF(OR($AE540&lt;&gt;1,Q$1=""),"",SUMIFS('All Donations'!$S$2:$S$4001,'All Donations'!$R$2:$R$4001,$AD540,'All Donations'!$T$2:$T$4001,Q$1))</f>
        <v/>
      </c>
      <c r="R540" s="49">
        <f>IF(OR($AE540&lt;&gt;1,R$1=""),"",SUMIFS('All Donations'!$S$2:$S$4001,'All Donations'!$R$2:$R$4001,$AD540,'All Donations'!$T$2:$T$4001,R$1))</f>
        <v/>
      </c>
      <c r="S540" s="49">
        <f>IF(OR($AE540&lt;&gt;1,S$1=""),"",SUMIFS('All Donations'!$S$2:$S$4001,'All Donations'!$R$2:$R$4001,$AD540,'All Donations'!$T$2:$T$4001,S$1))</f>
        <v/>
      </c>
      <c r="T540" s="49">
        <f>IF(OR($AE540&lt;&gt;1,T$1=""),"",SUMIFS('All Donations'!$S$2:$S$4001,'All Donations'!$R$2:$R$4001,$AD540,'All Donations'!$T$2:$T$4001,T$1))</f>
        <v/>
      </c>
      <c r="U540" s="49">
        <f>IF(OR($AE540&lt;&gt;1,U$1=""),"",SUMIFS('All Donations'!$S$2:$S$4001,'All Donations'!$R$2:$R$4001,$AD540,'All Donations'!$T$2:$T$4001,U$1))</f>
        <v/>
      </c>
      <c r="V540" s="49">
        <f>IF(OR($AE540&lt;&gt;1,V$1=""),"",SUMIFS('All Donations'!$S$2:$S$4001,'All Donations'!$R$2:$R$4001,$AD540,'All Donations'!$T$2:$T$4001,V$1))</f>
        <v/>
      </c>
      <c r="W540" s="49">
        <f>IF(OR($AE540&lt;&gt;1,W$1=""),"",SUMIFS('All Donations'!$S$2:$S$4001,'All Donations'!$R$2:$R$4001,$AD540,'All Donations'!$T$2:$T$4001,W$1))</f>
        <v/>
      </c>
      <c r="X540" s="49">
        <f>IF(OR($AE540&lt;&gt;1,X$1=""),"",SUMIFS('All Donations'!$S$2:$S$4001,'All Donations'!$R$2:$R$4001,$AD540,'All Donations'!$T$2:$T$4001,X$1))</f>
        <v/>
      </c>
      <c r="Y540" s="49">
        <f>IF(OR($AE540&lt;&gt;1,Y$1=""),"",SUMIFS('All Donations'!$S$2:$S$4001,'All Donations'!$R$2:$R$4001,$AD540,'All Donations'!$T$2:$T$4001,Y$1))</f>
        <v/>
      </c>
      <c r="Z540" s="49">
        <f>IF(OR($AE540&lt;&gt;1,Z$1=""),"",SUMIFS('All Donations'!$S$2:$S$4001,'All Donations'!$R$2:$R$4001,$AD540,'All Donations'!$T$2:$T$4001,Z$1))</f>
        <v/>
      </c>
      <c r="AA540" s="49">
        <f>IF(OR($AE540&lt;&gt;1,AA$1=""),"",SUMIFS('All Donations'!$S$2:$S$4001,'All Donations'!$R$2:$R$4001,$AD540,'All Donations'!$T$2:$T$4001,AA$1))</f>
        <v/>
      </c>
      <c r="AB540" s="49">
        <f>IF(OR($AE540&lt;&gt;1,AB$1=""),"",SUMIFS('All Donations'!$S$2:$S$4001,'All Donations'!$R$2:$R$4001,$AD540,'All Donations'!$T$2:$T$4001,AB$1))</f>
        <v/>
      </c>
      <c r="AC540" s="49">
        <f>IF(OR($AE540&lt;&gt;1,AC$1=""),"",SUMIFS('All Donations'!$S$2:$S$4001,'All Donations'!$R$2:$R$4001,$AD540,'All Donations'!$T$2:$T$4001,AC$1))</f>
        <v/>
      </c>
      <c r="AD540">
        <f>IF(AE540=1,'Roster'!A540,"")</f>
        <v/>
      </c>
      <c r="AE540">
        <f>IF(TRIM('Roster'!B540&amp;'Roster'!C540)&lt;&gt;"",1,0)</f>
        <v/>
      </c>
      <c r="AF540">
        <f>IF(AE540=1,LOWER(A540),"#")</f>
        <v/>
      </c>
      <c r="AG540">
        <f>IF(AE540=1,LOWER(TRIM(TRIM('Roster'!C540)&amp;", "&amp;TRIM('Roster'!B540))),"#")</f>
        <v/>
      </c>
      <c r="AH540">
        <f>IF(AND(AE540=1,TRIM('Roster'!F540)&lt;&gt;""),LOWER(TRIM('Roster'!F540)),"#")</f>
        <v/>
      </c>
      <c r="AI540">
        <f>IF(AE540=1,IF(MATCH(B540,$B$2:$B$701,0)=ROW()-1,1,0),0)</f>
        <v/>
      </c>
      <c r="AJ540">
        <f>AJ539+AI540</f>
        <v/>
      </c>
      <c r="AK540">
        <f>IF(AE540=1,D540+(1000-ROW())/10^7,-1)</f>
        <v/>
      </c>
      <c r="AL540">
        <f>IF(AE540=1,TRIM('Roster'!B540)&amp;" "&amp;LEFT(TRIM('Roster'!C540),1)&amp;".","")</f>
        <v/>
      </c>
      <c r="AM540">
        <f>IF(AE540=1,TRIM('Roster'!C540)&amp;", "&amp;TRIM('Roster'!B540)&amp;" ("&amp;B540&amp;") #"&amp;AD540,"")</f>
        <v/>
      </c>
      <c r="AN540">
        <f>IF(AE540=1,TRIM('Roster'!E540),"")</f>
        <v/>
      </c>
      <c r="AO540">
        <f>IF(AE540=1,ROUND(SUMIFS('All Donations'!$S$2:$S$4001,'All Donations'!$R$2:$R$4001,AD540,'All Donations'!$T$2:$T$4001,"&gt;="&amp;'Settings'!$C$23,'All Donations'!$T$2:$T$4001,"&lt;="&amp;'Settings'!$D$23),2),0)</f>
        <v/>
      </c>
      <c r="AQ540">
        <f>IF(AE540=1,ROUND(SUMIFS('All Donations'!$S$2:$S$4001,'All Donations'!$R$2:$R$4001,AD540,'All Donations'!$T$2:$T$4001,"&gt;="&amp;'Settings'!$C$25,'All Donations'!$T$2:$T$4001,"&lt;="&amp;'Settings'!$D$25),2),0)</f>
        <v/>
      </c>
      <c r="AR540">
        <f>IF(AE540=1,ROUND(SUMIFS('All Donations'!$S$2:$S$4001,'All Donations'!$R$2:$R$4001,AD540,'All Donations'!$T$2:$T$4001,"&gt;="&amp;'Settings'!$C$26,'All Donations'!$T$2:$T$4001,"&lt;="&amp;'Settings'!$D$26),2),0)</f>
        <v/>
      </c>
      <c r="AS540">
        <f>IF(AE540=1,ROUND(SUMIFS('All Donations'!$S$2:$S$4001,'All Donations'!$R$2:$R$4001,AD540,'All Donations'!$T$2:$T$4001,"&lt;="&amp;'Settings'!$D$27),2),0)</f>
        <v/>
      </c>
      <c r="AT540">
        <f>IF(AE540=1,ROUND(SUMIFS('All Donations'!$S$2:$S$4001,'All Donations'!$R$2:$R$4001,AD540,'All Donations'!$T$2:$T$4001,"&gt;="&amp;'Settings'!$C$28,'All Donations'!$T$2:$T$4001,"&lt;="&amp;'Settings'!$D$28),2),0)</f>
        <v/>
      </c>
      <c r="AU540">
        <f>IF(AE540=1,ROUND(SUMIFS('All Donations'!$S$2:$S$4001,'All Donations'!$R$2:$R$4001,AD540,'All Donations'!$T$2:$T$4001,"&gt;="&amp;'Settings'!$C$29,'All Donations'!$T$2:$T$4001,"&lt;="&amp;'Settings'!$D$29),2),0)</f>
        <v/>
      </c>
      <c r="AV540">
        <f>IF(AE540=1,ROUND(SUMIFS('All Donations'!$S$2:$S$4001,'All Donations'!$R$2:$R$4001,AD540,'All Donations'!$T$2:$T$4001,"&lt;="&amp;'Settings'!$D$30),2),0)</f>
        <v/>
      </c>
      <c r="AZ540">
        <f>IF(AE540=1,ROUND(SUMIFS('All Donations'!$S$2:$S$4001,'All Donations'!$R$2:$R$4001,AD540,'All Donations'!$T$2:$T$4001,"&lt;="&amp;'Settings'!$D$34),2),0)</f>
        <v/>
      </c>
    </row>
    <row r="541">
      <c r="A541">
        <f>IF(AE541=1,TRIM(TRIM('Roster'!B541)&amp;" "&amp;TRIM('Roster'!C541)),"")</f>
        <v/>
      </c>
      <c r="B541">
        <f>IF(AE541=1,IF(AN541="","(no teacher)",AN541&amp;" – "&amp;C541),"")</f>
        <v/>
      </c>
      <c r="C541">
        <f>IF(AE541=1,TRIM('Roster'!D541&amp;""),"")</f>
        <v/>
      </c>
      <c r="D541" s="48">
        <f>IF(AE541=1,ROUND(SUMIFS('All Donations'!$S$2:$S$4001,'All Donations'!$R$2:$R$4001,AD541),2),"")</f>
        <v/>
      </c>
      <c r="E541" s="48">
        <f>IF(AE541=1,ROUND(SUMIFS('All Donations'!$S$2:$S$4001,'All Donations'!$R$2:$R$4001,AD541,'All Donations'!$G$2:$G$4001,"OneCause"),2),"")</f>
        <v/>
      </c>
      <c r="F541" s="48">
        <f>IF(AE541=1,D541-E541,"")</f>
        <v/>
      </c>
      <c r="G541">
        <f>IF(AE541=1,COUNTIFS('All Donations'!$R$2:$R$4001,AD541,'All Donations'!$H$2:$H$4001,"OK"),"")</f>
        <v/>
      </c>
      <c r="H541">
        <f>IF(AE541&lt;&gt;1,"",IF(D541&gt;0,"Yes",""))</f>
        <v/>
      </c>
      <c r="I541" s="49">
        <f>IF(OR($AE541&lt;&gt;1,I$1=""),"",SUMIFS('All Donations'!$S$2:$S$4001,'All Donations'!$R$2:$R$4001,$AD541,'All Donations'!$T$2:$T$4001,I$1))</f>
        <v/>
      </c>
      <c r="J541" s="49">
        <f>IF(OR($AE541&lt;&gt;1,J$1=""),"",SUMIFS('All Donations'!$S$2:$S$4001,'All Donations'!$R$2:$R$4001,$AD541,'All Donations'!$T$2:$T$4001,J$1))</f>
        <v/>
      </c>
      <c r="K541" s="49">
        <f>IF(OR($AE541&lt;&gt;1,K$1=""),"",SUMIFS('All Donations'!$S$2:$S$4001,'All Donations'!$R$2:$R$4001,$AD541,'All Donations'!$T$2:$T$4001,K$1))</f>
        <v/>
      </c>
      <c r="L541" s="49">
        <f>IF(OR($AE541&lt;&gt;1,L$1=""),"",SUMIFS('All Donations'!$S$2:$S$4001,'All Donations'!$R$2:$R$4001,$AD541,'All Donations'!$T$2:$T$4001,L$1))</f>
        <v/>
      </c>
      <c r="M541" s="49">
        <f>IF(OR($AE541&lt;&gt;1,M$1=""),"",SUMIFS('All Donations'!$S$2:$S$4001,'All Donations'!$R$2:$R$4001,$AD541,'All Donations'!$T$2:$T$4001,M$1))</f>
        <v/>
      </c>
      <c r="N541" s="49">
        <f>IF(OR($AE541&lt;&gt;1,N$1=""),"",SUMIFS('All Donations'!$S$2:$S$4001,'All Donations'!$R$2:$R$4001,$AD541,'All Donations'!$T$2:$T$4001,N$1))</f>
        <v/>
      </c>
      <c r="O541" s="49">
        <f>IF(OR($AE541&lt;&gt;1,O$1=""),"",SUMIFS('All Donations'!$S$2:$S$4001,'All Donations'!$R$2:$R$4001,$AD541,'All Donations'!$T$2:$T$4001,O$1))</f>
        <v/>
      </c>
      <c r="P541" s="49">
        <f>IF(OR($AE541&lt;&gt;1,P$1=""),"",SUMIFS('All Donations'!$S$2:$S$4001,'All Donations'!$R$2:$R$4001,$AD541,'All Donations'!$T$2:$T$4001,P$1))</f>
        <v/>
      </c>
      <c r="Q541" s="49">
        <f>IF(OR($AE541&lt;&gt;1,Q$1=""),"",SUMIFS('All Donations'!$S$2:$S$4001,'All Donations'!$R$2:$R$4001,$AD541,'All Donations'!$T$2:$T$4001,Q$1))</f>
        <v/>
      </c>
      <c r="R541" s="49">
        <f>IF(OR($AE541&lt;&gt;1,R$1=""),"",SUMIFS('All Donations'!$S$2:$S$4001,'All Donations'!$R$2:$R$4001,$AD541,'All Donations'!$T$2:$T$4001,R$1))</f>
        <v/>
      </c>
      <c r="S541" s="49">
        <f>IF(OR($AE541&lt;&gt;1,S$1=""),"",SUMIFS('All Donations'!$S$2:$S$4001,'All Donations'!$R$2:$R$4001,$AD541,'All Donations'!$T$2:$T$4001,S$1))</f>
        <v/>
      </c>
      <c r="T541" s="49">
        <f>IF(OR($AE541&lt;&gt;1,T$1=""),"",SUMIFS('All Donations'!$S$2:$S$4001,'All Donations'!$R$2:$R$4001,$AD541,'All Donations'!$T$2:$T$4001,T$1))</f>
        <v/>
      </c>
      <c r="U541" s="49">
        <f>IF(OR($AE541&lt;&gt;1,U$1=""),"",SUMIFS('All Donations'!$S$2:$S$4001,'All Donations'!$R$2:$R$4001,$AD541,'All Donations'!$T$2:$T$4001,U$1))</f>
        <v/>
      </c>
      <c r="V541" s="49">
        <f>IF(OR($AE541&lt;&gt;1,V$1=""),"",SUMIFS('All Donations'!$S$2:$S$4001,'All Donations'!$R$2:$R$4001,$AD541,'All Donations'!$T$2:$T$4001,V$1))</f>
        <v/>
      </c>
      <c r="W541" s="49">
        <f>IF(OR($AE541&lt;&gt;1,W$1=""),"",SUMIFS('All Donations'!$S$2:$S$4001,'All Donations'!$R$2:$R$4001,$AD541,'All Donations'!$T$2:$T$4001,W$1))</f>
        <v/>
      </c>
      <c r="X541" s="49">
        <f>IF(OR($AE541&lt;&gt;1,X$1=""),"",SUMIFS('All Donations'!$S$2:$S$4001,'All Donations'!$R$2:$R$4001,$AD541,'All Donations'!$T$2:$T$4001,X$1))</f>
        <v/>
      </c>
      <c r="Y541" s="49">
        <f>IF(OR($AE541&lt;&gt;1,Y$1=""),"",SUMIFS('All Donations'!$S$2:$S$4001,'All Donations'!$R$2:$R$4001,$AD541,'All Donations'!$T$2:$T$4001,Y$1))</f>
        <v/>
      </c>
      <c r="Z541" s="49">
        <f>IF(OR($AE541&lt;&gt;1,Z$1=""),"",SUMIFS('All Donations'!$S$2:$S$4001,'All Donations'!$R$2:$R$4001,$AD541,'All Donations'!$T$2:$T$4001,Z$1))</f>
        <v/>
      </c>
      <c r="AA541" s="49">
        <f>IF(OR($AE541&lt;&gt;1,AA$1=""),"",SUMIFS('All Donations'!$S$2:$S$4001,'All Donations'!$R$2:$R$4001,$AD541,'All Donations'!$T$2:$T$4001,AA$1))</f>
        <v/>
      </c>
      <c r="AB541" s="49">
        <f>IF(OR($AE541&lt;&gt;1,AB$1=""),"",SUMIFS('All Donations'!$S$2:$S$4001,'All Donations'!$R$2:$R$4001,$AD541,'All Donations'!$T$2:$T$4001,AB$1))</f>
        <v/>
      </c>
      <c r="AC541" s="49">
        <f>IF(OR($AE541&lt;&gt;1,AC$1=""),"",SUMIFS('All Donations'!$S$2:$S$4001,'All Donations'!$R$2:$R$4001,$AD541,'All Donations'!$T$2:$T$4001,AC$1))</f>
        <v/>
      </c>
      <c r="AD541">
        <f>IF(AE541=1,'Roster'!A541,"")</f>
        <v/>
      </c>
      <c r="AE541">
        <f>IF(TRIM('Roster'!B541&amp;'Roster'!C541)&lt;&gt;"",1,0)</f>
        <v/>
      </c>
      <c r="AF541">
        <f>IF(AE541=1,LOWER(A541),"#")</f>
        <v/>
      </c>
      <c r="AG541">
        <f>IF(AE541=1,LOWER(TRIM(TRIM('Roster'!C541)&amp;", "&amp;TRIM('Roster'!B541))),"#")</f>
        <v/>
      </c>
      <c r="AH541">
        <f>IF(AND(AE541=1,TRIM('Roster'!F541)&lt;&gt;""),LOWER(TRIM('Roster'!F541)),"#")</f>
        <v/>
      </c>
      <c r="AI541">
        <f>IF(AE541=1,IF(MATCH(B541,$B$2:$B$701,0)=ROW()-1,1,0),0)</f>
        <v/>
      </c>
      <c r="AJ541">
        <f>AJ540+AI541</f>
        <v/>
      </c>
      <c r="AK541">
        <f>IF(AE541=1,D541+(1000-ROW())/10^7,-1)</f>
        <v/>
      </c>
      <c r="AL541">
        <f>IF(AE541=1,TRIM('Roster'!B541)&amp;" "&amp;LEFT(TRIM('Roster'!C541),1)&amp;".","")</f>
        <v/>
      </c>
      <c r="AM541">
        <f>IF(AE541=1,TRIM('Roster'!C541)&amp;", "&amp;TRIM('Roster'!B541)&amp;" ("&amp;B541&amp;") #"&amp;AD541,"")</f>
        <v/>
      </c>
      <c r="AN541">
        <f>IF(AE541=1,TRIM('Roster'!E541),"")</f>
        <v/>
      </c>
      <c r="AO541">
        <f>IF(AE541=1,ROUND(SUMIFS('All Donations'!$S$2:$S$4001,'All Donations'!$R$2:$R$4001,AD541,'All Donations'!$T$2:$T$4001,"&gt;="&amp;'Settings'!$C$23,'All Donations'!$T$2:$T$4001,"&lt;="&amp;'Settings'!$D$23),2),0)</f>
        <v/>
      </c>
      <c r="AQ541">
        <f>IF(AE541=1,ROUND(SUMIFS('All Donations'!$S$2:$S$4001,'All Donations'!$R$2:$R$4001,AD541,'All Donations'!$T$2:$T$4001,"&gt;="&amp;'Settings'!$C$25,'All Donations'!$T$2:$T$4001,"&lt;="&amp;'Settings'!$D$25),2),0)</f>
        <v/>
      </c>
      <c r="AR541">
        <f>IF(AE541=1,ROUND(SUMIFS('All Donations'!$S$2:$S$4001,'All Donations'!$R$2:$R$4001,AD541,'All Donations'!$T$2:$T$4001,"&gt;="&amp;'Settings'!$C$26,'All Donations'!$T$2:$T$4001,"&lt;="&amp;'Settings'!$D$26),2),0)</f>
        <v/>
      </c>
      <c r="AS541">
        <f>IF(AE541=1,ROUND(SUMIFS('All Donations'!$S$2:$S$4001,'All Donations'!$R$2:$R$4001,AD541,'All Donations'!$T$2:$T$4001,"&lt;="&amp;'Settings'!$D$27),2),0)</f>
        <v/>
      </c>
      <c r="AT541">
        <f>IF(AE541=1,ROUND(SUMIFS('All Donations'!$S$2:$S$4001,'All Donations'!$R$2:$R$4001,AD541,'All Donations'!$T$2:$T$4001,"&gt;="&amp;'Settings'!$C$28,'All Donations'!$T$2:$T$4001,"&lt;="&amp;'Settings'!$D$28),2),0)</f>
        <v/>
      </c>
      <c r="AU541">
        <f>IF(AE541=1,ROUND(SUMIFS('All Donations'!$S$2:$S$4001,'All Donations'!$R$2:$R$4001,AD541,'All Donations'!$T$2:$T$4001,"&gt;="&amp;'Settings'!$C$29,'All Donations'!$T$2:$T$4001,"&lt;="&amp;'Settings'!$D$29),2),0)</f>
        <v/>
      </c>
      <c r="AV541">
        <f>IF(AE541=1,ROUND(SUMIFS('All Donations'!$S$2:$S$4001,'All Donations'!$R$2:$R$4001,AD541,'All Donations'!$T$2:$T$4001,"&lt;="&amp;'Settings'!$D$30),2),0)</f>
        <v/>
      </c>
      <c r="AZ541">
        <f>IF(AE541=1,ROUND(SUMIFS('All Donations'!$S$2:$S$4001,'All Donations'!$R$2:$R$4001,AD541,'All Donations'!$T$2:$T$4001,"&lt;="&amp;'Settings'!$D$34),2),0)</f>
        <v/>
      </c>
    </row>
    <row r="542">
      <c r="A542">
        <f>IF(AE542=1,TRIM(TRIM('Roster'!B542)&amp;" "&amp;TRIM('Roster'!C542)),"")</f>
        <v/>
      </c>
      <c r="B542">
        <f>IF(AE542=1,IF(AN542="","(no teacher)",AN542&amp;" – "&amp;C542),"")</f>
        <v/>
      </c>
      <c r="C542">
        <f>IF(AE542=1,TRIM('Roster'!D542&amp;""),"")</f>
        <v/>
      </c>
      <c r="D542" s="48">
        <f>IF(AE542=1,ROUND(SUMIFS('All Donations'!$S$2:$S$4001,'All Donations'!$R$2:$R$4001,AD542),2),"")</f>
        <v/>
      </c>
      <c r="E542" s="48">
        <f>IF(AE542=1,ROUND(SUMIFS('All Donations'!$S$2:$S$4001,'All Donations'!$R$2:$R$4001,AD542,'All Donations'!$G$2:$G$4001,"OneCause"),2),"")</f>
        <v/>
      </c>
      <c r="F542" s="48">
        <f>IF(AE542=1,D542-E542,"")</f>
        <v/>
      </c>
      <c r="G542">
        <f>IF(AE542=1,COUNTIFS('All Donations'!$R$2:$R$4001,AD542,'All Donations'!$H$2:$H$4001,"OK"),"")</f>
        <v/>
      </c>
      <c r="H542">
        <f>IF(AE542&lt;&gt;1,"",IF(D542&gt;0,"Yes",""))</f>
        <v/>
      </c>
      <c r="I542" s="49">
        <f>IF(OR($AE542&lt;&gt;1,I$1=""),"",SUMIFS('All Donations'!$S$2:$S$4001,'All Donations'!$R$2:$R$4001,$AD542,'All Donations'!$T$2:$T$4001,I$1))</f>
        <v/>
      </c>
      <c r="J542" s="49">
        <f>IF(OR($AE542&lt;&gt;1,J$1=""),"",SUMIFS('All Donations'!$S$2:$S$4001,'All Donations'!$R$2:$R$4001,$AD542,'All Donations'!$T$2:$T$4001,J$1))</f>
        <v/>
      </c>
      <c r="K542" s="49">
        <f>IF(OR($AE542&lt;&gt;1,K$1=""),"",SUMIFS('All Donations'!$S$2:$S$4001,'All Donations'!$R$2:$R$4001,$AD542,'All Donations'!$T$2:$T$4001,K$1))</f>
        <v/>
      </c>
      <c r="L542" s="49">
        <f>IF(OR($AE542&lt;&gt;1,L$1=""),"",SUMIFS('All Donations'!$S$2:$S$4001,'All Donations'!$R$2:$R$4001,$AD542,'All Donations'!$T$2:$T$4001,L$1))</f>
        <v/>
      </c>
      <c r="M542" s="49">
        <f>IF(OR($AE542&lt;&gt;1,M$1=""),"",SUMIFS('All Donations'!$S$2:$S$4001,'All Donations'!$R$2:$R$4001,$AD542,'All Donations'!$T$2:$T$4001,M$1))</f>
        <v/>
      </c>
      <c r="N542" s="49">
        <f>IF(OR($AE542&lt;&gt;1,N$1=""),"",SUMIFS('All Donations'!$S$2:$S$4001,'All Donations'!$R$2:$R$4001,$AD542,'All Donations'!$T$2:$T$4001,N$1))</f>
        <v/>
      </c>
      <c r="O542" s="49">
        <f>IF(OR($AE542&lt;&gt;1,O$1=""),"",SUMIFS('All Donations'!$S$2:$S$4001,'All Donations'!$R$2:$R$4001,$AD542,'All Donations'!$T$2:$T$4001,O$1))</f>
        <v/>
      </c>
      <c r="P542" s="49">
        <f>IF(OR($AE542&lt;&gt;1,P$1=""),"",SUMIFS('All Donations'!$S$2:$S$4001,'All Donations'!$R$2:$R$4001,$AD542,'All Donations'!$T$2:$T$4001,P$1))</f>
        <v/>
      </c>
      <c r="Q542" s="49">
        <f>IF(OR($AE542&lt;&gt;1,Q$1=""),"",SUMIFS('All Donations'!$S$2:$S$4001,'All Donations'!$R$2:$R$4001,$AD542,'All Donations'!$T$2:$T$4001,Q$1))</f>
        <v/>
      </c>
      <c r="R542" s="49">
        <f>IF(OR($AE542&lt;&gt;1,R$1=""),"",SUMIFS('All Donations'!$S$2:$S$4001,'All Donations'!$R$2:$R$4001,$AD542,'All Donations'!$T$2:$T$4001,R$1))</f>
        <v/>
      </c>
      <c r="S542" s="49">
        <f>IF(OR($AE542&lt;&gt;1,S$1=""),"",SUMIFS('All Donations'!$S$2:$S$4001,'All Donations'!$R$2:$R$4001,$AD542,'All Donations'!$T$2:$T$4001,S$1))</f>
        <v/>
      </c>
      <c r="T542" s="49">
        <f>IF(OR($AE542&lt;&gt;1,T$1=""),"",SUMIFS('All Donations'!$S$2:$S$4001,'All Donations'!$R$2:$R$4001,$AD542,'All Donations'!$T$2:$T$4001,T$1))</f>
        <v/>
      </c>
      <c r="U542" s="49">
        <f>IF(OR($AE542&lt;&gt;1,U$1=""),"",SUMIFS('All Donations'!$S$2:$S$4001,'All Donations'!$R$2:$R$4001,$AD542,'All Donations'!$T$2:$T$4001,U$1))</f>
        <v/>
      </c>
      <c r="V542" s="49">
        <f>IF(OR($AE542&lt;&gt;1,V$1=""),"",SUMIFS('All Donations'!$S$2:$S$4001,'All Donations'!$R$2:$R$4001,$AD542,'All Donations'!$T$2:$T$4001,V$1))</f>
        <v/>
      </c>
      <c r="W542" s="49">
        <f>IF(OR($AE542&lt;&gt;1,W$1=""),"",SUMIFS('All Donations'!$S$2:$S$4001,'All Donations'!$R$2:$R$4001,$AD542,'All Donations'!$T$2:$T$4001,W$1))</f>
        <v/>
      </c>
      <c r="X542" s="49">
        <f>IF(OR($AE542&lt;&gt;1,X$1=""),"",SUMIFS('All Donations'!$S$2:$S$4001,'All Donations'!$R$2:$R$4001,$AD542,'All Donations'!$T$2:$T$4001,X$1))</f>
        <v/>
      </c>
      <c r="Y542" s="49">
        <f>IF(OR($AE542&lt;&gt;1,Y$1=""),"",SUMIFS('All Donations'!$S$2:$S$4001,'All Donations'!$R$2:$R$4001,$AD542,'All Donations'!$T$2:$T$4001,Y$1))</f>
        <v/>
      </c>
      <c r="Z542" s="49">
        <f>IF(OR($AE542&lt;&gt;1,Z$1=""),"",SUMIFS('All Donations'!$S$2:$S$4001,'All Donations'!$R$2:$R$4001,$AD542,'All Donations'!$T$2:$T$4001,Z$1))</f>
        <v/>
      </c>
      <c r="AA542" s="49">
        <f>IF(OR($AE542&lt;&gt;1,AA$1=""),"",SUMIFS('All Donations'!$S$2:$S$4001,'All Donations'!$R$2:$R$4001,$AD542,'All Donations'!$T$2:$T$4001,AA$1))</f>
        <v/>
      </c>
      <c r="AB542" s="49">
        <f>IF(OR($AE542&lt;&gt;1,AB$1=""),"",SUMIFS('All Donations'!$S$2:$S$4001,'All Donations'!$R$2:$R$4001,$AD542,'All Donations'!$T$2:$T$4001,AB$1))</f>
        <v/>
      </c>
      <c r="AC542" s="49">
        <f>IF(OR($AE542&lt;&gt;1,AC$1=""),"",SUMIFS('All Donations'!$S$2:$S$4001,'All Donations'!$R$2:$R$4001,$AD542,'All Donations'!$T$2:$T$4001,AC$1))</f>
        <v/>
      </c>
      <c r="AD542">
        <f>IF(AE542=1,'Roster'!A542,"")</f>
        <v/>
      </c>
      <c r="AE542">
        <f>IF(TRIM('Roster'!B542&amp;'Roster'!C542)&lt;&gt;"",1,0)</f>
        <v/>
      </c>
      <c r="AF542">
        <f>IF(AE542=1,LOWER(A542),"#")</f>
        <v/>
      </c>
      <c r="AG542">
        <f>IF(AE542=1,LOWER(TRIM(TRIM('Roster'!C542)&amp;", "&amp;TRIM('Roster'!B542))),"#")</f>
        <v/>
      </c>
      <c r="AH542">
        <f>IF(AND(AE542=1,TRIM('Roster'!F542)&lt;&gt;""),LOWER(TRIM('Roster'!F542)),"#")</f>
        <v/>
      </c>
      <c r="AI542">
        <f>IF(AE542=1,IF(MATCH(B542,$B$2:$B$701,0)=ROW()-1,1,0),0)</f>
        <v/>
      </c>
      <c r="AJ542">
        <f>AJ541+AI542</f>
        <v/>
      </c>
      <c r="AK542">
        <f>IF(AE542=1,D542+(1000-ROW())/10^7,-1)</f>
        <v/>
      </c>
      <c r="AL542">
        <f>IF(AE542=1,TRIM('Roster'!B542)&amp;" "&amp;LEFT(TRIM('Roster'!C542),1)&amp;".","")</f>
        <v/>
      </c>
      <c r="AM542">
        <f>IF(AE542=1,TRIM('Roster'!C542)&amp;", "&amp;TRIM('Roster'!B542)&amp;" ("&amp;B542&amp;") #"&amp;AD542,"")</f>
        <v/>
      </c>
      <c r="AN542">
        <f>IF(AE542=1,TRIM('Roster'!E542),"")</f>
        <v/>
      </c>
      <c r="AO542">
        <f>IF(AE542=1,ROUND(SUMIFS('All Donations'!$S$2:$S$4001,'All Donations'!$R$2:$R$4001,AD542,'All Donations'!$T$2:$T$4001,"&gt;="&amp;'Settings'!$C$23,'All Donations'!$T$2:$T$4001,"&lt;="&amp;'Settings'!$D$23),2),0)</f>
        <v/>
      </c>
      <c r="AQ542">
        <f>IF(AE542=1,ROUND(SUMIFS('All Donations'!$S$2:$S$4001,'All Donations'!$R$2:$R$4001,AD542,'All Donations'!$T$2:$T$4001,"&gt;="&amp;'Settings'!$C$25,'All Donations'!$T$2:$T$4001,"&lt;="&amp;'Settings'!$D$25),2),0)</f>
        <v/>
      </c>
      <c r="AR542">
        <f>IF(AE542=1,ROUND(SUMIFS('All Donations'!$S$2:$S$4001,'All Donations'!$R$2:$R$4001,AD542,'All Donations'!$T$2:$T$4001,"&gt;="&amp;'Settings'!$C$26,'All Donations'!$T$2:$T$4001,"&lt;="&amp;'Settings'!$D$26),2),0)</f>
        <v/>
      </c>
      <c r="AS542">
        <f>IF(AE542=1,ROUND(SUMIFS('All Donations'!$S$2:$S$4001,'All Donations'!$R$2:$R$4001,AD542,'All Donations'!$T$2:$T$4001,"&lt;="&amp;'Settings'!$D$27),2),0)</f>
        <v/>
      </c>
      <c r="AT542">
        <f>IF(AE542=1,ROUND(SUMIFS('All Donations'!$S$2:$S$4001,'All Donations'!$R$2:$R$4001,AD542,'All Donations'!$T$2:$T$4001,"&gt;="&amp;'Settings'!$C$28,'All Donations'!$T$2:$T$4001,"&lt;="&amp;'Settings'!$D$28),2),0)</f>
        <v/>
      </c>
      <c r="AU542">
        <f>IF(AE542=1,ROUND(SUMIFS('All Donations'!$S$2:$S$4001,'All Donations'!$R$2:$R$4001,AD542,'All Donations'!$T$2:$T$4001,"&gt;="&amp;'Settings'!$C$29,'All Donations'!$T$2:$T$4001,"&lt;="&amp;'Settings'!$D$29),2),0)</f>
        <v/>
      </c>
      <c r="AV542">
        <f>IF(AE542=1,ROUND(SUMIFS('All Donations'!$S$2:$S$4001,'All Donations'!$R$2:$R$4001,AD542,'All Donations'!$T$2:$T$4001,"&lt;="&amp;'Settings'!$D$30),2),0)</f>
        <v/>
      </c>
      <c r="AZ542">
        <f>IF(AE542=1,ROUND(SUMIFS('All Donations'!$S$2:$S$4001,'All Donations'!$R$2:$R$4001,AD542,'All Donations'!$T$2:$T$4001,"&lt;="&amp;'Settings'!$D$34),2),0)</f>
        <v/>
      </c>
    </row>
    <row r="543">
      <c r="A543">
        <f>IF(AE543=1,TRIM(TRIM('Roster'!B543)&amp;" "&amp;TRIM('Roster'!C543)),"")</f>
        <v/>
      </c>
      <c r="B543">
        <f>IF(AE543=1,IF(AN543="","(no teacher)",AN543&amp;" – "&amp;C543),"")</f>
        <v/>
      </c>
      <c r="C543">
        <f>IF(AE543=1,TRIM('Roster'!D543&amp;""),"")</f>
        <v/>
      </c>
      <c r="D543" s="48">
        <f>IF(AE543=1,ROUND(SUMIFS('All Donations'!$S$2:$S$4001,'All Donations'!$R$2:$R$4001,AD543),2),"")</f>
        <v/>
      </c>
      <c r="E543" s="48">
        <f>IF(AE543=1,ROUND(SUMIFS('All Donations'!$S$2:$S$4001,'All Donations'!$R$2:$R$4001,AD543,'All Donations'!$G$2:$G$4001,"OneCause"),2),"")</f>
        <v/>
      </c>
      <c r="F543" s="48">
        <f>IF(AE543=1,D543-E543,"")</f>
        <v/>
      </c>
      <c r="G543">
        <f>IF(AE543=1,COUNTIFS('All Donations'!$R$2:$R$4001,AD543,'All Donations'!$H$2:$H$4001,"OK"),"")</f>
        <v/>
      </c>
      <c r="H543">
        <f>IF(AE543&lt;&gt;1,"",IF(D543&gt;0,"Yes",""))</f>
        <v/>
      </c>
      <c r="I543" s="49">
        <f>IF(OR($AE543&lt;&gt;1,I$1=""),"",SUMIFS('All Donations'!$S$2:$S$4001,'All Donations'!$R$2:$R$4001,$AD543,'All Donations'!$T$2:$T$4001,I$1))</f>
        <v/>
      </c>
      <c r="J543" s="49">
        <f>IF(OR($AE543&lt;&gt;1,J$1=""),"",SUMIFS('All Donations'!$S$2:$S$4001,'All Donations'!$R$2:$R$4001,$AD543,'All Donations'!$T$2:$T$4001,J$1))</f>
        <v/>
      </c>
      <c r="K543" s="49">
        <f>IF(OR($AE543&lt;&gt;1,K$1=""),"",SUMIFS('All Donations'!$S$2:$S$4001,'All Donations'!$R$2:$R$4001,$AD543,'All Donations'!$T$2:$T$4001,K$1))</f>
        <v/>
      </c>
      <c r="L543" s="49">
        <f>IF(OR($AE543&lt;&gt;1,L$1=""),"",SUMIFS('All Donations'!$S$2:$S$4001,'All Donations'!$R$2:$R$4001,$AD543,'All Donations'!$T$2:$T$4001,L$1))</f>
        <v/>
      </c>
      <c r="M543" s="49">
        <f>IF(OR($AE543&lt;&gt;1,M$1=""),"",SUMIFS('All Donations'!$S$2:$S$4001,'All Donations'!$R$2:$R$4001,$AD543,'All Donations'!$T$2:$T$4001,M$1))</f>
        <v/>
      </c>
      <c r="N543" s="49">
        <f>IF(OR($AE543&lt;&gt;1,N$1=""),"",SUMIFS('All Donations'!$S$2:$S$4001,'All Donations'!$R$2:$R$4001,$AD543,'All Donations'!$T$2:$T$4001,N$1))</f>
        <v/>
      </c>
      <c r="O543" s="49">
        <f>IF(OR($AE543&lt;&gt;1,O$1=""),"",SUMIFS('All Donations'!$S$2:$S$4001,'All Donations'!$R$2:$R$4001,$AD543,'All Donations'!$T$2:$T$4001,O$1))</f>
        <v/>
      </c>
      <c r="P543" s="49">
        <f>IF(OR($AE543&lt;&gt;1,P$1=""),"",SUMIFS('All Donations'!$S$2:$S$4001,'All Donations'!$R$2:$R$4001,$AD543,'All Donations'!$T$2:$T$4001,P$1))</f>
        <v/>
      </c>
      <c r="Q543" s="49">
        <f>IF(OR($AE543&lt;&gt;1,Q$1=""),"",SUMIFS('All Donations'!$S$2:$S$4001,'All Donations'!$R$2:$R$4001,$AD543,'All Donations'!$T$2:$T$4001,Q$1))</f>
        <v/>
      </c>
      <c r="R543" s="49">
        <f>IF(OR($AE543&lt;&gt;1,R$1=""),"",SUMIFS('All Donations'!$S$2:$S$4001,'All Donations'!$R$2:$R$4001,$AD543,'All Donations'!$T$2:$T$4001,R$1))</f>
        <v/>
      </c>
      <c r="S543" s="49">
        <f>IF(OR($AE543&lt;&gt;1,S$1=""),"",SUMIFS('All Donations'!$S$2:$S$4001,'All Donations'!$R$2:$R$4001,$AD543,'All Donations'!$T$2:$T$4001,S$1))</f>
        <v/>
      </c>
      <c r="T543" s="49">
        <f>IF(OR($AE543&lt;&gt;1,T$1=""),"",SUMIFS('All Donations'!$S$2:$S$4001,'All Donations'!$R$2:$R$4001,$AD543,'All Donations'!$T$2:$T$4001,T$1))</f>
        <v/>
      </c>
      <c r="U543" s="49">
        <f>IF(OR($AE543&lt;&gt;1,U$1=""),"",SUMIFS('All Donations'!$S$2:$S$4001,'All Donations'!$R$2:$R$4001,$AD543,'All Donations'!$T$2:$T$4001,U$1))</f>
        <v/>
      </c>
      <c r="V543" s="49">
        <f>IF(OR($AE543&lt;&gt;1,V$1=""),"",SUMIFS('All Donations'!$S$2:$S$4001,'All Donations'!$R$2:$R$4001,$AD543,'All Donations'!$T$2:$T$4001,V$1))</f>
        <v/>
      </c>
      <c r="W543" s="49">
        <f>IF(OR($AE543&lt;&gt;1,W$1=""),"",SUMIFS('All Donations'!$S$2:$S$4001,'All Donations'!$R$2:$R$4001,$AD543,'All Donations'!$T$2:$T$4001,W$1))</f>
        <v/>
      </c>
      <c r="X543" s="49">
        <f>IF(OR($AE543&lt;&gt;1,X$1=""),"",SUMIFS('All Donations'!$S$2:$S$4001,'All Donations'!$R$2:$R$4001,$AD543,'All Donations'!$T$2:$T$4001,X$1))</f>
        <v/>
      </c>
      <c r="Y543" s="49">
        <f>IF(OR($AE543&lt;&gt;1,Y$1=""),"",SUMIFS('All Donations'!$S$2:$S$4001,'All Donations'!$R$2:$R$4001,$AD543,'All Donations'!$T$2:$T$4001,Y$1))</f>
        <v/>
      </c>
      <c r="Z543" s="49">
        <f>IF(OR($AE543&lt;&gt;1,Z$1=""),"",SUMIFS('All Donations'!$S$2:$S$4001,'All Donations'!$R$2:$R$4001,$AD543,'All Donations'!$T$2:$T$4001,Z$1))</f>
        <v/>
      </c>
      <c r="AA543" s="49">
        <f>IF(OR($AE543&lt;&gt;1,AA$1=""),"",SUMIFS('All Donations'!$S$2:$S$4001,'All Donations'!$R$2:$R$4001,$AD543,'All Donations'!$T$2:$T$4001,AA$1))</f>
        <v/>
      </c>
      <c r="AB543" s="49">
        <f>IF(OR($AE543&lt;&gt;1,AB$1=""),"",SUMIFS('All Donations'!$S$2:$S$4001,'All Donations'!$R$2:$R$4001,$AD543,'All Donations'!$T$2:$T$4001,AB$1))</f>
        <v/>
      </c>
      <c r="AC543" s="49">
        <f>IF(OR($AE543&lt;&gt;1,AC$1=""),"",SUMIFS('All Donations'!$S$2:$S$4001,'All Donations'!$R$2:$R$4001,$AD543,'All Donations'!$T$2:$T$4001,AC$1))</f>
        <v/>
      </c>
      <c r="AD543">
        <f>IF(AE543=1,'Roster'!A543,"")</f>
        <v/>
      </c>
      <c r="AE543">
        <f>IF(TRIM('Roster'!B543&amp;'Roster'!C543)&lt;&gt;"",1,0)</f>
        <v/>
      </c>
      <c r="AF543">
        <f>IF(AE543=1,LOWER(A543),"#")</f>
        <v/>
      </c>
      <c r="AG543">
        <f>IF(AE543=1,LOWER(TRIM(TRIM('Roster'!C543)&amp;", "&amp;TRIM('Roster'!B543))),"#")</f>
        <v/>
      </c>
      <c r="AH543">
        <f>IF(AND(AE543=1,TRIM('Roster'!F543)&lt;&gt;""),LOWER(TRIM('Roster'!F543)),"#")</f>
        <v/>
      </c>
      <c r="AI543">
        <f>IF(AE543=1,IF(MATCH(B543,$B$2:$B$701,0)=ROW()-1,1,0),0)</f>
        <v/>
      </c>
      <c r="AJ543">
        <f>AJ542+AI543</f>
        <v/>
      </c>
      <c r="AK543">
        <f>IF(AE543=1,D543+(1000-ROW())/10^7,-1)</f>
        <v/>
      </c>
      <c r="AL543">
        <f>IF(AE543=1,TRIM('Roster'!B543)&amp;" "&amp;LEFT(TRIM('Roster'!C543),1)&amp;".","")</f>
        <v/>
      </c>
      <c r="AM543">
        <f>IF(AE543=1,TRIM('Roster'!C543)&amp;", "&amp;TRIM('Roster'!B543)&amp;" ("&amp;B543&amp;") #"&amp;AD543,"")</f>
        <v/>
      </c>
      <c r="AN543">
        <f>IF(AE543=1,TRIM('Roster'!E543),"")</f>
        <v/>
      </c>
      <c r="AO543">
        <f>IF(AE543=1,ROUND(SUMIFS('All Donations'!$S$2:$S$4001,'All Donations'!$R$2:$R$4001,AD543,'All Donations'!$T$2:$T$4001,"&gt;="&amp;'Settings'!$C$23,'All Donations'!$T$2:$T$4001,"&lt;="&amp;'Settings'!$D$23),2),0)</f>
        <v/>
      </c>
      <c r="AQ543">
        <f>IF(AE543=1,ROUND(SUMIFS('All Donations'!$S$2:$S$4001,'All Donations'!$R$2:$R$4001,AD543,'All Donations'!$T$2:$T$4001,"&gt;="&amp;'Settings'!$C$25,'All Donations'!$T$2:$T$4001,"&lt;="&amp;'Settings'!$D$25),2),0)</f>
        <v/>
      </c>
      <c r="AR543">
        <f>IF(AE543=1,ROUND(SUMIFS('All Donations'!$S$2:$S$4001,'All Donations'!$R$2:$R$4001,AD543,'All Donations'!$T$2:$T$4001,"&gt;="&amp;'Settings'!$C$26,'All Donations'!$T$2:$T$4001,"&lt;="&amp;'Settings'!$D$26),2),0)</f>
        <v/>
      </c>
      <c r="AS543">
        <f>IF(AE543=1,ROUND(SUMIFS('All Donations'!$S$2:$S$4001,'All Donations'!$R$2:$R$4001,AD543,'All Donations'!$T$2:$T$4001,"&lt;="&amp;'Settings'!$D$27),2),0)</f>
        <v/>
      </c>
      <c r="AT543">
        <f>IF(AE543=1,ROUND(SUMIFS('All Donations'!$S$2:$S$4001,'All Donations'!$R$2:$R$4001,AD543,'All Donations'!$T$2:$T$4001,"&gt;="&amp;'Settings'!$C$28,'All Donations'!$T$2:$T$4001,"&lt;="&amp;'Settings'!$D$28),2),0)</f>
        <v/>
      </c>
      <c r="AU543">
        <f>IF(AE543=1,ROUND(SUMIFS('All Donations'!$S$2:$S$4001,'All Donations'!$R$2:$R$4001,AD543,'All Donations'!$T$2:$T$4001,"&gt;="&amp;'Settings'!$C$29,'All Donations'!$T$2:$T$4001,"&lt;="&amp;'Settings'!$D$29),2),0)</f>
        <v/>
      </c>
      <c r="AV543">
        <f>IF(AE543=1,ROUND(SUMIFS('All Donations'!$S$2:$S$4001,'All Donations'!$R$2:$R$4001,AD543,'All Donations'!$T$2:$T$4001,"&lt;="&amp;'Settings'!$D$30),2),0)</f>
        <v/>
      </c>
      <c r="AZ543">
        <f>IF(AE543=1,ROUND(SUMIFS('All Donations'!$S$2:$S$4001,'All Donations'!$R$2:$R$4001,AD543,'All Donations'!$T$2:$T$4001,"&lt;="&amp;'Settings'!$D$34),2),0)</f>
        <v/>
      </c>
    </row>
    <row r="544">
      <c r="A544">
        <f>IF(AE544=1,TRIM(TRIM('Roster'!B544)&amp;" "&amp;TRIM('Roster'!C544)),"")</f>
        <v/>
      </c>
      <c r="B544">
        <f>IF(AE544=1,IF(AN544="","(no teacher)",AN544&amp;" – "&amp;C544),"")</f>
        <v/>
      </c>
      <c r="C544">
        <f>IF(AE544=1,TRIM('Roster'!D544&amp;""),"")</f>
        <v/>
      </c>
      <c r="D544" s="48">
        <f>IF(AE544=1,ROUND(SUMIFS('All Donations'!$S$2:$S$4001,'All Donations'!$R$2:$R$4001,AD544),2),"")</f>
        <v/>
      </c>
      <c r="E544" s="48">
        <f>IF(AE544=1,ROUND(SUMIFS('All Donations'!$S$2:$S$4001,'All Donations'!$R$2:$R$4001,AD544,'All Donations'!$G$2:$G$4001,"OneCause"),2),"")</f>
        <v/>
      </c>
      <c r="F544" s="48">
        <f>IF(AE544=1,D544-E544,"")</f>
        <v/>
      </c>
      <c r="G544">
        <f>IF(AE544=1,COUNTIFS('All Donations'!$R$2:$R$4001,AD544,'All Donations'!$H$2:$H$4001,"OK"),"")</f>
        <v/>
      </c>
      <c r="H544">
        <f>IF(AE544&lt;&gt;1,"",IF(D544&gt;0,"Yes",""))</f>
        <v/>
      </c>
      <c r="I544" s="49">
        <f>IF(OR($AE544&lt;&gt;1,I$1=""),"",SUMIFS('All Donations'!$S$2:$S$4001,'All Donations'!$R$2:$R$4001,$AD544,'All Donations'!$T$2:$T$4001,I$1))</f>
        <v/>
      </c>
      <c r="J544" s="49">
        <f>IF(OR($AE544&lt;&gt;1,J$1=""),"",SUMIFS('All Donations'!$S$2:$S$4001,'All Donations'!$R$2:$R$4001,$AD544,'All Donations'!$T$2:$T$4001,J$1))</f>
        <v/>
      </c>
      <c r="K544" s="49">
        <f>IF(OR($AE544&lt;&gt;1,K$1=""),"",SUMIFS('All Donations'!$S$2:$S$4001,'All Donations'!$R$2:$R$4001,$AD544,'All Donations'!$T$2:$T$4001,K$1))</f>
        <v/>
      </c>
      <c r="L544" s="49">
        <f>IF(OR($AE544&lt;&gt;1,L$1=""),"",SUMIFS('All Donations'!$S$2:$S$4001,'All Donations'!$R$2:$R$4001,$AD544,'All Donations'!$T$2:$T$4001,L$1))</f>
        <v/>
      </c>
      <c r="M544" s="49">
        <f>IF(OR($AE544&lt;&gt;1,M$1=""),"",SUMIFS('All Donations'!$S$2:$S$4001,'All Donations'!$R$2:$R$4001,$AD544,'All Donations'!$T$2:$T$4001,M$1))</f>
        <v/>
      </c>
      <c r="N544" s="49">
        <f>IF(OR($AE544&lt;&gt;1,N$1=""),"",SUMIFS('All Donations'!$S$2:$S$4001,'All Donations'!$R$2:$R$4001,$AD544,'All Donations'!$T$2:$T$4001,N$1))</f>
        <v/>
      </c>
      <c r="O544" s="49">
        <f>IF(OR($AE544&lt;&gt;1,O$1=""),"",SUMIFS('All Donations'!$S$2:$S$4001,'All Donations'!$R$2:$R$4001,$AD544,'All Donations'!$T$2:$T$4001,O$1))</f>
        <v/>
      </c>
      <c r="P544" s="49">
        <f>IF(OR($AE544&lt;&gt;1,P$1=""),"",SUMIFS('All Donations'!$S$2:$S$4001,'All Donations'!$R$2:$R$4001,$AD544,'All Donations'!$T$2:$T$4001,P$1))</f>
        <v/>
      </c>
      <c r="Q544" s="49">
        <f>IF(OR($AE544&lt;&gt;1,Q$1=""),"",SUMIFS('All Donations'!$S$2:$S$4001,'All Donations'!$R$2:$R$4001,$AD544,'All Donations'!$T$2:$T$4001,Q$1))</f>
        <v/>
      </c>
      <c r="R544" s="49">
        <f>IF(OR($AE544&lt;&gt;1,R$1=""),"",SUMIFS('All Donations'!$S$2:$S$4001,'All Donations'!$R$2:$R$4001,$AD544,'All Donations'!$T$2:$T$4001,R$1))</f>
        <v/>
      </c>
      <c r="S544" s="49">
        <f>IF(OR($AE544&lt;&gt;1,S$1=""),"",SUMIFS('All Donations'!$S$2:$S$4001,'All Donations'!$R$2:$R$4001,$AD544,'All Donations'!$T$2:$T$4001,S$1))</f>
        <v/>
      </c>
      <c r="T544" s="49">
        <f>IF(OR($AE544&lt;&gt;1,T$1=""),"",SUMIFS('All Donations'!$S$2:$S$4001,'All Donations'!$R$2:$R$4001,$AD544,'All Donations'!$T$2:$T$4001,T$1))</f>
        <v/>
      </c>
      <c r="U544" s="49">
        <f>IF(OR($AE544&lt;&gt;1,U$1=""),"",SUMIFS('All Donations'!$S$2:$S$4001,'All Donations'!$R$2:$R$4001,$AD544,'All Donations'!$T$2:$T$4001,U$1))</f>
        <v/>
      </c>
      <c r="V544" s="49">
        <f>IF(OR($AE544&lt;&gt;1,V$1=""),"",SUMIFS('All Donations'!$S$2:$S$4001,'All Donations'!$R$2:$R$4001,$AD544,'All Donations'!$T$2:$T$4001,V$1))</f>
        <v/>
      </c>
      <c r="W544" s="49">
        <f>IF(OR($AE544&lt;&gt;1,W$1=""),"",SUMIFS('All Donations'!$S$2:$S$4001,'All Donations'!$R$2:$R$4001,$AD544,'All Donations'!$T$2:$T$4001,W$1))</f>
        <v/>
      </c>
      <c r="X544" s="49">
        <f>IF(OR($AE544&lt;&gt;1,X$1=""),"",SUMIFS('All Donations'!$S$2:$S$4001,'All Donations'!$R$2:$R$4001,$AD544,'All Donations'!$T$2:$T$4001,X$1))</f>
        <v/>
      </c>
      <c r="Y544" s="49">
        <f>IF(OR($AE544&lt;&gt;1,Y$1=""),"",SUMIFS('All Donations'!$S$2:$S$4001,'All Donations'!$R$2:$R$4001,$AD544,'All Donations'!$T$2:$T$4001,Y$1))</f>
        <v/>
      </c>
      <c r="Z544" s="49">
        <f>IF(OR($AE544&lt;&gt;1,Z$1=""),"",SUMIFS('All Donations'!$S$2:$S$4001,'All Donations'!$R$2:$R$4001,$AD544,'All Donations'!$T$2:$T$4001,Z$1))</f>
        <v/>
      </c>
      <c r="AA544" s="49">
        <f>IF(OR($AE544&lt;&gt;1,AA$1=""),"",SUMIFS('All Donations'!$S$2:$S$4001,'All Donations'!$R$2:$R$4001,$AD544,'All Donations'!$T$2:$T$4001,AA$1))</f>
        <v/>
      </c>
      <c r="AB544" s="49">
        <f>IF(OR($AE544&lt;&gt;1,AB$1=""),"",SUMIFS('All Donations'!$S$2:$S$4001,'All Donations'!$R$2:$R$4001,$AD544,'All Donations'!$T$2:$T$4001,AB$1))</f>
        <v/>
      </c>
      <c r="AC544" s="49">
        <f>IF(OR($AE544&lt;&gt;1,AC$1=""),"",SUMIFS('All Donations'!$S$2:$S$4001,'All Donations'!$R$2:$R$4001,$AD544,'All Donations'!$T$2:$T$4001,AC$1))</f>
        <v/>
      </c>
      <c r="AD544">
        <f>IF(AE544=1,'Roster'!A544,"")</f>
        <v/>
      </c>
      <c r="AE544">
        <f>IF(TRIM('Roster'!B544&amp;'Roster'!C544)&lt;&gt;"",1,0)</f>
        <v/>
      </c>
      <c r="AF544">
        <f>IF(AE544=1,LOWER(A544),"#")</f>
        <v/>
      </c>
      <c r="AG544">
        <f>IF(AE544=1,LOWER(TRIM(TRIM('Roster'!C544)&amp;", "&amp;TRIM('Roster'!B544))),"#")</f>
        <v/>
      </c>
      <c r="AH544">
        <f>IF(AND(AE544=1,TRIM('Roster'!F544)&lt;&gt;""),LOWER(TRIM('Roster'!F544)),"#")</f>
        <v/>
      </c>
      <c r="AI544">
        <f>IF(AE544=1,IF(MATCH(B544,$B$2:$B$701,0)=ROW()-1,1,0),0)</f>
        <v/>
      </c>
      <c r="AJ544">
        <f>AJ543+AI544</f>
        <v/>
      </c>
      <c r="AK544">
        <f>IF(AE544=1,D544+(1000-ROW())/10^7,-1)</f>
        <v/>
      </c>
      <c r="AL544">
        <f>IF(AE544=1,TRIM('Roster'!B544)&amp;" "&amp;LEFT(TRIM('Roster'!C544),1)&amp;".","")</f>
        <v/>
      </c>
      <c r="AM544">
        <f>IF(AE544=1,TRIM('Roster'!C544)&amp;", "&amp;TRIM('Roster'!B544)&amp;" ("&amp;B544&amp;") #"&amp;AD544,"")</f>
        <v/>
      </c>
      <c r="AN544">
        <f>IF(AE544=1,TRIM('Roster'!E544),"")</f>
        <v/>
      </c>
      <c r="AO544">
        <f>IF(AE544=1,ROUND(SUMIFS('All Donations'!$S$2:$S$4001,'All Donations'!$R$2:$R$4001,AD544,'All Donations'!$T$2:$T$4001,"&gt;="&amp;'Settings'!$C$23,'All Donations'!$T$2:$T$4001,"&lt;="&amp;'Settings'!$D$23),2),0)</f>
        <v/>
      </c>
      <c r="AQ544">
        <f>IF(AE544=1,ROUND(SUMIFS('All Donations'!$S$2:$S$4001,'All Donations'!$R$2:$R$4001,AD544,'All Donations'!$T$2:$T$4001,"&gt;="&amp;'Settings'!$C$25,'All Donations'!$T$2:$T$4001,"&lt;="&amp;'Settings'!$D$25),2),0)</f>
        <v/>
      </c>
      <c r="AR544">
        <f>IF(AE544=1,ROUND(SUMIFS('All Donations'!$S$2:$S$4001,'All Donations'!$R$2:$R$4001,AD544,'All Donations'!$T$2:$T$4001,"&gt;="&amp;'Settings'!$C$26,'All Donations'!$T$2:$T$4001,"&lt;="&amp;'Settings'!$D$26),2),0)</f>
        <v/>
      </c>
      <c r="AS544">
        <f>IF(AE544=1,ROUND(SUMIFS('All Donations'!$S$2:$S$4001,'All Donations'!$R$2:$R$4001,AD544,'All Donations'!$T$2:$T$4001,"&lt;="&amp;'Settings'!$D$27),2),0)</f>
        <v/>
      </c>
      <c r="AT544">
        <f>IF(AE544=1,ROUND(SUMIFS('All Donations'!$S$2:$S$4001,'All Donations'!$R$2:$R$4001,AD544,'All Donations'!$T$2:$T$4001,"&gt;="&amp;'Settings'!$C$28,'All Donations'!$T$2:$T$4001,"&lt;="&amp;'Settings'!$D$28),2),0)</f>
        <v/>
      </c>
      <c r="AU544">
        <f>IF(AE544=1,ROUND(SUMIFS('All Donations'!$S$2:$S$4001,'All Donations'!$R$2:$R$4001,AD544,'All Donations'!$T$2:$T$4001,"&gt;="&amp;'Settings'!$C$29,'All Donations'!$T$2:$T$4001,"&lt;="&amp;'Settings'!$D$29),2),0)</f>
        <v/>
      </c>
      <c r="AV544">
        <f>IF(AE544=1,ROUND(SUMIFS('All Donations'!$S$2:$S$4001,'All Donations'!$R$2:$R$4001,AD544,'All Donations'!$T$2:$T$4001,"&lt;="&amp;'Settings'!$D$30),2),0)</f>
        <v/>
      </c>
      <c r="AZ544">
        <f>IF(AE544=1,ROUND(SUMIFS('All Donations'!$S$2:$S$4001,'All Donations'!$R$2:$R$4001,AD544,'All Donations'!$T$2:$T$4001,"&lt;="&amp;'Settings'!$D$34),2),0)</f>
        <v/>
      </c>
    </row>
    <row r="545">
      <c r="A545">
        <f>IF(AE545=1,TRIM(TRIM('Roster'!B545)&amp;" "&amp;TRIM('Roster'!C545)),"")</f>
        <v/>
      </c>
      <c r="B545">
        <f>IF(AE545=1,IF(AN545="","(no teacher)",AN545&amp;" – "&amp;C545),"")</f>
        <v/>
      </c>
      <c r="C545">
        <f>IF(AE545=1,TRIM('Roster'!D545&amp;""),"")</f>
        <v/>
      </c>
      <c r="D545" s="48">
        <f>IF(AE545=1,ROUND(SUMIFS('All Donations'!$S$2:$S$4001,'All Donations'!$R$2:$R$4001,AD545),2),"")</f>
        <v/>
      </c>
      <c r="E545" s="48">
        <f>IF(AE545=1,ROUND(SUMIFS('All Donations'!$S$2:$S$4001,'All Donations'!$R$2:$R$4001,AD545,'All Donations'!$G$2:$G$4001,"OneCause"),2),"")</f>
        <v/>
      </c>
      <c r="F545" s="48">
        <f>IF(AE545=1,D545-E545,"")</f>
        <v/>
      </c>
      <c r="G545">
        <f>IF(AE545=1,COUNTIFS('All Donations'!$R$2:$R$4001,AD545,'All Donations'!$H$2:$H$4001,"OK"),"")</f>
        <v/>
      </c>
      <c r="H545">
        <f>IF(AE545&lt;&gt;1,"",IF(D545&gt;0,"Yes",""))</f>
        <v/>
      </c>
      <c r="I545" s="49">
        <f>IF(OR($AE545&lt;&gt;1,I$1=""),"",SUMIFS('All Donations'!$S$2:$S$4001,'All Donations'!$R$2:$R$4001,$AD545,'All Donations'!$T$2:$T$4001,I$1))</f>
        <v/>
      </c>
      <c r="J545" s="49">
        <f>IF(OR($AE545&lt;&gt;1,J$1=""),"",SUMIFS('All Donations'!$S$2:$S$4001,'All Donations'!$R$2:$R$4001,$AD545,'All Donations'!$T$2:$T$4001,J$1))</f>
        <v/>
      </c>
      <c r="K545" s="49">
        <f>IF(OR($AE545&lt;&gt;1,K$1=""),"",SUMIFS('All Donations'!$S$2:$S$4001,'All Donations'!$R$2:$R$4001,$AD545,'All Donations'!$T$2:$T$4001,K$1))</f>
        <v/>
      </c>
      <c r="L545" s="49">
        <f>IF(OR($AE545&lt;&gt;1,L$1=""),"",SUMIFS('All Donations'!$S$2:$S$4001,'All Donations'!$R$2:$R$4001,$AD545,'All Donations'!$T$2:$T$4001,L$1))</f>
        <v/>
      </c>
      <c r="M545" s="49">
        <f>IF(OR($AE545&lt;&gt;1,M$1=""),"",SUMIFS('All Donations'!$S$2:$S$4001,'All Donations'!$R$2:$R$4001,$AD545,'All Donations'!$T$2:$T$4001,M$1))</f>
        <v/>
      </c>
      <c r="N545" s="49">
        <f>IF(OR($AE545&lt;&gt;1,N$1=""),"",SUMIFS('All Donations'!$S$2:$S$4001,'All Donations'!$R$2:$R$4001,$AD545,'All Donations'!$T$2:$T$4001,N$1))</f>
        <v/>
      </c>
      <c r="O545" s="49">
        <f>IF(OR($AE545&lt;&gt;1,O$1=""),"",SUMIFS('All Donations'!$S$2:$S$4001,'All Donations'!$R$2:$R$4001,$AD545,'All Donations'!$T$2:$T$4001,O$1))</f>
        <v/>
      </c>
      <c r="P545" s="49">
        <f>IF(OR($AE545&lt;&gt;1,P$1=""),"",SUMIFS('All Donations'!$S$2:$S$4001,'All Donations'!$R$2:$R$4001,$AD545,'All Donations'!$T$2:$T$4001,P$1))</f>
        <v/>
      </c>
      <c r="Q545" s="49">
        <f>IF(OR($AE545&lt;&gt;1,Q$1=""),"",SUMIFS('All Donations'!$S$2:$S$4001,'All Donations'!$R$2:$R$4001,$AD545,'All Donations'!$T$2:$T$4001,Q$1))</f>
        <v/>
      </c>
      <c r="R545" s="49">
        <f>IF(OR($AE545&lt;&gt;1,R$1=""),"",SUMIFS('All Donations'!$S$2:$S$4001,'All Donations'!$R$2:$R$4001,$AD545,'All Donations'!$T$2:$T$4001,R$1))</f>
        <v/>
      </c>
      <c r="S545" s="49">
        <f>IF(OR($AE545&lt;&gt;1,S$1=""),"",SUMIFS('All Donations'!$S$2:$S$4001,'All Donations'!$R$2:$R$4001,$AD545,'All Donations'!$T$2:$T$4001,S$1))</f>
        <v/>
      </c>
      <c r="T545" s="49">
        <f>IF(OR($AE545&lt;&gt;1,T$1=""),"",SUMIFS('All Donations'!$S$2:$S$4001,'All Donations'!$R$2:$R$4001,$AD545,'All Donations'!$T$2:$T$4001,T$1))</f>
        <v/>
      </c>
      <c r="U545" s="49">
        <f>IF(OR($AE545&lt;&gt;1,U$1=""),"",SUMIFS('All Donations'!$S$2:$S$4001,'All Donations'!$R$2:$R$4001,$AD545,'All Donations'!$T$2:$T$4001,U$1))</f>
        <v/>
      </c>
      <c r="V545" s="49">
        <f>IF(OR($AE545&lt;&gt;1,V$1=""),"",SUMIFS('All Donations'!$S$2:$S$4001,'All Donations'!$R$2:$R$4001,$AD545,'All Donations'!$T$2:$T$4001,V$1))</f>
        <v/>
      </c>
      <c r="W545" s="49">
        <f>IF(OR($AE545&lt;&gt;1,W$1=""),"",SUMIFS('All Donations'!$S$2:$S$4001,'All Donations'!$R$2:$R$4001,$AD545,'All Donations'!$T$2:$T$4001,W$1))</f>
        <v/>
      </c>
      <c r="X545" s="49">
        <f>IF(OR($AE545&lt;&gt;1,X$1=""),"",SUMIFS('All Donations'!$S$2:$S$4001,'All Donations'!$R$2:$R$4001,$AD545,'All Donations'!$T$2:$T$4001,X$1))</f>
        <v/>
      </c>
      <c r="Y545" s="49">
        <f>IF(OR($AE545&lt;&gt;1,Y$1=""),"",SUMIFS('All Donations'!$S$2:$S$4001,'All Donations'!$R$2:$R$4001,$AD545,'All Donations'!$T$2:$T$4001,Y$1))</f>
        <v/>
      </c>
      <c r="Z545" s="49">
        <f>IF(OR($AE545&lt;&gt;1,Z$1=""),"",SUMIFS('All Donations'!$S$2:$S$4001,'All Donations'!$R$2:$R$4001,$AD545,'All Donations'!$T$2:$T$4001,Z$1))</f>
        <v/>
      </c>
      <c r="AA545" s="49">
        <f>IF(OR($AE545&lt;&gt;1,AA$1=""),"",SUMIFS('All Donations'!$S$2:$S$4001,'All Donations'!$R$2:$R$4001,$AD545,'All Donations'!$T$2:$T$4001,AA$1))</f>
        <v/>
      </c>
      <c r="AB545" s="49">
        <f>IF(OR($AE545&lt;&gt;1,AB$1=""),"",SUMIFS('All Donations'!$S$2:$S$4001,'All Donations'!$R$2:$R$4001,$AD545,'All Donations'!$T$2:$T$4001,AB$1))</f>
        <v/>
      </c>
      <c r="AC545" s="49">
        <f>IF(OR($AE545&lt;&gt;1,AC$1=""),"",SUMIFS('All Donations'!$S$2:$S$4001,'All Donations'!$R$2:$R$4001,$AD545,'All Donations'!$T$2:$T$4001,AC$1))</f>
        <v/>
      </c>
      <c r="AD545">
        <f>IF(AE545=1,'Roster'!A545,"")</f>
        <v/>
      </c>
      <c r="AE545">
        <f>IF(TRIM('Roster'!B545&amp;'Roster'!C545)&lt;&gt;"",1,0)</f>
        <v/>
      </c>
      <c r="AF545">
        <f>IF(AE545=1,LOWER(A545),"#")</f>
        <v/>
      </c>
      <c r="AG545">
        <f>IF(AE545=1,LOWER(TRIM(TRIM('Roster'!C545)&amp;", "&amp;TRIM('Roster'!B545))),"#")</f>
        <v/>
      </c>
      <c r="AH545">
        <f>IF(AND(AE545=1,TRIM('Roster'!F545)&lt;&gt;""),LOWER(TRIM('Roster'!F545)),"#")</f>
        <v/>
      </c>
      <c r="AI545">
        <f>IF(AE545=1,IF(MATCH(B545,$B$2:$B$701,0)=ROW()-1,1,0),0)</f>
        <v/>
      </c>
      <c r="AJ545">
        <f>AJ544+AI545</f>
        <v/>
      </c>
      <c r="AK545">
        <f>IF(AE545=1,D545+(1000-ROW())/10^7,-1)</f>
        <v/>
      </c>
      <c r="AL545">
        <f>IF(AE545=1,TRIM('Roster'!B545)&amp;" "&amp;LEFT(TRIM('Roster'!C545),1)&amp;".","")</f>
        <v/>
      </c>
      <c r="AM545">
        <f>IF(AE545=1,TRIM('Roster'!C545)&amp;", "&amp;TRIM('Roster'!B545)&amp;" ("&amp;B545&amp;") #"&amp;AD545,"")</f>
        <v/>
      </c>
      <c r="AN545">
        <f>IF(AE545=1,TRIM('Roster'!E545),"")</f>
        <v/>
      </c>
      <c r="AO545">
        <f>IF(AE545=1,ROUND(SUMIFS('All Donations'!$S$2:$S$4001,'All Donations'!$R$2:$R$4001,AD545,'All Donations'!$T$2:$T$4001,"&gt;="&amp;'Settings'!$C$23,'All Donations'!$T$2:$T$4001,"&lt;="&amp;'Settings'!$D$23),2),0)</f>
        <v/>
      </c>
      <c r="AQ545">
        <f>IF(AE545=1,ROUND(SUMIFS('All Donations'!$S$2:$S$4001,'All Donations'!$R$2:$R$4001,AD545,'All Donations'!$T$2:$T$4001,"&gt;="&amp;'Settings'!$C$25,'All Donations'!$T$2:$T$4001,"&lt;="&amp;'Settings'!$D$25),2),0)</f>
        <v/>
      </c>
      <c r="AR545">
        <f>IF(AE545=1,ROUND(SUMIFS('All Donations'!$S$2:$S$4001,'All Donations'!$R$2:$R$4001,AD545,'All Donations'!$T$2:$T$4001,"&gt;="&amp;'Settings'!$C$26,'All Donations'!$T$2:$T$4001,"&lt;="&amp;'Settings'!$D$26),2),0)</f>
        <v/>
      </c>
      <c r="AS545">
        <f>IF(AE545=1,ROUND(SUMIFS('All Donations'!$S$2:$S$4001,'All Donations'!$R$2:$R$4001,AD545,'All Donations'!$T$2:$T$4001,"&lt;="&amp;'Settings'!$D$27),2),0)</f>
        <v/>
      </c>
      <c r="AT545">
        <f>IF(AE545=1,ROUND(SUMIFS('All Donations'!$S$2:$S$4001,'All Donations'!$R$2:$R$4001,AD545,'All Donations'!$T$2:$T$4001,"&gt;="&amp;'Settings'!$C$28,'All Donations'!$T$2:$T$4001,"&lt;="&amp;'Settings'!$D$28),2),0)</f>
        <v/>
      </c>
      <c r="AU545">
        <f>IF(AE545=1,ROUND(SUMIFS('All Donations'!$S$2:$S$4001,'All Donations'!$R$2:$R$4001,AD545,'All Donations'!$T$2:$T$4001,"&gt;="&amp;'Settings'!$C$29,'All Donations'!$T$2:$T$4001,"&lt;="&amp;'Settings'!$D$29),2),0)</f>
        <v/>
      </c>
      <c r="AV545">
        <f>IF(AE545=1,ROUND(SUMIFS('All Donations'!$S$2:$S$4001,'All Donations'!$R$2:$R$4001,AD545,'All Donations'!$T$2:$T$4001,"&lt;="&amp;'Settings'!$D$30),2),0)</f>
        <v/>
      </c>
      <c r="AZ545">
        <f>IF(AE545=1,ROUND(SUMIFS('All Donations'!$S$2:$S$4001,'All Donations'!$R$2:$R$4001,AD545,'All Donations'!$T$2:$T$4001,"&lt;="&amp;'Settings'!$D$34),2),0)</f>
        <v/>
      </c>
    </row>
    <row r="546">
      <c r="A546">
        <f>IF(AE546=1,TRIM(TRIM('Roster'!B546)&amp;" "&amp;TRIM('Roster'!C546)),"")</f>
        <v/>
      </c>
      <c r="B546">
        <f>IF(AE546=1,IF(AN546="","(no teacher)",AN546&amp;" – "&amp;C546),"")</f>
        <v/>
      </c>
      <c r="C546">
        <f>IF(AE546=1,TRIM('Roster'!D546&amp;""),"")</f>
        <v/>
      </c>
      <c r="D546" s="48">
        <f>IF(AE546=1,ROUND(SUMIFS('All Donations'!$S$2:$S$4001,'All Donations'!$R$2:$R$4001,AD546),2),"")</f>
        <v/>
      </c>
      <c r="E546" s="48">
        <f>IF(AE546=1,ROUND(SUMIFS('All Donations'!$S$2:$S$4001,'All Donations'!$R$2:$R$4001,AD546,'All Donations'!$G$2:$G$4001,"OneCause"),2),"")</f>
        <v/>
      </c>
      <c r="F546" s="48">
        <f>IF(AE546=1,D546-E546,"")</f>
        <v/>
      </c>
      <c r="G546">
        <f>IF(AE546=1,COUNTIFS('All Donations'!$R$2:$R$4001,AD546,'All Donations'!$H$2:$H$4001,"OK"),"")</f>
        <v/>
      </c>
      <c r="H546">
        <f>IF(AE546&lt;&gt;1,"",IF(D546&gt;0,"Yes",""))</f>
        <v/>
      </c>
      <c r="I546" s="49">
        <f>IF(OR($AE546&lt;&gt;1,I$1=""),"",SUMIFS('All Donations'!$S$2:$S$4001,'All Donations'!$R$2:$R$4001,$AD546,'All Donations'!$T$2:$T$4001,I$1))</f>
        <v/>
      </c>
      <c r="J546" s="49">
        <f>IF(OR($AE546&lt;&gt;1,J$1=""),"",SUMIFS('All Donations'!$S$2:$S$4001,'All Donations'!$R$2:$R$4001,$AD546,'All Donations'!$T$2:$T$4001,J$1))</f>
        <v/>
      </c>
      <c r="K546" s="49">
        <f>IF(OR($AE546&lt;&gt;1,K$1=""),"",SUMIFS('All Donations'!$S$2:$S$4001,'All Donations'!$R$2:$R$4001,$AD546,'All Donations'!$T$2:$T$4001,K$1))</f>
        <v/>
      </c>
      <c r="L546" s="49">
        <f>IF(OR($AE546&lt;&gt;1,L$1=""),"",SUMIFS('All Donations'!$S$2:$S$4001,'All Donations'!$R$2:$R$4001,$AD546,'All Donations'!$T$2:$T$4001,L$1))</f>
        <v/>
      </c>
      <c r="M546" s="49">
        <f>IF(OR($AE546&lt;&gt;1,M$1=""),"",SUMIFS('All Donations'!$S$2:$S$4001,'All Donations'!$R$2:$R$4001,$AD546,'All Donations'!$T$2:$T$4001,M$1))</f>
        <v/>
      </c>
      <c r="N546" s="49">
        <f>IF(OR($AE546&lt;&gt;1,N$1=""),"",SUMIFS('All Donations'!$S$2:$S$4001,'All Donations'!$R$2:$R$4001,$AD546,'All Donations'!$T$2:$T$4001,N$1))</f>
        <v/>
      </c>
      <c r="O546" s="49">
        <f>IF(OR($AE546&lt;&gt;1,O$1=""),"",SUMIFS('All Donations'!$S$2:$S$4001,'All Donations'!$R$2:$R$4001,$AD546,'All Donations'!$T$2:$T$4001,O$1))</f>
        <v/>
      </c>
      <c r="P546" s="49">
        <f>IF(OR($AE546&lt;&gt;1,P$1=""),"",SUMIFS('All Donations'!$S$2:$S$4001,'All Donations'!$R$2:$R$4001,$AD546,'All Donations'!$T$2:$T$4001,P$1))</f>
        <v/>
      </c>
      <c r="Q546" s="49">
        <f>IF(OR($AE546&lt;&gt;1,Q$1=""),"",SUMIFS('All Donations'!$S$2:$S$4001,'All Donations'!$R$2:$R$4001,$AD546,'All Donations'!$T$2:$T$4001,Q$1))</f>
        <v/>
      </c>
      <c r="R546" s="49">
        <f>IF(OR($AE546&lt;&gt;1,R$1=""),"",SUMIFS('All Donations'!$S$2:$S$4001,'All Donations'!$R$2:$R$4001,$AD546,'All Donations'!$T$2:$T$4001,R$1))</f>
        <v/>
      </c>
      <c r="S546" s="49">
        <f>IF(OR($AE546&lt;&gt;1,S$1=""),"",SUMIFS('All Donations'!$S$2:$S$4001,'All Donations'!$R$2:$R$4001,$AD546,'All Donations'!$T$2:$T$4001,S$1))</f>
        <v/>
      </c>
      <c r="T546" s="49">
        <f>IF(OR($AE546&lt;&gt;1,T$1=""),"",SUMIFS('All Donations'!$S$2:$S$4001,'All Donations'!$R$2:$R$4001,$AD546,'All Donations'!$T$2:$T$4001,T$1))</f>
        <v/>
      </c>
      <c r="U546" s="49">
        <f>IF(OR($AE546&lt;&gt;1,U$1=""),"",SUMIFS('All Donations'!$S$2:$S$4001,'All Donations'!$R$2:$R$4001,$AD546,'All Donations'!$T$2:$T$4001,U$1))</f>
        <v/>
      </c>
      <c r="V546" s="49">
        <f>IF(OR($AE546&lt;&gt;1,V$1=""),"",SUMIFS('All Donations'!$S$2:$S$4001,'All Donations'!$R$2:$R$4001,$AD546,'All Donations'!$T$2:$T$4001,V$1))</f>
        <v/>
      </c>
      <c r="W546" s="49">
        <f>IF(OR($AE546&lt;&gt;1,W$1=""),"",SUMIFS('All Donations'!$S$2:$S$4001,'All Donations'!$R$2:$R$4001,$AD546,'All Donations'!$T$2:$T$4001,W$1))</f>
        <v/>
      </c>
      <c r="X546" s="49">
        <f>IF(OR($AE546&lt;&gt;1,X$1=""),"",SUMIFS('All Donations'!$S$2:$S$4001,'All Donations'!$R$2:$R$4001,$AD546,'All Donations'!$T$2:$T$4001,X$1))</f>
        <v/>
      </c>
      <c r="Y546" s="49">
        <f>IF(OR($AE546&lt;&gt;1,Y$1=""),"",SUMIFS('All Donations'!$S$2:$S$4001,'All Donations'!$R$2:$R$4001,$AD546,'All Donations'!$T$2:$T$4001,Y$1))</f>
        <v/>
      </c>
      <c r="Z546" s="49">
        <f>IF(OR($AE546&lt;&gt;1,Z$1=""),"",SUMIFS('All Donations'!$S$2:$S$4001,'All Donations'!$R$2:$R$4001,$AD546,'All Donations'!$T$2:$T$4001,Z$1))</f>
        <v/>
      </c>
      <c r="AA546" s="49">
        <f>IF(OR($AE546&lt;&gt;1,AA$1=""),"",SUMIFS('All Donations'!$S$2:$S$4001,'All Donations'!$R$2:$R$4001,$AD546,'All Donations'!$T$2:$T$4001,AA$1))</f>
        <v/>
      </c>
      <c r="AB546" s="49">
        <f>IF(OR($AE546&lt;&gt;1,AB$1=""),"",SUMIFS('All Donations'!$S$2:$S$4001,'All Donations'!$R$2:$R$4001,$AD546,'All Donations'!$T$2:$T$4001,AB$1))</f>
        <v/>
      </c>
      <c r="AC546" s="49">
        <f>IF(OR($AE546&lt;&gt;1,AC$1=""),"",SUMIFS('All Donations'!$S$2:$S$4001,'All Donations'!$R$2:$R$4001,$AD546,'All Donations'!$T$2:$T$4001,AC$1))</f>
        <v/>
      </c>
      <c r="AD546">
        <f>IF(AE546=1,'Roster'!A546,"")</f>
        <v/>
      </c>
      <c r="AE546">
        <f>IF(TRIM('Roster'!B546&amp;'Roster'!C546)&lt;&gt;"",1,0)</f>
        <v/>
      </c>
      <c r="AF546">
        <f>IF(AE546=1,LOWER(A546),"#")</f>
        <v/>
      </c>
      <c r="AG546">
        <f>IF(AE546=1,LOWER(TRIM(TRIM('Roster'!C546)&amp;", "&amp;TRIM('Roster'!B546))),"#")</f>
        <v/>
      </c>
      <c r="AH546">
        <f>IF(AND(AE546=1,TRIM('Roster'!F546)&lt;&gt;""),LOWER(TRIM('Roster'!F546)),"#")</f>
        <v/>
      </c>
      <c r="AI546">
        <f>IF(AE546=1,IF(MATCH(B546,$B$2:$B$701,0)=ROW()-1,1,0),0)</f>
        <v/>
      </c>
      <c r="AJ546">
        <f>AJ545+AI546</f>
        <v/>
      </c>
      <c r="AK546">
        <f>IF(AE546=1,D546+(1000-ROW())/10^7,-1)</f>
        <v/>
      </c>
      <c r="AL546">
        <f>IF(AE546=1,TRIM('Roster'!B546)&amp;" "&amp;LEFT(TRIM('Roster'!C546),1)&amp;".","")</f>
        <v/>
      </c>
      <c r="AM546">
        <f>IF(AE546=1,TRIM('Roster'!C546)&amp;", "&amp;TRIM('Roster'!B546)&amp;" ("&amp;B546&amp;") #"&amp;AD546,"")</f>
        <v/>
      </c>
      <c r="AN546">
        <f>IF(AE546=1,TRIM('Roster'!E546),"")</f>
        <v/>
      </c>
      <c r="AO546">
        <f>IF(AE546=1,ROUND(SUMIFS('All Donations'!$S$2:$S$4001,'All Donations'!$R$2:$R$4001,AD546,'All Donations'!$T$2:$T$4001,"&gt;="&amp;'Settings'!$C$23,'All Donations'!$T$2:$T$4001,"&lt;="&amp;'Settings'!$D$23),2),0)</f>
        <v/>
      </c>
      <c r="AQ546">
        <f>IF(AE546=1,ROUND(SUMIFS('All Donations'!$S$2:$S$4001,'All Donations'!$R$2:$R$4001,AD546,'All Donations'!$T$2:$T$4001,"&gt;="&amp;'Settings'!$C$25,'All Donations'!$T$2:$T$4001,"&lt;="&amp;'Settings'!$D$25),2),0)</f>
        <v/>
      </c>
      <c r="AR546">
        <f>IF(AE546=1,ROUND(SUMIFS('All Donations'!$S$2:$S$4001,'All Donations'!$R$2:$R$4001,AD546,'All Donations'!$T$2:$T$4001,"&gt;="&amp;'Settings'!$C$26,'All Donations'!$T$2:$T$4001,"&lt;="&amp;'Settings'!$D$26),2),0)</f>
        <v/>
      </c>
      <c r="AS546">
        <f>IF(AE546=1,ROUND(SUMIFS('All Donations'!$S$2:$S$4001,'All Donations'!$R$2:$R$4001,AD546,'All Donations'!$T$2:$T$4001,"&lt;="&amp;'Settings'!$D$27),2),0)</f>
        <v/>
      </c>
      <c r="AT546">
        <f>IF(AE546=1,ROUND(SUMIFS('All Donations'!$S$2:$S$4001,'All Donations'!$R$2:$R$4001,AD546,'All Donations'!$T$2:$T$4001,"&gt;="&amp;'Settings'!$C$28,'All Donations'!$T$2:$T$4001,"&lt;="&amp;'Settings'!$D$28),2),0)</f>
        <v/>
      </c>
      <c r="AU546">
        <f>IF(AE546=1,ROUND(SUMIFS('All Donations'!$S$2:$S$4001,'All Donations'!$R$2:$R$4001,AD546,'All Donations'!$T$2:$T$4001,"&gt;="&amp;'Settings'!$C$29,'All Donations'!$T$2:$T$4001,"&lt;="&amp;'Settings'!$D$29),2),0)</f>
        <v/>
      </c>
      <c r="AV546">
        <f>IF(AE546=1,ROUND(SUMIFS('All Donations'!$S$2:$S$4001,'All Donations'!$R$2:$R$4001,AD546,'All Donations'!$T$2:$T$4001,"&lt;="&amp;'Settings'!$D$30),2),0)</f>
        <v/>
      </c>
      <c r="AZ546">
        <f>IF(AE546=1,ROUND(SUMIFS('All Donations'!$S$2:$S$4001,'All Donations'!$R$2:$R$4001,AD546,'All Donations'!$T$2:$T$4001,"&lt;="&amp;'Settings'!$D$34),2),0)</f>
        <v/>
      </c>
    </row>
    <row r="547">
      <c r="A547">
        <f>IF(AE547=1,TRIM(TRIM('Roster'!B547)&amp;" "&amp;TRIM('Roster'!C547)),"")</f>
        <v/>
      </c>
      <c r="B547">
        <f>IF(AE547=1,IF(AN547="","(no teacher)",AN547&amp;" – "&amp;C547),"")</f>
        <v/>
      </c>
      <c r="C547">
        <f>IF(AE547=1,TRIM('Roster'!D547&amp;""),"")</f>
        <v/>
      </c>
      <c r="D547" s="48">
        <f>IF(AE547=1,ROUND(SUMIFS('All Donations'!$S$2:$S$4001,'All Donations'!$R$2:$R$4001,AD547),2),"")</f>
        <v/>
      </c>
      <c r="E547" s="48">
        <f>IF(AE547=1,ROUND(SUMIFS('All Donations'!$S$2:$S$4001,'All Donations'!$R$2:$R$4001,AD547,'All Donations'!$G$2:$G$4001,"OneCause"),2),"")</f>
        <v/>
      </c>
      <c r="F547" s="48">
        <f>IF(AE547=1,D547-E547,"")</f>
        <v/>
      </c>
      <c r="G547">
        <f>IF(AE547=1,COUNTIFS('All Donations'!$R$2:$R$4001,AD547,'All Donations'!$H$2:$H$4001,"OK"),"")</f>
        <v/>
      </c>
      <c r="H547">
        <f>IF(AE547&lt;&gt;1,"",IF(D547&gt;0,"Yes",""))</f>
        <v/>
      </c>
      <c r="I547" s="49">
        <f>IF(OR($AE547&lt;&gt;1,I$1=""),"",SUMIFS('All Donations'!$S$2:$S$4001,'All Donations'!$R$2:$R$4001,$AD547,'All Donations'!$T$2:$T$4001,I$1))</f>
        <v/>
      </c>
      <c r="J547" s="49">
        <f>IF(OR($AE547&lt;&gt;1,J$1=""),"",SUMIFS('All Donations'!$S$2:$S$4001,'All Donations'!$R$2:$R$4001,$AD547,'All Donations'!$T$2:$T$4001,J$1))</f>
        <v/>
      </c>
      <c r="K547" s="49">
        <f>IF(OR($AE547&lt;&gt;1,K$1=""),"",SUMIFS('All Donations'!$S$2:$S$4001,'All Donations'!$R$2:$R$4001,$AD547,'All Donations'!$T$2:$T$4001,K$1))</f>
        <v/>
      </c>
      <c r="L547" s="49">
        <f>IF(OR($AE547&lt;&gt;1,L$1=""),"",SUMIFS('All Donations'!$S$2:$S$4001,'All Donations'!$R$2:$R$4001,$AD547,'All Donations'!$T$2:$T$4001,L$1))</f>
        <v/>
      </c>
      <c r="M547" s="49">
        <f>IF(OR($AE547&lt;&gt;1,M$1=""),"",SUMIFS('All Donations'!$S$2:$S$4001,'All Donations'!$R$2:$R$4001,$AD547,'All Donations'!$T$2:$T$4001,M$1))</f>
        <v/>
      </c>
      <c r="N547" s="49">
        <f>IF(OR($AE547&lt;&gt;1,N$1=""),"",SUMIFS('All Donations'!$S$2:$S$4001,'All Donations'!$R$2:$R$4001,$AD547,'All Donations'!$T$2:$T$4001,N$1))</f>
        <v/>
      </c>
      <c r="O547" s="49">
        <f>IF(OR($AE547&lt;&gt;1,O$1=""),"",SUMIFS('All Donations'!$S$2:$S$4001,'All Donations'!$R$2:$R$4001,$AD547,'All Donations'!$T$2:$T$4001,O$1))</f>
        <v/>
      </c>
      <c r="P547" s="49">
        <f>IF(OR($AE547&lt;&gt;1,P$1=""),"",SUMIFS('All Donations'!$S$2:$S$4001,'All Donations'!$R$2:$R$4001,$AD547,'All Donations'!$T$2:$T$4001,P$1))</f>
        <v/>
      </c>
      <c r="Q547" s="49">
        <f>IF(OR($AE547&lt;&gt;1,Q$1=""),"",SUMIFS('All Donations'!$S$2:$S$4001,'All Donations'!$R$2:$R$4001,$AD547,'All Donations'!$T$2:$T$4001,Q$1))</f>
        <v/>
      </c>
      <c r="R547" s="49">
        <f>IF(OR($AE547&lt;&gt;1,R$1=""),"",SUMIFS('All Donations'!$S$2:$S$4001,'All Donations'!$R$2:$R$4001,$AD547,'All Donations'!$T$2:$T$4001,R$1))</f>
        <v/>
      </c>
      <c r="S547" s="49">
        <f>IF(OR($AE547&lt;&gt;1,S$1=""),"",SUMIFS('All Donations'!$S$2:$S$4001,'All Donations'!$R$2:$R$4001,$AD547,'All Donations'!$T$2:$T$4001,S$1))</f>
        <v/>
      </c>
      <c r="T547" s="49">
        <f>IF(OR($AE547&lt;&gt;1,T$1=""),"",SUMIFS('All Donations'!$S$2:$S$4001,'All Donations'!$R$2:$R$4001,$AD547,'All Donations'!$T$2:$T$4001,T$1))</f>
        <v/>
      </c>
      <c r="U547" s="49">
        <f>IF(OR($AE547&lt;&gt;1,U$1=""),"",SUMIFS('All Donations'!$S$2:$S$4001,'All Donations'!$R$2:$R$4001,$AD547,'All Donations'!$T$2:$T$4001,U$1))</f>
        <v/>
      </c>
      <c r="V547" s="49">
        <f>IF(OR($AE547&lt;&gt;1,V$1=""),"",SUMIFS('All Donations'!$S$2:$S$4001,'All Donations'!$R$2:$R$4001,$AD547,'All Donations'!$T$2:$T$4001,V$1))</f>
        <v/>
      </c>
      <c r="W547" s="49">
        <f>IF(OR($AE547&lt;&gt;1,W$1=""),"",SUMIFS('All Donations'!$S$2:$S$4001,'All Donations'!$R$2:$R$4001,$AD547,'All Donations'!$T$2:$T$4001,W$1))</f>
        <v/>
      </c>
      <c r="X547" s="49">
        <f>IF(OR($AE547&lt;&gt;1,X$1=""),"",SUMIFS('All Donations'!$S$2:$S$4001,'All Donations'!$R$2:$R$4001,$AD547,'All Donations'!$T$2:$T$4001,X$1))</f>
        <v/>
      </c>
      <c r="Y547" s="49">
        <f>IF(OR($AE547&lt;&gt;1,Y$1=""),"",SUMIFS('All Donations'!$S$2:$S$4001,'All Donations'!$R$2:$R$4001,$AD547,'All Donations'!$T$2:$T$4001,Y$1))</f>
        <v/>
      </c>
      <c r="Z547" s="49">
        <f>IF(OR($AE547&lt;&gt;1,Z$1=""),"",SUMIFS('All Donations'!$S$2:$S$4001,'All Donations'!$R$2:$R$4001,$AD547,'All Donations'!$T$2:$T$4001,Z$1))</f>
        <v/>
      </c>
      <c r="AA547" s="49">
        <f>IF(OR($AE547&lt;&gt;1,AA$1=""),"",SUMIFS('All Donations'!$S$2:$S$4001,'All Donations'!$R$2:$R$4001,$AD547,'All Donations'!$T$2:$T$4001,AA$1))</f>
        <v/>
      </c>
      <c r="AB547" s="49">
        <f>IF(OR($AE547&lt;&gt;1,AB$1=""),"",SUMIFS('All Donations'!$S$2:$S$4001,'All Donations'!$R$2:$R$4001,$AD547,'All Donations'!$T$2:$T$4001,AB$1))</f>
        <v/>
      </c>
      <c r="AC547" s="49">
        <f>IF(OR($AE547&lt;&gt;1,AC$1=""),"",SUMIFS('All Donations'!$S$2:$S$4001,'All Donations'!$R$2:$R$4001,$AD547,'All Donations'!$T$2:$T$4001,AC$1))</f>
        <v/>
      </c>
      <c r="AD547">
        <f>IF(AE547=1,'Roster'!A547,"")</f>
        <v/>
      </c>
      <c r="AE547">
        <f>IF(TRIM('Roster'!B547&amp;'Roster'!C547)&lt;&gt;"",1,0)</f>
        <v/>
      </c>
      <c r="AF547">
        <f>IF(AE547=1,LOWER(A547),"#")</f>
        <v/>
      </c>
      <c r="AG547">
        <f>IF(AE547=1,LOWER(TRIM(TRIM('Roster'!C547)&amp;", "&amp;TRIM('Roster'!B547))),"#")</f>
        <v/>
      </c>
      <c r="AH547">
        <f>IF(AND(AE547=1,TRIM('Roster'!F547)&lt;&gt;""),LOWER(TRIM('Roster'!F547)),"#")</f>
        <v/>
      </c>
      <c r="AI547">
        <f>IF(AE547=1,IF(MATCH(B547,$B$2:$B$701,0)=ROW()-1,1,0),0)</f>
        <v/>
      </c>
      <c r="AJ547">
        <f>AJ546+AI547</f>
        <v/>
      </c>
      <c r="AK547">
        <f>IF(AE547=1,D547+(1000-ROW())/10^7,-1)</f>
        <v/>
      </c>
      <c r="AL547">
        <f>IF(AE547=1,TRIM('Roster'!B547)&amp;" "&amp;LEFT(TRIM('Roster'!C547),1)&amp;".","")</f>
        <v/>
      </c>
      <c r="AM547">
        <f>IF(AE547=1,TRIM('Roster'!C547)&amp;", "&amp;TRIM('Roster'!B547)&amp;" ("&amp;B547&amp;") #"&amp;AD547,"")</f>
        <v/>
      </c>
      <c r="AN547">
        <f>IF(AE547=1,TRIM('Roster'!E547),"")</f>
        <v/>
      </c>
      <c r="AO547">
        <f>IF(AE547=1,ROUND(SUMIFS('All Donations'!$S$2:$S$4001,'All Donations'!$R$2:$R$4001,AD547,'All Donations'!$T$2:$T$4001,"&gt;="&amp;'Settings'!$C$23,'All Donations'!$T$2:$T$4001,"&lt;="&amp;'Settings'!$D$23),2),0)</f>
        <v/>
      </c>
      <c r="AQ547">
        <f>IF(AE547=1,ROUND(SUMIFS('All Donations'!$S$2:$S$4001,'All Donations'!$R$2:$R$4001,AD547,'All Donations'!$T$2:$T$4001,"&gt;="&amp;'Settings'!$C$25,'All Donations'!$T$2:$T$4001,"&lt;="&amp;'Settings'!$D$25),2),0)</f>
        <v/>
      </c>
      <c r="AR547">
        <f>IF(AE547=1,ROUND(SUMIFS('All Donations'!$S$2:$S$4001,'All Donations'!$R$2:$R$4001,AD547,'All Donations'!$T$2:$T$4001,"&gt;="&amp;'Settings'!$C$26,'All Donations'!$T$2:$T$4001,"&lt;="&amp;'Settings'!$D$26),2),0)</f>
        <v/>
      </c>
      <c r="AS547">
        <f>IF(AE547=1,ROUND(SUMIFS('All Donations'!$S$2:$S$4001,'All Donations'!$R$2:$R$4001,AD547,'All Donations'!$T$2:$T$4001,"&lt;="&amp;'Settings'!$D$27),2),0)</f>
        <v/>
      </c>
      <c r="AT547">
        <f>IF(AE547=1,ROUND(SUMIFS('All Donations'!$S$2:$S$4001,'All Donations'!$R$2:$R$4001,AD547,'All Donations'!$T$2:$T$4001,"&gt;="&amp;'Settings'!$C$28,'All Donations'!$T$2:$T$4001,"&lt;="&amp;'Settings'!$D$28),2),0)</f>
        <v/>
      </c>
      <c r="AU547">
        <f>IF(AE547=1,ROUND(SUMIFS('All Donations'!$S$2:$S$4001,'All Donations'!$R$2:$R$4001,AD547,'All Donations'!$T$2:$T$4001,"&gt;="&amp;'Settings'!$C$29,'All Donations'!$T$2:$T$4001,"&lt;="&amp;'Settings'!$D$29),2),0)</f>
        <v/>
      </c>
      <c r="AV547">
        <f>IF(AE547=1,ROUND(SUMIFS('All Donations'!$S$2:$S$4001,'All Donations'!$R$2:$R$4001,AD547,'All Donations'!$T$2:$T$4001,"&lt;="&amp;'Settings'!$D$30),2),0)</f>
        <v/>
      </c>
      <c r="AZ547">
        <f>IF(AE547=1,ROUND(SUMIFS('All Donations'!$S$2:$S$4001,'All Donations'!$R$2:$R$4001,AD547,'All Donations'!$T$2:$T$4001,"&lt;="&amp;'Settings'!$D$34),2),0)</f>
        <v/>
      </c>
    </row>
    <row r="548">
      <c r="A548">
        <f>IF(AE548=1,TRIM(TRIM('Roster'!B548)&amp;" "&amp;TRIM('Roster'!C548)),"")</f>
        <v/>
      </c>
      <c r="B548">
        <f>IF(AE548=1,IF(AN548="","(no teacher)",AN548&amp;" – "&amp;C548),"")</f>
        <v/>
      </c>
      <c r="C548">
        <f>IF(AE548=1,TRIM('Roster'!D548&amp;""),"")</f>
        <v/>
      </c>
      <c r="D548" s="48">
        <f>IF(AE548=1,ROUND(SUMIFS('All Donations'!$S$2:$S$4001,'All Donations'!$R$2:$R$4001,AD548),2),"")</f>
        <v/>
      </c>
      <c r="E548" s="48">
        <f>IF(AE548=1,ROUND(SUMIFS('All Donations'!$S$2:$S$4001,'All Donations'!$R$2:$R$4001,AD548,'All Donations'!$G$2:$G$4001,"OneCause"),2),"")</f>
        <v/>
      </c>
      <c r="F548" s="48">
        <f>IF(AE548=1,D548-E548,"")</f>
        <v/>
      </c>
      <c r="G548">
        <f>IF(AE548=1,COUNTIFS('All Donations'!$R$2:$R$4001,AD548,'All Donations'!$H$2:$H$4001,"OK"),"")</f>
        <v/>
      </c>
      <c r="H548">
        <f>IF(AE548&lt;&gt;1,"",IF(D548&gt;0,"Yes",""))</f>
        <v/>
      </c>
      <c r="I548" s="49">
        <f>IF(OR($AE548&lt;&gt;1,I$1=""),"",SUMIFS('All Donations'!$S$2:$S$4001,'All Donations'!$R$2:$R$4001,$AD548,'All Donations'!$T$2:$T$4001,I$1))</f>
        <v/>
      </c>
      <c r="J548" s="49">
        <f>IF(OR($AE548&lt;&gt;1,J$1=""),"",SUMIFS('All Donations'!$S$2:$S$4001,'All Donations'!$R$2:$R$4001,$AD548,'All Donations'!$T$2:$T$4001,J$1))</f>
        <v/>
      </c>
      <c r="K548" s="49">
        <f>IF(OR($AE548&lt;&gt;1,K$1=""),"",SUMIFS('All Donations'!$S$2:$S$4001,'All Donations'!$R$2:$R$4001,$AD548,'All Donations'!$T$2:$T$4001,K$1))</f>
        <v/>
      </c>
      <c r="L548" s="49">
        <f>IF(OR($AE548&lt;&gt;1,L$1=""),"",SUMIFS('All Donations'!$S$2:$S$4001,'All Donations'!$R$2:$R$4001,$AD548,'All Donations'!$T$2:$T$4001,L$1))</f>
        <v/>
      </c>
      <c r="M548" s="49">
        <f>IF(OR($AE548&lt;&gt;1,M$1=""),"",SUMIFS('All Donations'!$S$2:$S$4001,'All Donations'!$R$2:$R$4001,$AD548,'All Donations'!$T$2:$T$4001,M$1))</f>
        <v/>
      </c>
      <c r="N548" s="49">
        <f>IF(OR($AE548&lt;&gt;1,N$1=""),"",SUMIFS('All Donations'!$S$2:$S$4001,'All Donations'!$R$2:$R$4001,$AD548,'All Donations'!$T$2:$T$4001,N$1))</f>
        <v/>
      </c>
      <c r="O548" s="49">
        <f>IF(OR($AE548&lt;&gt;1,O$1=""),"",SUMIFS('All Donations'!$S$2:$S$4001,'All Donations'!$R$2:$R$4001,$AD548,'All Donations'!$T$2:$T$4001,O$1))</f>
        <v/>
      </c>
      <c r="P548" s="49">
        <f>IF(OR($AE548&lt;&gt;1,P$1=""),"",SUMIFS('All Donations'!$S$2:$S$4001,'All Donations'!$R$2:$R$4001,$AD548,'All Donations'!$T$2:$T$4001,P$1))</f>
        <v/>
      </c>
      <c r="Q548" s="49">
        <f>IF(OR($AE548&lt;&gt;1,Q$1=""),"",SUMIFS('All Donations'!$S$2:$S$4001,'All Donations'!$R$2:$R$4001,$AD548,'All Donations'!$T$2:$T$4001,Q$1))</f>
        <v/>
      </c>
      <c r="R548" s="49">
        <f>IF(OR($AE548&lt;&gt;1,R$1=""),"",SUMIFS('All Donations'!$S$2:$S$4001,'All Donations'!$R$2:$R$4001,$AD548,'All Donations'!$T$2:$T$4001,R$1))</f>
        <v/>
      </c>
      <c r="S548" s="49">
        <f>IF(OR($AE548&lt;&gt;1,S$1=""),"",SUMIFS('All Donations'!$S$2:$S$4001,'All Donations'!$R$2:$R$4001,$AD548,'All Donations'!$T$2:$T$4001,S$1))</f>
        <v/>
      </c>
      <c r="T548" s="49">
        <f>IF(OR($AE548&lt;&gt;1,T$1=""),"",SUMIFS('All Donations'!$S$2:$S$4001,'All Donations'!$R$2:$R$4001,$AD548,'All Donations'!$T$2:$T$4001,T$1))</f>
        <v/>
      </c>
      <c r="U548" s="49">
        <f>IF(OR($AE548&lt;&gt;1,U$1=""),"",SUMIFS('All Donations'!$S$2:$S$4001,'All Donations'!$R$2:$R$4001,$AD548,'All Donations'!$T$2:$T$4001,U$1))</f>
        <v/>
      </c>
      <c r="V548" s="49">
        <f>IF(OR($AE548&lt;&gt;1,V$1=""),"",SUMIFS('All Donations'!$S$2:$S$4001,'All Donations'!$R$2:$R$4001,$AD548,'All Donations'!$T$2:$T$4001,V$1))</f>
        <v/>
      </c>
      <c r="W548" s="49">
        <f>IF(OR($AE548&lt;&gt;1,W$1=""),"",SUMIFS('All Donations'!$S$2:$S$4001,'All Donations'!$R$2:$R$4001,$AD548,'All Donations'!$T$2:$T$4001,W$1))</f>
        <v/>
      </c>
      <c r="X548" s="49">
        <f>IF(OR($AE548&lt;&gt;1,X$1=""),"",SUMIFS('All Donations'!$S$2:$S$4001,'All Donations'!$R$2:$R$4001,$AD548,'All Donations'!$T$2:$T$4001,X$1))</f>
        <v/>
      </c>
      <c r="Y548" s="49">
        <f>IF(OR($AE548&lt;&gt;1,Y$1=""),"",SUMIFS('All Donations'!$S$2:$S$4001,'All Donations'!$R$2:$R$4001,$AD548,'All Donations'!$T$2:$T$4001,Y$1))</f>
        <v/>
      </c>
      <c r="Z548" s="49">
        <f>IF(OR($AE548&lt;&gt;1,Z$1=""),"",SUMIFS('All Donations'!$S$2:$S$4001,'All Donations'!$R$2:$R$4001,$AD548,'All Donations'!$T$2:$T$4001,Z$1))</f>
        <v/>
      </c>
      <c r="AA548" s="49">
        <f>IF(OR($AE548&lt;&gt;1,AA$1=""),"",SUMIFS('All Donations'!$S$2:$S$4001,'All Donations'!$R$2:$R$4001,$AD548,'All Donations'!$T$2:$T$4001,AA$1))</f>
        <v/>
      </c>
      <c r="AB548" s="49">
        <f>IF(OR($AE548&lt;&gt;1,AB$1=""),"",SUMIFS('All Donations'!$S$2:$S$4001,'All Donations'!$R$2:$R$4001,$AD548,'All Donations'!$T$2:$T$4001,AB$1))</f>
        <v/>
      </c>
      <c r="AC548" s="49">
        <f>IF(OR($AE548&lt;&gt;1,AC$1=""),"",SUMIFS('All Donations'!$S$2:$S$4001,'All Donations'!$R$2:$R$4001,$AD548,'All Donations'!$T$2:$T$4001,AC$1))</f>
        <v/>
      </c>
      <c r="AD548">
        <f>IF(AE548=1,'Roster'!A548,"")</f>
        <v/>
      </c>
      <c r="AE548">
        <f>IF(TRIM('Roster'!B548&amp;'Roster'!C548)&lt;&gt;"",1,0)</f>
        <v/>
      </c>
      <c r="AF548">
        <f>IF(AE548=1,LOWER(A548),"#")</f>
        <v/>
      </c>
      <c r="AG548">
        <f>IF(AE548=1,LOWER(TRIM(TRIM('Roster'!C548)&amp;", "&amp;TRIM('Roster'!B548))),"#")</f>
        <v/>
      </c>
      <c r="AH548">
        <f>IF(AND(AE548=1,TRIM('Roster'!F548)&lt;&gt;""),LOWER(TRIM('Roster'!F548)),"#")</f>
        <v/>
      </c>
      <c r="AI548">
        <f>IF(AE548=1,IF(MATCH(B548,$B$2:$B$701,0)=ROW()-1,1,0),0)</f>
        <v/>
      </c>
      <c r="AJ548">
        <f>AJ547+AI548</f>
        <v/>
      </c>
      <c r="AK548">
        <f>IF(AE548=1,D548+(1000-ROW())/10^7,-1)</f>
        <v/>
      </c>
      <c r="AL548">
        <f>IF(AE548=1,TRIM('Roster'!B548)&amp;" "&amp;LEFT(TRIM('Roster'!C548),1)&amp;".","")</f>
        <v/>
      </c>
      <c r="AM548">
        <f>IF(AE548=1,TRIM('Roster'!C548)&amp;", "&amp;TRIM('Roster'!B548)&amp;" ("&amp;B548&amp;") #"&amp;AD548,"")</f>
        <v/>
      </c>
      <c r="AN548">
        <f>IF(AE548=1,TRIM('Roster'!E548),"")</f>
        <v/>
      </c>
      <c r="AO548">
        <f>IF(AE548=1,ROUND(SUMIFS('All Donations'!$S$2:$S$4001,'All Donations'!$R$2:$R$4001,AD548,'All Donations'!$T$2:$T$4001,"&gt;="&amp;'Settings'!$C$23,'All Donations'!$T$2:$T$4001,"&lt;="&amp;'Settings'!$D$23),2),0)</f>
        <v/>
      </c>
      <c r="AQ548">
        <f>IF(AE548=1,ROUND(SUMIFS('All Donations'!$S$2:$S$4001,'All Donations'!$R$2:$R$4001,AD548,'All Donations'!$T$2:$T$4001,"&gt;="&amp;'Settings'!$C$25,'All Donations'!$T$2:$T$4001,"&lt;="&amp;'Settings'!$D$25),2),0)</f>
        <v/>
      </c>
      <c r="AR548">
        <f>IF(AE548=1,ROUND(SUMIFS('All Donations'!$S$2:$S$4001,'All Donations'!$R$2:$R$4001,AD548,'All Donations'!$T$2:$T$4001,"&gt;="&amp;'Settings'!$C$26,'All Donations'!$T$2:$T$4001,"&lt;="&amp;'Settings'!$D$26),2),0)</f>
        <v/>
      </c>
      <c r="AS548">
        <f>IF(AE548=1,ROUND(SUMIFS('All Donations'!$S$2:$S$4001,'All Donations'!$R$2:$R$4001,AD548,'All Donations'!$T$2:$T$4001,"&lt;="&amp;'Settings'!$D$27),2),0)</f>
        <v/>
      </c>
      <c r="AT548">
        <f>IF(AE548=1,ROUND(SUMIFS('All Donations'!$S$2:$S$4001,'All Donations'!$R$2:$R$4001,AD548,'All Donations'!$T$2:$T$4001,"&gt;="&amp;'Settings'!$C$28,'All Donations'!$T$2:$T$4001,"&lt;="&amp;'Settings'!$D$28),2),0)</f>
        <v/>
      </c>
      <c r="AU548">
        <f>IF(AE548=1,ROUND(SUMIFS('All Donations'!$S$2:$S$4001,'All Donations'!$R$2:$R$4001,AD548,'All Donations'!$T$2:$T$4001,"&gt;="&amp;'Settings'!$C$29,'All Donations'!$T$2:$T$4001,"&lt;="&amp;'Settings'!$D$29),2),0)</f>
        <v/>
      </c>
      <c r="AV548">
        <f>IF(AE548=1,ROUND(SUMIFS('All Donations'!$S$2:$S$4001,'All Donations'!$R$2:$R$4001,AD548,'All Donations'!$T$2:$T$4001,"&lt;="&amp;'Settings'!$D$30),2),0)</f>
        <v/>
      </c>
      <c r="AZ548">
        <f>IF(AE548=1,ROUND(SUMIFS('All Donations'!$S$2:$S$4001,'All Donations'!$R$2:$R$4001,AD548,'All Donations'!$T$2:$T$4001,"&lt;="&amp;'Settings'!$D$34),2),0)</f>
        <v/>
      </c>
    </row>
    <row r="549">
      <c r="A549">
        <f>IF(AE549=1,TRIM(TRIM('Roster'!B549)&amp;" "&amp;TRIM('Roster'!C549)),"")</f>
        <v/>
      </c>
      <c r="B549">
        <f>IF(AE549=1,IF(AN549="","(no teacher)",AN549&amp;" – "&amp;C549),"")</f>
        <v/>
      </c>
      <c r="C549">
        <f>IF(AE549=1,TRIM('Roster'!D549&amp;""),"")</f>
        <v/>
      </c>
      <c r="D549" s="48">
        <f>IF(AE549=1,ROUND(SUMIFS('All Donations'!$S$2:$S$4001,'All Donations'!$R$2:$R$4001,AD549),2),"")</f>
        <v/>
      </c>
      <c r="E549" s="48">
        <f>IF(AE549=1,ROUND(SUMIFS('All Donations'!$S$2:$S$4001,'All Donations'!$R$2:$R$4001,AD549,'All Donations'!$G$2:$G$4001,"OneCause"),2),"")</f>
        <v/>
      </c>
      <c r="F549" s="48">
        <f>IF(AE549=1,D549-E549,"")</f>
        <v/>
      </c>
      <c r="G549">
        <f>IF(AE549=1,COUNTIFS('All Donations'!$R$2:$R$4001,AD549,'All Donations'!$H$2:$H$4001,"OK"),"")</f>
        <v/>
      </c>
      <c r="H549">
        <f>IF(AE549&lt;&gt;1,"",IF(D549&gt;0,"Yes",""))</f>
        <v/>
      </c>
      <c r="I549" s="49">
        <f>IF(OR($AE549&lt;&gt;1,I$1=""),"",SUMIFS('All Donations'!$S$2:$S$4001,'All Donations'!$R$2:$R$4001,$AD549,'All Donations'!$T$2:$T$4001,I$1))</f>
        <v/>
      </c>
      <c r="J549" s="49">
        <f>IF(OR($AE549&lt;&gt;1,J$1=""),"",SUMIFS('All Donations'!$S$2:$S$4001,'All Donations'!$R$2:$R$4001,$AD549,'All Donations'!$T$2:$T$4001,J$1))</f>
        <v/>
      </c>
      <c r="K549" s="49">
        <f>IF(OR($AE549&lt;&gt;1,K$1=""),"",SUMIFS('All Donations'!$S$2:$S$4001,'All Donations'!$R$2:$R$4001,$AD549,'All Donations'!$T$2:$T$4001,K$1))</f>
        <v/>
      </c>
      <c r="L549" s="49">
        <f>IF(OR($AE549&lt;&gt;1,L$1=""),"",SUMIFS('All Donations'!$S$2:$S$4001,'All Donations'!$R$2:$R$4001,$AD549,'All Donations'!$T$2:$T$4001,L$1))</f>
        <v/>
      </c>
      <c r="M549" s="49">
        <f>IF(OR($AE549&lt;&gt;1,M$1=""),"",SUMIFS('All Donations'!$S$2:$S$4001,'All Donations'!$R$2:$R$4001,$AD549,'All Donations'!$T$2:$T$4001,M$1))</f>
        <v/>
      </c>
      <c r="N549" s="49">
        <f>IF(OR($AE549&lt;&gt;1,N$1=""),"",SUMIFS('All Donations'!$S$2:$S$4001,'All Donations'!$R$2:$R$4001,$AD549,'All Donations'!$T$2:$T$4001,N$1))</f>
        <v/>
      </c>
      <c r="O549" s="49">
        <f>IF(OR($AE549&lt;&gt;1,O$1=""),"",SUMIFS('All Donations'!$S$2:$S$4001,'All Donations'!$R$2:$R$4001,$AD549,'All Donations'!$T$2:$T$4001,O$1))</f>
        <v/>
      </c>
      <c r="P549" s="49">
        <f>IF(OR($AE549&lt;&gt;1,P$1=""),"",SUMIFS('All Donations'!$S$2:$S$4001,'All Donations'!$R$2:$R$4001,$AD549,'All Donations'!$T$2:$T$4001,P$1))</f>
        <v/>
      </c>
      <c r="Q549" s="49">
        <f>IF(OR($AE549&lt;&gt;1,Q$1=""),"",SUMIFS('All Donations'!$S$2:$S$4001,'All Donations'!$R$2:$R$4001,$AD549,'All Donations'!$T$2:$T$4001,Q$1))</f>
        <v/>
      </c>
      <c r="R549" s="49">
        <f>IF(OR($AE549&lt;&gt;1,R$1=""),"",SUMIFS('All Donations'!$S$2:$S$4001,'All Donations'!$R$2:$R$4001,$AD549,'All Donations'!$T$2:$T$4001,R$1))</f>
        <v/>
      </c>
      <c r="S549" s="49">
        <f>IF(OR($AE549&lt;&gt;1,S$1=""),"",SUMIFS('All Donations'!$S$2:$S$4001,'All Donations'!$R$2:$R$4001,$AD549,'All Donations'!$T$2:$T$4001,S$1))</f>
        <v/>
      </c>
      <c r="T549" s="49">
        <f>IF(OR($AE549&lt;&gt;1,T$1=""),"",SUMIFS('All Donations'!$S$2:$S$4001,'All Donations'!$R$2:$R$4001,$AD549,'All Donations'!$T$2:$T$4001,T$1))</f>
        <v/>
      </c>
      <c r="U549" s="49">
        <f>IF(OR($AE549&lt;&gt;1,U$1=""),"",SUMIFS('All Donations'!$S$2:$S$4001,'All Donations'!$R$2:$R$4001,$AD549,'All Donations'!$T$2:$T$4001,U$1))</f>
        <v/>
      </c>
      <c r="V549" s="49">
        <f>IF(OR($AE549&lt;&gt;1,V$1=""),"",SUMIFS('All Donations'!$S$2:$S$4001,'All Donations'!$R$2:$R$4001,$AD549,'All Donations'!$T$2:$T$4001,V$1))</f>
        <v/>
      </c>
      <c r="W549" s="49">
        <f>IF(OR($AE549&lt;&gt;1,W$1=""),"",SUMIFS('All Donations'!$S$2:$S$4001,'All Donations'!$R$2:$R$4001,$AD549,'All Donations'!$T$2:$T$4001,W$1))</f>
        <v/>
      </c>
      <c r="X549" s="49">
        <f>IF(OR($AE549&lt;&gt;1,X$1=""),"",SUMIFS('All Donations'!$S$2:$S$4001,'All Donations'!$R$2:$R$4001,$AD549,'All Donations'!$T$2:$T$4001,X$1))</f>
        <v/>
      </c>
      <c r="Y549" s="49">
        <f>IF(OR($AE549&lt;&gt;1,Y$1=""),"",SUMIFS('All Donations'!$S$2:$S$4001,'All Donations'!$R$2:$R$4001,$AD549,'All Donations'!$T$2:$T$4001,Y$1))</f>
        <v/>
      </c>
      <c r="Z549" s="49">
        <f>IF(OR($AE549&lt;&gt;1,Z$1=""),"",SUMIFS('All Donations'!$S$2:$S$4001,'All Donations'!$R$2:$R$4001,$AD549,'All Donations'!$T$2:$T$4001,Z$1))</f>
        <v/>
      </c>
      <c r="AA549" s="49">
        <f>IF(OR($AE549&lt;&gt;1,AA$1=""),"",SUMIFS('All Donations'!$S$2:$S$4001,'All Donations'!$R$2:$R$4001,$AD549,'All Donations'!$T$2:$T$4001,AA$1))</f>
        <v/>
      </c>
      <c r="AB549" s="49">
        <f>IF(OR($AE549&lt;&gt;1,AB$1=""),"",SUMIFS('All Donations'!$S$2:$S$4001,'All Donations'!$R$2:$R$4001,$AD549,'All Donations'!$T$2:$T$4001,AB$1))</f>
        <v/>
      </c>
      <c r="AC549" s="49">
        <f>IF(OR($AE549&lt;&gt;1,AC$1=""),"",SUMIFS('All Donations'!$S$2:$S$4001,'All Donations'!$R$2:$R$4001,$AD549,'All Donations'!$T$2:$T$4001,AC$1))</f>
        <v/>
      </c>
      <c r="AD549">
        <f>IF(AE549=1,'Roster'!A549,"")</f>
        <v/>
      </c>
      <c r="AE549">
        <f>IF(TRIM('Roster'!B549&amp;'Roster'!C549)&lt;&gt;"",1,0)</f>
        <v/>
      </c>
      <c r="AF549">
        <f>IF(AE549=1,LOWER(A549),"#")</f>
        <v/>
      </c>
      <c r="AG549">
        <f>IF(AE549=1,LOWER(TRIM(TRIM('Roster'!C549)&amp;", "&amp;TRIM('Roster'!B549))),"#")</f>
        <v/>
      </c>
      <c r="AH549">
        <f>IF(AND(AE549=1,TRIM('Roster'!F549)&lt;&gt;""),LOWER(TRIM('Roster'!F549)),"#")</f>
        <v/>
      </c>
      <c r="AI549">
        <f>IF(AE549=1,IF(MATCH(B549,$B$2:$B$701,0)=ROW()-1,1,0),0)</f>
        <v/>
      </c>
      <c r="AJ549">
        <f>AJ548+AI549</f>
        <v/>
      </c>
      <c r="AK549">
        <f>IF(AE549=1,D549+(1000-ROW())/10^7,-1)</f>
        <v/>
      </c>
      <c r="AL549">
        <f>IF(AE549=1,TRIM('Roster'!B549)&amp;" "&amp;LEFT(TRIM('Roster'!C549),1)&amp;".","")</f>
        <v/>
      </c>
      <c r="AM549">
        <f>IF(AE549=1,TRIM('Roster'!C549)&amp;", "&amp;TRIM('Roster'!B549)&amp;" ("&amp;B549&amp;") #"&amp;AD549,"")</f>
        <v/>
      </c>
      <c r="AN549">
        <f>IF(AE549=1,TRIM('Roster'!E549),"")</f>
        <v/>
      </c>
      <c r="AO549">
        <f>IF(AE549=1,ROUND(SUMIFS('All Donations'!$S$2:$S$4001,'All Donations'!$R$2:$R$4001,AD549,'All Donations'!$T$2:$T$4001,"&gt;="&amp;'Settings'!$C$23,'All Donations'!$T$2:$T$4001,"&lt;="&amp;'Settings'!$D$23),2),0)</f>
        <v/>
      </c>
      <c r="AQ549">
        <f>IF(AE549=1,ROUND(SUMIFS('All Donations'!$S$2:$S$4001,'All Donations'!$R$2:$R$4001,AD549,'All Donations'!$T$2:$T$4001,"&gt;="&amp;'Settings'!$C$25,'All Donations'!$T$2:$T$4001,"&lt;="&amp;'Settings'!$D$25),2),0)</f>
        <v/>
      </c>
      <c r="AR549">
        <f>IF(AE549=1,ROUND(SUMIFS('All Donations'!$S$2:$S$4001,'All Donations'!$R$2:$R$4001,AD549,'All Donations'!$T$2:$T$4001,"&gt;="&amp;'Settings'!$C$26,'All Donations'!$T$2:$T$4001,"&lt;="&amp;'Settings'!$D$26),2),0)</f>
        <v/>
      </c>
      <c r="AS549">
        <f>IF(AE549=1,ROUND(SUMIFS('All Donations'!$S$2:$S$4001,'All Donations'!$R$2:$R$4001,AD549,'All Donations'!$T$2:$T$4001,"&lt;="&amp;'Settings'!$D$27),2),0)</f>
        <v/>
      </c>
      <c r="AT549">
        <f>IF(AE549=1,ROUND(SUMIFS('All Donations'!$S$2:$S$4001,'All Donations'!$R$2:$R$4001,AD549,'All Donations'!$T$2:$T$4001,"&gt;="&amp;'Settings'!$C$28,'All Donations'!$T$2:$T$4001,"&lt;="&amp;'Settings'!$D$28),2),0)</f>
        <v/>
      </c>
      <c r="AU549">
        <f>IF(AE549=1,ROUND(SUMIFS('All Donations'!$S$2:$S$4001,'All Donations'!$R$2:$R$4001,AD549,'All Donations'!$T$2:$T$4001,"&gt;="&amp;'Settings'!$C$29,'All Donations'!$T$2:$T$4001,"&lt;="&amp;'Settings'!$D$29),2),0)</f>
        <v/>
      </c>
      <c r="AV549">
        <f>IF(AE549=1,ROUND(SUMIFS('All Donations'!$S$2:$S$4001,'All Donations'!$R$2:$R$4001,AD549,'All Donations'!$T$2:$T$4001,"&lt;="&amp;'Settings'!$D$30),2),0)</f>
        <v/>
      </c>
      <c r="AZ549">
        <f>IF(AE549=1,ROUND(SUMIFS('All Donations'!$S$2:$S$4001,'All Donations'!$R$2:$R$4001,AD549,'All Donations'!$T$2:$T$4001,"&lt;="&amp;'Settings'!$D$34),2),0)</f>
        <v/>
      </c>
    </row>
    <row r="550">
      <c r="A550">
        <f>IF(AE550=1,TRIM(TRIM('Roster'!B550)&amp;" "&amp;TRIM('Roster'!C550)),"")</f>
        <v/>
      </c>
      <c r="B550">
        <f>IF(AE550=1,IF(AN550="","(no teacher)",AN550&amp;" – "&amp;C550),"")</f>
        <v/>
      </c>
      <c r="C550">
        <f>IF(AE550=1,TRIM('Roster'!D550&amp;""),"")</f>
        <v/>
      </c>
      <c r="D550" s="48">
        <f>IF(AE550=1,ROUND(SUMIFS('All Donations'!$S$2:$S$4001,'All Donations'!$R$2:$R$4001,AD550),2),"")</f>
        <v/>
      </c>
      <c r="E550" s="48">
        <f>IF(AE550=1,ROUND(SUMIFS('All Donations'!$S$2:$S$4001,'All Donations'!$R$2:$R$4001,AD550,'All Donations'!$G$2:$G$4001,"OneCause"),2),"")</f>
        <v/>
      </c>
      <c r="F550" s="48">
        <f>IF(AE550=1,D550-E550,"")</f>
        <v/>
      </c>
      <c r="G550">
        <f>IF(AE550=1,COUNTIFS('All Donations'!$R$2:$R$4001,AD550,'All Donations'!$H$2:$H$4001,"OK"),"")</f>
        <v/>
      </c>
      <c r="H550">
        <f>IF(AE550&lt;&gt;1,"",IF(D550&gt;0,"Yes",""))</f>
        <v/>
      </c>
      <c r="I550" s="49">
        <f>IF(OR($AE550&lt;&gt;1,I$1=""),"",SUMIFS('All Donations'!$S$2:$S$4001,'All Donations'!$R$2:$R$4001,$AD550,'All Donations'!$T$2:$T$4001,I$1))</f>
        <v/>
      </c>
      <c r="J550" s="49">
        <f>IF(OR($AE550&lt;&gt;1,J$1=""),"",SUMIFS('All Donations'!$S$2:$S$4001,'All Donations'!$R$2:$R$4001,$AD550,'All Donations'!$T$2:$T$4001,J$1))</f>
        <v/>
      </c>
      <c r="K550" s="49">
        <f>IF(OR($AE550&lt;&gt;1,K$1=""),"",SUMIFS('All Donations'!$S$2:$S$4001,'All Donations'!$R$2:$R$4001,$AD550,'All Donations'!$T$2:$T$4001,K$1))</f>
        <v/>
      </c>
      <c r="L550" s="49">
        <f>IF(OR($AE550&lt;&gt;1,L$1=""),"",SUMIFS('All Donations'!$S$2:$S$4001,'All Donations'!$R$2:$R$4001,$AD550,'All Donations'!$T$2:$T$4001,L$1))</f>
        <v/>
      </c>
      <c r="M550" s="49">
        <f>IF(OR($AE550&lt;&gt;1,M$1=""),"",SUMIFS('All Donations'!$S$2:$S$4001,'All Donations'!$R$2:$R$4001,$AD550,'All Donations'!$T$2:$T$4001,M$1))</f>
        <v/>
      </c>
      <c r="N550" s="49">
        <f>IF(OR($AE550&lt;&gt;1,N$1=""),"",SUMIFS('All Donations'!$S$2:$S$4001,'All Donations'!$R$2:$R$4001,$AD550,'All Donations'!$T$2:$T$4001,N$1))</f>
        <v/>
      </c>
      <c r="O550" s="49">
        <f>IF(OR($AE550&lt;&gt;1,O$1=""),"",SUMIFS('All Donations'!$S$2:$S$4001,'All Donations'!$R$2:$R$4001,$AD550,'All Donations'!$T$2:$T$4001,O$1))</f>
        <v/>
      </c>
      <c r="P550" s="49">
        <f>IF(OR($AE550&lt;&gt;1,P$1=""),"",SUMIFS('All Donations'!$S$2:$S$4001,'All Donations'!$R$2:$R$4001,$AD550,'All Donations'!$T$2:$T$4001,P$1))</f>
        <v/>
      </c>
      <c r="Q550" s="49">
        <f>IF(OR($AE550&lt;&gt;1,Q$1=""),"",SUMIFS('All Donations'!$S$2:$S$4001,'All Donations'!$R$2:$R$4001,$AD550,'All Donations'!$T$2:$T$4001,Q$1))</f>
        <v/>
      </c>
      <c r="R550" s="49">
        <f>IF(OR($AE550&lt;&gt;1,R$1=""),"",SUMIFS('All Donations'!$S$2:$S$4001,'All Donations'!$R$2:$R$4001,$AD550,'All Donations'!$T$2:$T$4001,R$1))</f>
        <v/>
      </c>
      <c r="S550" s="49">
        <f>IF(OR($AE550&lt;&gt;1,S$1=""),"",SUMIFS('All Donations'!$S$2:$S$4001,'All Donations'!$R$2:$R$4001,$AD550,'All Donations'!$T$2:$T$4001,S$1))</f>
        <v/>
      </c>
      <c r="T550" s="49">
        <f>IF(OR($AE550&lt;&gt;1,T$1=""),"",SUMIFS('All Donations'!$S$2:$S$4001,'All Donations'!$R$2:$R$4001,$AD550,'All Donations'!$T$2:$T$4001,T$1))</f>
        <v/>
      </c>
      <c r="U550" s="49">
        <f>IF(OR($AE550&lt;&gt;1,U$1=""),"",SUMIFS('All Donations'!$S$2:$S$4001,'All Donations'!$R$2:$R$4001,$AD550,'All Donations'!$T$2:$T$4001,U$1))</f>
        <v/>
      </c>
      <c r="V550" s="49">
        <f>IF(OR($AE550&lt;&gt;1,V$1=""),"",SUMIFS('All Donations'!$S$2:$S$4001,'All Donations'!$R$2:$R$4001,$AD550,'All Donations'!$T$2:$T$4001,V$1))</f>
        <v/>
      </c>
      <c r="W550" s="49">
        <f>IF(OR($AE550&lt;&gt;1,W$1=""),"",SUMIFS('All Donations'!$S$2:$S$4001,'All Donations'!$R$2:$R$4001,$AD550,'All Donations'!$T$2:$T$4001,W$1))</f>
        <v/>
      </c>
      <c r="X550" s="49">
        <f>IF(OR($AE550&lt;&gt;1,X$1=""),"",SUMIFS('All Donations'!$S$2:$S$4001,'All Donations'!$R$2:$R$4001,$AD550,'All Donations'!$T$2:$T$4001,X$1))</f>
        <v/>
      </c>
      <c r="Y550" s="49">
        <f>IF(OR($AE550&lt;&gt;1,Y$1=""),"",SUMIFS('All Donations'!$S$2:$S$4001,'All Donations'!$R$2:$R$4001,$AD550,'All Donations'!$T$2:$T$4001,Y$1))</f>
        <v/>
      </c>
      <c r="Z550" s="49">
        <f>IF(OR($AE550&lt;&gt;1,Z$1=""),"",SUMIFS('All Donations'!$S$2:$S$4001,'All Donations'!$R$2:$R$4001,$AD550,'All Donations'!$T$2:$T$4001,Z$1))</f>
        <v/>
      </c>
      <c r="AA550" s="49">
        <f>IF(OR($AE550&lt;&gt;1,AA$1=""),"",SUMIFS('All Donations'!$S$2:$S$4001,'All Donations'!$R$2:$R$4001,$AD550,'All Donations'!$T$2:$T$4001,AA$1))</f>
        <v/>
      </c>
      <c r="AB550" s="49">
        <f>IF(OR($AE550&lt;&gt;1,AB$1=""),"",SUMIFS('All Donations'!$S$2:$S$4001,'All Donations'!$R$2:$R$4001,$AD550,'All Donations'!$T$2:$T$4001,AB$1))</f>
        <v/>
      </c>
      <c r="AC550" s="49">
        <f>IF(OR($AE550&lt;&gt;1,AC$1=""),"",SUMIFS('All Donations'!$S$2:$S$4001,'All Donations'!$R$2:$R$4001,$AD550,'All Donations'!$T$2:$T$4001,AC$1))</f>
        <v/>
      </c>
      <c r="AD550">
        <f>IF(AE550=1,'Roster'!A550,"")</f>
        <v/>
      </c>
      <c r="AE550">
        <f>IF(TRIM('Roster'!B550&amp;'Roster'!C550)&lt;&gt;"",1,0)</f>
        <v/>
      </c>
      <c r="AF550">
        <f>IF(AE550=1,LOWER(A550),"#")</f>
        <v/>
      </c>
      <c r="AG550">
        <f>IF(AE550=1,LOWER(TRIM(TRIM('Roster'!C550)&amp;", "&amp;TRIM('Roster'!B550))),"#")</f>
        <v/>
      </c>
      <c r="AH550">
        <f>IF(AND(AE550=1,TRIM('Roster'!F550)&lt;&gt;""),LOWER(TRIM('Roster'!F550)),"#")</f>
        <v/>
      </c>
      <c r="AI550">
        <f>IF(AE550=1,IF(MATCH(B550,$B$2:$B$701,0)=ROW()-1,1,0),0)</f>
        <v/>
      </c>
      <c r="AJ550">
        <f>AJ549+AI550</f>
        <v/>
      </c>
      <c r="AK550">
        <f>IF(AE550=1,D550+(1000-ROW())/10^7,-1)</f>
        <v/>
      </c>
      <c r="AL550">
        <f>IF(AE550=1,TRIM('Roster'!B550)&amp;" "&amp;LEFT(TRIM('Roster'!C550),1)&amp;".","")</f>
        <v/>
      </c>
      <c r="AM550">
        <f>IF(AE550=1,TRIM('Roster'!C550)&amp;", "&amp;TRIM('Roster'!B550)&amp;" ("&amp;B550&amp;") #"&amp;AD550,"")</f>
        <v/>
      </c>
      <c r="AN550">
        <f>IF(AE550=1,TRIM('Roster'!E550),"")</f>
        <v/>
      </c>
      <c r="AO550">
        <f>IF(AE550=1,ROUND(SUMIFS('All Donations'!$S$2:$S$4001,'All Donations'!$R$2:$R$4001,AD550,'All Donations'!$T$2:$T$4001,"&gt;="&amp;'Settings'!$C$23,'All Donations'!$T$2:$T$4001,"&lt;="&amp;'Settings'!$D$23),2),0)</f>
        <v/>
      </c>
      <c r="AQ550">
        <f>IF(AE550=1,ROUND(SUMIFS('All Donations'!$S$2:$S$4001,'All Donations'!$R$2:$R$4001,AD550,'All Donations'!$T$2:$T$4001,"&gt;="&amp;'Settings'!$C$25,'All Donations'!$T$2:$T$4001,"&lt;="&amp;'Settings'!$D$25),2),0)</f>
        <v/>
      </c>
      <c r="AR550">
        <f>IF(AE550=1,ROUND(SUMIFS('All Donations'!$S$2:$S$4001,'All Donations'!$R$2:$R$4001,AD550,'All Donations'!$T$2:$T$4001,"&gt;="&amp;'Settings'!$C$26,'All Donations'!$T$2:$T$4001,"&lt;="&amp;'Settings'!$D$26),2),0)</f>
        <v/>
      </c>
      <c r="AS550">
        <f>IF(AE550=1,ROUND(SUMIFS('All Donations'!$S$2:$S$4001,'All Donations'!$R$2:$R$4001,AD550,'All Donations'!$T$2:$T$4001,"&lt;="&amp;'Settings'!$D$27),2),0)</f>
        <v/>
      </c>
      <c r="AT550">
        <f>IF(AE550=1,ROUND(SUMIFS('All Donations'!$S$2:$S$4001,'All Donations'!$R$2:$R$4001,AD550,'All Donations'!$T$2:$T$4001,"&gt;="&amp;'Settings'!$C$28,'All Donations'!$T$2:$T$4001,"&lt;="&amp;'Settings'!$D$28),2),0)</f>
        <v/>
      </c>
      <c r="AU550">
        <f>IF(AE550=1,ROUND(SUMIFS('All Donations'!$S$2:$S$4001,'All Donations'!$R$2:$R$4001,AD550,'All Donations'!$T$2:$T$4001,"&gt;="&amp;'Settings'!$C$29,'All Donations'!$T$2:$T$4001,"&lt;="&amp;'Settings'!$D$29),2),0)</f>
        <v/>
      </c>
      <c r="AV550">
        <f>IF(AE550=1,ROUND(SUMIFS('All Donations'!$S$2:$S$4001,'All Donations'!$R$2:$R$4001,AD550,'All Donations'!$T$2:$T$4001,"&lt;="&amp;'Settings'!$D$30),2),0)</f>
        <v/>
      </c>
      <c r="AZ550">
        <f>IF(AE550=1,ROUND(SUMIFS('All Donations'!$S$2:$S$4001,'All Donations'!$R$2:$R$4001,AD550,'All Donations'!$T$2:$T$4001,"&lt;="&amp;'Settings'!$D$34),2),0)</f>
        <v/>
      </c>
    </row>
    <row r="551">
      <c r="A551">
        <f>IF(AE551=1,TRIM(TRIM('Roster'!B551)&amp;" "&amp;TRIM('Roster'!C551)),"")</f>
        <v/>
      </c>
      <c r="B551">
        <f>IF(AE551=1,IF(AN551="","(no teacher)",AN551&amp;" – "&amp;C551),"")</f>
        <v/>
      </c>
      <c r="C551">
        <f>IF(AE551=1,TRIM('Roster'!D551&amp;""),"")</f>
        <v/>
      </c>
      <c r="D551" s="48">
        <f>IF(AE551=1,ROUND(SUMIFS('All Donations'!$S$2:$S$4001,'All Donations'!$R$2:$R$4001,AD551),2),"")</f>
        <v/>
      </c>
      <c r="E551" s="48">
        <f>IF(AE551=1,ROUND(SUMIFS('All Donations'!$S$2:$S$4001,'All Donations'!$R$2:$R$4001,AD551,'All Donations'!$G$2:$G$4001,"OneCause"),2),"")</f>
        <v/>
      </c>
      <c r="F551" s="48">
        <f>IF(AE551=1,D551-E551,"")</f>
        <v/>
      </c>
      <c r="G551">
        <f>IF(AE551=1,COUNTIFS('All Donations'!$R$2:$R$4001,AD551,'All Donations'!$H$2:$H$4001,"OK"),"")</f>
        <v/>
      </c>
      <c r="H551">
        <f>IF(AE551&lt;&gt;1,"",IF(D551&gt;0,"Yes",""))</f>
        <v/>
      </c>
      <c r="I551" s="49">
        <f>IF(OR($AE551&lt;&gt;1,I$1=""),"",SUMIFS('All Donations'!$S$2:$S$4001,'All Donations'!$R$2:$R$4001,$AD551,'All Donations'!$T$2:$T$4001,I$1))</f>
        <v/>
      </c>
      <c r="J551" s="49">
        <f>IF(OR($AE551&lt;&gt;1,J$1=""),"",SUMIFS('All Donations'!$S$2:$S$4001,'All Donations'!$R$2:$R$4001,$AD551,'All Donations'!$T$2:$T$4001,J$1))</f>
        <v/>
      </c>
      <c r="K551" s="49">
        <f>IF(OR($AE551&lt;&gt;1,K$1=""),"",SUMIFS('All Donations'!$S$2:$S$4001,'All Donations'!$R$2:$R$4001,$AD551,'All Donations'!$T$2:$T$4001,K$1))</f>
        <v/>
      </c>
      <c r="L551" s="49">
        <f>IF(OR($AE551&lt;&gt;1,L$1=""),"",SUMIFS('All Donations'!$S$2:$S$4001,'All Donations'!$R$2:$R$4001,$AD551,'All Donations'!$T$2:$T$4001,L$1))</f>
        <v/>
      </c>
      <c r="M551" s="49">
        <f>IF(OR($AE551&lt;&gt;1,M$1=""),"",SUMIFS('All Donations'!$S$2:$S$4001,'All Donations'!$R$2:$R$4001,$AD551,'All Donations'!$T$2:$T$4001,M$1))</f>
        <v/>
      </c>
      <c r="N551" s="49">
        <f>IF(OR($AE551&lt;&gt;1,N$1=""),"",SUMIFS('All Donations'!$S$2:$S$4001,'All Donations'!$R$2:$R$4001,$AD551,'All Donations'!$T$2:$T$4001,N$1))</f>
        <v/>
      </c>
      <c r="O551" s="49">
        <f>IF(OR($AE551&lt;&gt;1,O$1=""),"",SUMIFS('All Donations'!$S$2:$S$4001,'All Donations'!$R$2:$R$4001,$AD551,'All Donations'!$T$2:$T$4001,O$1))</f>
        <v/>
      </c>
      <c r="P551" s="49">
        <f>IF(OR($AE551&lt;&gt;1,P$1=""),"",SUMIFS('All Donations'!$S$2:$S$4001,'All Donations'!$R$2:$R$4001,$AD551,'All Donations'!$T$2:$T$4001,P$1))</f>
        <v/>
      </c>
      <c r="Q551" s="49">
        <f>IF(OR($AE551&lt;&gt;1,Q$1=""),"",SUMIFS('All Donations'!$S$2:$S$4001,'All Donations'!$R$2:$R$4001,$AD551,'All Donations'!$T$2:$T$4001,Q$1))</f>
        <v/>
      </c>
      <c r="R551" s="49">
        <f>IF(OR($AE551&lt;&gt;1,R$1=""),"",SUMIFS('All Donations'!$S$2:$S$4001,'All Donations'!$R$2:$R$4001,$AD551,'All Donations'!$T$2:$T$4001,R$1))</f>
        <v/>
      </c>
      <c r="S551" s="49">
        <f>IF(OR($AE551&lt;&gt;1,S$1=""),"",SUMIFS('All Donations'!$S$2:$S$4001,'All Donations'!$R$2:$R$4001,$AD551,'All Donations'!$T$2:$T$4001,S$1))</f>
        <v/>
      </c>
      <c r="T551" s="49">
        <f>IF(OR($AE551&lt;&gt;1,T$1=""),"",SUMIFS('All Donations'!$S$2:$S$4001,'All Donations'!$R$2:$R$4001,$AD551,'All Donations'!$T$2:$T$4001,T$1))</f>
        <v/>
      </c>
      <c r="U551" s="49">
        <f>IF(OR($AE551&lt;&gt;1,U$1=""),"",SUMIFS('All Donations'!$S$2:$S$4001,'All Donations'!$R$2:$R$4001,$AD551,'All Donations'!$T$2:$T$4001,U$1))</f>
        <v/>
      </c>
      <c r="V551" s="49">
        <f>IF(OR($AE551&lt;&gt;1,V$1=""),"",SUMIFS('All Donations'!$S$2:$S$4001,'All Donations'!$R$2:$R$4001,$AD551,'All Donations'!$T$2:$T$4001,V$1))</f>
        <v/>
      </c>
      <c r="W551" s="49">
        <f>IF(OR($AE551&lt;&gt;1,W$1=""),"",SUMIFS('All Donations'!$S$2:$S$4001,'All Donations'!$R$2:$R$4001,$AD551,'All Donations'!$T$2:$T$4001,W$1))</f>
        <v/>
      </c>
      <c r="X551" s="49">
        <f>IF(OR($AE551&lt;&gt;1,X$1=""),"",SUMIFS('All Donations'!$S$2:$S$4001,'All Donations'!$R$2:$R$4001,$AD551,'All Donations'!$T$2:$T$4001,X$1))</f>
        <v/>
      </c>
      <c r="Y551" s="49">
        <f>IF(OR($AE551&lt;&gt;1,Y$1=""),"",SUMIFS('All Donations'!$S$2:$S$4001,'All Donations'!$R$2:$R$4001,$AD551,'All Donations'!$T$2:$T$4001,Y$1))</f>
        <v/>
      </c>
      <c r="Z551" s="49">
        <f>IF(OR($AE551&lt;&gt;1,Z$1=""),"",SUMIFS('All Donations'!$S$2:$S$4001,'All Donations'!$R$2:$R$4001,$AD551,'All Donations'!$T$2:$T$4001,Z$1))</f>
        <v/>
      </c>
      <c r="AA551" s="49">
        <f>IF(OR($AE551&lt;&gt;1,AA$1=""),"",SUMIFS('All Donations'!$S$2:$S$4001,'All Donations'!$R$2:$R$4001,$AD551,'All Donations'!$T$2:$T$4001,AA$1))</f>
        <v/>
      </c>
      <c r="AB551" s="49">
        <f>IF(OR($AE551&lt;&gt;1,AB$1=""),"",SUMIFS('All Donations'!$S$2:$S$4001,'All Donations'!$R$2:$R$4001,$AD551,'All Donations'!$T$2:$T$4001,AB$1))</f>
        <v/>
      </c>
      <c r="AC551" s="49">
        <f>IF(OR($AE551&lt;&gt;1,AC$1=""),"",SUMIFS('All Donations'!$S$2:$S$4001,'All Donations'!$R$2:$R$4001,$AD551,'All Donations'!$T$2:$T$4001,AC$1))</f>
        <v/>
      </c>
      <c r="AD551">
        <f>IF(AE551=1,'Roster'!A551,"")</f>
        <v/>
      </c>
      <c r="AE551">
        <f>IF(TRIM('Roster'!B551&amp;'Roster'!C551)&lt;&gt;"",1,0)</f>
        <v/>
      </c>
      <c r="AF551">
        <f>IF(AE551=1,LOWER(A551),"#")</f>
        <v/>
      </c>
      <c r="AG551">
        <f>IF(AE551=1,LOWER(TRIM(TRIM('Roster'!C551)&amp;", "&amp;TRIM('Roster'!B551))),"#")</f>
        <v/>
      </c>
      <c r="AH551">
        <f>IF(AND(AE551=1,TRIM('Roster'!F551)&lt;&gt;""),LOWER(TRIM('Roster'!F551)),"#")</f>
        <v/>
      </c>
      <c r="AI551">
        <f>IF(AE551=1,IF(MATCH(B551,$B$2:$B$701,0)=ROW()-1,1,0),0)</f>
        <v/>
      </c>
      <c r="AJ551">
        <f>AJ550+AI551</f>
        <v/>
      </c>
      <c r="AK551">
        <f>IF(AE551=1,D551+(1000-ROW())/10^7,-1)</f>
        <v/>
      </c>
      <c r="AL551">
        <f>IF(AE551=1,TRIM('Roster'!B551)&amp;" "&amp;LEFT(TRIM('Roster'!C551),1)&amp;".","")</f>
        <v/>
      </c>
      <c r="AM551">
        <f>IF(AE551=1,TRIM('Roster'!C551)&amp;", "&amp;TRIM('Roster'!B551)&amp;" ("&amp;B551&amp;") #"&amp;AD551,"")</f>
        <v/>
      </c>
      <c r="AN551">
        <f>IF(AE551=1,TRIM('Roster'!E551),"")</f>
        <v/>
      </c>
      <c r="AO551">
        <f>IF(AE551=1,ROUND(SUMIFS('All Donations'!$S$2:$S$4001,'All Donations'!$R$2:$R$4001,AD551,'All Donations'!$T$2:$T$4001,"&gt;="&amp;'Settings'!$C$23,'All Donations'!$T$2:$T$4001,"&lt;="&amp;'Settings'!$D$23),2),0)</f>
        <v/>
      </c>
      <c r="AQ551">
        <f>IF(AE551=1,ROUND(SUMIFS('All Donations'!$S$2:$S$4001,'All Donations'!$R$2:$R$4001,AD551,'All Donations'!$T$2:$T$4001,"&gt;="&amp;'Settings'!$C$25,'All Donations'!$T$2:$T$4001,"&lt;="&amp;'Settings'!$D$25),2),0)</f>
        <v/>
      </c>
      <c r="AR551">
        <f>IF(AE551=1,ROUND(SUMIFS('All Donations'!$S$2:$S$4001,'All Donations'!$R$2:$R$4001,AD551,'All Donations'!$T$2:$T$4001,"&gt;="&amp;'Settings'!$C$26,'All Donations'!$T$2:$T$4001,"&lt;="&amp;'Settings'!$D$26),2),0)</f>
        <v/>
      </c>
      <c r="AS551">
        <f>IF(AE551=1,ROUND(SUMIFS('All Donations'!$S$2:$S$4001,'All Donations'!$R$2:$R$4001,AD551,'All Donations'!$T$2:$T$4001,"&lt;="&amp;'Settings'!$D$27),2),0)</f>
        <v/>
      </c>
      <c r="AT551">
        <f>IF(AE551=1,ROUND(SUMIFS('All Donations'!$S$2:$S$4001,'All Donations'!$R$2:$R$4001,AD551,'All Donations'!$T$2:$T$4001,"&gt;="&amp;'Settings'!$C$28,'All Donations'!$T$2:$T$4001,"&lt;="&amp;'Settings'!$D$28),2),0)</f>
        <v/>
      </c>
      <c r="AU551">
        <f>IF(AE551=1,ROUND(SUMIFS('All Donations'!$S$2:$S$4001,'All Donations'!$R$2:$R$4001,AD551,'All Donations'!$T$2:$T$4001,"&gt;="&amp;'Settings'!$C$29,'All Donations'!$T$2:$T$4001,"&lt;="&amp;'Settings'!$D$29),2),0)</f>
        <v/>
      </c>
      <c r="AV551">
        <f>IF(AE551=1,ROUND(SUMIFS('All Donations'!$S$2:$S$4001,'All Donations'!$R$2:$R$4001,AD551,'All Donations'!$T$2:$T$4001,"&lt;="&amp;'Settings'!$D$30),2),0)</f>
        <v/>
      </c>
      <c r="AZ551">
        <f>IF(AE551=1,ROUND(SUMIFS('All Donations'!$S$2:$S$4001,'All Donations'!$R$2:$R$4001,AD551,'All Donations'!$T$2:$T$4001,"&lt;="&amp;'Settings'!$D$34),2),0)</f>
        <v/>
      </c>
    </row>
    <row r="552">
      <c r="A552">
        <f>IF(AE552=1,TRIM(TRIM('Roster'!B552)&amp;" "&amp;TRIM('Roster'!C552)),"")</f>
        <v/>
      </c>
      <c r="B552">
        <f>IF(AE552=1,IF(AN552="","(no teacher)",AN552&amp;" – "&amp;C552),"")</f>
        <v/>
      </c>
      <c r="C552">
        <f>IF(AE552=1,TRIM('Roster'!D552&amp;""),"")</f>
        <v/>
      </c>
      <c r="D552" s="48">
        <f>IF(AE552=1,ROUND(SUMIFS('All Donations'!$S$2:$S$4001,'All Donations'!$R$2:$R$4001,AD552),2),"")</f>
        <v/>
      </c>
      <c r="E552" s="48">
        <f>IF(AE552=1,ROUND(SUMIFS('All Donations'!$S$2:$S$4001,'All Donations'!$R$2:$R$4001,AD552,'All Donations'!$G$2:$G$4001,"OneCause"),2),"")</f>
        <v/>
      </c>
      <c r="F552" s="48">
        <f>IF(AE552=1,D552-E552,"")</f>
        <v/>
      </c>
      <c r="G552">
        <f>IF(AE552=1,COUNTIFS('All Donations'!$R$2:$R$4001,AD552,'All Donations'!$H$2:$H$4001,"OK"),"")</f>
        <v/>
      </c>
      <c r="H552">
        <f>IF(AE552&lt;&gt;1,"",IF(D552&gt;0,"Yes",""))</f>
        <v/>
      </c>
      <c r="I552" s="49">
        <f>IF(OR($AE552&lt;&gt;1,I$1=""),"",SUMIFS('All Donations'!$S$2:$S$4001,'All Donations'!$R$2:$R$4001,$AD552,'All Donations'!$T$2:$T$4001,I$1))</f>
        <v/>
      </c>
      <c r="J552" s="49">
        <f>IF(OR($AE552&lt;&gt;1,J$1=""),"",SUMIFS('All Donations'!$S$2:$S$4001,'All Donations'!$R$2:$R$4001,$AD552,'All Donations'!$T$2:$T$4001,J$1))</f>
        <v/>
      </c>
      <c r="K552" s="49">
        <f>IF(OR($AE552&lt;&gt;1,K$1=""),"",SUMIFS('All Donations'!$S$2:$S$4001,'All Donations'!$R$2:$R$4001,$AD552,'All Donations'!$T$2:$T$4001,K$1))</f>
        <v/>
      </c>
      <c r="L552" s="49">
        <f>IF(OR($AE552&lt;&gt;1,L$1=""),"",SUMIFS('All Donations'!$S$2:$S$4001,'All Donations'!$R$2:$R$4001,$AD552,'All Donations'!$T$2:$T$4001,L$1))</f>
        <v/>
      </c>
      <c r="M552" s="49">
        <f>IF(OR($AE552&lt;&gt;1,M$1=""),"",SUMIFS('All Donations'!$S$2:$S$4001,'All Donations'!$R$2:$R$4001,$AD552,'All Donations'!$T$2:$T$4001,M$1))</f>
        <v/>
      </c>
      <c r="N552" s="49">
        <f>IF(OR($AE552&lt;&gt;1,N$1=""),"",SUMIFS('All Donations'!$S$2:$S$4001,'All Donations'!$R$2:$R$4001,$AD552,'All Donations'!$T$2:$T$4001,N$1))</f>
        <v/>
      </c>
      <c r="O552" s="49">
        <f>IF(OR($AE552&lt;&gt;1,O$1=""),"",SUMIFS('All Donations'!$S$2:$S$4001,'All Donations'!$R$2:$R$4001,$AD552,'All Donations'!$T$2:$T$4001,O$1))</f>
        <v/>
      </c>
      <c r="P552" s="49">
        <f>IF(OR($AE552&lt;&gt;1,P$1=""),"",SUMIFS('All Donations'!$S$2:$S$4001,'All Donations'!$R$2:$R$4001,$AD552,'All Donations'!$T$2:$T$4001,P$1))</f>
        <v/>
      </c>
      <c r="Q552" s="49">
        <f>IF(OR($AE552&lt;&gt;1,Q$1=""),"",SUMIFS('All Donations'!$S$2:$S$4001,'All Donations'!$R$2:$R$4001,$AD552,'All Donations'!$T$2:$T$4001,Q$1))</f>
        <v/>
      </c>
      <c r="R552" s="49">
        <f>IF(OR($AE552&lt;&gt;1,R$1=""),"",SUMIFS('All Donations'!$S$2:$S$4001,'All Donations'!$R$2:$R$4001,$AD552,'All Donations'!$T$2:$T$4001,R$1))</f>
        <v/>
      </c>
      <c r="S552" s="49">
        <f>IF(OR($AE552&lt;&gt;1,S$1=""),"",SUMIFS('All Donations'!$S$2:$S$4001,'All Donations'!$R$2:$R$4001,$AD552,'All Donations'!$T$2:$T$4001,S$1))</f>
        <v/>
      </c>
      <c r="T552" s="49">
        <f>IF(OR($AE552&lt;&gt;1,T$1=""),"",SUMIFS('All Donations'!$S$2:$S$4001,'All Donations'!$R$2:$R$4001,$AD552,'All Donations'!$T$2:$T$4001,T$1))</f>
        <v/>
      </c>
      <c r="U552" s="49">
        <f>IF(OR($AE552&lt;&gt;1,U$1=""),"",SUMIFS('All Donations'!$S$2:$S$4001,'All Donations'!$R$2:$R$4001,$AD552,'All Donations'!$T$2:$T$4001,U$1))</f>
        <v/>
      </c>
      <c r="V552" s="49">
        <f>IF(OR($AE552&lt;&gt;1,V$1=""),"",SUMIFS('All Donations'!$S$2:$S$4001,'All Donations'!$R$2:$R$4001,$AD552,'All Donations'!$T$2:$T$4001,V$1))</f>
        <v/>
      </c>
      <c r="W552" s="49">
        <f>IF(OR($AE552&lt;&gt;1,W$1=""),"",SUMIFS('All Donations'!$S$2:$S$4001,'All Donations'!$R$2:$R$4001,$AD552,'All Donations'!$T$2:$T$4001,W$1))</f>
        <v/>
      </c>
      <c r="X552" s="49">
        <f>IF(OR($AE552&lt;&gt;1,X$1=""),"",SUMIFS('All Donations'!$S$2:$S$4001,'All Donations'!$R$2:$R$4001,$AD552,'All Donations'!$T$2:$T$4001,X$1))</f>
        <v/>
      </c>
      <c r="Y552" s="49">
        <f>IF(OR($AE552&lt;&gt;1,Y$1=""),"",SUMIFS('All Donations'!$S$2:$S$4001,'All Donations'!$R$2:$R$4001,$AD552,'All Donations'!$T$2:$T$4001,Y$1))</f>
        <v/>
      </c>
      <c r="Z552" s="49">
        <f>IF(OR($AE552&lt;&gt;1,Z$1=""),"",SUMIFS('All Donations'!$S$2:$S$4001,'All Donations'!$R$2:$R$4001,$AD552,'All Donations'!$T$2:$T$4001,Z$1))</f>
        <v/>
      </c>
      <c r="AA552" s="49">
        <f>IF(OR($AE552&lt;&gt;1,AA$1=""),"",SUMIFS('All Donations'!$S$2:$S$4001,'All Donations'!$R$2:$R$4001,$AD552,'All Donations'!$T$2:$T$4001,AA$1))</f>
        <v/>
      </c>
      <c r="AB552" s="49">
        <f>IF(OR($AE552&lt;&gt;1,AB$1=""),"",SUMIFS('All Donations'!$S$2:$S$4001,'All Donations'!$R$2:$R$4001,$AD552,'All Donations'!$T$2:$T$4001,AB$1))</f>
        <v/>
      </c>
      <c r="AC552" s="49">
        <f>IF(OR($AE552&lt;&gt;1,AC$1=""),"",SUMIFS('All Donations'!$S$2:$S$4001,'All Donations'!$R$2:$R$4001,$AD552,'All Donations'!$T$2:$T$4001,AC$1))</f>
        <v/>
      </c>
      <c r="AD552">
        <f>IF(AE552=1,'Roster'!A552,"")</f>
        <v/>
      </c>
      <c r="AE552">
        <f>IF(TRIM('Roster'!B552&amp;'Roster'!C552)&lt;&gt;"",1,0)</f>
        <v/>
      </c>
      <c r="AF552">
        <f>IF(AE552=1,LOWER(A552),"#")</f>
        <v/>
      </c>
      <c r="AG552">
        <f>IF(AE552=1,LOWER(TRIM(TRIM('Roster'!C552)&amp;", "&amp;TRIM('Roster'!B552))),"#")</f>
        <v/>
      </c>
      <c r="AH552">
        <f>IF(AND(AE552=1,TRIM('Roster'!F552)&lt;&gt;""),LOWER(TRIM('Roster'!F552)),"#")</f>
        <v/>
      </c>
      <c r="AI552">
        <f>IF(AE552=1,IF(MATCH(B552,$B$2:$B$701,0)=ROW()-1,1,0),0)</f>
        <v/>
      </c>
      <c r="AJ552">
        <f>AJ551+AI552</f>
        <v/>
      </c>
      <c r="AK552">
        <f>IF(AE552=1,D552+(1000-ROW())/10^7,-1)</f>
        <v/>
      </c>
      <c r="AL552">
        <f>IF(AE552=1,TRIM('Roster'!B552)&amp;" "&amp;LEFT(TRIM('Roster'!C552),1)&amp;".","")</f>
        <v/>
      </c>
      <c r="AM552">
        <f>IF(AE552=1,TRIM('Roster'!C552)&amp;", "&amp;TRIM('Roster'!B552)&amp;" ("&amp;B552&amp;") #"&amp;AD552,"")</f>
        <v/>
      </c>
      <c r="AN552">
        <f>IF(AE552=1,TRIM('Roster'!E552),"")</f>
        <v/>
      </c>
      <c r="AO552">
        <f>IF(AE552=1,ROUND(SUMIFS('All Donations'!$S$2:$S$4001,'All Donations'!$R$2:$R$4001,AD552,'All Donations'!$T$2:$T$4001,"&gt;="&amp;'Settings'!$C$23,'All Donations'!$T$2:$T$4001,"&lt;="&amp;'Settings'!$D$23),2),0)</f>
        <v/>
      </c>
      <c r="AQ552">
        <f>IF(AE552=1,ROUND(SUMIFS('All Donations'!$S$2:$S$4001,'All Donations'!$R$2:$R$4001,AD552,'All Donations'!$T$2:$T$4001,"&gt;="&amp;'Settings'!$C$25,'All Donations'!$T$2:$T$4001,"&lt;="&amp;'Settings'!$D$25),2),0)</f>
        <v/>
      </c>
      <c r="AR552">
        <f>IF(AE552=1,ROUND(SUMIFS('All Donations'!$S$2:$S$4001,'All Donations'!$R$2:$R$4001,AD552,'All Donations'!$T$2:$T$4001,"&gt;="&amp;'Settings'!$C$26,'All Donations'!$T$2:$T$4001,"&lt;="&amp;'Settings'!$D$26),2),0)</f>
        <v/>
      </c>
      <c r="AS552">
        <f>IF(AE552=1,ROUND(SUMIFS('All Donations'!$S$2:$S$4001,'All Donations'!$R$2:$R$4001,AD552,'All Donations'!$T$2:$T$4001,"&lt;="&amp;'Settings'!$D$27),2),0)</f>
        <v/>
      </c>
      <c r="AT552">
        <f>IF(AE552=1,ROUND(SUMIFS('All Donations'!$S$2:$S$4001,'All Donations'!$R$2:$R$4001,AD552,'All Donations'!$T$2:$T$4001,"&gt;="&amp;'Settings'!$C$28,'All Donations'!$T$2:$T$4001,"&lt;="&amp;'Settings'!$D$28),2),0)</f>
        <v/>
      </c>
      <c r="AU552">
        <f>IF(AE552=1,ROUND(SUMIFS('All Donations'!$S$2:$S$4001,'All Donations'!$R$2:$R$4001,AD552,'All Donations'!$T$2:$T$4001,"&gt;="&amp;'Settings'!$C$29,'All Donations'!$T$2:$T$4001,"&lt;="&amp;'Settings'!$D$29),2),0)</f>
        <v/>
      </c>
      <c r="AV552">
        <f>IF(AE552=1,ROUND(SUMIFS('All Donations'!$S$2:$S$4001,'All Donations'!$R$2:$R$4001,AD552,'All Donations'!$T$2:$T$4001,"&lt;="&amp;'Settings'!$D$30),2),0)</f>
        <v/>
      </c>
      <c r="AZ552">
        <f>IF(AE552=1,ROUND(SUMIFS('All Donations'!$S$2:$S$4001,'All Donations'!$R$2:$R$4001,AD552,'All Donations'!$T$2:$T$4001,"&lt;="&amp;'Settings'!$D$34),2),0)</f>
        <v/>
      </c>
    </row>
    <row r="553">
      <c r="A553">
        <f>IF(AE553=1,TRIM(TRIM('Roster'!B553)&amp;" "&amp;TRIM('Roster'!C553)),"")</f>
        <v/>
      </c>
      <c r="B553">
        <f>IF(AE553=1,IF(AN553="","(no teacher)",AN553&amp;" – "&amp;C553),"")</f>
        <v/>
      </c>
      <c r="C553">
        <f>IF(AE553=1,TRIM('Roster'!D553&amp;""),"")</f>
        <v/>
      </c>
      <c r="D553" s="48">
        <f>IF(AE553=1,ROUND(SUMIFS('All Donations'!$S$2:$S$4001,'All Donations'!$R$2:$R$4001,AD553),2),"")</f>
        <v/>
      </c>
      <c r="E553" s="48">
        <f>IF(AE553=1,ROUND(SUMIFS('All Donations'!$S$2:$S$4001,'All Donations'!$R$2:$R$4001,AD553,'All Donations'!$G$2:$G$4001,"OneCause"),2),"")</f>
        <v/>
      </c>
      <c r="F553" s="48">
        <f>IF(AE553=1,D553-E553,"")</f>
        <v/>
      </c>
      <c r="G553">
        <f>IF(AE553=1,COUNTIFS('All Donations'!$R$2:$R$4001,AD553,'All Donations'!$H$2:$H$4001,"OK"),"")</f>
        <v/>
      </c>
      <c r="H553">
        <f>IF(AE553&lt;&gt;1,"",IF(D553&gt;0,"Yes",""))</f>
        <v/>
      </c>
      <c r="I553" s="49">
        <f>IF(OR($AE553&lt;&gt;1,I$1=""),"",SUMIFS('All Donations'!$S$2:$S$4001,'All Donations'!$R$2:$R$4001,$AD553,'All Donations'!$T$2:$T$4001,I$1))</f>
        <v/>
      </c>
      <c r="J553" s="49">
        <f>IF(OR($AE553&lt;&gt;1,J$1=""),"",SUMIFS('All Donations'!$S$2:$S$4001,'All Donations'!$R$2:$R$4001,$AD553,'All Donations'!$T$2:$T$4001,J$1))</f>
        <v/>
      </c>
      <c r="K553" s="49">
        <f>IF(OR($AE553&lt;&gt;1,K$1=""),"",SUMIFS('All Donations'!$S$2:$S$4001,'All Donations'!$R$2:$R$4001,$AD553,'All Donations'!$T$2:$T$4001,K$1))</f>
        <v/>
      </c>
      <c r="L553" s="49">
        <f>IF(OR($AE553&lt;&gt;1,L$1=""),"",SUMIFS('All Donations'!$S$2:$S$4001,'All Donations'!$R$2:$R$4001,$AD553,'All Donations'!$T$2:$T$4001,L$1))</f>
        <v/>
      </c>
      <c r="M553" s="49">
        <f>IF(OR($AE553&lt;&gt;1,M$1=""),"",SUMIFS('All Donations'!$S$2:$S$4001,'All Donations'!$R$2:$R$4001,$AD553,'All Donations'!$T$2:$T$4001,M$1))</f>
        <v/>
      </c>
      <c r="N553" s="49">
        <f>IF(OR($AE553&lt;&gt;1,N$1=""),"",SUMIFS('All Donations'!$S$2:$S$4001,'All Donations'!$R$2:$R$4001,$AD553,'All Donations'!$T$2:$T$4001,N$1))</f>
        <v/>
      </c>
      <c r="O553" s="49">
        <f>IF(OR($AE553&lt;&gt;1,O$1=""),"",SUMIFS('All Donations'!$S$2:$S$4001,'All Donations'!$R$2:$R$4001,$AD553,'All Donations'!$T$2:$T$4001,O$1))</f>
        <v/>
      </c>
      <c r="P553" s="49">
        <f>IF(OR($AE553&lt;&gt;1,P$1=""),"",SUMIFS('All Donations'!$S$2:$S$4001,'All Donations'!$R$2:$R$4001,$AD553,'All Donations'!$T$2:$T$4001,P$1))</f>
        <v/>
      </c>
      <c r="Q553" s="49">
        <f>IF(OR($AE553&lt;&gt;1,Q$1=""),"",SUMIFS('All Donations'!$S$2:$S$4001,'All Donations'!$R$2:$R$4001,$AD553,'All Donations'!$T$2:$T$4001,Q$1))</f>
        <v/>
      </c>
      <c r="R553" s="49">
        <f>IF(OR($AE553&lt;&gt;1,R$1=""),"",SUMIFS('All Donations'!$S$2:$S$4001,'All Donations'!$R$2:$R$4001,$AD553,'All Donations'!$T$2:$T$4001,R$1))</f>
        <v/>
      </c>
      <c r="S553" s="49">
        <f>IF(OR($AE553&lt;&gt;1,S$1=""),"",SUMIFS('All Donations'!$S$2:$S$4001,'All Donations'!$R$2:$R$4001,$AD553,'All Donations'!$T$2:$T$4001,S$1))</f>
        <v/>
      </c>
      <c r="T553" s="49">
        <f>IF(OR($AE553&lt;&gt;1,T$1=""),"",SUMIFS('All Donations'!$S$2:$S$4001,'All Donations'!$R$2:$R$4001,$AD553,'All Donations'!$T$2:$T$4001,T$1))</f>
        <v/>
      </c>
      <c r="U553" s="49">
        <f>IF(OR($AE553&lt;&gt;1,U$1=""),"",SUMIFS('All Donations'!$S$2:$S$4001,'All Donations'!$R$2:$R$4001,$AD553,'All Donations'!$T$2:$T$4001,U$1))</f>
        <v/>
      </c>
      <c r="V553" s="49">
        <f>IF(OR($AE553&lt;&gt;1,V$1=""),"",SUMIFS('All Donations'!$S$2:$S$4001,'All Donations'!$R$2:$R$4001,$AD553,'All Donations'!$T$2:$T$4001,V$1))</f>
        <v/>
      </c>
      <c r="W553" s="49">
        <f>IF(OR($AE553&lt;&gt;1,W$1=""),"",SUMIFS('All Donations'!$S$2:$S$4001,'All Donations'!$R$2:$R$4001,$AD553,'All Donations'!$T$2:$T$4001,W$1))</f>
        <v/>
      </c>
      <c r="X553" s="49">
        <f>IF(OR($AE553&lt;&gt;1,X$1=""),"",SUMIFS('All Donations'!$S$2:$S$4001,'All Donations'!$R$2:$R$4001,$AD553,'All Donations'!$T$2:$T$4001,X$1))</f>
        <v/>
      </c>
      <c r="Y553" s="49">
        <f>IF(OR($AE553&lt;&gt;1,Y$1=""),"",SUMIFS('All Donations'!$S$2:$S$4001,'All Donations'!$R$2:$R$4001,$AD553,'All Donations'!$T$2:$T$4001,Y$1))</f>
        <v/>
      </c>
      <c r="Z553" s="49">
        <f>IF(OR($AE553&lt;&gt;1,Z$1=""),"",SUMIFS('All Donations'!$S$2:$S$4001,'All Donations'!$R$2:$R$4001,$AD553,'All Donations'!$T$2:$T$4001,Z$1))</f>
        <v/>
      </c>
      <c r="AA553" s="49">
        <f>IF(OR($AE553&lt;&gt;1,AA$1=""),"",SUMIFS('All Donations'!$S$2:$S$4001,'All Donations'!$R$2:$R$4001,$AD553,'All Donations'!$T$2:$T$4001,AA$1))</f>
        <v/>
      </c>
      <c r="AB553" s="49">
        <f>IF(OR($AE553&lt;&gt;1,AB$1=""),"",SUMIFS('All Donations'!$S$2:$S$4001,'All Donations'!$R$2:$R$4001,$AD553,'All Donations'!$T$2:$T$4001,AB$1))</f>
        <v/>
      </c>
      <c r="AC553" s="49">
        <f>IF(OR($AE553&lt;&gt;1,AC$1=""),"",SUMIFS('All Donations'!$S$2:$S$4001,'All Donations'!$R$2:$R$4001,$AD553,'All Donations'!$T$2:$T$4001,AC$1))</f>
        <v/>
      </c>
      <c r="AD553">
        <f>IF(AE553=1,'Roster'!A553,"")</f>
        <v/>
      </c>
      <c r="AE553">
        <f>IF(TRIM('Roster'!B553&amp;'Roster'!C553)&lt;&gt;"",1,0)</f>
        <v/>
      </c>
      <c r="AF553">
        <f>IF(AE553=1,LOWER(A553),"#")</f>
        <v/>
      </c>
      <c r="AG553">
        <f>IF(AE553=1,LOWER(TRIM(TRIM('Roster'!C553)&amp;", "&amp;TRIM('Roster'!B553))),"#")</f>
        <v/>
      </c>
      <c r="AH553">
        <f>IF(AND(AE553=1,TRIM('Roster'!F553)&lt;&gt;""),LOWER(TRIM('Roster'!F553)),"#")</f>
        <v/>
      </c>
      <c r="AI553">
        <f>IF(AE553=1,IF(MATCH(B553,$B$2:$B$701,0)=ROW()-1,1,0),0)</f>
        <v/>
      </c>
      <c r="AJ553">
        <f>AJ552+AI553</f>
        <v/>
      </c>
      <c r="AK553">
        <f>IF(AE553=1,D553+(1000-ROW())/10^7,-1)</f>
        <v/>
      </c>
      <c r="AL553">
        <f>IF(AE553=1,TRIM('Roster'!B553)&amp;" "&amp;LEFT(TRIM('Roster'!C553),1)&amp;".","")</f>
        <v/>
      </c>
      <c r="AM553">
        <f>IF(AE553=1,TRIM('Roster'!C553)&amp;", "&amp;TRIM('Roster'!B553)&amp;" ("&amp;B553&amp;") #"&amp;AD553,"")</f>
        <v/>
      </c>
      <c r="AN553">
        <f>IF(AE553=1,TRIM('Roster'!E553),"")</f>
        <v/>
      </c>
      <c r="AO553">
        <f>IF(AE553=1,ROUND(SUMIFS('All Donations'!$S$2:$S$4001,'All Donations'!$R$2:$R$4001,AD553,'All Donations'!$T$2:$T$4001,"&gt;="&amp;'Settings'!$C$23,'All Donations'!$T$2:$T$4001,"&lt;="&amp;'Settings'!$D$23),2),0)</f>
        <v/>
      </c>
      <c r="AQ553">
        <f>IF(AE553=1,ROUND(SUMIFS('All Donations'!$S$2:$S$4001,'All Donations'!$R$2:$R$4001,AD553,'All Donations'!$T$2:$T$4001,"&gt;="&amp;'Settings'!$C$25,'All Donations'!$T$2:$T$4001,"&lt;="&amp;'Settings'!$D$25),2),0)</f>
        <v/>
      </c>
      <c r="AR553">
        <f>IF(AE553=1,ROUND(SUMIFS('All Donations'!$S$2:$S$4001,'All Donations'!$R$2:$R$4001,AD553,'All Donations'!$T$2:$T$4001,"&gt;="&amp;'Settings'!$C$26,'All Donations'!$T$2:$T$4001,"&lt;="&amp;'Settings'!$D$26),2),0)</f>
        <v/>
      </c>
      <c r="AS553">
        <f>IF(AE553=1,ROUND(SUMIFS('All Donations'!$S$2:$S$4001,'All Donations'!$R$2:$R$4001,AD553,'All Donations'!$T$2:$T$4001,"&lt;="&amp;'Settings'!$D$27),2),0)</f>
        <v/>
      </c>
      <c r="AT553">
        <f>IF(AE553=1,ROUND(SUMIFS('All Donations'!$S$2:$S$4001,'All Donations'!$R$2:$R$4001,AD553,'All Donations'!$T$2:$T$4001,"&gt;="&amp;'Settings'!$C$28,'All Donations'!$T$2:$T$4001,"&lt;="&amp;'Settings'!$D$28),2),0)</f>
        <v/>
      </c>
      <c r="AU553">
        <f>IF(AE553=1,ROUND(SUMIFS('All Donations'!$S$2:$S$4001,'All Donations'!$R$2:$R$4001,AD553,'All Donations'!$T$2:$T$4001,"&gt;="&amp;'Settings'!$C$29,'All Donations'!$T$2:$T$4001,"&lt;="&amp;'Settings'!$D$29),2),0)</f>
        <v/>
      </c>
      <c r="AV553">
        <f>IF(AE553=1,ROUND(SUMIFS('All Donations'!$S$2:$S$4001,'All Donations'!$R$2:$R$4001,AD553,'All Donations'!$T$2:$T$4001,"&lt;="&amp;'Settings'!$D$30),2),0)</f>
        <v/>
      </c>
      <c r="AZ553">
        <f>IF(AE553=1,ROUND(SUMIFS('All Donations'!$S$2:$S$4001,'All Donations'!$R$2:$R$4001,AD553,'All Donations'!$T$2:$T$4001,"&lt;="&amp;'Settings'!$D$34),2),0)</f>
        <v/>
      </c>
    </row>
    <row r="554">
      <c r="A554">
        <f>IF(AE554=1,TRIM(TRIM('Roster'!B554)&amp;" "&amp;TRIM('Roster'!C554)),"")</f>
        <v/>
      </c>
      <c r="B554">
        <f>IF(AE554=1,IF(AN554="","(no teacher)",AN554&amp;" – "&amp;C554),"")</f>
        <v/>
      </c>
      <c r="C554">
        <f>IF(AE554=1,TRIM('Roster'!D554&amp;""),"")</f>
        <v/>
      </c>
      <c r="D554" s="48">
        <f>IF(AE554=1,ROUND(SUMIFS('All Donations'!$S$2:$S$4001,'All Donations'!$R$2:$R$4001,AD554),2),"")</f>
        <v/>
      </c>
      <c r="E554" s="48">
        <f>IF(AE554=1,ROUND(SUMIFS('All Donations'!$S$2:$S$4001,'All Donations'!$R$2:$R$4001,AD554,'All Donations'!$G$2:$G$4001,"OneCause"),2),"")</f>
        <v/>
      </c>
      <c r="F554" s="48">
        <f>IF(AE554=1,D554-E554,"")</f>
        <v/>
      </c>
      <c r="G554">
        <f>IF(AE554=1,COUNTIFS('All Donations'!$R$2:$R$4001,AD554,'All Donations'!$H$2:$H$4001,"OK"),"")</f>
        <v/>
      </c>
      <c r="H554">
        <f>IF(AE554&lt;&gt;1,"",IF(D554&gt;0,"Yes",""))</f>
        <v/>
      </c>
      <c r="I554" s="49">
        <f>IF(OR($AE554&lt;&gt;1,I$1=""),"",SUMIFS('All Donations'!$S$2:$S$4001,'All Donations'!$R$2:$R$4001,$AD554,'All Donations'!$T$2:$T$4001,I$1))</f>
        <v/>
      </c>
      <c r="J554" s="49">
        <f>IF(OR($AE554&lt;&gt;1,J$1=""),"",SUMIFS('All Donations'!$S$2:$S$4001,'All Donations'!$R$2:$R$4001,$AD554,'All Donations'!$T$2:$T$4001,J$1))</f>
        <v/>
      </c>
      <c r="K554" s="49">
        <f>IF(OR($AE554&lt;&gt;1,K$1=""),"",SUMIFS('All Donations'!$S$2:$S$4001,'All Donations'!$R$2:$R$4001,$AD554,'All Donations'!$T$2:$T$4001,K$1))</f>
        <v/>
      </c>
      <c r="L554" s="49">
        <f>IF(OR($AE554&lt;&gt;1,L$1=""),"",SUMIFS('All Donations'!$S$2:$S$4001,'All Donations'!$R$2:$R$4001,$AD554,'All Donations'!$T$2:$T$4001,L$1))</f>
        <v/>
      </c>
      <c r="M554" s="49">
        <f>IF(OR($AE554&lt;&gt;1,M$1=""),"",SUMIFS('All Donations'!$S$2:$S$4001,'All Donations'!$R$2:$R$4001,$AD554,'All Donations'!$T$2:$T$4001,M$1))</f>
        <v/>
      </c>
      <c r="N554" s="49">
        <f>IF(OR($AE554&lt;&gt;1,N$1=""),"",SUMIFS('All Donations'!$S$2:$S$4001,'All Donations'!$R$2:$R$4001,$AD554,'All Donations'!$T$2:$T$4001,N$1))</f>
        <v/>
      </c>
      <c r="O554" s="49">
        <f>IF(OR($AE554&lt;&gt;1,O$1=""),"",SUMIFS('All Donations'!$S$2:$S$4001,'All Donations'!$R$2:$R$4001,$AD554,'All Donations'!$T$2:$T$4001,O$1))</f>
        <v/>
      </c>
      <c r="P554" s="49">
        <f>IF(OR($AE554&lt;&gt;1,P$1=""),"",SUMIFS('All Donations'!$S$2:$S$4001,'All Donations'!$R$2:$R$4001,$AD554,'All Donations'!$T$2:$T$4001,P$1))</f>
        <v/>
      </c>
      <c r="Q554" s="49">
        <f>IF(OR($AE554&lt;&gt;1,Q$1=""),"",SUMIFS('All Donations'!$S$2:$S$4001,'All Donations'!$R$2:$R$4001,$AD554,'All Donations'!$T$2:$T$4001,Q$1))</f>
        <v/>
      </c>
      <c r="R554" s="49">
        <f>IF(OR($AE554&lt;&gt;1,R$1=""),"",SUMIFS('All Donations'!$S$2:$S$4001,'All Donations'!$R$2:$R$4001,$AD554,'All Donations'!$T$2:$T$4001,R$1))</f>
        <v/>
      </c>
      <c r="S554" s="49">
        <f>IF(OR($AE554&lt;&gt;1,S$1=""),"",SUMIFS('All Donations'!$S$2:$S$4001,'All Donations'!$R$2:$R$4001,$AD554,'All Donations'!$T$2:$T$4001,S$1))</f>
        <v/>
      </c>
      <c r="T554" s="49">
        <f>IF(OR($AE554&lt;&gt;1,T$1=""),"",SUMIFS('All Donations'!$S$2:$S$4001,'All Donations'!$R$2:$R$4001,$AD554,'All Donations'!$T$2:$T$4001,T$1))</f>
        <v/>
      </c>
      <c r="U554" s="49">
        <f>IF(OR($AE554&lt;&gt;1,U$1=""),"",SUMIFS('All Donations'!$S$2:$S$4001,'All Donations'!$R$2:$R$4001,$AD554,'All Donations'!$T$2:$T$4001,U$1))</f>
        <v/>
      </c>
      <c r="V554" s="49">
        <f>IF(OR($AE554&lt;&gt;1,V$1=""),"",SUMIFS('All Donations'!$S$2:$S$4001,'All Donations'!$R$2:$R$4001,$AD554,'All Donations'!$T$2:$T$4001,V$1))</f>
        <v/>
      </c>
      <c r="W554" s="49">
        <f>IF(OR($AE554&lt;&gt;1,W$1=""),"",SUMIFS('All Donations'!$S$2:$S$4001,'All Donations'!$R$2:$R$4001,$AD554,'All Donations'!$T$2:$T$4001,W$1))</f>
        <v/>
      </c>
      <c r="X554" s="49">
        <f>IF(OR($AE554&lt;&gt;1,X$1=""),"",SUMIFS('All Donations'!$S$2:$S$4001,'All Donations'!$R$2:$R$4001,$AD554,'All Donations'!$T$2:$T$4001,X$1))</f>
        <v/>
      </c>
      <c r="Y554" s="49">
        <f>IF(OR($AE554&lt;&gt;1,Y$1=""),"",SUMIFS('All Donations'!$S$2:$S$4001,'All Donations'!$R$2:$R$4001,$AD554,'All Donations'!$T$2:$T$4001,Y$1))</f>
        <v/>
      </c>
      <c r="Z554" s="49">
        <f>IF(OR($AE554&lt;&gt;1,Z$1=""),"",SUMIFS('All Donations'!$S$2:$S$4001,'All Donations'!$R$2:$R$4001,$AD554,'All Donations'!$T$2:$T$4001,Z$1))</f>
        <v/>
      </c>
      <c r="AA554" s="49">
        <f>IF(OR($AE554&lt;&gt;1,AA$1=""),"",SUMIFS('All Donations'!$S$2:$S$4001,'All Donations'!$R$2:$R$4001,$AD554,'All Donations'!$T$2:$T$4001,AA$1))</f>
        <v/>
      </c>
      <c r="AB554" s="49">
        <f>IF(OR($AE554&lt;&gt;1,AB$1=""),"",SUMIFS('All Donations'!$S$2:$S$4001,'All Donations'!$R$2:$R$4001,$AD554,'All Donations'!$T$2:$T$4001,AB$1))</f>
        <v/>
      </c>
      <c r="AC554" s="49">
        <f>IF(OR($AE554&lt;&gt;1,AC$1=""),"",SUMIFS('All Donations'!$S$2:$S$4001,'All Donations'!$R$2:$R$4001,$AD554,'All Donations'!$T$2:$T$4001,AC$1))</f>
        <v/>
      </c>
      <c r="AD554">
        <f>IF(AE554=1,'Roster'!A554,"")</f>
        <v/>
      </c>
      <c r="AE554">
        <f>IF(TRIM('Roster'!B554&amp;'Roster'!C554)&lt;&gt;"",1,0)</f>
        <v/>
      </c>
      <c r="AF554">
        <f>IF(AE554=1,LOWER(A554),"#")</f>
        <v/>
      </c>
      <c r="AG554">
        <f>IF(AE554=1,LOWER(TRIM(TRIM('Roster'!C554)&amp;", "&amp;TRIM('Roster'!B554))),"#")</f>
        <v/>
      </c>
      <c r="AH554">
        <f>IF(AND(AE554=1,TRIM('Roster'!F554)&lt;&gt;""),LOWER(TRIM('Roster'!F554)),"#")</f>
        <v/>
      </c>
      <c r="AI554">
        <f>IF(AE554=1,IF(MATCH(B554,$B$2:$B$701,0)=ROW()-1,1,0),0)</f>
        <v/>
      </c>
      <c r="AJ554">
        <f>AJ553+AI554</f>
        <v/>
      </c>
      <c r="AK554">
        <f>IF(AE554=1,D554+(1000-ROW())/10^7,-1)</f>
        <v/>
      </c>
      <c r="AL554">
        <f>IF(AE554=1,TRIM('Roster'!B554)&amp;" "&amp;LEFT(TRIM('Roster'!C554),1)&amp;".","")</f>
        <v/>
      </c>
      <c r="AM554">
        <f>IF(AE554=1,TRIM('Roster'!C554)&amp;", "&amp;TRIM('Roster'!B554)&amp;" ("&amp;B554&amp;") #"&amp;AD554,"")</f>
        <v/>
      </c>
      <c r="AN554">
        <f>IF(AE554=1,TRIM('Roster'!E554),"")</f>
        <v/>
      </c>
      <c r="AO554">
        <f>IF(AE554=1,ROUND(SUMIFS('All Donations'!$S$2:$S$4001,'All Donations'!$R$2:$R$4001,AD554,'All Donations'!$T$2:$T$4001,"&gt;="&amp;'Settings'!$C$23,'All Donations'!$T$2:$T$4001,"&lt;="&amp;'Settings'!$D$23),2),0)</f>
        <v/>
      </c>
      <c r="AQ554">
        <f>IF(AE554=1,ROUND(SUMIFS('All Donations'!$S$2:$S$4001,'All Donations'!$R$2:$R$4001,AD554,'All Donations'!$T$2:$T$4001,"&gt;="&amp;'Settings'!$C$25,'All Donations'!$T$2:$T$4001,"&lt;="&amp;'Settings'!$D$25),2),0)</f>
        <v/>
      </c>
      <c r="AR554">
        <f>IF(AE554=1,ROUND(SUMIFS('All Donations'!$S$2:$S$4001,'All Donations'!$R$2:$R$4001,AD554,'All Donations'!$T$2:$T$4001,"&gt;="&amp;'Settings'!$C$26,'All Donations'!$T$2:$T$4001,"&lt;="&amp;'Settings'!$D$26),2),0)</f>
        <v/>
      </c>
      <c r="AS554">
        <f>IF(AE554=1,ROUND(SUMIFS('All Donations'!$S$2:$S$4001,'All Donations'!$R$2:$R$4001,AD554,'All Donations'!$T$2:$T$4001,"&lt;="&amp;'Settings'!$D$27),2),0)</f>
        <v/>
      </c>
      <c r="AT554">
        <f>IF(AE554=1,ROUND(SUMIFS('All Donations'!$S$2:$S$4001,'All Donations'!$R$2:$R$4001,AD554,'All Donations'!$T$2:$T$4001,"&gt;="&amp;'Settings'!$C$28,'All Donations'!$T$2:$T$4001,"&lt;="&amp;'Settings'!$D$28),2),0)</f>
        <v/>
      </c>
      <c r="AU554">
        <f>IF(AE554=1,ROUND(SUMIFS('All Donations'!$S$2:$S$4001,'All Donations'!$R$2:$R$4001,AD554,'All Donations'!$T$2:$T$4001,"&gt;="&amp;'Settings'!$C$29,'All Donations'!$T$2:$T$4001,"&lt;="&amp;'Settings'!$D$29),2),0)</f>
        <v/>
      </c>
      <c r="AV554">
        <f>IF(AE554=1,ROUND(SUMIFS('All Donations'!$S$2:$S$4001,'All Donations'!$R$2:$R$4001,AD554,'All Donations'!$T$2:$T$4001,"&lt;="&amp;'Settings'!$D$30),2),0)</f>
        <v/>
      </c>
      <c r="AZ554">
        <f>IF(AE554=1,ROUND(SUMIFS('All Donations'!$S$2:$S$4001,'All Donations'!$R$2:$R$4001,AD554,'All Donations'!$T$2:$T$4001,"&lt;="&amp;'Settings'!$D$34),2),0)</f>
        <v/>
      </c>
    </row>
    <row r="555">
      <c r="A555">
        <f>IF(AE555=1,TRIM(TRIM('Roster'!B555)&amp;" "&amp;TRIM('Roster'!C555)),"")</f>
        <v/>
      </c>
      <c r="B555">
        <f>IF(AE555=1,IF(AN555="","(no teacher)",AN555&amp;" – "&amp;C555),"")</f>
        <v/>
      </c>
      <c r="C555">
        <f>IF(AE555=1,TRIM('Roster'!D555&amp;""),"")</f>
        <v/>
      </c>
      <c r="D555" s="48">
        <f>IF(AE555=1,ROUND(SUMIFS('All Donations'!$S$2:$S$4001,'All Donations'!$R$2:$R$4001,AD555),2),"")</f>
        <v/>
      </c>
      <c r="E555" s="48">
        <f>IF(AE555=1,ROUND(SUMIFS('All Donations'!$S$2:$S$4001,'All Donations'!$R$2:$R$4001,AD555,'All Donations'!$G$2:$G$4001,"OneCause"),2),"")</f>
        <v/>
      </c>
      <c r="F555" s="48">
        <f>IF(AE555=1,D555-E555,"")</f>
        <v/>
      </c>
      <c r="G555">
        <f>IF(AE555=1,COUNTIFS('All Donations'!$R$2:$R$4001,AD555,'All Donations'!$H$2:$H$4001,"OK"),"")</f>
        <v/>
      </c>
      <c r="H555">
        <f>IF(AE555&lt;&gt;1,"",IF(D555&gt;0,"Yes",""))</f>
        <v/>
      </c>
      <c r="I555" s="49">
        <f>IF(OR($AE555&lt;&gt;1,I$1=""),"",SUMIFS('All Donations'!$S$2:$S$4001,'All Donations'!$R$2:$R$4001,$AD555,'All Donations'!$T$2:$T$4001,I$1))</f>
        <v/>
      </c>
      <c r="J555" s="49">
        <f>IF(OR($AE555&lt;&gt;1,J$1=""),"",SUMIFS('All Donations'!$S$2:$S$4001,'All Donations'!$R$2:$R$4001,$AD555,'All Donations'!$T$2:$T$4001,J$1))</f>
        <v/>
      </c>
      <c r="K555" s="49">
        <f>IF(OR($AE555&lt;&gt;1,K$1=""),"",SUMIFS('All Donations'!$S$2:$S$4001,'All Donations'!$R$2:$R$4001,$AD555,'All Donations'!$T$2:$T$4001,K$1))</f>
        <v/>
      </c>
      <c r="L555" s="49">
        <f>IF(OR($AE555&lt;&gt;1,L$1=""),"",SUMIFS('All Donations'!$S$2:$S$4001,'All Donations'!$R$2:$R$4001,$AD555,'All Donations'!$T$2:$T$4001,L$1))</f>
        <v/>
      </c>
      <c r="M555" s="49">
        <f>IF(OR($AE555&lt;&gt;1,M$1=""),"",SUMIFS('All Donations'!$S$2:$S$4001,'All Donations'!$R$2:$R$4001,$AD555,'All Donations'!$T$2:$T$4001,M$1))</f>
        <v/>
      </c>
      <c r="N555" s="49">
        <f>IF(OR($AE555&lt;&gt;1,N$1=""),"",SUMIFS('All Donations'!$S$2:$S$4001,'All Donations'!$R$2:$R$4001,$AD555,'All Donations'!$T$2:$T$4001,N$1))</f>
        <v/>
      </c>
      <c r="O555" s="49">
        <f>IF(OR($AE555&lt;&gt;1,O$1=""),"",SUMIFS('All Donations'!$S$2:$S$4001,'All Donations'!$R$2:$R$4001,$AD555,'All Donations'!$T$2:$T$4001,O$1))</f>
        <v/>
      </c>
      <c r="P555" s="49">
        <f>IF(OR($AE555&lt;&gt;1,P$1=""),"",SUMIFS('All Donations'!$S$2:$S$4001,'All Donations'!$R$2:$R$4001,$AD555,'All Donations'!$T$2:$T$4001,P$1))</f>
        <v/>
      </c>
      <c r="Q555" s="49">
        <f>IF(OR($AE555&lt;&gt;1,Q$1=""),"",SUMIFS('All Donations'!$S$2:$S$4001,'All Donations'!$R$2:$R$4001,$AD555,'All Donations'!$T$2:$T$4001,Q$1))</f>
        <v/>
      </c>
      <c r="R555" s="49">
        <f>IF(OR($AE555&lt;&gt;1,R$1=""),"",SUMIFS('All Donations'!$S$2:$S$4001,'All Donations'!$R$2:$R$4001,$AD555,'All Donations'!$T$2:$T$4001,R$1))</f>
        <v/>
      </c>
      <c r="S555" s="49">
        <f>IF(OR($AE555&lt;&gt;1,S$1=""),"",SUMIFS('All Donations'!$S$2:$S$4001,'All Donations'!$R$2:$R$4001,$AD555,'All Donations'!$T$2:$T$4001,S$1))</f>
        <v/>
      </c>
      <c r="T555" s="49">
        <f>IF(OR($AE555&lt;&gt;1,T$1=""),"",SUMIFS('All Donations'!$S$2:$S$4001,'All Donations'!$R$2:$R$4001,$AD555,'All Donations'!$T$2:$T$4001,T$1))</f>
        <v/>
      </c>
      <c r="U555" s="49">
        <f>IF(OR($AE555&lt;&gt;1,U$1=""),"",SUMIFS('All Donations'!$S$2:$S$4001,'All Donations'!$R$2:$R$4001,$AD555,'All Donations'!$T$2:$T$4001,U$1))</f>
        <v/>
      </c>
      <c r="V555" s="49">
        <f>IF(OR($AE555&lt;&gt;1,V$1=""),"",SUMIFS('All Donations'!$S$2:$S$4001,'All Donations'!$R$2:$R$4001,$AD555,'All Donations'!$T$2:$T$4001,V$1))</f>
        <v/>
      </c>
      <c r="W555" s="49">
        <f>IF(OR($AE555&lt;&gt;1,W$1=""),"",SUMIFS('All Donations'!$S$2:$S$4001,'All Donations'!$R$2:$R$4001,$AD555,'All Donations'!$T$2:$T$4001,W$1))</f>
        <v/>
      </c>
      <c r="X555" s="49">
        <f>IF(OR($AE555&lt;&gt;1,X$1=""),"",SUMIFS('All Donations'!$S$2:$S$4001,'All Donations'!$R$2:$R$4001,$AD555,'All Donations'!$T$2:$T$4001,X$1))</f>
        <v/>
      </c>
      <c r="Y555" s="49">
        <f>IF(OR($AE555&lt;&gt;1,Y$1=""),"",SUMIFS('All Donations'!$S$2:$S$4001,'All Donations'!$R$2:$R$4001,$AD555,'All Donations'!$T$2:$T$4001,Y$1))</f>
        <v/>
      </c>
      <c r="Z555" s="49">
        <f>IF(OR($AE555&lt;&gt;1,Z$1=""),"",SUMIFS('All Donations'!$S$2:$S$4001,'All Donations'!$R$2:$R$4001,$AD555,'All Donations'!$T$2:$T$4001,Z$1))</f>
        <v/>
      </c>
      <c r="AA555" s="49">
        <f>IF(OR($AE555&lt;&gt;1,AA$1=""),"",SUMIFS('All Donations'!$S$2:$S$4001,'All Donations'!$R$2:$R$4001,$AD555,'All Donations'!$T$2:$T$4001,AA$1))</f>
        <v/>
      </c>
      <c r="AB555" s="49">
        <f>IF(OR($AE555&lt;&gt;1,AB$1=""),"",SUMIFS('All Donations'!$S$2:$S$4001,'All Donations'!$R$2:$R$4001,$AD555,'All Donations'!$T$2:$T$4001,AB$1))</f>
        <v/>
      </c>
      <c r="AC555" s="49">
        <f>IF(OR($AE555&lt;&gt;1,AC$1=""),"",SUMIFS('All Donations'!$S$2:$S$4001,'All Donations'!$R$2:$R$4001,$AD555,'All Donations'!$T$2:$T$4001,AC$1))</f>
        <v/>
      </c>
      <c r="AD555">
        <f>IF(AE555=1,'Roster'!A555,"")</f>
        <v/>
      </c>
      <c r="AE555">
        <f>IF(TRIM('Roster'!B555&amp;'Roster'!C555)&lt;&gt;"",1,0)</f>
        <v/>
      </c>
      <c r="AF555">
        <f>IF(AE555=1,LOWER(A555),"#")</f>
        <v/>
      </c>
      <c r="AG555">
        <f>IF(AE555=1,LOWER(TRIM(TRIM('Roster'!C555)&amp;", "&amp;TRIM('Roster'!B555))),"#")</f>
        <v/>
      </c>
      <c r="AH555">
        <f>IF(AND(AE555=1,TRIM('Roster'!F555)&lt;&gt;""),LOWER(TRIM('Roster'!F555)),"#")</f>
        <v/>
      </c>
      <c r="AI555">
        <f>IF(AE555=1,IF(MATCH(B555,$B$2:$B$701,0)=ROW()-1,1,0),0)</f>
        <v/>
      </c>
      <c r="AJ555">
        <f>AJ554+AI555</f>
        <v/>
      </c>
      <c r="AK555">
        <f>IF(AE555=1,D555+(1000-ROW())/10^7,-1)</f>
        <v/>
      </c>
      <c r="AL555">
        <f>IF(AE555=1,TRIM('Roster'!B555)&amp;" "&amp;LEFT(TRIM('Roster'!C555),1)&amp;".","")</f>
        <v/>
      </c>
      <c r="AM555">
        <f>IF(AE555=1,TRIM('Roster'!C555)&amp;", "&amp;TRIM('Roster'!B555)&amp;" ("&amp;B555&amp;") #"&amp;AD555,"")</f>
        <v/>
      </c>
      <c r="AN555">
        <f>IF(AE555=1,TRIM('Roster'!E555),"")</f>
        <v/>
      </c>
      <c r="AO555">
        <f>IF(AE555=1,ROUND(SUMIFS('All Donations'!$S$2:$S$4001,'All Donations'!$R$2:$R$4001,AD555,'All Donations'!$T$2:$T$4001,"&gt;="&amp;'Settings'!$C$23,'All Donations'!$T$2:$T$4001,"&lt;="&amp;'Settings'!$D$23),2),0)</f>
        <v/>
      </c>
      <c r="AQ555">
        <f>IF(AE555=1,ROUND(SUMIFS('All Donations'!$S$2:$S$4001,'All Donations'!$R$2:$R$4001,AD555,'All Donations'!$T$2:$T$4001,"&gt;="&amp;'Settings'!$C$25,'All Donations'!$T$2:$T$4001,"&lt;="&amp;'Settings'!$D$25),2),0)</f>
        <v/>
      </c>
      <c r="AR555">
        <f>IF(AE555=1,ROUND(SUMIFS('All Donations'!$S$2:$S$4001,'All Donations'!$R$2:$R$4001,AD555,'All Donations'!$T$2:$T$4001,"&gt;="&amp;'Settings'!$C$26,'All Donations'!$T$2:$T$4001,"&lt;="&amp;'Settings'!$D$26),2),0)</f>
        <v/>
      </c>
      <c r="AS555">
        <f>IF(AE555=1,ROUND(SUMIFS('All Donations'!$S$2:$S$4001,'All Donations'!$R$2:$R$4001,AD555,'All Donations'!$T$2:$T$4001,"&lt;="&amp;'Settings'!$D$27),2),0)</f>
        <v/>
      </c>
      <c r="AT555">
        <f>IF(AE555=1,ROUND(SUMIFS('All Donations'!$S$2:$S$4001,'All Donations'!$R$2:$R$4001,AD555,'All Donations'!$T$2:$T$4001,"&gt;="&amp;'Settings'!$C$28,'All Donations'!$T$2:$T$4001,"&lt;="&amp;'Settings'!$D$28),2),0)</f>
        <v/>
      </c>
      <c r="AU555">
        <f>IF(AE555=1,ROUND(SUMIFS('All Donations'!$S$2:$S$4001,'All Donations'!$R$2:$R$4001,AD555,'All Donations'!$T$2:$T$4001,"&gt;="&amp;'Settings'!$C$29,'All Donations'!$T$2:$T$4001,"&lt;="&amp;'Settings'!$D$29),2),0)</f>
        <v/>
      </c>
      <c r="AV555">
        <f>IF(AE555=1,ROUND(SUMIFS('All Donations'!$S$2:$S$4001,'All Donations'!$R$2:$R$4001,AD555,'All Donations'!$T$2:$T$4001,"&lt;="&amp;'Settings'!$D$30),2),0)</f>
        <v/>
      </c>
      <c r="AZ555">
        <f>IF(AE555=1,ROUND(SUMIFS('All Donations'!$S$2:$S$4001,'All Donations'!$R$2:$R$4001,AD555,'All Donations'!$T$2:$T$4001,"&lt;="&amp;'Settings'!$D$34),2),0)</f>
        <v/>
      </c>
    </row>
    <row r="556">
      <c r="A556">
        <f>IF(AE556=1,TRIM(TRIM('Roster'!B556)&amp;" "&amp;TRIM('Roster'!C556)),"")</f>
        <v/>
      </c>
      <c r="B556">
        <f>IF(AE556=1,IF(AN556="","(no teacher)",AN556&amp;" – "&amp;C556),"")</f>
        <v/>
      </c>
      <c r="C556">
        <f>IF(AE556=1,TRIM('Roster'!D556&amp;""),"")</f>
        <v/>
      </c>
      <c r="D556" s="48">
        <f>IF(AE556=1,ROUND(SUMIFS('All Donations'!$S$2:$S$4001,'All Donations'!$R$2:$R$4001,AD556),2),"")</f>
        <v/>
      </c>
      <c r="E556" s="48">
        <f>IF(AE556=1,ROUND(SUMIFS('All Donations'!$S$2:$S$4001,'All Donations'!$R$2:$R$4001,AD556,'All Donations'!$G$2:$G$4001,"OneCause"),2),"")</f>
        <v/>
      </c>
      <c r="F556" s="48">
        <f>IF(AE556=1,D556-E556,"")</f>
        <v/>
      </c>
      <c r="G556">
        <f>IF(AE556=1,COUNTIFS('All Donations'!$R$2:$R$4001,AD556,'All Donations'!$H$2:$H$4001,"OK"),"")</f>
        <v/>
      </c>
      <c r="H556">
        <f>IF(AE556&lt;&gt;1,"",IF(D556&gt;0,"Yes",""))</f>
        <v/>
      </c>
      <c r="I556" s="49">
        <f>IF(OR($AE556&lt;&gt;1,I$1=""),"",SUMIFS('All Donations'!$S$2:$S$4001,'All Donations'!$R$2:$R$4001,$AD556,'All Donations'!$T$2:$T$4001,I$1))</f>
        <v/>
      </c>
      <c r="J556" s="49">
        <f>IF(OR($AE556&lt;&gt;1,J$1=""),"",SUMIFS('All Donations'!$S$2:$S$4001,'All Donations'!$R$2:$R$4001,$AD556,'All Donations'!$T$2:$T$4001,J$1))</f>
        <v/>
      </c>
      <c r="K556" s="49">
        <f>IF(OR($AE556&lt;&gt;1,K$1=""),"",SUMIFS('All Donations'!$S$2:$S$4001,'All Donations'!$R$2:$R$4001,$AD556,'All Donations'!$T$2:$T$4001,K$1))</f>
        <v/>
      </c>
      <c r="L556" s="49">
        <f>IF(OR($AE556&lt;&gt;1,L$1=""),"",SUMIFS('All Donations'!$S$2:$S$4001,'All Donations'!$R$2:$R$4001,$AD556,'All Donations'!$T$2:$T$4001,L$1))</f>
        <v/>
      </c>
      <c r="M556" s="49">
        <f>IF(OR($AE556&lt;&gt;1,M$1=""),"",SUMIFS('All Donations'!$S$2:$S$4001,'All Donations'!$R$2:$R$4001,$AD556,'All Donations'!$T$2:$T$4001,M$1))</f>
        <v/>
      </c>
      <c r="N556" s="49">
        <f>IF(OR($AE556&lt;&gt;1,N$1=""),"",SUMIFS('All Donations'!$S$2:$S$4001,'All Donations'!$R$2:$R$4001,$AD556,'All Donations'!$T$2:$T$4001,N$1))</f>
        <v/>
      </c>
      <c r="O556" s="49">
        <f>IF(OR($AE556&lt;&gt;1,O$1=""),"",SUMIFS('All Donations'!$S$2:$S$4001,'All Donations'!$R$2:$R$4001,$AD556,'All Donations'!$T$2:$T$4001,O$1))</f>
        <v/>
      </c>
      <c r="P556" s="49">
        <f>IF(OR($AE556&lt;&gt;1,P$1=""),"",SUMIFS('All Donations'!$S$2:$S$4001,'All Donations'!$R$2:$R$4001,$AD556,'All Donations'!$T$2:$T$4001,P$1))</f>
        <v/>
      </c>
      <c r="Q556" s="49">
        <f>IF(OR($AE556&lt;&gt;1,Q$1=""),"",SUMIFS('All Donations'!$S$2:$S$4001,'All Donations'!$R$2:$R$4001,$AD556,'All Donations'!$T$2:$T$4001,Q$1))</f>
        <v/>
      </c>
      <c r="R556" s="49">
        <f>IF(OR($AE556&lt;&gt;1,R$1=""),"",SUMIFS('All Donations'!$S$2:$S$4001,'All Donations'!$R$2:$R$4001,$AD556,'All Donations'!$T$2:$T$4001,R$1))</f>
        <v/>
      </c>
      <c r="S556" s="49">
        <f>IF(OR($AE556&lt;&gt;1,S$1=""),"",SUMIFS('All Donations'!$S$2:$S$4001,'All Donations'!$R$2:$R$4001,$AD556,'All Donations'!$T$2:$T$4001,S$1))</f>
        <v/>
      </c>
      <c r="T556" s="49">
        <f>IF(OR($AE556&lt;&gt;1,T$1=""),"",SUMIFS('All Donations'!$S$2:$S$4001,'All Donations'!$R$2:$R$4001,$AD556,'All Donations'!$T$2:$T$4001,T$1))</f>
        <v/>
      </c>
      <c r="U556" s="49">
        <f>IF(OR($AE556&lt;&gt;1,U$1=""),"",SUMIFS('All Donations'!$S$2:$S$4001,'All Donations'!$R$2:$R$4001,$AD556,'All Donations'!$T$2:$T$4001,U$1))</f>
        <v/>
      </c>
      <c r="V556" s="49">
        <f>IF(OR($AE556&lt;&gt;1,V$1=""),"",SUMIFS('All Donations'!$S$2:$S$4001,'All Donations'!$R$2:$R$4001,$AD556,'All Donations'!$T$2:$T$4001,V$1))</f>
        <v/>
      </c>
      <c r="W556" s="49">
        <f>IF(OR($AE556&lt;&gt;1,W$1=""),"",SUMIFS('All Donations'!$S$2:$S$4001,'All Donations'!$R$2:$R$4001,$AD556,'All Donations'!$T$2:$T$4001,W$1))</f>
        <v/>
      </c>
      <c r="X556" s="49">
        <f>IF(OR($AE556&lt;&gt;1,X$1=""),"",SUMIFS('All Donations'!$S$2:$S$4001,'All Donations'!$R$2:$R$4001,$AD556,'All Donations'!$T$2:$T$4001,X$1))</f>
        <v/>
      </c>
      <c r="Y556" s="49">
        <f>IF(OR($AE556&lt;&gt;1,Y$1=""),"",SUMIFS('All Donations'!$S$2:$S$4001,'All Donations'!$R$2:$R$4001,$AD556,'All Donations'!$T$2:$T$4001,Y$1))</f>
        <v/>
      </c>
      <c r="Z556" s="49">
        <f>IF(OR($AE556&lt;&gt;1,Z$1=""),"",SUMIFS('All Donations'!$S$2:$S$4001,'All Donations'!$R$2:$R$4001,$AD556,'All Donations'!$T$2:$T$4001,Z$1))</f>
        <v/>
      </c>
      <c r="AA556" s="49">
        <f>IF(OR($AE556&lt;&gt;1,AA$1=""),"",SUMIFS('All Donations'!$S$2:$S$4001,'All Donations'!$R$2:$R$4001,$AD556,'All Donations'!$T$2:$T$4001,AA$1))</f>
        <v/>
      </c>
      <c r="AB556" s="49">
        <f>IF(OR($AE556&lt;&gt;1,AB$1=""),"",SUMIFS('All Donations'!$S$2:$S$4001,'All Donations'!$R$2:$R$4001,$AD556,'All Donations'!$T$2:$T$4001,AB$1))</f>
        <v/>
      </c>
      <c r="AC556" s="49">
        <f>IF(OR($AE556&lt;&gt;1,AC$1=""),"",SUMIFS('All Donations'!$S$2:$S$4001,'All Donations'!$R$2:$R$4001,$AD556,'All Donations'!$T$2:$T$4001,AC$1))</f>
        <v/>
      </c>
      <c r="AD556">
        <f>IF(AE556=1,'Roster'!A556,"")</f>
        <v/>
      </c>
      <c r="AE556">
        <f>IF(TRIM('Roster'!B556&amp;'Roster'!C556)&lt;&gt;"",1,0)</f>
        <v/>
      </c>
      <c r="AF556">
        <f>IF(AE556=1,LOWER(A556),"#")</f>
        <v/>
      </c>
      <c r="AG556">
        <f>IF(AE556=1,LOWER(TRIM(TRIM('Roster'!C556)&amp;", "&amp;TRIM('Roster'!B556))),"#")</f>
        <v/>
      </c>
      <c r="AH556">
        <f>IF(AND(AE556=1,TRIM('Roster'!F556)&lt;&gt;""),LOWER(TRIM('Roster'!F556)),"#")</f>
        <v/>
      </c>
      <c r="AI556">
        <f>IF(AE556=1,IF(MATCH(B556,$B$2:$B$701,0)=ROW()-1,1,0),0)</f>
        <v/>
      </c>
      <c r="AJ556">
        <f>AJ555+AI556</f>
        <v/>
      </c>
      <c r="AK556">
        <f>IF(AE556=1,D556+(1000-ROW())/10^7,-1)</f>
        <v/>
      </c>
      <c r="AL556">
        <f>IF(AE556=1,TRIM('Roster'!B556)&amp;" "&amp;LEFT(TRIM('Roster'!C556),1)&amp;".","")</f>
        <v/>
      </c>
      <c r="AM556">
        <f>IF(AE556=1,TRIM('Roster'!C556)&amp;", "&amp;TRIM('Roster'!B556)&amp;" ("&amp;B556&amp;") #"&amp;AD556,"")</f>
        <v/>
      </c>
      <c r="AN556">
        <f>IF(AE556=1,TRIM('Roster'!E556),"")</f>
        <v/>
      </c>
      <c r="AO556">
        <f>IF(AE556=1,ROUND(SUMIFS('All Donations'!$S$2:$S$4001,'All Donations'!$R$2:$R$4001,AD556,'All Donations'!$T$2:$T$4001,"&gt;="&amp;'Settings'!$C$23,'All Donations'!$T$2:$T$4001,"&lt;="&amp;'Settings'!$D$23),2),0)</f>
        <v/>
      </c>
      <c r="AQ556">
        <f>IF(AE556=1,ROUND(SUMIFS('All Donations'!$S$2:$S$4001,'All Donations'!$R$2:$R$4001,AD556,'All Donations'!$T$2:$T$4001,"&gt;="&amp;'Settings'!$C$25,'All Donations'!$T$2:$T$4001,"&lt;="&amp;'Settings'!$D$25),2),0)</f>
        <v/>
      </c>
      <c r="AR556">
        <f>IF(AE556=1,ROUND(SUMIFS('All Donations'!$S$2:$S$4001,'All Donations'!$R$2:$R$4001,AD556,'All Donations'!$T$2:$T$4001,"&gt;="&amp;'Settings'!$C$26,'All Donations'!$T$2:$T$4001,"&lt;="&amp;'Settings'!$D$26),2),0)</f>
        <v/>
      </c>
      <c r="AS556">
        <f>IF(AE556=1,ROUND(SUMIFS('All Donations'!$S$2:$S$4001,'All Donations'!$R$2:$R$4001,AD556,'All Donations'!$T$2:$T$4001,"&lt;="&amp;'Settings'!$D$27),2),0)</f>
        <v/>
      </c>
      <c r="AT556">
        <f>IF(AE556=1,ROUND(SUMIFS('All Donations'!$S$2:$S$4001,'All Donations'!$R$2:$R$4001,AD556,'All Donations'!$T$2:$T$4001,"&gt;="&amp;'Settings'!$C$28,'All Donations'!$T$2:$T$4001,"&lt;="&amp;'Settings'!$D$28),2),0)</f>
        <v/>
      </c>
      <c r="AU556">
        <f>IF(AE556=1,ROUND(SUMIFS('All Donations'!$S$2:$S$4001,'All Donations'!$R$2:$R$4001,AD556,'All Donations'!$T$2:$T$4001,"&gt;="&amp;'Settings'!$C$29,'All Donations'!$T$2:$T$4001,"&lt;="&amp;'Settings'!$D$29),2),0)</f>
        <v/>
      </c>
      <c r="AV556">
        <f>IF(AE556=1,ROUND(SUMIFS('All Donations'!$S$2:$S$4001,'All Donations'!$R$2:$R$4001,AD556,'All Donations'!$T$2:$T$4001,"&lt;="&amp;'Settings'!$D$30),2),0)</f>
        <v/>
      </c>
      <c r="AZ556">
        <f>IF(AE556=1,ROUND(SUMIFS('All Donations'!$S$2:$S$4001,'All Donations'!$R$2:$R$4001,AD556,'All Donations'!$T$2:$T$4001,"&lt;="&amp;'Settings'!$D$34),2),0)</f>
        <v/>
      </c>
    </row>
    <row r="557">
      <c r="A557">
        <f>IF(AE557=1,TRIM(TRIM('Roster'!B557)&amp;" "&amp;TRIM('Roster'!C557)),"")</f>
        <v/>
      </c>
      <c r="B557">
        <f>IF(AE557=1,IF(AN557="","(no teacher)",AN557&amp;" – "&amp;C557),"")</f>
        <v/>
      </c>
      <c r="C557">
        <f>IF(AE557=1,TRIM('Roster'!D557&amp;""),"")</f>
        <v/>
      </c>
      <c r="D557" s="48">
        <f>IF(AE557=1,ROUND(SUMIFS('All Donations'!$S$2:$S$4001,'All Donations'!$R$2:$R$4001,AD557),2),"")</f>
        <v/>
      </c>
      <c r="E557" s="48">
        <f>IF(AE557=1,ROUND(SUMIFS('All Donations'!$S$2:$S$4001,'All Donations'!$R$2:$R$4001,AD557,'All Donations'!$G$2:$G$4001,"OneCause"),2),"")</f>
        <v/>
      </c>
      <c r="F557" s="48">
        <f>IF(AE557=1,D557-E557,"")</f>
        <v/>
      </c>
      <c r="G557">
        <f>IF(AE557=1,COUNTIFS('All Donations'!$R$2:$R$4001,AD557,'All Donations'!$H$2:$H$4001,"OK"),"")</f>
        <v/>
      </c>
      <c r="H557">
        <f>IF(AE557&lt;&gt;1,"",IF(D557&gt;0,"Yes",""))</f>
        <v/>
      </c>
      <c r="I557" s="49">
        <f>IF(OR($AE557&lt;&gt;1,I$1=""),"",SUMIFS('All Donations'!$S$2:$S$4001,'All Donations'!$R$2:$R$4001,$AD557,'All Donations'!$T$2:$T$4001,I$1))</f>
        <v/>
      </c>
      <c r="J557" s="49">
        <f>IF(OR($AE557&lt;&gt;1,J$1=""),"",SUMIFS('All Donations'!$S$2:$S$4001,'All Donations'!$R$2:$R$4001,$AD557,'All Donations'!$T$2:$T$4001,J$1))</f>
        <v/>
      </c>
      <c r="K557" s="49">
        <f>IF(OR($AE557&lt;&gt;1,K$1=""),"",SUMIFS('All Donations'!$S$2:$S$4001,'All Donations'!$R$2:$R$4001,$AD557,'All Donations'!$T$2:$T$4001,K$1))</f>
        <v/>
      </c>
      <c r="L557" s="49">
        <f>IF(OR($AE557&lt;&gt;1,L$1=""),"",SUMIFS('All Donations'!$S$2:$S$4001,'All Donations'!$R$2:$R$4001,$AD557,'All Donations'!$T$2:$T$4001,L$1))</f>
        <v/>
      </c>
      <c r="M557" s="49">
        <f>IF(OR($AE557&lt;&gt;1,M$1=""),"",SUMIFS('All Donations'!$S$2:$S$4001,'All Donations'!$R$2:$R$4001,$AD557,'All Donations'!$T$2:$T$4001,M$1))</f>
        <v/>
      </c>
      <c r="N557" s="49">
        <f>IF(OR($AE557&lt;&gt;1,N$1=""),"",SUMIFS('All Donations'!$S$2:$S$4001,'All Donations'!$R$2:$R$4001,$AD557,'All Donations'!$T$2:$T$4001,N$1))</f>
        <v/>
      </c>
      <c r="O557" s="49">
        <f>IF(OR($AE557&lt;&gt;1,O$1=""),"",SUMIFS('All Donations'!$S$2:$S$4001,'All Donations'!$R$2:$R$4001,$AD557,'All Donations'!$T$2:$T$4001,O$1))</f>
        <v/>
      </c>
      <c r="P557" s="49">
        <f>IF(OR($AE557&lt;&gt;1,P$1=""),"",SUMIFS('All Donations'!$S$2:$S$4001,'All Donations'!$R$2:$R$4001,$AD557,'All Donations'!$T$2:$T$4001,P$1))</f>
        <v/>
      </c>
      <c r="Q557" s="49">
        <f>IF(OR($AE557&lt;&gt;1,Q$1=""),"",SUMIFS('All Donations'!$S$2:$S$4001,'All Donations'!$R$2:$R$4001,$AD557,'All Donations'!$T$2:$T$4001,Q$1))</f>
        <v/>
      </c>
      <c r="R557" s="49">
        <f>IF(OR($AE557&lt;&gt;1,R$1=""),"",SUMIFS('All Donations'!$S$2:$S$4001,'All Donations'!$R$2:$R$4001,$AD557,'All Donations'!$T$2:$T$4001,R$1))</f>
        <v/>
      </c>
      <c r="S557" s="49">
        <f>IF(OR($AE557&lt;&gt;1,S$1=""),"",SUMIFS('All Donations'!$S$2:$S$4001,'All Donations'!$R$2:$R$4001,$AD557,'All Donations'!$T$2:$T$4001,S$1))</f>
        <v/>
      </c>
      <c r="T557" s="49">
        <f>IF(OR($AE557&lt;&gt;1,T$1=""),"",SUMIFS('All Donations'!$S$2:$S$4001,'All Donations'!$R$2:$R$4001,$AD557,'All Donations'!$T$2:$T$4001,T$1))</f>
        <v/>
      </c>
      <c r="U557" s="49">
        <f>IF(OR($AE557&lt;&gt;1,U$1=""),"",SUMIFS('All Donations'!$S$2:$S$4001,'All Donations'!$R$2:$R$4001,$AD557,'All Donations'!$T$2:$T$4001,U$1))</f>
        <v/>
      </c>
      <c r="V557" s="49">
        <f>IF(OR($AE557&lt;&gt;1,V$1=""),"",SUMIFS('All Donations'!$S$2:$S$4001,'All Donations'!$R$2:$R$4001,$AD557,'All Donations'!$T$2:$T$4001,V$1))</f>
        <v/>
      </c>
      <c r="W557" s="49">
        <f>IF(OR($AE557&lt;&gt;1,W$1=""),"",SUMIFS('All Donations'!$S$2:$S$4001,'All Donations'!$R$2:$R$4001,$AD557,'All Donations'!$T$2:$T$4001,W$1))</f>
        <v/>
      </c>
      <c r="X557" s="49">
        <f>IF(OR($AE557&lt;&gt;1,X$1=""),"",SUMIFS('All Donations'!$S$2:$S$4001,'All Donations'!$R$2:$R$4001,$AD557,'All Donations'!$T$2:$T$4001,X$1))</f>
        <v/>
      </c>
      <c r="Y557" s="49">
        <f>IF(OR($AE557&lt;&gt;1,Y$1=""),"",SUMIFS('All Donations'!$S$2:$S$4001,'All Donations'!$R$2:$R$4001,$AD557,'All Donations'!$T$2:$T$4001,Y$1))</f>
        <v/>
      </c>
      <c r="Z557" s="49">
        <f>IF(OR($AE557&lt;&gt;1,Z$1=""),"",SUMIFS('All Donations'!$S$2:$S$4001,'All Donations'!$R$2:$R$4001,$AD557,'All Donations'!$T$2:$T$4001,Z$1))</f>
        <v/>
      </c>
      <c r="AA557" s="49">
        <f>IF(OR($AE557&lt;&gt;1,AA$1=""),"",SUMIFS('All Donations'!$S$2:$S$4001,'All Donations'!$R$2:$R$4001,$AD557,'All Donations'!$T$2:$T$4001,AA$1))</f>
        <v/>
      </c>
      <c r="AB557" s="49">
        <f>IF(OR($AE557&lt;&gt;1,AB$1=""),"",SUMIFS('All Donations'!$S$2:$S$4001,'All Donations'!$R$2:$R$4001,$AD557,'All Donations'!$T$2:$T$4001,AB$1))</f>
        <v/>
      </c>
      <c r="AC557" s="49">
        <f>IF(OR($AE557&lt;&gt;1,AC$1=""),"",SUMIFS('All Donations'!$S$2:$S$4001,'All Donations'!$R$2:$R$4001,$AD557,'All Donations'!$T$2:$T$4001,AC$1))</f>
        <v/>
      </c>
      <c r="AD557">
        <f>IF(AE557=1,'Roster'!A557,"")</f>
        <v/>
      </c>
      <c r="AE557">
        <f>IF(TRIM('Roster'!B557&amp;'Roster'!C557)&lt;&gt;"",1,0)</f>
        <v/>
      </c>
      <c r="AF557">
        <f>IF(AE557=1,LOWER(A557),"#")</f>
        <v/>
      </c>
      <c r="AG557">
        <f>IF(AE557=1,LOWER(TRIM(TRIM('Roster'!C557)&amp;", "&amp;TRIM('Roster'!B557))),"#")</f>
        <v/>
      </c>
      <c r="AH557">
        <f>IF(AND(AE557=1,TRIM('Roster'!F557)&lt;&gt;""),LOWER(TRIM('Roster'!F557)),"#")</f>
        <v/>
      </c>
      <c r="AI557">
        <f>IF(AE557=1,IF(MATCH(B557,$B$2:$B$701,0)=ROW()-1,1,0),0)</f>
        <v/>
      </c>
      <c r="AJ557">
        <f>AJ556+AI557</f>
        <v/>
      </c>
      <c r="AK557">
        <f>IF(AE557=1,D557+(1000-ROW())/10^7,-1)</f>
        <v/>
      </c>
      <c r="AL557">
        <f>IF(AE557=1,TRIM('Roster'!B557)&amp;" "&amp;LEFT(TRIM('Roster'!C557),1)&amp;".","")</f>
        <v/>
      </c>
      <c r="AM557">
        <f>IF(AE557=1,TRIM('Roster'!C557)&amp;", "&amp;TRIM('Roster'!B557)&amp;" ("&amp;B557&amp;") #"&amp;AD557,"")</f>
        <v/>
      </c>
      <c r="AN557">
        <f>IF(AE557=1,TRIM('Roster'!E557),"")</f>
        <v/>
      </c>
      <c r="AO557">
        <f>IF(AE557=1,ROUND(SUMIFS('All Donations'!$S$2:$S$4001,'All Donations'!$R$2:$R$4001,AD557,'All Donations'!$T$2:$T$4001,"&gt;="&amp;'Settings'!$C$23,'All Donations'!$T$2:$T$4001,"&lt;="&amp;'Settings'!$D$23),2),0)</f>
        <v/>
      </c>
      <c r="AQ557">
        <f>IF(AE557=1,ROUND(SUMIFS('All Donations'!$S$2:$S$4001,'All Donations'!$R$2:$R$4001,AD557,'All Donations'!$T$2:$T$4001,"&gt;="&amp;'Settings'!$C$25,'All Donations'!$T$2:$T$4001,"&lt;="&amp;'Settings'!$D$25),2),0)</f>
        <v/>
      </c>
      <c r="AR557">
        <f>IF(AE557=1,ROUND(SUMIFS('All Donations'!$S$2:$S$4001,'All Donations'!$R$2:$R$4001,AD557,'All Donations'!$T$2:$T$4001,"&gt;="&amp;'Settings'!$C$26,'All Donations'!$T$2:$T$4001,"&lt;="&amp;'Settings'!$D$26),2),0)</f>
        <v/>
      </c>
      <c r="AS557">
        <f>IF(AE557=1,ROUND(SUMIFS('All Donations'!$S$2:$S$4001,'All Donations'!$R$2:$R$4001,AD557,'All Donations'!$T$2:$T$4001,"&lt;="&amp;'Settings'!$D$27),2),0)</f>
        <v/>
      </c>
      <c r="AT557">
        <f>IF(AE557=1,ROUND(SUMIFS('All Donations'!$S$2:$S$4001,'All Donations'!$R$2:$R$4001,AD557,'All Donations'!$T$2:$T$4001,"&gt;="&amp;'Settings'!$C$28,'All Donations'!$T$2:$T$4001,"&lt;="&amp;'Settings'!$D$28),2),0)</f>
        <v/>
      </c>
      <c r="AU557">
        <f>IF(AE557=1,ROUND(SUMIFS('All Donations'!$S$2:$S$4001,'All Donations'!$R$2:$R$4001,AD557,'All Donations'!$T$2:$T$4001,"&gt;="&amp;'Settings'!$C$29,'All Donations'!$T$2:$T$4001,"&lt;="&amp;'Settings'!$D$29),2),0)</f>
        <v/>
      </c>
      <c r="AV557">
        <f>IF(AE557=1,ROUND(SUMIFS('All Donations'!$S$2:$S$4001,'All Donations'!$R$2:$R$4001,AD557,'All Donations'!$T$2:$T$4001,"&lt;="&amp;'Settings'!$D$30),2),0)</f>
        <v/>
      </c>
      <c r="AZ557">
        <f>IF(AE557=1,ROUND(SUMIFS('All Donations'!$S$2:$S$4001,'All Donations'!$R$2:$R$4001,AD557,'All Donations'!$T$2:$T$4001,"&lt;="&amp;'Settings'!$D$34),2),0)</f>
        <v/>
      </c>
    </row>
    <row r="558">
      <c r="A558">
        <f>IF(AE558=1,TRIM(TRIM('Roster'!B558)&amp;" "&amp;TRIM('Roster'!C558)),"")</f>
        <v/>
      </c>
      <c r="B558">
        <f>IF(AE558=1,IF(AN558="","(no teacher)",AN558&amp;" – "&amp;C558),"")</f>
        <v/>
      </c>
      <c r="C558">
        <f>IF(AE558=1,TRIM('Roster'!D558&amp;""),"")</f>
        <v/>
      </c>
      <c r="D558" s="48">
        <f>IF(AE558=1,ROUND(SUMIFS('All Donations'!$S$2:$S$4001,'All Donations'!$R$2:$R$4001,AD558),2),"")</f>
        <v/>
      </c>
      <c r="E558" s="48">
        <f>IF(AE558=1,ROUND(SUMIFS('All Donations'!$S$2:$S$4001,'All Donations'!$R$2:$R$4001,AD558,'All Donations'!$G$2:$G$4001,"OneCause"),2),"")</f>
        <v/>
      </c>
      <c r="F558" s="48">
        <f>IF(AE558=1,D558-E558,"")</f>
        <v/>
      </c>
      <c r="G558">
        <f>IF(AE558=1,COUNTIFS('All Donations'!$R$2:$R$4001,AD558,'All Donations'!$H$2:$H$4001,"OK"),"")</f>
        <v/>
      </c>
      <c r="H558">
        <f>IF(AE558&lt;&gt;1,"",IF(D558&gt;0,"Yes",""))</f>
        <v/>
      </c>
      <c r="I558" s="49">
        <f>IF(OR($AE558&lt;&gt;1,I$1=""),"",SUMIFS('All Donations'!$S$2:$S$4001,'All Donations'!$R$2:$R$4001,$AD558,'All Donations'!$T$2:$T$4001,I$1))</f>
        <v/>
      </c>
      <c r="J558" s="49">
        <f>IF(OR($AE558&lt;&gt;1,J$1=""),"",SUMIFS('All Donations'!$S$2:$S$4001,'All Donations'!$R$2:$R$4001,$AD558,'All Donations'!$T$2:$T$4001,J$1))</f>
        <v/>
      </c>
      <c r="K558" s="49">
        <f>IF(OR($AE558&lt;&gt;1,K$1=""),"",SUMIFS('All Donations'!$S$2:$S$4001,'All Donations'!$R$2:$R$4001,$AD558,'All Donations'!$T$2:$T$4001,K$1))</f>
        <v/>
      </c>
      <c r="L558" s="49">
        <f>IF(OR($AE558&lt;&gt;1,L$1=""),"",SUMIFS('All Donations'!$S$2:$S$4001,'All Donations'!$R$2:$R$4001,$AD558,'All Donations'!$T$2:$T$4001,L$1))</f>
        <v/>
      </c>
      <c r="M558" s="49">
        <f>IF(OR($AE558&lt;&gt;1,M$1=""),"",SUMIFS('All Donations'!$S$2:$S$4001,'All Donations'!$R$2:$R$4001,$AD558,'All Donations'!$T$2:$T$4001,M$1))</f>
        <v/>
      </c>
      <c r="N558" s="49">
        <f>IF(OR($AE558&lt;&gt;1,N$1=""),"",SUMIFS('All Donations'!$S$2:$S$4001,'All Donations'!$R$2:$R$4001,$AD558,'All Donations'!$T$2:$T$4001,N$1))</f>
        <v/>
      </c>
      <c r="O558" s="49">
        <f>IF(OR($AE558&lt;&gt;1,O$1=""),"",SUMIFS('All Donations'!$S$2:$S$4001,'All Donations'!$R$2:$R$4001,$AD558,'All Donations'!$T$2:$T$4001,O$1))</f>
        <v/>
      </c>
      <c r="P558" s="49">
        <f>IF(OR($AE558&lt;&gt;1,P$1=""),"",SUMIFS('All Donations'!$S$2:$S$4001,'All Donations'!$R$2:$R$4001,$AD558,'All Donations'!$T$2:$T$4001,P$1))</f>
        <v/>
      </c>
      <c r="Q558" s="49">
        <f>IF(OR($AE558&lt;&gt;1,Q$1=""),"",SUMIFS('All Donations'!$S$2:$S$4001,'All Donations'!$R$2:$R$4001,$AD558,'All Donations'!$T$2:$T$4001,Q$1))</f>
        <v/>
      </c>
      <c r="R558" s="49">
        <f>IF(OR($AE558&lt;&gt;1,R$1=""),"",SUMIFS('All Donations'!$S$2:$S$4001,'All Donations'!$R$2:$R$4001,$AD558,'All Donations'!$T$2:$T$4001,R$1))</f>
        <v/>
      </c>
      <c r="S558" s="49">
        <f>IF(OR($AE558&lt;&gt;1,S$1=""),"",SUMIFS('All Donations'!$S$2:$S$4001,'All Donations'!$R$2:$R$4001,$AD558,'All Donations'!$T$2:$T$4001,S$1))</f>
        <v/>
      </c>
      <c r="T558" s="49">
        <f>IF(OR($AE558&lt;&gt;1,T$1=""),"",SUMIFS('All Donations'!$S$2:$S$4001,'All Donations'!$R$2:$R$4001,$AD558,'All Donations'!$T$2:$T$4001,T$1))</f>
        <v/>
      </c>
      <c r="U558" s="49">
        <f>IF(OR($AE558&lt;&gt;1,U$1=""),"",SUMIFS('All Donations'!$S$2:$S$4001,'All Donations'!$R$2:$R$4001,$AD558,'All Donations'!$T$2:$T$4001,U$1))</f>
        <v/>
      </c>
      <c r="V558" s="49">
        <f>IF(OR($AE558&lt;&gt;1,V$1=""),"",SUMIFS('All Donations'!$S$2:$S$4001,'All Donations'!$R$2:$R$4001,$AD558,'All Donations'!$T$2:$T$4001,V$1))</f>
        <v/>
      </c>
      <c r="W558" s="49">
        <f>IF(OR($AE558&lt;&gt;1,W$1=""),"",SUMIFS('All Donations'!$S$2:$S$4001,'All Donations'!$R$2:$R$4001,$AD558,'All Donations'!$T$2:$T$4001,W$1))</f>
        <v/>
      </c>
      <c r="X558" s="49">
        <f>IF(OR($AE558&lt;&gt;1,X$1=""),"",SUMIFS('All Donations'!$S$2:$S$4001,'All Donations'!$R$2:$R$4001,$AD558,'All Donations'!$T$2:$T$4001,X$1))</f>
        <v/>
      </c>
      <c r="Y558" s="49">
        <f>IF(OR($AE558&lt;&gt;1,Y$1=""),"",SUMIFS('All Donations'!$S$2:$S$4001,'All Donations'!$R$2:$R$4001,$AD558,'All Donations'!$T$2:$T$4001,Y$1))</f>
        <v/>
      </c>
      <c r="Z558" s="49">
        <f>IF(OR($AE558&lt;&gt;1,Z$1=""),"",SUMIFS('All Donations'!$S$2:$S$4001,'All Donations'!$R$2:$R$4001,$AD558,'All Donations'!$T$2:$T$4001,Z$1))</f>
        <v/>
      </c>
      <c r="AA558" s="49">
        <f>IF(OR($AE558&lt;&gt;1,AA$1=""),"",SUMIFS('All Donations'!$S$2:$S$4001,'All Donations'!$R$2:$R$4001,$AD558,'All Donations'!$T$2:$T$4001,AA$1))</f>
        <v/>
      </c>
      <c r="AB558" s="49">
        <f>IF(OR($AE558&lt;&gt;1,AB$1=""),"",SUMIFS('All Donations'!$S$2:$S$4001,'All Donations'!$R$2:$R$4001,$AD558,'All Donations'!$T$2:$T$4001,AB$1))</f>
        <v/>
      </c>
      <c r="AC558" s="49">
        <f>IF(OR($AE558&lt;&gt;1,AC$1=""),"",SUMIFS('All Donations'!$S$2:$S$4001,'All Donations'!$R$2:$R$4001,$AD558,'All Donations'!$T$2:$T$4001,AC$1))</f>
        <v/>
      </c>
      <c r="AD558">
        <f>IF(AE558=1,'Roster'!A558,"")</f>
        <v/>
      </c>
      <c r="AE558">
        <f>IF(TRIM('Roster'!B558&amp;'Roster'!C558)&lt;&gt;"",1,0)</f>
        <v/>
      </c>
      <c r="AF558">
        <f>IF(AE558=1,LOWER(A558),"#")</f>
        <v/>
      </c>
      <c r="AG558">
        <f>IF(AE558=1,LOWER(TRIM(TRIM('Roster'!C558)&amp;", "&amp;TRIM('Roster'!B558))),"#")</f>
        <v/>
      </c>
      <c r="AH558">
        <f>IF(AND(AE558=1,TRIM('Roster'!F558)&lt;&gt;""),LOWER(TRIM('Roster'!F558)),"#")</f>
        <v/>
      </c>
      <c r="AI558">
        <f>IF(AE558=1,IF(MATCH(B558,$B$2:$B$701,0)=ROW()-1,1,0),0)</f>
        <v/>
      </c>
      <c r="AJ558">
        <f>AJ557+AI558</f>
        <v/>
      </c>
      <c r="AK558">
        <f>IF(AE558=1,D558+(1000-ROW())/10^7,-1)</f>
        <v/>
      </c>
      <c r="AL558">
        <f>IF(AE558=1,TRIM('Roster'!B558)&amp;" "&amp;LEFT(TRIM('Roster'!C558),1)&amp;".","")</f>
        <v/>
      </c>
      <c r="AM558">
        <f>IF(AE558=1,TRIM('Roster'!C558)&amp;", "&amp;TRIM('Roster'!B558)&amp;" ("&amp;B558&amp;") #"&amp;AD558,"")</f>
        <v/>
      </c>
      <c r="AN558">
        <f>IF(AE558=1,TRIM('Roster'!E558),"")</f>
        <v/>
      </c>
      <c r="AO558">
        <f>IF(AE558=1,ROUND(SUMIFS('All Donations'!$S$2:$S$4001,'All Donations'!$R$2:$R$4001,AD558,'All Donations'!$T$2:$T$4001,"&gt;="&amp;'Settings'!$C$23,'All Donations'!$T$2:$T$4001,"&lt;="&amp;'Settings'!$D$23),2),0)</f>
        <v/>
      </c>
      <c r="AQ558">
        <f>IF(AE558=1,ROUND(SUMIFS('All Donations'!$S$2:$S$4001,'All Donations'!$R$2:$R$4001,AD558,'All Donations'!$T$2:$T$4001,"&gt;="&amp;'Settings'!$C$25,'All Donations'!$T$2:$T$4001,"&lt;="&amp;'Settings'!$D$25),2),0)</f>
        <v/>
      </c>
      <c r="AR558">
        <f>IF(AE558=1,ROUND(SUMIFS('All Donations'!$S$2:$S$4001,'All Donations'!$R$2:$R$4001,AD558,'All Donations'!$T$2:$T$4001,"&gt;="&amp;'Settings'!$C$26,'All Donations'!$T$2:$T$4001,"&lt;="&amp;'Settings'!$D$26),2),0)</f>
        <v/>
      </c>
      <c r="AS558">
        <f>IF(AE558=1,ROUND(SUMIFS('All Donations'!$S$2:$S$4001,'All Donations'!$R$2:$R$4001,AD558,'All Donations'!$T$2:$T$4001,"&lt;="&amp;'Settings'!$D$27),2),0)</f>
        <v/>
      </c>
      <c r="AT558">
        <f>IF(AE558=1,ROUND(SUMIFS('All Donations'!$S$2:$S$4001,'All Donations'!$R$2:$R$4001,AD558,'All Donations'!$T$2:$T$4001,"&gt;="&amp;'Settings'!$C$28,'All Donations'!$T$2:$T$4001,"&lt;="&amp;'Settings'!$D$28),2),0)</f>
        <v/>
      </c>
      <c r="AU558">
        <f>IF(AE558=1,ROUND(SUMIFS('All Donations'!$S$2:$S$4001,'All Donations'!$R$2:$R$4001,AD558,'All Donations'!$T$2:$T$4001,"&gt;="&amp;'Settings'!$C$29,'All Donations'!$T$2:$T$4001,"&lt;="&amp;'Settings'!$D$29),2),0)</f>
        <v/>
      </c>
      <c r="AV558">
        <f>IF(AE558=1,ROUND(SUMIFS('All Donations'!$S$2:$S$4001,'All Donations'!$R$2:$R$4001,AD558,'All Donations'!$T$2:$T$4001,"&lt;="&amp;'Settings'!$D$30),2),0)</f>
        <v/>
      </c>
      <c r="AZ558">
        <f>IF(AE558=1,ROUND(SUMIFS('All Donations'!$S$2:$S$4001,'All Donations'!$R$2:$R$4001,AD558,'All Donations'!$T$2:$T$4001,"&lt;="&amp;'Settings'!$D$34),2),0)</f>
        <v/>
      </c>
    </row>
    <row r="559">
      <c r="A559">
        <f>IF(AE559=1,TRIM(TRIM('Roster'!B559)&amp;" "&amp;TRIM('Roster'!C559)),"")</f>
        <v/>
      </c>
      <c r="B559">
        <f>IF(AE559=1,IF(AN559="","(no teacher)",AN559&amp;" – "&amp;C559),"")</f>
        <v/>
      </c>
      <c r="C559">
        <f>IF(AE559=1,TRIM('Roster'!D559&amp;""),"")</f>
        <v/>
      </c>
      <c r="D559" s="48">
        <f>IF(AE559=1,ROUND(SUMIFS('All Donations'!$S$2:$S$4001,'All Donations'!$R$2:$R$4001,AD559),2),"")</f>
        <v/>
      </c>
      <c r="E559" s="48">
        <f>IF(AE559=1,ROUND(SUMIFS('All Donations'!$S$2:$S$4001,'All Donations'!$R$2:$R$4001,AD559,'All Donations'!$G$2:$G$4001,"OneCause"),2),"")</f>
        <v/>
      </c>
      <c r="F559" s="48">
        <f>IF(AE559=1,D559-E559,"")</f>
        <v/>
      </c>
      <c r="G559">
        <f>IF(AE559=1,COUNTIFS('All Donations'!$R$2:$R$4001,AD559,'All Donations'!$H$2:$H$4001,"OK"),"")</f>
        <v/>
      </c>
      <c r="H559">
        <f>IF(AE559&lt;&gt;1,"",IF(D559&gt;0,"Yes",""))</f>
        <v/>
      </c>
      <c r="I559" s="49">
        <f>IF(OR($AE559&lt;&gt;1,I$1=""),"",SUMIFS('All Donations'!$S$2:$S$4001,'All Donations'!$R$2:$R$4001,$AD559,'All Donations'!$T$2:$T$4001,I$1))</f>
        <v/>
      </c>
      <c r="J559" s="49">
        <f>IF(OR($AE559&lt;&gt;1,J$1=""),"",SUMIFS('All Donations'!$S$2:$S$4001,'All Donations'!$R$2:$R$4001,$AD559,'All Donations'!$T$2:$T$4001,J$1))</f>
        <v/>
      </c>
      <c r="K559" s="49">
        <f>IF(OR($AE559&lt;&gt;1,K$1=""),"",SUMIFS('All Donations'!$S$2:$S$4001,'All Donations'!$R$2:$R$4001,$AD559,'All Donations'!$T$2:$T$4001,K$1))</f>
        <v/>
      </c>
      <c r="L559" s="49">
        <f>IF(OR($AE559&lt;&gt;1,L$1=""),"",SUMIFS('All Donations'!$S$2:$S$4001,'All Donations'!$R$2:$R$4001,$AD559,'All Donations'!$T$2:$T$4001,L$1))</f>
        <v/>
      </c>
      <c r="M559" s="49">
        <f>IF(OR($AE559&lt;&gt;1,M$1=""),"",SUMIFS('All Donations'!$S$2:$S$4001,'All Donations'!$R$2:$R$4001,$AD559,'All Donations'!$T$2:$T$4001,M$1))</f>
        <v/>
      </c>
      <c r="N559" s="49">
        <f>IF(OR($AE559&lt;&gt;1,N$1=""),"",SUMIFS('All Donations'!$S$2:$S$4001,'All Donations'!$R$2:$R$4001,$AD559,'All Donations'!$T$2:$T$4001,N$1))</f>
        <v/>
      </c>
      <c r="O559" s="49">
        <f>IF(OR($AE559&lt;&gt;1,O$1=""),"",SUMIFS('All Donations'!$S$2:$S$4001,'All Donations'!$R$2:$R$4001,$AD559,'All Donations'!$T$2:$T$4001,O$1))</f>
        <v/>
      </c>
      <c r="P559" s="49">
        <f>IF(OR($AE559&lt;&gt;1,P$1=""),"",SUMIFS('All Donations'!$S$2:$S$4001,'All Donations'!$R$2:$R$4001,$AD559,'All Donations'!$T$2:$T$4001,P$1))</f>
        <v/>
      </c>
      <c r="Q559" s="49">
        <f>IF(OR($AE559&lt;&gt;1,Q$1=""),"",SUMIFS('All Donations'!$S$2:$S$4001,'All Donations'!$R$2:$R$4001,$AD559,'All Donations'!$T$2:$T$4001,Q$1))</f>
        <v/>
      </c>
      <c r="R559" s="49">
        <f>IF(OR($AE559&lt;&gt;1,R$1=""),"",SUMIFS('All Donations'!$S$2:$S$4001,'All Donations'!$R$2:$R$4001,$AD559,'All Donations'!$T$2:$T$4001,R$1))</f>
        <v/>
      </c>
      <c r="S559" s="49">
        <f>IF(OR($AE559&lt;&gt;1,S$1=""),"",SUMIFS('All Donations'!$S$2:$S$4001,'All Donations'!$R$2:$R$4001,$AD559,'All Donations'!$T$2:$T$4001,S$1))</f>
        <v/>
      </c>
      <c r="T559" s="49">
        <f>IF(OR($AE559&lt;&gt;1,T$1=""),"",SUMIFS('All Donations'!$S$2:$S$4001,'All Donations'!$R$2:$R$4001,$AD559,'All Donations'!$T$2:$T$4001,T$1))</f>
        <v/>
      </c>
      <c r="U559" s="49">
        <f>IF(OR($AE559&lt;&gt;1,U$1=""),"",SUMIFS('All Donations'!$S$2:$S$4001,'All Donations'!$R$2:$R$4001,$AD559,'All Donations'!$T$2:$T$4001,U$1))</f>
        <v/>
      </c>
      <c r="V559" s="49">
        <f>IF(OR($AE559&lt;&gt;1,V$1=""),"",SUMIFS('All Donations'!$S$2:$S$4001,'All Donations'!$R$2:$R$4001,$AD559,'All Donations'!$T$2:$T$4001,V$1))</f>
        <v/>
      </c>
      <c r="W559" s="49">
        <f>IF(OR($AE559&lt;&gt;1,W$1=""),"",SUMIFS('All Donations'!$S$2:$S$4001,'All Donations'!$R$2:$R$4001,$AD559,'All Donations'!$T$2:$T$4001,W$1))</f>
        <v/>
      </c>
      <c r="X559" s="49">
        <f>IF(OR($AE559&lt;&gt;1,X$1=""),"",SUMIFS('All Donations'!$S$2:$S$4001,'All Donations'!$R$2:$R$4001,$AD559,'All Donations'!$T$2:$T$4001,X$1))</f>
        <v/>
      </c>
      <c r="Y559" s="49">
        <f>IF(OR($AE559&lt;&gt;1,Y$1=""),"",SUMIFS('All Donations'!$S$2:$S$4001,'All Donations'!$R$2:$R$4001,$AD559,'All Donations'!$T$2:$T$4001,Y$1))</f>
        <v/>
      </c>
      <c r="Z559" s="49">
        <f>IF(OR($AE559&lt;&gt;1,Z$1=""),"",SUMIFS('All Donations'!$S$2:$S$4001,'All Donations'!$R$2:$R$4001,$AD559,'All Donations'!$T$2:$T$4001,Z$1))</f>
        <v/>
      </c>
      <c r="AA559" s="49">
        <f>IF(OR($AE559&lt;&gt;1,AA$1=""),"",SUMIFS('All Donations'!$S$2:$S$4001,'All Donations'!$R$2:$R$4001,$AD559,'All Donations'!$T$2:$T$4001,AA$1))</f>
        <v/>
      </c>
      <c r="AB559" s="49">
        <f>IF(OR($AE559&lt;&gt;1,AB$1=""),"",SUMIFS('All Donations'!$S$2:$S$4001,'All Donations'!$R$2:$R$4001,$AD559,'All Donations'!$T$2:$T$4001,AB$1))</f>
        <v/>
      </c>
      <c r="AC559" s="49">
        <f>IF(OR($AE559&lt;&gt;1,AC$1=""),"",SUMIFS('All Donations'!$S$2:$S$4001,'All Donations'!$R$2:$R$4001,$AD559,'All Donations'!$T$2:$T$4001,AC$1))</f>
        <v/>
      </c>
      <c r="AD559">
        <f>IF(AE559=1,'Roster'!A559,"")</f>
        <v/>
      </c>
      <c r="AE559">
        <f>IF(TRIM('Roster'!B559&amp;'Roster'!C559)&lt;&gt;"",1,0)</f>
        <v/>
      </c>
      <c r="AF559">
        <f>IF(AE559=1,LOWER(A559),"#")</f>
        <v/>
      </c>
      <c r="AG559">
        <f>IF(AE559=1,LOWER(TRIM(TRIM('Roster'!C559)&amp;", "&amp;TRIM('Roster'!B559))),"#")</f>
        <v/>
      </c>
      <c r="AH559">
        <f>IF(AND(AE559=1,TRIM('Roster'!F559)&lt;&gt;""),LOWER(TRIM('Roster'!F559)),"#")</f>
        <v/>
      </c>
      <c r="AI559">
        <f>IF(AE559=1,IF(MATCH(B559,$B$2:$B$701,0)=ROW()-1,1,0),0)</f>
        <v/>
      </c>
      <c r="AJ559">
        <f>AJ558+AI559</f>
        <v/>
      </c>
      <c r="AK559">
        <f>IF(AE559=1,D559+(1000-ROW())/10^7,-1)</f>
        <v/>
      </c>
      <c r="AL559">
        <f>IF(AE559=1,TRIM('Roster'!B559)&amp;" "&amp;LEFT(TRIM('Roster'!C559),1)&amp;".","")</f>
        <v/>
      </c>
      <c r="AM559">
        <f>IF(AE559=1,TRIM('Roster'!C559)&amp;", "&amp;TRIM('Roster'!B559)&amp;" ("&amp;B559&amp;") #"&amp;AD559,"")</f>
        <v/>
      </c>
      <c r="AN559">
        <f>IF(AE559=1,TRIM('Roster'!E559),"")</f>
        <v/>
      </c>
      <c r="AO559">
        <f>IF(AE559=1,ROUND(SUMIFS('All Donations'!$S$2:$S$4001,'All Donations'!$R$2:$R$4001,AD559,'All Donations'!$T$2:$T$4001,"&gt;="&amp;'Settings'!$C$23,'All Donations'!$T$2:$T$4001,"&lt;="&amp;'Settings'!$D$23),2),0)</f>
        <v/>
      </c>
      <c r="AQ559">
        <f>IF(AE559=1,ROUND(SUMIFS('All Donations'!$S$2:$S$4001,'All Donations'!$R$2:$R$4001,AD559,'All Donations'!$T$2:$T$4001,"&gt;="&amp;'Settings'!$C$25,'All Donations'!$T$2:$T$4001,"&lt;="&amp;'Settings'!$D$25),2),0)</f>
        <v/>
      </c>
      <c r="AR559">
        <f>IF(AE559=1,ROUND(SUMIFS('All Donations'!$S$2:$S$4001,'All Donations'!$R$2:$R$4001,AD559,'All Donations'!$T$2:$T$4001,"&gt;="&amp;'Settings'!$C$26,'All Donations'!$T$2:$T$4001,"&lt;="&amp;'Settings'!$D$26),2),0)</f>
        <v/>
      </c>
      <c r="AS559">
        <f>IF(AE559=1,ROUND(SUMIFS('All Donations'!$S$2:$S$4001,'All Donations'!$R$2:$R$4001,AD559,'All Donations'!$T$2:$T$4001,"&lt;="&amp;'Settings'!$D$27),2),0)</f>
        <v/>
      </c>
      <c r="AT559">
        <f>IF(AE559=1,ROUND(SUMIFS('All Donations'!$S$2:$S$4001,'All Donations'!$R$2:$R$4001,AD559,'All Donations'!$T$2:$T$4001,"&gt;="&amp;'Settings'!$C$28,'All Donations'!$T$2:$T$4001,"&lt;="&amp;'Settings'!$D$28),2),0)</f>
        <v/>
      </c>
      <c r="AU559">
        <f>IF(AE559=1,ROUND(SUMIFS('All Donations'!$S$2:$S$4001,'All Donations'!$R$2:$R$4001,AD559,'All Donations'!$T$2:$T$4001,"&gt;="&amp;'Settings'!$C$29,'All Donations'!$T$2:$T$4001,"&lt;="&amp;'Settings'!$D$29),2),0)</f>
        <v/>
      </c>
      <c r="AV559">
        <f>IF(AE559=1,ROUND(SUMIFS('All Donations'!$S$2:$S$4001,'All Donations'!$R$2:$R$4001,AD559,'All Donations'!$T$2:$T$4001,"&lt;="&amp;'Settings'!$D$30),2),0)</f>
        <v/>
      </c>
      <c r="AZ559">
        <f>IF(AE559=1,ROUND(SUMIFS('All Donations'!$S$2:$S$4001,'All Donations'!$R$2:$R$4001,AD559,'All Donations'!$T$2:$T$4001,"&lt;="&amp;'Settings'!$D$34),2),0)</f>
        <v/>
      </c>
    </row>
    <row r="560">
      <c r="A560">
        <f>IF(AE560=1,TRIM(TRIM('Roster'!B560)&amp;" "&amp;TRIM('Roster'!C560)),"")</f>
        <v/>
      </c>
      <c r="B560">
        <f>IF(AE560=1,IF(AN560="","(no teacher)",AN560&amp;" – "&amp;C560),"")</f>
        <v/>
      </c>
      <c r="C560">
        <f>IF(AE560=1,TRIM('Roster'!D560&amp;""),"")</f>
        <v/>
      </c>
      <c r="D560" s="48">
        <f>IF(AE560=1,ROUND(SUMIFS('All Donations'!$S$2:$S$4001,'All Donations'!$R$2:$R$4001,AD560),2),"")</f>
        <v/>
      </c>
      <c r="E560" s="48">
        <f>IF(AE560=1,ROUND(SUMIFS('All Donations'!$S$2:$S$4001,'All Donations'!$R$2:$R$4001,AD560,'All Donations'!$G$2:$G$4001,"OneCause"),2),"")</f>
        <v/>
      </c>
      <c r="F560" s="48">
        <f>IF(AE560=1,D560-E560,"")</f>
        <v/>
      </c>
      <c r="G560">
        <f>IF(AE560=1,COUNTIFS('All Donations'!$R$2:$R$4001,AD560,'All Donations'!$H$2:$H$4001,"OK"),"")</f>
        <v/>
      </c>
      <c r="H560">
        <f>IF(AE560&lt;&gt;1,"",IF(D560&gt;0,"Yes",""))</f>
        <v/>
      </c>
      <c r="I560" s="49">
        <f>IF(OR($AE560&lt;&gt;1,I$1=""),"",SUMIFS('All Donations'!$S$2:$S$4001,'All Donations'!$R$2:$R$4001,$AD560,'All Donations'!$T$2:$T$4001,I$1))</f>
        <v/>
      </c>
      <c r="J560" s="49">
        <f>IF(OR($AE560&lt;&gt;1,J$1=""),"",SUMIFS('All Donations'!$S$2:$S$4001,'All Donations'!$R$2:$R$4001,$AD560,'All Donations'!$T$2:$T$4001,J$1))</f>
        <v/>
      </c>
      <c r="K560" s="49">
        <f>IF(OR($AE560&lt;&gt;1,K$1=""),"",SUMIFS('All Donations'!$S$2:$S$4001,'All Donations'!$R$2:$R$4001,$AD560,'All Donations'!$T$2:$T$4001,K$1))</f>
        <v/>
      </c>
      <c r="L560" s="49">
        <f>IF(OR($AE560&lt;&gt;1,L$1=""),"",SUMIFS('All Donations'!$S$2:$S$4001,'All Donations'!$R$2:$R$4001,$AD560,'All Donations'!$T$2:$T$4001,L$1))</f>
        <v/>
      </c>
      <c r="M560" s="49">
        <f>IF(OR($AE560&lt;&gt;1,M$1=""),"",SUMIFS('All Donations'!$S$2:$S$4001,'All Donations'!$R$2:$R$4001,$AD560,'All Donations'!$T$2:$T$4001,M$1))</f>
        <v/>
      </c>
      <c r="N560" s="49">
        <f>IF(OR($AE560&lt;&gt;1,N$1=""),"",SUMIFS('All Donations'!$S$2:$S$4001,'All Donations'!$R$2:$R$4001,$AD560,'All Donations'!$T$2:$T$4001,N$1))</f>
        <v/>
      </c>
      <c r="O560" s="49">
        <f>IF(OR($AE560&lt;&gt;1,O$1=""),"",SUMIFS('All Donations'!$S$2:$S$4001,'All Donations'!$R$2:$R$4001,$AD560,'All Donations'!$T$2:$T$4001,O$1))</f>
        <v/>
      </c>
      <c r="P560" s="49">
        <f>IF(OR($AE560&lt;&gt;1,P$1=""),"",SUMIFS('All Donations'!$S$2:$S$4001,'All Donations'!$R$2:$R$4001,$AD560,'All Donations'!$T$2:$T$4001,P$1))</f>
        <v/>
      </c>
      <c r="Q560" s="49">
        <f>IF(OR($AE560&lt;&gt;1,Q$1=""),"",SUMIFS('All Donations'!$S$2:$S$4001,'All Donations'!$R$2:$R$4001,$AD560,'All Donations'!$T$2:$T$4001,Q$1))</f>
        <v/>
      </c>
      <c r="R560" s="49">
        <f>IF(OR($AE560&lt;&gt;1,R$1=""),"",SUMIFS('All Donations'!$S$2:$S$4001,'All Donations'!$R$2:$R$4001,$AD560,'All Donations'!$T$2:$T$4001,R$1))</f>
        <v/>
      </c>
      <c r="S560" s="49">
        <f>IF(OR($AE560&lt;&gt;1,S$1=""),"",SUMIFS('All Donations'!$S$2:$S$4001,'All Donations'!$R$2:$R$4001,$AD560,'All Donations'!$T$2:$T$4001,S$1))</f>
        <v/>
      </c>
      <c r="T560" s="49">
        <f>IF(OR($AE560&lt;&gt;1,T$1=""),"",SUMIFS('All Donations'!$S$2:$S$4001,'All Donations'!$R$2:$R$4001,$AD560,'All Donations'!$T$2:$T$4001,T$1))</f>
        <v/>
      </c>
      <c r="U560" s="49">
        <f>IF(OR($AE560&lt;&gt;1,U$1=""),"",SUMIFS('All Donations'!$S$2:$S$4001,'All Donations'!$R$2:$R$4001,$AD560,'All Donations'!$T$2:$T$4001,U$1))</f>
        <v/>
      </c>
      <c r="V560" s="49">
        <f>IF(OR($AE560&lt;&gt;1,V$1=""),"",SUMIFS('All Donations'!$S$2:$S$4001,'All Donations'!$R$2:$R$4001,$AD560,'All Donations'!$T$2:$T$4001,V$1))</f>
        <v/>
      </c>
      <c r="W560" s="49">
        <f>IF(OR($AE560&lt;&gt;1,W$1=""),"",SUMIFS('All Donations'!$S$2:$S$4001,'All Donations'!$R$2:$R$4001,$AD560,'All Donations'!$T$2:$T$4001,W$1))</f>
        <v/>
      </c>
      <c r="X560" s="49">
        <f>IF(OR($AE560&lt;&gt;1,X$1=""),"",SUMIFS('All Donations'!$S$2:$S$4001,'All Donations'!$R$2:$R$4001,$AD560,'All Donations'!$T$2:$T$4001,X$1))</f>
        <v/>
      </c>
      <c r="Y560" s="49">
        <f>IF(OR($AE560&lt;&gt;1,Y$1=""),"",SUMIFS('All Donations'!$S$2:$S$4001,'All Donations'!$R$2:$R$4001,$AD560,'All Donations'!$T$2:$T$4001,Y$1))</f>
        <v/>
      </c>
      <c r="Z560" s="49">
        <f>IF(OR($AE560&lt;&gt;1,Z$1=""),"",SUMIFS('All Donations'!$S$2:$S$4001,'All Donations'!$R$2:$R$4001,$AD560,'All Donations'!$T$2:$T$4001,Z$1))</f>
        <v/>
      </c>
      <c r="AA560" s="49">
        <f>IF(OR($AE560&lt;&gt;1,AA$1=""),"",SUMIFS('All Donations'!$S$2:$S$4001,'All Donations'!$R$2:$R$4001,$AD560,'All Donations'!$T$2:$T$4001,AA$1))</f>
        <v/>
      </c>
      <c r="AB560" s="49">
        <f>IF(OR($AE560&lt;&gt;1,AB$1=""),"",SUMIFS('All Donations'!$S$2:$S$4001,'All Donations'!$R$2:$R$4001,$AD560,'All Donations'!$T$2:$T$4001,AB$1))</f>
        <v/>
      </c>
      <c r="AC560" s="49">
        <f>IF(OR($AE560&lt;&gt;1,AC$1=""),"",SUMIFS('All Donations'!$S$2:$S$4001,'All Donations'!$R$2:$R$4001,$AD560,'All Donations'!$T$2:$T$4001,AC$1))</f>
        <v/>
      </c>
      <c r="AD560">
        <f>IF(AE560=1,'Roster'!A560,"")</f>
        <v/>
      </c>
      <c r="AE560">
        <f>IF(TRIM('Roster'!B560&amp;'Roster'!C560)&lt;&gt;"",1,0)</f>
        <v/>
      </c>
      <c r="AF560">
        <f>IF(AE560=1,LOWER(A560),"#")</f>
        <v/>
      </c>
      <c r="AG560">
        <f>IF(AE560=1,LOWER(TRIM(TRIM('Roster'!C560)&amp;", "&amp;TRIM('Roster'!B560))),"#")</f>
        <v/>
      </c>
      <c r="AH560">
        <f>IF(AND(AE560=1,TRIM('Roster'!F560)&lt;&gt;""),LOWER(TRIM('Roster'!F560)),"#")</f>
        <v/>
      </c>
      <c r="AI560">
        <f>IF(AE560=1,IF(MATCH(B560,$B$2:$B$701,0)=ROW()-1,1,0),0)</f>
        <v/>
      </c>
      <c r="AJ560">
        <f>AJ559+AI560</f>
        <v/>
      </c>
      <c r="AK560">
        <f>IF(AE560=1,D560+(1000-ROW())/10^7,-1)</f>
        <v/>
      </c>
      <c r="AL560">
        <f>IF(AE560=1,TRIM('Roster'!B560)&amp;" "&amp;LEFT(TRIM('Roster'!C560),1)&amp;".","")</f>
        <v/>
      </c>
      <c r="AM560">
        <f>IF(AE560=1,TRIM('Roster'!C560)&amp;", "&amp;TRIM('Roster'!B560)&amp;" ("&amp;B560&amp;") #"&amp;AD560,"")</f>
        <v/>
      </c>
      <c r="AN560">
        <f>IF(AE560=1,TRIM('Roster'!E560),"")</f>
        <v/>
      </c>
      <c r="AO560">
        <f>IF(AE560=1,ROUND(SUMIFS('All Donations'!$S$2:$S$4001,'All Donations'!$R$2:$R$4001,AD560,'All Donations'!$T$2:$T$4001,"&gt;="&amp;'Settings'!$C$23,'All Donations'!$T$2:$T$4001,"&lt;="&amp;'Settings'!$D$23),2),0)</f>
        <v/>
      </c>
      <c r="AQ560">
        <f>IF(AE560=1,ROUND(SUMIFS('All Donations'!$S$2:$S$4001,'All Donations'!$R$2:$R$4001,AD560,'All Donations'!$T$2:$T$4001,"&gt;="&amp;'Settings'!$C$25,'All Donations'!$T$2:$T$4001,"&lt;="&amp;'Settings'!$D$25),2),0)</f>
        <v/>
      </c>
      <c r="AR560">
        <f>IF(AE560=1,ROUND(SUMIFS('All Donations'!$S$2:$S$4001,'All Donations'!$R$2:$R$4001,AD560,'All Donations'!$T$2:$T$4001,"&gt;="&amp;'Settings'!$C$26,'All Donations'!$T$2:$T$4001,"&lt;="&amp;'Settings'!$D$26),2),0)</f>
        <v/>
      </c>
      <c r="AS560">
        <f>IF(AE560=1,ROUND(SUMIFS('All Donations'!$S$2:$S$4001,'All Donations'!$R$2:$R$4001,AD560,'All Donations'!$T$2:$T$4001,"&lt;="&amp;'Settings'!$D$27),2),0)</f>
        <v/>
      </c>
      <c r="AT560">
        <f>IF(AE560=1,ROUND(SUMIFS('All Donations'!$S$2:$S$4001,'All Donations'!$R$2:$R$4001,AD560,'All Donations'!$T$2:$T$4001,"&gt;="&amp;'Settings'!$C$28,'All Donations'!$T$2:$T$4001,"&lt;="&amp;'Settings'!$D$28),2),0)</f>
        <v/>
      </c>
      <c r="AU560">
        <f>IF(AE560=1,ROUND(SUMIFS('All Donations'!$S$2:$S$4001,'All Donations'!$R$2:$R$4001,AD560,'All Donations'!$T$2:$T$4001,"&gt;="&amp;'Settings'!$C$29,'All Donations'!$T$2:$T$4001,"&lt;="&amp;'Settings'!$D$29),2),0)</f>
        <v/>
      </c>
      <c r="AV560">
        <f>IF(AE560=1,ROUND(SUMIFS('All Donations'!$S$2:$S$4001,'All Donations'!$R$2:$R$4001,AD560,'All Donations'!$T$2:$T$4001,"&lt;="&amp;'Settings'!$D$30),2),0)</f>
        <v/>
      </c>
      <c r="AZ560">
        <f>IF(AE560=1,ROUND(SUMIFS('All Donations'!$S$2:$S$4001,'All Donations'!$R$2:$R$4001,AD560,'All Donations'!$T$2:$T$4001,"&lt;="&amp;'Settings'!$D$34),2),0)</f>
        <v/>
      </c>
    </row>
    <row r="561">
      <c r="A561">
        <f>IF(AE561=1,TRIM(TRIM('Roster'!B561)&amp;" "&amp;TRIM('Roster'!C561)),"")</f>
        <v/>
      </c>
      <c r="B561">
        <f>IF(AE561=1,IF(AN561="","(no teacher)",AN561&amp;" – "&amp;C561),"")</f>
        <v/>
      </c>
      <c r="C561">
        <f>IF(AE561=1,TRIM('Roster'!D561&amp;""),"")</f>
        <v/>
      </c>
      <c r="D561" s="48">
        <f>IF(AE561=1,ROUND(SUMIFS('All Donations'!$S$2:$S$4001,'All Donations'!$R$2:$R$4001,AD561),2),"")</f>
        <v/>
      </c>
      <c r="E561" s="48">
        <f>IF(AE561=1,ROUND(SUMIFS('All Donations'!$S$2:$S$4001,'All Donations'!$R$2:$R$4001,AD561,'All Donations'!$G$2:$G$4001,"OneCause"),2),"")</f>
        <v/>
      </c>
      <c r="F561" s="48">
        <f>IF(AE561=1,D561-E561,"")</f>
        <v/>
      </c>
      <c r="G561">
        <f>IF(AE561=1,COUNTIFS('All Donations'!$R$2:$R$4001,AD561,'All Donations'!$H$2:$H$4001,"OK"),"")</f>
        <v/>
      </c>
      <c r="H561">
        <f>IF(AE561&lt;&gt;1,"",IF(D561&gt;0,"Yes",""))</f>
        <v/>
      </c>
      <c r="I561" s="49">
        <f>IF(OR($AE561&lt;&gt;1,I$1=""),"",SUMIFS('All Donations'!$S$2:$S$4001,'All Donations'!$R$2:$R$4001,$AD561,'All Donations'!$T$2:$T$4001,I$1))</f>
        <v/>
      </c>
      <c r="J561" s="49">
        <f>IF(OR($AE561&lt;&gt;1,J$1=""),"",SUMIFS('All Donations'!$S$2:$S$4001,'All Donations'!$R$2:$R$4001,$AD561,'All Donations'!$T$2:$T$4001,J$1))</f>
        <v/>
      </c>
      <c r="K561" s="49">
        <f>IF(OR($AE561&lt;&gt;1,K$1=""),"",SUMIFS('All Donations'!$S$2:$S$4001,'All Donations'!$R$2:$R$4001,$AD561,'All Donations'!$T$2:$T$4001,K$1))</f>
        <v/>
      </c>
      <c r="L561" s="49">
        <f>IF(OR($AE561&lt;&gt;1,L$1=""),"",SUMIFS('All Donations'!$S$2:$S$4001,'All Donations'!$R$2:$R$4001,$AD561,'All Donations'!$T$2:$T$4001,L$1))</f>
        <v/>
      </c>
      <c r="M561" s="49">
        <f>IF(OR($AE561&lt;&gt;1,M$1=""),"",SUMIFS('All Donations'!$S$2:$S$4001,'All Donations'!$R$2:$R$4001,$AD561,'All Donations'!$T$2:$T$4001,M$1))</f>
        <v/>
      </c>
      <c r="N561" s="49">
        <f>IF(OR($AE561&lt;&gt;1,N$1=""),"",SUMIFS('All Donations'!$S$2:$S$4001,'All Donations'!$R$2:$R$4001,$AD561,'All Donations'!$T$2:$T$4001,N$1))</f>
        <v/>
      </c>
      <c r="O561" s="49">
        <f>IF(OR($AE561&lt;&gt;1,O$1=""),"",SUMIFS('All Donations'!$S$2:$S$4001,'All Donations'!$R$2:$R$4001,$AD561,'All Donations'!$T$2:$T$4001,O$1))</f>
        <v/>
      </c>
      <c r="P561" s="49">
        <f>IF(OR($AE561&lt;&gt;1,P$1=""),"",SUMIFS('All Donations'!$S$2:$S$4001,'All Donations'!$R$2:$R$4001,$AD561,'All Donations'!$T$2:$T$4001,P$1))</f>
        <v/>
      </c>
      <c r="Q561" s="49">
        <f>IF(OR($AE561&lt;&gt;1,Q$1=""),"",SUMIFS('All Donations'!$S$2:$S$4001,'All Donations'!$R$2:$R$4001,$AD561,'All Donations'!$T$2:$T$4001,Q$1))</f>
        <v/>
      </c>
      <c r="R561" s="49">
        <f>IF(OR($AE561&lt;&gt;1,R$1=""),"",SUMIFS('All Donations'!$S$2:$S$4001,'All Donations'!$R$2:$R$4001,$AD561,'All Donations'!$T$2:$T$4001,R$1))</f>
        <v/>
      </c>
      <c r="S561" s="49">
        <f>IF(OR($AE561&lt;&gt;1,S$1=""),"",SUMIFS('All Donations'!$S$2:$S$4001,'All Donations'!$R$2:$R$4001,$AD561,'All Donations'!$T$2:$T$4001,S$1))</f>
        <v/>
      </c>
      <c r="T561" s="49">
        <f>IF(OR($AE561&lt;&gt;1,T$1=""),"",SUMIFS('All Donations'!$S$2:$S$4001,'All Donations'!$R$2:$R$4001,$AD561,'All Donations'!$T$2:$T$4001,T$1))</f>
        <v/>
      </c>
      <c r="U561" s="49">
        <f>IF(OR($AE561&lt;&gt;1,U$1=""),"",SUMIFS('All Donations'!$S$2:$S$4001,'All Donations'!$R$2:$R$4001,$AD561,'All Donations'!$T$2:$T$4001,U$1))</f>
        <v/>
      </c>
      <c r="V561" s="49">
        <f>IF(OR($AE561&lt;&gt;1,V$1=""),"",SUMIFS('All Donations'!$S$2:$S$4001,'All Donations'!$R$2:$R$4001,$AD561,'All Donations'!$T$2:$T$4001,V$1))</f>
        <v/>
      </c>
      <c r="W561" s="49">
        <f>IF(OR($AE561&lt;&gt;1,W$1=""),"",SUMIFS('All Donations'!$S$2:$S$4001,'All Donations'!$R$2:$R$4001,$AD561,'All Donations'!$T$2:$T$4001,W$1))</f>
        <v/>
      </c>
      <c r="X561" s="49">
        <f>IF(OR($AE561&lt;&gt;1,X$1=""),"",SUMIFS('All Donations'!$S$2:$S$4001,'All Donations'!$R$2:$R$4001,$AD561,'All Donations'!$T$2:$T$4001,X$1))</f>
        <v/>
      </c>
      <c r="Y561" s="49">
        <f>IF(OR($AE561&lt;&gt;1,Y$1=""),"",SUMIFS('All Donations'!$S$2:$S$4001,'All Donations'!$R$2:$R$4001,$AD561,'All Donations'!$T$2:$T$4001,Y$1))</f>
        <v/>
      </c>
      <c r="Z561" s="49">
        <f>IF(OR($AE561&lt;&gt;1,Z$1=""),"",SUMIFS('All Donations'!$S$2:$S$4001,'All Donations'!$R$2:$R$4001,$AD561,'All Donations'!$T$2:$T$4001,Z$1))</f>
        <v/>
      </c>
      <c r="AA561" s="49">
        <f>IF(OR($AE561&lt;&gt;1,AA$1=""),"",SUMIFS('All Donations'!$S$2:$S$4001,'All Donations'!$R$2:$R$4001,$AD561,'All Donations'!$T$2:$T$4001,AA$1))</f>
        <v/>
      </c>
      <c r="AB561" s="49">
        <f>IF(OR($AE561&lt;&gt;1,AB$1=""),"",SUMIFS('All Donations'!$S$2:$S$4001,'All Donations'!$R$2:$R$4001,$AD561,'All Donations'!$T$2:$T$4001,AB$1))</f>
        <v/>
      </c>
      <c r="AC561" s="49">
        <f>IF(OR($AE561&lt;&gt;1,AC$1=""),"",SUMIFS('All Donations'!$S$2:$S$4001,'All Donations'!$R$2:$R$4001,$AD561,'All Donations'!$T$2:$T$4001,AC$1))</f>
        <v/>
      </c>
      <c r="AD561">
        <f>IF(AE561=1,'Roster'!A561,"")</f>
        <v/>
      </c>
      <c r="AE561">
        <f>IF(TRIM('Roster'!B561&amp;'Roster'!C561)&lt;&gt;"",1,0)</f>
        <v/>
      </c>
      <c r="AF561">
        <f>IF(AE561=1,LOWER(A561),"#")</f>
        <v/>
      </c>
      <c r="AG561">
        <f>IF(AE561=1,LOWER(TRIM(TRIM('Roster'!C561)&amp;", "&amp;TRIM('Roster'!B561))),"#")</f>
        <v/>
      </c>
      <c r="AH561">
        <f>IF(AND(AE561=1,TRIM('Roster'!F561)&lt;&gt;""),LOWER(TRIM('Roster'!F561)),"#")</f>
        <v/>
      </c>
      <c r="AI561">
        <f>IF(AE561=1,IF(MATCH(B561,$B$2:$B$701,0)=ROW()-1,1,0),0)</f>
        <v/>
      </c>
      <c r="AJ561">
        <f>AJ560+AI561</f>
        <v/>
      </c>
      <c r="AK561">
        <f>IF(AE561=1,D561+(1000-ROW())/10^7,-1)</f>
        <v/>
      </c>
      <c r="AL561">
        <f>IF(AE561=1,TRIM('Roster'!B561)&amp;" "&amp;LEFT(TRIM('Roster'!C561),1)&amp;".","")</f>
        <v/>
      </c>
      <c r="AM561">
        <f>IF(AE561=1,TRIM('Roster'!C561)&amp;", "&amp;TRIM('Roster'!B561)&amp;" ("&amp;B561&amp;") #"&amp;AD561,"")</f>
        <v/>
      </c>
      <c r="AN561">
        <f>IF(AE561=1,TRIM('Roster'!E561),"")</f>
        <v/>
      </c>
      <c r="AO561">
        <f>IF(AE561=1,ROUND(SUMIFS('All Donations'!$S$2:$S$4001,'All Donations'!$R$2:$R$4001,AD561,'All Donations'!$T$2:$T$4001,"&gt;="&amp;'Settings'!$C$23,'All Donations'!$T$2:$T$4001,"&lt;="&amp;'Settings'!$D$23),2),0)</f>
        <v/>
      </c>
      <c r="AQ561">
        <f>IF(AE561=1,ROUND(SUMIFS('All Donations'!$S$2:$S$4001,'All Donations'!$R$2:$R$4001,AD561,'All Donations'!$T$2:$T$4001,"&gt;="&amp;'Settings'!$C$25,'All Donations'!$T$2:$T$4001,"&lt;="&amp;'Settings'!$D$25),2),0)</f>
        <v/>
      </c>
      <c r="AR561">
        <f>IF(AE561=1,ROUND(SUMIFS('All Donations'!$S$2:$S$4001,'All Donations'!$R$2:$R$4001,AD561,'All Donations'!$T$2:$T$4001,"&gt;="&amp;'Settings'!$C$26,'All Donations'!$T$2:$T$4001,"&lt;="&amp;'Settings'!$D$26),2),0)</f>
        <v/>
      </c>
      <c r="AS561">
        <f>IF(AE561=1,ROUND(SUMIFS('All Donations'!$S$2:$S$4001,'All Donations'!$R$2:$R$4001,AD561,'All Donations'!$T$2:$T$4001,"&lt;="&amp;'Settings'!$D$27),2),0)</f>
        <v/>
      </c>
      <c r="AT561">
        <f>IF(AE561=1,ROUND(SUMIFS('All Donations'!$S$2:$S$4001,'All Donations'!$R$2:$R$4001,AD561,'All Donations'!$T$2:$T$4001,"&gt;="&amp;'Settings'!$C$28,'All Donations'!$T$2:$T$4001,"&lt;="&amp;'Settings'!$D$28),2),0)</f>
        <v/>
      </c>
      <c r="AU561">
        <f>IF(AE561=1,ROUND(SUMIFS('All Donations'!$S$2:$S$4001,'All Donations'!$R$2:$R$4001,AD561,'All Donations'!$T$2:$T$4001,"&gt;="&amp;'Settings'!$C$29,'All Donations'!$T$2:$T$4001,"&lt;="&amp;'Settings'!$D$29),2),0)</f>
        <v/>
      </c>
      <c r="AV561">
        <f>IF(AE561=1,ROUND(SUMIFS('All Donations'!$S$2:$S$4001,'All Donations'!$R$2:$R$4001,AD561,'All Donations'!$T$2:$T$4001,"&lt;="&amp;'Settings'!$D$30),2),0)</f>
        <v/>
      </c>
      <c r="AZ561">
        <f>IF(AE561=1,ROUND(SUMIFS('All Donations'!$S$2:$S$4001,'All Donations'!$R$2:$R$4001,AD561,'All Donations'!$T$2:$T$4001,"&lt;="&amp;'Settings'!$D$34),2),0)</f>
        <v/>
      </c>
    </row>
    <row r="562">
      <c r="A562">
        <f>IF(AE562=1,TRIM(TRIM('Roster'!B562)&amp;" "&amp;TRIM('Roster'!C562)),"")</f>
        <v/>
      </c>
      <c r="B562">
        <f>IF(AE562=1,IF(AN562="","(no teacher)",AN562&amp;" – "&amp;C562),"")</f>
        <v/>
      </c>
      <c r="C562">
        <f>IF(AE562=1,TRIM('Roster'!D562&amp;""),"")</f>
        <v/>
      </c>
      <c r="D562" s="48">
        <f>IF(AE562=1,ROUND(SUMIFS('All Donations'!$S$2:$S$4001,'All Donations'!$R$2:$R$4001,AD562),2),"")</f>
        <v/>
      </c>
      <c r="E562" s="48">
        <f>IF(AE562=1,ROUND(SUMIFS('All Donations'!$S$2:$S$4001,'All Donations'!$R$2:$R$4001,AD562,'All Donations'!$G$2:$G$4001,"OneCause"),2),"")</f>
        <v/>
      </c>
      <c r="F562" s="48">
        <f>IF(AE562=1,D562-E562,"")</f>
        <v/>
      </c>
      <c r="G562">
        <f>IF(AE562=1,COUNTIFS('All Donations'!$R$2:$R$4001,AD562,'All Donations'!$H$2:$H$4001,"OK"),"")</f>
        <v/>
      </c>
      <c r="H562">
        <f>IF(AE562&lt;&gt;1,"",IF(D562&gt;0,"Yes",""))</f>
        <v/>
      </c>
      <c r="I562" s="49">
        <f>IF(OR($AE562&lt;&gt;1,I$1=""),"",SUMIFS('All Donations'!$S$2:$S$4001,'All Donations'!$R$2:$R$4001,$AD562,'All Donations'!$T$2:$T$4001,I$1))</f>
        <v/>
      </c>
      <c r="J562" s="49">
        <f>IF(OR($AE562&lt;&gt;1,J$1=""),"",SUMIFS('All Donations'!$S$2:$S$4001,'All Donations'!$R$2:$R$4001,$AD562,'All Donations'!$T$2:$T$4001,J$1))</f>
        <v/>
      </c>
      <c r="K562" s="49">
        <f>IF(OR($AE562&lt;&gt;1,K$1=""),"",SUMIFS('All Donations'!$S$2:$S$4001,'All Donations'!$R$2:$R$4001,$AD562,'All Donations'!$T$2:$T$4001,K$1))</f>
        <v/>
      </c>
      <c r="L562" s="49">
        <f>IF(OR($AE562&lt;&gt;1,L$1=""),"",SUMIFS('All Donations'!$S$2:$S$4001,'All Donations'!$R$2:$R$4001,$AD562,'All Donations'!$T$2:$T$4001,L$1))</f>
        <v/>
      </c>
      <c r="M562" s="49">
        <f>IF(OR($AE562&lt;&gt;1,M$1=""),"",SUMIFS('All Donations'!$S$2:$S$4001,'All Donations'!$R$2:$R$4001,$AD562,'All Donations'!$T$2:$T$4001,M$1))</f>
        <v/>
      </c>
      <c r="N562" s="49">
        <f>IF(OR($AE562&lt;&gt;1,N$1=""),"",SUMIFS('All Donations'!$S$2:$S$4001,'All Donations'!$R$2:$R$4001,$AD562,'All Donations'!$T$2:$T$4001,N$1))</f>
        <v/>
      </c>
      <c r="O562" s="49">
        <f>IF(OR($AE562&lt;&gt;1,O$1=""),"",SUMIFS('All Donations'!$S$2:$S$4001,'All Donations'!$R$2:$R$4001,$AD562,'All Donations'!$T$2:$T$4001,O$1))</f>
        <v/>
      </c>
      <c r="P562" s="49">
        <f>IF(OR($AE562&lt;&gt;1,P$1=""),"",SUMIFS('All Donations'!$S$2:$S$4001,'All Donations'!$R$2:$R$4001,$AD562,'All Donations'!$T$2:$T$4001,P$1))</f>
        <v/>
      </c>
      <c r="Q562" s="49">
        <f>IF(OR($AE562&lt;&gt;1,Q$1=""),"",SUMIFS('All Donations'!$S$2:$S$4001,'All Donations'!$R$2:$R$4001,$AD562,'All Donations'!$T$2:$T$4001,Q$1))</f>
        <v/>
      </c>
      <c r="R562" s="49">
        <f>IF(OR($AE562&lt;&gt;1,R$1=""),"",SUMIFS('All Donations'!$S$2:$S$4001,'All Donations'!$R$2:$R$4001,$AD562,'All Donations'!$T$2:$T$4001,R$1))</f>
        <v/>
      </c>
      <c r="S562" s="49">
        <f>IF(OR($AE562&lt;&gt;1,S$1=""),"",SUMIFS('All Donations'!$S$2:$S$4001,'All Donations'!$R$2:$R$4001,$AD562,'All Donations'!$T$2:$T$4001,S$1))</f>
        <v/>
      </c>
      <c r="T562" s="49">
        <f>IF(OR($AE562&lt;&gt;1,T$1=""),"",SUMIFS('All Donations'!$S$2:$S$4001,'All Donations'!$R$2:$R$4001,$AD562,'All Donations'!$T$2:$T$4001,T$1))</f>
        <v/>
      </c>
      <c r="U562" s="49">
        <f>IF(OR($AE562&lt;&gt;1,U$1=""),"",SUMIFS('All Donations'!$S$2:$S$4001,'All Donations'!$R$2:$R$4001,$AD562,'All Donations'!$T$2:$T$4001,U$1))</f>
        <v/>
      </c>
      <c r="V562" s="49">
        <f>IF(OR($AE562&lt;&gt;1,V$1=""),"",SUMIFS('All Donations'!$S$2:$S$4001,'All Donations'!$R$2:$R$4001,$AD562,'All Donations'!$T$2:$T$4001,V$1))</f>
        <v/>
      </c>
      <c r="W562" s="49">
        <f>IF(OR($AE562&lt;&gt;1,W$1=""),"",SUMIFS('All Donations'!$S$2:$S$4001,'All Donations'!$R$2:$R$4001,$AD562,'All Donations'!$T$2:$T$4001,W$1))</f>
        <v/>
      </c>
      <c r="X562" s="49">
        <f>IF(OR($AE562&lt;&gt;1,X$1=""),"",SUMIFS('All Donations'!$S$2:$S$4001,'All Donations'!$R$2:$R$4001,$AD562,'All Donations'!$T$2:$T$4001,X$1))</f>
        <v/>
      </c>
      <c r="Y562" s="49">
        <f>IF(OR($AE562&lt;&gt;1,Y$1=""),"",SUMIFS('All Donations'!$S$2:$S$4001,'All Donations'!$R$2:$R$4001,$AD562,'All Donations'!$T$2:$T$4001,Y$1))</f>
        <v/>
      </c>
      <c r="Z562" s="49">
        <f>IF(OR($AE562&lt;&gt;1,Z$1=""),"",SUMIFS('All Donations'!$S$2:$S$4001,'All Donations'!$R$2:$R$4001,$AD562,'All Donations'!$T$2:$T$4001,Z$1))</f>
        <v/>
      </c>
      <c r="AA562" s="49">
        <f>IF(OR($AE562&lt;&gt;1,AA$1=""),"",SUMIFS('All Donations'!$S$2:$S$4001,'All Donations'!$R$2:$R$4001,$AD562,'All Donations'!$T$2:$T$4001,AA$1))</f>
        <v/>
      </c>
      <c r="AB562" s="49">
        <f>IF(OR($AE562&lt;&gt;1,AB$1=""),"",SUMIFS('All Donations'!$S$2:$S$4001,'All Donations'!$R$2:$R$4001,$AD562,'All Donations'!$T$2:$T$4001,AB$1))</f>
        <v/>
      </c>
      <c r="AC562" s="49">
        <f>IF(OR($AE562&lt;&gt;1,AC$1=""),"",SUMIFS('All Donations'!$S$2:$S$4001,'All Donations'!$R$2:$R$4001,$AD562,'All Donations'!$T$2:$T$4001,AC$1))</f>
        <v/>
      </c>
      <c r="AD562">
        <f>IF(AE562=1,'Roster'!A562,"")</f>
        <v/>
      </c>
      <c r="AE562">
        <f>IF(TRIM('Roster'!B562&amp;'Roster'!C562)&lt;&gt;"",1,0)</f>
        <v/>
      </c>
      <c r="AF562">
        <f>IF(AE562=1,LOWER(A562),"#")</f>
        <v/>
      </c>
      <c r="AG562">
        <f>IF(AE562=1,LOWER(TRIM(TRIM('Roster'!C562)&amp;", "&amp;TRIM('Roster'!B562))),"#")</f>
        <v/>
      </c>
      <c r="AH562">
        <f>IF(AND(AE562=1,TRIM('Roster'!F562)&lt;&gt;""),LOWER(TRIM('Roster'!F562)),"#")</f>
        <v/>
      </c>
      <c r="AI562">
        <f>IF(AE562=1,IF(MATCH(B562,$B$2:$B$701,0)=ROW()-1,1,0),0)</f>
        <v/>
      </c>
      <c r="AJ562">
        <f>AJ561+AI562</f>
        <v/>
      </c>
      <c r="AK562">
        <f>IF(AE562=1,D562+(1000-ROW())/10^7,-1)</f>
        <v/>
      </c>
      <c r="AL562">
        <f>IF(AE562=1,TRIM('Roster'!B562)&amp;" "&amp;LEFT(TRIM('Roster'!C562),1)&amp;".","")</f>
        <v/>
      </c>
      <c r="AM562">
        <f>IF(AE562=1,TRIM('Roster'!C562)&amp;", "&amp;TRIM('Roster'!B562)&amp;" ("&amp;B562&amp;") #"&amp;AD562,"")</f>
        <v/>
      </c>
      <c r="AN562">
        <f>IF(AE562=1,TRIM('Roster'!E562),"")</f>
        <v/>
      </c>
      <c r="AO562">
        <f>IF(AE562=1,ROUND(SUMIFS('All Donations'!$S$2:$S$4001,'All Donations'!$R$2:$R$4001,AD562,'All Donations'!$T$2:$T$4001,"&gt;="&amp;'Settings'!$C$23,'All Donations'!$T$2:$T$4001,"&lt;="&amp;'Settings'!$D$23),2),0)</f>
        <v/>
      </c>
      <c r="AQ562">
        <f>IF(AE562=1,ROUND(SUMIFS('All Donations'!$S$2:$S$4001,'All Donations'!$R$2:$R$4001,AD562,'All Donations'!$T$2:$T$4001,"&gt;="&amp;'Settings'!$C$25,'All Donations'!$T$2:$T$4001,"&lt;="&amp;'Settings'!$D$25),2),0)</f>
        <v/>
      </c>
      <c r="AR562">
        <f>IF(AE562=1,ROUND(SUMIFS('All Donations'!$S$2:$S$4001,'All Donations'!$R$2:$R$4001,AD562,'All Donations'!$T$2:$T$4001,"&gt;="&amp;'Settings'!$C$26,'All Donations'!$T$2:$T$4001,"&lt;="&amp;'Settings'!$D$26),2),0)</f>
        <v/>
      </c>
      <c r="AS562">
        <f>IF(AE562=1,ROUND(SUMIFS('All Donations'!$S$2:$S$4001,'All Donations'!$R$2:$R$4001,AD562,'All Donations'!$T$2:$T$4001,"&lt;="&amp;'Settings'!$D$27),2),0)</f>
        <v/>
      </c>
      <c r="AT562">
        <f>IF(AE562=1,ROUND(SUMIFS('All Donations'!$S$2:$S$4001,'All Donations'!$R$2:$R$4001,AD562,'All Donations'!$T$2:$T$4001,"&gt;="&amp;'Settings'!$C$28,'All Donations'!$T$2:$T$4001,"&lt;="&amp;'Settings'!$D$28),2),0)</f>
        <v/>
      </c>
      <c r="AU562">
        <f>IF(AE562=1,ROUND(SUMIFS('All Donations'!$S$2:$S$4001,'All Donations'!$R$2:$R$4001,AD562,'All Donations'!$T$2:$T$4001,"&gt;="&amp;'Settings'!$C$29,'All Donations'!$T$2:$T$4001,"&lt;="&amp;'Settings'!$D$29),2),0)</f>
        <v/>
      </c>
      <c r="AV562">
        <f>IF(AE562=1,ROUND(SUMIFS('All Donations'!$S$2:$S$4001,'All Donations'!$R$2:$R$4001,AD562,'All Donations'!$T$2:$T$4001,"&lt;="&amp;'Settings'!$D$30),2),0)</f>
        <v/>
      </c>
      <c r="AZ562">
        <f>IF(AE562=1,ROUND(SUMIFS('All Donations'!$S$2:$S$4001,'All Donations'!$R$2:$R$4001,AD562,'All Donations'!$T$2:$T$4001,"&lt;="&amp;'Settings'!$D$34),2),0)</f>
        <v/>
      </c>
    </row>
    <row r="563">
      <c r="A563">
        <f>IF(AE563=1,TRIM(TRIM('Roster'!B563)&amp;" "&amp;TRIM('Roster'!C563)),"")</f>
        <v/>
      </c>
      <c r="B563">
        <f>IF(AE563=1,IF(AN563="","(no teacher)",AN563&amp;" – "&amp;C563),"")</f>
        <v/>
      </c>
      <c r="C563">
        <f>IF(AE563=1,TRIM('Roster'!D563&amp;""),"")</f>
        <v/>
      </c>
      <c r="D563" s="48">
        <f>IF(AE563=1,ROUND(SUMIFS('All Donations'!$S$2:$S$4001,'All Donations'!$R$2:$R$4001,AD563),2),"")</f>
        <v/>
      </c>
      <c r="E563" s="48">
        <f>IF(AE563=1,ROUND(SUMIFS('All Donations'!$S$2:$S$4001,'All Donations'!$R$2:$R$4001,AD563,'All Donations'!$G$2:$G$4001,"OneCause"),2),"")</f>
        <v/>
      </c>
      <c r="F563" s="48">
        <f>IF(AE563=1,D563-E563,"")</f>
        <v/>
      </c>
      <c r="G563">
        <f>IF(AE563=1,COUNTIFS('All Donations'!$R$2:$R$4001,AD563,'All Donations'!$H$2:$H$4001,"OK"),"")</f>
        <v/>
      </c>
      <c r="H563">
        <f>IF(AE563&lt;&gt;1,"",IF(D563&gt;0,"Yes",""))</f>
        <v/>
      </c>
      <c r="I563" s="49">
        <f>IF(OR($AE563&lt;&gt;1,I$1=""),"",SUMIFS('All Donations'!$S$2:$S$4001,'All Donations'!$R$2:$R$4001,$AD563,'All Donations'!$T$2:$T$4001,I$1))</f>
        <v/>
      </c>
      <c r="J563" s="49">
        <f>IF(OR($AE563&lt;&gt;1,J$1=""),"",SUMIFS('All Donations'!$S$2:$S$4001,'All Donations'!$R$2:$R$4001,$AD563,'All Donations'!$T$2:$T$4001,J$1))</f>
        <v/>
      </c>
      <c r="K563" s="49">
        <f>IF(OR($AE563&lt;&gt;1,K$1=""),"",SUMIFS('All Donations'!$S$2:$S$4001,'All Donations'!$R$2:$R$4001,$AD563,'All Donations'!$T$2:$T$4001,K$1))</f>
        <v/>
      </c>
      <c r="L563" s="49">
        <f>IF(OR($AE563&lt;&gt;1,L$1=""),"",SUMIFS('All Donations'!$S$2:$S$4001,'All Donations'!$R$2:$R$4001,$AD563,'All Donations'!$T$2:$T$4001,L$1))</f>
        <v/>
      </c>
      <c r="M563" s="49">
        <f>IF(OR($AE563&lt;&gt;1,M$1=""),"",SUMIFS('All Donations'!$S$2:$S$4001,'All Donations'!$R$2:$R$4001,$AD563,'All Donations'!$T$2:$T$4001,M$1))</f>
        <v/>
      </c>
      <c r="N563" s="49">
        <f>IF(OR($AE563&lt;&gt;1,N$1=""),"",SUMIFS('All Donations'!$S$2:$S$4001,'All Donations'!$R$2:$R$4001,$AD563,'All Donations'!$T$2:$T$4001,N$1))</f>
        <v/>
      </c>
      <c r="O563" s="49">
        <f>IF(OR($AE563&lt;&gt;1,O$1=""),"",SUMIFS('All Donations'!$S$2:$S$4001,'All Donations'!$R$2:$R$4001,$AD563,'All Donations'!$T$2:$T$4001,O$1))</f>
        <v/>
      </c>
      <c r="P563" s="49">
        <f>IF(OR($AE563&lt;&gt;1,P$1=""),"",SUMIFS('All Donations'!$S$2:$S$4001,'All Donations'!$R$2:$R$4001,$AD563,'All Donations'!$T$2:$T$4001,P$1))</f>
        <v/>
      </c>
      <c r="Q563" s="49">
        <f>IF(OR($AE563&lt;&gt;1,Q$1=""),"",SUMIFS('All Donations'!$S$2:$S$4001,'All Donations'!$R$2:$R$4001,$AD563,'All Donations'!$T$2:$T$4001,Q$1))</f>
        <v/>
      </c>
      <c r="R563" s="49">
        <f>IF(OR($AE563&lt;&gt;1,R$1=""),"",SUMIFS('All Donations'!$S$2:$S$4001,'All Donations'!$R$2:$R$4001,$AD563,'All Donations'!$T$2:$T$4001,R$1))</f>
        <v/>
      </c>
      <c r="S563" s="49">
        <f>IF(OR($AE563&lt;&gt;1,S$1=""),"",SUMIFS('All Donations'!$S$2:$S$4001,'All Donations'!$R$2:$R$4001,$AD563,'All Donations'!$T$2:$T$4001,S$1))</f>
        <v/>
      </c>
      <c r="T563" s="49">
        <f>IF(OR($AE563&lt;&gt;1,T$1=""),"",SUMIFS('All Donations'!$S$2:$S$4001,'All Donations'!$R$2:$R$4001,$AD563,'All Donations'!$T$2:$T$4001,T$1))</f>
        <v/>
      </c>
      <c r="U563" s="49">
        <f>IF(OR($AE563&lt;&gt;1,U$1=""),"",SUMIFS('All Donations'!$S$2:$S$4001,'All Donations'!$R$2:$R$4001,$AD563,'All Donations'!$T$2:$T$4001,U$1))</f>
        <v/>
      </c>
      <c r="V563" s="49">
        <f>IF(OR($AE563&lt;&gt;1,V$1=""),"",SUMIFS('All Donations'!$S$2:$S$4001,'All Donations'!$R$2:$R$4001,$AD563,'All Donations'!$T$2:$T$4001,V$1))</f>
        <v/>
      </c>
      <c r="W563" s="49">
        <f>IF(OR($AE563&lt;&gt;1,W$1=""),"",SUMIFS('All Donations'!$S$2:$S$4001,'All Donations'!$R$2:$R$4001,$AD563,'All Donations'!$T$2:$T$4001,W$1))</f>
        <v/>
      </c>
      <c r="X563" s="49">
        <f>IF(OR($AE563&lt;&gt;1,X$1=""),"",SUMIFS('All Donations'!$S$2:$S$4001,'All Donations'!$R$2:$R$4001,$AD563,'All Donations'!$T$2:$T$4001,X$1))</f>
        <v/>
      </c>
      <c r="Y563" s="49">
        <f>IF(OR($AE563&lt;&gt;1,Y$1=""),"",SUMIFS('All Donations'!$S$2:$S$4001,'All Donations'!$R$2:$R$4001,$AD563,'All Donations'!$T$2:$T$4001,Y$1))</f>
        <v/>
      </c>
      <c r="Z563" s="49">
        <f>IF(OR($AE563&lt;&gt;1,Z$1=""),"",SUMIFS('All Donations'!$S$2:$S$4001,'All Donations'!$R$2:$R$4001,$AD563,'All Donations'!$T$2:$T$4001,Z$1))</f>
        <v/>
      </c>
      <c r="AA563" s="49">
        <f>IF(OR($AE563&lt;&gt;1,AA$1=""),"",SUMIFS('All Donations'!$S$2:$S$4001,'All Donations'!$R$2:$R$4001,$AD563,'All Donations'!$T$2:$T$4001,AA$1))</f>
        <v/>
      </c>
      <c r="AB563" s="49">
        <f>IF(OR($AE563&lt;&gt;1,AB$1=""),"",SUMIFS('All Donations'!$S$2:$S$4001,'All Donations'!$R$2:$R$4001,$AD563,'All Donations'!$T$2:$T$4001,AB$1))</f>
        <v/>
      </c>
      <c r="AC563" s="49">
        <f>IF(OR($AE563&lt;&gt;1,AC$1=""),"",SUMIFS('All Donations'!$S$2:$S$4001,'All Donations'!$R$2:$R$4001,$AD563,'All Donations'!$T$2:$T$4001,AC$1))</f>
        <v/>
      </c>
      <c r="AD563">
        <f>IF(AE563=1,'Roster'!A563,"")</f>
        <v/>
      </c>
      <c r="AE563">
        <f>IF(TRIM('Roster'!B563&amp;'Roster'!C563)&lt;&gt;"",1,0)</f>
        <v/>
      </c>
      <c r="AF563">
        <f>IF(AE563=1,LOWER(A563),"#")</f>
        <v/>
      </c>
      <c r="AG563">
        <f>IF(AE563=1,LOWER(TRIM(TRIM('Roster'!C563)&amp;", "&amp;TRIM('Roster'!B563))),"#")</f>
        <v/>
      </c>
      <c r="AH563">
        <f>IF(AND(AE563=1,TRIM('Roster'!F563)&lt;&gt;""),LOWER(TRIM('Roster'!F563)),"#")</f>
        <v/>
      </c>
      <c r="AI563">
        <f>IF(AE563=1,IF(MATCH(B563,$B$2:$B$701,0)=ROW()-1,1,0),0)</f>
        <v/>
      </c>
      <c r="AJ563">
        <f>AJ562+AI563</f>
        <v/>
      </c>
      <c r="AK563">
        <f>IF(AE563=1,D563+(1000-ROW())/10^7,-1)</f>
        <v/>
      </c>
      <c r="AL563">
        <f>IF(AE563=1,TRIM('Roster'!B563)&amp;" "&amp;LEFT(TRIM('Roster'!C563),1)&amp;".","")</f>
        <v/>
      </c>
      <c r="AM563">
        <f>IF(AE563=1,TRIM('Roster'!C563)&amp;", "&amp;TRIM('Roster'!B563)&amp;" ("&amp;B563&amp;") #"&amp;AD563,"")</f>
        <v/>
      </c>
      <c r="AN563">
        <f>IF(AE563=1,TRIM('Roster'!E563),"")</f>
        <v/>
      </c>
      <c r="AO563">
        <f>IF(AE563=1,ROUND(SUMIFS('All Donations'!$S$2:$S$4001,'All Donations'!$R$2:$R$4001,AD563,'All Donations'!$T$2:$T$4001,"&gt;="&amp;'Settings'!$C$23,'All Donations'!$T$2:$T$4001,"&lt;="&amp;'Settings'!$D$23),2),0)</f>
        <v/>
      </c>
      <c r="AQ563">
        <f>IF(AE563=1,ROUND(SUMIFS('All Donations'!$S$2:$S$4001,'All Donations'!$R$2:$R$4001,AD563,'All Donations'!$T$2:$T$4001,"&gt;="&amp;'Settings'!$C$25,'All Donations'!$T$2:$T$4001,"&lt;="&amp;'Settings'!$D$25),2),0)</f>
        <v/>
      </c>
      <c r="AR563">
        <f>IF(AE563=1,ROUND(SUMIFS('All Donations'!$S$2:$S$4001,'All Donations'!$R$2:$R$4001,AD563,'All Donations'!$T$2:$T$4001,"&gt;="&amp;'Settings'!$C$26,'All Donations'!$T$2:$T$4001,"&lt;="&amp;'Settings'!$D$26),2),0)</f>
        <v/>
      </c>
      <c r="AS563">
        <f>IF(AE563=1,ROUND(SUMIFS('All Donations'!$S$2:$S$4001,'All Donations'!$R$2:$R$4001,AD563,'All Donations'!$T$2:$T$4001,"&lt;="&amp;'Settings'!$D$27),2),0)</f>
        <v/>
      </c>
      <c r="AT563">
        <f>IF(AE563=1,ROUND(SUMIFS('All Donations'!$S$2:$S$4001,'All Donations'!$R$2:$R$4001,AD563,'All Donations'!$T$2:$T$4001,"&gt;="&amp;'Settings'!$C$28,'All Donations'!$T$2:$T$4001,"&lt;="&amp;'Settings'!$D$28),2),0)</f>
        <v/>
      </c>
      <c r="AU563">
        <f>IF(AE563=1,ROUND(SUMIFS('All Donations'!$S$2:$S$4001,'All Donations'!$R$2:$R$4001,AD563,'All Donations'!$T$2:$T$4001,"&gt;="&amp;'Settings'!$C$29,'All Donations'!$T$2:$T$4001,"&lt;="&amp;'Settings'!$D$29),2),0)</f>
        <v/>
      </c>
      <c r="AV563">
        <f>IF(AE563=1,ROUND(SUMIFS('All Donations'!$S$2:$S$4001,'All Donations'!$R$2:$R$4001,AD563,'All Donations'!$T$2:$T$4001,"&lt;="&amp;'Settings'!$D$30),2),0)</f>
        <v/>
      </c>
      <c r="AZ563">
        <f>IF(AE563=1,ROUND(SUMIFS('All Donations'!$S$2:$S$4001,'All Donations'!$R$2:$R$4001,AD563,'All Donations'!$T$2:$T$4001,"&lt;="&amp;'Settings'!$D$34),2),0)</f>
        <v/>
      </c>
    </row>
    <row r="564">
      <c r="A564">
        <f>IF(AE564=1,TRIM(TRIM('Roster'!B564)&amp;" "&amp;TRIM('Roster'!C564)),"")</f>
        <v/>
      </c>
      <c r="B564">
        <f>IF(AE564=1,IF(AN564="","(no teacher)",AN564&amp;" – "&amp;C564),"")</f>
        <v/>
      </c>
      <c r="C564">
        <f>IF(AE564=1,TRIM('Roster'!D564&amp;""),"")</f>
        <v/>
      </c>
      <c r="D564" s="48">
        <f>IF(AE564=1,ROUND(SUMIFS('All Donations'!$S$2:$S$4001,'All Donations'!$R$2:$R$4001,AD564),2),"")</f>
        <v/>
      </c>
      <c r="E564" s="48">
        <f>IF(AE564=1,ROUND(SUMIFS('All Donations'!$S$2:$S$4001,'All Donations'!$R$2:$R$4001,AD564,'All Donations'!$G$2:$G$4001,"OneCause"),2),"")</f>
        <v/>
      </c>
      <c r="F564" s="48">
        <f>IF(AE564=1,D564-E564,"")</f>
        <v/>
      </c>
      <c r="G564">
        <f>IF(AE564=1,COUNTIFS('All Donations'!$R$2:$R$4001,AD564,'All Donations'!$H$2:$H$4001,"OK"),"")</f>
        <v/>
      </c>
      <c r="H564">
        <f>IF(AE564&lt;&gt;1,"",IF(D564&gt;0,"Yes",""))</f>
        <v/>
      </c>
      <c r="I564" s="49">
        <f>IF(OR($AE564&lt;&gt;1,I$1=""),"",SUMIFS('All Donations'!$S$2:$S$4001,'All Donations'!$R$2:$R$4001,$AD564,'All Donations'!$T$2:$T$4001,I$1))</f>
        <v/>
      </c>
      <c r="J564" s="49">
        <f>IF(OR($AE564&lt;&gt;1,J$1=""),"",SUMIFS('All Donations'!$S$2:$S$4001,'All Donations'!$R$2:$R$4001,$AD564,'All Donations'!$T$2:$T$4001,J$1))</f>
        <v/>
      </c>
      <c r="K564" s="49">
        <f>IF(OR($AE564&lt;&gt;1,K$1=""),"",SUMIFS('All Donations'!$S$2:$S$4001,'All Donations'!$R$2:$R$4001,$AD564,'All Donations'!$T$2:$T$4001,K$1))</f>
        <v/>
      </c>
      <c r="L564" s="49">
        <f>IF(OR($AE564&lt;&gt;1,L$1=""),"",SUMIFS('All Donations'!$S$2:$S$4001,'All Donations'!$R$2:$R$4001,$AD564,'All Donations'!$T$2:$T$4001,L$1))</f>
        <v/>
      </c>
      <c r="M564" s="49">
        <f>IF(OR($AE564&lt;&gt;1,M$1=""),"",SUMIFS('All Donations'!$S$2:$S$4001,'All Donations'!$R$2:$R$4001,$AD564,'All Donations'!$T$2:$T$4001,M$1))</f>
        <v/>
      </c>
      <c r="N564" s="49">
        <f>IF(OR($AE564&lt;&gt;1,N$1=""),"",SUMIFS('All Donations'!$S$2:$S$4001,'All Donations'!$R$2:$R$4001,$AD564,'All Donations'!$T$2:$T$4001,N$1))</f>
        <v/>
      </c>
      <c r="O564" s="49">
        <f>IF(OR($AE564&lt;&gt;1,O$1=""),"",SUMIFS('All Donations'!$S$2:$S$4001,'All Donations'!$R$2:$R$4001,$AD564,'All Donations'!$T$2:$T$4001,O$1))</f>
        <v/>
      </c>
      <c r="P564" s="49">
        <f>IF(OR($AE564&lt;&gt;1,P$1=""),"",SUMIFS('All Donations'!$S$2:$S$4001,'All Donations'!$R$2:$R$4001,$AD564,'All Donations'!$T$2:$T$4001,P$1))</f>
        <v/>
      </c>
      <c r="Q564" s="49">
        <f>IF(OR($AE564&lt;&gt;1,Q$1=""),"",SUMIFS('All Donations'!$S$2:$S$4001,'All Donations'!$R$2:$R$4001,$AD564,'All Donations'!$T$2:$T$4001,Q$1))</f>
        <v/>
      </c>
      <c r="R564" s="49">
        <f>IF(OR($AE564&lt;&gt;1,R$1=""),"",SUMIFS('All Donations'!$S$2:$S$4001,'All Donations'!$R$2:$R$4001,$AD564,'All Donations'!$T$2:$T$4001,R$1))</f>
        <v/>
      </c>
      <c r="S564" s="49">
        <f>IF(OR($AE564&lt;&gt;1,S$1=""),"",SUMIFS('All Donations'!$S$2:$S$4001,'All Donations'!$R$2:$R$4001,$AD564,'All Donations'!$T$2:$T$4001,S$1))</f>
        <v/>
      </c>
      <c r="T564" s="49">
        <f>IF(OR($AE564&lt;&gt;1,T$1=""),"",SUMIFS('All Donations'!$S$2:$S$4001,'All Donations'!$R$2:$R$4001,$AD564,'All Donations'!$T$2:$T$4001,T$1))</f>
        <v/>
      </c>
      <c r="U564" s="49">
        <f>IF(OR($AE564&lt;&gt;1,U$1=""),"",SUMIFS('All Donations'!$S$2:$S$4001,'All Donations'!$R$2:$R$4001,$AD564,'All Donations'!$T$2:$T$4001,U$1))</f>
        <v/>
      </c>
      <c r="V564" s="49">
        <f>IF(OR($AE564&lt;&gt;1,V$1=""),"",SUMIFS('All Donations'!$S$2:$S$4001,'All Donations'!$R$2:$R$4001,$AD564,'All Donations'!$T$2:$T$4001,V$1))</f>
        <v/>
      </c>
      <c r="W564" s="49">
        <f>IF(OR($AE564&lt;&gt;1,W$1=""),"",SUMIFS('All Donations'!$S$2:$S$4001,'All Donations'!$R$2:$R$4001,$AD564,'All Donations'!$T$2:$T$4001,W$1))</f>
        <v/>
      </c>
      <c r="X564" s="49">
        <f>IF(OR($AE564&lt;&gt;1,X$1=""),"",SUMIFS('All Donations'!$S$2:$S$4001,'All Donations'!$R$2:$R$4001,$AD564,'All Donations'!$T$2:$T$4001,X$1))</f>
        <v/>
      </c>
      <c r="Y564" s="49">
        <f>IF(OR($AE564&lt;&gt;1,Y$1=""),"",SUMIFS('All Donations'!$S$2:$S$4001,'All Donations'!$R$2:$R$4001,$AD564,'All Donations'!$T$2:$T$4001,Y$1))</f>
        <v/>
      </c>
      <c r="Z564" s="49">
        <f>IF(OR($AE564&lt;&gt;1,Z$1=""),"",SUMIFS('All Donations'!$S$2:$S$4001,'All Donations'!$R$2:$R$4001,$AD564,'All Donations'!$T$2:$T$4001,Z$1))</f>
        <v/>
      </c>
      <c r="AA564" s="49">
        <f>IF(OR($AE564&lt;&gt;1,AA$1=""),"",SUMIFS('All Donations'!$S$2:$S$4001,'All Donations'!$R$2:$R$4001,$AD564,'All Donations'!$T$2:$T$4001,AA$1))</f>
        <v/>
      </c>
      <c r="AB564" s="49">
        <f>IF(OR($AE564&lt;&gt;1,AB$1=""),"",SUMIFS('All Donations'!$S$2:$S$4001,'All Donations'!$R$2:$R$4001,$AD564,'All Donations'!$T$2:$T$4001,AB$1))</f>
        <v/>
      </c>
      <c r="AC564" s="49">
        <f>IF(OR($AE564&lt;&gt;1,AC$1=""),"",SUMIFS('All Donations'!$S$2:$S$4001,'All Donations'!$R$2:$R$4001,$AD564,'All Donations'!$T$2:$T$4001,AC$1))</f>
        <v/>
      </c>
      <c r="AD564">
        <f>IF(AE564=1,'Roster'!A564,"")</f>
        <v/>
      </c>
      <c r="AE564">
        <f>IF(TRIM('Roster'!B564&amp;'Roster'!C564)&lt;&gt;"",1,0)</f>
        <v/>
      </c>
      <c r="AF564">
        <f>IF(AE564=1,LOWER(A564),"#")</f>
        <v/>
      </c>
      <c r="AG564">
        <f>IF(AE564=1,LOWER(TRIM(TRIM('Roster'!C564)&amp;", "&amp;TRIM('Roster'!B564))),"#")</f>
        <v/>
      </c>
      <c r="AH564">
        <f>IF(AND(AE564=1,TRIM('Roster'!F564)&lt;&gt;""),LOWER(TRIM('Roster'!F564)),"#")</f>
        <v/>
      </c>
      <c r="AI564">
        <f>IF(AE564=1,IF(MATCH(B564,$B$2:$B$701,0)=ROW()-1,1,0),0)</f>
        <v/>
      </c>
      <c r="AJ564">
        <f>AJ563+AI564</f>
        <v/>
      </c>
      <c r="AK564">
        <f>IF(AE564=1,D564+(1000-ROW())/10^7,-1)</f>
        <v/>
      </c>
      <c r="AL564">
        <f>IF(AE564=1,TRIM('Roster'!B564)&amp;" "&amp;LEFT(TRIM('Roster'!C564),1)&amp;".","")</f>
        <v/>
      </c>
      <c r="AM564">
        <f>IF(AE564=1,TRIM('Roster'!C564)&amp;", "&amp;TRIM('Roster'!B564)&amp;" ("&amp;B564&amp;") #"&amp;AD564,"")</f>
        <v/>
      </c>
      <c r="AN564">
        <f>IF(AE564=1,TRIM('Roster'!E564),"")</f>
        <v/>
      </c>
      <c r="AO564">
        <f>IF(AE564=1,ROUND(SUMIFS('All Donations'!$S$2:$S$4001,'All Donations'!$R$2:$R$4001,AD564,'All Donations'!$T$2:$T$4001,"&gt;="&amp;'Settings'!$C$23,'All Donations'!$T$2:$T$4001,"&lt;="&amp;'Settings'!$D$23),2),0)</f>
        <v/>
      </c>
      <c r="AQ564">
        <f>IF(AE564=1,ROUND(SUMIFS('All Donations'!$S$2:$S$4001,'All Donations'!$R$2:$R$4001,AD564,'All Donations'!$T$2:$T$4001,"&gt;="&amp;'Settings'!$C$25,'All Donations'!$T$2:$T$4001,"&lt;="&amp;'Settings'!$D$25),2),0)</f>
        <v/>
      </c>
      <c r="AR564">
        <f>IF(AE564=1,ROUND(SUMIFS('All Donations'!$S$2:$S$4001,'All Donations'!$R$2:$R$4001,AD564,'All Donations'!$T$2:$T$4001,"&gt;="&amp;'Settings'!$C$26,'All Donations'!$T$2:$T$4001,"&lt;="&amp;'Settings'!$D$26),2),0)</f>
        <v/>
      </c>
      <c r="AS564">
        <f>IF(AE564=1,ROUND(SUMIFS('All Donations'!$S$2:$S$4001,'All Donations'!$R$2:$R$4001,AD564,'All Donations'!$T$2:$T$4001,"&lt;="&amp;'Settings'!$D$27),2),0)</f>
        <v/>
      </c>
      <c r="AT564">
        <f>IF(AE564=1,ROUND(SUMIFS('All Donations'!$S$2:$S$4001,'All Donations'!$R$2:$R$4001,AD564,'All Donations'!$T$2:$T$4001,"&gt;="&amp;'Settings'!$C$28,'All Donations'!$T$2:$T$4001,"&lt;="&amp;'Settings'!$D$28),2),0)</f>
        <v/>
      </c>
      <c r="AU564">
        <f>IF(AE564=1,ROUND(SUMIFS('All Donations'!$S$2:$S$4001,'All Donations'!$R$2:$R$4001,AD564,'All Donations'!$T$2:$T$4001,"&gt;="&amp;'Settings'!$C$29,'All Donations'!$T$2:$T$4001,"&lt;="&amp;'Settings'!$D$29),2),0)</f>
        <v/>
      </c>
      <c r="AV564">
        <f>IF(AE564=1,ROUND(SUMIFS('All Donations'!$S$2:$S$4001,'All Donations'!$R$2:$R$4001,AD564,'All Donations'!$T$2:$T$4001,"&lt;="&amp;'Settings'!$D$30),2),0)</f>
        <v/>
      </c>
      <c r="AZ564">
        <f>IF(AE564=1,ROUND(SUMIFS('All Donations'!$S$2:$S$4001,'All Donations'!$R$2:$R$4001,AD564,'All Donations'!$T$2:$T$4001,"&lt;="&amp;'Settings'!$D$34),2),0)</f>
        <v/>
      </c>
    </row>
    <row r="565">
      <c r="A565">
        <f>IF(AE565=1,TRIM(TRIM('Roster'!B565)&amp;" "&amp;TRIM('Roster'!C565)),"")</f>
        <v/>
      </c>
      <c r="B565">
        <f>IF(AE565=1,IF(AN565="","(no teacher)",AN565&amp;" – "&amp;C565),"")</f>
        <v/>
      </c>
      <c r="C565">
        <f>IF(AE565=1,TRIM('Roster'!D565&amp;""),"")</f>
        <v/>
      </c>
      <c r="D565" s="48">
        <f>IF(AE565=1,ROUND(SUMIFS('All Donations'!$S$2:$S$4001,'All Donations'!$R$2:$R$4001,AD565),2),"")</f>
        <v/>
      </c>
      <c r="E565" s="48">
        <f>IF(AE565=1,ROUND(SUMIFS('All Donations'!$S$2:$S$4001,'All Donations'!$R$2:$R$4001,AD565,'All Donations'!$G$2:$G$4001,"OneCause"),2),"")</f>
        <v/>
      </c>
      <c r="F565" s="48">
        <f>IF(AE565=1,D565-E565,"")</f>
        <v/>
      </c>
      <c r="G565">
        <f>IF(AE565=1,COUNTIFS('All Donations'!$R$2:$R$4001,AD565,'All Donations'!$H$2:$H$4001,"OK"),"")</f>
        <v/>
      </c>
      <c r="H565">
        <f>IF(AE565&lt;&gt;1,"",IF(D565&gt;0,"Yes",""))</f>
        <v/>
      </c>
      <c r="I565" s="49">
        <f>IF(OR($AE565&lt;&gt;1,I$1=""),"",SUMIFS('All Donations'!$S$2:$S$4001,'All Donations'!$R$2:$R$4001,$AD565,'All Donations'!$T$2:$T$4001,I$1))</f>
        <v/>
      </c>
      <c r="J565" s="49">
        <f>IF(OR($AE565&lt;&gt;1,J$1=""),"",SUMIFS('All Donations'!$S$2:$S$4001,'All Donations'!$R$2:$R$4001,$AD565,'All Donations'!$T$2:$T$4001,J$1))</f>
        <v/>
      </c>
      <c r="K565" s="49">
        <f>IF(OR($AE565&lt;&gt;1,K$1=""),"",SUMIFS('All Donations'!$S$2:$S$4001,'All Donations'!$R$2:$R$4001,$AD565,'All Donations'!$T$2:$T$4001,K$1))</f>
        <v/>
      </c>
      <c r="L565" s="49">
        <f>IF(OR($AE565&lt;&gt;1,L$1=""),"",SUMIFS('All Donations'!$S$2:$S$4001,'All Donations'!$R$2:$R$4001,$AD565,'All Donations'!$T$2:$T$4001,L$1))</f>
        <v/>
      </c>
      <c r="M565" s="49">
        <f>IF(OR($AE565&lt;&gt;1,M$1=""),"",SUMIFS('All Donations'!$S$2:$S$4001,'All Donations'!$R$2:$R$4001,$AD565,'All Donations'!$T$2:$T$4001,M$1))</f>
        <v/>
      </c>
      <c r="N565" s="49">
        <f>IF(OR($AE565&lt;&gt;1,N$1=""),"",SUMIFS('All Donations'!$S$2:$S$4001,'All Donations'!$R$2:$R$4001,$AD565,'All Donations'!$T$2:$T$4001,N$1))</f>
        <v/>
      </c>
      <c r="O565" s="49">
        <f>IF(OR($AE565&lt;&gt;1,O$1=""),"",SUMIFS('All Donations'!$S$2:$S$4001,'All Donations'!$R$2:$R$4001,$AD565,'All Donations'!$T$2:$T$4001,O$1))</f>
        <v/>
      </c>
      <c r="P565" s="49">
        <f>IF(OR($AE565&lt;&gt;1,P$1=""),"",SUMIFS('All Donations'!$S$2:$S$4001,'All Donations'!$R$2:$R$4001,$AD565,'All Donations'!$T$2:$T$4001,P$1))</f>
        <v/>
      </c>
      <c r="Q565" s="49">
        <f>IF(OR($AE565&lt;&gt;1,Q$1=""),"",SUMIFS('All Donations'!$S$2:$S$4001,'All Donations'!$R$2:$R$4001,$AD565,'All Donations'!$T$2:$T$4001,Q$1))</f>
        <v/>
      </c>
      <c r="R565" s="49">
        <f>IF(OR($AE565&lt;&gt;1,R$1=""),"",SUMIFS('All Donations'!$S$2:$S$4001,'All Donations'!$R$2:$R$4001,$AD565,'All Donations'!$T$2:$T$4001,R$1))</f>
        <v/>
      </c>
      <c r="S565" s="49">
        <f>IF(OR($AE565&lt;&gt;1,S$1=""),"",SUMIFS('All Donations'!$S$2:$S$4001,'All Donations'!$R$2:$R$4001,$AD565,'All Donations'!$T$2:$T$4001,S$1))</f>
        <v/>
      </c>
      <c r="T565" s="49">
        <f>IF(OR($AE565&lt;&gt;1,T$1=""),"",SUMIFS('All Donations'!$S$2:$S$4001,'All Donations'!$R$2:$R$4001,$AD565,'All Donations'!$T$2:$T$4001,T$1))</f>
        <v/>
      </c>
      <c r="U565" s="49">
        <f>IF(OR($AE565&lt;&gt;1,U$1=""),"",SUMIFS('All Donations'!$S$2:$S$4001,'All Donations'!$R$2:$R$4001,$AD565,'All Donations'!$T$2:$T$4001,U$1))</f>
        <v/>
      </c>
      <c r="V565" s="49">
        <f>IF(OR($AE565&lt;&gt;1,V$1=""),"",SUMIFS('All Donations'!$S$2:$S$4001,'All Donations'!$R$2:$R$4001,$AD565,'All Donations'!$T$2:$T$4001,V$1))</f>
        <v/>
      </c>
      <c r="W565" s="49">
        <f>IF(OR($AE565&lt;&gt;1,W$1=""),"",SUMIFS('All Donations'!$S$2:$S$4001,'All Donations'!$R$2:$R$4001,$AD565,'All Donations'!$T$2:$T$4001,W$1))</f>
        <v/>
      </c>
      <c r="X565" s="49">
        <f>IF(OR($AE565&lt;&gt;1,X$1=""),"",SUMIFS('All Donations'!$S$2:$S$4001,'All Donations'!$R$2:$R$4001,$AD565,'All Donations'!$T$2:$T$4001,X$1))</f>
        <v/>
      </c>
      <c r="Y565" s="49">
        <f>IF(OR($AE565&lt;&gt;1,Y$1=""),"",SUMIFS('All Donations'!$S$2:$S$4001,'All Donations'!$R$2:$R$4001,$AD565,'All Donations'!$T$2:$T$4001,Y$1))</f>
        <v/>
      </c>
      <c r="Z565" s="49">
        <f>IF(OR($AE565&lt;&gt;1,Z$1=""),"",SUMIFS('All Donations'!$S$2:$S$4001,'All Donations'!$R$2:$R$4001,$AD565,'All Donations'!$T$2:$T$4001,Z$1))</f>
        <v/>
      </c>
      <c r="AA565" s="49">
        <f>IF(OR($AE565&lt;&gt;1,AA$1=""),"",SUMIFS('All Donations'!$S$2:$S$4001,'All Donations'!$R$2:$R$4001,$AD565,'All Donations'!$T$2:$T$4001,AA$1))</f>
        <v/>
      </c>
      <c r="AB565" s="49">
        <f>IF(OR($AE565&lt;&gt;1,AB$1=""),"",SUMIFS('All Donations'!$S$2:$S$4001,'All Donations'!$R$2:$R$4001,$AD565,'All Donations'!$T$2:$T$4001,AB$1))</f>
        <v/>
      </c>
      <c r="AC565" s="49">
        <f>IF(OR($AE565&lt;&gt;1,AC$1=""),"",SUMIFS('All Donations'!$S$2:$S$4001,'All Donations'!$R$2:$R$4001,$AD565,'All Donations'!$T$2:$T$4001,AC$1))</f>
        <v/>
      </c>
      <c r="AD565">
        <f>IF(AE565=1,'Roster'!A565,"")</f>
        <v/>
      </c>
      <c r="AE565">
        <f>IF(TRIM('Roster'!B565&amp;'Roster'!C565)&lt;&gt;"",1,0)</f>
        <v/>
      </c>
      <c r="AF565">
        <f>IF(AE565=1,LOWER(A565),"#")</f>
        <v/>
      </c>
      <c r="AG565">
        <f>IF(AE565=1,LOWER(TRIM(TRIM('Roster'!C565)&amp;", "&amp;TRIM('Roster'!B565))),"#")</f>
        <v/>
      </c>
      <c r="AH565">
        <f>IF(AND(AE565=1,TRIM('Roster'!F565)&lt;&gt;""),LOWER(TRIM('Roster'!F565)),"#")</f>
        <v/>
      </c>
      <c r="AI565">
        <f>IF(AE565=1,IF(MATCH(B565,$B$2:$B$701,0)=ROW()-1,1,0),0)</f>
        <v/>
      </c>
      <c r="AJ565">
        <f>AJ564+AI565</f>
        <v/>
      </c>
      <c r="AK565">
        <f>IF(AE565=1,D565+(1000-ROW())/10^7,-1)</f>
        <v/>
      </c>
      <c r="AL565">
        <f>IF(AE565=1,TRIM('Roster'!B565)&amp;" "&amp;LEFT(TRIM('Roster'!C565),1)&amp;".","")</f>
        <v/>
      </c>
      <c r="AM565">
        <f>IF(AE565=1,TRIM('Roster'!C565)&amp;", "&amp;TRIM('Roster'!B565)&amp;" ("&amp;B565&amp;") #"&amp;AD565,"")</f>
        <v/>
      </c>
      <c r="AN565">
        <f>IF(AE565=1,TRIM('Roster'!E565),"")</f>
        <v/>
      </c>
      <c r="AO565">
        <f>IF(AE565=1,ROUND(SUMIFS('All Donations'!$S$2:$S$4001,'All Donations'!$R$2:$R$4001,AD565,'All Donations'!$T$2:$T$4001,"&gt;="&amp;'Settings'!$C$23,'All Donations'!$T$2:$T$4001,"&lt;="&amp;'Settings'!$D$23),2),0)</f>
        <v/>
      </c>
      <c r="AQ565">
        <f>IF(AE565=1,ROUND(SUMIFS('All Donations'!$S$2:$S$4001,'All Donations'!$R$2:$R$4001,AD565,'All Donations'!$T$2:$T$4001,"&gt;="&amp;'Settings'!$C$25,'All Donations'!$T$2:$T$4001,"&lt;="&amp;'Settings'!$D$25),2),0)</f>
        <v/>
      </c>
      <c r="AR565">
        <f>IF(AE565=1,ROUND(SUMIFS('All Donations'!$S$2:$S$4001,'All Donations'!$R$2:$R$4001,AD565,'All Donations'!$T$2:$T$4001,"&gt;="&amp;'Settings'!$C$26,'All Donations'!$T$2:$T$4001,"&lt;="&amp;'Settings'!$D$26),2),0)</f>
        <v/>
      </c>
      <c r="AS565">
        <f>IF(AE565=1,ROUND(SUMIFS('All Donations'!$S$2:$S$4001,'All Donations'!$R$2:$R$4001,AD565,'All Donations'!$T$2:$T$4001,"&lt;="&amp;'Settings'!$D$27),2),0)</f>
        <v/>
      </c>
      <c r="AT565">
        <f>IF(AE565=1,ROUND(SUMIFS('All Donations'!$S$2:$S$4001,'All Donations'!$R$2:$R$4001,AD565,'All Donations'!$T$2:$T$4001,"&gt;="&amp;'Settings'!$C$28,'All Donations'!$T$2:$T$4001,"&lt;="&amp;'Settings'!$D$28),2),0)</f>
        <v/>
      </c>
      <c r="AU565">
        <f>IF(AE565=1,ROUND(SUMIFS('All Donations'!$S$2:$S$4001,'All Donations'!$R$2:$R$4001,AD565,'All Donations'!$T$2:$T$4001,"&gt;="&amp;'Settings'!$C$29,'All Donations'!$T$2:$T$4001,"&lt;="&amp;'Settings'!$D$29),2),0)</f>
        <v/>
      </c>
      <c r="AV565">
        <f>IF(AE565=1,ROUND(SUMIFS('All Donations'!$S$2:$S$4001,'All Donations'!$R$2:$R$4001,AD565,'All Donations'!$T$2:$T$4001,"&lt;="&amp;'Settings'!$D$30),2),0)</f>
        <v/>
      </c>
      <c r="AZ565">
        <f>IF(AE565=1,ROUND(SUMIFS('All Donations'!$S$2:$S$4001,'All Donations'!$R$2:$R$4001,AD565,'All Donations'!$T$2:$T$4001,"&lt;="&amp;'Settings'!$D$34),2),0)</f>
        <v/>
      </c>
    </row>
    <row r="566">
      <c r="A566">
        <f>IF(AE566=1,TRIM(TRIM('Roster'!B566)&amp;" "&amp;TRIM('Roster'!C566)),"")</f>
        <v/>
      </c>
      <c r="B566">
        <f>IF(AE566=1,IF(AN566="","(no teacher)",AN566&amp;" – "&amp;C566),"")</f>
        <v/>
      </c>
      <c r="C566">
        <f>IF(AE566=1,TRIM('Roster'!D566&amp;""),"")</f>
        <v/>
      </c>
      <c r="D566" s="48">
        <f>IF(AE566=1,ROUND(SUMIFS('All Donations'!$S$2:$S$4001,'All Donations'!$R$2:$R$4001,AD566),2),"")</f>
        <v/>
      </c>
      <c r="E566" s="48">
        <f>IF(AE566=1,ROUND(SUMIFS('All Donations'!$S$2:$S$4001,'All Donations'!$R$2:$R$4001,AD566,'All Donations'!$G$2:$G$4001,"OneCause"),2),"")</f>
        <v/>
      </c>
      <c r="F566" s="48">
        <f>IF(AE566=1,D566-E566,"")</f>
        <v/>
      </c>
      <c r="G566">
        <f>IF(AE566=1,COUNTIFS('All Donations'!$R$2:$R$4001,AD566,'All Donations'!$H$2:$H$4001,"OK"),"")</f>
        <v/>
      </c>
      <c r="H566">
        <f>IF(AE566&lt;&gt;1,"",IF(D566&gt;0,"Yes",""))</f>
        <v/>
      </c>
      <c r="I566" s="49">
        <f>IF(OR($AE566&lt;&gt;1,I$1=""),"",SUMIFS('All Donations'!$S$2:$S$4001,'All Donations'!$R$2:$R$4001,$AD566,'All Donations'!$T$2:$T$4001,I$1))</f>
        <v/>
      </c>
      <c r="J566" s="49">
        <f>IF(OR($AE566&lt;&gt;1,J$1=""),"",SUMIFS('All Donations'!$S$2:$S$4001,'All Donations'!$R$2:$R$4001,$AD566,'All Donations'!$T$2:$T$4001,J$1))</f>
        <v/>
      </c>
      <c r="K566" s="49">
        <f>IF(OR($AE566&lt;&gt;1,K$1=""),"",SUMIFS('All Donations'!$S$2:$S$4001,'All Donations'!$R$2:$R$4001,$AD566,'All Donations'!$T$2:$T$4001,K$1))</f>
        <v/>
      </c>
      <c r="L566" s="49">
        <f>IF(OR($AE566&lt;&gt;1,L$1=""),"",SUMIFS('All Donations'!$S$2:$S$4001,'All Donations'!$R$2:$R$4001,$AD566,'All Donations'!$T$2:$T$4001,L$1))</f>
        <v/>
      </c>
      <c r="M566" s="49">
        <f>IF(OR($AE566&lt;&gt;1,M$1=""),"",SUMIFS('All Donations'!$S$2:$S$4001,'All Donations'!$R$2:$R$4001,$AD566,'All Donations'!$T$2:$T$4001,M$1))</f>
        <v/>
      </c>
      <c r="N566" s="49">
        <f>IF(OR($AE566&lt;&gt;1,N$1=""),"",SUMIFS('All Donations'!$S$2:$S$4001,'All Donations'!$R$2:$R$4001,$AD566,'All Donations'!$T$2:$T$4001,N$1))</f>
        <v/>
      </c>
      <c r="O566" s="49">
        <f>IF(OR($AE566&lt;&gt;1,O$1=""),"",SUMIFS('All Donations'!$S$2:$S$4001,'All Donations'!$R$2:$R$4001,$AD566,'All Donations'!$T$2:$T$4001,O$1))</f>
        <v/>
      </c>
      <c r="P566" s="49">
        <f>IF(OR($AE566&lt;&gt;1,P$1=""),"",SUMIFS('All Donations'!$S$2:$S$4001,'All Donations'!$R$2:$R$4001,$AD566,'All Donations'!$T$2:$T$4001,P$1))</f>
        <v/>
      </c>
      <c r="Q566" s="49">
        <f>IF(OR($AE566&lt;&gt;1,Q$1=""),"",SUMIFS('All Donations'!$S$2:$S$4001,'All Donations'!$R$2:$R$4001,$AD566,'All Donations'!$T$2:$T$4001,Q$1))</f>
        <v/>
      </c>
      <c r="R566" s="49">
        <f>IF(OR($AE566&lt;&gt;1,R$1=""),"",SUMIFS('All Donations'!$S$2:$S$4001,'All Donations'!$R$2:$R$4001,$AD566,'All Donations'!$T$2:$T$4001,R$1))</f>
        <v/>
      </c>
      <c r="S566" s="49">
        <f>IF(OR($AE566&lt;&gt;1,S$1=""),"",SUMIFS('All Donations'!$S$2:$S$4001,'All Donations'!$R$2:$R$4001,$AD566,'All Donations'!$T$2:$T$4001,S$1))</f>
        <v/>
      </c>
      <c r="T566" s="49">
        <f>IF(OR($AE566&lt;&gt;1,T$1=""),"",SUMIFS('All Donations'!$S$2:$S$4001,'All Donations'!$R$2:$R$4001,$AD566,'All Donations'!$T$2:$T$4001,T$1))</f>
        <v/>
      </c>
      <c r="U566" s="49">
        <f>IF(OR($AE566&lt;&gt;1,U$1=""),"",SUMIFS('All Donations'!$S$2:$S$4001,'All Donations'!$R$2:$R$4001,$AD566,'All Donations'!$T$2:$T$4001,U$1))</f>
        <v/>
      </c>
      <c r="V566" s="49">
        <f>IF(OR($AE566&lt;&gt;1,V$1=""),"",SUMIFS('All Donations'!$S$2:$S$4001,'All Donations'!$R$2:$R$4001,$AD566,'All Donations'!$T$2:$T$4001,V$1))</f>
        <v/>
      </c>
      <c r="W566" s="49">
        <f>IF(OR($AE566&lt;&gt;1,W$1=""),"",SUMIFS('All Donations'!$S$2:$S$4001,'All Donations'!$R$2:$R$4001,$AD566,'All Donations'!$T$2:$T$4001,W$1))</f>
        <v/>
      </c>
      <c r="X566" s="49">
        <f>IF(OR($AE566&lt;&gt;1,X$1=""),"",SUMIFS('All Donations'!$S$2:$S$4001,'All Donations'!$R$2:$R$4001,$AD566,'All Donations'!$T$2:$T$4001,X$1))</f>
        <v/>
      </c>
      <c r="Y566" s="49">
        <f>IF(OR($AE566&lt;&gt;1,Y$1=""),"",SUMIFS('All Donations'!$S$2:$S$4001,'All Donations'!$R$2:$R$4001,$AD566,'All Donations'!$T$2:$T$4001,Y$1))</f>
        <v/>
      </c>
      <c r="Z566" s="49">
        <f>IF(OR($AE566&lt;&gt;1,Z$1=""),"",SUMIFS('All Donations'!$S$2:$S$4001,'All Donations'!$R$2:$R$4001,$AD566,'All Donations'!$T$2:$T$4001,Z$1))</f>
        <v/>
      </c>
      <c r="AA566" s="49">
        <f>IF(OR($AE566&lt;&gt;1,AA$1=""),"",SUMIFS('All Donations'!$S$2:$S$4001,'All Donations'!$R$2:$R$4001,$AD566,'All Donations'!$T$2:$T$4001,AA$1))</f>
        <v/>
      </c>
      <c r="AB566" s="49">
        <f>IF(OR($AE566&lt;&gt;1,AB$1=""),"",SUMIFS('All Donations'!$S$2:$S$4001,'All Donations'!$R$2:$R$4001,$AD566,'All Donations'!$T$2:$T$4001,AB$1))</f>
        <v/>
      </c>
      <c r="AC566" s="49">
        <f>IF(OR($AE566&lt;&gt;1,AC$1=""),"",SUMIFS('All Donations'!$S$2:$S$4001,'All Donations'!$R$2:$R$4001,$AD566,'All Donations'!$T$2:$T$4001,AC$1))</f>
        <v/>
      </c>
      <c r="AD566">
        <f>IF(AE566=1,'Roster'!A566,"")</f>
        <v/>
      </c>
      <c r="AE566">
        <f>IF(TRIM('Roster'!B566&amp;'Roster'!C566)&lt;&gt;"",1,0)</f>
        <v/>
      </c>
      <c r="AF566">
        <f>IF(AE566=1,LOWER(A566),"#")</f>
        <v/>
      </c>
      <c r="AG566">
        <f>IF(AE566=1,LOWER(TRIM(TRIM('Roster'!C566)&amp;", "&amp;TRIM('Roster'!B566))),"#")</f>
        <v/>
      </c>
      <c r="AH566">
        <f>IF(AND(AE566=1,TRIM('Roster'!F566)&lt;&gt;""),LOWER(TRIM('Roster'!F566)),"#")</f>
        <v/>
      </c>
      <c r="AI566">
        <f>IF(AE566=1,IF(MATCH(B566,$B$2:$B$701,0)=ROW()-1,1,0),0)</f>
        <v/>
      </c>
      <c r="AJ566">
        <f>AJ565+AI566</f>
        <v/>
      </c>
      <c r="AK566">
        <f>IF(AE566=1,D566+(1000-ROW())/10^7,-1)</f>
        <v/>
      </c>
      <c r="AL566">
        <f>IF(AE566=1,TRIM('Roster'!B566)&amp;" "&amp;LEFT(TRIM('Roster'!C566),1)&amp;".","")</f>
        <v/>
      </c>
      <c r="AM566">
        <f>IF(AE566=1,TRIM('Roster'!C566)&amp;", "&amp;TRIM('Roster'!B566)&amp;" ("&amp;B566&amp;") #"&amp;AD566,"")</f>
        <v/>
      </c>
      <c r="AN566">
        <f>IF(AE566=1,TRIM('Roster'!E566),"")</f>
        <v/>
      </c>
      <c r="AO566">
        <f>IF(AE566=1,ROUND(SUMIFS('All Donations'!$S$2:$S$4001,'All Donations'!$R$2:$R$4001,AD566,'All Donations'!$T$2:$T$4001,"&gt;="&amp;'Settings'!$C$23,'All Donations'!$T$2:$T$4001,"&lt;="&amp;'Settings'!$D$23),2),0)</f>
        <v/>
      </c>
      <c r="AQ566">
        <f>IF(AE566=1,ROUND(SUMIFS('All Donations'!$S$2:$S$4001,'All Donations'!$R$2:$R$4001,AD566,'All Donations'!$T$2:$T$4001,"&gt;="&amp;'Settings'!$C$25,'All Donations'!$T$2:$T$4001,"&lt;="&amp;'Settings'!$D$25),2),0)</f>
        <v/>
      </c>
      <c r="AR566">
        <f>IF(AE566=1,ROUND(SUMIFS('All Donations'!$S$2:$S$4001,'All Donations'!$R$2:$R$4001,AD566,'All Donations'!$T$2:$T$4001,"&gt;="&amp;'Settings'!$C$26,'All Donations'!$T$2:$T$4001,"&lt;="&amp;'Settings'!$D$26),2),0)</f>
        <v/>
      </c>
      <c r="AS566">
        <f>IF(AE566=1,ROUND(SUMIFS('All Donations'!$S$2:$S$4001,'All Donations'!$R$2:$R$4001,AD566,'All Donations'!$T$2:$T$4001,"&lt;="&amp;'Settings'!$D$27),2),0)</f>
        <v/>
      </c>
      <c r="AT566">
        <f>IF(AE566=1,ROUND(SUMIFS('All Donations'!$S$2:$S$4001,'All Donations'!$R$2:$R$4001,AD566,'All Donations'!$T$2:$T$4001,"&gt;="&amp;'Settings'!$C$28,'All Donations'!$T$2:$T$4001,"&lt;="&amp;'Settings'!$D$28),2),0)</f>
        <v/>
      </c>
      <c r="AU566">
        <f>IF(AE566=1,ROUND(SUMIFS('All Donations'!$S$2:$S$4001,'All Donations'!$R$2:$R$4001,AD566,'All Donations'!$T$2:$T$4001,"&gt;="&amp;'Settings'!$C$29,'All Donations'!$T$2:$T$4001,"&lt;="&amp;'Settings'!$D$29),2),0)</f>
        <v/>
      </c>
      <c r="AV566">
        <f>IF(AE566=1,ROUND(SUMIFS('All Donations'!$S$2:$S$4001,'All Donations'!$R$2:$R$4001,AD566,'All Donations'!$T$2:$T$4001,"&lt;="&amp;'Settings'!$D$30),2),0)</f>
        <v/>
      </c>
      <c r="AZ566">
        <f>IF(AE566=1,ROUND(SUMIFS('All Donations'!$S$2:$S$4001,'All Donations'!$R$2:$R$4001,AD566,'All Donations'!$T$2:$T$4001,"&lt;="&amp;'Settings'!$D$34),2),0)</f>
        <v/>
      </c>
    </row>
    <row r="567">
      <c r="A567">
        <f>IF(AE567=1,TRIM(TRIM('Roster'!B567)&amp;" "&amp;TRIM('Roster'!C567)),"")</f>
        <v/>
      </c>
      <c r="B567">
        <f>IF(AE567=1,IF(AN567="","(no teacher)",AN567&amp;" – "&amp;C567),"")</f>
        <v/>
      </c>
      <c r="C567">
        <f>IF(AE567=1,TRIM('Roster'!D567&amp;""),"")</f>
        <v/>
      </c>
      <c r="D567" s="48">
        <f>IF(AE567=1,ROUND(SUMIFS('All Donations'!$S$2:$S$4001,'All Donations'!$R$2:$R$4001,AD567),2),"")</f>
        <v/>
      </c>
      <c r="E567" s="48">
        <f>IF(AE567=1,ROUND(SUMIFS('All Donations'!$S$2:$S$4001,'All Donations'!$R$2:$R$4001,AD567,'All Donations'!$G$2:$G$4001,"OneCause"),2),"")</f>
        <v/>
      </c>
      <c r="F567" s="48">
        <f>IF(AE567=1,D567-E567,"")</f>
        <v/>
      </c>
      <c r="G567">
        <f>IF(AE567=1,COUNTIFS('All Donations'!$R$2:$R$4001,AD567,'All Donations'!$H$2:$H$4001,"OK"),"")</f>
        <v/>
      </c>
      <c r="H567">
        <f>IF(AE567&lt;&gt;1,"",IF(D567&gt;0,"Yes",""))</f>
        <v/>
      </c>
      <c r="I567" s="49">
        <f>IF(OR($AE567&lt;&gt;1,I$1=""),"",SUMIFS('All Donations'!$S$2:$S$4001,'All Donations'!$R$2:$R$4001,$AD567,'All Donations'!$T$2:$T$4001,I$1))</f>
        <v/>
      </c>
      <c r="J567" s="49">
        <f>IF(OR($AE567&lt;&gt;1,J$1=""),"",SUMIFS('All Donations'!$S$2:$S$4001,'All Donations'!$R$2:$R$4001,$AD567,'All Donations'!$T$2:$T$4001,J$1))</f>
        <v/>
      </c>
      <c r="K567" s="49">
        <f>IF(OR($AE567&lt;&gt;1,K$1=""),"",SUMIFS('All Donations'!$S$2:$S$4001,'All Donations'!$R$2:$R$4001,$AD567,'All Donations'!$T$2:$T$4001,K$1))</f>
        <v/>
      </c>
      <c r="L567" s="49">
        <f>IF(OR($AE567&lt;&gt;1,L$1=""),"",SUMIFS('All Donations'!$S$2:$S$4001,'All Donations'!$R$2:$R$4001,$AD567,'All Donations'!$T$2:$T$4001,L$1))</f>
        <v/>
      </c>
      <c r="M567" s="49">
        <f>IF(OR($AE567&lt;&gt;1,M$1=""),"",SUMIFS('All Donations'!$S$2:$S$4001,'All Donations'!$R$2:$R$4001,$AD567,'All Donations'!$T$2:$T$4001,M$1))</f>
        <v/>
      </c>
      <c r="N567" s="49">
        <f>IF(OR($AE567&lt;&gt;1,N$1=""),"",SUMIFS('All Donations'!$S$2:$S$4001,'All Donations'!$R$2:$R$4001,$AD567,'All Donations'!$T$2:$T$4001,N$1))</f>
        <v/>
      </c>
      <c r="O567" s="49">
        <f>IF(OR($AE567&lt;&gt;1,O$1=""),"",SUMIFS('All Donations'!$S$2:$S$4001,'All Donations'!$R$2:$R$4001,$AD567,'All Donations'!$T$2:$T$4001,O$1))</f>
        <v/>
      </c>
      <c r="P567" s="49">
        <f>IF(OR($AE567&lt;&gt;1,P$1=""),"",SUMIFS('All Donations'!$S$2:$S$4001,'All Donations'!$R$2:$R$4001,$AD567,'All Donations'!$T$2:$T$4001,P$1))</f>
        <v/>
      </c>
      <c r="Q567" s="49">
        <f>IF(OR($AE567&lt;&gt;1,Q$1=""),"",SUMIFS('All Donations'!$S$2:$S$4001,'All Donations'!$R$2:$R$4001,$AD567,'All Donations'!$T$2:$T$4001,Q$1))</f>
        <v/>
      </c>
      <c r="R567" s="49">
        <f>IF(OR($AE567&lt;&gt;1,R$1=""),"",SUMIFS('All Donations'!$S$2:$S$4001,'All Donations'!$R$2:$R$4001,$AD567,'All Donations'!$T$2:$T$4001,R$1))</f>
        <v/>
      </c>
      <c r="S567" s="49">
        <f>IF(OR($AE567&lt;&gt;1,S$1=""),"",SUMIFS('All Donations'!$S$2:$S$4001,'All Donations'!$R$2:$R$4001,$AD567,'All Donations'!$T$2:$T$4001,S$1))</f>
        <v/>
      </c>
      <c r="T567" s="49">
        <f>IF(OR($AE567&lt;&gt;1,T$1=""),"",SUMIFS('All Donations'!$S$2:$S$4001,'All Donations'!$R$2:$R$4001,$AD567,'All Donations'!$T$2:$T$4001,T$1))</f>
        <v/>
      </c>
      <c r="U567" s="49">
        <f>IF(OR($AE567&lt;&gt;1,U$1=""),"",SUMIFS('All Donations'!$S$2:$S$4001,'All Donations'!$R$2:$R$4001,$AD567,'All Donations'!$T$2:$T$4001,U$1))</f>
        <v/>
      </c>
      <c r="V567" s="49">
        <f>IF(OR($AE567&lt;&gt;1,V$1=""),"",SUMIFS('All Donations'!$S$2:$S$4001,'All Donations'!$R$2:$R$4001,$AD567,'All Donations'!$T$2:$T$4001,V$1))</f>
        <v/>
      </c>
      <c r="W567" s="49">
        <f>IF(OR($AE567&lt;&gt;1,W$1=""),"",SUMIFS('All Donations'!$S$2:$S$4001,'All Donations'!$R$2:$R$4001,$AD567,'All Donations'!$T$2:$T$4001,W$1))</f>
        <v/>
      </c>
      <c r="X567" s="49">
        <f>IF(OR($AE567&lt;&gt;1,X$1=""),"",SUMIFS('All Donations'!$S$2:$S$4001,'All Donations'!$R$2:$R$4001,$AD567,'All Donations'!$T$2:$T$4001,X$1))</f>
        <v/>
      </c>
      <c r="Y567" s="49">
        <f>IF(OR($AE567&lt;&gt;1,Y$1=""),"",SUMIFS('All Donations'!$S$2:$S$4001,'All Donations'!$R$2:$R$4001,$AD567,'All Donations'!$T$2:$T$4001,Y$1))</f>
        <v/>
      </c>
      <c r="Z567" s="49">
        <f>IF(OR($AE567&lt;&gt;1,Z$1=""),"",SUMIFS('All Donations'!$S$2:$S$4001,'All Donations'!$R$2:$R$4001,$AD567,'All Donations'!$T$2:$T$4001,Z$1))</f>
        <v/>
      </c>
      <c r="AA567" s="49">
        <f>IF(OR($AE567&lt;&gt;1,AA$1=""),"",SUMIFS('All Donations'!$S$2:$S$4001,'All Donations'!$R$2:$R$4001,$AD567,'All Donations'!$T$2:$T$4001,AA$1))</f>
        <v/>
      </c>
      <c r="AB567" s="49">
        <f>IF(OR($AE567&lt;&gt;1,AB$1=""),"",SUMIFS('All Donations'!$S$2:$S$4001,'All Donations'!$R$2:$R$4001,$AD567,'All Donations'!$T$2:$T$4001,AB$1))</f>
        <v/>
      </c>
      <c r="AC567" s="49">
        <f>IF(OR($AE567&lt;&gt;1,AC$1=""),"",SUMIFS('All Donations'!$S$2:$S$4001,'All Donations'!$R$2:$R$4001,$AD567,'All Donations'!$T$2:$T$4001,AC$1))</f>
        <v/>
      </c>
      <c r="AD567">
        <f>IF(AE567=1,'Roster'!A567,"")</f>
        <v/>
      </c>
      <c r="AE567">
        <f>IF(TRIM('Roster'!B567&amp;'Roster'!C567)&lt;&gt;"",1,0)</f>
        <v/>
      </c>
      <c r="AF567">
        <f>IF(AE567=1,LOWER(A567),"#")</f>
        <v/>
      </c>
      <c r="AG567">
        <f>IF(AE567=1,LOWER(TRIM(TRIM('Roster'!C567)&amp;", "&amp;TRIM('Roster'!B567))),"#")</f>
        <v/>
      </c>
      <c r="AH567">
        <f>IF(AND(AE567=1,TRIM('Roster'!F567)&lt;&gt;""),LOWER(TRIM('Roster'!F567)),"#")</f>
        <v/>
      </c>
      <c r="AI567">
        <f>IF(AE567=1,IF(MATCH(B567,$B$2:$B$701,0)=ROW()-1,1,0),0)</f>
        <v/>
      </c>
      <c r="AJ567">
        <f>AJ566+AI567</f>
        <v/>
      </c>
      <c r="AK567">
        <f>IF(AE567=1,D567+(1000-ROW())/10^7,-1)</f>
        <v/>
      </c>
      <c r="AL567">
        <f>IF(AE567=1,TRIM('Roster'!B567)&amp;" "&amp;LEFT(TRIM('Roster'!C567),1)&amp;".","")</f>
        <v/>
      </c>
      <c r="AM567">
        <f>IF(AE567=1,TRIM('Roster'!C567)&amp;", "&amp;TRIM('Roster'!B567)&amp;" ("&amp;B567&amp;") #"&amp;AD567,"")</f>
        <v/>
      </c>
      <c r="AN567">
        <f>IF(AE567=1,TRIM('Roster'!E567),"")</f>
        <v/>
      </c>
      <c r="AO567">
        <f>IF(AE567=1,ROUND(SUMIFS('All Donations'!$S$2:$S$4001,'All Donations'!$R$2:$R$4001,AD567,'All Donations'!$T$2:$T$4001,"&gt;="&amp;'Settings'!$C$23,'All Donations'!$T$2:$T$4001,"&lt;="&amp;'Settings'!$D$23),2),0)</f>
        <v/>
      </c>
      <c r="AQ567">
        <f>IF(AE567=1,ROUND(SUMIFS('All Donations'!$S$2:$S$4001,'All Donations'!$R$2:$R$4001,AD567,'All Donations'!$T$2:$T$4001,"&gt;="&amp;'Settings'!$C$25,'All Donations'!$T$2:$T$4001,"&lt;="&amp;'Settings'!$D$25),2),0)</f>
        <v/>
      </c>
      <c r="AR567">
        <f>IF(AE567=1,ROUND(SUMIFS('All Donations'!$S$2:$S$4001,'All Donations'!$R$2:$R$4001,AD567,'All Donations'!$T$2:$T$4001,"&gt;="&amp;'Settings'!$C$26,'All Donations'!$T$2:$T$4001,"&lt;="&amp;'Settings'!$D$26),2),0)</f>
        <v/>
      </c>
      <c r="AS567">
        <f>IF(AE567=1,ROUND(SUMIFS('All Donations'!$S$2:$S$4001,'All Donations'!$R$2:$R$4001,AD567,'All Donations'!$T$2:$T$4001,"&lt;="&amp;'Settings'!$D$27),2),0)</f>
        <v/>
      </c>
      <c r="AT567">
        <f>IF(AE567=1,ROUND(SUMIFS('All Donations'!$S$2:$S$4001,'All Donations'!$R$2:$R$4001,AD567,'All Donations'!$T$2:$T$4001,"&gt;="&amp;'Settings'!$C$28,'All Donations'!$T$2:$T$4001,"&lt;="&amp;'Settings'!$D$28),2),0)</f>
        <v/>
      </c>
      <c r="AU567">
        <f>IF(AE567=1,ROUND(SUMIFS('All Donations'!$S$2:$S$4001,'All Donations'!$R$2:$R$4001,AD567,'All Donations'!$T$2:$T$4001,"&gt;="&amp;'Settings'!$C$29,'All Donations'!$T$2:$T$4001,"&lt;="&amp;'Settings'!$D$29),2),0)</f>
        <v/>
      </c>
      <c r="AV567">
        <f>IF(AE567=1,ROUND(SUMIFS('All Donations'!$S$2:$S$4001,'All Donations'!$R$2:$R$4001,AD567,'All Donations'!$T$2:$T$4001,"&lt;="&amp;'Settings'!$D$30),2),0)</f>
        <v/>
      </c>
      <c r="AZ567">
        <f>IF(AE567=1,ROUND(SUMIFS('All Donations'!$S$2:$S$4001,'All Donations'!$R$2:$R$4001,AD567,'All Donations'!$T$2:$T$4001,"&lt;="&amp;'Settings'!$D$34),2),0)</f>
        <v/>
      </c>
    </row>
    <row r="568">
      <c r="A568">
        <f>IF(AE568=1,TRIM(TRIM('Roster'!B568)&amp;" "&amp;TRIM('Roster'!C568)),"")</f>
        <v/>
      </c>
      <c r="B568">
        <f>IF(AE568=1,IF(AN568="","(no teacher)",AN568&amp;" – "&amp;C568),"")</f>
        <v/>
      </c>
      <c r="C568">
        <f>IF(AE568=1,TRIM('Roster'!D568&amp;""),"")</f>
        <v/>
      </c>
      <c r="D568" s="48">
        <f>IF(AE568=1,ROUND(SUMIFS('All Donations'!$S$2:$S$4001,'All Donations'!$R$2:$R$4001,AD568),2),"")</f>
        <v/>
      </c>
      <c r="E568" s="48">
        <f>IF(AE568=1,ROUND(SUMIFS('All Donations'!$S$2:$S$4001,'All Donations'!$R$2:$R$4001,AD568,'All Donations'!$G$2:$G$4001,"OneCause"),2),"")</f>
        <v/>
      </c>
      <c r="F568" s="48">
        <f>IF(AE568=1,D568-E568,"")</f>
        <v/>
      </c>
      <c r="G568">
        <f>IF(AE568=1,COUNTIFS('All Donations'!$R$2:$R$4001,AD568,'All Donations'!$H$2:$H$4001,"OK"),"")</f>
        <v/>
      </c>
      <c r="H568">
        <f>IF(AE568&lt;&gt;1,"",IF(D568&gt;0,"Yes",""))</f>
        <v/>
      </c>
      <c r="I568" s="49">
        <f>IF(OR($AE568&lt;&gt;1,I$1=""),"",SUMIFS('All Donations'!$S$2:$S$4001,'All Donations'!$R$2:$R$4001,$AD568,'All Donations'!$T$2:$T$4001,I$1))</f>
        <v/>
      </c>
      <c r="J568" s="49">
        <f>IF(OR($AE568&lt;&gt;1,J$1=""),"",SUMIFS('All Donations'!$S$2:$S$4001,'All Donations'!$R$2:$R$4001,$AD568,'All Donations'!$T$2:$T$4001,J$1))</f>
        <v/>
      </c>
      <c r="K568" s="49">
        <f>IF(OR($AE568&lt;&gt;1,K$1=""),"",SUMIFS('All Donations'!$S$2:$S$4001,'All Donations'!$R$2:$R$4001,$AD568,'All Donations'!$T$2:$T$4001,K$1))</f>
        <v/>
      </c>
      <c r="L568" s="49">
        <f>IF(OR($AE568&lt;&gt;1,L$1=""),"",SUMIFS('All Donations'!$S$2:$S$4001,'All Donations'!$R$2:$R$4001,$AD568,'All Donations'!$T$2:$T$4001,L$1))</f>
        <v/>
      </c>
      <c r="M568" s="49">
        <f>IF(OR($AE568&lt;&gt;1,M$1=""),"",SUMIFS('All Donations'!$S$2:$S$4001,'All Donations'!$R$2:$R$4001,$AD568,'All Donations'!$T$2:$T$4001,M$1))</f>
        <v/>
      </c>
      <c r="N568" s="49">
        <f>IF(OR($AE568&lt;&gt;1,N$1=""),"",SUMIFS('All Donations'!$S$2:$S$4001,'All Donations'!$R$2:$R$4001,$AD568,'All Donations'!$T$2:$T$4001,N$1))</f>
        <v/>
      </c>
      <c r="O568" s="49">
        <f>IF(OR($AE568&lt;&gt;1,O$1=""),"",SUMIFS('All Donations'!$S$2:$S$4001,'All Donations'!$R$2:$R$4001,$AD568,'All Donations'!$T$2:$T$4001,O$1))</f>
        <v/>
      </c>
      <c r="P568" s="49">
        <f>IF(OR($AE568&lt;&gt;1,P$1=""),"",SUMIFS('All Donations'!$S$2:$S$4001,'All Donations'!$R$2:$R$4001,$AD568,'All Donations'!$T$2:$T$4001,P$1))</f>
        <v/>
      </c>
      <c r="Q568" s="49">
        <f>IF(OR($AE568&lt;&gt;1,Q$1=""),"",SUMIFS('All Donations'!$S$2:$S$4001,'All Donations'!$R$2:$R$4001,$AD568,'All Donations'!$T$2:$T$4001,Q$1))</f>
        <v/>
      </c>
      <c r="R568" s="49">
        <f>IF(OR($AE568&lt;&gt;1,R$1=""),"",SUMIFS('All Donations'!$S$2:$S$4001,'All Donations'!$R$2:$R$4001,$AD568,'All Donations'!$T$2:$T$4001,R$1))</f>
        <v/>
      </c>
      <c r="S568" s="49">
        <f>IF(OR($AE568&lt;&gt;1,S$1=""),"",SUMIFS('All Donations'!$S$2:$S$4001,'All Donations'!$R$2:$R$4001,$AD568,'All Donations'!$T$2:$T$4001,S$1))</f>
        <v/>
      </c>
      <c r="T568" s="49">
        <f>IF(OR($AE568&lt;&gt;1,T$1=""),"",SUMIFS('All Donations'!$S$2:$S$4001,'All Donations'!$R$2:$R$4001,$AD568,'All Donations'!$T$2:$T$4001,T$1))</f>
        <v/>
      </c>
      <c r="U568" s="49">
        <f>IF(OR($AE568&lt;&gt;1,U$1=""),"",SUMIFS('All Donations'!$S$2:$S$4001,'All Donations'!$R$2:$R$4001,$AD568,'All Donations'!$T$2:$T$4001,U$1))</f>
        <v/>
      </c>
      <c r="V568" s="49">
        <f>IF(OR($AE568&lt;&gt;1,V$1=""),"",SUMIFS('All Donations'!$S$2:$S$4001,'All Donations'!$R$2:$R$4001,$AD568,'All Donations'!$T$2:$T$4001,V$1))</f>
        <v/>
      </c>
      <c r="W568" s="49">
        <f>IF(OR($AE568&lt;&gt;1,W$1=""),"",SUMIFS('All Donations'!$S$2:$S$4001,'All Donations'!$R$2:$R$4001,$AD568,'All Donations'!$T$2:$T$4001,W$1))</f>
        <v/>
      </c>
      <c r="X568" s="49">
        <f>IF(OR($AE568&lt;&gt;1,X$1=""),"",SUMIFS('All Donations'!$S$2:$S$4001,'All Donations'!$R$2:$R$4001,$AD568,'All Donations'!$T$2:$T$4001,X$1))</f>
        <v/>
      </c>
      <c r="Y568" s="49">
        <f>IF(OR($AE568&lt;&gt;1,Y$1=""),"",SUMIFS('All Donations'!$S$2:$S$4001,'All Donations'!$R$2:$R$4001,$AD568,'All Donations'!$T$2:$T$4001,Y$1))</f>
        <v/>
      </c>
      <c r="Z568" s="49">
        <f>IF(OR($AE568&lt;&gt;1,Z$1=""),"",SUMIFS('All Donations'!$S$2:$S$4001,'All Donations'!$R$2:$R$4001,$AD568,'All Donations'!$T$2:$T$4001,Z$1))</f>
        <v/>
      </c>
      <c r="AA568" s="49">
        <f>IF(OR($AE568&lt;&gt;1,AA$1=""),"",SUMIFS('All Donations'!$S$2:$S$4001,'All Donations'!$R$2:$R$4001,$AD568,'All Donations'!$T$2:$T$4001,AA$1))</f>
        <v/>
      </c>
      <c r="AB568" s="49">
        <f>IF(OR($AE568&lt;&gt;1,AB$1=""),"",SUMIFS('All Donations'!$S$2:$S$4001,'All Donations'!$R$2:$R$4001,$AD568,'All Donations'!$T$2:$T$4001,AB$1))</f>
        <v/>
      </c>
      <c r="AC568" s="49">
        <f>IF(OR($AE568&lt;&gt;1,AC$1=""),"",SUMIFS('All Donations'!$S$2:$S$4001,'All Donations'!$R$2:$R$4001,$AD568,'All Donations'!$T$2:$T$4001,AC$1))</f>
        <v/>
      </c>
      <c r="AD568">
        <f>IF(AE568=1,'Roster'!A568,"")</f>
        <v/>
      </c>
      <c r="AE568">
        <f>IF(TRIM('Roster'!B568&amp;'Roster'!C568)&lt;&gt;"",1,0)</f>
        <v/>
      </c>
      <c r="AF568">
        <f>IF(AE568=1,LOWER(A568),"#")</f>
        <v/>
      </c>
      <c r="AG568">
        <f>IF(AE568=1,LOWER(TRIM(TRIM('Roster'!C568)&amp;", "&amp;TRIM('Roster'!B568))),"#")</f>
        <v/>
      </c>
      <c r="AH568">
        <f>IF(AND(AE568=1,TRIM('Roster'!F568)&lt;&gt;""),LOWER(TRIM('Roster'!F568)),"#")</f>
        <v/>
      </c>
      <c r="AI568">
        <f>IF(AE568=1,IF(MATCH(B568,$B$2:$B$701,0)=ROW()-1,1,0),0)</f>
        <v/>
      </c>
      <c r="AJ568">
        <f>AJ567+AI568</f>
        <v/>
      </c>
      <c r="AK568">
        <f>IF(AE568=1,D568+(1000-ROW())/10^7,-1)</f>
        <v/>
      </c>
      <c r="AL568">
        <f>IF(AE568=1,TRIM('Roster'!B568)&amp;" "&amp;LEFT(TRIM('Roster'!C568),1)&amp;".","")</f>
        <v/>
      </c>
      <c r="AM568">
        <f>IF(AE568=1,TRIM('Roster'!C568)&amp;", "&amp;TRIM('Roster'!B568)&amp;" ("&amp;B568&amp;") #"&amp;AD568,"")</f>
        <v/>
      </c>
      <c r="AN568">
        <f>IF(AE568=1,TRIM('Roster'!E568),"")</f>
        <v/>
      </c>
      <c r="AO568">
        <f>IF(AE568=1,ROUND(SUMIFS('All Donations'!$S$2:$S$4001,'All Donations'!$R$2:$R$4001,AD568,'All Donations'!$T$2:$T$4001,"&gt;="&amp;'Settings'!$C$23,'All Donations'!$T$2:$T$4001,"&lt;="&amp;'Settings'!$D$23),2),0)</f>
        <v/>
      </c>
      <c r="AQ568">
        <f>IF(AE568=1,ROUND(SUMIFS('All Donations'!$S$2:$S$4001,'All Donations'!$R$2:$R$4001,AD568,'All Donations'!$T$2:$T$4001,"&gt;="&amp;'Settings'!$C$25,'All Donations'!$T$2:$T$4001,"&lt;="&amp;'Settings'!$D$25),2),0)</f>
        <v/>
      </c>
      <c r="AR568">
        <f>IF(AE568=1,ROUND(SUMIFS('All Donations'!$S$2:$S$4001,'All Donations'!$R$2:$R$4001,AD568,'All Donations'!$T$2:$T$4001,"&gt;="&amp;'Settings'!$C$26,'All Donations'!$T$2:$T$4001,"&lt;="&amp;'Settings'!$D$26),2),0)</f>
        <v/>
      </c>
      <c r="AS568">
        <f>IF(AE568=1,ROUND(SUMIFS('All Donations'!$S$2:$S$4001,'All Donations'!$R$2:$R$4001,AD568,'All Donations'!$T$2:$T$4001,"&lt;="&amp;'Settings'!$D$27),2),0)</f>
        <v/>
      </c>
      <c r="AT568">
        <f>IF(AE568=1,ROUND(SUMIFS('All Donations'!$S$2:$S$4001,'All Donations'!$R$2:$R$4001,AD568,'All Donations'!$T$2:$T$4001,"&gt;="&amp;'Settings'!$C$28,'All Donations'!$T$2:$T$4001,"&lt;="&amp;'Settings'!$D$28),2),0)</f>
        <v/>
      </c>
      <c r="AU568">
        <f>IF(AE568=1,ROUND(SUMIFS('All Donations'!$S$2:$S$4001,'All Donations'!$R$2:$R$4001,AD568,'All Donations'!$T$2:$T$4001,"&gt;="&amp;'Settings'!$C$29,'All Donations'!$T$2:$T$4001,"&lt;="&amp;'Settings'!$D$29),2),0)</f>
        <v/>
      </c>
      <c r="AV568">
        <f>IF(AE568=1,ROUND(SUMIFS('All Donations'!$S$2:$S$4001,'All Donations'!$R$2:$R$4001,AD568,'All Donations'!$T$2:$T$4001,"&lt;="&amp;'Settings'!$D$30),2),0)</f>
        <v/>
      </c>
      <c r="AZ568">
        <f>IF(AE568=1,ROUND(SUMIFS('All Donations'!$S$2:$S$4001,'All Donations'!$R$2:$R$4001,AD568,'All Donations'!$T$2:$T$4001,"&lt;="&amp;'Settings'!$D$34),2),0)</f>
        <v/>
      </c>
    </row>
    <row r="569">
      <c r="A569">
        <f>IF(AE569=1,TRIM(TRIM('Roster'!B569)&amp;" "&amp;TRIM('Roster'!C569)),"")</f>
        <v/>
      </c>
      <c r="B569">
        <f>IF(AE569=1,IF(AN569="","(no teacher)",AN569&amp;" – "&amp;C569),"")</f>
        <v/>
      </c>
      <c r="C569">
        <f>IF(AE569=1,TRIM('Roster'!D569&amp;""),"")</f>
        <v/>
      </c>
      <c r="D569" s="48">
        <f>IF(AE569=1,ROUND(SUMIFS('All Donations'!$S$2:$S$4001,'All Donations'!$R$2:$R$4001,AD569),2),"")</f>
        <v/>
      </c>
      <c r="E569" s="48">
        <f>IF(AE569=1,ROUND(SUMIFS('All Donations'!$S$2:$S$4001,'All Donations'!$R$2:$R$4001,AD569,'All Donations'!$G$2:$G$4001,"OneCause"),2),"")</f>
        <v/>
      </c>
      <c r="F569" s="48">
        <f>IF(AE569=1,D569-E569,"")</f>
        <v/>
      </c>
      <c r="G569">
        <f>IF(AE569=1,COUNTIFS('All Donations'!$R$2:$R$4001,AD569,'All Donations'!$H$2:$H$4001,"OK"),"")</f>
        <v/>
      </c>
      <c r="H569">
        <f>IF(AE569&lt;&gt;1,"",IF(D569&gt;0,"Yes",""))</f>
        <v/>
      </c>
      <c r="I569" s="49">
        <f>IF(OR($AE569&lt;&gt;1,I$1=""),"",SUMIFS('All Donations'!$S$2:$S$4001,'All Donations'!$R$2:$R$4001,$AD569,'All Donations'!$T$2:$T$4001,I$1))</f>
        <v/>
      </c>
      <c r="J569" s="49">
        <f>IF(OR($AE569&lt;&gt;1,J$1=""),"",SUMIFS('All Donations'!$S$2:$S$4001,'All Donations'!$R$2:$R$4001,$AD569,'All Donations'!$T$2:$T$4001,J$1))</f>
        <v/>
      </c>
      <c r="K569" s="49">
        <f>IF(OR($AE569&lt;&gt;1,K$1=""),"",SUMIFS('All Donations'!$S$2:$S$4001,'All Donations'!$R$2:$R$4001,$AD569,'All Donations'!$T$2:$T$4001,K$1))</f>
        <v/>
      </c>
      <c r="L569" s="49">
        <f>IF(OR($AE569&lt;&gt;1,L$1=""),"",SUMIFS('All Donations'!$S$2:$S$4001,'All Donations'!$R$2:$R$4001,$AD569,'All Donations'!$T$2:$T$4001,L$1))</f>
        <v/>
      </c>
      <c r="M569" s="49">
        <f>IF(OR($AE569&lt;&gt;1,M$1=""),"",SUMIFS('All Donations'!$S$2:$S$4001,'All Donations'!$R$2:$R$4001,$AD569,'All Donations'!$T$2:$T$4001,M$1))</f>
        <v/>
      </c>
      <c r="N569" s="49">
        <f>IF(OR($AE569&lt;&gt;1,N$1=""),"",SUMIFS('All Donations'!$S$2:$S$4001,'All Donations'!$R$2:$R$4001,$AD569,'All Donations'!$T$2:$T$4001,N$1))</f>
        <v/>
      </c>
      <c r="O569" s="49">
        <f>IF(OR($AE569&lt;&gt;1,O$1=""),"",SUMIFS('All Donations'!$S$2:$S$4001,'All Donations'!$R$2:$R$4001,$AD569,'All Donations'!$T$2:$T$4001,O$1))</f>
        <v/>
      </c>
      <c r="P569" s="49">
        <f>IF(OR($AE569&lt;&gt;1,P$1=""),"",SUMIFS('All Donations'!$S$2:$S$4001,'All Donations'!$R$2:$R$4001,$AD569,'All Donations'!$T$2:$T$4001,P$1))</f>
        <v/>
      </c>
      <c r="Q569" s="49">
        <f>IF(OR($AE569&lt;&gt;1,Q$1=""),"",SUMIFS('All Donations'!$S$2:$S$4001,'All Donations'!$R$2:$R$4001,$AD569,'All Donations'!$T$2:$T$4001,Q$1))</f>
        <v/>
      </c>
      <c r="R569" s="49">
        <f>IF(OR($AE569&lt;&gt;1,R$1=""),"",SUMIFS('All Donations'!$S$2:$S$4001,'All Donations'!$R$2:$R$4001,$AD569,'All Donations'!$T$2:$T$4001,R$1))</f>
        <v/>
      </c>
      <c r="S569" s="49">
        <f>IF(OR($AE569&lt;&gt;1,S$1=""),"",SUMIFS('All Donations'!$S$2:$S$4001,'All Donations'!$R$2:$R$4001,$AD569,'All Donations'!$T$2:$T$4001,S$1))</f>
        <v/>
      </c>
      <c r="T569" s="49">
        <f>IF(OR($AE569&lt;&gt;1,T$1=""),"",SUMIFS('All Donations'!$S$2:$S$4001,'All Donations'!$R$2:$R$4001,$AD569,'All Donations'!$T$2:$T$4001,T$1))</f>
        <v/>
      </c>
      <c r="U569" s="49">
        <f>IF(OR($AE569&lt;&gt;1,U$1=""),"",SUMIFS('All Donations'!$S$2:$S$4001,'All Donations'!$R$2:$R$4001,$AD569,'All Donations'!$T$2:$T$4001,U$1))</f>
        <v/>
      </c>
      <c r="V569" s="49">
        <f>IF(OR($AE569&lt;&gt;1,V$1=""),"",SUMIFS('All Donations'!$S$2:$S$4001,'All Donations'!$R$2:$R$4001,$AD569,'All Donations'!$T$2:$T$4001,V$1))</f>
        <v/>
      </c>
      <c r="W569" s="49">
        <f>IF(OR($AE569&lt;&gt;1,W$1=""),"",SUMIFS('All Donations'!$S$2:$S$4001,'All Donations'!$R$2:$R$4001,$AD569,'All Donations'!$T$2:$T$4001,W$1))</f>
        <v/>
      </c>
      <c r="X569" s="49">
        <f>IF(OR($AE569&lt;&gt;1,X$1=""),"",SUMIFS('All Donations'!$S$2:$S$4001,'All Donations'!$R$2:$R$4001,$AD569,'All Donations'!$T$2:$T$4001,X$1))</f>
        <v/>
      </c>
      <c r="Y569" s="49">
        <f>IF(OR($AE569&lt;&gt;1,Y$1=""),"",SUMIFS('All Donations'!$S$2:$S$4001,'All Donations'!$R$2:$R$4001,$AD569,'All Donations'!$T$2:$T$4001,Y$1))</f>
        <v/>
      </c>
      <c r="Z569" s="49">
        <f>IF(OR($AE569&lt;&gt;1,Z$1=""),"",SUMIFS('All Donations'!$S$2:$S$4001,'All Donations'!$R$2:$R$4001,$AD569,'All Donations'!$T$2:$T$4001,Z$1))</f>
        <v/>
      </c>
      <c r="AA569" s="49">
        <f>IF(OR($AE569&lt;&gt;1,AA$1=""),"",SUMIFS('All Donations'!$S$2:$S$4001,'All Donations'!$R$2:$R$4001,$AD569,'All Donations'!$T$2:$T$4001,AA$1))</f>
        <v/>
      </c>
      <c r="AB569" s="49">
        <f>IF(OR($AE569&lt;&gt;1,AB$1=""),"",SUMIFS('All Donations'!$S$2:$S$4001,'All Donations'!$R$2:$R$4001,$AD569,'All Donations'!$T$2:$T$4001,AB$1))</f>
        <v/>
      </c>
      <c r="AC569" s="49">
        <f>IF(OR($AE569&lt;&gt;1,AC$1=""),"",SUMIFS('All Donations'!$S$2:$S$4001,'All Donations'!$R$2:$R$4001,$AD569,'All Donations'!$T$2:$T$4001,AC$1))</f>
        <v/>
      </c>
      <c r="AD569">
        <f>IF(AE569=1,'Roster'!A569,"")</f>
        <v/>
      </c>
      <c r="AE569">
        <f>IF(TRIM('Roster'!B569&amp;'Roster'!C569)&lt;&gt;"",1,0)</f>
        <v/>
      </c>
      <c r="AF569">
        <f>IF(AE569=1,LOWER(A569),"#")</f>
        <v/>
      </c>
      <c r="AG569">
        <f>IF(AE569=1,LOWER(TRIM(TRIM('Roster'!C569)&amp;", "&amp;TRIM('Roster'!B569))),"#")</f>
        <v/>
      </c>
      <c r="AH569">
        <f>IF(AND(AE569=1,TRIM('Roster'!F569)&lt;&gt;""),LOWER(TRIM('Roster'!F569)),"#")</f>
        <v/>
      </c>
      <c r="AI569">
        <f>IF(AE569=1,IF(MATCH(B569,$B$2:$B$701,0)=ROW()-1,1,0),0)</f>
        <v/>
      </c>
      <c r="AJ569">
        <f>AJ568+AI569</f>
        <v/>
      </c>
      <c r="AK569">
        <f>IF(AE569=1,D569+(1000-ROW())/10^7,-1)</f>
        <v/>
      </c>
      <c r="AL569">
        <f>IF(AE569=1,TRIM('Roster'!B569)&amp;" "&amp;LEFT(TRIM('Roster'!C569),1)&amp;".","")</f>
        <v/>
      </c>
      <c r="AM569">
        <f>IF(AE569=1,TRIM('Roster'!C569)&amp;", "&amp;TRIM('Roster'!B569)&amp;" ("&amp;B569&amp;") #"&amp;AD569,"")</f>
        <v/>
      </c>
      <c r="AN569">
        <f>IF(AE569=1,TRIM('Roster'!E569),"")</f>
        <v/>
      </c>
      <c r="AO569">
        <f>IF(AE569=1,ROUND(SUMIFS('All Donations'!$S$2:$S$4001,'All Donations'!$R$2:$R$4001,AD569,'All Donations'!$T$2:$T$4001,"&gt;="&amp;'Settings'!$C$23,'All Donations'!$T$2:$T$4001,"&lt;="&amp;'Settings'!$D$23),2),0)</f>
        <v/>
      </c>
      <c r="AQ569">
        <f>IF(AE569=1,ROUND(SUMIFS('All Donations'!$S$2:$S$4001,'All Donations'!$R$2:$R$4001,AD569,'All Donations'!$T$2:$T$4001,"&gt;="&amp;'Settings'!$C$25,'All Donations'!$T$2:$T$4001,"&lt;="&amp;'Settings'!$D$25),2),0)</f>
        <v/>
      </c>
      <c r="AR569">
        <f>IF(AE569=1,ROUND(SUMIFS('All Donations'!$S$2:$S$4001,'All Donations'!$R$2:$R$4001,AD569,'All Donations'!$T$2:$T$4001,"&gt;="&amp;'Settings'!$C$26,'All Donations'!$T$2:$T$4001,"&lt;="&amp;'Settings'!$D$26),2),0)</f>
        <v/>
      </c>
      <c r="AS569">
        <f>IF(AE569=1,ROUND(SUMIFS('All Donations'!$S$2:$S$4001,'All Donations'!$R$2:$R$4001,AD569,'All Donations'!$T$2:$T$4001,"&lt;="&amp;'Settings'!$D$27),2),0)</f>
        <v/>
      </c>
      <c r="AT569">
        <f>IF(AE569=1,ROUND(SUMIFS('All Donations'!$S$2:$S$4001,'All Donations'!$R$2:$R$4001,AD569,'All Donations'!$T$2:$T$4001,"&gt;="&amp;'Settings'!$C$28,'All Donations'!$T$2:$T$4001,"&lt;="&amp;'Settings'!$D$28),2),0)</f>
        <v/>
      </c>
      <c r="AU569">
        <f>IF(AE569=1,ROUND(SUMIFS('All Donations'!$S$2:$S$4001,'All Donations'!$R$2:$R$4001,AD569,'All Donations'!$T$2:$T$4001,"&gt;="&amp;'Settings'!$C$29,'All Donations'!$T$2:$T$4001,"&lt;="&amp;'Settings'!$D$29),2),0)</f>
        <v/>
      </c>
      <c r="AV569">
        <f>IF(AE569=1,ROUND(SUMIFS('All Donations'!$S$2:$S$4001,'All Donations'!$R$2:$R$4001,AD569,'All Donations'!$T$2:$T$4001,"&lt;="&amp;'Settings'!$D$30),2),0)</f>
        <v/>
      </c>
      <c r="AZ569">
        <f>IF(AE569=1,ROUND(SUMIFS('All Donations'!$S$2:$S$4001,'All Donations'!$R$2:$R$4001,AD569,'All Donations'!$T$2:$T$4001,"&lt;="&amp;'Settings'!$D$34),2),0)</f>
        <v/>
      </c>
    </row>
    <row r="570">
      <c r="A570">
        <f>IF(AE570=1,TRIM(TRIM('Roster'!B570)&amp;" "&amp;TRIM('Roster'!C570)),"")</f>
        <v/>
      </c>
      <c r="B570">
        <f>IF(AE570=1,IF(AN570="","(no teacher)",AN570&amp;" – "&amp;C570),"")</f>
        <v/>
      </c>
      <c r="C570">
        <f>IF(AE570=1,TRIM('Roster'!D570&amp;""),"")</f>
        <v/>
      </c>
      <c r="D570" s="48">
        <f>IF(AE570=1,ROUND(SUMIFS('All Donations'!$S$2:$S$4001,'All Donations'!$R$2:$R$4001,AD570),2),"")</f>
        <v/>
      </c>
      <c r="E570" s="48">
        <f>IF(AE570=1,ROUND(SUMIFS('All Donations'!$S$2:$S$4001,'All Donations'!$R$2:$R$4001,AD570,'All Donations'!$G$2:$G$4001,"OneCause"),2),"")</f>
        <v/>
      </c>
      <c r="F570" s="48">
        <f>IF(AE570=1,D570-E570,"")</f>
        <v/>
      </c>
      <c r="G570">
        <f>IF(AE570=1,COUNTIFS('All Donations'!$R$2:$R$4001,AD570,'All Donations'!$H$2:$H$4001,"OK"),"")</f>
        <v/>
      </c>
      <c r="H570">
        <f>IF(AE570&lt;&gt;1,"",IF(D570&gt;0,"Yes",""))</f>
        <v/>
      </c>
      <c r="I570" s="49">
        <f>IF(OR($AE570&lt;&gt;1,I$1=""),"",SUMIFS('All Donations'!$S$2:$S$4001,'All Donations'!$R$2:$R$4001,$AD570,'All Donations'!$T$2:$T$4001,I$1))</f>
        <v/>
      </c>
      <c r="J570" s="49">
        <f>IF(OR($AE570&lt;&gt;1,J$1=""),"",SUMIFS('All Donations'!$S$2:$S$4001,'All Donations'!$R$2:$R$4001,$AD570,'All Donations'!$T$2:$T$4001,J$1))</f>
        <v/>
      </c>
      <c r="K570" s="49">
        <f>IF(OR($AE570&lt;&gt;1,K$1=""),"",SUMIFS('All Donations'!$S$2:$S$4001,'All Donations'!$R$2:$R$4001,$AD570,'All Donations'!$T$2:$T$4001,K$1))</f>
        <v/>
      </c>
      <c r="L570" s="49">
        <f>IF(OR($AE570&lt;&gt;1,L$1=""),"",SUMIFS('All Donations'!$S$2:$S$4001,'All Donations'!$R$2:$R$4001,$AD570,'All Donations'!$T$2:$T$4001,L$1))</f>
        <v/>
      </c>
      <c r="M570" s="49">
        <f>IF(OR($AE570&lt;&gt;1,M$1=""),"",SUMIFS('All Donations'!$S$2:$S$4001,'All Donations'!$R$2:$R$4001,$AD570,'All Donations'!$T$2:$T$4001,M$1))</f>
        <v/>
      </c>
      <c r="N570" s="49">
        <f>IF(OR($AE570&lt;&gt;1,N$1=""),"",SUMIFS('All Donations'!$S$2:$S$4001,'All Donations'!$R$2:$R$4001,$AD570,'All Donations'!$T$2:$T$4001,N$1))</f>
        <v/>
      </c>
      <c r="O570" s="49">
        <f>IF(OR($AE570&lt;&gt;1,O$1=""),"",SUMIFS('All Donations'!$S$2:$S$4001,'All Donations'!$R$2:$R$4001,$AD570,'All Donations'!$T$2:$T$4001,O$1))</f>
        <v/>
      </c>
      <c r="P570" s="49">
        <f>IF(OR($AE570&lt;&gt;1,P$1=""),"",SUMIFS('All Donations'!$S$2:$S$4001,'All Donations'!$R$2:$R$4001,$AD570,'All Donations'!$T$2:$T$4001,P$1))</f>
        <v/>
      </c>
      <c r="Q570" s="49">
        <f>IF(OR($AE570&lt;&gt;1,Q$1=""),"",SUMIFS('All Donations'!$S$2:$S$4001,'All Donations'!$R$2:$R$4001,$AD570,'All Donations'!$T$2:$T$4001,Q$1))</f>
        <v/>
      </c>
      <c r="R570" s="49">
        <f>IF(OR($AE570&lt;&gt;1,R$1=""),"",SUMIFS('All Donations'!$S$2:$S$4001,'All Donations'!$R$2:$R$4001,$AD570,'All Donations'!$T$2:$T$4001,R$1))</f>
        <v/>
      </c>
      <c r="S570" s="49">
        <f>IF(OR($AE570&lt;&gt;1,S$1=""),"",SUMIFS('All Donations'!$S$2:$S$4001,'All Donations'!$R$2:$R$4001,$AD570,'All Donations'!$T$2:$T$4001,S$1))</f>
        <v/>
      </c>
      <c r="T570" s="49">
        <f>IF(OR($AE570&lt;&gt;1,T$1=""),"",SUMIFS('All Donations'!$S$2:$S$4001,'All Donations'!$R$2:$R$4001,$AD570,'All Donations'!$T$2:$T$4001,T$1))</f>
        <v/>
      </c>
      <c r="U570" s="49">
        <f>IF(OR($AE570&lt;&gt;1,U$1=""),"",SUMIFS('All Donations'!$S$2:$S$4001,'All Donations'!$R$2:$R$4001,$AD570,'All Donations'!$T$2:$T$4001,U$1))</f>
        <v/>
      </c>
      <c r="V570" s="49">
        <f>IF(OR($AE570&lt;&gt;1,V$1=""),"",SUMIFS('All Donations'!$S$2:$S$4001,'All Donations'!$R$2:$R$4001,$AD570,'All Donations'!$T$2:$T$4001,V$1))</f>
        <v/>
      </c>
      <c r="W570" s="49">
        <f>IF(OR($AE570&lt;&gt;1,W$1=""),"",SUMIFS('All Donations'!$S$2:$S$4001,'All Donations'!$R$2:$R$4001,$AD570,'All Donations'!$T$2:$T$4001,W$1))</f>
        <v/>
      </c>
      <c r="X570" s="49">
        <f>IF(OR($AE570&lt;&gt;1,X$1=""),"",SUMIFS('All Donations'!$S$2:$S$4001,'All Donations'!$R$2:$R$4001,$AD570,'All Donations'!$T$2:$T$4001,X$1))</f>
        <v/>
      </c>
      <c r="Y570" s="49">
        <f>IF(OR($AE570&lt;&gt;1,Y$1=""),"",SUMIFS('All Donations'!$S$2:$S$4001,'All Donations'!$R$2:$R$4001,$AD570,'All Donations'!$T$2:$T$4001,Y$1))</f>
        <v/>
      </c>
      <c r="Z570" s="49">
        <f>IF(OR($AE570&lt;&gt;1,Z$1=""),"",SUMIFS('All Donations'!$S$2:$S$4001,'All Donations'!$R$2:$R$4001,$AD570,'All Donations'!$T$2:$T$4001,Z$1))</f>
        <v/>
      </c>
      <c r="AA570" s="49">
        <f>IF(OR($AE570&lt;&gt;1,AA$1=""),"",SUMIFS('All Donations'!$S$2:$S$4001,'All Donations'!$R$2:$R$4001,$AD570,'All Donations'!$T$2:$T$4001,AA$1))</f>
        <v/>
      </c>
      <c r="AB570" s="49">
        <f>IF(OR($AE570&lt;&gt;1,AB$1=""),"",SUMIFS('All Donations'!$S$2:$S$4001,'All Donations'!$R$2:$R$4001,$AD570,'All Donations'!$T$2:$T$4001,AB$1))</f>
        <v/>
      </c>
      <c r="AC570" s="49">
        <f>IF(OR($AE570&lt;&gt;1,AC$1=""),"",SUMIFS('All Donations'!$S$2:$S$4001,'All Donations'!$R$2:$R$4001,$AD570,'All Donations'!$T$2:$T$4001,AC$1))</f>
        <v/>
      </c>
      <c r="AD570">
        <f>IF(AE570=1,'Roster'!A570,"")</f>
        <v/>
      </c>
      <c r="AE570">
        <f>IF(TRIM('Roster'!B570&amp;'Roster'!C570)&lt;&gt;"",1,0)</f>
        <v/>
      </c>
      <c r="AF570">
        <f>IF(AE570=1,LOWER(A570),"#")</f>
        <v/>
      </c>
      <c r="AG570">
        <f>IF(AE570=1,LOWER(TRIM(TRIM('Roster'!C570)&amp;", "&amp;TRIM('Roster'!B570))),"#")</f>
        <v/>
      </c>
      <c r="AH570">
        <f>IF(AND(AE570=1,TRIM('Roster'!F570)&lt;&gt;""),LOWER(TRIM('Roster'!F570)),"#")</f>
        <v/>
      </c>
      <c r="AI570">
        <f>IF(AE570=1,IF(MATCH(B570,$B$2:$B$701,0)=ROW()-1,1,0),0)</f>
        <v/>
      </c>
      <c r="AJ570">
        <f>AJ569+AI570</f>
        <v/>
      </c>
      <c r="AK570">
        <f>IF(AE570=1,D570+(1000-ROW())/10^7,-1)</f>
        <v/>
      </c>
      <c r="AL570">
        <f>IF(AE570=1,TRIM('Roster'!B570)&amp;" "&amp;LEFT(TRIM('Roster'!C570),1)&amp;".","")</f>
        <v/>
      </c>
      <c r="AM570">
        <f>IF(AE570=1,TRIM('Roster'!C570)&amp;", "&amp;TRIM('Roster'!B570)&amp;" ("&amp;B570&amp;") #"&amp;AD570,"")</f>
        <v/>
      </c>
      <c r="AN570">
        <f>IF(AE570=1,TRIM('Roster'!E570),"")</f>
        <v/>
      </c>
      <c r="AO570">
        <f>IF(AE570=1,ROUND(SUMIFS('All Donations'!$S$2:$S$4001,'All Donations'!$R$2:$R$4001,AD570,'All Donations'!$T$2:$T$4001,"&gt;="&amp;'Settings'!$C$23,'All Donations'!$T$2:$T$4001,"&lt;="&amp;'Settings'!$D$23),2),0)</f>
        <v/>
      </c>
      <c r="AQ570">
        <f>IF(AE570=1,ROUND(SUMIFS('All Donations'!$S$2:$S$4001,'All Donations'!$R$2:$R$4001,AD570,'All Donations'!$T$2:$T$4001,"&gt;="&amp;'Settings'!$C$25,'All Donations'!$T$2:$T$4001,"&lt;="&amp;'Settings'!$D$25),2),0)</f>
        <v/>
      </c>
      <c r="AR570">
        <f>IF(AE570=1,ROUND(SUMIFS('All Donations'!$S$2:$S$4001,'All Donations'!$R$2:$R$4001,AD570,'All Donations'!$T$2:$T$4001,"&gt;="&amp;'Settings'!$C$26,'All Donations'!$T$2:$T$4001,"&lt;="&amp;'Settings'!$D$26),2),0)</f>
        <v/>
      </c>
      <c r="AS570">
        <f>IF(AE570=1,ROUND(SUMIFS('All Donations'!$S$2:$S$4001,'All Donations'!$R$2:$R$4001,AD570,'All Donations'!$T$2:$T$4001,"&lt;="&amp;'Settings'!$D$27),2),0)</f>
        <v/>
      </c>
      <c r="AT570">
        <f>IF(AE570=1,ROUND(SUMIFS('All Donations'!$S$2:$S$4001,'All Donations'!$R$2:$R$4001,AD570,'All Donations'!$T$2:$T$4001,"&gt;="&amp;'Settings'!$C$28,'All Donations'!$T$2:$T$4001,"&lt;="&amp;'Settings'!$D$28),2),0)</f>
        <v/>
      </c>
      <c r="AU570">
        <f>IF(AE570=1,ROUND(SUMIFS('All Donations'!$S$2:$S$4001,'All Donations'!$R$2:$R$4001,AD570,'All Donations'!$T$2:$T$4001,"&gt;="&amp;'Settings'!$C$29,'All Donations'!$T$2:$T$4001,"&lt;="&amp;'Settings'!$D$29),2),0)</f>
        <v/>
      </c>
      <c r="AV570">
        <f>IF(AE570=1,ROUND(SUMIFS('All Donations'!$S$2:$S$4001,'All Donations'!$R$2:$R$4001,AD570,'All Donations'!$T$2:$T$4001,"&lt;="&amp;'Settings'!$D$30),2),0)</f>
        <v/>
      </c>
      <c r="AZ570">
        <f>IF(AE570=1,ROUND(SUMIFS('All Donations'!$S$2:$S$4001,'All Donations'!$R$2:$R$4001,AD570,'All Donations'!$T$2:$T$4001,"&lt;="&amp;'Settings'!$D$34),2),0)</f>
        <v/>
      </c>
    </row>
    <row r="571">
      <c r="A571">
        <f>IF(AE571=1,TRIM(TRIM('Roster'!B571)&amp;" "&amp;TRIM('Roster'!C571)),"")</f>
        <v/>
      </c>
      <c r="B571">
        <f>IF(AE571=1,IF(AN571="","(no teacher)",AN571&amp;" – "&amp;C571),"")</f>
        <v/>
      </c>
      <c r="C571">
        <f>IF(AE571=1,TRIM('Roster'!D571&amp;""),"")</f>
        <v/>
      </c>
      <c r="D571" s="48">
        <f>IF(AE571=1,ROUND(SUMIFS('All Donations'!$S$2:$S$4001,'All Donations'!$R$2:$R$4001,AD571),2),"")</f>
        <v/>
      </c>
      <c r="E571" s="48">
        <f>IF(AE571=1,ROUND(SUMIFS('All Donations'!$S$2:$S$4001,'All Donations'!$R$2:$R$4001,AD571,'All Donations'!$G$2:$G$4001,"OneCause"),2),"")</f>
        <v/>
      </c>
      <c r="F571" s="48">
        <f>IF(AE571=1,D571-E571,"")</f>
        <v/>
      </c>
      <c r="G571">
        <f>IF(AE571=1,COUNTIFS('All Donations'!$R$2:$R$4001,AD571,'All Donations'!$H$2:$H$4001,"OK"),"")</f>
        <v/>
      </c>
      <c r="H571">
        <f>IF(AE571&lt;&gt;1,"",IF(D571&gt;0,"Yes",""))</f>
        <v/>
      </c>
      <c r="I571" s="49">
        <f>IF(OR($AE571&lt;&gt;1,I$1=""),"",SUMIFS('All Donations'!$S$2:$S$4001,'All Donations'!$R$2:$R$4001,$AD571,'All Donations'!$T$2:$T$4001,I$1))</f>
        <v/>
      </c>
      <c r="J571" s="49">
        <f>IF(OR($AE571&lt;&gt;1,J$1=""),"",SUMIFS('All Donations'!$S$2:$S$4001,'All Donations'!$R$2:$R$4001,$AD571,'All Donations'!$T$2:$T$4001,J$1))</f>
        <v/>
      </c>
      <c r="K571" s="49">
        <f>IF(OR($AE571&lt;&gt;1,K$1=""),"",SUMIFS('All Donations'!$S$2:$S$4001,'All Donations'!$R$2:$R$4001,$AD571,'All Donations'!$T$2:$T$4001,K$1))</f>
        <v/>
      </c>
      <c r="L571" s="49">
        <f>IF(OR($AE571&lt;&gt;1,L$1=""),"",SUMIFS('All Donations'!$S$2:$S$4001,'All Donations'!$R$2:$R$4001,$AD571,'All Donations'!$T$2:$T$4001,L$1))</f>
        <v/>
      </c>
      <c r="M571" s="49">
        <f>IF(OR($AE571&lt;&gt;1,M$1=""),"",SUMIFS('All Donations'!$S$2:$S$4001,'All Donations'!$R$2:$R$4001,$AD571,'All Donations'!$T$2:$T$4001,M$1))</f>
        <v/>
      </c>
      <c r="N571" s="49">
        <f>IF(OR($AE571&lt;&gt;1,N$1=""),"",SUMIFS('All Donations'!$S$2:$S$4001,'All Donations'!$R$2:$R$4001,$AD571,'All Donations'!$T$2:$T$4001,N$1))</f>
        <v/>
      </c>
      <c r="O571" s="49">
        <f>IF(OR($AE571&lt;&gt;1,O$1=""),"",SUMIFS('All Donations'!$S$2:$S$4001,'All Donations'!$R$2:$R$4001,$AD571,'All Donations'!$T$2:$T$4001,O$1))</f>
        <v/>
      </c>
      <c r="P571" s="49">
        <f>IF(OR($AE571&lt;&gt;1,P$1=""),"",SUMIFS('All Donations'!$S$2:$S$4001,'All Donations'!$R$2:$R$4001,$AD571,'All Donations'!$T$2:$T$4001,P$1))</f>
        <v/>
      </c>
      <c r="Q571" s="49">
        <f>IF(OR($AE571&lt;&gt;1,Q$1=""),"",SUMIFS('All Donations'!$S$2:$S$4001,'All Donations'!$R$2:$R$4001,$AD571,'All Donations'!$T$2:$T$4001,Q$1))</f>
        <v/>
      </c>
      <c r="R571" s="49">
        <f>IF(OR($AE571&lt;&gt;1,R$1=""),"",SUMIFS('All Donations'!$S$2:$S$4001,'All Donations'!$R$2:$R$4001,$AD571,'All Donations'!$T$2:$T$4001,R$1))</f>
        <v/>
      </c>
      <c r="S571" s="49">
        <f>IF(OR($AE571&lt;&gt;1,S$1=""),"",SUMIFS('All Donations'!$S$2:$S$4001,'All Donations'!$R$2:$R$4001,$AD571,'All Donations'!$T$2:$T$4001,S$1))</f>
        <v/>
      </c>
      <c r="T571" s="49">
        <f>IF(OR($AE571&lt;&gt;1,T$1=""),"",SUMIFS('All Donations'!$S$2:$S$4001,'All Donations'!$R$2:$R$4001,$AD571,'All Donations'!$T$2:$T$4001,T$1))</f>
        <v/>
      </c>
      <c r="U571" s="49">
        <f>IF(OR($AE571&lt;&gt;1,U$1=""),"",SUMIFS('All Donations'!$S$2:$S$4001,'All Donations'!$R$2:$R$4001,$AD571,'All Donations'!$T$2:$T$4001,U$1))</f>
        <v/>
      </c>
      <c r="V571" s="49">
        <f>IF(OR($AE571&lt;&gt;1,V$1=""),"",SUMIFS('All Donations'!$S$2:$S$4001,'All Donations'!$R$2:$R$4001,$AD571,'All Donations'!$T$2:$T$4001,V$1))</f>
        <v/>
      </c>
      <c r="W571" s="49">
        <f>IF(OR($AE571&lt;&gt;1,W$1=""),"",SUMIFS('All Donations'!$S$2:$S$4001,'All Donations'!$R$2:$R$4001,$AD571,'All Donations'!$T$2:$T$4001,W$1))</f>
        <v/>
      </c>
      <c r="X571" s="49">
        <f>IF(OR($AE571&lt;&gt;1,X$1=""),"",SUMIFS('All Donations'!$S$2:$S$4001,'All Donations'!$R$2:$R$4001,$AD571,'All Donations'!$T$2:$T$4001,X$1))</f>
        <v/>
      </c>
      <c r="Y571" s="49">
        <f>IF(OR($AE571&lt;&gt;1,Y$1=""),"",SUMIFS('All Donations'!$S$2:$S$4001,'All Donations'!$R$2:$R$4001,$AD571,'All Donations'!$T$2:$T$4001,Y$1))</f>
        <v/>
      </c>
      <c r="Z571" s="49">
        <f>IF(OR($AE571&lt;&gt;1,Z$1=""),"",SUMIFS('All Donations'!$S$2:$S$4001,'All Donations'!$R$2:$R$4001,$AD571,'All Donations'!$T$2:$T$4001,Z$1))</f>
        <v/>
      </c>
      <c r="AA571" s="49">
        <f>IF(OR($AE571&lt;&gt;1,AA$1=""),"",SUMIFS('All Donations'!$S$2:$S$4001,'All Donations'!$R$2:$R$4001,$AD571,'All Donations'!$T$2:$T$4001,AA$1))</f>
        <v/>
      </c>
      <c r="AB571" s="49">
        <f>IF(OR($AE571&lt;&gt;1,AB$1=""),"",SUMIFS('All Donations'!$S$2:$S$4001,'All Donations'!$R$2:$R$4001,$AD571,'All Donations'!$T$2:$T$4001,AB$1))</f>
        <v/>
      </c>
      <c r="AC571" s="49">
        <f>IF(OR($AE571&lt;&gt;1,AC$1=""),"",SUMIFS('All Donations'!$S$2:$S$4001,'All Donations'!$R$2:$R$4001,$AD571,'All Donations'!$T$2:$T$4001,AC$1))</f>
        <v/>
      </c>
      <c r="AD571">
        <f>IF(AE571=1,'Roster'!A571,"")</f>
        <v/>
      </c>
      <c r="AE571">
        <f>IF(TRIM('Roster'!B571&amp;'Roster'!C571)&lt;&gt;"",1,0)</f>
        <v/>
      </c>
      <c r="AF571">
        <f>IF(AE571=1,LOWER(A571),"#")</f>
        <v/>
      </c>
      <c r="AG571">
        <f>IF(AE571=1,LOWER(TRIM(TRIM('Roster'!C571)&amp;", "&amp;TRIM('Roster'!B571))),"#")</f>
        <v/>
      </c>
      <c r="AH571">
        <f>IF(AND(AE571=1,TRIM('Roster'!F571)&lt;&gt;""),LOWER(TRIM('Roster'!F571)),"#")</f>
        <v/>
      </c>
      <c r="AI571">
        <f>IF(AE571=1,IF(MATCH(B571,$B$2:$B$701,0)=ROW()-1,1,0),0)</f>
        <v/>
      </c>
      <c r="AJ571">
        <f>AJ570+AI571</f>
        <v/>
      </c>
      <c r="AK571">
        <f>IF(AE571=1,D571+(1000-ROW())/10^7,-1)</f>
        <v/>
      </c>
      <c r="AL571">
        <f>IF(AE571=1,TRIM('Roster'!B571)&amp;" "&amp;LEFT(TRIM('Roster'!C571),1)&amp;".","")</f>
        <v/>
      </c>
      <c r="AM571">
        <f>IF(AE571=1,TRIM('Roster'!C571)&amp;", "&amp;TRIM('Roster'!B571)&amp;" ("&amp;B571&amp;") #"&amp;AD571,"")</f>
        <v/>
      </c>
      <c r="AN571">
        <f>IF(AE571=1,TRIM('Roster'!E571),"")</f>
        <v/>
      </c>
      <c r="AO571">
        <f>IF(AE571=1,ROUND(SUMIFS('All Donations'!$S$2:$S$4001,'All Donations'!$R$2:$R$4001,AD571,'All Donations'!$T$2:$T$4001,"&gt;="&amp;'Settings'!$C$23,'All Donations'!$T$2:$T$4001,"&lt;="&amp;'Settings'!$D$23),2),0)</f>
        <v/>
      </c>
      <c r="AQ571">
        <f>IF(AE571=1,ROUND(SUMIFS('All Donations'!$S$2:$S$4001,'All Donations'!$R$2:$R$4001,AD571,'All Donations'!$T$2:$T$4001,"&gt;="&amp;'Settings'!$C$25,'All Donations'!$T$2:$T$4001,"&lt;="&amp;'Settings'!$D$25),2),0)</f>
        <v/>
      </c>
      <c r="AR571">
        <f>IF(AE571=1,ROUND(SUMIFS('All Donations'!$S$2:$S$4001,'All Donations'!$R$2:$R$4001,AD571,'All Donations'!$T$2:$T$4001,"&gt;="&amp;'Settings'!$C$26,'All Donations'!$T$2:$T$4001,"&lt;="&amp;'Settings'!$D$26),2),0)</f>
        <v/>
      </c>
      <c r="AS571">
        <f>IF(AE571=1,ROUND(SUMIFS('All Donations'!$S$2:$S$4001,'All Donations'!$R$2:$R$4001,AD571,'All Donations'!$T$2:$T$4001,"&lt;="&amp;'Settings'!$D$27),2),0)</f>
        <v/>
      </c>
      <c r="AT571">
        <f>IF(AE571=1,ROUND(SUMIFS('All Donations'!$S$2:$S$4001,'All Donations'!$R$2:$R$4001,AD571,'All Donations'!$T$2:$T$4001,"&gt;="&amp;'Settings'!$C$28,'All Donations'!$T$2:$T$4001,"&lt;="&amp;'Settings'!$D$28),2),0)</f>
        <v/>
      </c>
      <c r="AU571">
        <f>IF(AE571=1,ROUND(SUMIFS('All Donations'!$S$2:$S$4001,'All Donations'!$R$2:$R$4001,AD571,'All Donations'!$T$2:$T$4001,"&gt;="&amp;'Settings'!$C$29,'All Donations'!$T$2:$T$4001,"&lt;="&amp;'Settings'!$D$29),2),0)</f>
        <v/>
      </c>
      <c r="AV571">
        <f>IF(AE571=1,ROUND(SUMIFS('All Donations'!$S$2:$S$4001,'All Donations'!$R$2:$R$4001,AD571,'All Donations'!$T$2:$T$4001,"&lt;="&amp;'Settings'!$D$30),2),0)</f>
        <v/>
      </c>
      <c r="AZ571">
        <f>IF(AE571=1,ROUND(SUMIFS('All Donations'!$S$2:$S$4001,'All Donations'!$R$2:$R$4001,AD571,'All Donations'!$T$2:$T$4001,"&lt;="&amp;'Settings'!$D$34),2),0)</f>
        <v/>
      </c>
    </row>
    <row r="572">
      <c r="A572">
        <f>IF(AE572=1,TRIM(TRIM('Roster'!B572)&amp;" "&amp;TRIM('Roster'!C572)),"")</f>
        <v/>
      </c>
      <c r="B572">
        <f>IF(AE572=1,IF(AN572="","(no teacher)",AN572&amp;" – "&amp;C572),"")</f>
        <v/>
      </c>
      <c r="C572">
        <f>IF(AE572=1,TRIM('Roster'!D572&amp;""),"")</f>
        <v/>
      </c>
      <c r="D572" s="48">
        <f>IF(AE572=1,ROUND(SUMIFS('All Donations'!$S$2:$S$4001,'All Donations'!$R$2:$R$4001,AD572),2),"")</f>
        <v/>
      </c>
      <c r="E572" s="48">
        <f>IF(AE572=1,ROUND(SUMIFS('All Donations'!$S$2:$S$4001,'All Donations'!$R$2:$R$4001,AD572,'All Donations'!$G$2:$G$4001,"OneCause"),2),"")</f>
        <v/>
      </c>
      <c r="F572" s="48">
        <f>IF(AE572=1,D572-E572,"")</f>
        <v/>
      </c>
      <c r="G572">
        <f>IF(AE572=1,COUNTIFS('All Donations'!$R$2:$R$4001,AD572,'All Donations'!$H$2:$H$4001,"OK"),"")</f>
        <v/>
      </c>
      <c r="H572">
        <f>IF(AE572&lt;&gt;1,"",IF(D572&gt;0,"Yes",""))</f>
        <v/>
      </c>
      <c r="I572" s="49">
        <f>IF(OR($AE572&lt;&gt;1,I$1=""),"",SUMIFS('All Donations'!$S$2:$S$4001,'All Donations'!$R$2:$R$4001,$AD572,'All Donations'!$T$2:$T$4001,I$1))</f>
        <v/>
      </c>
      <c r="J572" s="49">
        <f>IF(OR($AE572&lt;&gt;1,J$1=""),"",SUMIFS('All Donations'!$S$2:$S$4001,'All Donations'!$R$2:$R$4001,$AD572,'All Donations'!$T$2:$T$4001,J$1))</f>
        <v/>
      </c>
      <c r="K572" s="49">
        <f>IF(OR($AE572&lt;&gt;1,K$1=""),"",SUMIFS('All Donations'!$S$2:$S$4001,'All Donations'!$R$2:$R$4001,$AD572,'All Donations'!$T$2:$T$4001,K$1))</f>
        <v/>
      </c>
      <c r="L572" s="49">
        <f>IF(OR($AE572&lt;&gt;1,L$1=""),"",SUMIFS('All Donations'!$S$2:$S$4001,'All Donations'!$R$2:$R$4001,$AD572,'All Donations'!$T$2:$T$4001,L$1))</f>
        <v/>
      </c>
      <c r="M572" s="49">
        <f>IF(OR($AE572&lt;&gt;1,M$1=""),"",SUMIFS('All Donations'!$S$2:$S$4001,'All Donations'!$R$2:$R$4001,$AD572,'All Donations'!$T$2:$T$4001,M$1))</f>
        <v/>
      </c>
      <c r="N572" s="49">
        <f>IF(OR($AE572&lt;&gt;1,N$1=""),"",SUMIFS('All Donations'!$S$2:$S$4001,'All Donations'!$R$2:$R$4001,$AD572,'All Donations'!$T$2:$T$4001,N$1))</f>
        <v/>
      </c>
      <c r="O572" s="49">
        <f>IF(OR($AE572&lt;&gt;1,O$1=""),"",SUMIFS('All Donations'!$S$2:$S$4001,'All Donations'!$R$2:$R$4001,$AD572,'All Donations'!$T$2:$T$4001,O$1))</f>
        <v/>
      </c>
      <c r="P572" s="49">
        <f>IF(OR($AE572&lt;&gt;1,P$1=""),"",SUMIFS('All Donations'!$S$2:$S$4001,'All Donations'!$R$2:$R$4001,$AD572,'All Donations'!$T$2:$T$4001,P$1))</f>
        <v/>
      </c>
      <c r="Q572" s="49">
        <f>IF(OR($AE572&lt;&gt;1,Q$1=""),"",SUMIFS('All Donations'!$S$2:$S$4001,'All Donations'!$R$2:$R$4001,$AD572,'All Donations'!$T$2:$T$4001,Q$1))</f>
        <v/>
      </c>
      <c r="R572" s="49">
        <f>IF(OR($AE572&lt;&gt;1,R$1=""),"",SUMIFS('All Donations'!$S$2:$S$4001,'All Donations'!$R$2:$R$4001,$AD572,'All Donations'!$T$2:$T$4001,R$1))</f>
        <v/>
      </c>
      <c r="S572" s="49">
        <f>IF(OR($AE572&lt;&gt;1,S$1=""),"",SUMIFS('All Donations'!$S$2:$S$4001,'All Donations'!$R$2:$R$4001,$AD572,'All Donations'!$T$2:$T$4001,S$1))</f>
        <v/>
      </c>
      <c r="T572" s="49">
        <f>IF(OR($AE572&lt;&gt;1,T$1=""),"",SUMIFS('All Donations'!$S$2:$S$4001,'All Donations'!$R$2:$R$4001,$AD572,'All Donations'!$T$2:$T$4001,T$1))</f>
        <v/>
      </c>
      <c r="U572" s="49">
        <f>IF(OR($AE572&lt;&gt;1,U$1=""),"",SUMIFS('All Donations'!$S$2:$S$4001,'All Donations'!$R$2:$R$4001,$AD572,'All Donations'!$T$2:$T$4001,U$1))</f>
        <v/>
      </c>
      <c r="V572" s="49">
        <f>IF(OR($AE572&lt;&gt;1,V$1=""),"",SUMIFS('All Donations'!$S$2:$S$4001,'All Donations'!$R$2:$R$4001,$AD572,'All Donations'!$T$2:$T$4001,V$1))</f>
        <v/>
      </c>
      <c r="W572" s="49">
        <f>IF(OR($AE572&lt;&gt;1,W$1=""),"",SUMIFS('All Donations'!$S$2:$S$4001,'All Donations'!$R$2:$R$4001,$AD572,'All Donations'!$T$2:$T$4001,W$1))</f>
        <v/>
      </c>
      <c r="X572" s="49">
        <f>IF(OR($AE572&lt;&gt;1,X$1=""),"",SUMIFS('All Donations'!$S$2:$S$4001,'All Donations'!$R$2:$R$4001,$AD572,'All Donations'!$T$2:$T$4001,X$1))</f>
        <v/>
      </c>
      <c r="Y572" s="49">
        <f>IF(OR($AE572&lt;&gt;1,Y$1=""),"",SUMIFS('All Donations'!$S$2:$S$4001,'All Donations'!$R$2:$R$4001,$AD572,'All Donations'!$T$2:$T$4001,Y$1))</f>
        <v/>
      </c>
      <c r="Z572" s="49">
        <f>IF(OR($AE572&lt;&gt;1,Z$1=""),"",SUMIFS('All Donations'!$S$2:$S$4001,'All Donations'!$R$2:$R$4001,$AD572,'All Donations'!$T$2:$T$4001,Z$1))</f>
        <v/>
      </c>
      <c r="AA572" s="49">
        <f>IF(OR($AE572&lt;&gt;1,AA$1=""),"",SUMIFS('All Donations'!$S$2:$S$4001,'All Donations'!$R$2:$R$4001,$AD572,'All Donations'!$T$2:$T$4001,AA$1))</f>
        <v/>
      </c>
      <c r="AB572" s="49">
        <f>IF(OR($AE572&lt;&gt;1,AB$1=""),"",SUMIFS('All Donations'!$S$2:$S$4001,'All Donations'!$R$2:$R$4001,$AD572,'All Donations'!$T$2:$T$4001,AB$1))</f>
        <v/>
      </c>
      <c r="AC572" s="49">
        <f>IF(OR($AE572&lt;&gt;1,AC$1=""),"",SUMIFS('All Donations'!$S$2:$S$4001,'All Donations'!$R$2:$R$4001,$AD572,'All Donations'!$T$2:$T$4001,AC$1))</f>
        <v/>
      </c>
      <c r="AD572">
        <f>IF(AE572=1,'Roster'!A572,"")</f>
        <v/>
      </c>
      <c r="AE572">
        <f>IF(TRIM('Roster'!B572&amp;'Roster'!C572)&lt;&gt;"",1,0)</f>
        <v/>
      </c>
      <c r="AF572">
        <f>IF(AE572=1,LOWER(A572),"#")</f>
        <v/>
      </c>
      <c r="AG572">
        <f>IF(AE572=1,LOWER(TRIM(TRIM('Roster'!C572)&amp;", "&amp;TRIM('Roster'!B572))),"#")</f>
        <v/>
      </c>
      <c r="AH572">
        <f>IF(AND(AE572=1,TRIM('Roster'!F572)&lt;&gt;""),LOWER(TRIM('Roster'!F572)),"#")</f>
        <v/>
      </c>
      <c r="AI572">
        <f>IF(AE572=1,IF(MATCH(B572,$B$2:$B$701,0)=ROW()-1,1,0),0)</f>
        <v/>
      </c>
      <c r="AJ572">
        <f>AJ571+AI572</f>
        <v/>
      </c>
      <c r="AK572">
        <f>IF(AE572=1,D572+(1000-ROW())/10^7,-1)</f>
        <v/>
      </c>
      <c r="AL572">
        <f>IF(AE572=1,TRIM('Roster'!B572)&amp;" "&amp;LEFT(TRIM('Roster'!C572),1)&amp;".","")</f>
        <v/>
      </c>
      <c r="AM572">
        <f>IF(AE572=1,TRIM('Roster'!C572)&amp;", "&amp;TRIM('Roster'!B572)&amp;" ("&amp;B572&amp;") #"&amp;AD572,"")</f>
        <v/>
      </c>
      <c r="AN572">
        <f>IF(AE572=1,TRIM('Roster'!E572),"")</f>
        <v/>
      </c>
      <c r="AO572">
        <f>IF(AE572=1,ROUND(SUMIFS('All Donations'!$S$2:$S$4001,'All Donations'!$R$2:$R$4001,AD572,'All Donations'!$T$2:$T$4001,"&gt;="&amp;'Settings'!$C$23,'All Donations'!$T$2:$T$4001,"&lt;="&amp;'Settings'!$D$23),2),0)</f>
        <v/>
      </c>
      <c r="AQ572">
        <f>IF(AE572=1,ROUND(SUMIFS('All Donations'!$S$2:$S$4001,'All Donations'!$R$2:$R$4001,AD572,'All Donations'!$T$2:$T$4001,"&gt;="&amp;'Settings'!$C$25,'All Donations'!$T$2:$T$4001,"&lt;="&amp;'Settings'!$D$25),2),0)</f>
        <v/>
      </c>
      <c r="AR572">
        <f>IF(AE572=1,ROUND(SUMIFS('All Donations'!$S$2:$S$4001,'All Donations'!$R$2:$R$4001,AD572,'All Donations'!$T$2:$T$4001,"&gt;="&amp;'Settings'!$C$26,'All Donations'!$T$2:$T$4001,"&lt;="&amp;'Settings'!$D$26),2),0)</f>
        <v/>
      </c>
      <c r="AS572">
        <f>IF(AE572=1,ROUND(SUMIFS('All Donations'!$S$2:$S$4001,'All Donations'!$R$2:$R$4001,AD572,'All Donations'!$T$2:$T$4001,"&lt;="&amp;'Settings'!$D$27),2),0)</f>
        <v/>
      </c>
      <c r="AT572">
        <f>IF(AE572=1,ROUND(SUMIFS('All Donations'!$S$2:$S$4001,'All Donations'!$R$2:$R$4001,AD572,'All Donations'!$T$2:$T$4001,"&gt;="&amp;'Settings'!$C$28,'All Donations'!$T$2:$T$4001,"&lt;="&amp;'Settings'!$D$28),2),0)</f>
        <v/>
      </c>
      <c r="AU572">
        <f>IF(AE572=1,ROUND(SUMIFS('All Donations'!$S$2:$S$4001,'All Donations'!$R$2:$R$4001,AD572,'All Donations'!$T$2:$T$4001,"&gt;="&amp;'Settings'!$C$29,'All Donations'!$T$2:$T$4001,"&lt;="&amp;'Settings'!$D$29),2),0)</f>
        <v/>
      </c>
      <c r="AV572">
        <f>IF(AE572=1,ROUND(SUMIFS('All Donations'!$S$2:$S$4001,'All Donations'!$R$2:$R$4001,AD572,'All Donations'!$T$2:$T$4001,"&lt;="&amp;'Settings'!$D$30),2),0)</f>
        <v/>
      </c>
      <c r="AZ572">
        <f>IF(AE572=1,ROUND(SUMIFS('All Donations'!$S$2:$S$4001,'All Donations'!$R$2:$R$4001,AD572,'All Donations'!$T$2:$T$4001,"&lt;="&amp;'Settings'!$D$34),2),0)</f>
        <v/>
      </c>
    </row>
    <row r="573">
      <c r="A573">
        <f>IF(AE573=1,TRIM(TRIM('Roster'!B573)&amp;" "&amp;TRIM('Roster'!C573)),"")</f>
        <v/>
      </c>
      <c r="B573">
        <f>IF(AE573=1,IF(AN573="","(no teacher)",AN573&amp;" – "&amp;C573),"")</f>
        <v/>
      </c>
      <c r="C573">
        <f>IF(AE573=1,TRIM('Roster'!D573&amp;""),"")</f>
        <v/>
      </c>
      <c r="D573" s="48">
        <f>IF(AE573=1,ROUND(SUMIFS('All Donations'!$S$2:$S$4001,'All Donations'!$R$2:$R$4001,AD573),2),"")</f>
        <v/>
      </c>
      <c r="E573" s="48">
        <f>IF(AE573=1,ROUND(SUMIFS('All Donations'!$S$2:$S$4001,'All Donations'!$R$2:$R$4001,AD573,'All Donations'!$G$2:$G$4001,"OneCause"),2),"")</f>
        <v/>
      </c>
      <c r="F573" s="48">
        <f>IF(AE573=1,D573-E573,"")</f>
        <v/>
      </c>
      <c r="G573">
        <f>IF(AE573=1,COUNTIFS('All Donations'!$R$2:$R$4001,AD573,'All Donations'!$H$2:$H$4001,"OK"),"")</f>
        <v/>
      </c>
      <c r="H573">
        <f>IF(AE573&lt;&gt;1,"",IF(D573&gt;0,"Yes",""))</f>
        <v/>
      </c>
      <c r="I573" s="49">
        <f>IF(OR($AE573&lt;&gt;1,I$1=""),"",SUMIFS('All Donations'!$S$2:$S$4001,'All Donations'!$R$2:$R$4001,$AD573,'All Donations'!$T$2:$T$4001,I$1))</f>
        <v/>
      </c>
      <c r="J573" s="49">
        <f>IF(OR($AE573&lt;&gt;1,J$1=""),"",SUMIFS('All Donations'!$S$2:$S$4001,'All Donations'!$R$2:$R$4001,$AD573,'All Donations'!$T$2:$T$4001,J$1))</f>
        <v/>
      </c>
      <c r="K573" s="49">
        <f>IF(OR($AE573&lt;&gt;1,K$1=""),"",SUMIFS('All Donations'!$S$2:$S$4001,'All Donations'!$R$2:$R$4001,$AD573,'All Donations'!$T$2:$T$4001,K$1))</f>
        <v/>
      </c>
      <c r="L573" s="49">
        <f>IF(OR($AE573&lt;&gt;1,L$1=""),"",SUMIFS('All Donations'!$S$2:$S$4001,'All Donations'!$R$2:$R$4001,$AD573,'All Donations'!$T$2:$T$4001,L$1))</f>
        <v/>
      </c>
      <c r="M573" s="49">
        <f>IF(OR($AE573&lt;&gt;1,M$1=""),"",SUMIFS('All Donations'!$S$2:$S$4001,'All Donations'!$R$2:$R$4001,$AD573,'All Donations'!$T$2:$T$4001,M$1))</f>
        <v/>
      </c>
      <c r="N573" s="49">
        <f>IF(OR($AE573&lt;&gt;1,N$1=""),"",SUMIFS('All Donations'!$S$2:$S$4001,'All Donations'!$R$2:$R$4001,$AD573,'All Donations'!$T$2:$T$4001,N$1))</f>
        <v/>
      </c>
      <c r="O573" s="49">
        <f>IF(OR($AE573&lt;&gt;1,O$1=""),"",SUMIFS('All Donations'!$S$2:$S$4001,'All Donations'!$R$2:$R$4001,$AD573,'All Donations'!$T$2:$T$4001,O$1))</f>
        <v/>
      </c>
      <c r="P573" s="49">
        <f>IF(OR($AE573&lt;&gt;1,P$1=""),"",SUMIFS('All Donations'!$S$2:$S$4001,'All Donations'!$R$2:$R$4001,$AD573,'All Donations'!$T$2:$T$4001,P$1))</f>
        <v/>
      </c>
      <c r="Q573" s="49">
        <f>IF(OR($AE573&lt;&gt;1,Q$1=""),"",SUMIFS('All Donations'!$S$2:$S$4001,'All Donations'!$R$2:$R$4001,$AD573,'All Donations'!$T$2:$T$4001,Q$1))</f>
        <v/>
      </c>
      <c r="R573" s="49">
        <f>IF(OR($AE573&lt;&gt;1,R$1=""),"",SUMIFS('All Donations'!$S$2:$S$4001,'All Donations'!$R$2:$R$4001,$AD573,'All Donations'!$T$2:$T$4001,R$1))</f>
        <v/>
      </c>
      <c r="S573" s="49">
        <f>IF(OR($AE573&lt;&gt;1,S$1=""),"",SUMIFS('All Donations'!$S$2:$S$4001,'All Donations'!$R$2:$R$4001,$AD573,'All Donations'!$T$2:$T$4001,S$1))</f>
        <v/>
      </c>
      <c r="T573" s="49">
        <f>IF(OR($AE573&lt;&gt;1,T$1=""),"",SUMIFS('All Donations'!$S$2:$S$4001,'All Donations'!$R$2:$R$4001,$AD573,'All Donations'!$T$2:$T$4001,T$1))</f>
        <v/>
      </c>
      <c r="U573" s="49">
        <f>IF(OR($AE573&lt;&gt;1,U$1=""),"",SUMIFS('All Donations'!$S$2:$S$4001,'All Donations'!$R$2:$R$4001,$AD573,'All Donations'!$T$2:$T$4001,U$1))</f>
        <v/>
      </c>
      <c r="V573" s="49">
        <f>IF(OR($AE573&lt;&gt;1,V$1=""),"",SUMIFS('All Donations'!$S$2:$S$4001,'All Donations'!$R$2:$R$4001,$AD573,'All Donations'!$T$2:$T$4001,V$1))</f>
        <v/>
      </c>
      <c r="W573" s="49">
        <f>IF(OR($AE573&lt;&gt;1,W$1=""),"",SUMIFS('All Donations'!$S$2:$S$4001,'All Donations'!$R$2:$R$4001,$AD573,'All Donations'!$T$2:$T$4001,W$1))</f>
        <v/>
      </c>
      <c r="X573" s="49">
        <f>IF(OR($AE573&lt;&gt;1,X$1=""),"",SUMIFS('All Donations'!$S$2:$S$4001,'All Donations'!$R$2:$R$4001,$AD573,'All Donations'!$T$2:$T$4001,X$1))</f>
        <v/>
      </c>
      <c r="Y573" s="49">
        <f>IF(OR($AE573&lt;&gt;1,Y$1=""),"",SUMIFS('All Donations'!$S$2:$S$4001,'All Donations'!$R$2:$R$4001,$AD573,'All Donations'!$T$2:$T$4001,Y$1))</f>
        <v/>
      </c>
      <c r="Z573" s="49">
        <f>IF(OR($AE573&lt;&gt;1,Z$1=""),"",SUMIFS('All Donations'!$S$2:$S$4001,'All Donations'!$R$2:$R$4001,$AD573,'All Donations'!$T$2:$T$4001,Z$1))</f>
        <v/>
      </c>
      <c r="AA573" s="49">
        <f>IF(OR($AE573&lt;&gt;1,AA$1=""),"",SUMIFS('All Donations'!$S$2:$S$4001,'All Donations'!$R$2:$R$4001,$AD573,'All Donations'!$T$2:$T$4001,AA$1))</f>
        <v/>
      </c>
      <c r="AB573" s="49">
        <f>IF(OR($AE573&lt;&gt;1,AB$1=""),"",SUMIFS('All Donations'!$S$2:$S$4001,'All Donations'!$R$2:$R$4001,$AD573,'All Donations'!$T$2:$T$4001,AB$1))</f>
        <v/>
      </c>
      <c r="AC573" s="49">
        <f>IF(OR($AE573&lt;&gt;1,AC$1=""),"",SUMIFS('All Donations'!$S$2:$S$4001,'All Donations'!$R$2:$R$4001,$AD573,'All Donations'!$T$2:$T$4001,AC$1))</f>
        <v/>
      </c>
      <c r="AD573">
        <f>IF(AE573=1,'Roster'!A573,"")</f>
        <v/>
      </c>
      <c r="AE573">
        <f>IF(TRIM('Roster'!B573&amp;'Roster'!C573)&lt;&gt;"",1,0)</f>
        <v/>
      </c>
      <c r="AF573">
        <f>IF(AE573=1,LOWER(A573),"#")</f>
        <v/>
      </c>
      <c r="AG573">
        <f>IF(AE573=1,LOWER(TRIM(TRIM('Roster'!C573)&amp;", "&amp;TRIM('Roster'!B573))),"#")</f>
        <v/>
      </c>
      <c r="AH573">
        <f>IF(AND(AE573=1,TRIM('Roster'!F573)&lt;&gt;""),LOWER(TRIM('Roster'!F573)),"#")</f>
        <v/>
      </c>
      <c r="AI573">
        <f>IF(AE573=1,IF(MATCH(B573,$B$2:$B$701,0)=ROW()-1,1,0),0)</f>
        <v/>
      </c>
      <c r="AJ573">
        <f>AJ572+AI573</f>
        <v/>
      </c>
      <c r="AK573">
        <f>IF(AE573=1,D573+(1000-ROW())/10^7,-1)</f>
        <v/>
      </c>
      <c r="AL573">
        <f>IF(AE573=1,TRIM('Roster'!B573)&amp;" "&amp;LEFT(TRIM('Roster'!C573),1)&amp;".","")</f>
        <v/>
      </c>
      <c r="AM573">
        <f>IF(AE573=1,TRIM('Roster'!C573)&amp;", "&amp;TRIM('Roster'!B573)&amp;" ("&amp;B573&amp;") #"&amp;AD573,"")</f>
        <v/>
      </c>
      <c r="AN573">
        <f>IF(AE573=1,TRIM('Roster'!E573),"")</f>
        <v/>
      </c>
      <c r="AO573">
        <f>IF(AE573=1,ROUND(SUMIFS('All Donations'!$S$2:$S$4001,'All Donations'!$R$2:$R$4001,AD573,'All Donations'!$T$2:$T$4001,"&gt;="&amp;'Settings'!$C$23,'All Donations'!$T$2:$T$4001,"&lt;="&amp;'Settings'!$D$23),2),0)</f>
        <v/>
      </c>
      <c r="AQ573">
        <f>IF(AE573=1,ROUND(SUMIFS('All Donations'!$S$2:$S$4001,'All Donations'!$R$2:$R$4001,AD573,'All Donations'!$T$2:$T$4001,"&gt;="&amp;'Settings'!$C$25,'All Donations'!$T$2:$T$4001,"&lt;="&amp;'Settings'!$D$25),2),0)</f>
        <v/>
      </c>
      <c r="AR573">
        <f>IF(AE573=1,ROUND(SUMIFS('All Donations'!$S$2:$S$4001,'All Donations'!$R$2:$R$4001,AD573,'All Donations'!$T$2:$T$4001,"&gt;="&amp;'Settings'!$C$26,'All Donations'!$T$2:$T$4001,"&lt;="&amp;'Settings'!$D$26),2),0)</f>
        <v/>
      </c>
      <c r="AS573">
        <f>IF(AE573=1,ROUND(SUMIFS('All Donations'!$S$2:$S$4001,'All Donations'!$R$2:$R$4001,AD573,'All Donations'!$T$2:$T$4001,"&lt;="&amp;'Settings'!$D$27),2),0)</f>
        <v/>
      </c>
      <c r="AT573">
        <f>IF(AE573=1,ROUND(SUMIFS('All Donations'!$S$2:$S$4001,'All Donations'!$R$2:$R$4001,AD573,'All Donations'!$T$2:$T$4001,"&gt;="&amp;'Settings'!$C$28,'All Donations'!$T$2:$T$4001,"&lt;="&amp;'Settings'!$D$28),2),0)</f>
        <v/>
      </c>
      <c r="AU573">
        <f>IF(AE573=1,ROUND(SUMIFS('All Donations'!$S$2:$S$4001,'All Donations'!$R$2:$R$4001,AD573,'All Donations'!$T$2:$T$4001,"&gt;="&amp;'Settings'!$C$29,'All Donations'!$T$2:$T$4001,"&lt;="&amp;'Settings'!$D$29),2),0)</f>
        <v/>
      </c>
      <c r="AV573">
        <f>IF(AE573=1,ROUND(SUMIFS('All Donations'!$S$2:$S$4001,'All Donations'!$R$2:$R$4001,AD573,'All Donations'!$T$2:$T$4001,"&lt;="&amp;'Settings'!$D$30),2),0)</f>
        <v/>
      </c>
      <c r="AZ573">
        <f>IF(AE573=1,ROUND(SUMIFS('All Donations'!$S$2:$S$4001,'All Donations'!$R$2:$R$4001,AD573,'All Donations'!$T$2:$T$4001,"&lt;="&amp;'Settings'!$D$34),2),0)</f>
        <v/>
      </c>
    </row>
    <row r="574">
      <c r="A574">
        <f>IF(AE574=1,TRIM(TRIM('Roster'!B574)&amp;" "&amp;TRIM('Roster'!C574)),"")</f>
        <v/>
      </c>
      <c r="B574">
        <f>IF(AE574=1,IF(AN574="","(no teacher)",AN574&amp;" – "&amp;C574),"")</f>
        <v/>
      </c>
      <c r="C574">
        <f>IF(AE574=1,TRIM('Roster'!D574&amp;""),"")</f>
        <v/>
      </c>
      <c r="D574" s="48">
        <f>IF(AE574=1,ROUND(SUMIFS('All Donations'!$S$2:$S$4001,'All Donations'!$R$2:$R$4001,AD574),2),"")</f>
        <v/>
      </c>
      <c r="E574" s="48">
        <f>IF(AE574=1,ROUND(SUMIFS('All Donations'!$S$2:$S$4001,'All Donations'!$R$2:$R$4001,AD574,'All Donations'!$G$2:$G$4001,"OneCause"),2),"")</f>
        <v/>
      </c>
      <c r="F574" s="48">
        <f>IF(AE574=1,D574-E574,"")</f>
        <v/>
      </c>
      <c r="G574">
        <f>IF(AE574=1,COUNTIFS('All Donations'!$R$2:$R$4001,AD574,'All Donations'!$H$2:$H$4001,"OK"),"")</f>
        <v/>
      </c>
      <c r="H574">
        <f>IF(AE574&lt;&gt;1,"",IF(D574&gt;0,"Yes",""))</f>
        <v/>
      </c>
      <c r="I574" s="49">
        <f>IF(OR($AE574&lt;&gt;1,I$1=""),"",SUMIFS('All Donations'!$S$2:$S$4001,'All Donations'!$R$2:$R$4001,$AD574,'All Donations'!$T$2:$T$4001,I$1))</f>
        <v/>
      </c>
      <c r="J574" s="49">
        <f>IF(OR($AE574&lt;&gt;1,J$1=""),"",SUMIFS('All Donations'!$S$2:$S$4001,'All Donations'!$R$2:$R$4001,$AD574,'All Donations'!$T$2:$T$4001,J$1))</f>
        <v/>
      </c>
      <c r="K574" s="49">
        <f>IF(OR($AE574&lt;&gt;1,K$1=""),"",SUMIFS('All Donations'!$S$2:$S$4001,'All Donations'!$R$2:$R$4001,$AD574,'All Donations'!$T$2:$T$4001,K$1))</f>
        <v/>
      </c>
      <c r="L574" s="49">
        <f>IF(OR($AE574&lt;&gt;1,L$1=""),"",SUMIFS('All Donations'!$S$2:$S$4001,'All Donations'!$R$2:$R$4001,$AD574,'All Donations'!$T$2:$T$4001,L$1))</f>
        <v/>
      </c>
      <c r="M574" s="49">
        <f>IF(OR($AE574&lt;&gt;1,M$1=""),"",SUMIFS('All Donations'!$S$2:$S$4001,'All Donations'!$R$2:$R$4001,$AD574,'All Donations'!$T$2:$T$4001,M$1))</f>
        <v/>
      </c>
      <c r="N574" s="49">
        <f>IF(OR($AE574&lt;&gt;1,N$1=""),"",SUMIFS('All Donations'!$S$2:$S$4001,'All Donations'!$R$2:$R$4001,$AD574,'All Donations'!$T$2:$T$4001,N$1))</f>
        <v/>
      </c>
      <c r="O574" s="49">
        <f>IF(OR($AE574&lt;&gt;1,O$1=""),"",SUMIFS('All Donations'!$S$2:$S$4001,'All Donations'!$R$2:$R$4001,$AD574,'All Donations'!$T$2:$T$4001,O$1))</f>
        <v/>
      </c>
      <c r="P574" s="49">
        <f>IF(OR($AE574&lt;&gt;1,P$1=""),"",SUMIFS('All Donations'!$S$2:$S$4001,'All Donations'!$R$2:$R$4001,$AD574,'All Donations'!$T$2:$T$4001,P$1))</f>
        <v/>
      </c>
      <c r="Q574" s="49">
        <f>IF(OR($AE574&lt;&gt;1,Q$1=""),"",SUMIFS('All Donations'!$S$2:$S$4001,'All Donations'!$R$2:$R$4001,$AD574,'All Donations'!$T$2:$T$4001,Q$1))</f>
        <v/>
      </c>
      <c r="R574" s="49">
        <f>IF(OR($AE574&lt;&gt;1,R$1=""),"",SUMIFS('All Donations'!$S$2:$S$4001,'All Donations'!$R$2:$R$4001,$AD574,'All Donations'!$T$2:$T$4001,R$1))</f>
        <v/>
      </c>
      <c r="S574" s="49">
        <f>IF(OR($AE574&lt;&gt;1,S$1=""),"",SUMIFS('All Donations'!$S$2:$S$4001,'All Donations'!$R$2:$R$4001,$AD574,'All Donations'!$T$2:$T$4001,S$1))</f>
        <v/>
      </c>
      <c r="T574" s="49">
        <f>IF(OR($AE574&lt;&gt;1,T$1=""),"",SUMIFS('All Donations'!$S$2:$S$4001,'All Donations'!$R$2:$R$4001,$AD574,'All Donations'!$T$2:$T$4001,T$1))</f>
        <v/>
      </c>
      <c r="U574" s="49">
        <f>IF(OR($AE574&lt;&gt;1,U$1=""),"",SUMIFS('All Donations'!$S$2:$S$4001,'All Donations'!$R$2:$R$4001,$AD574,'All Donations'!$T$2:$T$4001,U$1))</f>
        <v/>
      </c>
      <c r="V574" s="49">
        <f>IF(OR($AE574&lt;&gt;1,V$1=""),"",SUMIFS('All Donations'!$S$2:$S$4001,'All Donations'!$R$2:$R$4001,$AD574,'All Donations'!$T$2:$T$4001,V$1))</f>
        <v/>
      </c>
      <c r="W574" s="49">
        <f>IF(OR($AE574&lt;&gt;1,W$1=""),"",SUMIFS('All Donations'!$S$2:$S$4001,'All Donations'!$R$2:$R$4001,$AD574,'All Donations'!$T$2:$T$4001,W$1))</f>
        <v/>
      </c>
      <c r="X574" s="49">
        <f>IF(OR($AE574&lt;&gt;1,X$1=""),"",SUMIFS('All Donations'!$S$2:$S$4001,'All Donations'!$R$2:$R$4001,$AD574,'All Donations'!$T$2:$T$4001,X$1))</f>
        <v/>
      </c>
      <c r="Y574" s="49">
        <f>IF(OR($AE574&lt;&gt;1,Y$1=""),"",SUMIFS('All Donations'!$S$2:$S$4001,'All Donations'!$R$2:$R$4001,$AD574,'All Donations'!$T$2:$T$4001,Y$1))</f>
        <v/>
      </c>
      <c r="Z574" s="49">
        <f>IF(OR($AE574&lt;&gt;1,Z$1=""),"",SUMIFS('All Donations'!$S$2:$S$4001,'All Donations'!$R$2:$R$4001,$AD574,'All Donations'!$T$2:$T$4001,Z$1))</f>
        <v/>
      </c>
      <c r="AA574" s="49">
        <f>IF(OR($AE574&lt;&gt;1,AA$1=""),"",SUMIFS('All Donations'!$S$2:$S$4001,'All Donations'!$R$2:$R$4001,$AD574,'All Donations'!$T$2:$T$4001,AA$1))</f>
        <v/>
      </c>
      <c r="AB574" s="49">
        <f>IF(OR($AE574&lt;&gt;1,AB$1=""),"",SUMIFS('All Donations'!$S$2:$S$4001,'All Donations'!$R$2:$R$4001,$AD574,'All Donations'!$T$2:$T$4001,AB$1))</f>
        <v/>
      </c>
      <c r="AC574" s="49">
        <f>IF(OR($AE574&lt;&gt;1,AC$1=""),"",SUMIFS('All Donations'!$S$2:$S$4001,'All Donations'!$R$2:$R$4001,$AD574,'All Donations'!$T$2:$T$4001,AC$1))</f>
        <v/>
      </c>
      <c r="AD574">
        <f>IF(AE574=1,'Roster'!A574,"")</f>
        <v/>
      </c>
      <c r="AE574">
        <f>IF(TRIM('Roster'!B574&amp;'Roster'!C574)&lt;&gt;"",1,0)</f>
        <v/>
      </c>
      <c r="AF574">
        <f>IF(AE574=1,LOWER(A574),"#")</f>
        <v/>
      </c>
      <c r="AG574">
        <f>IF(AE574=1,LOWER(TRIM(TRIM('Roster'!C574)&amp;", "&amp;TRIM('Roster'!B574))),"#")</f>
        <v/>
      </c>
      <c r="AH574">
        <f>IF(AND(AE574=1,TRIM('Roster'!F574)&lt;&gt;""),LOWER(TRIM('Roster'!F574)),"#")</f>
        <v/>
      </c>
      <c r="AI574">
        <f>IF(AE574=1,IF(MATCH(B574,$B$2:$B$701,0)=ROW()-1,1,0),0)</f>
        <v/>
      </c>
      <c r="AJ574">
        <f>AJ573+AI574</f>
        <v/>
      </c>
      <c r="AK574">
        <f>IF(AE574=1,D574+(1000-ROW())/10^7,-1)</f>
        <v/>
      </c>
      <c r="AL574">
        <f>IF(AE574=1,TRIM('Roster'!B574)&amp;" "&amp;LEFT(TRIM('Roster'!C574),1)&amp;".","")</f>
        <v/>
      </c>
      <c r="AM574">
        <f>IF(AE574=1,TRIM('Roster'!C574)&amp;", "&amp;TRIM('Roster'!B574)&amp;" ("&amp;B574&amp;") #"&amp;AD574,"")</f>
        <v/>
      </c>
      <c r="AN574">
        <f>IF(AE574=1,TRIM('Roster'!E574),"")</f>
        <v/>
      </c>
      <c r="AO574">
        <f>IF(AE574=1,ROUND(SUMIFS('All Donations'!$S$2:$S$4001,'All Donations'!$R$2:$R$4001,AD574,'All Donations'!$T$2:$T$4001,"&gt;="&amp;'Settings'!$C$23,'All Donations'!$T$2:$T$4001,"&lt;="&amp;'Settings'!$D$23),2),0)</f>
        <v/>
      </c>
      <c r="AQ574">
        <f>IF(AE574=1,ROUND(SUMIFS('All Donations'!$S$2:$S$4001,'All Donations'!$R$2:$R$4001,AD574,'All Donations'!$T$2:$T$4001,"&gt;="&amp;'Settings'!$C$25,'All Donations'!$T$2:$T$4001,"&lt;="&amp;'Settings'!$D$25),2),0)</f>
        <v/>
      </c>
      <c r="AR574">
        <f>IF(AE574=1,ROUND(SUMIFS('All Donations'!$S$2:$S$4001,'All Donations'!$R$2:$R$4001,AD574,'All Donations'!$T$2:$T$4001,"&gt;="&amp;'Settings'!$C$26,'All Donations'!$T$2:$T$4001,"&lt;="&amp;'Settings'!$D$26),2),0)</f>
        <v/>
      </c>
      <c r="AS574">
        <f>IF(AE574=1,ROUND(SUMIFS('All Donations'!$S$2:$S$4001,'All Donations'!$R$2:$R$4001,AD574,'All Donations'!$T$2:$T$4001,"&lt;="&amp;'Settings'!$D$27),2),0)</f>
        <v/>
      </c>
      <c r="AT574">
        <f>IF(AE574=1,ROUND(SUMIFS('All Donations'!$S$2:$S$4001,'All Donations'!$R$2:$R$4001,AD574,'All Donations'!$T$2:$T$4001,"&gt;="&amp;'Settings'!$C$28,'All Donations'!$T$2:$T$4001,"&lt;="&amp;'Settings'!$D$28),2),0)</f>
        <v/>
      </c>
      <c r="AU574">
        <f>IF(AE574=1,ROUND(SUMIFS('All Donations'!$S$2:$S$4001,'All Donations'!$R$2:$R$4001,AD574,'All Donations'!$T$2:$T$4001,"&gt;="&amp;'Settings'!$C$29,'All Donations'!$T$2:$T$4001,"&lt;="&amp;'Settings'!$D$29),2),0)</f>
        <v/>
      </c>
      <c r="AV574">
        <f>IF(AE574=1,ROUND(SUMIFS('All Donations'!$S$2:$S$4001,'All Donations'!$R$2:$R$4001,AD574,'All Donations'!$T$2:$T$4001,"&lt;="&amp;'Settings'!$D$30),2),0)</f>
        <v/>
      </c>
      <c r="AZ574">
        <f>IF(AE574=1,ROUND(SUMIFS('All Donations'!$S$2:$S$4001,'All Donations'!$R$2:$R$4001,AD574,'All Donations'!$T$2:$T$4001,"&lt;="&amp;'Settings'!$D$34),2),0)</f>
        <v/>
      </c>
    </row>
    <row r="575">
      <c r="A575">
        <f>IF(AE575=1,TRIM(TRIM('Roster'!B575)&amp;" "&amp;TRIM('Roster'!C575)),"")</f>
        <v/>
      </c>
      <c r="B575">
        <f>IF(AE575=1,IF(AN575="","(no teacher)",AN575&amp;" – "&amp;C575),"")</f>
        <v/>
      </c>
      <c r="C575">
        <f>IF(AE575=1,TRIM('Roster'!D575&amp;""),"")</f>
        <v/>
      </c>
      <c r="D575" s="48">
        <f>IF(AE575=1,ROUND(SUMIFS('All Donations'!$S$2:$S$4001,'All Donations'!$R$2:$R$4001,AD575),2),"")</f>
        <v/>
      </c>
      <c r="E575" s="48">
        <f>IF(AE575=1,ROUND(SUMIFS('All Donations'!$S$2:$S$4001,'All Donations'!$R$2:$R$4001,AD575,'All Donations'!$G$2:$G$4001,"OneCause"),2),"")</f>
        <v/>
      </c>
      <c r="F575" s="48">
        <f>IF(AE575=1,D575-E575,"")</f>
        <v/>
      </c>
      <c r="G575">
        <f>IF(AE575=1,COUNTIFS('All Donations'!$R$2:$R$4001,AD575,'All Donations'!$H$2:$H$4001,"OK"),"")</f>
        <v/>
      </c>
      <c r="H575">
        <f>IF(AE575&lt;&gt;1,"",IF(D575&gt;0,"Yes",""))</f>
        <v/>
      </c>
      <c r="I575" s="49">
        <f>IF(OR($AE575&lt;&gt;1,I$1=""),"",SUMIFS('All Donations'!$S$2:$S$4001,'All Donations'!$R$2:$R$4001,$AD575,'All Donations'!$T$2:$T$4001,I$1))</f>
        <v/>
      </c>
      <c r="J575" s="49">
        <f>IF(OR($AE575&lt;&gt;1,J$1=""),"",SUMIFS('All Donations'!$S$2:$S$4001,'All Donations'!$R$2:$R$4001,$AD575,'All Donations'!$T$2:$T$4001,J$1))</f>
        <v/>
      </c>
      <c r="K575" s="49">
        <f>IF(OR($AE575&lt;&gt;1,K$1=""),"",SUMIFS('All Donations'!$S$2:$S$4001,'All Donations'!$R$2:$R$4001,$AD575,'All Donations'!$T$2:$T$4001,K$1))</f>
        <v/>
      </c>
      <c r="L575" s="49">
        <f>IF(OR($AE575&lt;&gt;1,L$1=""),"",SUMIFS('All Donations'!$S$2:$S$4001,'All Donations'!$R$2:$R$4001,$AD575,'All Donations'!$T$2:$T$4001,L$1))</f>
        <v/>
      </c>
      <c r="M575" s="49">
        <f>IF(OR($AE575&lt;&gt;1,M$1=""),"",SUMIFS('All Donations'!$S$2:$S$4001,'All Donations'!$R$2:$R$4001,$AD575,'All Donations'!$T$2:$T$4001,M$1))</f>
        <v/>
      </c>
      <c r="N575" s="49">
        <f>IF(OR($AE575&lt;&gt;1,N$1=""),"",SUMIFS('All Donations'!$S$2:$S$4001,'All Donations'!$R$2:$R$4001,$AD575,'All Donations'!$T$2:$T$4001,N$1))</f>
        <v/>
      </c>
      <c r="O575" s="49">
        <f>IF(OR($AE575&lt;&gt;1,O$1=""),"",SUMIFS('All Donations'!$S$2:$S$4001,'All Donations'!$R$2:$R$4001,$AD575,'All Donations'!$T$2:$T$4001,O$1))</f>
        <v/>
      </c>
      <c r="P575" s="49">
        <f>IF(OR($AE575&lt;&gt;1,P$1=""),"",SUMIFS('All Donations'!$S$2:$S$4001,'All Donations'!$R$2:$R$4001,$AD575,'All Donations'!$T$2:$T$4001,P$1))</f>
        <v/>
      </c>
      <c r="Q575" s="49">
        <f>IF(OR($AE575&lt;&gt;1,Q$1=""),"",SUMIFS('All Donations'!$S$2:$S$4001,'All Donations'!$R$2:$R$4001,$AD575,'All Donations'!$T$2:$T$4001,Q$1))</f>
        <v/>
      </c>
      <c r="R575" s="49">
        <f>IF(OR($AE575&lt;&gt;1,R$1=""),"",SUMIFS('All Donations'!$S$2:$S$4001,'All Donations'!$R$2:$R$4001,$AD575,'All Donations'!$T$2:$T$4001,R$1))</f>
        <v/>
      </c>
      <c r="S575" s="49">
        <f>IF(OR($AE575&lt;&gt;1,S$1=""),"",SUMIFS('All Donations'!$S$2:$S$4001,'All Donations'!$R$2:$R$4001,$AD575,'All Donations'!$T$2:$T$4001,S$1))</f>
        <v/>
      </c>
      <c r="T575" s="49">
        <f>IF(OR($AE575&lt;&gt;1,T$1=""),"",SUMIFS('All Donations'!$S$2:$S$4001,'All Donations'!$R$2:$R$4001,$AD575,'All Donations'!$T$2:$T$4001,T$1))</f>
        <v/>
      </c>
      <c r="U575" s="49">
        <f>IF(OR($AE575&lt;&gt;1,U$1=""),"",SUMIFS('All Donations'!$S$2:$S$4001,'All Donations'!$R$2:$R$4001,$AD575,'All Donations'!$T$2:$T$4001,U$1))</f>
        <v/>
      </c>
      <c r="V575" s="49">
        <f>IF(OR($AE575&lt;&gt;1,V$1=""),"",SUMIFS('All Donations'!$S$2:$S$4001,'All Donations'!$R$2:$R$4001,$AD575,'All Donations'!$T$2:$T$4001,V$1))</f>
        <v/>
      </c>
      <c r="W575" s="49">
        <f>IF(OR($AE575&lt;&gt;1,W$1=""),"",SUMIFS('All Donations'!$S$2:$S$4001,'All Donations'!$R$2:$R$4001,$AD575,'All Donations'!$T$2:$T$4001,W$1))</f>
        <v/>
      </c>
      <c r="X575" s="49">
        <f>IF(OR($AE575&lt;&gt;1,X$1=""),"",SUMIFS('All Donations'!$S$2:$S$4001,'All Donations'!$R$2:$R$4001,$AD575,'All Donations'!$T$2:$T$4001,X$1))</f>
        <v/>
      </c>
      <c r="Y575" s="49">
        <f>IF(OR($AE575&lt;&gt;1,Y$1=""),"",SUMIFS('All Donations'!$S$2:$S$4001,'All Donations'!$R$2:$R$4001,$AD575,'All Donations'!$T$2:$T$4001,Y$1))</f>
        <v/>
      </c>
      <c r="Z575" s="49">
        <f>IF(OR($AE575&lt;&gt;1,Z$1=""),"",SUMIFS('All Donations'!$S$2:$S$4001,'All Donations'!$R$2:$R$4001,$AD575,'All Donations'!$T$2:$T$4001,Z$1))</f>
        <v/>
      </c>
      <c r="AA575" s="49">
        <f>IF(OR($AE575&lt;&gt;1,AA$1=""),"",SUMIFS('All Donations'!$S$2:$S$4001,'All Donations'!$R$2:$R$4001,$AD575,'All Donations'!$T$2:$T$4001,AA$1))</f>
        <v/>
      </c>
      <c r="AB575" s="49">
        <f>IF(OR($AE575&lt;&gt;1,AB$1=""),"",SUMIFS('All Donations'!$S$2:$S$4001,'All Donations'!$R$2:$R$4001,$AD575,'All Donations'!$T$2:$T$4001,AB$1))</f>
        <v/>
      </c>
      <c r="AC575" s="49">
        <f>IF(OR($AE575&lt;&gt;1,AC$1=""),"",SUMIFS('All Donations'!$S$2:$S$4001,'All Donations'!$R$2:$R$4001,$AD575,'All Donations'!$T$2:$T$4001,AC$1))</f>
        <v/>
      </c>
      <c r="AD575">
        <f>IF(AE575=1,'Roster'!A575,"")</f>
        <v/>
      </c>
      <c r="AE575">
        <f>IF(TRIM('Roster'!B575&amp;'Roster'!C575)&lt;&gt;"",1,0)</f>
        <v/>
      </c>
      <c r="AF575">
        <f>IF(AE575=1,LOWER(A575),"#")</f>
        <v/>
      </c>
      <c r="AG575">
        <f>IF(AE575=1,LOWER(TRIM(TRIM('Roster'!C575)&amp;", "&amp;TRIM('Roster'!B575))),"#")</f>
        <v/>
      </c>
      <c r="AH575">
        <f>IF(AND(AE575=1,TRIM('Roster'!F575)&lt;&gt;""),LOWER(TRIM('Roster'!F575)),"#")</f>
        <v/>
      </c>
      <c r="AI575">
        <f>IF(AE575=1,IF(MATCH(B575,$B$2:$B$701,0)=ROW()-1,1,0),0)</f>
        <v/>
      </c>
      <c r="AJ575">
        <f>AJ574+AI575</f>
        <v/>
      </c>
      <c r="AK575">
        <f>IF(AE575=1,D575+(1000-ROW())/10^7,-1)</f>
        <v/>
      </c>
      <c r="AL575">
        <f>IF(AE575=1,TRIM('Roster'!B575)&amp;" "&amp;LEFT(TRIM('Roster'!C575),1)&amp;".","")</f>
        <v/>
      </c>
      <c r="AM575">
        <f>IF(AE575=1,TRIM('Roster'!C575)&amp;", "&amp;TRIM('Roster'!B575)&amp;" ("&amp;B575&amp;") #"&amp;AD575,"")</f>
        <v/>
      </c>
      <c r="AN575">
        <f>IF(AE575=1,TRIM('Roster'!E575),"")</f>
        <v/>
      </c>
      <c r="AO575">
        <f>IF(AE575=1,ROUND(SUMIFS('All Donations'!$S$2:$S$4001,'All Donations'!$R$2:$R$4001,AD575,'All Donations'!$T$2:$T$4001,"&gt;="&amp;'Settings'!$C$23,'All Donations'!$T$2:$T$4001,"&lt;="&amp;'Settings'!$D$23),2),0)</f>
        <v/>
      </c>
      <c r="AQ575">
        <f>IF(AE575=1,ROUND(SUMIFS('All Donations'!$S$2:$S$4001,'All Donations'!$R$2:$R$4001,AD575,'All Donations'!$T$2:$T$4001,"&gt;="&amp;'Settings'!$C$25,'All Donations'!$T$2:$T$4001,"&lt;="&amp;'Settings'!$D$25),2),0)</f>
        <v/>
      </c>
      <c r="AR575">
        <f>IF(AE575=1,ROUND(SUMIFS('All Donations'!$S$2:$S$4001,'All Donations'!$R$2:$R$4001,AD575,'All Donations'!$T$2:$T$4001,"&gt;="&amp;'Settings'!$C$26,'All Donations'!$T$2:$T$4001,"&lt;="&amp;'Settings'!$D$26),2),0)</f>
        <v/>
      </c>
      <c r="AS575">
        <f>IF(AE575=1,ROUND(SUMIFS('All Donations'!$S$2:$S$4001,'All Donations'!$R$2:$R$4001,AD575,'All Donations'!$T$2:$T$4001,"&lt;="&amp;'Settings'!$D$27),2),0)</f>
        <v/>
      </c>
      <c r="AT575">
        <f>IF(AE575=1,ROUND(SUMIFS('All Donations'!$S$2:$S$4001,'All Donations'!$R$2:$R$4001,AD575,'All Donations'!$T$2:$T$4001,"&gt;="&amp;'Settings'!$C$28,'All Donations'!$T$2:$T$4001,"&lt;="&amp;'Settings'!$D$28),2),0)</f>
        <v/>
      </c>
      <c r="AU575">
        <f>IF(AE575=1,ROUND(SUMIFS('All Donations'!$S$2:$S$4001,'All Donations'!$R$2:$R$4001,AD575,'All Donations'!$T$2:$T$4001,"&gt;="&amp;'Settings'!$C$29,'All Donations'!$T$2:$T$4001,"&lt;="&amp;'Settings'!$D$29),2),0)</f>
        <v/>
      </c>
      <c r="AV575">
        <f>IF(AE575=1,ROUND(SUMIFS('All Donations'!$S$2:$S$4001,'All Donations'!$R$2:$R$4001,AD575,'All Donations'!$T$2:$T$4001,"&lt;="&amp;'Settings'!$D$30),2),0)</f>
        <v/>
      </c>
      <c r="AZ575">
        <f>IF(AE575=1,ROUND(SUMIFS('All Donations'!$S$2:$S$4001,'All Donations'!$R$2:$R$4001,AD575,'All Donations'!$T$2:$T$4001,"&lt;="&amp;'Settings'!$D$34),2),0)</f>
        <v/>
      </c>
    </row>
    <row r="576">
      <c r="A576">
        <f>IF(AE576=1,TRIM(TRIM('Roster'!B576)&amp;" "&amp;TRIM('Roster'!C576)),"")</f>
        <v/>
      </c>
      <c r="B576">
        <f>IF(AE576=1,IF(AN576="","(no teacher)",AN576&amp;" – "&amp;C576),"")</f>
        <v/>
      </c>
      <c r="C576">
        <f>IF(AE576=1,TRIM('Roster'!D576&amp;""),"")</f>
        <v/>
      </c>
      <c r="D576" s="48">
        <f>IF(AE576=1,ROUND(SUMIFS('All Donations'!$S$2:$S$4001,'All Donations'!$R$2:$R$4001,AD576),2),"")</f>
        <v/>
      </c>
      <c r="E576" s="48">
        <f>IF(AE576=1,ROUND(SUMIFS('All Donations'!$S$2:$S$4001,'All Donations'!$R$2:$R$4001,AD576,'All Donations'!$G$2:$G$4001,"OneCause"),2),"")</f>
        <v/>
      </c>
      <c r="F576" s="48">
        <f>IF(AE576=1,D576-E576,"")</f>
        <v/>
      </c>
      <c r="G576">
        <f>IF(AE576=1,COUNTIFS('All Donations'!$R$2:$R$4001,AD576,'All Donations'!$H$2:$H$4001,"OK"),"")</f>
        <v/>
      </c>
      <c r="H576">
        <f>IF(AE576&lt;&gt;1,"",IF(D576&gt;0,"Yes",""))</f>
        <v/>
      </c>
      <c r="I576" s="49">
        <f>IF(OR($AE576&lt;&gt;1,I$1=""),"",SUMIFS('All Donations'!$S$2:$S$4001,'All Donations'!$R$2:$R$4001,$AD576,'All Donations'!$T$2:$T$4001,I$1))</f>
        <v/>
      </c>
      <c r="J576" s="49">
        <f>IF(OR($AE576&lt;&gt;1,J$1=""),"",SUMIFS('All Donations'!$S$2:$S$4001,'All Donations'!$R$2:$R$4001,$AD576,'All Donations'!$T$2:$T$4001,J$1))</f>
        <v/>
      </c>
      <c r="K576" s="49">
        <f>IF(OR($AE576&lt;&gt;1,K$1=""),"",SUMIFS('All Donations'!$S$2:$S$4001,'All Donations'!$R$2:$R$4001,$AD576,'All Donations'!$T$2:$T$4001,K$1))</f>
        <v/>
      </c>
      <c r="L576" s="49">
        <f>IF(OR($AE576&lt;&gt;1,L$1=""),"",SUMIFS('All Donations'!$S$2:$S$4001,'All Donations'!$R$2:$R$4001,$AD576,'All Donations'!$T$2:$T$4001,L$1))</f>
        <v/>
      </c>
      <c r="M576" s="49">
        <f>IF(OR($AE576&lt;&gt;1,M$1=""),"",SUMIFS('All Donations'!$S$2:$S$4001,'All Donations'!$R$2:$R$4001,$AD576,'All Donations'!$T$2:$T$4001,M$1))</f>
        <v/>
      </c>
      <c r="N576" s="49">
        <f>IF(OR($AE576&lt;&gt;1,N$1=""),"",SUMIFS('All Donations'!$S$2:$S$4001,'All Donations'!$R$2:$R$4001,$AD576,'All Donations'!$T$2:$T$4001,N$1))</f>
        <v/>
      </c>
      <c r="O576" s="49">
        <f>IF(OR($AE576&lt;&gt;1,O$1=""),"",SUMIFS('All Donations'!$S$2:$S$4001,'All Donations'!$R$2:$R$4001,$AD576,'All Donations'!$T$2:$T$4001,O$1))</f>
        <v/>
      </c>
      <c r="P576" s="49">
        <f>IF(OR($AE576&lt;&gt;1,P$1=""),"",SUMIFS('All Donations'!$S$2:$S$4001,'All Donations'!$R$2:$R$4001,$AD576,'All Donations'!$T$2:$T$4001,P$1))</f>
        <v/>
      </c>
      <c r="Q576" s="49">
        <f>IF(OR($AE576&lt;&gt;1,Q$1=""),"",SUMIFS('All Donations'!$S$2:$S$4001,'All Donations'!$R$2:$R$4001,$AD576,'All Donations'!$T$2:$T$4001,Q$1))</f>
        <v/>
      </c>
      <c r="R576" s="49">
        <f>IF(OR($AE576&lt;&gt;1,R$1=""),"",SUMIFS('All Donations'!$S$2:$S$4001,'All Donations'!$R$2:$R$4001,$AD576,'All Donations'!$T$2:$T$4001,R$1))</f>
        <v/>
      </c>
      <c r="S576" s="49">
        <f>IF(OR($AE576&lt;&gt;1,S$1=""),"",SUMIFS('All Donations'!$S$2:$S$4001,'All Donations'!$R$2:$R$4001,$AD576,'All Donations'!$T$2:$T$4001,S$1))</f>
        <v/>
      </c>
      <c r="T576" s="49">
        <f>IF(OR($AE576&lt;&gt;1,T$1=""),"",SUMIFS('All Donations'!$S$2:$S$4001,'All Donations'!$R$2:$R$4001,$AD576,'All Donations'!$T$2:$T$4001,T$1))</f>
        <v/>
      </c>
      <c r="U576" s="49">
        <f>IF(OR($AE576&lt;&gt;1,U$1=""),"",SUMIFS('All Donations'!$S$2:$S$4001,'All Donations'!$R$2:$R$4001,$AD576,'All Donations'!$T$2:$T$4001,U$1))</f>
        <v/>
      </c>
      <c r="V576" s="49">
        <f>IF(OR($AE576&lt;&gt;1,V$1=""),"",SUMIFS('All Donations'!$S$2:$S$4001,'All Donations'!$R$2:$R$4001,$AD576,'All Donations'!$T$2:$T$4001,V$1))</f>
        <v/>
      </c>
      <c r="W576" s="49">
        <f>IF(OR($AE576&lt;&gt;1,W$1=""),"",SUMIFS('All Donations'!$S$2:$S$4001,'All Donations'!$R$2:$R$4001,$AD576,'All Donations'!$T$2:$T$4001,W$1))</f>
        <v/>
      </c>
      <c r="X576" s="49">
        <f>IF(OR($AE576&lt;&gt;1,X$1=""),"",SUMIFS('All Donations'!$S$2:$S$4001,'All Donations'!$R$2:$R$4001,$AD576,'All Donations'!$T$2:$T$4001,X$1))</f>
        <v/>
      </c>
      <c r="Y576" s="49">
        <f>IF(OR($AE576&lt;&gt;1,Y$1=""),"",SUMIFS('All Donations'!$S$2:$S$4001,'All Donations'!$R$2:$R$4001,$AD576,'All Donations'!$T$2:$T$4001,Y$1))</f>
        <v/>
      </c>
      <c r="Z576" s="49">
        <f>IF(OR($AE576&lt;&gt;1,Z$1=""),"",SUMIFS('All Donations'!$S$2:$S$4001,'All Donations'!$R$2:$R$4001,$AD576,'All Donations'!$T$2:$T$4001,Z$1))</f>
        <v/>
      </c>
      <c r="AA576" s="49">
        <f>IF(OR($AE576&lt;&gt;1,AA$1=""),"",SUMIFS('All Donations'!$S$2:$S$4001,'All Donations'!$R$2:$R$4001,$AD576,'All Donations'!$T$2:$T$4001,AA$1))</f>
        <v/>
      </c>
      <c r="AB576" s="49">
        <f>IF(OR($AE576&lt;&gt;1,AB$1=""),"",SUMIFS('All Donations'!$S$2:$S$4001,'All Donations'!$R$2:$R$4001,$AD576,'All Donations'!$T$2:$T$4001,AB$1))</f>
        <v/>
      </c>
      <c r="AC576" s="49">
        <f>IF(OR($AE576&lt;&gt;1,AC$1=""),"",SUMIFS('All Donations'!$S$2:$S$4001,'All Donations'!$R$2:$R$4001,$AD576,'All Donations'!$T$2:$T$4001,AC$1))</f>
        <v/>
      </c>
      <c r="AD576">
        <f>IF(AE576=1,'Roster'!A576,"")</f>
        <v/>
      </c>
      <c r="AE576">
        <f>IF(TRIM('Roster'!B576&amp;'Roster'!C576)&lt;&gt;"",1,0)</f>
        <v/>
      </c>
      <c r="AF576">
        <f>IF(AE576=1,LOWER(A576),"#")</f>
        <v/>
      </c>
      <c r="AG576">
        <f>IF(AE576=1,LOWER(TRIM(TRIM('Roster'!C576)&amp;", "&amp;TRIM('Roster'!B576))),"#")</f>
        <v/>
      </c>
      <c r="AH576">
        <f>IF(AND(AE576=1,TRIM('Roster'!F576)&lt;&gt;""),LOWER(TRIM('Roster'!F576)),"#")</f>
        <v/>
      </c>
      <c r="AI576">
        <f>IF(AE576=1,IF(MATCH(B576,$B$2:$B$701,0)=ROW()-1,1,0),0)</f>
        <v/>
      </c>
      <c r="AJ576">
        <f>AJ575+AI576</f>
        <v/>
      </c>
      <c r="AK576">
        <f>IF(AE576=1,D576+(1000-ROW())/10^7,-1)</f>
        <v/>
      </c>
      <c r="AL576">
        <f>IF(AE576=1,TRIM('Roster'!B576)&amp;" "&amp;LEFT(TRIM('Roster'!C576),1)&amp;".","")</f>
        <v/>
      </c>
      <c r="AM576">
        <f>IF(AE576=1,TRIM('Roster'!C576)&amp;", "&amp;TRIM('Roster'!B576)&amp;" ("&amp;B576&amp;") #"&amp;AD576,"")</f>
        <v/>
      </c>
      <c r="AN576">
        <f>IF(AE576=1,TRIM('Roster'!E576),"")</f>
        <v/>
      </c>
      <c r="AO576">
        <f>IF(AE576=1,ROUND(SUMIFS('All Donations'!$S$2:$S$4001,'All Donations'!$R$2:$R$4001,AD576,'All Donations'!$T$2:$T$4001,"&gt;="&amp;'Settings'!$C$23,'All Donations'!$T$2:$T$4001,"&lt;="&amp;'Settings'!$D$23),2),0)</f>
        <v/>
      </c>
      <c r="AQ576">
        <f>IF(AE576=1,ROUND(SUMIFS('All Donations'!$S$2:$S$4001,'All Donations'!$R$2:$R$4001,AD576,'All Donations'!$T$2:$T$4001,"&gt;="&amp;'Settings'!$C$25,'All Donations'!$T$2:$T$4001,"&lt;="&amp;'Settings'!$D$25),2),0)</f>
        <v/>
      </c>
      <c r="AR576">
        <f>IF(AE576=1,ROUND(SUMIFS('All Donations'!$S$2:$S$4001,'All Donations'!$R$2:$R$4001,AD576,'All Donations'!$T$2:$T$4001,"&gt;="&amp;'Settings'!$C$26,'All Donations'!$T$2:$T$4001,"&lt;="&amp;'Settings'!$D$26),2),0)</f>
        <v/>
      </c>
      <c r="AS576">
        <f>IF(AE576=1,ROUND(SUMIFS('All Donations'!$S$2:$S$4001,'All Donations'!$R$2:$R$4001,AD576,'All Donations'!$T$2:$T$4001,"&lt;="&amp;'Settings'!$D$27),2),0)</f>
        <v/>
      </c>
      <c r="AT576">
        <f>IF(AE576=1,ROUND(SUMIFS('All Donations'!$S$2:$S$4001,'All Donations'!$R$2:$R$4001,AD576,'All Donations'!$T$2:$T$4001,"&gt;="&amp;'Settings'!$C$28,'All Donations'!$T$2:$T$4001,"&lt;="&amp;'Settings'!$D$28),2),0)</f>
        <v/>
      </c>
      <c r="AU576">
        <f>IF(AE576=1,ROUND(SUMIFS('All Donations'!$S$2:$S$4001,'All Donations'!$R$2:$R$4001,AD576,'All Donations'!$T$2:$T$4001,"&gt;="&amp;'Settings'!$C$29,'All Donations'!$T$2:$T$4001,"&lt;="&amp;'Settings'!$D$29),2),0)</f>
        <v/>
      </c>
      <c r="AV576">
        <f>IF(AE576=1,ROUND(SUMIFS('All Donations'!$S$2:$S$4001,'All Donations'!$R$2:$R$4001,AD576,'All Donations'!$T$2:$T$4001,"&lt;="&amp;'Settings'!$D$30),2),0)</f>
        <v/>
      </c>
      <c r="AZ576">
        <f>IF(AE576=1,ROUND(SUMIFS('All Donations'!$S$2:$S$4001,'All Donations'!$R$2:$R$4001,AD576,'All Donations'!$T$2:$T$4001,"&lt;="&amp;'Settings'!$D$34),2),0)</f>
        <v/>
      </c>
    </row>
    <row r="577">
      <c r="A577">
        <f>IF(AE577=1,TRIM(TRIM('Roster'!B577)&amp;" "&amp;TRIM('Roster'!C577)),"")</f>
        <v/>
      </c>
      <c r="B577">
        <f>IF(AE577=1,IF(AN577="","(no teacher)",AN577&amp;" – "&amp;C577),"")</f>
        <v/>
      </c>
      <c r="C577">
        <f>IF(AE577=1,TRIM('Roster'!D577&amp;""),"")</f>
        <v/>
      </c>
      <c r="D577" s="48">
        <f>IF(AE577=1,ROUND(SUMIFS('All Donations'!$S$2:$S$4001,'All Donations'!$R$2:$R$4001,AD577),2),"")</f>
        <v/>
      </c>
      <c r="E577" s="48">
        <f>IF(AE577=1,ROUND(SUMIFS('All Donations'!$S$2:$S$4001,'All Donations'!$R$2:$R$4001,AD577,'All Donations'!$G$2:$G$4001,"OneCause"),2),"")</f>
        <v/>
      </c>
      <c r="F577" s="48">
        <f>IF(AE577=1,D577-E577,"")</f>
        <v/>
      </c>
      <c r="G577">
        <f>IF(AE577=1,COUNTIFS('All Donations'!$R$2:$R$4001,AD577,'All Donations'!$H$2:$H$4001,"OK"),"")</f>
        <v/>
      </c>
      <c r="H577">
        <f>IF(AE577&lt;&gt;1,"",IF(D577&gt;0,"Yes",""))</f>
        <v/>
      </c>
      <c r="I577" s="49">
        <f>IF(OR($AE577&lt;&gt;1,I$1=""),"",SUMIFS('All Donations'!$S$2:$S$4001,'All Donations'!$R$2:$R$4001,$AD577,'All Donations'!$T$2:$T$4001,I$1))</f>
        <v/>
      </c>
      <c r="J577" s="49">
        <f>IF(OR($AE577&lt;&gt;1,J$1=""),"",SUMIFS('All Donations'!$S$2:$S$4001,'All Donations'!$R$2:$R$4001,$AD577,'All Donations'!$T$2:$T$4001,J$1))</f>
        <v/>
      </c>
      <c r="K577" s="49">
        <f>IF(OR($AE577&lt;&gt;1,K$1=""),"",SUMIFS('All Donations'!$S$2:$S$4001,'All Donations'!$R$2:$R$4001,$AD577,'All Donations'!$T$2:$T$4001,K$1))</f>
        <v/>
      </c>
      <c r="L577" s="49">
        <f>IF(OR($AE577&lt;&gt;1,L$1=""),"",SUMIFS('All Donations'!$S$2:$S$4001,'All Donations'!$R$2:$R$4001,$AD577,'All Donations'!$T$2:$T$4001,L$1))</f>
        <v/>
      </c>
      <c r="M577" s="49">
        <f>IF(OR($AE577&lt;&gt;1,M$1=""),"",SUMIFS('All Donations'!$S$2:$S$4001,'All Donations'!$R$2:$R$4001,$AD577,'All Donations'!$T$2:$T$4001,M$1))</f>
        <v/>
      </c>
      <c r="N577" s="49">
        <f>IF(OR($AE577&lt;&gt;1,N$1=""),"",SUMIFS('All Donations'!$S$2:$S$4001,'All Donations'!$R$2:$R$4001,$AD577,'All Donations'!$T$2:$T$4001,N$1))</f>
        <v/>
      </c>
      <c r="O577" s="49">
        <f>IF(OR($AE577&lt;&gt;1,O$1=""),"",SUMIFS('All Donations'!$S$2:$S$4001,'All Donations'!$R$2:$R$4001,$AD577,'All Donations'!$T$2:$T$4001,O$1))</f>
        <v/>
      </c>
      <c r="P577" s="49">
        <f>IF(OR($AE577&lt;&gt;1,P$1=""),"",SUMIFS('All Donations'!$S$2:$S$4001,'All Donations'!$R$2:$R$4001,$AD577,'All Donations'!$T$2:$T$4001,P$1))</f>
        <v/>
      </c>
      <c r="Q577" s="49">
        <f>IF(OR($AE577&lt;&gt;1,Q$1=""),"",SUMIFS('All Donations'!$S$2:$S$4001,'All Donations'!$R$2:$R$4001,$AD577,'All Donations'!$T$2:$T$4001,Q$1))</f>
        <v/>
      </c>
      <c r="R577" s="49">
        <f>IF(OR($AE577&lt;&gt;1,R$1=""),"",SUMIFS('All Donations'!$S$2:$S$4001,'All Donations'!$R$2:$R$4001,$AD577,'All Donations'!$T$2:$T$4001,R$1))</f>
        <v/>
      </c>
      <c r="S577" s="49">
        <f>IF(OR($AE577&lt;&gt;1,S$1=""),"",SUMIFS('All Donations'!$S$2:$S$4001,'All Donations'!$R$2:$R$4001,$AD577,'All Donations'!$T$2:$T$4001,S$1))</f>
        <v/>
      </c>
      <c r="T577" s="49">
        <f>IF(OR($AE577&lt;&gt;1,T$1=""),"",SUMIFS('All Donations'!$S$2:$S$4001,'All Donations'!$R$2:$R$4001,$AD577,'All Donations'!$T$2:$T$4001,T$1))</f>
        <v/>
      </c>
      <c r="U577" s="49">
        <f>IF(OR($AE577&lt;&gt;1,U$1=""),"",SUMIFS('All Donations'!$S$2:$S$4001,'All Donations'!$R$2:$R$4001,$AD577,'All Donations'!$T$2:$T$4001,U$1))</f>
        <v/>
      </c>
      <c r="V577" s="49">
        <f>IF(OR($AE577&lt;&gt;1,V$1=""),"",SUMIFS('All Donations'!$S$2:$S$4001,'All Donations'!$R$2:$R$4001,$AD577,'All Donations'!$T$2:$T$4001,V$1))</f>
        <v/>
      </c>
      <c r="W577" s="49">
        <f>IF(OR($AE577&lt;&gt;1,W$1=""),"",SUMIFS('All Donations'!$S$2:$S$4001,'All Donations'!$R$2:$R$4001,$AD577,'All Donations'!$T$2:$T$4001,W$1))</f>
        <v/>
      </c>
      <c r="X577" s="49">
        <f>IF(OR($AE577&lt;&gt;1,X$1=""),"",SUMIFS('All Donations'!$S$2:$S$4001,'All Donations'!$R$2:$R$4001,$AD577,'All Donations'!$T$2:$T$4001,X$1))</f>
        <v/>
      </c>
      <c r="Y577" s="49">
        <f>IF(OR($AE577&lt;&gt;1,Y$1=""),"",SUMIFS('All Donations'!$S$2:$S$4001,'All Donations'!$R$2:$R$4001,$AD577,'All Donations'!$T$2:$T$4001,Y$1))</f>
        <v/>
      </c>
      <c r="Z577" s="49">
        <f>IF(OR($AE577&lt;&gt;1,Z$1=""),"",SUMIFS('All Donations'!$S$2:$S$4001,'All Donations'!$R$2:$R$4001,$AD577,'All Donations'!$T$2:$T$4001,Z$1))</f>
        <v/>
      </c>
      <c r="AA577" s="49">
        <f>IF(OR($AE577&lt;&gt;1,AA$1=""),"",SUMIFS('All Donations'!$S$2:$S$4001,'All Donations'!$R$2:$R$4001,$AD577,'All Donations'!$T$2:$T$4001,AA$1))</f>
        <v/>
      </c>
      <c r="AB577" s="49">
        <f>IF(OR($AE577&lt;&gt;1,AB$1=""),"",SUMIFS('All Donations'!$S$2:$S$4001,'All Donations'!$R$2:$R$4001,$AD577,'All Donations'!$T$2:$T$4001,AB$1))</f>
        <v/>
      </c>
      <c r="AC577" s="49">
        <f>IF(OR($AE577&lt;&gt;1,AC$1=""),"",SUMIFS('All Donations'!$S$2:$S$4001,'All Donations'!$R$2:$R$4001,$AD577,'All Donations'!$T$2:$T$4001,AC$1))</f>
        <v/>
      </c>
      <c r="AD577">
        <f>IF(AE577=1,'Roster'!A577,"")</f>
        <v/>
      </c>
      <c r="AE577">
        <f>IF(TRIM('Roster'!B577&amp;'Roster'!C577)&lt;&gt;"",1,0)</f>
        <v/>
      </c>
      <c r="AF577">
        <f>IF(AE577=1,LOWER(A577),"#")</f>
        <v/>
      </c>
      <c r="AG577">
        <f>IF(AE577=1,LOWER(TRIM(TRIM('Roster'!C577)&amp;", "&amp;TRIM('Roster'!B577))),"#")</f>
        <v/>
      </c>
      <c r="AH577">
        <f>IF(AND(AE577=1,TRIM('Roster'!F577)&lt;&gt;""),LOWER(TRIM('Roster'!F577)),"#")</f>
        <v/>
      </c>
      <c r="AI577">
        <f>IF(AE577=1,IF(MATCH(B577,$B$2:$B$701,0)=ROW()-1,1,0),0)</f>
        <v/>
      </c>
      <c r="AJ577">
        <f>AJ576+AI577</f>
        <v/>
      </c>
      <c r="AK577">
        <f>IF(AE577=1,D577+(1000-ROW())/10^7,-1)</f>
        <v/>
      </c>
      <c r="AL577">
        <f>IF(AE577=1,TRIM('Roster'!B577)&amp;" "&amp;LEFT(TRIM('Roster'!C577),1)&amp;".","")</f>
        <v/>
      </c>
      <c r="AM577">
        <f>IF(AE577=1,TRIM('Roster'!C577)&amp;", "&amp;TRIM('Roster'!B577)&amp;" ("&amp;B577&amp;") #"&amp;AD577,"")</f>
        <v/>
      </c>
      <c r="AN577">
        <f>IF(AE577=1,TRIM('Roster'!E577),"")</f>
        <v/>
      </c>
      <c r="AO577">
        <f>IF(AE577=1,ROUND(SUMIFS('All Donations'!$S$2:$S$4001,'All Donations'!$R$2:$R$4001,AD577,'All Donations'!$T$2:$T$4001,"&gt;="&amp;'Settings'!$C$23,'All Donations'!$T$2:$T$4001,"&lt;="&amp;'Settings'!$D$23),2),0)</f>
        <v/>
      </c>
      <c r="AQ577">
        <f>IF(AE577=1,ROUND(SUMIFS('All Donations'!$S$2:$S$4001,'All Donations'!$R$2:$R$4001,AD577,'All Donations'!$T$2:$T$4001,"&gt;="&amp;'Settings'!$C$25,'All Donations'!$T$2:$T$4001,"&lt;="&amp;'Settings'!$D$25),2),0)</f>
        <v/>
      </c>
      <c r="AR577">
        <f>IF(AE577=1,ROUND(SUMIFS('All Donations'!$S$2:$S$4001,'All Donations'!$R$2:$R$4001,AD577,'All Donations'!$T$2:$T$4001,"&gt;="&amp;'Settings'!$C$26,'All Donations'!$T$2:$T$4001,"&lt;="&amp;'Settings'!$D$26),2),0)</f>
        <v/>
      </c>
      <c r="AS577">
        <f>IF(AE577=1,ROUND(SUMIFS('All Donations'!$S$2:$S$4001,'All Donations'!$R$2:$R$4001,AD577,'All Donations'!$T$2:$T$4001,"&lt;="&amp;'Settings'!$D$27),2),0)</f>
        <v/>
      </c>
      <c r="AT577">
        <f>IF(AE577=1,ROUND(SUMIFS('All Donations'!$S$2:$S$4001,'All Donations'!$R$2:$R$4001,AD577,'All Donations'!$T$2:$T$4001,"&gt;="&amp;'Settings'!$C$28,'All Donations'!$T$2:$T$4001,"&lt;="&amp;'Settings'!$D$28),2),0)</f>
        <v/>
      </c>
      <c r="AU577">
        <f>IF(AE577=1,ROUND(SUMIFS('All Donations'!$S$2:$S$4001,'All Donations'!$R$2:$R$4001,AD577,'All Donations'!$T$2:$T$4001,"&gt;="&amp;'Settings'!$C$29,'All Donations'!$T$2:$T$4001,"&lt;="&amp;'Settings'!$D$29),2),0)</f>
        <v/>
      </c>
      <c r="AV577">
        <f>IF(AE577=1,ROUND(SUMIFS('All Donations'!$S$2:$S$4001,'All Donations'!$R$2:$R$4001,AD577,'All Donations'!$T$2:$T$4001,"&lt;="&amp;'Settings'!$D$30),2),0)</f>
        <v/>
      </c>
      <c r="AZ577">
        <f>IF(AE577=1,ROUND(SUMIFS('All Donations'!$S$2:$S$4001,'All Donations'!$R$2:$R$4001,AD577,'All Donations'!$T$2:$T$4001,"&lt;="&amp;'Settings'!$D$34),2),0)</f>
        <v/>
      </c>
    </row>
    <row r="578">
      <c r="A578">
        <f>IF(AE578=1,TRIM(TRIM('Roster'!B578)&amp;" "&amp;TRIM('Roster'!C578)),"")</f>
        <v/>
      </c>
      <c r="B578">
        <f>IF(AE578=1,IF(AN578="","(no teacher)",AN578&amp;" – "&amp;C578),"")</f>
        <v/>
      </c>
      <c r="C578">
        <f>IF(AE578=1,TRIM('Roster'!D578&amp;""),"")</f>
        <v/>
      </c>
      <c r="D578" s="48">
        <f>IF(AE578=1,ROUND(SUMIFS('All Donations'!$S$2:$S$4001,'All Donations'!$R$2:$R$4001,AD578),2),"")</f>
        <v/>
      </c>
      <c r="E578" s="48">
        <f>IF(AE578=1,ROUND(SUMIFS('All Donations'!$S$2:$S$4001,'All Donations'!$R$2:$R$4001,AD578,'All Donations'!$G$2:$G$4001,"OneCause"),2),"")</f>
        <v/>
      </c>
      <c r="F578" s="48">
        <f>IF(AE578=1,D578-E578,"")</f>
        <v/>
      </c>
      <c r="G578">
        <f>IF(AE578=1,COUNTIFS('All Donations'!$R$2:$R$4001,AD578,'All Donations'!$H$2:$H$4001,"OK"),"")</f>
        <v/>
      </c>
      <c r="H578">
        <f>IF(AE578&lt;&gt;1,"",IF(D578&gt;0,"Yes",""))</f>
        <v/>
      </c>
      <c r="I578" s="49">
        <f>IF(OR($AE578&lt;&gt;1,I$1=""),"",SUMIFS('All Donations'!$S$2:$S$4001,'All Donations'!$R$2:$R$4001,$AD578,'All Donations'!$T$2:$T$4001,I$1))</f>
        <v/>
      </c>
      <c r="J578" s="49">
        <f>IF(OR($AE578&lt;&gt;1,J$1=""),"",SUMIFS('All Donations'!$S$2:$S$4001,'All Donations'!$R$2:$R$4001,$AD578,'All Donations'!$T$2:$T$4001,J$1))</f>
        <v/>
      </c>
      <c r="K578" s="49">
        <f>IF(OR($AE578&lt;&gt;1,K$1=""),"",SUMIFS('All Donations'!$S$2:$S$4001,'All Donations'!$R$2:$R$4001,$AD578,'All Donations'!$T$2:$T$4001,K$1))</f>
        <v/>
      </c>
      <c r="L578" s="49">
        <f>IF(OR($AE578&lt;&gt;1,L$1=""),"",SUMIFS('All Donations'!$S$2:$S$4001,'All Donations'!$R$2:$R$4001,$AD578,'All Donations'!$T$2:$T$4001,L$1))</f>
        <v/>
      </c>
      <c r="M578" s="49">
        <f>IF(OR($AE578&lt;&gt;1,M$1=""),"",SUMIFS('All Donations'!$S$2:$S$4001,'All Donations'!$R$2:$R$4001,$AD578,'All Donations'!$T$2:$T$4001,M$1))</f>
        <v/>
      </c>
      <c r="N578" s="49">
        <f>IF(OR($AE578&lt;&gt;1,N$1=""),"",SUMIFS('All Donations'!$S$2:$S$4001,'All Donations'!$R$2:$R$4001,$AD578,'All Donations'!$T$2:$T$4001,N$1))</f>
        <v/>
      </c>
      <c r="O578" s="49">
        <f>IF(OR($AE578&lt;&gt;1,O$1=""),"",SUMIFS('All Donations'!$S$2:$S$4001,'All Donations'!$R$2:$R$4001,$AD578,'All Donations'!$T$2:$T$4001,O$1))</f>
        <v/>
      </c>
      <c r="P578" s="49">
        <f>IF(OR($AE578&lt;&gt;1,P$1=""),"",SUMIFS('All Donations'!$S$2:$S$4001,'All Donations'!$R$2:$R$4001,$AD578,'All Donations'!$T$2:$T$4001,P$1))</f>
        <v/>
      </c>
      <c r="Q578" s="49">
        <f>IF(OR($AE578&lt;&gt;1,Q$1=""),"",SUMIFS('All Donations'!$S$2:$S$4001,'All Donations'!$R$2:$R$4001,$AD578,'All Donations'!$T$2:$T$4001,Q$1))</f>
        <v/>
      </c>
      <c r="R578" s="49">
        <f>IF(OR($AE578&lt;&gt;1,R$1=""),"",SUMIFS('All Donations'!$S$2:$S$4001,'All Donations'!$R$2:$R$4001,$AD578,'All Donations'!$T$2:$T$4001,R$1))</f>
        <v/>
      </c>
      <c r="S578" s="49">
        <f>IF(OR($AE578&lt;&gt;1,S$1=""),"",SUMIFS('All Donations'!$S$2:$S$4001,'All Donations'!$R$2:$R$4001,$AD578,'All Donations'!$T$2:$T$4001,S$1))</f>
        <v/>
      </c>
      <c r="T578" s="49">
        <f>IF(OR($AE578&lt;&gt;1,T$1=""),"",SUMIFS('All Donations'!$S$2:$S$4001,'All Donations'!$R$2:$R$4001,$AD578,'All Donations'!$T$2:$T$4001,T$1))</f>
        <v/>
      </c>
      <c r="U578" s="49">
        <f>IF(OR($AE578&lt;&gt;1,U$1=""),"",SUMIFS('All Donations'!$S$2:$S$4001,'All Donations'!$R$2:$R$4001,$AD578,'All Donations'!$T$2:$T$4001,U$1))</f>
        <v/>
      </c>
      <c r="V578" s="49">
        <f>IF(OR($AE578&lt;&gt;1,V$1=""),"",SUMIFS('All Donations'!$S$2:$S$4001,'All Donations'!$R$2:$R$4001,$AD578,'All Donations'!$T$2:$T$4001,V$1))</f>
        <v/>
      </c>
      <c r="W578" s="49">
        <f>IF(OR($AE578&lt;&gt;1,W$1=""),"",SUMIFS('All Donations'!$S$2:$S$4001,'All Donations'!$R$2:$R$4001,$AD578,'All Donations'!$T$2:$T$4001,W$1))</f>
        <v/>
      </c>
      <c r="X578" s="49">
        <f>IF(OR($AE578&lt;&gt;1,X$1=""),"",SUMIFS('All Donations'!$S$2:$S$4001,'All Donations'!$R$2:$R$4001,$AD578,'All Donations'!$T$2:$T$4001,X$1))</f>
        <v/>
      </c>
      <c r="Y578" s="49">
        <f>IF(OR($AE578&lt;&gt;1,Y$1=""),"",SUMIFS('All Donations'!$S$2:$S$4001,'All Donations'!$R$2:$R$4001,$AD578,'All Donations'!$T$2:$T$4001,Y$1))</f>
        <v/>
      </c>
      <c r="Z578" s="49">
        <f>IF(OR($AE578&lt;&gt;1,Z$1=""),"",SUMIFS('All Donations'!$S$2:$S$4001,'All Donations'!$R$2:$R$4001,$AD578,'All Donations'!$T$2:$T$4001,Z$1))</f>
        <v/>
      </c>
      <c r="AA578" s="49">
        <f>IF(OR($AE578&lt;&gt;1,AA$1=""),"",SUMIFS('All Donations'!$S$2:$S$4001,'All Donations'!$R$2:$R$4001,$AD578,'All Donations'!$T$2:$T$4001,AA$1))</f>
        <v/>
      </c>
      <c r="AB578" s="49">
        <f>IF(OR($AE578&lt;&gt;1,AB$1=""),"",SUMIFS('All Donations'!$S$2:$S$4001,'All Donations'!$R$2:$R$4001,$AD578,'All Donations'!$T$2:$T$4001,AB$1))</f>
        <v/>
      </c>
      <c r="AC578" s="49">
        <f>IF(OR($AE578&lt;&gt;1,AC$1=""),"",SUMIFS('All Donations'!$S$2:$S$4001,'All Donations'!$R$2:$R$4001,$AD578,'All Donations'!$T$2:$T$4001,AC$1))</f>
        <v/>
      </c>
      <c r="AD578">
        <f>IF(AE578=1,'Roster'!A578,"")</f>
        <v/>
      </c>
      <c r="AE578">
        <f>IF(TRIM('Roster'!B578&amp;'Roster'!C578)&lt;&gt;"",1,0)</f>
        <v/>
      </c>
      <c r="AF578">
        <f>IF(AE578=1,LOWER(A578),"#")</f>
        <v/>
      </c>
      <c r="AG578">
        <f>IF(AE578=1,LOWER(TRIM(TRIM('Roster'!C578)&amp;", "&amp;TRIM('Roster'!B578))),"#")</f>
        <v/>
      </c>
      <c r="AH578">
        <f>IF(AND(AE578=1,TRIM('Roster'!F578)&lt;&gt;""),LOWER(TRIM('Roster'!F578)),"#")</f>
        <v/>
      </c>
      <c r="AI578">
        <f>IF(AE578=1,IF(MATCH(B578,$B$2:$B$701,0)=ROW()-1,1,0),0)</f>
        <v/>
      </c>
      <c r="AJ578">
        <f>AJ577+AI578</f>
        <v/>
      </c>
      <c r="AK578">
        <f>IF(AE578=1,D578+(1000-ROW())/10^7,-1)</f>
        <v/>
      </c>
      <c r="AL578">
        <f>IF(AE578=1,TRIM('Roster'!B578)&amp;" "&amp;LEFT(TRIM('Roster'!C578),1)&amp;".","")</f>
        <v/>
      </c>
      <c r="AM578">
        <f>IF(AE578=1,TRIM('Roster'!C578)&amp;", "&amp;TRIM('Roster'!B578)&amp;" ("&amp;B578&amp;") #"&amp;AD578,"")</f>
        <v/>
      </c>
      <c r="AN578">
        <f>IF(AE578=1,TRIM('Roster'!E578),"")</f>
        <v/>
      </c>
      <c r="AO578">
        <f>IF(AE578=1,ROUND(SUMIFS('All Donations'!$S$2:$S$4001,'All Donations'!$R$2:$R$4001,AD578,'All Donations'!$T$2:$T$4001,"&gt;="&amp;'Settings'!$C$23,'All Donations'!$T$2:$T$4001,"&lt;="&amp;'Settings'!$D$23),2),0)</f>
        <v/>
      </c>
      <c r="AQ578">
        <f>IF(AE578=1,ROUND(SUMIFS('All Donations'!$S$2:$S$4001,'All Donations'!$R$2:$R$4001,AD578,'All Donations'!$T$2:$T$4001,"&gt;="&amp;'Settings'!$C$25,'All Donations'!$T$2:$T$4001,"&lt;="&amp;'Settings'!$D$25),2),0)</f>
        <v/>
      </c>
      <c r="AR578">
        <f>IF(AE578=1,ROUND(SUMIFS('All Donations'!$S$2:$S$4001,'All Donations'!$R$2:$R$4001,AD578,'All Donations'!$T$2:$T$4001,"&gt;="&amp;'Settings'!$C$26,'All Donations'!$T$2:$T$4001,"&lt;="&amp;'Settings'!$D$26),2),0)</f>
        <v/>
      </c>
      <c r="AS578">
        <f>IF(AE578=1,ROUND(SUMIFS('All Donations'!$S$2:$S$4001,'All Donations'!$R$2:$R$4001,AD578,'All Donations'!$T$2:$T$4001,"&lt;="&amp;'Settings'!$D$27),2),0)</f>
        <v/>
      </c>
      <c r="AT578">
        <f>IF(AE578=1,ROUND(SUMIFS('All Donations'!$S$2:$S$4001,'All Donations'!$R$2:$R$4001,AD578,'All Donations'!$T$2:$T$4001,"&gt;="&amp;'Settings'!$C$28,'All Donations'!$T$2:$T$4001,"&lt;="&amp;'Settings'!$D$28),2),0)</f>
        <v/>
      </c>
      <c r="AU578">
        <f>IF(AE578=1,ROUND(SUMIFS('All Donations'!$S$2:$S$4001,'All Donations'!$R$2:$R$4001,AD578,'All Donations'!$T$2:$T$4001,"&gt;="&amp;'Settings'!$C$29,'All Donations'!$T$2:$T$4001,"&lt;="&amp;'Settings'!$D$29),2),0)</f>
        <v/>
      </c>
      <c r="AV578">
        <f>IF(AE578=1,ROUND(SUMIFS('All Donations'!$S$2:$S$4001,'All Donations'!$R$2:$R$4001,AD578,'All Donations'!$T$2:$T$4001,"&lt;="&amp;'Settings'!$D$30),2),0)</f>
        <v/>
      </c>
      <c r="AZ578">
        <f>IF(AE578=1,ROUND(SUMIFS('All Donations'!$S$2:$S$4001,'All Donations'!$R$2:$R$4001,AD578,'All Donations'!$T$2:$T$4001,"&lt;="&amp;'Settings'!$D$34),2),0)</f>
        <v/>
      </c>
    </row>
    <row r="579">
      <c r="A579">
        <f>IF(AE579=1,TRIM(TRIM('Roster'!B579)&amp;" "&amp;TRIM('Roster'!C579)),"")</f>
        <v/>
      </c>
      <c r="B579">
        <f>IF(AE579=1,IF(AN579="","(no teacher)",AN579&amp;" – "&amp;C579),"")</f>
        <v/>
      </c>
      <c r="C579">
        <f>IF(AE579=1,TRIM('Roster'!D579&amp;""),"")</f>
        <v/>
      </c>
      <c r="D579" s="48">
        <f>IF(AE579=1,ROUND(SUMIFS('All Donations'!$S$2:$S$4001,'All Donations'!$R$2:$R$4001,AD579),2),"")</f>
        <v/>
      </c>
      <c r="E579" s="48">
        <f>IF(AE579=1,ROUND(SUMIFS('All Donations'!$S$2:$S$4001,'All Donations'!$R$2:$R$4001,AD579,'All Donations'!$G$2:$G$4001,"OneCause"),2),"")</f>
        <v/>
      </c>
      <c r="F579" s="48">
        <f>IF(AE579=1,D579-E579,"")</f>
        <v/>
      </c>
      <c r="G579">
        <f>IF(AE579=1,COUNTIFS('All Donations'!$R$2:$R$4001,AD579,'All Donations'!$H$2:$H$4001,"OK"),"")</f>
        <v/>
      </c>
      <c r="H579">
        <f>IF(AE579&lt;&gt;1,"",IF(D579&gt;0,"Yes",""))</f>
        <v/>
      </c>
      <c r="I579" s="49">
        <f>IF(OR($AE579&lt;&gt;1,I$1=""),"",SUMIFS('All Donations'!$S$2:$S$4001,'All Donations'!$R$2:$R$4001,$AD579,'All Donations'!$T$2:$T$4001,I$1))</f>
        <v/>
      </c>
      <c r="J579" s="49">
        <f>IF(OR($AE579&lt;&gt;1,J$1=""),"",SUMIFS('All Donations'!$S$2:$S$4001,'All Donations'!$R$2:$R$4001,$AD579,'All Donations'!$T$2:$T$4001,J$1))</f>
        <v/>
      </c>
      <c r="K579" s="49">
        <f>IF(OR($AE579&lt;&gt;1,K$1=""),"",SUMIFS('All Donations'!$S$2:$S$4001,'All Donations'!$R$2:$R$4001,$AD579,'All Donations'!$T$2:$T$4001,K$1))</f>
        <v/>
      </c>
      <c r="L579" s="49">
        <f>IF(OR($AE579&lt;&gt;1,L$1=""),"",SUMIFS('All Donations'!$S$2:$S$4001,'All Donations'!$R$2:$R$4001,$AD579,'All Donations'!$T$2:$T$4001,L$1))</f>
        <v/>
      </c>
      <c r="M579" s="49">
        <f>IF(OR($AE579&lt;&gt;1,M$1=""),"",SUMIFS('All Donations'!$S$2:$S$4001,'All Donations'!$R$2:$R$4001,$AD579,'All Donations'!$T$2:$T$4001,M$1))</f>
        <v/>
      </c>
      <c r="N579" s="49">
        <f>IF(OR($AE579&lt;&gt;1,N$1=""),"",SUMIFS('All Donations'!$S$2:$S$4001,'All Donations'!$R$2:$R$4001,$AD579,'All Donations'!$T$2:$T$4001,N$1))</f>
        <v/>
      </c>
      <c r="O579" s="49">
        <f>IF(OR($AE579&lt;&gt;1,O$1=""),"",SUMIFS('All Donations'!$S$2:$S$4001,'All Donations'!$R$2:$R$4001,$AD579,'All Donations'!$T$2:$T$4001,O$1))</f>
        <v/>
      </c>
      <c r="P579" s="49">
        <f>IF(OR($AE579&lt;&gt;1,P$1=""),"",SUMIFS('All Donations'!$S$2:$S$4001,'All Donations'!$R$2:$R$4001,$AD579,'All Donations'!$T$2:$T$4001,P$1))</f>
        <v/>
      </c>
      <c r="Q579" s="49">
        <f>IF(OR($AE579&lt;&gt;1,Q$1=""),"",SUMIFS('All Donations'!$S$2:$S$4001,'All Donations'!$R$2:$R$4001,$AD579,'All Donations'!$T$2:$T$4001,Q$1))</f>
        <v/>
      </c>
      <c r="R579" s="49">
        <f>IF(OR($AE579&lt;&gt;1,R$1=""),"",SUMIFS('All Donations'!$S$2:$S$4001,'All Donations'!$R$2:$R$4001,$AD579,'All Donations'!$T$2:$T$4001,R$1))</f>
        <v/>
      </c>
      <c r="S579" s="49">
        <f>IF(OR($AE579&lt;&gt;1,S$1=""),"",SUMIFS('All Donations'!$S$2:$S$4001,'All Donations'!$R$2:$R$4001,$AD579,'All Donations'!$T$2:$T$4001,S$1))</f>
        <v/>
      </c>
      <c r="T579" s="49">
        <f>IF(OR($AE579&lt;&gt;1,T$1=""),"",SUMIFS('All Donations'!$S$2:$S$4001,'All Donations'!$R$2:$R$4001,$AD579,'All Donations'!$T$2:$T$4001,T$1))</f>
        <v/>
      </c>
      <c r="U579" s="49">
        <f>IF(OR($AE579&lt;&gt;1,U$1=""),"",SUMIFS('All Donations'!$S$2:$S$4001,'All Donations'!$R$2:$R$4001,$AD579,'All Donations'!$T$2:$T$4001,U$1))</f>
        <v/>
      </c>
      <c r="V579" s="49">
        <f>IF(OR($AE579&lt;&gt;1,V$1=""),"",SUMIFS('All Donations'!$S$2:$S$4001,'All Donations'!$R$2:$R$4001,$AD579,'All Donations'!$T$2:$T$4001,V$1))</f>
        <v/>
      </c>
      <c r="W579" s="49">
        <f>IF(OR($AE579&lt;&gt;1,W$1=""),"",SUMIFS('All Donations'!$S$2:$S$4001,'All Donations'!$R$2:$R$4001,$AD579,'All Donations'!$T$2:$T$4001,W$1))</f>
        <v/>
      </c>
      <c r="X579" s="49">
        <f>IF(OR($AE579&lt;&gt;1,X$1=""),"",SUMIFS('All Donations'!$S$2:$S$4001,'All Donations'!$R$2:$R$4001,$AD579,'All Donations'!$T$2:$T$4001,X$1))</f>
        <v/>
      </c>
      <c r="Y579" s="49">
        <f>IF(OR($AE579&lt;&gt;1,Y$1=""),"",SUMIFS('All Donations'!$S$2:$S$4001,'All Donations'!$R$2:$R$4001,$AD579,'All Donations'!$T$2:$T$4001,Y$1))</f>
        <v/>
      </c>
      <c r="Z579" s="49">
        <f>IF(OR($AE579&lt;&gt;1,Z$1=""),"",SUMIFS('All Donations'!$S$2:$S$4001,'All Donations'!$R$2:$R$4001,$AD579,'All Donations'!$T$2:$T$4001,Z$1))</f>
        <v/>
      </c>
      <c r="AA579" s="49">
        <f>IF(OR($AE579&lt;&gt;1,AA$1=""),"",SUMIFS('All Donations'!$S$2:$S$4001,'All Donations'!$R$2:$R$4001,$AD579,'All Donations'!$T$2:$T$4001,AA$1))</f>
        <v/>
      </c>
      <c r="AB579" s="49">
        <f>IF(OR($AE579&lt;&gt;1,AB$1=""),"",SUMIFS('All Donations'!$S$2:$S$4001,'All Donations'!$R$2:$R$4001,$AD579,'All Donations'!$T$2:$T$4001,AB$1))</f>
        <v/>
      </c>
      <c r="AC579" s="49">
        <f>IF(OR($AE579&lt;&gt;1,AC$1=""),"",SUMIFS('All Donations'!$S$2:$S$4001,'All Donations'!$R$2:$R$4001,$AD579,'All Donations'!$T$2:$T$4001,AC$1))</f>
        <v/>
      </c>
      <c r="AD579">
        <f>IF(AE579=1,'Roster'!A579,"")</f>
        <v/>
      </c>
      <c r="AE579">
        <f>IF(TRIM('Roster'!B579&amp;'Roster'!C579)&lt;&gt;"",1,0)</f>
        <v/>
      </c>
      <c r="AF579">
        <f>IF(AE579=1,LOWER(A579),"#")</f>
        <v/>
      </c>
      <c r="AG579">
        <f>IF(AE579=1,LOWER(TRIM(TRIM('Roster'!C579)&amp;", "&amp;TRIM('Roster'!B579))),"#")</f>
        <v/>
      </c>
      <c r="AH579">
        <f>IF(AND(AE579=1,TRIM('Roster'!F579)&lt;&gt;""),LOWER(TRIM('Roster'!F579)),"#")</f>
        <v/>
      </c>
      <c r="AI579">
        <f>IF(AE579=1,IF(MATCH(B579,$B$2:$B$701,0)=ROW()-1,1,0),0)</f>
        <v/>
      </c>
      <c r="AJ579">
        <f>AJ578+AI579</f>
        <v/>
      </c>
      <c r="AK579">
        <f>IF(AE579=1,D579+(1000-ROW())/10^7,-1)</f>
        <v/>
      </c>
      <c r="AL579">
        <f>IF(AE579=1,TRIM('Roster'!B579)&amp;" "&amp;LEFT(TRIM('Roster'!C579),1)&amp;".","")</f>
        <v/>
      </c>
      <c r="AM579">
        <f>IF(AE579=1,TRIM('Roster'!C579)&amp;", "&amp;TRIM('Roster'!B579)&amp;" ("&amp;B579&amp;") #"&amp;AD579,"")</f>
        <v/>
      </c>
      <c r="AN579">
        <f>IF(AE579=1,TRIM('Roster'!E579),"")</f>
        <v/>
      </c>
      <c r="AO579">
        <f>IF(AE579=1,ROUND(SUMIFS('All Donations'!$S$2:$S$4001,'All Donations'!$R$2:$R$4001,AD579,'All Donations'!$T$2:$T$4001,"&gt;="&amp;'Settings'!$C$23,'All Donations'!$T$2:$T$4001,"&lt;="&amp;'Settings'!$D$23),2),0)</f>
        <v/>
      </c>
      <c r="AQ579">
        <f>IF(AE579=1,ROUND(SUMIFS('All Donations'!$S$2:$S$4001,'All Donations'!$R$2:$R$4001,AD579,'All Donations'!$T$2:$T$4001,"&gt;="&amp;'Settings'!$C$25,'All Donations'!$T$2:$T$4001,"&lt;="&amp;'Settings'!$D$25),2),0)</f>
        <v/>
      </c>
      <c r="AR579">
        <f>IF(AE579=1,ROUND(SUMIFS('All Donations'!$S$2:$S$4001,'All Donations'!$R$2:$R$4001,AD579,'All Donations'!$T$2:$T$4001,"&gt;="&amp;'Settings'!$C$26,'All Donations'!$T$2:$T$4001,"&lt;="&amp;'Settings'!$D$26),2),0)</f>
        <v/>
      </c>
      <c r="AS579">
        <f>IF(AE579=1,ROUND(SUMIFS('All Donations'!$S$2:$S$4001,'All Donations'!$R$2:$R$4001,AD579,'All Donations'!$T$2:$T$4001,"&lt;="&amp;'Settings'!$D$27),2),0)</f>
        <v/>
      </c>
      <c r="AT579">
        <f>IF(AE579=1,ROUND(SUMIFS('All Donations'!$S$2:$S$4001,'All Donations'!$R$2:$R$4001,AD579,'All Donations'!$T$2:$T$4001,"&gt;="&amp;'Settings'!$C$28,'All Donations'!$T$2:$T$4001,"&lt;="&amp;'Settings'!$D$28),2),0)</f>
        <v/>
      </c>
      <c r="AU579">
        <f>IF(AE579=1,ROUND(SUMIFS('All Donations'!$S$2:$S$4001,'All Donations'!$R$2:$R$4001,AD579,'All Donations'!$T$2:$T$4001,"&gt;="&amp;'Settings'!$C$29,'All Donations'!$T$2:$T$4001,"&lt;="&amp;'Settings'!$D$29),2),0)</f>
        <v/>
      </c>
      <c r="AV579">
        <f>IF(AE579=1,ROUND(SUMIFS('All Donations'!$S$2:$S$4001,'All Donations'!$R$2:$R$4001,AD579,'All Donations'!$T$2:$T$4001,"&lt;="&amp;'Settings'!$D$30),2),0)</f>
        <v/>
      </c>
      <c r="AZ579">
        <f>IF(AE579=1,ROUND(SUMIFS('All Donations'!$S$2:$S$4001,'All Donations'!$R$2:$R$4001,AD579,'All Donations'!$T$2:$T$4001,"&lt;="&amp;'Settings'!$D$34),2),0)</f>
        <v/>
      </c>
    </row>
    <row r="580">
      <c r="A580">
        <f>IF(AE580=1,TRIM(TRIM('Roster'!B580)&amp;" "&amp;TRIM('Roster'!C580)),"")</f>
        <v/>
      </c>
      <c r="B580">
        <f>IF(AE580=1,IF(AN580="","(no teacher)",AN580&amp;" – "&amp;C580),"")</f>
        <v/>
      </c>
      <c r="C580">
        <f>IF(AE580=1,TRIM('Roster'!D580&amp;""),"")</f>
        <v/>
      </c>
      <c r="D580" s="48">
        <f>IF(AE580=1,ROUND(SUMIFS('All Donations'!$S$2:$S$4001,'All Donations'!$R$2:$R$4001,AD580),2),"")</f>
        <v/>
      </c>
      <c r="E580" s="48">
        <f>IF(AE580=1,ROUND(SUMIFS('All Donations'!$S$2:$S$4001,'All Donations'!$R$2:$R$4001,AD580,'All Donations'!$G$2:$G$4001,"OneCause"),2),"")</f>
        <v/>
      </c>
      <c r="F580" s="48">
        <f>IF(AE580=1,D580-E580,"")</f>
        <v/>
      </c>
      <c r="G580">
        <f>IF(AE580=1,COUNTIFS('All Donations'!$R$2:$R$4001,AD580,'All Donations'!$H$2:$H$4001,"OK"),"")</f>
        <v/>
      </c>
      <c r="H580">
        <f>IF(AE580&lt;&gt;1,"",IF(D580&gt;0,"Yes",""))</f>
        <v/>
      </c>
      <c r="I580" s="49">
        <f>IF(OR($AE580&lt;&gt;1,I$1=""),"",SUMIFS('All Donations'!$S$2:$S$4001,'All Donations'!$R$2:$R$4001,$AD580,'All Donations'!$T$2:$T$4001,I$1))</f>
        <v/>
      </c>
      <c r="J580" s="49">
        <f>IF(OR($AE580&lt;&gt;1,J$1=""),"",SUMIFS('All Donations'!$S$2:$S$4001,'All Donations'!$R$2:$R$4001,$AD580,'All Donations'!$T$2:$T$4001,J$1))</f>
        <v/>
      </c>
      <c r="K580" s="49">
        <f>IF(OR($AE580&lt;&gt;1,K$1=""),"",SUMIFS('All Donations'!$S$2:$S$4001,'All Donations'!$R$2:$R$4001,$AD580,'All Donations'!$T$2:$T$4001,K$1))</f>
        <v/>
      </c>
      <c r="L580" s="49">
        <f>IF(OR($AE580&lt;&gt;1,L$1=""),"",SUMIFS('All Donations'!$S$2:$S$4001,'All Donations'!$R$2:$R$4001,$AD580,'All Donations'!$T$2:$T$4001,L$1))</f>
        <v/>
      </c>
      <c r="M580" s="49">
        <f>IF(OR($AE580&lt;&gt;1,M$1=""),"",SUMIFS('All Donations'!$S$2:$S$4001,'All Donations'!$R$2:$R$4001,$AD580,'All Donations'!$T$2:$T$4001,M$1))</f>
        <v/>
      </c>
      <c r="N580" s="49">
        <f>IF(OR($AE580&lt;&gt;1,N$1=""),"",SUMIFS('All Donations'!$S$2:$S$4001,'All Donations'!$R$2:$R$4001,$AD580,'All Donations'!$T$2:$T$4001,N$1))</f>
        <v/>
      </c>
      <c r="O580" s="49">
        <f>IF(OR($AE580&lt;&gt;1,O$1=""),"",SUMIFS('All Donations'!$S$2:$S$4001,'All Donations'!$R$2:$R$4001,$AD580,'All Donations'!$T$2:$T$4001,O$1))</f>
        <v/>
      </c>
      <c r="P580" s="49">
        <f>IF(OR($AE580&lt;&gt;1,P$1=""),"",SUMIFS('All Donations'!$S$2:$S$4001,'All Donations'!$R$2:$R$4001,$AD580,'All Donations'!$T$2:$T$4001,P$1))</f>
        <v/>
      </c>
      <c r="Q580" s="49">
        <f>IF(OR($AE580&lt;&gt;1,Q$1=""),"",SUMIFS('All Donations'!$S$2:$S$4001,'All Donations'!$R$2:$R$4001,$AD580,'All Donations'!$T$2:$T$4001,Q$1))</f>
        <v/>
      </c>
      <c r="R580" s="49">
        <f>IF(OR($AE580&lt;&gt;1,R$1=""),"",SUMIFS('All Donations'!$S$2:$S$4001,'All Donations'!$R$2:$R$4001,$AD580,'All Donations'!$T$2:$T$4001,R$1))</f>
        <v/>
      </c>
      <c r="S580" s="49">
        <f>IF(OR($AE580&lt;&gt;1,S$1=""),"",SUMIFS('All Donations'!$S$2:$S$4001,'All Donations'!$R$2:$R$4001,$AD580,'All Donations'!$T$2:$T$4001,S$1))</f>
        <v/>
      </c>
      <c r="T580" s="49">
        <f>IF(OR($AE580&lt;&gt;1,T$1=""),"",SUMIFS('All Donations'!$S$2:$S$4001,'All Donations'!$R$2:$R$4001,$AD580,'All Donations'!$T$2:$T$4001,T$1))</f>
        <v/>
      </c>
      <c r="U580" s="49">
        <f>IF(OR($AE580&lt;&gt;1,U$1=""),"",SUMIFS('All Donations'!$S$2:$S$4001,'All Donations'!$R$2:$R$4001,$AD580,'All Donations'!$T$2:$T$4001,U$1))</f>
        <v/>
      </c>
      <c r="V580" s="49">
        <f>IF(OR($AE580&lt;&gt;1,V$1=""),"",SUMIFS('All Donations'!$S$2:$S$4001,'All Donations'!$R$2:$R$4001,$AD580,'All Donations'!$T$2:$T$4001,V$1))</f>
        <v/>
      </c>
      <c r="W580" s="49">
        <f>IF(OR($AE580&lt;&gt;1,W$1=""),"",SUMIFS('All Donations'!$S$2:$S$4001,'All Donations'!$R$2:$R$4001,$AD580,'All Donations'!$T$2:$T$4001,W$1))</f>
        <v/>
      </c>
      <c r="X580" s="49">
        <f>IF(OR($AE580&lt;&gt;1,X$1=""),"",SUMIFS('All Donations'!$S$2:$S$4001,'All Donations'!$R$2:$R$4001,$AD580,'All Donations'!$T$2:$T$4001,X$1))</f>
        <v/>
      </c>
      <c r="Y580" s="49">
        <f>IF(OR($AE580&lt;&gt;1,Y$1=""),"",SUMIFS('All Donations'!$S$2:$S$4001,'All Donations'!$R$2:$R$4001,$AD580,'All Donations'!$T$2:$T$4001,Y$1))</f>
        <v/>
      </c>
      <c r="Z580" s="49">
        <f>IF(OR($AE580&lt;&gt;1,Z$1=""),"",SUMIFS('All Donations'!$S$2:$S$4001,'All Donations'!$R$2:$R$4001,$AD580,'All Donations'!$T$2:$T$4001,Z$1))</f>
        <v/>
      </c>
      <c r="AA580" s="49">
        <f>IF(OR($AE580&lt;&gt;1,AA$1=""),"",SUMIFS('All Donations'!$S$2:$S$4001,'All Donations'!$R$2:$R$4001,$AD580,'All Donations'!$T$2:$T$4001,AA$1))</f>
        <v/>
      </c>
      <c r="AB580" s="49">
        <f>IF(OR($AE580&lt;&gt;1,AB$1=""),"",SUMIFS('All Donations'!$S$2:$S$4001,'All Donations'!$R$2:$R$4001,$AD580,'All Donations'!$T$2:$T$4001,AB$1))</f>
        <v/>
      </c>
      <c r="AC580" s="49">
        <f>IF(OR($AE580&lt;&gt;1,AC$1=""),"",SUMIFS('All Donations'!$S$2:$S$4001,'All Donations'!$R$2:$R$4001,$AD580,'All Donations'!$T$2:$T$4001,AC$1))</f>
        <v/>
      </c>
      <c r="AD580">
        <f>IF(AE580=1,'Roster'!A580,"")</f>
        <v/>
      </c>
      <c r="AE580">
        <f>IF(TRIM('Roster'!B580&amp;'Roster'!C580)&lt;&gt;"",1,0)</f>
        <v/>
      </c>
      <c r="AF580">
        <f>IF(AE580=1,LOWER(A580),"#")</f>
        <v/>
      </c>
      <c r="AG580">
        <f>IF(AE580=1,LOWER(TRIM(TRIM('Roster'!C580)&amp;", "&amp;TRIM('Roster'!B580))),"#")</f>
        <v/>
      </c>
      <c r="AH580">
        <f>IF(AND(AE580=1,TRIM('Roster'!F580)&lt;&gt;""),LOWER(TRIM('Roster'!F580)),"#")</f>
        <v/>
      </c>
      <c r="AI580">
        <f>IF(AE580=1,IF(MATCH(B580,$B$2:$B$701,0)=ROW()-1,1,0),0)</f>
        <v/>
      </c>
      <c r="AJ580">
        <f>AJ579+AI580</f>
        <v/>
      </c>
      <c r="AK580">
        <f>IF(AE580=1,D580+(1000-ROW())/10^7,-1)</f>
        <v/>
      </c>
      <c r="AL580">
        <f>IF(AE580=1,TRIM('Roster'!B580)&amp;" "&amp;LEFT(TRIM('Roster'!C580),1)&amp;".","")</f>
        <v/>
      </c>
      <c r="AM580">
        <f>IF(AE580=1,TRIM('Roster'!C580)&amp;", "&amp;TRIM('Roster'!B580)&amp;" ("&amp;B580&amp;") #"&amp;AD580,"")</f>
        <v/>
      </c>
      <c r="AN580">
        <f>IF(AE580=1,TRIM('Roster'!E580),"")</f>
        <v/>
      </c>
      <c r="AO580">
        <f>IF(AE580=1,ROUND(SUMIFS('All Donations'!$S$2:$S$4001,'All Donations'!$R$2:$R$4001,AD580,'All Donations'!$T$2:$T$4001,"&gt;="&amp;'Settings'!$C$23,'All Donations'!$T$2:$T$4001,"&lt;="&amp;'Settings'!$D$23),2),0)</f>
        <v/>
      </c>
      <c r="AQ580">
        <f>IF(AE580=1,ROUND(SUMIFS('All Donations'!$S$2:$S$4001,'All Donations'!$R$2:$R$4001,AD580,'All Donations'!$T$2:$T$4001,"&gt;="&amp;'Settings'!$C$25,'All Donations'!$T$2:$T$4001,"&lt;="&amp;'Settings'!$D$25),2),0)</f>
        <v/>
      </c>
      <c r="AR580">
        <f>IF(AE580=1,ROUND(SUMIFS('All Donations'!$S$2:$S$4001,'All Donations'!$R$2:$R$4001,AD580,'All Donations'!$T$2:$T$4001,"&gt;="&amp;'Settings'!$C$26,'All Donations'!$T$2:$T$4001,"&lt;="&amp;'Settings'!$D$26),2),0)</f>
        <v/>
      </c>
      <c r="AS580">
        <f>IF(AE580=1,ROUND(SUMIFS('All Donations'!$S$2:$S$4001,'All Donations'!$R$2:$R$4001,AD580,'All Donations'!$T$2:$T$4001,"&lt;="&amp;'Settings'!$D$27),2),0)</f>
        <v/>
      </c>
      <c r="AT580">
        <f>IF(AE580=1,ROUND(SUMIFS('All Donations'!$S$2:$S$4001,'All Donations'!$R$2:$R$4001,AD580,'All Donations'!$T$2:$T$4001,"&gt;="&amp;'Settings'!$C$28,'All Donations'!$T$2:$T$4001,"&lt;="&amp;'Settings'!$D$28),2),0)</f>
        <v/>
      </c>
      <c r="AU580">
        <f>IF(AE580=1,ROUND(SUMIFS('All Donations'!$S$2:$S$4001,'All Donations'!$R$2:$R$4001,AD580,'All Donations'!$T$2:$T$4001,"&gt;="&amp;'Settings'!$C$29,'All Donations'!$T$2:$T$4001,"&lt;="&amp;'Settings'!$D$29),2),0)</f>
        <v/>
      </c>
      <c r="AV580">
        <f>IF(AE580=1,ROUND(SUMIFS('All Donations'!$S$2:$S$4001,'All Donations'!$R$2:$R$4001,AD580,'All Donations'!$T$2:$T$4001,"&lt;="&amp;'Settings'!$D$30),2),0)</f>
        <v/>
      </c>
      <c r="AZ580">
        <f>IF(AE580=1,ROUND(SUMIFS('All Donations'!$S$2:$S$4001,'All Donations'!$R$2:$R$4001,AD580,'All Donations'!$T$2:$T$4001,"&lt;="&amp;'Settings'!$D$34),2),0)</f>
        <v/>
      </c>
    </row>
    <row r="581">
      <c r="A581">
        <f>IF(AE581=1,TRIM(TRIM('Roster'!B581)&amp;" "&amp;TRIM('Roster'!C581)),"")</f>
        <v/>
      </c>
      <c r="B581">
        <f>IF(AE581=1,IF(AN581="","(no teacher)",AN581&amp;" – "&amp;C581),"")</f>
        <v/>
      </c>
      <c r="C581">
        <f>IF(AE581=1,TRIM('Roster'!D581&amp;""),"")</f>
        <v/>
      </c>
      <c r="D581" s="48">
        <f>IF(AE581=1,ROUND(SUMIFS('All Donations'!$S$2:$S$4001,'All Donations'!$R$2:$R$4001,AD581),2),"")</f>
        <v/>
      </c>
      <c r="E581" s="48">
        <f>IF(AE581=1,ROUND(SUMIFS('All Donations'!$S$2:$S$4001,'All Donations'!$R$2:$R$4001,AD581,'All Donations'!$G$2:$G$4001,"OneCause"),2),"")</f>
        <v/>
      </c>
      <c r="F581" s="48">
        <f>IF(AE581=1,D581-E581,"")</f>
        <v/>
      </c>
      <c r="G581">
        <f>IF(AE581=1,COUNTIFS('All Donations'!$R$2:$R$4001,AD581,'All Donations'!$H$2:$H$4001,"OK"),"")</f>
        <v/>
      </c>
      <c r="H581">
        <f>IF(AE581&lt;&gt;1,"",IF(D581&gt;0,"Yes",""))</f>
        <v/>
      </c>
      <c r="I581" s="49">
        <f>IF(OR($AE581&lt;&gt;1,I$1=""),"",SUMIFS('All Donations'!$S$2:$S$4001,'All Donations'!$R$2:$R$4001,$AD581,'All Donations'!$T$2:$T$4001,I$1))</f>
        <v/>
      </c>
      <c r="J581" s="49">
        <f>IF(OR($AE581&lt;&gt;1,J$1=""),"",SUMIFS('All Donations'!$S$2:$S$4001,'All Donations'!$R$2:$R$4001,$AD581,'All Donations'!$T$2:$T$4001,J$1))</f>
        <v/>
      </c>
      <c r="K581" s="49">
        <f>IF(OR($AE581&lt;&gt;1,K$1=""),"",SUMIFS('All Donations'!$S$2:$S$4001,'All Donations'!$R$2:$R$4001,$AD581,'All Donations'!$T$2:$T$4001,K$1))</f>
        <v/>
      </c>
      <c r="L581" s="49">
        <f>IF(OR($AE581&lt;&gt;1,L$1=""),"",SUMIFS('All Donations'!$S$2:$S$4001,'All Donations'!$R$2:$R$4001,$AD581,'All Donations'!$T$2:$T$4001,L$1))</f>
        <v/>
      </c>
      <c r="M581" s="49">
        <f>IF(OR($AE581&lt;&gt;1,M$1=""),"",SUMIFS('All Donations'!$S$2:$S$4001,'All Donations'!$R$2:$R$4001,$AD581,'All Donations'!$T$2:$T$4001,M$1))</f>
        <v/>
      </c>
      <c r="N581" s="49">
        <f>IF(OR($AE581&lt;&gt;1,N$1=""),"",SUMIFS('All Donations'!$S$2:$S$4001,'All Donations'!$R$2:$R$4001,$AD581,'All Donations'!$T$2:$T$4001,N$1))</f>
        <v/>
      </c>
      <c r="O581" s="49">
        <f>IF(OR($AE581&lt;&gt;1,O$1=""),"",SUMIFS('All Donations'!$S$2:$S$4001,'All Donations'!$R$2:$R$4001,$AD581,'All Donations'!$T$2:$T$4001,O$1))</f>
        <v/>
      </c>
      <c r="P581" s="49">
        <f>IF(OR($AE581&lt;&gt;1,P$1=""),"",SUMIFS('All Donations'!$S$2:$S$4001,'All Donations'!$R$2:$R$4001,$AD581,'All Donations'!$T$2:$T$4001,P$1))</f>
        <v/>
      </c>
      <c r="Q581" s="49">
        <f>IF(OR($AE581&lt;&gt;1,Q$1=""),"",SUMIFS('All Donations'!$S$2:$S$4001,'All Donations'!$R$2:$R$4001,$AD581,'All Donations'!$T$2:$T$4001,Q$1))</f>
        <v/>
      </c>
      <c r="R581" s="49">
        <f>IF(OR($AE581&lt;&gt;1,R$1=""),"",SUMIFS('All Donations'!$S$2:$S$4001,'All Donations'!$R$2:$R$4001,$AD581,'All Donations'!$T$2:$T$4001,R$1))</f>
        <v/>
      </c>
      <c r="S581" s="49">
        <f>IF(OR($AE581&lt;&gt;1,S$1=""),"",SUMIFS('All Donations'!$S$2:$S$4001,'All Donations'!$R$2:$R$4001,$AD581,'All Donations'!$T$2:$T$4001,S$1))</f>
        <v/>
      </c>
      <c r="T581" s="49">
        <f>IF(OR($AE581&lt;&gt;1,T$1=""),"",SUMIFS('All Donations'!$S$2:$S$4001,'All Donations'!$R$2:$R$4001,$AD581,'All Donations'!$T$2:$T$4001,T$1))</f>
        <v/>
      </c>
      <c r="U581" s="49">
        <f>IF(OR($AE581&lt;&gt;1,U$1=""),"",SUMIFS('All Donations'!$S$2:$S$4001,'All Donations'!$R$2:$R$4001,$AD581,'All Donations'!$T$2:$T$4001,U$1))</f>
        <v/>
      </c>
      <c r="V581" s="49">
        <f>IF(OR($AE581&lt;&gt;1,V$1=""),"",SUMIFS('All Donations'!$S$2:$S$4001,'All Donations'!$R$2:$R$4001,$AD581,'All Donations'!$T$2:$T$4001,V$1))</f>
        <v/>
      </c>
      <c r="W581" s="49">
        <f>IF(OR($AE581&lt;&gt;1,W$1=""),"",SUMIFS('All Donations'!$S$2:$S$4001,'All Donations'!$R$2:$R$4001,$AD581,'All Donations'!$T$2:$T$4001,W$1))</f>
        <v/>
      </c>
      <c r="X581" s="49">
        <f>IF(OR($AE581&lt;&gt;1,X$1=""),"",SUMIFS('All Donations'!$S$2:$S$4001,'All Donations'!$R$2:$R$4001,$AD581,'All Donations'!$T$2:$T$4001,X$1))</f>
        <v/>
      </c>
      <c r="Y581" s="49">
        <f>IF(OR($AE581&lt;&gt;1,Y$1=""),"",SUMIFS('All Donations'!$S$2:$S$4001,'All Donations'!$R$2:$R$4001,$AD581,'All Donations'!$T$2:$T$4001,Y$1))</f>
        <v/>
      </c>
      <c r="Z581" s="49">
        <f>IF(OR($AE581&lt;&gt;1,Z$1=""),"",SUMIFS('All Donations'!$S$2:$S$4001,'All Donations'!$R$2:$R$4001,$AD581,'All Donations'!$T$2:$T$4001,Z$1))</f>
        <v/>
      </c>
      <c r="AA581" s="49">
        <f>IF(OR($AE581&lt;&gt;1,AA$1=""),"",SUMIFS('All Donations'!$S$2:$S$4001,'All Donations'!$R$2:$R$4001,$AD581,'All Donations'!$T$2:$T$4001,AA$1))</f>
        <v/>
      </c>
      <c r="AB581" s="49">
        <f>IF(OR($AE581&lt;&gt;1,AB$1=""),"",SUMIFS('All Donations'!$S$2:$S$4001,'All Donations'!$R$2:$R$4001,$AD581,'All Donations'!$T$2:$T$4001,AB$1))</f>
        <v/>
      </c>
      <c r="AC581" s="49">
        <f>IF(OR($AE581&lt;&gt;1,AC$1=""),"",SUMIFS('All Donations'!$S$2:$S$4001,'All Donations'!$R$2:$R$4001,$AD581,'All Donations'!$T$2:$T$4001,AC$1))</f>
        <v/>
      </c>
      <c r="AD581">
        <f>IF(AE581=1,'Roster'!A581,"")</f>
        <v/>
      </c>
      <c r="AE581">
        <f>IF(TRIM('Roster'!B581&amp;'Roster'!C581)&lt;&gt;"",1,0)</f>
        <v/>
      </c>
      <c r="AF581">
        <f>IF(AE581=1,LOWER(A581),"#")</f>
        <v/>
      </c>
      <c r="AG581">
        <f>IF(AE581=1,LOWER(TRIM(TRIM('Roster'!C581)&amp;", "&amp;TRIM('Roster'!B581))),"#")</f>
        <v/>
      </c>
      <c r="AH581">
        <f>IF(AND(AE581=1,TRIM('Roster'!F581)&lt;&gt;""),LOWER(TRIM('Roster'!F581)),"#")</f>
        <v/>
      </c>
      <c r="AI581">
        <f>IF(AE581=1,IF(MATCH(B581,$B$2:$B$701,0)=ROW()-1,1,0),0)</f>
        <v/>
      </c>
      <c r="AJ581">
        <f>AJ580+AI581</f>
        <v/>
      </c>
      <c r="AK581">
        <f>IF(AE581=1,D581+(1000-ROW())/10^7,-1)</f>
        <v/>
      </c>
      <c r="AL581">
        <f>IF(AE581=1,TRIM('Roster'!B581)&amp;" "&amp;LEFT(TRIM('Roster'!C581),1)&amp;".","")</f>
        <v/>
      </c>
      <c r="AM581">
        <f>IF(AE581=1,TRIM('Roster'!C581)&amp;", "&amp;TRIM('Roster'!B581)&amp;" ("&amp;B581&amp;") #"&amp;AD581,"")</f>
        <v/>
      </c>
      <c r="AN581">
        <f>IF(AE581=1,TRIM('Roster'!E581),"")</f>
        <v/>
      </c>
      <c r="AO581">
        <f>IF(AE581=1,ROUND(SUMIFS('All Donations'!$S$2:$S$4001,'All Donations'!$R$2:$R$4001,AD581,'All Donations'!$T$2:$T$4001,"&gt;="&amp;'Settings'!$C$23,'All Donations'!$T$2:$T$4001,"&lt;="&amp;'Settings'!$D$23),2),0)</f>
        <v/>
      </c>
      <c r="AQ581">
        <f>IF(AE581=1,ROUND(SUMIFS('All Donations'!$S$2:$S$4001,'All Donations'!$R$2:$R$4001,AD581,'All Donations'!$T$2:$T$4001,"&gt;="&amp;'Settings'!$C$25,'All Donations'!$T$2:$T$4001,"&lt;="&amp;'Settings'!$D$25),2),0)</f>
        <v/>
      </c>
      <c r="AR581">
        <f>IF(AE581=1,ROUND(SUMIFS('All Donations'!$S$2:$S$4001,'All Donations'!$R$2:$R$4001,AD581,'All Donations'!$T$2:$T$4001,"&gt;="&amp;'Settings'!$C$26,'All Donations'!$T$2:$T$4001,"&lt;="&amp;'Settings'!$D$26),2),0)</f>
        <v/>
      </c>
      <c r="AS581">
        <f>IF(AE581=1,ROUND(SUMIFS('All Donations'!$S$2:$S$4001,'All Donations'!$R$2:$R$4001,AD581,'All Donations'!$T$2:$T$4001,"&lt;="&amp;'Settings'!$D$27),2),0)</f>
        <v/>
      </c>
      <c r="AT581">
        <f>IF(AE581=1,ROUND(SUMIFS('All Donations'!$S$2:$S$4001,'All Donations'!$R$2:$R$4001,AD581,'All Donations'!$T$2:$T$4001,"&gt;="&amp;'Settings'!$C$28,'All Donations'!$T$2:$T$4001,"&lt;="&amp;'Settings'!$D$28),2),0)</f>
        <v/>
      </c>
      <c r="AU581">
        <f>IF(AE581=1,ROUND(SUMIFS('All Donations'!$S$2:$S$4001,'All Donations'!$R$2:$R$4001,AD581,'All Donations'!$T$2:$T$4001,"&gt;="&amp;'Settings'!$C$29,'All Donations'!$T$2:$T$4001,"&lt;="&amp;'Settings'!$D$29),2),0)</f>
        <v/>
      </c>
      <c r="AV581">
        <f>IF(AE581=1,ROUND(SUMIFS('All Donations'!$S$2:$S$4001,'All Donations'!$R$2:$R$4001,AD581,'All Donations'!$T$2:$T$4001,"&lt;="&amp;'Settings'!$D$30),2),0)</f>
        <v/>
      </c>
      <c r="AZ581">
        <f>IF(AE581=1,ROUND(SUMIFS('All Donations'!$S$2:$S$4001,'All Donations'!$R$2:$R$4001,AD581,'All Donations'!$T$2:$T$4001,"&lt;="&amp;'Settings'!$D$34),2),0)</f>
        <v/>
      </c>
    </row>
    <row r="582">
      <c r="A582">
        <f>IF(AE582=1,TRIM(TRIM('Roster'!B582)&amp;" "&amp;TRIM('Roster'!C582)),"")</f>
        <v/>
      </c>
      <c r="B582">
        <f>IF(AE582=1,IF(AN582="","(no teacher)",AN582&amp;" – "&amp;C582),"")</f>
        <v/>
      </c>
      <c r="C582">
        <f>IF(AE582=1,TRIM('Roster'!D582&amp;""),"")</f>
        <v/>
      </c>
      <c r="D582" s="48">
        <f>IF(AE582=1,ROUND(SUMIFS('All Donations'!$S$2:$S$4001,'All Donations'!$R$2:$R$4001,AD582),2),"")</f>
        <v/>
      </c>
      <c r="E582" s="48">
        <f>IF(AE582=1,ROUND(SUMIFS('All Donations'!$S$2:$S$4001,'All Donations'!$R$2:$R$4001,AD582,'All Donations'!$G$2:$G$4001,"OneCause"),2),"")</f>
        <v/>
      </c>
      <c r="F582" s="48">
        <f>IF(AE582=1,D582-E582,"")</f>
        <v/>
      </c>
      <c r="G582">
        <f>IF(AE582=1,COUNTIFS('All Donations'!$R$2:$R$4001,AD582,'All Donations'!$H$2:$H$4001,"OK"),"")</f>
        <v/>
      </c>
      <c r="H582">
        <f>IF(AE582&lt;&gt;1,"",IF(D582&gt;0,"Yes",""))</f>
        <v/>
      </c>
      <c r="I582" s="49">
        <f>IF(OR($AE582&lt;&gt;1,I$1=""),"",SUMIFS('All Donations'!$S$2:$S$4001,'All Donations'!$R$2:$R$4001,$AD582,'All Donations'!$T$2:$T$4001,I$1))</f>
        <v/>
      </c>
      <c r="J582" s="49">
        <f>IF(OR($AE582&lt;&gt;1,J$1=""),"",SUMIFS('All Donations'!$S$2:$S$4001,'All Donations'!$R$2:$R$4001,$AD582,'All Donations'!$T$2:$T$4001,J$1))</f>
        <v/>
      </c>
      <c r="K582" s="49">
        <f>IF(OR($AE582&lt;&gt;1,K$1=""),"",SUMIFS('All Donations'!$S$2:$S$4001,'All Donations'!$R$2:$R$4001,$AD582,'All Donations'!$T$2:$T$4001,K$1))</f>
        <v/>
      </c>
      <c r="L582" s="49">
        <f>IF(OR($AE582&lt;&gt;1,L$1=""),"",SUMIFS('All Donations'!$S$2:$S$4001,'All Donations'!$R$2:$R$4001,$AD582,'All Donations'!$T$2:$T$4001,L$1))</f>
        <v/>
      </c>
      <c r="M582" s="49">
        <f>IF(OR($AE582&lt;&gt;1,M$1=""),"",SUMIFS('All Donations'!$S$2:$S$4001,'All Donations'!$R$2:$R$4001,$AD582,'All Donations'!$T$2:$T$4001,M$1))</f>
        <v/>
      </c>
      <c r="N582" s="49">
        <f>IF(OR($AE582&lt;&gt;1,N$1=""),"",SUMIFS('All Donations'!$S$2:$S$4001,'All Donations'!$R$2:$R$4001,$AD582,'All Donations'!$T$2:$T$4001,N$1))</f>
        <v/>
      </c>
      <c r="O582" s="49">
        <f>IF(OR($AE582&lt;&gt;1,O$1=""),"",SUMIFS('All Donations'!$S$2:$S$4001,'All Donations'!$R$2:$R$4001,$AD582,'All Donations'!$T$2:$T$4001,O$1))</f>
        <v/>
      </c>
      <c r="P582" s="49">
        <f>IF(OR($AE582&lt;&gt;1,P$1=""),"",SUMIFS('All Donations'!$S$2:$S$4001,'All Donations'!$R$2:$R$4001,$AD582,'All Donations'!$T$2:$T$4001,P$1))</f>
        <v/>
      </c>
      <c r="Q582" s="49">
        <f>IF(OR($AE582&lt;&gt;1,Q$1=""),"",SUMIFS('All Donations'!$S$2:$S$4001,'All Donations'!$R$2:$R$4001,$AD582,'All Donations'!$T$2:$T$4001,Q$1))</f>
        <v/>
      </c>
      <c r="R582" s="49">
        <f>IF(OR($AE582&lt;&gt;1,R$1=""),"",SUMIFS('All Donations'!$S$2:$S$4001,'All Donations'!$R$2:$R$4001,$AD582,'All Donations'!$T$2:$T$4001,R$1))</f>
        <v/>
      </c>
      <c r="S582" s="49">
        <f>IF(OR($AE582&lt;&gt;1,S$1=""),"",SUMIFS('All Donations'!$S$2:$S$4001,'All Donations'!$R$2:$R$4001,$AD582,'All Donations'!$T$2:$T$4001,S$1))</f>
        <v/>
      </c>
      <c r="T582" s="49">
        <f>IF(OR($AE582&lt;&gt;1,T$1=""),"",SUMIFS('All Donations'!$S$2:$S$4001,'All Donations'!$R$2:$R$4001,$AD582,'All Donations'!$T$2:$T$4001,T$1))</f>
        <v/>
      </c>
      <c r="U582" s="49">
        <f>IF(OR($AE582&lt;&gt;1,U$1=""),"",SUMIFS('All Donations'!$S$2:$S$4001,'All Donations'!$R$2:$R$4001,$AD582,'All Donations'!$T$2:$T$4001,U$1))</f>
        <v/>
      </c>
      <c r="V582" s="49">
        <f>IF(OR($AE582&lt;&gt;1,V$1=""),"",SUMIFS('All Donations'!$S$2:$S$4001,'All Donations'!$R$2:$R$4001,$AD582,'All Donations'!$T$2:$T$4001,V$1))</f>
        <v/>
      </c>
      <c r="W582" s="49">
        <f>IF(OR($AE582&lt;&gt;1,W$1=""),"",SUMIFS('All Donations'!$S$2:$S$4001,'All Donations'!$R$2:$R$4001,$AD582,'All Donations'!$T$2:$T$4001,W$1))</f>
        <v/>
      </c>
      <c r="X582" s="49">
        <f>IF(OR($AE582&lt;&gt;1,X$1=""),"",SUMIFS('All Donations'!$S$2:$S$4001,'All Donations'!$R$2:$R$4001,$AD582,'All Donations'!$T$2:$T$4001,X$1))</f>
        <v/>
      </c>
      <c r="Y582" s="49">
        <f>IF(OR($AE582&lt;&gt;1,Y$1=""),"",SUMIFS('All Donations'!$S$2:$S$4001,'All Donations'!$R$2:$R$4001,$AD582,'All Donations'!$T$2:$T$4001,Y$1))</f>
        <v/>
      </c>
      <c r="Z582" s="49">
        <f>IF(OR($AE582&lt;&gt;1,Z$1=""),"",SUMIFS('All Donations'!$S$2:$S$4001,'All Donations'!$R$2:$R$4001,$AD582,'All Donations'!$T$2:$T$4001,Z$1))</f>
        <v/>
      </c>
      <c r="AA582" s="49">
        <f>IF(OR($AE582&lt;&gt;1,AA$1=""),"",SUMIFS('All Donations'!$S$2:$S$4001,'All Donations'!$R$2:$R$4001,$AD582,'All Donations'!$T$2:$T$4001,AA$1))</f>
        <v/>
      </c>
      <c r="AB582" s="49">
        <f>IF(OR($AE582&lt;&gt;1,AB$1=""),"",SUMIFS('All Donations'!$S$2:$S$4001,'All Donations'!$R$2:$R$4001,$AD582,'All Donations'!$T$2:$T$4001,AB$1))</f>
        <v/>
      </c>
      <c r="AC582" s="49">
        <f>IF(OR($AE582&lt;&gt;1,AC$1=""),"",SUMIFS('All Donations'!$S$2:$S$4001,'All Donations'!$R$2:$R$4001,$AD582,'All Donations'!$T$2:$T$4001,AC$1))</f>
        <v/>
      </c>
      <c r="AD582">
        <f>IF(AE582=1,'Roster'!A582,"")</f>
        <v/>
      </c>
      <c r="AE582">
        <f>IF(TRIM('Roster'!B582&amp;'Roster'!C582)&lt;&gt;"",1,0)</f>
        <v/>
      </c>
      <c r="AF582">
        <f>IF(AE582=1,LOWER(A582),"#")</f>
        <v/>
      </c>
      <c r="AG582">
        <f>IF(AE582=1,LOWER(TRIM(TRIM('Roster'!C582)&amp;", "&amp;TRIM('Roster'!B582))),"#")</f>
        <v/>
      </c>
      <c r="AH582">
        <f>IF(AND(AE582=1,TRIM('Roster'!F582)&lt;&gt;""),LOWER(TRIM('Roster'!F582)),"#")</f>
        <v/>
      </c>
      <c r="AI582">
        <f>IF(AE582=1,IF(MATCH(B582,$B$2:$B$701,0)=ROW()-1,1,0),0)</f>
        <v/>
      </c>
      <c r="AJ582">
        <f>AJ581+AI582</f>
        <v/>
      </c>
      <c r="AK582">
        <f>IF(AE582=1,D582+(1000-ROW())/10^7,-1)</f>
        <v/>
      </c>
      <c r="AL582">
        <f>IF(AE582=1,TRIM('Roster'!B582)&amp;" "&amp;LEFT(TRIM('Roster'!C582),1)&amp;".","")</f>
        <v/>
      </c>
      <c r="AM582">
        <f>IF(AE582=1,TRIM('Roster'!C582)&amp;", "&amp;TRIM('Roster'!B582)&amp;" ("&amp;B582&amp;") #"&amp;AD582,"")</f>
        <v/>
      </c>
      <c r="AN582">
        <f>IF(AE582=1,TRIM('Roster'!E582),"")</f>
        <v/>
      </c>
      <c r="AO582">
        <f>IF(AE582=1,ROUND(SUMIFS('All Donations'!$S$2:$S$4001,'All Donations'!$R$2:$R$4001,AD582,'All Donations'!$T$2:$T$4001,"&gt;="&amp;'Settings'!$C$23,'All Donations'!$T$2:$T$4001,"&lt;="&amp;'Settings'!$D$23),2),0)</f>
        <v/>
      </c>
      <c r="AQ582">
        <f>IF(AE582=1,ROUND(SUMIFS('All Donations'!$S$2:$S$4001,'All Donations'!$R$2:$R$4001,AD582,'All Donations'!$T$2:$T$4001,"&gt;="&amp;'Settings'!$C$25,'All Donations'!$T$2:$T$4001,"&lt;="&amp;'Settings'!$D$25),2),0)</f>
        <v/>
      </c>
      <c r="AR582">
        <f>IF(AE582=1,ROUND(SUMIFS('All Donations'!$S$2:$S$4001,'All Donations'!$R$2:$R$4001,AD582,'All Donations'!$T$2:$T$4001,"&gt;="&amp;'Settings'!$C$26,'All Donations'!$T$2:$T$4001,"&lt;="&amp;'Settings'!$D$26),2),0)</f>
        <v/>
      </c>
      <c r="AS582">
        <f>IF(AE582=1,ROUND(SUMIFS('All Donations'!$S$2:$S$4001,'All Donations'!$R$2:$R$4001,AD582,'All Donations'!$T$2:$T$4001,"&lt;="&amp;'Settings'!$D$27),2),0)</f>
        <v/>
      </c>
      <c r="AT582">
        <f>IF(AE582=1,ROUND(SUMIFS('All Donations'!$S$2:$S$4001,'All Donations'!$R$2:$R$4001,AD582,'All Donations'!$T$2:$T$4001,"&gt;="&amp;'Settings'!$C$28,'All Donations'!$T$2:$T$4001,"&lt;="&amp;'Settings'!$D$28),2),0)</f>
        <v/>
      </c>
      <c r="AU582">
        <f>IF(AE582=1,ROUND(SUMIFS('All Donations'!$S$2:$S$4001,'All Donations'!$R$2:$R$4001,AD582,'All Donations'!$T$2:$T$4001,"&gt;="&amp;'Settings'!$C$29,'All Donations'!$T$2:$T$4001,"&lt;="&amp;'Settings'!$D$29),2),0)</f>
        <v/>
      </c>
      <c r="AV582">
        <f>IF(AE582=1,ROUND(SUMIFS('All Donations'!$S$2:$S$4001,'All Donations'!$R$2:$R$4001,AD582,'All Donations'!$T$2:$T$4001,"&lt;="&amp;'Settings'!$D$30),2),0)</f>
        <v/>
      </c>
      <c r="AZ582">
        <f>IF(AE582=1,ROUND(SUMIFS('All Donations'!$S$2:$S$4001,'All Donations'!$R$2:$R$4001,AD582,'All Donations'!$T$2:$T$4001,"&lt;="&amp;'Settings'!$D$34),2),0)</f>
        <v/>
      </c>
    </row>
    <row r="583">
      <c r="A583">
        <f>IF(AE583=1,TRIM(TRIM('Roster'!B583)&amp;" "&amp;TRIM('Roster'!C583)),"")</f>
        <v/>
      </c>
      <c r="B583">
        <f>IF(AE583=1,IF(AN583="","(no teacher)",AN583&amp;" – "&amp;C583),"")</f>
        <v/>
      </c>
      <c r="C583">
        <f>IF(AE583=1,TRIM('Roster'!D583&amp;""),"")</f>
        <v/>
      </c>
      <c r="D583" s="48">
        <f>IF(AE583=1,ROUND(SUMIFS('All Donations'!$S$2:$S$4001,'All Donations'!$R$2:$R$4001,AD583),2),"")</f>
        <v/>
      </c>
      <c r="E583" s="48">
        <f>IF(AE583=1,ROUND(SUMIFS('All Donations'!$S$2:$S$4001,'All Donations'!$R$2:$R$4001,AD583,'All Donations'!$G$2:$G$4001,"OneCause"),2),"")</f>
        <v/>
      </c>
      <c r="F583" s="48">
        <f>IF(AE583=1,D583-E583,"")</f>
        <v/>
      </c>
      <c r="G583">
        <f>IF(AE583=1,COUNTIFS('All Donations'!$R$2:$R$4001,AD583,'All Donations'!$H$2:$H$4001,"OK"),"")</f>
        <v/>
      </c>
      <c r="H583">
        <f>IF(AE583&lt;&gt;1,"",IF(D583&gt;0,"Yes",""))</f>
        <v/>
      </c>
      <c r="I583" s="49">
        <f>IF(OR($AE583&lt;&gt;1,I$1=""),"",SUMIFS('All Donations'!$S$2:$S$4001,'All Donations'!$R$2:$R$4001,$AD583,'All Donations'!$T$2:$T$4001,I$1))</f>
        <v/>
      </c>
      <c r="J583" s="49">
        <f>IF(OR($AE583&lt;&gt;1,J$1=""),"",SUMIFS('All Donations'!$S$2:$S$4001,'All Donations'!$R$2:$R$4001,$AD583,'All Donations'!$T$2:$T$4001,J$1))</f>
        <v/>
      </c>
      <c r="K583" s="49">
        <f>IF(OR($AE583&lt;&gt;1,K$1=""),"",SUMIFS('All Donations'!$S$2:$S$4001,'All Donations'!$R$2:$R$4001,$AD583,'All Donations'!$T$2:$T$4001,K$1))</f>
        <v/>
      </c>
      <c r="L583" s="49">
        <f>IF(OR($AE583&lt;&gt;1,L$1=""),"",SUMIFS('All Donations'!$S$2:$S$4001,'All Donations'!$R$2:$R$4001,$AD583,'All Donations'!$T$2:$T$4001,L$1))</f>
        <v/>
      </c>
      <c r="M583" s="49">
        <f>IF(OR($AE583&lt;&gt;1,M$1=""),"",SUMIFS('All Donations'!$S$2:$S$4001,'All Donations'!$R$2:$R$4001,$AD583,'All Donations'!$T$2:$T$4001,M$1))</f>
        <v/>
      </c>
      <c r="N583" s="49">
        <f>IF(OR($AE583&lt;&gt;1,N$1=""),"",SUMIFS('All Donations'!$S$2:$S$4001,'All Donations'!$R$2:$R$4001,$AD583,'All Donations'!$T$2:$T$4001,N$1))</f>
        <v/>
      </c>
      <c r="O583" s="49">
        <f>IF(OR($AE583&lt;&gt;1,O$1=""),"",SUMIFS('All Donations'!$S$2:$S$4001,'All Donations'!$R$2:$R$4001,$AD583,'All Donations'!$T$2:$T$4001,O$1))</f>
        <v/>
      </c>
      <c r="P583" s="49">
        <f>IF(OR($AE583&lt;&gt;1,P$1=""),"",SUMIFS('All Donations'!$S$2:$S$4001,'All Donations'!$R$2:$R$4001,$AD583,'All Donations'!$T$2:$T$4001,P$1))</f>
        <v/>
      </c>
      <c r="Q583" s="49">
        <f>IF(OR($AE583&lt;&gt;1,Q$1=""),"",SUMIFS('All Donations'!$S$2:$S$4001,'All Donations'!$R$2:$R$4001,$AD583,'All Donations'!$T$2:$T$4001,Q$1))</f>
        <v/>
      </c>
      <c r="R583" s="49">
        <f>IF(OR($AE583&lt;&gt;1,R$1=""),"",SUMIFS('All Donations'!$S$2:$S$4001,'All Donations'!$R$2:$R$4001,$AD583,'All Donations'!$T$2:$T$4001,R$1))</f>
        <v/>
      </c>
      <c r="S583" s="49">
        <f>IF(OR($AE583&lt;&gt;1,S$1=""),"",SUMIFS('All Donations'!$S$2:$S$4001,'All Donations'!$R$2:$R$4001,$AD583,'All Donations'!$T$2:$T$4001,S$1))</f>
        <v/>
      </c>
      <c r="T583" s="49">
        <f>IF(OR($AE583&lt;&gt;1,T$1=""),"",SUMIFS('All Donations'!$S$2:$S$4001,'All Donations'!$R$2:$R$4001,$AD583,'All Donations'!$T$2:$T$4001,T$1))</f>
        <v/>
      </c>
      <c r="U583" s="49">
        <f>IF(OR($AE583&lt;&gt;1,U$1=""),"",SUMIFS('All Donations'!$S$2:$S$4001,'All Donations'!$R$2:$R$4001,$AD583,'All Donations'!$T$2:$T$4001,U$1))</f>
        <v/>
      </c>
      <c r="V583" s="49">
        <f>IF(OR($AE583&lt;&gt;1,V$1=""),"",SUMIFS('All Donations'!$S$2:$S$4001,'All Donations'!$R$2:$R$4001,$AD583,'All Donations'!$T$2:$T$4001,V$1))</f>
        <v/>
      </c>
      <c r="W583" s="49">
        <f>IF(OR($AE583&lt;&gt;1,W$1=""),"",SUMIFS('All Donations'!$S$2:$S$4001,'All Donations'!$R$2:$R$4001,$AD583,'All Donations'!$T$2:$T$4001,W$1))</f>
        <v/>
      </c>
      <c r="X583" s="49">
        <f>IF(OR($AE583&lt;&gt;1,X$1=""),"",SUMIFS('All Donations'!$S$2:$S$4001,'All Donations'!$R$2:$R$4001,$AD583,'All Donations'!$T$2:$T$4001,X$1))</f>
        <v/>
      </c>
      <c r="Y583" s="49">
        <f>IF(OR($AE583&lt;&gt;1,Y$1=""),"",SUMIFS('All Donations'!$S$2:$S$4001,'All Donations'!$R$2:$R$4001,$AD583,'All Donations'!$T$2:$T$4001,Y$1))</f>
        <v/>
      </c>
      <c r="Z583" s="49">
        <f>IF(OR($AE583&lt;&gt;1,Z$1=""),"",SUMIFS('All Donations'!$S$2:$S$4001,'All Donations'!$R$2:$R$4001,$AD583,'All Donations'!$T$2:$T$4001,Z$1))</f>
        <v/>
      </c>
      <c r="AA583" s="49">
        <f>IF(OR($AE583&lt;&gt;1,AA$1=""),"",SUMIFS('All Donations'!$S$2:$S$4001,'All Donations'!$R$2:$R$4001,$AD583,'All Donations'!$T$2:$T$4001,AA$1))</f>
        <v/>
      </c>
      <c r="AB583" s="49">
        <f>IF(OR($AE583&lt;&gt;1,AB$1=""),"",SUMIFS('All Donations'!$S$2:$S$4001,'All Donations'!$R$2:$R$4001,$AD583,'All Donations'!$T$2:$T$4001,AB$1))</f>
        <v/>
      </c>
      <c r="AC583" s="49">
        <f>IF(OR($AE583&lt;&gt;1,AC$1=""),"",SUMIFS('All Donations'!$S$2:$S$4001,'All Donations'!$R$2:$R$4001,$AD583,'All Donations'!$T$2:$T$4001,AC$1))</f>
        <v/>
      </c>
      <c r="AD583">
        <f>IF(AE583=1,'Roster'!A583,"")</f>
        <v/>
      </c>
      <c r="AE583">
        <f>IF(TRIM('Roster'!B583&amp;'Roster'!C583)&lt;&gt;"",1,0)</f>
        <v/>
      </c>
      <c r="AF583">
        <f>IF(AE583=1,LOWER(A583),"#")</f>
        <v/>
      </c>
      <c r="AG583">
        <f>IF(AE583=1,LOWER(TRIM(TRIM('Roster'!C583)&amp;", "&amp;TRIM('Roster'!B583))),"#")</f>
        <v/>
      </c>
      <c r="AH583">
        <f>IF(AND(AE583=1,TRIM('Roster'!F583)&lt;&gt;""),LOWER(TRIM('Roster'!F583)),"#")</f>
        <v/>
      </c>
      <c r="AI583">
        <f>IF(AE583=1,IF(MATCH(B583,$B$2:$B$701,0)=ROW()-1,1,0),0)</f>
        <v/>
      </c>
      <c r="AJ583">
        <f>AJ582+AI583</f>
        <v/>
      </c>
      <c r="AK583">
        <f>IF(AE583=1,D583+(1000-ROW())/10^7,-1)</f>
        <v/>
      </c>
      <c r="AL583">
        <f>IF(AE583=1,TRIM('Roster'!B583)&amp;" "&amp;LEFT(TRIM('Roster'!C583),1)&amp;".","")</f>
        <v/>
      </c>
      <c r="AM583">
        <f>IF(AE583=1,TRIM('Roster'!C583)&amp;", "&amp;TRIM('Roster'!B583)&amp;" ("&amp;B583&amp;") #"&amp;AD583,"")</f>
        <v/>
      </c>
      <c r="AN583">
        <f>IF(AE583=1,TRIM('Roster'!E583),"")</f>
        <v/>
      </c>
      <c r="AO583">
        <f>IF(AE583=1,ROUND(SUMIFS('All Donations'!$S$2:$S$4001,'All Donations'!$R$2:$R$4001,AD583,'All Donations'!$T$2:$T$4001,"&gt;="&amp;'Settings'!$C$23,'All Donations'!$T$2:$T$4001,"&lt;="&amp;'Settings'!$D$23),2),0)</f>
        <v/>
      </c>
      <c r="AQ583">
        <f>IF(AE583=1,ROUND(SUMIFS('All Donations'!$S$2:$S$4001,'All Donations'!$R$2:$R$4001,AD583,'All Donations'!$T$2:$T$4001,"&gt;="&amp;'Settings'!$C$25,'All Donations'!$T$2:$T$4001,"&lt;="&amp;'Settings'!$D$25),2),0)</f>
        <v/>
      </c>
      <c r="AR583">
        <f>IF(AE583=1,ROUND(SUMIFS('All Donations'!$S$2:$S$4001,'All Donations'!$R$2:$R$4001,AD583,'All Donations'!$T$2:$T$4001,"&gt;="&amp;'Settings'!$C$26,'All Donations'!$T$2:$T$4001,"&lt;="&amp;'Settings'!$D$26),2),0)</f>
        <v/>
      </c>
      <c r="AS583">
        <f>IF(AE583=1,ROUND(SUMIFS('All Donations'!$S$2:$S$4001,'All Donations'!$R$2:$R$4001,AD583,'All Donations'!$T$2:$T$4001,"&lt;="&amp;'Settings'!$D$27),2),0)</f>
        <v/>
      </c>
      <c r="AT583">
        <f>IF(AE583=1,ROUND(SUMIFS('All Donations'!$S$2:$S$4001,'All Donations'!$R$2:$R$4001,AD583,'All Donations'!$T$2:$T$4001,"&gt;="&amp;'Settings'!$C$28,'All Donations'!$T$2:$T$4001,"&lt;="&amp;'Settings'!$D$28),2),0)</f>
        <v/>
      </c>
      <c r="AU583">
        <f>IF(AE583=1,ROUND(SUMIFS('All Donations'!$S$2:$S$4001,'All Donations'!$R$2:$R$4001,AD583,'All Donations'!$T$2:$T$4001,"&gt;="&amp;'Settings'!$C$29,'All Donations'!$T$2:$T$4001,"&lt;="&amp;'Settings'!$D$29),2),0)</f>
        <v/>
      </c>
      <c r="AV583">
        <f>IF(AE583=1,ROUND(SUMIFS('All Donations'!$S$2:$S$4001,'All Donations'!$R$2:$R$4001,AD583,'All Donations'!$T$2:$T$4001,"&lt;="&amp;'Settings'!$D$30),2),0)</f>
        <v/>
      </c>
      <c r="AZ583">
        <f>IF(AE583=1,ROUND(SUMIFS('All Donations'!$S$2:$S$4001,'All Donations'!$R$2:$R$4001,AD583,'All Donations'!$T$2:$T$4001,"&lt;="&amp;'Settings'!$D$34),2),0)</f>
        <v/>
      </c>
    </row>
    <row r="584">
      <c r="A584">
        <f>IF(AE584=1,TRIM(TRIM('Roster'!B584)&amp;" "&amp;TRIM('Roster'!C584)),"")</f>
        <v/>
      </c>
      <c r="B584">
        <f>IF(AE584=1,IF(AN584="","(no teacher)",AN584&amp;" – "&amp;C584),"")</f>
        <v/>
      </c>
      <c r="C584">
        <f>IF(AE584=1,TRIM('Roster'!D584&amp;""),"")</f>
        <v/>
      </c>
      <c r="D584" s="48">
        <f>IF(AE584=1,ROUND(SUMIFS('All Donations'!$S$2:$S$4001,'All Donations'!$R$2:$R$4001,AD584),2),"")</f>
        <v/>
      </c>
      <c r="E584" s="48">
        <f>IF(AE584=1,ROUND(SUMIFS('All Donations'!$S$2:$S$4001,'All Donations'!$R$2:$R$4001,AD584,'All Donations'!$G$2:$G$4001,"OneCause"),2),"")</f>
        <v/>
      </c>
      <c r="F584" s="48">
        <f>IF(AE584=1,D584-E584,"")</f>
        <v/>
      </c>
      <c r="G584">
        <f>IF(AE584=1,COUNTIFS('All Donations'!$R$2:$R$4001,AD584,'All Donations'!$H$2:$H$4001,"OK"),"")</f>
        <v/>
      </c>
      <c r="H584">
        <f>IF(AE584&lt;&gt;1,"",IF(D584&gt;0,"Yes",""))</f>
        <v/>
      </c>
      <c r="I584" s="49">
        <f>IF(OR($AE584&lt;&gt;1,I$1=""),"",SUMIFS('All Donations'!$S$2:$S$4001,'All Donations'!$R$2:$R$4001,$AD584,'All Donations'!$T$2:$T$4001,I$1))</f>
        <v/>
      </c>
      <c r="J584" s="49">
        <f>IF(OR($AE584&lt;&gt;1,J$1=""),"",SUMIFS('All Donations'!$S$2:$S$4001,'All Donations'!$R$2:$R$4001,$AD584,'All Donations'!$T$2:$T$4001,J$1))</f>
        <v/>
      </c>
      <c r="K584" s="49">
        <f>IF(OR($AE584&lt;&gt;1,K$1=""),"",SUMIFS('All Donations'!$S$2:$S$4001,'All Donations'!$R$2:$R$4001,$AD584,'All Donations'!$T$2:$T$4001,K$1))</f>
        <v/>
      </c>
      <c r="L584" s="49">
        <f>IF(OR($AE584&lt;&gt;1,L$1=""),"",SUMIFS('All Donations'!$S$2:$S$4001,'All Donations'!$R$2:$R$4001,$AD584,'All Donations'!$T$2:$T$4001,L$1))</f>
        <v/>
      </c>
      <c r="M584" s="49">
        <f>IF(OR($AE584&lt;&gt;1,M$1=""),"",SUMIFS('All Donations'!$S$2:$S$4001,'All Donations'!$R$2:$R$4001,$AD584,'All Donations'!$T$2:$T$4001,M$1))</f>
        <v/>
      </c>
      <c r="N584" s="49">
        <f>IF(OR($AE584&lt;&gt;1,N$1=""),"",SUMIFS('All Donations'!$S$2:$S$4001,'All Donations'!$R$2:$R$4001,$AD584,'All Donations'!$T$2:$T$4001,N$1))</f>
        <v/>
      </c>
      <c r="O584" s="49">
        <f>IF(OR($AE584&lt;&gt;1,O$1=""),"",SUMIFS('All Donations'!$S$2:$S$4001,'All Donations'!$R$2:$R$4001,$AD584,'All Donations'!$T$2:$T$4001,O$1))</f>
        <v/>
      </c>
      <c r="P584" s="49">
        <f>IF(OR($AE584&lt;&gt;1,P$1=""),"",SUMIFS('All Donations'!$S$2:$S$4001,'All Donations'!$R$2:$R$4001,$AD584,'All Donations'!$T$2:$T$4001,P$1))</f>
        <v/>
      </c>
      <c r="Q584" s="49">
        <f>IF(OR($AE584&lt;&gt;1,Q$1=""),"",SUMIFS('All Donations'!$S$2:$S$4001,'All Donations'!$R$2:$R$4001,$AD584,'All Donations'!$T$2:$T$4001,Q$1))</f>
        <v/>
      </c>
      <c r="R584" s="49">
        <f>IF(OR($AE584&lt;&gt;1,R$1=""),"",SUMIFS('All Donations'!$S$2:$S$4001,'All Donations'!$R$2:$R$4001,$AD584,'All Donations'!$T$2:$T$4001,R$1))</f>
        <v/>
      </c>
      <c r="S584" s="49">
        <f>IF(OR($AE584&lt;&gt;1,S$1=""),"",SUMIFS('All Donations'!$S$2:$S$4001,'All Donations'!$R$2:$R$4001,$AD584,'All Donations'!$T$2:$T$4001,S$1))</f>
        <v/>
      </c>
      <c r="T584" s="49">
        <f>IF(OR($AE584&lt;&gt;1,T$1=""),"",SUMIFS('All Donations'!$S$2:$S$4001,'All Donations'!$R$2:$R$4001,$AD584,'All Donations'!$T$2:$T$4001,T$1))</f>
        <v/>
      </c>
      <c r="U584" s="49">
        <f>IF(OR($AE584&lt;&gt;1,U$1=""),"",SUMIFS('All Donations'!$S$2:$S$4001,'All Donations'!$R$2:$R$4001,$AD584,'All Donations'!$T$2:$T$4001,U$1))</f>
        <v/>
      </c>
      <c r="V584" s="49">
        <f>IF(OR($AE584&lt;&gt;1,V$1=""),"",SUMIFS('All Donations'!$S$2:$S$4001,'All Donations'!$R$2:$R$4001,$AD584,'All Donations'!$T$2:$T$4001,V$1))</f>
        <v/>
      </c>
      <c r="W584" s="49">
        <f>IF(OR($AE584&lt;&gt;1,W$1=""),"",SUMIFS('All Donations'!$S$2:$S$4001,'All Donations'!$R$2:$R$4001,$AD584,'All Donations'!$T$2:$T$4001,W$1))</f>
        <v/>
      </c>
      <c r="X584" s="49">
        <f>IF(OR($AE584&lt;&gt;1,X$1=""),"",SUMIFS('All Donations'!$S$2:$S$4001,'All Donations'!$R$2:$R$4001,$AD584,'All Donations'!$T$2:$T$4001,X$1))</f>
        <v/>
      </c>
      <c r="Y584" s="49">
        <f>IF(OR($AE584&lt;&gt;1,Y$1=""),"",SUMIFS('All Donations'!$S$2:$S$4001,'All Donations'!$R$2:$R$4001,$AD584,'All Donations'!$T$2:$T$4001,Y$1))</f>
        <v/>
      </c>
      <c r="Z584" s="49">
        <f>IF(OR($AE584&lt;&gt;1,Z$1=""),"",SUMIFS('All Donations'!$S$2:$S$4001,'All Donations'!$R$2:$R$4001,$AD584,'All Donations'!$T$2:$T$4001,Z$1))</f>
        <v/>
      </c>
      <c r="AA584" s="49">
        <f>IF(OR($AE584&lt;&gt;1,AA$1=""),"",SUMIFS('All Donations'!$S$2:$S$4001,'All Donations'!$R$2:$R$4001,$AD584,'All Donations'!$T$2:$T$4001,AA$1))</f>
        <v/>
      </c>
      <c r="AB584" s="49">
        <f>IF(OR($AE584&lt;&gt;1,AB$1=""),"",SUMIFS('All Donations'!$S$2:$S$4001,'All Donations'!$R$2:$R$4001,$AD584,'All Donations'!$T$2:$T$4001,AB$1))</f>
        <v/>
      </c>
      <c r="AC584" s="49">
        <f>IF(OR($AE584&lt;&gt;1,AC$1=""),"",SUMIFS('All Donations'!$S$2:$S$4001,'All Donations'!$R$2:$R$4001,$AD584,'All Donations'!$T$2:$T$4001,AC$1))</f>
        <v/>
      </c>
      <c r="AD584">
        <f>IF(AE584=1,'Roster'!A584,"")</f>
        <v/>
      </c>
      <c r="AE584">
        <f>IF(TRIM('Roster'!B584&amp;'Roster'!C584)&lt;&gt;"",1,0)</f>
        <v/>
      </c>
      <c r="AF584">
        <f>IF(AE584=1,LOWER(A584),"#")</f>
        <v/>
      </c>
      <c r="AG584">
        <f>IF(AE584=1,LOWER(TRIM(TRIM('Roster'!C584)&amp;", "&amp;TRIM('Roster'!B584))),"#")</f>
        <v/>
      </c>
      <c r="AH584">
        <f>IF(AND(AE584=1,TRIM('Roster'!F584)&lt;&gt;""),LOWER(TRIM('Roster'!F584)),"#")</f>
        <v/>
      </c>
      <c r="AI584">
        <f>IF(AE584=1,IF(MATCH(B584,$B$2:$B$701,0)=ROW()-1,1,0),0)</f>
        <v/>
      </c>
      <c r="AJ584">
        <f>AJ583+AI584</f>
        <v/>
      </c>
      <c r="AK584">
        <f>IF(AE584=1,D584+(1000-ROW())/10^7,-1)</f>
        <v/>
      </c>
      <c r="AL584">
        <f>IF(AE584=1,TRIM('Roster'!B584)&amp;" "&amp;LEFT(TRIM('Roster'!C584),1)&amp;".","")</f>
        <v/>
      </c>
      <c r="AM584">
        <f>IF(AE584=1,TRIM('Roster'!C584)&amp;", "&amp;TRIM('Roster'!B584)&amp;" ("&amp;B584&amp;") #"&amp;AD584,"")</f>
        <v/>
      </c>
      <c r="AN584">
        <f>IF(AE584=1,TRIM('Roster'!E584),"")</f>
        <v/>
      </c>
      <c r="AO584">
        <f>IF(AE584=1,ROUND(SUMIFS('All Donations'!$S$2:$S$4001,'All Donations'!$R$2:$R$4001,AD584,'All Donations'!$T$2:$T$4001,"&gt;="&amp;'Settings'!$C$23,'All Donations'!$T$2:$T$4001,"&lt;="&amp;'Settings'!$D$23),2),0)</f>
        <v/>
      </c>
      <c r="AQ584">
        <f>IF(AE584=1,ROUND(SUMIFS('All Donations'!$S$2:$S$4001,'All Donations'!$R$2:$R$4001,AD584,'All Donations'!$T$2:$T$4001,"&gt;="&amp;'Settings'!$C$25,'All Donations'!$T$2:$T$4001,"&lt;="&amp;'Settings'!$D$25),2),0)</f>
        <v/>
      </c>
      <c r="AR584">
        <f>IF(AE584=1,ROUND(SUMIFS('All Donations'!$S$2:$S$4001,'All Donations'!$R$2:$R$4001,AD584,'All Donations'!$T$2:$T$4001,"&gt;="&amp;'Settings'!$C$26,'All Donations'!$T$2:$T$4001,"&lt;="&amp;'Settings'!$D$26),2),0)</f>
        <v/>
      </c>
      <c r="AS584">
        <f>IF(AE584=1,ROUND(SUMIFS('All Donations'!$S$2:$S$4001,'All Donations'!$R$2:$R$4001,AD584,'All Donations'!$T$2:$T$4001,"&lt;="&amp;'Settings'!$D$27),2),0)</f>
        <v/>
      </c>
      <c r="AT584">
        <f>IF(AE584=1,ROUND(SUMIFS('All Donations'!$S$2:$S$4001,'All Donations'!$R$2:$R$4001,AD584,'All Donations'!$T$2:$T$4001,"&gt;="&amp;'Settings'!$C$28,'All Donations'!$T$2:$T$4001,"&lt;="&amp;'Settings'!$D$28),2),0)</f>
        <v/>
      </c>
      <c r="AU584">
        <f>IF(AE584=1,ROUND(SUMIFS('All Donations'!$S$2:$S$4001,'All Donations'!$R$2:$R$4001,AD584,'All Donations'!$T$2:$T$4001,"&gt;="&amp;'Settings'!$C$29,'All Donations'!$T$2:$T$4001,"&lt;="&amp;'Settings'!$D$29),2),0)</f>
        <v/>
      </c>
      <c r="AV584">
        <f>IF(AE584=1,ROUND(SUMIFS('All Donations'!$S$2:$S$4001,'All Donations'!$R$2:$R$4001,AD584,'All Donations'!$T$2:$T$4001,"&lt;="&amp;'Settings'!$D$30),2),0)</f>
        <v/>
      </c>
      <c r="AZ584">
        <f>IF(AE584=1,ROUND(SUMIFS('All Donations'!$S$2:$S$4001,'All Donations'!$R$2:$R$4001,AD584,'All Donations'!$T$2:$T$4001,"&lt;="&amp;'Settings'!$D$34),2),0)</f>
        <v/>
      </c>
    </row>
    <row r="585">
      <c r="A585">
        <f>IF(AE585=1,TRIM(TRIM('Roster'!B585)&amp;" "&amp;TRIM('Roster'!C585)),"")</f>
        <v/>
      </c>
      <c r="B585">
        <f>IF(AE585=1,IF(AN585="","(no teacher)",AN585&amp;" – "&amp;C585),"")</f>
        <v/>
      </c>
      <c r="C585">
        <f>IF(AE585=1,TRIM('Roster'!D585&amp;""),"")</f>
        <v/>
      </c>
      <c r="D585" s="48">
        <f>IF(AE585=1,ROUND(SUMIFS('All Donations'!$S$2:$S$4001,'All Donations'!$R$2:$R$4001,AD585),2),"")</f>
        <v/>
      </c>
      <c r="E585" s="48">
        <f>IF(AE585=1,ROUND(SUMIFS('All Donations'!$S$2:$S$4001,'All Donations'!$R$2:$R$4001,AD585,'All Donations'!$G$2:$G$4001,"OneCause"),2),"")</f>
        <v/>
      </c>
      <c r="F585" s="48">
        <f>IF(AE585=1,D585-E585,"")</f>
        <v/>
      </c>
      <c r="G585">
        <f>IF(AE585=1,COUNTIFS('All Donations'!$R$2:$R$4001,AD585,'All Donations'!$H$2:$H$4001,"OK"),"")</f>
        <v/>
      </c>
      <c r="H585">
        <f>IF(AE585&lt;&gt;1,"",IF(D585&gt;0,"Yes",""))</f>
        <v/>
      </c>
      <c r="I585" s="49">
        <f>IF(OR($AE585&lt;&gt;1,I$1=""),"",SUMIFS('All Donations'!$S$2:$S$4001,'All Donations'!$R$2:$R$4001,$AD585,'All Donations'!$T$2:$T$4001,I$1))</f>
        <v/>
      </c>
      <c r="J585" s="49">
        <f>IF(OR($AE585&lt;&gt;1,J$1=""),"",SUMIFS('All Donations'!$S$2:$S$4001,'All Donations'!$R$2:$R$4001,$AD585,'All Donations'!$T$2:$T$4001,J$1))</f>
        <v/>
      </c>
      <c r="K585" s="49">
        <f>IF(OR($AE585&lt;&gt;1,K$1=""),"",SUMIFS('All Donations'!$S$2:$S$4001,'All Donations'!$R$2:$R$4001,$AD585,'All Donations'!$T$2:$T$4001,K$1))</f>
        <v/>
      </c>
      <c r="L585" s="49">
        <f>IF(OR($AE585&lt;&gt;1,L$1=""),"",SUMIFS('All Donations'!$S$2:$S$4001,'All Donations'!$R$2:$R$4001,$AD585,'All Donations'!$T$2:$T$4001,L$1))</f>
        <v/>
      </c>
      <c r="M585" s="49">
        <f>IF(OR($AE585&lt;&gt;1,M$1=""),"",SUMIFS('All Donations'!$S$2:$S$4001,'All Donations'!$R$2:$R$4001,$AD585,'All Donations'!$T$2:$T$4001,M$1))</f>
        <v/>
      </c>
      <c r="N585" s="49">
        <f>IF(OR($AE585&lt;&gt;1,N$1=""),"",SUMIFS('All Donations'!$S$2:$S$4001,'All Donations'!$R$2:$R$4001,$AD585,'All Donations'!$T$2:$T$4001,N$1))</f>
        <v/>
      </c>
      <c r="O585" s="49">
        <f>IF(OR($AE585&lt;&gt;1,O$1=""),"",SUMIFS('All Donations'!$S$2:$S$4001,'All Donations'!$R$2:$R$4001,$AD585,'All Donations'!$T$2:$T$4001,O$1))</f>
        <v/>
      </c>
      <c r="P585" s="49">
        <f>IF(OR($AE585&lt;&gt;1,P$1=""),"",SUMIFS('All Donations'!$S$2:$S$4001,'All Donations'!$R$2:$R$4001,$AD585,'All Donations'!$T$2:$T$4001,P$1))</f>
        <v/>
      </c>
      <c r="Q585" s="49">
        <f>IF(OR($AE585&lt;&gt;1,Q$1=""),"",SUMIFS('All Donations'!$S$2:$S$4001,'All Donations'!$R$2:$R$4001,$AD585,'All Donations'!$T$2:$T$4001,Q$1))</f>
        <v/>
      </c>
      <c r="R585" s="49">
        <f>IF(OR($AE585&lt;&gt;1,R$1=""),"",SUMIFS('All Donations'!$S$2:$S$4001,'All Donations'!$R$2:$R$4001,$AD585,'All Donations'!$T$2:$T$4001,R$1))</f>
        <v/>
      </c>
      <c r="S585" s="49">
        <f>IF(OR($AE585&lt;&gt;1,S$1=""),"",SUMIFS('All Donations'!$S$2:$S$4001,'All Donations'!$R$2:$R$4001,$AD585,'All Donations'!$T$2:$T$4001,S$1))</f>
        <v/>
      </c>
      <c r="T585" s="49">
        <f>IF(OR($AE585&lt;&gt;1,T$1=""),"",SUMIFS('All Donations'!$S$2:$S$4001,'All Donations'!$R$2:$R$4001,$AD585,'All Donations'!$T$2:$T$4001,T$1))</f>
        <v/>
      </c>
      <c r="U585" s="49">
        <f>IF(OR($AE585&lt;&gt;1,U$1=""),"",SUMIFS('All Donations'!$S$2:$S$4001,'All Donations'!$R$2:$R$4001,$AD585,'All Donations'!$T$2:$T$4001,U$1))</f>
        <v/>
      </c>
      <c r="V585" s="49">
        <f>IF(OR($AE585&lt;&gt;1,V$1=""),"",SUMIFS('All Donations'!$S$2:$S$4001,'All Donations'!$R$2:$R$4001,$AD585,'All Donations'!$T$2:$T$4001,V$1))</f>
        <v/>
      </c>
      <c r="W585" s="49">
        <f>IF(OR($AE585&lt;&gt;1,W$1=""),"",SUMIFS('All Donations'!$S$2:$S$4001,'All Donations'!$R$2:$R$4001,$AD585,'All Donations'!$T$2:$T$4001,W$1))</f>
        <v/>
      </c>
      <c r="X585" s="49">
        <f>IF(OR($AE585&lt;&gt;1,X$1=""),"",SUMIFS('All Donations'!$S$2:$S$4001,'All Donations'!$R$2:$R$4001,$AD585,'All Donations'!$T$2:$T$4001,X$1))</f>
        <v/>
      </c>
      <c r="Y585" s="49">
        <f>IF(OR($AE585&lt;&gt;1,Y$1=""),"",SUMIFS('All Donations'!$S$2:$S$4001,'All Donations'!$R$2:$R$4001,$AD585,'All Donations'!$T$2:$T$4001,Y$1))</f>
        <v/>
      </c>
      <c r="Z585" s="49">
        <f>IF(OR($AE585&lt;&gt;1,Z$1=""),"",SUMIFS('All Donations'!$S$2:$S$4001,'All Donations'!$R$2:$R$4001,$AD585,'All Donations'!$T$2:$T$4001,Z$1))</f>
        <v/>
      </c>
      <c r="AA585" s="49">
        <f>IF(OR($AE585&lt;&gt;1,AA$1=""),"",SUMIFS('All Donations'!$S$2:$S$4001,'All Donations'!$R$2:$R$4001,$AD585,'All Donations'!$T$2:$T$4001,AA$1))</f>
        <v/>
      </c>
      <c r="AB585" s="49">
        <f>IF(OR($AE585&lt;&gt;1,AB$1=""),"",SUMIFS('All Donations'!$S$2:$S$4001,'All Donations'!$R$2:$R$4001,$AD585,'All Donations'!$T$2:$T$4001,AB$1))</f>
        <v/>
      </c>
      <c r="AC585" s="49">
        <f>IF(OR($AE585&lt;&gt;1,AC$1=""),"",SUMIFS('All Donations'!$S$2:$S$4001,'All Donations'!$R$2:$R$4001,$AD585,'All Donations'!$T$2:$T$4001,AC$1))</f>
        <v/>
      </c>
      <c r="AD585">
        <f>IF(AE585=1,'Roster'!A585,"")</f>
        <v/>
      </c>
      <c r="AE585">
        <f>IF(TRIM('Roster'!B585&amp;'Roster'!C585)&lt;&gt;"",1,0)</f>
        <v/>
      </c>
      <c r="AF585">
        <f>IF(AE585=1,LOWER(A585),"#")</f>
        <v/>
      </c>
      <c r="AG585">
        <f>IF(AE585=1,LOWER(TRIM(TRIM('Roster'!C585)&amp;", "&amp;TRIM('Roster'!B585))),"#")</f>
        <v/>
      </c>
      <c r="AH585">
        <f>IF(AND(AE585=1,TRIM('Roster'!F585)&lt;&gt;""),LOWER(TRIM('Roster'!F585)),"#")</f>
        <v/>
      </c>
      <c r="AI585">
        <f>IF(AE585=1,IF(MATCH(B585,$B$2:$B$701,0)=ROW()-1,1,0),0)</f>
        <v/>
      </c>
      <c r="AJ585">
        <f>AJ584+AI585</f>
        <v/>
      </c>
      <c r="AK585">
        <f>IF(AE585=1,D585+(1000-ROW())/10^7,-1)</f>
        <v/>
      </c>
      <c r="AL585">
        <f>IF(AE585=1,TRIM('Roster'!B585)&amp;" "&amp;LEFT(TRIM('Roster'!C585),1)&amp;".","")</f>
        <v/>
      </c>
      <c r="AM585">
        <f>IF(AE585=1,TRIM('Roster'!C585)&amp;", "&amp;TRIM('Roster'!B585)&amp;" ("&amp;B585&amp;") #"&amp;AD585,"")</f>
        <v/>
      </c>
      <c r="AN585">
        <f>IF(AE585=1,TRIM('Roster'!E585),"")</f>
        <v/>
      </c>
      <c r="AO585">
        <f>IF(AE585=1,ROUND(SUMIFS('All Donations'!$S$2:$S$4001,'All Donations'!$R$2:$R$4001,AD585,'All Donations'!$T$2:$T$4001,"&gt;="&amp;'Settings'!$C$23,'All Donations'!$T$2:$T$4001,"&lt;="&amp;'Settings'!$D$23),2),0)</f>
        <v/>
      </c>
      <c r="AQ585">
        <f>IF(AE585=1,ROUND(SUMIFS('All Donations'!$S$2:$S$4001,'All Donations'!$R$2:$R$4001,AD585,'All Donations'!$T$2:$T$4001,"&gt;="&amp;'Settings'!$C$25,'All Donations'!$T$2:$T$4001,"&lt;="&amp;'Settings'!$D$25),2),0)</f>
        <v/>
      </c>
      <c r="AR585">
        <f>IF(AE585=1,ROUND(SUMIFS('All Donations'!$S$2:$S$4001,'All Donations'!$R$2:$R$4001,AD585,'All Donations'!$T$2:$T$4001,"&gt;="&amp;'Settings'!$C$26,'All Donations'!$T$2:$T$4001,"&lt;="&amp;'Settings'!$D$26),2),0)</f>
        <v/>
      </c>
      <c r="AS585">
        <f>IF(AE585=1,ROUND(SUMIFS('All Donations'!$S$2:$S$4001,'All Donations'!$R$2:$R$4001,AD585,'All Donations'!$T$2:$T$4001,"&lt;="&amp;'Settings'!$D$27),2),0)</f>
        <v/>
      </c>
      <c r="AT585">
        <f>IF(AE585=1,ROUND(SUMIFS('All Donations'!$S$2:$S$4001,'All Donations'!$R$2:$R$4001,AD585,'All Donations'!$T$2:$T$4001,"&gt;="&amp;'Settings'!$C$28,'All Donations'!$T$2:$T$4001,"&lt;="&amp;'Settings'!$D$28),2),0)</f>
        <v/>
      </c>
      <c r="AU585">
        <f>IF(AE585=1,ROUND(SUMIFS('All Donations'!$S$2:$S$4001,'All Donations'!$R$2:$R$4001,AD585,'All Donations'!$T$2:$T$4001,"&gt;="&amp;'Settings'!$C$29,'All Donations'!$T$2:$T$4001,"&lt;="&amp;'Settings'!$D$29),2),0)</f>
        <v/>
      </c>
      <c r="AV585">
        <f>IF(AE585=1,ROUND(SUMIFS('All Donations'!$S$2:$S$4001,'All Donations'!$R$2:$R$4001,AD585,'All Donations'!$T$2:$T$4001,"&lt;="&amp;'Settings'!$D$30),2),0)</f>
        <v/>
      </c>
      <c r="AZ585">
        <f>IF(AE585=1,ROUND(SUMIFS('All Donations'!$S$2:$S$4001,'All Donations'!$R$2:$R$4001,AD585,'All Donations'!$T$2:$T$4001,"&lt;="&amp;'Settings'!$D$34),2),0)</f>
        <v/>
      </c>
    </row>
    <row r="586">
      <c r="A586">
        <f>IF(AE586=1,TRIM(TRIM('Roster'!B586)&amp;" "&amp;TRIM('Roster'!C586)),"")</f>
        <v/>
      </c>
      <c r="B586">
        <f>IF(AE586=1,IF(AN586="","(no teacher)",AN586&amp;" – "&amp;C586),"")</f>
        <v/>
      </c>
      <c r="C586">
        <f>IF(AE586=1,TRIM('Roster'!D586&amp;""),"")</f>
        <v/>
      </c>
      <c r="D586" s="48">
        <f>IF(AE586=1,ROUND(SUMIFS('All Donations'!$S$2:$S$4001,'All Donations'!$R$2:$R$4001,AD586),2),"")</f>
        <v/>
      </c>
      <c r="E586" s="48">
        <f>IF(AE586=1,ROUND(SUMIFS('All Donations'!$S$2:$S$4001,'All Donations'!$R$2:$R$4001,AD586,'All Donations'!$G$2:$G$4001,"OneCause"),2),"")</f>
        <v/>
      </c>
      <c r="F586" s="48">
        <f>IF(AE586=1,D586-E586,"")</f>
        <v/>
      </c>
      <c r="G586">
        <f>IF(AE586=1,COUNTIFS('All Donations'!$R$2:$R$4001,AD586,'All Donations'!$H$2:$H$4001,"OK"),"")</f>
        <v/>
      </c>
      <c r="H586">
        <f>IF(AE586&lt;&gt;1,"",IF(D586&gt;0,"Yes",""))</f>
        <v/>
      </c>
      <c r="I586" s="49">
        <f>IF(OR($AE586&lt;&gt;1,I$1=""),"",SUMIFS('All Donations'!$S$2:$S$4001,'All Donations'!$R$2:$R$4001,$AD586,'All Donations'!$T$2:$T$4001,I$1))</f>
        <v/>
      </c>
      <c r="J586" s="49">
        <f>IF(OR($AE586&lt;&gt;1,J$1=""),"",SUMIFS('All Donations'!$S$2:$S$4001,'All Donations'!$R$2:$R$4001,$AD586,'All Donations'!$T$2:$T$4001,J$1))</f>
        <v/>
      </c>
      <c r="K586" s="49">
        <f>IF(OR($AE586&lt;&gt;1,K$1=""),"",SUMIFS('All Donations'!$S$2:$S$4001,'All Donations'!$R$2:$R$4001,$AD586,'All Donations'!$T$2:$T$4001,K$1))</f>
        <v/>
      </c>
      <c r="L586" s="49">
        <f>IF(OR($AE586&lt;&gt;1,L$1=""),"",SUMIFS('All Donations'!$S$2:$S$4001,'All Donations'!$R$2:$R$4001,$AD586,'All Donations'!$T$2:$T$4001,L$1))</f>
        <v/>
      </c>
      <c r="M586" s="49">
        <f>IF(OR($AE586&lt;&gt;1,M$1=""),"",SUMIFS('All Donations'!$S$2:$S$4001,'All Donations'!$R$2:$R$4001,$AD586,'All Donations'!$T$2:$T$4001,M$1))</f>
        <v/>
      </c>
      <c r="N586" s="49">
        <f>IF(OR($AE586&lt;&gt;1,N$1=""),"",SUMIFS('All Donations'!$S$2:$S$4001,'All Donations'!$R$2:$R$4001,$AD586,'All Donations'!$T$2:$T$4001,N$1))</f>
        <v/>
      </c>
      <c r="O586" s="49">
        <f>IF(OR($AE586&lt;&gt;1,O$1=""),"",SUMIFS('All Donations'!$S$2:$S$4001,'All Donations'!$R$2:$R$4001,$AD586,'All Donations'!$T$2:$T$4001,O$1))</f>
        <v/>
      </c>
      <c r="P586" s="49">
        <f>IF(OR($AE586&lt;&gt;1,P$1=""),"",SUMIFS('All Donations'!$S$2:$S$4001,'All Donations'!$R$2:$R$4001,$AD586,'All Donations'!$T$2:$T$4001,P$1))</f>
        <v/>
      </c>
      <c r="Q586" s="49">
        <f>IF(OR($AE586&lt;&gt;1,Q$1=""),"",SUMIFS('All Donations'!$S$2:$S$4001,'All Donations'!$R$2:$R$4001,$AD586,'All Donations'!$T$2:$T$4001,Q$1))</f>
        <v/>
      </c>
      <c r="R586" s="49">
        <f>IF(OR($AE586&lt;&gt;1,R$1=""),"",SUMIFS('All Donations'!$S$2:$S$4001,'All Donations'!$R$2:$R$4001,$AD586,'All Donations'!$T$2:$T$4001,R$1))</f>
        <v/>
      </c>
      <c r="S586" s="49">
        <f>IF(OR($AE586&lt;&gt;1,S$1=""),"",SUMIFS('All Donations'!$S$2:$S$4001,'All Donations'!$R$2:$R$4001,$AD586,'All Donations'!$T$2:$T$4001,S$1))</f>
        <v/>
      </c>
      <c r="T586" s="49">
        <f>IF(OR($AE586&lt;&gt;1,T$1=""),"",SUMIFS('All Donations'!$S$2:$S$4001,'All Donations'!$R$2:$R$4001,$AD586,'All Donations'!$T$2:$T$4001,T$1))</f>
        <v/>
      </c>
      <c r="U586" s="49">
        <f>IF(OR($AE586&lt;&gt;1,U$1=""),"",SUMIFS('All Donations'!$S$2:$S$4001,'All Donations'!$R$2:$R$4001,$AD586,'All Donations'!$T$2:$T$4001,U$1))</f>
        <v/>
      </c>
      <c r="V586" s="49">
        <f>IF(OR($AE586&lt;&gt;1,V$1=""),"",SUMIFS('All Donations'!$S$2:$S$4001,'All Donations'!$R$2:$R$4001,$AD586,'All Donations'!$T$2:$T$4001,V$1))</f>
        <v/>
      </c>
      <c r="W586" s="49">
        <f>IF(OR($AE586&lt;&gt;1,W$1=""),"",SUMIFS('All Donations'!$S$2:$S$4001,'All Donations'!$R$2:$R$4001,$AD586,'All Donations'!$T$2:$T$4001,W$1))</f>
        <v/>
      </c>
      <c r="X586" s="49">
        <f>IF(OR($AE586&lt;&gt;1,X$1=""),"",SUMIFS('All Donations'!$S$2:$S$4001,'All Donations'!$R$2:$R$4001,$AD586,'All Donations'!$T$2:$T$4001,X$1))</f>
        <v/>
      </c>
      <c r="Y586" s="49">
        <f>IF(OR($AE586&lt;&gt;1,Y$1=""),"",SUMIFS('All Donations'!$S$2:$S$4001,'All Donations'!$R$2:$R$4001,$AD586,'All Donations'!$T$2:$T$4001,Y$1))</f>
        <v/>
      </c>
      <c r="Z586" s="49">
        <f>IF(OR($AE586&lt;&gt;1,Z$1=""),"",SUMIFS('All Donations'!$S$2:$S$4001,'All Donations'!$R$2:$R$4001,$AD586,'All Donations'!$T$2:$T$4001,Z$1))</f>
        <v/>
      </c>
      <c r="AA586" s="49">
        <f>IF(OR($AE586&lt;&gt;1,AA$1=""),"",SUMIFS('All Donations'!$S$2:$S$4001,'All Donations'!$R$2:$R$4001,$AD586,'All Donations'!$T$2:$T$4001,AA$1))</f>
        <v/>
      </c>
      <c r="AB586" s="49">
        <f>IF(OR($AE586&lt;&gt;1,AB$1=""),"",SUMIFS('All Donations'!$S$2:$S$4001,'All Donations'!$R$2:$R$4001,$AD586,'All Donations'!$T$2:$T$4001,AB$1))</f>
        <v/>
      </c>
      <c r="AC586" s="49">
        <f>IF(OR($AE586&lt;&gt;1,AC$1=""),"",SUMIFS('All Donations'!$S$2:$S$4001,'All Donations'!$R$2:$R$4001,$AD586,'All Donations'!$T$2:$T$4001,AC$1))</f>
        <v/>
      </c>
      <c r="AD586">
        <f>IF(AE586=1,'Roster'!A586,"")</f>
        <v/>
      </c>
      <c r="AE586">
        <f>IF(TRIM('Roster'!B586&amp;'Roster'!C586)&lt;&gt;"",1,0)</f>
        <v/>
      </c>
      <c r="AF586">
        <f>IF(AE586=1,LOWER(A586),"#")</f>
        <v/>
      </c>
      <c r="AG586">
        <f>IF(AE586=1,LOWER(TRIM(TRIM('Roster'!C586)&amp;", "&amp;TRIM('Roster'!B586))),"#")</f>
        <v/>
      </c>
      <c r="AH586">
        <f>IF(AND(AE586=1,TRIM('Roster'!F586)&lt;&gt;""),LOWER(TRIM('Roster'!F586)),"#")</f>
        <v/>
      </c>
      <c r="AI586">
        <f>IF(AE586=1,IF(MATCH(B586,$B$2:$B$701,0)=ROW()-1,1,0),0)</f>
        <v/>
      </c>
      <c r="AJ586">
        <f>AJ585+AI586</f>
        <v/>
      </c>
      <c r="AK586">
        <f>IF(AE586=1,D586+(1000-ROW())/10^7,-1)</f>
        <v/>
      </c>
      <c r="AL586">
        <f>IF(AE586=1,TRIM('Roster'!B586)&amp;" "&amp;LEFT(TRIM('Roster'!C586),1)&amp;".","")</f>
        <v/>
      </c>
      <c r="AM586">
        <f>IF(AE586=1,TRIM('Roster'!C586)&amp;", "&amp;TRIM('Roster'!B586)&amp;" ("&amp;B586&amp;") #"&amp;AD586,"")</f>
        <v/>
      </c>
      <c r="AN586">
        <f>IF(AE586=1,TRIM('Roster'!E586),"")</f>
        <v/>
      </c>
      <c r="AO586">
        <f>IF(AE586=1,ROUND(SUMIFS('All Donations'!$S$2:$S$4001,'All Donations'!$R$2:$R$4001,AD586,'All Donations'!$T$2:$T$4001,"&gt;="&amp;'Settings'!$C$23,'All Donations'!$T$2:$T$4001,"&lt;="&amp;'Settings'!$D$23),2),0)</f>
        <v/>
      </c>
      <c r="AQ586">
        <f>IF(AE586=1,ROUND(SUMIFS('All Donations'!$S$2:$S$4001,'All Donations'!$R$2:$R$4001,AD586,'All Donations'!$T$2:$T$4001,"&gt;="&amp;'Settings'!$C$25,'All Donations'!$T$2:$T$4001,"&lt;="&amp;'Settings'!$D$25),2),0)</f>
        <v/>
      </c>
      <c r="AR586">
        <f>IF(AE586=1,ROUND(SUMIFS('All Donations'!$S$2:$S$4001,'All Donations'!$R$2:$R$4001,AD586,'All Donations'!$T$2:$T$4001,"&gt;="&amp;'Settings'!$C$26,'All Donations'!$T$2:$T$4001,"&lt;="&amp;'Settings'!$D$26),2),0)</f>
        <v/>
      </c>
      <c r="AS586">
        <f>IF(AE586=1,ROUND(SUMIFS('All Donations'!$S$2:$S$4001,'All Donations'!$R$2:$R$4001,AD586,'All Donations'!$T$2:$T$4001,"&lt;="&amp;'Settings'!$D$27),2),0)</f>
        <v/>
      </c>
      <c r="AT586">
        <f>IF(AE586=1,ROUND(SUMIFS('All Donations'!$S$2:$S$4001,'All Donations'!$R$2:$R$4001,AD586,'All Donations'!$T$2:$T$4001,"&gt;="&amp;'Settings'!$C$28,'All Donations'!$T$2:$T$4001,"&lt;="&amp;'Settings'!$D$28),2),0)</f>
        <v/>
      </c>
      <c r="AU586">
        <f>IF(AE586=1,ROUND(SUMIFS('All Donations'!$S$2:$S$4001,'All Donations'!$R$2:$R$4001,AD586,'All Donations'!$T$2:$T$4001,"&gt;="&amp;'Settings'!$C$29,'All Donations'!$T$2:$T$4001,"&lt;="&amp;'Settings'!$D$29),2),0)</f>
        <v/>
      </c>
      <c r="AV586">
        <f>IF(AE586=1,ROUND(SUMIFS('All Donations'!$S$2:$S$4001,'All Donations'!$R$2:$R$4001,AD586,'All Donations'!$T$2:$T$4001,"&lt;="&amp;'Settings'!$D$30),2),0)</f>
        <v/>
      </c>
      <c r="AZ586">
        <f>IF(AE586=1,ROUND(SUMIFS('All Donations'!$S$2:$S$4001,'All Donations'!$R$2:$R$4001,AD586,'All Donations'!$T$2:$T$4001,"&lt;="&amp;'Settings'!$D$34),2),0)</f>
        <v/>
      </c>
    </row>
    <row r="587">
      <c r="A587">
        <f>IF(AE587=1,TRIM(TRIM('Roster'!B587)&amp;" "&amp;TRIM('Roster'!C587)),"")</f>
        <v/>
      </c>
      <c r="B587">
        <f>IF(AE587=1,IF(AN587="","(no teacher)",AN587&amp;" – "&amp;C587),"")</f>
        <v/>
      </c>
      <c r="C587">
        <f>IF(AE587=1,TRIM('Roster'!D587&amp;""),"")</f>
        <v/>
      </c>
      <c r="D587" s="48">
        <f>IF(AE587=1,ROUND(SUMIFS('All Donations'!$S$2:$S$4001,'All Donations'!$R$2:$R$4001,AD587),2),"")</f>
        <v/>
      </c>
      <c r="E587" s="48">
        <f>IF(AE587=1,ROUND(SUMIFS('All Donations'!$S$2:$S$4001,'All Donations'!$R$2:$R$4001,AD587,'All Donations'!$G$2:$G$4001,"OneCause"),2),"")</f>
        <v/>
      </c>
      <c r="F587" s="48">
        <f>IF(AE587=1,D587-E587,"")</f>
        <v/>
      </c>
      <c r="G587">
        <f>IF(AE587=1,COUNTIFS('All Donations'!$R$2:$R$4001,AD587,'All Donations'!$H$2:$H$4001,"OK"),"")</f>
        <v/>
      </c>
      <c r="H587">
        <f>IF(AE587&lt;&gt;1,"",IF(D587&gt;0,"Yes",""))</f>
        <v/>
      </c>
      <c r="I587" s="49">
        <f>IF(OR($AE587&lt;&gt;1,I$1=""),"",SUMIFS('All Donations'!$S$2:$S$4001,'All Donations'!$R$2:$R$4001,$AD587,'All Donations'!$T$2:$T$4001,I$1))</f>
        <v/>
      </c>
      <c r="J587" s="49">
        <f>IF(OR($AE587&lt;&gt;1,J$1=""),"",SUMIFS('All Donations'!$S$2:$S$4001,'All Donations'!$R$2:$R$4001,$AD587,'All Donations'!$T$2:$T$4001,J$1))</f>
        <v/>
      </c>
      <c r="K587" s="49">
        <f>IF(OR($AE587&lt;&gt;1,K$1=""),"",SUMIFS('All Donations'!$S$2:$S$4001,'All Donations'!$R$2:$R$4001,$AD587,'All Donations'!$T$2:$T$4001,K$1))</f>
        <v/>
      </c>
      <c r="L587" s="49">
        <f>IF(OR($AE587&lt;&gt;1,L$1=""),"",SUMIFS('All Donations'!$S$2:$S$4001,'All Donations'!$R$2:$R$4001,$AD587,'All Donations'!$T$2:$T$4001,L$1))</f>
        <v/>
      </c>
      <c r="M587" s="49">
        <f>IF(OR($AE587&lt;&gt;1,M$1=""),"",SUMIFS('All Donations'!$S$2:$S$4001,'All Donations'!$R$2:$R$4001,$AD587,'All Donations'!$T$2:$T$4001,M$1))</f>
        <v/>
      </c>
      <c r="N587" s="49">
        <f>IF(OR($AE587&lt;&gt;1,N$1=""),"",SUMIFS('All Donations'!$S$2:$S$4001,'All Donations'!$R$2:$R$4001,$AD587,'All Donations'!$T$2:$T$4001,N$1))</f>
        <v/>
      </c>
      <c r="O587" s="49">
        <f>IF(OR($AE587&lt;&gt;1,O$1=""),"",SUMIFS('All Donations'!$S$2:$S$4001,'All Donations'!$R$2:$R$4001,$AD587,'All Donations'!$T$2:$T$4001,O$1))</f>
        <v/>
      </c>
      <c r="P587" s="49">
        <f>IF(OR($AE587&lt;&gt;1,P$1=""),"",SUMIFS('All Donations'!$S$2:$S$4001,'All Donations'!$R$2:$R$4001,$AD587,'All Donations'!$T$2:$T$4001,P$1))</f>
        <v/>
      </c>
      <c r="Q587" s="49">
        <f>IF(OR($AE587&lt;&gt;1,Q$1=""),"",SUMIFS('All Donations'!$S$2:$S$4001,'All Donations'!$R$2:$R$4001,$AD587,'All Donations'!$T$2:$T$4001,Q$1))</f>
        <v/>
      </c>
      <c r="R587" s="49">
        <f>IF(OR($AE587&lt;&gt;1,R$1=""),"",SUMIFS('All Donations'!$S$2:$S$4001,'All Donations'!$R$2:$R$4001,$AD587,'All Donations'!$T$2:$T$4001,R$1))</f>
        <v/>
      </c>
      <c r="S587" s="49">
        <f>IF(OR($AE587&lt;&gt;1,S$1=""),"",SUMIFS('All Donations'!$S$2:$S$4001,'All Donations'!$R$2:$R$4001,$AD587,'All Donations'!$T$2:$T$4001,S$1))</f>
        <v/>
      </c>
      <c r="T587" s="49">
        <f>IF(OR($AE587&lt;&gt;1,T$1=""),"",SUMIFS('All Donations'!$S$2:$S$4001,'All Donations'!$R$2:$R$4001,$AD587,'All Donations'!$T$2:$T$4001,T$1))</f>
        <v/>
      </c>
      <c r="U587" s="49">
        <f>IF(OR($AE587&lt;&gt;1,U$1=""),"",SUMIFS('All Donations'!$S$2:$S$4001,'All Donations'!$R$2:$R$4001,$AD587,'All Donations'!$T$2:$T$4001,U$1))</f>
        <v/>
      </c>
      <c r="V587" s="49">
        <f>IF(OR($AE587&lt;&gt;1,V$1=""),"",SUMIFS('All Donations'!$S$2:$S$4001,'All Donations'!$R$2:$R$4001,$AD587,'All Donations'!$T$2:$T$4001,V$1))</f>
        <v/>
      </c>
      <c r="W587" s="49">
        <f>IF(OR($AE587&lt;&gt;1,W$1=""),"",SUMIFS('All Donations'!$S$2:$S$4001,'All Donations'!$R$2:$R$4001,$AD587,'All Donations'!$T$2:$T$4001,W$1))</f>
        <v/>
      </c>
      <c r="X587" s="49">
        <f>IF(OR($AE587&lt;&gt;1,X$1=""),"",SUMIFS('All Donations'!$S$2:$S$4001,'All Donations'!$R$2:$R$4001,$AD587,'All Donations'!$T$2:$T$4001,X$1))</f>
        <v/>
      </c>
      <c r="Y587" s="49">
        <f>IF(OR($AE587&lt;&gt;1,Y$1=""),"",SUMIFS('All Donations'!$S$2:$S$4001,'All Donations'!$R$2:$R$4001,$AD587,'All Donations'!$T$2:$T$4001,Y$1))</f>
        <v/>
      </c>
      <c r="Z587" s="49">
        <f>IF(OR($AE587&lt;&gt;1,Z$1=""),"",SUMIFS('All Donations'!$S$2:$S$4001,'All Donations'!$R$2:$R$4001,$AD587,'All Donations'!$T$2:$T$4001,Z$1))</f>
        <v/>
      </c>
      <c r="AA587" s="49">
        <f>IF(OR($AE587&lt;&gt;1,AA$1=""),"",SUMIFS('All Donations'!$S$2:$S$4001,'All Donations'!$R$2:$R$4001,$AD587,'All Donations'!$T$2:$T$4001,AA$1))</f>
        <v/>
      </c>
      <c r="AB587" s="49">
        <f>IF(OR($AE587&lt;&gt;1,AB$1=""),"",SUMIFS('All Donations'!$S$2:$S$4001,'All Donations'!$R$2:$R$4001,$AD587,'All Donations'!$T$2:$T$4001,AB$1))</f>
        <v/>
      </c>
      <c r="AC587" s="49">
        <f>IF(OR($AE587&lt;&gt;1,AC$1=""),"",SUMIFS('All Donations'!$S$2:$S$4001,'All Donations'!$R$2:$R$4001,$AD587,'All Donations'!$T$2:$T$4001,AC$1))</f>
        <v/>
      </c>
      <c r="AD587">
        <f>IF(AE587=1,'Roster'!A587,"")</f>
        <v/>
      </c>
      <c r="AE587">
        <f>IF(TRIM('Roster'!B587&amp;'Roster'!C587)&lt;&gt;"",1,0)</f>
        <v/>
      </c>
      <c r="AF587">
        <f>IF(AE587=1,LOWER(A587),"#")</f>
        <v/>
      </c>
      <c r="AG587">
        <f>IF(AE587=1,LOWER(TRIM(TRIM('Roster'!C587)&amp;", "&amp;TRIM('Roster'!B587))),"#")</f>
        <v/>
      </c>
      <c r="AH587">
        <f>IF(AND(AE587=1,TRIM('Roster'!F587)&lt;&gt;""),LOWER(TRIM('Roster'!F587)),"#")</f>
        <v/>
      </c>
      <c r="AI587">
        <f>IF(AE587=1,IF(MATCH(B587,$B$2:$B$701,0)=ROW()-1,1,0),0)</f>
        <v/>
      </c>
      <c r="AJ587">
        <f>AJ586+AI587</f>
        <v/>
      </c>
      <c r="AK587">
        <f>IF(AE587=1,D587+(1000-ROW())/10^7,-1)</f>
        <v/>
      </c>
      <c r="AL587">
        <f>IF(AE587=1,TRIM('Roster'!B587)&amp;" "&amp;LEFT(TRIM('Roster'!C587),1)&amp;".","")</f>
        <v/>
      </c>
      <c r="AM587">
        <f>IF(AE587=1,TRIM('Roster'!C587)&amp;", "&amp;TRIM('Roster'!B587)&amp;" ("&amp;B587&amp;") #"&amp;AD587,"")</f>
        <v/>
      </c>
      <c r="AN587">
        <f>IF(AE587=1,TRIM('Roster'!E587),"")</f>
        <v/>
      </c>
      <c r="AO587">
        <f>IF(AE587=1,ROUND(SUMIFS('All Donations'!$S$2:$S$4001,'All Donations'!$R$2:$R$4001,AD587,'All Donations'!$T$2:$T$4001,"&gt;="&amp;'Settings'!$C$23,'All Donations'!$T$2:$T$4001,"&lt;="&amp;'Settings'!$D$23),2),0)</f>
        <v/>
      </c>
      <c r="AQ587">
        <f>IF(AE587=1,ROUND(SUMIFS('All Donations'!$S$2:$S$4001,'All Donations'!$R$2:$R$4001,AD587,'All Donations'!$T$2:$T$4001,"&gt;="&amp;'Settings'!$C$25,'All Donations'!$T$2:$T$4001,"&lt;="&amp;'Settings'!$D$25),2),0)</f>
        <v/>
      </c>
      <c r="AR587">
        <f>IF(AE587=1,ROUND(SUMIFS('All Donations'!$S$2:$S$4001,'All Donations'!$R$2:$R$4001,AD587,'All Donations'!$T$2:$T$4001,"&gt;="&amp;'Settings'!$C$26,'All Donations'!$T$2:$T$4001,"&lt;="&amp;'Settings'!$D$26),2),0)</f>
        <v/>
      </c>
      <c r="AS587">
        <f>IF(AE587=1,ROUND(SUMIFS('All Donations'!$S$2:$S$4001,'All Donations'!$R$2:$R$4001,AD587,'All Donations'!$T$2:$T$4001,"&lt;="&amp;'Settings'!$D$27),2),0)</f>
        <v/>
      </c>
      <c r="AT587">
        <f>IF(AE587=1,ROUND(SUMIFS('All Donations'!$S$2:$S$4001,'All Donations'!$R$2:$R$4001,AD587,'All Donations'!$T$2:$T$4001,"&gt;="&amp;'Settings'!$C$28,'All Donations'!$T$2:$T$4001,"&lt;="&amp;'Settings'!$D$28),2),0)</f>
        <v/>
      </c>
      <c r="AU587">
        <f>IF(AE587=1,ROUND(SUMIFS('All Donations'!$S$2:$S$4001,'All Donations'!$R$2:$R$4001,AD587,'All Donations'!$T$2:$T$4001,"&gt;="&amp;'Settings'!$C$29,'All Donations'!$T$2:$T$4001,"&lt;="&amp;'Settings'!$D$29),2),0)</f>
        <v/>
      </c>
      <c r="AV587">
        <f>IF(AE587=1,ROUND(SUMIFS('All Donations'!$S$2:$S$4001,'All Donations'!$R$2:$R$4001,AD587,'All Donations'!$T$2:$T$4001,"&lt;="&amp;'Settings'!$D$30),2),0)</f>
        <v/>
      </c>
      <c r="AZ587">
        <f>IF(AE587=1,ROUND(SUMIFS('All Donations'!$S$2:$S$4001,'All Donations'!$R$2:$R$4001,AD587,'All Donations'!$T$2:$T$4001,"&lt;="&amp;'Settings'!$D$34),2),0)</f>
        <v/>
      </c>
    </row>
    <row r="588">
      <c r="A588">
        <f>IF(AE588=1,TRIM(TRIM('Roster'!B588)&amp;" "&amp;TRIM('Roster'!C588)),"")</f>
        <v/>
      </c>
      <c r="B588">
        <f>IF(AE588=1,IF(AN588="","(no teacher)",AN588&amp;" – "&amp;C588),"")</f>
        <v/>
      </c>
      <c r="C588">
        <f>IF(AE588=1,TRIM('Roster'!D588&amp;""),"")</f>
        <v/>
      </c>
      <c r="D588" s="48">
        <f>IF(AE588=1,ROUND(SUMIFS('All Donations'!$S$2:$S$4001,'All Donations'!$R$2:$R$4001,AD588),2),"")</f>
        <v/>
      </c>
      <c r="E588" s="48">
        <f>IF(AE588=1,ROUND(SUMIFS('All Donations'!$S$2:$S$4001,'All Donations'!$R$2:$R$4001,AD588,'All Donations'!$G$2:$G$4001,"OneCause"),2),"")</f>
        <v/>
      </c>
      <c r="F588" s="48">
        <f>IF(AE588=1,D588-E588,"")</f>
        <v/>
      </c>
      <c r="G588">
        <f>IF(AE588=1,COUNTIFS('All Donations'!$R$2:$R$4001,AD588,'All Donations'!$H$2:$H$4001,"OK"),"")</f>
        <v/>
      </c>
      <c r="H588">
        <f>IF(AE588&lt;&gt;1,"",IF(D588&gt;0,"Yes",""))</f>
        <v/>
      </c>
      <c r="I588" s="49">
        <f>IF(OR($AE588&lt;&gt;1,I$1=""),"",SUMIFS('All Donations'!$S$2:$S$4001,'All Donations'!$R$2:$R$4001,$AD588,'All Donations'!$T$2:$T$4001,I$1))</f>
        <v/>
      </c>
      <c r="J588" s="49">
        <f>IF(OR($AE588&lt;&gt;1,J$1=""),"",SUMIFS('All Donations'!$S$2:$S$4001,'All Donations'!$R$2:$R$4001,$AD588,'All Donations'!$T$2:$T$4001,J$1))</f>
        <v/>
      </c>
      <c r="K588" s="49">
        <f>IF(OR($AE588&lt;&gt;1,K$1=""),"",SUMIFS('All Donations'!$S$2:$S$4001,'All Donations'!$R$2:$R$4001,$AD588,'All Donations'!$T$2:$T$4001,K$1))</f>
        <v/>
      </c>
      <c r="L588" s="49">
        <f>IF(OR($AE588&lt;&gt;1,L$1=""),"",SUMIFS('All Donations'!$S$2:$S$4001,'All Donations'!$R$2:$R$4001,$AD588,'All Donations'!$T$2:$T$4001,L$1))</f>
        <v/>
      </c>
      <c r="M588" s="49">
        <f>IF(OR($AE588&lt;&gt;1,M$1=""),"",SUMIFS('All Donations'!$S$2:$S$4001,'All Donations'!$R$2:$R$4001,$AD588,'All Donations'!$T$2:$T$4001,M$1))</f>
        <v/>
      </c>
      <c r="N588" s="49">
        <f>IF(OR($AE588&lt;&gt;1,N$1=""),"",SUMIFS('All Donations'!$S$2:$S$4001,'All Donations'!$R$2:$R$4001,$AD588,'All Donations'!$T$2:$T$4001,N$1))</f>
        <v/>
      </c>
      <c r="O588" s="49">
        <f>IF(OR($AE588&lt;&gt;1,O$1=""),"",SUMIFS('All Donations'!$S$2:$S$4001,'All Donations'!$R$2:$R$4001,$AD588,'All Donations'!$T$2:$T$4001,O$1))</f>
        <v/>
      </c>
      <c r="P588" s="49">
        <f>IF(OR($AE588&lt;&gt;1,P$1=""),"",SUMIFS('All Donations'!$S$2:$S$4001,'All Donations'!$R$2:$R$4001,$AD588,'All Donations'!$T$2:$T$4001,P$1))</f>
        <v/>
      </c>
      <c r="Q588" s="49">
        <f>IF(OR($AE588&lt;&gt;1,Q$1=""),"",SUMIFS('All Donations'!$S$2:$S$4001,'All Donations'!$R$2:$R$4001,$AD588,'All Donations'!$T$2:$T$4001,Q$1))</f>
        <v/>
      </c>
      <c r="R588" s="49">
        <f>IF(OR($AE588&lt;&gt;1,R$1=""),"",SUMIFS('All Donations'!$S$2:$S$4001,'All Donations'!$R$2:$R$4001,$AD588,'All Donations'!$T$2:$T$4001,R$1))</f>
        <v/>
      </c>
      <c r="S588" s="49">
        <f>IF(OR($AE588&lt;&gt;1,S$1=""),"",SUMIFS('All Donations'!$S$2:$S$4001,'All Donations'!$R$2:$R$4001,$AD588,'All Donations'!$T$2:$T$4001,S$1))</f>
        <v/>
      </c>
      <c r="T588" s="49">
        <f>IF(OR($AE588&lt;&gt;1,T$1=""),"",SUMIFS('All Donations'!$S$2:$S$4001,'All Donations'!$R$2:$R$4001,$AD588,'All Donations'!$T$2:$T$4001,T$1))</f>
        <v/>
      </c>
      <c r="U588" s="49">
        <f>IF(OR($AE588&lt;&gt;1,U$1=""),"",SUMIFS('All Donations'!$S$2:$S$4001,'All Donations'!$R$2:$R$4001,$AD588,'All Donations'!$T$2:$T$4001,U$1))</f>
        <v/>
      </c>
      <c r="V588" s="49">
        <f>IF(OR($AE588&lt;&gt;1,V$1=""),"",SUMIFS('All Donations'!$S$2:$S$4001,'All Donations'!$R$2:$R$4001,$AD588,'All Donations'!$T$2:$T$4001,V$1))</f>
        <v/>
      </c>
      <c r="W588" s="49">
        <f>IF(OR($AE588&lt;&gt;1,W$1=""),"",SUMIFS('All Donations'!$S$2:$S$4001,'All Donations'!$R$2:$R$4001,$AD588,'All Donations'!$T$2:$T$4001,W$1))</f>
        <v/>
      </c>
      <c r="X588" s="49">
        <f>IF(OR($AE588&lt;&gt;1,X$1=""),"",SUMIFS('All Donations'!$S$2:$S$4001,'All Donations'!$R$2:$R$4001,$AD588,'All Donations'!$T$2:$T$4001,X$1))</f>
        <v/>
      </c>
      <c r="Y588" s="49">
        <f>IF(OR($AE588&lt;&gt;1,Y$1=""),"",SUMIFS('All Donations'!$S$2:$S$4001,'All Donations'!$R$2:$R$4001,$AD588,'All Donations'!$T$2:$T$4001,Y$1))</f>
        <v/>
      </c>
      <c r="Z588" s="49">
        <f>IF(OR($AE588&lt;&gt;1,Z$1=""),"",SUMIFS('All Donations'!$S$2:$S$4001,'All Donations'!$R$2:$R$4001,$AD588,'All Donations'!$T$2:$T$4001,Z$1))</f>
        <v/>
      </c>
      <c r="AA588" s="49">
        <f>IF(OR($AE588&lt;&gt;1,AA$1=""),"",SUMIFS('All Donations'!$S$2:$S$4001,'All Donations'!$R$2:$R$4001,$AD588,'All Donations'!$T$2:$T$4001,AA$1))</f>
        <v/>
      </c>
      <c r="AB588" s="49">
        <f>IF(OR($AE588&lt;&gt;1,AB$1=""),"",SUMIFS('All Donations'!$S$2:$S$4001,'All Donations'!$R$2:$R$4001,$AD588,'All Donations'!$T$2:$T$4001,AB$1))</f>
        <v/>
      </c>
      <c r="AC588" s="49">
        <f>IF(OR($AE588&lt;&gt;1,AC$1=""),"",SUMIFS('All Donations'!$S$2:$S$4001,'All Donations'!$R$2:$R$4001,$AD588,'All Donations'!$T$2:$T$4001,AC$1))</f>
        <v/>
      </c>
      <c r="AD588">
        <f>IF(AE588=1,'Roster'!A588,"")</f>
        <v/>
      </c>
      <c r="AE588">
        <f>IF(TRIM('Roster'!B588&amp;'Roster'!C588)&lt;&gt;"",1,0)</f>
        <v/>
      </c>
      <c r="AF588">
        <f>IF(AE588=1,LOWER(A588),"#")</f>
        <v/>
      </c>
      <c r="AG588">
        <f>IF(AE588=1,LOWER(TRIM(TRIM('Roster'!C588)&amp;", "&amp;TRIM('Roster'!B588))),"#")</f>
        <v/>
      </c>
      <c r="AH588">
        <f>IF(AND(AE588=1,TRIM('Roster'!F588)&lt;&gt;""),LOWER(TRIM('Roster'!F588)),"#")</f>
        <v/>
      </c>
      <c r="AI588">
        <f>IF(AE588=1,IF(MATCH(B588,$B$2:$B$701,0)=ROW()-1,1,0),0)</f>
        <v/>
      </c>
      <c r="AJ588">
        <f>AJ587+AI588</f>
        <v/>
      </c>
      <c r="AK588">
        <f>IF(AE588=1,D588+(1000-ROW())/10^7,-1)</f>
        <v/>
      </c>
      <c r="AL588">
        <f>IF(AE588=1,TRIM('Roster'!B588)&amp;" "&amp;LEFT(TRIM('Roster'!C588),1)&amp;".","")</f>
        <v/>
      </c>
      <c r="AM588">
        <f>IF(AE588=1,TRIM('Roster'!C588)&amp;", "&amp;TRIM('Roster'!B588)&amp;" ("&amp;B588&amp;") #"&amp;AD588,"")</f>
        <v/>
      </c>
      <c r="AN588">
        <f>IF(AE588=1,TRIM('Roster'!E588),"")</f>
        <v/>
      </c>
      <c r="AO588">
        <f>IF(AE588=1,ROUND(SUMIFS('All Donations'!$S$2:$S$4001,'All Donations'!$R$2:$R$4001,AD588,'All Donations'!$T$2:$T$4001,"&gt;="&amp;'Settings'!$C$23,'All Donations'!$T$2:$T$4001,"&lt;="&amp;'Settings'!$D$23),2),0)</f>
        <v/>
      </c>
      <c r="AQ588">
        <f>IF(AE588=1,ROUND(SUMIFS('All Donations'!$S$2:$S$4001,'All Donations'!$R$2:$R$4001,AD588,'All Donations'!$T$2:$T$4001,"&gt;="&amp;'Settings'!$C$25,'All Donations'!$T$2:$T$4001,"&lt;="&amp;'Settings'!$D$25),2),0)</f>
        <v/>
      </c>
      <c r="AR588">
        <f>IF(AE588=1,ROUND(SUMIFS('All Donations'!$S$2:$S$4001,'All Donations'!$R$2:$R$4001,AD588,'All Donations'!$T$2:$T$4001,"&gt;="&amp;'Settings'!$C$26,'All Donations'!$T$2:$T$4001,"&lt;="&amp;'Settings'!$D$26),2),0)</f>
        <v/>
      </c>
      <c r="AS588">
        <f>IF(AE588=1,ROUND(SUMIFS('All Donations'!$S$2:$S$4001,'All Donations'!$R$2:$R$4001,AD588,'All Donations'!$T$2:$T$4001,"&lt;="&amp;'Settings'!$D$27),2),0)</f>
        <v/>
      </c>
      <c r="AT588">
        <f>IF(AE588=1,ROUND(SUMIFS('All Donations'!$S$2:$S$4001,'All Donations'!$R$2:$R$4001,AD588,'All Donations'!$T$2:$T$4001,"&gt;="&amp;'Settings'!$C$28,'All Donations'!$T$2:$T$4001,"&lt;="&amp;'Settings'!$D$28),2),0)</f>
        <v/>
      </c>
      <c r="AU588">
        <f>IF(AE588=1,ROUND(SUMIFS('All Donations'!$S$2:$S$4001,'All Donations'!$R$2:$R$4001,AD588,'All Donations'!$T$2:$T$4001,"&gt;="&amp;'Settings'!$C$29,'All Donations'!$T$2:$T$4001,"&lt;="&amp;'Settings'!$D$29),2),0)</f>
        <v/>
      </c>
      <c r="AV588">
        <f>IF(AE588=1,ROUND(SUMIFS('All Donations'!$S$2:$S$4001,'All Donations'!$R$2:$R$4001,AD588,'All Donations'!$T$2:$T$4001,"&lt;="&amp;'Settings'!$D$30),2),0)</f>
        <v/>
      </c>
      <c r="AZ588">
        <f>IF(AE588=1,ROUND(SUMIFS('All Donations'!$S$2:$S$4001,'All Donations'!$R$2:$R$4001,AD588,'All Donations'!$T$2:$T$4001,"&lt;="&amp;'Settings'!$D$34),2),0)</f>
        <v/>
      </c>
    </row>
    <row r="589">
      <c r="A589">
        <f>IF(AE589=1,TRIM(TRIM('Roster'!B589)&amp;" "&amp;TRIM('Roster'!C589)),"")</f>
        <v/>
      </c>
      <c r="B589">
        <f>IF(AE589=1,IF(AN589="","(no teacher)",AN589&amp;" – "&amp;C589),"")</f>
        <v/>
      </c>
      <c r="C589">
        <f>IF(AE589=1,TRIM('Roster'!D589&amp;""),"")</f>
        <v/>
      </c>
      <c r="D589" s="48">
        <f>IF(AE589=1,ROUND(SUMIFS('All Donations'!$S$2:$S$4001,'All Donations'!$R$2:$R$4001,AD589),2),"")</f>
        <v/>
      </c>
      <c r="E589" s="48">
        <f>IF(AE589=1,ROUND(SUMIFS('All Donations'!$S$2:$S$4001,'All Donations'!$R$2:$R$4001,AD589,'All Donations'!$G$2:$G$4001,"OneCause"),2),"")</f>
        <v/>
      </c>
      <c r="F589" s="48">
        <f>IF(AE589=1,D589-E589,"")</f>
        <v/>
      </c>
      <c r="G589">
        <f>IF(AE589=1,COUNTIFS('All Donations'!$R$2:$R$4001,AD589,'All Donations'!$H$2:$H$4001,"OK"),"")</f>
        <v/>
      </c>
      <c r="H589">
        <f>IF(AE589&lt;&gt;1,"",IF(D589&gt;0,"Yes",""))</f>
        <v/>
      </c>
      <c r="I589" s="49">
        <f>IF(OR($AE589&lt;&gt;1,I$1=""),"",SUMIFS('All Donations'!$S$2:$S$4001,'All Donations'!$R$2:$R$4001,$AD589,'All Donations'!$T$2:$T$4001,I$1))</f>
        <v/>
      </c>
      <c r="J589" s="49">
        <f>IF(OR($AE589&lt;&gt;1,J$1=""),"",SUMIFS('All Donations'!$S$2:$S$4001,'All Donations'!$R$2:$R$4001,$AD589,'All Donations'!$T$2:$T$4001,J$1))</f>
        <v/>
      </c>
      <c r="K589" s="49">
        <f>IF(OR($AE589&lt;&gt;1,K$1=""),"",SUMIFS('All Donations'!$S$2:$S$4001,'All Donations'!$R$2:$R$4001,$AD589,'All Donations'!$T$2:$T$4001,K$1))</f>
        <v/>
      </c>
      <c r="L589" s="49">
        <f>IF(OR($AE589&lt;&gt;1,L$1=""),"",SUMIFS('All Donations'!$S$2:$S$4001,'All Donations'!$R$2:$R$4001,$AD589,'All Donations'!$T$2:$T$4001,L$1))</f>
        <v/>
      </c>
      <c r="M589" s="49">
        <f>IF(OR($AE589&lt;&gt;1,M$1=""),"",SUMIFS('All Donations'!$S$2:$S$4001,'All Donations'!$R$2:$R$4001,$AD589,'All Donations'!$T$2:$T$4001,M$1))</f>
        <v/>
      </c>
      <c r="N589" s="49">
        <f>IF(OR($AE589&lt;&gt;1,N$1=""),"",SUMIFS('All Donations'!$S$2:$S$4001,'All Donations'!$R$2:$R$4001,$AD589,'All Donations'!$T$2:$T$4001,N$1))</f>
        <v/>
      </c>
      <c r="O589" s="49">
        <f>IF(OR($AE589&lt;&gt;1,O$1=""),"",SUMIFS('All Donations'!$S$2:$S$4001,'All Donations'!$R$2:$R$4001,$AD589,'All Donations'!$T$2:$T$4001,O$1))</f>
        <v/>
      </c>
      <c r="P589" s="49">
        <f>IF(OR($AE589&lt;&gt;1,P$1=""),"",SUMIFS('All Donations'!$S$2:$S$4001,'All Donations'!$R$2:$R$4001,$AD589,'All Donations'!$T$2:$T$4001,P$1))</f>
        <v/>
      </c>
      <c r="Q589" s="49">
        <f>IF(OR($AE589&lt;&gt;1,Q$1=""),"",SUMIFS('All Donations'!$S$2:$S$4001,'All Donations'!$R$2:$R$4001,$AD589,'All Donations'!$T$2:$T$4001,Q$1))</f>
        <v/>
      </c>
      <c r="R589" s="49">
        <f>IF(OR($AE589&lt;&gt;1,R$1=""),"",SUMIFS('All Donations'!$S$2:$S$4001,'All Donations'!$R$2:$R$4001,$AD589,'All Donations'!$T$2:$T$4001,R$1))</f>
        <v/>
      </c>
      <c r="S589" s="49">
        <f>IF(OR($AE589&lt;&gt;1,S$1=""),"",SUMIFS('All Donations'!$S$2:$S$4001,'All Donations'!$R$2:$R$4001,$AD589,'All Donations'!$T$2:$T$4001,S$1))</f>
        <v/>
      </c>
      <c r="T589" s="49">
        <f>IF(OR($AE589&lt;&gt;1,T$1=""),"",SUMIFS('All Donations'!$S$2:$S$4001,'All Donations'!$R$2:$R$4001,$AD589,'All Donations'!$T$2:$T$4001,T$1))</f>
        <v/>
      </c>
      <c r="U589" s="49">
        <f>IF(OR($AE589&lt;&gt;1,U$1=""),"",SUMIFS('All Donations'!$S$2:$S$4001,'All Donations'!$R$2:$R$4001,$AD589,'All Donations'!$T$2:$T$4001,U$1))</f>
        <v/>
      </c>
      <c r="V589" s="49">
        <f>IF(OR($AE589&lt;&gt;1,V$1=""),"",SUMIFS('All Donations'!$S$2:$S$4001,'All Donations'!$R$2:$R$4001,$AD589,'All Donations'!$T$2:$T$4001,V$1))</f>
        <v/>
      </c>
      <c r="W589" s="49">
        <f>IF(OR($AE589&lt;&gt;1,W$1=""),"",SUMIFS('All Donations'!$S$2:$S$4001,'All Donations'!$R$2:$R$4001,$AD589,'All Donations'!$T$2:$T$4001,W$1))</f>
        <v/>
      </c>
      <c r="X589" s="49">
        <f>IF(OR($AE589&lt;&gt;1,X$1=""),"",SUMIFS('All Donations'!$S$2:$S$4001,'All Donations'!$R$2:$R$4001,$AD589,'All Donations'!$T$2:$T$4001,X$1))</f>
        <v/>
      </c>
      <c r="Y589" s="49">
        <f>IF(OR($AE589&lt;&gt;1,Y$1=""),"",SUMIFS('All Donations'!$S$2:$S$4001,'All Donations'!$R$2:$R$4001,$AD589,'All Donations'!$T$2:$T$4001,Y$1))</f>
        <v/>
      </c>
      <c r="Z589" s="49">
        <f>IF(OR($AE589&lt;&gt;1,Z$1=""),"",SUMIFS('All Donations'!$S$2:$S$4001,'All Donations'!$R$2:$R$4001,$AD589,'All Donations'!$T$2:$T$4001,Z$1))</f>
        <v/>
      </c>
      <c r="AA589" s="49">
        <f>IF(OR($AE589&lt;&gt;1,AA$1=""),"",SUMIFS('All Donations'!$S$2:$S$4001,'All Donations'!$R$2:$R$4001,$AD589,'All Donations'!$T$2:$T$4001,AA$1))</f>
        <v/>
      </c>
      <c r="AB589" s="49">
        <f>IF(OR($AE589&lt;&gt;1,AB$1=""),"",SUMIFS('All Donations'!$S$2:$S$4001,'All Donations'!$R$2:$R$4001,$AD589,'All Donations'!$T$2:$T$4001,AB$1))</f>
        <v/>
      </c>
      <c r="AC589" s="49">
        <f>IF(OR($AE589&lt;&gt;1,AC$1=""),"",SUMIFS('All Donations'!$S$2:$S$4001,'All Donations'!$R$2:$R$4001,$AD589,'All Donations'!$T$2:$T$4001,AC$1))</f>
        <v/>
      </c>
      <c r="AD589">
        <f>IF(AE589=1,'Roster'!A589,"")</f>
        <v/>
      </c>
      <c r="AE589">
        <f>IF(TRIM('Roster'!B589&amp;'Roster'!C589)&lt;&gt;"",1,0)</f>
        <v/>
      </c>
      <c r="AF589">
        <f>IF(AE589=1,LOWER(A589),"#")</f>
        <v/>
      </c>
      <c r="AG589">
        <f>IF(AE589=1,LOWER(TRIM(TRIM('Roster'!C589)&amp;", "&amp;TRIM('Roster'!B589))),"#")</f>
        <v/>
      </c>
      <c r="AH589">
        <f>IF(AND(AE589=1,TRIM('Roster'!F589)&lt;&gt;""),LOWER(TRIM('Roster'!F589)),"#")</f>
        <v/>
      </c>
      <c r="AI589">
        <f>IF(AE589=1,IF(MATCH(B589,$B$2:$B$701,0)=ROW()-1,1,0),0)</f>
        <v/>
      </c>
      <c r="AJ589">
        <f>AJ588+AI589</f>
        <v/>
      </c>
      <c r="AK589">
        <f>IF(AE589=1,D589+(1000-ROW())/10^7,-1)</f>
        <v/>
      </c>
      <c r="AL589">
        <f>IF(AE589=1,TRIM('Roster'!B589)&amp;" "&amp;LEFT(TRIM('Roster'!C589),1)&amp;".","")</f>
        <v/>
      </c>
      <c r="AM589">
        <f>IF(AE589=1,TRIM('Roster'!C589)&amp;", "&amp;TRIM('Roster'!B589)&amp;" ("&amp;B589&amp;") #"&amp;AD589,"")</f>
        <v/>
      </c>
      <c r="AN589">
        <f>IF(AE589=1,TRIM('Roster'!E589),"")</f>
        <v/>
      </c>
      <c r="AO589">
        <f>IF(AE589=1,ROUND(SUMIFS('All Donations'!$S$2:$S$4001,'All Donations'!$R$2:$R$4001,AD589,'All Donations'!$T$2:$T$4001,"&gt;="&amp;'Settings'!$C$23,'All Donations'!$T$2:$T$4001,"&lt;="&amp;'Settings'!$D$23),2),0)</f>
        <v/>
      </c>
      <c r="AQ589">
        <f>IF(AE589=1,ROUND(SUMIFS('All Donations'!$S$2:$S$4001,'All Donations'!$R$2:$R$4001,AD589,'All Donations'!$T$2:$T$4001,"&gt;="&amp;'Settings'!$C$25,'All Donations'!$T$2:$T$4001,"&lt;="&amp;'Settings'!$D$25),2),0)</f>
        <v/>
      </c>
      <c r="AR589">
        <f>IF(AE589=1,ROUND(SUMIFS('All Donations'!$S$2:$S$4001,'All Donations'!$R$2:$R$4001,AD589,'All Donations'!$T$2:$T$4001,"&gt;="&amp;'Settings'!$C$26,'All Donations'!$T$2:$T$4001,"&lt;="&amp;'Settings'!$D$26),2),0)</f>
        <v/>
      </c>
      <c r="AS589">
        <f>IF(AE589=1,ROUND(SUMIFS('All Donations'!$S$2:$S$4001,'All Donations'!$R$2:$R$4001,AD589,'All Donations'!$T$2:$T$4001,"&lt;="&amp;'Settings'!$D$27),2),0)</f>
        <v/>
      </c>
      <c r="AT589">
        <f>IF(AE589=1,ROUND(SUMIFS('All Donations'!$S$2:$S$4001,'All Donations'!$R$2:$R$4001,AD589,'All Donations'!$T$2:$T$4001,"&gt;="&amp;'Settings'!$C$28,'All Donations'!$T$2:$T$4001,"&lt;="&amp;'Settings'!$D$28),2),0)</f>
        <v/>
      </c>
      <c r="AU589">
        <f>IF(AE589=1,ROUND(SUMIFS('All Donations'!$S$2:$S$4001,'All Donations'!$R$2:$R$4001,AD589,'All Donations'!$T$2:$T$4001,"&gt;="&amp;'Settings'!$C$29,'All Donations'!$T$2:$T$4001,"&lt;="&amp;'Settings'!$D$29),2),0)</f>
        <v/>
      </c>
      <c r="AV589">
        <f>IF(AE589=1,ROUND(SUMIFS('All Donations'!$S$2:$S$4001,'All Donations'!$R$2:$R$4001,AD589,'All Donations'!$T$2:$T$4001,"&lt;="&amp;'Settings'!$D$30),2),0)</f>
        <v/>
      </c>
      <c r="AZ589">
        <f>IF(AE589=1,ROUND(SUMIFS('All Donations'!$S$2:$S$4001,'All Donations'!$R$2:$R$4001,AD589,'All Donations'!$T$2:$T$4001,"&lt;="&amp;'Settings'!$D$34),2),0)</f>
        <v/>
      </c>
    </row>
    <row r="590">
      <c r="A590">
        <f>IF(AE590=1,TRIM(TRIM('Roster'!B590)&amp;" "&amp;TRIM('Roster'!C590)),"")</f>
        <v/>
      </c>
      <c r="B590">
        <f>IF(AE590=1,IF(AN590="","(no teacher)",AN590&amp;" – "&amp;C590),"")</f>
        <v/>
      </c>
      <c r="C590">
        <f>IF(AE590=1,TRIM('Roster'!D590&amp;""),"")</f>
        <v/>
      </c>
      <c r="D590" s="48">
        <f>IF(AE590=1,ROUND(SUMIFS('All Donations'!$S$2:$S$4001,'All Donations'!$R$2:$R$4001,AD590),2),"")</f>
        <v/>
      </c>
      <c r="E590" s="48">
        <f>IF(AE590=1,ROUND(SUMIFS('All Donations'!$S$2:$S$4001,'All Donations'!$R$2:$R$4001,AD590,'All Donations'!$G$2:$G$4001,"OneCause"),2),"")</f>
        <v/>
      </c>
      <c r="F590" s="48">
        <f>IF(AE590=1,D590-E590,"")</f>
        <v/>
      </c>
      <c r="G590">
        <f>IF(AE590=1,COUNTIFS('All Donations'!$R$2:$R$4001,AD590,'All Donations'!$H$2:$H$4001,"OK"),"")</f>
        <v/>
      </c>
      <c r="H590">
        <f>IF(AE590&lt;&gt;1,"",IF(D590&gt;0,"Yes",""))</f>
        <v/>
      </c>
      <c r="I590" s="49">
        <f>IF(OR($AE590&lt;&gt;1,I$1=""),"",SUMIFS('All Donations'!$S$2:$S$4001,'All Donations'!$R$2:$R$4001,$AD590,'All Donations'!$T$2:$T$4001,I$1))</f>
        <v/>
      </c>
      <c r="J590" s="49">
        <f>IF(OR($AE590&lt;&gt;1,J$1=""),"",SUMIFS('All Donations'!$S$2:$S$4001,'All Donations'!$R$2:$R$4001,$AD590,'All Donations'!$T$2:$T$4001,J$1))</f>
        <v/>
      </c>
      <c r="K590" s="49">
        <f>IF(OR($AE590&lt;&gt;1,K$1=""),"",SUMIFS('All Donations'!$S$2:$S$4001,'All Donations'!$R$2:$R$4001,$AD590,'All Donations'!$T$2:$T$4001,K$1))</f>
        <v/>
      </c>
      <c r="L590" s="49">
        <f>IF(OR($AE590&lt;&gt;1,L$1=""),"",SUMIFS('All Donations'!$S$2:$S$4001,'All Donations'!$R$2:$R$4001,$AD590,'All Donations'!$T$2:$T$4001,L$1))</f>
        <v/>
      </c>
      <c r="M590" s="49">
        <f>IF(OR($AE590&lt;&gt;1,M$1=""),"",SUMIFS('All Donations'!$S$2:$S$4001,'All Donations'!$R$2:$R$4001,$AD590,'All Donations'!$T$2:$T$4001,M$1))</f>
        <v/>
      </c>
      <c r="N590" s="49">
        <f>IF(OR($AE590&lt;&gt;1,N$1=""),"",SUMIFS('All Donations'!$S$2:$S$4001,'All Donations'!$R$2:$R$4001,$AD590,'All Donations'!$T$2:$T$4001,N$1))</f>
        <v/>
      </c>
      <c r="O590" s="49">
        <f>IF(OR($AE590&lt;&gt;1,O$1=""),"",SUMIFS('All Donations'!$S$2:$S$4001,'All Donations'!$R$2:$R$4001,$AD590,'All Donations'!$T$2:$T$4001,O$1))</f>
        <v/>
      </c>
      <c r="P590" s="49">
        <f>IF(OR($AE590&lt;&gt;1,P$1=""),"",SUMIFS('All Donations'!$S$2:$S$4001,'All Donations'!$R$2:$R$4001,$AD590,'All Donations'!$T$2:$T$4001,P$1))</f>
        <v/>
      </c>
      <c r="Q590" s="49">
        <f>IF(OR($AE590&lt;&gt;1,Q$1=""),"",SUMIFS('All Donations'!$S$2:$S$4001,'All Donations'!$R$2:$R$4001,$AD590,'All Donations'!$T$2:$T$4001,Q$1))</f>
        <v/>
      </c>
      <c r="R590" s="49">
        <f>IF(OR($AE590&lt;&gt;1,R$1=""),"",SUMIFS('All Donations'!$S$2:$S$4001,'All Donations'!$R$2:$R$4001,$AD590,'All Donations'!$T$2:$T$4001,R$1))</f>
        <v/>
      </c>
      <c r="S590" s="49">
        <f>IF(OR($AE590&lt;&gt;1,S$1=""),"",SUMIFS('All Donations'!$S$2:$S$4001,'All Donations'!$R$2:$R$4001,$AD590,'All Donations'!$T$2:$T$4001,S$1))</f>
        <v/>
      </c>
      <c r="T590" s="49">
        <f>IF(OR($AE590&lt;&gt;1,T$1=""),"",SUMIFS('All Donations'!$S$2:$S$4001,'All Donations'!$R$2:$R$4001,$AD590,'All Donations'!$T$2:$T$4001,T$1))</f>
        <v/>
      </c>
      <c r="U590" s="49">
        <f>IF(OR($AE590&lt;&gt;1,U$1=""),"",SUMIFS('All Donations'!$S$2:$S$4001,'All Donations'!$R$2:$R$4001,$AD590,'All Donations'!$T$2:$T$4001,U$1))</f>
        <v/>
      </c>
      <c r="V590" s="49">
        <f>IF(OR($AE590&lt;&gt;1,V$1=""),"",SUMIFS('All Donations'!$S$2:$S$4001,'All Donations'!$R$2:$R$4001,$AD590,'All Donations'!$T$2:$T$4001,V$1))</f>
        <v/>
      </c>
      <c r="W590" s="49">
        <f>IF(OR($AE590&lt;&gt;1,W$1=""),"",SUMIFS('All Donations'!$S$2:$S$4001,'All Donations'!$R$2:$R$4001,$AD590,'All Donations'!$T$2:$T$4001,W$1))</f>
        <v/>
      </c>
      <c r="X590" s="49">
        <f>IF(OR($AE590&lt;&gt;1,X$1=""),"",SUMIFS('All Donations'!$S$2:$S$4001,'All Donations'!$R$2:$R$4001,$AD590,'All Donations'!$T$2:$T$4001,X$1))</f>
        <v/>
      </c>
      <c r="Y590" s="49">
        <f>IF(OR($AE590&lt;&gt;1,Y$1=""),"",SUMIFS('All Donations'!$S$2:$S$4001,'All Donations'!$R$2:$R$4001,$AD590,'All Donations'!$T$2:$T$4001,Y$1))</f>
        <v/>
      </c>
      <c r="Z590" s="49">
        <f>IF(OR($AE590&lt;&gt;1,Z$1=""),"",SUMIFS('All Donations'!$S$2:$S$4001,'All Donations'!$R$2:$R$4001,$AD590,'All Donations'!$T$2:$T$4001,Z$1))</f>
        <v/>
      </c>
      <c r="AA590" s="49">
        <f>IF(OR($AE590&lt;&gt;1,AA$1=""),"",SUMIFS('All Donations'!$S$2:$S$4001,'All Donations'!$R$2:$R$4001,$AD590,'All Donations'!$T$2:$T$4001,AA$1))</f>
        <v/>
      </c>
      <c r="AB590" s="49">
        <f>IF(OR($AE590&lt;&gt;1,AB$1=""),"",SUMIFS('All Donations'!$S$2:$S$4001,'All Donations'!$R$2:$R$4001,$AD590,'All Donations'!$T$2:$T$4001,AB$1))</f>
        <v/>
      </c>
      <c r="AC590" s="49">
        <f>IF(OR($AE590&lt;&gt;1,AC$1=""),"",SUMIFS('All Donations'!$S$2:$S$4001,'All Donations'!$R$2:$R$4001,$AD590,'All Donations'!$T$2:$T$4001,AC$1))</f>
        <v/>
      </c>
      <c r="AD590">
        <f>IF(AE590=1,'Roster'!A590,"")</f>
        <v/>
      </c>
      <c r="AE590">
        <f>IF(TRIM('Roster'!B590&amp;'Roster'!C590)&lt;&gt;"",1,0)</f>
        <v/>
      </c>
      <c r="AF590">
        <f>IF(AE590=1,LOWER(A590),"#")</f>
        <v/>
      </c>
      <c r="AG590">
        <f>IF(AE590=1,LOWER(TRIM(TRIM('Roster'!C590)&amp;", "&amp;TRIM('Roster'!B590))),"#")</f>
        <v/>
      </c>
      <c r="AH590">
        <f>IF(AND(AE590=1,TRIM('Roster'!F590)&lt;&gt;""),LOWER(TRIM('Roster'!F590)),"#")</f>
        <v/>
      </c>
      <c r="AI590">
        <f>IF(AE590=1,IF(MATCH(B590,$B$2:$B$701,0)=ROW()-1,1,0),0)</f>
        <v/>
      </c>
      <c r="AJ590">
        <f>AJ589+AI590</f>
        <v/>
      </c>
      <c r="AK590">
        <f>IF(AE590=1,D590+(1000-ROW())/10^7,-1)</f>
        <v/>
      </c>
      <c r="AL590">
        <f>IF(AE590=1,TRIM('Roster'!B590)&amp;" "&amp;LEFT(TRIM('Roster'!C590),1)&amp;".","")</f>
        <v/>
      </c>
      <c r="AM590">
        <f>IF(AE590=1,TRIM('Roster'!C590)&amp;", "&amp;TRIM('Roster'!B590)&amp;" ("&amp;B590&amp;") #"&amp;AD590,"")</f>
        <v/>
      </c>
      <c r="AN590">
        <f>IF(AE590=1,TRIM('Roster'!E590),"")</f>
        <v/>
      </c>
      <c r="AO590">
        <f>IF(AE590=1,ROUND(SUMIFS('All Donations'!$S$2:$S$4001,'All Donations'!$R$2:$R$4001,AD590,'All Donations'!$T$2:$T$4001,"&gt;="&amp;'Settings'!$C$23,'All Donations'!$T$2:$T$4001,"&lt;="&amp;'Settings'!$D$23),2),0)</f>
        <v/>
      </c>
      <c r="AQ590">
        <f>IF(AE590=1,ROUND(SUMIFS('All Donations'!$S$2:$S$4001,'All Donations'!$R$2:$R$4001,AD590,'All Donations'!$T$2:$T$4001,"&gt;="&amp;'Settings'!$C$25,'All Donations'!$T$2:$T$4001,"&lt;="&amp;'Settings'!$D$25),2),0)</f>
        <v/>
      </c>
      <c r="AR590">
        <f>IF(AE590=1,ROUND(SUMIFS('All Donations'!$S$2:$S$4001,'All Donations'!$R$2:$R$4001,AD590,'All Donations'!$T$2:$T$4001,"&gt;="&amp;'Settings'!$C$26,'All Donations'!$T$2:$T$4001,"&lt;="&amp;'Settings'!$D$26),2),0)</f>
        <v/>
      </c>
      <c r="AS590">
        <f>IF(AE590=1,ROUND(SUMIFS('All Donations'!$S$2:$S$4001,'All Donations'!$R$2:$R$4001,AD590,'All Donations'!$T$2:$T$4001,"&lt;="&amp;'Settings'!$D$27),2),0)</f>
        <v/>
      </c>
      <c r="AT590">
        <f>IF(AE590=1,ROUND(SUMIFS('All Donations'!$S$2:$S$4001,'All Donations'!$R$2:$R$4001,AD590,'All Donations'!$T$2:$T$4001,"&gt;="&amp;'Settings'!$C$28,'All Donations'!$T$2:$T$4001,"&lt;="&amp;'Settings'!$D$28),2),0)</f>
        <v/>
      </c>
      <c r="AU590">
        <f>IF(AE590=1,ROUND(SUMIFS('All Donations'!$S$2:$S$4001,'All Donations'!$R$2:$R$4001,AD590,'All Donations'!$T$2:$T$4001,"&gt;="&amp;'Settings'!$C$29,'All Donations'!$T$2:$T$4001,"&lt;="&amp;'Settings'!$D$29),2),0)</f>
        <v/>
      </c>
      <c r="AV590">
        <f>IF(AE590=1,ROUND(SUMIFS('All Donations'!$S$2:$S$4001,'All Donations'!$R$2:$R$4001,AD590,'All Donations'!$T$2:$T$4001,"&lt;="&amp;'Settings'!$D$30),2),0)</f>
        <v/>
      </c>
      <c r="AZ590">
        <f>IF(AE590=1,ROUND(SUMIFS('All Donations'!$S$2:$S$4001,'All Donations'!$R$2:$R$4001,AD590,'All Donations'!$T$2:$T$4001,"&lt;="&amp;'Settings'!$D$34),2),0)</f>
        <v/>
      </c>
    </row>
    <row r="591">
      <c r="A591">
        <f>IF(AE591=1,TRIM(TRIM('Roster'!B591)&amp;" "&amp;TRIM('Roster'!C591)),"")</f>
        <v/>
      </c>
      <c r="B591">
        <f>IF(AE591=1,IF(AN591="","(no teacher)",AN591&amp;" – "&amp;C591),"")</f>
        <v/>
      </c>
      <c r="C591">
        <f>IF(AE591=1,TRIM('Roster'!D591&amp;""),"")</f>
        <v/>
      </c>
      <c r="D591" s="48">
        <f>IF(AE591=1,ROUND(SUMIFS('All Donations'!$S$2:$S$4001,'All Donations'!$R$2:$R$4001,AD591),2),"")</f>
        <v/>
      </c>
      <c r="E591" s="48">
        <f>IF(AE591=1,ROUND(SUMIFS('All Donations'!$S$2:$S$4001,'All Donations'!$R$2:$R$4001,AD591,'All Donations'!$G$2:$G$4001,"OneCause"),2),"")</f>
        <v/>
      </c>
      <c r="F591" s="48">
        <f>IF(AE591=1,D591-E591,"")</f>
        <v/>
      </c>
      <c r="G591">
        <f>IF(AE591=1,COUNTIFS('All Donations'!$R$2:$R$4001,AD591,'All Donations'!$H$2:$H$4001,"OK"),"")</f>
        <v/>
      </c>
      <c r="H591">
        <f>IF(AE591&lt;&gt;1,"",IF(D591&gt;0,"Yes",""))</f>
        <v/>
      </c>
      <c r="I591" s="49">
        <f>IF(OR($AE591&lt;&gt;1,I$1=""),"",SUMIFS('All Donations'!$S$2:$S$4001,'All Donations'!$R$2:$R$4001,$AD591,'All Donations'!$T$2:$T$4001,I$1))</f>
        <v/>
      </c>
      <c r="J591" s="49">
        <f>IF(OR($AE591&lt;&gt;1,J$1=""),"",SUMIFS('All Donations'!$S$2:$S$4001,'All Donations'!$R$2:$R$4001,$AD591,'All Donations'!$T$2:$T$4001,J$1))</f>
        <v/>
      </c>
      <c r="K591" s="49">
        <f>IF(OR($AE591&lt;&gt;1,K$1=""),"",SUMIFS('All Donations'!$S$2:$S$4001,'All Donations'!$R$2:$R$4001,$AD591,'All Donations'!$T$2:$T$4001,K$1))</f>
        <v/>
      </c>
      <c r="L591" s="49">
        <f>IF(OR($AE591&lt;&gt;1,L$1=""),"",SUMIFS('All Donations'!$S$2:$S$4001,'All Donations'!$R$2:$R$4001,$AD591,'All Donations'!$T$2:$T$4001,L$1))</f>
        <v/>
      </c>
      <c r="M591" s="49">
        <f>IF(OR($AE591&lt;&gt;1,M$1=""),"",SUMIFS('All Donations'!$S$2:$S$4001,'All Donations'!$R$2:$R$4001,$AD591,'All Donations'!$T$2:$T$4001,M$1))</f>
        <v/>
      </c>
      <c r="N591" s="49">
        <f>IF(OR($AE591&lt;&gt;1,N$1=""),"",SUMIFS('All Donations'!$S$2:$S$4001,'All Donations'!$R$2:$R$4001,$AD591,'All Donations'!$T$2:$T$4001,N$1))</f>
        <v/>
      </c>
      <c r="O591" s="49">
        <f>IF(OR($AE591&lt;&gt;1,O$1=""),"",SUMIFS('All Donations'!$S$2:$S$4001,'All Donations'!$R$2:$R$4001,$AD591,'All Donations'!$T$2:$T$4001,O$1))</f>
        <v/>
      </c>
      <c r="P591" s="49">
        <f>IF(OR($AE591&lt;&gt;1,P$1=""),"",SUMIFS('All Donations'!$S$2:$S$4001,'All Donations'!$R$2:$R$4001,$AD591,'All Donations'!$T$2:$T$4001,P$1))</f>
        <v/>
      </c>
      <c r="Q591" s="49">
        <f>IF(OR($AE591&lt;&gt;1,Q$1=""),"",SUMIFS('All Donations'!$S$2:$S$4001,'All Donations'!$R$2:$R$4001,$AD591,'All Donations'!$T$2:$T$4001,Q$1))</f>
        <v/>
      </c>
      <c r="R591" s="49">
        <f>IF(OR($AE591&lt;&gt;1,R$1=""),"",SUMIFS('All Donations'!$S$2:$S$4001,'All Donations'!$R$2:$R$4001,$AD591,'All Donations'!$T$2:$T$4001,R$1))</f>
        <v/>
      </c>
      <c r="S591" s="49">
        <f>IF(OR($AE591&lt;&gt;1,S$1=""),"",SUMIFS('All Donations'!$S$2:$S$4001,'All Donations'!$R$2:$R$4001,$AD591,'All Donations'!$T$2:$T$4001,S$1))</f>
        <v/>
      </c>
      <c r="T591" s="49">
        <f>IF(OR($AE591&lt;&gt;1,T$1=""),"",SUMIFS('All Donations'!$S$2:$S$4001,'All Donations'!$R$2:$R$4001,$AD591,'All Donations'!$T$2:$T$4001,T$1))</f>
        <v/>
      </c>
      <c r="U591" s="49">
        <f>IF(OR($AE591&lt;&gt;1,U$1=""),"",SUMIFS('All Donations'!$S$2:$S$4001,'All Donations'!$R$2:$R$4001,$AD591,'All Donations'!$T$2:$T$4001,U$1))</f>
        <v/>
      </c>
      <c r="V591" s="49">
        <f>IF(OR($AE591&lt;&gt;1,V$1=""),"",SUMIFS('All Donations'!$S$2:$S$4001,'All Donations'!$R$2:$R$4001,$AD591,'All Donations'!$T$2:$T$4001,V$1))</f>
        <v/>
      </c>
      <c r="W591" s="49">
        <f>IF(OR($AE591&lt;&gt;1,W$1=""),"",SUMIFS('All Donations'!$S$2:$S$4001,'All Donations'!$R$2:$R$4001,$AD591,'All Donations'!$T$2:$T$4001,W$1))</f>
        <v/>
      </c>
      <c r="X591" s="49">
        <f>IF(OR($AE591&lt;&gt;1,X$1=""),"",SUMIFS('All Donations'!$S$2:$S$4001,'All Donations'!$R$2:$R$4001,$AD591,'All Donations'!$T$2:$T$4001,X$1))</f>
        <v/>
      </c>
      <c r="Y591" s="49">
        <f>IF(OR($AE591&lt;&gt;1,Y$1=""),"",SUMIFS('All Donations'!$S$2:$S$4001,'All Donations'!$R$2:$R$4001,$AD591,'All Donations'!$T$2:$T$4001,Y$1))</f>
        <v/>
      </c>
      <c r="Z591" s="49">
        <f>IF(OR($AE591&lt;&gt;1,Z$1=""),"",SUMIFS('All Donations'!$S$2:$S$4001,'All Donations'!$R$2:$R$4001,$AD591,'All Donations'!$T$2:$T$4001,Z$1))</f>
        <v/>
      </c>
      <c r="AA591" s="49">
        <f>IF(OR($AE591&lt;&gt;1,AA$1=""),"",SUMIFS('All Donations'!$S$2:$S$4001,'All Donations'!$R$2:$R$4001,$AD591,'All Donations'!$T$2:$T$4001,AA$1))</f>
        <v/>
      </c>
      <c r="AB591" s="49">
        <f>IF(OR($AE591&lt;&gt;1,AB$1=""),"",SUMIFS('All Donations'!$S$2:$S$4001,'All Donations'!$R$2:$R$4001,$AD591,'All Donations'!$T$2:$T$4001,AB$1))</f>
        <v/>
      </c>
      <c r="AC591" s="49">
        <f>IF(OR($AE591&lt;&gt;1,AC$1=""),"",SUMIFS('All Donations'!$S$2:$S$4001,'All Donations'!$R$2:$R$4001,$AD591,'All Donations'!$T$2:$T$4001,AC$1))</f>
        <v/>
      </c>
      <c r="AD591">
        <f>IF(AE591=1,'Roster'!A591,"")</f>
        <v/>
      </c>
      <c r="AE591">
        <f>IF(TRIM('Roster'!B591&amp;'Roster'!C591)&lt;&gt;"",1,0)</f>
        <v/>
      </c>
      <c r="AF591">
        <f>IF(AE591=1,LOWER(A591),"#")</f>
        <v/>
      </c>
      <c r="AG591">
        <f>IF(AE591=1,LOWER(TRIM(TRIM('Roster'!C591)&amp;", "&amp;TRIM('Roster'!B591))),"#")</f>
        <v/>
      </c>
      <c r="AH591">
        <f>IF(AND(AE591=1,TRIM('Roster'!F591)&lt;&gt;""),LOWER(TRIM('Roster'!F591)),"#")</f>
        <v/>
      </c>
      <c r="AI591">
        <f>IF(AE591=1,IF(MATCH(B591,$B$2:$B$701,0)=ROW()-1,1,0),0)</f>
        <v/>
      </c>
      <c r="AJ591">
        <f>AJ590+AI591</f>
        <v/>
      </c>
      <c r="AK591">
        <f>IF(AE591=1,D591+(1000-ROW())/10^7,-1)</f>
        <v/>
      </c>
      <c r="AL591">
        <f>IF(AE591=1,TRIM('Roster'!B591)&amp;" "&amp;LEFT(TRIM('Roster'!C591),1)&amp;".","")</f>
        <v/>
      </c>
      <c r="AM591">
        <f>IF(AE591=1,TRIM('Roster'!C591)&amp;", "&amp;TRIM('Roster'!B591)&amp;" ("&amp;B591&amp;") #"&amp;AD591,"")</f>
        <v/>
      </c>
      <c r="AN591">
        <f>IF(AE591=1,TRIM('Roster'!E591),"")</f>
        <v/>
      </c>
      <c r="AO591">
        <f>IF(AE591=1,ROUND(SUMIFS('All Donations'!$S$2:$S$4001,'All Donations'!$R$2:$R$4001,AD591,'All Donations'!$T$2:$T$4001,"&gt;="&amp;'Settings'!$C$23,'All Donations'!$T$2:$T$4001,"&lt;="&amp;'Settings'!$D$23),2),0)</f>
        <v/>
      </c>
      <c r="AQ591">
        <f>IF(AE591=1,ROUND(SUMIFS('All Donations'!$S$2:$S$4001,'All Donations'!$R$2:$R$4001,AD591,'All Donations'!$T$2:$T$4001,"&gt;="&amp;'Settings'!$C$25,'All Donations'!$T$2:$T$4001,"&lt;="&amp;'Settings'!$D$25),2),0)</f>
        <v/>
      </c>
      <c r="AR591">
        <f>IF(AE591=1,ROUND(SUMIFS('All Donations'!$S$2:$S$4001,'All Donations'!$R$2:$R$4001,AD591,'All Donations'!$T$2:$T$4001,"&gt;="&amp;'Settings'!$C$26,'All Donations'!$T$2:$T$4001,"&lt;="&amp;'Settings'!$D$26),2),0)</f>
        <v/>
      </c>
      <c r="AS591">
        <f>IF(AE591=1,ROUND(SUMIFS('All Donations'!$S$2:$S$4001,'All Donations'!$R$2:$R$4001,AD591,'All Donations'!$T$2:$T$4001,"&lt;="&amp;'Settings'!$D$27),2),0)</f>
        <v/>
      </c>
      <c r="AT591">
        <f>IF(AE591=1,ROUND(SUMIFS('All Donations'!$S$2:$S$4001,'All Donations'!$R$2:$R$4001,AD591,'All Donations'!$T$2:$T$4001,"&gt;="&amp;'Settings'!$C$28,'All Donations'!$T$2:$T$4001,"&lt;="&amp;'Settings'!$D$28),2),0)</f>
        <v/>
      </c>
      <c r="AU591">
        <f>IF(AE591=1,ROUND(SUMIFS('All Donations'!$S$2:$S$4001,'All Donations'!$R$2:$R$4001,AD591,'All Donations'!$T$2:$T$4001,"&gt;="&amp;'Settings'!$C$29,'All Donations'!$T$2:$T$4001,"&lt;="&amp;'Settings'!$D$29),2),0)</f>
        <v/>
      </c>
      <c r="AV591">
        <f>IF(AE591=1,ROUND(SUMIFS('All Donations'!$S$2:$S$4001,'All Donations'!$R$2:$R$4001,AD591,'All Donations'!$T$2:$T$4001,"&lt;="&amp;'Settings'!$D$30),2),0)</f>
        <v/>
      </c>
      <c r="AZ591">
        <f>IF(AE591=1,ROUND(SUMIFS('All Donations'!$S$2:$S$4001,'All Donations'!$R$2:$R$4001,AD591,'All Donations'!$T$2:$T$4001,"&lt;="&amp;'Settings'!$D$34),2),0)</f>
        <v/>
      </c>
    </row>
    <row r="592">
      <c r="A592">
        <f>IF(AE592=1,TRIM(TRIM('Roster'!B592)&amp;" "&amp;TRIM('Roster'!C592)),"")</f>
        <v/>
      </c>
      <c r="B592">
        <f>IF(AE592=1,IF(AN592="","(no teacher)",AN592&amp;" – "&amp;C592),"")</f>
        <v/>
      </c>
      <c r="C592">
        <f>IF(AE592=1,TRIM('Roster'!D592&amp;""),"")</f>
        <v/>
      </c>
      <c r="D592" s="48">
        <f>IF(AE592=1,ROUND(SUMIFS('All Donations'!$S$2:$S$4001,'All Donations'!$R$2:$R$4001,AD592),2),"")</f>
        <v/>
      </c>
      <c r="E592" s="48">
        <f>IF(AE592=1,ROUND(SUMIFS('All Donations'!$S$2:$S$4001,'All Donations'!$R$2:$R$4001,AD592,'All Donations'!$G$2:$G$4001,"OneCause"),2),"")</f>
        <v/>
      </c>
      <c r="F592" s="48">
        <f>IF(AE592=1,D592-E592,"")</f>
        <v/>
      </c>
      <c r="G592">
        <f>IF(AE592=1,COUNTIFS('All Donations'!$R$2:$R$4001,AD592,'All Donations'!$H$2:$H$4001,"OK"),"")</f>
        <v/>
      </c>
      <c r="H592">
        <f>IF(AE592&lt;&gt;1,"",IF(D592&gt;0,"Yes",""))</f>
        <v/>
      </c>
      <c r="I592" s="49">
        <f>IF(OR($AE592&lt;&gt;1,I$1=""),"",SUMIFS('All Donations'!$S$2:$S$4001,'All Donations'!$R$2:$R$4001,$AD592,'All Donations'!$T$2:$T$4001,I$1))</f>
        <v/>
      </c>
      <c r="J592" s="49">
        <f>IF(OR($AE592&lt;&gt;1,J$1=""),"",SUMIFS('All Donations'!$S$2:$S$4001,'All Donations'!$R$2:$R$4001,$AD592,'All Donations'!$T$2:$T$4001,J$1))</f>
        <v/>
      </c>
      <c r="K592" s="49">
        <f>IF(OR($AE592&lt;&gt;1,K$1=""),"",SUMIFS('All Donations'!$S$2:$S$4001,'All Donations'!$R$2:$R$4001,$AD592,'All Donations'!$T$2:$T$4001,K$1))</f>
        <v/>
      </c>
      <c r="L592" s="49">
        <f>IF(OR($AE592&lt;&gt;1,L$1=""),"",SUMIFS('All Donations'!$S$2:$S$4001,'All Donations'!$R$2:$R$4001,$AD592,'All Donations'!$T$2:$T$4001,L$1))</f>
        <v/>
      </c>
      <c r="M592" s="49">
        <f>IF(OR($AE592&lt;&gt;1,M$1=""),"",SUMIFS('All Donations'!$S$2:$S$4001,'All Donations'!$R$2:$R$4001,$AD592,'All Donations'!$T$2:$T$4001,M$1))</f>
        <v/>
      </c>
      <c r="N592" s="49">
        <f>IF(OR($AE592&lt;&gt;1,N$1=""),"",SUMIFS('All Donations'!$S$2:$S$4001,'All Donations'!$R$2:$R$4001,$AD592,'All Donations'!$T$2:$T$4001,N$1))</f>
        <v/>
      </c>
      <c r="O592" s="49">
        <f>IF(OR($AE592&lt;&gt;1,O$1=""),"",SUMIFS('All Donations'!$S$2:$S$4001,'All Donations'!$R$2:$R$4001,$AD592,'All Donations'!$T$2:$T$4001,O$1))</f>
        <v/>
      </c>
      <c r="P592" s="49">
        <f>IF(OR($AE592&lt;&gt;1,P$1=""),"",SUMIFS('All Donations'!$S$2:$S$4001,'All Donations'!$R$2:$R$4001,$AD592,'All Donations'!$T$2:$T$4001,P$1))</f>
        <v/>
      </c>
      <c r="Q592" s="49">
        <f>IF(OR($AE592&lt;&gt;1,Q$1=""),"",SUMIFS('All Donations'!$S$2:$S$4001,'All Donations'!$R$2:$R$4001,$AD592,'All Donations'!$T$2:$T$4001,Q$1))</f>
        <v/>
      </c>
      <c r="R592" s="49">
        <f>IF(OR($AE592&lt;&gt;1,R$1=""),"",SUMIFS('All Donations'!$S$2:$S$4001,'All Donations'!$R$2:$R$4001,$AD592,'All Donations'!$T$2:$T$4001,R$1))</f>
        <v/>
      </c>
      <c r="S592" s="49">
        <f>IF(OR($AE592&lt;&gt;1,S$1=""),"",SUMIFS('All Donations'!$S$2:$S$4001,'All Donations'!$R$2:$R$4001,$AD592,'All Donations'!$T$2:$T$4001,S$1))</f>
        <v/>
      </c>
      <c r="T592" s="49">
        <f>IF(OR($AE592&lt;&gt;1,T$1=""),"",SUMIFS('All Donations'!$S$2:$S$4001,'All Donations'!$R$2:$R$4001,$AD592,'All Donations'!$T$2:$T$4001,T$1))</f>
        <v/>
      </c>
      <c r="U592" s="49">
        <f>IF(OR($AE592&lt;&gt;1,U$1=""),"",SUMIFS('All Donations'!$S$2:$S$4001,'All Donations'!$R$2:$R$4001,$AD592,'All Donations'!$T$2:$T$4001,U$1))</f>
        <v/>
      </c>
      <c r="V592" s="49">
        <f>IF(OR($AE592&lt;&gt;1,V$1=""),"",SUMIFS('All Donations'!$S$2:$S$4001,'All Donations'!$R$2:$R$4001,$AD592,'All Donations'!$T$2:$T$4001,V$1))</f>
        <v/>
      </c>
      <c r="W592" s="49">
        <f>IF(OR($AE592&lt;&gt;1,W$1=""),"",SUMIFS('All Donations'!$S$2:$S$4001,'All Donations'!$R$2:$R$4001,$AD592,'All Donations'!$T$2:$T$4001,W$1))</f>
        <v/>
      </c>
      <c r="X592" s="49">
        <f>IF(OR($AE592&lt;&gt;1,X$1=""),"",SUMIFS('All Donations'!$S$2:$S$4001,'All Donations'!$R$2:$R$4001,$AD592,'All Donations'!$T$2:$T$4001,X$1))</f>
        <v/>
      </c>
      <c r="Y592" s="49">
        <f>IF(OR($AE592&lt;&gt;1,Y$1=""),"",SUMIFS('All Donations'!$S$2:$S$4001,'All Donations'!$R$2:$R$4001,$AD592,'All Donations'!$T$2:$T$4001,Y$1))</f>
        <v/>
      </c>
      <c r="Z592" s="49">
        <f>IF(OR($AE592&lt;&gt;1,Z$1=""),"",SUMIFS('All Donations'!$S$2:$S$4001,'All Donations'!$R$2:$R$4001,$AD592,'All Donations'!$T$2:$T$4001,Z$1))</f>
        <v/>
      </c>
      <c r="AA592" s="49">
        <f>IF(OR($AE592&lt;&gt;1,AA$1=""),"",SUMIFS('All Donations'!$S$2:$S$4001,'All Donations'!$R$2:$R$4001,$AD592,'All Donations'!$T$2:$T$4001,AA$1))</f>
        <v/>
      </c>
      <c r="AB592" s="49">
        <f>IF(OR($AE592&lt;&gt;1,AB$1=""),"",SUMIFS('All Donations'!$S$2:$S$4001,'All Donations'!$R$2:$R$4001,$AD592,'All Donations'!$T$2:$T$4001,AB$1))</f>
        <v/>
      </c>
      <c r="AC592" s="49">
        <f>IF(OR($AE592&lt;&gt;1,AC$1=""),"",SUMIFS('All Donations'!$S$2:$S$4001,'All Donations'!$R$2:$R$4001,$AD592,'All Donations'!$T$2:$T$4001,AC$1))</f>
        <v/>
      </c>
      <c r="AD592">
        <f>IF(AE592=1,'Roster'!A592,"")</f>
        <v/>
      </c>
      <c r="AE592">
        <f>IF(TRIM('Roster'!B592&amp;'Roster'!C592)&lt;&gt;"",1,0)</f>
        <v/>
      </c>
      <c r="AF592">
        <f>IF(AE592=1,LOWER(A592),"#")</f>
        <v/>
      </c>
      <c r="AG592">
        <f>IF(AE592=1,LOWER(TRIM(TRIM('Roster'!C592)&amp;", "&amp;TRIM('Roster'!B592))),"#")</f>
        <v/>
      </c>
      <c r="AH592">
        <f>IF(AND(AE592=1,TRIM('Roster'!F592)&lt;&gt;""),LOWER(TRIM('Roster'!F592)),"#")</f>
        <v/>
      </c>
      <c r="AI592">
        <f>IF(AE592=1,IF(MATCH(B592,$B$2:$B$701,0)=ROW()-1,1,0),0)</f>
        <v/>
      </c>
      <c r="AJ592">
        <f>AJ591+AI592</f>
        <v/>
      </c>
      <c r="AK592">
        <f>IF(AE592=1,D592+(1000-ROW())/10^7,-1)</f>
        <v/>
      </c>
      <c r="AL592">
        <f>IF(AE592=1,TRIM('Roster'!B592)&amp;" "&amp;LEFT(TRIM('Roster'!C592),1)&amp;".","")</f>
        <v/>
      </c>
      <c r="AM592">
        <f>IF(AE592=1,TRIM('Roster'!C592)&amp;", "&amp;TRIM('Roster'!B592)&amp;" ("&amp;B592&amp;") #"&amp;AD592,"")</f>
        <v/>
      </c>
      <c r="AN592">
        <f>IF(AE592=1,TRIM('Roster'!E592),"")</f>
        <v/>
      </c>
      <c r="AO592">
        <f>IF(AE592=1,ROUND(SUMIFS('All Donations'!$S$2:$S$4001,'All Donations'!$R$2:$R$4001,AD592,'All Donations'!$T$2:$T$4001,"&gt;="&amp;'Settings'!$C$23,'All Donations'!$T$2:$T$4001,"&lt;="&amp;'Settings'!$D$23),2),0)</f>
        <v/>
      </c>
      <c r="AQ592">
        <f>IF(AE592=1,ROUND(SUMIFS('All Donations'!$S$2:$S$4001,'All Donations'!$R$2:$R$4001,AD592,'All Donations'!$T$2:$T$4001,"&gt;="&amp;'Settings'!$C$25,'All Donations'!$T$2:$T$4001,"&lt;="&amp;'Settings'!$D$25),2),0)</f>
        <v/>
      </c>
      <c r="AR592">
        <f>IF(AE592=1,ROUND(SUMIFS('All Donations'!$S$2:$S$4001,'All Donations'!$R$2:$R$4001,AD592,'All Donations'!$T$2:$T$4001,"&gt;="&amp;'Settings'!$C$26,'All Donations'!$T$2:$T$4001,"&lt;="&amp;'Settings'!$D$26),2),0)</f>
        <v/>
      </c>
      <c r="AS592">
        <f>IF(AE592=1,ROUND(SUMIFS('All Donations'!$S$2:$S$4001,'All Donations'!$R$2:$R$4001,AD592,'All Donations'!$T$2:$T$4001,"&lt;="&amp;'Settings'!$D$27),2),0)</f>
        <v/>
      </c>
      <c r="AT592">
        <f>IF(AE592=1,ROUND(SUMIFS('All Donations'!$S$2:$S$4001,'All Donations'!$R$2:$R$4001,AD592,'All Donations'!$T$2:$T$4001,"&gt;="&amp;'Settings'!$C$28,'All Donations'!$T$2:$T$4001,"&lt;="&amp;'Settings'!$D$28),2),0)</f>
        <v/>
      </c>
      <c r="AU592">
        <f>IF(AE592=1,ROUND(SUMIFS('All Donations'!$S$2:$S$4001,'All Donations'!$R$2:$R$4001,AD592,'All Donations'!$T$2:$T$4001,"&gt;="&amp;'Settings'!$C$29,'All Donations'!$T$2:$T$4001,"&lt;="&amp;'Settings'!$D$29),2),0)</f>
        <v/>
      </c>
      <c r="AV592">
        <f>IF(AE592=1,ROUND(SUMIFS('All Donations'!$S$2:$S$4001,'All Donations'!$R$2:$R$4001,AD592,'All Donations'!$T$2:$T$4001,"&lt;="&amp;'Settings'!$D$30),2),0)</f>
        <v/>
      </c>
      <c r="AZ592">
        <f>IF(AE592=1,ROUND(SUMIFS('All Donations'!$S$2:$S$4001,'All Donations'!$R$2:$R$4001,AD592,'All Donations'!$T$2:$T$4001,"&lt;="&amp;'Settings'!$D$34),2),0)</f>
        <v/>
      </c>
    </row>
    <row r="593">
      <c r="A593">
        <f>IF(AE593=1,TRIM(TRIM('Roster'!B593)&amp;" "&amp;TRIM('Roster'!C593)),"")</f>
        <v/>
      </c>
      <c r="B593">
        <f>IF(AE593=1,IF(AN593="","(no teacher)",AN593&amp;" – "&amp;C593),"")</f>
        <v/>
      </c>
      <c r="C593">
        <f>IF(AE593=1,TRIM('Roster'!D593&amp;""),"")</f>
        <v/>
      </c>
      <c r="D593" s="48">
        <f>IF(AE593=1,ROUND(SUMIFS('All Donations'!$S$2:$S$4001,'All Donations'!$R$2:$R$4001,AD593),2),"")</f>
        <v/>
      </c>
      <c r="E593" s="48">
        <f>IF(AE593=1,ROUND(SUMIFS('All Donations'!$S$2:$S$4001,'All Donations'!$R$2:$R$4001,AD593,'All Donations'!$G$2:$G$4001,"OneCause"),2),"")</f>
        <v/>
      </c>
      <c r="F593" s="48">
        <f>IF(AE593=1,D593-E593,"")</f>
        <v/>
      </c>
      <c r="G593">
        <f>IF(AE593=1,COUNTIFS('All Donations'!$R$2:$R$4001,AD593,'All Donations'!$H$2:$H$4001,"OK"),"")</f>
        <v/>
      </c>
      <c r="H593">
        <f>IF(AE593&lt;&gt;1,"",IF(D593&gt;0,"Yes",""))</f>
        <v/>
      </c>
      <c r="I593" s="49">
        <f>IF(OR($AE593&lt;&gt;1,I$1=""),"",SUMIFS('All Donations'!$S$2:$S$4001,'All Donations'!$R$2:$R$4001,$AD593,'All Donations'!$T$2:$T$4001,I$1))</f>
        <v/>
      </c>
      <c r="J593" s="49">
        <f>IF(OR($AE593&lt;&gt;1,J$1=""),"",SUMIFS('All Donations'!$S$2:$S$4001,'All Donations'!$R$2:$R$4001,$AD593,'All Donations'!$T$2:$T$4001,J$1))</f>
        <v/>
      </c>
      <c r="K593" s="49">
        <f>IF(OR($AE593&lt;&gt;1,K$1=""),"",SUMIFS('All Donations'!$S$2:$S$4001,'All Donations'!$R$2:$R$4001,$AD593,'All Donations'!$T$2:$T$4001,K$1))</f>
        <v/>
      </c>
      <c r="L593" s="49">
        <f>IF(OR($AE593&lt;&gt;1,L$1=""),"",SUMIFS('All Donations'!$S$2:$S$4001,'All Donations'!$R$2:$R$4001,$AD593,'All Donations'!$T$2:$T$4001,L$1))</f>
        <v/>
      </c>
      <c r="M593" s="49">
        <f>IF(OR($AE593&lt;&gt;1,M$1=""),"",SUMIFS('All Donations'!$S$2:$S$4001,'All Donations'!$R$2:$R$4001,$AD593,'All Donations'!$T$2:$T$4001,M$1))</f>
        <v/>
      </c>
      <c r="N593" s="49">
        <f>IF(OR($AE593&lt;&gt;1,N$1=""),"",SUMIFS('All Donations'!$S$2:$S$4001,'All Donations'!$R$2:$R$4001,$AD593,'All Donations'!$T$2:$T$4001,N$1))</f>
        <v/>
      </c>
      <c r="O593" s="49">
        <f>IF(OR($AE593&lt;&gt;1,O$1=""),"",SUMIFS('All Donations'!$S$2:$S$4001,'All Donations'!$R$2:$R$4001,$AD593,'All Donations'!$T$2:$T$4001,O$1))</f>
        <v/>
      </c>
      <c r="P593" s="49">
        <f>IF(OR($AE593&lt;&gt;1,P$1=""),"",SUMIFS('All Donations'!$S$2:$S$4001,'All Donations'!$R$2:$R$4001,$AD593,'All Donations'!$T$2:$T$4001,P$1))</f>
        <v/>
      </c>
      <c r="Q593" s="49">
        <f>IF(OR($AE593&lt;&gt;1,Q$1=""),"",SUMIFS('All Donations'!$S$2:$S$4001,'All Donations'!$R$2:$R$4001,$AD593,'All Donations'!$T$2:$T$4001,Q$1))</f>
        <v/>
      </c>
      <c r="R593" s="49">
        <f>IF(OR($AE593&lt;&gt;1,R$1=""),"",SUMIFS('All Donations'!$S$2:$S$4001,'All Donations'!$R$2:$R$4001,$AD593,'All Donations'!$T$2:$T$4001,R$1))</f>
        <v/>
      </c>
      <c r="S593" s="49">
        <f>IF(OR($AE593&lt;&gt;1,S$1=""),"",SUMIFS('All Donations'!$S$2:$S$4001,'All Donations'!$R$2:$R$4001,$AD593,'All Donations'!$T$2:$T$4001,S$1))</f>
        <v/>
      </c>
      <c r="T593" s="49">
        <f>IF(OR($AE593&lt;&gt;1,T$1=""),"",SUMIFS('All Donations'!$S$2:$S$4001,'All Donations'!$R$2:$R$4001,$AD593,'All Donations'!$T$2:$T$4001,T$1))</f>
        <v/>
      </c>
      <c r="U593" s="49">
        <f>IF(OR($AE593&lt;&gt;1,U$1=""),"",SUMIFS('All Donations'!$S$2:$S$4001,'All Donations'!$R$2:$R$4001,$AD593,'All Donations'!$T$2:$T$4001,U$1))</f>
        <v/>
      </c>
      <c r="V593" s="49">
        <f>IF(OR($AE593&lt;&gt;1,V$1=""),"",SUMIFS('All Donations'!$S$2:$S$4001,'All Donations'!$R$2:$R$4001,$AD593,'All Donations'!$T$2:$T$4001,V$1))</f>
        <v/>
      </c>
      <c r="W593" s="49">
        <f>IF(OR($AE593&lt;&gt;1,W$1=""),"",SUMIFS('All Donations'!$S$2:$S$4001,'All Donations'!$R$2:$R$4001,$AD593,'All Donations'!$T$2:$T$4001,W$1))</f>
        <v/>
      </c>
      <c r="X593" s="49">
        <f>IF(OR($AE593&lt;&gt;1,X$1=""),"",SUMIFS('All Donations'!$S$2:$S$4001,'All Donations'!$R$2:$R$4001,$AD593,'All Donations'!$T$2:$T$4001,X$1))</f>
        <v/>
      </c>
      <c r="Y593" s="49">
        <f>IF(OR($AE593&lt;&gt;1,Y$1=""),"",SUMIFS('All Donations'!$S$2:$S$4001,'All Donations'!$R$2:$R$4001,$AD593,'All Donations'!$T$2:$T$4001,Y$1))</f>
        <v/>
      </c>
      <c r="Z593" s="49">
        <f>IF(OR($AE593&lt;&gt;1,Z$1=""),"",SUMIFS('All Donations'!$S$2:$S$4001,'All Donations'!$R$2:$R$4001,$AD593,'All Donations'!$T$2:$T$4001,Z$1))</f>
        <v/>
      </c>
      <c r="AA593" s="49">
        <f>IF(OR($AE593&lt;&gt;1,AA$1=""),"",SUMIFS('All Donations'!$S$2:$S$4001,'All Donations'!$R$2:$R$4001,$AD593,'All Donations'!$T$2:$T$4001,AA$1))</f>
        <v/>
      </c>
      <c r="AB593" s="49">
        <f>IF(OR($AE593&lt;&gt;1,AB$1=""),"",SUMIFS('All Donations'!$S$2:$S$4001,'All Donations'!$R$2:$R$4001,$AD593,'All Donations'!$T$2:$T$4001,AB$1))</f>
        <v/>
      </c>
      <c r="AC593" s="49">
        <f>IF(OR($AE593&lt;&gt;1,AC$1=""),"",SUMIFS('All Donations'!$S$2:$S$4001,'All Donations'!$R$2:$R$4001,$AD593,'All Donations'!$T$2:$T$4001,AC$1))</f>
        <v/>
      </c>
      <c r="AD593">
        <f>IF(AE593=1,'Roster'!A593,"")</f>
        <v/>
      </c>
      <c r="AE593">
        <f>IF(TRIM('Roster'!B593&amp;'Roster'!C593)&lt;&gt;"",1,0)</f>
        <v/>
      </c>
      <c r="AF593">
        <f>IF(AE593=1,LOWER(A593),"#")</f>
        <v/>
      </c>
      <c r="AG593">
        <f>IF(AE593=1,LOWER(TRIM(TRIM('Roster'!C593)&amp;", "&amp;TRIM('Roster'!B593))),"#")</f>
        <v/>
      </c>
      <c r="AH593">
        <f>IF(AND(AE593=1,TRIM('Roster'!F593)&lt;&gt;""),LOWER(TRIM('Roster'!F593)),"#")</f>
        <v/>
      </c>
      <c r="AI593">
        <f>IF(AE593=1,IF(MATCH(B593,$B$2:$B$701,0)=ROW()-1,1,0),0)</f>
        <v/>
      </c>
      <c r="AJ593">
        <f>AJ592+AI593</f>
        <v/>
      </c>
      <c r="AK593">
        <f>IF(AE593=1,D593+(1000-ROW())/10^7,-1)</f>
        <v/>
      </c>
      <c r="AL593">
        <f>IF(AE593=1,TRIM('Roster'!B593)&amp;" "&amp;LEFT(TRIM('Roster'!C593),1)&amp;".","")</f>
        <v/>
      </c>
      <c r="AM593">
        <f>IF(AE593=1,TRIM('Roster'!C593)&amp;", "&amp;TRIM('Roster'!B593)&amp;" ("&amp;B593&amp;") #"&amp;AD593,"")</f>
        <v/>
      </c>
      <c r="AN593">
        <f>IF(AE593=1,TRIM('Roster'!E593),"")</f>
        <v/>
      </c>
      <c r="AO593">
        <f>IF(AE593=1,ROUND(SUMIFS('All Donations'!$S$2:$S$4001,'All Donations'!$R$2:$R$4001,AD593,'All Donations'!$T$2:$T$4001,"&gt;="&amp;'Settings'!$C$23,'All Donations'!$T$2:$T$4001,"&lt;="&amp;'Settings'!$D$23),2),0)</f>
        <v/>
      </c>
      <c r="AQ593">
        <f>IF(AE593=1,ROUND(SUMIFS('All Donations'!$S$2:$S$4001,'All Donations'!$R$2:$R$4001,AD593,'All Donations'!$T$2:$T$4001,"&gt;="&amp;'Settings'!$C$25,'All Donations'!$T$2:$T$4001,"&lt;="&amp;'Settings'!$D$25),2),0)</f>
        <v/>
      </c>
      <c r="AR593">
        <f>IF(AE593=1,ROUND(SUMIFS('All Donations'!$S$2:$S$4001,'All Donations'!$R$2:$R$4001,AD593,'All Donations'!$T$2:$T$4001,"&gt;="&amp;'Settings'!$C$26,'All Donations'!$T$2:$T$4001,"&lt;="&amp;'Settings'!$D$26),2),0)</f>
        <v/>
      </c>
      <c r="AS593">
        <f>IF(AE593=1,ROUND(SUMIFS('All Donations'!$S$2:$S$4001,'All Donations'!$R$2:$R$4001,AD593,'All Donations'!$T$2:$T$4001,"&lt;="&amp;'Settings'!$D$27),2),0)</f>
        <v/>
      </c>
      <c r="AT593">
        <f>IF(AE593=1,ROUND(SUMIFS('All Donations'!$S$2:$S$4001,'All Donations'!$R$2:$R$4001,AD593,'All Donations'!$T$2:$T$4001,"&gt;="&amp;'Settings'!$C$28,'All Donations'!$T$2:$T$4001,"&lt;="&amp;'Settings'!$D$28),2),0)</f>
        <v/>
      </c>
      <c r="AU593">
        <f>IF(AE593=1,ROUND(SUMIFS('All Donations'!$S$2:$S$4001,'All Donations'!$R$2:$R$4001,AD593,'All Donations'!$T$2:$T$4001,"&gt;="&amp;'Settings'!$C$29,'All Donations'!$T$2:$T$4001,"&lt;="&amp;'Settings'!$D$29),2),0)</f>
        <v/>
      </c>
      <c r="AV593">
        <f>IF(AE593=1,ROUND(SUMIFS('All Donations'!$S$2:$S$4001,'All Donations'!$R$2:$R$4001,AD593,'All Donations'!$T$2:$T$4001,"&lt;="&amp;'Settings'!$D$30),2),0)</f>
        <v/>
      </c>
      <c r="AZ593">
        <f>IF(AE593=1,ROUND(SUMIFS('All Donations'!$S$2:$S$4001,'All Donations'!$R$2:$R$4001,AD593,'All Donations'!$T$2:$T$4001,"&lt;="&amp;'Settings'!$D$34),2),0)</f>
        <v/>
      </c>
    </row>
    <row r="594">
      <c r="A594">
        <f>IF(AE594=1,TRIM(TRIM('Roster'!B594)&amp;" "&amp;TRIM('Roster'!C594)),"")</f>
        <v/>
      </c>
      <c r="B594">
        <f>IF(AE594=1,IF(AN594="","(no teacher)",AN594&amp;" – "&amp;C594),"")</f>
        <v/>
      </c>
      <c r="C594">
        <f>IF(AE594=1,TRIM('Roster'!D594&amp;""),"")</f>
        <v/>
      </c>
      <c r="D594" s="48">
        <f>IF(AE594=1,ROUND(SUMIFS('All Donations'!$S$2:$S$4001,'All Donations'!$R$2:$R$4001,AD594),2),"")</f>
        <v/>
      </c>
      <c r="E594" s="48">
        <f>IF(AE594=1,ROUND(SUMIFS('All Donations'!$S$2:$S$4001,'All Donations'!$R$2:$R$4001,AD594,'All Donations'!$G$2:$G$4001,"OneCause"),2),"")</f>
        <v/>
      </c>
      <c r="F594" s="48">
        <f>IF(AE594=1,D594-E594,"")</f>
        <v/>
      </c>
      <c r="G594">
        <f>IF(AE594=1,COUNTIFS('All Donations'!$R$2:$R$4001,AD594,'All Donations'!$H$2:$H$4001,"OK"),"")</f>
        <v/>
      </c>
      <c r="H594">
        <f>IF(AE594&lt;&gt;1,"",IF(D594&gt;0,"Yes",""))</f>
        <v/>
      </c>
      <c r="I594" s="49">
        <f>IF(OR($AE594&lt;&gt;1,I$1=""),"",SUMIFS('All Donations'!$S$2:$S$4001,'All Donations'!$R$2:$R$4001,$AD594,'All Donations'!$T$2:$T$4001,I$1))</f>
        <v/>
      </c>
      <c r="J594" s="49">
        <f>IF(OR($AE594&lt;&gt;1,J$1=""),"",SUMIFS('All Donations'!$S$2:$S$4001,'All Donations'!$R$2:$R$4001,$AD594,'All Donations'!$T$2:$T$4001,J$1))</f>
        <v/>
      </c>
      <c r="K594" s="49">
        <f>IF(OR($AE594&lt;&gt;1,K$1=""),"",SUMIFS('All Donations'!$S$2:$S$4001,'All Donations'!$R$2:$R$4001,$AD594,'All Donations'!$T$2:$T$4001,K$1))</f>
        <v/>
      </c>
      <c r="L594" s="49">
        <f>IF(OR($AE594&lt;&gt;1,L$1=""),"",SUMIFS('All Donations'!$S$2:$S$4001,'All Donations'!$R$2:$R$4001,$AD594,'All Donations'!$T$2:$T$4001,L$1))</f>
        <v/>
      </c>
      <c r="M594" s="49">
        <f>IF(OR($AE594&lt;&gt;1,M$1=""),"",SUMIFS('All Donations'!$S$2:$S$4001,'All Donations'!$R$2:$R$4001,$AD594,'All Donations'!$T$2:$T$4001,M$1))</f>
        <v/>
      </c>
      <c r="N594" s="49">
        <f>IF(OR($AE594&lt;&gt;1,N$1=""),"",SUMIFS('All Donations'!$S$2:$S$4001,'All Donations'!$R$2:$R$4001,$AD594,'All Donations'!$T$2:$T$4001,N$1))</f>
        <v/>
      </c>
      <c r="O594" s="49">
        <f>IF(OR($AE594&lt;&gt;1,O$1=""),"",SUMIFS('All Donations'!$S$2:$S$4001,'All Donations'!$R$2:$R$4001,$AD594,'All Donations'!$T$2:$T$4001,O$1))</f>
        <v/>
      </c>
      <c r="P594" s="49">
        <f>IF(OR($AE594&lt;&gt;1,P$1=""),"",SUMIFS('All Donations'!$S$2:$S$4001,'All Donations'!$R$2:$R$4001,$AD594,'All Donations'!$T$2:$T$4001,P$1))</f>
        <v/>
      </c>
      <c r="Q594" s="49">
        <f>IF(OR($AE594&lt;&gt;1,Q$1=""),"",SUMIFS('All Donations'!$S$2:$S$4001,'All Donations'!$R$2:$R$4001,$AD594,'All Donations'!$T$2:$T$4001,Q$1))</f>
        <v/>
      </c>
      <c r="R594" s="49">
        <f>IF(OR($AE594&lt;&gt;1,R$1=""),"",SUMIFS('All Donations'!$S$2:$S$4001,'All Donations'!$R$2:$R$4001,$AD594,'All Donations'!$T$2:$T$4001,R$1))</f>
        <v/>
      </c>
      <c r="S594" s="49">
        <f>IF(OR($AE594&lt;&gt;1,S$1=""),"",SUMIFS('All Donations'!$S$2:$S$4001,'All Donations'!$R$2:$R$4001,$AD594,'All Donations'!$T$2:$T$4001,S$1))</f>
        <v/>
      </c>
      <c r="T594" s="49">
        <f>IF(OR($AE594&lt;&gt;1,T$1=""),"",SUMIFS('All Donations'!$S$2:$S$4001,'All Donations'!$R$2:$R$4001,$AD594,'All Donations'!$T$2:$T$4001,T$1))</f>
        <v/>
      </c>
      <c r="U594" s="49">
        <f>IF(OR($AE594&lt;&gt;1,U$1=""),"",SUMIFS('All Donations'!$S$2:$S$4001,'All Donations'!$R$2:$R$4001,$AD594,'All Donations'!$T$2:$T$4001,U$1))</f>
        <v/>
      </c>
      <c r="V594" s="49">
        <f>IF(OR($AE594&lt;&gt;1,V$1=""),"",SUMIFS('All Donations'!$S$2:$S$4001,'All Donations'!$R$2:$R$4001,$AD594,'All Donations'!$T$2:$T$4001,V$1))</f>
        <v/>
      </c>
      <c r="W594" s="49">
        <f>IF(OR($AE594&lt;&gt;1,W$1=""),"",SUMIFS('All Donations'!$S$2:$S$4001,'All Donations'!$R$2:$R$4001,$AD594,'All Donations'!$T$2:$T$4001,W$1))</f>
        <v/>
      </c>
      <c r="X594" s="49">
        <f>IF(OR($AE594&lt;&gt;1,X$1=""),"",SUMIFS('All Donations'!$S$2:$S$4001,'All Donations'!$R$2:$R$4001,$AD594,'All Donations'!$T$2:$T$4001,X$1))</f>
        <v/>
      </c>
      <c r="Y594" s="49">
        <f>IF(OR($AE594&lt;&gt;1,Y$1=""),"",SUMIFS('All Donations'!$S$2:$S$4001,'All Donations'!$R$2:$R$4001,$AD594,'All Donations'!$T$2:$T$4001,Y$1))</f>
        <v/>
      </c>
      <c r="Z594" s="49">
        <f>IF(OR($AE594&lt;&gt;1,Z$1=""),"",SUMIFS('All Donations'!$S$2:$S$4001,'All Donations'!$R$2:$R$4001,$AD594,'All Donations'!$T$2:$T$4001,Z$1))</f>
        <v/>
      </c>
      <c r="AA594" s="49">
        <f>IF(OR($AE594&lt;&gt;1,AA$1=""),"",SUMIFS('All Donations'!$S$2:$S$4001,'All Donations'!$R$2:$R$4001,$AD594,'All Donations'!$T$2:$T$4001,AA$1))</f>
        <v/>
      </c>
      <c r="AB594" s="49">
        <f>IF(OR($AE594&lt;&gt;1,AB$1=""),"",SUMIFS('All Donations'!$S$2:$S$4001,'All Donations'!$R$2:$R$4001,$AD594,'All Donations'!$T$2:$T$4001,AB$1))</f>
        <v/>
      </c>
      <c r="AC594" s="49">
        <f>IF(OR($AE594&lt;&gt;1,AC$1=""),"",SUMIFS('All Donations'!$S$2:$S$4001,'All Donations'!$R$2:$R$4001,$AD594,'All Donations'!$T$2:$T$4001,AC$1))</f>
        <v/>
      </c>
      <c r="AD594">
        <f>IF(AE594=1,'Roster'!A594,"")</f>
        <v/>
      </c>
      <c r="AE594">
        <f>IF(TRIM('Roster'!B594&amp;'Roster'!C594)&lt;&gt;"",1,0)</f>
        <v/>
      </c>
      <c r="AF594">
        <f>IF(AE594=1,LOWER(A594),"#")</f>
        <v/>
      </c>
      <c r="AG594">
        <f>IF(AE594=1,LOWER(TRIM(TRIM('Roster'!C594)&amp;", "&amp;TRIM('Roster'!B594))),"#")</f>
        <v/>
      </c>
      <c r="AH594">
        <f>IF(AND(AE594=1,TRIM('Roster'!F594)&lt;&gt;""),LOWER(TRIM('Roster'!F594)),"#")</f>
        <v/>
      </c>
      <c r="AI594">
        <f>IF(AE594=1,IF(MATCH(B594,$B$2:$B$701,0)=ROW()-1,1,0),0)</f>
        <v/>
      </c>
      <c r="AJ594">
        <f>AJ593+AI594</f>
        <v/>
      </c>
      <c r="AK594">
        <f>IF(AE594=1,D594+(1000-ROW())/10^7,-1)</f>
        <v/>
      </c>
      <c r="AL594">
        <f>IF(AE594=1,TRIM('Roster'!B594)&amp;" "&amp;LEFT(TRIM('Roster'!C594),1)&amp;".","")</f>
        <v/>
      </c>
      <c r="AM594">
        <f>IF(AE594=1,TRIM('Roster'!C594)&amp;", "&amp;TRIM('Roster'!B594)&amp;" ("&amp;B594&amp;") #"&amp;AD594,"")</f>
        <v/>
      </c>
      <c r="AN594">
        <f>IF(AE594=1,TRIM('Roster'!E594),"")</f>
        <v/>
      </c>
      <c r="AO594">
        <f>IF(AE594=1,ROUND(SUMIFS('All Donations'!$S$2:$S$4001,'All Donations'!$R$2:$R$4001,AD594,'All Donations'!$T$2:$T$4001,"&gt;="&amp;'Settings'!$C$23,'All Donations'!$T$2:$T$4001,"&lt;="&amp;'Settings'!$D$23),2),0)</f>
        <v/>
      </c>
      <c r="AQ594">
        <f>IF(AE594=1,ROUND(SUMIFS('All Donations'!$S$2:$S$4001,'All Donations'!$R$2:$R$4001,AD594,'All Donations'!$T$2:$T$4001,"&gt;="&amp;'Settings'!$C$25,'All Donations'!$T$2:$T$4001,"&lt;="&amp;'Settings'!$D$25),2),0)</f>
        <v/>
      </c>
      <c r="AR594">
        <f>IF(AE594=1,ROUND(SUMIFS('All Donations'!$S$2:$S$4001,'All Donations'!$R$2:$R$4001,AD594,'All Donations'!$T$2:$T$4001,"&gt;="&amp;'Settings'!$C$26,'All Donations'!$T$2:$T$4001,"&lt;="&amp;'Settings'!$D$26),2),0)</f>
        <v/>
      </c>
      <c r="AS594">
        <f>IF(AE594=1,ROUND(SUMIFS('All Donations'!$S$2:$S$4001,'All Donations'!$R$2:$R$4001,AD594,'All Donations'!$T$2:$T$4001,"&lt;="&amp;'Settings'!$D$27),2),0)</f>
        <v/>
      </c>
      <c r="AT594">
        <f>IF(AE594=1,ROUND(SUMIFS('All Donations'!$S$2:$S$4001,'All Donations'!$R$2:$R$4001,AD594,'All Donations'!$T$2:$T$4001,"&gt;="&amp;'Settings'!$C$28,'All Donations'!$T$2:$T$4001,"&lt;="&amp;'Settings'!$D$28),2),0)</f>
        <v/>
      </c>
      <c r="AU594">
        <f>IF(AE594=1,ROUND(SUMIFS('All Donations'!$S$2:$S$4001,'All Donations'!$R$2:$R$4001,AD594,'All Donations'!$T$2:$T$4001,"&gt;="&amp;'Settings'!$C$29,'All Donations'!$T$2:$T$4001,"&lt;="&amp;'Settings'!$D$29),2),0)</f>
        <v/>
      </c>
      <c r="AV594">
        <f>IF(AE594=1,ROUND(SUMIFS('All Donations'!$S$2:$S$4001,'All Donations'!$R$2:$R$4001,AD594,'All Donations'!$T$2:$T$4001,"&lt;="&amp;'Settings'!$D$30),2),0)</f>
        <v/>
      </c>
      <c r="AZ594">
        <f>IF(AE594=1,ROUND(SUMIFS('All Donations'!$S$2:$S$4001,'All Donations'!$R$2:$R$4001,AD594,'All Donations'!$T$2:$T$4001,"&lt;="&amp;'Settings'!$D$34),2),0)</f>
        <v/>
      </c>
    </row>
    <row r="595">
      <c r="A595">
        <f>IF(AE595=1,TRIM(TRIM('Roster'!B595)&amp;" "&amp;TRIM('Roster'!C595)),"")</f>
        <v/>
      </c>
      <c r="B595">
        <f>IF(AE595=1,IF(AN595="","(no teacher)",AN595&amp;" – "&amp;C595),"")</f>
        <v/>
      </c>
      <c r="C595">
        <f>IF(AE595=1,TRIM('Roster'!D595&amp;""),"")</f>
        <v/>
      </c>
      <c r="D595" s="48">
        <f>IF(AE595=1,ROUND(SUMIFS('All Donations'!$S$2:$S$4001,'All Donations'!$R$2:$R$4001,AD595),2),"")</f>
        <v/>
      </c>
      <c r="E595" s="48">
        <f>IF(AE595=1,ROUND(SUMIFS('All Donations'!$S$2:$S$4001,'All Donations'!$R$2:$R$4001,AD595,'All Donations'!$G$2:$G$4001,"OneCause"),2),"")</f>
        <v/>
      </c>
      <c r="F595" s="48">
        <f>IF(AE595=1,D595-E595,"")</f>
        <v/>
      </c>
      <c r="G595">
        <f>IF(AE595=1,COUNTIFS('All Donations'!$R$2:$R$4001,AD595,'All Donations'!$H$2:$H$4001,"OK"),"")</f>
        <v/>
      </c>
      <c r="H595">
        <f>IF(AE595&lt;&gt;1,"",IF(D595&gt;0,"Yes",""))</f>
        <v/>
      </c>
      <c r="I595" s="49">
        <f>IF(OR($AE595&lt;&gt;1,I$1=""),"",SUMIFS('All Donations'!$S$2:$S$4001,'All Donations'!$R$2:$R$4001,$AD595,'All Donations'!$T$2:$T$4001,I$1))</f>
        <v/>
      </c>
      <c r="J595" s="49">
        <f>IF(OR($AE595&lt;&gt;1,J$1=""),"",SUMIFS('All Donations'!$S$2:$S$4001,'All Donations'!$R$2:$R$4001,$AD595,'All Donations'!$T$2:$T$4001,J$1))</f>
        <v/>
      </c>
      <c r="K595" s="49">
        <f>IF(OR($AE595&lt;&gt;1,K$1=""),"",SUMIFS('All Donations'!$S$2:$S$4001,'All Donations'!$R$2:$R$4001,$AD595,'All Donations'!$T$2:$T$4001,K$1))</f>
        <v/>
      </c>
      <c r="L595" s="49">
        <f>IF(OR($AE595&lt;&gt;1,L$1=""),"",SUMIFS('All Donations'!$S$2:$S$4001,'All Donations'!$R$2:$R$4001,$AD595,'All Donations'!$T$2:$T$4001,L$1))</f>
        <v/>
      </c>
      <c r="M595" s="49">
        <f>IF(OR($AE595&lt;&gt;1,M$1=""),"",SUMIFS('All Donations'!$S$2:$S$4001,'All Donations'!$R$2:$R$4001,$AD595,'All Donations'!$T$2:$T$4001,M$1))</f>
        <v/>
      </c>
      <c r="N595" s="49">
        <f>IF(OR($AE595&lt;&gt;1,N$1=""),"",SUMIFS('All Donations'!$S$2:$S$4001,'All Donations'!$R$2:$R$4001,$AD595,'All Donations'!$T$2:$T$4001,N$1))</f>
        <v/>
      </c>
      <c r="O595" s="49">
        <f>IF(OR($AE595&lt;&gt;1,O$1=""),"",SUMIFS('All Donations'!$S$2:$S$4001,'All Donations'!$R$2:$R$4001,$AD595,'All Donations'!$T$2:$T$4001,O$1))</f>
        <v/>
      </c>
      <c r="P595" s="49">
        <f>IF(OR($AE595&lt;&gt;1,P$1=""),"",SUMIFS('All Donations'!$S$2:$S$4001,'All Donations'!$R$2:$R$4001,$AD595,'All Donations'!$T$2:$T$4001,P$1))</f>
        <v/>
      </c>
      <c r="Q595" s="49">
        <f>IF(OR($AE595&lt;&gt;1,Q$1=""),"",SUMIFS('All Donations'!$S$2:$S$4001,'All Donations'!$R$2:$R$4001,$AD595,'All Donations'!$T$2:$T$4001,Q$1))</f>
        <v/>
      </c>
      <c r="R595" s="49">
        <f>IF(OR($AE595&lt;&gt;1,R$1=""),"",SUMIFS('All Donations'!$S$2:$S$4001,'All Donations'!$R$2:$R$4001,$AD595,'All Donations'!$T$2:$T$4001,R$1))</f>
        <v/>
      </c>
      <c r="S595" s="49">
        <f>IF(OR($AE595&lt;&gt;1,S$1=""),"",SUMIFS('All Donations'!$S$2:$S$4001,'All Donations'!$R$2:$R$4001,$AD595,'All Donations'!$T$2:$T$4001,S$1))</f>
        <v/>
      </c>
      <c r="T595" s="49">
        <f>IF(OR($AE595&lt;&gt;1,T$1=""),"",SUMIFS('All Donations'!$S$2:$S$4001,'All Donations'!$R$2:$R$4001,$AD595,'All Donations'!$T$2:$T$4001,T$1))</f>
        <v/>
      </c>
      <c r="U595" s="49">
        <f>IF(OR($AE595&lt;&gt;1,U$1=""),"",SUMIFS('All Donations'!$S$2:$S$4001,'All Donations'!$R$2:$R$4001,$AD595,'All Donations'!$T$2:$T$4001,U$1))</f>
        <v/>
      </c>
      <c r="V595" s="49">
        <f>IF(OR($AE595&lt;&gt;1,V$1=""),"",SUMIFS('All Donations'!$S$2:$S$4001,'All Donations'!$R$2:$R$4001,$AD595,'All Donations'!$T$2:$T$4001,V$1))</f>
        <v/>
      </c>
      <c r="W595" s="49">
        <f>IF(OR($AE595&lt;&gt;1,W$1=""),"",SUMIFS('All Donations'!$S$2:$S$4001,'All Donations'!$R$2:$R$4001,$AD595,'All Donations'!$T$2:$T$4001,W$1))</f>
        <v/>
      </c>
      <c r="X595" s="49">
        <f>IF(OR($AE595&lt;&gt;1,X$1=""),"",SUMIFS('All Donations'!$S$2:$S$4001,'All Donations'!$R$2:$R$4001,$AD595,'All Donations'!$T$2:$T$4001,X$1))</f>
        <v/>
      </c>
      <c r="Y595" s="49">
        <f>IF(OR($AE595&lt;&gt;1,Y$1=""),"",SUMIFS('All Donations'!$S$2:$S$4001,'All Donations'!$R$2:$R$4001,$AD595,'All Donations'!$T$2:$T$4001,Y$1))</f>
        <v/>
      </c>
      <c r="Z595" s="49">
        <f>IF(OR($AE595&lt;&gt;1,Z$1=""),"",SUMIFS('All Donations'!$S$2:$S$4001,'All Donations'!$R$2:$R$4001,$AD595,'All Donations'!$T$2:$T$4001,Z$1))</f>
        <v/>
      </c>
      <c r="AA595" s="49">
        <f>IF(OR($AE595&lt;&gt;1,AA$1=""),"",SUMIFS('All Donations'!$S$2:$S$4001,'All Donations'!$R$2:$R$4001,$AD595,'All Donations'!$T$2:$T$4001,AA$1))</f>
        <v/>
      </c>
      <c r="AB595" s="49">
        <f>IF(OR($AE595&lt;&gt;1,AB$1=""),"",SUMIFS('All Donations'!$S$2:$S$4001,'All Donations'!$R$2:$R$4001,$AD595,'All Donations'!$T$2:$T$4001,AB$1))</f>
        <v/>
      </c>
      <c r="AC595" s="49">
        <f>IF(OR($AE595&lt;&gt;1,AC$1=""),"",SUMIFS('All Donations'!$S$2:$S$4001,'All Donations'!$R$2:$R$4001,$AD595,'All Donations'!$T$2:$T$4001,AC$1))</f>
        <v/>
      </c>
      <c r="AD595">
        <f>IF(AE595=1,'Roster'!A595,"")</f>
        <v/>
      </c>
      <c r="AE595">
        <f>IF(TRIM('Roster'!B595&amp;'Roster'!C595)&lt;&gt;"",1,0)</f>
        <v/>
      </c>
      <c r="AF595">
        <f>IF(AE595=1,LOWER(A595),"#")</f>
        <v/>
      </c>
      <c r="AG595">
        <f>IF(AE595=1,LOWER(TRIM(TRIM('Roster'!C595)&amp;", "&amp;TRIM('Roster'!B595))),"#")</f>
        <v/>
      </c>
      <c r="AH595">
        <f>IF(AND(AE595=1,TRIM('Roster'!F595)&lt;&gt;""),LOWER(TRIM('Roster'!F595)),"#")</f>
        <v/>
      </c>
      <c r="AI595">
        <f>IF(AE595=1,IF(MATCH(B595,$B$2:$B$701,0)=ROW()-1,1,0),0)</f>
        <v/>
      </c>
      <c r="AJ595">
        <f>AJ594+AI595</f>
        <v/>
      </c>
      <c r="AK595">
        <f>IF(AE595=1,D595+(1000-ROW())/10^7,-1)</f>
        <v/>
      </c>
      <c r="AL595">
        <f>IF(AE595=1,TRIM('Roster'!B595)&amp;" "&amp;LEFT(TRIM('Roster'!C595),1)&amp;".","")</f>
        <v/>
      </c>
      <c r="AM595">
        <f>IF(AE595=1,TRIM('Roster'!C595)&amp;", "&amp;TRIM('Roster'!B595)&amp;" ("&amp;B595&amp;") #"&amp;AD595,"")</f>
        <v/>
      </c>
      <c r="AN595">
        <f>IF(AE595=1,TRIM('Roster'!E595),"")</f>
        <v/>
      </c>
      <c r="AO595">
        <f>IF(AE595=1,ROUND(SUMIFS('All Donations'!$S$2:$S$4001,'All Donations'!$R$2:$R$4001,AD595,'All Donations'!$T$2:$T$4001,"&gt;="&amp;'Settings'!$C$23,'All Donations'!$T$2:$T$4001,"&lt;="&amp;'Settings'!$D$23),2),0)</f>
        <v/>
      </c>
      <c r="AQ595">
        <f>IF(AE595=1,ROUND(SUMIFS('All Donations'!$S$2:$S$4001,'All Donations'!$R$2:$R$4001,AD595,'All Donations'!$T$2:$T$4001,"&gt;="&amp;'Settings'!$C$25,'All Donations'!$T$2:$T$4001,"&lt;="&amp;'Settings'!$D$25),2),0)</f>
        <v/>
      </c>
      <c r="AR595">
        <f>IF(AE595=1,ROUND(SUMIFS('All Donations'!$S$2:$S$4001,'All Donations'!$R$2:$R$4001,AD595,'All Donations'!$T$2:$T$4001,"&gt;="&amp;'Settings'!$C$26,'All Donations'!$T$2:$T$4001,"&lt;="&amp;'Settings'!$D$26),2),0)</f>
        <v/>
      </c>
      <c r="AS595">
        <f>IF(AE595=1,ROUND(SUMIFS('All Donations'!$S$2:$S$4001,'All Donations'!$R$2:$R$4001,AD595,'All Donations'!$T$2:$T$4001,"&lt;="&amp;'Settings'!$D$27),2),0)</f>
        <v/>
      </c>
      <c r="AT595">
        <f>IF(AE595=1,ROUND(SUMIFS('All Donations'!$S$2:$S$4001,'All Donations'!$R$2:$R$4001,AD595,'All Donations'!$T$2:$T$4001,"&gt;="&amp;'Settings'!$C$28,'All Donations'!$T$2:$T$4001,"&lt;="&amp;'Settings'!$D$28),2),0)</f>
        <v/>
      </c>
      <c r="AU595">
        <f>IF(AE595=1,ROUND(SUMIFS('All Donations'!$S$2:$S$4001,'All Donations'!$R$2:$R$4001,AD595,'All Donations'!$T$2:$T$4001,"&gt;="&amp;'Settings'!$C$29,'All Donations'!$T$2:$T$4001,"&lt;="&amp;'Settings'!$D$29),2),0)</f>
        <v/>
      </c>
      <c r="AV595">
        <f>IF(AE595=1,ROUND(SUMIFS('All Donations'!$S$2:$S$4001,'All Donations'!$R$2:$R$4001,AD595,'All Donations'!$T$2:$T$4001,"&lt;="&amp;'Settings'!$D$30),2),0)</f>
        <v/>
      </c>
      <c r="AZ595">
        <f>IF(AE595=1,ROUND(SUMIFS('All Donations'!$S$2:$S$4001,'All Donations'!$R$2:$R$4001,AD595,'All Donations'!$T$2:$T$4001,"&lt;="&amp;'Settings'!$D$34),2),0)</f>
        <v/>
      </c>
    </row>
    <row r="596">
      <c r="A596">
        <f>IF(AE596=1,TRIM(TRIM('Roster'!B596)&amp;" "&amp;TRIM('Roster'!C596)),"")</f>
        <v/>
      </c>
      <c r="B596">
        <f>IF(AE596=1,IF(AN596="","(no teacher)",AN596&amp;" – "&amp;C596),"")</f>
        <v/>
      </c>
      <c r="C596">
        <f>IF(AE596=1,TRIM('Roster'!D596&amp;""),"")</f>
        <v/>
      </c>
      <c r="D596" s="48">
        <f>IF(AE596=1,ROUND(SUMIFS('All Donations'!$S$2:$S$4001,'All Donations'!$R$2:$R$4001,AD596),2),"")</f>
        <v/>
      </c>
      <c r="E596" s="48">
        <f>IF(AE596=1,ROUND(SUMIFS('All Donations'!$S$2:$S$4001,'All Donations'!$R$2:$R$4001,AD596,'All Donations'!$G$2:$G$4001,"OneCause"),2),"")</f>
        <v/>
      </c>
      <c r="F596" s="48">
        <f>IF(AE596=1,D596-E596,"")</f>
        <v/>
      </c>
      <c r="G596">
        <f>IF(AE596=1,COUNTIFS('All Donations'!$R$2:$R$4001,AD596,'All Donations'!$H$2:$H$4001,"OK"),"")</f>
        <v/>
      </c>
      <c r="H596">
        <f>IF(AE596&lt;&gt;1,"",IF(D596&gt;0,"Yes",""))</f>
        <v/>
      </c>
      <c r="I596" s="49">
        <f>IF(OR($AE596&lt;&gt;1,I$1=""),"",SUMIFS('All Donations'!$S$2:$S$4001,'All Donations'!$R$2:$R$4001,$AD596,'All Donations'!$T$2:$T$4001,I$1))</f>
        <v/>
      </c>
      <c r="J596" s="49">
        <f>IF(OR($AE596&lt;&gt;1,J$1=""),"",SUMIFS('All Donations'!$S$2:$S$4001,'All Donations'!$R$2:$R$4001,$AD596,'All Donations'!$T$2:$T$4001,J$1))</f>
        <v/>
      </c>
      <c r="K596" s="49">
        <f>IF(OR($AE596&lt;&gt;1,K$1=""),"",SUMIFS('All Donations'!$S$2:$S$4001,'All Donations'!$R$2:$R$4001,$AD596,'All Donations'!$T$2:$T$4001,K$1))</f>
        <v/>
      </c>
      <c r="L596" s="49">
        <f>IF(OR($AE596&lt;&gt;1,L$1=""),"",SUMIFS('All Donations'!$S$2:$S$4001,'All Donations'!$R$2:$R$4001,$AD596,'All Donations'!$T$2:$T$4001,L$1))</f>
        <v/>
      </c>
      <c r="M596" s="49">
        <f>IF(OR($AE596&lt;&gt;1,M$1=""),"",SUMIFS('All Donations'!$S$2:$S$4001,'All Donations'!$R$2:$R$4001,$AD596,'All Donations'!$T$2:$T$4001,M$1))</f>
        <v/>
      </c>
      <c r="N596" s="49">
        <f>IF(OR($AE596&lt;&gt;1,N$1=""),"",SUMIFS('All Donations'!$S$2:$S$4001,'All Donations'!$R$2:$R$4001,$AD596,'All Donations'!$T$2:$T$4001,N$1))</f>
        <v/>
      </c>
      <c r="O596" s="49">
        <f>IF(OR($AE596&lt;&gt;1,O$1=""),"",SUMIFS('All Donations'!$S$2:$S$4001,'All Donations'!$R$2:$R$4001,$AD596,'All Donations'!$T$2:$T$4001,O$1))</f>
        <v/>
      </c>
      <c r="P596" s="49">
        <f>IF(OR($AE596&lt;&gt;1,P$1=""),"",SUMIFS('All Donations'!$S$2:$S$4001,'All Donations'!$R$2:$R$4001,$AD596,'All Donations'!$T$2:$T$4001,P$1))</f>
        <v/>
      </c>
      <c r="Q596" s="49">
        <f>IF(OR($AE596&lt;&gt;1,Q$1=""),"",SUMIFS('All Donations'!$S$2:$S$4001,'All Donations'!$R$2:$R$4001,$AD596,'All Donations'!$T$2:$T$4001,Q$1))</f>
        <v/>
      </c>
      <c r="R596" s="49">
        <f>IF(OR($AE596&lt;&gt;1,R$1=""),"",SUMIFS('All Donations'!$S$2:$S$4001,'All Donations'!$R$2:$R$4001,$AD596,'All Donations'!$T$2:$T$4001,R$1))</f>
        <v/>
      </c>
      <c r="S596" s="49">
        <f>IF(OR($AE596&lt;&gt;1,S$1=""),"",SUMIFS('All Donations'!$S$2:$S$4001,'All Donations'!$R$2:$R$4001,$AD596,'All Donations'!$T$2:$T$4001,S$1))</f>
        <v/>
      </c>
      <c r="T596" s="49">
        <f>IF(OR($AE596&lt;&gt;1,T$1=""),"",SUMIFS('All Donations'!$S$2:$S$4001,'All Donations'!$R$2:$R$4001,$AD596,'All Donations'!$T$2:$T$4001,T$1))</f>
        <v/>
      </c>
      <c r="U596" s="49">
        <f>IF(OR($AE596&lt;&gt;1,U$1=""),"",SUMIFS('All Donations'!$S$2:$S$4001,'All Donations'!$R$2:$R$4001,$AD596,'All Donations'!$T$2:$T$4001,U$1))</f>
        <v/>
      </c>
      <c r="V596" s="49">
        <f>IF(OR($AE596&lt;&gt;1,V$1=""),"",SUMIFS('All Donations'!$S$2:$S$4001,'All Donations'!$R$2:$R$4001,$AD596,'All Donations'!$T$2:$T$4001,V$1))</f>
        <v/>
      </c>
      <c r="W596" s="49">
        <f>IF(OR($AE596&lt;&gt;1,W$1=""),"",SUMIFS('All Donations'!$S$2:$S$4001,'All Donations'!$R$2:$R$4001,$AD596,'All Donations'!$T$2:$T$4001,W$1))</f>
        <v/>
      </c>
      <c r="X596" s="49">
        <f>IF(OR($AE596&lt;&gt;1,X$1=""),"",SUMIFS('All Donations'!$S$2:$S$4001,'All Donations'!$R$2:$R$4001,$AD596,'All Donations'!$T$2:$T$4001,X$1))</f>
        <v/>
      </c>
      <c r="Y596" s="49">
        <f>IF(OR($AE596&lt;&gt;1,Y$1=""),"",SUMIFS('All Donations'!$S$2:$S$4001,'All Donations'!$R$2:$R$4001,$AD596,'All Donations'!$T$2:$T$4001,Y$1))</f>
        <v/>
      </c>
      <c r="Z596" s="49">
        <f>IF(OR($AE596&lt;&gt;1,Z$1=""),"",SUMIFS('All Donations'!$S$2:$S$4001,'All Donations'!$R$2:$R$4001,$AD596,'All Donations'!$T$2:$T$4001,Z$1))</f>
        <v/>
      </c>
      <c r="AA596" s="49">
        <f>IF(OR($AE596&lt;&gt;1,AA$1=""),"",SUMIFS('All Donations'!$S$2:$S$4001,'All Donations'!$R$2:$R$4001,$AD596,'All Donations'!$T$2:$T$4001,AA$1))</f>
        <v/>
      </c>
      <c r="AB596" s="49">
        <f>IF(OR($AE596&lt;&gt;1,AB$1=""),"",SUMIFS('All Donations'!$S$2:$S$4001,'All Donations'!$R$2:$R$4001,$AD596,'All Donations'!$T$2:$T$4001,AB$1))</f>
        <v/>
      </c>
      <c r="AC596" s="49">
        <f>IF(OR($AE596&lt;&gt;1,AC$1=""),"",SUMIFS('All Donations'!$S$2:$S$4001,'All Donations'!$R$2:$R$4001,$AD596,'All Donations'!$T$2:$T$4001,AC$1))</f>
        <v/>
      </c>
      <c r="AD596">
        <f>IF(AE596=1,'Roster'!A596,"")</f>
        <v/>
      </c>
      <c r="AE596">
        <f>IF(TRIM('Roster'!B596&amp;'Roster'!C596)&lt;&gt;"",1,0)</f>
        <v/>
      </c>
      <c r="AF596">
        <f>IF(AE596=1,LOWER(A596),"#")</f>
        <v/>
      </c>
      <c r="AG596">
        <f>IF(AE596=1,LOWER(TRIM(TRIM('Roster'!C596)&amp;", "&amp;TRIM('Roster'!B596))),"#")</f>
        <v/>
      </c>
      <c r="AH596">
        <f>IF(AND(AE596=1,TRIM('Roster'!F596)&lt;&gt;""),LOWER(TRIM('Roster'!F596)),"#")</f>
        <v/>
      </c>
      <c r="AI596">
        <f>IF(AE596=1,IF(MATCH(B596,$B$2:$B$701,0)=ROW()-1,1,0),0)</f>
        <v/>
      </c>
      <c r="AJ596">
        <f>AJ595+AI596</f>
        <v/>
      </c>
      <c r="AK596">
        <f>IF(AE596=1,D596+(1000-ROW())/10^7,-1)</f>
        <v/>
      </c>
      <c r="AL596">
        <f>IF(AE596=1,TRIM('Roster'!B596)&amp;" "&amp;LEFT(TRIM('Roster'!C596),1)&amp;".","")</f>
        <v/>
      </c>
      <c r="AM596">
        <f>IF(AE596=1,TRIM('Roster'!C596)&amp;", "&amp;TRIM('Roster'!B596)&amp;" ("&amp;B596&amp;") #"&amp;AD596,"")</f>
        <v/>
      </c>
      <c r="AN596">
        <f>IF(AE596=1,TRIM('Roster'!E596),"")</f>
        <v/>
      </c>
      <c r="AO596">
        <f>IF(AE596=1,ROUND(SUMIFS('All Donations'!$S$2:$S$4001,'All Donations'!$R$2:$R$4001,AD596,'All Donations'!$T$2:$T$4001,"&gt;="&amp;'Settings'!$C$23,'All Donations'!$T$2:$T$4001,"&lt;="&amp;'Settings'!$D$23),2),0)</f>
        <v/>
      </c>
      <c r="AQ596">
        <f>IF(AE596=1,ROUND(SUMIFS('All Donations'!$S$2:$S$4001,'All Donations'!$R$2:$R$4001,AD596,'All Donations'!$T$2:$T$4001,"&gt;="&amp;'Settings'!$C$25,'All Donations'!$T$2:$T$4001,"&lt;="&amp;'Settings'!$D$25),2),0)</f>
        <v/>
      </c>
      <c r="AR596">
        <f>IF(AE596=1,ROUND(SUMIFS('All Donations'!$S$2:$S$4001,'All Donations'!$R$2:$R$4001,AD596,'All Donations'!$T$2:$T$4001,"&gt;="&amp;'Settings'!$C$26,'All Donations'!$T$2:$T$4001,"&lt;="&amp;'Settings'!$D$26),2),0)</f>
        <v/>
      </c>
      <c r="AS596">
        <f>IF(AE596=1,ROUND(SUMIFS('All Donations'!$S$2:$S$4001,'All Donations'!$R$2:$R$4001,AD596,'All Donations'!$T$2:$T$4001,"&lt;="&amp;'Settings'!$D$27),2),0)</f>
        <v/>
      </c>
      <c r="AT596">
        <f>IF(AE596=1,ROUND(SUMIFS('All Donations'!$S$2:$S$4001,'All Donations'!$R$2:$R$4001,AD596,'All Donations'!$T$2:$T$4001,"&gt;="&amp;'Settings'!$C$28,'All Donations'!$T$2:$T$4001,"&lt;="&amp;'Settings'!$D$28),2),0)</f>
        <v/>
      </c>
      <c r="AU596">
        <f>IF(AE596=1,ROUND(SUMIFS('All Donations'!$S$2:$S$4001,'All Donations'!$R$2:$R$4001,AD596,'All Donations'!$T$2:$T$4001,"&gt;="&amp;'Settings'!$C$29,'All Donations'!$T$2:$T$4001,"&lt;="&amp;'Settings'!$D$29),2),0)</f>
        <v/>
      </c>
      <c r="AV596">
        <f>IF(AE596=1,ROUND(SUMIFS('All Donations'!$S$2:$S$4001,'All Donations'!$R$2:$R$4001,AD596,'All Donations'!$T$2:$T$4001,"&lt;="&amp;'Settings'!$D$30),2),0)</f>
        <v/>
      </c>
      <c r="AZ596">
        <f>IF(AE596=1,ROUND(SUMIFS('All Donations'!$S$2:$S$4001,'All Donations'!$R$2:$R$4001,AD596,'All Donations'!$T$2:$T$4001,"&lt;="&amp;'Settings'!$D$34),2),0)</f>
        <v/>
      </c>
    </row>
    <row r="597">
      <c r="A597">
        <f>IF(AE597=1,TRIM(TRIM('Roster'!B597)&amp;" "&amp;TRIM('Roster'!C597)),"")</f>
        <v/>
      </c>
      <c r="B597">
        <f>IF(AE597=1,IF(AN597="","(no teacher)",AN597&amp;" – "&amp;C597),"")</f>
        <v/>
      </c>
      <c r="C597">
        <f>IF(AE597=1,TRIM('Roster'!D597&amp;""),"")</f>
        <v/>
      </c>
      <c r="D597" s="48">
        <f>IF(AE597=1,ROUND(SUMIFS('All Donations'!$S$2:$S$4001,'All Donations'!$R$2:$R$4001,AD597),2),"")</f>
        <v/>
      </c>
      <c r="E597" s="48">
        <f>IF(AE597=1,ROUND(SUMIFS('All Donations'!$S$2:$S$4001,'All Donations'!$R$2:$R$4001,AD597,'All Donations'!$G$2:$G$4001,"OneCause"),2),"")</f>
        <v/>
      </c>
      <c r="F597" s="48">
        <f>IF(AE597=1,D597-E597,"")</f>
        <v/>
      </c>
      <c r="G597">
        <f>IF(AE597=1,COUNTIFS('All Donations'!$R$2:$R$4001,AD597,'All Donations'!$H$2:$H$4001,"OK"),"")</f>
        <v/>
      </c>
      <c r="H597">
        <f>IF(AE597&lt;&gt;1,"",IF(D597&gt;0,"Yes",""))</f>
        <v/>
      </c>
      <c r="I597" s="49">
        <f>IF(OR($AE597&lt;&gt;1,I$1=""),"",SUMIFS('All Donations'!$S$2:$S$4001,'All Donations'!$R$2:$R$4001,$AD597,'All Donations'!$T$2:$T$4001,I$1))</f>
        <v/>
      </c>
      <c r="J597" s="49">
        <f>IF(OR($AE597&lt;&gt;1,J$1=""),"",SUMIFS('All Donations'!$S$2:$S$4001,'All Donations'!$R$2:$R$4001,$AD597,'All Donations'!$T$2:$T$4001,J$1))</f>
        <v/>
      </c>
      <c r="K597" s="49">
        <f>IF(OR($AE597&lt;&gt;1,K$1=""),"",SUMIFS('All Donations'!$S$2:$S$4001,'All Donations'!$R$2:$R$4001,$AD597,'All Donations'!$T$2:$T$4001,K$1))</f>
        <v/>
      </c>
      <c r="L597" s="49">
        <f>IF(OR($AE597&lt;&gt;1,L$1=""),"",SUMIFS('All Donations'!$S$2:$S$4001,'All Donations'!$R$2:$R$4001,$AD597,'All Donations'!$T$2:$T$4001,L$1))</f>
        <v/>
      </c>
      <c r="M597" s="49">
        <f>IF(OR($AE597&lt;&gt;1,M$1=""),"",SUMIFS('All Donations'!$S$2:$S$4001,'All Donations'!$R$2:$R$4001,$AD597,'All Donations'!$T$2:$T$4001,M$1))</f>
        <v/>
      </c>
      <c r="N597" s="49">
        <f>IF(OR($AE597&lt;&gt;1,N$1=""),"",SUMIFS('All Donations'!$S$2:$S$4001,'All Donations'!$R$2:$R$4001,$AD597,'All Donations'!$T$2:$T$4001,N$1))</f>
        <v/>
      </c>
      <c r="O597" s="49">
        <f>IF(OR($AE597&lt;&gt;1,O$1=""),"",SUMIFS('All Donations'!$S$2:$S$4001,'All Donations'!$R$2:$R$4001,$AD597,'All Donations'!$T$2:$T$4001,O$1))</f>
        <v/>
      </c>
      <c r="P597" s="49">
        <f>IF(OR($AE597&lt;&gt;1,P$1=""),"",SUMIFS('All Donations'!$S$2:$S$4001,'All Donations'!$R$2:$R$4001,$AD597,'All Donations'!$T$2:$T$4001,P$1))</f>
        <v/>
      </c>
      <c r="Q597" s="49">
        <f>IF(OR($AE597&lt;&gt;1,Q$1=""),"",SUMIFS('All Donations'!$S$2:$S$4001,'All Donations'!$R$2:$R$4001,$AD597,'All Donations'!$T$2:$T$4001,Q$1))</f>
        <v/>
      </c>
      <c r="R597" s="49">
        <f>IF(OR($AE597&lt;&gt;1,R$1=""),"",SUMIFS('All Donations'!$S$2:$S$4001,'All Donations'!$R$2:$R$4001,$AD597,'All Donations'!$T$2:$T$4001,R$1))</f>
        <v/>
      </c>
      <c r="S597" s="49">
        <f>IF(OR($AE597&lt;&gt;1,S$1=""),"",SUMIFS('All Donations'!$S$2:$S$4001,'All Donations'!$R$2:$R$4001,$AD597,'All Donations'!$T$2:$T$4001,S$1))</f>
        <v/>
      </c>
      <c r="T597" s="49">
        <f>IF(OR($AE597&lt;&gt;1,T$1=""),"",SUMIFS('All Donations'!$S$2:$S$4001,'All Donations'!$R$2:$R$4001,$AD597,'All Donations'!$T$2:$T$4001,T$1))</f>
        <v/>
      </c>
      <c r="U597" s="49">
        <f>IF(OR($AE597&lt;&gt;1,U$1=""),"",SUMIFS('All Donations'!$S$2:$S$4001,'All Donations'!$R$2:$R$4001,$AD597,'All Donations'!$T$2:$T$4001,U$1))</f>
        <v/>
      </c>
      <c r="V597" s="49">
        <f>IF(OR($AE597&lt;&gt;1,V$1=""),"",SUMIFS('All Donations'!$S$2:$S$4001,'All Donations'!$R$2:$R$4001,$AD597,'All Donations'!$T$2:$T$4001,V$1))</f>
        <v/>
      </c>
      <c r="W597" s="49">
        <f>IF(OR($AE597&lt;&gt;1,W$1=""),"",SUMIFS('All Donations'!$S$2:$S$4001,'All Donations'!$R$2:$R$4001,$AD597,'All Donations'!$T$2:$T$4001,W$1))</f>
        <v/>
      </c>
      <c r="X597" s="49">
        <f>IF(OR($AE597&lt;&gt;1,X$1=""),"",SUMIFS('All Donations'!$S$2:$S$4001,'All Donations'!$R$2:$R$4001,$AD597,'All Donations'!$T$2:$T$4001,X$1))</f>
        <v/>
      </c>
      <c r="Y597" s="49">
        <f>IF(OR($AE597&lt;&gt;1,Y$1=""),"",SUMIFS('All Donations'!$S$2:$S$4001,'All Donations'!$R$2:$R$4001,$AD597,'All Donations'!$T$2:$T$4001,Y$1))</f>
        <v/>
      </c>
      <c r="Z597" s="49">
        <f>IF(OR($AE597&lt;&gt;1,Z$1=""),"",SUMIFS('All Donations'!$S$2:$S$4001,'All Donations'!$R$2:$R$4001,$AD597,'All Donations'!$T$2:$T$4001,Z$1))</f>
        <v/>
      </c>
      <c r="AA597" s="49">
        <f>IF(OR($AE597&lt;&gt;1,AA$1=""),"",SUMIFS('All Donations'!$S$2:$S$4001,'All Donations'!$R$2:$R$4001,$AD597,'All Donations'!$T$2:$T$4001,AA$1))</f>
        <v/>
      </c>
      <c r="AB597" s="49">
        <f>IF(OR($AE597&lt;&gt;1,AB$1=""),"",SUMIFS('All Donations'!$S$2:$S$4001,'All Donations'!$R$2:$R$4001,$AD597,'All Donations'!$T$2:$T$4001,AB$1))</f>
        <v/>
      </c>
      <c r="AC597" s="49">
        <f>IF(OR($AE597&lt;&gt;1,AC$1=""),"",SUMIFS('All Donations'!$S$2:$S$4001,'All Donations'!$R$2:$R$4001,$AD597,'All Donations'!$T$2:$T$4001,AC$1))</f>
        <v/>
      </c>
      <c r="AD597">
        <f>IF(AE597=1,'Roster'!A597,"")</f>
        <v/>
      </c>
      <c r="AE597">
        <f>IF(TRIM('Roster'!B597&amp;'Roster'!C597)&lt;&gt;"",1,0)</f>
        <v/>
      </c>
      <c r="AF597">
        <f>IF(AE597=1,LOWER(A597),"#")</f>
        <v/>
      </c>
      <c r="AG597">
        <f>IF(AE597=1,LOWER(TRIM(TRIM('Roster'!C597)&amp;", "&amp;TRIM('Roster'!B597))),"#")</f>
        <v/>
      </c>
      <c r="AH597">
        <f>IF(AND(AE597=1,TRIM('Roster'!F597)&lt;&gt;""),LOWER(TRIM('Roster'!F597)),"#")</f>
        <v/>
      </c>
      <c r="AI597">
        <f>IF(AE597=1,IF(MATCH(B597,$B$2:$B$701,0)=ROW()-1,1,0),0)</f>
        <v/>
      </c>
      <c r="AJ597">
        <f>AJ596+AI597</f>
        <v/>
      </c>
      <c r="AK597">
        <f>IF(AE597=1,D597+(1000-ROW())/10^7,-1)</f>
        <v/>
      </c>
      <c r="AL597">
        <f>IF(AE597=1,TRIM('Roster'!B597)&amp;" "&amp;LEFT(TRIM('Roster'!C597),1)&amp;".","")</f>
        <v/>
      </c>
      <c r="AM597">
        <f>IF(AE597=1,TRIM('Roster'!C597)&amp;", "&amp;TRIM('Roster'!B597)&amp;" ("&amp;B597&amp;") #"&amp;AD597,"")</f>
        <v/>
      </c>
      <c r="AN597">
        <f>IF(AE597=1,TRIM('Roster'!E597),"")</f>
        <v/>
      </c>
      <c r="AO597">
        <f>IF(AE597=1,ROUND(SUMIFS('All Donations'!$S$2:$S$4001,'All Donations'!$R$2:$R$4001,AD597,'All Donations'!$T$2:$T$4001,"&gt;="&amp;'Settings'!$C$23,'All Donations'!$T$2:$T$4001,"&lt;="&amp;'Settings'!$D$23),2),0)</f>
        <v/>
      </c>
      <c r="AQ597">
        <f>IF(AE597=1,ROUND(SUMIFS('All Donations'!$S$2:$S$4001,'All Donations'!$R$2:$R$4001,AD597,'All Donations'!$T$2:$T$4001,"&gt;="&amp;'Settings'!$C$25,'All Donations'!$T$2:$T$4001,"&lt;="&amp;'Settings'!$D$25),2),0)</f>
        <v/>
      </c>
      <c r="AR597">
        <f>IF(AE597=1,ROUND(SUMIFS('All Donations'!$S$2:$S$4001,'All Donations'!$R$2:$R$4001,AD597,'All Donations'!$T$2:$T$4001,"&gt;="&amp;'Settings'!$C$26,'All Donations'!$T$2:$T$4001,"&lt;="&amp;'Settings'!$D$26),2),0)</f>
        <v/>
      </c>
      <c r="AS597">
        <f>IF(AE597=1,ROUND(SUMIFS('All Donations'!$S$2:$S$4001,'All Donations'!$R$2:$R$4001,AD597,'All Donations'!$T$2:$T$4001,"&lt;="&amp;'Settings'!$D$27),2),0)</f>
        <v/>
      </c>
      <c r="AT597">
        <f>IF(AE597=1,ROUND(SUMIFS('All Donations'!$S$2:$S$4001,'All Donations'!$R$2:$R$4001,AD597,'All Donations'!$T$2:$T$4001,"&gt;="&amp;'Settings'!$C$28,'All Donations'!$T$2:$T$4001,"&lt;="&amp;'Settings'!$D$28),2),0)</f>
        <v/>
      </c>
      <c r="AU597">
        <f>IF(AE597=1,ROUND(SUMIFS('All Donations'!$S$2:$S$4001,'All Donations'!$R$2:$R$4001,AD597,'All Donations'!$T$2:$T$4001,"&gt;="&amp;'Settings'!$C$29,'All Donations'!$T$2:$T$4001,"&lt;="&amp;'Settings'!$D$29),2),0)</f>
        <v/>
      </c>
      <c r="AV597">
        <f>IF(AE597=1,ROUND(SUMIFS('All Donations'!$S$2:$S$4001,'All Donations'!$R$2:$R$4001,AD597,'All Donations'!$T$2:$T$4001,"&lt;="&amp;'Settings'!$D$30),2),0)</f>
        <v/>
      </c>
      <c r="AZ597">
        <f>IF(AE597=1,ROUND(SUMIFS('All Donations'!$S$2:$S$4001,'All Donations'!$R$2:$R$4001,AD597,'All Donations'!$T$2:$T$4001,"&lt;="&amp;'Settings'!$D$34),2),0)</f>
        <v/>
      </c>
    </row>
    <row r="598">
      <c r="A598">
        <f>IF(AE598=1,TRIM(TRIM('Roster'!B598)&amp;" "&amp;TRIM('Roster'!C598)),"")</f>
        <v/>
      </c>
      <c r="B598">
        <f>IF(AE598=1,IF(AN598="","(no teacher)",AN598&amp;" – "&amp;C598),"")</f>
        <v/>
      </c>
      <c r="C598">
        <f>IF(AE598=1,TRIM('Roster'!D598&amp;""),"")</f>
        <v/>
      </c>
      <c r="D598" s="48">
        <f>IF(AE598=1,ROUND(SUMIFS('All Donations'!$S$2:$S$4001,'All Donations'!$R$2:$R$4001,AD598),2),"")</f>
        <v/>
      </c>
      <c r="E598" s="48">
        <f>IF(AE598=1,ROUND(SUMIFS('All Donations'!$S$2:$S$4001,'All Donations'!$R$2:$R$4001,AD598,'All Donations'!$G$2:$G$4001,"OneCause"),2),"")</f>
        <v/>
      </c>
      <c r="F598" s="48">
        <f>IF(AE598=1,D598-E598,"")</f>
        <v/>
      </c>
      <c r="G598">
        <f>IF(AE598=1,COUNTIFS('All Donations'!$R$2:$R$4001,AD598,'All Donations'!$H$2:$H$4001,"OK"),"")</f>
        <v/>
      </c>
      <c r="H598">
        <f>IF(AE598&lt;&gt;1,"",IF(D598&gt;0,"Yes",""))</f>
        <v/>
      </c>
      <c r="I598" s="49">
        <f>IF(OR($AE598&lt;&gt;1,I$1=""),"",SUMIFS('All Donations'!$S$2:$S$4001,'All Donations'!$R$2:$R$4001,$AD598,'All Donations'!$T$2:$T$4001,I$1))</f>
        <v/>
      </c>
      <c r="J598" s="49">
        <f>IF(OR($AE598&lt;&gt;1,J$1=""),"",SUMIFS('All Donations'!$S$2:$S$4001,'All Donations'!$R$2:$R$4001,$AD598,'All Donations'!$T$2:$T$4001,J$1))</f>
        <v/>
      </c>
      <c r="K598" s="49">
        <f>IF(OR($AE598&lt;&gt;1,K$1=""),"",SUMIFS('All Donations'!$S$2:$S$4001,'All Donations'!$R$2:$R$4001,$AD598,'All Donations'!$T$2:$T$4001,K$1))</f>
        <v/>
      </c>
      <c r="L598" s="49">
        <f>IF(OR($AE598&lt;&gt;1,L$1=""),"",SUMIFS('All Donations'!$S$2:$S$4001,'All Donations'!$R$2:$R$4001,$AD598,'All Donations'!$T$2:$T$4001,L$1))</f>
        <v/>
      </c>
      <c r="M598" s="49">
        <f>IF(OR($AE598&lt;&gt;1,M$1=""),"",SUMIFS('All Donations'!$S$2:$S$4001,'All Donations'!$R$2:$R$4001,$AD598,'All Donations'!$T$2:$T$4001,M$1))</f>
        <v/>
      </c>
      <c r="N598" s="49">
        <f>IF(OR($AE598&lt;&gt;1,N$1=""),"",SUMIFS('All Donations'!$S$2:$S$4001,'All Donations'!$R$2:$R$4001,$AD598,'All Donations'!$T$2:$T$4001,N$1))</f>
        <v/>
      </c>
      <c r="O598" s="49">
        <f>IF(OR($AE598&lt;&gt;1,O$1=""),"",SUMIFS('All Donations'!$S$2:$S$4001,'All Donations'!$R$2:$R$4001,$AD598,'All Donations'!$T$2:$T$4001,O$1))</f>
        <v/>
      </c>
      <c r="P598" s="49">
        <f>IF(OR($AE598&lt;&gt;1,P$1=""),"",SUMIFS('All Donations'!$S$2:$S$4001,'All Donations'!$R$2:$R$4001,$AD598,'All Donations'!$T$2:$T$4001,P$1))</f>
        <v/>
      </c>
      <c r="Q598" s="49">
        <f>IF(OR($AE598&lt;&gt;1,Q$1=""),"",SUMIFS('All Donations'!$S$2:$S$4001,'All Donations'!$R$2:$R$4001,$AD598,'All Donations'!$T$2:$T$4001,Q$1))</f>
        <v/>
      </c>
      <c r="R598" s="49">
        <f>IF(OR($AE598&lt;&gt;1,R$1=""),"",SUMIFS('All Donations'!$S$2:$S$4001,'All Donations'!$R$2:$R$4001,$AD598,'All Donations'!$T$2:$T$4001,R$1))</f>
        <v/>
      </c>
      <c r="S598" s="49">
        <f>IF(OR($AE598&lt;&gt;1,S$1=""),"",SUMIFS('All Donations'!$S$2:$S$4001,'All Donations'!$R$2:$R$4001,$AD598,'All Donations'!$T$2:$T$4001,S$1))</f>
        <v/>
      </c>
      <c r="T598" s="49">
        <f>IF(OR($AE598&lt;&gt;1,T$1=""),"",SUMIFS('All Donations'!$S$2:$S$4001,'All Donations'!$R$2:$R$4001,$AD598,'All Donations'!$T$2:$T$4001,T$1))</f>
        <v/>
      </c>
      <c r="U598" s="49">
        <f>IF(OR($AE598&lt;&gt;1,U$1=""),"",SUMIFS('All Donations'!$S$2:$S$4001,'All Donations'!$R$2:$R$4001,$AD598,'All Donations'!$T$2:$T$4001,U$1))</f>
        <v/>
      </c>
      <c r="V598" s="49">
        <f>IF(OR($AE598&lt;&gt;1,V$1=""),"",SUMIFS('All Donations'!$S$2:$S$4001,'All Donations'!$R$2:$R$4001,$AD598,'All Donations'!$T$2:$T$4001,V$1))</f>
        <v/>
      </c>
      <c r="W598" s="49">
        <f>IF(OR($AE598&lt;&gt;1,W$1=""),"",SUMIFS('All Donations'!$S$2:$S$4001,'All Donations'!$R$2:$R$4001,$AD598,'All Donations'!$T$2:$T$4001,W$1))</f>
        <v/>
      </c>
      <c r="X598" s="49">
        <f>IF(OR($AE598&lt;&gt;1,X$1=""),"",SUMIFS('All Donations'!$S$2:$S$4001,'All Donations'!$R$2:$R$4001,$AD598,'All Donations'!$T$2:$T$4001,X$1))</f>
        <v/>
      </c>
      <c r="Y598" s="49">
        <f>IF(OR($AE598&lt;&gt;1,Y$1=""),"",SUMIFS('All Donations'!$S$2:$S$4001,'All Donations'!$R$2:$R$4001,$AD598,'All Donations'!$T$2:$T$4001,Y$1))</f>
        <v/>
      </c>
      <c r="Z598" s="49">
        <f>IF(OR($AE598&lt;&gt;1,Z$1=""),"",SUMIFS('All Donations'!$S$2:$S$4001,'All Donations'!$R$2:$R$4001,$AD598,'All Donations'!$T$2:$T$4001,Z$1))</f>
        <v/>
      </c>
      <c r="AA598" s="49">
        <f>IF(OR($AE598&lt;&gt;1,AA$1=""),"",SUMIFS('All Donations'!$S$2:$S$4001,'All Donations'!$R$2:$R$4001,$AD598,'All Donations'!$T$2:$T$4001,AA$1))</f>
        <v/>
      </c>
      <c r="AB598" s="49">
        <f>IF(OR($AE598&lt;&gt;1,AB$1=""),"",SUMIFS('All Donations'!$S$2:$S$4001,'All Donations'!$R$2:$R$4001,$AD598,'All Donations'!$T$2:$T$4001,AB$1))</f>
        <v/>
      </c>
      <c r="AC598" s="49">
        <f>IF(OR($AE598&lt;&gt;1,AC$1=""),"",SUMIFS('All Donations'!$S$2:$S$4001,'All Donations'!$R$2:$R$4001,$AD598,'All Donations'!$T$2:$T$4001,AC$1))</f>
        <v/>
      </c>
      <c r="AD598">
        <f>IF(AE598=1,'Roster'!A598,"")</f>
        <v/>
      </c>
      <c r="AE598">
        <f>IF(TRIM('Roster'!B598&amp;'Roster'!C598)&lt;&gt;"",1,0)</f>
        <v/>
      </c>
      <c r="AF598">
        <f>IF(AE598=1,LOWER(A598),"#")</f>
        <v/>
      </c>
      <c r="AG598">
        <f>IF(AE598=1,LOWER(TRIM(TRIM('Roster'!C598)&amp;", "&amp;TRIM('Roster'!B598))),"#")</f>
        <v/>
      </c>
      <c r="AH598">
        <f>IF(AND(AE598=1,TRIM('Roster'!F598)&lt;&gt;""),LOWER(TRIM('Roster'!F598)),"#")</f>
        <v/>
      </c>
      <c r="AI598">
        <f>IF(AE598=1,IF(MATCH(B598,$B$2:$B$701,0)=ROW()-1,1,0),0)</f>
        <v/>
      </c>
      <c r="AJ598">
        <f>AJ597+AI598</f>
        <v/>
      </c>
      <c r="AK598">
        <f>IF(AE598=1,D598+(1000-ROW())/10^7,-1)</f>
        <v/>
      </c>
      <c r="AL598">
        <f>IF(AE598=1,TRIM('Roster'!B598)&amp;" "&amp;LEFT(TRIM('Roster'!C598),1)&amp;".","")</f>
        <v/>
      </c>
      <c r="AM598">
        <f>IF(AE598=1,TRIM('Roster'!C598)&amp;", "&amp;TRIM('Roster'!B598)&amp;" ("&amp;B598&amp;") #"&amp;AD598,"")</f>
        <v/>
      </c>
      <c r="AN598">
        <f>IF(AE598=1,TRIM('Roster'!E598),"")</f>
        <v/>
      </c>
      <c r="AO598">
        <f>IF(AE598=1,ROUND(SUMIFS('All Donations'!$S$2:$S$4001,'All Donations'!$R$2:$R$4001,AD598,'All Donations'!$T$2:$T$4001,"&gt;="&amp;'Settings'!$C$23,'All Donations'!$T$2:$T$4001,"&lt;="&amp;'Settings'!$D$23),2),0)</f>
        <v/>
      </c>
      <c r="AQ598">
        <f>IF(AE598=1,ROUND(SUMIFS('All Donations'!$S$2:$S$4001,'All Donations'!$R$2:$R$4001,AD598,'All Donations'!$T$2:$T$4001,"&gt;="&amp;'Settings'!$C$25,'All Donations'!$T$2:$T$4001,"&lt;="&amp;'Settings'!$D$25),2),0)</f>
        <v/>
      </c>
      <c r="AR598">
        <f>IF(AE598=1,ROUND(SUMIFS('All Donations'!$S$2:$S$4001,'All Donations'!$R$2:$R$4001,AD598,'All Donations'!$T$2:$T$4001,"&gt;="&amp;'Settings'!$C$26,'All Donations'!$T$2:$T$4001,"&lt;="&amp;'Settings'!$D$26),2),0)</f>
        <v/>
      </c>
      <c r="AS598">
        <f>IF(AE598=1,ROUND(SUMIFS('All Donations'!$S$2:$S$4001,'All Donations'!$R$2:$R$4001,AD598,'All Donations'!$T$2:$T$4001,"&lt;="&amp;'Settings'!$D$27),2),0)</f>
        <v/>
      </c>
      <c r="AT598">
        <f>IF(AE598=1,ROUND(SUMIFS('All Donations'!$S$2:$S$4001,'All Donations'!$R$2:$R$4001,AD598,'All Donations'!$T$2:$T$4001,"&gt;="&amp;'Settings'!$C$28,'All Donations'!$T$2:$T$4001,"&lt;="&amp;'Settings'!$D$28),2),0)</f>
        <v/>
      </c>
      <c r="AU598">
        <f>IF(AE598=1,ROUND(SUMIFS('All Donations'!$S$2:$S$4001,'All Donations'!$R$2:$R$4001,AD598,'All Donations'!$T$2:$T$4001,"&gt;="&amp;'Settings'!$C$29,'All Donations'!$T$2:$T$4001,"&lt;="&amp;'Settings'!$D$29),2),0)</f>
        <v/>
      </c>
      <c r="AV598">
        <f>IF(AE598=1,ROUND(SUMIFS('All Donations'!$S$2:$S$4001,'All Donations'!$R$2:$R$4001,AD598,'All Donations'!$T$2:$T$4001,"&lt;="&amp;'Settings'!$D$30),2),0)</f>
        <v/>
      </c>
      <c r="AZ598">
        <f>IF(AE598=1,ROUND(SUMIFS('All Donations'!$S$2:$S$4001,'All Donations'!$R$2:$R$4001,AD598,'All Donations'!$T$2:$T$4001,"&lt;="&amp;'Settings'!$D$34),2),0)</f>
        <v/>
      </c>
    </row>
    <row r="599">
      <c r="A599">
        <f>IF(AE599=1,TRIM(TRIM('Roster'!B599)&amp;" "&amp;TRIM('Roster'!C599)),"")</f>
        <v/>
      </c>
      <c r="B599">
        <f>IF(AE599=1,IF(AN599="","(no teacher)",AN599&amp;" – "&amp;C599),"")</f>
        <v/>
      </c>
      <c r="C599">
        <f>IF(AE599=1,TRIM('Roster'!D599&amp;""),"")</f>
        <v/>
      </c>
      <c r="D599" s="48">
        <f>IF(AE599=1,ROUND(SUMIFS('All Donations'!$S$2:$S$4001,'All Donations'!$R$2:$R$4001,AD599),2),"")</f>
        <v/>
      </c>
      <c r="E599" s="48">
        <f>IF(AE599=1,ROUND(SUMIFS('All Donations'!$S$2:$S$4001,'All Donations'!$R$2:$R$4001,AD599,'All Donations'!$G$2:$G$4001,"OneCause"),2),"")</f>
        <v/>
      </c>
      <c r="F599" s="48">
        <f>IF(AE599=1,D599-E599,"")</f>
        <v/>
      </c>
      <c r="G599">
        <f>IF(AE599=1,COUNTIFS('All Donations'!$R$2:$R$4001,AD599,'All Donations'!$H$2:$H$4001,"OK"),"")</f>
        <v/>
      </c>
      <c r="H599">
        <f>IF(AE599&lt;&gt;1,"",IF(D599&gt;0,"Yes",""))</f>
        <v/>
      </c>
      <c r="I599" s="49">
        <f>IF(OR($AE599&lt;&gt;1,I$1=""),"",SUMIFS('All Donations'!$S$2:$S$4001,'All Donations'!$R$2:$R$4001,$AD599,'All Donations'!$T$2:$T$4001,I$1))</f>
        <v/>
      </c>
      <c r="J599" s="49">
        <f>IF(OR($AE599&lt;&gt;1,J$1=""),"",SUMIFS('All Donations'!$S$2:$S$4001,'All Donations'!$R$2:$R$4001,$AD599,'All Donations'!$T$2:$T$4001,J$1))</f>
        <v/>
      </c>
      <c r="K599" s="49">
        <f>IF(OR($AE599&lt;&gt;1,K$1=""),"",SUMIFS('All Donations'!$S$2:$S$4001,'All Donations'!$R$2:$R$4001,$AD599,'All Donations'!$T$2:$T$4001,K$1))</f>
        <v/>
      </c>
      <c r="L599" s="49">
        <f>IF(OR($AE599&lt;&gt;1,L$1=""),"",SUMIFS('All Donations'!$S$2:$S$4001,'All Donations'!$R$2:$R$4001,$AD599,'All Donations'!$T$2:$T$4001,L$1))</f>
        <v/>
      </c>
      <c r="M599" s="49">
        <f>IF(OR($AE599&lt;&gt;1,M$1=""),"",SUMIFS('All Donations'!$S$2:$S$4001,'All Donations'!$R$2:$R$4001,$AD599,'All Donations'!$T$2:$T$4001,M$1))</f>
        <v/>
      </c>
      <c r="N599" s="49">
        <f>IF(OR($AE599&lt;&gt;1,N$1=""),"",SUMIFS('All Donations'!$S$2:$S$4001,'All Donations'!$R$2:$R$4001,$AD599,'All Donations'!$T$2:$T$4001,N$1))</f>
        <v/>
      </c>
      <c r="O599" s="49">
        <f>IF(OR($AE599&lt;&gt;1,O$1=""),"",SUMIFS('All Donations'!$S$2:$S$4001,'All Donations'!$R$2:$R$4001,$AD599,'All Donations'!$T$2:$T$4001,O$1))</f>
        <v/>
      </c>
      <c r="P599" s="49">
        <f>IF(OR($AE599&lt;&gt;1,P$1=""),"",SUMIFS('All Donations'!$S$2:$S$4001,'All Donations'!$R$2:$R$4001,$AD599,'All Donations'!$T$2:$T$4001,P$1))</f>
        <v/>
      </c>
      <c r="Q599" s="49">
        <f>IF(OR($AE599&lt;&gt;1,Q$1=""),"",SUMIFS('All Donations'!$S$2:$S$4001,'All Donations'!$R$2:$R$4001,$AD599,'All Donations'!$T$2:$T$4001,Q$1))</f>
        <v/>
      </c>
      <c r="R599" s="49">
        <f>IF(OR($AE599&lt;&gt;1,R$1=""),"",SUMIFS('All Donations'!$S$2:$S$4001,'All Donations'!$R$2:$R$4001,$AD599,'All Donations'!$T$2:$T$4001,R$1))</f>
        <v/>
      </c>
      <c r="S599" s="49">
        <f>IF(OR($AE599&lt;&gt;1,S$1=""),"",SUMIFS('All Donations'!$S$2:$S$4001,'All Donations'!$R$2:$R$4001,$AD599,'All Donations'!$T$2:$T$4001,S$1))</f>
        <v/>
      </c>
      <c r="T599" s="49">
        <f>IF(OR($AE599&lt;&gt;1,T$1=""),"",SUMIFS('All Donations'!$S$2:$S$4001,'All Donations'!$R$2:$R$4001,$AD599,'All Donations'!$T$2:$T$4001,T$1))</f>
        <v/>
      </c>
      <c r="U599" s="49">
        <f>IF(OR($AE599&lt;&gt;1,U$1=""),"",SUMIFS('All Donations'!$S$2:$S$4001,'All Donations'!$R$2:$R$4001,$AD599,'All Donations'!$T$2:$T$4001,U$1))</f>
        <v/>
      </c>
      <c r="V599" s="49">
        <f>IF(OR($AE599&lt;&gt;1,V$1=""),"",SUMIFS('All Donations'!$S$2:$S$4001,'All Donations'!$R$2:$R$4001,$AD599,'All Donations'!$T$2:$T$4001,V$1))</f>
        <v/>
      </c>
      <c r="W599" s="49">
        <f>IF(OR($AE599&lt;&gt;1,W$1=""),"",SUMIFS('All Donations'!$S$2:$S$4001,'All Donations'!$R$2:$R$4001,$AD599,'All Donations'!$T$2:$T$4001,W$1))</f>
        <v/>
      </c>
      <c r="X599" s="49">
        <f>IF(OR($AE599&lt;&gt;1,X$1=""),"",SUMIFS('All Donations'!$S$2:$S$4001,'All Donations'!$R$2:$R$4001,$AD599,'All Donations'!$T$2:$T$4001,X$1))</f>
        <v/>
      </c>
      <c r="Y599" s="49">
        <f>IF(OR($AE599&lt;&gt;1,Y$1=""),"",SUMIFS('All Donations'!$S$2:$S$4001,'All Donations'!$R$2:$R$4001,$AD599,'All Donations'!$T$2:$T$4001,Y$1))</f>
        <v/>
      </c>
      <c r="Z599" s="49">
        <f>IF(OR($AE599&lt;&gt;1,Z$1=""),"",SUMIFS('All Donations'!$S$2:$S$4001,'All Donations'!$R$2:$R$4001,$AD599,'All Donations'!$T$2:$T$4001,Z$1))</f>
        <v/>
      </c>
      <c r="AA599" s="49">
        <f>IF(OR($AE599&lt;&gt;1,AA$1=""),"",SUMIFS('All Donations'!$S$2:$S$4001,'All Donations'!$R$2:$R$4001,$AD599,'All Donations'!$T$2:$T$4001,AA$1))</f>
        <v/>
      </c>
      <c r="AB599" s="49">
        <f>IF(OR($AE599&lt;&gt;1,AB$1=""),"",SUMIFS('All Donations'!$S$2:$S$4001,'All Donations'!$R$2:$R$4001,$AD599,'All Donations'!$T$2:$T$4001,AB$1))</f>
        <v/>
      </c>
      <c r="AC599" s="49">
        <f>IF(OR($AE599&lt;&gt;1,AC$1=""),"",SUMIFS('All Donations'!$S$2:$S$4001,'All Donations'!$R$2:$R$4001,$AD599,'All Donations'!$T$2:$T$4001,AC$1))</f>
        <v/>
      </c>
      <c r="AD599">
        <f>IF(AE599=1,'Roster'!A599,"")</f>
        <v/>
      </c>
      <c r="AE599">
        <f>IF(TRIM('Roster'!B599&amp;'Roster'!C599)&lt;&gt;"",1,0)</f>
        <v/>
      </c>
      <c r="AF599">
        <f>IF(AE599=1,LOWER(A599),"#")</f>
        <v/>
      </c>
      <c r="AG599">
        <f>IF(AE599=1,LOWER(TRIM(TRIM('Roster'!C599)&amp;", "&amp;TRIM('Roster'!B599))),"#")</f>
        <v/>
      </c>
      <c r="AH599">
        <f>IF(AND(AE599=1,TRIM('Roster'!F599)&lt;&gt;""),LOWER(TRIM('Roster'!F599)),"#")</f>
        <v/>
      </c>
      <c r="AI599">
        <f>IF(AE599=1,IF(MATCH(B599,$B$2:$B$701,0)=ROW()-1,1,0),0)</f>
        <v/>
      </c>
      <c r="AJ599">
        <f>AJ598+AI599</f>
        <v/>
      </c>
      <c r="AK599">
        <f>IF(AE599=1,D599+(1000-ROW())/10^7,-1)</f>
        <v/>
      </c>
      <c r="AL599">
        <f>IF(AE599=1,TRIM('Roster'!B599)&amp;" "&amp;LEFT(TRIM('Roster'!C599),1)&amp;".","")</f>
        <v/>
      </c>
      <c r="AM599">
        <f>IF(AE599=1,TRIM('Roster'!C599)&amp;", "&amp;TRIM('Roster'!B599)&amp;" ("&amp;B599&amp;") #"&amp;AD599,"")</f>
        <v/>
      </c>
      <c r="AN599">
        <f>IF(AE599=1,TRIM('Roster'!E599),"")</f>
        <v/>
      </c>
      <c r="AO599">
        <f>IF(AE599=1,ROUND(SUMIFS('All Donations'!$S$2:$S$4001,'All Donations'!$R$2:$R$4001,AD599,'All Donations'!$T$2:$T$4001,"&gt;="&amp;'Settings'!$C$23,'All Donations'!$T$2:$T$4001,"&lt;="&amp;'Settings'!$D$23),2),0)</f>
        <v/>
      </c>
      <c r="AQ599">
        <f>IF(AE599=1,ROUND(SUMIFS('All Donations'!$S$2:$S$4001,'All Donations'!$R$2:$R$4001,AD599,'All Donations'!$T$2:$T$4001,"&gt;="&amp;'Settings'!$C$25,'All Donations'!$T$2:$T$4001,"&lt;="&amp;'Settings'!$D$25),2),0)</f>
        <v/>
      </c>
      <c r="AR599">
        <f>IF(AE599=1,ROUND(SUMIFS('All Donations'!$S$2:$S$4001,'All Donations'!$R$2:$R$4001,AD599,'All Donations'!$T$2:$T$4001,"&gt;="&amp;'Settings'!$C$26,'All Donations'!$T$2:$T$4001,"&lt;="&amp;'Settings'!$D$26),2),0)</f>
        <v/>
      </c>
      <c r="AS599">
        <f>IF(AE599=1,ROUND(SUMIFS('All Donations'!$S$2:$S$4001,'All Donations'!$R$2:$R$4001,AD599,'All Donations'!$T$2:$T$4001,"&lt;="&amp;'Settings'!$D$27),2),0)</f>
        <v/>
      </c>
      <c r="AT599">
        <f>IF(AE599=1,ROUND(SUMIFS('All Donations'!$S$2:$S$4001,'All Donations'!$R$2:$R$4001,AD599,'All Donations'!$T$2:$T$4001,"&gt;="&amp;'Settings'!$C$28,'All Donations'!$T$2:$T$4001,"&lt;="&amp;'Settings'!$D$28),2),0)</f>
        <v/>
      </c>
      <c r="AU599">
        <f>IF(AE599=1,ROUND(SUMIFS('All Donations'!$S$2:$S$4001,'All Donations'!$R$2:$R$4001,AD599,'All Donations'!$T$2:$T$4001,"&gt;="&amp;'Settings'!$C$29,'All Donations'!$T$2:$T$4001,"&lt;="&amp;'Settings'!$D$29),2),0)</f>
        <v/>
      </c>
      <c r="AV599">
        <f>IF(AE599=1,ROUND(SUMIFS('All Donations'!$S$2:$S$4001,'All Donations'!$R$2:$R$4001,AD599,'All Donations'!$T$2:$T$4001,"&lt;="&amp;'Settings'!$D$30),2),0)</f>
        <v/>
      </c>
      <c r="AZ599">
        <f>IF(AE599=1,ROUND(SUMIFS('All Donations'!$S$2:$S$4001,'All Donations'!$R$2:$R$4001,AD599,'All Donations'!$T$2:$T$4001,"&lt;="&amp;'Settings'!$D$34),2),0)</f>
        <v/>
      </c>
    </row>
    <row r="600">
      <c r="A600">
        <f>IF(AE600=1,TRIM(TRIM('Roster'!B600)&amp;" "&amp;TRIM('Roster'!C600)),"")</f>
        <v/>
      </c>
      <c r="B600">
        <f>IF(AE600=1,IF(AN600="","(no teacher)",AN600&amp;" – "&amp;C600),"")</f>
        <v/>
      </c>
      <c r="C600">
        <f>IF(AE600=1,TRIM('Roster'!D600&amp;""),"")</f>
        <v/>
      </c>
      <c r="D600" s="48">
        <f>IF(AE600=1,ROUND(SUMIFS('All Donations'!$S$2:$S$4001,'All Donations'!$R$2:$R$4001,AD600),2),"")</f>
        <v/>
      </c>
      <c r="E600" s="48">
        <f>IF(AE600=1,ROUND(SUMIFS('All Donations'!$S$2:$S$4001,'All Donations'!$R$2:$R$4001,AD600,'All Donations'!$G$2:$G$4001,"OneCause"),2),"")</f>
        <v/>
      </c>
      <c r="F600" s="48">
        <f>IF(AE600=1,D600-E600,"")</f>
        <v/>
      </c>
      <c r="G600">
        <f>IF(AE600=1,COUNTIFS('All Donations'!$R$2:$R$4001,AD600,'All Donations'!$H$2:$H$4001,"OK"),"")</f>
        <v/>
      </c>
      <c r="H600">
        <f>IF(AE600&lt;&gt;1,"",IF(D600&gt;0,"Yes",""))</f>
        <v/>
      </c>
      <c r="I600" s="49">
        <f>IF(OR($AE600&lt;&gt;1,I$1=""),"",SUMIFS('All Donations'!$S$2:$S$4001,'All Donations'!$R$2:$R$4001,$AD600,'All Donations'!$T$2:$T$4001,I$1))</f>
        <v/>
      </c>
      <c r="J600" s="49">
        <f>IF(OR($AE600&lt;&gt;1,J$1=""),"",SUMIFS('All Donations'!$S$2:$S$4001,'All Donations'!$R$2:$R$4001,$AD600,'All Donations'!$T$2:$T$4001,J$1))</f>
        <v/>
      </c>
      <c r="K600" s="49">
        <f>IF(OR($AE600&lt;&gt;1,K$1=""),"",SUMIFS('All Donations'!$S$2:$S$4001,'All Donations'!$R$2:$R$4001,$AD600,'All Donations'!$T$2:$T$4001,K$1))</f>
        <v/>
      </c>
      <c r="L600" s="49">
        <f>IF(OR($AE600&lt;&gt;1,L$1=""),"",SUMIFS('All Donations'!$S$2:$S$4001,'All Donations'!$R$2:$R$4001,$AD600,'All Donations'!$T$2:$T$4001,L$1))</f>
        <v/>
      </c>
      <c r="M600" s="49">
        <f>IF(OR($AE600&lt;&gt;1,M$1=""),"",SUMIFS('All Donations'!$S$2:$S$4001,'All Donations'!$R$2:$R$4001,$AD600,'All Donations'!$T$2:$T$4001,M$1))</f>
        <v/>
      </c>
      <c r="N600" s="49">
        <f>IF(OR($AE600&lt;&gt;1,N$1=""),"",SUMIFS('All Donations'!$S$2:$S$4001,'All Donations'!$R$2:$R$4001,$AD600,'All Donations'!$T$2:$T$4001,N$1))</f>
        <v/>
      </c>
      <c r="O600" s="49">
        <f>IF(OR($AE600&lt;&gt;1,O$1=""),"",SUMIFS('All Donations'!$S$2:$S$4001,'All Donations'!$R$2:$R$4001,$AD600,'All Donations'!$T$2:$T$4001,O$1))</f>
        <v/>
      </c>
      <c r="P600" s="49">
        <f>IF(OR($AE600&lt;&gt;1,P$1=""),"",SUMIFS('All Donations'!$S$2:$S$4001,'All Donations'!$R$2:$R$4001,$AD600,'All Donations'!$T$2:$T$4001,P$1))</f>
        <v/>
      </c>
      <c r="Q600" s="49">
        <f>IF(OR($AE600&lt;&gt;1,Q$1=""),"",SUMIFS('All Donations'!$S$2:$S$4001,'All Donations'!$R$2:$R$4001,$AD600,'All Donations'!$T$2:$T$4001,Q$1))</f>
        <v/>
      </c>
      <c r="R600" s="49">
        <f>IF(OR($AE600&lt;&gt;1,R$1=""),"",SUMIFS('All Donations'!$S$2:$S$4001,'All Donations'!$R$2:$R$4001,$AD600,'All Donations'!$T$2:$T$4001,R$1))</f>
        <v/>
      </c>
      <c r="S600" s="49">
        <f>IF(OR($AE600&lt;&gt;1,S$1=""),"",SUMIFS('All Donations'!$S$2:$S$4001,'All Donations'!$R$2:$R$4001,$AD600,'All Donations'!$T$2:$T$4001,S$1))</f>
        <v/>
      </c>
      <c r="T600" s="49">
        <f>IF(OR($AE600&lt;&gt;1,T$1=""),"",SUMIFS('All Donations'!$S$2:$S$4001,'All Donations'!$R$2:$R$4001,$AD600,'All Donations'!$T$2:$T$4001,T$1))</f>
        <v/>
      </c>
      <c r="U600" s="49">
        <f>IF(OR($AE600&lt;&gt;1,U$1=""),"",SUMIFS('All Donations'!$S$2:$S$4001,'All Donations'!$R$2:$R$4001,$AD600,'All Donations'!$T$2:$T$4001,U$1))</f>
        <v/>
      </c>
      <c r="V600" s="49">
        <f>IF(OR($AE600&lt;&gt;1,V$1=""),"",SUMIFS('All Donations'!$S$2:$S$4001,'All Donations'!$R$2:$R$4001,$AD600,'All Donations'!$T$2:$T$4001,V$1))</f>
        <v/>
      </c>
      <c r="W600" s="49">
        <f>IF(OR($AE600&lt;&gt;1,W$1=""),"",SUMIFS('All Donations'!$S$2:$S$4001,'All Donations'!$R$2:$R$4001,$AD600,'All Donations'!$T$2:$T$4001,W$1))</f>
        <v/>
      </c>
      <c r="X600" s="49">
        <f>IF(OR($AE600&lt;&gt;1,X$1=""),"",SUMIFS('All Donations'!$S$2:$S$4001,'All Donations'!$R$2:$R$4001,$AD600,'All Donations'!$T$2:$T$4001,X$1))</f>
        <v/>
      </c>
      <c r="Y600" s="49">
        <f>IF(OR($AE600&lt;&gt;1,Y$1=""),"",SUMIFS('All Donations'!$S$2:$S$4001,'All Donations'!$R$2:$R$4001,$AD600,'All Donations'!$T$2:$T$4001,Y$1))</f>
        <v/>
      </c>
      <c r="Z600" s="49">
        <f>IF(OR($AE600&lt;&gt;1,Z$1=""),"",SUMIFS('All Donations'!$S$2:$S$4001,'All Donations'!$R$2:$R$4001,$AD600,'All Donations'!$T$2:$T$4001,Z$1))</f>
        <v/>
      </c>
      <c r="AA600" s="49">
        <f>IF(OR($AE600&lt;&gt;1,AA$1=""),"",SUMIFS('All Donations'!$S$2:$S$4001,'All Donations'!$R$2:$R$4001,$AD600,'All Donations'!$T$2:$T$4001,AA$1))</f>
        <v/>
      </c>
      <c r="AB600" s="49">
        <f>IF(OR($AE600&lt;&gt;1,AB$1=""),"",SUMIFS('All Donations'!$S$2:$S$4001,'All Donations'!$R$2:$R$4001,$AD600,'All Donations'!$T$2:$T$4001,AB$1))</f>
        <v/>
      </c>
      <c r="AC600" s="49">
        <f>IF(OR($AE600&lt;&gt;1,AC$1=""),"",SUMIFS('All Donations'!$S$2:$S$4001,'All Donations'!$R$2:$R$4001,$AD600,'All Donations'!$T$2:$T$4001,AC$1))</f>
        <v/>
      </c>
      <c r="AD600">
        <f>IF(AE600=1,'Roster'!A600,"")</f>
        <v/>
      </c>
      <c r="AE600">
        <f>IF(TRIM('Roster'!B600&amp;'Roster'!C600)&lt;&gt;"",1,0)</f>
        <v/>
      </c>
      <c r="AF600">
        <f>IF(AE600=1,LOWER(A600),"#")</f>
        <v/>
      </c>
      <c r="AG600">
        <f>IF(AE600=1,LOWER(TRIM(TRIM('Roster'!C600)&amp;", "&amp;TRIM('Roster'!B600))),"#")</f>
        <v/>
      </c>
      <c r="AH600">
        <f>IF(AND(AE600=1,TRIM('Roster'!F600)&lt;&gt;""),LOWER(TRIM('Roster'!F600)),"#")</f>
        <v/>
      </c>
      <c r="AI600">
        <f>IF(AE600=1,IF(MATCH(B600,$B$2:$B$701,0)=ROW()-1,1,0),0)</f>
        <v/>
      </c>
      <c r="AJ600">
        <f>AJ599+AI600</f>
        <v/>
      </c>
      <c r="AK600">
        <f>IF(AE600=1,D600+(1000-ROW())/10^7,-1)</f>
        <v/>
      </c>
      <c r="AL600">
        <f>IF(AE600=1,TRIM('Roster'!B600)&amp;" "&amp;LEFT(TRIM('Roster'!C600),1)&amp;".","")</f>
        <v/>
      </c>
      <c r="AM600">
        <f>IF(AE600=1,TRIM('Roster'!C600)&amp;", "&amp;TRIM('Roster'!B600)&amp;" ("&amp;B600&amp;") #"&amp;AD600,"")</f>
        <v/>
      </c>
      <c r="AN600">
        <f>IF(AE600=1,TRIM('Roster'!E600),"")</f>
        <v/>
      </c>
      <c r="AO600">
        <f>IF(AE600=1,ROUND(SUMIFS('All Donations'!$S$2:$S$4001,'All Donations'!$R$2:$R$4001,AD600,'All Donations'!$T$2:$T$4001,"&gt;="&amp;'Settings'!$C$23,'All Donations'!$T$2:$T$4001,"&lt;="&amp;'Settings'!$D$23),2),0)</f>
        <v/>
      </c>
      <c r="AQ600">
        <f>IF(AE600=1,ROUND(SUMIFS('All Donations'!$S$2:$S$4001,'All Donations'!$R$2:$R$4001,AD600,'All Donations'!$T$2:$T$4001,"&gt;="&amp;'Settings'!$C$25,'All Donations'!$T$2:$T$4001,"&lt;="&amp;'Settings'!$D$25),2),0)</f>
        <v/>
      </c>
      <c r="AR600">
        <f>IF(AE600=1,ROUND(SUMIFS('All Donations'!$S$2:$S$4001,'All Donations'!$R$2:$R$4001,AD600,'All Donations'!$T$2:$T$4001,"&gt;="&amp;'Settings'!$C$26,'All Donations'!$T$2:$T$4001,"&lt;="&amp;'Settings'!$D$26),2),0)</f>
        <v/>
      </c>
      <c r="AS600">
        <f>IF(AE600=1,ROUND(SUMIFS('All Donations'!$S$2:$S$4001,'All Donations'!$R$2:$R$4001,AD600,'All Donations'!$T$2:$T$4001,"&lt;="&amp;'Settings'!$D$27),2),0)</f>
        <v/>
      </c>
      <c r="AT600">
        <f>IF(AE600=1,ROUND(SUMIFS('All Donations'!$S$2:$S$4001,'All Donations'!$R$2:$R$4001,AD600,'All Donations'!$T$2:$T$4001,"&gt;="&amp;'Settings'!$C$28,'All Donations'!$T$2:$T$4001,"&lt;="&amp;'Settings'!$D$28),2),0)</f>
        <v/>
      </c>
      <c r="AU600">
        <f>IF(AE600=1,ROUND(SUMIFS('All Donations'!$S$2:$S$4001,'All Donations'!$R$2:$R$4001,AD600,'All Donations'!$T$2:$T$4001,"&gt;="&amp;'Settings'!$C$29,'All Donations'!$T$2:$T$4001,"&lt;="&amp;'Settings'!$D$29),2),0)</f>
        <v/>
      </c>
      <c r="AV600">
        <f>IF(AE600=1,ROUND(SUMIFS('All Donations'!$S$2:$S$4001,'All Donations'!$R$2:$R$4001,AD600,'All Donations'!$T$2:$T$4001,"&lt;="&amp;'Settings'!$D$30),2),0)</f>
        <v/>
      </c>
      <c r="AZ600">
        <f>IF(AE600=1,ROUND(SUMIFS('All Donations'!$S$2:$S$4001,'All Donations'!$R$2:$R$4001,AD600,'All Donations'!$T$2:$T$4001,"&lt;="&amp;'Settings'!$D$34),2),0)</f>
        <v/>
      </c>
    </row>
    <row r="601">
      <c r="A601">
        <f>IF(AE601=1,TRIM(TRIM('Roster'!B601)&amp;" "&amp;TRIM('Roster'!C601)),"")</f>
        <v/>
      </c>
      <c r="B601">
        <f>IF(AE601=1,IF(AN601="","(no teacher)",AN601&amp;" – "&amp;C601),"")</f>
        <v/>
      </c>
      <c r="C601">
        <f>IF(AE601=1,TRIM('Roster'!D601&amp;""),"")</f>
        <v/>
      </c>
      <c r="D601" s="48">
        <f>IF(AE601=1,ROUND(SUMIFS('All Donations'!$S$2:$S$4001,'All Donations'!$R$2:$R$4001,AD601),2),"")</f>
        <v/>
      </c>
      <c r="E601" s="48">
        <f>IF(AE601=1,ROUND(SUMIFS('All Donations'!$S$2:$S$4001,'All Donations'!$R$2:$R$4001,AD601,'All Donations'!$G$2:$G$4001,"OneCause"),2),"")</f>
        <v/>
      </c>
      <c r="F601" s="48">
        <f>IF(AE601=1,D601-E601,"")</f>
        <v/>
      </c>
      <c r="G601">
        <f>IF(AE601=1,COUNTIFS('All Donations'!$R$2:$R$4001,AD601,'All Donations'!$H$2:$H$4001,"OK"),"")</f>
        <v/>
      </c>
      <c r="H601">
        <f>IF(AE601&lt;&gt;1,"",IF(D601&gt;0,"Yes",""))</f>
        <v/>
      </c>
      <c r="I601" s="49">
        <f>IF(OR($AE601&lt;&gt;1,I$1=""),"",SUMIFS('All Donations'!$S$2:$S$4001,'All Donations'!$R$2:$R$4001,$AD601,'All Donations'!$T$2:$T$4001,I$1))</f>
        <v/>
      </c>
      <c r="J601" s="49">
        <f>IF(OR($AE601&lt;&gt;1,J$1=""),"",SUMIFS('All Donations'!$S$2:$S$4001,'All Donations'!$R$2:$R$4001,$AD601,'All Donations'!$T$2:$T$4001,J$1))</f>
        <v/>
      </c>
      <c r="K601" s="49">
        <f>IF(OR($AE601&lt;&gt;1,K$1=""),"",SUMIFS('All Donations'!$S$2:$S$4001,'All Donations'!$R$2:$R$4001,$AD601,'All Donations'!$T$2:$T$4001,K$1))</f>
        <v/>
      </c>
      <c r="L601" s="49">
        <f>IF(OR($AE601&lt;&gt;1,L$1=""),"",SUMIFS('All Donations'!$S$2:$S$4001,'All Donations'!$R$2:$R$4001,$AD601,'All Donations'!$T$2:$T$4001,L$1))</f>
        <v/>
      </c>
      <c r="M601" s="49">
        <f>IF(OR($AE601&lt;&gt;1,M$1=""),"",SUMIFS('All Donations'!$S$2:$S$4001,'All Donations'!$R$2:$R$4001,$AD601,'All Donations'!$T$2:$T$4001,M$1))</f>
        <v/>
      </c>
      <c r="N601" s="49">
        <f>IF(OR($AE601&lt;&gt;1,N$1=""),"",SUMIFS('All Donations'!$S$2:$S$4001,'All Donations'!$R$2:$R$4001,$AD601,'All Donations'!$T$2:$T$4001,N$1))</f>
        <v/>
      </c>
      <c r="O601" s="49">
        <f>IF(OR($AE601&lt;&gt;1,O$1=""),"",SUMIFS('All Donations'!$S$2:$S$4001,'All Donations'!$R$2:$R$4001,$AD601,'All Donations'!$T$2:$T$4001,O$1))</f>
        <v/>
      </c>
      <c r="P601" s="49">
        <f>IF(OR($AE601&lt;&gt;1,P$1=""),"",SUMIFS('All Donations'!$S$2:$S$4001,'All Donations'!$R$2:$R$4001,$AD601,'All Donations'!$T$2:$T$4001,P$1))</f>
        <v/>
      </c>
      <c r="Q601" s="49">
        <f>IF(OR($AE601&lt;&gt;1,Q$1=""),"",SUMIFS('All Donations'!$S$2:$S$4001,'All Donations'!$R$2:$R$4001,$AD601,'All Donations'!$T$2:$T$4001,Q$1))</f>
        <v/>
      </c>
      <c r="R601" s="49">
        <f>IF(OR($AE601&lt;&gt;1,R$1=""),"",SUMIFS('All Donations'!$S$2:$S$4001,'All Donations'!$R$2:$R$4001,$AD601,'All Donations'!$T$2:$T$4001,R$1))</f>
        <v/>
      </c>
      <c r="S601" s="49">
        <f>IF(OR($AE601&lt;&gt;1,S$1=""),"",SUMIFS('All Donations'!$S$2:$S$4001,'All Donations'!$R$2:$R$4001,$AD601,'All Donations'!$T$2:$T$4001,S$1))</f>
        <v/>
      </c>
      <c r="T601" s="49">
        <f>IF(OR($AE601&lt;&gt;1,T$1=""),"",SUMIFS('All Donations'!$S$2:$S$4001,'All Donations'!$R$2:$R$4001,$AD601,'All Donations'!$T$2:$T$4001,T$1))</f>
        <v/>
      </c>
      <c r="U601" s="49">
        <f>IF(OR($AE601&lt;&gt;1,U$1=""),"",SUMIFS('All Donations'!$S$2:$S$4001,'All Donations'!$R$2:$R$4001,$AD601,'All Donations'!$T$2:$T$4001,U$1))</f>
        <v/>
      </c>
      <c r="V601" s="49">
        <f>IF(OR($AE601&lt;&gt;1,V$1=""),"",SUMIFS('All Donations'!$S$2:$S$4001,'All Donations'!$R$2:$R$4001,$AD601,'All Donations'!$T$2:$T$4001,V$1))</f>
        <v/>
      </c>
      <c r="W601" s="49">
        <f>IF(OR($AE601&lt;&gt;1,W$1=""),"",SUMIFS('All Donations'!$S$2:$S$4001,'All Donations'!$R$2:$R$4001,$AD601,'All Donations'!$T$2:$T$4001,W$1))</f>
        <v/>
      </c>
      <c r="X601" s="49">
        <f>IF(OR($AE601&lt;&gt;1,X$1=""),"",SUMIFS('All Donations'!$S$2:$S$4001,'All Donations'!$R$2:$R$4001,$AD601,'All Donations'!$T$2:$T$4001,X$1))</f>
        <v/>
      </c>
      <c r="Y601" s="49">
        <f>IF(OR($AE601&lt;&gt;1,Y$1=""),"",SUMIFS('All Donations'!$S$2:$S$4001,'All Donations'!$R$2:$R$4001,$AD601,'All Donations'!$T$2:$T$4001,Y$1))</f>
        <v/>
      </c>
      <c r="Z601" s="49">
        <f>IF(OR($AE601&lt;&gt;1,Z$1=""),"",SUMIFS('All Donations'!$S$2:$S$4001,'All Donations'!$R$2:$R$4001,$AD601,'All Donations'!$T$2:$T$4001,Z$1))</f>
        <v/>
      </c>
      <c r="AA601" s="49">
        <f>IF(OR($AE601&lt;&gt;1,AA$1=""),"",SUMIFS('All Donations'!$S$2:$S$4001,'All Donations'!$R$2:$R$4001,$AD601,'All Donations'!$T$2:$T$4001,AA$1))</f>
        <v/>
      </c>
      <c r="AB601" s="49">
        <f>IF(OR($AE601&lt;&gt;1,AB$1=""),"",SUMIFS('All Donations'!$S$2:$S$4001,'All Donations'!$R$2:$R$4001,$AD601,'All Donations'!$T$2:$T$4001,AB$1))</f>
        <v/>
      </c>
      <c r="AC601" s="49">
        <f>IF(OR($AE601&lt;&gt;1,AC$1=""),"",SUMIFS('All Donations'!$S$2:$S$4001,'All Donations'!$R$2:$R$4001,$AD601,'All Donations'!$T$2:$T$4001,AC$1))</f>
        <v/>
      </c>
      <c r="AD601">
        <f>IF(AE601=1,'Roster'!A601,"")</f>
        <v/>
      </c>
      <c r="AE601">
        <f>IF(TRIM('Roster'!B601&amp;'Roster'!C601)&lt;&gt;"",1,0)</f>
        <v/>
      </c>
      <c r="AF601">
        <f>IF(AE601=1,LOWER(A601),"#")</f>
        <v/>
      </c>
      <c r="AG601">
        <f>IF(AE601=1,LOWER(TRIM(TRIM('Roster'!C601)&amp;", "&amp;TRIM('Roster'!B601))),"#")</f>
        <v/>
      </c>
      <c r="AH601">
        <f>IF(AND(AE601=1,TRIM('Roster'!F601)&lt;&gt;""),LOWER(TRIM('Roster'!F601)),"#")</f>
        <v/>
      </c>
      <c r="AI601">
        <f>IF(AE601=1,IF(MATCH(B601,$B$2:$B$701,0)=ROW()-1,1,0),0)</f>
        <v/>
      </c>
      <c r="AJ601">
        <f>AJ600+AI601</f>
        <v/>
      </c>
      <c r="AK601">
        <f>IF(AE601=1,D601+(1000-ROW())/10^7,-1)</f>
        <v/>
      </c>
      <c r="AL601">
        <f>IF(AE601=1,TRIM('Roster'!B601)&amp;" "&amp;LEFT(TRIM('Roster'!C601),1)&amp;".","")</f>
        <v/>
      </c>
      <c r="AM601">
        <f>IF(AE601=1,TRIM('Roster'!C601)&amp;", "&amp;TRIM('Roster'!B601)&amp;" ("&amp;B601&amp;") #"&amp;AD601,"")</f>
        <v/>
      </c>
      <c r="AN601">
        <f>IF(AE601=1,TRIM('Roster'!E601),"")</f>
        <v/>
      </c>
      <c r="AO601">
        <f>IF(AE601=1,ROUND(SUMIFS('All Donations'!$S$2:$S$4001,'All Donations'!$R$2:$R$4001,AD601,'All Donations'!$T$2:$T$4001,"&gt;="&amp;'Settings'!$C$23,'All Donations'!$T$2:$T$4001,"&lt;="&amp;'Settings'!$D$23),2),0)</f>
        <v/>
      </c>
      <c r="AQ601">
        <f>IF(AE601=1,ROUND(SUMIFS('All Donations'!$S$2:$S$4001,'All Donations'!$R$2:$R$4001,AD601,'All Donations'!$T$2:$T$4001,"&gt;="&amp;'Settings'!$C$25,'All Donations'!$T$2:$T$4001,"&lt;="&amp;'Settings'!$D$25),2),0)</f>
        <v/>
      </c>
      <c r="AR601">
        <f>IF(AE601=1,ROUND(SUMIFS('All Donations'!$S$2:$S$4001,'All Donations'!$R$2:$R$4001,AD601,'All Donations'!$T$2:$T$4001,"&gt;="&amp;'Settings'!$C$26,'All Donations'!$T$2:$T$4001,"&lt;="&amp;'Settings'!$D$26),2),0)</f>
        <v/>
      </c>
      <c r="AS601">
        <f>IF(AE601=1,ROUND(SUMIFS('All Donations'!$S$2:$S$4001,'All Donations'!$R$2:$R$4001,AD601,'All Donations'!$T$2:$T$4001,"&lt;="&amp;'Settings'!$D$27),2),0)</f>
        <v/>
      </c>
      <c r="AT601">
        <f>IF(AE601=1,ROUND(SUMIFS('All Donations'!$S$2:$S$4001,'All Donations'!$R$2:$R$4001,AD601,'All Donations'!$T$2:$T$4001,"&gt;="&amp;'Settings'!$C$28,'All Donations'!$T$2:$T$4001,"&lt;="&amp;'Settings'!$D$28),2),0)</f>
        <v/>
      </c>
      <c r="AU601">
        <f>IF(AE601=1,ROUND(SUMIFS('All Donations'!$S$2:$S$4001,'All Donations'!$R$2:$R$4001,AD601,'All Donations'!$T$2:$T$4001,"&gt;="&amp;'Settings'!$C$29,'All Donations'!$T$2:$T$4001,"&lt;="&amp;'Settings'!$D$29),2),0)</f>
        <v/>
      </c>
      <c r="AV601">
        <f>IF(AE601=1,ROUND(SUMIFS('All Donations'!$S$2:$S$4001,'All Donations'!$R$2:$R$4001,AD601,'All Donations'!$T$2:$T$4001,"&lt;="&amp;'Settings'!$D$30),2),0)</f>
        <v/>
      </c>
      <c r="AZ601">
        <f>IF(AE601=1,ROUND(SUMIFS('All Donations'!$S$2:$S$4001,'All Donations'!$R$2:$R$4001,AD601,'All Donations'!$T$2:$T$4001,"&lt;="&amp;'Settings'!$D$34),2),0)</f>
        <v/>
      </c>
    </row>
    <row r="602">
      <c r="A602">
        <f>IF(AE602=1,TRIM(TRIM('Roster'!B602)&amp;" "&amp;TRIM('Roster'!C602)),"")</f>
        <v/>
      </c>
      <c r="B602">
        <f>IF(AE602=1,IF(AN602="","(no teacher)",AN602&amp;" – "&amp;C602),"")</f>
        <v/>
      </c>
      <c r="C602">
        <f>IF(AE602=1,TRIM('Roster'!D602&amp;""),"")</f>
        <v/>
      </c>
      <c r="D602" s="48">
        <f>IF(AE602=1,ROUND(SUMIFS('All Donations'!$S$2:$S$4001,'All Donations'!$R$2:$R$4001,AD602),2),"")</f>
        <v/>
      </c>
      <c r="E602" s="48">
        <f>IF(AE602=1,ROUND(SUMIFS('All Donations'!$S$2:$S$4001,'All Donations'!$R$2:$R$4001,AD602,'All Donations'!$G$2:$G$4001,"OneCause"),2),"")</f>
        <v/>
      </c>
      <c r="F602" s="48">
        <f>IF(AE602=1,D602-E602,"")</f>
        <v/>
      </c>
      <c r="G602">
        <f>IF(AE602=1,COUNTIFS('All Donations'!$R$2:$R$4001,AD602,'All Donations'!$H$2:$H$4001,"OK"),"")</f>
        <v/>
      </c>
      <c r="H602">
        <f>IF(AE602&lt;&gt;1,"",IF(D602&gt;0,"Yes",""))</f>
        <v/>
      </c>
      <c r="I602" s="49">
        <f>IF(OR($AE602&lt;&gt;1,I$1=""),"",SUMIFS('All Donations'!$S$2:$S$4001,'All Donations'!$R$2:$R$4001,$AD602,'All Donations'!$T$2:$T$4001,I$1))</f>
        <v/>
      </c>
      <c r="J602" s="49">
        <f>IF(OR($AE602&lt;&gt;1,J$1=""),"",SUMIFS('All Donations'!$S$2:$S$4001,'All Donations'!$R$2:$R$4001,$AD602,'All Donations'!$T$2:$T$4001,J$1))</f>
        <v/>
      </c>
      <c r="K602" s="49">
        <f>IF(OR($AE602&lt;&gt;1,K$1=""),"",SUMIFS('All Donations'!$S$2:$S$4001,'All Donations'!$R$2:$R$4001,$AD602,'All Donations'!$T$2:$T$4001,K$1))</f>
        <v/>
      </c>
      <c r="L602" s="49">
        <f>IF(OR($AE602&lt;&gt;1,L$1=""),"",SUMIFS('All Donations'!$S$2:$S$4001,'All Donations'!$R$2:$R$4001,$AD602,'All Donations'!$T$2:$T$4001,L$1))</f>
        <v/>
      </c>
      <c r="M602" s="49">
        <f>IF(OR($AE602&lt;&gt;1,M$1=""),"",SUMIFS('All Donations'!$S$2:$S$4001,'All Donations'!$R$2:$R$4001,$AD602,'All Donations'!$T$2:$T$4001,M$1))</f>
        <v/>
      </c>
      <c r="N602" s="49">
        <f>IF(OR($AE602&lt;&gt;1,N$1=""),"",SUMIFS('All Donations'!$S$2:$S$4001,'All Donations'!$R$2:$R$4001,$AD602,'All Donations'!$T$2:$T$4001,N$1))</f>
        <v/>
      </c>
      <c r="O602" s="49">
        <f>IF(OR($AE602&lt;&gt;1,O$1=""),"",SUMIFS('All Donations'!$S$2:$S$4001,'All Donations'!$R$2:$R$4001,$AD602,'All Donations'!$T$2:$T$4001,O$1))</f>
        <v/>
      </c>
      <c r="P602" s="49">
        <f>IF(OR($AE602&lt;&gt;1,P$1=""),"",SUMIFS('All Donations'!$S$2:$S$4001,'All Donations'!$R$2:$R$4001,$AD602,'All Donations'!$T$2:$T$4001,P$1))</f>
        <v/>
      </c>
      <c r="Q602" s="49">
        <f>IF(OR($AE602&lt;&gt;1,Q$1=""),"",SUMIFS('All Donations'!$S$2:$S$4001,'All Donations'!$R$2:$R$4001,$AD602,'All Donations'!$T$2:$T$4001,Q$1))</f>
        <v/>
      </c>
      <c r="R602" s="49">
        <f>IF(OR($AE602&lt;&gt;1,R$1=""),"",SUMIFS('All Donations'!$S$2:$S$4001,'All Donations'!$R$2:$R$4001,$AD602,'All Donations'!$T$2:$T$4001,R$1))</f>
        <v/>
      </c>
      <c r="S602" s="49">
        <f>IF(OR($AE602&lt;&gt;1,S$1=""),"",SUMIFS('All Donations'!$S$2:$S$4001,'All Donations'!$R$2:$R$4001,$AD602,'All Donations'!$T$2:$T$4001,S$1))</f>
        <v/>
      </c>
      <c r="T602" s="49">
        <f>IF(OR($AE602&lt;&gt;1,T$1=""),"",SUMIFS('All Donations'!$S$2:$S$4001,'All Donations'!$R$2:$R$4001,$AD602,'All Donations'!$T$2:$T$4001,T$1))</f>
        <v/>
      </c>
      <c r="U602" s="49">
        <f>IF(OR($AE602&lt;&gt;1,U$1=""),"",SUMIFS('All Donations'!$S$2:$S$4001,'All Donations'!$R$2:$R$4001,$AD602,'All Donations'!$T$2:$T$4001,U$1))</f>
        <v/>
      </c>
      <c r="V602" s="49">
        <f>IF(OR($AE602&lt;&gt;1,V$1=""),"",SUMIFS('All Donations'!$S$2:$S$4001,'All Donations'!$R$2:$R$4001,$AD602,'All Donations'!$T$2:$T$4001,V$1))</f>
        <v/>
      </c>
      <c r="W602" s="49">
        <f>IF(OR($AE602&lt;&gt;1,W$1=""),"",SUMIFS('All Donations'!$S$2:$S$4001,'All Donations'!$R$2:$R$4001,$AD602,'All Donations'!$T$2:$T$4001,W$1))</f>
        <v/>
      </c>
      <c r="X602" s="49">
        <f>IF(OR($AE602&lt;&gt;1,X$1=""),"",SUMIFS('All Donations'!$S$2:$S$4001,'All Donations'!$R$2:$R$4001,$AD602,'All Donations'!$T$2:$T$4001,X$1))</f>
        <v/>
      </c>
      <c r="Y602" s="49">
        <f>IF(OR($AE602&lt;&gt;1,Y$1=""),"",SUMIFS('All Donations'!$S$2:$S$4001,'All Donations'!$R$2:$R$4001,$AD602,'All Donations'!$T$2:$T$4001,Y$1))</f>
        <v/>
      </c>
      <c r="Z602" s="49">
        <f>IF(OR($AE602&lt;&gt;1,Z$1=""),"",SUMIFS('All Donations'!$S$2:$S$4001,'All Donations'!$R$2:$R$4001,$AD602,'All Donations'!$T$2:$T$4001,Z$1))</f>
        <v/>
      </c>
      <c r="AA602" s="49">
        <f>IF(OR($AE602&lt;&gt;1,AA$1=""),"",SUMIFS('All Donations'!$S$2:$S$4001,'All Donations'!$R$2:$R$4001,$AD602,'All Donations'!$T$2:$T$4001,AA$1))</f>
        <v/>
      </c>
      <c r="AB602" s="49">
        <f>IF(OR($AE602&lt;&gt;1,AB$1=""),"",SUMIFS('All Donations'!$S$2:$S$4001,'All Donations'!$R$2:$R$4001,$AD602,'All Donations'!$T$2:$T$4001,AB$1))</f>
        <v/>
      </c>
      <c r="AC602" s="49">
        <f>IF(OR($AE602&lt;&gt;1,AC$1=""),"",SUMIFS('All Donations'!$S$2:$S$4001,'All Donations'!$R$2:$R$4001,$AD602,'All Donations'!$T$2:$T$4001,AC$1))</f>
        <v/>
      </c>
      <c r="AD602">
        <f>IF(AE602=1,'Roster'!A602,"")</f>
        <v/>
      </c>
      <c r="AE602">
        <f>IF(TRIM('Roster'!B602&amp;'Roster'!C602)&lt;&gt;"",1,0)</f>
        <v/>
      </c>
      <c r="AF602">
        <f>IF(AE602=1,LOWER(A602),"#")</f>
        <v/>
      </c>
      <c r="AG602">
        <f>IF(AE602=1,LOWER(TRIM(TRIM('Roster'!C602)&amp;", "&amp;TRIM('Roster'!B602))),"#")</f>
        <v/>
      </c>
      <c r="AH602">
        <f>IF(AND(AE602=1,TRIM('Roster'!F602)&lt;&gt;""),LOWER(TRIM('Roster'!F602)),"#")</f>
        <v/>
      </c>
      <c r="AI602">
        <f>IF(AE602=1,IF(MATCH(B602,$B$2:$B$701,0)=ROW()-1,1,0),0)</f>
        <v/>
      </c>
      <c r="AJ602">
        <f>AJ601+AI602</f>
        <v/>
      </c>
      <c r="AK602">
        <f>IF(AE602=1,D602+(1000-ROW())/10^7,-1)</f>
        <v/>
      </c>
      <c r="AL602">
        <f>IF(AE602=1,TRIM('Roster'!B602)&amp;" "&amp;LEFT(TRIM('Roster'!C602),1)&amp;".","")</f>
        <v/>
      </c>
      <c r="AM602">
        <f>IF(AE602=1,TRIM('Roster'!C602)&amp;", "&amp;TRIM('Roster'!B602)&amp;" ("&amp;B602&amp;") #"&amp;AD602,"")</f>
        <v/>
      </c>
      <c r="AN602">
        <f>IF(AE602=1,TRIM('Roster'!E602),"")</f>
        <v/>
      </c>
      <c r="AO602">
        <f>IF(AE602=1,ROUND(SUMIFS('All Donations'!$S$2:$S$4001,'All Donations'!$R$2:$R$4001,AD602,'All Donations'!$T$2:$T$4001,"&gt;="&amp;'Settings'!$C$23,'All Donations'!$T$2:$T$4001,"&lt;="&amp;'Settings'!$D$23),2),0)</f>
        <v/>
      </c>
      <c r="AQ602">
        <f>IF(AE602=1,ROUND(SUMIFS('All Donations'!$S$2:$S$4001,'All Donations'!$R$2:$R$4001,AD602,'All Donations'!$T$2:$T$4001,"&gt;="&amp;'Settings'!$C$25,'All Donations'!$T$2:$T$4001,"&lt;="&amp;'Settings'!$D$25),2),0)</f>
        <v/>
      </c>
      <c r="AR602">
        <f>IF(AE602=1,ROUND(SUMIFS('All Donations'!$S$2:$S$4001,'All Donations'!$R$2:$R$4001,AD602,'All Donations'!$T$2:$T$4001,"&gt;="&amp;'Settings'!$C$26,'All Donations'!$T$2:$T$4001,"&lt;="&amp;'Settings'!$D$26),2),0)</f>
        <v/>
      </c>
      <c r="AS602">
        <f>IF(AE602=1,ROUND(SUMIFS('All Donations'!$S$2:$S$4001,'All Donations'!$R$2:$R$4001,AD602,'All Donations'!$T$2:$T$4001,"&lt;="&amp;'Settings'!$D$27),2),0)</f>
        <v/>
      </c>
      <c r="AT602">
        <f>IF(AE602=1,ROUND(SUMIFS('All Donations'!$S$2:$S$4001,'All Donations'!$R$2:$R$4001,AD602,'All Donations'!$T$2:$T$4001,"&gt;="&amp;'Settings'!$C$28,'All Donations'!$T$2:$T$4001,"&lt;="&amp;'Settings'!$D$28),2),0)</f>
        <v/>
      </c>
      <c r="AU602">
        <f>IF(AE602=1,ROUND(SUMIFS('All Donations'!$S$2:$S$4001,'All Donations'!$R$2:$R$4001,AD602,'All Donations'!$T$2:$T$4001,"&gt;="&amp;'Settings'!$C$29,'All Donations'!$T$2:$T$4001,"&lt;="&amp;'Settings'!$D$29),2),0)</f>
        <v/>
      </c>
      <c r="AV602">
        <f>IF(AE602=1,ROUND(SUMIFS('All Donations'!$S$2:$S$4001,'All Donations'!$R$2:$R$4001,AD602,'All Donations'!$T$2:$T$4001,"&lt;="&amp;'Settings'!$D$30),2),0)</f>
        <v/>
      </c>
      <c r="AZ602">
        <f>IF(AE602=1,ROUND(SUMIFS('All Donations'!$S$2:$S$4001,'All Donations'!$R$2:$R$4001,AD602,'All Donations'!$T$2:$T$4001,"&lt;="&amp;'Settings'!$D$34),2),0)</f>
        <v/>
      </c>
    </row>
    <row r="603">
      <c r="A603">
        <f>IF(AE603=1,TRIM(TRIM('Roster'!B603)&amp;" "&amp;TRIM('Roster'!C603)),"")</f>
        <v/>
      </c>
      <c r="B603">
        <f>IF(AE603=1,IF(AN603="","(no teacher)",AN603&amp;" – "&amp;C603),"")</f>
        <v/>
      </c>
      <c r="C603">
        <f>IF(AE603=1,TRIM('Roster'!D603&amp;""),"")</f>
        <v/>
      </c>
      <c r="D603" s="48">
        <f>IF(AE603=1,ROUND(SUMIFS('All Donations'!$S$2:$S$4001,'All Donations'!$R$2:$R$4001,AD603),2),"")</f>
        <v/>
      </c>
      <c r="E603" s="48">
        <f>IF(AE603=1,ROUND(SUMIFS('All Donations'!$S$2:$S$4001,'All Donations'!$R$2:$R$4001,AD603,'All Donations'!$G$2:$G$4001,"OneCause"),2),"")</f>
        <v/>
      </c>
      <c r="F603" s="48">
        <f>IF(AE603=1,D603-E603,"")</f>
        <v/>
      </c>
      <c r="G603">
        <f>IF(AE603=1,COUNTIFS('All Donations'!$R$2:$R$4001,AD603,'All Donations'!$H$2:$H$4001,"OK"),"")</f>
        <v/>
      </c>
      <c r="H603">
        <f>IF(AE603&lt;&gt;1,"",IF(D603&gt;0,"Yes",""))</f>
        <v/>
      </c>
      <c r="I603" s="49">
        <f>IF(OR($AE603&lt;&gt;1,I$1=""),"",SUMIFS('All Donations'!$S$2:$S$4001,'All Donations'!$R$2:$R$4001,$AD603,'All Donations'!$T$2:$T$4001,I$1))</f>
        <v/>
      </c>
      <c r="J603" s="49">
        <f>IF(OR($AE603&lt;&gt;1,J$1=""),"",SUMIFS('All Donations'!$S$2:$S$4001,'All Donations'!$R$2:$R$4001,$AD603,'All Donations'!$T$2:$T$4001,J$1))</f>
        <v/>
      </c>
      <c r="K603" s="49">
        <f>IF(OR($AE603&lt;&gt;1,K$1=""),"",SUMIFS('All Donations'!$S$2:$S$4001,'All Donations'!$R$2:$R$4001,$AD603,'All Donations'!$T$2:$T$4001,K$1))</f>
        <v/>
      </c>
      <c r="L603" s="49">
        <f>IF(OR($AE603&lt;&gt;1,L$1=""),"",SUMIFS('All Donations'!$S$2:$S$4001,'All Donations'!$R$2:$R$4001,$AD603,'All Donations'!$T$2:$T$4001,L$1))</f>
        <v/>
      </c>
      <c r="M603" s="49">
        <f>IF(OR($AE603&lt;&gt;1,M$1=""),"",SUMIFS('All Donations'!$S$2:$S$4001,'All Donations'!$R$2:$R$4001,$AD603,'All Donations'!$T$2:$T$4001,M$1))</f>
        <v/>
      </c>
      <c r="N603" s="49">
        <f>IF(OR($AE603&lt;&gt;1,N$1=""),"",SUMIFS('All Donations'!$S$2:$S$4001,'All Donations'!$R$2:$R$4001,$AD603,'All Donations'!$T$2:$T$4001,N$1))</f>
        <v/>
      </c>
      <c r="O603" s="49">
        <f>IF(OR($AE603&lt;&gt;1,O$1=""),"",SUMIFS('All Donations'!$S$2:$S$4001,'All Donations'!$R$2:$R$4001,$AD603,'All Donations'!$T$2:$T$4001,O$1))</f>
        <v/>
      </c>
      <c r="P603" s="49">
        <f>IF(OR($AE603&lt;&gt;1,P$1=""),"",SUMIFS('All Donations'!$S$2:$S$4001,'All Donations'!$R$2:$R$4001,$AD603,'All Donations'!$T$2:$T$4001,P$1))</f>
        <v/>
      </c>
      <c r="Q603" s="49">
        <f>IF(OR($AE603&lt;&gt;1,Q$1=""),"",SUMIFS('All Donations'!$S$2:$S$4001,'All Donations'!$R$2:$R$4001,$AD603,'All Donations'!$T$2:$T$4001,Q$1))</f>
        <v/>
      </c>
      <c r="R603" s="49">
        <f>IF(OR($AE603&lt;&gt;1,R$1=""),"",SUMIFS('All Donations'!$S$2:$S$4001,'All Donations'!$R$2:$R$4001,$AD603,'All Donations'!$T$2:$T$4001,R$1))</f>
        <v/>
      </c>
      <c r="S603" s="49">
        <f>IF(OR($AE603&lt;&gt;1,S$1=""),"",SUMIFS('All Donations'!$S$2:$S$4001,'All Donations'!$R$2:$R$4001,$AD603,'All Donations'!$T$2:$T$4001,S$1))</f>
        <v/>
      </c>
      <c r="T603" s="49">
        <f>IF(OR($AE603&lt;&gt;1,T$1=""),"",SUMIFS('All Donations'!$S$2:$S$4001,'All Donations'!$R$2:$R$4001,$AD603,'All Donations'!$T$2:$T$4001,T$1))</f>
        <v/>
      </c>
      <c r="U603" s="49">
        <f>IF(OR($AE603&lt;&gt;1,U$1=""),"",SUMIFS('All Donations'!$S$2:$S$4001,'All Donations'!$R$2:$R$4001,$AD603,'All Donations'!$T$2:$T$4001,U$1))</f>
        <v/>
      </c>
      <c r="V603" s="49">
        <f>IF(OR($AE603&lt;&gt;1,V$1=""),"",SUMIFS('All Donations'!$S$2:$S$4001,'All Donations'!$R$2:$R$4001,$AD603,'All Donations'!$T$2:$T$4001,V$1))</f>
        <v/>
      </c>
      <c r="W603" s="49">
        <f>IF(OR($AE603&lt;&gt;1,W$1=""),"",SUMIFS('All Donations'!$S$2:$S$4001,'All Donations'!$R$2:$R$4001,$AD603,'All Donations'!$T$2:$T$4001,W$1))</f>
        <v/>
      </c>
      <c r="X603" s="49">
        <f>IF(OR($AE603&lt;&gt;1,X$1=""),"",SUMIFS('All Donations'!$S$2:$S$4001,'All Donations'!$R$2:$R$4001,$AD603,'All Donations'!$T$2:$T$4001,X$1))</f>
        <v/>
      </c>
      <c r="Y603" s="49">
        <f>IF(OR($AE603&lt;&gt;1,Y$1=""),"",SUMIFS('All Donations'!$S$2:$S$4001,'All Donations'!$R$2:$R$4001,$AD603,'All Donations'!$T$2:$T$4001,Y$1))</f>
        <v/>
      </c>
      <c r="Z603" s="49">
        <f>IF(OR($AE603&lt;&gt;1,Z$1=""),"",SUMIFS('All Donations'!$S$2:$S$4001,'All Donations'!$R$2:$R$4001,$AD603,'All Donations'!$T$2:$T$4001,Z$1))</f>
        <v/>
      </c>
      <c r="AA603" s="49">
        <f>IF(OR($AE603&lt;&gt;1,AA$1=""),"",SUMIFS('All Donations'!$S$2:$S$4001,'All Donations'!$R$2:$R$4001,$AD603,'All Donations'!$T$2:$T$4001,AA$1))</f>
        <v/>
      </c>
      <c r="AB603" s="49">
        <f>IF(OR($AE603&lt;&gt;1,AB$1=""),"",SUMIFS('All Donations'!$S$2:$S$4001,'All Donations'!$R$2:$R$4001,$AD603,'All Donations'!$T$2:$T$4001,AB$1))</f>
        <v/>
      </c>
      <c r="AC603" s="49">
        <f>IF(OR($AE603&lt;&gt;1,AC$1=""),"",SUMIFS('All Donations'!$S$2:$S$4001,'All Donations'!$R$2:$R$4001,$AD603,'All Donations'!$T$2:$T$4001,AC$1))</f>
        <v/>
      </c>
      <c r="AD603">
        <f>IF(AE603=1,'Roster'!A603,"")</f>
        <v/>
      </c>
      <c r="AE603">
        <f>IF(TRIM('Roster'!B603&amp;'Roster'!C603)&lt;&gt;"",1,0)</f>
        <v/>
      </c>
      <c r="AF603">
        <f>IF(AE603=1,LOWER(A603),"#")</f>
        <v/>
      </c>
      <c r="AG603">
        <f>IF(AE603=1,LOWER(TRIM(TRIM('Roster'!C603)&amp;", "&amp;TRIM('Roster'!B603))),"#")</f>
        <v/>
      </c>
      <c r="AH603">
        <f>IF(AND(AE603=1,TRIM('Roster'!F603)&lt;&gt;""),LOWER(TRIM('Roster'!F603)),"#")</f>
        <v/>
      </c>
      <c r="AI603">
        <f>IF(AE603=1,IF(MATCH(B603,$B$2:$B$701,0)=ROW()-1,1,0),0)</f>
        <v/>
      </c>
      <c r="AJ603">
        <f>AJ602+AI603</f>
        <v/>
      </c>
      <c r="AK603">
        <f>IF(AE603=1,D603+(1000-ROW())/10^7,-1)</f>
        <v/>
      </c>
      <c r="AL603">
        <f>IF(AE603=1,TRIM('Roster'!B603)&amp;" "&amp;LEFT(TRIM('Roster'!C603),1)&amp;".","")</f>
        <v/>
      </c>
      <c r="AM603">
        <f>IF(AE603=1,TRIM('Roster'!C603)&amp;", "&amp;TRIM('Roster'!B603)&amp;" ("&amp;B603&amp;") #"&amp;AD603,"")</f>
        <v/>
      </c>
      <c r="AN603">
        <f>IF(AE603=1,TRIM('Roster'!E603),"")</f>
        <v/>
      </c>
      <c r="AO603">
        <f>IF(AE603=1,ROUND(SUMIFS('All Donations'!$S$2:$S$4001,'All Donations'!$R$2:$R$4001,AD603,'All Donations'!$T$2:$T$4001,"&gt;="&amp;'Settings'!$C$23,'All Donations'!$T$2:$T$4001,"&lt;="&amp;'Settings'!$D$23),2),0)</f>
        <v/>
      </c>
      <c r="AQ603">
        <f>IF(AE603=1,ROUND(SUMIFS('All Donations'!$S$2:$S$4001,'All Donations'!$R$2:$R$4001,AD603,'All Donations'!$T$2:$T$4001,"&gt;="&amp;'Settings'!$C$25,'All Donations'!$T$2:$T$4001,"&lt;="&amp;'Settings'!$D$25),2),0)</f>
        <v/>
      </c>
      <c r="AR603">
        <f>IF(AE603=1,ROUND(SUMIFS('All Donations'!$S$2:$S$4001,'All Donations'!$R$2:$R$4001,AD603,'All Donations'!$T$2:$T$4001,"&gt;="&amp;'Settings'!$C$26,'All Donations'!$T$2:$T$4001,"&lt;="&amp;'Settings'!$D$26),2),0)</f>
        <v/>
      </c>
      <c r="AS603">
        <f>IF(AE603=1,ROUND(SUMIFS('All Donations'!$S$2:$S$4001,'All Donations'!$R$2:$R$4001,AD603,'All Donations'!$T$2:$T$4001,"&lt;="&amp;'Settings'!$D$27),2),0)</f>
        <v/>
      </c>
      <c r="AT603">
        <f>IF(AE603=1,ROUND(SUMIFS('All Donations'!$S$2:$S$4001,'All Donations'!$R$2:$R$4001,AD603,'All Donations'!$T$2:$T$4001,"&gt;="&amp;'Settings'!$C$28,'All Donations'!$T$2:$T$4001,"&lt;="&amp;'Settings'!$D$28),2),0)</f>
        <v/>
      </c>
      <c r="AU603">
        <f>IF(AE603=1,ROUND(SUMIFS('All Donations'!$S$2:$S$4001,'All Donations'!$R$2:$R$4001,AD603,'All Donations'!$T$2:$T$4001,"&gt;="&amp;'Settings'!$C$29,'All Donations'!$T$2:$T$4001,"&lt;="&amp;'Settings'!$D$29),2),0)</f>
        <v/>
      </c>
      <c r="AV603">
        <f>IF(AE603=1,ROUND(SUMIFS('All Donations'!$S$2:$S$4001,'All Donations'!$R$2:$R$4001,AD603,'All Donations'!$T$2:$T$4001,"&lt;="&amp;'Settings'!$D$30),2),0)</f>
        <v/>
      </c>
      <c r="AZ603">
        <f>IF(AE603=1,ROUND(SUMIFS('All Donations'!$S$2:$S$4001,'All Donations'!$R$2:$R$4001,AD603,'All Donations'!$T$2:$T$4001,"&lt;="&amp;'Settings'!$D$34),2),0)</f>
        <v/>
      </c>
    </row>
    <row r="604">
      <c r="A604">
        <f>IF(AE604=1,TRIM(TRIM('Roster'!B604)&amp;" "&amp;TRIM('Roster'!C604)),"")</f>
        <v/>
      </c>
      <c r="B604">
        <f>IF(AE604=1,IF(AN604="","(no teacher)",AN604&amp;" – "&amp;C604),"")</f>
        <v/>
      </c>
      <c r="C604">
        <f>IF(AE604=1,TRIM('Roster'!D604&amp;""),"")</f>
        <v/>
      </c>
      <c r="D604" s="48">
        <f>IF(AE604=1,ROUND(SUMIFS('All Donations'!$S$2:$S$4001,'All Donations'!$R$2:$R$4001,AD604),2),"")</f>
        <v/>
      </c>
      <c r="E604" s="48">
        <f>IF(AE604=1,ROUND(SUMIFS('All Donations'!$S$2:$S$4001,'All Donations'!$R$2:$R$4001,AD604,'All Donations'!$G$2:$G$4001,"OneCause"),2),"")</f>
        <v/>
      </c>
      <c r="F604" s="48">
        <f>IF(AE604=1,D604-E604,"")</f>
        <v/>
      </c>
      <c r="G604">
        <f>IF(AE604=1,COUNTIFS('All Donations'!$R$2:$R$4001,AD604,'All Donations'!$H$2:$H$4001,"OK"),"")</f>
        <v/>
      </c>
      <c r="H604">
        <f>IF(AE604&lt;&gt;1,"",IF(D604&gt;0,"Yes",""))</f>
        <v/>
      </c>
      <c r="I604" s="49">
        <f>IF(OR($AE604&lt;&gt;1,I$1=""),"",SUMIFS('All Donations'!$S$2:$S$4001,'All Donations'!$R$2:$R$4001,$AD604,'All Donations'!$T$2:$T$4001,I$1))</f>
        <v/>
      </c>
      <c r="J604" s="49">
        <f>IF(OR($AE604&lt;&gt;1,J$1=""),"",SUMIFS('All Donations'!$S$2:$S$4001,'All Donations'!$R$2:$R$4001,$AD604,'All Donations'!$T$2:$T$4001,J$1))</f>
        <v/>
      </c>
      <c r="K604" s="49">
        <f>IF(OR($AE604&lt;&gt;1,K$1=""),"",SUMIFS('All Donations'!$S$2:$S$4001,'All Donations'!$R$2:$R$4001,$AD604,'All Donations'!$T$2:$T$4001,K$1))</f>
        <v/>
      </c>
      <c r="L604" s="49">
        <f>IF(OR($AE604&lt;&gt;1,L$1=""),"",SUMIFS('All Donations'!$S$2:$S$4001,'All Donations'!$R$2:$R$4001,$AD604,'All Donations'!$T$2:$T$4001,L$1))</f>
        <v/>
      </c>
      <c r="M604" s="49">
        <f>IF(OR($AE604&lt;&gt;1,M$1=""),"",SUMIFS('All Donations'!$S$2:$S$4001,'All Donations'!$R$2:$R$4001,$AD604,'All Donations'!$T$2:$T$4001,M$1))</f>
        <v/>
      </c>
      <c r="N604" s="49">
        <f>IF(OR($AE604&lt;&gt;1,N$1=""),"",SUMIFS('All Donations'!$S$2:$S$4001,'All Donations'!$R$2:$R$4001,$AD604,'All Donations'!$T$2:$T$4001,N$1))</f>
        <v/>
      </c>
      <c r="O604" s="49">
        <f>IF(OR($AE604&lt;&gt;1,O$1=""),"",SUMIFS('All Donations'!$S$2:$S$4001,'All Donations'!$R$2:$R$4001,$AD604,'All Donations'!$T$2:$T$4001,O$1))</f>
        <v/>
      </c>
      <c r="P604" s="49">
        <f>IF(OR($AE604&lt;&gt;1,P$1=""),"",SUMIFS('All Donations'!$S$2:$S$4001,'All Donations'!$R$2:$R$4001,$AD604,'All Donations'!$T$2:$T$4001,P$1))</f>
        <v/>
      </c>
      <c r="Q604" s="49">
        <f>IF(OR($AE604&lt;&gt;1,Q$1=""),"",SUMIFS('All Donations'!$S$2:$S$4001,'All Donations'!$R$2:$R$4001,$AD604,'All Donations'!$T$2:$T$4001,Q$1))</f>
        <v/>
      </c>
      <c r="R604" s="49">
        <f>IF(OR($AE604&lt;&gt;1,R$1=""),"",SUMIFS('All Donations'!$S$2:$S$4001,'All Donations'!$R$2:$R$4001,$AD604,'All Donations'!$T$2:$T$4001,R$1))</f>
        <v/>
      </c>
      <c r="S604" s="49">
        <f>IF(OR($AE604&lt;&gt;1,S$1=""),"",SUMIFS('All Donations'!$S$2:$S$4001,'All Donations'!$R$2:$R$4001,$AD604,'All Donations'!$T$2:$T$4001,S$1))</f>
        <v/>
      </c>
      <c r="T604" s="49">
        <f>IF(OR($AE604&lt;&gt;1,T$1=""),"",SUMIFS('All Donations'!$S$2:$S$4001,'All Donations'!$R$2:$R$4001,$AD604,'All Donations'!$T$2:$T$4001,T$1))</f>
        <v/>
      </c>
      <c r="U604" s="49">
        <f>IF(OR($AE604&lt;&gt;1,U$1=""),"",SUMIFS('All Donations'!$S$2:$S$4001,'All Donations'!$R$2:$R$4001,$AD604,'All Donations'!$T$2:$T$4001,U$1))</f>
        <v/>
      </c>
      <c r="V604" s="49">
        <f>IF(OR($AE604&lt;&gt;1,V$1=""),"",SUMIFS('All Donations'!$S$2:$S$4001,'All Donations'!$R$2:$R$4001,$AD604,'All Donations'!$T$2:$T$4001,V$1))</f>
        <v/>
      </c>
      <c r="W604" s="49">
        <f>IF(OR($AE604&lt;&gt;1,W$1=""),"",SUMIFS('All Donations'!$S$2:$S$4001,'All Donations'!$R$2:$R$4001,$AD604,'All Donations'!$T$2:$T$4001,W$1))</f>
        <v/>
      </c>
      <c r="X604" s="49">
        <f>IF(OR($AE604&lt;&gt;1,X$1=""),"",SUMIFS('All Donations'!$S$2:$S$4001,'All Donations'!$R$2:$R$4001,$AD604,'All Donations'!$T$2:$T$4001,X$1))</f>
        <v/>
      </c>
      <c r="Y604" s="49">
        <f>IF(OR($AE604&lt;&gt;1,Y$1=""),"",SUMIFS('All Donations'!$S$2:$S$4001,'All Donations'!$R$2:$R$4001,$AD604,'All Donations'!$T$2:$T$4001,Y$1))</f>
        <v/>
      </c>
      <c r="Z604" s="49">
        <f>IF(OR($AE604&lt;&gt;1,Z$1=""),"",SUMIFS('All Donations'!$S$2:$S$4001,'All Donations'!$R$2:$R$4001,$AD604,'All Donations'!$T$2:$T$4001,Z$1))</f>
        <v/>
      </c>
      <c r="AA604" s="49">
        <f>IF(OR($AE604&lt;&gt;1,AA$1=""),"",SUMIFS('All Donations'!$S$2:$S$4001,'All Donations'!$R$2:$R$4001,$AD604,'All Donations'!$T$2:$T$4001,AA$1))</f>
        <v/>
      </c>
      <c r="AB604" s="49">
        <f>IF(OR($AE604&lt;&gt;1,AB$1=""),"",SUMIFS('All Donations'!$S$2:$S$4001,'All Donations'!$R$2:$R$4001,$AD604,'All Donations'!$T$2:$T$4001,AB$1))</f>
        <v/>
      </c>
      <c r="AC604" s="49">
        <f>IF(OR($AE604&lt;&gt;1,AC$1=""),"",SUMIFS('All Donations'!$S$2:$S$4001,'All Donations'!$R$2:$R$4001,$AD604,'All Donations'!$T$2:$T$4001,AC$1))</f>
        <v/>
      </c>
      <c r="AD604">
        <f>IF(AE604=1,'Roster'!A604,"")</f>
        <v/>
      </c>
      <c r="AE604">
        <f>IF(TRIM('Roster'!B604&amp;'Roster'!C604)&lt;&gt;"",1,0)</f>
        <v/>
      </c>
      <c r="AF604">
        <f>IF(AE604=1,LOWER(A604),"#")</f>
        <v/>
      </c>
      <c r="AG604">
        <f>IF(AE604=1,LOWER(TRIM(TRIM('Roster'!C604)&amp;", "&amp;TRIM('Roster'!B604))),"#")</f>
        <v/>
      </c>
      <c r="AH604">
        <f>IF(AND(AE604=1,TRIM('Roster'!F604)&lt;&gt;""),LOWER(TRIM('Roster'!F604)),"#")</f>
        <v/>
      </c>
      <c r="AI604">
        <f>IF(AE604=1,IF(MATCH(B604,$B$2:$B$701,0)=ROW()-1,1,0),0)</f>
        <v/>
      </c>
      <c r="AJ604">
        <f>AJ603+AI604</f>
        <v/>
      </c>
      <c r="AK604">
        <f>IF(AE604=1,D604+(1000-ROW())/10^7,-1)</f>
        <v/>
      </c>
      <c r="AL604">
        <f>IF(AE604=1,TRIM('Roster'!B604)&amp;" "&amp;LEFT(TRIM('Roster'!C604),1)&amp;".","")</f>
        <v/>
      </c>
      <c r="AM604">
        <f>IF(AE604=1,TRIM('Roster'!C604)&amp;", "&amp;TRIM('Roster'!B604)&amp;" ("&amp;B604&amp;") #"&amp;AD604,"")</f>
        <v/>
      </c>
      <c r="AN604">
        <f>IF(AE604=1,TRIM('Roster'!E604),"")</f>
        <v/>
      </c>
      <c r="AO604">
        <f>IF(AE604=1,ROUND(SUMIFS('All Donations'!$S$2:$S$4001,'All Donations'!$R$2:$R$4001,AD604,'All Donations'!$T$2:$T$4001,"&gt;="&amp;'Settings'!$C$23,'All Donations'!$T$2:$T$4001,"&lt;="&amp;'Settings'!$D$23),2),0)</f>
        <v/>
      </c>
      <c r="AQ604">
        <f>IF(AE604=1,ROUND(SUMIFS('All Donations'!$S$2:$S$4001,'All Donations'!$R$2:$R$4001,AD604,'All Donations'!$T$2:$T$4001,"&gt;="&amp;'Settings'!$C$25,'All Donations'!$T$2:$T$4001,"&lt;="&amp;'Settings'!$D$25),2),0)</f>
        <v/>
      </c>
      <c r="AR604">
        <f>IF(AE604=1,ROUND(SUMIFS('All Donations'!$S$2:$S$4001,'All Donations'!$R$2:$R$4001,AD604,'All Donations'!$T$2:$T$4001,"&gt;="&amp;'Settings'!$C$26,'All Donations'!$T$2:$T$4001,"&lt;="&amp;'Settings'!$D$26),2),0)</f>
        <v/>
      </c>
      <c r="AS604">
        <f>IF(AE604=1,ROUND(SUMIFS('All Donations'!$S$2:$S$4001,'All Donations'!$R$2:$R$4001,AD604,'All Donations'!$T$2:$T$4001,"&lt;="&amp;'Settings'!$D$27),2),0)</f>
        <v/>
      </c>
      <c r="AT604">
        <f>IF(AE604=1,ROUND(SUMIFS('All Donations'!$S$2:$S$4001,'All Donations'!$R$2:$R$4001,AD604,'All Donations'!$T$2:$T$4001,"&gt;="&amp;'Settings'!$C$28,'All Donations'!$T$2:$T$4001,"&lt;="&amp;'Settings'!$D$28),2),0)</f>
        <v/>
      </c>
      <c r="AU604">
        <f>IF(AE604=1,ROUND(SUMIFS('All Donations'!$S$2:$S$4001,'All Donations'!$R$2:$R$4001,AD604,'All Donations'!$T$2:$T$4001,"&gt;="&amp;'Settings'!$C$29,'All Donations'!$T$2:$T$4001,"&lt;="&amp;'Settings'!$D$29),2),0)</f>
        <v/>
      </c>
      <c r="AV604">
        <f>IF(AE604=1,ROUND(SUMIFS('All Donations'!$S$2:$S$4001,'All Donations'!$R$2:$R$4001,AD604,'All Donations'!$T$2:$T$4001,"&lt;="&amp;'Settings'!$D$30),2),0)</f>
        <v/>
      </c>
      <c r="AZ604">
        <f>IF(AE604=1,ROUND(SUMIFS('All Donations'!$S$2:$S$4001,'All Donations'!$R$2:$R$4001,AD604,'All Donations'!$T$2:$T$4001,"&lt;="&amp;'Settings'!$D$34),2),0)</f>
        <v/>
      </c>
    </row>
    <row r="605">
      <c r="A605">
        <f>IF(AE605=1,TRIM(TRIM('Roster'!B605)&amp;" "&amp;TRIM('Roster'!C605)),"")</f>
        <v/>
      </c>
      <c r="B605">
        <f>IF(AE605=1,IF(AN605="","(no teacher)",AN605&amp;" – "&amp;C605),"")</f>
        <v/>
      </c>
      <c r="C605">
        <f>IF(AE605=1,TRIM('Roster'!D605&amp;""),"")</f>
        <v/>
      </c>
      <c r="D605" s="48">
        <f>IF(AE605=1,ROUND(SUMIFS('All Donations'!$S$2:$S$4001,'All Donations'!$R$2:$R$4001,AD605),2),"")</f>
        <v/>
      </c>
      <c r="E605" s="48">
        <f>IF(AE605=1,ROUND(SUMIFS('All Donations'!$S$2:$S$4001,'All Donations'!$R$2:$R$4001,AD605,'All Donations'!$G$2:$G$4001,"OneCause"),2),"")</f>
        <v/>
      </c>
      <c r="F605" s="48">
        <f>IF(AE605=1,D605-E605,"")</f>
        <v/>
      </c>
      <c r="G605">
        <f>IF(AE605=1,COUNTIFS('All Donations'!$R$2:$R$4001,AD605,'All Donations'!$H$2:$H$4001,"OK"),"")</f>
        <v/>
      </c>
      <c r="H605">
        <f>IF(AE605&lt;&gt;1,"",IF(D605&gt;0,"Yes",""))</f>
        <v/>
      </c>
      <c r="I605" s="49">
        <f>IF(OR($AE605&lt;&gt;1,I$1=""),"",SUMIFS('All Donations'!$S$2:$S$4001,'All Donations'!$R$2:$R$4001,$AD605,'All Donations'!$T$2:$T$4001,I$1))</f>
        <v/>
      </c>
      <c r="J605" s="49">
        <f>IF(OR($AE605&lt;&gt;1,J$1=""),"",SUMIFS('All Donations'!$S$2:$S$4001,'All Donations'!$R$2:$R$4001,$AD605,'All Donations'!$T$2:$T$4001,J$1))</f>
        <v/>
      </c>
      <c r="K605" s="49">
        <f>IF(OR($AE605&lt;&gt;1,K$1=""),"",SUMIFS('All Donations'!$S$2:$S$4001,'All Donations'!$R$2:$R$4001,$AD605,'All Donations'!$T$2:$T$4001,K$1))</f>
        <v/>
      </c>
      <c r="L605" s="49">
        <f>IF(OR($AE605&lt;&gt;1,L$1=""),"",SUMIFS('All Donations'!$S$2:$S$4001,'All Donations'!$R$2:$R$4001,$AD605,'All Donations'!$T$2:$T$4001,L$1))</f>
        <v/>
      </c>
      <c r="M605" s="49">
        <f>IF(OR($AE605&lt;&gt;1,M$1=""),"",SUMIFS('All Donations'!$S$2:$S$4001,'All Donations'!$R$2:$R$4001,$AD605,'All Donations'!$T$2:$T$4001,M$1))</f>
        <v/>
      </c>
      <c r="N605" s="49">
        <f>IF(OR($AE605&lt;&gt;1,N$1=""),"",SUMIFS('All Donations'!$S$2:$S$4001,'All Donations'!$R$2:$R$4001,$AD605,'All Donations'!$T$2:$T$4001,N$1))</f>
        <v/>
      </c>
      <c r="O605" s="49">
        <f>IF(OR($AE605&lt;&gt;1,O$1=""),"",SUMIFS('All Donations'!$S$2:$S$4001,'All Donations'!$R$2:$R$4001,$AD605,'All Donations'!$T$2:$T$4001,O$1))</f>
        <v/>
      </c>
      <c r="P605" s="49">
        <f>IF(OR($AE605&lt;&gt;1,P$1=""),"",SUMIFS('All Donations'!$S$2:$S$4001,'All Donations'!$R$2:$R$4001,$AD605,'All Donations'!$T$2:$T$4001,P$1))</f>
        <v/>
      </c>
      <c r="Q605" s="49">
        <f>IF(OR($AE605&lt;&gt;1,Q$1=""),"",SUMIFS('All Donations'!$S$2:$S$4001,'All Donations'!$R$2:$R$4001,$AD605,'All Donations'!$T$2:$T$4001,Q$1))</f>
        <v/>
      </c>
      <c r="R605" s="49">
        <f>IF(OR($AE605&lt;&gt;1,R$1=""),"",SUMIFS('All Donations'!$S$2:$S$4001,'All Donations'!$R$2:$R$4001,$AD605,'All Donations'!$T$2:$T$4001,R$1))</f>
        <v/>
      </c>
      <c r="S605" s="49">
        <f>IF(OR($AE605&lt;&gt;1,S$1=""),"",SUMIFS('All Donations'!$S$2:$S$4001,'All Donations'!$R$2:$R$4001,$AD605,'All Donations'!$T$2:$T$4001,S$1))</f>
        <v/>
      </c>
      <c r="T605" s="49">
        <f>IF(OR($AE605&lt;&gt;1,T$1=""),"",SUMIFS('All Donations'!$S$2:$S$4001,'All Donations'!$R$2:$R$4001,$AD605,'All Donations'!$T$2:$T$4001,T$1))</f>
        <v/>
      </c>
      <c r="U605" s="49">
        <f>IF(OR($AE605&lt;&gt;1,U$1=""),"",SUMIFS('All Donations'!$S$2:$S$4001,'All Donations'!$R$2:$R$4001,$AD605,'All Donations'!$T$2:$T$4001,U$1))</f>
        <v/>
      </c>
      <c r="V605" s="49">
        <f>IF(OR($AE605&lt;&gt;1,V$1=""),"",SUMIFS('All Donations'!$S$2:$S$4001,'All Donations'!$R$2:$R$4001,$AD605,'All Donations'!$T$2:$T$4001,V$1))</f>
        <v/>
      </c>
      <c r="W605" s="49">
        <f>IF(OR($AE605&lt;&gt;1,W$1=""),"",SUMIFS('All Donations'!$S$2:$S$4001,'All Donations'!$R$2:$R$4001,$AD605,'All Donations'!$T$2:$T$4001,W$1))</f>
        <v/>
      </c>
      <c r="X605" s="49">
        <f>IF(OR($AE605&lt;&gt;1,X$1=""),"",SUMIFS('All Donations'!$S$2:$S$4001,'All Donations'!$R$2:$R$4001,$AD605,'All Donations'!$T$2:$T$4001,X$1))</f>
        <v/>
      </c>
      <c r="Y605" s="49">
        <f>IF(OR($AE605&lt;&gt;1,Y$1=""),"",SUMIFS('All Donations'!$S$2:$S$4001,'All Donations'!$R$2:$R$4001,$AD605,'All Donations'!$T$2:$T$4001,Y$1))</f>
        <v/>
      </c>
      <c r="Z605" s="49">
        <f>IF(OR($AE605&lt;&gt;1,Z$1=""),"",SUMIFS('All Donations'!$S$2:$S$4001,'All Donations'!$R$2:$R$4001,$AD605,'All Donations'!$T$2:$T$4001,Z$1))</f>
        <v/>
      </c>
      <c r="AA605" s="49">
        <f>IF(OR($AE605&lt;&gt;1,AA$1=""),"",SUMIFS('All Donations'!$S$2:$S$4001,'All Donations'!$R$2:$R$4001,$AD605,'All Donations'!$T$2:$T$4001,AA$1))</f>
        <v/>
      </c>
      <c r="AB605" s="49">
        <f>IF(OR($AE605&lt;&gt;1,AB$1=""),"",SUMIFS('All Donations'!$S$2:$S$4001,'All Donations'!$R$2:$R$4001,$AD605,'All Donations'!$T$2:$T$4001,AB$1))</f>
        <v/>
      </c>
      <c r="AC605" s="49">
        <f>IF(OR($AE605&lt;&gt;1,AC$1=""),"",SUMIFS('All Donations'!$S$2:$S$4001,'All Donations'!$R$2:$R$4001,$AD605,'All Donations'!$T$2:$T$4001,AC$1))</f>
        <v/>
      </c>
      <c r="AD605">
        <f>IF(AE605=1,'Roster'!A605,"")</f>
        <v/>
      </c>
      <c r="AE605">
        <f>IF(TRIM('Roster'!B605&amp;'Roster'!C605)&lt;&gt;"",1,0)</f>
        <v/>
      </c>
      <c r="AF605">
        <f>IF(AE605=1,LOWER(A605),"#")</f>
        <v/>
      </c>
      <c r="AG605">
        <f>IF(AE605=1,LOWER(TRIM(TRIM('Roster'!C605)&amp;", "&amp;TRIM('Roster'!B605))),"#")</f>
        <v/>
      </c>
      <c r="AH605">
        <f>IF(AND(AE605=1,TRIM('Roster'!F605)&lt;&gt;""),LOWER(TRIM('Roster'!F605)),"#")</f>
        <v/>
      </c>
      <c r="AI605">
        <f>IF(AE605=1,IF(MATCH(B605,$B$2:$B$701,0)=ROW()-1,1,0),0)</f>
        <v/>
      </c>
      <c r="AJ605">
        <f>AJ604+AI605</f>
        <v/>
      </c>
      <c r="AK605">
        <f>IF(AE605=1,D605+(1000-ROW())/10^7,-1)</f>
        <v/>
      </c>
      <c r="AL605">
        <f>IF(AE605=1,TRIM('Roster'!B605)&amp;" "&amp;LEFT(TRIM('Roster'!C605),1)&amp;".","")</f>
        <v/>
      </c>
      <c r="AM605">
        <f>IF(AE605=1,TRIM('Roster'!C605)&amp;", "&amp;TRIM('Roster'!B605)&amp;" ("&amp;B605&amp;") #"&amp;AD605,"")</f>
        <v/>
      </c>
      <c r="AN605">
        <f>IF(AE605=1,TRIM('Roster'!E605),"")</f>
        <v/>
      </c>
      <c r="AO605">
        <f>IF(AE605=1,ROUND(SUMIFS('All Donations'!$S$2:$S$4001,'All Donations'!$R$2:$R$4001,AD605,'All Donations'!$T$2:$T$4001,"&gt;="&amp;'Settings'!$C$23,'All Donations'!$T$2:$T$4001,"&lt;="&amp;'Settings'!$D$23),2),0)</f>
        <v/>
      </c>
      <c r="AQ605">
        <f>IF(AE605=1,ROUND(SUMIFS('All Donations'!$S$2:$S$4001,'All Donations'!$R$2:$R$4001,AD605,'All Donations'!$T$2:$T$4001,"&gt;="&amp;'Settings'!$C$25,'All Donations'!$T$2:$T$4001,"&lt;="&amp;'Settings'!$D$25),2),0)</f>
        <v/>
      </c>
      <c r="AR605">
        <f>IF(AE605=1,ROUND(SUMIFS('All Donations'!$S$2:$S$4001,'All Donations'!$R$2:$R$4001,AD605,'All Donations'!$T$2:$T$4001,"&gt;="&amp;'Settings'!$C$26,'All Donations'!$T$2:$T$4001,"&lt;="&amp;'Settings'!$D$26),2),0)</f>
        <v/>
      </c>
      <c r="AS605">
        <f>IF(AE605=1,ROUND(SUMIFS('All Donations'!$S$2:$S$4001,'All Donations'!$R$2:$R$4001,AD605,'All Donations'!$T$2:$T$4001,"&lt;="&amp;'Settings'!$D$27),2),0)</f>
        <v/>
      </c>
      <c r="AT605">
        <f>IF(AE605=1,ROUND(SUMIFS('All Donations'!$S$2:$S$4001,'All Donations'!$R$2:$R$4001,AD605,'All Donations'!$T$2:$T$4001,"&gt;="&amp;'Settings'!$C$28,'All Donations'!$T$2:$T$4001,"&lt;="&amp;'Settings'!$D$28),2),0)</f>
        <v/>
      </c>
      <c r="AU605">
        <f>IF(AE605=1,ROUND(SUMIFS('All Donations'!$S$2:$S$4001,'All Donations'!$R$2:$R$4001,AD605,'All Donations'!$T$2:$T$4001,"&gt;="&amp;'Settings'!$C$29,'All Donations'!$T$2:$T$4001,"&lt;="&amp;'Settings'!$D$29),2),0)</f>
        <v/>
      </c>
      <c r="AV605">
        <f>IF(AE605=1,ROUND(SUMIFS('All Donations'!$S$2:$S$4001,'All Donations'!$R$2:$R$4001,AD605,'All Donations'!$T$2:$T$4001,"&lt;="&amp;'Settings'!$D$30),2),0)</f>
        <v/>
      </c>
      <c r="AZ605">
        <f>IF(AE605=1,ROUND(SUMIFS('All Donations'!$S$2:$S$4001,'All Donations'!$R$2:$R$4001,AD605,'All Donations'!$T$2:$T$4001,"&lt;="&amp;'Settings'!$D$34),2),0)</f>
        <v/>
      </c>
    </row>
    <row r="606">
      <c r="A606">
        <f>IF(AE606=1,TRIM(TRIM('Roster'!B606)&amp;" "&amp;TRIM('Roster'!C606)),"")</f>
        <v/>
      </c>
      <c r="B606">
        <f>IF(AE606=1,IF(AN606="","(no teacher)",AN606&amp;" – "&amp;C606),"")</f>
        <v/>
      </c>
      <c r="C606">
        <f>IF(AE606=1,TRIM('Roster'!D606&amp;""),"")</f>
        <v/>
      </c>
      <c r="D606" s="48">
        <f>IF(AE606=1,ROUND(SUMIFS('All Donations'!$S$2:$S$4001,'All Donations'!$R$2:$R$4001,AD606),2),"")</f>
        <v/>
      </c>
      <c r="E606" s="48">
        <f>IF(AE606=1,ROUND(SUMIFS('All Donations'!$S$2:$S$4001,'All Donations'!$R$2:$R$4001,AD606,'All Donations'!$G$2:$G$4001,"OneCause"),2),"")</f>
        <v/>
      </c>
      <c r="F606" s="48">
        <f>IF(AE606=1,D606-E606,"")</f>
        <v/>
      </c>
      <c r="G606">
        <f>IF(AE606=1,COUNTIFS('All Donations'!$R$2:$R$4001,AD606,'All Donations'!$H$2:$H$4001,"OK"),"")</f>
        <v/>
      </c>
      <c r="H606">
        <f>IF(AE606&lt;&gt;1,"",IF(D606&gt;0,"Yes",""))</f>
        <v/>
      </c>
      <c r="I606" s="49">
        <f>IF(OR($AE606&lt;&gt;1,I$1=""),"",SUMIFS('All Donations'!$S$2:$S$4001,'All Donations'!$R$2:$R$4001,$AD606,'All Donations'!$T$2:$T$4001,I$1))</f>
        <v/>
      </c>
      <c r="J606" s="49">
        <f>IF(OR($AE606&lt;&gt;1,J$1=""),"",SUMIFS('All Donations'!$S$2:$S$4001,'All Donations'!$R$2:$R$4001,$AD606,'All Donations'!$T$2:$T$4001,J$1))</f>
        <v/>
      </c>
      <c r="K606" s="49">
        <f>IF(OR($AE606&lt;&gt;1,K$1=""),"",SUMIFS('All Donations'!$S$2:$S$4001,'All Donations'!$R$2:$R$4001,$AD606,'All Donations'!$T$2:$T$4001,K$1))</f>
        <v/>
      </c>
      <c r="L606" s="49">
        <f>IF(OR($AE606&lt;&gt;1,L$1=""),"",SUMIFS('All Donations'!$S$2:$S$4001,'All Donations'!$R$2:$R$4001,$AD606,'All Donations'!$T$2:$T$4001,L$1))</f>
        <v/>
      </c>
      <c r="M606" s="49">
        <f>IF(OR($AE606&lt;&gt;1,M$1=""),"",SUMIFS('All Donations'!$S$2:$S$4001,'All Donations'!$R$2:$R$4001,$AD606,'All Donations'!$T$2:$T$4001,M$1))</f>
        <v/>
      </c>
      <c r="N606" s="49">
        <f>IF(OR($AE606&lt;&gt;1,N$1=""),"",SUMIFS('All Donations'!$S$2:$S$4001,'All Donations'!$R$2:$R$4001,$AD606,'All Donations'!$T$2:$T$4001,N$1))</f>
        <v/>
      </c>
      <c r="O606" s="49">
        <f>IF(OR($AE606&lt;&gt;1,O$1=""),"",SUMIFS('All Donations'!$S$2:$S$4001,'All Donations'!$R$2:$R$4001,$AD606,'All Donations'!$T$2:$T$4001,O$1))</f>
        <v/>
      </c>
      <c r="P606" s="49">
        <f>IF(OR($AE606&lt;&gt;1,P$1=""),"",SUMIFS('All Donations'!$S$2:$S$4001,'All Donations'!$R$2:$R$4001,$AD606,'All Donations'!$T$2:$T$4001,P$1))</f>
        <v/>
      </c>
      <c r="Q606" s="49">
        <f>IF(OR($AE606&lt;&gt;1,Q$1=""),"",SUMIFS('All Donations'!$S$2:$S$4001,'All Donations'!$R$2:$R$4001,$AD606,'All Donations'!$T$2:$T$4001,Q$1))</f>
        <v/>
      </c>
      <c r="R606" s="49">
        <f>IF(OR($AE606&lt;&gt;1,R$1=""),"",SUMIFS('All Donations'!$S$2:$S$4001,'All Donations'!$R$2:$R$4001,$AD606,'All Donations'!$T$2:$T$4001,R$1))</f>
        <v/>
      </c>
      <c r="S606" s="49">
        <f>IF(OR($AE606&lt;&gt;1,S$1=""),"",SUMIFS('All Donations'!$S$2:$S$4001,'All Donations'!$R$2:$R$4001,$AD606,'All Donations'!$T$2:$T$4001,S$1))</f>
        <v/>
      </c>
      <c r="T606" s="49">
        <f>IF(OR($AE606&lt;&gt;1,T$1=""),"",SUMIFS('All Donations'!$S$2:$S$4001,'All Donations'!$R$2:$R$4001,$AD606,'All Donations'!$T$2:$T$4001,T$1))</f>
        <v/>
      </c>
      <c r="U606" s="49">
        <f>IF(OR($AE606&lt;&gt;1,U$1=""),"",SUMIFS('All Donations'!$S$2:$S$4001,'All Donations'!$R$2:$R$4001,$AD606,'All Donations'!$T$2:$T$4001,U$1))</f>
        <v/>
      </c>
      <c r="V606" s="49">
        <f>IF(OR($AE606&lt;&gt;1,V$1=""),"",SUMIFS('All Donations'!$S$2:$S$4001,'All Donations'!$R$2:$R$4001,$AD606,'All Donations'!$T$2:$T$4001,V$1))</f>
        <v/>
      </c>
      <c r="W606" s="49">
        <f>IF(OR($AE606&lt;&gt;1,W$1=""),"",SUMIFS('All Donations'!$S$2:$S$4001,'All Donations'!$R$2:$R$4001,$AD606,'All Donations'!$T$2:$T$4001,W$1))</f>
        <v/>
      </c>
      <c r="X606" s="49">
        <f>IF(OR($AE606&lt;&gt;1,X$1=""),"",SUMIFS('All Donations'!$S$2:$S$4001,'All Donations'!$R$2:$R$4001,$AD606,'All Donations'!$T$2:$T$4001,X$1))</f>
        <v/>
      </c>
      <c r="Y606" s="49">
        <f>IF(OR($AE606&lt;&gt;1,Y$1=""),"",SUMIFS('All Donations'!$S$2:$S$4001,'All Donations'!$R$2:$R$4001,$AD606,'All Donations'!$T$2:$T$4001,Y$1))</f>
        <v/>
      </c>
      <c r="Z606" s="49">
        <f>IF(OR($AE606&lt;&gt;1,Z$1=""),"",SUMIFS('All Donations'!$S$2:$S$4001,'All Donations'!$R$2:$R$4001,$AD606,'All Donations'!$T$2:$T$4001,Z$1))</f>
        <v/>
      </c>
      <c r="AA606" s="49">
        <f>IF(OR($AE606&lt;&gt;1,AA$1=""),"",SUMIFS('All Donations'!$S$2:$S$4001,'All Donations'!$R$2:$R$4001,$AD606,'All Donations'!$T$2:$T$4001,AA$1))</f>
        <v/>
      </c>
      <c r="AB606" s="49">
        <f>IF(OR($AE606&lt;&gt;1,AB$1=""),"",SUMIFS('All Donations'!$S$2:$S$4001,'All Donations'!$R$2:$R$4001,$AD606,'All Donations'!$T$2:$T$4001,AB$1))</f>
        <v/>
      </c>
      <c r="AC606" s="49">
        <f>IF(OR($AE606&lt;&gt;1,AC$1=""),"",SUMIFS('All Donations'!$S$2:$S$4001,'All Donations'!$R$2:$R$4001,$AD606,'All Donations'!$T$2:$T$4001,AC$1))</f>
        <v/>
      </c>
      <c r="AD606">
        <f>IF(AE606=1,'Roster'!A606,"")</f>
        <v/>
      </c>
      <c r="AE606">
        <f>IF(TRIM('Roster'!B606&amp;'Roster'!C606)&lt;&gt;"",1,0)</f>
        <v/>
      </c>
      <c r="AF606">
        <f>IF(AE606=1,LOWER(A606),"#")</f>
        <v/>
      </c>
      <c r="AG606">
        <f>IF(AE606=1,LOWER(TRIM(TRIM('Roster'!C606)&amp;", "&amp;TRIM('Roster'!B606))),"#")</f>
        <v/>
      </c>
      <c r="AH606">
        <f>IF(AND(AE606=1,TRIM('Roster'!F606)&lt;&gt;""),LOWER(TRIM('Roster'!F606)),"#")</f>
        <v/>
      </c>
      <c r="AI606">
        <f>IF(AE606=1,IF(MATCH(B606,$B$2:$B$701,0)=ROW()-1,1,0),0)</f>
        <v/>
      </c>
      <c r="AJ606">
        <f>AJ605+AI606</f>
        <v/>
      </c>
      <c r="AK606">
        <f>IF(AE606=1,D606+(1000-ROW())/10^7,-1)</f>
        <v/>
      </c>
      <c r="AL606">
        <f>IF(AE606=1,TRIM('Roster'!B606)&amp;" "&amp;LEFT(TRIM('Roster'!C606),1)&amp;".","")</f>
        <v/>
      </c>
      <c r="AM606">
        <f>IF(AE606=1,TRIM('Roster'!C606)&amp;", "&amp;TRIM('Roster'!B606)&amp;" ("&amp;B606&amp;") #"&amp;AD606,"")</f>
        <v/>
      </c>
      <c r="AN606">
        <f>IF(AE606=1,TRIM('Roster'!E606),"")</f>
        <v/>
      </c>
      <c r="AO606">
        <f>IF(AE606=1,ROUND(SUMIFS('All Donations'!$S$2:$S$4001,'All Donations'!$R$2:$R$4001,AD606,'All Donations'!$T$2:$T$4001,"&gt;="&amp;'Settings'!$C$23,'All Donations'!$T$2:$T$4001,"&lt;="&amp;'Settings'!$D$23),2),0)</f>
        <v/>
      </c>
      <c r="AQ606">
        <f>IF(AE606=1,ROUND(SUMIFS('All Donations'!$S$2:$S$4001,'All Donations'!$R$2:$R$4001,AD606,'All Donations'!$T$2:$T$4001,"&gt;="&amp;'Settings'!$C$25,'All Donations'!$T$2:$T$4001,"&lt;="&amp;'Settings'!$D$25),2),0)</f>
        <v/>
      </c>
      <c r="AR606">
        <f>IF(AE606=1,ROUND(SUMIFS('All Donations'!$S$2:$S$4001,'All Donations'!$R$2:$R$4001,AD606,'All Donations'!$T$2:$T$4001,"&gt;="&amp;'Settings'!$C$26,'All Donations'!$T$2:$T$4001,"&lt;="&amp;'Settings'!$D$26),2),0)</f>
        <v/>
      </c>
      <c r="AS606">
        <f>IF(AE606=1,ROUND(SUMIFS('All Donations'!$S$2:$S$4001,'All Donations'!$R$2:$R$4001,AD606,'All Donations'!$T$2:$T$4001,"&lt;="&amp;'Settings'!$D$27),2),0)</f>
        <v/>
      </c>
      <c r="AT606">
        <f>IF(AE606=1,ROUND(SUMIFS('All Donations'!$S$2:$S$4001,'All Donations'!$R$2:$R$4001,AD606,'All Donations'!$T$2:$T$4001,"&gt;="&amp;'Settings'!$C$28,'All Donations'!$T$2:$T$4001,"&lt;="&amp;'Settings'!$D$28),2),0)</f>
        <v/>
      </c>
      <c r="AU606">
        <f>IF(AE606=1,ROUND(SUMIFS('All Donations'!$S$2:$S$4001,'All Donations'!$R$2:$R$4001,AD606,'All Donations'!$T$2:$T$4001,"&gt;="&amp;'Settings'!$C$29,'All Donations'!$T$2:$T$4001,"&lt;="&amp;'Settings'!$D$29),2),0)</f>
        <v/>
      </c>
      <c r="AV606">
        <f>IF(AE606=1,ROUND(SUMIFS('All Donations'!$S$2:$S$4001,'All Donations'!$R$2:$R$4001,AD606,'All Donations'!$T$2:$T$4001,"&lt;="&amp;'Settings'!$D$30),2),0)</f>
        <v/>
      </c>
      <c r="AZ606">
        <f>IF(AE606=1,ROUND(SUMIFS('All Donations'!$S$2:$S$4001,'All Donations'!$R$2:$R$4001,AD606,'All Donations'!$T$2:$T$4001,"&lt;="&amp;'Settings'!$D$34),2),0)</f>
        <v/>
      </c>
    </row>
    <row r="607">
      <c r="A607">
        <f>IF(AE607=1,TRIM(TRIM('Roster'!B607)&amp;" "&amp;TRIM('Roster'!C607)),"")</f>
        <v/>
      </c>
      <c r="B607">
        <f>IF(AE607=1,IF(AN607="","(no teacher)",AN607&amp;" – "&amp;C607),"")</f>
        <v/>
      </c>
      <c r="C607">
        <f>IF(AE607=1,TRIM('Roster'!D607&amp;""),"")</f>
        <v/>
      </c>
      <c r="D607" s="48">
        <f>IF(AE607=1,ROUND(SUMIFS('All Donations'!$S$2:$S$4001,'All Donations'!$R$2:$R$4001,AD607),2),"")</f>
        <v/>
      </c>
      <c r="E607" s="48">
        <f>IF(AE607=1,ROUND(SUMIFS('All Donations'!$S$2:$S$4001,'All Donations'!$R$2:$R$4001,AD607,'All Donations'!$G$2:$G$4001,"OneCause"),2),"")</f>
        <v/>
      </c>
      <c r="F607" s="48">
        <f>IF(AE607=1,D607-E607,"")</f>
        <v/>
      </c>
      <c r="G607">
        <f>IF(AE607=1,COUNTIFS('All Donations'!$R$2:$R$4001,AD607,'All Donations'!$H$2:$H$4001,"OK"),"")</f>
        <v/>
      </c>
      <c r="H607">
        <f>IF(AE607&lt;&gt;1,"",IF(D607&gt;0,"Yes",""))</f>
        <v/>
      </c>
      <c r="I607" s="49">
        <f>IF(OR($AE607&lt;&gt;1,I$1=""),"",SUMIFS('All Donations'!$S$2:$S$4001,'All Donations'!$R$2:$R$4001,$AD607,'All Donations'!$T$2:$T$4001,I$1))</f>
        <v/>
      </c>
      <c r="J607" s="49">
        <f>IF(OR($AE607&lt;&gt;1,J$1=""),"",SUMIFS('All Donations'!$S$2:$S$4001,'All Donations'!$R$2:$R$4001,$AD607,'All Donations'!$T$2:$T$4001,J$1))</f>
        <v/>
      </c>
      <c r="K607" s="49">
        <f>IF(OR($AE607&lt;&gt;1,K$1=""),"",SUMIFS('All Donations'!$S$2:$S$4001,'All Donations'!$R$2:$R$4001,$AD607,'All Donations'!$T$2:$T$4001,K$1))</f>
        <v/>
      </c>
      <c r="L607" s="49">
        <f>IF(OR($AE607&lt;&gt;1,L$1=""),"",SUMIFS('All Donations'!$S$2:$S$4001,'All Donations'!$R$2:$R$4001,$AD607,'All Donations'!$T$2:$T$4001,L$1))</f>
        <v/>
      </c>
      <c r="M607" s="49">
        <f>IF(OR($AE607&lt;&gt;1,M$1=""),"",SUMIFS('All Donations'!$S$2:$S$4001,'All Donations'!$R$2:$R$4001,$AD607,'All Donations'!$T$2:$T$4001,M$1))</f>
        <v/>
      </c>
      <c r="N607" s="49">
        <f>IF(OR($AE607&lt;&gt;1,N$1=""),"",SUMIFS('All Donations'!$S$2:$S$4001,'All Donations'!$R$2:$R$4001,$AD607,'All Donations'!$T$2:$T$4001,N$1))</f>
        <v/>
      </c>
      <c r="O607" s="49">
        <f>IF(OR($AE607&lt;&gt;1,O$1=""),"",SUMIFS('All Donations'!$S$2:$S$4001,'All Donations'!$R$2:$R$4001,$AD607,'All Donations'!$T$2:$T$4001,O$1))</f>
        <v/>
      </c>
      <c r="P607" s="49">
        <f>IF(OR($AE607&lt;&gt;1,P$1=""),"",SUMIFS('All Donations'!$S$2:$S$4001,'All Donations'!$R$2:$R$4001,$AD607,'All Donations'!$T$2:$T$4001,P$1))</f>
        <v/>
      </c>
      <c r="Q607" s="49">
        <f>IF(OR($AE607&lt;&gt;1,Q$1=""),"",SUMIFS('All Donations'!$S$2:$S$4001,'All Donations'!$R$2:$R$4001,$AD607,'All Donations'!$T$2:$T$4001,Q$1))</f>
        <v/>
      </c>
      <c r="R607" s="49">
        <f>IF(OR($AE607&lt;&gt;1,R$1=""),"",SUMIFS('All Donations'!$S$2:$S$4001,'All Donations'!$R$2:$R$4001,$AD607,'All Donations'!$T$2:$T$4001,R$1))</f>
        <v/>
      </c>
      <c r="S607" s="49">
        <f>IF(OR($AE607&lt;&gt;1,S$1=""),"",SUMIFS('All Donations'!$S$2:$S$4001,'All Donations'!$R$2:$R$4001,$AD607,'All Donations'!$T$2:$T$4001,S$1))</f>
        <v/>
      </c>
      <c r="T607" s="49">
        <f>IF(OR($AE607&lt;&gt;1,T$1=""),"",SUMIFS('All Donations'!$S$2:$S$4001,'All Donations'!$R$2:$R$4001,$AD607,'All Donations'!$T$2:$T$4001,T$1))</f>
        <v/>
      </c>
      <c r="U607" s="49">
        <f>IF(OR($AE607&lt;&gt;1,U$1=""),"",SUMIFS('All Donations'!$S$2:$S$4001,'All Donations'!$R$2:$R$4001,$AD607,'All Donations'!$T$2:$T$4001,U$1))</f>
        <v/>
      </c>
      <c r="V607" s="49">
        <f>IF(OR($AE607&lt;&gt;1,V$1=""),"",SUMIFS('All Donations'!$S$2:$S$4001,'All Donations'!$R$2:$R$4001,$AD607,'All Donations'!$T$2:$T$4001,V$1))</f>
        <v/>
      </c>
      <c r="W607" s="49">
        <f>IF(OR($AE607&lt;&gt;1,W$1=""),"",SUMIFS('All Donations'!$S$2:$S$4001,'All Donations'!$R$2:$R$4001,$AD607,'All Donations'!$T$2:$T$4001,W$1))</f>
        <v/>
      </c>
      <c r="X607" s="49">
        <f>IF(OR($AE607&lt;&gt;1,X$1=""),"",SUMIFS('All Donations'!$S$2:$S$4001,'All Donations'!$R$2:$R$4001,$AD607,'All Donations'!$T$2:$T$4001,X$1))</f>
        <v/>
      </c>
      <c r="Y607" s="49">
        <f>IF(OR($AE607&lt;&gt;1,Y$1=""),"",SUMIFS('All Donations'!$S$2:$S$4001,'All Donations'!$R$2:$R$4001,$AD607,'All Donations'!$T$2:$T$4001,Y$1))</f>
        <v/>
      </c>
      <c r="Z607" s="49">
        <f>IF(OR($AE607&lt;&gt;1,Z$1=""),"",SUMIFS('All Donations'!$S$2:$S$4001,'All Donations'!$R$2:$R$4001,$AD607,'All Donations'!$T$2:$T$4001,Z$1))</f>
        <v/>
      </c>
      <c r="AA607" s="49">
        <f>IF(OR($AE607&lt;&gt;1,AA$1=""),"",SUMIFS('All Donations'!$S$2:$S$4001,'All Donations'!$R$2:$R$4001,$AD607,'All Donations'!$T$2:$T$4001,AA$1))</f>
        <v/>
      </c>
      <c r="AB607" s="49">
        <f>IF(OR($AE607&lt;&gt;1,AB$1=""),"",SUMIFS('All Donations'!$S$2:$S$4001,'All Donations'!$R$2:$R$4001,$AD607,'All Donations'!$T$2:$T$4001,AB$1))</f>
        <v/>
      </c>
      <c r="AC607" s="49">
        <f>IF(OR($AE607&lt;&gt;1,AC$1=""),"",SUMIFS('All Donations'!$S$2:$S$4001,'All Donations'!$R$2:$R$4001,$AD607,'All Donations'!$T$2:$T$4001,AC$1))</f>
        <v/>
      </c>
      <c r="AD607">
        <f>IF(AE607=1,'Roster'!A607,"")</f>
        <v/>
      </c>
      <c r="AE607">
        <f>IF(TRIM('Roster'!B607&amp;'Roster'!C607)&lt;&gt;"",1,0)</f>
        <v/>
      </c>
      <c r="AF607">
        <f>IF(AE607=1,LOWER(A607),"#")</f>
        <v/>
      </c>
      <c r="AG607">
        <f>IF(AE607=1,LOWER(TRIM(TRIM('Roster'!C607)&amp;", "&amp;TRIM('Roster'!B607))),"#")</f>
        <v/>
      </c>
      <c r="AH607">
        <f>IF(AND(AE607=1,TRIM('Roster'!F607)&lt;&gt;""),LOWER(TRIM('Roster'!F607)),"#")</f>
        <v/>
      </c>
      <c r="AI607">
        <f>IF(AE607=1,IF(MATCH(B607,$B$2:$B$701,0)=ROW()-1,1,0),0)</f>
        <v/>
      </c>
      <c r="AJ607">
        <f>AJ606+AI607</f>
        <v/>
      </c>
      <c r="AK607">
        <f>IF(AE607=1,D607+(1000-ROW())/10^7,-1)</f>
        <v/>
      </c>
      <c r="AL607">
        <f>IF(AE607=1,TRIM('Roster'!B607)&amp;" "&amp;LEFT(TRIM('Roster'!C607),1)&amp;".","")</f>
        <v/>
      </c>
      <c r="AM607">
        <f>IF(AE607=1,TRIM('Roster'!C607)&amp;", "&amp;TRIM('Roster'!B607)&amp;" ("&amp;B607&amp;") #"&amp;AD607,"")</f>
        <v/>
      </c>
      <c r="AN607">
        <f>IF(AE607=1,TRIM('Roster'!E607),"")</f>
        <v/>
      </c>
      <c r="AO607">
        <f>IF(AE607=1,ROUND(SUMIFS('All Donations'!$S$2:$S$4001,'All Donations'!$R$2:$R$4001,AD607,'All Donations'!$T$2:$T$4001,"&gt;="&amp;'Settings'!$C$23,'All Donations'!$T$2:$T$4001,"&lt;="&amp;'Settings'!$D$23),2),0)</f>
        <v/>
      </c>
      <c r="AQ607">
        <f>IF(AE607=1,ROUND(SUMIFS('All Donations'!$S$2:$S$4001,'All Donations'!$R$2:$R$4001,AD607,'All Donations'!$T$2:$T$4001,"&gt;="&amp;'Settings'!$C$25,'All Donations'!$T$2:$T$4001,"&lt;="&amp;'Settings'!$D$25),2),0)</f>
        <v/>
      </c>
      <c r="AR607">
        <f>IF(AE607=1,ROUND(SUMIFS('All Donations'!$S$2:$S$4001,'All Donations'!$R$2:$R$4001,AD607,'All Donations'!$T$2:$T$4001,"&gt;="&amp;'Settings'!$C$26,'All Donations'!$T$2:$T$4001,"&lt;="&amp;'Settings'!$D$26),2),0)</f>
        <v/>
      </c>
      <c r="AS607">
        <f>IF(AE607=1,ROUND(SUMIFS('All Donations'!$S$2:$S$4001,'All Donations'!$R$2:$R$4001,AD607,'All Donations'!$T$2:$T$4001,"&lt;="&amp;'Settings'!$D$27),2),0)</f>
        <v/>
      </c>
      <c r="AT607">
        <f>IF(AE607=1,ROUND(SUMIFS('All Donations'!$S$2:$S$4001,'All Donations'!$R$2:$R$4001,AD607,'All Donations'!$T$2:$T$4001,"&gt;="&amp;'Settings'!$C$28,'All Donations'!$T$2:$T$4001,"&lt;="&amp;'Settings'!$D$28),2),0)</f>
        <v/>
      </c>
      <c r="AU607">
        <f>IF(AE607=1,ROUND(SUMIFS('All Donations'!$S$2:$S$4001,'All Donations'!$R$2:$R$4001,AD607,'All Donations'!$T$2:$T$4001,"&gt;="&amp;'Settings'!$C$29,'All Donations'!$T$2:$T$4001,"&lt;="&amp;'Settings'!$D$29),2),0)</f>
        <v/>
      </c>
      <c r="AV607">
        <f>IF(AE607=1,ROUND(SUMIFS('All Donations'!$S$2:$S$4001,'All Donations'!$R$2:$R$4001,AD607,'All Donations'!$T$2:$T$4001,"&lt;="&amp;'Settings'!$D$30),2),0)</f>
        <v/>
      </c>
      <c r="AZ607">
        <f>IF(AE607=1,ROUND(SUMIFS('All Donations'!$S$2:$S$4001,'All Donations'!$R$2:$R$4001,AD607,'All Donations'!$T$2:$T$4001,"&lt;="&amp;'Settings'!$D$34),2),0)</f>
        <v/>
      </c>
    </row>
    <row r="608">
      <c r="A608">
        <f>IF(AE608=1,TRIM(TRIM('Roster'!B608)&amp;" "&amp;TRIM('Roster'!C608)),"")</f>
        <v/>
      </c>
      <c r="B608">
        <f>IF(AE608=1,IF(AN608="","(no teacher)",AN608&amp;" – "&amp;C608),"")</f>
        <v/>
      </c>
      <c r="C608">
        <f>IF(AE608=1,TRIM('Roster'!D608&amp;""),"")</f>
        <v/>
      </c>
      <c r="D608" s="48">
        <f>IF(AE608=1,ROUND(SUMIFS('All Donations'!$S$2:$S$4001,'All Donations'!$R$2:$R$4001,AD608),2),"")</f>
        <v/>
      </c>
      <c r="E608" s="48">
        <f>IF(AE608=1,ROUND(SUMIFS('All Donations'!$S$2:$S$4001,'All Donations'!$R$2:$R$4001,AD608,'All Donations'!$G$2:$G$4001,"OneCause"),2),"")</f>
        <v/>
      </c>
      <c r="F608" s="48">
        <f>IF(AE608=1,D608-E608,"")</f>
        <v/>
      </c>
      <c r="G608">
        <f>IF(AE608=1,COUNTIFS('All Donations'!$R$2:$R$4001,AD608,'All Donations'!$H$2:$H$4001,"OK"),"")</f>
        <v/>
      </c>
      <c r="H608">
        <f>IF(AE608&lt;&gt;1,"",IF(D608&gt;0,"Yes",""))</f>
        <v/>
      </c>
      <c r="I608" s="49">
        <f>IF(OR($AE608&lt;&gt;1,I$1=""),"",SUMIFS('All Donations'!$S$2:$S$4001,'All Donations'!$R$2:$R$4001,$AD608,'All Donations'!$T$2:$T$4001,I$1))</f>
        <v/>
      </c>
      <c r="J608" s="49">
        <f>IF(OR($AE608&lt;&gt;1,J$1=""),"",SUMIFS('All Donations'!$S$2:$S$4001,'All Donations'!$R$2:$R$4001,$AD608,'All Donations'!$T$2:$T$4001,J$1))</f>
        <v/>
      </c>
      <c r="K608" s="49">
        <f>IF(OR($AE608&lt;&gt;1,K$1=""),"",SUMIFS('All Donations'!$S$2:$S$4001,'All Donations'!$R$2:$R$4001,$AD608,'All Donations'!$T$2:$T$4001,K$1))</f>
        <v/>
      </c>
      <c r="L608" s="49">
        <f>IF(OR($AE608&lt;&gt;1,L$1=""),"",SUMIFS('All Donations'!$S$2:$S$4001,'All Donations'!$R$2:$R$4001,$AD608,'All Donations'!$T$2:$T$4001,L$1))</f>
        <v/>
      </c>
      <c r="M608" s="49">
        <f>IF(OR($AE608&lt;&gt;1,M$1=""),"",SUMIFS('All Donations'!$S$2:$S$4001,'All Donations'!$R$2:$R$4001,$AD608,'All Donations'!$T$2:$T$4001,M$1))</f>
        <v/>
      </c>
      <c r="N608" s="49">
        <f>IF(OR($AE608&lt;&gt;1,N$1=""),"",SUMIFS('All Donations'!$S$2:$S$4001,'All Donations'!$R$2:$R$4001,$AD608,'All Donations'!$T$2:$T$4001,N$1))</f>
        <v/>
      </c>
      <c r="O608" s="49">
        <f>IF(OR($AE608&lt;&gt;1,O$1=""),"",SUMIFS('All Donations'!$S$2:$S$4001,'All Donations'!$R$2:$R$4001,$AD608,'All Donations'!$T$2:$T$4001,O$1))</f>
        <v/>
      </c>
      <c r="P608" s="49">
        <f>IF(OR($AE608&lt;&gt;1,P$1=""),"",SUMIFS('All Donations'!$S$2:$S$4001,'All Donations'!$R$2:$R$4001,$AD608,'All Donations'!$T$2:$T$4001,P$1))</f>
        <v/>
      </c>
      <c r="Q608" s="49">
        <f>IF(OR($AE608&lt;&gt;1,Q$1=""),"",SUMIFS('All Donations'!$S$2:$S$4001,'All Donations'!$R$2:$R$4001,$AD608,'All Donations'!$T$2:$T$4001,Q$1))</f>
        <v/>
      </c>
      <c r="R608" s="49">
        <f>IF(OR($AE608&lt;&gt;1,R$1=""),"",SUMIFS('All Donations'!$S$2:$S$4001,'All Donations'!$R$2:$R$4001,$AD608,'All Donations'!$T$2:$T$4001,R$1))</f>
        <v/>
      </c>
      <c r="S608" s="49">
        <f>IF(OR($AE608&lt;&gt;1,S$1=""),"",SUMIFS('All Donations'!$S$2:$S$4001,'All Donations'!$R$2:$R$4001,$AD608,'All Donations'!$T$2:$T$4001,S$1))</f>
        <v/>
      </c>
      <c r="T608" s="49">
        <f>IF(OR($AE608&lt;&gt;1,T$1=""),"",SUMIFS('All Donations'!$S$2:$S$4001,'All Donations'!$R$2:$R$4001,$AD608,'All Donations'!$T$2:$T$4001,T$1))</f>
        <v/>
      </c>
      <c r="U608" s="49">
        <f>IF(OR($AE608&lt;&gt;1,U$1=""),"",SUMIFS('All Donations'!$S$2:$S$4001,'All Donations'!$R$2:$R$4001,$AD608,'All Donations'!$T$2:$T$4001,U$1))</f>
        <v/>
      </c>
      <c r="V608" s="49">
        <f>IF(OR($AE608&lt;&gt;1,V$1=""),"",SUMIFS('All Donations'!$S$2:$S$4001,'All Donations'!$R$2:$R$4001,$AD608,'All Donations'!$T$2:$T$4001,V$1))</f>
        <v/>
      </c>
      <c r="W608" s="49">
        <f>IF(OR($AE608&lt;&gt;1,W$1=""),"",SUMIFS('All Donations'!$S$2:$S$4001,'All Donations'!$R$2:$R$4001,$AD608,'All Donations'!$T$2:$T$4001,W$1))</f>
        <v/>
      </c>
      <c r="X608" s="49">
        <f>IF(OR($AE608&lt;&gt;1,X$1=""),"",SUMIFS('All Donations'!$S$2:$S$4001,'All Donations'!$R$2:$R$4001,$AD608,'All Donations'!$T$2:$T$4001,X$1))</f>
        <v/>
      </c>
      <c r="Y608" s="49">
        <f>IF(OR($AE608&lt;&gt;1,Y$1=""),"",SUMIFS('All Donations'!$S$2:$S$4001,'All Donations'!$R$2:$R$4001,$AD608,'All Donations'!$T$2:$T$4001,Y$1))</f>
        <v/>
      </c>
      <c r="Z608" s="49">
        <f>IF(OR($AE608&lt;&gt;1,Z$1=""),"",SUMIFS('All Donations'!$S$2:$S$4001,'All Donations'!$R$2:$R$4001,$AD608,'All Donations'!$T$2:$T$4001,Z$1))</f>
        <v/>
      </c>
      <c r="AA608" s="49">
        <f>IF(OR($AE608&lt;&gt;1,AA$1=""),"",SUMIFS('All Donations'!$S$2:$S$4001,'All Donations'!$R$2:$R$4001,$AD608,'All Donations'!$T$2:$T$4001,AA$1))</f>
        <v/>
      </c>
      <c r="AB608" s="49">
        <f>IF(OR($AE608&lt;&gt;1,AB$1=""),"",SUMIFS('All Donations'!$S$2:$S$4001,'All Donations'!$R$2:$R$4001,$AD608,'All Donations'!$T$2:$T$4001,AB$1))</f>
        <v/>
      </c>
      <c r="AC608" s="49">
        <f>IF(OR($AE608&lt;&gt;1,AC$1=""),"",SUMIFS('All Donations'!$S$2:$S$4001,'All Donations'!$R$2:$R$4001,$AD608,'All Donations'!$T$2:$T$4001,AC$1))</f>
        <v/>
      </c>
      <c r="AD608">
        <f>IF(AE608=1,'Roster'!A608,"")</f>
        <v/>
      </c>
      <c r="AE608">
        <f>IF(TRIM('Roster'!B608&amp;'Roster'!C608)&lt;&gt;"",1,0)</f>
        <v/>
      </c>
      <c r="AF608">
        <f>IF(AE608=1,LOWER(A608),"#")</f>
        <v/>
      </c>
      <c r="AG608">
        <f>IF(AE608=1,LOWER(TRIM(TRIM('Roster'!C608)&amp;", "&amp;TRIM('Roster'!B608))),"#")</f>
        <v/>
      </c>
      <c r="AH608">
        <f>IF(AND(AE608=1,TRIM('Roster'!F608)&lt;&gt;""),LOWER(TRIM('Roster'!F608)),"#")</f>
        <v/>
      </c>
      <c r="AI608">
        <f>IF(AE608=1,IF(MATCH(B608,$B$2:$B$701,0)=ROW()-1,1,0),0)</f>
        <v/>
      </c>
      <c r="AJ608">
        <f>AJ607+AI608</f>
        <v/>
      </c>
      <c r="AK608">
        <f>IF(AE608=1,D608+(1000-ROW())/10^7,-1)</f>
        <v/>
      </c>
      <c r="AL608">
        <f>IF(AE608=1,TRIM('Roster'!B608)&amp;" "&amp;LEFT(TRIM('Roster'!C608),1)&amp;".","")</f>
        <v/>
      </c>
      <c r="AM608">
        <f>IF(AE608=1,TRIM('Roster'!C608)&amp;", "&amp;TRIM('Roster'!B608)&amp;" ("&amp;B608&amp;") #"&amp;AD608,"")</f>
        <v/>
      </c>
      <c r="AN608">
        <f>IF(AE608=1,TRIM('Roster'!E608),"")</f>
        <v/>
      </c>
      <c r="AO608">
        <f>IF(AE608=1,ROUND(SUMIFS('All Donations'!$S$2:$S$4001,'All Donations'!$R$2:$R$4001,AD608,'All Donations'!$T$2:$T$4001,"&gt;="&amp;'Settings'!$C$23,'All Donations'!$T$2:$T$4001,"&lt;="&amp;'Settings'!$D$23),2),0)</f>
        <v/>
      </c>
      <c r="AQ608">
        <f>IF(AE608=1,ROUND(SUMIFS('All Donations'!$S$2:$S$4001,'All Donations'!$R$2:$R$4001,AD608,'All Donations'!$T$2:$T$4001,"&gt;="&amp;'Settings'!$C$25,'All Donations'!$T$2:$T$4001,"&lt;="&amp;'Settings'!$D$25),2),0)</f>
        <v/>
      </c>
      <c r="AR608">
        <f>IF(AE608=1,ROUND(SUMIFS('All Donations'!$S$2:$S$4001,'All Donations'!$R$2:$R$4001,AD608,'All Donations'!$T$2:$T$4001,"&gt;="&amp;'Settings'!$C$26,'All Donations'!$T$2:$T$4001,"&lt;="&amp;'Settings'!$D$26),2),0)</f>
        <v/>
      </c>
      <c r="AS608">
        <f>IF(AE608=1,ROUND(SUMIFS('All Donations'!$S$2:$S$4001,'All Donations'!$R$2:$R$4001,AD608,'All Donations'!$T$2:$T$4001,"&lt;="&amp;'Settings'!$D$27),2),0)</f>
        <v/>
      </c>
      <c r="AT608">
        <f>IF(AE608=1,ROUND(SUMIFS('All Donations'!$S$2:$S$4001,'All Donations'!$R$2:$R$4001,AD608,'All Donations'!$T$2:$T$4001,"&gt;="&amp;'Settings'!$C$28,'All Donations'!$T$2:$T$4001,"&lt;="&amp;'Settings'!$D$28),2),0)</f>
        <v/>
      </c>
      <c r="AU608">
        <f>IF(AE608=1,ROUND(SUMIFS('All Donations'!$S$2:$S$4001,'All Donations'!$R$2:$R$4001,AD608,'All Donations'!$T$2:$T$4001,"&gt;="&amp;'Settings'!$C$29,'All Donations'!$T$2:$T$4001,"&lt;="&amp;'Settings'!$D$29),2),0)</f>
        <v/>
      </c>
      <c r="AV608">
        <f>IF(AE608=1,ROUND(SUMIFS('All Donations'!$S$2:$S$4001,'All Donations'!$R$2:$R$4001,AD608,'All Donations'!$T$2:$T$4001,"&lt;="&amp;'Settings'!$D$30),2),0)</f>
        <v/>
      </c>
      <c r="AZ608">
        <f>IF(AE608=1,ROUND(SUMIFS('All Donations'!$S$2:$S$4001,'All Donations'!$R$2:$R$4001,AD608,'All Donations'!$T$2:$T$4001,"&lt;="&amp;'Settings'!$D$34),2),0)</f>
        <v/>
      </c>
    </row>
    <row r="609">
      <c r="A609">
        <f>IF(AE609=1,TRIM(TRIM('Roster'!B609)&amp;" "&amp;TRIM('Roster'!C609)),"")</f>
        <v/>
      </c>
      <c r="B609">
        <f>IF(AE609=1,IF(AN609="","(no teacher)",AN609&amp;" – "&amp;C609),"")</f>
        <v/>
      </c>
      <c r="C609">
        <f>IF(AE609=1,TRIM('Roster'!D609&amp;""),"")</f>
        <v/>
      </c>
      <c r="D609" s="48">
        <f>IF(AE609=1,ROUND(SUMIFS('All Donations'!$S$2:$S$4001,'All Donations'!$R$2:$R$4001,AD609),2),"")</f>
        <v/>
      </c>
      <c r="E609" s="48">
        <f>IF(AE609=1,ROUND(SUMIFS('All Donations'!$S$2:$S$4001,'All Donations'!$R$2:$R$4001,AD609,'All Donations'!$G$2:$G$4001,"OneCause"),2),"")</f>
        <v/>
      </c>
      <c r="F609" s="48">
        <f>IF(AE609=1,D609-E609,"")</f>
        <v/>
      </c>
      <c r="G609">
        <f>IF(AE609=1,COUNTIFS('All Donations'!$R$2:$R$4001,AD609,'All Donations'!$H$2:$H$4001,"OK"),"")</f>
        <v/>
      </c>
      <c r="H609">
        <f>IF(AE609&lt;&gt;1,"",IF(D609&gt;0,"Yes",""))</f>
        <v/>
      </c>
      <c r="I609" s="49">
        <f>IF(OR($AE609&lt;&gt;1,I$1=""),"",SUMIFS('All Donations'!$S$2:$S$4001,'All Donations'!$R$2:$R$4001,$AD609,'All Donations'!$T$2:$T$4001,I$1))</f>
        <v/>
      </c>
      <c r="J609" s="49">
        <f>IF(OR($AE609&lt;&gt;1,J$1=""),"",SUMIFS('All Donations'!$S$2:$S$4001,'All Donations'!$R$2:$R$4001,$AD609,'All Donations'!$T$2:$T$4001,J$1))</f>
        <v/>
      </c>
      <c r="K609" s="49">
        <f>IF(OR($AE609&lt;&gt;1,K$1=""),"",SUMIFS('All Donations'!$S$2:$S$4001,'All Donations'!$R$2:$R$4001,$AD609,'All Donations'!$T$2:$T$4001,K$1))</f>
        <v/>
      </c>
      <c r="L609" s="49">
        <f>IF(OR($AE609&lt;&gt;1,L$1=""),"",SUMIFS('All Donations'!$S$2:$S$4001,'All Donations'!$R$2:$R$4001,$AD609,'All Donations'!$T$2:$T$4001,L$1))</f>
        <v/>
      </c>
      <c r="M609" s="49">
        <f>IF(OR($AE609&lt;&gt;1,M$1=""),"",SUMIFS('All Donations'!$S$2:$S$4001,'All Donations'!$R$2:$R$4001,$AD609,'All Donations'!$T$2:$T$4001,M$1))</f>
        <v/>
      </c>
      <c r="N609" s="49">
        <f>IF(OR($AE609&lt;&gt;1,N$1=""),"",SUMIFS('All Donations'!$S$2:$S$4001,'All Donations'!$R$2:$R$4001,$AD609,'All Donations'!$T$2:$T$4001,N$1))</f>
        <v/>
      </c>
      <c r="O609" s="49">
        <f>IF(OR($AE609&lt;&gt;1,O$1=""),"",SUMIFS('All Donations'!$S$2:$S$4001,'All Donations'!$R$2:$R$4001,$AD609,'All Donations'!$T$2:$T$4001,O$1))</f>
        <v/>
      </c>
      <c r="P609" s="49">
        <f>IF(OR($AE609&lt;&gt;1,P$1=""),"",SUMIFS('All Donations'!$S$2:$S$4001,'All Donations'!$R$2:$R$4001,$AD609,'All Donations'!$T$2:$T$4001,P$1))</f>
        <v/>
      </c>
      <c r="Q609" s="49">
        <f>IF(OR($AE609&lt;&gt;1,Q$1=""),"",SUMIFS('All Donations'!$S$2:$S$4001,'All Donations'!$R$2:$R$4001,$AD609,'All Donations'!$T$2:$T$4001,Q$1))</f>
        <v/>
      </c>
      <c r="R609" s="49">
        <f>IF(OR($AE609&lt;&gt;1,R$1=""),"",SUMIFS('All Donations'!$S$2:$S$4001,'All Donations'!$R$2:$R$4001,$AD609,'All Donations'!$T$2:$T$4001,R$1))</f>
        <v/>
      </c>
      <c r="S609" s="49">
        <f>IF(OR($AE609&lt;&gt;1,S$1=""),"",SUMIFS('All Donations'!$S$2:$S$4001,'All Donations'!$R$2:$R$4001,$AD609,'All Donations'!$T$2:$T$4001,S$1))</f>
        <v/>
      </c>
      <c r="T609" s="49">
        <f>IF(OR($AE609&lt;&gt;1,T$1=""),"",SUMIFS('All Donations'!$S$2:$S$4001,'All Donations'!$R$2:$R$4001,$AD609,'All Donations'!$T$2:$T$4001,T$1))</f>
        <v/>
      </c>
      <c r="U609" s="49">
        <f>IF(OR($AE609&lt;&gt;1,U$1=""),"",SUMIFS('All Donations'!$S$2:$S$4001,'All Donations'!$R$2:$R$4001,$AD609,'All Donations'!$T$2:$T$4001,U$1))</f>
        <v/>
      </c>
      <c r="V609" s="49">
        <f>IF(OR($AE609&lt;&gt;1,V$1=""),"",SUMIFS('All Donations'!$S$2:$S$4001,'All Donations'!$R$2:$R$4001,$AD609,'All Donations'!$T$2:$T$4001,V$1))</f>
        <v/>
      </c>
      <c r="W609" s="49">
        <f>IF(OR($AE609&lt;&gt;1,W$1=""),"",SUMIFS('All Donations'!$S$2:$S$4001,'All Donations'!$R$2:$R$4001,$AD609,'All Donations'!$T$2:$T$4001,W$1))</f>
        <v/>
      </c>
      <c r="X609" s="49">
        <f>IF(OR($AE609&lt;&gt;1,X$1=""),"",SUMIFS('All Donations'!$S$2:$S$4001,'All Donations'!$R$2:$R$4001,$AD609,'All Donations'!$T$2:$T$4001,X$1))</f>
        <v/>
      </c>
      <c r="Y609" s="49">
        <f>IF(OR($AE609&lt;&gt;1,Y$1=""),"",SUMIFS('All Donations'!$S$2:$S$4001,'All Donations'!$R$2:$R$4001,$AD609,'All Donations'!$T$2:$T$4001,Y$1))</f>
        <v/>
      </c>
      <c r="Z609" s="49">
        <f>IF(OR($AE609&lt;&gt;1,Z$1=""),"",SUMIFS('All Donations'!$S$2:$S$4001,'All Donations'!$R$2:$R$4001,$AD609,'All Donations'!$T$2:$T$4001,Z$1))</f>
        <v/>
      </c>
      <c r="AA609" s="49">
        <f>IF(OR($AE609&lt;&gt;1,AA$1=""),"",SUMIFS('All Donations'!$S$2:$S$4001,'All Donations'!$R$2:$R$4001,$AD609,'All Donations'!$T$2:$T$4001,AA$1))</f>
        <v/>
      </c>
      <c r="AB609" s="49">
        <f>IF(OR($AE609&lt;&gt;1,AB$1=""),"",SUMIFS('All Donations'!$S$2:$S$4001,'All Donations'!$R$2:$R$4001,$AD609,'All Donations'!$T$2:$T$4001,AB$1))</f>
        <v/>
      </c>
      <c r="AC609" s="49">
        <f>IF(OR($AE609&lt;&gt;1,AC$1=""),"",SUMIFS('All Donations'!$S$2:$S$4001,'All Donations'!$R$2:$R$4001,$AD609,'All Donations'!$T$2:$T$4001,AC$1))</f>
        <v/>
      </c>
      <c r="AD609">
        <f>IF(AE609=1,'Roster'!A609,"")</f>
        <v/>
      </c>
      <c r="AE609">
        <f>IF(TRIM('Roster'!B609&amp;'Roster'!C609)&lt;&gt;"",1,0)</f>
        <v/>
      </c>
      <c r="AF609">
        <f>IF(AE609=1,LOWER(A609),"#")</f>
        <v/>
      </c>
      <c r="AG609">
        <f>IF(AE609=1,LOWER(TRIM(TRIM('Roster'!C609)&amp;", "&amp;TRIM('Roster'!B609))),"#")</f>
        <v/>
      </c>
      <c r="AH609">
        <f>IF(AND(AE609=1,TRIM('Roster'!F609)&lt;&gt;""),LOWER(TRIM('Roster'!F609)),"#")</f>
        <v/>
      </c>
      <c r="AI609">
        <f>IF(AE609=1,IF(MATCH(B609,$B$2:$B$701,0)=ROW()-1,1,0),0)</f>
        <v/>
      </c>
      <c r="AJ609">
        <f>AJ608+AI609</f>
        <v/>
      </c>
      <c r="AK609">
        <f>IF(AE609=1,D609+(1000-ROW())/10^7,-1)</f>
        <v/>
      </c>
      <c r="AL609">
        <f>IF(AE609=1,TRIM('Roster'!B609)&amp;" "&amp;LEFT(TRIM('Roster'!C609),1)&amp;".","")</f>
        <v/>
      </c>
      <c r="AM609">
        <f>IF(AE609=1,TRIM('Roster'!C609)&amp;", "&amp;TRIM('Roster'!B609)&amp;" ("&amp;B609&amp;") #"&amp;AD609,"")</f>
        <v/>
      </c>
      <c r="AN609">
        <f>IF(AE609=1,TRIM('Roster'!E609),"")</f>
        <v/>
      </c>
      <c r="AO609">
        <f>IF(AE609=1,ROUND(SUMIFS('All Donations'!$S$2:$S$4001,'All Donations'!$R$2:$R$4001,AD609,'All Donations'!$T$2:$T$4001,"&gt;="&amp;'Settings'!$C$23,'All Donations'!$T$2:$T$4001,"&lt;="&amp;'Settings'!$D$23),2),0)</f>
        <v/>
      </c>
      <c r="AQ609">
        <f>IF(AE609=1,ROUND(SUMIFS('All Donations'!$S$2:$S$4001,'All Donations'!$R$2:$R$4001,AD609,'All Donations'!$T$2:$T$4001,"&gt;="&amp;'Settings'!$C$25,'All Donations'!$T$2:$T$4001,"&lt;="&amp;'Settings'!$D$25),2),0)</f>
        <v/>
      </c>
      <c r="AR609">
        <f>IF(AE609=1,ROUND(SUMIFS('All Donations'!$S$2:$S$4001,'All Donations'!$R$2:$R$4001,AD609,'All Donations'!$T$2:$T$4001,"&gt;="&amp;'Settings'!$C$26,'All Donations'!$T$2:$T$4001,"&lt;="&amp;'Settings'!$D$26),2),0)</f>
        <v/>
      </c>
      <c r="AS609">
        <f>IF(AE609=1,ROUND(SUMIFS('All Donations'!$S$2:$S$4001,'All Donations'!$R$2:$R$4001,AD609,'All Donations'!$T$2:$T$4001,"&lt;="&amp;'Settings'!$D$27),2),0)</f>
        <v/>
      </c>
      <c r="AT609">
        <f>IF(AE609=1,ROUND(SUMIFS('All Donations'!$S$2:$S$4001,'All Donations'!$R$2:$R$4001,AD609,'All Donations'!$T$2:$T$4001,"&gt;="&amp;'Settings'!$C$28,'All Donations'!$T$2:$T$4001,"&lt;="&amp;'Settings'!$D$28),2),0)</f>
        <v/>
      </c>
      <c r="AU609">
        <f>IF(AE609=1,ROUND(SUMIFS('All Donations'!$S$2:$S$4001,'All Donations'!$R$2:$R$4001,AD609,'All Donations'!$T$2:$T$4001,"&gt;="&amp;'Settings'!$C$29,'All Donations'!$T$2:$T$4001,"&lt;="&amp;'Settings'!$D$29),2),0)</f>
        <v/>
      </c>
      <c r="AV609">
        <f>IF(AE609=1,ROUND(SUMIFS('All Donations'!$S$2:$S$4001,'All Donations'!$R$2:$R$4001,AD609,'All Donations'!$T$2:$T$4001,"&lt;="&amp;'Settings'!$D$30),2),0)</f>
        <v/>
      </c>
      <c r="AZ609">
        <f>IF(AE609=1,ROUND(SUMIFS('All Donations'!$S$2:$S$4001,'All Donations'!$R$2:$R$4001,AD609,'All Donations'!$T$2:$T$4001,"&lt;="&amp;'Settings'!$D$34),2),0)</f>
        <v/>
      </c>
    </row>
    <row r="610">
      <c r="A610">
        <f>IF(AE610=1,TRIM(TRIM('Roster'!B610)&amp;" "&amp;TRIM('Roster'!C610)),"")</f>
        <v/>
      </c>
      <c r="B610">
        <f>IF(AE610=1,IF(AN610="","(no teacher)",AN610&amp;" – "&amp;C610),"")</f>
        <v/>
      </c>
      <c r="C610">
        <f>IF(AE610=1,TRIM('Roster'!D610&amp;""),"")</f>
        <v/>
      </c>
      <c r="D610" s="48">
        <f>IF(AE610=1,ROUND(SUMIFS('All Donations'!$S$2:$S$4001,'All Donations'!$R$2:$R$4001,AD610),2),"")</f>
        <v/>
      </c>
      <c r="E610" s="48">
        <f>IF(AE610=1,ROUND(SUMIFS('All Donations'!$S$2:$S$4001,'All Donations'!$R$2:$R$4001,AD610,'All Donations'!$G$2:$G$4001,"OneCause"),2),"")</f>
        <v/>
      </c>
      <c r="F610" s="48">
        <f>IF(AE610=1,D610-E610,"")</f>
        <v/>
      </c>
      <c r="G610">
        <f>IF(AE610=1,COUNTIFS('All Donations'!$R$2:$R$4001,AD610,'All Donations'!$H$2:$H$4001,"OK"),"")</f>
        <v/>
      </c>
      <c r="H610">
        <f>IF(AE610&lt;&gt;1,"",IF(D610&gt;0,"Yes",""))</f>
        <v/>
      </c>
      <c r="I610" s="49">
        <f>IF(OR($AE610&lt;&gt;1,I$1=""),"",SUMIFS('All Donations'!$S$2:$S$4001,'All Donations'!$R$2:$R$4001,$AD610,'All Donations'!$T$2:$T$4001,I$1))</f>
        <v/>
      </c>
      <c r="J610" s="49">
        <f>IF(OR($AE610&lt;&gt;1,J$1=""),"",SUMIFS('All Donations'!$S$2:$S$4001,'All Donations'!$R$2:$R$4001,$AD610,'All Donations'!$T$2:$T$4001,J$1))</f>
        <v/>
      </c>
      <c r="K610" s="49">
        <f>IF(OR($AE610&lt;&gt;1,K$1=""),"",SUMIFS('All Donations'!$S$2:$S$4001,'All Donations'!$R$2:$R$4001,$AD610,'All Donations'!$T$2:$T$4001,K$1))</f>
        <v/>
      </c>
      <c r="L610" s="49">
        <f>IF(OR($AE610&lt;&gt;1,L$1=""),"",SUMIFS('All Donations'!$S$2:$S$4001,'All Donations'!$R$2:$R$4001,$AD610,'All Donations'!$T$2:$T$4001,L$1))</f>
        <v/>
      </c>
      <c r="M610" s="49">
        <f>IF(OR($AE610&lt;&gt;1,M$1=""),"",SUMIFS('All Donations'!$S$2:$S$4001,'All Donations'!$R$2:$R$4001,$AD610,'All Donations'!$T$2:$T$4001,M$1))</f>
        <v/>
      </c>
      <c r="N610" s="49">
        <f>IF(OR($AE610&lt;&gt;1,N$1=""),"",SUMIFS('All Donations'!$S$2:$S$4001,'All Donations'!$R$2:$R$4001,$AD610,'All Donations'!$T$2:$T$4001,N$1))</f>
        <v/>
      </c>
      <c r="O610" s="49">
        <f>IF(OR($AE610&lt;&gt;1,O$1=""),"",SUMIFS('All Donations'!$S$2:$S$4001,'All Donations'!$R$2:$R$4001,$AD610,'All Donations'!$T$2:$T$4001,O$1))</f>
        <v/>
      </c>
      <c r="P610" s="49">
        <f>IF(OR($AE610&lt;&gt;1,P$1=""),"",SUMIFS('All Donations'!$S$2:$S$4001,'All Donations'!$R$2:$R$4001,$AD610,'All Donations'!$T$2:$T$4001,P$1))</f>
        <v/>
      </c>
      <c r="Q610" s="49">
        <f>IF(OR($AE610&lt;&gt;1,Q$1=""),"",SUMIFS('All Donations'!$S$2:$S$4001,'All Donations'!$R$2:$R$4001,$AD610,'All Donations'!$T$2:$T$4001,Q$1))</f>
        <v/>
      </c>
      <c r="R610" s="49">
        <f>IF(OR($AE610&lt;&gt;1,R$1=""),"",SUMIFS('All Donations'!$S$2:$S$4001,'All Donations'!$R$2:$R$4001,$AD610,'All Donations'!$T$2:$T$4001,R$1))</f>
        <v/>
      </c>
      <c r="S610" s="49">
        <f>IF(OR($AE610&lt;&gt;1,S$1=""),"",SUMIFS('All Donations'!$S$2:$S$4001,'All Donations'!$R$2:$R$4001,$AD610,'All Donations'!$T$2:$T$4001,S$1))</f>
        <v/>
      </c>
      <c r="T610" s="49">
        <f>IF(OR($AE610&lt;&gt;1,T$1=""),"",SUMIFS('All Donations'!$S$2:$S$4001,'All Donations'!$R$2:$R$4001,$AD610,'All Donations'!$T$2:$T$4001,T$1))</f>
        <v/>
      </c>
      <c r="U610" s="49">
        <f>IF(OR($AE610&lt;&gt;1,U$1=""),"",SUMIFS('All Donations'!$S$2:$S$4001,'All Donations'!$R$2:$R$4001,$AD610,'All Donations'!$T$2:$T$4001,U$1))</f>
        <v/>
      </c>
      <c r="V610" s="49">
        <f>IF(OR($AE610&lt;&gt;1,V$1=""),"",SUMIFS('All Donations'!$S$2:$S$4001,'All Donations'!$R$2:$R$4001,$AD610,'All Donations'!$T$2:$T$4001,V$1))</f>
        <v/>
      </c>
      <c r="W610" s="49">
        <f>IF(OR($AE610&lt;&gt;1,W$1=""),"",SUMIFS('All Donations'!$S$2:$S$4001,'All Donations'!$R$2:$R$4001,$AD610,'All Donations'!$T$2:$T$4001,W$1))</f>
        <v/>
      </c>
      <c r="X610" s="49">
        <f>IF(OR($AE610&lt;&gt;1,X$1=""),"",SUMIFS('All Donations'!$S$2:$S$4001,'All Donations'!$R$2:$R$4001,$AD610,'All Donations'!$T$2:$T$4001,X$1))</f>
        <v/>
      </c>
      <c r="Y610" s="49">
        <f>IF(OR($AE610&lt;&gt;1,Y$1=""),"",SUMIFS('All Donations'!$S$2:$S$4001,'All Donations'!$R$2:$R$4001,$AD610,'All Donations'!$T$2:$T$4001,Y$1))</f>
        <v/>
      </c>
      <c r="Z610" s="49">
        <f>IF(OR($AE610&lt;&gt;1,Z$1=""),"",SUMIFS('All Donations'!$S$2:$S$4001,'All Donations'!$R$2:$R$4001,$AD610,'All Donations'!$T$2:$T$4001,Z$1))</f>
        <v/>
      </c>
      <c r="AA610" s="49">
        <f>IF(OR($AE610&lt;&gt;1,AA$1=""),"",SUMIFS('All Donations'!$S$2:$S$4001,'All Donations'!$R$2:$R$4001,$AD610,'All Donations'!$T$2:$T$4001,AA$1))</f>
        <v/>
      </c>
      <c r="AB610" s="49">
        <f>IF(OR($AE610&lt;&gt;1,AB$1=""),"",SUMIFS('All Donations'!$S$2:$S$4001,'All Donations'!$R$2:$R$4001,$AD610,'All Donations'!$T$2:$T$4001,AB$1))</f>
        <v/>
      </c>
      <c r="AC610" s="49">
        <f>IF(OR($AE610&lt;&gt;1,AC$1=""),"",SUMIFS('All Donations'!$S$2:$S$4001,'All Donations'!$R$2:$R$4001,$AD610,'All Donations'!$T$2:$T$4001,AC$1))</f>
        <v/>
      </c>
      <c r="AD610">
        <f>IF(AE610=1,'Roster'!A610,"")</f>
        <v/>
      </c>
      <c r="AE610">
        <f>IF(TRIM('Roster'!B610&amp;'Roster'!C610)&lt;&gt;"",1,0)</f>
        <v/>
      </c>
      <c r="AF610">
        <f>IF(AE610=1,LOWER(A610),"#")</f>
        <v/>
      </c>
      <c r="AG610">
        <f>IF(AE610=1,LOWER(TRIM(TRIM('Roster'!C610)&amp;", "&amp;TRIM('Roster'!B610))),"#")</f>
        <v/>
      </c>
      <c r="AH610">
        <f>IF(AND(AE610=1,TRIM('Roster'!F610)&lt;&gt;""),LOWER(TRIM('Roster'!F610)),"#")</f>
        <v/>
      </c>
      <c r="AI610">
        <f>IF(AE610=1,IF(MATCH(B610,$B$2:$B$701,0)=ROW()-1,1,0),0)</f>
        <v/>
      </c>
      <c r="AJ610">
        <f>AJ609+AI610</f>
        <v/>
      </c>
      <c r="AK610">
        <f>IF(AE610=1,D610+(1000-ROW())/10^7,-1)</f>
        <v/>
      </c>
      <c r="AL610">
        <f>IF(AE610=1,TRIM('Roster'!B610)&amp;" "&amp;LEFT(TRIM('Roster'!C610),1)&amp;".","")</f>
        <v/>
      </c>
      <c r="AM610">
        <f>IF(AE610=1,TRIM('Roster'!C610)&amp;", "&amp;TRIM('Roster'!B610)&amp;" ("&amp;B610&amp;") #"&amp;AD610,"")</f>
        <v/>
      </c>
      <c r="AN610">
        <f>IF(AE610=1,TRIM('Roster'!E610),"")</f>
        <v/>
      </c>
      <c r="AO610">
        <f>IF(AE610=1,ROUND(SUMIFS('All Donations'!$S$2:$S$4001,'All Donations'!$R$2:$R$4001,AD610,'All Donations'!$T$2:$T$4001,"&gt;="&amp;'Settings'!$C$23,'All Donations'!$T$2:$T$4001,"&lt;="&amp;'Settings'!$D$23),2),0)</f>
        <v/>
      </c>
      <c r="AQ610">
        <f>IF(AE610=1,ROUND(SUMIFS('All Donations'!$S$2:$S$4001,'All Donations'!$R$2:$R$4001,AD610,'All Donations'!$T$2:$T$4001,"&gt;="&amp;'Settings'!$C$25,'All Donations'!$T$2:$T$4001,"&lt;="&amp;'Settings'!$D$25),2),0)</f>
        <v/>
      </c>
      <c r="AR610">
        <f>IF(AE610=1,ROUND(SUMIFS('All Donations'!$S$2:$S$4001,'All Donations'!$R$2:$R$4001,AD610,'All Donations'!$T$2:$T$4001,"&gt;="&amp;'Settings'!$C$26,'All Donations'!$T$2:$T$4001,"&lt;="&amp;'Settings'!$D$26),2),0)</f>
        <v/>
      </c>
      <c r="AS610">
        <f>IF(AE610=1,ROUND(SUMIFS('All Donations'!$S$2:$S$4001,'All Donations'!$R$2:$R$4001,AD610,'All Donations'!$T$2:$T$4001,"&lt;="&amp;'Settings'!$D$27),2),0)</f>
        <v/>
      </c>
      <c r="AT610">
        <f>IF(AE610=1,ROUND(SUMIFS('All Donations'!$S$2:$S$4001,'All Donations'!$R$2:$R$4001,AD610,'All Donations'!$T$2:$T$4001,"&gt;="&amp;'Settings'!$C$28,'All Donations'!$T$2:$T$4001,"&lt;="&amp;'Settings'!$D$28),2),0)</f>
        <v/>
      </c>
      <c r="AU610">
        <f>IF(AE610=1,ROUND(SUMIFS('All Donations'!$S$2:$S$4001,'All Donations'!$R$2:$R$4001,AD610,'All Donations'!$T$2:$T$4001,"&gt;="&amp;'Settings'!$C$29,'All Donations'!$T$2:$T$4001,"&lt;="&amp;'Settings'!$D$29),2),0)</f>
        <v/>
      </c>
      <c r="AV610">
        <f>IF(AE610=1,ROUND(SUMIFS('All Donations'!$S$2:$S$4001,'All Donations'!$R$2:$R$4001,AD610,'All Donations'!$T$2:$T$4001,"&lt;="&amp;'Settings'!$D$30),2),0)</f>
        <v/>
      </c>
      <c r="AZ610">
        <f>IF(AE610=1,ROUND(SUMIFS('All Donations'!$S$2:$S$4001,'All Donations'!$R$2:$R$4001,AD610,'All Donations'!$T$2:$T$4001,"&lt;="&amp;'Settings'!$D$34),2),0)</f>
        <v/>
      </c>
    </row>
    <row r="611">
      <c r="A611">
        <f>IF(AE611=1,TRIM(TRIM('Roster'!B611)&amp;" "&amp;TRIM('Roster'!C611)),"")</f>
        <v/>
      </c>
      <c r="B611">
        <f>IF(AE611=1,IF(AN611="","(no teacher)",AN611&amp;" – "&amp;C611),"")</f>
        <v/>
      </c>
      <c r="C611">
        <f>IF(AE611=1,TRIM('Roster'!D611&amp;""),"")</f>
        <v/>
      </c>
      <c r="D611" s="48">
        <f>IF(AE611=1,ROUND(SUMIFS('All Donations'!$S$2:$S$4001,'All Donations'!$R$2:$R$4001,AD611),2),"")</f>
        <v/>
      </c>
      <c r="E611" s="48">
        <f>IF(AE611=1,ROUND(SUMIFS('All Donations'!$S$2:$S$4001,'All Donations'!$R$2:$R$4001,AD611,'All Donations'!$G$2:$G$4001,"OneCause"),2),"")</f>
        <v/>
      </c>
      <c r="F611" s="48">
        <f>IF(AE611=1,D611-E611,"")</f>
        <v/>
      </c>
      <c r="G611">
        <f>IF(AE611=1,COUNTIFS('All Donations'!$R$2:$R$4001,AD611,'All Donations'!$H$2:$H$4001,"OK"),"")</f>
        <v/>
      </c>
      <c r="H611">
        <f>IF(AE611&lt;&gt;1,"",IF(D611&gt;0,"Yes",""))</f>
        <v/>
      </c>
      <c r="I611" s="49">
        <f>IF(OR($AE611&lt;&gt;1,I$1=""),"",SUMIFS('All Donations'!$S$2:$S$4001,'All Donations'!$R$2:$R$4001,$AD611,'All Donations'!$T$2:$T$4001,I$1))</f>
        <v/>
      </c>
      <c r="J611" s="49">
        <f>IF(OR($AE611&lt;&gt;1,J$1=""),"",SUMIFS('All Donations'!$S$2:$S$4001,'All Donations'!$R$2:$R$4001,$AD611,'All Donations'!$T$2:$T$4001,J$1))</f>
        <v/>
      </c>
      <c r="K611" s="49">
        <f>IF(OR($AE611&lt;&gt;1,K$1=""),"",SUMIFS('All Donations'!$S$2:$S$4001,'All Donations'!$R$2:$R$4001,$AD611,'All Donations'!$T$2:$T$4001,K$1))</f>
        <v/>
      </c>
      <c r="L611" s="49">
        <f>IF(OR($AE611&lt;&gt;1,L$1=""),"",SUMIFS('All Donations'!$S$2:$S$4001,'All Donations'!$R$2:$R$4001,$AD611,'All Donations'!$T$2:$T$4001,L$1))</f>
        <v/>
      </c>
      <c r="M611" s="49">
        <f>IF(OR($AE611&lt;&gt;1,M$1=""),"",SUMIFS('All Donations'!$S$2:$S$4001,'All Donations'!$R$2:$R$4001,$AD611,'All Donations'!$T$2:$T$4001,M$1))</f>
        <v/>
      </c>
      <c r="N611" s="49">
        <f>IF(OR($AE611&lt;&gt;1,N$1=""),"",SUMIFS('All Donations'!$S$2:$S$4001,'All Donations'!$R$2:$R$4001,$AD611,'All Donations'!$T$2:$T$4001,N$1))</f>
        <v/>
      </c>
      <c r="O611" s="49">
        <f>IF(OR($AE611&lt;&gt;1,O$1=""),"",SUMIFS('All Donations'!$S$2:$S$4001,'All Donations'!$R$2:$R$4001,$AD611,'All Donations'!$T$2:$T$4001,O$1))</f>
        <v/>
      </c>
      <c r="P611" s="49">
        <f>IF(OR($AE611&lt;&gt;1,P$1=""),"",SUMIFS('All Donations'!$S$2:$S$4001,'All Donations'!$R$2:$R$4001,$AD611,'All Donations'!$T$2:$T$4001,P$1))</f>
        <v/>
      </c>
      <c r="Q611" s="49">
        <f>IF(OR($AE611&lt;&gt;1,Q$1=""),"",SUMIFS('All Donations'!$S$2:$S$4001,'All Donations'!$R$2:$R$4001,$AD611,'All Donations'!$T$2:$T$4001,Q$1))</f>
        <v/>
      </c>
      <c r="R611" s="49">
        <f>IF(OR($AE611&lt;&gt;1,R$1=""),"",SUMIFS('All Donations'!$S$2:$S$4001,'All Donations'!$R$2:$R$4001,$AD611,'All Donations'!$T$2:$T$4001,R$1))</f>
        <v/>
      </c>
      <c r="S611" s="49">
        <f>IF(OR($AE611&lt;&gt;1,S$1=""),"",SUMIFS('All Donations'!$S$2:$S$4001,'All Donations'!$R$2:$R$4001,$AD611,'All Donations'!$T$2:$T$4001,S$1))</f>
        <v/>
      </c>
      <c r="T611" s="49">
        <f>IF(OR($AE611&lt;&gt;1,T$1=""),"",SUMIFS('All Donations'!$S$2:$S$4001,'All Donations'!$R$2:$R$4001,$AD611,'All Donations'!$T$2:$T$4001,T$1))</f>
        <v/>
      </c>
      <c r="U611" s="49">
        <f>IF(OR($AE611&lt;&gt;1,U$1=""),"",SUMIFS('All Donations'!$S$2:$S$4001,'All Donations'!$R$2:$R$4001,$AD611,'All Donations'!$T$2:$T$4001,U$1))</f>
        <v/>
      </c>
      <c r="V611" s="49">
        <f>IF(OR($AE611&lt;&gt;1,V$1=""),"",SUMIFS('All Donations'!$S$2:$S$4001,'All Donations'!$R$2:$R$4001,$AD611,'All Donations'!$T$2:$T$4001,V$1))</f>
        <v/>
      </c>
      <c r="W611" s="49">
        <f>IF(OR($AE611&lt;&gt;1,W$1=""),"",SUMIFS('All Donations'!$S$2:$S$4001,'All Donations'!$R$2:$R$4001,$AD611,'All Donations'!$T$2:$T$4001,W$1))</f>
        <v/>
      </c>
      <c r="X611" s="49">
        <f>IF(OR($AE611&lt;&gt;1,X$1=""),"",SUMIFS('All Donations'!$S$2:$S$4001,'All Donations'!$R$2:$R$4001,$AD611,'All Donations'!$T$2:$T$4001,X$1))</f>
        <v/>
      </c>
      <c r="Y611" s="49">
        <f>IF(OR($AE611&lt;&gt;1,Y$1=""),"",SUMIFS('All Donations'!$S$2:$S$4001,'All Donations'!$R$2:$R$4001,$AD611,'All Donations'!$T$2:$T$4001,Y$1))</f>
        <v/>
      </c>
      <c r="Z611" s="49">
        <f>IF(OR($AE611&lt;&gt;1,Z$1=""),"",SUMIFS('All Donations'!$S$2:$S$4001,'All Donations'!$R$2:$R$4001,$AD611,'All Donations'!$T$2:$T$4001,Z$1))</f>
        <v/>
      </c>
      <c r="AA611" s="49">
        <f>IF(OR($AE611&lt;&gt;1,AA$1=""),"",SUMIFS('All Donations'!$S$2:$S$4001,'All Donations'!$R$2:$R$4001,$AD611,'All Donations'!$T$2:$T$4001,AA$1))</f>
        <v/>
      </c>
      <c r="AB611" s="49">
        <f>IF(OR($AE611&lt;&gt;1,AB$1=""),"",SUMIFS('All Donations'!$S$2:$S$4001,'All Donations'!$R$2:$R$4001,$AD611,'All Donations'!$T$2:$T$4001,AB$1))</f>
        <v/>
      </c>
      <c r="AC611" s="49">
        <f>IF(OR($AE611&lt;&gt;1,AC$1=""),"",SUMIFS('All Donations'!$S$2:$S$4001,'All Donations'!$R$2:$R$4001,$AD611,'All Donations'!$T$2:$T$4001,AC$1))</f>
        <v/>
      </c>
      <c r="AD611">
        <f>IF(AE611=1,'Roster'!A611,"")</f>
        <v/>
      </c>
      <c r="AE611">
        <f>IF(TRIM('Roster'!B611&amp;'Roster'!C611)&lt;&gt;"",1,0)</f>
        <v/>
      </c>
      <c r="AF611">
        <f>IF(AE611=1,LOWER(A611),"#")</f>
        <v/>
      </c>
      <c r="AG611">
        <f>IF(AE611=1,LOWER(TRIM(TRIM('Roster'!C611)&amp;", "&amp;TRIM('Roster'!B611))),"#")</f>
        <v/>
      </c>
      <c r="AH611">
        <f>IF(AND(AE611=1,TRIM('Roster'!F611)&lt;&gt;""),LOWER(TRIM('Roster'!F611)),"#")</f>
        <v/>
      </c>
      <c r="AI611">
        <f>IF(AE611=1,IF(MATCH(B611,$B$2:$B$701,0)=ROW()-1,1,0),0)</f>
        <v/>
      </c>
      <c r="AJ611">
        <f>AJ610+AI611</f>
        <v/>
      </c>
      <c r="AK611">
        <f>IF(AE611=1,D611+(1000-ROW())/10^7,-1)</f>
        <v/>
      </c>
      <c r="AL611">
        <f>IF(AE611=1,TRIM('Roster'!B611)&amp;" "&amp;LEFT(TRIM('Roster'!C611),1)&amp;".","")</f>
        <v/>
      </c>
      <c r="AM611">
        <f>IF(AE611=1,TRIM('Roster'!C611)&amp;", "&amp;TRIM('Roster'!B611)&amp;" ("&amp;B611&amp;") #"&amp;AD611,"")</f>
        <v/>
      </c>
      <c r="AN611">
        <f>IF(AE611=1,TRIM('Roster'!E611),"")</f>
        <v/>
      </c>
      <c r="AO611">
        <f>IF(AE611=1,ROUND(SUMIFS('All Donations'!$S$2:$S$4001,'All Donations'!$R$2:$R$4001,AD611,'All Donations'!$T$2:$T$4001,"&gt;="&amp;'Settings'!$C$23,'All Donations'!$T$2:$T$4001,"&lt;="&amp;'Settings'!$D$23),2),0)</f>
        <v/>
      </c>
      <c r="AQ611">
        <f>IF(AE611=1,ROUND(SUMIFS('All Donations'!$S$2:$S$4001,'All Donations'!$R$2:$R$4001,AD611,'All Donations'!$T$2:$T$4001,"&gt;="&amp;'Settings'!$C$25,'All Donations'!$T$2:$T$4001,"&lt;="&amp;'Settings'!$D$25),2),0)</f>
        <v/>
      </c>
      <c r="AR611">
        <f>IF(AE611=1,ROUND(SUMIFS('All Donations'!$S$2:$S$4001,'All Donations'!$R$2:$R$4001,AD611,'All Donations'!$T$2:$T$4001,"&gt;="&amp;'Settings'!$C$26,'All Donations'!$T$2:$T$4001,"&lt;="&amp;'Settings'!$D$26),2),0)</f>
        <v/>
      </c>
      <c r="AS611">
        <f>IF(AE611=1,ROUND(SUMIFS('All Donations'!$S$2:$S$4001,'All Donations'!$R$2:$R$4001,AD611,'All Donations'!$T$2:$T$4001,"&lt;="&amp;'Settings'!$D$27),2),0)</f>
        <v/>
      </c>
      <c r="AT611">
        <f>IF(AE611=1,ROUND(SUMIFS('All Donations'!$S$2:$S$4001,'All Donations'!$R$2:$R$4001,AD611,'All Donations'!$T$2:$T$4001,"&gt;="&amp;'Settings'!$C$28,'All Donations'!$T$2:$T$4001,"&lt;="&amp;'Settings'!$D$28),2),0)</f>
        <v/>
      </c>
      <c r="AU611">
        <f>IF(AE611=1,ROUND(SUMIFS('All Donations'!$S$2:$S$4001,'All Donations'!$R$2:$R$4001,AD611,'All Donations'!$T$2:$T$4001,"&gt;="&amp;'Settings'!$C$29,'All Donations'!$T$2:$T$4001,"&lt;="&amp;'Settings'!$D$29),2),0)</f>
        <v/>
      </c>
      <c r="AV611">
        <f>IF(AE611=1,ROUND(SUMIFS('All Donations'!$S$2:$S$4001,'All Donations'!$R$2:$R$4001,AD611,'All Donations'!$T$2:$T$4001,"&lt;="&amp;'Settings'!$D$30),2),0)</f>
        <v/>
      </c>
      <c r="AZ611">
        <f>IF(AE611=1,ROUND(SUMIFS('All Donations'!$S$2:$S$4001,'All Donations'!$R$2:$R$4001,AD611,'All Donations'!$T$2:$T$4001,"&lt;="&amp;'Settings'!$D$34),2),0)</f>
        <v/>
      </c>
    </row>
    <row r="612">
      <c r="A612">
        <f>IF(AE612=1,TRIM(TRIM('Roster'!B612)&amp;" "&amp;TRIM('Roster'!C612)),"")</f>
        <v/>
      </c>
      <c r="B612">
        <f>IF(AE612=1,IF(AN612="","(no teacher)",AN612&amp;" – "&amp;C612),"")</f>
        <v/>
      </c>
      <c r="C612">
        <f>IF(AE612=1,TRIM('Roster'!D612&amp;""),"")</f>
        <v/>
      </c>
      <c r="D612" s="48">
        <f>IF(AE612=1,ROUND(SUMIFS('All Donations'!$S$2:$S$4001,'All Donations'!$R$2:$R$4001,AD612),2),"")</f>
        <v/>
      </c>
      <c r="E612" s="48">
        <f>IF(AE612=1,ROUND(SUMIFS('All Donations'!$S$2:$S$4001,'All Donations'!$R$2:$R$4001,AD612,'All Donations'!$G$2:$G$4001,"OneCause"),2),"")</f>
        <v/>
      </c>
      <c r="F612" s="48">
        <f>IF(AE612=1,D612-E612,"")</f>
        <v/>
      </c>
      <c r="G612">
        <f>IF(AE612=1,COUNTIFS('All Donations'!$R$2:$R$4001,AD612,'All Donations'!$H$2:$H$4001,"OK"),"")</f>
        <v/>
      </c>
      <c r="H612">
        <f>IF(AE612&lt;&gt;1,"",IF(D612&gt;0,"Yes",""))</f>
        <v/>
      </c>
      <c r="I612" s="49">
        <f>IF(OR($AE612&lt;&gt;1,I$1=""),"",SUMIFS('All Donations'!$S$2:$S$4001,'All Donations'!$R$2:$R$4001,$AD612,'All Donations'!$T$2:$T$4001,I$1))</f>
        <v/>
      </c>
      <c r="J612" s="49">
        <f>IF(OR($AE612&lt;&gt;1,J$1=""),"",SUMIFS('All Donations'!$S$2:$S$4001,'All Donations'!$R$2:$R$4001,$AD612,'All Donations'!$T$2:$T$4001,J$1))</f>
        <v/>
      </c>
      <c r="K612" s="49">
        <f>IF(OR($AE612&lt;&gt;1,K$1=""),"",SUMIFS('All Donations'!$S$2:$S$4001,'All Donations'!$R$2:$R$4001,$AD612,'All Donations'!$T$2:$T$4001,K$1))</f>
        <v/>
      </c>
      <c r="L612" s="49">
        <f>IF(OR($AE612&lt;&gt;1,L$1=""),"",SUMIFS('All Donations'!$S$2:$S$4001,'All Donations'!$R$2:$R$4001,$AD612,'All Donations'!$T$2:$T$4001,L$1))</f>
        <v/>
      </c>
      <c r="M612" s="49">
        <f>IF(OR($AE612&lt;&gt;1,M$1=""),"",SUMIFS('All Donations'!$S$2:$S$4001,'All Donations'!$R$2:$R$4001,$AD612,'All Donations'!$T$2:$T$4001,M$1))</f>
        <v/>
      </c>
      <c r="N612" s="49">
        <f>IF(OR($AE612&lt;&gt;1,N$1=""),"",SUMIFS('All Donations'!$S$2:$S$4001,'All Donations'!$R$2:$R$4001,$AD612,'All Donations'!$T$2:$T$4001,N$1))</f>
        <v/>
      </c>
      <c r="O612" s="49">
        <f>IF(OR($AE612&lt;&gt;1,O$1=""),"",SUMIFS('All Donations'!$S$2:$S$4001,'All Donations'!$R$2:$R$4001,$AD612,'All Donations'!$T$2:$T$4001,O$1))</f>
        <v/>
      </c>
      <c r="P612" s="49">
        <f>IF(OR($AE612&lt;&gt;1,P$1=""),"",SUMIFS('All Donations'!$S$2:$S$4001,'All Donations'!$R$2:$R$4001,$AD612,'All Donations'!$T$2:$T$4001,P$1))</f>
        <v/>
      </c>
      <c r="Q612" s="49">
        <f>IF(OR($AE612&lt;&gt;1,Q$1=""),"",SUMIFS('All Donations'!$S$2:$S$4001,'All Donations'!$R$2:$R$4001,$AD612,'All Donations'!$T$2:$T$4001,Q$1))</f>
        <v/>
      </c>
      <c r="R612" s="49">
        <f>IF(OR($AE612&lt;&gt;1,R$1=""),"",SUMIFS('All Donations'!$S$2:$S$4001,'All Donations'!$R$2:$R$4001,$AD612,'All Donations'!$T$2:$T$4001,R$1))</f>
        <v/>
      </c>
      <c r="S612" s="49">
        <f>IF(OR($AE612&lt;&gt;1,S$1=""),"",SUMIFS('All Donations'!$S$2:$S$4001,'All Donations'!$R$2:$R$4001,$AD612,'All Donations'!$T$2:$T$4001,S$1))</f>
        <v/>
      </c>
      <c r="T612" s="49">
        <f>IF(OR($AE612&lt;&gt;1,T$1=""),"",SUMIFS('All Donations'!$S$2:$S$4001,'All Donations'!$R$2:$R$4001,$AD612,'All Donations'!$T$2:$T$4001,T$1))</f>
        <v/>
      </c>
      <c r="U612" s="49">
        <f>IF(OR($AE612&lt;&gt;1,U$1=""),"",SUMIFS('All Donations'!$S$2:$S$4001,'All Donations'!$R$2:$R$4001,$AD612,'All Donations'!$T$2:$T$4001,U$1))</f>
        <v/>
      </c>
      <c r="V612" s="49">
        <f>IF(OR($AE612&lt;&gt;1,V$1=""),"",SUMIFS('All Donations'!$S$2:$S$4001,'All Donations'!$R$2:$R$4001,$AD612,'All Donations'!$T$2:$T$4001,V$1))</f>
        <v/>
      </c>
      <c r="W612" s="49">
        <f>IF(OR($AE612&lt;&gt;1,W$1=""),"",SUMIFS('All Donations'!$S$2:$S$4001,'All Donations'!$R$2:$R$4001,$AD612,'All Donations'!$T$2:$T$4001,W$1))</f>
        <v/>
      </c>
      <c r="X612" s="49">
        <f>IF(OR($AE612&lt;&gt;1,X$1=""),"",SUMIFS('All Donations'!$S$2:$S$4001,'All Donations'!$R$2:$R$4001,$AD612,'All Donations'!$T$2:$T$4001,X$1))</f>
        <v/>
      </c>
      <c r="Y612" s="49">
        <f>IF(OR($AE612&lt;&gt;1,Y$1=""),"",SUMIFS('All Donations'!$S$2:$S$4001,'All Donations'!$R$2:$R$4001,$AD612,'All Donations'!$T$2:$T$4001,Y$1))</f>
        <v/>
      </c>
      <c r="Z612" s="49">
        <f>IF(OR($AE612&lt;&gt;1,Z$1=""),"",SUMIFS('All Donations'!$S$2:$S$4001,'All Donations'!$R$2:$R$4001,$AD612,'All Donations'!$T$2:$T$4001,Z$1))</f>
        <v/>
      </c>
      <c r="AA612" s="49">
        <f>IF(OR($AE612&lt;&gt;1,AA$1=""),"",SUMIFS('All Donations'!$S$2:$S$4001,'All Donations'!$R$2:$R$4001,$AD612,'All Donations'!$T$2:$T$4001,AA$1))</f>
        <v/>
      </c>
      <c r="AB612" s="49">
        <f>IF(OR($AE612&lt;&gt;1,AB$1=""),"",SUMIFS('All Donations'!$S$2:$S$4001,'All Donations'!$R$2:$R$4001,$AD612,'All Donations'!$T$2:$T$4001,AB$1))</f>
        <v/>
      </c>
      <c r="AC612" s="49">
        <f>IF(OR($AE612&lt;&gt;1,AC$1=""),"",SUMIFS('All Donations'!$S$2:$S$4001,'All Donations'!$R$2:$R$4001,$AD612,'All Donations'!$T$2:$T$4001,AC$1))</f>
        <v/>
      </c>
      <c r="AD612">
        <f>IF(AE612=1,'Roster'!A612,"")</f>
        <v/>
      </c>
      <c r="AE612">
        <f>IF(TRIM('Roster'!B612&amp;'Roster'!C612)&lt;&gt;"",1,0)</f>
        <v/>
      </c>
      <c r="AF612">
        <f>IF(AE612=1,LOWER(A612),"#")</f>
        <v/>
      </c>
      <c r="AG612">
        <f>IF(AE612=1,LOWER(TRIM(TRIM('Roster'!C612)&amp;", "&amp;TRIM('Roster'!B612))),"#")</f>
        <v/>
      </c>
      <c r="AH612">
        <f>IF(AND(AE612=1,TRIM('Roster'!F612)&lt;&gt;""),LOWER(TRIM('Roster'!F612)),"#")</f>
        <v/>
      </c>
      <c r="AI612">
        <f>IF(AE612=1,IF(MATCH(B612,$B$2:$B$701,0)=ROW()-1,1,0),0)</f>
        <v/>
      </c>
      <c r="AJ612">
        <f>AJ611+AI612</f>
        <v/>
      </c>
      <c r="AK612">
        <f>IF(AE612=1,D612+(1000-ROW())/10^7,-1)</f>
        <v/>
      </c>
      <c r="AL612">
        <f>IF(AE612=1,TRIM('Roster'!B612)&amp;" "&amp;LEFT(TRIM('Roster'!C612),1)&amp;".","")</f>
        <v/>
      </c>
      <c r="AM612">
        <f>IF(AE612=1,TRIM('Roster'!C612)&amp;", "&amp;TRIM('Roster'!B612)&amp;" ("&amp;B612&amp;") #"&amp;AD612,"")</f>
        <v/>
      </c>
      <c r="AN612">
        <f>IF(AE612=1,TRIM('Roster'!E612),"")</f>
        <v/>
      </c>
      <c r="AO612">
        <f>IF(AE612=1,ROUND(SUMIFS('All Donations'!$S$2:$S$4001,'All Donations'!$R$2:$R$4001,AD612,'All Donations'!$T$2:$T$4001,"&gt;="&amp;'Settings'!$C$23,'All Donations'!$T$2:$T$4001,"&lt;="&amp;'Settings'!$D$23),2),0)</f>
        <v/>
      </c>
      <c r="AQ612">
        <f>IF(AE612=1,ROUND(SUMIFS('All Donations'!$S$2:$S$4001,'All Donations'!$R$2:$R$4001,AD612,'All Donations'!$T$2:$T$4001,"&gt;="&amp;'Settings'!$C$25,'All Donations'!$T$2:$T$4001,"&lt;="&amp;'Settings'!$D$25),2),0)</f>
        <v/>
      </c>
      <c r="AR612">
        <f>IF(AE612=1,ROUND(SUMIFS('All Donations'!$S$2:$S$4001,'All Donations'!$R$2:$R$4001,AD612,'All Donations'!$T$2:$T$4001,"&gt;="&amp;'Settings'!$C$26,'All Donations'!$T$2:$T$4001,"&lt;="&amp;'Settings'!$D$26),2),0)</f>
        <v/>
      </c>
      <c r="AS612">
        <f>IF(AE612=1,ROUND(SUMIFS('All Donations'!$S$2:$S$4001,'All Donations'!$R$2:$R$4001,AD612,'All Donations'!$T$2:$T$4001,"&lt;="&amp;'Settings'!$D$27),2),0)</f>
        <v/>
      </c>
      <c r="AT612">
        <f>IF(AE612=1,ROUND(SUMIFS('All Donations'!$S$2:$S$4001,'All Donations'!$R$2:$R$4001,AD612,'All Donations'!$T$2:$T$4001,"&gt;="&amp;'Settings'!$C$28,'All Donations'!$T$2:$T$4001,"&lt;="&amp;'Settings'!$D$28),2),0)</f>
        <v/>
      </c>
      <c r="AU612">
        <f>IF(AE612=1,ROUND(SUMIFS('All Donations'!$S$2:$S$4001,'All Donations'!$R$2:$R$4001,AD612,'All Donations'!$T$2:$T$4001,"&gt;="&amp;'Settings'!$C$29,'All Donations'!$T$2:$T$4001,"&lt;="&amp;'Settings'!$D$29),2),0)</f>
        <v/>
      </c>
      <c r="AV612">
        <f>IF(AE612=1,ROUND(SUMIFS('All Donations'!$S$2:$S$4001,'All Donations'!$R$2:$R$4001,AD612,'All Donations'!$T$2:$T$4001,"&lt;="&amp;'Settings'!$D$30),2),0)</f>
        <v/>
      </c>
      <c r="AZ612">
        <f>IF(AE612=1,ROUND(SUMIFS('All Donations'!$S$2:$S$4001,'All Donations'!$R$2:$R$4001,AD612,'All Donations'!$T$2:$T$4001,"&lt;="&amp;'Settings'!$D$34),2),0)</f>
        <v/>
      </c>
    </row>
    <row r="613">
      <c r="A613">
        <f>IF(AE613=1,TRIM(TRIM('Roster'!B613)&amp;" "&amp;TRIM('Roster'!C613)),"")</f>
        <v/>
      </c>
      <c r="B613">
        <f>IF(AE613=1,IF(AN613="","(no teacher)",AN613&amp;" – "&amp;C613),"")</f>
        <v/>
      </c>
      <c r="C613">
        <f>IF(AE613=1,TRIM('Roster'!D613&amp;""),"")</f>
        <v/>
      </c>
      <c r="D613" s="48">
        <f>IF(AE613=1,ROUND(SUMIFS('All Donations'!$S$2:$S$4001,'All Donations'!$R$2:$R$4001,AD613),2),"")</f>
        <v/>
      </c>
      <c r="E613" s="48">
        <f>IF(AE613=1,ROUND(SUMIFS('All Donations'!$S$2:$S$4001,'All Donations'!$R$2:$R$4001,AD613,'All Donations'!$G$2:$G$4001,"OneCause"),2),"")</f>
        <v/>
      </c>
      <c r="F613" s="48">
        <f>IF(AE613=1,D613-E613,"")</f>
        <v/>
      </c>
      <c r="G613">
        <f>IF(AE613=1,COUNTIFS('All Donations'!$R$2:$R$4001,AD613,'All Donations'!$H$2:$H$4001,"OK"),"")</f>
        <v/>
      </c>
      <c r="H613">
        <f>IF(AE613&lt;&gt;1,"",IF(D613&gt;0,"Yes",""))</f>
        <v/>
      </c>
      <c r="I613" s="49">
        <f>IF(OR($AE613&lt;&gt;1,I$1=""),"",SUMIFS('All Donations'!$S$2:$S$4001,'All Donations'!$R$2:$R$4001,$AD613,'All Donations'!$T$2:$T$4001,I$1))</f>
        <v/>
      </c>
      <c r="J613" s="49">
        <f>IF(OR($AE613&lt;&gt;1,J$1=""),"",SUMIFS('All Donations'!$S$2:$S$4001,'All Donations'!$R$2:$R$4001,$AD613,'All Donations'!$T$2:$T$4001,J$1))</f>
        <v/>
      </c>
      <c r="K613" s="49">
        <f>IF(OR($AE613&lt;&gt;1,K$1=""),"",SUMIFS('All Donations'!$S$2:$S$4001,'All Donations'!$R$2:$R$4001,$AD613,'All Donations'!$T$2:$T$4001,K$1))</f>
        <v/>
      </c>
      <c r="L613" s="49">
        <f>IF(OR($AE613&lt;&gt;1,L$1=""),"",SUMIFS('All Donations'!$S$2:$S$4001,'All Donations'!$R$2:$R$4001,$AD613,'All Donations'!$T$2:$T$4001,L$1))</f>
        <v/>
      </c>
      <c r="M613" s="49">
        <f>IF(OR($AE613&lt;&gt;1,M$1=""),"",SUMIFS('All Donations'!$S$2:$S$4001,'All Donations'!$R$2:$R$4001,$AD613,'All Donations'!$T$2:$T$4001,M$1))</f>
        <v/>
      </c>
      <c r="N613" s="49">
        <f>IF(OR($AE613&lt;&gt;1,N$1=""),"",SUMIFS('All Donations'!$S$2:$S$4001,'All Donations'!$R$2:$R$4001,$AD613,'All Donations'!$T$2:$T$4001,N$1))</f>
        <v/>
      </c>
      <c r="O613" s="49">
        <f>IF(OR($AE613&lt;&gt;1,O$1=""),"",SUMIFS('All Donations'!$S$2:$S$4001,'All Donations'!$R$2:$R$4001,$AD613,'All Donations'!$T$2:$T$4001,O$1))</f>
        <v/>
      </c>
      <c r="P613" s="49">
        <f>IF(OR($AE613&lt;&gt;1,P$1=""),"",SUMIFS('All Donations'!$S$2:$S$4001,'All Donations'!$R$2:$R$4001,$AD613,'All Donations'!$T$2:$T$4001,P$1))</f>
        <v/>
      </c>
      <c r="Q613" s="49">
        <f>IF(OR($AE613&lt;&gt;1,Q$1=""),"",SUMIFS('All Donations'!$S$2:$S$4001,'All Donations'!$R$2:$R$4001,$AD613,'All Donations'!$T$2:$T$4001,Q$1))</f>
        <v/>
      </c>
      <c r="R613" s="49">
        <f>IF(OR($AE613&lt;&gt;1,R$1=""),"",SUMIFS('All Donations'!$S$2:$S$4001,'All Donations'!$R$2:$R$4001,$AD613,'All Donations'!$T$2:$T$4001,R$1))</f>
        <v/>
      </c>
      <c r="S613" s="49">
        <f>IF(OR($AE613&lt;&gt;1,S$1=""),"",SUMIFS('All Donations'!$S$2:$S$4001,'All Donations'!$R$2:$R$4001,$AD613,'All Donations'!$T$2:$T$4001,S$1))</f>
        <v/>
      </c>
      <c r="T613" s="49">
        <f>IF(OR($AE613&lt;&gt;1,T$1=""),"",SUMIFS('All Donations'!$S$2:$S$4001,'All Donations'!$R$2:$R$4001,$AD613,'All Donations'!$T$2:$T$4001,T$1))</f>
        <v/>
      </c>
      <c r="U613" s="49">
        <f>IF(OR($AE613&lt;&gt;1,U$1=""),"",SUMIFS('All Donations'!$S$2:$S$4001,'All Donations'!$R$2:$R$4001,$AD613,'All Donations'!$T$2:$T$4001,U$1))</f>
        <v/>
      </c>
      <c r="V613" s="49">
        <f>IF(OR($AE613&lt;&gt;1,V$1=""),"",SUMIFS('All Donations'!$S$2:$S$4001,'All Donations'!$R$2:$R$4001,$AD613,'All Donations'!$T$2:$T$4001,V$1))</f>
        <v/>
      </c>
      <c r="W613" s="49">
        <f>IF(OR($AE613&lt;&gt;1,W$1=""),"",SUMIFS('All Donations'!$S$2:$S$4001,'All Donations'!$R$2:$R$4001,$AD613,'All Donations'!$T$2:$T$4001,W$1))</f>
        <v/>
      </c>
      <c r="X613" s="49">
        <f>IF(OR($AE613&lt;&gt;1,X$1=""),"",SUMIFS('All Donations'!$S$2:$S$4001,'All Donations'!$R$2:$R$4001,$AD613,'All Donations'!$T$2:$T$4001,X$1))</f>
        <v/>
      </c>
      <c r="Y613" s="49">
        <f>IF(OR($AE613&lt;&gt;1,Y$1=""),"",SUMIFS('All Donations'!$S$2:$S$4001,'All Donations'!$R$2:$R$4001,$AD613,'All Donations'!$T$2:$T$4001,Y$1))</f>
        <v/>
      </c>
      <c r="Z613" s="49">
        <f>IF(OR($AE613&lt;&gt;1,Z$1=""),"",SUMIFS('All Donations'!$S$2:$S$4001,'All Donations'!$R$2:$R$4001,$AD613,'All Donations'!$T$2:$T$4001,Z$1))</f>
        <v/>
      </c>
      <c r="AA613" s="49">
        <f>IF(OR($AE613&lt;&gt;1,AA$1=""),"",SUMIFS('All Donations'!$S$2:$S$4001,'All Donations'!$R$2:$R$4001,$AD613,'All Donations'!$T$2:$T$4001,AA$1))</f>
        <v/>
      </c>
      <c r="AB613" s="49">
        <f>IF(OR($AE613&lt;&gt;1,AB$1=""),"",SUMIFS('All Donations'!$S$2:$S$4001,'All Donations'!$R$2:$R$4001,$AD613,'All Donations'!$T$2:$T$4001,AB$1))</f>
        <v/>
      </c>
      <c r="AC613" s="49">
        <f>IF(OR($AE613&lt;&gt;1,AC$1=""),"",SUMIFS('All Donations'!$S$2:$S$4001,'All Donations'!$R$2:$R$4001,$AD613,'All Donations'!$T$2:$T$4001,AC$1))</f>
        <v/>
      </c>
      <c r="AD613">
        <f>IF(AE613=1,'Roster'!A613,"")</f>
        <v/>
      </c>
      <c r="AE613">
        <f>IF(TRIM('Roster'!B613&amp;'Roster'!C613)&lt;&gt;"",1,0)</f>
        <v/>
      </c>
      <c r="AF613">
        <f>IF(AE613=1,LOWER(A613),"#")</f>
        <v/>
      </c>
      <c r="AG613">
        <f>IF(AE613=1,LOWER(TRIM(TRIM('Roster'!C613)&amp;", "&amp;TRIM('Roster'!B613))),"#")</f>
        <v/>
      </c>
      <c r="AH613">
        <f>IF(AND(AE613=1,TRIM('Roster'!F613)&lt;&gt;""),LOWER(TRIM('Roster'!F613)),"#")</f>
        <v/>
      </c>
      <c r="AI613">
        <f>IF(AE613=1,IF(MATCH(B613,$B$2:$B$701,0)=ROW()-1,1,0),0)</f>
        <v/>
      </c>
      <c r="AJ613">
        <f>AJ612+AI613</f>
        <v/>
      </c>
      <c r="AK613">
        <f>IF(AE613=1,D613+(1000-ROW())/10^7,-1)</f>
        <v/>
      </c>
      <c r="AL613">
        <f>IF(AE613=1,TRIM('Roster'!B613)&amp;" "&amp;LEFT(TRIM('Roster'!C613),1)&amp;".","")</f>
        <v/>
      </c>
      <c r="AM613">
        <f>IF(AE613=1,TRIM('Roster'!C613)&amp;", "&amp;TRIM('Roster'!B613)&amp;" ("&amp;B613&amp;") #"&amp;AD613,"")</f>
        <v/>
      </c>
      <c r="AN613">
        <f>IF(AE613=1,TRIM('Roster'!E613),"")</f>
        <v/>
      </c>
      <c r="AO613">
        <f>IF(AE613=1,ROUND(SUMIFS('All Donations'!$S$2:$S$4001,'All Donations'!$R$2:$R$4001,AD613,'All Donations'!$T$2:$T$4001,"&gt;="&amp;'Settings'!$C$23,'All Donations'!$T$2:$T$4001,"&lt;="&amp;'Settings'!$D$23),2),0)</f>
        <v/>
      </c>
      <c r="AQ613">
        <f>IF(AE613=1,ROUND(SUMIFS('All Donations'!$S$2:$S$4001,'All Donations'!$R$2:$R$4001,AD613,'All Donations'!$T$2:$T$4001,"&gt;="&amp;'Settings'!$C$25,'All Donations'!$T$2:$T$4001,"&lt;="&amp;'Settings'!$D$25),2),0)</f>
        <v/>
      </c>
      <c r="AR613">
        <f>IF(AE613=1,ROUND(SUMIFS('All Donations'!$S$2:$S$4001,'All Donations'!$R$2:$R$4001,AD613,'All Donations'!$T$2:$T$4001,"&gt;="&amp;'Settings'!$C$26,'All Donations'!$T$2:$T$4001,"&lt;="&amp;'Settings'!$D$26),2),0)</f>
        <v/>
      </c>
      <c r="AS613">
        <f>IF(AE613=1,ROUND(SUMIFS('All Donations'!$S$2:$S$4001,'All Donations'!$R$2:$R$4001,AD613,'All Donations'!$T$2:$T$4001,"&lt;="&amp;'Settings'!$D$27),2),0)</f>
        <v/>
      </c>
      <c r="AT613">
        <f>IF(AE613=1,ROUND(SUMIFS('All Donations'!$S$2:$S$4001,'All Donations'!$R$2:$R$4001,AD613,'All Donations'!$T$2:$T$4001,"&gt;="&amp;'Settings'!$C$28,'All Donations'!$T$2:$T$4001,"&lt;="&amp;'Settings'!$D$28),2),0)</f>
        <v/>
      </c>
      <c r="AU613">
        <f>IF(AE613=1,ROUND(SUMIFS('All Donations'!$S$2:$S$4001,'All Donations'!$R$2:$R$4001,AD613,'All Donations'!$T$2:$T$4001,"&gt;="&amp;'Settings'!$C$29,'All Donations'!$T$2:$T$4001,"&lt;="&amp;'Settings'!$D$29),2),0)</f>
        <v/>
      </c>
      <c r="AV613">
        <f>IF(AE613=1,ROUND(SUMIFS('All Donations'!$S$2:$S$4001,'All Donations'!$R$2:$R$4001,AD613,'All Donations'!$T$2:$T$4001,"&lt;="&amp;'Settings'!$D$30),2),0)</f>
        <v/>
      </c>
      <c r="AZ613">
        <f>IF(AE613=1,ROUND(SUMIFS('All Donations'!$S$2:$S$4001,'All Donations'!$R$2:$R$4001,AD613,'All Donations'!$T$2:$T$4001,"&lt;="&amp;'Settings'!$D$34),2),0)</f>
        <v/>
      </c>
    </row>
    <row r="614">
      <c r="A614">
        <f>IF(AE614=1,TRIM(TRIM('Roster'!B614)&amp;" "&amp;TRIM('Roster'!C614)),"")</f>
        <v/>
      </c>
      <c r="B614">
        <f>IF(AE614=1,IF(AN614="","(no teacher)",AN614&amp;" – "&amp;C614),"")</f>
        <v/>
      </c>
      <c r="C614">
        <f>IF(AE614=1,TRIM('Roster'!D614&amp;""),"")</f>
        <v/>
      </c>
      <c r="D614" s="48">
        <f>IF(AE614=1,ROUND(SUMIFS('All Donations'!$S$2:$S$4001,'All Donations'!$R$2:$R$4001,AD614),2),"")</f>
        <v/>
      </c>
      <c r="E614" s="48">
        <f>IF(AE614=1,ROUND(SUMIFS('All Donations'!$S$2:$S$4001,'All Donations'!$R$2:$R$4001,AD614,'All Donations'!$G$2:$G$4001,"OneCause"),2),"")</f>
        <v/>
      </c>
      <c r="F614" s="48">
        <f>IF(AE614=1,D614-E614,"")</f>
        <v/>
      </c>
      <c r="G614">
        <f>IF(AE614=1,COUNTIFS('All Donations'!$R$2:$R$4001,AD614,'All Donations'!$H$2:$H$4001,"OK"),"")</f>
        <v/>
      </c>
      <c r="H614">
        <f>IF(AE614&lt;&gt;1,"",IF(D614&gt;0,"Yes",""))</f>
        <v/>
      </c>
      <c r="I614" s="49">
        <f>IF(OR($AE614&lt;&gt;1,I$1=""),"",SUMIFS('All Donations'!$S$2:$S$4001,'All Donations'!$R$2:$R$4001,$AD614,'All Donations'!$T$2:$T$4001,I$1))</f>
        <v/>
      </c>
      <c r="J614" s="49">
        <f>IF(OR($AE614&lt;&gt;1,J$1=""),"",SUMIFS('All Donations'!$S$2:$S$4001,'All Donations'!$R$2:$R$4001,$AD614,'All Donations'!$T$2:$T$4001,J$1))</f>
        <v/>
      </c>
      <c r="K614" s="49">
        <f>IF(OR($AE614&lt;&gt;1,K$1=""),"",SUMIFS('All Donations'!$S$2:$S$4001,'All Donations'!$R$2:$R$4001,$AD614,'All Donations'!$T$2:$T$4001,K$1))</f>
        <v/>
      </c>
      <c r="L614" s="49">
        <f>IF(OR($AE614&lt;&gt;1,L$1=""),"",SUMIFS('All Donations'!$S$2:$S$4001,'All Donations'!$R$2:$R$4001,$AD614,'All Donations'!$T$2:$T$4001,L$1))</f>
        <v/>
      </c>
      <c r="M614" s="49">
        <f>IF(OR($AE614&lt;&gt;1,M$1=""),"",SUMIFS('All Donations'!$S$2:$S$4001,'All Donations'!$R$2:$R$4001,$AD614,'All Donations'!$T$2:$T$4001,M$1))</f>
        <v/>
      </c>
      <c r="N614" s="49">
        <f>IF(OR($AE614&lt;&gt;1,N$1=""),"",SUMIFS('All Donations'!$S$2:$S$4001,'All Donations'!$R$2:$R$4001,$AD614,'All Donations'!$T$2:$T$4001,N$1))</f>
        <v/>
      </c>
      <c r="O614" s="49">
        <f>IF(OR($AE614&lt;&gt;1,O$1=""),"",SUMIFS('All Donations'!$S$2:$S$4001,'All Donations'!$R$2:$R$4001,$AD614,'All Donations'!$T$2:$T$4001,O$1))</f>
        <v/>
      </c>
      <c r="P614" s="49">
        <f>IF(OR($AE614&lt;&gt;1,P$1=""),"",SUMIFS('All Donations'!$S$2:$S$4001,'All Donations'!$R$2:$R$4001,$AD614,'All Donations'!$T$2:$T$4001,P$1))</f>
        <v/>
      </c>
      <c r="Q614" s="49">
        <f>IF(OR($AE614&lt;&gt;1,Q$1=""),"",SUMIFS('All Donations'!$S$2:$S$4001,'All Donations'!$R$2:$R$4001,$AD614,'All Donations'!$T$2:$T$4001,Q$1))</f>
        <v/>
      </c>
      <c r="R614" s="49">
        <f>IF(OR($AE614&lt;&gt;1,R$1=""),"",SUMIFS('All Donations'!$S$2:$S$4001,'All Donations'!$R$2:$R$4001,$AD614,'All Donations'!$T$2:$T$4001,R$1))</f>
        <v/>
      </c>
      <c r="S614" s="49">
        <f>IF(OR($AE614&lt;&gt;1,S$1=""),"",SUMIFS('All Donations'!$S$2:$S$4001,'All Donations'!$R$2:$R$4001,$AD614,'All Donations'!$T$2:$T$4001,S$1))</f>
        <v/>
      </c>
      <c r="T614" s="49">
        <f>IF(OR($AE614&lt;&gt;1,T$1=""),"",SUMIFS('All Donations'!$S$2:$S$4001,'All Donations'!$R$2:$R$4001,$AD614,'All Donations'!$T$2:$T$4001,T$1))</f>
        <v/>
      </c>
      <c r="U614" s="49">
        <f>IF(OR($AE614&lt;&gt;1,U$1=""),"",SUMIFS('All Donations'!$S$2:$S$4001,'All Donations'!$R$2:$R$4001,$AD614,'All Donations'!$T$2:$T$4001,U$1))</f>
        <v/>
      </c>
      <c r="V614" s="49">
        <f>IF(OR($AE614&lt;&gt;1,V$1=""),"",SUMIFS('All Donations'!$S$2:$S$4001,'All Donations'!$R$2:$R$4001,$AD614,'All Donations'!$T$2:$T$4001,V$1))</f>
        <v/>
      </c>
      <c r="W614" s="49">
        <f>IF(OR($AE614&lt;&gt;1,W$1=""),"",SUMIFS('All Donations'!$S$2:$S$4001,'All Donations'!$R$2:$R$4001,$AD614,'All Donations'!$T$2:$T$4001,W$1))</f>
        <v/>
      </c>
      <c r="X614" s="49">
        <f>IF(OR($AE614&lt;&gt;1,X$1=""),"",SUMIFS('All Donations'!$S$2:$S$4001,'All Donations'!$R$2:$R$4001,$AD614,'All Donations'!$T$2:$T$4001,X$1))</f>
        <v/>
      </c>
      <c r="Y614" s="49">
        <f>IF(OR($AE614&lt;&gt;1,Y$1=""),"",SUMIFS('All Donations'!$S$2:$S$4001,'All Donations'!$R$2:$R$4001,$AD614,'All Donations'!$T$2:$T$4001,Y$1))</f>
        <v/>
      </c>
      <c r="Z614" s="49">
        <f>IF(OR($AE614&lt;&gt;1,Z$1=""),"",SUMIFS('All Donations'!$S$2:$S$4001,'All Donations'!$R$2:$R$4001,$AD614,'All Donations'!$T$2:$T$4001,Z$1))</f>
        <v/>
      </c>
      <c r="AA614" s="49">
        <f>IF(OR($AE614&lt;&gt;1,AA$1=""),"",SUMIFS('All Donations'!$S$2:$S$4001,'All Donations'!$R$2:$R$4001,$AD614,'All Donations'!$T$2:$T$4001,AA$1))</f>
        <v/>
      </c>
      <c r="AB614" s="49">
        <f>IF(OR($AE614&lt;&gt;1,AB$1=""),"",SUMIFS('All Donations'!$S$2:$S$4001,'All Donations'!$R$2:$R$4001,$AD614,'All Donations'!$T$2:$T$4001,AB$1))</f>
        <v/>
      </c>
      <c r="AC614" s="49">
        <f>IF(OR($AE614&lt;&gt;1,AC$1=""),"",SUMIFS('All Donations'!$S$2:$S$4001,'All Donations'!$R$2:$R$4001,$AD614,'All Donations'!$T$2:$T$4001,AC$1))</f>
        <v/>
      </c>
      <c r="AD614">
        <f>IF(AE614=1,'Roster'!A614,"")</f>
        <v/>
      </c>
      <c r="AE614">
        <f>IF(TRIM('Roster'!B614&amp;'Roster'!C614)&lt;&gt;"",1,0)</f>
        <v/>
      </c>
      <c r="AF614">
        <f>IF(AE614=1,LOWER(A614),"#")</f>
        <v/>
      </c>
      <c r="AG614">
        <f>IF(AE614=1,LOWER(TRIM(TRIM('Roster'!C614)&amp;", "&amp;TRIM('Roster'!B614))),"#")</f>
        <v/>
      </c>
      <c r="AH614">
        <f>IF(AND(AE614=1,TRIM('Roster'!F614)&lt;&gt;""),LOWER(TRIM('Roster'!F614)),"#")</f>
        <v/>
      </c>
      <c r="AI614">
        <f>IF(AE614=1,IF(MATCH(B614,$B$2:$B$701,0)=ROW()-1,1,0),0)</f>
        <v/>
      </c>
      <c r="AJ614">
        <f>AJ613+AI614</f>
        <v/>
      </c>
      <c r="AK614">
        <f>IF(AE614=1,D614+(1000-ROW())/10^7,-1)</f>
        <v/>
      </c>
      <c r="AL614">
        <f>IF(AE614=1,TRIM('Roster'!B614)&amp;" "&amp;LEFT(TRIM('Roster'!C614),1)&amp;".","")</f>
        <v/>
      </c>
      <c r="AM614">
        <f>IF(AE614=1,TRIM('Roster'!C614)&amp;", "&amp;TRIM('Roster'!B614)&amp;" ("&amp;B614&amp;") #"&amp;AD614,"")</f>
        <v/>
      </c>
      <c r="AN614">
        <f>IF(AE614=1,TRIM('Roster'!E614),"")</f>
        <v/>
      </c>
      <c r="AO614">
        <f>IF(AE614=1,ROUND(SUMIFS('All Donations'!$S$2:$S$4001,'All Donations'!$R$2:$R$4001,AD614,'All Donations'!$T$2:$T$4001,"&gt;="&amp;'Settings'!$C$23,'All Donations'!$T$2:$T$4001,"&lt;="&amp;'Settings'!$D$23),2),0)</f>
        <v/>
      </c>
      <c r="AQ614">
        <f>IF(AE614=1,ROUND(SUMIFS('All Donations'!$S$2:$S$4001,'All Donations'!$R$2:$R$4001,AD614,'All Donations'!$T$2:$T$4001,"&gt;="&amp;'Settings'!$C$25,'All Donations'!$T$2:$T$4001,"&lt;="&amp;'Settings'!$D$25),2),0)</f>
        <v/>
      </c>
      <c r="AR614">
        <f>IF(AE614=1,ROUND(SUMIFS('All Donations'!$S$2:$S$4001,'All Donations'!$R$2:$R$4001,AD614,'All Donations'!$T$2:$T$4001,"&gt;="&amp;'Settings'!$C$26,'All Donations'!$T$2:$T$4001,"&lt;="&amp;'Settings'!$D$26),2),0)</f>
        <v/>
      </c>
      <c r="AS614">
        <f>IF(AE614=1,ROUND(SUMIFS('All Donations'!$S$2:$S$4001,'All Donations'!$R$2:$R$4001,AD614,'All Donations'!$T$2:$T$4001,"&lt;="&amp;'Settings'!$D$27),2),0)</f>
        <v/>
      </c>
      <c r="AT614">
        <f>IF(AE614=1,ROUND(SUMIFS('All Donations'!$S$2:$S$4001,'All Donations'!$R$2:$R$4001,AD614,'All Donations'!$T$2:$T$4001,"&gt;="&amp;'Settings'!$C$28,'All Donations'!$T$2:$T$4001,"&lt;="&amp;'Settings'!$D$28),2),0)</f>
        <v/>
      </c>
      <c r="AU614">
        <f>IF(AE614=1,ROUND(SUMIFS('All Donations'!$S$2:$S$4001,'All Donations'!$R$2:$R$4001,AD614,'All Donations'!$T$2:$T$4001,"&gt;="&amp;'Settings'!$C$29,'All Donations'!$T$2:$T$4001,"&lt;="&amp;'Settings'!$D$29),2),0)</f>
        <v/>
      </c>
      <c r="AV614">
        <f>IF(AE614=1,ROUND(SUMIFS('All Donations'!$S$2:$S$4001,'All Donations'!$R$2:$R$4001,AD614,'All Donations'!$T$2:$T$4001,"&lt;="&amp;'Settings'!$D$30),2),0)</f>
        <v/>
      </c>
      <c r="AZ614">
        <f>IF(AE614=1,ROUND(SUMIFS('All Donations'!$S$2:$S$4001,'All Donations'!$R$2:$R$4001,AD614,'All Donations'!$T$2:$T$4001,"&lt;="&amp;'Settings'!$D$34),2),0)</f>
        <v/>
      </c>
    </row>
    <row r="615">
      <c r="A615">
        <f>IF(AE615=1,TRIM(TRIM('Roster'!B615)&amp;" "&amp;TRIM('Roster'!C615)),"")</f>
        <v/>
      </c>
      <c r="B615">
        <f>IF(AE615=1,IF(AN615="","(no teacher)",AN615&amp;" – "&amp;C615),"")</f>
        <v/>
      </c>
      <c r="C615">
        <f>IF(AE615=1,TRIM('Roster'!D615&amp;""),"")</f>
        <v/>
      </c>
      <c r="D615" s="48">
        <f>IF(AE615=1,ROUND(SUMIFS('All Donations'!$S$2:$S$4001,'All Donations'!$R$2:$R$4001,AD615),2),"")</f>
        <v/>
      </c>
      <c r="E615" s="48">
        <f>IF(AE615=1,ROUND(SUMIFS('All Donations'!$S$2:$S$4001,'All Donations'!$R$2:$R$4001,AD615,'All Donations'!$G$2:$G$4001,"OneCause"),2),"")</f>
        <v/>
      </c>
      <c r="F615" s="48">
        <f>IF(AE615=1,D615-E615,"")</f>
        <v/>
      </c>
      <c r="G615">
        <f>IF(AE615=1,COUNTIFS('All Donations'!$R$2:$R$4001,AD615,'All Donations'!$H$2:$H$4001,"OK"),"")</f>
        <v/>
      </c>
      <c r="H615">
        <f>IF(AE615&lt;&gt;1,"",IF(D615&gt;0,"Yes",""))</f>
        <v/>
      </c>
      <c r="I615" s="49">
        <f>IF(OR($AE615&lt;&gt;1,I$1=""),"",SUMIFS('All Donations'!$S$2:$S$4001,'All Donations'!$R$2:$R$4001,$AD615,'All Donations'!$T$2:$T$4001,I$1))</f>
        <v/>
      </c>
      <c r="J615" s="49">
        <f>IF(OR($AE615&lt;&gt;1,J$1=""),"",SUMIFS('All Donations'!$S$2:$S$4001,'All Donations'!$R$2:$R$4001,$AD615,'All Donations'!$T$2:$T$4001,J$1))</f>
        <v/>
      </c>
      <c r="K615" s="49">
        <f>IF(OR($AE615&lt;&gt;1,K$1=""),"",SUMIFS('All Donations'!$S$2:$S$4001,'All Donations'!$R$2:$R$4001,$AD615,'All Donations'!$T$2:$T$4001,K$1))</f>
        <v/>
      </c>
      <c r="L615" s="49">
        <f>IF(OR($AE615&lt;&gt;1,L$1=""),"",SUMIFS('All Donations'!$S$2:$S$4001,'All Donations'!$R$2:$R$4001,$AD615,'All Donations'!$T$2:$T$4001,L$1))</f>
        <v/>
      </c>
      <c r="M615" s="49">
        <f>IF(OR($AE615&lt;&gt;1,M$1=""),"",SUMIFS('All Donations'!$S$2:$S$4001,'All Donations'!$R$2:$R$4001,$AD615,'All Donations'!$T$2:$T$4001,M$1))</f>
        <v/>
      </c>
      <c r="N615" s="49">
        <f>IF(OR($AE615&lt;&gt;1,N$1=""),"",SUMIFS('All Donations'!$S$2:$S$4001,'All Donations'!$R$2:$R$4001,$AD615,'All Donations'!$T$2:$T$4001,N$1))</f>
        <v/>
      </c>
      <c r="O615" s="49">
        <f>IF(OR($AE615&lt;&gt;1,O$1=""),"",SUMIFS('All Donations'!$S$2:$S$4001,'All Donations'!$R$2:$R$4001,$AD615,'All Donations'!$T$2:$T$4001,O$1))</f>
        <v/>
      </c>
      <c r="P615" s="49">
        <f>IF(OR($AE615&lt;&gt;1,P$1=""),"",SUMIFS('All Donations'!$S$2:$S$4001,'All Donations'!$R$2:$R$4001,$AD615,'All Donations'!$T$2:$T$4001,P$1))</f>
        <v/>
      </c>
      <c r="Q615" s="49">
        <f>IF(OR($AE615&lt;&gt;1,Q$1=""),"",SUMIFS('All Donations'!$S$2:$S$4001,'All Donations'!$R$2:$R$4001,$AD615,'All Donations'!$T$2:$T$4001,Q$1))</f>
        <v/>
      </c>
      <c r="R615" s="49">
        <f>IF(OR($AE615&lt;&gt;1,R$1=""),"",SUMIFS('All Donations'!$S$2:$S$4001,'All Donations'!$R$2:$R$4001,$AD615,'All Donations'!$T$2:$T$4001,R$1))</f>
        <v/>
      </c>
      <c r="S615" s="49">
        <f>IF(OR($AE615&lt;&gt;1,S$1=""),"",SUMIFS('All Donations'!$S$2:$S$4001,'All Donations'!$R$2:$R$4001,$AD615,'All Donations'!$T$2:$T$4001,S$1))</f>
        <v/>
      </c>
      <c r="T615" s="49">
        <f>IF(OR($AE615&lt;&gt;1,T$1=""),"",SUMIFS('All Donations'!$S$2:$S$4001,'All Donations'!$R$2:$R$4001,$AD615,'All Donations'!$T$2:$T$4001,T$1))</f>
        <v/>
      </c>
      <c r="U615" s="49">
        <f>IF(OR($AE615&lt;&gt;1,U$1=""),"",SUMIFS('All Donations'!$S$2:$S$4001,'All Donations'!$R$2:$R$4001,$AD615,'All Donations'!$T$2:$T$4001,U$1))</f>
        <v/>
      </c>
      <c r="V615" s="49">
        <f>IF(OR($AE615&lt;&gt;1,V$1=""),"",SUMIFS('All Donations'!$S$2:$S$4001,'All Donations'!$R$2:$R$4001,$AD615,'All Donations'!$T$2:$T$4001,V$1))</f>
        <v/>
      </c>
      <c r="W615" s="49">
        <f>IF(OR($AE615&lt;&gt;1,W$1=""),"",SUMIFS('All Donations'!$S$2:$S$4001,'All Donations'!$R$2:$R$4001,$AD615,'All Donations'!$T$2:$T$4001,W$1))</f>
        <v/>
      </c>
      <c r="X615" s="49">
        <f>IF(OR($AE615&lt;&gt;1,X$1=""),"",SUMIFS('All Donations'!$S$2:$S$4001,'All Donations'!$R$2:$R$4001,$AD615,'All Donations'!$T$2:$T$4001,X$1))</f>
        <v/>
      </c>
      <c r="Y615" s="49">
        <f>IF(OR($AE615&lt;&gt;1,Y$1=""),"",SUMIFS('All Donations'!$S$2:$S$4001,'All Donations'!$R$2:$R$4001,$AD615,'All Donations'!$T$2:$T$4001,Y$1))</f>
        <v/>
      </c>
      <c r="Z615" s="49">
        <f>IF(OR($AE615&lt;&gt;1,Z$1=""),"",SUMIFS('All Donations'!$S$2:$S$4001,'All Donations'!$R$2:$R$4001,$AD615,'All Donations'!$T$2:$T$4001,Z$1))</f>
        <v/>
      </c>
      <c r="AA615" s="49">
        <f>IF(OR($AE615&lt;&gt;1,AA$1=""),"",SUMIFS('All Donations'!$S$2:$S$4001,'All Donations'!$R$2:$R$4001,$AD615,'All Donations'!$T$2:$T$4001,AA$1))</f>
        <v/>
      </c>
      <c r="AB615" s="49">
        <f>IF(OR($AE615&lt;&gt;1,AB$1=""),"",SUMIFS('All Donations'!$S$2:$S$4001,'All Donations'!$R$2:$R$4001,$AD615,'All Donations'!$T$2:$T$4001,AB$1))</f>
        <v/>
      </c>
      <c r="AC615" s="49">
        <f>IF(OR($AE615&lt;&gt;1,AC$1=""),"",SUMIFS('All Donations'!$S$2:$S$4001,'All Donations'!$R$2:$R$4001,$AD615,'All Donations'!$T$2:$T$4001,AC$1))</f>
        <v/>
      </c>
      <c r="AD615">
        <f>IF(AE615=1,'Roster'!A615,"")</f>
        <v/>
      </c>
      <c r="AE615">
        <f>IF(TRIM('Roster'!B615&amp;'Roster'!C615)&lt;&gt;"",1,0)</f>
        <v/>
      </c>
      <c r="AF615">
        <f>IF(AE615=1,LOWER(A615),"#")</f>
        <v/>
      </c>
      <c r="AG615">
        <f>IF(AE615=1,LOWER(TRIM(TRIM('Roster'!C615)&amp;", "&amp;TRIM('Roster'!B615))),"#")</f>
        <v/>
      </c>
      <c r="AH615">
        <f>IF(AND(AE615=1,TRIM('Roster'!F615)&lt;&gt;""),LOWER(TRIM('Roster'!F615)),"#")</f>
        <v/>
      </c>
      <c r="AI615">
        <f>IF(AE615=1,IF(MATCH(B615,$B$2:$B$701,0)=ROW()-1,1,0),0)</f>
        <v/>
      </c>
      <c r="AJ615">
        <f>AJ614+AI615</f>
        <v/>
      </c>
      <c r="AK615">
        <f>IF(AE615=1,D615+(1000-ROW())/10^7,-1)</f>
        <v/>
      </c>
      <c r="AL615">
        <f>IF(AE615=1,TRIM('Roster'!B615)&amp;" "&amp;LEFT(TRIM('Roster'!C615),1)&amp;".","")</f>
        <v/>
      </c>
      <c r="AM615">
        <f>IF(AE615=1,TRIM('Roster'!C615)&amp;", "&amp;TRIM('Roster'!B615)&amp;" ("&amp;B615&amp;") #"&amp;AD615,"")</f>
        <v/>
      </c>
      <c r="AN615">
        <f>IF(AE615=1,TRIM('Roster'!E615),"")</f>
        <v/>
      </c>
      <c r="AO615">
        <f>IF(AE615=1,ROUND(SUMIFS('All Donations'!$S$2:$S$4001,'All Donations'!$R$2:$R$4001,AD615,'All Donations'!$T$2:$T$4001,"&gt;="&amp;'Settings'!$C$23,'All Donations'!$T$2:$T$4001,"&lt;="&amp;'Settings'!$D$23),2),0)</f>
        <v/>
      </c>
      <c r="AQ615">
        <f>IF(AE615=1,ROUND(SUMIFS('All Donations'!$S$2:$S$4001,'All Donations'!$R$2:$R$4001,AD615,'All Donations'!$T$2:$T$4001,"&gt;="&amp;'Settings'!$C$25,'All Donations'!$T$2:$T$4001,"&lt;="&amp;'Settings'!$D$25),2),0)</f>
        <v/>
      </c>
      <c r="AR615">
        <f>IF(AE615=1,ROUND(SUMIFS('All Donations'!$S$2:$S$4001,'All Donations'!$R$2:$R$4001,AD615,'All Donations'!$T$2:$T$4001,"&gt;="&amp;'Settings'!$C$26,'All Donations'!$T$2:$T$4001,"&lt;="&amp;'Settings'!$D$26),2),0)</f>
        <v/>
      </c>
      <c r="AS615">
        <f>IF(AE615=1,ROUND(SUMIFS('All Donations'!$S$2:$S$4001,'All Donations'!$R$2:$R$4001,AD615,'All Donations'!$T$2:$T$4001,"&lt;="&amp;'Settings'!$D$27),2),0)</f>
        <v/>
      </c>
      <c r="AT615">
        <f>IF(AE615=1,ROUND(SUMIFS('All Donations'!$S$2:$S$4001,'All Donations'!$R$2:$R$4001,AD615,'All Donations'!$T$2:$T$4001,"&gt;="&amp;'Settings'!$C$28,'All Donations'!$T$2:$T$4001,"&lt;="&amp;'Settings'!$D$28),2),0)</f>
        <v/>
      </c>
      <c r="AU615">
        <f>IF(AE615=1,ROUND(SUMIFS('All Donations'!$S$2:$S$4001,'All Donations'!$R$2:$R$4001,AD615,'All Donations'!$T$2:$T$4001,"&gt;="&amp;'Settings'!$C$29,'All Donations'!$T$2:$T$4001,"&lt;="&amp;'Settings'!$D$29),2),0)</f>
        <v/>
      </c>
      <c r="AV615">
        <f>IF(AE615=1,ROUND(SUMIFS('All Donations'!$S$2:$S$4001,'All Donations'!$R$2:$R$4001,AD615,'All Donations'!$T$2:$T$4001,"&lt;="&amp;'Settings'!$D$30),2),0)</f>
        <v/>
      </c>
      <c r="AZ615">
        <f>IF(AE615=1,ROUND(SUMIFS('All Donations'!$S$2:$S$4001,'All Donations'!$R$2:$R$4001,AD615,'All Donations'!$T$2:$T$4001,"&lt;="&amp;'Settings'!$D$34),2),0)</f>
        <v/>
      </c>
    </row>
    <row r="616">
      <c r="A616">
        <f>IF(AE616=1,TRIM(TRIM('Roster'!B616)&amp;" "&amp;TRIM('Roster'!C616)),"")</f>
        <v/>
      </c>
      <c r="B616">
        <f>IF(AE616=1,IF(AN616="","(no teacher)",AN616&amp;" – "&amp;C616),"")</f>
        <v/>
      </c>
      <c r="C616">
        <f>IF(AE616=1,TRIM('Roster'!D616&amp;""),"")</f>
        <v/>
      </c>
      <c r="D616" s="48">
        <f>IF(AE616=1,ROUND(SUMIFS('All Donations'!$S$2:$S$4001,'All Donations'!$R$2:$R$4001,AD616),2),"")</f>
        <v/>
      </c>
      <c r="E616" s="48">
        <f>IF(AE616=1,ROUND(SUMIFS('All Donations'!$S$2:$S$4001,'All Donations'!$R$2:$R$4001,AD616,'All Donations'!$G$2:$G$4001,"OneCause"),2),"")</f>
        <v/>
      </c>
      <c r="F616" s="48">
        <f>IF(AE616=1,D616-E616,"")</f>
        <v/>
      </c>
      <c r="G616">
        <f>IF(AE616=1,COUNTIFS('All Donations'!$R$2:$R$4001,AD616,'All Donations'!$H$2:$H$4001,"OK"),"")</f>
        <v/>
      </c>
      <c r="H616">
        <f>IF(AE616&lt;&gt;1,"",IF(D616&gt;0,"Yes",""))</f>
        <v/>
      </c>
      <c r="I616" s="49">
        <f>IF(OR($AE616&lt;&gt;1,I$1=""),"",SUMIFS('All Donations'!$S$2:$S$4001,'All Donations'!$R$2:$R$4001,$AD616,'All Donations'!$T$2:$T$4001,I$1))</f>
        <v/>
      </c>
      <c r="J616" s="49">
        <f>IF(OR($AE616&lt;&gt;1,J$1=""),"",SUMIFS('All Donations'!$S$2:$S$4001,'All Donations'!$R$2:$R$4001,$AD616,'All Donations'!$T$2:$T$4001,J$1))</f>
        <v/>
      </c>
      <c r="K616" s="49">
        <f>IF(OR($AE616&lt;&gt;1,K$1=""),"",SUMIFS('All Donations'!$S$2:$S$4001,'All Donations'!$R$2:$R$4001,$AD616,'All Donations'!$T$2:$T$4001,K$1))</f>
        <v/>
      </c>
      <c r="L616" s="49">
        <f>IF(OR($AE616&lt;&gt;1,L$1=""),"",SUMIFS('All Donations'!$S$2:$S$4001,'All Donations'!$R$2:$R$4001,$AD616,'All Donations'!$T$2:$T$4001,L$1))</f>
        <v/>
      </c>
      <c r="M616" s="49">
        <f>IF(OR($AE616&lt;&gt;1,M$1=""),"",SUMIFS('All Donations'!$S$2:$S$4001,'All Donations'!$R$2:$R$4001,$AD616,'All Donations'!$T$2:$T$4001,M$1))</f>
        <v/>
      </c>
      <c r="N616" s="49">
        <f>IF(OR($AE616&lt;&gt;1,N$1=""),"",SUMIFS('All Donations'!$S$2:$S$4001,'All Donations'!$R$2:$R$4001,$AD616,'All Donations'!$T$2:$T$4001,N$1))</f>
        <v/>
      </c>
      <c r="O616" s="49">
        <f>IF(OR($AE616&lt;&gt;1,O$1=""),"",SUMIFS('All Donations'!$S$2:$S$4001,'All Donations'!$R$2:$R$4001,$AD616,'All Donations'!$T$2:$T$4001,O$1))</f>
        <v/>
      </c>
      <c r="P616" s="49">
        <f>IF(OR($AE616&lt;&gt;1,P$1=""),"",SUMIFS('All Donations'!$S$2:$S$4001,'All Donations'!$R$2:$R$4001,$AD616,'All Donations'!$T$2:$T$4001,P$1))</f>
        <v/>
      </c>
      <c r="Q616" s="49">
        <f>IF(OR($AE616&lt;&gt;1,Q$1=""),"",SUMIFS('All Donations'!$S$2:$S$4001,'All Donations'!$R$2:$R$4001,$AD616,'All Donations'!$T$2:$T$4001,Q$1))</f>
        <v/>
      </c>
      <c r="R616" s="49">
        <f>IF(OR($AE616&lt;&gt;1,R$1=""),"",SUMIFS('All Donations'!$S$2:$S$4001,'All Donations'!$R$2:$R$4001,$AD616,'All Donations'!$T$2:$T$4001,R$1))</f>
        <v/>
      </c>
      <c r="S616" s="49">
        <f>IF(OR($AE616&lt;&gt;1,S$1=""),"",SUMIFS('All Donations'!$S$2:$S$4001,'All Donations'!$R$2:$R$4001,$AD616,'All Donations'!$T$2:$T$4001,S$1))</f>
        <v/>
      </c>
      <c r="T616" s="49">
        <f>IF(OR($AE616&lt;&gt;1,T$1=""),"",SUMIFS('All Donations'!$S$2:$S$4001,'All Donations'!$R$2:$R$4001,$AD616,'All Donations'!$T$2:$T$4001,T$1))</f>
        <v/>
      </c>
      <c r="U616" s="49">
        <f>IF(OR($AE616&lt;&gt;1,U$1=""),"",SUMIFS('All Donations'!$S$2:$S$4001,'All Donations'!$R$2:$R$4001,$AD616,'All Donations'!$T$2:$T$4001,U$1))</f>
        <v/>
      </c>
      <c r="V616" s="49">
        <f>IF(OR($AE616&lt;&gt;1,V$1=""),"",SUMIFS('All Donations'!$S$2:$S$4001,'All Donations'!$R$2:$R$4001,$AD616,'All Donations'!$T$2:$T$4001,V$1))</f>
        <v/>
      </c>
      <c r="W616" s="49">
        <f>IF(OR($AE616&lt;&gt;1,W$1=""),"",SUMIFS('All Donations'!$S$2:$S$4001,'All Donations'!$R$2:$R$4001,$AD616,'All Donations'!$T$2:$T$4001,W$1))</f>
        <v/>
      </c>
      <c r="X616" s="49">
        <f>IF(OR($AE616&lt;&gt;1,X$1=""),"",SUMIFS('All Donations'!$S$2:$S$4001,'All Donations'!$R$2:$R$4001,$AD616,'All Donations'!$T$2:$T$4001,X$1))</f>
        <v/>
      </c>
      <c r="Y616" s="49">
        <f>IF(OR($AE616&lt;&gt;1,Y$1=""),"",SUMIFS('All Donations'!$S$2:$S$4001,'All Donations'!$R$2:$R$4001,$AD616,'All Donations'!$T$2:$T$4001,Y$1))</f>
        <v/>
      </c>
      <c r="Z616" s="49">
        <f>IF(OR($AE616&lt;&gt;1,Z$1=""),"",SUMIFS('All Donations'!$S$2:$S$4001,'All Donations'!$R$2:$R$4001,$AD616,'All Donations'!$T$2:$T$4001,Z$1))</f>
        <v/>
      </c>
      <c r="AA616" s="49">
        <f>IF(OR($AE616&lt;&gt;1,AA$1=""),"",SUMIFS('All Donations'!$S$2:$S$4001,'All Donations'!$R$2:$R$4001,$AD616,'All Donations'!$T$2:$T$4001,AA$1))</f>
        <v/>
      </c>
      <c r="AB616" s="49">
        <f>IF(OR($AE616&lt;&gt;1,AB$1=""),"",SUMIFS('All Donations'!$S$2:$S$4001,'All Donations'!$R$2:$R$4001,$AD616,'All Donations'!$T$2:$T$4001,AB$1))</f>
        <v/>
      </c>
      <c r="AC616" s="49">
        <f>IF(OR($AE616&lt;&gt;1,AC$1=""),"",SUMIFS('All Donations'!$S$2:$S$4001,'All Donations'!$R$2:$R$4001,$AD616,'All Donations'!$T$2:$T$4001,AC$1))</f>
        <v/>
      </c>
      <c r="AD616">
        <f>IF(AE616=1,'Roster'!A616,"")</f>
        <v/>
      </c>
      <c r="AE616">
        <f>IF(TRIM('Roster'!B616&amp;'Roster'!C616)&lt;&gt;"",1,0)</f>
        <v/>
      </c>
      <c r="AF616">
        <f>IF(AE616=1,LOWER(A616),"#")</f>
        <v/>
      </c>
      <c r="AG616">
        <f>IF(AE616=1,LOWER(TRIM(TRIM('Roster'!C616)&amp;", "&amp;TRIM('Roster'!B616))),"#")</f>
        <v/>
      </c>
      <c r="AH616">
        <f>IF(AND(AE616=1,TRIM('Roster'!F616)&lt;&gt;""),LOWER(TRIM('Roster'!F616)),"#")</f>
        <v/>
      </c>
      <c r="AI616">
        <f>IF(AE616=1,IF(MATCH(B616,$B$2:$B$701,0)=ROW()-1,1,0),0)</f>
        <v/>
      </c>
      <c r="AJ616">
        <f>AJ615+AI616</f>
        <v/>
      </c>
      <c r="AK616">
        <f>IF(AE616=1,D616+(1000-ROW())/10^7,-1)</f>
        <v/>
      </c>
      <c r="AL616">
        <f>IF(AE616=1,TRIM('Roster'!B616)&amp;" "&amp;LEFT(TRIM('Roster'!C616),1)&amp;".","")</f>
        <v/>
      </c>
      <c r="AM616">
        <f>IF(AE616=1,TRIM('Roster'!C616)&amp;", "&amp;TRIM('Roster'!B616)&amp;" ("&amp;B616&amp;") #"&amp;AD616,"")</f>
        <v/>
      </c>
      <c r="AN616">
        <f>IF(AE616=1,TRIM('Roster'!E616),"")</f>
        <v/>
      </c>
      <c r="AO616">
        <f>IF(AE616=1,ROUND(SUMIFS('All Donations'!$S$2:$S$4001,'All Donations'!$R$2:$R$4001,AD616,'All Donations'!$T$2:$T$4001,"&gt;="&amp;'Settings'!$C$23,'All Donations'!$T$2:$T$4001,"&lt;="&amp;'Settings'!$D$23),2),0)</f>
        <v/>
      </c>
      <c r="AQ616">
        <f>IF(AE616=1,ROUND(SUMIFS('All Donations'!$S$2:$S$4001,'All Donations'!$R$2:$R$4001,AD616,'All Donations'!$T$2:$T$4001,"&gt;="&amp;'Settings'!$C$25,'All Donations'!$T$2:$T$4001,"&lt;="&amp;'Settings'!$D$25),2),0)</f>
        <v/>
      </c>
      <c r="AR616">
        <f>IF(AE616=1,ROUND(SUMIFS('All Donations'!$S$2:$S$4001,'All Donations'!$R$2:$R$4001,AD616,'All Donations'!$T$2:$T$4001,"&gt;="&amp;'Settings'!$C$26,'All Donations'!$T$2:$T$4001,"&lt;="&amp;'Settings'!$D$26),2),0)</f>
        <v/>
      </c>
      <c r="AS616">
        <f>IF(AE616=1,ROUND(SUMIFS('All Donations'!$S$2:$S$4001,'All Donations'!$R$2:$R$4001,AD616,'All Donations'!$T$2:$T$4001,"&lt;="&amp;'Settings'!$D$27),2),0)</f>
        <v/>
      </c>
      <c r="AT616">
        <f>IF(AE616=1,ROUND(SUMIFS('All Donations'!$S$2:$S$4001,'All Donations'!$R$2:$R$4001,AD616,'All Donations'!$T$2:$T$4001,"&gt;="&amp;'Settings'!$C$28,'All Donations'!$T$2:$T$4001,"&lt;="&amp;'Settings'!$D$28),2),0)</f>
        <v/>
      </c>
      <c r="AU616">
        <f>IF(AE616=1,ROUND(SUMIFS('All Donations'!$S$2:$S$4001,'All Donations'!$R$2:$R$4001,AD616,'All Donations'!$T$2:$T$4001,"&gt;="&amp;'Settings'!$C$29,'All Donations'!$T$2:$T$4001,"&lt;="&amp;'Settings'!$D$29),2),0)</f>
        <v/>
      </c>
      <c r="AV616">
        <f>IF(AE616=1,ROUND(SUMIFS('All Donations'!$S$2:$S$4001,'All Donations'!$R$2:$R$4001,AD616,'All Donations'!$T$2:$T$4001,"&lt;="&amp;'Settings'!$D$30),2),0)</f>
        <v/>
      </c>
      <c r="AZ616">
        <f>IF(AE616=1,ROUND(SUMIFS('All Donations'!$S$2:$S$4001,'All Donations'!$R$2:$R$4001,AD616,'All Donations'!$T$2:$T$4001,"&lt;="&amp;'Settings'!$D$34),2),0)</f>
        <v/>
      </c>
    </row>
    <row r="617">
      <c r="A617">
        <f>IF(AE617=1,TRIM(TRIM('Roster'!B617)&amp;" "&amp;TRIM('Roster'!C617)),"")</f>
        <v/>
      </c>
      <c r="B617">
        <f>IF(AE617=1,IF(AN617="","(no teacher)",AN617&amp;" – "&amp;C617),"")</f>
        <v/>
      </c>
      <c r="C617">
        <f>IF(AE617=1,TRIM('Roster'!D617&amp;""),"")</f>
        <v/>
      </c>
      <c r="D617" s="48">
        <f>IF(AE617=1,ROUND(SUMIFS('All Donations'!$S$2:$S$4001,'All Donations'!$R$2:$R$4001,AD617),2),"")</f>
        <v/>
      </c>
      <c r="E617" s="48">
        <f>IF(AE617=1,ROUND(SUMIFS('All Donations'!$S$2:$S$4001,'All Donations'!$R$2:$R$4001,AD617,'All Donations'!$G$2:$G$4001,"OneCause"),2),"")</f>
        <v/>
      </c>
      <c r="F617" s="48">
        <f>IF(AE617=1,D617-E617,"")</f>
        <v/>
      </c>
      <c r="G617">
        <f>IF(AE617=1,COUNTIFS('All Donations'!$R$2:$R$4001,AD617,'All Donations'!$H$2:$H$4001,"OK"),"")</f>
        <v/>
      </c>
      <c r="H617">
        <f>IF(AE617&lt;&gt;1,"",IF(D617&gt;0,"Yes",""))</f>
        <v/>
      </c>
      <c r="I617" s="49">
        <f>IF(OR($AE617&lt;&gt;1,I$1=""),"",SUMIFS('All Donations'!$S$2:$S$4001,'All Donations'!$R$2:$R$4001,$AD617,'All Donations'!$T$2:$T$4001,I$1))</f>
        <v/>
      </c>
      <c r="J617" s="49">
        <f>IF(OR($AE617&lt;&gt;1,J$1=""),"",SUMIFS('All Donations'!$S$2:$S$4001,'All Donations'!$R$2:$R$4001,$AD617,'All Donations'!$T$2:$T$4001,J$1))</f>
        <v/>
      </c>
      <c r="K617" s="49">
        <f>IF(OR($AE617&lt;&gt;1,K$1=""),"",SUMIFS('All Donations'!$S$2:$S$4001,'All Donations'!$R$2:$R$4001,$AD617,'All Donations'!$T$2:$T$4001,K$1))</f>
        <v/>
      </c>
      <c r="L617" s="49">
        <f>IF(OR($AE617&lt;&gt;1,L$1=""),"",SUMIFS('All Donations'!$S$2:$S$4001,'All Donations'!$R$2:$R$4001,$AD617,'All Donations'!$T$2:$T$4001,L$1))</f>
        <v/>
      </c>
      <c r="M617" s="49">
        <f>IF(OR($AE617&lt;&gt;1,M$1=""),"",SUMIFS('All Donations'!$S$2:$S$4001,'All Donations'!$R$2:$R$4001,$AD617,'All Donations'!$T$2:$T$4001,M$1))</f>
        <v/>
      </c>
      <c r="N617" s="49">
        <f>IF(OR($AE617&lt;&gt;1,N$1=""),"",SUMIFS('All Donations'!$S$2:$S$4001,'All Donations'!$R$2:$R$4001,$AD617,'All Donations'!$T$2:$T$4001,N$1))</f>
        <v/>
      </c>
      <c r="O617" s="49">
        <f>IF(OR($AE617&lt;&gt;1,O$1=""),"",SUMIFS('All Donations'!$S$2:$S$4001,'All Donations'!$R$2:$R$4001,$AD617,'All Donations'!$T$2:$T$4001,O$1))</f>
        <v/>
      </c>
      <c r="P617" s="49">
        <f>IF(OR($AE617&lt;&gt;1,P$1=""),"",SUMIFS('All Donations'!$S$2:$S$4001,'All Donations'!$R$2:$R$4001,$AD617,'All Donations'!$T$2:$T$4001,P$1))</f>
        <v/>
      </c>
      <c r="Q617" s="49">
        <f>IF(OR($AE617&lt;&gt;1,Q$1=""),"",SUMIFS('All Donations'!$S$2:$S$4001,'All Donations'!$R$2:$R$4001,$AD617,'All Donations'!$T$2:$T$4001,Q$1))</f>
        <v/>
      </c>
      <c r="R617" s="49">
        <f>IF(OR($AE617&lt;&gt;1,R$1=""),"",SUMIFS('All Donations'!$S$2:$S$4001,'All Donations'!$R$2:$R$4001,$AD617,'All Donations'!$T$2:$T$4001,R$1))</f>
        <v/>
      </c>
      <c r="S617" s="49">
        <f>IF(OR($AE617&lt;&gt;1,S$1=""),"",SUMIFS('All Donations'!$S$2:$S$4001,'All Donations'!$R$2:$R$4001,$AD617,'All Donations'!$T$2:$T$4001,S$1))</f>
        <v/>
      </c>
      <c r="T617" s="49">
        <f>IF(OR($AE617&lt;&gt;1,T$1=""),"",SUMIFS('All Donations'!$S$2:$S$4001,'All Donations'!$R$2:$R$4001,$AD617,'All Donations'!$T$2:$T$4001,T$1))</f>
        <v/>
      </c>
      <c r="U617" s="49">
        <f>IF(OR($AE617&lt;&gt;1,U$1=""),"",SUMIFS('All Donations'!$S$2:$S$4001,'All Donations'!$R$2:$R$4001,$AD617,'All Donations'!$T$2:$T$4001,U$1))</f>
        <v/>
      </c>
      <c r="V617" s="49">
        <f>IF(OR($AE617&lt;&gt;1,V$1=""),"",SUMIFS('All Donations'!$S$2:$S$4001,'All Donations'!$R$2:$R$4001,$AD617,'All Donations'!$T$2:$T$4001,V$1))</f>
        <v/>
      </c>
      <c r="W617" s="49">
        <f>IF(OR($AE617&lt;&gt;1,W$1=""),"",SUMIFS('All Donations'!$S$2:$S$4001,'All Donations'!$R$2:$R$4001,$AD617,'All Donations'!$T$2:$T$4001,W$1))</f>
        <v/>
      </c>
      <c r="X617" s="49">
        <f>IF(OR($AE617&lt;&gt;1,X$1=""),"",SUMIFS('All Donations'!$S$2:$S$4001,'All Donations'!$R$2:$R$4001,$AD617,'All Donations'!$T$2:$T$4001,X$1))</f>
        <v/>
      </c>
      <c r="Y617" s="49">
        <f>IF(OR($AE617&lt;&gt;1,Y$1=""),"",SUMIFS('All Donations'!$S$2:$S$4001,'All Donations'!$R$2:$R$4001,$AD617,'All Donations'!$T$2:$T$4001,Y$1))</f>
        <v/>
      </c>
      <c r="Z617" s="49">
        <f>IF(OR($AE617&lt;&gt;1,Z$1=""),"",SUMIFS('All Donations'!$S$2:$S$4001,'All Donations'!$R$2:$R$4001,$AD617,'All Donations'!$T$2:$T$4001,Z$1))</f>
        <v/>
      </c>
      <c r="AA617" s="49">
        <f>IF(OR($AE617&lt;&gt;1,AA$1=""),"",SUMIFS('All Donations'!$S$2:$S$4001,'All Donations'!$R$2:$R$4001,$AD617,'All Donations'!$T$2:$T$4001,AA$1))</f>
        <v/>
      </c>
      <c r="AB617" s="49">
        <f>IF(OR($AE617&lt;&gt;1,AB$1=""),"",SUMIFS('All Donations'!$S$2:$S$4001,'All Donations'!$R$2:$R$4001,$AD617,'All Donations'!$T$2:$T$4001,AB$1))</f>
        <v/>
      </c>
      <c r="AC617" s="49">
        <f>IF(OR($AE617&lt;&gt;1,AC$1=""),"",SUMIFS('All Donations'!$S$2:$S$4001,'All Donations'!$R$2:$R$4001,$AD617,'All Donations'!$T$2:$T$4001,AC$1))</f>
        <v/>
      </c>
      <c r="AD617">
        <f>IF(AE617=1,'Roster'!A617,"")</f>
        <v/>
      </c>
      <c r="AE617">
        <f>IF(TRIM('Roster'!B617&amp;'Roster'!C617)&lt;&gt;"",1,0)</f>
        <v/>
      </c>
      <c r="AF617">
        <f>IF(AE617=1,LOWER(A617),"#")</f>
        <v/>
      </c>
      <c r="AG617">
        <f>IF(AE617=1,LOWER(TRIM(TRIM('Roster'!C617)&amp;", "&amp;TRIM('Roster'!B617))),"#")</f>
        <v/>
      </c>
      <c r="AH617">
        <f>IF(AND(AE617=1,TRIM('Roster'!F617)&lt;&gt;""),LOWER(TRIM('Roster'!F617)),"#")</f>
        <v/>
      </c>
      <c r="AI617">
        <f>IF(AE617=1,IF(MATCH(B617,$B$2:$B$701,0)=ROW()-1,1,0),0)</f>
        <v/>
      </c>
      <c r="AJ617">
        <f>AJ616+AI617</f>
        <v/>
      </c>
      <c r="AK617">
        <f>IF(AE617=1,D617+(1000-ROW())/10^7,-1)</f>
        <v/>
      </c>
      <c r="AL617">
        <f>IF(AE617=1,TRIM('Roster'!B617)&amp;" "&amp;LEFT(TRIM('Roster'!C617),1)&amp;".","")</f>
        <v/>
      </c>
      <c r="AM617">
        <f>IF(AE617=1,TRIM('Roster'!C617)&amp;", "&amp;TRIM('Roster'!B617)&amp;" ("&amp;B617&amp;") #"&amp;AD617,"")</f>
        <v/>
      </c>
      <c r="AN617">
        <f>IF(AE617=1,TRIM('Roster'!E617),"")</f>
        <v/>
      </c>
      <c r="AO617">
        <f>IF(AE617=1,ROUND(SUMIFS('All Donations'!$S$2:$S$4001,'All Donations'!$R$2:$R$4001,AD617,'All Donations'!$T$2:$T$4001,"&gt;="&amp;'Settings'!$C$23,'All Donations'!$T$2:$T$4001,"&lt;="&amp;'Settings'!$D$23),2),0)</f>
        <v/>
      </c>
      <c r="AQ617">
        <f>IF(AE617=1,ROUND(SUMIFS('All Donations'!$S$2:$S$4001,'All Donations'!$R$2:$R$4001,AD617,'All Donations'!$T$2:$T$4001,"&gt;="&amp;'Settings'!$C$25,'All Donations'!$T$2:$T$4001,"&lt;="&amp;'Settings'!$D$25),2),0)</f>
        <v/>
      </c>
      <c r="AR617">
        <f>IF(AE617=1,ROUND(SUMIFS('All Donations'!$S$2:$S$4001,'All Donations'!$R$2:$R$4001,AD617,'All Donations'!$T$2:$T$4001,"&gt;="&amp;'Settings'!$C$26,'All Donations'!$T$2:$T$4001,"&lt;="&amp;'Settings'!$D$26),2),0)</f>
        <v/>
      </c>
      <c r="AS617">
        <f>IF(AE617=1,ROUND(SUMIFS('All Donations'!$S$2:$S$4001,'All Donations'!$R$2:$R$4001,AD617,'All Donations'!$T$2:$T$4001,"&lt;="&amp;'Settings'!$D$27),2),0)</f>
        <v/>
      </c>
      <c r="AT617">
        <f>IF(AE617=1,ROUND(SUMIFS('All Donations'!$S$2:$S$4001,'All Donations'!$R$2:$R$4001,AD617,'All Donations'!$T$2:$T$4001,"&gt;="&amp;'Settings'!$C$28,'All Donations'!$T$2:$T$4001,"&lt;="&amp;'Settings'!$D$28),2),0)</f>
        <v/>
      </c>
      <c r="AU617">
        <f>IF(AE617=1,ROUND(SUMIFS('All Donations'!$S$2:$S$4001,'All Donations'!$R$2:$R$4001,AD617,'All Donations'!$T$2:$T$4001,"&gt;="&amp;'Settings'!$C$29,'All Donations'!$T$2:$T$4001,"&lt;="&amp;'Settings'!$D$29),2),0)</f>
        <v/>
      </c>
      <c r="AV617">
        <f>IF(AE617=1,ROUND(SUMIFS('All Donations'!$S$2:$S$4001,'All Donations'!$R$2:$R$4001,AD617,'All Donations'!$T$2:$T$4001,"&lt;="&amp;'Settings'!$D$30),2),0)</f>
        <v/>
      </c>
      <c r="AZ617">
        <f>IF(AE617=1,ROUND(SUMIFS('All Donations'!$S$2:$S$4001,'All Donations'!$R$2:$R$4001,AD617,'All Donations'!$T$2:$T$4001,"&lt;="&amp;'Settings'!$D$34),2),0)</f>
        <v/>
      </c>
    </row>
    <row r="618">
      <c r="A618">
        <f>IF(AE618=1,TRIM(TRIM('Roster'!B618)&amp;" "&amp;TRIM('Roster'!C618)),"")</f>
        <v/>
      </c>
      <c r="B618">
        <f>IF(AE618=1,IF(AN618="","(no teacher)",AN618&amp;" – "&amp;C618),"")</f>
        <v/>
      </c>
      <c r="C618">
        <f>IF(AE618=1,TRIM('Roster'!D618&amp;""),"")</f>
        <v/>
      </c>
      <c r="D618" s="48">
        <f>IF(AE618=1,ROUND(SUMIFS('All Donations'!$S$2:$S$4001,'All Donations'!$R$2:$R$4001,AD618),2),"")</f>
        <v/>
      </c>
      <c r="E618" s="48">
        <f>IF(AE618=1,ROUND(SUMIFS('All Donations'!$S$2:$S$4001,'All Donations'!$R$2:$R$4001,AD618,'All Donations'!$G$2:$G$4001,"OneCause"),2),"")</f>
        <v/>
      </c>
      <c r="F618" s="48">
        <f>IF(AE618=1,D618-E618,"")</f>
        <v/>
      </c>
      <c r="G618">
        <f>IF(AE618=1,COUNTIFS('All Donations'!$R$2:$R$4001,AD618,'All Donations'!$H$2:$H$4001,"OK"),"")</f>
        <v/>
      </c>
      <c r="H618">
        <f>IF(AE618&lt;&gt;1,"",IF(D618&gt;0,"Yes",""))</f>
        <v/>
      </c>
      <c r="I618" s="49">
        <f>IF(OR($AE618&lt;&gt;1,I$1=""),"",SUMIFS('All Donations'!$S$2:$S$4001,'All Donations'!$R$2:$R$4001,$AD618,'All Donations'!$T$2:$T$4001,I$1))</f>
        <v/>
      </c>
      <c r="J618" s="49">
        <f>IF(OR($AE618&lt;&gt;1,J$1=""),"",SUMIFS('All Donations'!$S$2:$S$4001,'All Donations'!$R$2:$R$4001,$AD618,'All Donations'!$T$2:$T$4001,J$1))</f>
        <v/>
      </c>
      <c r="K618" s="49">
        <f>IF(OR($AE618&lt;&gt;1,K$1=""),"",SUMIFS('All Donations'!$S$2:$S$4001,'All Donations'!$R$2:$R$4001,$AD618,'All Donations'!$T$2:$T$4001,K$1))</f>
        <v/>
      </c>
      <c r="L618" s="49">
        <f>IF(OR($AE618&lt;&gt;1,L$1=""),"",SUMIFS('All Donations'!$S$2:$S$4001,'All Donations'!$R$2:$R$4001,$AD618,'All Donations'!$T$2:$T$4001,L$1))</f>
        <v/>
      </c>
      <c r="M618" s="49">
        <f>IF(OR($AE618&lt;&gt;1,M$1=""),"",SUMIFS('All Donations'!$S$2:$S$4001,'All Donations'!$R$2:$R$4001,$AD618,'All Donations'!$T$2:$T$4001,M$1))</f>
        <v/>
      </c>
      <c r="N618" s="49">
        <f>IF(OR($AE618&lt;&gt;1,N$1=""),"",SUMIFS('All Donations'!$S$2:$S$4001,'All Donations'!$R$2:$R$4001,$AD618,'All Donations'!$T$2:$T$4001,N$1))</f>
        <v/>
      </c>
      <c r="O618" s="49">
        <f>IF(OR($AE618&lt;&gt;1,O$1=""),"",SUMIFS('All Donations'!$S$2:$S$4001,'All Donations'!$R$2:$R$4001,$AD618,'All Donations'!$T$2:$T$4001,O$1))</f>
        <v/>
      </c>
      <c r="P618" s="49">
        <f>IF(OR($AE618&lt;&gt;1,P$1=""),"",SUMIFS('All Donations'!$S$2:$S$4001,'All Donations'!$R$2:$R$4001,$AD618,'All Donations'!$T$2:$T$4001,P$1))</f>
        <v/>
      </c>
      <c r="Q618" s="49">
        <f>IF(OR($AE618&lt;&gt;1,Q$1=""),"",SUMIFS('All Donations'!$S$2:$S$4001,'All Donations'!$R$2:$R$4001,$AD618,'All Donations'!$T$2:$T$4001,Q$1))</f>
        <v/>
      </c>
      <c r="R618" s="49">
        <f>IF(OR($AE618&lt;&gt;1,R$1=""),"",SUMIFS('All Donations'!$S$2:$S$4001,'All Donations'!$R$2:$R$4001,$AD618,'All Donations'!$T$2:$T$4001,R$1))</f>
        <v/>
      </c>
      <c r="S618" s="49">
        <f>IF(OR($AE618&lt;&gt;1,S$1=""),"",SUMIFS('All Donations'!$S$2:$S$4001,'All Donations'!$R$2:$R$4001,$AD618,'All Donations'!$T$2:$T$4001,S$1))</f>
        <v/>
      </c>
      <c r="T618" s="49">
        <f>IF(OR($AE618&lt;&gt;1,T$1=""),"",SUMIFS('All Donations'!$S$2:$S$4001,'All Donations'!$R$2:$R$4001,$AD618,'All Donations'!$T$2:$T$4001,T$1))</f>
        <v/>
      </c>
      <c r="U618" s="49">
        <f>IF(OR($AE618&lt;&gt;1,U$1=""),"",SUMIFS('All Donations'!$S$2:$S$4001,'All Donations'!$R$2:$R$4001,$AD618,'All Donations'!$T$2:$T$4001,U$1))</f>
        <v/>
      </c>
      <c r="V618" s="49">
        <f>IF(OR($AE618&lt;&gt;1,V$1=""),"",SUMIFS('All Donations'!$S$2:$S$4001,'All Donations'!$R$2:$R$4001,$AD618,'All Donations'!$T$2:$T$4001,V$1))</f>
        <v/>
      </c>
      <c r="W618" s="49">
        <f>IF(OR($AE618&lt;&gt;1,W$1=""),"",SUMIFS('All Donations'!$S$2:$S$4001,'All Donations'!$R$2:$R$4001,$AD618,'All Donations'!$T$2:$T$4001,W$1))</f>
        <v/>
      </c>
      <c r="X618" s="49">
        <f>IF(OR($AE618&lt;&gt;1,X$1=""),"",SUMIFS('All Donations'!$S$2:$S$4001,'All Donations'!$R$2:$R$4001,$AD618,'All Donations'!$T$2:$T$4001,X$1))</f>
        <v/>
      </c>
      <c r="Y618" s="49">
        <f>IF(OR($AE618&lt;&gt;1,Y$1=""),"",SUMIFS('All Donations'!$S$2:$S$4001,'All Donations'!$R$2:$R$4001,$AD618,'All Donations'!$T$2:$T$4001,Y$1))</f>
        <v/>
      </c>
      <c r="Z618" s="49">
        <f>IF(OR($AE618&lt;&gt;1,Z$1=""),"",SUMIFS('All Donations'!$S$2:$S$4001,'All Donations'!$R$2:$R$4001,$AD618,'All Donations'!$T$2:$T$4001,Z$1))</f>
        <v/>
      </c>
      <c r="AA618" s="49">
        <f>IF(OR($AE618&lt;&gt;1,AA$1=""),"",SUMIFS('All Donations'!$S$2:$S$4001,'All Donations'!$R$2:$R$4001,$AD618,'All Donations'!$T$2:$T$4001,AA$1))</f>
        <v/>
      </c>
      <c r="AB618" s="49">
        <f>IF(OR($AE618&lt;&gt;1,AB$1=""),"",SUMIFS('All Donations'!$S$2:$S$4001,'All Donations'!$R$2:$R$4001,$AD618,'All Donations'!$T$2:$T$4001,AB$1))</f>
        <v/>
      </c>
      <c r="AC618" s="49">
        <f>IF(OR($AE618&lt;&gt;1,AC$1=""),"",SUMIFS('All Donations'!$S$2:$S$4001,'All Donations'!$R$2:$R$4001,$AD618,'All Donations'!$T$2:$T$4001,AC$1))</f>
        <v/>
      </c>
      <c r="AD618">
        <f>IF(AE618=1,'Roster'!A618,"")</f>
        <v/>
      </c>
      <c r="AE618">
        <f>IF(TRIM('Roster'!B618&amp;'Roster'!C618)&lt;&gt;"",1,0)</f>
        <v/>
      </c>
      <c r="AF618">
        <f>IF(AE618=1,LOWER(A618),"#")</f>
        <v/>
      </c>
      <c r="AG618">
        <f>IF(AE618=1,LOWER(TRIM(TRIM('Roster'!C618)&amp;", "&amp;TRIM('Roster'!B618))),"#")</f>
        <v/>
      </c>
      <c r="AH618">
        <f>IF(AND(AE618=1,TRIM('Roster'!F618)&lt;&gt;""),LOWER(TRIM('Roster'!F618)),"#")</f>
        <v/>
      </c>
      <c r="AI618">
        <f>IF(AE618=1,IF(MATCH(B618,$B$2:$B$701,0)=ROW()-1,1,0),0)</f>
        <v/>
      </c>
      <c r="AJ618">
        <f>AJ617+AI618</f>
        <v/>
      </c>
      <c r="AK618">
        <f>IF(AE618=1,D618+(1000-ROW())/10^7,-1)</f>
        <v/>
      </c>
      <c r="AL618">
        <f>IF(AE618=1,TRIM('Roster'!B618)&amp;" "&amp;LEFT(TRIM('Roster'!C618),1)&amp;".","")</f>
        <v/>
      </c>
      <c r="AM618">
        <f>IF(AE618=1,TRIM('Roster'!C618)&amp;", "&amp;TRIM('Roster'!B618)&amp;" ("&amp;B618&amp;") #"&amp;AD618,"")</f>
        <v/>
      </c>
      <c r="AN618">
        <f>IF(AE618=1,TRIM('Roster'!E618),"")</f>
        <v/>
      </c>
      <c r="AO618">
        <f>IF(AE618=1,ROUND(SUMIFS('All Donations'!$S$2:$S$4001,'All Donations'!$R$2:$R$4001,AD618,'All Donations'!$T$2:$T$4001,"&gt;="&amp;'Settings'!$C$23,'All Donations'!$T$2:$T$4001,"&lt;="&amp;'Settings'!$D$23),2),0)</f>
        <v/>
      </c>
      <c r="AQ618">
        <f>IF(AE618=1,ROUND(SUMIFS('All Donations'!$S$2:$S$4001,'All Donations'!$R$2:$R$4001,AD618,'All Donations'!$T$2:$T$4001,"&gt;="&amp;'Settings'!$C$25,'All Donations'!$T$2:$T$4001,"&lt;="&amp;'Settings'!$D$25),2),0)</f>
        <v/>
      </c>
      <c r="AR618">
        <f>IF(AE618=1,ROUND(SUMIFS('All Donations'!$S$2:$S$4001,'All Donations'!$R$2:$R$4001,AD618,'All Donations'!$T$2:$T$4001,"&gt;="&amp;'Settings'!$C$26,'All Donations'!$T$2:$T$4001,"&lt;="&amp;'Settings'!$D$26),2),0)</f>
        <v/>
      </c>
      <c r="AS618">
        <f>IF(AE618=1,ROUND(SUMIFS('All Donations'!$S$2:$S$4001,'All Donations'!$R$2:$R$4001,AD618,'All Donations'!$T$2:$T$4001,"&lt;="&amp;'Settings'!$D$27),2),0)</f>
        <v/>
      </c>
      <c r="AT618">
        <f>IF(AE618=1,ROUND(SUMIFS('All Donations'!$S$2:$S$4001,'All Donations'!$R$2:$R$4001,AD618,'All Donations'!$T$2:$T$4001,"&gt;="&amp;'Settings'!$C$28,'All Donations'!$T$2:$T$4001,"&lt;="&amp;'Settings'!$D$28),2),0)</f>
        <v/>
      </c>
      <c r="AU618">
        <f>IF(AE618=1,ROUND(SUMIFS('All Donations'!$S$2:$S$4001,'All Donations'!$R$2:$R$4001,AD618,'All Donations'!$T$2:$T$4001,"&gt;="&amp;'Settings'!$C$29,'All Donations'!$T$2:$T$4001,"&lt;="&amp;'Settings'!$D$29),2),0)</f>
        <v/>
      </c>
      <c r="AV618">
        <f>IF(AE618=1,ROUND(SUMIFS('All Donations'!$S$2:$S$4001,'All Donations'!$R$2:$R$4001,AD618,'All Donations'!$T$2:$T$4001,"&lt;="&amp;'Settings'!$D$30),2),0)</f>
        <v/>
      </c>
      <c r="AZ618">
        <f>IF(AE618=1,ROUND(SUMIFS('All Donations'!$S$2:$S$4001,'All Donations'!$R$2:$R$4001,AD618,'All Donations'!$T$2:$T$4001,"&lt;="&amp;'Settings'!$D$34),2),0)</f>
        <v/>
      </c>
    </row>
    <row r="619">
      <c r="A619">
        <f>IF(AE619=1,TRIM(TRIM('Roster'!B619)&amp;" "&amp;TRIM('Roster'!C619)),"")</f>
        <v/>
      </c>
      <c r="B619">
        <f>IF(AE619=1,IF(AN619="","(no teacher)",AN619&amp;" – "&amp;C619),"")</f>
        <v/>
      </c>
      <c r="C619">
        <f>IF(AE619=1,TRIM('Roster'!D619&amp;""),"")</f>
        <v/>
      </c>
      <c r="D619" s="48">
        <f>IF(AE619=1,ROUND(SUMIFS('All Donations'!$S$2:$S$4001,'All Donations'!$R$2:$R$4001,AD619),2),"")</f>
        <v/>
      </c>
      <c r="E619" s="48">
        <f>IF(AE619=1,ROUND(SUMIFS('All Donations'!$S$2:$S$4001,'All Donations'!$R$2:$R$4001,AD619,'All Donations'!$G$2:$G$4001,"OneCause"),2),"")</f>
        <v/>
      </c>
      <c r="F619" s="48">
        <f>IF(AE619=1,D619-E619,"")</f>
        <v/>
      </c>
      <c r="G619">
        <f>IF(AE619=1,COUNTIFS('All Donations'!$R$2:$R$4001,AD619,'All Donations'!$H$2:$H$4001,"OK"),"")</f>
        <v/>
      </c>
      <c r="H619">
        <f>IF(AE619&lt;&gt;1,"",IF(D619&gt;0,"Yes",""))</f>
        <v/>
      </c>
      <c r="I619" s="49">
        <f>IF(OR($AE619&lt;&gt;1,I$1=""),"",SUMIFS('All Donations'!$S$2:$S$4001,'All Donations'!$R$2:$R$4001,$AD619,'All Donations'!$T$2:$T$4001,I$1))</f>
        <v/>
      </c>
      <c r="J619" s="49">
        <f>IF(OR($AE619&lt;&gt;1,J$1=""),"",SUMIFS('All Donations'!$S$2:$S$4001,'All Donations'!$R$2:$R$4001,$AD619,'All Donations'!$T$2:$T$4001,J$1))</f>
        <v/>
      </c>
      <c r="K619" s="49">
        <f>IF(OR($AE619&lt;&gt;1,K$1=""),"",SUMIFS('All Donations'!$S$2:$S$4001,'All Donations'!$R$2:$R$4001,$AD619,'All Donations'!$T$2:$T$4001,K$1))</f>
        <v/>
      </c>
      <c r="L619" s="49">
        <f>IF(OR($AE619&lt;&gt;1,L$1=""),"",SUMIFS('All Donations'!$S$2:$S$4001,'All Donations'!$R$2:$R$4001,$AD619,'All Donations'!$T$2:$T$4001,L$1))</f>
        <v/>
      </c>
      <c r="M619" s="49">
        <f>IF(OR($AE619&lt;&gt;1,M$1=""),"",SUMIFS('All Donations'!$S$2:$S$4001,'All Donations'!$R$2:$R$4001,$AD619,'All Donations'!$T$2:$T$4001,M$1))</f>
        <v/>
      </c>
      <c r="N619" s="49">
        <f>IF(OR($AE619&lt;&gt;1,N$1=""),"",SUMIFS('All Donations'!$S$2:$S$4001,'All Donations'!$R$2:$R$4001,$AD619,'All Donations'!$T$2:$T$4001,N$1))</f>
        <v/>
      </c>
      <c r="O619" s="49">
        <f>IF(OR($AE619&lt;&gt;1,O$1=""),"",SUMIFS('All Donations'!$S$2:$S$4001,'All Donations'!$R$2:$R$4001,$AD619,'All Donations'!$T$2:$T$4001,O$1))</f>
        <v/>
      </c>
      <c r="P619" s="49">
        <f>IF(OR($AE619&lt;&gt;1,P$1=""),"",SUMIFS('All Donations'!$S$2:$S$4001,'All Donations'!$R$2:$R$4001,$AD619,'All Donations'!$T$2:$T$4001,P$1))</f>
        <v/>
      </c>
      <c r="Q619" s="49">
        <f>IF(OR($AE619&lt;&gt;1,Q$1=""),"",SUMIFS('All Donations'!$S$2:$S$4001,'All Donations'!$R$2:$R$4001,$AD619,'All Donations'!$T$2:$T$4001,Q$1))</f>
        <v/>
      </c>
      <c r="R619" s="49">
        <f>IF(OR($AE619&lt;&gt;1,R$1=""),"",SUMIFS('All Donations'!$S$2:$S$4001,'All Donations'!$R$2:$R$4001,$AD619,'All Donations'!$T$2:$T$4001,R$1))</f>
        <v/>
      </c>
      <c r="S619" s="49">
        <f>IF(OR($AE619&lt;&gt;1,S$1=""),"",SUMIFS('All Donations'!$S$2:$S$4001,'All Donations'!$R$2:$R$4001,$AD619,'All Donations'!$T$2:$T$4001,S$1))</f>
        <v/>
      </c>
      <c r="T619" s="49">
        <f>IF(OR($AE619&lt;&gt;1,T$1=""),"",SUMIFS('All Donations'!$S$2:$S$4001,'All Donations'!$R$2:$R$4001,$AD619,'All Donations'!$T$2:$T$4001,T$1))</f>
        <v/>
      </c>
      <c r="U619" s="49">
        <f>IF(OR($AE619&lt;&gt;1,U$1=""),"",SUMIFS('All Donations'!$S$2:$S$4001,'All Donations'!$R$2:$R$4001,$AD619,'All Donations'!$T$2:$T$4001,U$1))</f>
        <v/>
      </c>
      <c r="V619" s="49">
        <f>IF(OR($AE619&lt;&gt;1,V$1=""),"",SUMIFS('All Donations'!$S$2:$S$4001,'All Donations'!$R$2:$R$4001,$AD619,'All Donations'!$T$2:$T$4001,V$1))</f>
        <v/>
      </c>
      <c r="W619" s="49">
        <f>IF(OR($AE619&lt;&gt;1,W$1=""),"",SUMIFS('All Donations'!$S$2:$S$4001,'All Donations'!$R$2:$R$4001,$AD619,'All Donations'!$T$2:$T$4001,W$1))</f>
        <v/>
      </c>
      <c r="X619" s="49">
        <f>IF(OR($AE619&lt;&gt;1,X$1=""),"",SUMIFS('All Donations'!$S$2:$S$4001,'All Donations'!$R$2:$R$4001,$AD619,'All Donations'!$T$2:$T$4001,X$1))</f>
        <v/>
      </c>
      <c r="Y619" s="49">
        <f>IF(OR($AE619&lt;&gt;1,Y$1=""),"",SUMIFS('All Donations'!$S$2:$S$4001,'All Donations'!$R$2:$R$4001,$AD619,'All Donations'!$T$2:$T$4001,Y$1))</f>
        <v/>
      </c>
      <c r="Z619" s="49">
        <f>IF(OR($AE619&lt;&gt;1,Z$1=""),"",SUMIFS('All Donations'!$S$2:$S$4001,'All Donations'!$R$2:$R$4001,$AD619,'All Donations'!$T$2:$T$4001,Z$1))</f>
        <v/>
      </c>
      <c r="AA619" s="49">
        <f>IF(OR($AE619&lt;&gt;1,AA$1=""),"",SUMIFS('All Donations'!$S$2:$S$4001,'All Donations'!$R$2:$R$4001,$AD619,'All Donations'!$T$2:$T$4001,AA$1))</f>
        <v/>
      </c>
      <c r="AB619" s="49">
        <f>IF(OR($AE619&lt;&gt;1,AB$1=""),"",SUMIFS('All Donations'!$S$2:$S$4001,'All Donations'!$R$2:$R$4001,$AD619,'All Donations'!$T$2:$T$4001,AB$1))</f>
        <v/>
      </c>
      <c r="AC619" s="49">
        <f>IF(OR($AE619&lt;&gt;1,AC$1=""),"",SUMIFS('All Donations'!$S$2:$S$4001,'All Donations'!$R$2:$R$4001,$AD619,'All Donations'!$T$2:$T$4001,AC$1))</f>
        <v/>
      </c>
      <c r="AD619">
        <f>IF(AE619=1,'Roster'!A619,"")</f>
        <v/>
      </c>
      <c r="AE619">
        <f>IF(TRIM('Roster'!B619&amp;'Roster'!C619)&lt;&gt;"",1,0)</f>
        <v/>
      </c>
      <c r="AF619">
        <f>IF(AE619=1,LOWER(A619),"#")</f>
        <v/>
      </c>
      <c r="AG619">
        <f>IF(AE619=1,LOWER(TRIM(TRIM('Roster'!C619)&amp;", "&amp;TRIM('Roster'!B619))),"#")</f>
        <v/>
      </c>
      <c r="AH619">
        <f>IF(AND(AE619=1,TRIM('Roster'!F619)&lt;&gt;""),LOWER(TRIM('Roster'!F619)),"#")</f>
        <v/>
      </c>
      <c r="AI619">
        <f>IF(AE619=1,IF(MATCH(B619,$B$2:$B$701,0)=ROW()-1,1,0),0)</f>
        <v/>
      </c>
      <c r="AJ619">
        <f>AJ618+AI619</f>
        <v/>
      </c>
      <c r="AK619">
        <f>IF(AE619=1,D619+(1000-ROW())/10^7,-1)</f>
        <v/>
      </c>
      <c r="AL619">
        <f>IF(AE619=1,TRIM('Roster'!B619)&amp;" "&amp;LEFT(TRIM('Roster'!C619),1)&amp;".","")</f>
        <v/>
      </c>
      <c r="AM619">
        <f>IF(AE619=1,TRIM('Roster'!C619)&amp;", "&amp;TRIM('Roster'!B619)&amp;" ("&amp;B619&amp;") #"&amp;AD619,"")</f>
        <v/>
      </c>
      <c r="AN619">
        <f>IF(AE619=1,TRIM('Roster'!E619),"")</f>
        <v/>
      </c>
      <c r="AO619">
        <f>IF(AE619=1,ROUND(SUMIFS('All Donations'!$S$2:$S$4001,'All Donations'!$R$2:$R$4001,AD619,'All Donations'!$T$2:$T$4001,"&gt;="&amp;'Settings'!$C$23,'All Donations'!$T$2:$T$4001,"&lt;="&amp;'Settings'!$D$23),2),0)</f>
        <v/>
      </c>
      <c r="AQ619">
        <f>IF(AE619=1,ROUND(SUMIFS('All Donations'!$S$2:$S$4001,'All Donations'!$R$2:$R$4001,AD619,'All Donations'!$T$2:$T$4001,"&gt;="&amp;'Settings'!$C$25,'All Donations'!$T$2:$T$4001,"&lt;="&amp;'Settings'!$D$25),2),0)</f>
        <v/>
      </c>
      <c r="AR619">
        <f>IF(AE619=1,ROUND(SUMIFS('All Donations'!$S$2:$S$4001,'All Donations'!$R$2:$R$4001,AD619,'All Donations'!$T$2:$T$4001,"&gt;="&amp;'Settings'!$C$26,'All Donations'!$T$2:$T$4001,"&lt;="&amp;'Settings'!$D$26),2),0)</f>
        <v/>
      </c>
      <c r="AS619">
        <f>IF(AE619=1,ROUND(SUMIFS('All Donations'!$S$2:$S$4001,'All Donations'!$R$2:$R$4001,AD619,'All Donations'!$T$2:$T$4001,"&lt;="&amp;'Settings'!$D$27),2),0)</f>
        <v/>
      </c>
      <c r="AT619">
        <f>IF(AE619=1,ROUND(SUMIFS('All Donations'!$S$2:$S$4001,'All Donations'!$R$2:$R$4001,AD619,'All Donations'!$T$2:$T$4001,"&gt;="&amp;'Settings'!$C$28,'All Donations'!$T$2:$T$4001,"&lt;="&amp;'Settings'!$D$28),2),0)</f>
        <v/>
      </c>
      <c r="AU619">
        <f>IF(AE619=1,ROUND(SUMIFS('All Donations'!$S$2:$S$4001,'All Donations'!$R$2:$R$4001,AD619,'All Donations'!$T$2:$T$4001,"&gt;="&amp;'Settings'!$C$29,'All Donations'!$T$2:$T$4001,"&lt;="&amp;'Settings'!$D$29),2),0)</f>
        <v/>
      </c>
      <c r="AV619">
        <f>IF(AE619=1,ROUND(SUMIFS('All Donations'!$S$2:$S$4001,'All Donations'!$R$2:$R$4001,AD619,'All Donations'!$T$2:$T$4001,"&lt;="&amp;'Settings'!$D$30),2),0)</f>
        <v/>
      </c>
      <c r="AZ619">
        <f>IF(AE619=1,ROUND(SUMIFS('All Donations'!$S$2:$S$4001,'All Donations'!$R$2:$R$4001,AD619,'All Donations'!$T$2:$T$4001,"&lt;="&amp;'Settings'!$D$34),2),0)</f>
        <v/>
      </c>
    </row>
    <row r="620">
      <c r="A620">
        <f>IF(AE620=1,TRIM(TRIM('Roster'!B620)&amp;" "&amp;TRIM('Roster'!C620)),"")</f>
        <v/>
      </c>
      <c r="B620">
        <f>IF(AE620=1,IF(AN620="","(no teacher)",AN620&amp;" – "&amp;C620),"")</f>
        <v/>
      </c>
      <c r="C620">
        <f>IF(AE620=1,TRIM('Roster'!D620&amp;""),"")</f>
        <v/>
      </c>
      <c r="D620" s="48">
        <f>IF(AE620=1,ROUND(SUMIFS('All Donations'!$S$2:$S$4001,'All Donations'!$R$2:$R$4001,AD620),2),"")</f>
        <v/>
      </c>
      <c r="E620" s="48">
        <f>IF(AE620=1,ROUND(SUMIFS('All Donations'!$S$2:$S$4001,'All Donations'!$R$2:$R$4001,AD620,'All Donations'!$G$2:$G$4001,"OneCause"),2),"")</f>
        <v/>
      </c>
      <c r="F620" s="48">
        <f>IF(AE620=1,D620-E620,"")</f>
        <v/>
      </c>
      <c r="G620">
        <f>IF(AE620=1,COUNTIFS('All Donations'!$R$2:$R$4001,AD620,'All Donations'!$H$2:$H$4001,"OK"),"")</f>
        <v/>
      </c>
      <c r="H620">
        <f>IF(AE620&lt;&gt;1,"",IF(D620&gt;0,"Yes",""))</f>
        <v/>
      </c>
      <c r="I620" s="49">
        <f>IF(OR($AE620&lt;&gt;1,I$1=""),"",SUMIFS('All Donations'!$S$2:$S$4001,'All Donations'!$R$2:$R$4001,$AD620,'All Donations'!$T$2:$T$4001,I$1))</f>
        <v/>
      </c>
      <c r="J620" s="49">
        <f>IF(OR($AE620&lt;&gt;1,J$1=""),"",SUMIFS('All Donations'!$S$2:$S$4001,'All Donations'!$R$2:$R$4001,$AD620,'All Donations'!$T$2:$T$4001,J$1))</f>
        <v/>
      </c>
      <c r="K620" s="49">
        <f>IF(OR($AE620&lt;&gt;1,K$1=""),"",SUMIFS('All Donations'!$S$2:$S$4001,'All Donations'!$R$2:$R$4001,$AD620,'All Donations'!$T$2:$T$4001,K$1))</f>
        <v/>
      </c>
      <c r="L620" s="49">
        <f>IF(OR($AE620&lt;&gt;1,L$1=""),"",SUMIFS('All Donations'!$S$2:$S$4001,'All Donations'!$R$2:$R$4001,$AD620,'All Donations'!$T$2:$T$4001,L$1))</f>
        <v/>
      </c>
      <c r="M620" s="49">
        <f>IF(OR($AE620&lt;&gt;1,M$1=""),"",SUMIFS('All Donations'!$S$2:$S$4001,'All Donations'!$R$2:$R$4001,$AD620,'All Donations'!$T$2:$T$4001,M$1))</f>
        <v/>
      </c>
      <c r="N620" s="49">
        <f>IF(OR($AE620&lt;&gt;1,N$1=""),"",SUMIFS('All Donations'!$S$2:$S$4001,'All Donations'!$R$2:$R$4001,$AD620,'All Donations'!$T$2:$T$4001,N$1))</f>
        <v/>
      </c>
      <c r="O620" s="49">
        <f>IF(OR($AE620&lt;&gt;1,O$1=""),"",SUMIFS('All Donations'!$S$2:$S$4001,'All Donations'!$R$2:$R$4001,$AD620,'All Donations'!$T$2:$T$4001,O$1))</f>
        <v/>
      </c>
      <c r="P620" s="49">
        <f>IF(OR($AE620&lt;&gt;1,P$1=""),"",SUMIFS('All Donations'!$S$2:$S$4001,'All Donations'!$R$2:$R$4001,$AD620,'All Donations'!$T$2:$T$4001,P$1))</f>
        <v/>
      </c>
      <c r="Q620" s="49">
        <f>IF(OR($AE620&lt;&gt;1,Q$1=""),"",SUMIFS('All Donations'!$S$2:$S$4001,'All Donations'!$R$2:$R$4001,$AD620,'All Donations'!$T$2:$T$4001,Q$1))</f>
        <v/>
      </c>
      <c r="R620" s="49">
        <f>IF(OR($AE620&lt;&gt;1,R$1=""),"",SUMIFS('All Donations'!$S$2:$S$4001,'All Donations'!$R$2:$R$4001,$AD620,'All Donations'!$T$2:$T$4001,R$1))</f>
        <v/>
      </c>
      <c r="S620" s="49">
        <f>IF(OR($AE620&lt;&gt;1,S$1=""),"",SUMIFS('All Donations'!$S$2:$S$4001,'All Donations'!$R$2:$R$4001,$AD620,'All Donations'!$T$2:$T$4001,S$1))</f>
        <v/>
      </c>
      <c r="T620" s="49">
        <f>IF(OR($AE620&lt;&gt;1,T$1=""),"",SUMIFS('All Donations'!$S$2:$S$4001,'All Donations'!$R$2:$R$4001,$AD620,'All Donations'!$T$2:$T$4001,T$1))</f>
        <v/>
      </c>
      <c r="U620" s="49">
        <f>IF(OR($AE620&lt;&gt;1,U$1=""),"",SUMIFS('All Donations'!$S$2:$S$4001,'All Donations'!$R$2:$R$4001,$AD620,'All Donations'!$T$2:$T$4001,U$1))</f>
        <v/>
      </c>
      <c r="V620" s="49">
        <f>IF(OR($AE620&lt;&gt;1,V$1=""),"",SUMIFS('All Donations'!$S$2:$S$4001,'All Donations'!$R$2:$R$4001,$AD620,'All Donations'!$T$2:$T$4001,V$1))</f>
        <v/>
      </c>
      <c r="W620" s="49">
        <f>IF(OR($AE620&lt;&gt;1,W$1=""),"",SUMIFS('All Donations'!$S$2:$S$4001,'All Donations'!$R$2:$R$4001,$AD620,'All Donations'!$T$2:$T$4001,W$1))</f>
        <v/>
      </c>
      <c r="X620" s="49">
        <f>IF(OR($AE620&lt;&gt;1,X$1=""),"",SUMIFS('All Donations'!$S$2:$S$4001,'All Donations'!$R$2:$R$4001,$AD620,'All Donations'!$T$2:$T$4001,X$1))</f>
        <v/>
      </c>
      <c r="Y620" s="49">
        <f>IF(OR($AE620&lt;&gt;1,Y$1=""),"",SUMIFS('All Donations'!$S$2:$S$4001,'All Donations'!$R$2:$R$4001,$AD620,'All Donations'!$T$2:$T$4001,Y$1))</f>
        <v/>
      </c>
      <c r="Z620" s="49">
        <f>IF(OR($AE620&lt;&gt;1,Z$1=""),"",SUMIFS('All Donations'!$S$2:$S$4001,'All Donations'!$R$2:$R$4001,$AD620,'All Donations'!$T$2:$T$4001,Z$1))</f>
        <v/>
      </c>
      <c r="AA620" s="49">
        <f>IF(OR($AE620&lt;&gt;1,AA$1=""),"",SUMIFS('All Donations'!$S$2:$S$4001,'All Donations'!$R$2:$R$4001,$AD620,'All Donations'!$T$2:$T$4001,AA$1))</f>
        <v/>
      </c>
      <c r="AB620" s="49">
        <f>IF(OR($AE620&lt;&gt;1,AB$1=""),"",SUMIFS('All Donations'!$S$2:$S$4001,'All Donations'!$R$2:$R$4001,$AD620,'All Donations'!$T$2:$T$4001,AB$1))</f>
        <v/>
      </c>
      <c r="AC620" s="49">
        <f>IF(OR($AE620&lt;&gt;1,AC$1=""),"",SUMIFS('All Donations'!$S$2:$S$4001,'All Donations'!$R$2:$R$4001,$AD620,'All Donations'!$T$2:$T$4001,AC$1))</f>
        <v/>
      </c>
      <c r="AD620">
        <f>IF(AE620=1,'Roster'!A620,"")</f>
        <v/>
      </c>
      <c r="AE620">
        <f>IF(TRIM('Roster'!B620&amp;'Roster'!C620)&lt;&gt;"",1,0)</f>
        <v/>
      </c>
      <c r="AF620">
        <f>IF(AE620=1,LOWER(A620),"#")</f>
        <v/>
      </c>
      <c r="AG620">
        <f>IF(AE620=1,LOWER(TRIM(TRIM('Roster'!C620)&amp;", "&amp;TRIM('Roster'!B620))),"#")</f>
        <v/>
      </c>
      <c r="AH620">
        <f>IF(AND(AE620=1,TRIM('Roster'!F620)&lt;&gt;""),LOWER(TRIM('Roster'!F620)),"#")</f>
        <v/>
      </c>
      <c r="AI620">
        <f>IF(AE620=1,IF(MATCH(B620,$B$2:$B$701,0)=ROW()-1,1,0),0)</f>
        <v/>
      </c>
      <c r="AJ620">
        <f>AJ619+AI620</f>
        <v/>
      </c>
      <c r="AK620">
        <f>IF(AE620=1,D620+(1000-ROW())/10^7,-1)</f>
        <v/>
      </c>
      <c r="AL620">
        <f>IF(AE620=1,TRIM('Roster'!B620)&amp;" "&amp;LEFT(TRIM('Roster'!C620),1)&amp;".","")</f>
        <v/>
      </c>
      <c r="AM620">
        <f>IF(AE620=1,TRIM('Roster'!C620)&amp;", "&amp;TRIM('Roster'!B620)&amp;" ("&amp;B620&amp;") #"&amp;AD620,"")</f>
        <v/>
      </c>
      <c r="AN620">
        <f>IF(AE620=1,TRIM('Roster'!E620),"")</f>
        <v/>
      </c>
      <c r="AO620">
        <f>IF(AE620=1,ROUND(SUMIFS('All Donations'!$S$2:$S$4001,'All Donations'!$R$2:$R$4001,AD620,'All Donations'!$T$2:$T$4001,"&gt;="&amp;'Settings'!$C$23,'All Donations'!$T$2:$T$4001,"&lt;="&amp;'Settings'!$D$23),2),0)</f>
        <v/>
      </c>
      <c r="AQ620">
        <f>IF(AE620=1,ROUND(SUMIFS('All Donations'!$S$2:$S$4001,'All Donations'!$R$2:$R$4001,AD620,'All Donations'!$T$2:$T$4001,"&gt;="&amp;'Settings'!$C$25,'All Donations'!$T$2:$T$4001,"&lt;="&amp;'Settings'!$D$25),2),0)</f>
        <v/>
      </c>
      <c r="AR620">
        <f>IF(AE620=1,ROUND(SUMIFS('All Donations'!$S$2:$S$4001,'All Donations'!$R$2:$R$4001,AD620,'All Donations'!$T$2:$T$4001,"&gt;="&amp;'Settings'!$C$26,'All Donations'!$T$2:$T$4001,"&lt;="&amp;'Settings'!$D$26),2),0)</f>
        <v/>
      </c>
      <c r="AS620">
        <f>IF(AE620=1,ROUND(SUMIFS('All Donations'!$S$2:$S$4001,'All Donations'!$R$2:$R$4001,AD620,'All Donations'!$T$2:$T$4001,"&lt;="&amp;'Settings'!$D$27),2),0)</f>
        <v/>
      </c>
      <c r="AT620">
        <f>IF(AE620=1,ROUND(SUMIFS('All Donations'!$S$2:$S$4001,'All Donations'!$R$2:$R$4001,AD620,'All Donations'!$T$2:$T$4001,"&gt;="&amp;'Settings'!$C$28,'All Donations'!$T$2:$T$4001,"&lt;="&amp;'Settings'!$D$28),2),0)</f>
        <v/>
      </c>
      <c r="AU620">
        <f>IF(AE620=1,ROUND(SUMIFS('All Donations'!$S$2:$S$4001,'All Donations'!$R$2:$R$4001,AD620,'All Donations'!$T$2:$T$4001,"&gt;="&amp;'Settings'!$C$29,'All Donations'!$T$2:$T$4001,"&lt;="&amp;'Settings'!$D$29),2),0)</f>
        <v/>
      </c>
      <c r="AV620">
        <f>IF(AE620=1,ROUND(SUMIFS('All Donations'!$S$2:$S$4001,'All Donations'!$R$2:$R$4001,AD620,'All Donations'!$T$2:$T$4001,"&lt;="&amp;'Settings'!$D$30),2),0)</f>
        <v/>
      </c>
      <c r="AZ620">
        <f>IF(AE620=1,ROUND(SUMIFS('All Donations'!$S$2:$S$4001,'All Donations'!$R$2:$R$4001,AD620,'All Donations'!$T$2:$T$4001,"&lt;="&amp;'Settings'!$D$34),2),0)</f>
        <v/>
      </c>
    </row>
    <row r="621">
      <c r="A621">
        <f>IF(AE621=1,TRIM(TRIM('Roster'!B621)&amp;" "&amp;TRIM('Roster'!C621)),"")</f>
        <v/>
      </c>
      <c r="B621">
        <f>IF(AE621=1,IF(AN621="","(no teacher)",AN621&amp;" – "&amp;C621),"")</f>
        <v/>
      </c>
      <c r="C621">
        <f>IF(AE621=1,TRIM('Roster'!D621&amp;""),"")</f>
        <v/>
      </c>
      <c r="D621" s="48">
        <f>IF(AE621=1,ROUND(SUMIFS('All Donations'!$S$2:$S$4001,'All Donations'!$R$2:$R$4001,AD621),2),"")</f>
        <v/>
      </c>
      <c r="E621" s="48">
        <f>IF(AE621=1,ROUND(SUMIFS('All Donations'!$S$2:$S$4001,'All Donations'!$R$2:$R$4001,AD621,'All Donations'!$G$2:$G$4001,"OneCause"),2),"")</f>
        <v/>
      </c>
      <c r="F621" s="48">
        <f>IF(AE621=1,D621-E621,"")</f>
        <v/>
      </c>
      <c r="G621">
        <f>IF(AE621=1,COUNTIFS('All Donations'!$R$2:$R$4001,AD621,'All Donations'!$H$2:$H$4001,"OK"),"")</f>
        <v/>
      </c>
      <c r="H621">
        <f>IF(AE621&lt;&gt;1,"",IF(D621&gt;0,"Yes",""))</f>
        <v/>
      </c>
      <c r="I621" s="49">
        <f>IF(OR($AE621&lt;&gt;1,I$1=""),"",SUMIFS('All Donations'!$S$2:$S$4001,'All Donations'!$R$2:$R$4001,$AD621,'All Donations'!$T$2:$T$4001,I$1))</f>
        <v/>
      </c>
      <c r="J621" s="49">
        <f>IF(OR($AE621&lt;&gt;1,J$1=""),"",SUMIFS('All Donations'!$S$2:$S$4001,'All Donations'!$R$2:$R$4001,$AD621,'All Donations'!$T$2:$T$4001,J$1))</f>
        <v/>
      </c>
      <c r="K621" s="49">
        <f>IF(OR($AE621&lt;&gt;1,K$1=""),"",SUMIFS('All Donations'!$S$2:$S$4001,'All Donations'!$R$2:$R$4001,$AD621,'All Donations'!$T$2:$T$4001,K$1))</f>
        <v/>
      </c>
      <c r="L621" s="49">
        <f>IF(OR($AE621&lt;&gt;1,L$1=""),"",SUMIFS('All Donations'!$S$2:$S$4001,'All Donations'!$R$2:$R$4001,$AD621,'All Donations'!$T$2:$T$4001,L$1))</f>
        <v/>
      </c>
      <c r="M621" s="49">
        <f>IF(OR($AE621&lt;&gt;1,M$1=""),"",SUMIFS('All Donations'!$S$2:$S$4001,'All Donations'!$R$2:$R$4001,$AD621,'All Donations'!$T$2:$T$4001,M$1))</f>
        <v/>
      </c>
      <c r="N621" s="49">
        <f>IF(OR($AE621&lt;&gt;1,N$1=""),"",SUMIFS('All Donations'!$S$2:$S$4001,'All Donations'!$R$2:$R$4001,$AD621,'All Donations'!$T$2:$T$4001,N$1))</f>
        <v/>
      </c>
      <c r="O621" s="49">
        <f>IF(OR($AE621&lt;&gt;1,O$1=""),"",SUMIFS('All Donations'!$S$2:$S$4001,'All Donations'!$R$2:$R$4001,$AD621,'All Donations'!$T$2:$T$4001,O$1))</f>
        <v/>
      </c>
      <c r="P621" s="49">
        <f>IF(OR($AE621&lt;&gt;1,P$1=""),"",SUMIFS('All Donations'!$S$2:$S$4001,'All Donations'!$R$2:$R$4001,$AD621,'All Donations'!$T$2:$T$4001,P$1))</f>
        <v/>
      </c>
      <c r="Q621" s="49">
        <f>IF(OR($AE621&lt;&gt;1,Q$1=""),"",SUMIFS('All Donations'!$S$2:$S$4001,'All Donations'!$R$2:$R$4001,$AD621,'All Donations'!$T$2:$T$4001,Q$1))</f>
        <v/>
      </c>
      <c r="R621" s="49">
        <f>IF(OR($AE621&lt;&gt;1,R$1=""),"",SUMIFS('All Donations'!$S$2:$S$4001,'All Donations'!$R$2:$R$4001,$AD621,'All Donations'!$T$2:$T$4001,R$1))</f>
        <v/>
      </c>
      <c r="S621" s="49">
        <f>IF(OR($AE621&lt;&gt;1,S$1=""),"",SUMIFS('All Donations'!$S$2:$S$4001,'All Donations'!$R$2:$R$4001,$AD621,'All Donations'!$T$2:$T$4001,S$1))</f>
        <v/>
      </c>
      <c r="T621" s="49">
        <f>IF(OR($AE621&lt;&gt;1,T$1=""),"",SUMIFS('All Donations'!$S$2:$S$4001,'All Donations'!$R$2:$R$4001,$AD621,'All Donations'!$T$2:$T$4001,T$1))</f>
        <v/>
      </c>
      <c r="U621" s="49">
        <f>IF(OR($AE621&lt;&gt;1,U$1=""),"",SUMIFS('All Donations'!$S$2:$S$4001,'All Donations'!$R$2:$R$4001,$AD621,'All Donations'!$T$2:$T$4001,U$1))</f>
        <v/>
      </c>
      <c r="V621" s="49">
        <f>IF(OR($AE621&lt;&gt;1,V$1=""),"",SUMIFS('All Donations'!$S$2:$S$4001,'All Donations'!$R$2:$R$4001,$AD621,'All Donations'!$T$2:$T$4001,V$1))</f>
        <v/>
      </c>
      <c r="W621" s="49">
        <f>IF(OR($AE621&lt;&gt;1,W$1=""),"",SUMIFS('All Donations'!$S$2:$S$4001,'All Donations'!$R$2:$R$4001,$AD621,'All Donations'!$T$2:$T$4001,W$1))</f>
        <v/>
      </c>
      <c r="X621" s="49">
        <f>IF(OR($AE621&lt;&gt;1,X$1=""),"",SUMIFS('All Donations'!$S$2:$S$4001,'All Donations'!$R$2:$R$4001,$AD621,'All Donations'!$T$2:$T$4001,X$1))</f>
        <v/>
      </c>
      <c r="Y621" s="49">
        <f>IF(OR($AE621&lt;&gt;1,Y$1=""),"",SUMIFS('All Donations'!$S$2:$S$4001,'All Donations'!$R$2:$R$4001,$AD621,'All Donations'!$T$2:$T$4001,Y$1))</f>
        <v/>
      </c>
      <c r="Z621" s="49">
        <f>IF(OR($AE621&lt;&gt;1,Z$1=""),"",SUMIFS('All Donations'!$S$2:$S$4001,'All Donations'!$R$2:$R$4001,$AD621,'All Donations'!$T$2:$T$4001,Z$1))</f>
        <v/>
      </c>
      <c r="AA621" s="49">
        <f>IF(OR($AE621&lt;&gt;1,AA$1=""),"",SUMIFS('All Donations'!$S$2:$S$4001,'All Donations'!$R$2:$R$4001,$AD621,'All Donations'!$T$2:$T$4001,AA$1))</f>
        <v/>
      </c>
      <c r="AB621" s="49">
        <f>IF(OR($AE621&lt;&gt;1,AB$1=""),"",SUMIFS('All Donations'!$S$2:$S$4001,'All Donations'!$R$2:$R$4001,$AD621,'All Donations'!$T$2:$T$4001,AB$1))</f>
        <v/>
      </c>
      <c r="AC621" s="49">
        <f>IF(OR($AE621&lt;&gt;1,AC$1=""),"",SUMIFS('All Donations'!$S$2:$S$4001,'All Donations'!$R$2:$R$4001,$AD621,'All Donations'!$T$2:$T$4001,AC$1))</f>
        <v/>
      </c>
      <c r="AD621">
        <f>IF(AE621=1,'Roster'!A621,"")</f>
        <v/>
      </c>
      <c r="AE621">
        <f>IF(TRIM('Roster'!B621&amp;'Roster'!C621)&lt;&gt;"",1,0)</f>
        <v/>
      </c>
      <c r="AF621">
        <f>IF(AE621=1,LOWER(A621),"#")</f>
        <v/>
      </c>
      <c r="AG621">
        <f>IF(AE621=1,LOWER(TRIM(TRIM('Roster'!C621)&amp;", "&amp;TRIM('Roster'!B621))),"#")</f>
        <v/>
      </c>
      <c r="AH621">
        <f>IF(AND(AE621=1,TRIM('Roster'!F621)&lt;&gt;""),LOWER(TRIM('Roster'!F621)),"#")</f>
        <v/>
      </c>
      <c r="AI621">
        <f>IF(AE621=1,IF(MATCH(B621,$B$2:$B$701,0)=ROW()-1,1,0),0)</f>
        <v/>
      </c>
      <c r="AJ621">
        <f>AJ620+AI621</f>
        <v/>
      </c>
      <c r="AK621">
        <f>IF(AE621=1,D621+(1000-ROW())/10^7,-1)</f>
        <v/>
      </c>
      <c r="AL621">
        <f>IF(AE621=1,TRIM('Roster'!B621)&amp;" "&amp;LEFT(TRIM('Roster'!C621),1)&amp;".","")</f>
        <v/>
      </c>
      <c r="AM621">
        <f>IF(AE621=1,TRIM('Roster'!C621)&amp;", "&amp;TRIM('Roster'!B621)&amp;" ("&amp;B621&amp;") #"&amp;AD621,"")</f>
        <v/>
      </c>
      <c r="AN621">
        <f>IF(AE621=1,TRIM('Roster'!E621),"")</f>
        <v/>
      </c>
      <c r="AO621">
        <f>IF(AE621=1,ROUND(SUMIFS('All Donations'!$S$2:$S$4001,'All Donations'!$R$2:$R$4001,AD621,'All Donations'!$T$2:$T$4001,"&gt;="&amp;'Settings'!$C$23,'All Donations'!$T$2:$T$4001,"&lt;="&amp;'Settings'!$D$23),2),0)</f>
        <v/>
      </c>
      <c r="AQ621">
        <f>IF(AE621=1,ROUND(SUMIFS('All Donations'!$S$2:$S$4001,'All Donations'!$R$2:$R$4001,AD621,'All Donations'!$T$2:$T$4001,"&gt;="&amp;'Settings'!$C$25,'All Donations'!$T$2:$T$4001,"&lt;="&amp;'Settings'!$D$25),2),0)</f>
        <v/>
      </c>
      <c r="AR621">
        <f>IF(AE621=1,ROUND(SUMIFS('All Donations'!$S$2:$S$4001,'All Donations'!$R$2:$R$4001,AD621,'All Donations'!$T$2:$T$4001,"&gt;="&amp;'Settings'!$C$26,'All Donations'!$T$2:$T$4001,"&lt;="&amp;'Settings'!$D$26),2),0)</f>
        <v/>
      </c>
      <c r="AS621">
        <f>IF(AE621=1,ROUND(SUMIFS('All Donations'!$S$2:$S$4001,'All Donations'!$R$2:$R$4001,AD621,'All Donations'!$T$2:$T$4001,"&lt;="&amp;'Settings'!$D$27),2),0)</f>
        <v/>
      </c>
      <c r="AT621">
        <f>IF(AE621=1,ROUND(SUMIFS('All Donations'!$S$2:$S$4001,'All Donations'!$R$2:$R$4001,AD621,'All Donations'!$T$2:$T$4001,"&gt;="&amp;'Settings'!$C$28,'All Donations'!$T$2:$T$4001,"&lt;="&amp;'Settings'!$D$28),2),0)</f>
        <v/>
      </c>
      <c r="AU621">
        <f>IF(AE621=1,ROUND(SUMIFS('All Donations'!$S$2:$S$4001,'All Donations'!$R$2:$R$4001,AD621,'All Donations'!$T$2:$T$4001,"&gt;="&amp;'Settings'!$C$29,'All Donations'!$T$2:$T$4001,"&lt;="&amp;'Settings'!$D$29),2),0)</f>
        <v/>
      </c>
      <c r="AV621">
        <f>IF(AE621=1,ROUND(SUMIFS('All Donations'!$S$2:$S$4001,'All Donations'!$R$2:$R$4001,AD621,'All Donations'!$T$2:$T$4001,"&lt;="&amp;'Settings'!$D$30),2),0)</f>
        <v/>
      </c>
      <c r="AZ621">
        <f>IF(AE621=1,ROUND(SUMIFS('All Donations'!$S$2:$S$4001,'All Donations'!$R$2:$R$4001,AD621,'All Donations'!$T$2:$T$4001,"&lt;="&amp;'Settings'!$D$34),2),0)</f>
        <v/>
      </c>
    </row>
    <row r="622">
      <c r="A622">
        <f>IF(AE622=1,TRIM(TRIM('Roster'!B622)&amp;" "&amp;TRIM('Roster'!C622)),"")</f>
        <v/>
      </c>
      <c r="B622">
        <f>IF(AE622=1,IF(AN622="","(no teacher)",AN622&amp;" – "&amp;C622),"")</f>
        <v/>
      </c>
      <c r="C622">
        <f>IF(AE622=1,TRIM('Roster'!D622&amp;""),"")</f>
        <v/>
      </c>
      <c r="D622" s="48">
        <f>IF(AE622=1,ROUND(SUMIFS('All Donations'!$S$2:$S$4001,'All Donations'!$R$2:$R$4001,AD622),2),"")</f>
        <v/>
      </c>
      <c r="E622" s="48">
        <f>IF(AE622=1,ROUND(SUMIFS('All Donations'!$S$2:$S$4001,'All Donations'!$R$2:$R$4001,AD622,'All Donations'!$G$2:$G$4001,"OneCause"),2),"")</f>
        <v/>
      </c>
      <c r="F622" s="48">
        <f>IF(AE622=1,D622-E622,"")</f>
        <v/>
      </c>
      <c r="G622">
        <f>IF(AE622=1,COUNTIFS('All Donations'!$R$2:$R$4001,AD622,'All Donations'!$H$2:$H$4001,"OK"),"")</f>
        <v/>
      </c>
      <c r="H622">
        <f>IF(AE622&lt;&gt;1,"",IF(D622&gt;0,"Yes",""))</f>
        <v/>
      </c>
      <c r="I622" s="49">
        <f>IF(OR($AE622&lt;&gt;1,I$1=""),"",SUMIFS('All Donations'!$S$2:$S$4001,'All Donations'!$R$2:$R$4001,$AD622,'All Donations'!$T$2:$T$4001,I$1))</f>
        <v/>
      </c>
      <c r="J622" s="49">
        <f>IF(OR($AE622&lt;&gt;1,J$1=""),"",SUMIFS('All Donations'!$S$2:$S$4001,'All Donations'!$R$2:$R$4001,$AD622,'All Donations'!$T$2:$T$4001,J$1))</f>
        <v/>
      </c>
      <c r="K622" s="49">
        <f>IF(OR($AE622&lt;&gt;1,K$1=""),"",SUMIFS('All Donations'!$S$2:$S$4001,'All Donations'!$R$2:$R$4001,$AD622,'All Donations'!$T$2:$T$4001,K$1))</f>
        <v/>
      </c>
      <c r="L622" s="49">
        <f>IF(OR($AE622&lt;&gt;1,L$1=""),"",SUMIFS('All Donations'!$S$2:$S$4001,'All Donations'!$R$2:$R$4001,$AD622,'All Donations'!$T$2:$T$4001,L$1))</f>
        <v/>
      </c>
      <c r="M622" s="49">
        <f>IF(OR($AE622&lt;&gt;1,M$1=""),"",SUMIFS('All Donations'!$S$2:$S$4001,'All Donations'!$R$2:$R$4001,$AD622,'All Donations'!$T$2:$T$4001,M$1))</f>
        <v/>
      </c>
      <c r="N622" s="49">
        <f>IF(OR($AE622&lt;&gt;1,N$1=""),"",SUMIFS('All Donations'!$S$2:$S$4001,'All Donations'!$R$2:$R$4001,$AD622,'All Donations'!$T$2:$T$4001,N$1))</f>
        <v/>
      </c>
      <c r="O622" s="49">
        <f>IF(OR($AE622&lt;&gt;1,O$1=""),"",SUMIFS('All Donations'!$S$2:$S$4001,'All Donations'!$R$2:$R$4001,$AD622,'All Donations'!$T$2:$T$4001,O$1))</f>
        <v/>
      </c>
      <c r="P622" s="49">
        <f>IF(OR($AE622&lt;&gt;1,P$1=""),"",SUMIFS('All Donations'!$S$2:$S$4001,'All Donations'!$R$2:$R$4001,$AD622,'All Donations'!$T$2:$T$4001,P$1))</f>
        <v/>
      </c>
      <c r="Q622" s="49">
        <f>IF(OR($AE622&lt;&gt;1,Q$1=""),"",SUMIFS('All Donations'!$S$2:$S$4001,'All Donations'!$R$2:$R$4001,$AD622,'All Donations'!$T$2:$T$4001,Q$1))</f>
        <v/>
      </c>
      <c r="R622" s="49">
        <f>IF(OR($AE622&lt;&gt;1,R$1=""),"",SUMIFS('All Donations'!$S$2:$S$4001,'All Donations'!$R$2:$R$4001,$AD622,'All Donations'!$T$2:$T$4001,R$1))</f>
        <v/>
      </c>
      <c r="S622" s="49">
        <f>IF(OR($AE622&lt;&gt;1,S$1=""),"",SUMIFS('All Donations'!$S$2:$S$4001,'All Donations'!$R$2:$R$4001,$AD622,'All Donations'!$T$2:$T$4001,S$1))</f>
        <v/>
      </c>
      <c r="T622" s="49">
        <f>IF(OR($AE622&lt;&gt;1,T$1=""),"",SUMIFS('All Donations'!$S$2:$S$4001,'All Donations'!$R$2:$R$4001,$AD622,'All Donations'!$T$2:$T$4001,T$1))</f>
        <v/>
      </c>
      <c r="U622" s="49">
        <f>IF(OR($AE622&lt;&gt;1,U$1=""),"",SUMIFS('All Donations'!$S$2:$S$4001,'All Donations'!$R$2:$R$4001,$AD622,'All Donations'!$T$2:$T$4001,U$1))</f>
        <v/>
      </c>
      <c r="V622" s="49">
        <f>IF(OR($AE622&lt;&gt;1,V$1=""),"",SUMIFS('All Donations'!$S$2:$S$4001,'All Donations'!$R$2:$R$4001,$AD622,'All Donations'!$T$2:$T$4001,V$1))</f>
        <v/>
      </c>
      <c r="W622" s="49">
        <f>IF(OR($AE622&lt;&gt;1,W$1=""),"",SUMIFS('All Donations'!$S$2:$S$4001,'All Donations'!$R$2:$R$4001,$AD622,'All Donations'!$T$2:$T$4001,W$1))</f>
        <v/>
      </c>
      <c r="X622" s="49">
        <f>IF(OR($AE622&lt;&gt;1,X$1=""),"",SUMIFS('All Donations'!$S$2:$S$4001,'All Donations'!$R$2:$R$4001,$AD622,'All Donations'!$T$2:$T$4001,X$1))</f>
        <v/>
      </c>
      <c r="Y622" s="49">
        <f>IF(OR($AE622&lt;&gt;1,Y$1=""),"",SUMIFS('All Donations'!$S$2:$S$4001,'All Donations'!$R$2:$R$4001,$AD622,'All Donations'!$T$2:$T$4001,Y$1))</f>
        <v/>
      </c>
      <c r="Z622" s="49">
        <f>IF(OR($AE622&lt;&gt;1,Z$1=""),"",SUMIFS('All Donations'!$S$2:$S$4001,'All Donations'!$R$2:$R$4001,$AD622,'All Donations'!$T$2:$T$4001,Z$1))</f>
        <v/>
      </c>
      <c r="AA622" s="49">
        <f>IF(OR($AE622&lt;&gt;1,AA$1=""),"",SUMIFS('All Donations'!$S$2:$S$4001,'All Donations'!$R$2:$R$4001,$AD622,'All Donations'!$T$2:$T$4001,AA$1))</f>
        <v/>
      </c>
      <c r="AB622" s="49">
        <f>IF(OR($AE622&lt;&gt;1,AB$1=""),"",SUMIFS('All Donations'!$S$2:$S$4001,'All Donations'!$R$2:$R$4001,$AD622,'All Donations'!$T$2:$T$4001,AB$1))</f>
        <v/>
      </c>
      <c r="AC622" s="49">
        <f>IF(OR($AE622&lt;&gt;1,AC$1=""),"",SUMIFS('All Donations'!$S$2:$S$4001,'All Donations'!$R$2:$R$4001,$AD622,'All Donations'!$T$2:$T$4001,AC$1))</f>
        <v/>
      </c>
      <c r="AD622">
        <f>IF(AE622=1,'Roster'!A622,"")</f>
        <v/>
      </c>
      <c r="AE622">
        <f>IF(TRIM('Roster'!B622&amp;'Roster'!C622)&lt;&gt;"",1,0)</f>
        <v/>
      </c>
      <c r="AF622">
        <f>IF(AE622=1,LOWER(A622),"#")</f>
        <v/>
      </c>
      <c r="AG622">
        <f>IF(AE622=1,LOWER(TRIM(TRIM('Roster'!C622)&amp;", "&amp;TRIM('Roster'!B622))),"#")</f>
        <v/>
      </c>
      <c r="AH622">
        <f>IF(AND(AE622=1,TRIM('Roster'!F622)&lt;&gt;""),LOWER(TRIM('Roster'!F622)),"#")</f>
        <v/>
      </c>
      <c r="AI622">
        <f>IF(AE622=1,IF(MATCH(B622,$B$2:$B$701,0)=ROW()-1,1,0),0)</f>
        <v/>
      </c>
      <c r="AJ622">
        <f>AJ621+AI622</f>
        <v/>
      </c>
      <c r="AK622">
        <f>IF(AE622=1,D622+(1000-ROW())/10^7,-1)</f>
        <v/>
      </c>
      <c r="AL622">
        <f>IF(AE622=1,TRIM('Roster'!B622)&amp;" "&amp;LEFT(TRIM('Roster'!C622),1)&amp;".","")</f>
        <v/>
      </c>
      <c r="AM622">
        <f>IF(AE622=1,TRIM('Roster'!C622)&amp;", "&amp;TRIM('Roster'!B622)&amp;" ("&amp;B622&amp;") #"&amp;AD622,"")</f>
        <v/>
      </c>
      <c r="AN622">
        <f>IF(AE622=1,TRIM('Roster'!E622),"")</f>
        <v/>
      </c>
      <c r="AO622">
        <f>IF(AE622=1,ROUND(SUMIFS('All Donations'!$S$2:$S$4001,'All Donations'!$R$2:$R$4001,AD622,'All Donations'!$T$2:$T$4001,"&gt;="&amp;'Settings'!$C$23,'All Donations'!$T$2:$T$4001,"&lt;="&amp;'Settings'!$D$23),2),0)</f>
        <v/>
      </c>
      <c r="AQ622">
        <f>IF(AE622=1,ROUND(SUMIFS('All Donations'!$S$2:$S$4001,'All Donations'!$R$2:$R$4001,AD622,'All Donations'!$T$2:$T$4001,"&gt;="&amp;'Settings'!$C$25,'All Donations'!$T$2:$T$4001,"&lt;="&amp;'Settings'!$D$25),2),0)</f>
        <v/>
      </c>
      <c r="AR622">
        <f>IF(AE622=1,ROUND(SUMIFS('All Donations'!$S$2:$S$4001,'All Donations'!$R$2:$R$4001,AD622,'All Donations'!$T$2:$T$4001,"&gt;="&amp;'Settings'!$C$26,'All Donations'!$T$2:$T$4001,"&lt;="&amp;'Settings'!$D$26),2),0)</f>
        <v/>
      </c>
      <c r="AS622">
        <f>IF(AE622=1,ROUND(SUMIFS('All Donations'!$S$2:$S$4001,'All Donations'!$R$2:$R$4001,AD622,'All Donations'!$T$2:$T$4001,"&lt;="&amp;'Settings'!$D$27),2),0)</f>
        <v/>
      </c>
      <c r="AT622">
        <f>IF(AE622=1,ROUND(SUMIFS('All Donations'!$S$2:$S$4001,'All Donations'!$R$2:$R$4001,AD622,'All Donations'!$T$2:$T$4001,"&gt;="&amp;'Settings'!$C$28,'All Donations'!$T$2:$T$4001,"&lt;="&amp;'Settings'!$D$28),2),0)</f>
        <v/>
      </c>
      <c r="AU622">
        <f>IF(AE622=1,ROUND(SUMIFS('All Donations'!$S$2:$S$4001,'All Donations'!$R$2:$R$4001,AD622,'All Donations'!$T$2:$T$4001,"&gt;="&amp;'Settings'!$C$29,'All Donations'!$T$2:$T$4001,"&lt;="&amp;'Settings'!$D$29),2),0)</f>
        <v/>
      </c>
      <c r="AV622">
        <f>IF(AE622=1,ROUND(SUMIFS('All Donations'!$S$2:$S$4001,'All Donations'!$R$2:$R$4001,AD622,'All Donations'!$T$2:$T$4001,"&lt;="&amp;'Settings'!$D$30),2),0)</f>
        <v/>
      </c>
      <c r="AZ622">
        <f>IF(AE622=1,ROUND(SUMIFS('All Donations'!$S$2:$S$4001,'All Donations'!$R$2:$R$4001,AD622,'All Donations'!$T$2:$T$4001,"&lt;="&amp;'Settings'!$D$34),2),0)</f>
        <v/>
      </c>
    </row>
    <row r="623">
      <c r="A623">
        <f>IF(AE623=1,TRIM(TRIM('Roster'!B623)&amp;" "&amp;TRIM('Roster'!C623)),"")</f>
        <v/>
      </c>
      <c r="B623">
        <f>IF(AE623=1,IF(AN623="","(no teacher)",AN623&amp;" – "&amp;C623),"")</f>
        <v/>
      </c>
      <c r="C623">
        <f>IF(AE623=1,TRIM('Roster'!D623&amp;""),"")</f>
        <v/>
      </c>
      <c r="D623" s="48">
        <f>IF(AE623=1,ROUND(SUMIFS('All Donations'!$S$2:$S$4001,'All Donations'!$R$2:$R$4001,AD623),2),"")</f>
        <v/>
      </c>
      <c r="E623" s="48">
        <f>IF(AE623=1,ROUND(SUMIFS('All Donations'!$S$2:$S$4001,'All Donations'!$R$2:$R$4001,AD623,'All Donations'!$G$2:$G$4001,"OneCause"),2),"")</f>
        <v/>
      </c>
      <c r="F623" s="48">
        <f>IF(AE623=1,D623-E623,"")</f>
        <v/>
      </c>
      <c r="G623">
        <f>IF(AE623=1,COUNTIFS('All Donations'!$R$2:$R$4001,AD623,'All Donations'!$H$2:$H$4001,"OK"),"")</f>
        <v/>
      </c>
      <c r="H623">
        <f>IF(AE623&lt;&gt;1,"",IF(D623&gt;0,"Yes",""))</f>
        <v/>
      </c>
      <c r="I623" s="49">
        <f>IF(OR($AE623&lt;&gt;1,I$1=""),"",SUMIFS('All Donations'!$S$2:$S$4001,'All Donations'!$R$2:$R$4001,$AD623,'All Donations'!$T$2:$T$4001,I$1))</f>
        <v/>
      </c>
      <c r="J623" s="49">
        <f>IF(OR($AE623&lt;&gt;1,J$1=""),"",SUMIFS('All Donations'!$S$2:$S$4001,'All Donations'!$R$2:$R$4001,$AD623,'All Donations'!$T$2:$T$4001,J$1))</f>
        <v/>
      </c>
      <c r="K623" s="49">
        <f>IF(OR($AE623&lt;&gt;1,K$1=""),"",SUMIFS('All Donations'!$S$2:$S$4001,'All Donations'!$R$2:$R$4001,$AD623,'All Donations'!$T$2:$T$4001,K$1))</f>
        <v/>
      </c>
      <c r="L623" s="49">
        <f>IF(OR($AE623&lt;&gt;1,L$1=""),"",SUMIFS('All Donations'!$S$2:$S$4001,'All Donations'!$R$2:$R$4001,$AD623,'All Donations'!$T$2:$T$4001,L$1))</f>
        <v/>
      </c>
      <c r="M623" s="49">
        <f>IF(OR($AE623&lt;&gt;1,M$1=""),"",SUMIFS('All Donations'!$S$2:$S$4001,'All Donations'!$R$2:$R$4001,$AD623,'All Donations'!$T$2:$T$4001,M$1))</f>
        <v/>
      </c>
      <c r="N623" s="49">
        <f>IF(OR($AE623&lt;&gt;1,N$1=""),"",SUMIFS('All Donations'!$S$2:$S$4001,'All Donations'!$R$2:$R$4001,$AD623,'All Donations'!$T$2:$T$4001,N$1))</f>
        <v/>
      </c>
      <c r="O623" s="49">
        <f>IF(OR($AE623&lt;&gt;1,O$1=""),"",SUMIFS('All Donations'!$S$2:$S$4001,'All Donations'!$R$2:$R$4001,$AD623,'All Donations'!$T$2:$T$4001,O$1))</f>
        <v/>
      </c>
      <c r="P623" s="49">
        <f>IF(OR($AE623&lt;&gt;1,P$1=""),"",SUMIFS('All Donations'!$S$2:$S$4001,'All Donations'!$R$2:$R$4001,$AD623,'All Donations'!$T$2:$T$4001,P$1))</f>
        <v/>
      </c>
      <c r="Q623" s="49">
        <f>IF(OR($AE623&lt;&gt;1,Q$1=""),"",SUMIFS('All Donations'!$S$2:$S$4001,'All Donations'!$R$2:$R$4001,$AD623,'All Donations'!$T$2:$T$4001,Q$1))</f>
        <v/>
      </c>
      <c r="R623" s="49">
        <f>IF(OR($AE623&lt;&gt;1,R$1=""),"",SUMIFS('All Donations'!$S$2:$S$4001,'All Donations'!$R$2:$R$4001,$AD623,'All Donations'!$T$2:$T$4001,R$1))</f>
        <v/>
      </c>
      <c r="S623" s="49">
        <f>IF(OR($AE623&lt;&gt;1,S$1=""),"",SUMIFS('All Donations'!$S$2:$S$4001,'All Donations'!$R$2:$R$4001,$AD623,'All Donations'!$T$2:$T$4001,S$1))</f>
        <v/>
      </c>
      <c r="T623" s="49">
        <f>IF(OR($AE623&lt;&gt;1,T$1=""),"",SUMIFS('All Donations'!$S$2:$S$4001,'All Donations'!$R$2:$R$4001,$AD623,'All Donations'!$T$2:$T$4001,T$1))</f>
        <v/>
      </c>
      <c r="U623" s="49">
        <f>IF(OR($AE623&lt;&gt;1,U$1=""),"",SUMIFS('All Donations'!$S$2:$S$4001,'All Donations'!$R$2:$R$4001,$AD623,'All Donations'!$T$2:$T$4001,U$1))</f>
        <v/>
      </c>
      <c r="V623" s="49">
        <f>IF(OR($AE623&lt;&gt;1,V$1=""),"",SUMIFS('All Donations'!$S$2:$S$4001,'All Donations'!$R$2:$R$4001,$AD623,'All Donations'!$T$2:$T$4001,V$1))</f>
        <v/>
      </c>
      <c r="W623" s="49">
        <f>IF(OR($AE623&lt;&gt;1,W$1=""),"",SUMIFS('All Donations'!$S$2:$S$4001,'All Donations'!$R$2:$R$4001,$AD623,'All Donations'!$T$2:$T$4001,W$1))</f>
        <v/>
      </c>
      <c r="X623" s="49">
        <f>IF(OR($AE623&lt;&gt;1,X$1=""),"",SUMIFS('All Donations'!$S$2:$S$4001,'All Donations'!$R$2:$R$4001,$AD623,'All Donations'!$T$2:$T$4001,X$1))</f>
        <v/>
      </c>
      <c r="Y623" s="49">
        <f>IF(OR($AE623&lt;&gt;1,Y$1=""),"",SUMIFS('All Donations'!$S$2:$S$4001,'All Donations'!$R$2:$R$4001,$AD623,'All Donations'!$T$2:$T$4001,Y$1))</f>
        <v/>
      </c>
      <c r="Z623" s="49">
        <f>IF(OR($AE623&lt;&gt;1,Z$1=""),"",SUMIFS('All Donations'!$S$2:$S$4001,'All Donations'!$R$2:$R$4001,$AD623,'All Donations'!$T$2:$T$4001,Z$1))</f>
        <v/>
      </c>
      <c r="AA623" s="49">
        <f>IF(OR($AE623&lt;&gt;1,AA$1=""),"",SUMIFS('All Donations'!$S$2:$S$4001,'All Donations'!$R$2:$R$4001,$AD623,'All Donations'!$T$2:$T$4001,AA$1))</f>
        <v/>
      </c>
      <c r="AB623" s="49">
        <f>IF(OR($AE623&lt;&gt;1,AB$1=""),"",SUMIFS('All Donations'!$S$2:$S$4001,'All Donations'!$R$2:$R$4001,$AD623,'All Donations'!$T$2:$T$4001,AB$1))</f>
        <v/>
      </c>
      <c r="AC623" s="49">
        <f>IF(OR($AE623&lt;&gt;1,AC$1=""),"",SUMIFS('All Donations'!$S$2:$S$4001,'All Donations'!$R$2:$R$4001,$AD623,'All Donations'!$T$2:$T$4001,AC$1))</f>
        <v/>
      </c>
      <c r="AD623">
        <f>IF(AE623=1,'Roster'!A623,"")</f>
        <v/>
      </c>
      <c r="AE623">
        <f>IF(TRIM('Roster'!B623&amp;'Roster'!C623)&lt;&gt;"",1,0)</f>
        <v/>
      </c>
      <c r="AF623">
        <f>IF(AE623=1,LOWER(A623),"#")</f>
        <v/>
      </c>
      <c r="AG623">
        <f>IF(AE623=1,LOWER(TRIM(TRIM('Roster'!C623)&amp;", "&amp;TRIM('Roster'!B623))),"#")</f>
        <v/>
      </c>
      <c r="AH623">
        <f>IF(AND(AE623=1,TRIM('Roster'!F623)&lt;&gt;""),LOWER(TRIM('Roster'!F623)),"#")</f>
        <v/>
      </c>
      <c r="AI623">
        <f>IF(AE623=1,IF(MATCH(B623,$B$2:$B$701,0)=ROW()-1,1,0),0)</f>
        <v/>
      </c>
      <c r="AJ623">
        <f>AJ622+AI623</f>
        <v/>
      </c>
      <c r="AK623">
        <f>IF(AE623=1,D623+(1000-ROW())/10^7,-1)</f>
        <v/>
      </c>
      <c r="AL623">
        <f>IF(AE623=1,TRIM('Roster'!B623)&amp;" "&amp;LEFT(TRIM('Roster'!C623),1)&amp;".","")</f>
        <v/>
      </c>
      <c r="AM623">
        <f>IF(AE623=1,TRIM('Roster'!C623)&amp;", "&amp;TRIM('Roster'!B623)&amp;" ("&amp;B623&amp;") #"&amp;AD623,"")</f>
        <v/>
      </c>
      <c r="AN623">
        <f>IF(AE623=1,TRIM('Roster'!E623),"")</f>
        <v/>
      </c>
      <c r="AO623">
        <f>IF(AE623=1,ROUND(SUMIFS('All Donations'!$S$2:$S$4001,'All Donations'!$R$2:$R$4001,AD623,'All Donations'!$T$2:$T$4001,"&gt;="&amp;'Settings'!$C$23,'All Donations'!$T$2:$T$4001,"&lt;="&amp;'Settings'!$D$23),2),0)</f>
        <v/>
      </c>
      <c r="AQ623">
        <f>IF(AE623=1,ROUND(SUMIFS('All Donations'!$S$2:$S$4001,'All Donations'!$R$2:$R$4001,AD623,'All Donations'!$T$2:$T$4001,"&gt;="&amp;'Settings'!$C$25,'All Donations'!$T$2:$T$4001,"&lt;="&amp;'Settings'!$D$25),2),0)</f>
        <v/>
      </c>
      <c r="AR623">
        <f>IF(AE623=1,ROUND(SUMIFS('All Donations'!$S$2:$S$4001,'All Donations'!$R$2:$R$4001,AD623,'All Donations'!$T$2:$T$4001,"&gt;="&amp;'Settings'!$C$26,'All Donations'!$T$2:$T$4001,"&lt;="&amp;'Settings'!$D$26),2),0)</f>
        <v/>
      </c>
      <c r="AS623">
        <f>IF(AE623=1,ROUND(SUMIFS('All Donations'!$S$2:$S$4001,'All Donations'!$R$2:$R$4001,AD623,'All Donations'!$T$2:$T$4001,"&lt;="&amp;'Settings'!$D$27),2),0)</f>
        <v/>
      </c>
      <c r="AT623">
        <f>IF(AE623=1,ROUND(SUMIFS('All Donations'!$S$2:$S$4001,'All Donations'!$R$2:$R$4001,AD623,'All Donations'!$T$2:$T$4001,"&gt;="&amp;'Settings'!$C$28,'All Donations'!$T$2:$T$4001,"&lt;="&amp;'Settings'!$D$28),2),0)</f>
        <v/>
      </c>
      <c r="AU623">
        <f>IF(AE623=1,ROUND(SUMIFS('All Donations'!$S$2:$S$4001,'All Donations'!$R$2:$R$4001,AD623,'All Donations'!$T$2:$T$4001,"&gt;="&amp;'Settings'!$C$29,'All Donations'!$T$2:$T$4001,"&lt;="&amp;'Settings'!$D$29),2),0)</f>
        <v/>
      </c>
      <c r="AV623">
        <f>IF(AE623=1,ROUND(SUMIFS('All Donations'!$S$2:$S$4001,'All Donations'!$R$2:$R$4001,AD623,'All Donations'!$T$2:$T$4001,"&lt;="&amp;'Settings'!$D$30),2),0)</f>
        <v/>
      </c>
      <c r="AZ623">
        <f>IF(AE623=1,ROUND(SUMIFS('All Donations'!$S$2:$S$4001,'All Donations'!$R$2:$R$4001,AD623,'All Donations'!$T$2:$T$4001,"&lt;="&amp;'Settings'!$D$34),2),0)</f>
        <v/>
      </c>
    </row>
    <row r="624">
      <c r="A624">
        <f>IF(AE624=1,TRIM(TRIM('Roster'!B624)&amp;" "&amp;TRIM('Roster'!C624)),"")</f>
        <v/>
      </c>
      <c r="B624">
        <f>IF(AE624=1,IF(AN624="","(no teacher)",AN624&amp;" – "&amp;C624),"")</f>
        <v/>
      </c>
      <c r="C624">
        <f>IF(AE624=1,TRIM('Roster'!D624&amp;""),"")</f>
        <v/>
      </c>
      <c r="D624" s="48">
        <f>IF(AE624=1,ROUND(SUMIFS('All Donations'!$S$2:$S$4001,'All Donations'!$R$2:$R$4001,AD624),2),"")</f>
        <v/>
      </c>
      <c r="E624" s="48">
        <f>IF(AE624=1,ROUND(SUMIFS('All Donations'!$S$2:$S$4001,'All Donations'!$R$2:$R$4001,AD624,'All Donations'!$G$2:$G$4001,"OneCause"),2),"")</f>
        <v/>
      </c>
      <c r="F624" s="48">
        <f>IF(AE624=1,D624-E624,"")</f>
        <v/>
      </c>
      <c r="G624">
        <f>IF(AE624=1,COUNTIFS('All Donations'!$R$2:$R$4001,AD624,'All Donations'!$H$2:$H$4001,"OK"),"")</f>
        <v/>
      </c>
      <c r="H624">
        <f>IF(AE624&lt;&gt;1,"",IF(D624&gt;0,"Yes",""))</f>
        <v/>
      </c>
      <c r="I624" s="49">
        <f>IF(OR($AE624&lt;&gt;1,I$1=""),"",SUMIFS('All Donations'!$S$2:$S$4001,'All Donations'!$R$2:$R$4001,$AD624,'All Donations'!$T$2:$T$4001,I$1))</f>
        <v/>
      </c>
      <c r="J624" s="49">
        <f>IF(OR($AE624&lt;&gt;1,J$1=""),"",SUMIFS('All Donations'!$S$2:$S$4001,'All Donations'!$R$2:$R$4001,$AD624,'All Donations'!$T$2:$T$4001,J$1))</f>
        <v/>
      </c>
      <c r="K624" s="49">
        <f>IF(OR($AE624&lt;&gt;1,K$1=""),"",SUMIFS('All Donations'!$S$2:$S$4001,'All Donations'!$R$2:$R$4001,$AD624,'All Donations'!$T$2:$T$4001,K$1))</f>
        <v/>
      </c>
      <c r="L624" s="49">
        <f>IF(OR($AE624&lt;&gt;1,L$1=""),"",SUMIFS('All Donations'!$S$2:$S$4001,'All Donations'!$R$2:$R$4001,$AD624,'All Donations'!$T$2:$T$4001,L$1))</f>
        <v/>
      </c>
      <c r="M624" s="49">
        <f>IF(OR($AE624&lt;&gt;1,M$1=""),"",SUMIFS('All Donations'!$S$2:$S$4001,'All Donations'!$R$2:$R$4001,$AD624,'All Donations'!$T$2:$T$4001,M$1))</f>
        <v/>
      </c>
      <c r="N624" s="49">
        <f>IF(OR($AE624&lt;&gt;1,N$1=""),"",SUMIFS('All Donations'!$S$2:$S$4001,'All Donations'!$R$2:$R$4001,$AD624,'All Donations'!$T$2:$T$4001,N$1))</f>
        <v/>
      </c>
      <c r="O624" s="49">
        <f>IF(OR($AE624&lt;&gt;1,O$1=""),"",SUMIFS('All Donations'!$S$2:$S$4001,'All Donations'!$R$2:$R$4001,$AD624,'All Donations'!$T$2:$T$4001,O$1))</f>
        <v/>
      </c>
      <c r="P624" s="49">
        <f>IF(OR($AE624&lt;&gt;1,P$1=""),"",SUMIFS('All Donations'!$S$2:$S$4001,'All Donations'!$R$2:$R$4001,$AD624,'All Donations'!$T$2:$T$4001,P$1))</f>
        <v/>
      </c>
      <c r="Q624" s="49">
        <f>IF(OR($AE624&lt;&gt;1,Q$1=""),"",SUMIFS('All Donations'!$S$2:$S$4001,'All Donations'!$R$2:$R$4001,$AD624,'All Donations'!$T$2:$T$4001,Q$1))</f>
        <v/>
      </c>
      <c r="R624" s="49">
        <f>IF(OR($AE624&lt;&gt;1,R$1=""),"",SUMIFS('All Donations'!$S$2:$S$4001,'All Donations'!$R$2:$R$4001,$AD624,'All Donations'!$T$2:$T$4001,R$1))</f>
        <v/>
      </c>
      <c r="S624" s="49">
        <f>IF(OR($AE624&lt;&gt;1,S$1=""),"",SUMIFS('All Donations'!$S$2:$S$4001,'All Donations'!$R$2:$R$4001,$AD624,'All Donations'!$T$2:$T$4001,S$1))</f>
        <v/>
      </c>
      <c r="T624" s="49">
        <f>IF(OR($AE624&lt;&gt;1,T$1=""),"",SUMIFS('All Donations'!$S$2:$S$4001,'All Donations'!$R$2:$R$4001,$AD624,'All Donations'!$T$2:$T$4001,T$1))</f>
        <v/>
      </c>
      <c r="U624" s="49">
        <f>IF(OR($AE624&lt;&gt;1,U$1=""),"",SUMIFS('All Donations'!$S$2:$S$4001,'All Donations'!$R$2:$R$4001,$AD624,'All Donations'!$T$2:$T$4001,U$1))</f>
        <v/>
      </c>
      <c r="V624" s="49">
        <f>IF(OR($AE624&lt;&gt;1,V$1=""),"",SUMIFS('All Donations'!$S$2:$S$4001,'All Donations'!$R$2:$R$4001,$AD624,'All Donations'!$T$2:$T$4001,V$1))</f>
        <v/>
      </c>
      <c r="W624" s="49">
        <f>IF(OR($AE624&lt;&gt;1,W$1=""),"",SUMIFS('All Donations'!$S$2:$S$4001,'All Donations'!$R$2:$R$4001,$AD624,'All Donations'!$T$2:$T$4001,W$1))</f>
        <v/>
      </c>
      <c r="X624" s="49">
        <f>IF(OR($AE624&lt;&gt;1,X$1=""),"",SUMIFS('All Donations'!$S$2:$S$4001,'All Donations'!$R$2:$R$4001,$AD624,'All Donations'!$T$2:$T$4001,X$1))</f>
        <v/>
      </c>
      <c r="Y624" s="49">
        <f>IF(OR($AE624&lt;&gt;1,Y$1=""),"",SUMIFS('All Donations'!$S$2:$S$4001,'All Donations'!$R$2:$R$4001,$AD624,'All Donations'!$T$2:$T$4001,Y$1))</f>
        <v/>
      </c>
      <c r="Z624" s="49">
        <f>IF(OR($AE624&lt;&gt;1,Z$1=""),"",SUMIFS('All Donations'!$S$2:$S$4001,'All Donations'!$R$2:$R$4001,$AD624,'All Donations'!$T$2:$T$4001,Z$1))</f>
        <v/>
      </c>
      <c r="AA624" s="49">
        <f>IF(OR($AE624&lt;&gt;1,AA$1=""),"",SUMIFS('All Donations'!$S$2:$S$4001,'All Donations'!$R$2:$R$4001,$AD624,'All Donations'!$T$2:$T$4001,AA$1))</f>
        <v/>
      </c>
      <c r="AB624" s="49">
        <f>IF(OR($AE624&lt;&gt;1,AB$1=""),"",SUMIFS('All Donations'!$S$2:$S$4001,'All Donations'!$R$2:$R$4001,$AD624,'All Donations'!$T$2:$T$4001,AB$1))</f>
        <v/>
      </c>
      <c r="AC624" s="49">
        <f>IF(OR($AE624&lt;&gt;1,AC$1=""),"",SUMIFS('All Donations'!$S$2:$S$4001,'All Donations'!$R$2:$R$4001,$AD624,'All Donations'!$T$2:$T$4001,AC$1))</f>
        <v/>
      </c>
      <c r="AD624">
        <f>IF(AE624=1,'Roster'!A624,"")</f>
        <v/>
      </c>
      <c r="AE624">
        <f>IF(TRIM('Roster'!B624&amp;'Roster'!C624)&lt;&gt;"",1,0)</f>
        <v/>
      </c>
      <c r="AF624">
        <f>IF(AE624=1,LOWER(A624),"#")</f>
        <v/>
      </c>
      <c r="AG624">
        <f>IF(AE624=1,LOWER(TRIM(TRIM('Roster'!C624)&amp;", "&amp;TRIM('Roster'!B624))),"#")</f>
        <v/>
      </c>
      <c r="AH624">
        <f>IF(AND(AE624=1,TRIM('Roster'!F624)&lt;&gt;""),LOWER(TRIM('Roster'!F624)),"#")</f>
        <v/>
      </c>
      <c r="AI624">
        <f>IF(AE624=1,IF(MATCH(B624,$B$2:$B$701,0)=ROW()-1,1,0),0)</f>
        <v/>
      </c>
      <c r="AJ624">
        <f>AJ623+AI624</f>
        <v/>
      </c>
      <c r="AK624">
        <f>IF(AE624=1,D624+(1000-ROW())/10^7,-1)</f>
        <v/>
      </c>
      <c r="AL624">
        <f>IF(AE624=1,TRIM('Roster'!B624)&amp;" "&amp;LEFT(TRIM('Roster'!C624),1)&amp;".","")</f>
        <v/>
      </c>
      <c r="AM624">
        <f>IF(AE624=1,TRIM('Roster'!C624)&amp;", "&amp;TRIM('Roster'!B624)&amp;" ("&amp;B624&amp;") #"&amp;AD624,"")</f>
        <v/>
      </c>
      <c r="AN624">
        <f>IF(AE624=1,TRIM('Roster'!E624),"")</f>
        <v/>
      </c>
      <c r="AO624">
        <f>IF(AE624=1,ROUND(SUMIFS('All Donations'!$S$2:$S$4001,'All Donations'!$R$2:$R$4001,AD624,'All Donations'!$T$2:$T$4001,"&gt;="&amp;'Settings'!$C$23,'All Donations'!$T$2:$T$4001,"&lt;="&amp;'Settings'!$D$23),2),0)</f>
        <v/>
      </c>
      <c r="AQ624">
        <f>IF(AE624=1,ROUND(SUMIFS('All Donations'!$S$2:$S$4001,'All Donations'!$R$2:$R$4001,AD624,'All Donations'!$T$2:$T$4001,"&gt;="&amp;'Settings'!$C$25,'All Donations'!$T$2:$T$4001,"&lt;="&amp;'Settings'!$D$25),2),0)</f>
        <v/>
      </c>
      <c r="AR624">
        <f>IF(AE624=1,ROUND(SUMIFS('All Donations'!$S$2:$S$4001,'All Donations'!$R$2:$R$4001,AD624,'All Donations'!$T$2:$T$4001,"&gt;="&amp;'Settings'!$C$26,'All Donations'!$T$2:$T$4001,"&lt;="&amp;'Settings'!$D$26),2),0)</f>
        <v/>
      </c>
      <c r="AS624">
        <f>IF(AE624=1,ROUND(SUMIFS('All Donations'!$S$2:$S$4001,'All Donations'!$R$2:$R$4001,AD624,'All Donations'!$T$2:$T$4001,"&lt;="&amp;'Settings'!$D$27),2),0)</f>
        <v/>
      </c>
      <c r="AT624">
        <f>IF(AE624=1,ROUND(SUMIFS('All Donations'!$S$2:$S$4001,'All Donations'!$R$2:$R$4001,AD624,'All Donations'!$T$2:$T$4001,"&gt;="&amp;'Settings'!$C$28,'All Donations'!$T$2:$T$4001,"&lt;="&amp;'Settings'!$D$28),2),0)</f>
        <v/>
      </c>
      <c r="AU624">
        <f>IF(AE624=1,ROUND(SUMIFS('All Donations'!$S$2:$S$4001,'All Donations'!$R$2:$R$4001,AD624,'All Donations'!$T$2:$T$4001,"&gt;="&amp;'Settings'!$C$29,'All Donations'!$T$2:$T$4001,"&lt;="&amp;'Settings'!$D$29),2),0)</f>
        <v/>
      </c>
      <c r="AV624">
        <f>IF(AE624=1,ROUND(SUMIFS('All Donations'!$S$2:$S$4001,'All Donations'!$R$2:$R$4001,AD624,'All Donations'!$T$2:$T$4001,"&lt;="&amp;'Settings'!$D$30),2),0)</f>
        <v/>
      </c>
      <c r="AZ624">
        <f>IF(AE624=1,ROUND(SUMIFS('All Donations'!$S$2:$S$4001,'All Donations'!$R$2:$R$4001,AD624,'All Donations'!$T$2:$T$4001,"&lt;="&amp;'Settings'!$D$34),2),0)</f>
        <v/>
      </c>
    </row>
    <row r="625">
      <c r="A625">
        <f>IF(AE625=1,TRIM(TRIM('Roster'!B625)&amp;" "&amp;TRIM('Roster'!C625)),"")</f>
        <v/>
      </c>
      <c r="B625">
        <f>IF(AE625=1,IF(AN625="","(no teacher)",AN625&amp;" – "&amp;C625),"")</f>
        <v/>
      </c>
      <c r="C625">
        <f>IF(AE625=1,TRIM('Roster'!D625&amp;""),"")</f>
        <v/>
      </c>
      <c r="D625" s="48">
        <f>IF(AE625=1,ROUND(SUMIFS('All Donations'!$S$2:$S$4001,'All Donations'!$R$2:$R$4001,AD625),2),"")</f>
        <v/>
      </c>
      <c r="E625" s="48">
        <f>IF(AE625=1,ROUND(SUMIFS('All Donations'!$S$2:$S$4001,'All Donations'!$R$2:$R$4001,AD625,'All Donations'!$G$2:$G$4001,"OneCause"),2),"")</f>
        <v/>
      </c>
      <c r="F625" s="48">
        <f>IF(AE625=1,D625-E625,"")</f>
        <v/>
      </c>
      <c r="G625">
        <f>IF(AE625=1,COUNTIFS('All Donations'!$R$2:$R$4001,AD625,'All Donations'!$H$2:$H$4001,"OK"),"")</f>
        <v/>
      </c>
      <c r="H625">
        <f>IF(AE625&lt;&gt;1,"",IF(D625&gt;0,"Yes",""))</f>
        <v/>
      </c>
      <c r="I625" s="49">
        <f>IF(OR($AE625&lt;&gt;1,I$1=""),"",SUMIFS('All Donations'!$S$2:$S$4001,'All Donations'!$R$2:$R$4001,$AD625,'All Donations'!$T$2:$T$4001,I$1))</f>
        <v/>
      </c>
      <c r="J625" s="49">
        <f>IF(OR($AE625&lt;&gt;1,J$1=""),"",SUMIFS('All Donations'!$S$2:$S$4001,'All Donations'!$R$2:$R$4001,$AD625,'All Donations'!$T$2:$T$4001,J$1))</f>
        <v/>
      </c>
      <c r="K625" s="49">
        <f>IF(OR($AE625&lt;&gt;1,K$1=""),"",SUMIFS('All Donations'!$S$2:$S$4001,'All Donations'!$R$2:$R$4001,$AD625,'All Donations'!$T$2:$T$4001,K$1))</f>
        <v/>
      </c>
      <c r="L625" s="49">
        <f>IF(OR($AE625&lt;&gt;1,L$1=""),"",SUMIFS('All Donations'!$S$2:$S$4001,'All Donations'!$R$2:$R$4001,$AD625,'All Donations'!$T$2:$T$4001,L$1))</f>
        <v/>
      </c>
      <c r="M625" s="49">
        <f>IF(OR($AE625&lt;&gt;1,M$1=""),"",SUMIFS('All Donations'!$S$2:$S$4001,'All Donations'!$R$2:$R$4001,$AD625,'All Donations'!$T$2:$T$4001,M$1))</f>
        <v/>
      </c>
      <c r="N625" s="49">
        <f>IF(OR($AE625&lt;&gt;1,N$1=""),"",SUMIFS('All Donations'!$S$2:$S$4001,'All Donations'!$R$2:$R$4001,$AD625,'All Donations'!$T$2:$T$4001,N$1))</f>
        <v/>
      </c>
      <c r="O625" s="49">
        <f>IF(OR($AE625&lt;&gt;1,O$1=""),"",SUMIFS('All Donations'!$S$2:$S$4001,'All Donations'!$R$2:$R$4001,$AD625,'All Donations'!$T$2:$T$4001,O$1))</f>
        <v/>
      </c>
      <c r="P625" s="49">
        <f>IF(OR($AE625&lt;&gt;1,P$1=""),"",SUMIFS('All Donations'!$S$2:$S$4001,'All Donations'!$R$2:$R$4001,$AD625,'All Donations'!$T$2:$T$4001,P$1))</f>
        <v/>
      </c>
      <c r="Q625" s="49">
        <f>IF(OR($AE625&lt;&gt;1,Q$1=""),"",SUMIFS('All Donations'!$S$2:$S$4001,'All Donations'!$R$2:$R$4001,$AD625,'All Donations'!$T$2:$T$4001,Q$1))</f>
        <v/>
      </c>
      <c r="R625" s="49">
        <f>IF(OR($AE625&lt;&gt;1,R$1=""),"",SUMIFS('All Donations'!$S$2:$S$4001,'All Donations'!$R$2:$R$4001,$AD625,'All Donations'!$T$2:$T$4001,R$1))</f>
        <v/>
      </c>
      <c r="S625" s="49">
        <f>IF(OR($AE625&lt;&gt;1,S$1=""),"",SUMIFS('All Donations'!$S$2:$S$4001,'All Donations'!$R$2:$R$4001,$AD625,'All Donations'!$T$2:$T$4001,S$1))</f>
        <v/>
      </c>
      <c r="T625" s="49">
        <f>IF(OR($AE625&lt;&gt;1,T$1=""),"",SUMIFS('All Donations'!$S$2:$S$4001,'All Donations'!$R$2:$R$4001,$AD625,'All Donations'!$T$2:$T$4001,T$1))</f>
        <v/>
      </c>
      <c r="U625" s="49">
        <f>IF(OR($AE625&lt;&gt;1,U$1=""),"",SUMIFS('All Donations'!$S$2:$S$4001,'All Donations'!$R$2:$R$4001,$AD625,'All Donations'!$T$2:$T$4001,U$1))</f>
        <v/>
      </c>
      <c r="V625" s="49">
        <f>IF(OR($AE625&lt;&gt;1,V$1=""),"",SUMIFS('All Donations'!$S$2:$S$4001,'All Donations'!$R$2:$R$4001,$AD625,'All Donations'!$T$2:$T$4001,V$1))</f>
        <v/>
      </c>
      <c r="W625" s="49">
        <f>IF(OR($AE625&lt;&gt;1,W$1=""),"",SUMIFS('All Donations'!$S$2:$S$4001,'All Donations'!$R$2:$R$4001,$AD625,'All Donations'!$T$2:$T$4001,W$1))</f>
        <v/>
      </c>
      <c r="X625" s="49">
        <f>IF(OR($AE625&lt;&gt;1,X$1=""),"",SUMIFS('All Donations'!$S$2:$S$4001,'All Donations'!$R$2:$R$4001,$AD625,'All Donations'!$T$2:$T$4001,X$1))</f>
        <v/>
      </c>
      <c r="Y625" s="49">
        <f>IF(OR($AE625&lt;&gt;1,Y$1=""),"",SUMIFS('All Donations'!$S$2:$S$4001,'All Donations'!$R$2:$R$4001,$AD625,'All Donations'!$T$2:$T$4001,Y$1))</f>
        <v/>
      </c>
      <c r="Z625" s="49">
        <f>IF(OR($AE625&lt;&gt;1,Z$1=""),"",SUMIFS('All Donations'!$S$2:$S$4001,'All Donations'!$R$2:$R$4001,$AD625,'All Donations'!$T$2:$T$4001,Z$1))</f>
        <v/>
      </c>
      <c r="AA625" s="49">
        <f>IF(OR($AE625&lt;&gt;1,AA$1=""),"",SUMIFS('All Donations'!$S$2:$S$4001,'All Donations'!$R$2:$R$4001,$AD625,'All Donations'!$T$2:$T$4001,AA$1))</f>
        <v/>
      </c>
      <c r="AB625" s="49">
        <f>IF(OR($AE625&lt;&gt;1,AB$1=""),"",SUMIFS('All Donations'!$S$2:$S$4001,'All Donations'!$R$2:$R$4001,$AD625,'All Donations'!$T$2:$T$4001,AB$1))</f>
        <v/>
      </c>
      <c r="AC625" s="49">
        <f>IF(OR($AE625&lt;&gt;1,AC$1=""),"",SUMIFS('All Donations'!$S$2:$S$4001,'All Donations'!$R$2:$R$4001,$AD625,'All Donations'!$T$2:$T$4001,AC$1))</f>
        <v/>
      </c>
      <c r="AD625">
        <f>IF(AE625=1,'Roster'!A625,"")</f>
        <v/>
      </c>
      <c r="AE625">
        <f>IF(TRIM('Roster'!B625&amp;'Roster'!C625)&lt;&gt;"",1,0)</f>
        <v/>
      </c>
      <c r="AF625">
        <f>IF(AE625=1,LOWER(A625),"#")</f>
        <v/>
      </c>
      <c r="AG625">
        <f>IF(AE625=1,LOWER(TRIM(TRIM('Roster'!C625)&amp;", "&amp;TRIM('Roster'!B625))),"#")</f>
        <v/>
      </c>
      <c r="AH625">
        <f>IF(AND(AE625=1,TRIM('Roster'!F625)&lt;&gt;""),LOWER(TRIM('Roster'!F625)),"#")</f>
        <v/>
      </c>
      <c r="AI625">
        <f>IF(AE625=1,IF(MATCH(B625,$B$2:$B$701,0)=ROW()-1,1,0),0)</f>
        <v/>
      </c>
      <c r="AJ625">
        <f>AJ624+AI625</f>
        <v/>
      </c>
      <c r="AK625">
        <f>IF(AE625=1,D625+(1000-ROW())/10^7,-1)</f>
        <v/>
      </c>
      <c r="AL625">
        <f>IF(AE625=1,TRIM('Roster'!B625)&amp;" "&amp;LEFT(TRIM('Roster'!C625),1)&amp;".","")</f>
        <v/>
      </c>
      <c r="AM625">
        <f>IF(AE625=1,TRIM('Roster'!C625)&amp;", "&amp;TRIM('Roster'!B625)&amp;" ("&amp;B625&amp;") #"&amp;AD625,"")</f>
        <v/>
      </c>
      <c r="AN625">
        <f>IF(AE625=1,TRIM('Roster'!E625),"")</f>
        <v/>
      </c>
      <c r="AO625">
        <f>IF(AE625=1,ROUND(SUMIFS('All Donations'!$S$2:$S$4001,'All Donations'!$R$2:$R$4001,AD625,'All Donations'!$T$2:$T$4001,"&gt;="&amp;'Settings'!$C$23,'All Donations'!$T$2:$T$4001,"&lt;="&amp;'Settings'!$D$23),2),0)</f>
        <v/>
      </c>
      <c r="AQ625">
        <f>IF(AE625=1,ROUND(SUMIFS('All Donations'!$S$2:$S$4001,'All Donations'!$R$2:$R$4001,AD625,'All Donations'!$T$2:$T$4001,"&gt;="&amp;'Settings'!$C$25,'All Donations'!$T$2:$T$4001,"&lt;="&amp;'Settings'!$D$25),2),0)</f>
        <v/>
      </c>
      <c r="AR625">
        <f>IF(AE625=1,ROUND(SUMIFS('All Donations'!$S$2:$S$4001,'All Donations'!$R$2:$R$4001,AD625,'All Donations'!$T$2:$T$4001,"&gt;="&amp;'Settings'!$C$26,'All Donations'!$T$2:$T$4001,"&lt;="&amp;'Settings'!$D$26),2),0)</f>
        <v/>
      </c>
      <c r="AS625">
        <f>IF(AE625=1,ROUND(SUMIFS('All Donations'!$S$2:$S$4001,'All Donations'!$R$2:$R$4001,AD625,'All Donations'!$T$2:$T$4001,"&lt;="&amp;'Settings'!$D$27),2),0)</f>
        <v/>
      </c>
      <c r="AT625">
        <f>IF(AE625=1,ROUND(SUMIFS('All Donations'!$S$2:$S$4001,'All Donations'!$R$2:$R$4001,AD625,'All Donations'!$T$2:$T$4001,"&gt;="&amp;'Settings'!$C$28,'All Donations'!$T$2:$T$4001,"&lt;="&amp;'Settings'!$D$28),2),0)</f>
        <v/>
      </c>
      <c r="AU625">
        <f>IF(AE625=1,ROUND(SUMIFS('All Donations'!$S$2:$S$4001,'All Donations'!$R$2:$R$4001,AD625,'All Donations'!$T$2:$T$4001,"&gt;="&amp;'Settings'!$C$29,'All Donations'!$T$2:$T$4001,"&lt;="&amp;'Settings'!$D$29),2),0)</f>
        <v/>
      </c>
      <c r="AV625">
        <f>IF(AE625=1,ROUND(SUMIFS('All Donations'!$S$2:$S$4001,'All Donations'!$R$2:$R$4001,AD625,'All Donations'!$T$2:$T$4001,"&lt;="&amp;'Settings'!$D$30),2),0)</f>
        <v/>
      </c>
      <c r="AZ625">
        <f>IF(AE625=1,ROUND(SUMIFS('All Donations'!$S$2:$S$4001,'All Donations'!$R$2:$R$4001,AD625,'All Donations'!$T$2:$T$4001,"&lt;="&amp;'Settings'!$D$34),2),0)</f>
        <v/>
      </c>
    </row>
    <row r="626">
      <c r="A626">
        <f>IF(AE626=1,TRIM(TRIM('Roster'!B626)&amp;" "&amp;TRIM('Roster'!C626)),"")</f>
        <v/>
      </c>
      <c r="B626">
        <f>IF(AE626=1,IF(AN626="","(no teacher)",AN626&amp;" – "&amp;C626),"")</f>
        <v/>
      </c>
      <c r="C626">
        <f>IF(AE626=1,TRIM('Roster'!D626&amp;""),"")</f>
        <v/>
      </c>
      <c r="D626" s="48">
        <f>IF(AE626=1,ROUND(SUMIFS('All Donations'!$S$2:$S$4001,'All Donations'!$R$2:$R$4001,AD626),2),"")</f>
        <v/>
      </c>
      <c r="E626" s="48">
        <f>IF(AE626=1,ROUND(SUMIFS('All Donations'!$S$2:$S$4001,'All Donations'!$R$2:$R$4001,AD626,'All Donations'!$G$2:$G$4001,"OneCause"),2),"")</f>
        <v/>
      </c>
      <c r="F626" s="48">
        <f>IF(AE626=1,D626-E626,"")</f>
        <v/>
      </c>
      <c r="G626">
        <f>IF(AE626=1,COUNTIFS('All Donations'!$R$2:$R$4001,AD626,'All Donations'!$H$2:$H$4001,"OK"),"")</f>
        <v/>
      </c>
      <c r="H626">
        <f>IF(AE626&lt;&gt;1,"",IF(D626&gt;0,"Yes",""))</f>
        <v/>
      </c>
      <c r="I626" s="49">
        <f>IF(OR($AE626&lt;&gt;1,I$1=""),"",SUMIFS('All Donations'!$S$2:$S$4001,'All Donations'!$R$2:$R$4001,$AD626,'All Donations'!$T$2:$T$4001,I$1))</f>
        <v/>
      </c>
      <c r="J626" s="49">
        <f>IF(OR($AE626&lt;&gt;1,J$1=""),"",SUMIFS('All Donations'!$S$2:$S$4001,'All Donations'!$R$2:$R$4001,$AD626,'All Donations'!$T$2:$T$4001,J$1))</f>
        <v/>
      </c>
      <c r="K626" s="49">
        <f>IF(OR($AE626&lt;&gt;1,K$1=""),"",SUMIFS('All Donations'!$S$2:$S$4001,'All Donations'!$R$2:$R$4001,$AD626,'All Donations'!$T$2:$T$4001,K$1))</f>
        <v/>
      </c>
      <c r="L626" s="49">
        <f>IF(OR($AE626&lt;&gt;1,L$1=""),"",SUMIFS('All Donations'!$S$2:$S$4001,'All Donations'!$R$2:$R$4001,$AD626,'All Donations'!$T$2:$T$4001,L$1))</f>
        <v/>
      </c>
      <c r="M626" s="49">
        <f>IF(OR($AE626&lt;&gt;1,M$1=""),"",SUMIFS('All Donations'!$S$2:$S$4001,'All Donations'!$R$2:$R$4001,$AD626,'All Donations'!$T$2:$T$4001,M$1))</f>
        <v/>
      </c>
      <c r="N626" s="49">
        <f>IF(OR($AE626&lt;&gt;1,N$1=""),"",SUMIFS('All Donations'!$S$2:$S$4001,'All Donations'!$R$2:$R$4001,$AD626,'All Donations'!$T$2:$T$4001,N$1))</f>
        <v/>
      </c>
      <c r="O626" s="49">
        <f>IF(OR($AE626&lt;&gt;1,O$1=""),"",SUMIFS('All Donations'!$S$2:$S$4001,'All Donations'!$R$2:$R$4001,$AD626,'All Donations'!$T$2:$T$4001,O$1))</f>
        <v/>
      </c>
      <c r="P626" s="49">
        <f>IF(OR($AE626&lt;&gt;1,P$1=""),"",SUMIFS('All Donations'!$S$2:$S$4001,'All Donations'!$R$2:$R$4001,$AD626,'All Donations'!$T$2:$T$4001,P$1))</f>
        <v/>
      </c>
      <c r="Q626" s="49">
        <f>IF(OR($AE626&lt;&gt;1,Q$1=""),"",SUMIFS('All Donations'!$S$2:$S$4001,'All Donations'!$R$2:$R$4001,$AD626,'All Donations'!$T$2:$T$4001,Q$1))</f>
        <v/>
      </c>
      <c r="R626" s="49">
        <f>IF(OR($AE626&lt;&gt;1,R$1=""),"",SUMIFS('All Donations'!$S$2:$S$4001,'All Donations'!$R$2:$R$4001,$AD626,'All Donations'!$T$2:$T$4001,R$1))</f>
        <v/>
      </c>
      <c r="S626" s="49">
        <f>IF(OR($AE626&lt;&gt;1,S$1=""),"",SUMIFS('All Donations'!$S$2:$S$4001,'All Donations'!$R$2:$R$4001,$AD626,'All Donations'!$T$2:$T$4001,S$1))</f>
        <v/>
      </c>
      <c r="T626" s="49">
        <f>IF(OR($AE626&lt;&gt;1,T$1=""),"",SUMIFS('All Donations'!$S$2:$S$4001,'All Donations'!$R$2:$R$4001,$AD626,'All Donations'!$T$2:$T$4001,T$1))</f>
        <v/>
      </c>
      <c r="U626" s="49">
        <f>IF(OR($AE626&lt;&gt;1,U$1=""),"",SUMIFS('All Donations'!$S$2:$S$4001,'All Donations'!$R$2:$R$4001,$AD626,'All Donations'!$T$2:$T$4001,U$1))</f>
        <v/>
      </c>
      <c r="V626" s="49">
        <f>IF(OR($AE626&lt;&gt;1,V$1=""),"",SUMIFS('All Donations'!$S$2:$S$4001,'All Donations'!$R$2:$R$4001,$AD626,'All Donations'!$T$2:$T$4001,V$1))</f>
        <v/>
      </c>
      <c r="W626" s="49">
        <f>IF(OR($AE626&lt;&gt;1,W$1=""),"",SUMIFS('All Donations'!$S$2:$S$4001,'All Donations'!$R$2:$R$4001,$AD626,'All Donations'!$T$2:$T$4001,W$1))</f>
        <v/>
      </c>
      <c r="X626" s="49">
        <f>IF(OR($AE626&lt;&gt;1,X$1=""),"",SUMIFS('All Donations'!$S$2:$S$4001,'All Donations'!$R$2:$R$4001,$AD626,'All Donations'!$T$2:$T$4001,X$1))</f>
        <v/>
      </c>
      <c r="Y626" s="49">
        <f>IF(OR($AE626&lt;&gt;1,Y$1=""),"",SUMIFS('All Donations'!$S$2:$S$4001,'All Donations'!$R$2:$R$4001,$AD626,'All Donations'!$T$2:$T$4001,Y$1))</f>
        <v/>
      </c>
      <c r="Z626" s="49">
        <f>IF(OR($AE626&lt;&gt;1,Z$1=""),"",SUMIFS('All Donations'!$S$2:$S$4001,'All Donations'!$R$2:$R$4001,$AD626,'All Donations'!$T$2:$T$4001,Z$1))</f>
        <v/>
      </c>
      <c r="AA626" s="49">
        <f>IF(OR($AE626&lt;&gt;1,AA$1=""),"",SUMIFS('All Donations'!$S$2:$S$4001,'All Donations'!$R$2:$R$4001,$AD626,'All Donations'!$T$2:$T$4001,AA$1))</f>
        <v/>
      </c>
      <c r="AB626" s="49">
        <f>IF(OR($AE626&lt;&gt;1,AB$1=""),"",SUMIFS('All Donations'!$S$2:$S$4001,'All Donations'!$R$2:$R$4001,$AD626,'All Donations'!$T$2:$T$4001,AB$1))</f>
        <v/>
      </c>
      <c r="AC626" s="49">
        <f>IF(OR($AE626&lt;&gt;1,AC$1=""),"",SUMIFS('All Donations'!$S$2:$S$4001,'All Donations'!$R$2:$R$4001,$AD626,'All Donations'!$T$2:$T$4001,AC$1))</f>
        <v/>
      </c>
      <c r="AD626">
        <f>IF(AE626=1,'Roster'!A626,"")</f>
        <v/>
      </c>
      <c r="AE626">
        <f>IF(TRIM('Roster'!B626&amp;'Roster'!C626)&lt;&gt;"",1,0)</f>
        <v/>
      </c>
      <c r="AF626">
        <f>IF(AE626=1,LOWER(A626),"#")</f>
        <v/>
      </c>
      <c r="AG626">
        <f>IF(AE626=1,LOWER(TRIM(TRIM('Roster'!C626)&amp;", "&amp;TRIM('Roster'!B626))),"#")</f>
        <v/>
      </c>
      <c r="AH626">
        <f>IF(AND(AE626=1,TRIM('Roster'!F626)&lt;&gt;""),LOWER(TRIM('Roster'!F626)),"#")</f>
        <v/>
      </c>
      <c r="AI626">
        <f>IF(AE626=1,IF(MATCH(B626,$B$2:$B$701,0)=ROW()-1,1,0),0)</f>
        <v/>
      </c>
      <c r="AJ626">
        <f>AJ625+AI626</f>
        <v/>
      </c>
      <c r="AK626">
        <f>IF(AE626=1,D626+(1000-ROW())/10^7,-1)</f>
        <v/>
      </c>
      <c r="AL626">
        <f>IF(AE626=1,TRIM('Roster'!B626)&amp;" "&amp;LEFT(TRIM('Roster'!C626),1)&amp;".","")</f>
        <v/>
      </c>
      <c r="AM626">
        <f>IF(AE626=1,TRIM('Roster'!C626)&amp;", "&amp;TRIM('Roster'!B626)&amp;" ("&amp;B626&amp;") #"&amp;AD626,"")</f>
        <v/>
      </c>
      <c r="AN626">
        <f>IF(AE626=1,TRIM('Roster'!E626),"")</f>
        <v/>
      </c>
      <c r="AO626">
        <f>IF(AE626=1,ROUND(SUMIFS('All Donations'!$S$2:$S$4001,'All Donations'!$R$2:$R$4001,AD626,'All Donations'!$T$2:$T$4001,"&gt;="&amp;'Settings'!$C$23,'All Donations'!$T$2:$T$4001,"&lt;="&amp;'Settings'!$D$23),2),0)</f>
        <v/>
      </c>
      <c r="AQ626">
        <f>IF(AE626=1,ROUND(SUMIFS('All Donations'!$S$2:$S$4001,'All Donations'!$R$2:$R$4001,AD626,'All Donations'!$T$2:$T$4001,"&gt;="&amp;'Settings'!$C$25,'All Donations'!$T$2:$T$4001,"&lt;="&amp;'Settings'!$D$25),2),0)</f>
        <v/>
      </c>
      <c r="AR626">
        <f>IF(AE626=1,ROUND(SUMIFS('All Donations'!$S$2:$S$4001,'All Donations'!$R$2:$R$4001,AD626,'All Donations'!$T$2:$T$4001,"&gt;="&amp;'Settings'!$C$26,'All Donations'!$T$2:$T$4001,"&lt;="&amp;'Settings'!$D$26),2),0)</f>
        <v/>
      </c>
      <c r="AS626">
        <f>IF(AE626=1,ROUND(SUMIFS('All Donations'!$S$2:$S$4001,'All Donations'!$R$2:$R$4001,AD626,'All Donations'!$T$2:$T$4001,"&lt;="&amp;'Settings'!$D$27),2),0)</f>
        <v/>
      </c>
      <c r="AT626">
        <f>IF(AE626=1,ROUND(SUMIFS('All Donations'!$S$2:$S$4001,'All Donations'!$R$2:$R$4001,AD626,'All Donations'!$T$2:$T$4001,"&gt;="&amp;'Settings'!$C$28,'All Donations'!$T$2:$T$4001,"&lt;="&amp;'Settings'!$D$28),2),0)</f>
        <v/>
      </c>
      <c r="AU626">
        <f>IF(AE626=1,ROUND(SUMIFS('All Donations'!$S$2:$S$4001,'All Donations'!$R$2:$R$4001,AD626,'All Donations'!$T$2:$T$4001,"&gt;="&amp;'Settings'!$C$29,'All Donations'!$T$2:$T$4001,"&lt;="&amp;'Settings'!$D$29),2),0)</f>
        <v/>
      </c>
      <c r="AV626">
        <f>IF(AE626=1,ROUND(SUMIFS('All Donations'!$S$2:$S$4001,'All Donations'!$R$2:$R$4001,AD626,'All Donations'!$T$2:$T$4001,"&lt;="&amp;'Settings'!$D$30),2),0)</f>
        <v/>
      </c>
      <c r="AZ626">
        <f>IF(AE626=1,ROUND(SUMIFS('All Donations'!$S$2:$S$4001,'All Donations'!$R$2:$R$4001,AD626,'All Donations'!$T$2:$T$4001,"&lt;="&amp;'Settings'!$D$34),2),0)</f>
        <v/>
      </c>
    </row>
    <row r="627">
      <c r="A627">
        <f>IF(AE627=1,TRIM(TRIM('Roster'!B627)&amp;" "&amp;TRIM('Roster'!C627)),"")</f>
        <v/>
      </c>
      <c r="B627">
        <f>IF(AE627=1,IF(AN627="","(no teacher)",AN627&amp;" – "&amp;C627),"")</f>
        <v/>
      </c>
      <c r="C627">
        <f>IF(AE627=1,TRIM('Roster'!D627&amp;""),"")</f>
        <v/>
      </c>
      <c r="D627" s="48">
        <f>IF(AE627=1,ROUND(SUMIFS('All Donations'!$S$2:$S$4001,'All Donations'!$R$2:$R$4001,AD627),2),"")</f>
        <v/>
      </c>
      <c r="E627" s="48">
        <f>IF(AE627=1,ROUND(SUMIFS('All Donations'!$S$2:$S$4001,'All Donations'!$R$2:$R$4001,AD627,'All Donations'!$G$2:$G$4001,"OneCause"),2),"")</f>
        <v/>
      </c>
      <c r="F627" s="48">
        <f>IF(AE627=1,D627-E627,"")</f>
        <v/>
      </c>
      <c r="G627">
        <f>IF(AE627=1,COUNTIFS('All Donations'!$R$2:$R$4001,AD627,'All Donations'!$H$2:$H$4001,"OK"),"")</f>
        <v/>
      </c>
      <c r="H627">
        <f>IF(AE627&lt;&gt;1,"",IF(D627&gt;0,"Yes",""))</f>
        <v/>
      </c>
      <c r="I627" s="49">
        <f>IF(OR($AE627&lt;&gt;1,I$1=""),"",SUMIFS('All Donations'!$S$2:$S$4001,'All Donations'!$R$2:$R$4001,$AD627,'All Donations'!$T$2:$T$4001,I$1))</f>
        <v/>
      </c>
      <c r="J627" s="49">
        <f>IF(OR($AE627&lt;&gt;1,J$1=""),"",SUMIFS('All Donations'!$S$2:$S$4001,'All Donations'!$R$2:$R$4001,$AD627,'All Donations'!$T$2:$T$4001,J$1))</f>
        <v/>
      </c>
      <c r="K627" s="49">
        <f>IF(OR($AE627&lt;&gt;1,K$1=""),"",SUMIFS('All Donations'!$S$2:$S$4001,'All Donations'!$R$2:$R$4001,$AD627,'All Donations'!$T$2:$T$4001,K$1))</f>
        <v/>
      </c>
      <c r="L627" s="49">
        <f>IF(OR($AE627&lt;&gt;1,L$1=""),"",SUMIFS('All Donations'!$S$2:$S$4001,'All Donations'!$R$2:$R$4001,$AD627,'All Donations'!$T$2:$T$4001,L$1))</f>
        <v/>
      </c>
      <c r="M627" s="49">
        <f>IF(OR($AE627&lt;&gt;1,M$1=""),"",SUMIFS('All Donations'!$S$2:$S$4001,'All Donations'!$R$2:$R$4001,$AD627,'All Donations'!$T$2:$T$4001,M$1))</f>
        <v/>
      </c>
      <c r="N627" s="49">
        <f>IF(OR($AE627&lt;&gt;1,N$1=""),"",SUMIFS('All Donations'!$S$2:$S$4001,'All Donations'!$R$2:$R$4001,$AD627,'All Donations'!$T$2:$T$4001,N$1))</f>
        <v/>
      </c>
      <c r="O627" s="49">
        <f>IF(OR($AE627&lt;&gt;1,O$1=""),"",SUMIFS('All Donations'!$S$2:$S$4001,'All Donations'!$R$2:$R$4001,$AD627,'All Donations'!$T$2:$T$4001,O$1))</f>
        <v/>
      </c>
      <c r="P627" s="49">
        <f>IF(OR($AE627&lt;&gt;1,P$1=""),"",SUMIFS('All Donations'!$S$2:$S$4001,'All Donations'!$R$2:$R$4001,$AD627,'All Donations'!$T$2:$T$4001,P$1))</f>
        <v/>
      </c>
      <c r="Q627" s="49">
        <f>IF(OR($AE627&lt;&gt;1,Q$1=""),"",SUMIFS('All Donations'!$S$2:$S$4001,'All Donations'!$R$2:$R$4001,$AD627,'All Donations'!$T$2:$T$4001,Q$1))</f>
        <v/>
      </c>
      <c r="R627" s="49">
        <f>IF(OR($AE627&lt;&gt;1,R$1=""),"",SUMIFS('All Donations'!$S$2:$S$4001,'All Donations'!$R$2:$R$4001,$AD627,'All Donations'!$T$2:$T$4001,R$1))</f>
        <v/>
      </c>
      <c r="S627" s="49">
        <f>IF(OR($AE627&lt;&gt;1,S$1=""),"",SUMIFS('All Donations'!$S$2:$S$4001,'All Donations'!$R$2:$R$4001,$AD627,'All Donations'!$T$2:$T$4001,S$1))</f>
        <v/>
      </c>
      <c r="T627" s="49">
        <f>IF(OR($AE627&lt;&gt;1,T$1=""),"",SUMIFS('All Donations'!$S$2:$S$4001,'All Donations'!$R$2:$R$4001,$AD627,'All Donations'!$T$2:$T$4001,T$1))</f>
        <v/>
      </c>
      <c r="U627" s="49">
        <f>IF(OR($AE627&lt;&gt;1,U$1=""),"",SUMIFS('All Donations'!$S$2:$S$4001,'All Donations'!$R$2:$R$4001,$AD627,'All Donations'!$T$2:$T$4001,U$1))</f>
        <v/>
      </c>
      <c r="V627" s="49">
        <f>IF(OR($AE627&lt;&gt;1,V$1=""),"",SUMIFS('All Donations'!$S$2:$S$4001,'All Donations'!$R$2:$R$4001,$AD627,'All Donations'!$T$2:$T$4001,V$1))</f>
        <v/>
      </c>
      <c r="W627" s="49">
        <f>IF(OR($AE627&lt;&gt;1,W$1=""),"",SUMIFS('All Donations'!$S$2:$S$4001,'All Donations'!$R$2:$R$4001,$AD627,'All Donations'!$T$2:$T$4001,W$1))</f>
        <v/>
      </c>
      <c r="X627" s="49">
        <f>IF(OR($AE627&lt;&gt;1,X$1=""),"",SUMIFS('All Donations'!$S$2:$S$4001,'All Donations'!$R$2:$R$4001,$AD627,'All Donations'!$T$2:$T$4001,X$1))</f>
        <v/>
      </c>
      <c r="Y627" s="49">
        <f>IF(OR($AE627&lt;&gt;1,Y$1=""),"",SUMIFS('All Donations'!$S$2:$S$4001,'All Donations'!$R$2:$R$4001,$AD627,'All Donations'!$T$2:$T$4001,Y$1))</f>
        <v/>
      </c>
      <c r="Z627" s="49">
        <f>IF(OR($AE627&lt;&gt;1,Z$1=""),"",SUMIFS('All Donations'!$S$2:$S$4001,'All Donations'!$R$2:$R$4001,$AD627,'All Donations'!$T$2:$T$4001,Z$1))</f>
        <v/>
      </c>
      <c r="AA627" s="49">
        <f>IF(OR($AE627&lt;&gt;1,AA$1=""),"",SUMIFS('All Donations'!$S$2:$S$4001,'All Donations'!$R$2:$R$4001,$AD627,'All Donations'!$T$2:$T$4001,AA$1))</f>
        <v/>
      </c>
      <c r="AB627" s="49">
        <f>IF(OR($AE627&lt;&gt;1,AB$1=""),"",SUMIFS('All Donations'!$S$2:$S$4001,'All Donations'!$R$2:$R$4001,$AD627,'All Donations'!$T$2:$T$4001,AB$1))</f>
        <v/>
      </c>
      <c r="AC627" s="49">
        <f>IF(OR($AE627&lt;&gt;1,AC$1=""),"",SUMIFS('All Donations'!$S$2:$S$4001,'All Donations'!$R$2:$R$4001,$AD627,'All Donations'!$T$2:$T$4001,AC$1))</f>
        <v/>
      </c>
      <c r="AD627">
        <f>IF(AE627=1,'Roster'!A627,"")</f>
        <v/>
      </c>
      <c r="AE627">
        <f>IF(TRIM('Roster'!B627&amp;'Roster'!C627)&lt;&gt;"",1,0)</f>
        <v/>
      </c>
      <c r="AF627">
        <f>IF(AE627=1,LOWER(A627),"#")</f>
        <v/>
      </c>
      <c r="AG627">
        <f>IF(AE627=1,LOWER(TRIM(TRIM('Roster'!C627)&amp;", "&amp;TRIM('Roster'!B627))),"#")</f>
        <v/>
      </c>
      <c r="AH627">
        <f>IF(AND(AE627=1,TRIM('Roster'!F627)&lt;&gt;""),LOWER(TRIM('Roster'!F627)),"#")</f>
        <v/>
      </c>
      <c r="AI627">
        <f>IF(AE627=1,IF(MATCH(B627,$B$2:$B$701,0)=ROW()-1,1,0),0)</f>
        <v/>
      </c>
      <c r="AJ627">
        <f>AJ626+AI627</f>
        <v/>
      </c>
      <c r="AK627">
        <f>IF(AE627=1,D627+(1000-ROW())/10^7,-1)</f>
        <v/>
      </c>
      <c r="AL627">
        <f>IF(AE627=1,TRIM('Roster'!B627)&amp;" "&amp;LEFT(TRIM('Roster'!C627),1)&amp;".","")</f>
        <v/>
      </c>
      <c r="AM627">
        <f>IF(AE627=1,TRIM('Roster'!C627)&amp;", "&amp;TRIM('Roster'!B627)&amp;" ("&amp;B627&amp;") #"&amp;AD627,"")</f>
        <v/>
      </c>
      <c r="AN627">
        <f>IF(AE627=1,TRIM('Roster'!E627),"")</f>
        <v/>
      </c>
      <c r="AO627">
        <f>IF(AE627=1,ROUND(SUMIFS('All Donations'!$S$2:$S$4001,'All Donations'!$R$2:$R$4001,AD627,'All Donations'!$T$2:$T$4001,"&gt;="&amp;'Settings'!$C$23,'All Donations'!$T$2:$T$4001,"&lt;="&amp;'Settings'!$D$23),2),0)</f>
        <v/>
      </c>
      <c r="AQ627">
        <f>IF(AE627=1,ROUND(SUMIFS('All Donations'!$S$2:$S$4001,'All Donations'!$R$2:$R$4001,AD627,'All Donations'!$T$2:$T$4001,"&gt;="&amp;'Settings'!$C$25,'All Donations'!$T$2:$T$4001,"&lt;="&amp;'Settings'!$D$25),2),0)</f>
        <v/>
      </c>
      <c r="AR627">
        <f>IF(AE627=1,ROUND(SUMIFS('All Donations'!$S$2:$S$4001,'All Donations'!$R$2:$R$4001,AD627,'All Donations'!$T$2:$T$4001,"&gt;="&amp;'Settings'!$C$26,'All Donations'!$T$2:$T$4001,"&lt;="&amp;'Settings'!$D$26),2),0)</f>
        <v/>
      </c>
      <c r="AS627">
        <f>IF(AE627=1,ROUND(SUMIFS('All Donations'!$S$2:$S$4001,'All Donations'!$R$2:$R$4001,AD627,'All Donations'!$T$2:$T$4001,"&lt;="&amp;'Settings'!$D$27),2),0)</f>
        <v/>
      </c>
      <c r="AT627">
        <f>IF(AE627=1,ROUND(SUMIFS('All Donations'!$S$2:$S$4001,'All Donations'!$R$2:$R$4001,AD627,'All Donations'!$T$2:$T$4001,"&gt;="&amp;'Settings'!$C$28,'All Donations'!$T$2:$T$4001,"&lt;="&amp;'Settings'!$D$28),2),0)</f>
        <v/>
      </c>
      <c r="AU627">
        <f>IF(AE627=1,ROUND(SUMIFS('All Donations'!$S$2:$S$4001,'All Donations'!$R$2:$R$4001,AD627,'All Donations'!$T$2:$T$4001,"&gt;="&amp;'Settings'!$C$29,'All Donations'!$T$2:$T$4001,"&lt;="&amp;'Settings'!$D$29),2),0)</f>
        <v/>
      </c>
      <c r="AV627">
        <f>IF(AE627=1,ROUND(SUMIFS('All Donations'!$S$2:$S$4001,'All Donations'!$R$2:$R$4001,AD627,'All Donations'!$T$2:$T$4001,"&lt;="&amp;'Settings'!$D$30),2),0)</f>
        <v/>
      </c>
      <c r="AZ627">
        <f>IF(AE627=1,ROUND(SUMIFS('All Donations'!$S$2:$S$4001,'All Donations'!$R$2:$R$4001,AD627,'All Donations'!$T$2:$T$4001,"&lt;="&amp;'Settings'!$D$34),2),0)</f>
        <v/>
      </c>
    </row>
    <row r="628">
      <c r="A628">
        <f>IF(AE628=1,TRIM(TRIM('Roster'!B628)&amp;" "&amp;TRIM('Roster'!C628)),"")</f>
        <v/>
      </c>
      <c r="B628">
        <f>IF(AE628=1,IF(AN628="","(no teacher)",AN628&amp;" – "&amp;C628),"")</f>
        <v/>
      </c>
      <c r="C628">
        <f>IF(AE628=1,TRIM('Roster'!D628&amp;""),"")</f>
        <v/>
      </c>
      <c r="D628" s="48">
        <f>IF(AE628=1,ROUND(SUMIFS('All Donations'!$S$2:$S$4001,'All Donations'!$R$2:$R$4001,AD628),2),"")</f>
        <v/>
      </c>
      <c r="E628" s="48">
        <f>IF(AE628=1,ROUND(SUMIFS('All Donations'!$S$2:$S$4001,'All Donations'!$R$2:$R$4001,AD628,'All Donations'!$G$2:$G$4001,"OneCause"),2),"")</f>
        <v/>
      </c>
      <c r="F628" s="48">
        <f>IF(AE628=1,D628-E628,"")</f>
        <v/>
      </c>
      <c r="G628">
        <f>IF(AE628=1,COUNTIFS('All Donations'!$R$2:$R$4001,AD628,'All Donations'!$H$2:$H$4001,"OK"),"")</f>
        <v/>
      </c>
      <c r="H628">
        <f>IF(AE628&lt;&gt;1,"",IF(D628&gt;0,"Yes",""))</f>
        <v/>
      </c>
      <c r="I628" s="49">
        <f>IF(OR($AE628&lt;&gt;1,I$1=""),"",SUMIFS('All Donations'!$S$2:$S$4001,'All Donations'!$R$2:$R$4001,$AD628,'All Donations'!$T$2:$T$4001,I$1))</f>
        <v/>
      </c>
      <c r="J628" s="49">
        <f>IF(OR($AE628&lt;&gt;1,J$1=""),"",SUMIFS('All Donations'!$S$2:$S$4001,'All Donations'!$R$2:$R$4001,$AD628,'All Donations'!$T$2:$T$4001,J$1))</f>
        <v/>
      </c>
      <c r="K628" s="49">
        <f>IF(OR($AE628&lt;&gt;1,K$1=""),"",SUMIFS('All Donations'!$S$2:$S$4001,'All Donations'!$R$2:$R$4001,$AD628,'All Donations'!$T$2:$T$4001,K$1))</f>
        <v/>
      </c>
      <c r="L628" s="49">
        <f>IF(OR($AE628&lt;&gt;1,L$1=""),"",SUMIFS('All Donations'!$S$2:$S$4001,'All Donations'!$R$2:$R$4001,$AD628,'All Donations'!$T$2:$T$4001,L$1))</f>
        <v/>
      </c>
      <c r="M628" s="49">
        <f>IF(OR($AE628&lt;&gt;1,M$1=""),"",SUMIFS('All Donations'!$S$2:$S$4001,'All Donations'!$R$2:$R$4001,$AD628,'All Donations'!$T$2:$T$4001,M$1))</f>
        <v/>
      </c>
      <c r="N628" s="49">
        <f>IF(OR($AE628&lt;&gt;1,N$1=""),"",SUMIFS('All Donations'!$S$2:$S$4001,'All Donations'!$R$2:$R$4001,$AD628,'All Donations'!$T$2:$T$4001,N$1))</f>
        <v/>
      </c>
      <c r="O628" s="49">
        <f>IF(OR($AE628&lt;&gt;1,O$1=""),"",SUMIFS('All Donations'!$S$2:$S$4001,'All Donations'!$R$2:$R$4001,$AD628,'All Donations'!$T$2:$T$4001,O$1))</f>
        <v/>
      </c>
      <c r="P628" s="49">
        <f>IF(OR($AE628&lt;&gt;1,P$1=""),"",SUMIFS('All Donations'!$S$2:$S$4001,'All Donations'!$R$2:$R$4001,$AD628,'All Donations'!$T$2:$T$4001,P$1))</f>
        <v/>
      </c>
      <c r="Q628" s="49">
        <f>IF(OR($AE628&lt;&gt;1,Q$1=""),"",SUMIFS('All Donations'!$S$2:$S$4001,'All Donations'!$R$2:$R$4001,$AD628,'All Donations'!$T$2:$T$4001,Q$1))</f>
        <v/>
      </c>
      <c r="R628" s="49">
        <f>IF(OR($AE628&lt;&gt;1,R$1=""),"",SUMIFS('All Donations'!$S$2:$S$4001,'All Donations'!$R$2:$R$4001,$AD628,'All Donations'!$T$2:$T$4001,R$1))</f>
        <v/>
      </c>
      <c r="S628" s="49">
        <f>IF(OR($AE628&lt;&gt;1,S$1=""),"",SUMIFS('All Donations'!$S$2:$S$4001,'All Donations'!$R$2:$R$4001,$AD628,'All Donations'!$T$2:$T$4001,S$1))</f>
        <v/>
      </c>
      <c r="T628" s="49">
        <f>IF(OR($AE628&lt;&gt;1,T$1=""),"",SUMIFS('All Donations'!$S$2:$S$4001,'All Donations'!$R$2:$R$4001,$AD628,'All Donations'!$T$2:$T$4001,T$1))</f>
        <v/>
      </c>
      <c r="U628" s="49">
        <f>IF(OR($AE628&lt;&gt;1,U$1=""),"",SUMIFS('All Donations'!$S$2:$S$4001,'All Donations'!$R$2:$R$4001,$AD628,'All Donations'!$T$2:$T$4001,U$1))</f>
        <v/>
      </c>
      <c r="V628" s="49">
        <f>IF(OR($AE628&lt;&gt;1,V$1=""),"",SUMIFS('All Donations'!$S$2:$S$4001,'All Donations'!$R$2:$R$4001,$AD628,'All Donations'!$T$2:$T$4001,V$1))</f>
        <v/>
      </c>
      <c r="W628" s="49">
        <f>IF(OR($AE628&lt;&gt;1,W$1=""),"",SUMIFS('All Donations'!$S$2:$S$4001,'All Donations'!$R$2:$R$4001,$AD628,'All Donations'!$T$2:$T$4001,W$1))</f>
        <v/>
      </c>
      <c r="X628" s="49">
        <f>IF(OR($AE628&lt;&gt;1,X$1=""),"",SUMIFS('All Donations'!$S$2:$S$4001,'All Donations'!$R$2:$R$4001,$AD628,'All Donations'!$T$2:$T$4001,X$1))</f>
        <v/>
      </c>
      <c r="Y628" s="49">
        <f>IF(OR($AE628&lt;&gt;1,Y$1=""),"",SUMIFS('All Donations'!$S$2:$S$4001,'All Donations'!$R$2:$R$4001,$AD628,'All Donations'!$T$2:$T$4001,Y$1))</f>
        <v/>
      </c>
      <c r="Z628" s="49">
        <f>IF(OR($AE628&lt;&gt;1,Z$1=""),"",SUMIFS('All Donations'!$S$2:$S$4001,'All Donations'!$R$2:$R$4001,$AD628,'All Donations'!$T$2:$T$4001,Z$1))</f>
        <v/>
      </c>
      <c r="AA628" s="49">
        <f>IF(OR($AE628&lt;&gt;1,AA$1=""),"",SUMIFS('All Donations'!$S$2:$S$4001,'All Donations'!$R$2:$R$4001,$AD628,'All Donations'!$T$2:$T$4001,AA$1))</f>
        <v/>
      </c>
      <c r="AB628" s="49">
        <f>IF(OR($AE628&lt;&gt;1,AB$1=""),"",SUMIFS('All Donations'!$S$2:$S$4001,'All Donations'!$R$2:$R$4001,$AD628,'All Donations'!$T$2:$T$4001,AB$1))</f>
        <v/>
      </c>
      <c r="AC628" s="49">
        <f>IF(OR($AE628&lt;&gt;1,AC$1=""),"",SUMIFS('All Donations'!$S$2:$S$4001,'All Donations'!$R$2:$R$4001,$AD628,'All Donations'!$T$2:$T$4001,AC$1))</f>
        <v/>
      </c>
      <c r="AD628">
        <f>IF(AE628=1,'Roster'!A628,"")</f>
        <v/>
      </c>
      <c r="AE628">
        <f>IF(TRIM('Roster'!B628&amp;'Roster'!C628)&lt;&gt;"",1,0)</f>
        <v/>
      </c>
      <c r="AF628">
        <f>IF(AE628=1,LOWER(A628),"#")</f>
        <v/>
      </c>
      <c r="AG628">
        <f>IF(AE628=1,LOWER(TRIM(TRIM('Roster'!C628)&amp;", "&amp;TRIM('Roster'!B628))),"#")</f>
        <v/>
      </c>
      <c r="AH628">
        <f>IF(AND(AE628=1,TRIM('Roster'!F628)&lt;&gt;""),LOWER(TRIM('Roster'!F628)),"#")</f>
        <v/>
      </c>
      <c r="AI628">
        <f>IF(AE628=1,IF(MATCH(B628,$B$2:$B$701,0)=ROW()-1,1,0),0)</f>
        <v/>
      </c>
      <c r="AJ628">
        <f>AJ627+AI628</f>
        <v/>
      </c>
      <c r="AK628">
        <f>IF(AE628=1,D628+(1000-ROW())/10^7,-1)</f>
        <v/>
      </c>
      <c r="AL628">
        <f>IF(AE628=1,TRIM('Roster'!B628)&amp;" "&amp;LEFT(TRIM('Roster'!C628),1)&amp;".","")</f>
        <v/>
      </c>
      <c r="AM628">
        <f>IF(AE628=1,TRIM('Roster'!C628)&amp;", "&amp;TRIM('Roster'!B628)&amp;" ("&amp;B628&amp;") #"&amp;AD628,"")</f>
        <v/>
      </c>
      <c r="AN628">
        <f>IF(AE628=1,TRIM('Roster'!E628),"")</f>
        <v/>
      </c>
      <c r="AO628">
        <f>IF(AE628=1,ROUND(SUMIFS('All Donations'!$S$2:$S$4001,'All Donations'!$R$2:$R$4001,AD628,'All Donations'!$T$2:$T$4001,"&gt;="&amp;'Settings'!$C$23,'All Donations'!$T$2:$T$4001,"&lt;="&amp;'Settings'!$D$23),2),0)</f>
        <v/>
      </c>
      <c r="AQ628">
        <f>IF(AE628=1,ROUND(SUMIFS('All Donations'!$S$2:$S$4001,'All Donations'!$R$2:$R$4001,AD628,'All Donations'!$T$2:$T$4001,"&gt;="&amp;'Settings'!$C$25,'All Donations'!$T$2:$T$4001,"&lt;="&amp;'Settings'!$D$25),2),0)</f>
        <v/>
      </c>
      <c r="AR628">
        <f>IF(AE628=1,ROUND(SUMIFS('All Donations'!$S$2:$S$4001,'All Donations'!$R$2:$R$4001,AD628,'All Donations'!$T$2:$T$4001,"&gt;="&amp;'Settings'!$C$26,'All Donations'!$T$2:$T$4001,"&lt;="&amp;'Settings'!$D$26),2),0)</f>
        <v/>
      </c>
      <c r="AS628">
        <f>IF(AE628=1,ROUND(SUMIFS('All Donations'!$S$2:$S$4001,'All Donations'!$R$2:$R$4001,AD628,'All Donations'!$T$2:$T$4001,"&lt;="&amp;'Settings'!$D$27),2),0)</f>
        <v/>
      </c>
      <c r="AT628">
        <f>IF(AE628=1,ROUND(SUMIFS('All Donations'!$S$2:$S$4001,'All Donations'!$R$2:$R$4001,AD628,'All Donations'!$T$2:$T$4001,"&gt;="&amp;'Settings'!$C$28,'All Donations'!$T$2:$T$4001,"&lt;="&amp;'Settings'!$D$28),2),0)</f>
        <v/>
      </c>
      <c r="AU628">
        <f>IF(AE628=1,ROUND(SUMIFS('All Donations'!$S$2:$S$4001,'All Donations'!$R$2:$R$4001,AD628,'All Donations'!$T$2:$T$4001,"&gt;="&amp;'Settings'!$C$29,'All Donations'!$T$2:$T$4001,"&lt;="&amp;'Settings'!$D$29),2),0)</f>
        <v/>
      </c>
      <c r="AV628">
        <f>IF(AE628=1,ROUND(SUMIFS('All Donations'!$S$2:$S$4001,'All Donations'!$R$2:$R$4001,AD628,'All Donations'!$T$2:$T$4001,"&lt;="&amp;'Settings'!$D$30),2),0)</f>
        <v/>
      </c>
      <c r="AZ628">
        <f>IF(AE628=1,ROUND(SUMIFS('All Donations'!$S$2:$S$4001,'All Donations'!$R$2:$R$4001,AD628,'All Donations'!$T$2:$T$4001,"&lt;="&amp;'Settings'!$D$34),2),0)</f>
        <v/>
      </c>
    </row>
    <row r="629">
      <c r="A629">
        <f>IF(AE629=1,TRIM(TRIM('Roster'!B629)&amp;" "&amp;TRIM('Roster'!C629)),"")</f>
        <v/>
      </c>
      <c r="B629">
        <f>IF(AE629=1,IF(AN629="","(no teacher)",AN629&amp;" – "&amp;C629),"")</f>
        <v/>
      </c>
      <c r="C629">
        <f>IF(AE629=1,TRIM('Roster'!D629&amp;""),"")</f>
        <v/>
      </c>
      <c r="D629" s="48">
        <f>IF(AE629=1,ROUND(SUMIFS('All Donations'!$S$2:$S$4001,'All Donations'!$R$2:$R$4001,AD629),2),"")</f>
        <v/>
      </c>
      <c r="E629" s="48">
        <f>IF(AE629=1,ROUND(SUMIFS('All Donations'!$S$2:$S$4001,'All Donations'!$R$2:$R$4001,AD629,'All Donations'!$G$2:$G$4001,"OneCause"),2),"")</f>
        <v/>
      </c>
      <c r="F629" s="48">
        <f>IF(AE629=1,D629-E629,"")</f>
        <v/>
      </c>
      <c r="G629">
        <f>IF(AE629=1,COUNTIFS('All Donations'!$R$2:$R$4001,AD629,'All Donations'!$H$2:$H$4001,"OK"),"")</f>
        <v/>
      </c>
      <c r="H629">
        <f>IF(AE629&lt;&gt;1,"",IF(D629&gt;0,"Yes",""))</f>
        <v/>
      </c>
      <c r="I629" s="49">
        <f>IF(OR($AE629&lt;&gt;1,I$1=""),"",SUMIFS('All Donations'!$S$2:$S$4001,'All Donations'!$R$2:$R$4001,$AD629,'All Donations'!$T$2:$T$4001,I$1))</f>
        <v/>
      </c>
      <c r="J629" s="49">
        <f>IF(OR($AE629&lt;&gt;1,J$1=""),"",SUMIFS('All Donations'!$S$2:$S$4001,'All Donations'!$R$2:$R$4001,$AD629,'All Donations'!$T$2:$T$4001,J$1))</f>
        <v/>
      </c>
      <c r="K629" s="49">
        <f>IF(OR($AE629&lt;&gt;1,K$1=""),"",SUMIFS('All Donations'!$S$2:$S$4001,'All Donations'!$R$2:$R$4001,$AD629,'All Donations'!$T$2:$T$4001,K$1))</f>
        <v/>
      </c>
      <c r="L629" s="49">
        <f>IF(OR($AE629&lt;&gt;1,L$1=""),"",SUMIFS('All Donations'!$S$2:$S$4001,'All Donations'!$R$2:$R$4001,$AD629,'All Donations'!$T$2:$T$4001,L$1))</f>
        <v/>
      </c>
      <c r="M629" s="49">
        <f>IF(OR($AE629&lt;&gt;1,M$1=""),"",SUMIFS('All Donations'!$S$2:$S$4001,'All Donations'!$R$2:$R$4001,$AD629,'All Donations'!$T$2:$T$4001,M$1))</f>
        <v/>
      </c>
      <c r="N629" s="49">
        <f>IF(OR($AE629&lt;&gt;1,N$1=""),"",SUMIFS('All Donations'!$S$2:$S$4001,'All Donations'!$R$2:$R$4001,$AD629,'All Donations'!$T$2:$T$4001,N$1))</f>
        <v/>
      </c>
      <c r="O629" s="49">
        <f>IF(OR($AE629&lt;&gt;1,O$1=""),"",SUMIFS('All Donations'!$S$2:$S$4001,'All Donations'!$R$2:$R$4001,$AD629,'All Donations'!$T$2:$T$4001,O$1))</f>
        <v/>
      </c>
      <c r="P629" s="49">
        <f>IF(OR($AE629&lt;&gt;1,P$1=""),"",SUMIFS('All Donations'!$S$2:$S$4001,'All Donations'!$R$2:$R$4001,$AD629,'All Donations'!$T$2:$T$4001,P$1))</f>
        <v/>
      </c>
      <c r="Q629" s="49">
        <f>IF(OR($AE629&lt;&gt;1,Q$1=""),"",SUMIFS('All Donations'!$S$2:$S$4001,'All Donations'!$R$2:$R$4001,$AD629,'All Donations'!$T$2:$T$4001,Q$1))</f>
        <v/>
      </c>
      <c r="R629" s="49">
        <f>IF(OR($AE629&lt;&gt;1,R$1=""),"",SUMIFS('All Donations'!$S$2:$S$4001,'All Donations'!$R$2:$R$4001,$AD629,'All Donations'!$T$2:$T$4001,R$1))</f>
        <v/>
      </c>
      <c r="S629" s="49">
        <f>IF(OR($AE629&lt;&gt;1,S$1=""),"",SUMIFS('All Donations'!$S$2:$S$4001,'All Donations'!$R$2:$R$4001,$AD629,'All Donations'!$T$2:$T$4001,S$1))</f>
        <v/>
      </c>
      <c r="T629" s="49">
        <f>IF(OR($AE629&lt;&gt;1,T$1=""),"",SUMIFS('All Donations'!$S$2:$S$4001,'All Donations'!$R$2:$R$4001,$AD629,'All Donations'!$T$2:$T$4001,T$1))</f>
        <v/>
      </c>
      <c r="U629" s="49">
        <f>IF(OR($AE629&lt;&gt;1,U$1=""),"",SUMIFS('All Donations'!$S$2:$S$4001,'All Donations'!$R$2:$R$4001,$AD629,'All Donations'!$T$2:$T$4001,U$1))</f>
        <v/>
      </c>
      <c r="V629" s="49">
        <f>IF(OR($AE629&lt;&gt;1,V$1=""),"",SUMIFS('All Donations'!$S$2:$S$4001,'All Donations'!$R$2:$R$4001,$AD629,'All Donations'!$T$2:$T$4001,V$1))</f>
        <v/>
      </c>
      <c r="W629" s="49">
        <f>IF(OR($AE629&lt;&gt;1,W$1=""),"",SUMIFS('All Donations'!$S$2:$S$4001,'All Donations'!$R$2:$R$4001,$AD629,'All Donations'!$T$2:$T$4001,W$1))</f>
        <v/>
      </c>
      <c r="X629" s="49">
        <f>IF(OR($AE629&lt;&gt;1,X$1=""),"",SUMIFS('All Donations'!$S$2:$S$4001,'All Donations'!$R$2:$R$4001,$AD629,'All Donations'!$T$2:$T$4001,X$1))</f>
        <v/>
      </c>
      <c r="Y629" s="49">
        <f>IF(OR($AE629&lt;&gt;1,Y$1=""),"",SUMIFS('All Donations'!$S$2:$S$4001,'All Donations'!$R$2:$R$4001,$AD629,'All Donations'!$T$2:$T$4001,Y$1))</f>
        <v/>
      </c>
      <c r="Z629" s="49">
        <f>IF(OR($AE629&lt;&gt;1,Z$1=""),"",SUMIFS('All Donations'!$S$2:$S$4001,'All Donations'!$R$2:$R$4001,$AD629,'All Donations'!$T$2:$T$4001,Z$1))</f>
        <v/>
      </c>
      <c r="AA629" s="49">
        <f>IF(OR($AE629&lt;&gt;1,AA$1=""),"",SUMIFS('All Donations'!$S$2:$S$4001,'All Donations'!$R$2:$R$4001,$AD629,'All Donations'!$T$2:$T$4001,AA$1))</f>
        <v/>
      </c>
      <c r="AB629" s="49">
        <f>IF(OR($AE629&lt;&gt;1,AB$1=""),"",SUMIFS('All Donations'!$S$2:$S$4001,'All Donations'!$R$2:$R$4001,$AD629,'All Donations'!$T$2:$T$4001,AB$1))</f>
        <v/>
      </c>
      <c r="AC629" s="49">
        <f>IF(OR($AE629&lt;&gt;1,AC$1=""),"",SUMIFS('All Donations'!$S$2:$S$4001,'All Donations'!$R$2:$R$4001,$AD629,'All Donations'!$T$2:$T$4001,AC$1))</f>
        <v/>
      </c>
      <c r="AD629">
        <f>IF(AE629=1,'Roster'!A629,"")</f>
        <v/>
      </c>
      <c r="AE629">
        <f>IF(TRIM('Roster'!B629&amp;'Roster'!C629)&lt;&gt;"",1,0)</f>
        <v/>
      </c>
      <c r="AF629">
        <f>IF(AE629=1,LOWER(A629),"#")</f>
        <v/>
      </c>
      <c r="AG629">
        <f>IF(AE629=1,LOWER(TRIM(TRIM('Roster'!C629)&amp;", "&amp;TRIM('Roster'!B629))),"#")</f>
        <v/>
      </c>
      <c r="AH629">
        <f>IF(AND(AE629=1,TRIM('Roster'!F629)&lt;&gt;""),LOWER(TRIM('Roster'!F629)),"#")</f>
        <v/>
      </c>
      <c r="AI629">
        <f>IF(AE629=1,IF(MATCH(B629,$B$2:$B$701,0)=ROW()-1,1,0),0)</f>
        <v/>
      </c>
      <c r="AJ629">
        <f>AJ628+AI629</f>
        <v/>
      </c>
      <c r="AK629">
        <f>IF(AE629=1,D629+(1000-ROW())/10^7,-1)</f>
        <v/>
      </c>
      <c r="AL629">
        <f>IF(AE629=1,TRIM('Roster'!B629)&amp;" "&amp;LEFT(TRIM('Roster'!C629),1)&amp;".","")</f>
        <v/>
      </c>
      <c r="AM629">
        <f>IF(AE629=1,TRIM('Roster'!C629)&amp;", "&amp;TRIM('Roster'!B629)&amp;" ("&amp;B629&amp;") #"&amp;AD629,"")</f>
        <v/>
      </c>
      <c r="AN629">
        <f>IF(AE629=1,TRIM('Roster'!E629),"")</f>
        <v/>
      </c>
      <c r="AO629">
        <f>IF(AE629=1,ROUND(SUMIFS('All Donations'!$S$2:$S$4001,'All Donations'!$R$2:$R$4001,AD629,'All Donations'!$T$2:$T$4001,"&gt;="&amp;'Settings'!$C$23,'All Donations'!$T$2:$T$4001,"&lt;="&amp;'Settings'!$D$23),2),0)</f>
        <v/>
      </c>
      <c r="AQ629">
        <f>IF(AE629=1,ROUND(SUMIFS('All Donations'!$S$2:$S$4001,'All Donations'!$R$2:$R$4001,AD629,'All Donations'!$T$2:$T$4001,"&gt;="&amp;'Settings'!$C$25,'All Donations'!$T$2:$T$4001,"&lt;="&amp;'Settings'!$D$25),2),0)</f>
        <v/>
      </c>
      <c r="AR629">
        <f>IF(AE629=1,ROUND(SUMIFS('All Donations'!$S$2:$S$4001,'All Donations'!$R$2:$R$4001,AD629,'All Donations'!$T$2:$T$4001,"&gt;="&amp;'Settings'!$C$26,'All Donations'!$T$2:$T$4001,"&lt;="&amp;'Settings'!$D$26),2),0)</f>
        <v/>
      </c>
      <c r="AS629">
        <f>IF(AE629=1,ROUND(SUMIFS('All Donations'!$S$2:$S$4001,'All Donations'!$R$2:$R$4001,AD629,'All Donations'!$T$2:$T$4001,"&lt;="&amp;'Settings'!$D$27),2),0)</f>
        <v/>
      </c>
      <c r="AT629">
        <f>IF(AE629=1,ROUND(SUMIFS('All Donations'!$S$2:$S$4001,'All Donations'!$R$2:$R$4001,AD629,'All Donations'!$T$2:$T$4001,"&gt;="&amp;'Settings'!$C$28,'All Donations'!$T$2:$T$4001,"&lt;="&amp;'Settings'!$D$28),2),0)</f>
        <v/>
      </c>
      <c r="AU629">
        <f>IF(AE629=1,ROUND(SUMIFS('All Donations'!$S$2:$S$4001,'All Donations'!$R$2:$R$4001,AD629,'All Donations'!$T$2:$T$4001,"&gt;="&amp;'Settings'!$C$29,'All Donations'!$T$2:$T$4001,"&lt;="&amp;'Settings'!$D$29),2),0)</f>
        <v/>
      </c>
      <c r="AV629">
        <f>IF(AE629=1,ROUND(SUMIFS('All Donations'!$S$2:$S$4001,'All Donations'!$R$2:$R$4001,AD629,'All Donations'!$T$2:$T$4001,"&lt;="&amp;'Settings'!$D$30),2),0)</f>
        <v/>
      </c>
      <c r="AZ629">
        <f>IF(AE629=1,ROUND(SUMIFS('All Donations'!$S$2:$S$4001,'All Donations'!$R$2:$R$4001,AD629,'All Donations'!$T$2:$T$4001,"&lt;="&amp;'Settings'!$D$34),2),0)</f>
        <v/>
      </c>
    </row>
    <row r="630">
      <c r="A630">
        <f>IF(AE630=1,TRIM(TRIM('Roster'!B630)&amp;" "&amp;TRIM('Roster'!C630)),"")</f>
        <v/>
      </c>
      <c r="B630">
        <f>IF(AE630=1,IF(AN630="","(no teacher)",AN630&amp;" – "&amp;C630),"")</f>
        <v/>
      </c>
      <c r="C630">
        <f>IF(AE630=1,TRIM('Roster'!D630&amp;""),"")</f>
        <v/>
      </c>
      <c r="D630" s="48">
        <f>IF(AE630=1,ROUND(SUMIFS('All Donations'!$S$2:$S$4001,'All Donations'!$R$2:$R$4001,AD630),2),"")</f>
        <v/>
      </c>
      <c r="E630" s="48">
        <f>IF(AE630=1,ROUND(SUMIFS('All Donations'!$S$2:$S$4001,'All Donations'!$R$2:$R$4001,AD630,'All Donations'!$G$2:$G$4001,"OneCause"),2),"")</f>
        <v/>
      </c>
      <c r="F630" s="48">
        <f>IF(AE630=1,D630-E630,"")</f>
        <v/>
      </c>
      <c r="G630">
        <f>IF(AE630=1,COUNTIFS('All Donations'!$R$2:$R$4001,AD630,'All Donations'!$H$2:$H$4001,"OK"),"")</f>
        <v/>
      </c>
      <c r="H630">
        <f>IF(AE630&lt;&gt;1,"",IF(D630&gt;0,"Yes",""))</f>
        <v/>
      </c>
      <c r="I630" s="49">
        <f>IF(OR($AE630&lt;&gt;1,I$1=""),"",SUMIFS('All Donations'!$S$2:$S$4001,'All Donations'!$R$2:$R$4001,$AD630,'All Donations'!$T$2:$T$4001,I$1))</f>
        <v/>
      </c>
      <c r="J630" s="49">
        <f>IF(OR($AE630&lt;&gt;1,J$1=""),"",SUMIFS('All Donations'!$S$2:$S$4001,'All Donations'!$R$2:$R$4001,$AD630,'All Donations'!$T$2:$T$4001,J$1))</f>
        <v/>
      </c>
      <c r="K630" s="49">
        <f>IF(OR($AE630&lt;&gt;1,K$1=""),"",SUMIFS('All Donations'!$S$2:$S$4001,'All Donations'!$R$2:$R$4001,$AD630,'All Donations'!$T$2:$T$4001,K$1))</f>
        <v/>
      </c>
      <c r="L630" s="49">
        <f>IF(OR($AE630&lt;&gt;1,L$1=""),"",SUMIFS('All Donations'!$S$2:$S$4001,'All Donations'!$R$2:$R$4001,$AD630,'All Donations'!$T$2:$T$4001,L$1))</f>
        <v/>
      </c>
      <c r="M630" s="49">
        <f>IF(OR($AE630&lt;&gt;1,M$1=""),"",SUMIFS('All Donations'!$S$2:$S$4001,'All Donations'!$R$2:$R$4001,$AD630,'All Donations'!$T$2:$T$4001,M$1))</f>
        <v/>
      </c>
      <c r="N630" s="49">
        <f>IF(OR($AE630&lt;&gt;1,N$1=""),"",SUMIFS('All Donations'!$S$2:$S$4001,'All Donations'!$R$2:$R$4001,$AD630,'All Donations'!$T$2:$T$4001,N$1))</f>
        <v/>
      </c>
      <c r="O630" s="49">
        <f>IF(OR($AE630&lt;&gt;1,O$1=""),"",SUMIFS('All Donations'!$S$2:$S$4001,'All Donations'!$R$2:$R$4001,$AD630,'All Donations'!$T$2:$T$4001,O$1))</f>
        <v/>
      </c>
      <c r="P630" s="49">
        <f>IF(OR($AE630&lt;&gt;1,P$1=""),"",SUMIFS('All Donations'!$S$2:$S$4001,'All Donations'!$R$2:$R$4001,$AD630,'All Donations'!$T$2:$T$4001,P$1))</f>
        <v/>
      </c>
      <c r="Q630" s="49">
        <f>IF(OR($AE630&lt;&gt;1,Q$1=""),"",SUMIFS('All Donations'!$S$2:$S$4001,'All Donations'!$R$2:$R$4001,$AD630,'All Donations'!$T$2:$T$4001,Q$1))</f>
        <v/>
      </c>
      <c r="R630" s="49">
        <f>IF(OR($AE630&lt;&gt;1,R$1=""),"",SUMIFS('All Donations'!$S$2:$S$4001,'All Donations'!$R$2:$R$4001,$AD630,'All Donations'!$T$2:$T$4001,R$1))</f>
        <v/>
      </c>
      <c r="S630" s="49">
        <f>IF(OR($AE630&lt;&gt;1,S$1=""),"",SUMIFS('All Donations'!$S$2:$S$4001,'All Donations'!$R$2:$R$4001,$AD630,'All Donations'!$T$2:$T$4001,S$1))</f>
        <v/>
      </c>
      <c r="T630" s="49">
        <f>IF(OR($AE630&lt;&gt;1,T$1=""),"",SUMIFS('All Donations'!$S$2:$S$4001,'All Donations'!$R$2:$R$4001,$AD630,'All Donations'!$T$2:$T$4001,T$1))</f>
        <v/>
      </c>
      <c r="U630" s="49">
        <f>IF(OR($AE630&lt;&gt;1,U$1=""),"",SUMIFS('All Donations'!$S$2:$S$4001,'All Donations'!$R$2:$R$4001,$AD630,'All Donations'!$T$2:$T$4001,U$1))</f>
        <v/>
      </c>
      <c r="V630" s="49">
        <f>IF(OR($AE630&lt;&gt;1,V$1=""),"",SUMIFS('All Donations'!$S$2:$S$4001,'All Donations'!$R$2:$R$4001,$AD630,'All Donations'!$T$2:$T$4001,V$1))</f>
        <v/>
      </c>
      <c r="W630" s="49">
        <f>IF(OR($AE630&lt;&gt;1,W$1=""),"",SUMIFS('All Donations'!$S$2:$S$4001,'All Donations'!$R$2:$R$4001,$AD630,'All Donations'!$T$2:$T$4001,W$1))</f>
        <v/>
      </c>
      <c r="X630" s="49">
        <f>IF(OR($AE630&lt;&gt;1,X$1=""),"",SUMIFS('All Donations'!$S$2:$S$4001,'All Donations'!$R$2:$R$4001,$AD630,'All Donations'!$T$2:$T$4001,X$1))</f>
        <v/>
      </c>
      <c r="Y630" s="49">
        <f>IF(OR($AE630&lt;&gt;1,Y$1=""),"",SUMIFS('All Donations'!$S$2:$S$4001,'All Donations'!$R$2:$R$4001,$AD630,'All Donations'!$T$2:$T$4001,Y$1))</f>
        <v/>
      </c>
      <c r="Z630" s="49">
        <f>IF(OR($AE630&lt;&gt;1,Z$1=""),"",SUMIFS('All Donations'!$S$2:$S$4001,'All Donations'!$R$2:$R$4001,$AD630,'All Donations'!$T$2:$T$4001,Z$1))</f>
        <v/>
      </c>
      <c r="AA630" s="49">
        <f>IF(OR($AE630&lt;&gt;1,AA$1=""),"",SUMIFS('All Donations'!$S$2:$S$4001,'All Donations'!$R$2:$R$4001,$AD630,'All Donations'!$T$2:$T$4001,AA$1))</f>
        <v/>
      </c>
      <c r="AB630" s="49">
        <f>IF(OR($AE630&lt;&gt;1,AB$1=""),"",SUMIFS('All Donations'!$S$2:$S$4001,'All Donations'!$R$2:$R$4001,$AD630,'All Donations'!$T$2:$T$4001,AB$1))</f>
        <v/>
      </c>
      <c r="AC630" s="49">
        <f>IF(OR($AE630&lt;&gt;1,AC$1=""),"",SUMIFS('All Donations'!$S$2:$S$4001,'All Donations'!$R$2:$R$4001,$AD630,'All Donations'!$T$2:$T$4001,AC$1))</f>
        <v/>
      </c>
      <c r="AD630">
        <f>IF(AE630=1,'Roster'!A630,"")</f>
        <v/>
      </c>
      <c r="AE630">
        <f>IF(TRIM('Roster'!B630&amp;'Roster'!C630)&lt;&gt;"",1,0)</f>
        <v/>
      </c>
      <c r="AF630">
        <f>IF(AE630=1,LOWER(A630),"#")</f>
        <v/>
      </c>
      <c r="AG630">
        <f>IF(AE630=1,LOWER(TRIM(TRIM('Roster'!C630)&amp;", "&amp;TRIM('Roster'!B630))),"#")</f>
        <v/>
      </c>
      <c r="AH630">
        <f>IF(AND(AE630=1,TRIM('Roster'!F630)&lt;&gt;""),LOWER(TRIM('Roster'!F630)),"#")</f>
        <v/>
      </c>
      <c r="AI630">
        <f>IF(AE630=1,IF(MATCH(B630,$B$2:$B$701,0)=ROW()-1,1,0),0)</f>
        <v/>
      </c>
      <c r="AJ630">
        <f>AJ629+AI630</f>
        <v/>
      </c>
      <c r="AK630">
        <f>IF(AE630=1,D630+(1000-ROW())/10^7,-1)</f>
        <v/>
      </c>
      <c r="AL630">
        <f>IF(AE630=1,TRIM('Roster'!B630)&amp;" "&amp;LEFT(TRIM('Roster'!C630),1)&amp;".","")</f>
        <v/>
      </c>
      <c r="AM630">
        <f>IF(AE630=1,TRIM('Roster'!C630)&amp;", "&amp;TRIM('Roster'!B630)&amp;" ("&amp;B630&amp;") #"&amp;AD630,"")</f>
        <v/>
      </c>
      <c r="AN630">
        <f>IF(AE630=1,TRIM('Roster'!E630),"")</f>
        <v/>
      </c>
      <c r="AO630">
        <f>IF(AE630=1,ROUND(SUMIFS('All Donations'!$S$2:$S$4001,'All Donations'!$R$2:$R$4001,AD630,'All Donations'!$T$2:$T$4001,"&gt;="&amp;'Settings'!$C$23,'All Donations'!$T$2:$T$4001,"&lt;="&amp;'Settings'!$D$23),2),0)</f>
        <v/>
      </c>
      <c r="AQ630">
        <f>IF(AE630=1,ROUND(SUMIFS('All Donations'!$S$2:$S$4001,'All Donations'!$R$2:$R$4001,AD630,'All Donations'!$T$2:$T$4001,"&gt;="&amp;'Settings'!$C$25,'All Donations'!$T$2:$T$4001,"&lt;="&amp;'Settings'!$D$25),2),0)</f>
        <v/>
      </c>
      <c r="AR630">
        <f>IF(AE630=1,ROUND(SUMIFS('All Donations'!$S$2:$S$4001,'All Donations'!$R$2:$R$4001,AD630,'All Donations'!$T$2:$T$4001,"&gt;="&amp;'Settings'!$C$26,'All Donations'!$T$2:$T$4001,"&lt;="&amp;'Settings'!$D$26),2),0)</f>
        <v/>
      </c>
      <c r="AS630">
        <f>IF(AE630=1,ROUND(SUMIFS('All Donations'!$S$2:$S$4001,'All Donations'!$R$2:$R$4001,AD630,'All Donations'!$T$2:$T$4001,"&lt;="&amp;'Settings'!$D$27),2),0)</f>
        <v/>
      </c>
      <c r="AT630">
        <f>IF(AE630=1,ROUND(SUMIFS('All Donations'!$S$2:$S$4001,'All Donations'!$R$2:$R$4001,AD630,'All Donations'!$T$2:$T$4001,"&gt;="&amp;'Settings'!$C$28,'All Donations'!$T$2:$T$4001,"&lt;="&amp;'Settings'!$D$28),2),0)</f>
        <v/>
      </c>
      <c r="AU630">
        <f>IF(AE630=1,ROUND(SUMIFS('All Donations'!$S$2:$S$4001,'All Donations'!$R$2:$R$4001,AD630,'All Donations'!$T$2:$T$4001,"&gt;="&amp;'Settings'!$C$29,'All Donations'!$T$2:$T$4001,"&lt;="&amp;'Settings'!$D$29),2),0)</f>
        <v/>
      </c>
      <c r="AV630">
        <f>IF(AE630=1,ROUND(SUMIFS('All Donations'!$S$2:$S$4001,'All Donations'!$R$2:$R$4001,AD630,'All Donations'!$T$2:$T$4001,"&lt;="&amp;'Settings'!$D$30),2),0)</f>
        <v/>
      </c>
      <c r="AZ630">
        <f>IF(AE630=1,ROUND(SUMIFS('All Donations'!$S$2:$S$4001,'All Donations'!$R$2:$R$4001,AD630,'All Donations'!$T$2:$T$4001,"&lt;="&amp;'Settings'!$D$34),2),0)</f>
        <v/>
      </c>
    </row>
    <row r="631">
      <c r="A631">
        <f>IF(AE631=1,TRIM(TRIM('Roster'!B631)&amp;" "&amp;TRIM('Roster'!C631)),"")</f>
        <v/>
      </c>
      <c r="B631">
        <f>IF(AE631=1,IF(AN631="","(no teacher)",AN631&amp;" – "&amp;C631),"")</f>
        <v/>
      </c>
      <c r="C631">
        <f>IF(AE631=1,TRIM('Roster'!D631&amp;""),"")</f>
        <v/>
      </c>
      <c r="D631" s="48">
        <f>IF(AE631=1,ROUND(SUMIFS('All Donations'!$S$2:$S$4001,'All Donations'!$R$2:$R$4001,AD631),2),"")</f>
        <v/>
      </c>
      <c r="E631" s="48">
        <f>IF(AE631=1,ROUND(SUMIFS('All Donations'!$S$2:$S$4001,'All Donations'!$R$2:$R$4001,AD631,'All Donations'!$G$2:$G$4001,"OneCause"),2),"")</f>
        <v/>
      </c>
      <c r="F631" s="48">
        <f>IF(AE631=1,D631-E631,"")</f>
        <v/>
      </c>
      <c r="G631">
        <f>IF(AE631=1,COUNTIFS('All Donations'!$R$2:$R$4001,AD631,'All Donations'!$H$2:$H$4001,"OK"),"")</f>
        <v/>
      </c>
      <c r="H631">
        <f>IF(AE631&lt;&gt;1,"",IF(D631&gt;0,"Yes",""))</f>
        <v/>
      </c>
      <c r="I631" s="49">
        <f>IF(OR($AE631&lt;&gt;1,I$1=""),"",SUMIFS('All Donations'!$S$2:$S$4001,'All Donations'!$R$2:$R$4001,$AD631,'All Donations'!$T$2:$T$4001,I$1))</f>
        <v/>
      </c>
      <c r="J631" s="49">
        <f>IF(OR($AE631&lt;&gt;1,J$1=""),"",SUMIFS('All Donations'!$S$2:$S$4001,'All Donations'!$R$2:$R$4001,$AD631,'All Donations'!$T$2:$T$4001,J$1))</f>
        <v/>
      </c>
      <c r="K631" s="49">
        <f>IF(OR($AE631&lt;&gt;1,K$1=""),"",SUMIFS('All Donations'!$S$2:$S$4001,'All Donations'!$R$2:$R$4001,$AD631,'All Donations'!$T$2:$T$4001,K$1))</f>
        <v/>
      </c>
      <c r="L631" s="49">
        <f>IF(OR($AE631&lt;&gt;1,L$1=""),"",SUMIFS('All Donations'!$S$2:$S$4001,'All Donations'!$R$2:$R$4001,$AD631,'All Donations'!$T$2:$T$4001,L$1))</f>
        <v/>
      </c>
      <c r="M631" s="49">
        <f>IF(OR($AE631&lt;&gt;1,M$1=""),"",SUMIFS('All Donations'!$S$2:$S$4001,'All Donations'!$R$2:$R$4001,$AD631,'All Donations'!$T$2:$T$4001,M$1))</f>
        <v/>
      </c>
      <c r="N631" s="49">
        <f>IF(OR($AE631&lt;&gt;1,N$1=""),"",SUMIFS('All Donations'!$S$2:$S$4001,'All Donations'!$R$2:$R$4001,$AD631,'All Donations'!$T$2:$T$4001,N$1))</f>
        <v/>
      </c>
      <c r="O631" s="49">
        <f>IF(OR($AE631&lt;&gt;1,O$1=""),"",SUMIFS('All Donations'!$S$2:$S$4001,'All Donations'!$R$2:$R$4001,$AD631,'All Donations'!$T$2:$T$4001,O$1))</f>
        <v/>
      </c>
      <c r="P631" s="49">
        <f>IF(OR($AE631&lt;&gt;1,P$1=""),"",SUMIFS('All Donations'!$S$2:$S$4001,'All Donations'!$R$2:$R$4001,$AD631,'All Donations'!$T$2:$T$4001,P$1))</f>
        <v/>
      </c>
      <c r="Q631" s="49">
        <f>IF(OR($AE631&lt;&gt;1,Q$1=""),"",SUMIFS('All Donations'!$S$2:$S$4001,'All Donations'!$R$2:$R$4001,$AD631,'All Donations'!$T$2:$T$4001,Q$1))</f>
        <v/>
      </c>
      <c r="R631" s="49">
        <f>IF(OR($AE631&lt;&gt;1,R$1=""),"",SUMIFS('All Donations'!$S$2:$S$4001,'All Donations'!$R$2:$R$4001,$AD631,'All Donations'!$T$2:$T$4001,R$1))</f>
        <v/>
      </c>
      <c r="S631" s="49">
        <f>IF(OR($AE631&lt;&gt;1,S$1=""),"",SUMIFS('All Donations'!$S$2:$S$4001,'All Donations'!$R$2:$R$4001,$AD631,'All Donations'!$T$2:$T$4001,S$1))</f>
        <v/>
      </c>
      <c r="T631" s="49">
        <f>IF(OR($AE631&lt;&gt;1,T$1=""),"",SUMIFS('All Donations'!$S$2:$S$4001,'All Donations'!$R$2:$R$4001,$AD631,'All Donations'!$T$2:$T$4001,T$1))</f>
        <v/>
      </c>
      <c r="U631" s="49">
        <f>IF(OR($AE631&lt;&gt;1,U$1=""),"",SUMIFS('All Donations'!$S$2:$S$4001,'All Donations'!$R$2:$R$4001,$AD631,'All Donations'!$T$2:$T$4001,U$1))</f>
        <v/>
      </c>
      <c r="V631" s="49">
        <f>IF(OR($AE631&lt;&gt;1,V$1=""),"",SUMIFS('All Donations'!$S$2:$S$4001,'All Donations'!$R$2:$R$4001,$AD631,'All Donations'!$T$2:$T$4001,V$1))</f>
        <v/>
      </c>
      <c r="W631" s="49">
        <f>IF(OR($AE631&lt;&gt;1,W$1=""),"",SUMIFS('All Donations'!$S$2:$S$4001,'All Donations'!$R$2:$R$4001,$AD631,'All Donations'!$T$2:$T$4001,W$1))</f>
        <v/>
      </c>
      <c r="X631" s="49">
        <f>IF(OR($AE631&lt;&gt;1,X$1=""),"",SUMIFS('All Donations'!$S$2:$S$4001,'All Donations'!$R$2:$R$4001,$AD631,'All Donations'!$T$2:$T$4001,X$1))</f>
        <v/>
      </c>
      <c r="Y631" s="49">
        <f>IF(OR($AE631&lt;&gt;1,Y$1=""),"",SUMIFS('All Donations'!$S$2:$S$4001,'All Donations'!$R$2:$R$4001,$AD631,'All Donations'!$T$2:$T$4001,Y$1))</f>
        <v/>
      </c>
      <c r="Z631" s="49">
        <f>IF(OR($AE631&lt;&gt;1,Z$1=""),"",SUMIFS('All Donations'!$S$2:$S$4001,'All Donations'!$R$2:$R$4001,$AD631,'All Donations'!$T$2:$T$4001,Z$1))</f>
        <v/>
      </c>
      <c r="AA631" s="49">
        <f>IF(OR($AE631&lt;&gt;1,AA$1=""),"",SUMIFS('All Donations'!$S$2:$S$4001,'All Donations'!$R$2:$R$4001,$AD631,'All Donations'!$T$2:$T$4001,AA$1))</f>
        <v/>
      </c>
      <c r="AB631" s="49">
        <f>IF(OR($AE631&lt;&gt;1,AB$1=""),"",SUMIFS('All Donations'!$S$2:$S$4001,'All Donations'!$R$2:$R$4001,$AD631,'All Donations'!$T$2:$T$4001,AB$1))</f>
        <v/>
      </c>
      <c r="AC631" s="49">
        <f>IF(OR($AE631&lt;&gt;1,AC$1=""),"",SUMIFS('All Donations'!$S$2:$S$4001,'All Donations'!$R$2:$R$4001,$AD631,'All Donations'!$T$2:$T$4001,AC$1))</f>
        <v/>
      </c>
      <c r="AD631">
        <f>IF(AE631=1,'Roster'!A631,"")</f>
        <v/>
      </c>
      <c r="AE631">
        <f>IF(TRIM('Roster'!B631&amp;'Roster'!C631)&lt;&gt;"",1,0)</f>
        <v/>
      </c>
      <c r="AF631">
        <f>IF(AE631=1,LOWER(A631),"#")</f>
        <v/>
      </c>
      <c r="AG631">
        <f>IF(AE631=1,LOWER(TRIM(TRIM('Roster'!C631)&amp;", "&amp;TRIM('Roster'!B631))),"#")</f>
        <v/>
      </c>
      <c r="AH631">
        <f>IF(AND(AE631=1,TRIM('Roster'!F631)&lt;&gt;""),LOWER(TRIM('Roster'!F631)),"#")</f>
        <v/>
      </c>
      <c r="AI631">
        <f>IF(AE631=1,IF(MATCH(B631,$B$2:$B$701,0)=ROW()-1,1,0),0)</f>
        <v/>
      </c>
      <c r="AJ631">
        <f>AJ630+AI631</f>
        <v/>
      </c>
      <c r="AK631">
        <f>IF(AE631=1,D631+(1000-ROW())/10^7,-1)</f>
        <v/>
      </c>
      <c r="AL631">
        <f>IF(AE631=1,TRIM('Roster'!B631)&amp;" "&amp;LEFT(TRIM('Roster'!C631),1)&amp;".","")</f>
        <v/>
      </c>
      <c r="AM631">
        <f>IF(AE631=1,TRIM('Roster'!C631)&amp;", "&amp;TRIM('Roster'!B631)&amp;" ("&amp;B631&amp;") #"&amp;AD631,"")</f>
        <v/>
      </c>
      <c r="AN631">
        <f>IF(AE631=1,TRIM('Roster'!E631),"")</f>
        <v/>
      </c>
      <c r="AO631">
        <f>IF(AE631=1,ROUND(SUMIFS('All Donations'!$S$2:$S$4001,'All Donations'!$R$2:$R$4001,AD631,'All Donations'!$T$2:$T$4001,"&gt;="&amp;'Settings'!$C$23,'All Donations'!$T$2:$T$4001,"&lt;="&amp;'Settings'!$D$23),2),0)</f>
        <v/>
      </c>
      <c r="AQ631">
        <f>IF(AE631=1,ROUND(SUMIFS('All Donations'!$S$2:$S$4001,'All Donations'!$R$2:$R$4001,AD631,'All Donations'!$T$2:$T$4001,"&gt;="&amp;'Settings'!$C$25,'All Donations'!$T$2:$T$4001,"&lt;="&amp;'Settings'!$D$25),2),0)</f>
        <v/>
      </c>
      <c r="AR631">
        <f>IF(AE631=1,ROUND(SUMIFS('All Donations'!$S$2:$S$4001,'All Donations'!$R$2:$R$4001,AD631,'All Donations'!$T$2:$T$4001,"&gt;="&amp;'Settings'!$C$26,'All Donations'!$T$2:$T$4001,"&lt;="&amp;'Settings'!$D$26),2),0)</f>
        <v/>
      </c>
      <c r="AS631">
        <f>IF(AE631=1,ROUND(SUMIFS('All Donations'!$S$2:$S$4001,'All Donations'!$R$2:$R$4001,AD631,'All Donations'!$T$2:$T$4001,"&lt;="&amp;'Settings'!$D$27),2),0)</f>
        <v/>
      </c>
      <c r="AT631">
        <f>IF(AE631=1,ROUND(SUMIFS('All Donations'!$S$2:$S$4001,'All Donations'!$R$2:$R$4001,AD631,'All Donations'!$T$2:$T$4001,"&gt;="&amp;'Settings'!$C$28,'All Donations'!$T$2:$T$4001,"&lt;="&amp;'Settings'!$D$28),2),0)</f>
        <v/>
      </c>
      <c r="AU631">
        <f>IF(AE631=1,ROUND(SUMIFS('All Donations'!$S$2:$S$4001,'All Donations'!$R$2:$R$4001,AD631,'All Donations'!$T$2:$T$4001,"&gt;="&amp;'Settings'!$C$29,'All Donations'!$T$2:$T$4001,"&lt;="&amp;'Settings'!$D$29),2),0)</f>
        <v/>
      </c>
      <c r="AV631">
        <f>IF(AE631=1,ROUND(SUMIFS('All Donations'!$S$2:$S$4001,'All Donations'!$R$2:$R$4001,AD631,'All Donations'!$T$2:$T$4001,"&lt;="&amp;'Settings'!$D$30),2),0)</f>
        <v/>
      </c>
      <c r="AZ631">
        <f>IF(AE631=1,ROUND(SUMIFS('All Donations'!$S$2:$S$4001,'All Donations'!$R$2:$R$4001,AD631,'All Donations'!$T$2:$T$4001,"&lt;="&amp;'Settings'!$D$34),2),0)</f>
        <v/>
      </c>
    </row>
    <row r="632">
      <c r="A632">
        <f>IF(AE632=1,TRIM(TRIM('Roster'!B632)&amp;" "&amp;TRIM('Roster'!C632)),"")</f>
        <v/>
      </c>
      <c r="B632">
        <f>IF(AE632=1,IF(AN632="","(no teacher)",AN632&amp;" – "&amp;C632),"")</f>
        <v/>
      </c>
      <c r="C632">
        <f>IF(AE632=1,TRIM('Roster'!D632&amp;""),"")</f>
        <v/>
      </c>
      <c r="D632" s="48">
        <f>IF(AE632=1,ROUND(SUMIFS('All Donations'!$S$2:$S$4001,'All Donations'!$R$2:$R$4001,AD632),2),"")</f>
        <v/>
      </c>
      <c r="E632" s="48">
        <f>IF(AE632=1,ROUND(SUMIFS('All Donations'!$S$2:$S$4001,'All Donations'!$R$2:$R$4001,AD632,'All Donations'!$G$2:$G$4001,"OneCause"),2),"")</f>
        <v/>
      </c>
      <c r="F632" s="48">
        <f>IF(AE632=1,D632-E632,"")</f>
        <v/>
      </c>
      <c r="G632">
        <f>IF(AE632=1,COUNTIFS('All Donations'!$R$2:$R$4001,AD632,'All Donations'!$H$2:$H$4001,"OK"),"")</f>
        <v/>
      </c>
      <c r="H632">
        <f>IF(AE632&lt;&gt;1,"",IF(D632&gt;0,"Yes",""))</f>
        <v/>
      </c>
      <c r="I632" s="49">
        <f>IF(OR($AE632&lt;&gt;1,I$1=""),"",SUMIFS('All Donations'!$S$2:$S$4001,'All Donations'!$R$2:$R$4001,$AD632,'All Donations'!$T$2:$T$4001,I$1))</f>
        <v/>
      </c>
      <c r="J632" s="49">
        <f>IF(OR($AE632&lt;&gt;1,J$1=""),"",SUMIFS('All Donations'!$S$2:$S$4001,'All Donations'!$R$2:$R$4001,$AD632,'All Donations'!$T$2:$T$4001,J$1))</f>
        <v/>
      </c>
      <c r="K632" s="49">
        <f>IF(OR($AE632&lt;&gt;1,K$1=""),"",SUMIFS('All Donations'!$S$2:$S$4001,'All Donations'!$R$2:$R$4001,$AD632,'All Donations'!$T$2:$T$4001,K$1))</f>
        <v/>
      </c>
      <c r="L632" s="49">
        <f>IF(OR($AE632&lt;&gt;1,L$1=""),"",SUMIFS('All Donations'!$S$2:$S$4001,'All Donations'!$R$2:$R$4001,$AD632,'All Donations'!$T$2:$T$4001,L$1))</f>
        <v/>
      </c>
      <c r="M632" s="49">
        <f>IF(OR($AE632&lt;&gt;1,M$1=""),"",SUMIFS('All Donations'!$S$2:$S$4001,'All Donations'!$R$2:$R$4001,$AD632,'All Donations'!$T$2:$T$4001,M$1))</f>
        <v/>
      </c>
      <c r="N632" s="49">
        <f>IF(OR($AE632&lt;&gt;1,N$1=""),"",SUMIFS('All Donations'!$S$2:$S$4001,'All Donations'!$R$2:$R$4001,$AD632,'All Donations'!$T$2:$T$4001,N$1))</f>
        <v/>
      </c>
      <c r="O632" s="49">
        <f>IF(OR($AE632&lt;&gt;1,O$1=""),"",SUMIFS('All Donations'!$S$2:$S$4001,'All Donations'!$R$2:$R$4001,$AD632,'All Donations'!$T$2:$T$4001,O$1))</f>
        <v/>
      </c>
      <c r="P632" s="49">
        <f>IF(OR($AE632&lt;&gt;1,P$1=""),"",SUMIFS('All Donations'!$S$2:$S$4001,'All Donations'!$R$2:$R$4001,$AD632,'All Donations'!$T$2:$T$4001,P$1))</f>
        <v/>
      </c>
      <c r="Q632" s="49">
        <f>IF(OR($AE632&lt;&gt;1,Q$1=""),"",SUMIFS('All Donations'!$S$2:$S$4001,'All Donations'!$R$2:$R$4001,$AD632,'All Donations'!$T$2:$T$4001,Q$1))</f>
        <v/>
      </c>
      <c r="R632" s="49">
        <f>IF(OR($AE632&lt;&gt;1,R$1=""),"",SUMIFS('All Donations'!$S$2:$S$4001,'All Donations'!$R$2:$R$4001,$AD632,'All Donations'!$T$2:$T$4001,R$1))</f>
        <v/>
      </c>
      <c r="S632" s="49">
        <f>IF(OR($AE632&lt;&gt;1,S$1=""),"",SUMIFS('All Donations'!$S$2:$S$4001,'All Donations'!$R$2:$R$4001,$AD632,'All Donations'!$T$2:$T$4001,S$1))</f>
        <v/>
      </c>
      <c r="T632" s="49">
        <f>IF(OR($AE632&lt;&gt;1,T$1=""),"",SUMIFS('All Donations'!$S$2:$S$4001,'All Donations'!$R$2:$R$4001,$AD632,'All Donations'!$T$2:$T$4001,T$1))</f>
        <v/>
      </c>
      <c r="U632" s="49">
        <f>IF(OR($AE632&lt;&gt;1,U$1=""),"",SUMIFS('All Donations'!$S$2:$S$4001,'All Donations'!$R$2:$R$4001,$AD632,'All Donations'!$T$2:$T$4001,U$1))</f>
        <v/>
      </c>
      <c r="V632" s="49">
        <f>IF(OR($AE632&lt;&gt;1,V$1=""),"",SUMIFS('All Donations'!$S$2:$S$4001,'All Donations'!$R$2:$R$4001,$AD632,'All Donations'!$T$2:$T$4001,V$1))</f>
        <v/>
      </c>
      <c r="W632" s="49">
        <f>IF(OR($AE632&lt;&gt;1,W$1=""),"",SUMIFS('All Donations'!$S$2:$S$4001,'All Donations'!$R$2:$R$4001,$AD632,'All Donations'!$T$2:$T$4001,W$1))</f>
        <v/>
      </c>
      <c r="X632" s="49">
        <f>IF(OR($AE632&lt;&gt;1,X$1=""),"",SUMIFS('All Donations'!$S$2:$S$4001,'All Donations'!$R$2:$R$4001,$AD632,'All Donations'!$T$2:$T$4001,X$1))</f>
        <v/>
      </c>
      <c r="Y632" s="49">
        <f>IF(OR($AE632&lt;&gt;1,Y$1=""),"",SUMIFS('All Donations'!$S$2:$S$4001,'All Donations'!$R$2:$R$4001,$AD632,'All Donations'!$T$2:$T$4001,Y$1))</f>
        <v/>
      </c>
      <c r="Z632" s="49">
        <f>IF(OR($AE632&lt;&gt;1,Z$1=""),"",SUMIFS('All Donations'!$S$2:$S$4001,'All Donations'!$R$2:$R$4001,$AD632,'All Donations'!$T$2:$T$4001,Z$1))</f>
        <v/>
      </c>
      <c r="AA632" s="49">
        <f>IF(OR($AE632&lt;&gt;1,AA$1=""),"",SUMIFS('All Donations'!$S$2:$S$4001,'All Donations'!$R$2:$R$4001,$AD632,'All Donations'!$T$2:$T$4001,AA$1))</f>
        <v/>
      </c>
      <c r="AB632" s="49">
        <f>IF(OR($AE632&lt;&gt;1,AB$1=""),"",SUMIFS('All Donations'!$S$2:$S$4001,'All Donations'!$R$2:$R$4001,$AD632,'All Donations'!$T$2:$T$4001,AB$1))</f>
        <v/>
      </c>
      <c r="AC632" s="49">
        <f>IF(OR($AE632&lt;&gt;1,AC$1=""),"",SUMIFS('All Donations'!$S$2:$S$4001,'All Donations'!$R$2:$R$4001,$AD632,'All Donations'!$T$2:$T$4001,AC$1))</f>
        <v/>
      </c>
      <c r="AD632">
        <f>IF(AE632=1,'Roster'!A632,"")</f>
        <v/>
      </c>
      <c r="AE632">
        <f>IF(TRIM('Roster'!B632&amp;'Roster'!C632)&lt;&gt;"",1,0)</f>
        <v/>
      </c>
      <c r="AF632">
        <f>IF(AE632=1,LOWER(A632),"#")</f>
        <v/>
      </c>
      <c r="AG632">
        <f>IF(AE632=1,LOWER(TRIM(TRIM('Roster'!C632)&amp;", "&amp;TRIM('Roster'!B632))),"#")</f>
        <v/>
      </c>
      <c r="AH632">
        <f>IF(AND(AE632=1,TRIM('Roster'!F632)&lt;&gt;""),LOWER(TRIM('Roster'!F632)),"#")</f>
        <v/>
      </c>
      <c r="AI632">
        <f>IF(AE632=1,IF(MATCH(B632,$B$2:$B$701,0)=ROW()-1,1,0),0)</f>
        <v/>
      </c>
      <c r="AJ632">
        <f>AJ631+AI632</f>
        <v/>
      </c>
      <c r="AK632">
        <f>IF(AE632=1,D632+(1000-ROW())/10^7,-1)</f>
        <v/>
      </c>
      <c r="AL632">
        <f>IF(AE632=1,TRIM('Roster'!B632)&amp;" "&amp;LEFT(TRIM('Roster'!C632),1)&amp;".","")</f>
        <v/>
      </c>
      <c r="AM632">
        <f>IF(AE632=1,TRIM('Roster'!C632)&amp;", "&amp;TRIM('Roster'!B632)&amp;" ("&amp;B632&amp;") #"&amp;AD632,"")</f>
        <v/>
      </c>
      <c r="AN632">
        <f>IF(AE632=1,TRIM('Roster'!E632),"")</f>
        <v/>
      </c>
      <c r="AO632">
        <f>IF(AE632=1,ROUND(SUMIFS('All Donations'!$S$2:$S$4001,'All Donations'!$R$2:$R$4001,AD632,'All Donations'!$T$2:$T$4001,"&gt;="&amp;'Settings'!$C$23,'All Donations'!$T$2:$T$4001,"&lt;="&amp;'Settings'!$D$23),2),0)</f>
        <v/>
      </c>
      <c r="AQ632">
        <f>IF(AE632=1,ROUND(SUMIFS('All Donations'!$S$2:$S$4001,'All Donations'!$R$2:$R$4001,AD632,'All Donations'!$T$2:$T$4001,"&gt;="&amp;'Settings'!$C$25,'All Donations'!$T$2:$T$4001,"&lt;="&amp;'Settings'!$D$25),2),0)</f>
        <v/>
      </c>
      <c r="AR632">
        <f>IF(AE632=1,ROUND(SUMIFS('All Donations'!$S$2:$S$4001,'All Donations'!$R$2:$R$4001,AD632,'All Donations'!$T$2:$T$4001,"&gt;="&amp;'Settings'!$C$26,'All Donations'!$T$2:$T$4001,"&lt;="&amp;'Settings'!$D$26),2),0)</f>
        <v/>
      </c>
      <c r="AS632">
        <f>IF(AE632=1,ROUND(SUMIFS('All Donations'!$S$2:$S$4001,'All Donations'!$R$2:$R$4001,AD632,'All Donations'!$T$2:$T$4001,"&lt;="&amp;'Settings'!$D$27),2),0)</f>
        <v/>
      </c>
      <c r="AT632">
        <f>IF(AE632=1,ROUND(SUMIFS('All Donations'!$S$2:$S$4001,'All Donations'!$R$2:$R$4001,AD632,'All Donations'!$T$2:$T$4001,"&gt;="&amp;'Settings'!$C$28,'All Donations'!$T$2:$T$4001,"&lt;="&amp;'Settings'!$D$28),2),0)</f>
        <v/>
      </c>
      <c r="AU632">
        <f>IF(AE632=1,ROUND(SUMIFS('All Donations'!$S$2:$S$4001,'All Donations'!$R$2:$R$4001,AD632,'All Donations'!$T$2:$T$4001,"&gt;="&amp;'Settings'!$C$29,'All Donations'!$T$2:$T$4001,"&lt;="&amp;'Settings'!$D$29),2),0)</f>
        <v/>
      </c>
      <c r="AV632">
        <f>IF(AE632=1,ROUND(SUMIFS('All Donations'!$S$2:$S$4001,'All Donations'!$R$2:$R$4001,AD632,'All Donations'!$T$2:$T$4001,"&lt;="&amp;'Settings'!$D$30),2),0)</f>
        <v/>
      </c>
      <c r="AZ632">
        <f>IF(AE632=1,ROUND(SUMIFS('All Donations'!$S$2:$S$4001,'All Donations'!$R$2:$R$4001,AD632,'All Donations'!$T$2:$T$4001,"&lt;="&amp;'Settings'!$D$34),2),0)</f>
        <v/>
      </c>
    </row>
    <row r="633">
      <c r="A633">
        <f>IF(AE633=1,TRIM(TRIM('Roster'!B633)&amp;" "&amp;TRIM('Roster'!C633)),"")</f>
        <v/>
      </c>
      <c r="B633">
        <f>IF(AE633=1,IF(AN633="","(no teacher)",AN633&amp;" – "&amp;C633),"")</f>
        <v/>
      </c>
      <c r="C633">
        <f>IF(AE633=1,TRIM('Roster'!D633&amp;""),"")</f>
        <v/>
      </c>
      <c r="D633" s="48">
        <f>IF(AE633=1,ROUND(SUMIFS('All Donations'!$S$2:$S$4001,'All Donations'!$R$2:$R$4001,AD633),2),"")</f>
        <v/>
      </c>
      <c r="E633" s="48">
        <f>IF(AE633=1,ROUND(SUMIFS('All Donations'!$S$2:$S$4001,'All Donations'!$R$2:$R$4001,AD633,'All Donations'!$G$2:$G$4001,"OneCause"),2),"")</f>
        <v/>
      </c>
      <c r="F633" s="48">
        <f>IF(AE633=1,D633-E633,"")</f>
        <v/>
      </c>
      <c r="G633">
        <f>IF(AE633=1,COUNTIFS('All Donations'!$R$2:$R$4001,AD633,'All Donations'!$H$2:$H$4001,"OK"),"")</f>
        <v/>
      </c>
      <c r="H633">
        <f>IF(AE633&lt;&gt;1,"",IF(D633&gt;0,"Yes",""))</f>
        <v/>
      </c>
      <c r="I633" s="49">
        <f>IF(OR($AE633&lt;&gt;1,I$1=""),"",SUMIFS('All Donations'!$S$2:$S$4001,'All Donations'!$R$2:$R$4001,$AD633,'All Donations'!$T$2:$T$4001,I$1))</f>
        <v/>
      </c>
      <c r="J633" s="49">
        <f>IF(OR($AE633&lt;&gt;1,J$1=""),"",SUMIFS('All Donations'!$S$2:$S$4001,'All Donations'!$R$2:$R$4001,$AD633,'All Donations'!$T$2:$T$4001,J$1))</f>
        <v/>
      </c>
      <c r="K633" s="49">
        <f>IF(OR($AE633&lt;&gt;1,K$1=""),"",SUMIFS('All Donations'!$S$2:$S$4001,'All Donations'!$R$2:$R$4001,$AD633,'All Donations'!$T$2:$T$4001,K$1))</f>
        <v/>
      </c>
      <c r="L633" s="49">
        <f>IF(OR($AE633&lt;&gt;1,L$1=""),"",SUMIFS('All Donations'!$S$2:$S$4001,'All Donations'!$R$2:$R$4001,$AD633,'All Donations'!$T$2:$T$4001,L$1))</f>
        <v/>
      </c>
      <c r="M633" s="49">
        <f>IF(OR($AE633&lt;&gt;1,M$1=""),"",SUMIFS('All Donations'!$S$2:$S$4001,'All Donations'!$R$2:$R$4001,$AD633,'All Donations'!$T$2:$T$4001,M$1))</f>
        <v/>
      </c>
      <c r="N633" s="49">
        <f>IF(OR($AE633&lt;&gt;1,N$1=""),"",SUMIFS('All Donations'!$S$2:$S$4001,'All Donations'!$R$2:$R$4001,$AD633,'All Donations'!$T$2:$T$4001,N$1))</f>
        <v/>
      </c>
      <c r="O633" s="49">
        <f>IF(OR($AE633&lt;&gt;1,O$1=""),"",SUMIFS('All Donations'!$S$2:$S$4001,'All Donations'!$R$2:$R$4001,$AD633,'All Donations'!$T$2:$T$4001,O$1))</f>
        <v/>
      </c>
      <c r="P633" s="49">
        <f>IF(OR($AE633&lt;&gt;1,P$1=""),"",SUMIFS('All Donations'!$S$2:$S$4001,'All Donations'!$R$2:$R$4001,$AD633,'All Donations'!$T$2:$T$4001,P$1))</f>
        <v/>
      </c>
      <c r="Q633" s="49">
        <f>IF(OR($AE633&lt;&gt;1,Q$1=""),"",SUMIFS('All Donations'!$S$2:$S$4001,'All Donations'!$R$2:$R$4001,$AD633,'All Donations'!$T$2:$T$4001,Q$1))</f>
        <v/>
      </c>
      <c r="R633" s="49">
        <f>IF(OR($AE633&lt;&gt;1,R$1=""),"",SUMIFS('All Donations'!$S$2:$S$4001,'All Donations'!$R$2:$R$4001,$AD633,'All Donations'!$T$2:$T$4001,R$1))</f>
        <v/>
      </c>
      <c r="S633" s="49">
        <f>IF(OR($AE633&lt;&gt;1,S$1=""),"",SUMIFS('All Donations'!$S$2:$S$4001,'All Donations'!$R$2:$R$4001,$AD633,'All Donations'!$T$2:$T$4001,S$1))</f>
        <v/>
      </c>
      <c r="T633" s="49">
        <f>IF(OR($AE633&lt;&gt;1,T$1=""),"",SUMIFS('All Donations'!$S$2:$S$4001,'All Donations'!$R$2:$R$4001,$AD633,'All Donations'!$T$2:$T$4001,T$1))</f>
        <v/>
      </c>
      <c r="U633" s="49">
        <f>IF(OR($AE633&lt;&gt;1,U$1=""),"",SUMIFS('All Donations'!$S$2:$S$4001,'All Donations'!$R$2:$R$4001,$AD633,'All Donations'!$T$2:$T$4001,U$1))</f>
        <v/>
      </c>
      <c r="V633" s="49">
        <f>IF(OR($AE633&lt;&gt;1,V$1=""),"",SUMIFS('All Donations'!$S$2:$S$4001,'All Donations'!$R$2:$R$4001,$AD633,'All Donations'!$T$2:$T$4001,V$1))</f>
        <v/>
      </c>
      <c r="W633" s="49">
        <f>IF(OR($AE633&lt;&gt;1,W$1=""),"",SUMIFS('All Donations'!$S$2:$S$4001,'All Donations'!$R$2:$R$4001,$AD633,'All Donations'!$T$2:$T$4001,W$1))</f>
        <v/>
      </c>
      <c r="X633" s="49">
        <f>IF(OR($AE633&lt;&gt;1,X$1=""),"",SUMIFS('All Donations'!$S$2:$S$4001,'All Donations'!$R$2:$R$4001,$AD633,'All Donations'!$T$2:$T$4001,X$1))</f>
        <v/>
      </c>
      <c r="Y633" s="49">
        <f>IF(OR($AE633&lt;&gt;1,Y$1=""),"",SUMIFS('All Donations'!$S$2:$S$4001,'All Donations'!$R$2:$R$4001,$AD633,'All Donations'!$T$2:$T$4001,Y$1))</f>
        <v/>
      </c>
      <c r="Z633" s="49">
        <f>IF(OR($AE633&lt;&gt;1,Z$1=""),"",SUMIFS('All Donations'!$S$2:$S$4001,'All Donations'!$R$2:$R$4001,$AD633,'All Donations'!$T$2:$T$4001,Z$1))</f>
        <v/>
      </c>
      <c r="AA633" s="49">
        <f>IF(OR($AE633&lt;&gt;1,AA$1=""),"",SUMIFS('All Donations'!$S$2:$S$4001,'All Donations'!$R$2:$R$4001,$AD633,'All Donations'!$T$2:$T$4001,AA$1))</f>
        <v/>
      </c>
      <c r="AB633" s="49">
        <f>IF(OR($AE633&lt;&gt;1,AB$1=""),"",SUMIFS('All Donations'!$S$2:$S$4001,'All Donations'!$R$2:$R$4001,$AD633,'All Donations'!$T$2:$T$4001,AB$1))</f>
        <v/>
      </c>
      <c r="AC633" s="49">
        <f>IF(OR($AE633&lt;&gt;1,AC$1=""),"",SUMIFS('All Donations'!$S$2:$S$4001,'All Donations'!$R$2:$R$4001,$AD633,'All Donations'!$T$2:$T$4001,AC$1))</f>
        <v/>
      </c>
      <c r="AD633">
        <f>IF(AE633=1,'Roster'!A633,"")</f>
        <v/>
      </c>
      <c r="AE633">
        <f>IF(TRIM('Roster'!B633&amp;'Roster'!C633)&lt;&gt;"",1,0)</f>
        <v/>
      </c>
      <c r="AF633">
        <f>IF(AE633=1,LOWER(A633),"#")</f>
        <v/>
      </c>
      <c r="AG633">
        <f>IF(AE633=1,LOWER(TRIM(TRIM('Roster'!C633)&amp;", "&amp;TRIM('Roster'!B633))),"#")</f>
        <v/>
      </c>
      <c r="AH633">
        <f>IF(AND(AE633=1,TRIM('Roster'!F633)&lt;&gt;""),LOWER(TRIM('Roster'!F633)),"#")</f>
        <v/>
      </c>
      <c r="AI633">
        <f>IF(AE633=1,IF(MATCH(B633,$B$2:$B$701,0)=ROW()-1,1,0),0)</f>
        <v/>
      </c>
      <c r="AJ633">
        <f>AJ632+AI633</f>
        <v/>
      </c>
      <c r="AK633">
        <f>IF(AE633=1,D633+(1000-ROW())/10^7,-1)</f>
        <v/>
      </c>
      <c r="AL633">
        <f>IF(AE633=1,TRIM('Roster'!B633)&amp;" "&amp;LEFT(TRIM('Roster'!C633),1)&amp;".","")</f>
        <v/>
      </c>
      <c r="AM633">
        <f>IF(AE633=1,TRIM('Roster'!C633)&amp;", "&amp;TRIM('Roster'!B633)&amp;" ("&amp;B633&amp;") #"&amp;AD633,"")</f>
        <v/>
      </c>
      <c r="AN633">
        <f>IF(AE633=1,TRIM('Roster'!E633),"")</f>
        <v/>
      </c>
      <c r="AO633">
        <f>IF(AE633=1,ROUND(SUMIFS('All Donations'!$S$2:$S$4001,'All Donations'!$R$2:$R$4001,AD633,'All Donations'!$T$2:$T$4001,"&gt;="&amp;'Settings'!$C$23,'All Donations'!$T$2:$T$4001,"&lt;="&amp;'Settings'!$D$23),2),0)</f>
        <v/>
      </c>
      <c r="AQ633">
        <f>IF(AE633=1,ROUND(SUMIFS('All Donations'!$S$2:$S$4001,'All Donations'!$R$2:$R$4001,AD633,'All Donations'!$T$2:$T$4001,"&gt;="&amp;'Settings'!$C$25,'All Donations'!$T$2:$T$4001,"&lt;="&amp;'Settings'!$D$25),2),0)</f>
        <v/>
      </c>
      <c r="AR633">
        <f>IF(AE633=1,ROUND(SUMIFS('All Donations'!$S$2:$S$4001,'All Donations'!$R$2:$R$4001,AD633,'All Donations'!$T$2:$T$4001,"&gt;="&amp;'Settings'!$C$26,'All Donations'!$T$2:$T$4001,"&lt;="&amp;'Settings'!$D$26),2),0)</f>
        <v/>
      </c>
      <c r="AS633">
        <f>IF(AE633=1,ROUND(SUMIFS('All Donations'!$S$2:$S$4001,'All Donations'!$R$2:$R$4001,AD633,'All Donations'!$T$2:$T$4001,"&lt;="&amp;'Settings'!$D$27),2),0)</f>
        <v/>
      </c>
      <c r="AT633">
        <f>IF(AE633=1,ROUND(SUMIFS('All Donations'!$S$2:$S$4001,'All Donations'!$R$2:$R$4001,AD633,'All Donations'!$T$2:$T$4001,"&gt;="&amp;'Settings'!$C$28,'All Donations'!$T$2:$T$4001,"&lt;="&amp;'Settings'!$D$28),2),0)</f>
        <v/>
      </c>
      <c r="AU633">
        <f>IF(AE633=1,ROUND(SUMIFS('All Donations'!$S$2:$S$4001,'All Donations'!$R$2:$R$4001,AD633,'All Donations'!$T$2:$T$4001,"&gt;="&amp;'Settings'!$C$29,'All Donations'!$T$2:$T$4001,"&lt;="&amp;'Settings'!$D$29),2),0)</f>
        <v/>
      </c>
      <c r="AV633">
        <f>IF(AE633=1,ROUND(SUMIFS('All Donations'!$S$2:$S$4001,'All Donations'!$R$2:$R$4001,AD633,'All Donations'!$T$2:$T$4001,"&lt;="&amp;'Settings'!$D$30),2),0)</f>
        <v/>
      </c>
      <c r="AZ633">
        <f>IF(AE633=1,ROUND(SUMIFS('All Donations'!$S$2:$S$4001,'All Donations'!$R$2:$R$4001,AD633,'All Donations'!$T$2:$T$4001,"&lt;="&amp;'Settings'!$D$34),2),0)</f>
        <v/>
      </c>
    </row>
    <row r="634">
      <c r="A634">
        <f>IF(AE634=1,TRIM(TRIM('Roster'!B634)&amp;" "&amp;TRIM('Roster'!C634)),"")</f>
        <v/>
      </c>
      <c r="B634">
        <f>IF(AE634=1,IF(AN634="","(no teacher)",AN634&amp;" – "&amp;C634),"")</f>
        <v/>
      </c>
      <c r="C634">
        <f>IF(AE634=1,TRIM('Roster'!D634&amp;""),"")</f>
        <v/>
      </c>
      <c r="D634" s="48">
        <f>IF(AE634=1,ROUND(SUMIFS('All Donations'!$S$2:$S$4001,'All Donations'!$R$2:$R$4001,AD634),2),"")</f>
        <v/>
      </c>
      <c r="E634" s="48">
        <f>IF(AE634=1,ROUND(SUMIFS('All Donations'!$S$2:$S$4001,'All Donations'!$R$2:$R$4001,AD634,'All Donations'!$G$2:$G$4001,"OneCause"),2),"")</f>
        <v/>
      </c>
      <c r="F634" s="48">
        <f>IF(AE634=1,D634-E634,"")</f>
        <v/>
      </c>
      <c r="G634">
        <f>IF(AE634=1,COUNTIFS('All Donations'!$R$2:$R$4001,AD634,'All Donations'!$H$2:$H$4001,"OK"),"")</f>
        <v/>
      </c>
      <c r="H634">
        <f>IF(AE634&lt;&gt;1,"",IF(D634&gt;0,"Yes",""))</f>
        <v/>
      </c>
      <c r="I634" s="49">
        <f>IF(OR($AE634&lt;&gt;1,I$1=""),"",SUMIFS('All Donations'!$S$2:$S$4001,'All Donations'!$R$2:$R$4001,$AD634,'All Donations'!$T$2:$T$4001,I$1))</f>
        <v/>
      </c>
      <c r="J634" s="49">
        <f>IF(OR($AE634&lt;&gt;1,J$1=""),"",SUMIFS('All Donations'!$S$2:$S$4001,'All Donations'!$R$2:$R$4001,$AD634,'All Donations'!$T$2:$T$4001,J$1))</f>
        <v/>
      </c>
      <c r="K634" s="49">
        <f>IF(OR($AE634&lt;&gt;1,K$1=""),"",SUMIFS('All Donations'!$S$2:$S$4001,'All Donations'!$R$2:$R$4001,$AD634,'All Donations'!$T$2:$T$4001,K$1))</f>
        <v/>
      </c>
      <c r="L634" s="49">
        <f>IF(OR($AE634&lt;&gt;1,L$1=""),"",SUMIFS('All Donations'!$S$2:$S$4001,'All Donations'!$R$2:$R$4001,$AD634,'All Donations'!$T$2:$T$4001,L$1))</f>
        <v/>
      </c>
      <c r="M634" s="49">
        <f>IF(OR($AE634&lt;&gt;1,M$1=""),"",SUMIFS('All Donations'!$S$2:$S$4001,'All Donations'!$R$2:$R$4001,$AD634,'All Donations'!$T$2:$T$4001,M$1))</f>
        <v/>
      </c>
      <c r="N634" s="49">
        <f>IF(OR($AE634&lt;&gt;1,N$1=""),"",SUMIFS('All Donations'!$S$2:$S$4001,'All Donations'!$R$2:$R$4001,$AD634,'All Donations'!$T$2:$T$4001,N$1))</f>
        <v/>
      </c>
      <c r="O634" s="49">
        <f>IF(OR($AE634&lt;&gt;1,O$1=""),"",SUMIFS('All Donations'!$S$2:$S$4001,'All Donations'!$R$2:$R$4001,$AD634,'All Donations'!$T$2:$T$4001,O$1))</f>
        <v/>
      </c>
      <c r="P634" s="49">
        <f>IF(OR($AE634&lt;&gt;1,P$1=""),"",SUMIFS('All Donations'!$S$2:$S$4001,'All Donations'!$R$2:$R$4001,$AD634,'All Donations'!$T$2:$T$4001,P$1))</f>
        <v/>
      </c>
      <c r="Q634" s="49">
        <f>IF(OR($AE634&lt;&gt;1,Q$1=""),"",SUMIFS('All Donations'!$S$2:$S$4001,'All Donations'!$R$2:$R$4001,$AD634,'All Donations'!$T$2:$T$4001,Q$1))</f>
        <v/>
      </c>
      <c r="R634" s="49">
        <f>IF(OR($AE634&lt;&gt;1,R$1=""),"",SUMIFS('All Donations'!$S$2:$S$4001,'All Donations'!$R$2:$R$4001,$AD634,'All Donations'!$T$2:$T$4001,R$1))</f>
        <v/>
      </c>
      <c r="S634" s="49">
        <f>IF(OR($AE634&lt;&gt;1,S$1=""),"",SUMIFS('All Donations'!$S$2:$S$4001,'All Donations'!$R$2:$R$4001,$AD634,'All Donations'!$T$2:$T$4001,S$1))</f>
        <v/>
      </c>
      <c r="T634" s="49">
        <f>IF(OR($AE634&lt;&gt;1,T$1=""),"",SUMIFS('All Donations'!$S$2:$S$4001,'All Donations'!$R$2:$R$4001,$AD634,'All Donations'!$T$2:$T$4001,T$1))</f>
        <v/>
      </c>
      <c r="U634" s="49">
        <f>IF(OR($AE634&lt;&gt;1,U$1=""),"",SUMIFS('All Donations'!$S$2:$S$4001,'All Donations'!$R$2:$R$4001,$AD634,'All Donations'!$T$2:$T$4001,U$1))</f>
        <v/>
      </c>
      <c r="V634" s="49">
        <f>IF(OR($AE634&lt;&gt;1,V$1=""),"",SUMIFS('All Donations'!$S$2:$S$4001,'All Donations'!$R$2:$R$4001,$AD634,'All Donations'!$T$2:$T$4001,V$1))</f>
        <v/>
      </c>
      <c r="W634" s="49">
        <f>IF(OR($AE634&lt;&gt;1,W$1=""),"",SUMIFS('All Donations'!$S$2:$S$4001,'All Donations'!$R$2:$R$4001,$AD634,'All Donations'!$T$2:$T$4001,W$1))</f>
        <v/>
      </c>
      <c r="X634" s="49">
        <f>IF(OR($AE634&lt;&gt;1,X$1=""),"",SUMIFS('All Donations'!$S$2:$S$4001,'All Donations'!$R$2:$R$4001,$AD634,'All Donations'!$T$2:$T$4001,X$1))</f>
        <v/>
      </c>
      <c r="Y634" s="49">
        <f>IF(OR($AE634&lt;&gt;1,Y$1=""),"",SUMIFS('All Donations'!$S$2:$S$4001,'All Donations'!$R$2:$R$4001,$AD634,'All Donations'!$T$2:$T$4001,Y$1))</f>
        <v/>
      </c>
      <c r="Z634" s="49">
        <f>IF(OR($AE634&lt;&gt;1,Z$1=""),"",SUMIFS('All Donations'!$S$2:$S$4001,'All Donations'!$R$2:$R$4001,$AD634,'All Donations'!$T$2:$T$4001,Z$1))</f>
        <v/>
      </c>
      <c r="AA634" s="49">
        <f>IF(OR($AE634&lt;&gt;1,AA$1=""),"",SUMIFS('All Donations'!$S$2:$S$4001,'All Donations'!$R$2:$R$4001,$AD634,'All Donations'!$T$2:$T$4001,AA$1))</f>
        <v/>
      </c>
      <c r="AB634" s="49">
        <f>IF(OR($AE634&lt;&gt;1,AB$1=""),"",SUMIFS('All Donations'!$S$2:$S$4001,'All Donations'!$R$2:$R$4001,$AD634,'All Donations'!$T$2:$T$4001,AB$1))</f>
        <v/>
      </c>
      <c r="AC634" s="49">
        <f>IF(OR($AE634&lt;&gt;1,AC$1=""),"",SUMIFS('All Donations'!$S$2:$S$4001,'All Donations'!$R$2:$R$4001,$AD634,'All Donations'!$T$2:$T$4001,AC$1))</f>
        <v/>
      </c>
      <c r="AD634">
        <f>IF(AE634=1,'Roster'!A634,"")</f>
        <v/>
      </c>
      <c r="AE634">
        <f>IF(TRIM('Roster'!B634&amp;'Roster'!C634)&lt;&gt;"",1,0)</f>
        <v/>
      </c>
      <c r="AF634">
        <f>IF(AE634=1,LOWER(A634),"#")</f>
        <v/>
      </c>
      <c r="AG634">
        <f>IF(AE634=1,LOWER(TRIM(TRIM('Roster'!C634)&amp;", "&amp;TRIM('Roster'!B634))),"#")</f>
        <v/>
      </c>
      <c r="AH634">
        <f>IF(AND(AE634=1,TRIM('Roster'!F634)&lt;&gt;""),LOWER(TRIM('Roster'!F634)),"#")</f>
        <v/>
      </c>
      <c r="AI634">
        <f>IF(AE634=1,IF(MATCH(B634,$B$2:$B$701,0)=ROW()-1,1,0),0)</f>
        <v/>
      </c>
      <c r="AJ634">
        <f>AJ633+AI634</f>
        <v/>
      </c>
      <c r="AK634">
        <f>IF(AE634=1,D634+(1000-ROW())/10^7,-1)</f>
        <v/>
      </c>
      <c r="AL634">
        <f>IF(AE634=1,TRIM('Roster'!B634)&amp;" "&amp;LEFT(TRIM('Roster'!C634),1)&amp;".","")</f>
        <v/>
      </c>
      <c r="AM634">
        <f>IF(AE634=1,TRIM('Roster'!C634)&amp;", "&amp;TRIM('Roster'!B634)&amp;" ("&amp;B634&amp;") #"&amp;AD634,"")</f>
        <v/>
      </c>
      <c r="AN634">
        <f>IF(AE634=1,TRIM('Roster'!E634),"")</f>
        <v/>
      </c>
      <c r="AO634">
        <f>IF(AE634=1,ROUND(SUMIFS('All Donations'!$S$2:$S$4001,'All Donations'!$R$2:$R$4001,AD634,'All Donations'!$T$2:$T$4001,"&gt;="&amp;'Settings'!$C$23,'All Donations'!$T$2:$T$4001,"&lt;="&amp;'Settings'!$D$23),2),0)</f>
        <v/>
      </c>
      <c r="AQ634">
        <f>IF(AE634=1,ROUND(SUMIFS('All Donations'!$S$2:$S$4001,'All Donations'!$R$2:$R$4001,AD634,'All Donations'!$T$2:$T$4001,"&gt;="&amp;'Settings'!$C$25,'All Donations'!$T$2:$T$4001,"&lt;="&amp;'Settings'!$D$25),2),0)</f>
        <v/>
      </c>
      <c r="AR634">
        <f>IF(AE634=1,ROUND(SUMIFS('All Donations'!$S$2:$S$4001,'All Donations'!$R$2:$R$4001,AD634,'All Donations'!$T$2:$T$4001,"&gt;="&amp;'Settings'!$C$26,'All Donations'!$T$2:$T$4001,"&lt;="&amp;'Settings'!$D$26),2),0)</f>
        <v/>
      </c>
      <c r="AS634">
        <f>IF(AE634=1,ROUND(SUMIFS('All Donations'!$S$2:$S$4001,'All Donations'!$R$2:$R$4001,AD634,'All Donations'!$T$2:$T$4001,"&lt;="&amp;'Settings'!$D$27),2),0)</f>
        <v/>
      </c>
      <c r="AT634">
        <f>IF(AE634=1,ROUND(SUMIFS('All Donations'!$S$2:$S$4001,'All Donations'!$R$2:$R$4001,AD634,'All Donations'!$T$2:$T$4001,"&gt;="&amp;'Settings'!$C$28,'All Donations'!$T$2:$T$4001,"&lt;="&amp;'Settings'!$D$28),2),0)</f>
        <v/>
      </c>
      <c r="AU634">
        <f>IF(AE634=1,ROUND(SUMIFS('All Donations'!$S$2:$S$4001,'All Donations'!$R$2:$R$4001,AD634,'All Donations'!$T$2:$T$4001,"&gt;="&amp;'Settings'!$C$29,'All Donations'!$T$2:$T$4001,"&lt;="&amp;'Settings'!$D$29),2),0)</f>
        <v/>
      </c>
      <c r="AV634">
        <f>IF(AE634=1,ROUND(SUMIFS('All Donations'!$S$2:$S$4001,'All Donations'!$R$2:$R$4001,AD634,'All Donations'!$T$2:$T$4001,"&lt;="&amp;'Settings'!$D$30),2),0)</f>
        <v/>
      </c>
      <c r="AZ634">
        <f>IF(AE634=1,ROUND(SUMIFS('All Donations'!$S$2:$S$4001,'All Donations'!$R$2:$R$4001,AD634,'All Donations'!$T$2:$T$4001,"&lt;="&amp;'Settings'!$D$34),2),0)</f>
        <v/>
      </c>
    </row>
    <row r="635">
      <c r="A635">
        <f>IF(AE635=1,TRIM(TRIM('Roster'!B635)&amp;" "&amp;TRIM('Roster'!C635)),"")</f>
        <v/>
      </c>
      <c r="B635">
        <f>IF(AE635=1,IF(AN635="","(no teacher)",AN635&amp;" – "&amp;C635),"")</f>
        <v/>
      </c>
      <c r="C635">
        <f>IF(AE635=1,TRIM('Roster'!D635&amp;""),"")</f>
        <v/>
      </c>
      <c r="D635" s="48">
        <f>IF(AE635=1,ROUND(SUMIFS('All Donations'!$S$2:$S$4001,'All Donations'!$R$2:$R$4001,AD635),2),"")</f>
        <v/>
      </c>
      <c r="E635" s="48">
        <f>IF(AE635=1,ROUND(SUMIFS('All Donations'!$S$2:$S$4001,'All Donations'!$R$2:$R$4001,AD635,'All Donations'!$G$2:$G$4001,"OneCause"),2),"")</f>
        <v/>
      </c>
      <c r="F635" s="48">
        <f>IF(AE635=1,D635-E635,"")</f>
        <v/>
      </c>
      <c r="G635">
        <f>IF(AE635=1,COUNTIFS('All Donations'!$R$2:$R$4001,AD635,'All Donations'!$H$2:$H$4001,"OK"),"")</f>
        <v/>
      </c>
      <c r="H635">
        <f>IF(AE635&lt;&gt;1,"",IF(D635&gt;0,"Yes",""))</f>
        <v/>
      </c>
      <c r="I635" s="49">
        <f>IF(OR($AE635&lt;&gt;1,I$1=""),"",SUMIFS('All Donations'!$S$2:$S$4001,'All Donations'!$R$2:$R$4001,$AD635,'All Donations'!$T$2:$T$4001,I$1))</f>
        <v/>
      </c>
      <c r="J635" s="49">
        <f>IF(OR($AE635&lt;&gt;1,J$1=""),"",SUMIFS('All Donations'!$S$2:$S$4001,'All Donations'!$R$2:$R$4001,$AD635,'All Donations'!$T$2:$T$4001,J$1))</f>
        <v/>
      </c>
      <c r="K635" s="49">
        <f>IF(OR($AE635&lt;&gt;1,K$1=""),"",SUMIFS('All Donations'!$S$2:$S$4001,'All Donations'!$R$2:$R$4001,$AD635,'All Donations'!$T$2:$T$4001,K$1))</f>
        <v/>
      </c>
      <c r="L635" s="49">
        <f>IF(OR($AE635&lt;&gt;1,L$1=""),"",SUMIFS('All Donations'!$S$2:$S$4001,'All Donations'!$R$2:$R$4001,$AD635,'All Donations'!$T$2:$T$4001,L$1))</f>
        <v/>
      </c>
      <c r="M635" s="49">
        <f>IF(OR($AE635&lt;&gt;1,M$1=""),"",SUMIFS('All Donations'!$S$2:$S$4001,'All Donations'!$R$2:$R$4001,$AD635,'All Donations'!$T$2:$T$4001,M$1))</f>
        <v/>
      </c>
      <c r="N635" s="49">
        <f>IF(OR($AE635&lt;&gt;1,N$1=""),"",SUMIFS('All Donations'!$S$2:$S$4001,'All Donations'!$R$2:$R$4001,$AD635,'All Donations'!$T$2:$T$4001,N$1))</f>
        <v/>
      </c>
      <c r="O635" s="49">
        <f>IF(OR($AE635&lt;&gt;1,O$1=""),"",SUMIFS('All Donations'!$S$2:$S$4001,'All Donations'!$R$2:$R$4001,$AD635,'All Donations'!$T$2:$T$4001,O$1))</f>
        <v/>
      </c>
      <c r="P635" s="49">
        <f>IF(OR($AE635&lt;&gt;1,P$1=""),"",SUMIFS('All Donations'!$S$2:$S$4001,'All Donations'!$R$2:$R$4001,$AD635,'All Donations'!$T$2:$T$4001,P$1))</f>
        <v/>
      </c>
      <c r="Q635" s="49">
        <f>IF(OR($AE635&lt;&gt;1,Q$1=""),"",SUMIFS('All Donations'!$S$2:$S$4001,'All Donations'!$R$2:$R$4001,$AD635,'All Donations'!$T$2:$T$4001,Q$1))</f>
        <v/>
      </c>
      <c r="R635" s="49">
        <f>IF(OR($AE635&lt;&gt;1,R$1=""),"",SUMIFS('All Donations'!$S$2:$S$4001,'All Donations'!$R$2:$R$4001,$AD635,'All Donations'!$T$2:$T$4001,R$1))</f>
        <v/>
      </c>
      <c r="S635" s="49">
        <f>IF(OR($AE635&lt;&gt;1,S$1=""),"",SUMIFS('All Donations'!$S$2:$S$4001,'All Donations'!$R$2:$R$4001,$AD635,'All Donations'!$T$2:$T$4001,S$1))</f>
        <v/>
      </c>
      <c r="T635" s="49">
        <f>IF(OR($AE635&lt;&gt;1,T$1=""),"",SUMIFS('All Donations'!$S$2:$S$4001,'All Donations'!$R$2:$R$4001,$AD635,'All Donations'!$T$2:$T$4001,T$1))</f>
        <v/>
      </c>
      <c r="U635" s="49">
        <f>IF(OR($AE635&lt;&gt;1,U$1=""),"",SUMIFS('All Donations'!$S$2:$S$4001,'All Donations'!$R$2:$R$4001,$AD635,'All Donations'!$T$2:$T$4001,U$1))</f>
        <v/>
      </c>
      <c r="V635" s="49">
        <f>IF(OR($AE635&lt;&gt;1,V$1=""),"",SUMIFS('All Donations'!$S$2:$S$4001,'All Donations'!$R$2:$R$4001,$AD635,'All Donations'!$T$2:$T$4001,V$1))</f>
        <v/>
      </c>
      <c r="W635" s="49">
        <f>IF(OR($AE635&lt;&gt;1,W$1=""),"",SUMIFS('All Donations'!$S$2:$S$4001,'All Donations'!$R$2:$R$4001,$AD635,'All Donations'!$T$2:$T$4001,W$1))</f>
        <v/>
      </c>
      <c r="X635" s="49">
        <f>IF(OR($AE635&lt;&gt;1,X$1=""),"",SUMIFS('All Donations'!$S$2:$S$4001,'All Donations'!$R$2:$R$4001,$AD635,'All Donations'!$T$2:$T$4001,X$1))</f>
        <v/>
      </c>
      <c r="Y635" s="49">
        <f>IF(OR($AE635&lt;&gt;1,Y$1=""),"",SUMIFS('All Donations'!$S$2:$S$4001,'All Donations'!$R$2:$R$4001,$AD635,'All Donations'!$T$2:$T$4001,Y$1))</f>
        <v/>
      </c>
      <c r="Z635" s="49">
        <f>IF(OR($AE635&lt;&gt;1,Z$1=""),"",SUMIFS('All Donations'!$S$2:$S$4001,'All Donations'!$R$2:$R$4001,$AD635,'All Donations'!$T$2:$T$4001,Z$1))</f>
        <v/>
      </c>
      <c r="AA635" s="49">
        <f>IF(OR($AE635&lt;&gt;1,AA$1=""),"",SUMIFS('All Donations'!$S$2:$S$4001,'All Donations'!$R$2:$R$4001,$AD635,'All Donations'!$T$2:$T$4001,AA$1))</f>
        <v/>
      </c>
      <c r="AB635" s="49">
        <f>IF(OR($AE635&lt;&gt;1,AB$1=""),"",SUMIFS('All Donations'!$S$2:$S$4001,'All Donations'!$R$2:$R$4001,$AD635,'All Donations'!$T$2:$T$4001,AB$1))</f>
        <v/>
      </c>
      <c r="AC635" s="49">
        <f>IF(OR($AE635&lt;&gt;1,AC$1=""),"",SUMIFS('All Donations'!$S$2:$S$4001,'All Donations'!$R$2:$R$4001,$AD635,'All Donations'!$T$2:$T$4001,AC$1))</f>
        <v/>
      </c>
      <c r="AD635">
        <f>IF(AE635=1,'Roster'!A635,"")</f>
        <v/>
      </c>
      <c r="AE635">
        <f>IF(TRIM('Roster'!B635&amp;'Roster'!C635)&lt;&gt;"",1,0)</f>
        <v/>
      </c>
      <c r="AF635">
        <f>IF(AE635=1,LOWER(A635),"#")</f>
        <v/>
      </c>
      <c r="AG635">
        <f>IF(AE635=1,LOWER(TRIM(TRIM('Roster'!C635)&amp;", "&amp;TRIM('Roster'!B635))),"#")</f>
        <v/>
      </c>
      <c r="AH635">
        <f>IF(AND(AE635=1,TRIM('Roster'!F635)&lt;&gt;""),LOWER(TRIM('Roster'!F635)),"#")</f>
        <v/>
      </c>
      <c r="AI635">
        <f>IF(AE635=1,IF(MATCH(B635,$B$2:$B$701,0)=ROW()-1,1,0),0)</f>
        <v/>
      </c>
      <c r="AJ635">
        <f>AJ634+AI635</f>
        <v/>
      </c>
      <c r="AK635">
        <f>IF(AE635=1,D635+(1000-ROW())/10^7,-1)</f>
        <v/>
      </c>
      <c r="AL635">
        <f>IF(AE635=1,TRIM('Roster'!B635)&amp;" "&amp;LEFT(TRIM('Roster'!C635),1)&amp;".","")</f>
        <v/>
      </c>
      <c r="AM635">
        <f>IF(AE635=1,TRIM('Roster'!C635)&amp;", "&amp;TRIM('Roster'!B635)&amp;" ("&amp;B635&amp;") #"&amp;AD635,"")</f>
        <v/>
      </c>
      <c r="AN635">
        <f>IF(AE635=1,TRIM('Roster'!E635),"")</f>
        <v/>
      </c>
      <c r="AO635">
        <f>IF(AE635=1,ROUND(SUMIFS('All Donations'!$S$2:$S$4001,'All Donations'!$R$2:$R$4001,AD635,'All Donations'!$T$2:$T$4001,"&gt;="&amp;'Settings'!$C$23,'All Donations'!$T$2:$T$4001,"&lt;="&amp;'Settings'!$D$23),2),0)</f>
        <v/>
      </c>
      <c r="AQ635">
        <f>IF(AE635=1,ROUND(SUMIFS('All Donations'!$S$2:$S$4001,'All Donations'!$R$2:$R$4001,AD635,'All Donations'!$T$2:$T$4001,"&gt;="&amp;'Settings'!$C$25,'All Donations'!$T$2:$T$4001,"&lt;="&amp;'Settings'!$D$25),2),0)</f>
        <v/>
      </c>
      <c r="AR635">
        <f>IF(AE635=1,ROUND(SUMIFS('All Donations'!$S$2:$S$4001,'All Donations'!$R$2:$R$4001,AD635,'All Donations'!$T$2:$T$4001,"&gt;="&amp;'Settings'!$C$26,'All Donations'!$T$2:$T$4001,"&lt;="&amp;'Settings'!$D$26),2),0)</f>
        <v/>
      </c>
      <c r="AS635">
        <f>IF(AE635=1,ROUND(SUMIFS('All Donations'!$S$2:$S$4001,'All Donations'!$R$2:$R$4001,AD635,'All Donations'!$T$2:$T$4001,"&lt;="&amp;'Settings'!$D$27),2),0)</f>
        <v/>
      </c>
      <c r="AT635">
        <f>IF(AE635=1,ROUND(SUMIFS('All Donations'!$S$2:$S$4001,'All Donations'!$R$2:$R$4001,AD635,'All Donations'!$T$2:$T$4001,"&gt;="&amp;'Settings'!$C$28,'All Donations'!$T$2:$T$4001,"&lt;="&amp;'Settings'!$D$28),2),0)</f>
        <v/>
      </c>
      <c r="AU635">
        <f>IF(AE635=1,ROUND(SUMIFS('All Donations'!$S$2:$S$4001,'All Donations'!$R$2:$R$4001,AD635,'All Donations'!$T$2:$T$4001,"&gt;="&amp;'Settings'!$C$29,'All Donations'!$T$2:$T$4001,"&lt;="&amp;'Settings'!$D$29),2),0)</f>
        <v/>
      </c>
      <c r="AV635">
        <f>IF(AE635=1,ROUND(SUMIFS('All Donations'!$S$2:$S$4001,'All Donations'!$R$2:$R$4001,AD635,'All Donations'!$T$2:$T$4001,"&lt;="&amp;'Settings'!$D$30),2),0)</f>
        <v/>
      </c>
      <c r="AZ635">
        <f>IF(AE635=1,ROUND(SUMIFS('All Donations'!$S$2:$S$4001,'All Donations'!$R$2:$R$4001,AD635,'All Donations'!$T$2:$T$4001,"&lt;="&amp;'Settings'!$D$34),2),0)</f>
        <v/>
      </c>
    </row>
    <row r="636">
      <c r="A636">
        <f>IF(AE636=1,TRIM(TRIM('Roster'!B636)&amp;" "&amp;TRIM('Roster'!C636)),"")</f>
        <v/>
      </c>
      <c r="B636">
        <f>IF(AE636=1,IF(AN636="","(no teacher)",AN636&amp;" – "&amp;C636),"")</f>
        <v/>
      </c>
      <c r="C636">
        <f>IF(AE636=1,TRIM('Roster'!D636&amp;""),"")</f>
        <v/>
      </c>
      <c r="D636" s="48">
        <f>IF(AE636=1,ROUND(SUMIFS('All Donations'!$S$2:$S$4001,'All Donations'!$R$2:$R$4001,AD636),2),"")</f>
        <v/>
      </c>
      <c r="E636" s="48">
        <f>IF(AE636=1,ROUND(SUMIFS('All Donations'!$S$2:$S$4001,'All Donations'!$R$2:$R$4001,AD636,'All Donations'!$G$2:$G$4001,"OneCause"),2),"")</f>
        <v/>
      </c>
      <c r="F636" s="48">
        <f>IF(AE636=1,D636-E636,"")</f>
        <v/>
      </c>
      <c r="G636">
        <f>IF(AE636=1,COUNTIFS('All Donations'!$R$2:$R$4001,AD636,'All Donations'!$H$2:$H$4001,"OK"),"")</f>
        <v/>
      </c>
      <c r="H636">
        <f>IF(AE636&lt;&gt;1,"",IF(D636&gt;0,"Yes",""))</f>
        <v/>
      </c>
      <c r="I636" s="49">
        <f>IF(OR($AE636&lt;&gt;1,I$1=""),"",SUMIFS('All Donations'!$S$2:$S$4001,'All Donations'!$R$2:$R$4001,$AD636,'All Donations'!$T$2:$T$4001,I$1))</f>
        <v/>
      </c>
      <c r="J636" s="49">
        <f>IF(OR($AE636&lt;&gt;1,J$1=""),"",SUMIFS('All Donations'!$S$2:$S$4001,'All Donations'!$R$2:$R$4001,$AD636,'All Donations'!$T$2:$T$4001,J$1))</f>
        <v/>
      </c>
      <c r="K636" s="49">
        <f>IF(OR($AE636&lt;&gt;1,K$1=""),"",SUMIFS('All Donations'!$S$2:$S$4001,'All Donations'!$R$2:$R$4001,$AD636,'All Donations'!$T$2:$T$4001,K$1))</f>
        <v/>
      </c>
      <c r="L636" s="49">
        <f>IF(OR($AE636&lt;&gt;1,L$1=""),"",SUMIFS('All Donations'!$S$2:$S$4001,'All Donations'!$R$2:$R$4001,$AD636,'All Donations'!$T$2:$T$4001,L$1))</f>
        <v/>
      </c>
      <c r="M636" s="49">
        <f>IF(OR($AE636&lt;&gt;1,M$1=""),"",SUMIFS('All Donations'!$S$2:$S$4001,'All Donations'!$R$2:$R$4001,$AD636,'All Donations'!$T$2:$T$4001,M$1))</f>
        <v/>
      </c>
      <c r="N636" s="49">
        <f>IF(OR($AE636&lt;&gt;1,N$1=""),"",SUMIFS('All Donations'!$S$2:$S$4001,'All Donations'!$R$2:$R$4001,$AD636,'All Donations'!$T$2:$T$4001,N$1))</f>
        <v/>
      </c>
      <c r="O636" s="49">
        <f>IF(OR($AE636&lt;&gt;1,O$1=""),"",SUMIFS('All Donations'!$S$2:$S$4001,'All Donations'!$R$2:$R$4001,$AD636,'All Donations'!$T$2:$T$4001,O$1))</f>
        <v/>
      </c>
      <c r="P636" s="49">
        <f>IF(OR($AE636&lt;&gt;1,P$1=""),"",SUMIFS('All Donations'!$S$2:$S$4001,'All Donations'!$R$2:$R$4001,$AD636,'All Donations'!$T$2:$T$4001,P$1))</f>
        <v/>
      </c>
      <c r="Q636" s="49">
        <f>IF(OR($AE636&lt;&gt;1,Q$1=""),"",SUMIFS('All Donations'!$S$2:$S$4001,'All Donations'!$R$2:$R$4001,$AD636,'All Donations'!$T$2:$T$4001,Q$1))</f>
        <v/>
      </c>
      <c r="R636" s="49">
        <f>IF(OR($AE636&lt;&gt;1,R$1=""),"",SUMIFS('All Donations'!$S$2:$S$4001,'All Donations'!$R$2:$R$4001,$AD636,'All Donations'!$T$2:$T$4001,R$1))</f>
        <v/>
      </c>
      <c r="S636" s="49">
        <f>IF(OR($AE636&lt;&gt;1,S$1=""),"",SUMIFS('All Donations'!$S$2:$S$4001,'All Donations'!$R$2:$R$4001,$AD636,'All Donations'!$T$2:$T$4001,S$1))</f>
        <v/>
      </c>
      <c r="T636" s="49">
        <f>IF(OR($AE636&lt;&gt;1,T$1=""),"",SUMIFS('All Donations'!$S$2:$S$4001,'All Donations'!$R$2:$R$4001,$AD636,'All Donations'!$T$2:$T$4001,T$1))</f>
        <v/>
      </c>
      <c r="U636" s="49">
        <f>IF(OR($AE636&lt;&gt;1,U$1=""),"",SUMIFS('All Donations'!$S$2:$S$4001,'All Donations'!$R$2:$R$4001,$AD636,'All Donations'!$T$2:$T$4001,U$1))</f>
        <v/>
      </c>
      <c r="V636" s="49">
        <f>IF(OR($AE636&lt;&gt;1,V$1=""),"",SUMIFS('All Donations'!$S$2:$S$4001,'All Donations'!$R$2:$R$4001,$AD636,'All Donations'!$T$2:$T$4001,V$1))</f>
        <v/>
      </c>
      <c r="W636" s="49">
        <f>IF(OR($AE636&lt;&gt;1,W$1=""),"",SUMIFS('All Donations'!$S$2:$S$4001,'All Donations'!$R$2:$R$4001,$AD636,'All Donations'!$T$2:$T$4001,W$1))</f>
        <v/>
      </c>
      <c r="X636" s="49">
        <f>IF(OR($AE636&lt;&gt;1,X$1=""),"",SUMIFS('All Donations'!$S$2:$S$4001,'All Donations'!$R$2:$R$4001,$AD636,'All Donations'!$T$2:$T$4001,X$1))</f>
        <v/>
      </c>
      <c r="Y636" s="49">
        <f>IF(OR($AE636&lt;&gt;1,Y$1=""),"",SUMIFS('All Donations'!$S$2:$S$4001,'All Donations'!$R$2:$R$4001,$AD636,'All Donations'!$T$2:$T$4001,Y$1))</f>
        <v/>
      </c>
      <c r="Z636" s="49">
        <f>IF(OR($AE636&lt;&gt;1,Z$1=""),"",SUMIFS('All Donations'!$S$2:$S$4001,'All Donations'!$R$2:$R$4001,$AD636,'All Donations'!$T$2:$T$4001,Z$1))</f>
        <v/>
      </c>
      <c r="AA636" s="49">
        <f>IF(OR($AE636&lt;&gt;1,AA$1=""),"",SUMIFS('All Donations'!$S$2:$S$4001,'All Donations'!$R$2:$R$4001,$AD636,'All Donations'!$T$2:$T$4001,AA$1))</f>
        <v/>
      </c>
      <c r="AB636" s="49">
        <f>IF(OR($AE636&lt;&gt;1,AB$1=""),"",SUMIFS('All Donations'!$S$2:$S$4001,'All Donations'!$R$2:$R$4001,$AD636,'All Donations'!$T$2:$T$4001,AB$1))</f>
        <v/>
      </c>
      <c r="AC636" s="49">
        <f>IF(OR($AE636&lt;&gt;1,AC$1=""),"",SUMIFS('All Donations'!$S$2:$S$4001,'All Donations'!$R$2:$R$4001,$AD636,'All Donations'!$T$2:$T$4001,AC$1))</f>
        <v/>
      </c>
      <c r="AD636">
        <f>IF(AE636=1,'Roster'!A636,"")</f>
        <v/>
      </c>
      <c r="AE636">
        <f>IF(TRIM('Roster'!B636&amp;'Roster'!C636)&lt;&gt;"",1,0)</f>
        <v/>
      </c>
      <c r="AF636">
        <f>IF(AE636=1,LOWER(A636),"#")</f>
        <v/>
      </c>
      <c r="AG636">
        <f>IF(AE636=1,LOWER(TRIM(TRIM('Roster'!C636)&amp;", "&amp;TRIM('Roster'!B636))),"#")</f>
        <v/>
      </c>
      <c r="AH636">
        <f>IF(AND(AE636=1,TRIM('Roster'!F636)&lt;&gt;""),LOWER(TRIM('Roster'!F636)),"#")</f>
        <v/>
      </c>
      <c r="AI636">
        <f>IF(AE636=1,IF(MATCH(B636,$B$2:$B$701,0)=ROW()-1,1,0),0)</f>
        <v/>
      </c>
      <c r="AJ636">
        <f>AJ635+AI636</f>
        <v/>
      </c>
      <c r="AK636">
        <f>IF(AE636=1,D636+(1000-ROW())/10^7,-1)</f>
        <v/>
      </c>
      <c r="AL636">
        <f>IF(AE636=1,TRIM('Roster'!B636)&amp;" "&amp;LEFT(TRIM('Roster'!C636),1)&amp;".","")</f>
        <v/>
      </c>
      <c r="AM636">
        <f>IF(AE636=1,TRIM('Roster'!C636)&amp;", "&amp;TRIM('Roster'!B636)&amp;" ("&amp;B636&amp;") #"&amp;AD636,"")</f>
        <v/>
      </c>
      <c r="AN636">
        <f>IF(AE636=1,TRIM('Roster'!E636),"")</f>
        <v/>
      </c>
      <c r="AO636">
        <f>IF(AE636=1,ROUND(SUMIFS('All Donations'!$S$2:$S$4001,'All Donations'!$R$2:$R$4001,AD636,'All Donations'!$T$2:$T$4001,"&gt;="&amp;'Settings'!$C$23,'All Donations'!$T$2:$T$4001,"&lt;="&amp;'Settings'!$D$23),2),0)</f>
        <v/>
      </c>
      <c r="AQ636">
        <f>IF(AE636=1,ROUND(SUMIFS('All Donations'!$S$2:$S$4001,'All Donations'!$R$2:$R$4001,AD636,'All Donations'!$T$2:$T$4001,"&gt;="&amp;'Settings'!$C$25,'All Donations'!$T$2:$T$4001,"&lt;="&amp;'Settings'!$D$25),2),0)</f>
        <v/>
      </c>
      <c r="AR636">
        <f>IF(AE636=1,ROUND(SUMIFS('All Donations'!$S$2:$S$4001,'All Donations'!$R$2:$R$4001,AD636,'All Donations'!$T$2:$T$4001,"&gt;="&amp;'Settings'!$C$26,'All Donations'!$T$2:$T$4001,"&lt;="&amp;'Settings'!$D$26),2),0)</f>
        <v/>
      </c>
      <c r="AS636">
        <f>IF(AE636=1,ROUND(SUMIFS('All Donations'!$S$2:$S$4001,'All Donations'!$R$2:$R$4001,AD636,'All Donations'!$T$2:$T$4001,"&lt;="&amp;'Settings'!$D$27),2),0)</f>
        <v/>
      </c>
      <c r="AT636">
        <f>IF(AE636=1,ROUND(SUMIFS('All Donations'!$S$2:$S$4001,'All Donations'!$R$2:$R$4001,AD636,'All Donations'!$T$2:$T$4001,"&gt;="&amp;'Settings'!$C$28,'All Donations'!$T$2:$T$4001,"&lt;="&amp;'Settings'!$D$28),2),0)</f>
        <v/>
      </c>
      <c r="AU636">
        <f>IF(AE636=1,ROUND(SUMIFS('All Donations'!$S$2:$S$4001,'All Donations'!$R$2:$R$4001,AD636,'All Donations'!$T$2:$T$4001,"&gt;="&amp;'Settings'!$C$29,'All Donations'!$T$2:$T$4001,"&lt;="&amp;'Settings'!$D$29),2),0)</f>
        <v/>
      </c>
      <c r="AV636">
        <f>IF(AE636=1,ROUND(SUMIFS('All Donations'!$S$2:$S$4001,'All Donations'!$R$2:$R$4001,AD636,'All Donations'!$T$2:$T$4001,"&lt;="&amp;'Settings'!$D$30),2),0)</f>
        <v/>
      </c>
      <c r="AZ636">
        <f>IF(AE636=1,ROUND(SUMIFS('All Donations'!$S$2:$S$4001,'All Donations'!$R$2:$R$4001,AD636,'All Donations'!$T$2:$T$4001,"&lt;="&amp;'Settings'!$D$34),2),0)</f>
        <v/>
      </c>
    </row>
    <row r="637">
      <c r="A637">
        <f>IF(AE637=1,TRIM(TRIM('Roster'!B637)&amp;" "&amp;TRIM('Roster'!C637)),"")</f>
        <v/>
      </c>
      <c r="B637">
        <f>IF(AE637=1,IF(AN637="","(no teacher)",AN637&amp;" – "&amp;C637),"")</f>
        <v/>
      </c>
      <c r="C637">
        <f>IF(AE637=1,TRIM('Roster'!D637&amp;""),"")</f>
        <v/>
      </c>
      <c r="D637" s="48">
        <f>IF(AE637=1,ROUND(SUMIFS('All Donations'!$S$2:$S$4001,'All Donations'!$R$2:$R$4001,AD637),2),"")</f>
        <v/>
      </c>
      <c r="E637" s="48">
        <f>IF(AE637=1,ROUND(SUMIFS('All Donations'!$S$2:$S$4001,'All Donations'!$R$2:$R$4001,AD637,'All Donations'!$G$2:$G$4001,"OneCause"),2),"")</f>
        <v/>
      </c>
      <c r="F637" s="48">
        <f>IF(AE637=1,D637-E637,"")</f>
        <v/>
      </c>
      <c r="G637">
        <f>IF(AE637=1,COUNTIFS('All Donations'!$R$2:$R$4001,AD637,'All Donations'!$H$2:$H$4001,"OK"),"")</f>
        <v/>
      </c>
      <c r="H637">
        <f>IF(AE637&lt;&gt;1,"",IF(D637&gt;0,"Yes",""))</f>
        <v/>
      </c>
      <c r="I637" s="49">
        <f>IF(OR($AE637&lt;&gt;1,I$1=""),"",SUMIFS('All Donations'!$S$2:$S$4001,'All Donations'!$R$2:$R$4001,$AD637,'All Donations'!$T$2:$T$4001,I$1))</f>
        <v/>
      </c>
      <c r="J637" s="49">
        <f>IF(OR($AE637&lt;&gt;1,J$1=""),"",SUMIFS('All Donations'!$S$2:$S$4001,'All Donations'!$R$2:$R$4001,$AD637,'All Donations'!$T$2:$T$4001,J$1))</f>
        <v/>
      </c>
      <c r="K637" s="49">
        <f>IF(OR($AE637&lt;&gt;1,K$1=""),"",SUMIFS('All Donations'!$S$2:$S$4001,'All Donations'!$R$2:$R$4001,$AD637,'All Donations'!$T$2:$T$4001,K$1))</f>
        <v/>
      </c>
      <c r="L637" s="49">
        <f>IF(OR($AE637&lt;&gt;1,L$1=""),"",SUMIFS('All Donations'!$S$2:$S$4001,'All Donations'!$R$2:$R$4001,$AD637,'All Donations'!$T$2:$T$4001,L$1))</f>
        <v/>
      </c>
      <c r="M637" s="49">
        <f>IF(OR($AE637&lt;&gt;1,M$1=""),"",SUMIFS('All Donations'!$S$2:$S$4001,'All Donations'!$R$2:$R$4001,$AD637,'All Donations'!$T$2:$T$4001,M$1))</f>
        <v/>
      </c>
      <c r="N637" s="49">
        <f>IF(OR($AE637&lt;&gt;1,N$1=""),"",SUMIFS('All Donations'!$S$2:$S$4001,'All Donations'!$R$2:$R$4001,$AD637,'All Donations'!$T$2:$T$4001,N$1))</f>
        <v/>
      </c>
      <c r="O637" s="49">
        <f>IF(OR($AE637&lt;&gt;1,O$1=""),"",SUMIFS('All Donations'!$S$2:$S$4001,'All Donations'!$R$2:$R$4001,$AD637,'All Donations'!$T$2:$T$4001,O$1))</f>
        <v/>
      </c>
      <c r="P637" s="49">
        <f>IF(OR($AE637&lt;&gt;1,P$1=""),"",SUMIFS('All Donations'!$S$2:$S$4001,'All Donations'!$R$2:$R$4001,$AD637,'All Donations'!$T$2:$T$4001,P$1))</f>
        <v/>
      </c>
      <c r="Q637" s="49">
        <f>IF(OR($AE637&lt;&gt;1,Q$1=""),"",SUMIFS('All Donations'!$S$2:$S$4001,'All Donations'!$R$2:$R$4001,$AD637,'All Donations'!$T$2:$T$4001,Q$1))</f>
        <v/>
      </c>
      <c r="R637" s="49">
        <f>IF(OR($AE637&lt;&gt;1,R$1=""),"",SUMIFS('All Donations'!$S$2:$S$4001,'All Donations'!$R$2:$R$4001,$AD637,'All Donations'!$T$2:$T$4001,R$1))</f>
        <v/>
      </c>
      <c r="S637" s="49">
        <f>IF(OR($AE637&lt;&gt;1,S$1=""),"",SUMIFS('All Donations'!$S$2:$S$4001,'All Donations'!$R$2:$R$4001,$AD637,'All Donations'!$T$2:$T$4001,S$1))</f>
        <v/>
      </c>
      <c r="T637" s="49">
        <f>IF(OR($AE637&lt;&gt;1,T$1=""),"",SUMIFS('All Donations'!$S$2:$S$4001,'All Donations'!$R$2:$R$4001,$AD637,'All Donations'!$T$2:$T$4001,T$1))</f>
        <v/>
      </c>
      <c r="U637" s="49">
        <f>IF(OR($AE637&lt;&gt;1,U$1=""),"",SUMIFS('All Donations'!$S$2:$S$4001,'All Donations'!$R$2:$R$4001,$AD637,'All Donations'!$T$2:$T$4001,U$1))</f>
        <v/>
      </c>
      <c r="V637" s="49">
        <f>IF(OR($AE637&lt;&gt;1,V$1=""),"",SUMIFS('All Donations'!$S$2:$S$4001,'All Donations'!$R$2:$R$4001,$AD637,'All Donations'!$T$2:$T$4001,V$1))</f>
        <v/>
      </c>
      <c r="W637" s="49">
        <f>IF(OR($AE637&lt;&gt;1,W$1=""),"",SUMIFS('All Donations'!$S$2:$S$4001,'All Donations'!$R$2:$R$4001,$AD637,'All Donations'!$T$2:$T$4001,W$1))</f>
        <v/>
      </c>
      <c r="X637" s="49">
        <f>IF(OR($AE637&lt;&gt;1,X$1=""),"",SUMIFS('All Donations'!$S$2:$S$4001,'All Donations'!$R$2:$R$4001,$AD637,'All Donations'!$T$2:$T$4001,X$1))</f>
        <v/>
      </c>
      <c r="Y637" s="49">
        <f>IF(OR($AE637&lt;&gt;1,Y$1=""),"",SUMIFS('All Donations'!$S$2:$S$4001,'All Donations'!$R$2:$R$4001,$AD637,'All Donations'!$T$2:$T$4001,Y$1))</f>
        <v/>
      </c>
      <c r="Z637" s="49">
        <f>IF(OR($AE637&lt;&gt;1,Z$1=""),"",SUMIFS('All Donations'!$S$2:$S$4001,'All Donations'!$R$2:$R$4001,$AD637,'All Donations'!$T$2:$T$4001,Z$1))</f>
        <v/>
      </c>
      <c r="AA637" s="49">
        <f>IF(OR($AE637&lt;&gt;1,AA$1=""),"",SUMIFS('All Donations'!$S$2:$S$4001,'All Donations'!$R$2:$R$4001,$AD637,'All Donations'!$T$2:$T$4001,AA$1))</f>
        <v/>
      </c>
      <c r="AB637" s="49">
        <f>IF(OR($AE637&lt;&gt;1,AB$1=""),"",SUMIFS('All Donations'!$S$2:$S$4001,'All Donations'!$R$2:$R$4001,$AD637,'All Donations'!$T$2:$T$4001,AB$1))</f>
        <v/>
      </c>
      <c r="AC637" s="49">
        <f>IF(OR($AE637&lt;&gt;1,AC$1=""),"",SUMIFS('All Donations'!$S$2:$S$4001,'All Donations'!$R$2:$R$4001,$AD637,'All Donations'!$T$2:$T$4001,AC$1))</f>
        <v/>
      </c>
      <c r="AD637">
        <f>IF(AE637=1,'Roster'!A637,"")</f>
        <v/>
      </c>
      <c r="AE637">
        <f>IF(TRIM('Roster'!B637&amp;'Roster'!C637)&lt;&gt;"",1,0)</f>
        <v/>
      </c>
      <c r="AF637">
        <f>IF(AE637=1,LOWER(A637),"#")</f>
        <v/>
      </c>
      <c r="AG637">
        <f>IF(AE637=1,LOWER(TRIM(TRIM('Roster'!C637)&amp;", "&amp;TRIM('Roster'!B637))),"#")</f>
        <v/>
      </c>
      <c r="AH637">
        <f>IF(AND(AE637=1,TRIM('Roster'!F637)&lt;&gt;""),LOWER(TRIM('Roster'!F637)),"#")</f>
        <v/>
      </c>
      <c r="AI637">
        <f>IF(AE637=1,IF(MATCH(B637,$B$2:$B$701,0)=ROW()-1,1,0),0)</f>
        <v/>
      </c>
      <c r="AJ637">
        <f>AJ636+AI637</f>
        <v/>
      </c>
      <c r="AK637">
        <f>IF(AE637=1,D637+(1000-ROW())/10^7,-1)</f>
        <v/>
      </c>
      <c r="AL637">
        <f>IF(AE637=1,TRIM('Roster'!B637)&amp;" "&amp;LEFT(TRIM('Roster'!C637),1)&amp;".","")</f>
        <v/>
      </c>
      <c r="AM637">
        <f>IF(AE637=1,TRIM('Roster'!C637)&amp;", "&amp;TRIM('Roster'!B637)&amp;" ("&amp;B637&amp;") #"&amp;AD637,"")</f>
        <v/>
      </c>
      <c r="AN637">
        <f>IF(AE637=1,TRIM('Roster'!E637),"")</f>
        <v/>
      </c>
      <c r="AO637">
        <f>IF(AE637=1,ROUND(SUMIFS('All Donations'!$S$2:$S$4001,'All Donations'!$R$2:$R$4001,AD637,'All Donations'!$T$2:$T$4001,"&gt;="&amp;'Settings'!$C$23,'All Donations'!$T$2:$T$4001,"&lt;="&amp;'Settings'!$D$23),2),0)</f>
        <v/>
      </c>
      <c r="AQ637">
        <f>IF(AE637=1,ROUND(SUMIFS('All Donations'!$S$2:$S$4001,'All Donations'!$R$2:$R$4001,AD637,'All Donations'!$T$2:$T$4001,"&gt;="&amp;'Settings'!$C$25,'All Donations'!$T$2:$T$4001,"&lt;="&amp;'Settings'!$D$25),2),0)</f>
        <v/>
      </c>
      <c r="AR637">
        <f>IF(AE637=1,ROUND(SUMIFS('All Donations'!$S$2:$S$4001,'All Donations'!$R$2:$R$4001,AD637,'All Donations'!$T$2:$T$4001,"&gt;="&amp;'Settings'!$C$26,'All Donations'!$T$2:$T$4001,"&lt;="&amp;'Settings'!$D$26),2),0)</f>
        <v/>
      </c>
      <c r="AS637">
        <f>IF(AE637=1,ROUND(SUMIFS('All Donations'!$S$2:$S$4001,'All Donations'!$R$2:$R$4001,AD637,'All Donations'!$T$2:$T$4001,"&lt;="&amp;'Settings'!$D$27),2),0)</f>
        <v/>
      </c>
      <c r="AT637">
        <f>IF(AE637=1,ROUND(SUMIFS('All Donations'!$S$2:$S$4001,'All Donations'!$R$2:$R$4001,AD637,'All Donations'!$T$2:$T$4001,"&gt;="&amp;'Settings'!$C$28,'All Donations'!$T$2:$T$4001,"&lt;="&amp;'Settings'!$D$28),2),0)</f>
        <v/>
      </c>
      <c r="AU637">
        <f>IF(AE637=1,ROUND(SUMIFS('All Donations'!$S$2:$S$4001,'All Donations'!$R$2:$R$4001,AD637,'All Donations'!$T$2:$T$4001,"&gt;="&amp;'Settings'!$C$29,'All Donations'!$T$2:$T$4001,"&lt;="&amp;'Settings'!$D$29),2),0)</f>
        <v/>
      </c>
      <c r="AV637">
        <f>IF(AE637=1,ROUND(SUMIFS('All Donations'!$S$2:$S$4001,'All Donations'!$R$2:$R$4001,AD637,'All Donations'!$T$2:$T$4001,"&lt;="&amp;'Settings'!$D$30),2),0)</f>
        <v/>
      </c>
      <c r="AZ637">
        <f>IF(AE637=1,ROUND(SUMIFS('All Donations'!$S$2:$S$4001,'All Donations'!$R$2:$R$4001,AD637,'All Donations'!$T$2:$T$4001,"&lt;="&amp;'Settings'!$D$34),2),0)</f>
        <v/>
      </c>
    </row>
    <row r="638">
      <c r="A638">
        <f>IF(AE638=1,TRIM(TRIM('Roster'!B638)&amp;" "&amp;TRIM('Roster'!C638)),"")</f>
        <v/>
      </c>
      <c r="B638">
        <f>IF(AE638=1,IF(AN638="","(no teacher)",AN638&amp;" – "&amp;C638),"")</f>
        <v/>
      </c>
      <c r="C638">
        <f>IF(AE638=1,TRIM('Roster'!D638&amp;""),"")</f>
        <v/>
      </c>
      <c r="D638" s="48">
        <f>IF(AE638=1,ROUND(SUMIFS('All Donations'!$S$2:$S$4001,'All Donations'!$R$2:$R$4001,AD638),2),"")</f>
        <v/>
      </c>
      <c r="E638" s="48">
        <f>IF(AE638=1,ROUND(SUMIFS('All Donations'!$S$2:$S$4001,'All Donations'!$R$2:$R$4001,AD638,'All Donations'!$G$2:$G$4001,"OneCause"),2),"")</f>
        <v/>
      </c>
      <c r="F638" s="48">
        <f>IF(AE638=1,D638-E638,"")</f>
        <v/>
      </c>
      <c r="G638">
        <f>IF(AE638=1,COUNTIFS('All Donations'!$R$2:$R$4001,AD638,'All Donations'!$H$2:$H$4001,"OK"),"")</f>
        <v/>
      </c>
      <c r="H638">
        <f>IF(AE638&lt;&gt;1,"",IF(D638&gt;0,"Yes",""))</f>
        <v/>
      </c>
      <c r="I638" s="49">
        <f>IF(OR($AE638&lt;&gt;1,I$1=""),"",SUMIFS('All Donations'!$S$2:$S$4001,'All Donations'!$R$2:$R$4001,$AD638,'All Donations'!$T$2:$T$4001,I$1))</f>
        <v/>
      </c>
      <c r="J638" s="49">
        <f>IF(OR($AE638&lt;&gt;1,J$1=""),"",SUMIFS('All Donations'!$S$2:$S$4001,'All Donations'!$R$2:$R$4001,$AD638,'All Donations'!$T$2:$T$4001,J$1))</f>
        <v/>
      </c>
      <c r="K638" s="49">
        <f>IF(OR($AE638&lt;&gt;1,K$1=""),"",SUMIFS('All Donations'!$S$2:$S$4001,'All Donations'!$R$2:$R$4001,$AD638,'All Donations'!$T$2:$T$4001,K$1))</f>
        <v/>
      </c>
      <c r="L638" s="49">
        <f>IF(OR($AE638&lt;&gt;1,L$1=""),"",SUMIFS('All Donations'!$S$2:$S$4001,'All Donations'!$R$2:$R$4001,$AD638,'All Donations'!$T$2:$T$4001,L$1))</f>
        <v/>
      </c>
      <c r="M638" s="49">
        <f>IF(OR($AE638&lt;&gt;1,M$1=""),"",SUMIFS('All Donations'!$S$2:$S$4001,'All Donations'!$R$2:$R$4001,$AD638,'All Donations'!$T$2:$T$4001,M$1))</f>
        <v/>
      </c>
      <c r="N638" s="49">
        <f>IF(OR($AE638&lt;&gt;1,N$1=""),"",SUMIFS('All Donations'!$S$2:$S$4001,'All Donations'!$R$2:$R$4001,$AD638,'All Donations'!$T$2:$T$4001,N$1))</f>
        <v/>
      </c>
      <c r="O638" s="49">
        <f>IF(OR($AE638&lt;&gt;1,O$1=""),"",SUMIFS('All Donations'!$S$2:$S$4001,'All Donations'!$R$2:$R$4001,$AD638,'All Donations'!$T$2:$T$4001,O$1))</f>
        <v/>
      </c>
      <c r="P638" s="49">
        <f>IF(OR($AE638&lt;&gt;1,P$1=""),"",SUMIFS('All Donations'!$S$2:$S$4001,'All Donations'!$R$2:$R$4001,$AD638,'All Donations'!$T$2:$T$4001,P$1))</f>
        <v/>
      </c>
      <c r="Q638" s="49">
        <f>IF(OR($AE638&lt;&gt;1,Q$1=""),"",SUMIFS('All Donations'!$S$2:$S$4001,'All Donations'!$R$2:$R$4001,$AD638,'All Donations'!$T$2:$T$4001,Q$1))</f>
        <v/>
      </c>
      <c r="R638" s="49">
        <f>IF(OR($AE638&lt;&gt;1,R$1=""),"",SUMIFS('All Donations'!$S$2:$S$4001,'All Donations'!$R$2:$R$4001,$AD638,'All Donations'!$T$2:$T$4001,R$1))</f>
        <v/>
      </c>
      <c r="S638" s="49">
        <f>IF(OR($AE638&lt;&gt;1,S$1=""),"",SUMIFS('All Donations'!$S$2:$S$4001,'All Donations'!$R$2:$R$4001,$AD638,'All Donations'!$T$2:$T$4001,S$1))</f>
        <v/>
      </c>
      <c r="T638" s="49">
        <f>IF(OR($AE638&lt;&gt;1,T$1=""),"",SUMIFS('All Donations'!$S$2:$S$4001,'All Donations'!$R$2:$R$4001,$AD638,'All Donations'!$T$2:$T$4001,T$1))</f>
        <v/>
      </c>
      <c r="U638" s="49">
        <f>IF(OR($AE638&lt;&gt;1,U$1=""),"",SUMIFS('All Donations'!$S$2:$S$4001,'All Donations'!$R$2:$R$4001,$AD638,'All Donations'!$T$2:$T$4001,U$1))</f>
        <v/>
      </c>
      <c r="V638" s="49">
        <f>IF(OR($AE638&lt;&gt;1,V$1=""),"",SUMIFS('All Donations'!$S$2:$S$4001,'All Donations'!$R$2:$R$4001,$AD638,'All Donations'!$T$2:$T$4001,V$1))</f>
        <v/>
      </c>
      <c r="W638" s="49">
        <f>IF(OR($AE638&lt;&gt;1,W$1=""),"",SUMIFS('All Donations'!$S$2:$S$4001,'All Donations'!$R$2:$R$4001,$AD638,'All Donations'!$T$2:$T$4001,W$1))</f>
        <v/>
      </c>
      <c r="X638" s="49">
        <f>IF(OR($AE638&lt;&gt;1,X$1=""),"",SUMIFS('All Donations'!$S$2:$S$4001,'All Donations'!$R$2:$R$4001,$AD638,'All Donations'!$T$2:$T$4001,X$1))</f>
        <v/>
      </c>
      <c r="Y638" s="49">
        <f>IF(OR($AE638&lt;&gt;1,Y$1=""),"",SUMIFS('All Donations'!$S$2:$S$4001,'All Donations'!$R$2:$R$4001,$AD638,'All Donations'!$T$2:$T$4001,Y$1))</f>
        <v/>
      </c>
      <c r="Z638" s="49">
        <f>IF(OR($AE638&lt;&gt;1,Z$1=""),"",SUMIFS('All Donations'!$S$2:$S$4001,'All Donations'!$R$2:$R$4001,$AD638,'All Donations'!$T$2:$T$4001,Z$1))</f>
        <v/>
      </c>
      <c r="AA638" s="49">
        <f>IF(OR($AE638&lt;&gt;1,AA$1=""),"",SUMIFS('All Donations'!$S$2:$S$4001,'All Donations'!$R$2:$R$4001,$AD638,'All Donations'!$T$2:$T$4001,AA$1))</f>
        <v/>
      </c>
      <c r="AB638" s="49">
        <f>IF(OR($AE638&lt;&gt;1,AB$1=""),"",SUMIFS('All Donations'!$S$2:$S$4001,'All Donations'!$R$2:$R$4001,$AD638,'All Donations'!$T$2:$T$4001,AB$1))</f>
        <v/>
      </c>
      <c r="AC638" s="49">
        <f>IF(OR($AE638&lt;&gt;1,AC$1=""),"",SUMIFS('All Donations'!$S$2:$S$4001,'All Donations'!$R$2:$R$4001,$AD638,'All Donations'!$T$2:$T$4001,AC$1))</f>
        <v/>
      </c>
      <c r="AD638">
        <f>IF(AE638=1,'Roster'!A638,"")</f>
        <v/>
      </c>
      <c r="AE638">
        <f>IF(TRIM('Roster'!B638&amp;'Roster'!C638)&lt;&gt;"",1,0)</f>
        <v/>
      </c>
      <c r="AF638">
        <f>IF(AE638=1,LOWER(A638),"#")</f>
        <v/>
      </c>
      <c r="AG638">
        <f>IF(AE638=1,LOWER(TRIM(TRIM('Roster'!C638)&amp;", "&amp;TRIM('Roster'!B638))),"#")</f>
        <v/>
      </c>
      <c r="AH638">
        <f>IF(AND(AE638=1,TRIM('Roster'!F638)&lt;&gt;""),LOWER(TRIM('Roster'!F638)),"#")</f>
        <v/>
      </c>
      <c r="AI638">
        <f>IF(AE638=1,IF(MATCH(B638,$B$2:$B$701,0)=ROW()-1,1,0),0)</f>
        <v/>
      </c>
      <c r="AJ638">
        <f>AJ637+AI638</f>
        <v/>
      </c>
      <c r="AK638">
        <f>IF(AE638=1,D638+(1000-ROW())/10^7,-1)</f>
        <v/>
      </c>
      <c r="AL638">
        <f>IF(AE638=1,TRIM('Roster'!B638)&amp;" "&amp;LEFT(TRIM('Roster'!C638),1)&amp;".","")</f>
        <v/>
      </c>
      <c r="AM638">
        <f>IF(AE638=1,TRIM('Roster'!C638)&amp;", "&amp;TRIM('Roster'!B638)&amp;" ("&amp;B638&amp;") #"&amp;AD638,"")</f>
        <v/>
      </c>
      <c r="AN638">
        <f>IF(AE638=1,TRIM('Roster'!E638),"")</f>
        <v/>
      </c>
      <c r="AO638">
        <f>IF(AE638=1,ROUND(SUMIFS('All Donations'!$S$2:$S$4001,'All Donations'!$R$2:$R$4001,AD638,'All Donations'!$T$2:$T$4001,"&gt;="&amp;'Settings'!$C$23,'All Donations'!$T$2:$T$4001,"&lt;="&amp;'Settings'!$D$23),2),0)</f>
        <v/>
      </c>
      <c r="AQ638">
        <f>IF(AE638=1,ROUND(SUMIFS('All Donations'!$S$2:$S$4001,'All Donations'!$R$2:$R$4001,AD638,'All Donations'!$T$2:$T$4001,"&gt;="&amp;'Settings'!$C$25,'All Donations'!$T$2:$T$4001,"&lt;="&amp;'Settings'!$D$25),2),0)</f>
        <v/>
      </c>
      <c r="AR638">
        <f>IF(AE638=1,ROUND(SUMIFS('All Donations'!$S$2:$S$4001,'All Donations'!$R$2:$R$4001,AD638,'All Donations'!$T$2:$T$4001,"&gt;="&amp;'Settings'!$C$26,'All Donations'!$T$2:$T$4001,"&lt;="&amp;'Settings'!$D$26),2),0)</f>
        <v/>
      </c>
      <c r="AS638">
        <f>IF(AE638=1,ROUND(SUMIFS('All Donations'!$S$2:$S$4001,'All Donations'!$R$2:$R$4001,AD638,'All Donations'!$T$2:$T$4001,"&lt;="&amp;'Settings'!$D$27),2),0)</f>
        <v/>
      </c>
      <c r="AT638">
        <f>IF(AE638=1,ROUND(SUMIFS('All Donations'!$S$2:$S$4001,'All Donations'!$R$2:$R$4001,AD638,'All Donations'!$T$2:$T$4001,"&gt;="&amp;'Settings'!$C$28,'All Donations'!$T$2:$T$4001,"&lt;="&amp;'Settings'!$D$28),2),0)</f>
        <v/>
      </c>
      <c r="AU638">
        <f>IF(AE638=1,ROUND(SUMIFS('All Donations'!$S$2:$S$4001,'All Donations'!$R$2:$R$4001,AD638,'All Donations'!$T$2:$T$4001,"&gt;="&amp;'Settings'!$C$29,'All Donations'!$T$2:$T$4001,"&lt;="&amp;'Settings'!$D$29),2),0)</f>
        <v/>
      </c>
      <c r="AV638">
        <f>IF(AE638=1,ROUND(SUMIFS('All Donations'!$S$2:$S$4001,'All Donations'!$R$2:$R$4001,AD638,'All Donations'!$T$2:$T$4001,"&lt;="&amp;'Settings'!$D$30),2),0)</f>
        <v/>
      </c>
      <c r="AZ638">
        <f>IF(AE638=1,ROUND(SUMIFS('All Donations'!$S$2:$S$4001,'All Donations'!$R$2:$R$4001,AD638,'All Donations'!$T$2:$T$4001,"&lt;="&amp;'Settings'!$D$34),2),0)</f>
        <v/>
      </c>
    </row>
    <row r="639">
      <c r="A639">
        <f>IF(AE639=1,TRIM(TRIM('Roster'!B639)&amp;" "&amp;TRIM('Roster'!C639)),"")</f>
        <v/>
      </c>
      <c r="B639">
        <f>IF(AE639=1,IF(AN639="","(no teacher)",AN639&amp;" – "&amp;C639),"")</f>
        <v/>
      </c>
      <c r="C639">
        <f>IF(AE639=1,TRIM('Roster'!D639&amp;""),"")</f>
        <v/>
      </c>
      <c r="D639" s="48">
        <f>IF(AE639=1,ROUND(SUMIFS('All Donations'!$S$2:$S$4001,'All Donations'!$R$2:$R$4001,AD639),2),"")</f>
        <v/>
      </c>
      <c r="E639" s="48">
        <f>IF(AE639=1,ROUND(SUMIFS('All Donations'!$S$2:$S$4001,'All Donations'!$R$2:$R$4001,AD639,'All Donations'!$G$2:$G$4001,"OneCause"),2),"")</f>
        <v/>
      </c>
      <c r="F639" s="48">
        <f>IF(AE639=1,D639-E639,"")</f>
        <v/>
      </c>
      <c r="G639">
        <f>IF(AE639=1,COUNTIFS('All Donations'!$R$2:$R$4001,AD639,'All Donations'!$H$2:$H$4001,"OK"),"")</f>
        <v/>
      </c>
      <c r="H639">
        <f>IF(AE639&lt;&gt;1,"",IF(D639&gt;0,"Yes",""))</f>
        <v/>
      </c>
      <c r="I639" s="49">
        <f>IF(OR($AE639&lt;&gt;1,I$1=""),"",SUMIFS('All Donations'!$S$2:$S$4001,'All Donations'!$R$2:$R$4001,$AD639,'All Donations'!$T$2:$T$4001,I$1))</f>
        <v/>
      </c>
      <c r="J639" s="49">
        <f>IF(OR($AE639&lt;&gt;1,J$1=""),"",SUMIFS('All Donations'!$S$2:$S$4001,'All Donations'!$R$2:$R$4001,$AD639,'All Donations'!$T$2:$T$4001,J$1))</f>
        <v/>
      </c>
      <c r="K639" s="49">
        <f>IF(OR($AE639&lt;&gt;1,K$1=""),"",SUMIFS('All Donations'!$S$2:$S$4001,'All Donations'!$R$2:$R$4001,$AD639,'All Donations'!$T$2:$T$4001,K$1))</f>
        <v/>
      </c>
      <c r="L639" s="49">
        <f>IF(OR($AE639&lt;&gt;1,L$1=""),"",SUMIFS('All Donations'!$S$2:$S$4001,'All Donations'!$R$2:$R$4001,$AD639,'All Donations'!$T$2:$T$4001,L$1))</f>
        <v/>
      </c>
      <c r="M639" s="49">
        <f>IF(OR($AE639&lt;&gt;1,M$1=""),"",SUMIFS('All Donations'!$S$2:$S$4001,'All Donations'!$R$2:$R$4001,$AD639,'All Donations'!$T$2:$T$4001,M$1))</f>
        <v/>
      </c>
      <c r="N639" s="49">
        <f>IF(OR($AE639&lt;&gt;1,N$1=""),"",SUMIFS('All Donations'!$S$2:$S$4001,'All Donations'!$R$2:$R$4001,$AD639,'All Donations'!$T$2:$T$4001,N$1))</f>
        <v/>
      </c>
      <c r="O639" s="49">
        <f>IF(OR($AE639&lt;&gt;1,O$1=""),"",SUMIFS('All Donations'!$S$2:$S$4001,'All Donations'!$R$2:$R$4001,$AD639,'All Donations'!$T$2:$T$4001,O$1))</f>
        <v/>
      </c>
      <c r="P639" s="49">
        <f>IF(OR($AE639&lt;&gt;1,P$1=""),"",SUMIFS('All Donations'!$S$2:$S$4001,'All Donations'!$R$2:$R$4001,$AD639,'All Donations'!$T$2:$T$4001,P$1))</f>
        <v/>
      </c>
      <c r="Q639" s="49">
        <f>IF(OR($AE639&lt;&gt;1,Q$1=""),"",SUMIFS('All Donations'!$S$2:$S$4001,'All Donations'!$R$2:$R$4001,$AD639,'All Donations'!$T$2:$T$4001,Q$1))</f>
        <v/>
      </c>
      <c r="R639" s="49">
        <f>IF(OR($AE639&lt;&gt;1,R$1=""),"",SUMIFS('All Donations'!$S$2:$S$4001,'All Donations'!$R$2:$R$4001,$AD639,'All Donations'!$T$2:$T$4001,R$1))</f>
        <v/>
      </c>
      <c r="S639" s="49">
        <f>IF(OR($AE639&lt;&gt;1,S$1=""),"",SUMIFS('All Donations'!$S$2:$S$4001,'All Donations'!$R$2:$R$4001,$AD639,'All Donations'!$T$2:$T$4001,S$1))</f>
        <v/>
      </c>
      <c r="T639" s="49">
        <f>IF(OR($AE639&lt;&gt;1,T$1=""),"",SUMIFS('All Donations'!$S$2:$S$4001,'All Donations'!$R$2:$R$4001,$AD639,'All Donations'!$T$2:$T$4001,T$1))</f>
        <v/>
      </c>
      <c r="U639" s="49">
        <f>IF(OR($AE639&lt;&gt;1,U$1=""),"",SUMIFS('All Donations'!$S$2:$S$4001,'All Donations'!$R$2:$R$4001,$AD639,'All Donations'!$T$2:$T$4001,U$1))</f>
        <v/>
      </c>
      <c r="V639" s="49">
        <f>IF(OR($AE639&lt;&gt;1,V$1=""),"",SUMIFS('All Donations'!$S$2:$S$4001,'All Donations'!$R$2:$R$4001,$AD639,'All Donations'!$T$2:$T$4001,V$1))</f>
        <v/>
      </c>
      <c r="W639" s="49">
        <f>IF(OR($AE639&lt;&gt;1,W$1=""),"",SUMIFS('All Donations'!$S$2:$S$4001,'All Donations'!$R$2:$R$4001,$AD639,'All Donations'!$T$2:$T$4001,W$1))</f>
        <v/>
      </c>
      <c r="X639" s="49">
        <f>IF(OR($AE639&lt;&gt;1,X$1=""),"",SUMIFS('All Donations'!$S$2:$S$4001,'All Donations'!$R$2:$R$4001,$AD639,'All Donations'!$T$2:$T$4001,X$1))</f>
        <v/>
      </c>
      <c r="Y639" s="49">
        <f>IF(OR($AE639&lt;&gt;1,Y$1=""),"",SUMIFS('All Donations'!$S$2:$S$4001,'All Donations'!$R$2:$R$4001,$AD639,'All Donations'!$T$2:$T$4001,Y$1))</f>
        <v/>
      </c>
      <c r="Z639" s="49">
        <f>IF(OR($AE639&lt;&gt;1,Z$1=""),"",SUMIFS('All Donations'!$S$2:$S$4001,'All Donations'!$R$2:$R$4001,$AD639,'All Donations'!$T$2:$T$4001,Z$1))</f>
        <v/>
      </c>
      <c r="AA639" s="49">
        <f>IF(OR($AE639&lt;&gt;1,AA$1=""),"",SUMIFS('All Donations'!$S$2:$S$4001,'All Donations'!$R$2:$R$4001,$AD639,'All Donations'!$T$2:$T$4001,AA$1))</f>
        <v/>
      </c>
      <c r="AB639" s="49">
        <f>IF(OR($AE639&lt;&gt;1,AB$1=""),"",SUMIFS('All Donations'!$S$2:$S$4001,'All Donations'!$R$2:$R$4001,$AD639,'All Donations'!$T$2:$T$4001,AB$1))</f>
        <v/>
      </c>
      <c r="AC639" s="49">
        <f>IF(OR($AE639&lt;&gt;1,AC$1=""),"",SUMIFS('All Donations'!$S$2:$S$4001,'All Donations'!$R$2:$R$4001,$AD639,'All Donations'!$T$2:$T$4001,AC$1))</f>
        <v/>
      </c>
      <c r="AD639">
        <f>IF(AE639=1,'Roster'!A639,"")</f>
        <v/>
      </c>
      <c r="AE639">
        <f>IF(TRIM('Roster'!B639&amp;'Roster'!C639)&lt;&gt;"",1,0)</f>
        <v/>
      </c>
      <c r="AF639">
        <f>IF(AE639=1,LOWER(A639),"#")</f>
        <v/>
      </c>
      <c r="AG639">
        <f>IF(AE639=1,LOWER(TRIM(TRIM('Roster'!C639)&amp;", "&amp;TRIM('Roster'!B639))),"#")</f>
        <v/>
      </c>
      <c r="AH639">
        <f>IF(AND(AE639=1,TRIM('Roster'!F639)&lt;&gt;""),LOWER(TRIM('Roster'!F639)),"#")</f>
        <v/>
      </c>
      <c r="AI639">
        <f>IF(AE639=1,IF(MATCH(B639,$B$2:$B$701,0)=ROW()-1,1,0),0)</f>
        <v/>
      </c>
      <c r="AJ639">
        <f>AJ638+AI639</f>
        <v/>
      </c>
      <c r="AK639">
        <f>IF(AE639=1,D639+(1000-ROW())/10^7,-1)</f>
        <v/>
      </c>
      <c r="AL639">
        <f>IF(AE639=1,TRIM('Roster'!B639)&amp;" "&amp;LEFT(TRIM('Roster'!C639),1)&amp;".","")</f>
        <v/>
      </c>
      <c r="AM639">
        <f>IF(AE639=1,TRIM('Roster'!C639)&amp;", "&amp;TRIM('Roster'!B639)&amp;" ("&amp;B639&amp;") #"&amp;AD639,"")</f>
        <v/>
      </c>
      <c r="AN639">
        <f>IF(AE639=1,TRIM('Roster'!E639),"")</f>
        <v/>
      </c>
      <c r="AO639">
        <f>IF(AE639=1,ROUND(SUMIFS('All Donations'!$S$2:$S$4001,'All Donations'!$R$2:$R$4001,AD639,'All Donations'!$T$2:$T$4001,"&gt;="&amp;'Settings'!$C$23,'All Donations'!$T$2:$T$4001,"&lt;="&amp;'Settings'!$D$23),2),0)</f>
        <v/>
      </c>
      <c r="AQ639">
        <f>IF(AE639=1,ROUND(SUMIFS('All Donations'!$S$2:$S$4001,'All Donations'!$R$2:$R$4001,AD639,'All Donations'!$T$2:$T$4001,"&gt;="&amp;'Settings'!$C$25,'All Donations'!$T$2:$T$4001,"&lt;="&amp;'Settings'!$D$25),2),0)</f>
        <v/>
      </c>
      <c r="AR639">
        <f>IF(AE639=1,ROUND(SUMIFS('All Donations'!$S$2:$S$4001,'All Donations'!$R$2:$R$4001,AD639,'All Donations'!$T$2:$T$4001,"&gt;="&amp;'Settings'!$C$26,'All Donations'!$T$2:$T$4001,"&lt;="&amp;'Settings'!$D$26),2),0)</f>
        <v/>
      </c>
      <c r="AS639">
        <f>IF(AE639=1,ROUND(SUMIFS('All Donations'!$S$2:$S$4001,'All Donations'!$R$2:$R$4001,AD639,'All Donations'!$T$2:$T$4001,"&lt;="&amp;'Settings'!$D$27),2),0)</f>
        <v/>
      </c>
      <c r="AT639">
        <f>IF(AE639=1,ROUND(SUMIFS('All Donations'!$S$2:$S$4001,'All Donations'!$R$2:$R$4001,AD639,'All Donations'!$T$2:$T$4001,"&gt;="&amp;'Settings'!$C$28,'All Donations'!$T$2:$T$4001,"&lt;="&amp;'Settings'!$D$28),2),0)</f>
        <v/>
      </c>
      <c r="AU639">
        <f>IF(AE639=1,ROUND(SUMIFS('All Donations'!$S$2:$S$4001,'All Donations'!$R$2:$R$4001,AD639,'All Donations'!$T$2:$T$4001,"&gt;="&amp;'Settings'!$C$29,'All Donations'!$T$2:$T$4001,"&lt;="&amp;'Settings'!$D$29),2),0)</f>
        <v/>
      </c>
      <c r="AV639">
        <f>IF(AE639=1,ROUND(SUMIFS('All Donations'!$S$2:$S$4001,'All Donations'!$R$2:$R$4001,AD639,'All Donations'!$T$2:$T$4001,"&lt;="&amp;'Settings'!$D$30),2),0)</f>
        <v/>
      </c>
      <c r="AZ639">
        <f>IF(AE639=1,ROUND(SUMIFS('All Donations'!$S$2:$S$4001,'All Donations'!$R$2:$R$4001,AD639,'All Donations'!$T$2:$T$4001,"&lt;="&amp;'Settings'!$D$34),2),0)</f>
        <v/>
      </c>
    </row>
    <row r="640">
      <c r="A640">
        <f>IF(AE640=1,TRIM(TRIM('Roster'!B640)&amp;" "&amp;TRIM('Roster'!C640)),"")</f>
        <v/>
      </c>
      <c r="B640">
        <f>IF(AE640=1,IF(AN640="","(no teacher)",AN640&amp;" – "&amp;C640),"")</f>
        <v/>
      </c>
      <c r="C640">
        <f>IF(AE640=1,TRIM('Roster'!D640&amp;""),"")</f>
        <v/>
      </c>
      <c r="D640" s="48">
        <f>IF(AE640=1,ROUND(SUMIFS('All Donations'!$S$2:$S$4001,'All Donations'!$R$2:$R$4001,AD640),2),"")</f>
        <v/>
      </c>
      <c r="E640" s="48">
        <f>IF(AE640=1,ROUND(SUMIFS('All Donations'!$S$2:$S$4001,'All Donations'!$R$2:$R$4001,AD640,'All Donations'!$G$2:$G$4001,"OneCause"),2),"")</f>
        <v/>
      </c>
      <c r="F640" s="48">
        <f>IF(AE640=1,D640-E640,"")</f>
        <v/>
      </c>
      <c r="G640">
        <f>IF(AE640=1,COUNTIFS('All Donations'!$R$2:$R$4001,AD640,'All Donations'!$H$2:$H$4001,"OK"),"")</f>
        <v/>
      </c>
      <c r="H640">
        <f>IF(AE640&lt;&gt;1,"",IF(D640&gt;0,"Yes",""))</f>
        <v/>
      </c>
      <c r="I640" s="49">
        <f>IF(OR($AE640&lt;&gt;1,I$1=""),"",SUMIFS('All Donations'!$S$2:$S$4001,'All Donations'!$R$2:$R$4001,$AD640,'All Donations'!$T$2:$T$4001,I$1))</f>
        <v/>
      </c>
      <c r="J640" s="49">
        <f>IF(OR($AE640&lt;&gt;1,J$1=""),"",SUMIFS('All Donations'!$S$2:$S$4001,'All Donations'!$R$2:$R$4001,$AD640,'All Donations'!$T$2:$T$4001,J$1))</f>
        <v/>
      </c>
      <c r="K640" s="49">
        <f>IF(OR($AE640&lt;&gt;1,K$1=""),"",SUMIFS('All Donations'!$S$2:$S$4001,'All Donations'!$R$2:$R$4001,$AD640,'All Donations'!$T$2:$T$4001,K$1))</f>
        <v/>
      </c>
      <c r="L640" s="49">
        <f>IF(OR($AE640&lt;&gt;1,L$1=""),"",SUMIFS('All Donations'!$S$2:$S$4001,'All Donations'!$R$2:$R$4001,$AD640,'All Donations'!$T$2:$T$4001,L$1))</f>
        <v/>
      </c>
      <c r="M640" s="49">
        <f>IF(OR($AE640&lt;&gt;1,M$1=""),"",SUMIFS('All Donations'!$S$2:$S$4001,'All Donations'!$R$2:$R$4001,$AD640,'All Donations'!$T$2:$T$4001,M$1))</f>
        <v/>
      </c>
      <c r="N640" s="49">
        <f>IF(OR($AE640&lt;&gt;1,N$1=""),"",SUMIFS('All Donations'!$S$2:$S$4001,'All Donations'!$R$2:$R$4001,$AD640,'All Donations'!$T$2:$T$4001,N$1))</f>
        <v/>
      </c>
      <c r="O640" s="49">
        <f>IF(OR($AE640&lt;&gt;1,O$1=""),"",SUMIFS('All Donations'!$S$2:$S$4001,'All Donations'!$R$2:$R$4001,$AD640,'All Donations'!$T$2:$T$4001,O$1))</f>
        <v/>
      </c>
      <c r="P640" s="49">
        <f>IF(OR($AE640&lt;&gt;1,P$1=""),"",SUMIFS('All Donations'!$S$2:$S$4001,'All Donations'!$R$2:$R$4001,$AD640,'All Donations'!$T$2:$T$4001,P$1))</f>
        <v/>
      </c>
      <c r="Q640" s="49">
        <f>IF(OR($AE640&lt;&gt;1,Q$1=""),"",SUMIFS('All Donations'!$S$2:$S$4001,'All Donations'!$R$2:$R$4001,$AD640,'All Donations'!$T$2:$T$4001,Q$1))</f>
        <v/>
      </c>
      <c r="R640" s="49">
        <f>IF(OR($AE640&lt;&gt;1,R$1=""),"",SUMIFS('All Donations'!$S$2:$S$4001,'All Donations'!$R$2:$R$4001,$AD640,'All Donations'!$T$2:$T$4001,R$1))</f>
        <v/>
      </c>
      <c r="S640" s="49">
        <f>IF(OR($AE640&lt;&gt;1,S$1=""),"",SUMIFS('All Donations'!$S$2:$S$4001,'All Donations'!$R$2:$R$4001,$AD640,'All Donations'!$T$2:$T$4001,S$1))</f>
        <v/>
      </c>
      <c r="T640" s="49">
        <f>IF(OR($AE640&lt;&gt;1,T$1=""),"",SUMIFS('All Donations'!$S$2:$S$4001,'All Donations'!$R$2:$R$4001,$AD640,'All Donations'!$T$2:$T$4001,T$1))</f>
        <v/>
      </c>
      <c r="U640" s="49">
        <f>IF(OR($AE640&lt;&gt;1,U$1=""),"",SUMIFS('All Donations'!$S$2:$S$4001,'All Donations'!$R$2:$R$4001,$AD640,'All Donations'!$T$2:$T$4001,U$1))</f>
        <v/>
      </c>
      <c r="V640" s="49">
        <f>IF(OR($AE640&lt;&gt;1,V$1=""),"",SUMIFS('All Donations'!$S$2:$S$4001,'All Donations'!$R$2:$R$4001,$AD640,'All Donations'!$T$2:$T$4001,V$1))</f>
        <v/>
      </c>
      <c r="W640" s="49">
        <f>IF(OR($AE640&lt;&gt;1,W$1=""),"",SUMIFS('All Donations'!$S$2:$S$4001,'All Donations'!$R$2:$R$4001,$AD640,'All Donations'!$T$2:$T$4001,W$1))</f>
        <v/>
      </c>
      <c r="X640" s="49">
        <f>IF(OR($AE640&lt;&gt;1,X$1=""),"",SUMIFS('All Donations'!$S$2:$S$4001,'All Donations'!$R$2:$R$4001,$AD640,'All Donations'!$T$2:$T$4001,X$1))</f>
        <v/>
      </c>
      <c r="Y640" s="49">
        <f>IF(OR($AE640&lt;&gt;1,Y$1=""),"",SUMIFS('All Donations'!$S$2:$S$4001,'All Donations'!$R$2:$R$4001,$AD640,'All Donations'!$T$2:$T$4001,Y$1))</f>
        <v/>
      </c>
      <c r="Z640" s="49">
        <f>IF(OR($AE640&lt;&gt;1,Z$1=""),"",SUMIFS('All Donations'!$S$2:$S$4001,'All Donations'!$R$2:$R$4001,$AD640,'All Donations'!$T$2:$T$4001,Z$1))</f>
        <v/>
      </c>
      <c r="AA640" s="49">
        <f>IF(OR($AE640&lt;&gt;1,AA$1=""),"",SUMIFS('All Donations'!$S$2:$S$4001,'All Donations'!$R$2:$R$4001,$AD640,'All Donations'!$T$2:$T$4001,AA$1))</f>
        <v/>
      </c>
      <c r="AB640" s="49">
        <f>IF(OR($AE640&lt;&gt;1,AB$1=""),"",SUMIFS('All Donations'!$S$2:$S$4001,'All Donations'!$R$2:$R$4001,$AD640,'All Donations'!$T$2:$T$4001,AB$1))</f>
        <v/>
      </c>
      <c r="AC640" s="49">
        <f>IF(OR($AE640&lt;&gt;1,AC$1=""),"",SUMIFS('All Donations'!$S$2:$S$4001,'All Donations'!$R$2:$R$4001,$AD640,'All Donations'!$T$2:$T$4001,AC$1))</f>
        <v/>
      </c>
      <c r="AD640">
        <f>IF(AE640=1,'Roster'!A640,"")</f>
        <v/>
      </c>
      <c r="AE640">
        <f>IF(TRIM('Roster'!B640&amp;'Roster'!C640)&lt;&gt;"",1,0)</f>
        <v/>
      </c>
      <c r="AF640">
        <f>IF(AE640=1,LOWER(A640),"#")</f>
        <v/>
      </c>
      <c r="AG640">
        <f>IF(AE640=1,LOWER(TRIM(TRIM('Roster'!C640)&amp;", "&amp;TRIM('Roster'!B640))),"#")</f>
        <v/>
      </c>
      <c r="AH640">
        <f>IF(AND(AE640=1,TRIM('Roster'!F640)&lt;&gt;""),LOWER(TRIM('Roster'!F640)),"#")</f>
        <v/>
      </c>
      <c r="AI640">
        <f>IF(AE640=1,IF(MATCH(B640,$B$2:$B$701,0)=ROW()-1,1,0),0)</f>
        <v/>
      </c>
      <c r="AJ640">
        <f>AJ639+AI640</f>
        <v/>
      </c>
      <c r="AK640">
        <f>IF(AE640=1,D640+(1000-ROW())/10^7,-1)</f>
        <v/>
      </c>
      <c r="AL640">
        <f>IF(AE640=1,TRIM('Roster'!B640)&amp;" "&amp;LEFT(TRIM('Roster'!C640),1)&amp;".","")</f>
        <v/>
      </c>
      <c r="AM640">
        <f>IF(AE640=1,TRIM('Roster'!C640)&amp;", "&amp;TRIM('Roster'!B640)&amp;" ("&amp;B640&amp;") #"&amp;AD640,"")</f>
        <v/>
      </c>
      <c r="AN640">
        <f>IF(AE640=1,TRIM('Roster'!E640),"")</f>
        <v/>
      </c>
      <c r="AO640">
        <f>IF(AE640=1,ROUND(SUMIFS('All Donations'!$S$2:$S$4001,'All Donations'!$R$2:$R$4001,AD640,'All Donations'!$T$2:$T$4001,"&gt;="&amp;'Settings'!$C$23,'All Donations'!$T$2:$T$4001,"&lt;="&amp;'Settings'!$D$23),2),0)</f>
        <v/>
      </c>
      <c r="AQ640">
        <f>IF(AE640=1,ROUND(SUMIFS('All Donations'!$S$2:$S$4001,'All Donations'!$R$2:$R$4001,AD640,'All Donations'!$T$2:$T$4001,"&gt;="&amp;'Settings'!$C$25,'All Donations'!$T$2:$T$4001,"&lt;="&amp;'Settings'!$D$25),2),0)</f>
        <v/>
      </c>
      <c r="AR640">
        <f>IF(AE640=1,ROUND(SUMIFS('All Donations'!$S$2:$S$4001,'All Donations'!$R$2:$R$4001,AD640,'All Donations'!$T$2:$T$4001,"&gt;="&amp;'Settings'!$C$26,'All Donations'!$T$2:$T$4001,"&lt;="&amp;'Settings'!$D$26),2),0)</f>
        <v/>
      </c>
      <c r="AS640">
        <f>IF(AE640=1,ROUND(SUMIFS('All Donations'!$S$2:$S$4001,'All Donations'!$R$2:$R$4001,AD640,'All Donations'!$T$2:$T$4001,"&lt;="&amp;'Settings'!$D$27),2),0)</f>
        <v/>
      </c>
      <c r="AT640">
        <f>IF(AE640=1,ROUND(SUMIFS('All Donations'!$S$2:$S$4001,'All Donations'!$R$2:$R$4001,AD640,'All Donations'!$T$2:$T$4001,"&gt;="&amp;'Settings'!$C$28,'All Donations'!$T$2:$T$4001,"&lt;="&amp;'Settings'!$D$28),2),0)</f>
        <v/>
      </c>
      <c r="AU640">
        <f>IF(AE640=1,ROUND(SUMIFS('All Donations'!$S$2:$S$4001,'All Donations'!$R$2:$R$4001,AD640,'All Donations'!$T$2:$T$4001,"&gt;="&amp;'Settings'!$C$29,'All Donations'!$T$2:$T$4001,"&lt;="&amp;'Settings'!$D$29),2),0)</f>
        <v/>
      </c>
      <c r="AV640">
        <f>IF(AE640=1,ROUND(SUMIFS('All Donations'!$S$2:$S$4001,'All Donations'!$R$2:$R$4001,AD640,'All Donations'!$T$2:$T$4001,"&lt;="&amp;'Settings'!$D$30),2),0)</f>
        <v/>
      </c>
      <c r="AZ640">
        <f>IF(AE640=1,ROUND(SUMIFS('All Donations'!$S$2:$S$4001,'All Donations'!$R$2:$R$4001,AD640,'All Donations'!$T$2:$T$4001,"&lt;="&amp;'Settings'!$D$34),2),0)</f>
        <v/>
      </c>
    </row>
    <row r="641">
      <c r="A641">
        <f>IF(AE641=1,TRIM(TRIM('Roster'!B641)&amp;" "&amp;TRIM('Roster'!C641)),"")</f>
        <v/>
      </c>
      <c r="B641">
        <f>IF(AE641=1,IF(AN641="","(no teacher)",AN641&amp;" – "&amp;C641),"")</f>
        <v/>
      </c>
      <c r="C641">
        <f>IF(AE641=1,TRIM('Roster'!D641&amp;""),"")</f>
        <v/>
      </c>
      <c r="D641" s="48">
        <f>IF(AE641=1,ROUND(SUMIFS('All Donations'!$S$2:$S$4001,'All Donations'!$R$2:$R$4001,AD641),2),"")</f>
        <v/>
      </c>
      <c r="E641" s="48">
        <f>IF(AE641=1,ROUND(SUMIFS('All Donations'!$S$2:$S$4001,'All Donations'!$R$2:$R$4001,AD641,'All Donations'!$G$2:$G$4001,"OneCause"),2),"")</f>
        <v/>
      </c>
      <c r="F641" s="48">
        <f>IF(AE641=1,D641-E641,"")</f>
        <v/>
      </c>
      <c r="G641">
        <f>IF(AE641=1,COUNTIFS('All Donations'!$R$2:$R$4001,AD641,'All Donations'!$H$2:$H$4001,"OK"),"")</f>
        <v/>
      </c>
      <c r="H641">
        <f>IF(AE641&lt;&gt;1,"",IF(D641&gt;0,"Yes",""))</f>
        <v/>
      </c>
      <c r="I641" s="49">
        <f>IF(OR($AE641&lt;&gt;1,I$1=""),"",SUMIFS('All Donations'!$S$2:$S$4001,'All Donations'!$R$2:$R$4001,$AD641,'All Donations'!$T$2:$T$4001,I$1))</f>
        <v/>
      </c>
      <c r="J641" s="49">
        <f>IF(OR($AE641&lt;&gt;1,J$1=""),"",SUMIFS('All Donations'!$S$2:$S$4001,'All Donations'!$R$2:$R$4001,$AD641,'All Donations'!$T$2:$T$4001,J$1))</f>
        <v/>
      </c>
      <c r="K641" s="49">
        <f>IF(OR($AE641&lt;&gt;1,K$1=""),"",SUMIFS('All Donations'!$S$2:$S$4001,'All Donations'!$R$2:$R$4001,$AD641,'All Donations'!$T$2:$T$4001,K$1))</f>
        <v/>
      </c>
      <c r="L641" s="49">
        <f>IF(OR($AE641&lt;&gt;1,L$1=""),"",SUMIFS('All Donations'!$S$2:$S$4001,'All Donations'!$R$2:$R$4001,$AD641,'All Donations'!$T$2:$T$4001,L$1))</f>
        <v/>
      </c>
      <c r="M641" s="49">
        <f>IF(OR($AE641&lt;&gt;1,M$1=""),"",SUMIFS('All Donations'!$S$2:$S$4001,'All Donations'!$R$2:$R$4001,$AD641,'All Donations'!$T$2:$T$4001,M$1))</f>
        <v/>
      </c>
      <c r="N641" s="49">
        <f>IF(OR($AE641&lt;&gt;1,N$1=""),"",SUMIFS('All Donations'!$S$2:$S$4001,'All Donations'!$R$2:$R$4001,$AD641,'All Donations'!$T$2:$T$4001,N$1))</f>
        <v/>
      </c>
      <c r="O641" s="49">
        <f>IF(OR($AE641&lt;&gt;1,O$1=""),"",SUMIFS('All Donations'!$S$2:$S$4001,'All Donations'!$R$2:$R$4001,$AD641,'All Donations'!$T$2:$T$4001,O$1))</f>
        <v/>
      </c>
      <c r="P641" s="49">
        <f>IF(OR($AE641&lt;&gt;1,P$1=""),"",SUMIFS('All Donations'!$S$2:$S$4001,'All Donations'!$R$2:$R$4001,$AD641,'All Donations'!$T$2:$T$4001,P$1))</f>
        <v/>
      </c>
      <c r="Q641" s="49">
        <f>IF(OR($AE641&lt;&gt;1,Q$1=""),"",SUMIFS('All Donations'!$S$2:$S$4001,'All Donations'!$R$2:$R$4001,$AD641,'All Donations'!$T$2:$T$4001,Q$1))</f>
        <v/>
      </c>
      <c r="R641" s="49">
        <f>IF(OR($AE641&lt;&gt;1,R$1=""),"",SUMIFS('All Donations'!$S$2:$S$4001,'All Donations'!$R$2:$R$4001,$AD641,'All Donations'!$T$2:$T$4001,R$1))</f>
        <v/>
      </c>
      <c r="S641" s="49">
        <f>IF(OR($AE641&lt;&gt;1,S$1=""),"",SUMIFS('All Donations'!$S$2:$S$4001,'All Donations'!$R$2:$R$4001,$AD641,'All Donations'!$T$2:$T$4001,S$1))</f>
        <v/>
      </c>
      <c r="T641" s="49">
        <f>IF(OR($AE641&lt;&gt;1,T$1=""),"",SUMIFS('All Donations'!$S$2:$S$4001,'All Donations'!$R$2:$R$4001,$AD641,'All Donations'!$T$2:$T$4001,T$1))</f>
        <v/>
      </c>
      <c r="U641" s="49">
        <f>IF(OR($AE641&lt;&gt;1,U$1=""),"",SUMIFS('All Donations'!$S$2:$S$4001,'All Donations'!$R$2:$R$4001,$AD641,'All Donations'!$T$2:$T$4001,U$1))</f>
        <v/>
      </c>
      <c r="V641" s="49">
        <f>IF(OR($AE641&lt;&gt;1,V$1=""),"",SUMIFS('All Donations'!$S$2:$S$4001,'All Donations'!$R$2:$R$4001,$AD641,'All Donations'!$T$2:$T$4001,V$1))</f>
        <v/>
      </c>
      <c r="W641" s="49">
        <f>IF(OR($AE641&lt;&gt;1,W$1=""),"",SUMIFS('All Donations'!$S$2:$S$4001,'All Donations'!$R$2:$R$4001,$AD641,'All Donations'!$T$2:$T$4001,W$1))</f>
        <v/>
      </c>
      <c r="X641" s="49">
        <f>IF(OR($AE641&lt;&gt;1,X$1=""),"",SUMIFS('All Donations'!$S$2:$S$4001,'All Donations'!$R$2:$R$4001,$AD641,'All Donations'!$T$2:$T$4001,X$1))</f>
        <v/>
      </c>
      <c r="Y641" s="49">
        <f>IF(OR($AE641&lt;&gt;1,Y$1=""),"",SUMIFS('All Donations'!$S$2:$S$4001,'All Donations'!$R$2:$R$4001,$AD641,'All Donations'!$T$2:$T$4001,Y$1))</f>
        <v/>
      </c>
      <c r="Z641" s="49">
        <f>IF(OR($AE641&lt;&gt;1,Z$1=""),"",SUMIFS('All Donations'!$S$2:$S$4001,'All Donations'!$R$2:$R$4001,$AD641,'All Donations'!$T$2:$T$4001,Z$1))</f>
        <v/>
      </c>
      <c r="AA641" s="49">
        <f>IF(OR($AE641&lt;&gt;1,AA$1=""),"",SUMIFS('All Donations'!$S$2:$S$4001,'All Donations'!$R$2:$R$4001,$AD641,'All Donations'!$T$2:$T$4001,AA$1))</f>
        <v/>
      </c>
      <c r="AB641" s="49">
        <f>IF(OR($AE641&lt;&gt;1,AB$1=""),"",SUMIFS('All Donations'!$S$2:$S$4001,'All Donations'!$R$2:$R$4001,$AD641,'All Donations'!$T$2:$T$4001,AB$1))</f>
        <v/>
      </c>
      <c r="AC641" s="49">
        <f>IF(OR($AE641&lt;&gt;1,AC$1=""),"",SUMIFS('All Donations'!$S$2:$S$4001,'All Donations'!$R$2:$R$4001,$AD641,'All Donations'!$T$2:$T$4001,AC$1))</f>
        <v/>
      </c>
      <c r="AD641">
        <f>IF(AE641=1,'Roster'!A641,"")</f>
        <v/>
      </c>
      <c r="AE641">
        <f>IF(TRIM('Roster'!B641&amp;'Roster'!C641)&lt;&gt;"",1,0)</f>
        <v/>
      </c>
      <c r="AF641">
        <f>IF(AE641=1,LOWER(A641),"#")</f>
        <v/>
      </c>
      <c r="AG641">
        <f>IF(AE641=1,LOWER(TRIM(TRIM('Roster'!C641)&amp;", "&amp;TRIM('Roster'!B641))),"#")</f>
        <v/>
      </c>
      <c r="AH641">
        <f>IF(AND(AE641=1,TRIM('Roster'!F641)&lt;&gt;""),LOWER(TRIM('Roster'!F641)),"#")</f>
        <v/>
      </c>
      <c r="AI641">
        <f>IF(AE641=1,IF(MATCH(B641,$B$2:$B$701,0)=ROW()-1,1,0),0)</f>
        <v/>
      </c>
      <c r="AJ641">
        <f>AJ640+AI641</f>
        <v/>
      </c>
      <c r="AK641">
        <f>IF(AE641=1,D641+(1000-ROW())/10^7,-1)</f>
        <v/>
      </c>
      <c r="AL641">
        <f>IF(AE641=1,TRIM('Roster'!B641)&amp;" "&amp;LEFT(TRIM('Roster'!C641),1)&amp;".","")</f>
        <v/>
      </c>
      <c r="AM641">
        <f>IF(AE641=1,TRIM('Roster'!C641)&amp;", "&amp;TRIM('Roster'!B641)&amp;" ("&amp;B641&amp;") #"&amp;AD641,"")</f>
        <v/>
      </c>
      <c r="AN641">
        <f>IF(AE641=1,TRIM('Roster'!E641),"")</f>
        <v/>
      </c>
      <c r="AO641">
        <f>IF(AE641=1,ROUND(SUMIFS('All Donations'!$S$2:$S$4001,'All Donations'!$R$2:$R$4001,AD641,'All Donations'!$T$2:$T$4001,"&gt;="&amp;'Settings'!$C$23,'All Donations'!$T$2:$T$4001,"&lt;="&amp;'Settings'!$D$23),2),0)</f>
        <v/>
      </c>
      <c r="AQ641">
        <f>IF(AE641=1,ROUND(SUMIFS('All Donations'!$S$2:$S$4001,'All Donations'!$R$2:$R$4001,AD641,'All Donations'!$T$2:$T$4001,"&gt;="&amp;'Settings'!$C$25,'All Donations'!$T$2:$T$4001,"&lt;="&amp;'Settings'!$D$25),2),0)</f>
        <v/>
      </c>
      <c r="AR641">
        <f>IF(AE641=1,ROUND(SUMIFS('All Donations'!$S$2:$S$4001,'All Donations'!$R$2:$R$4001,AD641,'All Donations'!$T$2:$T$4001,"&gt;="&amp;'Settings'!$C$26,'All Donations'!$T$2:$T$4001,"&lt;="&amp;'Settings'!$D$26),2),0)</f>
        <v/>
      </c>
      <c r="AS641">
        <f>IF(AE641=1,ROUND(SUMIFS('All Donations'!$S$2:$S$4001,'All Donations'!$R$2:$R$4001,AD641,'All Donations'!$T$2:$T$4001,"&lt;="&amp;'Settings'!$D$27),2),0)</f>
        <v/>
      </c>
      <c r="AT641">
        <f>IF(AE641=1,ROUND(SUMIFS('All Donations'!$S$2:$S$4001,'All Donations'!$R$2:$R$4001,AD641,'All Donations'!$T$2:$T$4001,"&gt;="&amp;'Settings'!$C$28,'All Donations'!$T$2:$T$4001,"&lt;="&amp;'Settings'!$D$28),2),0)</f>
        <v/>
      </c>
      <c r="AU641">
        <f>IF(AE641=1,ROUND(SUMIFS('All Donations'!$S$2:$S$4001,'All Donations'!$R$2:$R$4001,AD641,'All Donations'!$T$2:$T$4001,"&gt;="&amp;'Settings'!$C$29,'All Donations'!$T$2:$T$4001,"&lt;="&amp;'Settings'!$D$29),2),0)</f>
        <v/>
      </c>
      <c r="AV641">
        <f>IF(AE641=1,ROUND(SUMIFS('All Donations'!$S$2:$S$4001,'All Donations'!$R$2:$R$4001,AD641,'All Donations'!$T$2:$T$4001,"&lt;="&amp;'Settings'!$D$30),2),0)</f>
        <v/>
      </c>
      <c r="AZ641">
        <f>IF(AE641=1,ROUND(SUMIFS('All Donations'!$S$2:$S$4001,'All Donations'!$R$2:$R$4001,AD641,'All Donations'!$T$2:$T$4001,"&lt;="&amp;'Settings'!$D$34),2),0)</f>
        <v/>
      </c>
    </row>
    <row r="642">
      <c r="A642">
        <f>IF(AE642=1,TRIM(TRIM('Roster'!B642)&amp;" "&amp;TRIM('Roster'!C642)),"")</f>
        <v/>
      </c>
      <c r="B642">
        <f>IF(AE642=1,IF(AN642="","(no teacher)",AN642&amp;" – "&amp;C642),"")</f>
        <v/>
      </c>
      <c r="C642">
        <f>IF(AE642=1,TRIM('Roster'!D642&amp;""),"")</f>
        <v/>
      </c>
      <c r="D642" s="48">
        <f>IF(AE642=1,ROUND(SUMIFS('All Donations'!$S$2:$S$4001,'All Donations'!$R$2:$R$4001,AD642),2),"")</f>
        <v/>
      </c>
      <c r="E642" s="48">
        <f>IF(AE642=1,ROUND(SUMIFS('All Donations'!$S$2:$S$4001,'All Donations'!$R$2:$R$4001,AD642,'All Donations'!$G$2:$G$4001,"OneCause"),2),"")</f>
        <v/>
      </c>
      <c r="F642" s="48">
        <f>IF(AE642=1,D642-E642,"")</f>
        <v/>
      </c>
      <c r="G642">
        <f>IF(AE642=1,COUNTIFS('All Donations'!$R$2:$R$4001,AD642,'All Donations'!$H$2:$H$4001,"OK"),"")</f>
        <v/>
      </c>
      <c r="H642">
        <f>IF(AE642&lt;&gt;1,"",IF(D642&gt;0,"Yes",""))</f>
        <v/>
      </c>
      <c r="I642" s="49">
        <f>IF(OR($AE642&lt;&gt;1,I$1=""),"",SUMIFS('All Donations'!$S$2:$S$4001,'All Donations'!$R$2:$R$4001,$AD642,'All Donations'!$T$2:$T$4001,I$1))</f>
        <v/>
      </c>
      <c r="J642" s="49">
        <f>IF(OR($AE642&lt;&gt;1,J$1=""),"",SUMIFS('All Donations'!$S$2:$S$4001,'All Donations'!$R$2:$R$4001,$AD642,'All Donations'!$T$2:$T$4001,J$1))</f>
        <v/>
      </c>
      <c r="K642" s="49">
        <f>IF(OR($AE642&lt;&gt;1,K$1=""),"",SUMIFS('All Donations'!$S$2:$S$4001,'All Donations'!$R$2:$R$4001,$AD642,'All Donations'!$T$2:$T$4001,K$1))</f>
        <v/>
      </c>
      <c r="L642" s="49">
        <f>IF(OR($AE642&lt;&gt;1,L$1=""),"",SUMIFS('All Donations'!$S$2:$S$4001,'All Donations'!$R$2:$R$4001,$AD642,'All Donations'!$T$2:$T$4001,L$1))</f>
        <v/>
      </c>
      <c r="M642" s="49">
        <f>IF(OR($AE642&lt;&gt;1,M$1=""),"",SUMIFS('All Donations'!$S$2:$S$4001,'All Donations'!$R$2:$R$4001,$AD642,'All Donations'!$T$2:$T$4001,M$1))</f>
        <v/>
      </c>
      <c r="N642" s="49">
        <f>IF(OR($AE642&lt;&gt;1,N$1=""),"",SUMIFS('All Donations'!$S$2:$S$4001,'All Donations'!$R$2:$R$4001,$AD642,'All Donations'!$T$2:$T$4001,N$1))</f>
        <v/>
      </c>
      <c r="O642" s="49">
        <f>IF(OR($AE642&lt;&gt;1,O$1=""),"",SUMIFS('All Donations'!$S$2:$S$4001,'All Donations'!$R$2:$R$4001,$AD642,'All Donations'!$T$2:$T$4001,O$1))</f>
        <v/>
      </c>
      <c r="P642" s="49">
        <f>IF(OR($AE642&lt;&gt;1,P$1=""),"",SUMIFS('All Donations'!$S$2:$S$4001,'All Donations'!$R$2:$R$4001,$AD642,'All Donations'!$T$2:$T$4001,P$1))</f>
        <v/>
      </c>
      <c r="Q642" s="49">
        <f>IF(OR($AE642&lt;&gt;1,Q$1=""),"",SUMIFS('All Donations'!$S$2:$S$4001,'All Donations'!$R$2:$R$4001,$AD642,'All Donations'!$T$2:$T$4001,Q$1))</f>
        <v/>
      </c>
      <c r="R642" s="49">
        <f>IF(OR($AE642&lt;&gt;1,R$1=""),"",SUMIFS('All Donations'!$S$2:$S$4001,'All Donations'!$R$2:$R$4001,$AD642,'All Donations'!$T$2:$T$4001,R$1))</f>
        <v/>
      </c>
      <c r="S642" s="49">
        <f>IF(OR($AE642&lt;&gt;1,S$1=""),"",SUMIFS('All Donations'!$S$2:$S$4001,'All Donations'!$R$2:$R$4001,$AD642,'All Donations'!$T$2:$T$4001,S$1))</f>
        <v/>
      </c>
      <c r="T642" s="49">
        <f>IF(OR($AE642&lt;&gt;1,T$1=""),"",SUMIFS('All Donations'!$S$2:$S$4001,'All Donations'!$R$2:$R$4001,$AD642,'All Donations'!$T$2:$T$4001,T$1))</f>
        <v/>
      </c>
      <c r="U642" s="49">
        <f>IF(OR($AE642&lt;&gt;1,U$1=""),"",SUMIFS('All Donations'!$S$2:$S$4001,'All Donations'!$R$2:$R$4001,$AD642,'All Donations'!$T$2:$T$4001,U$1))</f>
        <v/>
      </c>
      <c r="V642" s="49">
        <f>IF(OR($AE642&lt;&gt;1,V$1=""),"",SUMIFS('All Donations'!$S$2:$S$4001,'All Donations'!$R$2:$R$4001,$AD642,'All Donations'!$T$2:$T$4001,V$1))</f>
        <v/>
      </c>
      <c r="W642" s="49">
        <f>IF(OR($AE642&lt;&gt;1,W$1=""),"",SUMIFS('All Donations'!$S$2:$S$4001,'All Donations'!$R$2:$R$4001,$AD642,'All Donations'!$T$2:$T$4001,W$1))</f>
        <v/>
      </c>
      <c r="X642" s="49">
        <f>IF(OR($AE642&lt;&gt;1,X$1=""),"",SUMIFS('All Donations'!$S$2:$S$4001,'All Donations'!$R$2:$R$4001,$AD642,'All Donations'!$T$2:$T$4001,X$1))</f>
        <v/>
      </c>
      <c r="Y642" s="49">
        <f>IF(OR($AE642&lt;&gt;1,Y$1=""),"",SUMIFS('All Donations'!$S$2:$S$4001,'All Donations'!$R$2:$R$4001,$AD642,'All Donations'!$T$2:$T$4001,Y$1))</f>
        <v/>
      </c>
      <c r="Z642" s="49">
        <f>IF(OR($AE642&lt;&gt;1,Z$1=""),"",SUMIFS('All Donations'!$S$2:$S$4001,'All Donations'!$R$2:$R$4001,$AD642,'All Donations'!$T$2:$T$4001,Z$1))</f>
        <v/>
      </c>
      <c r="AA642" s="49">
        <f>IF(OR($AE642&lt;&gt;1,AA$1=""),"",SUMIFS('All Donations'!$S$2:$S$4001,'All Donations'!$R$2:$R$4001,$AD642,'All Donations'!$T$2:$T$4001,AA$1))</f>
        <v/>
      </c>
      <c r="AB642" s="49">
        <f>IF(OR($AE642&lt;&gt;1,AB$1=""),"",SUMIFS('All Donations'!$S$2:$S$4001,'All Donations'!$R$2:$R$4001,$AD642,'All Donations'!$T$2:$T$4001,AB$1))</f>
        <v/>
      </c>
      <c r="AC642" s="49">
        <f>IF(OR($AE642&lt;&gt;1,AC$1=""),"",SUMIFS('All Donations'!$S$2:$S$4001,'All Donations'!$R$2:$R$4001,$AD642,'All Donations'!$T$2:$T$4001,AC$1))</f>
        <v/>
      </c>
      <c r="AD642">
        <f>IF(AE642=1,'Roster'!A642,"")</f>
        <v/>
      </c>
      <c r="AE642">
        <f>IF(TRIM('Roster'!B642&amp;'Roster'!C642)&lt;&gt;"",1,0)</f>
        <v/>
      </c>
      <c r="AF642">
        <f>IF(AE642=1,LOWER(A642),"#")</f>
        <v/>
      </c>
      <c r="AG642">
        <f>IF(AE642=1,LOWER(TRIM(TRIM('Roster'!C642)&amp;", "&amp;TRIM('Roster'!B642))),"#")</f>
        <v/>
      </c>
      <c r="AH642">
        <f>IF(AND(AE642=1,TRIM('Roster'!F642)&lt;&gt;""),LOWER(TRIM('Roster'!F642)),"#")</f>
        <v/>
      </c>
      <c r="AI642">
        <f>IF(AE642=1,IF(MATCH(B642,$B$2:$B$701,0)=ROW()-1,1,0),0)</f>
        <v/>
      </c>
      <c r="AJ642">
        <f>AJ641+AI642</f>
        <v/>
      </c>
      <c r="AK642">
        <f>IF(AE642=1,D642+(1000-ROW())/10^7,-1)</f>
        <v/>
      </c>
      <c r="AL642">
        <f>IF(AE642=1,TRIM('Roster'!B642)&amp;" "&amp;LEFT(TRIM('Roster'!C642),1)&amp;".","")</f>
        <v/>
      </c>
      <c r="AM642">
        <f>IF(AE642=1,TRIM('Roster'!C642)&amp;", "&amp;TRIM('Roster'!B642)&amp;" ("&amp;B642&amp;") #"&amp;AD642,"")</f>
        <v/>
      </c>
      <c r="AN642">
        <f>IF(AE642=1,TRIM('Roster'!E642),"")</f>
        <v/>
      </c>
      <c r="AO642">
        <f>IF(AE642=1,ROUND(SUMIFS('All Donations'!$S$2:$S$4001,'All Donations'!$R$2:$R$4001,AD642,'All Donations'!$T$2:$T$4001,"&gt;="&amp;'Settings'!$C$23,'All Donations'!$T$2:$T$4001,"&lt;="&amp;'Settings'!$D$23),2),0)</f>
        <v/>
      </c>
      <c r="AQ642">
        <f>IF(AE642=1,ROUND(SUMIFS('All Donations'!$S$2:$S$4001,'All Donations'!$R$2:$R$4001,AD642,'All Donations'!$T$2:$T$4001,"&gt;="&amp;'Settings'!$C$25,'All Donations'!$T$2:$T$4001,"&lt;="&amp;'Settings'!$D$25),2),0)</f>
        <v/>
      </c>
      <c r="AR642">
        <f>IF(AE642=1,ROUND(SUMIFS('All Donations'!$S$2:$S$4001,'All Donations'!$R$2:$R$4001,AD642,'All Donations'!$T$2:$T$4001,"&gt;="&amp;'Settings'!$C$26,'All Donations'!$T$2:$T$4001,"&lt;="&amp;'Settings'!$D$26),2),0)</f>
        <v/>
      </c>
      <c r="AS642">
        <f>IF(AE642=1,ROUND(SUMIFS('All Donations'!$S$2:$S$4001,'All Donations'!$R$2:$R$4001,AD642,'All Donations'!$T$2:$T$4001,"&lt;="&amp;'Settings'!$D$27),2),0)</f>
        <v/>
      </c>
      <c r="AT642">
        <f>IF(AE642=1,ROUND(SUMIFS('All Donations'!$S$2:$S$4001,'All Donations'!$R$2:$R$4001,AD642,'All Donations'!$T$2:$T$4001,"&gt;="&amp;'Settings'!$C$28,'All Donations'!$T$2:$T$4001,"&lt;="&amp;'Settings'!$D$28),2),0)</f>
        <v/>
      </c>
      <c r="AU642">
        <f>IF(AE642=1,ROUND(SUMIFS('All Donations'!$S$2:$S$4001,'All Donations'!$R$2:$R$4001,AD642,'All Donations'!$T$2:$T$4001,"&gt;="&amp;'Settings'!$C$29,'All Donations'!$T$2:$T$4001,"&lt;="&amp;'Settings'!$D$29),2),0)</f>
        <v/>
      </c>
      <c r="AV642">
        <f>IF(AE642=1,ROUND(SUMIFS('All Donations'!$S$2:$S$4001,'All Donations'!$R$2:$R$4001,AD642,'All Donations'!$T$2:$T$4001,"&lt;="&amp;'Settings'!$D$30),2),0)</f>
        <v/>
      </c>
      <c r="AZ642">
        <f>IF(AE642=1,ROUND(SUMIFS('All Donations'!$S$2:$S$4001,'All Donations'!$R$2:$R$4001,AD642,'All Donations'!$T$2:$T$4001,"&lt;="&amp;'Settings'!$D$34),2),0)</f>
        <v/>
      </c>
    </row>
    <row r="643">
      <c r="A643">
        <f>IF(AE643=1,TRIM(TRIM('Roster'!B643)&amp;" "&amp;TRIM('Roster'!C643)),"")</f>
        <v/>
      </c>
      <c r="B643">
        <f>IF(AE643=1,IF(AN643="","(no teacher)",AN643&amp;" – "&amp;C643),"")</f>
        <v/>
      </c>
      <c r="C643">
        <f>IF(AE643=1,TRIM('Roster'!D643&amp;""),"")</f>
        <v/>
      </c>
      <c r="D643" s="48">
        <f>IF(AE643=1,ROUND(SUMIFS('All Donations'!$S$2:$S$4001,'All Donations'!$R$2:$R$4001,AD643),2),"")</f>
        <v/>
      </c>
      <c r="E643" s="48">
        <f>IF(AE643=1,ROUND(SUMIFS('All Donations'!$S$2:$S$4001,'All Donations'!$R$2:$R$4001,AD643,'All Donations'!$G$2:$G$4001,"OneCause"),2),"")</f>
        <v/>
      </c>
      <c r="F643" s="48">
        <f>IF(AE643=1,D643-E643,"")</f>
        <v/>
      </c>
      <c r="G643">
        <f>IF(AE643=1,COUNTIFS('All Donations'!$R$2:$R$4001,AD643,'All Donations'!$H$2:$H$4001,"OK"),"")</f>
        <v/>
      </c>
      <c r="H643">
        <f>IF(AE643&lt;&gt;1,"",IF(D643&gt;0,"Yes",""))</f>
        <v/>
      </c>
      <c r="I643" s="49">
        <f>IF(OR($AE643&lt;&gt;1,I$1=""),"",SUMIFS('All Donations'!$S$2:$S$4001,'All Donations'!$R$2:$R$4001,$AD643,'All Donations'!$T$2:$T$4001,I$1))</f>
        <v/>
      </c>
      <c r="J643" s="49">
        <f>IF(OR($AE643&lt;&gt;1,J$1=""),"",SUMIFS('All Donations'!$S$2:$S$4001,'All Donations'!$R$2:$R$4001,$AD643,'All Donations'!$T$2:$T$4001,J$1))</f>
        <v/>
      </c>
      <c r="K643" s="49">
        <f>IF(OR($AE643&lt;&gt;1,K$1=""),"",SUMIFS('All Donations'!$S$2:$S$4001,'All Donations'!$R$2:$R$4001,$AD643,'All Donations'!$T$2:$T$4001,K$1))</f>
        <v/>
      </c>
      <c r="L643" s="49">
        <f>IF(OR($AE643&lt;&gt;1,L$1=""),"",SUMIFS('All Donations'!$S$2:$S$4001,'All Donations'!$R$2:$R$4001,$AD643,'All Donations'!$T$2:$T$4001,L$1))</f>
        <v/>
      </c>
      <c r="M643" s="49">
        <f>IF(OR($AE643&lt;&gt;1,M$1=""),"",SUMIFS('All Donations'!$S$2:$S$4001,'All Donations'!$R$2:$R$4001,$AD643,'All Donations'!$T$2:$T$4001,M$1))</f>
        <v/>
      </c>
      <c r="N643" s="49">
        <f>IF(OR($AE643&lt;&gt;1,N$1=""),"",SUMIFS('All Donations'!$S$2:$S$4001,'All Donations'!$R$2:$R$4001,$AD643,'All Donations'!$T$2:$T$4001,N$1))</f>
        <v/>
      </c>
      <c r="O643" s="49">
        <f>IF(OR($AE643&lt;&gt;1,O$1=""),"",SUMIFS('All Donations'!$S$2:$S$4001,'All Donations'!$R$2:$R$4001,$AD643,'All Donations'!$T$2:$T$4001,O$1))</f>
        <v/>
      </c>
      <c r="P643" s="49">
        <f>IF(OR($AE643&lt;&gt;1,P$1=""),"",SUMIFS('All Donations'!$S$2:$S$4001,'All Donations'!$R$2:$R$4001,$AD643,'All Donations'!$T$2:$T$4001,P$1))</f>
        <v/>
      </c>
      <c r="Q643" s="49">
        <f>IF(OR($AE643&lt;&gt;1,Q$1=""),"",SUMIFS('All Donations'!$S$2:$S$4001,'All Donations'!$R$2:$R$4001,$AD643,'All Donations'!$T$2:$T$4001,Q$1))</f>
        <v/>
      </c>
      <c r="R643" s="49">
        <f>IF(OR($AE643&lt;&gt;1,R$1=""),"",SUMIFS('All Donations'!$S$2:$S$4001,'All Donations'!$R$2:$R$4001,$AD643,'All Donations'!$T$2:$T$4001,R$1))</f>
        <v/>
      </c>
      <c r="S643" s="49">
        <f>IF(OR($AE643&lt;&gt;1,S$1=""),"",SUMIFS('All Donations'!$S$2:$S$4001,'All Donations'!$R$2:$R$4001,$AD643,'All Donations'!$T$2:$T$4001,S$1))</f>
        <v/>
      </c>
      <c r="T643" s="49">
        <f>IF(OR($AE643&lt;&gt;1,T$1=""),"",SUMIFS('All Donations'!$S$2:$S$4001,'All Donations'!$R$2:$R$4001,$AD643,'All Donations'!$T$2:$T$4001,T$1))</f>
        <v/>
      </c>
      <c r="U643" s="49">
        <f>IF(OR($AE643&lt;&gt;1,U$1=""),"",SUMIFS('All Donations'!$S$2:$S$4001,'All Donations'!$R$2:$R$4001,$AD643,'All Donations'!$T$2:$T$4001,U$1))</f>
        <v/>
      </c>
      <c r="V643" s="49">
        <f>IF(OR($AE643&lt;&gt;1,V$1=""),"",SUMIFS('All Donations'!$S$2:$S$4001,'All Donations'!$R$2:$R$4001,$AD643,'All Donations'!$T$2:$T$4001,V$1))</f>
        <v/>
      </c>
      <c r="W643" s="49">
        <f>IF(OR($AE643&lt;&gt;1,W$1=""),"",SUMIFS('All Donations'!$S$2:$S$4001,'All Donations'!$R$2:$R$4001,$AD643,'All Donations'!$T$2:$T$4001,W$1))</f>
        <v/>
      </c>
      <c r="X643" s="49">
        <f>IF(OR($AE643&lt;&gt;1,X$1=""),"",SUMIFS('All Donations'!$S$2:$S$4001,'All Donations'!$R$2:$R$4001,$AD643,'All Donations'!$T$2:$T$4001,X$1))</f>
        <v/>
      </c>
      <c r="Y643" s="49">
        <f>IF(OR($AE643&lt;&gt;1,Y$1=""),"",SUMIFS('All Donations'!$S$2:$S$4001,'All Donations'!$R$2:$R$4001,$AD643,'All Donations'!$T$2:$T$4001,Y$1))</f>
        <v/>
      </c>
      <c r="Z643" s="49">
        <f>IF(OR($AE643&lt;&gt;1,Z$1=""),"",SUMIFS('All Donations'!$S$2:$S$4001,'All Donations'!$R$2:$R$4001,$AD643,'All Donations'!$T$2:$T$4001,Z$1))</f>
        <v/>
      </c>
      <c r="AA643" s="49">
        <f>IF(OR($AE643&lt;&gt;1,AA$1=""),"",SUMIFS('All Donations'!$S$2:$S$4001,'All Donations'!$R$2:$R$4001,$AD643,'All Donations'!$T$2:$T$4001,AA$1))</f>
        <v/>
      </c>
      <c r="AB643" s="49">
        <f>IF(OR($AE643&lt;&gt;1,AB$1=""),"",SUMIFS('All Donations'!$S$2:$S$4001,'All Donations'!$R$2:$R$4001,$AD643,'All Donations'!$T$2:$T$4001,AB$1))</f>
        <v/>
      </c>
      <c r="AC643" s="49">
        <f>IF(OR($AE643&lt;&gt;1,AC$1=""),"",SUMIFS('All Donations'!$S$2:$S$4001,'All Donations'!$R$2:$R$4001,$AD643,'All Donations'!$T$2:$T$4001,AC$1))</f>
        <v/>
      </c>
      <c r="AD643">
        <f>IF(AE643=1,'Roster'!A643,"")</f>
        <v/>
      </c>
      <c r="AE643">
        <f>IF(TRIM('Roster'!B643&amp;'Roster'!C643)&lt;&gt;"",1,0)</f>
        <v/>
      </c>
      <c r="AF643">
        <f>IF(AE643=1,LOWER(A643),"#")</f>
        <v/>
      </c>
      <c r="AG643">
        <f>IF(AE643=1,LOWER(TRIM(TRIM('Roster'!C643)&amp;", "&amp;TRIM('Roster'!B643))),"#")</f>
        <v/>
      </c>
      <c r="AH643">
        <f>IF(AND(AE643=1,TRIM('Roster'!F643)&lt;&gt;""),LOWER(TRIM('Roster'!F643)),"#")</f>
        <v/>
      </c>
      <c r="AI643">
        <f>IF(AE643=1,IF(MATCH(B643,$B$2:$B$701,0)=ROW()-1,1,0),0)</f>
        <v/>
      </c>
      <c r="AJ643">
        <f>AJ642+AI643</f>
        <v/>
      </c>
      <c r="AK643">
        <f>IF(AE643=1,D643+(1000-ROW())/10^7,-1)</f>
        <v/>
      </c>
      <c r="AL643">
        <f>IF(AE643=1,TRIM('Roster'!B643)&amp;" "&amp;LEFT(TRIM('Roster'!C643),1)&amp;".","")</f>
        <v/>
      </c>
      <c r="AM643">
        <f>IF(AE643=1,TRIM('Roster'!C643)&amp;", "&amp;TRIM('Roster'!B643)&amp;" ("&amp;B643&amp;") #"&amp;AD643,"")</f>
        <v/>
      </c>
      <c r="AN643">
        <f>IF(AE643=1,TRIM('Roster'!E643),"")</f>
        <v/>
      </c>
      <c r="AO643">
        <f>IF(AE643=1,ROUND(SUMIFS('All Donations'!$S$2:$S$4001,'All Donations'!$R$2:$R$4001,AD643,'All Donations'!$T$2:$T$4001,"&gt;="&amp;'Settings'!$C$23,'All Donations'!$T$2:$T$4001,"&lt;="&amp;'Settings'!$D$23),2),0)</f>
        <v/>
      </c>
      <c r="AQ643">
        <f>IF(AE643=1,ROUND(SUMIFS('All Donations'!$S$2:$S$4001,'All Donations'!$R$2:$R$4001,AD643,'All Donations'!$T$2:$T$4001,"&gt;="&amp;'Settings'!$C$25,'All Donations'!$T$2:$T$4001,"&lt;="&amp;'Settings'!$D$25),2),0)</f>
        <v/>
      </c>
      <c r="AR643">
        <f>IF(AE643=1,ROUND(SUMIFS('All Donations'!$S$2:$S$4001,'All Donations'!$R$2:$R$4001,AD643,'All Donations'!$T$2:$T$4001,"&gt;="&amp;'Settings'!$C$26,'All Donations'!$T$2:$T$4001,"&lt;="&amp;'Settings'!$D$26),2),0)</f>
        <v/>
      </c>
      <c r="AS643">
        <f>IF(AE643=1,ROUND(SUMIFS('All Donations'!$S$2:$S$4001,'All Donations'!$R$2:$R$4001,AD643,'All Donations'!$T$2:$T$4001,"&lt;="&amp;'Settings'!$D$27),2),0)</f>
        <v/>
      </c>
      <c r="AT643">
        <f>IF(AE643=1,ROUND(SUMIFS('All Donations'!$S$2:$S$4001,'All Donations'!$R$2:$R$4001,AD643,'All Donations'!$T$2:$T$4001,"&gt;="&amp;'Settings'!$C$28,'All Donations'!$T$2:$T$4001,"&lt;="&amp;'Settings'!$D$28),2),0)</f>
        <v/>
      </c>
      <c r="AU643">
        <f>IF(AE643=1,ROUND(SUMIFS('All Donations'!$S$2:$S$4001,'All Donations'!$R$2:$R$4001,AD643,'All Donations'!$T$2:$T$4001,"&gt;="&amp;'Settings'!$C$29,'All Donations'!$T$2:$T$4001,"&lt;="&amp;'Settings'!$D$29),2),0)</f>
        <v/>
      </c>
      <c r="AV643">
        <f>IF(AE643=1,ROUND(SUMIFS('All Donations'!$S$2:$S$4001,'All Donations'!$R$2:$R$4001,AD643,'All Donations'!$T$2:$T$4001,"&lt;="&amp;'Settings'!$D$30),2),0)</f>
        <v/>
      </c>
      <c r="AZ643">
        <f>IF(AE643=1,ROUND(SUMIFS('All Donations'!$S$2:$S$4001,'All Donations'!$R$2:$R$4001,AD643,'All Donations'!$T$2:$T$4001,"&lt;="&amp;'Settings'!$D$34),2),0)</f>
        <v/>
      </c>
    </row>
    <row r="644">
      <c r="A644">
        <f>IF(AE644=1,TRIM(TRIM('Roster'!B644)&amp;" "&amp;TRIM('Roster'!C644)),"")</f>
        <v/>
      </c>
      <c r="B644">
        <f>IF(AE644=1,IF(AN644="","(no teacher)",AN644&amp;" – "&amp;C644),"")</f>
        <v/>
      </c>
      <c r="C644">
        <f>IF(AE644=1,TRIM('Roster'!D644&amp;""),"")</f>
        <v/>
      </c>
      <c r="D644" s="48">
        <f>IF(AE644=1,ROUND(SUMIFS('All Donations'!$S$2:$S$4001,'All Donations'!$R$2:$R$4001,AD644),2),"")</f>
        <v/>
      </c>
      <c r="E644" s="48">
        <f>IF(AE644=1,ROUND(SUMIFS('All Donations'!$S$2:$S$4001,'All Donations'!$R$2:$R$4001,AD644,'All Donations'!$G$2:$G$4001,"OneCause"),2),"")</f>
        <v/>
      </c>
      <c r="F644" s="48">
        <f>IF(AE644=1,D644-E644,"")</f>
        <v/>
      </c>
      <c r="G644">
        <f>IF(AE644=1,COUNTIFS('All Donations'!$R$2:$R$4001,AD644,'All Donations'!$H$2:$H$4001,"OK"),"")</f>
        <v/>
      </c>
      <c r="H644">
        <f>IF(AE644&lt;&gt;1,"",IF(D644&gt;0,"Yes",""))</f>
        <v/>
      </c>
      <c r="I644" s="49">
        <f>IF(OR($AE644&lt;&gt;1,I$1=""),"",SUMIFS('All Donations'!$S$2:$S$4001,'All Donations'!$R$2:$R$4001,$AD644,'All Donations'!$T$2:$T$4001,I$1))</f>
        <v/>
      </c>
      <c r="J644" s="49">
        <f>IF(OR($AE644&lt;&gt;1,J$1=""),"",SUMIFS('All Donations'!$S$2:$S$4001,'All Donations'!$R$2:$R$4001,$AD644,'All Donations'!$T$2:$T$4001,J$1))</f>
        <v/>
      </c>
      <c r="K644" s="49">
        <f>IF(OR($AE644&lt;&gt;1,K$1=""),"",SUMIFS('All Donations'!$S$2:$S$4001,'All Donations'!$R$2:$R$4001,$AD644,'All Donations'!$T$2:$T$4001,K$1))</f>
        <v/>
      </c>
      <c r="L644" s="49">
        <f>IF(OR($AE644&lt;&gt;1,L$1=""),"",SUMIFS('All Donations'!$S$2:$S$4001,'All Donations'!$R$2:$R$4001,$AD644,'All Donations'!$T$2:$T$4001,L$1))</f>
        <v/>
      </c>
      <c r="M644" s="49">
        <f>IF(OR($AE644&lt;&gt;1,M$1=""),"",SUMIFS('All Donations'!$S$2:$S$4001,'All Donations'!$R$2:$R$4001,$AD644,'All Donations'!$T$2:$T$4001,M$1))</f>
        <v/>
      </c>
      <c r="N644" s="49">
        <f>IF(OR($AE644&lt;&gt;1,N$1=""),"",SUMIFS('All Donations'!$S$2:$S$4001,'All Donations'!$R$2:$R$4001,$AD644,'All Donations'!$T$2:$T$4001,N$1))</f>
        <v/>
      </c>
      <c r="O644" s="49">
        <f>IF(OR($AE644&lt;&gt;1,O$1=""),"",SUMIFS('All Donations'!$S$2:$S$4001,'All Donations'!$R$2:$R$4001,$AD644,'All Donations'!$T$2:$T$4001,O$1))</f>
        <v/>
      </c>
      <c r="P644" s="49">
        <f>IF(OR($AE644&lt;&gt;1,P$1=""),"",SUMIFS('All Donations'!$S$2:$S$4001,'All Donations'!$R$2:$R$4001,$AD644,'All Donations'!$T$2:$T$4001,P$1))</f>
        <v/>
      </c>
      <c r="Q644" s="49">
        <f>IF(OR($AE644&lt;&gt;1,Q$1=""),"",SUMIFS('All Donations'!$S$2:$S$4001,'All Donations'!$R$2:$R$4001,$AD644,'All Donations'!$T$2:$T$4001,Q$1))</f>
        <v/>
      </c>
      <c r="R644" s="49">
        <f>IF(OR($AE644&lt;&gt;1,R$1=""),"",SUMIFS('All Donations'!$S$2:$S$4001,'All Donations'!$R$2:$R$4001,$AD644,'All Donations'!$T$2:$T$4001,R$1))</f>
        <v/>
      </c>
      <c r="S644" s="49">
        <f>IF(OR($AE644&lt;&gt;1,S$1=""),"",SUMIFS('All Donations'!$S$2:$S$4001,'All Donations'!$R$2:$R$4001,$AD644,'All Donations'!$T$2:$T$4001,S$1))</f>
        <v/>
      </c>
      <c r="T644" s="49">
        <f>IF(OR($AE644&lt;&gt;1,T$1=""),"",SUMIFS('All Donations'!$S$2:$S$4001,'All Donations'!$R$2:$R$4001,$AD644,'All Donations'!$T$2:$T$4001,T$1))</f>
        <v/>
      </c>
      <c r="U644" s="49">
        <f>IF(OR($AE644&lt;&gt;1,U$1=""),"",SUMIFS('All Donations'!$S$2:$S$4001,'All Donations'!$R$2:$R$4001,$AD644,'All Donations'!$T$2:$T$4001,U$1))</f>
        <v/>
      </c>
      <c r="V644" s="49">
        <f>IF(OR($AE644&lt;&gt;1,V$1=""),"",SUMIFS('All Donations'!$S$2:$S$4001,'All Donations'!$R$2:$R$4001,$AD644,'All Donations'!$T$2:$T$4001,V$1))</f>
        <v/>
      </c>
      <c r="W644" s="49">
        <f>IF(OR($AE644&lt;&gt;1,W$1=""),"",SUMIFS('All Donations'!$S$2:$S$4001,'All Donations'!$R$2:$R$4001,$AD644,'All Donations'!$T$2:$T$4001,W$1))</f>
        <v/>
      </c>
      <c r="X644" s="49">
        <f>IF(OR($AE644&lt;&gt;1,X$1=""),"",SUMIFS('All Donations'!$S$2:$S$4001,'All Donations'!$R$2:$R$4001,$AD644,'All Donations'!$T$2:$T$4001,X$1))</f>
        <v/>
      </c>
      <c r="Y644" s="49">
        <f>IF(OR($AE644&lt;&gt;1,Y$1=""),"",SUMIFS('All Donations'!$S$2:$S$4001,'All Donations'!$R$2:$R$4001,$AD644,'All Donations'!$T$2:$T$4001,Y$1))</f>
        <v/>
      </c>
      <c r="Z644" s="49">
        <f>IF(OR($AE644&lt;&gt;1,Z$1=""),"",SUMIFS('All Donations'!$S$2:$S$4001,'All Donations'!$R$2:$R$4001,$AD644,'All Donations'!$T$2:$T$4001,Z$1))</f>
        <v/>
      </c>
      <c r="AA644" s="49">
        <f>IF(OR($AE644&lt;&gt;1,AA$1=""),"",SUMIFS('All Donations'!$S$2:$S$4001,'All Donations'!$R$2:$R$4001,$AD644,'All Donations'!$T$2:$T$4001,AA$1))</f>
        <v/>
      </c>
      <c r="AB644" s="49">
        <f>IF(OR($AE644&lt;&gt;1,AB$1=""),"",SUMIFS('All Donations'!$S$2:$S$4001,'All Donations'!$R$2:$R$4001,$AD644,'All Donations'!$T$2:$T$4001,AB$1))</f>
        <v/>
      </c>
      <c r="AC644" s="49">
        <f>IF(OR($AE644&lt;&gt;1,AC$1=""),"",SUMIFS('All Donations'!$S$2:$S$4001,'All Donations'!$R$2:$R$4001,$AD644,'All Donations'!$T$2:$T$4001,AC$1))</f>
        <v/>
      </c>
      <c r="AD644">
        <f>IF(AE644=1,'Roster'!A644,"")</f>
        <v/>
      </c>
      <c r="AE644">
        <f>IF(TRIM('Roster'!B644&amp;'Roster'!C644)&lt;&gt;"",1,0)</f>
        <v/>
      </c>
      <c r="AF644">
        <f>IF(AE644=1,LOWER(A644),"#")</f>
        <v/>
      </c>
      <c r="AG644">
        <f>IF(AE644=1,LOWER(TRIM(TRIM('Roster'!C644)&amp;", "&amp;TRIM('Roster'!B644))),"#")</f>
        <v/>
      </c>
      <c r="AH644">
        <f>IF(AND(AE644=1,TRIM('Roster'!F644)&lt;&gt;""),LOWER(TRIM('Roster'!F644)),"#")</f>
        <v/>
      </c>
      <c r="AI644">
        <f>IF(AE644=1,IF(MATCH(B644,$B$2:$B$701,0)=ROW()-1,1,0),0)</f>
        <v/>
      </c>
      <c r="AJ644">
        <f>AJ643+AI644</f>
        <v/>
      </c>
      <c r="AK644">
        <f>IF(AE644=1,D644+(1000-ROW())/10^7,-1)</f>
        <v/>
      </c>
      <c r="AL644">
        <f>IF(AE644=1,TRIM('Roster'!B644)&amp;" "&amp;LEFT(TRIM('Roster'!C644),1)&amp;".","")</f>
        <v/>
      </c>
      <c r="AM644">
        <f>IF(AE644=1,TRIM('Roster'!C644)&amp;", "&amp;TRIM('Roster'!B644)&amp;" ("&amp;B644&amp;") #"&amp;AD644,"")</f>
        <v/>
      </c>
      <c r="AN644">
        <f>IF(AE644=1,TRIM('Roster'!E644),"")</f>
        <v/>
      </c>
      <c r="AO644">
        <f>IF(AE644=1,ROUND(SUMIFS('All Donations'!$S$2:$S$4001,'All Donations'!$R$2:$R$4001,AD644,'All Donations'!$T$2:$T$4001,"&gt;="&amp;'Settings'!$C$23,'All Donations'!$T$2:$T$4001,"&lt;="&amp;'Settings'!$D$23),2),0)</f>
        <v/>
      </c>
      <c r="AQ644">
        <f>IF(AE644=1,ROUND(SUMIFS('All Donations'!$S$2:$S$4001,'All Donations'!$R$2:$R$4001,AD644,'All Donations'!$T$2:$T$4001,"&gt;="&amp;'Settings'!$C$25,'All Donations'!$T$2:$T$4001,"&lt;="&amp;'Settings'!$D$25),2),0)</f>
        <v/>
      </c>
      <c r="AR644">
        <f>IF(AE644=1,ROUND(SUMIFS('All Donations'!$S$2:$S$4001,'All Donations'!$R$2:$R$4001,AD644,'All Donations'!$T$2:$T$4001,"&gt;="&amp;'Settings'!$C$26,'All Donations'!$T$2:$T$4001,"&lt;="&amp;'Settings'!$D$26),2),0)</f>
        <v/>
      </c>
      <c r="AS644">
        <f>IF(AE644=1,ROUND(SUMIFS('All Donations'!$S$2:$S$4001,'All Donations'!$R$2:$R$4001,AD644,'All Donations'!$T$2:$T$4001,"&lt;="&amp;'Settings'!$D$27),2),0)</f>
        <v/>
      </c>
      <c r="AT644">
        <f>IF(AE644=1,ROUND(SUMIFS('All Donations'!$S$2:$S$4001,'All Donations'!$R$2:$R$4001,AD644,'All Donations'!$T$2:$T$4001,"&gt;="&amp;'Settings'!$C$28,'All Donations'!$T$2:$T$4001,"&lt;="&amp;'Settings'!$D$28),2),0)</f>
        <v/>
      </c>
      <c r="AU644">
        <f>IF(AE644=1,ROUND(SUMIFS('All Donations'!$S$2:$S$4001,'All Donations'!$R$2:$R$4001,AD644,'All Donations'!$T$2:$T$4001,"&gt;="&amp;'Settings'!$C$29,'All Donations'!$T$2:$T$4001,"&lt;="&amp;'Settings'!$D$29),2),0)</f>
        <v/>
      </c>
      <c r="AV644">
        <f>IF(AE644=1,ROUND(SUMIFS('All Donations'!$S$2:$S$4001,'All Donations'!$R$2:$R$4001,AD644,'All Donations'!$T$2:$T$4001,"&lt;="&amp;'Settings'!$D$30),2),0)</f>
        <v/>
      </c>
      <c r="AZ644">
        <f>IF(AE644=1,ROUND(SUMIFS('All Donations'!$S$2:$S$4001,'All Donations'!$R$2:$R$4001,AD644,'All Donations'!$T$2:$T$4001,"&lt;="&amp;'Settings'!$D$34),2),0)</f>
        <v/>
      </c>
    </row>
    <row r="645">
      <c r="A645">
        <f>IF(AE645=1,TRIM(TRIM('Roster'!B645)&amp;" "&amp;TRIM('Roster'!C645)),"")</f>
        <v/>
      </c>
      <c r="B645">
        <f>IF(AE645=1,IF(AN645="","(no teacher)",AN645&amp;" – "&amp;C645),"")</f>
        <v/>
      </c>
      <c r="C645">
        <f>IF(AE645=1,TRIM('Roster'!D645&amp;""),"")</f>
        <v/>
      </c>
      <c r="D645" s="48">
        <f>IF(AE645=1,ROUND(SUMIFS('All Donations'!$S$2:$S$4001,'All Donations'!$R$2:$R$4001,AD645),2),"")</f>
        <v/>
      </c>
      <c r="E645" s="48">
        <f>IF(AE645=1,ROUND(SUMIFS('All Donations'!$S$2:$S$4001,'All Donations'!$R$2:$R$4001,AD645,'All Donations'!$G$2:$G$4001,"OneCause"),2),"")</f>
        <v/>
      </c>
      <c r="F645" s="48">
        <f>IF(AE645=1,D645-E645,"")</f>
        <v/>
      </c>
      <c r="G645">
        <f>IF(AE645=1,COUNTIFS('All Donations'!$R$2:$R$4001,AD645,'All Donations'!$H$2:$H$4001,"OK"),"")</f>
        <v/>
      </c>
      <c r="H645">
        <f>IF(AE645&lt;&gt;1,"",IF(D645&gt;0,"Yes",""))</f>
        <v/>
      </c>
      <c r="I645" s="49">
        <f>IF(OR($AE645&lt;&gt;1,I$1=""),"",SUMIFS('All Donations'!$S$2:$S$4001,'All Donations'!$R$2:$R$4001,$AD645,'All Donations'!$T$2:$T$4001,I$1))</f>
        <v/>
      </c>
      <c r="J645" s="49">
        <f>IF(OR($AE645&lt;&gt;1,J$1=""),"",SUMIFS('All Donations'!$S$2:$S$4001,'All Donations'!$R$2:$R$4001,$AD645,'All Donations'!$T$2:$T$4001,J$1))</f>
        <v/>
      </c>
      <c r="K645" s="49">
        <f>IF(OR($AE645&lt;&gt;1,K$1=""),"",SUMIFS('All Donations'!$S$2:$S$4001,'All Donations'!$R$2:$R$4001,$AD645,'All Donations'!$T$2:$T$4001,K$1))</f>
        <v/>
      </c>
      <c r="L645" s="49">
        <f>IF(OR($AE645&lt;&gt;1,L$1=""),"",SUMIFS('All Donations'!$S$2:$S$4001,'All Donations'!$R$2:$R$4001,$AD645,'All Donations'!$T$2:$T$4001,L$1))</f>
        <v/>
      </c>
      <c r="M645" s="49">
        <f>IF(OR($AE645&lt;&gt;1,M$1=""),"",SUMIFS('All Donations'!$S$2:$S$4001,'All Donations'!$R$2:$R$4001,$AD645,'All Donations'!$T$2:$T$4001,M$1))</f>
        <v/>
      </c>
      <c r="N645" s="49">
        <f>IF(OR($AE645&lt;&gt;1,N$1=""),"",SUMIFS('All Donations'!$S$2:$S$4001,'All Donations'!$R$2:$R$4001,$AD645,'All Donations'!$T$2:$T$4001,N$1))</f>
        <v/>
      </c>
      <c r="O645" s="49">
        <f>IF(OR($AE645&lt;&gt;1,O$1=""),"",SUMIFS('All Donations'!$S$2:$S$4001,'All Donations'!$R$2:$R$4001,$AD645,'All Donations'!$T$2:$T$4001,O$1))</f>
        <v/>
      </c>
      <c r="P645" s="49">
        <f>IF(OR($AE645&lt;&gt;1,P$1=""),"",SUMIFS('All Donations'!$S$2:$S$4001,'All Donations'!$R$2:$R$4001,$AD645,'All Donations'!$T$2:$T$4001,P$1))</f>
        <v/>
      </c>
      <c r="Q645" s="49">
        <f>IF(OR($AE645&lt;&gt;1,Q$1=""),"",SUMIFS('All Donations'!$S$2:$S$4001,'All Donations'!$R$2:$R$4001,$AD645,'All Donations'!$T$2:$T$4001,Q$1))</f>
        <v/>
      </c>
      <c r="R645" s="49">
        <f>IF(OR($AE645&lt;&gt;1,R$1=""),"",SUMIFS('All Donations'!$S$2:$S$4001,'All Donations'!$R$2:$R$4001,$AD645,'All Donations'!$T$2:$T$4001,R$1))</f>
        <v/>
      </c>
      <c r="S645" s="49">
        <f>IF(OR($AE645&lt;&gt;1,S$1=""),"",SUMIFS('All Donations'!$S$2:$S$4001,'All Donations'!$R$2:$R$4001,$AD645,'All Donations'!$T$2:$T$4001,S$1))</f>
        <v/>
      </c>
      <c r="T645" s="49">
        <f>IF(OR($AE645&lt;&gt;1,T$1=""),"",SUMIFS('All Donations'!$S$2:$S$4001,'All Donations'!$R$2:$R$4001,$AD645,'All Donations'!$T$2:$T$4001,T$1))</f>
        <v/>
      </c>
      <c r="U645" s="49">
        <f>IF(OR($AE645&lt;&gt;1,U$1=""),"",SUMIFS('All Donations'!$S$2:$S$4001,'All Donations'!$R$2:$R$4001,$AD645,'All Donations'!$T$2:$T$4001,U$1))</f>
        <v/>
      </c>
      <c r="V645" s="49">
        <f>IF(OR($AE645&lt;&gt;1,V$1=""),"",SUMIFS('All Donations'!$S$2:$S$4001,'All Donations'!$R$2:$R$4001,$AD645,'All Donations'!$T$2:$T$4001,V$1))</f>
        <v/>
      </c>
      <c r="W645" s="49">
        <f>IF(OR($AE645&lt;&gt;1,W$1=""),"",SUMIFS('All Donations'!$S$2:$S$4001,'All Donations'!$R$2:$R$4001,$AD645,'All Donations'!$T$2:$T$4001,W$1))</f>
        <v/>
      </c>
      <c r="X645" s="49">
        <f>IF(OR($AE645&lt;&gt;1,X$1=""),"",SUMIFS('All Donations'!$S$2:$S$4001,'All Donations'!$R$2:$R$4001,$AD645,'All Donations'!$T$2:$T$4001,X$1))</f>
        <v/>
      </c>
      <c r="Y645" s="49">
        <f>IF(OR($AE645&lt;&gt;1,Y$1=""),"",SUMIFS('All Donations'!$S$2:$S$4001,'All Donations'!$R$2:$R$4001,$AD645,'All Donations'!$T$2:$T$4001,Y$1))</f>
        <v/>
      </c>
      <c r="Z645" s="49">
        <f>IF(OR($AE645&lt;&gt;1,Z$1=""),"",SUMIFS('All Donations'!$S$2:$S$4001,'All Donations'!$R$2:$R$4001,$AD645,'All Donations'!$T$2:$T$4001,Z$1))</f>
        <v/>
      </c>
      <c r="AA645" s="49">
        <f>IF(OR($AE645&lt;&gt;1,AA$1=""),"",SUMIFS('All Donations'!$S$2:$S$4001,'All Donations'!$R$2:$R$4001,$AD645,'All Donations'!$T$2:$T$4001,AA$1))</f>
        <v/>
      </c>
      <c r="AB645" s="49">
        <f>IF(OR($AE645&lt;&gt;1,AB$1=""),"",SUMIFS('All Donations'!$S$2:$S$4001,'All Donations'!$R$2:$R$4001,$AD645,'All Donations'!$T$2:$T$4001,AB$1))</f>
        <v/>
      </c>
      <c r="AC645" s="49">
        <f>IF(OR($AE645&lt;&gt;1,AC$1=""),"",SUMIFS('All Donations'!$S$2:$S$4001,'All Donations'!$R$2:$R$4001,$AD645,'All Donations'!$T$2:$T$4001,AC$1))</f>
        <v/>
      </c>
      <c r="AD645">
        <f>IF(AE645=1,'Roster'!A645,"")</f>
        <v/>
      </c>
      <c r="AE645">
        <f>IF(TRIM('Roster'!B645&amp;'Roster'!C645)&lt;&gt;"",1,0)</f>
        <v/>
      </c>
      <c r="AF645">
        <f>IF(AE645=1,LOWER(A645),"#")</f>
        <v/>
      </c>
      <c r="AG645">
        <f>IF(AE645=1,LOWER(TRIM(TRIM('Roster'!C645)&amp;", "&amp;TRIM('Roster'!B645))),"#")</f>
        <v/>
      </c>
      <c r="AH645">
        <f>IF(AND(AE645=1,TRIM('Roster'!F645)&lt;&gt;""),LOWER(TRIM('Roster'!F645)),"#")</f>
        <v/>
      </c>
      <c r="AI645">
        <f>IF(AE645=1,IF(MATCH(B645,$B$2:$B$701,0)=ROW()-1,1,0),0)</f>
        <v/>
      </c>
      <c r="AJ645">
        <f>AJ644+AI645</f>
        <v/>
      </c>
      <c r="AK645">
        <f>IF(AE645=1,D645+(1000-ROW())/10^7,-1)</f>
        <v/>
      </c>
      <c r="AL645">
        <f>IF(AE645=1,TRIM('Roster'!B645)&amp;" "&amp;LEFT(TRIM('Roster'!C645),1)&amp;".","")</f>
        <v/>
      </c>
      <c r="AM645">
        <f>IF(AE645=1,TRIM('Roster'!C645)&amp;", "&amp;TRIM('Roster'!B645)&amp;" ("&amp;B645&amp;") #"&amp;AD645,"")</f>
        <v/>
      </c>
      <c r="AN645">
        <f>IF(AE645=1,TRIM('Roster'!E645),"")</f>
        <v/>
      </c>
      <c r="AO645">
        <f>IF(AE645=1,ROUND(SUMIFS('All Donations'!$S$2:$S$4001,'All Donations'!$R$2:$R$4001,AD645,'All Donations'!$T$2:$T$4001,"&gt;="&amp;'Settings'!$C$23,'All Donations'!$T$2:$T$4001,"&lt;="&amp;'Settings'!$D$23),2),0)</f>
        <v/>
      </c>
      <c r="AQ645">
        <f>IF(AE645=1,ROUND(SUMIFS('All Donations'!$S$2:$S$4001,'All Donations'!$R$2:$R$4001,AD645,'All Donations'!$T$2:$T$4001,"&gt;="&amp;'Settings'!$C$25,'All Donations'!$T$2:$T$4001,"&lt;="&amp;'Settings'!$D$25),2),0)</f>
        <v/>
      </c>
      <c r="AR645">
        <f>IF(AE645=1,ROUND(SUMIFS('All Donations'!$S$2:$S$4001,'All Donations'!$R$2:$R$4001,AD645,'All Donations'!$T$2:$T$4001,"&gt;="&amp;'Settings'!$C$26,'All Donations'!$T$2:$T$4001,"&lt;="&amp;'Settings'!$D$26),2),0)</f>
        <v/>
      </c>
      <c r="AS645">
        <f>IF(AE645=1,ROUND(SUMIFS('All Donations'!$S$2:$S$4001,'All Donations'!$R$2:$R$4001,AD645,'All Donations'!$T$2:$T$4001,"&lt;="&amp;'Settings'!$D$27),2),0)</f>
        <v/>
      </c>
      <c r="AT645">
        <f>IF(AE645=1,ROUND(SUMIFS('All Donations'!$S$2:$S$4001,'All Donations'!$R$2:$R$4001,AD645,'All Donations'!$T$2:$T$4001,"&gt;="&amp;'Settings'!$C$28,'All Donations'!$T$2:$T$4001,"&lt;="&amp;'Settings'!$D$28),2),0)</f>
        <v/>
      </c>
      <c r="AU645">
        <f>IF(AE645=1,ROUND(SUMIFS('All Donations'!$S$2:$S$4001,'All Donations'!$R$2:$R$4001,AD645,'All Donations'!$T$2:$T$4001,"&gt;="&amp;'Settings'!$C$29,'All Donations'!$T$2:$T$4001,"&lt;="&amp;'Settings'!$D$29),2),0)</f>
        <v/>
      </c>
      <c r="AV645">
        <f>IF(AE645=1,ROUND(SUMIFS('All Donations'!$S$2:$S$4001,'All Donations'!$R$2:$R$4001,AD645,'All Donations'!$T$2:$T$4001,"&lt;="&amp;'Settings'!$D$30),2),0)</f>
        <v/>
      </c>
      <c r="AZ645">
        <f>IF(AE645=1,ROUND(SUMIFS('All Donations'!$S$2:$S$4001,'All Donations'!$R$2:$R$4001,AD645,'All Donations'!$T$2:$T$4001,"&lt;="&amp;'Settings'!$D$34),2),0)</f>
        <v/>
      </c>
    </row>
    <row r="646">
      <c r="A646">
        <f>IF(AE646=1,TRIM(TRIM('Roster'!B646)&amp;" "&amp;TRIM('Roster'!C646)),"")</f>
        <v/>
      </c>
      <c r="B646">
        <f>IF(AE646=1,IF(AN646="","(no teacher)",AN646&amp;" – "&amp;C646),"")</f>
        <v/>
      </c>
      <c r="C646">
        <f>IF(AE646=1,TRIM('Roster'!D646&amp;""),"")</f>
        <v/>
      </c>
      <c r="D646" s="48">
        <f>IF(AE646=1,ROUND(SUMIFS('All Donations'!$S$2:$S$4001,'All Donations'!$R$2:$R$4001,AD646),2),"")</f>
        <v/>
      </c>
      <c r="E646" s="48">
        <f>IF(AE646=1,ROUND(SUMIFS('All Donations'!$S$2:$S$4001,'All Donations'!$R$2:$R$4001,AD646,'All Donations'!$G$2:$G$4001,"OneCause"),2),"")</f>
        <v/>
      </c>
      <c r="F646" s="48">
        <f>IF(AE646=1,D646-E646,"")</f>
        <v/>
      </c>
      <c r="G646">
        <f>IF(AE646=1,COUNTIFS('All Donations'!$R$2:$R$4001,AD646,'All Donations'!$H$2:$H$4001,"OK"),"")</f>
        <v/>
      </c>
      <c r="H646">
        <f>IF(AE646&lt;&gt;1,"",IF(D646&gt;0,"Yes",""))</f>
        <v/>
      </c>
      <c r="I646" s="49">
        <f>IF(OR($AE646&lt;&gt;1,I$1=""),"",SUMIFS('All Donations'!$S$2:$S$4001,'All Donations'!$R$2:$R$4001,$AD646,'All Donations'!$T$2:$T$4001,I$1))</f>
        <v/>
      </c>
      <c r="J646" s="49">
        <f>IF(OR($AE646&lt;&gt;1,J$1=""),"",SUMIFS('All Donations'!$S$2:$S$4001,'All Donations'!$R$2:$R$4001,$AD646,'All Donations'!$T$2:$T$4001,J$1))</f>
        <v/>
      </c>
      <c r="K646" s="49">
        <f>IF(OR($AE646&lt;&gt;1,K$1=""),"",SUMIFS('All Donations'!$S$2:$S$4001,'All Donations'!$R$2:$R$4001,$AD646,'All Donations'!$T$2:$T$4001,K$1))</f>
        <v/>
      </c>
      <c r="L646" s="49">
        <f>IF(OR($AE646&lt;&gt;1,L$1=""),"",SUMIFS('All Donations'!$S$2:$S$4001,'All Donations'!$R$2:$R$4001,$AD646,'All Donations'!$T$2:$T$4001,L$1))</f>
        <v/>
      </c>
      <c r="M646" s="49">
        <f>IF(OR($AE646&lt;&gt;1,M$1=""),"",SUMIFS('All Donations'!$S$2:$S$4001,'All Donations'!$R$2:$R$4001,$AD646,'All Donations'!$T$2:$T$4001,M$1))</f>
        <v/>
      </c>
      <c r="N646" s="49">
        <f>IF(OR($AE646&lt;&gt;1,N$1=""),"",SUMIFS('All Donations'!$S$2:$S$4001,'All Donations'!$R$2:$R$4001,$AD646,'All Donations'!$T$2:$T$4001,N$1))</f>
        <v/>
      </c>
      <c r="O646" s="49">
        <f>IF(OR($AE646&lt;&gt;1,O$1=""),"",SUMIFS('All Donations'!$S$2:$S$4001,'All Donations'!$R$2:$R$4001,$AD646,'All Donations'!$T$2:$T$4001,O$1))</f>
        <v/>
      </c>
      <c r="P646" s="49">
        <f>IF(OR($AE646&lt;&gt;1,P$1=""),"",SUMIFS('All Donations'!$S$2:$S$4001,'All Donations'!$R$2:$R$4001,$AD646,'All Donations'!$T$2:$T$4001,P$1))</f>
        <v/>
      </c>
      <c r="Q646" s="49">
        <f>IF(OR($AE646&lt;&gt;1,Q$1=""),"",SUMIFS('All Donations'!$S$2:$S$4001,'All Donations'!$R$2:$R$4001,$AD646,'All Donations'!$T$2:$T$4001,Q$1))</f>
        <v/>
      </c>
      <c r="R646" s="49">
        <f>IF(OR($AE646&lt;&gt;1,R$1=""),"",SUMIFS('All Donations'!$S$2:$S$4001,'All Donations'!$R$2:$R$4001,$AD646,'All Donations'!$T$2:$T$4001,R$1))</f>
        <v/>
      </c>
      <c r="S646" s="49">
        <f>IF(OR($AE646&lt;&gt;1,S$1=""),"",SUMIFS('All Donations'!$S$2:$S$4001,'All Donations'!$R$2:$R$4001,$AD646,'All Donations'!$T$2:$T$4001,S$1))</f>
        <v/>
      </c>
      <c r="T646" s="49">
        <f>IF(OR($AE646&lt;&gt;1,T$1=""),"",SUMIFS('All Donations'!$S$2:$S$4001,'All Donations'!$R$2:$R$4001,$AD646,'All Donations'!$T$2:$T$4001,T$1))</f>
        <v/>
      </c>
      <c r="U646" s="49">
        <f>IF(OR($AE646&lt;&gt;1,U$1=""),"",SUMIFS('All Donations'!$S$2:$S$4001,'All Donations'!$R$2:$R$4001,$AD646,'All Donations'!$T$2:$T$4001,U$1))</f>
        <v/>
      </c>
      <c r="V646" s="49">
        <f>IF(OR($AE646&lt;&gt;1,V$1=""),"",SUMIFS('All Donations'!$S$2:$S$4001,'All Donations'!$R$2:$R$4001,$AD646,'All Donations'!$T$2:$T$4001,V$1))</f>
        <v/>
      </c>
      <c r="W646" s="49">
        <f>IF(OR($AE646&lt;&gt;1,W$1=""),"",SUMIFS('All Donations'!$S$2:$S$4001,'All Donations'!$R$2:$R$4001,$AD646,'All Donations'!$T$2:$T$4001,W$1))</f>
        <v/>
      </c>
      <c r="X646" s="49">
        <f>IF(OR($AE646&lt;&gt;1,X$1=""),"",SUMIFS('All Donations'!$S$2:$S$4001,'All Donations'!$R$2:$R$4001,$AD646,'All Donations'!$T$2:$T$4001,X$1))</f>
        <v/>
      </c>
      <c r="Y646" s="49">
        <f>IF(OR($AE646&lt;&gt;1,Y$1=""),"",SUMIFS('All Donations'!$S$2:$S$4001,'All Donations'!$R$2:$R$4001,$AD646,'All Donations'!$T$2:$T$4001,Y$1))</f>
        <v/>
      </c>
      <c r="Z646" s="49">
        <f>IF(OR($AE646&lt;&gt;1,Z$1=""),"",SUMIFS('All Donations'!$S$2:$S$4001,'All Donations'!$R$2:$R$4001,$AD646,'All Donations'!$T$2:$T$4001,Z$1))</f>
        <v/>
      </c>
      <c r="AA646" s="49">
        <f>IF(OR($AE646&lt;&gt;1,AA$1=""),"",SUMIFS('All Donations'!$S$2:$S$4001,'All Donations'!$R$2:$R$4001,$AD646,'All Donations'!$T$2:$T$4001,AA$1))</f>
        <v/>
      </c>
      <c r="AB646" s="49">
        <f>IF(OR($AE646&lt;&gt;1,AB$1=""),"",SUMIFS('All Donations'!$S$2:$S$4001,'All Donations'!$R$2:$R$4001,$AD646,'All Donations'!$T$2:$T$4001,AB$1))</f>
        <v/>
      </c>
      <c r="AC646" s="49">
        <f>IF(OR($AE646&lt;&gt;1,AC$1=""),"",SUMIFS('All Donations'!$S$2:$S$4001,'All Donations'!$R$2:$R$4001,$AD646,'All Donations'!$T$2:$T$4001,AC$1))</f>
        <v/>
      </c>
      <c r="AD646">
        <f>IF(AE646=1,'Roster'!A646,"")</f>
        <v/>
      </c>
      <c r="AE646">
        <f>IF(TRIM('Roster'!B646&amp;'Roster'!C646)&lt;&gt;"",1,0)</f>
        <v/>
      </c>
      <c r="AF646">
        <f>IF(AE646=1,LOWER(A646),"#")</f>
        <v/>
      </c>
      <c r="AG646">
        <f>IF(AE646=1,LOWER(TRIM(TRIM('Roster'!C646)&amp;", "&amp;TRIM('Roster'!B646))),"#")</f>
        <v/>
      </c>
      <c r="AH646">
        <f>IF(AND(AE646=1,TRIM('Roster'!F646)&lt;&gt;""),LOWER(TRIM('Roster'!F646)),"#")</f>
        <v/>
      </c>
      <c r="AI646">
        <f>IF(AE646=1,IF(MATCH(B646,$B$2:$B$701,0)=ROW()-1,1,0),0)</f>
        <v/>
      </c>
      <c r="AJ646">
        <f>AJ645+AI646</f>
        <v/>
      </c>
      <c r="AK646">
        <f>IF(AE646=1,D646+(1000-ROW())/10^7,-1)</f>
        <v/>
      </c>
      <c r="AL646">
        <f>IF(AE646=1,TRIM('Roster'!B646)&amp;" "&amp;LEFT(TRIM('Roster'!C646),1)&amp;".","")</f>
        <v/>
      </c>
      <c r="AM646">
        <f>IF(AE646=1,TRIM('Roster'!C646)&amp;", "&amp;TRIM('Roster'!B646)&amp;" ("&amp;B646&amp;") #"&amp;AD646,"")</f>
        <v/>
      </c>
      <c r="AN646">
        <f>IF(AE646=1,TRIM('Roster'!E646),"")</f>
        <v/>
      </c>
      <c r="AO646">
        <f>IF(AE646=1,ROUND(SUMIFS('All Donations'!$S$2:$S$4001,'All Donations'!$R$2:$R$4001,AD646,'All Donations'!$T$2:$T$4001,"&gt;="&amp;'Settings'!$C$23,'All Donations'!$T$2:$T$4001,"&lt;="&amp;'Settings'!$D$23),2),0)</f>
        <v/>
      </c>
      <c r="AQ646">
        <f>IF(AE646=1,ROUND(SUMIFS('All Donations'!$S$2:$S$4001,'All Donations'!$R$2:$R$4001,AD646,'All Donations'!$T$2:$T$4001,"&gt;="&amp;'Settings'!$C$25,'All Donations'!$T$2:$T$4001,"&lt;="&amp;'Settings'!$D$25),2),0)</f>
        <v/>
      </c>
      <c r="AR646">
        <f>IF(AE646=1,ROUND(SUMIFS('All Donations'!$S$2:$S$4001,'All Donations'!$R$2:$R$4001,AD646,'All Donations'!$T$2:$T$4001,"&gt;="&amp;'Settings'!$C$26,'All Donations'!$T$2:$T$4001,"&lt;="&amp;'Settings'!$D$26),2),0)</f>
        <v/>
      </c>
      <c r="AS646">
        <f>IF(AE646=1,ROUND(SUMIFS('All Donations'!$S$2:$S$4001,'All Donations'!$R$2:$R$4001,AD646,'All Donations'!$T$2:$T$4001,"&lt;="&amp;'Settings'!$D$27),2),0)</f>
        <v/>
      </c>
      <c r="AT646">
        <f>IF(AE646=1,ROUND(SUMIFS('All Donations'!$S$2:$S$4001,'All Donations'!$R$2:$R$4001,AD646,'All Donations'!$T$2:$T$4001,"&gt;="&amp;'Settings'!$C$28,'All Donations'!$T$2:$T$4001,"&lt;="&amp;'Settings'!$D$28),2),0)</f>
        <v/>
      </c>
      <c r="AU646">
        <f>IF(AE646=1,ROUND(SUMIFS('All Donations'!$S$2:$S$4001,'All Donations'!$R$2:$R$4001,AD646,'All Donations'!$T$2:$T$4001,"&gt;="&amp;'Settings'!$C$29,'All Donations'!$T$2:$T$4001,"&lt;="&amp;'Settings'!$D$29),2),0)</f>
        <v/>
      </c>
      <c r="AV646">
        <f>IF(AE646=1,ROUND(SUMIFS('All Donations'!$S$2:$S$4001,'All Donations'!$R$2:$R$4001,AD646,'All Donations'!$T$2:$T$4001,"&lt;="&amp;'Settings'!$D$30),2),0)</f>
        <v/>
      </c>
      <c r="AZ646">
        <f>IF(AE646=1,ROUND(SUMIFS('All Donations'!$S$2:$S$4001,'All Donations'!$R$2:$R$4001,AD646,'All Donations'!$T$2:$T$4001,"&lt;="&amp;'Settings'!$D$34),2),0)</f>
        <v/>
      </c>
    </row>
    <row r="647">
      <c r="A647">
        <f>IF(AE647=1,TRIM(TRIM('Roster'!B647)&amp;" "&amp;TRIM('Roster'!C647)),"")</f>
        <v/>
      </c>
      <c r="B647">
        <f>IF(AE647=1,IF(AN647="","(no teacher)",AN647&amp;" – "&amp;C647),"")</f>
        <v/>
      </c>
      <c r="C647">
        <f>IF(AE647=1,TRIM('Roster'!D647&amp;""),"")</f>
        <v/>
      </c>
      <c r="D647" s="48">
        <f>IF(AE647=1,ROUND(SUMIFS('All Donations'!$S$2:$S$4001,'All Donations'!$R$2:$R$4001,AD647),2),"")</f>
        <v/>
      </c>
      <c r="E647" s="48">
        <f>IF(AE647=1,ROUND(SUMIFS('All Donations'!$S$2:$S$4001,'All Donations'!$R$2:$R$4001,AD647,'All Donations'!$G$2:$G$4001,"OneCause"),2),"")</f>
        <v/>
      </c>
      <c r="F647" s="48">
        <f>IF(AE647=1,D647-E647,"")</f>
        <v/>
      </c>
      <c r="G647">
        <f>IF(AE647=1,COUNTIFS('All Donations'!$R$2:$R$4001,AD647,'All Donations'!$H$2:$H$4001,"OK"),"")</f>
        <v/>
      </c>
      <c r="H647">
        <f>IF(AE647&lt;&gt;1,"",IF(D647&gt;0,"Yes",""))</f>
        <v/>
      </c>
      <c r="I647" s="49">
        <f>IF(OR($AE647&lt;&gt;1,I$1=""),"",SUMIFS('All Donations'!$S$2:$S$4001,'All Donations'!$R$2:$R$4001,$AD647,'All Donations'!$T$2:$T$4001,I$1))</f>
        <v/>
      </c>
      <c r="J647" s="49">
        <f>IF(OR($AE647&lt;&gt;1,J$1=""),"",SUMIFS('All Donations'!$S$2:$S$4001,'All Donations'!$R$2:$R$4001,$AD647,'All Donations'!$T$2:$T$4001,J$1))</f>
        <v/>
      </c>
      <c r="K647" s="49">
        <f>IF(OR($AE647&lt;&gt;1,K$1=""),"",SUMIFS('All Donations'!$S$2:$S$4001,'All Donations'!$R$2:$R$4001,$AD647,'All Donations'!$T$2:$T$4001,K$1))</f>
        <v/>
      </c>
      <c r="L647" s="49">
        <f>IF(OR($AE647&lt;&gt;1,L$1=""),"",SUMIFS('All Donations'!$S$2:$S$4001,'All Donations'!$R$2:$R$4001,$AD647,'All Donations'!$T$2:$T$4001,L$1))</f>
        <v/>
      </c>
      <c r="M647" s="49">
        <f>IF(OR($AE647&lt;&gt;1,M$1=""),"",SUMIFS('All Donations'!$S$2:$S$4001,'All Donations'!$R$2:$R$4001,$AD647,'All Donations'!$T$2:$T$4001,M$1))</f>
        <v/>
      </c>
      <c r="N647" s="49">
        <f>IF(OR($AE647&lt;&gt;1,N$1=""),"",SUMIFS('All Donations'!$S$2:$S$4001,'All Donations'!$R$2:$R$4001,$AD647,'All Donations'!$T$2:$T$4001,N$1))</f>
        <v/>
      </c>
      <c r="O647" s="49">
        <f>IF(OR($AE647&lt;&gt;1,O$1=""),"",SUMIFS('All Donations'!$S$2:$S$4001,'All Donations'!$R$2:$R$4001,$AD647,'All Donations'!$T$2:$T$4001,O$1))</f>
        <v/>
      </c>
      <c r="P647" s="49">
        <f>IF(OR($AE647&lt;&gt;1,P$1=""),"",SUMIFS('All Donations'!$S$2:$S$4001,'All Donations'!$R$2:$R$4001,$AD647,'All Donations'!$T$2:$T$4001,P$1))</f>
        <v/>
      </c>
      <c r="Q647" s="49">
        <f>IF(OR($AE647&lt;&gt;1,Q$1=""),"",SUMIFS('All Donations'!$S$2:$S$4001,'All Donations'!$R$2:$R$4001,$AD647,'All Donations'!$T$2:$T$4001,Q$1))</f>
        <v/>
      </c>
      <c r="R647" s="49">
        <f>IF(OR($AE647&lt;&gt;1,R$1=""),"",SUMIFS('All Donations'!$S$2:$S$4001,'All Donations'!$R$2:$R$4001,$AD647,'All Donations'!$T$2:$T$4001,R$1))</f>
        <v/>
      </c>
      <c r="S647" s="49">
        <f>IF(OR($AE647&lt;&gt;1,S$1=""),"",SUMIFS('All Donations'!$S$2:$S$4001,'All Donations'!$R$2:$R$4001,$AD647,'All Donations'!$T$2:$T$4001,S$1))</f>
        <v/>
      </c>
      <c r="T647" s="49">
        <f>IF(OR($AE647&lt;&gt;1,T$1=""),"",SUMIFS('All Donations'!$S$2:$S$4001,'All Donations'!$R$2:$R$4001,$AD647,'All Donations'!$T$2:$T$4001,T$1))</f>
        <v/>
      </c>
      <c r="U647" s="49">
        <f>IF(OR($AE647&lt;&gt;1,U$1=""),"",SUMIFS('All Donations'!$S$2:$S$4001,'All Donations'!$R$2:$R$4001,$AD647,'All Donations'!$T$2:$T$4001,U$1))</f>
        <v/>
      </c>
      <c r="V647" s="49">
        <f>IF(OR($AE647&lt;&gt;1,V$1=""),"",SUMIFS('All Donations'!$S$2:$S$4001,'All Donations'!$R$2:$R$4001,$AD647,'All Donations'!$T$2:$T$4001,V$1))</f>
        <v/>
      </c>
      <c r="W647" s="49">
        <f>IF(OR($AE647&lt;&gt;1,W$1=""),"",SUMIFS('All Donations'!$S$2:$S$4001,'All Donations'!$R$2:$R$4001,$AD647,'All Donations'!$T$2:$T$4001,W$1))</f>
        <v/>
      </c>
      <c r="X647" s="49">
        <f>IF(OR($AE647&lt;&gt;1,X$1=""),"",SUMIFS('All Donations'!$S$2:$S$4001,'All Donations'!$R$2:$R$4001,$AD647,'All Donations'!$T$2:$T$4001,X$1))</f>
        <v/>
      </c>
      <c r="Y647" s="49">
        <f>IF(OR($AE647&lt;&gt;1,Y$1=""),"",SUMIFS('All Donations'!$S$2:$S$4001,'All Donations'!$R$2:$R$4001,$AD647,'All Donations'!$T$2:$T$4001,Y$1))</f>
        <v/>
      </c>
      <c r="Z647" s="49">
        <f>IF(OR($AE647&lt;&gt;1,Z$1=""),"",SUMIFS('All Donations'!$S$2:$S$4001,'All Donations'!$R$2:$R$4001,$AD647,'All Donations'!$T$2:$T$4001,Z$1))</f>
        <v/>
      </c>
      <c r="AA647" s="49">
        <f>IF(OR($AE647&lt;&gt;1,AA$1=""),"",SUMIFS('All Donations'!$S$2:$S$4001,'All Donations'!$R$2:$R$4001,$AD647,'All Donations'!$T$2:$T$4001,AA$1))</f>
        <v/>
      </c>
      <c r="AB647" s="49">
        <f>IF(OR($AE647&lt;&gt;1,AB$1=""),"",SUMIFS('All Donations'!$S$2:$S$4001,'All Donations'!$R$2:$R$4001,$AD647,'All Donations'!$T$2:$T$4001,AB$1))</f>
        <v/>
      </c>
      <c r="AC647" s="49">
        <f>IF(OR($AE647&lt;&gt;1,AC$1=""),"",SUMIFS('All Donations'!$S$2:$S$4001,'All Donations'!$R$2:$R$4001,$AD647,'All Donations'!$T$2:$T$4001,AC$1))</f>
        <v/>
      </c>
      <c r="AD647">
        <f>IF(AE647=1,'Roster'!A647,"")</f>
        <v/>
      </c>
      <c r="AE647">
        <f>IF(TRIM('Roster'!B647&amp;'Roster'!C647)&lt;&gt;"",1,0)</f>
        <v/>
      </c>
      <c r="AF647">
        <f>IF(AE647=1,LOWER(A647),"#")</f>
        <v/>
      </c>
      <c r="AG647">
        <f>IF(AE647=1,LOWER(TRIM(TRIM('Roster'!C647)&amp;", "&amp;TRIM('Roster'!B647))),"#")</f>
        <v/>
      </c>
      <c r="AH647">
        <f>IF(AND(AE647=1,TRIM('Roster'!F647)&lt;&gt;""),LOWER(TRIM('Roster'!F647)),"#")</f>
        <v/>
      </c>
      <c r="AI647">
        <f>IF(AE647=1,IF(MATCH(B647,$B$2:$B$701,0)=ROW()-1,1,0),0)</f>
        <v/>
      </c>
      <c r="AJ647">
        <f>AJ646+AI647</f>
        <v/>
      </c>
      <c r="AK647">
        <f>IF(AE647=1,D647+(1000-ROW())/10^7,-1)</f>
        <v/>
      </c>
      <c r="AL647">
        <f>IF(AE647=1,TRIM('Roster'!B647)&amp;" "&amp;LEFT(TRIM('Roster'!C647),1)&amp;".","")</f>
        <v/>
      </c>
      <c r="AM647">
        <f>IF(AE647=1,TRIM('Roster'!C647)&amp;", "&amp;TRIM('Roster'!B647)&amp;" ("&amp;B647&amp;") #"&amp;AD647,"")</f>
        <v/>
      </c>
      <c r="AN647">
        <f>IF(AE647=1,TRIM('Roster'!E647),"")</f>
        <v/>
      </c>
      <c r="AO647">
        <f>IF(AE647=1,ROUND(SUMIFS('All Donations'!$S$2:$S$4001,'All Donations'!$R$2:$R$4001,AD647,'All Donations'!$T$2:$T$4001,"&gt;="&amp;'Settings'!$C$23,'All Donations'!$T$2:$T$4001,"&lt;="&amp;'Settings'!$D$23),2),0)</f>
        <v/>
      </c>
      <c r="AQ647">
        <f>IF(AE647=1,ROUND(SUMIFS('All Donations'!$S$2:$S$4001,'All Donations'!$R$2:$R$4001,AD647,'All Donations'!$T$2:$T$4001,"&gt;="&amp;'Settings'!$C$25,'All Donations'!$T$2:$T$4001,"&lt;="&amp;'Settings'!$D$25),2),0)</f>
        <v/>
      </c>
      <c r="AR647">
        <f>IF(AE647=1,ROUND(SUMIFS('All Donations'!$S$2:$S$4001,'All Donations'!$R$2:$R$4001,AD647,'All Donations'!$T$2:$T$4001,"&gt;="&amp;'Settings'!$C$26,'All Donations'!$T$2:$T$4001,"&lt;="&amp;'Settings'!$D$26),2),0)</f>
        <v/>
      </c>
      <c r="AS647">
        <f>IF(AE647=1,ROUND(SUMIFS('All Donations'!$S$2:$S$4001,'All Donations'!$R$2:$R$4001,AD647,'All Donations'!$T$2:$T$4001,"&lt;="&amp;'Settings'!$D$27),2),0)</f>
        <v/>
      </c>
      <c r="AT647">
        <f>IF(AE647=1,ROUND(SUMIFS('All Donations'!$S$2:$S$4001,'All Donations'!$R$2:$R$4001,AD647,'All Donations'!$T$2:$T$4001,"&gt;="&amp;'Settings'!$C$28,'All Donations'!$T$2:$T$4001,"&lt;="&amp;'Settings'!$D$28),2),0)</f>
        <v/>
      </c>
      <c r="AU647">
        <f>IF(AE647=1,ROUND(SUMIFS('All Donations'!$S$2:$S$4001,'All Donations'!$R$2:$R$4001,AD647,'All Donations'!$T$2:$T$4001,"&gt;="&amp;'Settings'!$C$29,'All Donations'!$T$2:$T$4001,"&lt;="&amp;'Settings'!$D$29),2),0)</f>
        <v/>
      </c>
      <c r="AV647">
        <f>IF(AE647=1,ROUND(SUMIFS('All Donations'!$S$2:$S$4001,'All Donations'!$R$2:$R$4001,AD647,'All Donations'!$T$2:$T$4001,"&lt;="&amp;'Settings'!$D$30),2),0)</f>
        <v/>
      </c>
      <c r="AZ647">
        <f>IF(AE647=1,ROUND(SUMIFS('All Donations'!$S$2:$S$4001,'All Donations'!$R$2:$R$4001,AD647,'All Donations'!$T$2:$T$4001,"&lt;="&amp;'Settings'!$D$34),2),0)</f>
        <v/>
      </c>
    </row>
    <row r="648">
      <c r="A648">
        <f>IF(AE648=1,TRIM(TRIM('Roster'!B648)&amp;" "&amp;TRIM('Roster'!C648)),"")</f>
        <v/>
      </c>
      <c r="B648">
        <f>IF(AE648=1,IF(AN648="","(no teacher)",AN648&amp;" – "&amp;C648),"")</f>
        <v/>
      </c>
      <c r="C648">
        <f>IF(AE648=1,TRIM('Roster'!D648&amp;""),"")</f>
        <v/>
      </c>
      <c r="D648" s="48">
        <f>IF(AE648=1,ROUND(SUMIFS('All Donations'!$S$2:$S$4001,'All Donations'!$R$2:$R$4001,AD648),2),"")</f>
        <v/>
      </c>
      <c r="E648" s="48">
        <f>IF(AE648=1,ROUND(SUMIFS('All Donations'!$S$2:$S$4001,'All Donations'!$R$2:$R$4001,AD648,'All Donations'!$G$2:$G$4001,"OneCause"),2),"")</f>
        <v/>
      </c>
      <c r="F648" s="48">
        <f>IF(AE648=1,D648-E648,"")</f>
        <v/>
      </c>
      <c r="G648">
        <f>IF(AE648=1,COUNTIFS('All Donations'!$R$2:$R$4001,AD648,'All Donations'!$H$2:$H$4001,"OK"),"")</f>
        <v/>
      </c>
      <c r="H648">
        <f>IF(AE648&lt;&gt;1,"",IF(D648&gt;0,"Yes",""))</f>
        <v/>
      </c>
      <c r="I648" s="49">
        <f>IF(OR($AE648&lt;&gt;1,I$1=""),"",SUMIFS('All Donations'!$S$2:$S$4001,'All Donations'!$R$2:$R$4001,$AD648,'All Donations'!$T$2:$T$4001,I$1))</f>
        <v/>
      </c>
      <c r="J648" s="49">
        <f>IF(OR($AE648&lt;&gt;1,J$1=""),"",SUMIFS('All Donations'!$S$2:$S$4001,'All Donations'!$R$2:$R$4001,$AD648,'All Donations'!$T$2:$T$4001,J$1))</f>
        <v/>
      </c>
      <c r="K648" s="49">
        <f>IF(OR($AE648&lt;&gt;1,K$1=""),"",SUMIFS('All Donations'!$S$2:$S$4001,'All Donations'!$R$2:$R$4001,$AD648,'All Donations'!$T$2:$T$4001,K$1))</f>
        <v/>
      </c>
      <c r="L648" s="49">
        <f>IF(OR($AE648&lt;&gt;1,L$1=""),"",SUMIFS('All Donations'!$S$2:$S$4001,'All Donations'!$R$2:$R$4001,$AD648,'All Donations'!$T$2:$T$4001,L$1))</f>
        <v/>
      </c>
      <c r="M648" s="49">
        <f>IF(OR($AE648&lt;&gt;1,M$1=""),"",SUMIFS('All Donations'!$S$2:$S$4001,'All Donations'!$R$2:$R$4001,$AD648,'All Donations'!$T$2:$T$4001,M$1))</f>
        <v/>
      </c>
      <c r="N648" s="49">
        <f>IF(OR($AE648&lt;&gt;1,N$1=""),"",SUMIFS('All Donations'!$S$2:$S$4001,'All Donations'!$R$2:$R$4001,$AD648,'All Donations'!$T$2:$T$4001,N$1))</f>
        <v/>
      </c>
      <c r="O648" s="49">
        <f>IF(OR($AE648&lt;&gt;1,O$1=""),"",SUMIFS('All Donations'!$S$2:$S$4001,'All Donations'!$R$2:$R$4001,$AD648,'All Donations'!$T$2:$T$4001,O$1))</f>
        <v/>
      </c>
      <c r="P648" s="49">
        <f>IF(OR($AE648&lt;&gt;1,P$1=""),"",SUMIFS('All Donations'!$S$2:$S$4001,'All Donations'!$R$2:$R$4001,$AD648,'All Donations'!$T$2:$T$4001,P$1))</f>
        <v/>
      </c>
      <c r="Q648" s="49">
        <f>IF(OR($AE648&lt;&gt;1,Q$1=""),"",SUMIFS('All Donations'!$S$2:$S$4001,'All Donations'!$R$2:$R$4001,$AD648,'All Donations'!$T$2:$T$4001,Q$1))</f>
        <v/>
      </c>
      <c r="R648" s="49">
        <f>IF(OR($AE648&lt;&gt;1,R$1=""),"",SUMIFS('All Donations'!$S$2:$S$4001,'All Donations'!$R$2:$R$4001,$AD648,'All Donations'!$T$2:$T$4001,R$1))</f>
        <v/>
      </c>
      <c r="S648" s="49">
        <f>IF(OR($AE648&lt;&gt;1,S$1=""),"",SUMIFS('All Donations'!$S$2:$S$4001,'All Donations'!$R$2:$R$4001,$AD648,'All Donations'!$T$2:$T$4001,S$1))</f>
        <v/>
      </c>
      <c r="T648" s="49">
        <f>IF(OR($AE648&lt;&gt;1,T$1=""),"",SUMIFS('All Donations'!$S$2:$S$4001,'All Donations'!$R$2:$R$4001,$AD648,'All Donations'!$T$2:$T$4001,T$1))</f>
        <v/>
      </c>
      <c r="U648" s="49">
        <f>IF(OR($AE648&lt;&gt;1,U$1=""),"",SUMIFS('All Donations'!$S$2:$S$4001,'All Donations'!$R$2:$R$4001,$AD648,'All Donations'!$T$2:$T$4001,U$1))</f>
        <v/>
      </c>
      <c r="V648" s="49">
        <f>IF(OR($AE648&lt;&gt;1,V$1=""),"",SUMIFS('All Donations'!$S$2:$S$4001,'All Donations'!$R$2:$R$4001,$AD648,'All Donations'!$T$2:$T$4001,V$1))</f>
        <v/>
      </c>
      <c r="W648" s="49">
        <f>IF(OR($AE648&lt;&gt;1,W$1=""),"",SUMIFS('All Donations'!$S$2:$S$4001,'All Donations'!$R$2:$R$4001,$AD648,'All Donations'!$T$2:$T$4001,W$1))</f>
        <v/>
      </c>
      <c r="X648" s="49">
        <f>IF(OR($AE648&lt;&gt;1,X$1=""),"",SUMIFS('All Donations'!$S$2:$S$4001,'All Donations'!$R$2:$R$4001,$AD648,'All Donations'!$T$2:$T$4001,X$1))</f>
        <v/>
      </c>
      <c r="Y648" s="49">
        <f>IF(OR($AE648&lt;&gt;1,Y$1=""),"",SUMIFS('All Donations'!$S$2:$S$4001,'All Donations'!$R$2:$R$4001,$AD648,'All Donations'!$T$2:$T$4001,Y$1))</f>
        <v/>
      </c>
      <c r="Z648" s="49">
        <f>IF(OR($AE648&lt;&gt;1,Z$1=""),"",SUMIFS('All Donations'!$S$2:$S$4001,'All Donations'!$R$2:$R$4001,$AD648,'All Donations'!$T$2:$T$4001,Z$1))</f>
        <v/>
      </c>
      <c r="AA648" s="49">
        <f>IF(OR($AE648&lt;&gt;1,AA$1=""),"",SUMIFS('All Donations'!$S$2:$S$4001,'All Donations'!$R$2:$R$4001,$AD648,'All Donations'!$T$2:$T$4001,AA$1))</f>
        <v/>
      </c>
      <c r="AB648" s="49">
        <f>IF(OR($AE648&lt;&gt;1,AB$1=""),"",SUMIFS('All Donations'!$S$2:$S$4001,'All Donations'!$R$2:$R$4001,$AD648,'All Donations'!$T$2:$T$4001,AB$1))</f>
        <v/>
      </c>
      <c r="AC648" s="49">
        <f>IF(OR($AE648&lt;&gt;1,AC$1=""),"",SUMIFS('All Donations'!$S$2:$S$4001,'All Donations'!$R$2:$R$4001,$AD648,'All Donations'!$T$2:$T$4001,AC$1))</f>
        <v/>
      </c>
      <c r="AD648">
        <f>IF(AE648=1,'Roster'!A648,"")</f>
        <v/>
      </c>
      <c r="AE648">
        <f>IF(TRIM('Roster'!B648&amp;'Roster'!C648)&lt;&gt;"",1,0)</f>
        <v/>
      </c>
      <c r="AF648">
        <f>IF(AE648=1,LOWER(A648),"#")</f>
        <v/>
      </c>
      <c r="AG648">
        <f>IF(AE648=1,LOWER(TRIM(TRIM('Roster'!C648)&amp;", "&amp;TRIM('Roster'!B648))),"#")</f>
        <v/>
      </c>
      <c r="AH648">
        <f>IF(AND(AE648=1,TRIM('Roster'!F648)&lt;&gt;""),LOWER(TRIM('Roster'!F648)),"#")</f>
        <v/>
      </c>
      <c r="AI648">
        <f>IF(AE648=1,IF(MATCH(B648,$B$2:$B$701,0)=ROW()-1,1,0),0)</f>
        <v/>
      </c>
      <c r="AJ648">
        <f>AJ647+AI648</f>
        <v/>
      </c>
      <c r="AK648">
        <f>IF(AE648=1,D648+(1000-ROW())/10^7,-1)</f>
        <v/>
      </c>
      <c r="AL648">
        <f>IF(AE648=1,TRIM('Roster'!B648)&amp;" "&amp;LEFT(TRIM('Roster'!C648),1)&amp;".","")</f>
        <v/>
      </c>
      <c r="AM648">
        <f>IF(AE648=1,TRIM('Roster'!C648)&amp;", "&amp;TRIM('Roster'!B648)&amp;" ("&amp;B648&amp;") #"&amp;AD648,"")</f>
        <v/>
      </c>
      <c r="AN648">
        <f>IF(AE648=1,TRIM('Roster'!E648),"")</f>
        <v/>
      </c>
      <c r="AO648">
        <f>IF(AE648=1,ROUND(SUMIFS('All Donations'!$S$2:$S$4001,'All Donations'!$R$2:$R$4001,AD648,'All Donations'!$T$2:$T$4001,"&gt;="&amp;'Settings'!$C$23,'All Donations'!$T$2:$T$4001,"&lt;="&amp;'Settings'!$D$23),2),0)</f>
        <v/>
      </c>
      <c r="AQ648">
        <f>IF(AE648=1,ROUND(SUMIFS('All Donations'!$S$2:$S$4001,'All Donations'!$R$2:$R$4001,AD648,'All Donations'!$T$2:$T$4001,"&gt;="&amp;'Settings'!$C$25,'All Donations'!$T$2:$T$4001,"&lt;="&amp;'Settings'!$D$25),2),0)</f>
        <v/>
      </c>
      <c r="AR648">
        <f>IF(AE648=1,ROUND(SUMIFS('All Donations'!$S$2:$S$4001,'All Donations'!$R$2:$R$4001,AD648,'All Donations'!$T$2:$T$4001,"&gt;="&amp;'Settings'!$C$26,'All Donations'!$T$2:$T$4001,"&lt;="&amp;'Settings'!$D$26),2),0)</f>
        <v/>
      </c>
      <c r="AS648">
        <f>IF(AE648=1,ROUND(SUMIFS('All Donations'!$S$2:$S$4001,'All Donations'!$R$2:$R$4001,AD648,'All Donations'!$T$2:$T$4001,"&lt;="&amp;'Settings'!$D$27),2),0)</f>
        <v/>
      </c>
      <c r="AT648">
        <f>IF(AE648=1,ROUND(SUMIFS('All Donations'!$S$2:$S$4001,'All Donations'!$R$2:$R$4001,AD648,'All Donations'!$T$2:$T$4001,"&gt;="&amp;'Settings'!$C$28,'All Donations'!$T$2:$T$4001,"&lt;="&amp;'Settings'!$D$28),2),0)</f>
        <v/>
      </c>
      <c r="AU648">
        <f>IF(AE648=1,ROUND(SUMIFS('All Donations'!$S$2:$S$4001,'All Donations'!$R$2:$R$4001,AD648,'All Donations'!$T$2:$T$4001,"&gt;="&amp;'Settings'!$C$29,'All Donations'!$T$2:$T$4001,"&lt;="&amp;'Settings'!$D$29),2),0)</f>
        <v/>
      </c>
      <c r="AV648">
        <f>IF(AE648=1,ROUND(SUMIFS('All Donations'!$S$2:$S$4001,'All Donations'!$R$2:$R$4001,AD648,'All Donations'!$T$2:$T$4001,"&lt;="&amp;'Settings'!$D$30),2),0)</f>
        <v/>
      </c>
      <c r="AZ648">
        <f>IF(AE648=1,ROUND(SUMIFS('All Donations'!$S$2:$S$4001,'All Donations'!$R$2:$R$4001,AD648,'All Donations'!$T$2:$T$4001,"&lt;="&amp;'Settings'!$D$34),2),0)</f>
        <v/>
      </c>
    </row>
    <row r="649">
      <c r="A649">
        <f>IF(AE649=1,TRIM(TRIM('Roster'!B649)&amp;" "&amp;TRIM('Roster'!C649)),"")</f>
        <v/>
      </c>
      <c r="B649">
        <f>IF(AE649=1,IF(AN649="","(no teacher)",AN649&amp;" – "&amp;C649),"")</f>
        <v/>
      </c>
      <c r="C649">
        <f>IF(AE649=1,TRIM('Roster'!D649&amp;""),"")</f>
        <v/>
      </c>
      <c r="D649" s="48">
        <f>IF(AE649=1,ROUND(SUMIFS('All Donations'!$S$2:$S$4001,'All Donations'!$R$2:$R$4001,AD649),2),"")</f>
        <v/>
      </c>
      <c r="E649" s="48">
        <f>IF(AE649=1,ROUND(SUMIFS('All Donations'!$S$2:$S$4001,'All Donations'!$R$2:$R$4001,AD649,'All Donations'!$G$2:$G$4001,"OneCause"),2),"")</f>
        <v/>
      </c>
      <c r="F649" s="48">
        <f>IF(AE649=1,D649-E649,"")</f>
        <v/>
      </c>
      <c r="G649">
        <f>IF(AE649=1,COUNTIFS('All Donations'!$R$2:$R$4001,AD649,'All Donations'!$H$2:$H$4001,"OK"),"")</f>
        <v/>
      </c>
      <c r="H649">
        <f>IF(AE649&lt;&gt;1,"",IF(D649&gt;0,"Yes",""))</f>
        <v/>
      </c>
      <c r="I649" s="49">
        <f>IF(OR($AE649&lt;&gt;1,I$1=""),"",SUMIFS('All Donations'!$S$2:$S$4001,'All Donations'!$R$2:$R$4001,$AD649,'All Donations'!$T$2:$T$4001,I$1))</f>
        <v/>
      </c>
      <c r="J649" s="49">
        <f>IF(OR($AE649&lt;&gt;1,J$1=""),"",SUMIFS('All Donations'!$S$2:$S$4001,'All Donations'!$R$2:$R$4001,$AD649,'All Donations'!$T$2:$T$4001,J$1))</f>
        <v/>
      </c>
      <c r="K649" s="49">
        <f>IF(OR($AE649&lt;&gt;1,K$1=""),"",SUMIFS('All Donations'!$S$2:$S$4001,'All Donations'!$R$2:$R$4001,$AD649,'All Donations'!$T$2:$T$4001,K$1))</f>
        <v/>
      </c>
      <c r="L649" s="49">
        <f>IF(OR($AE649&lt;&gt;1,L$1=""),"",SUMIFS('All Donations'!$S$2:$S$4001,'All Donations'!$R$2:$R$4001,$AD649,'All Donations'!$T$2:$T$4001,L$1))</f>
        <v/>
      </c>
      <c r="M649" s="49">
        <f>IF(OR($AE649&lt;&gt;1,M$1=""),"",SUMIFS('All Donations'!$S$2:$S$4001,'All Donations'!$R$2:$R$4001,$AD649,'All Donations'!$T$2:$T$4001,M$1))</f>
        <v/>
      </c>
      <c r="N649" s="49">
        <f>IF(OR($AE649&lt;&gt;1,N$1=""),"",SUMIFS('All Donations'!$S$2:$S$4001,'All Donations'!$R$2:$R$4001,$AD649,'All Donations'!$T$2:$T$4001,N$1))</f>
        <v/>
      </c>
      <c r="O649" s="49">
        <f>IF(OR($AE649&lt;&gt;1,O$1=""),"",SUMIFS('All Donations'!$S$2:$S$4001,'All Donations'!$R$2:$R$4001,$AD649,'All Donations'!$T$2:$T$4001,O$1))</f>
        <v/>
      </c>
      <c r="P649" s="49">
        <f>IF(OR($AE649&lt;&gt;1,P$1=""),"",SUMIFS('All Donations'!$S$2:$S$4001,'All Donations'!$R$2:$R$4001,$AD649,'All Donations'!$T$2:$T$4001,P$1))</f>
        <v/>
      </c>
      <c r="Q649" s="49">
        <f>IF(OR($AE649&lt;&gt;1,Q$1=""),"",SUMIFS('All Donations'!$S$2:$S$4001,'All Donations'!$R$2:$R$4001,$AD649,'All Donations'!$T$2:$T$4001,Q$1))</f>
        <v/>
      </c>
      <c r="R649" s="49">
        <f>IF(OR($AE649&lt;&gt;1,R$1=""),"",SUMIFS('All Donations'!$S$2:$S$4001,'All Donations'!$R$2:$R$4001,$AD649,'All Donations'!$T$2:$T$4001,R$1))</f>
        <v/>
      </c>
      <c r="S649" s="49">
        <f>IF(OR($AE649&lt;&gt;1,S$1=""),"",SUMIFS('All Donations'!$S$2:$S$4001,'All Donations'!$R$2:$R$4001,$AD649,'All Donations'!$T$2:$T$4001,S$1))</f>
        <v/>
      </c>
      <c r="T649" s="49">
        <f>IF(OR($AE649&lt;&gt;1,T$1=""),"",SUMIFS('All Donations'!$S$2:$S$4001,'All Donations'!$R$2:$R$4001,$AD649,'All Donations'!$T$2:$T$4001,T$1))</f>
        <v/>
      </c>
      <c r="U649" s="49">
        <f>IF(OR($AE649&lt;&gt;1,U$1=""),"",SUMIFS('All Donations'!$S$2:$S$4001,'All Donations'!$R$2:$R$4001,$AD649,'All Donations'!$T$2:$T$4001,U$1))</f>
        <v/>
      </c>
      <c r="V649" s="49">
        <f>IF(OR($AE649&lt;&gt;1,V$1=""),"",SUMIFS('All Donations'!$S$2:$S$4001,'All Donations'!$R$2:$R$4001,$AD649,'All Donations'!$T$2:$T$4001,V$1))</f>
        <v/>
      </c>
      <c r="W649" s="49">
        <f>IF(OR($AE649&lt;&gt;1,W$1=""),"",SUMIFS('All Donations'!$S$2:$S$4001,'All Donations'!$R$2:$R$4001,$AD649,'All Donations'!$T$2:$T$4001,W$1))</f>
        <v/>
      </c>
      <c r="X649" s="49">
        <f>IF(OR($AE649&lt;&gt;1,X$1=""),"",SUMIFS('All Donations'!$S$2:$S$4001,'All Donations'!$R$2:$R$4001,$AD649,'All Donations'!$T$2:$T$4001,X$1))</f>
        <v/>
      </c>
      <c r="Y649" s="49">
        <f>IF(OR($AE649&lt;&gt;1,Y$1=""),"",SUMIFS('All Donations'!$S$2:$S$4001,'All Donations'!$R$2:$R$4001,$AD649,'All Donations'!$T$2:$T$4001,Y$1))</f>
        <v/>
      </c>
      <c r="Z649" s="49">
        <f>IF(OR($AE649&lt;&gt;1,Z$1=""),"",SUMIFS('All Donations'!$S$2:$S$4001,'All Donations'!$R$2:$R$4001,$AD649,'All Donations'!$T$2:$T$4001,Z$1))</f>
        <v/>
      </c>
      <c r="AA649" s="49">
        <f>IF(OR($AE649&lt;&gt;1,AA$1=""),"",SUMIFS('All Donations'!$S$2:$S$4001,'All Donations'!$R$2:$R$4001,$AD649,'All Donations'!$T$2:$T$4001,AA$1))</f>
        <v/>
      </c>
      <c r="AB649" s="49">
        <f>IF(OR($AE649&lt;&gt;1,AB$1=""),"",SUMIFS('All Donations'!$S$2:$S$4001,'All Donations'!$R$2:$R$4001,$AD649,'All Donations'!$T$2:$T$4001,AB$1))</f>
        <v/>
      </c>
      <c r="AC649" s="49">
        <f>IF(OR($AE649&lt;&gt;1,AC$1=""),"",SUMIFS('All Donations'!$S$2:$S$4001,'All Donations'!$R$2:$R$4001,$AD649,'All Donations'!$T$2:$T$4001,AC$1))</f>
        <v/>
      </c>
      <c r="AD649">
        <f>IF(AE649=1,'Roster'!A649,"")</f>
        <v/>
      </c>
      <c r="AE649">
        <f>IF(TRIM('Roster'!B649&amp;'Roster'!C649)&lt;&gt;"",1,0)</f>
        <v/>
      </c>
      <c r="AF649">
        <f>IF(AE649=1,LOWER(A649),"#")</f>
        <v/>
      </c>
      <c r="AG649">
        <f>IF(AE649=1,LOWER(TRIM(TRIM('Roster'!C649)&amp;", "&amp;TRIM('Roster'!B649))),"#")</f>
        <v/>
      </c>
      <c r="AH649">
        <f>IF(AND(AE649=1,TRIM('Roster'!F649)&lt;&gt;""),LOWER(TRIM('Roster'!F649)),"#")</f>
        <v/>
      </c>
      <c r="AI649">
        <f>IF(AE649=1,IF(MATCH(B649,$B$2:$B$701,0)=ROW()-1,1,0),0)</f>
        <v/>
      </c>
      <c r="AJ649">
        <f>AJ648+AI649</f>
        <v/>
      </c>
      <c r="AK649">
        <f>IF(AE649=1,D649+(1000-ROW())/10^7,-1)</f>
        <v/>
      </c>
      <c r="AL649">
        <f>IF(AE649=1,TRIM('Roster'!B649)&amp;" "&amp;LEFT(TRIM('Roster'!C649),1)&amp;".","")</f>
        <v/>
      </c>
      <c r="AM649">
        <f>IF(AE649=1,TRIM('Roster'!C649)&amp;", "&amp;TRIM('Roster'!B649)&amp;" ("&amp;B649&amp;") #"&amp;AD649,"")</f>
        <v/>
      </c>
      <c r="AN649">
        <f>IF(AE649=1,TRIM('Roster'!E649),"")</f>
        <v/>
      </c>
      <c r="AO649">
        <f>IF(AE649=1,ROUND(SUMIFS('All Donations'!$S$2:$S$4001,'All Donations'!$R$2:$R$4001,AD649,'All Donations'!$T$2:$T$4001,"&gt;="&amp;'Settings'!$C$23,'All Donations'!$T$2:$T$4001,"&lt;="&amp;'Settings'!$D$23),2),0)</f>
        <v/>
      </c>
      <c r="AQ649">
        <f>IF(AE649=1,ROUND(SUMIFS('All Donations'!$S$2:$S$4001,'All Donations'!$R$2:$R$4001,AD649,'All Donations'!$T$2:$T$4001,"&gt;="&amp;'Settings'!$C$25,'All Donations'!$T$2:$T$4001,"&lt;="&amp;'Settings'!$D$25),2),0)</f>
        <v/>
      </c>
      <c r="AR649">
        <f>IF(AE649=1,ROUND(SUMIFS('All Donations'!$S$2:$S$4001,'All Donations'!$R$2:$R$4001,AD649,'All Donations'!$T$2:$T$4001,"&gt;="&amp;'Settings'!$C$26,'All Donations'!$T$2:$T$4001,"&lt;="&amp;'Settings'!$D$26),2),0)</f>
        <v/>
      </c>
      <c r="AS649">
        <f>IF(AE649=1,ROUND(SUMIFS('All Donations'!$S$2:$S$4001,'All Donations'!$R$2:$R$4001,AD649,'All Donations'!$T$2:$T$4001,"&lt;="&amp;'Settings'!$D$27),2),0)</f>
        <v/>
      </c>
      <c r="AT649">
        <f>IF(AE649=1,ROUND(SUMIFS('All Donations'!$S$2:$S$4001,'All Donations'!$R$2:$R$4001,AD649,'All Donations'!$T$2:$T$4001,"&gt;="&amp;'Settings'!$C$28,'All Donations'!$T$2:$T$4001,"&lt;="&amp;'Settings'!$D$28),2),0)</f>
        <v/>
      </c>
      <c r="AU649">
        <f>IF(AE649=1,ROUND(SUMIFS('All Donations'!$S$2:$S$4001,'All Donations'!$R$2:$R$4001,AD649,'All Donations'!$T$2:$T$4001,"&gt;="&amp;'Settings'!$C$29,'All Donations'!$T$2:$T$4001,"&lt;="&amp;'Settings'!$D$29),2),0)</f>
        <v/>
      </c>
      <c r="AV649">
        <f>IF(AE649=1,ROUND(SUMIFS('All Donations'!$S$2:$S$4001,'All Donations'!$R$2:$R$4001,AD649,'All Donations'!$T$2:$T$4001,"&lt;="&amp;'Settings'!$D$30),2),0)</f>
        <v/>
      </c>
      <c r="AZ649">
        <f>IF(AE649=1,ROUND(SUMIFS('All Donations'!$S$2:$S$4001,'All Donations'!$R$2:$R$4001,AD649,'All Donations'!$T$2:$T$4001,"&lt;="&amp;'Settings'!$D$34),2),0)</f>
        <v/>
      </c>
    </row>
    <row r="650">
      <c r="A650">
        <f>IF(AE650=1,TRIM(TRIM('Roster'!B650)&amp;" "&amp;TRIM('Roster'!C650)),"")</f>
        <v/>
      </c>
      <c r="B650">
        <f>IF(AE650=1,IF(AN650="","(no teacher)",AN650&amp;" – "&amp;C650),"")</f>
        <v/>
      </c>
      <c r="C650">
        <f>IF(AE650=1,TRIM('Roster'!D650&amp;""),"")</f>
        <v/>
      </c>
      <c r="D650" s="48">
        <f>IF(AE650=1,ROUND(SUMIFS('All Donations'!$S$2:$S$4001,'All Donations'!$R$2:$R$4001,AD650),2),"")</f>
        <v/>
      </c>
      <c r="E650" s="48">
        <f>IF(AE650=1,ROUND(SUMIFS('All Donations'!$S$2:$S$4001,'All Donations'!$R$2:$R$4001,AD650,'All Donations'!$G$2:$G$4001,"OneCause"),2),"")</f>
        <v/>
      </c>
      <c r="F650" s="48">
        <f>IF(AE650=1,D650-E650,"")</f>
        <v/>
      </c>
      <c r="G650">
        <f>IF(AE650=1,COUNTIFS('All Donations'!$R$2:$R$4001,AD650,'All Donations'!$H$2:$H$4001,"OK"),"")</f>
        <v/>
      </c>
      <c r="H650">
        <f>IF(AE650&lt;&gt;1,"",IF(D650&gt;0,"Yes",""))</f>
        <v/>
      </c>
      <c r="I650" s="49">
        <f>IF(OR($AE650&lt;&gt;1,I$1=""),"",SUMIFS('All Donations'!$S$2:$S$4001,'All Donations'!$R$2:$R$4001,$AD650,'All Donations'!$T$2:$T$4001,I$1))</f>
        <v/>
      </c>
      <c r="J650" s="49">
        <f>IF(OR($AE650&lt;&gt;1,J$1=""),"",SUMIFS('All Donations'!$S$2:$S$4001,'All Donations'!$R$2:$R$4001,$AD650,'All Donations'!$T$2:$T$4001,J$1))</f>
        <v/>
      </c>
      <c r="K650" s="49">
        <f>IF(OR($AE650&lt;&gt;1,K$1=""),"",SUMIFS('All Donations'!$S$2:$S$4001,'All Donations'!$R$2:$R$4001,$AD650,'All Donations'!$T$2:$T$4001,K$1))</f>
        <v/>
      </c>
      <c r="L650" s="49">
        <f>IF(OR($AE650&lt;&gt;1,L$1=""),"",SUMIFS('All Donations'!$S$2:$S$4001,'All Donations'!$R$2:$R$4001,$AD650,'All Donations'!$T$2:$T$4001,L$1))</f>
        <v/>
      </c>
      <c r="M650" s="49">
        <f>IF(OR($AE650&lt;&gt;1,M$1=""),"",SUMIFS('All Donations'!$S$2:$S$4001,'All Donations'!$R$2:$R$4001,$AD650,'All Donations'!$T$2:$T$4001,M$1))</f>
        <v/>
      </c>
      <c r="N650" s="49">
        <f>IF(OR($AE650&lt;&gt;1,N$1=""),"",SUMIFS('All Donations'!$S$2:$S$4001,'All Donations'!$R$2:$R$4001,$AD650,'All Donations'!$T$2:$T$4001,N$1))</f>
        <v/>
      </c>
      <c r="O650" s="49">
        <f>IF(OR($AE650&lt;&gt;1,O$1=""),"",SUMIFS('All Donations'!$S$2:$S$4001,'All Donations'!$R$2:$R$4001,$AD650,'All Donations'!$T$2:$T$4001,O$1))</f>
        <v/>
      </c>
      <c r="P650" s="49">
        <f>IF(OR($AE650&lt;&gt;1,P$1=""),"",SUMIFS('All Donations'!$S$2:$S$4001,'All Donations'!$R$2:$R$4001,$AD650,'All Donations'!$T$2:$T$4001,P$1))</f>
        <v/>
      </c>
      <c r="Q650" s="49">
        <f>IF(OR($AE650&lt;&gt;1,Q$1=""),"",SUMIFS('All Donations'!$S$2:$S$4001,'All Donations'!$R$2:$R$4001,$AD650,'All Donations'!$T$2:$T$4001,Q$1))</f>
        <v/>
      </c>
      <c r="R650" s="49">
        <f>IF(OR($AE650&lt;&gt;1,R$1=""),"",SUMIFS('All Donations'!$S$2:$S$4001,'All Donations'!$R$2:$R$4001,$AD650,'All Donations'!$T$2:$T$4001,R$1))</f>
        <v/>
      </c>
      <c r="S650" s="49">
        <f>IF(OR($AE650&lt;&gt;1,S$1=""),"",SUMIFS('All Donations'!$S$2:$S$4001,'All Donations'!$R$2:$R$4001,$AD650,'All Donations'!$T$2:$T$4001,S$1))</f>
        <v/>
      </c>
      <c r="T650" s="49">
        <f>IF(OR($AE650&lt;&gt;1,T$1=""),"",SUMIFS('All Donations'!$S$2:$S$4001,'All Donations'!$R$2:$R$4001,$AD650,'All Donations'!$T$2:$T$4001,T$1))</f>
        <v/>
      </c>
      <c r="U650" s="49">
        <f>IF(OR($AE650&lt;&gt;1,U$1=""),"",SUMIFS('All Donations'!$S$2:$S$4001,'All Donations'!$R$2:$R$4001,$AD650,'All Donations'!$T$2:$T$4001,U$1))</f>
        <v/>
      </c>
      <c r="V650" s="49">
        <f>IF(OR($AE650&lt;&gt;1,V$1=""),"",SUMIFS('All Donations'!$S$2:$S$4001,'All Donations'!$R$2:$R$4001,$AD650,'All Donations'!$T$2:$T$4001,V$1))</f>
        <v/>
      </c>
      <c r="W650" s="49">
        <f>IF(OR($AE650&lt;&gt;1,W$1=""),"",SUMIFS('All Donations'!$S$2:$S$4001,'All Donations'!$R$2:$R$4001,$AD650,'All Donations'!$T$2:$T$4001,W$1))</f>
        <v/>
      </c>
      <c r="X650" s="49">
        <f>IF(OR($AE650&lt;&gt;1,X$1=""),"",SUMIFS('All Donations'!$S$2:$S$4001,'All Donations'!$R$2:$R$4001,$AD650,'All Donations'!$T$2:$T$4001,X$1))</f>
        <v/>
      </c>
      <c r="Y650" s="49">
        <f>IF(OR($AE650&lt;&gt;1,Y$1=""),"",SUMIFS('All Donations'!$S$2:$S$4001,'All Donations'!$R$2:$R$4001,$AD650,'All Donations'!$T$2:$T$4001,Y$1))</f>
        <v/>
      </c>
      <c r="Z650" s="49">
        <f>IF(OR($AE650&lt;&gt;1,Z$1=""),"",SUMIFS('All Donations'!$S$2:$S$4001,'All Donations'!$R$2:$R$4001,$AD650,'All Donations'!$T$2:$T$4001,Z$1))</f>
        <v/>
      </c>
      <c r="AA650" s="49">
        <f>IF(OR($AE650&lt;&gt;1,AA$1=""),"",SUMIFS('All Donations'!$S$2:$S$4001,'All Donations'!$R$2:$R$4001,$AD650,'All Donations'!$T$2:$T$4001,AA$1))</f>
        <v/>
      </c>
      <c r="AB650" s="49">
        <f>IF(OR($AE650&lt;&gt;1,AB$1=""),"",SUMIFS('All Donations'!$S$2:$S$4001,'All Donations'!$R$2:$R$4001,$AD650,'All Donations'!$T$2:$T$4001,AB$1))</f>
        <v/>
      </c>
      <c r="AC650" s="49">
        <f>IF(OR($AE650&lt;&gt;1,AC$1=""),"",SUMIFS('All Donations'!$S$2:$S$4001,'All Donations'!$R$2:$R$4001,$AD650,'All Donations'!$T$2:$T$4001,AC$1))</f>
        <v/>
      </c>
      <c r="AD650">
        <f>IF(AE650=1,'Roster'!A650,"")</f>
        <v/>
      </c>
      <c r="AE650">
        <f>IF(TRIM('Roster'!B650&amp;'Roster'!C650)&lt;&gt;"",1,0)</f>
        <v/>
      </c>
      <c r="AF650">
        <f>IF(AE650=1,LOWER(A650),"#")</f>
        <v/>
      </c>
      <c r="AG650">
        <f>IF(AE650=1,LOWER(TRIM(TRIM('Roster'!C650)&amp;", "&amp;TRIM('Roster'!B650))),"#")</f>
        <v/>
      </c>
      <c r="AH650">
        <f>IF(AND(AE650=1,TRIM('Roster'!F650)&lt;&gt;""),LOWER(TRIM('Roster'!F650)),"#")</f>
        <v/>
      </c>
      <c r="AI650">
        <f>IF(AE650=1,IF(MATCH(B650,$B$2:$B$701,0)=ROW()-1,1,0),0)</f>
        <v/>
      </c>
      <c r="AJ650">
        <f>AJ649+AI650</f>
        <v/>
      </c>
      <c r="AK650">
        <f>IF(AE650=1,D650+(1000-ROW())/10^7,-1)</f>
        <v/>
      </c>
      <c r="AL650">
        <f>IF(AE650=1,TRIM('Roster'!B650)&amp;" "&amp;LEFT(TRIM('Roster'!C650),1)&amp;".","")</f>
        <v/>
      </c>
      <c r="AM650">
        <f>IF(AE650=1,TRIM('Roster'!C650)&amp;", "&amp;TRIM('Roster'!B650)&amp;" ("&amp;B650&amp;") #"&amp;AD650,"")</f>
        <v/>
      </c>
      <c r="AN650">
        <f>IF(AE650=1,TRIM('Roster'!E650),"")</f>
        <v/>
      </c>
      <c r="AO650">
        <f>IF(AE650=1,ROUND(SUMIFS('All Donations'!$S$2:$S$4001,'All Donations'!$R$2:$R$4001,AD650,'All Donations'!$T$2:$T$4001,"&gt;="&amp;'Settings'!$C$23,'All Donations'!$T$2:$T$4001,"&lt;="&amp;'Settings'!$D$23),2),0)</f>
        <v/>
      </c>
      <c r="AQ650">
        <f>IF(AE650=1,ROUND(SUMIFS('All Donations'!$S$2:$S$4001,'All Donations'!$R$2:$R$4001,AD650,'All Donations'!$T$2:$T$4001,"&gt;="&amp;'Settings'!$C$25,'All Donations'!$T$2:$T$4001,"&lt;="&amp;'Settings'!$D$25),2),0)</f>
        <v/>
      </c>
      <c r="AR650">
        <f>IF(AE650=1,ROUND(SUMIFS('All Donations'!$S$2:$S$4001,'All Donations'!$R$2:$R$4001,AD650,'All Donations'!$T$2:$T$4001,"&gt;="&amp;'Settings'!$C$26,'All Donations'!$T$2:$T$4001,"&lt;="&amp;'Settings'!$D$26),2),0)</f>
        <v/>
      </c>
      <c r="AS650">
        <f>IF(AE650=1,ROUND(SUMIFS('All Donations'!$S$2:$S$4001,'All Donations'!$R$2:$R$4001,AD650,'All Donations'!$T$2:$T$4001,"&lt;="&amp;'Settings'!$D$27),2),0)</f>
        <v/>
      </c>
      <c r="AT650">
        <f>IF(AE650=1,ROUND(SUMIFS('All Donations'!$S$2:$S$4001,'All Donations'!$R$2:$R$4001,AD650,'All Donations'!$T$2:$T$4001,"&gt;="&amp;'Settings'!$C$28,'All Donations'!$T$2:$T$4001,"&lt;="&amp;'Settings'!$D$28),2),0)</f>
        <v/>
      </c>
      <c r="AU650">
        <f>IF(AE650=1,ROUND(SUMIFS('All Donations'!$S$2:$S$4001,'All Donations'!$R$2:$R$4001,AD650,'All Donations'!$T$2:$T$4001,"&gt;="&amp;'Settings'!$C$29,'All Donations'!$T$2:$T$4001,"&lt;="&amp;'Settings'!$D$29),2),0)</f>
        <v/>
      </c>
      <c r="AV650">
        <f>IF(AE650=1,ROUND(SUMIFS('All Donations'!$S$2:$S$4001,'All Donations'!$R$2:$R$4001,AD650,'All Donations'!$T$2:$T$4001,"&lt;="&amp;'Settings'!$D$30),2),0)</f>
        <v/>
      </c>
      <c r="AZ650">
        <f>IF(AE650=1,ROUND(SUMIFS('All Donations'!$S$2:$S$4001,'All Donations'!$R$2:$R$4001,AD650,'All Donations'!$T$2:$T$4001,"&lt;="&amp;'Settings'!$D$34),2),0)</f>
        <v/>
      </c>
    </row>
    <row r="651">
      <c r="A651">
        <f>IF(AE651=1,TRIM(TRIM('Roster'!B651)&amp;" "&amp;TRIM('Roster'!C651)),"")</f>
        <v/>
      </c>
      <c r="B651">
        <f>IF(AE651=1,IF(AN651="","(no teacher)",AN651&amp;" – "&amp;C651),"")</f>
        <v/>
      </c>
      <c r="C651">
        <f>IF(AE651=1,TRIM('Roster'!D651&amp;""),"")</f>
        <v/>
      </c>
      <c r="D651" s="48">
        <f>IF(AE651=1,ROUND(SUMIFS('All Donations'!$S$2:$S$4001,'All Donations'!$R$2:$R$4001,AD651),2),"")</f>
        <v/>
      </c>
      <c r="E651" s="48">
        <f>IF(AE651=1,ROUND(SUMIFS('All Donations'!$S$2:$S$4001,'All Donations'!$R$2:$R$4001,AD651,'All Donations'!$G$2:$G$4001,"OneCause"),2),"")</f>
        <v/>
      </c>
      <c r="F651" s="48">
        <f>IF(AE651=1,D651-E651,"")</f>
        <v/>
      </c>
      <c r="G651">
        <f>IF(AE651=1,COUNTIFS('All Donations'!$R$2:$R$4001,AD651,'All Donations'!$H$2:$H$4001,"OK"),"")</f>
        <v/>
      </c>
      <c r="H651">
        <f>IF(AE651&lt;&gt;1,"",IF(D651&gt;0,"Yes",""))</f>
        <v/>
      </c>
      <c r="I651" s="49">
        <f>IF(OR($AE651&lt;&gt;1,I$1=""),"",SUMIFS('All Donations'!$S$2:$S$4001,'All Donations'!$R$2:$R$4001,$AD651,'All Donations'!$T$2:$T$4001,I$1))</f>
        <v/>
      </c>
      <c r="J651" s="49">
        <f>IF(OR($AE651&lt;&gt;1,J$1=""),"",SUMIFS('All Donations'!$S$2:$S$4001,'All Donations'!$R$2:$R$4001,$AD651,'All Donations'!$T$2:$T$4001,J$1))</f>
        <v/>
      </c>
      <c r="K651" s="49">
        <f>IF(OR($AE651&lt;&gt;1,K$1=""),"",SUMIFS('All Donations'!$S$2:$S$4001,'All Donations'!$R$2:$R$4001,$AD651,'All Donations'!$T$2:$T$4001,K$1))</f>
        <v/>
      </c>
      <c r="L651" s="49">
        <f>IF(OR($AE651&lt;&gt;1,L$1=""),"",SUMIFS('All Donations'!$S$2:$S$4001,'All Donations'!$R$2:$R$4001,$AD651,'All Donations'!$T$2:$T$4001,L$1))</f>
        <v/>
      </c>
      <c r="M651" s="49">
        <f>IF(OR($AE651&lt;&gt;1,M$1=""),"",SUMIFS('All Donations'!$S$2:$S$4001,'All Donations'!$R$2:$R$4001,$AD651,'All Donations'!$T$2:$T$4001,M$1))</f>
        <v/>
      </c>
      <c r="N651" s="49">
        <f>IF(OR($AE651&lt;&gt;1,N$1=""),"",SUMIFS('All Donations'!$S$2:$S$4001,'All Donations'!$R$2:$R$4001,$AD651,'All Donations'!$T$2:$T$4001,N$1))</f>
        <v/>
      </c>
      <c r="O651" s="49">
        <f>IF(OR($AE651&lt;&gt;1,O$1=""),"",SUMIFS('All Donations'!$S$2:$S$4001,'All Donations'!$R$2:$R$4001,$AD651,'All Donations'!$T$2:$T$4001,O$1))</f>
        <v/>
      </c>
      <c r="P651" s="49">
        <f>IF(OR($AE651&lt;&gt;1,P$1=""),"",SUMIFS('All Donations'!$S$2:$S$4001,'All Donations'!$R$2:$R$4001,$AD651,'All Donations'!$T$2:$T$4001,P$1))</f>
        <v/>
      </c>
      <c r="Q651" s="49">
        <f>IF(OR($AE651&lt;&gt;1,Q$1=""),"",SUMIFS('All Donations'!$S$2:$S$4001,'All Donations'!$R$2:$R$4001,$AD651,'All Donations'!$T$2:$T$4001,Q$1))</f>
        <v/>
      </c>
      <c r="R651" s="49">
        <f>IF(OR($AE651&lt;&gt;1,R$1=""),"",SUMIFS('All Donations'!$S$2:$S$4001,'All Donations'!$R$2:$R$4001,$AD651,'All Donations'!$T$2:$T$4001,R$1))</f>
        <v/>
      </c>
      <c r="S651" s="49">
        <f>IF(OR($AE651&lt;&gt;1,S$1=""),"",SUMIFS('All Donations'!$S$2:$S$4001,'All Donations'!$R$2:$R$4001,$AD651,'All Donations'!$T$2:$T$4001,S$1))</f>
        <v/>
      </c>
      <c r="T651" s="49">
        <f>IF(OR($AE651&lt;&gt;1,T$1=""),"",SUMIFS('All Donations'!$S$2:$S$4001,'All Donations'!$R$2:$R$4001,$AD651,'All Donations'!$T$2:$T$4001,T$1))</f>
        <v/>
      </c>
      <c r="U651" s="49">
        <f>IF(OR($AE651&lt;&gt;1,U$1=""),"",SUMIFS('All Donations'!$S$2:$S$4001,'All Donations'!$R$2:$R$4001,$AD651,'All Donations'!$T$2:$T$4001,U$1))</f>
        <v/>
      </c>
      <c r="V651" s="49">
        <f>IF(OR($AE651&lt;&gt;1,V$1=""),"",SUMIFS('All Donations'!$S$2:$S$4001,'All Donations'!$R$2:$R$4001,$AD651,'All Donations'!$T$2:$T$4001,V$1))</f>
        <v/>
      </c>
      <c r="W651" s="49">
        <f>IF(OR($AE651&lt;&gt;1,W$1=""),"",SUMIFS('All Donations'!$S$2:$S$4001,'All Donations'!$R$2:$R$4001,$AD651,'All Donations'!$T$2:$T$4001,W$1))</f>
        <v/>
      </c>
      <c r="X651" s="49">
        <f>IF(OR($AE651&lt;&gt;1,X$1=""),"",SUMIFS('All Donations'!$S$2:$S$4001,'All Donations'!$R$2:$R$4001,$AD651,'All Donations'!$T$2:$T$4001,X$1))</f>
        <v/>
      </c>
      <c r="Y651" s="49">
        <f>IF(OR($AE651&lt;&gt;1,Y$1=""),"",SUMIFS('All Donations'!$S$2:$S$4001,'All Donations'!$R$2:$R$4001,$AD651,'All Donations'!$T$2:$T$4001,Y$1))</f>
        <v/>
      </c>
      <c r="Z651" s="49">
        <f>IF(OR($AE651&lt;&gt;1,Z$1=""),"",SUMIFS('All Donations'!$S$2:$S$4001,'All Donations'!$R$2:$R$4001,$AD651,'All Donations'!$T$2:$T$4001,Z$1))</f>
        <v/>
      </c>
      <c r="AA651" s="49">
        <f>IF(OR($AE651&lt;&gt;1,AA$1=""),"",SUMIFS('All Donations'!$S$2:$S$4001,'All Donations'!$R$2:$R$4001,$AD651,'All Donations'!$T$2:$T$4001,AA$1))</f>
        <v/>
      </c>
      <c r="AB651" s="49">
        <f>IF(OR($AE651&lt;&gt;1,AB$1=""),"",SUMIFS('All Donations'!$S$2:$S$4001,'All Donations'!$R$2:$R$4001,$AD651,'All Donations'!$T$2:$T$4001,AB$1))</f>
        <v/>
      </c>
      <c r="AC651" s="49">
        <f>IF(OR($AE651&lt;&gt;1,AC$1=""),"",SUMIFS('All Donations'!$S$2:$S$4001,'All Donations'!$R$2:$R$4001,$AD651,'All Donations'!$T$2:$T$4001,AC$1))</f>
        <v/>
      </c>
      <c r="AD651">
        <f>IF(AE651=1,'Roster'!A651,"")</f>
        <v/>
      </c>
      <c r="AE651">
        <f>IF(TRIM('Roster'!B651&amp;'Roster'!C651)&lt;&gt;"",1,0)</f>
        <v/>
      </c>
      <c r="AF651">
        <f>IF(AE651=1,LOWER(A651),"#")</f>
        <v/>
      </c>
      <c r="AG651">
        <f>IF(AE651=1,LOWER(TRIM(TRIM('Roster'!C651)&amp;", "&amp;TRIM('Roster'!B651))),"#")</f>
        <v/>
      </c>
      <c r="AH651">
        <f>IF(AND(AE651=1,TRIM('Roster'!F651)&lt;&gt;""),LOWER(TRIM('Roster'!F651)),"#")</f>
        <v/>
      </c>
      <c r="AI651">
        <f>IF(AE651=1,IF(MATCH(B651,$B$2:$B$701,0)=ROW()-1,1,0),0)</f>
        <v/>
      </c>
      <c r="AJ651">
        <f>AJ650+AI651</f>
        <v/>
      </c>
      <c r="AK651">
        <f>IF(AE651=1,D651+(1000-ROW())/10^7,-1)</f>
        <v/>
      </c>
      <c r="AL651">
        <f>IF(AE651=1,TRIM('Roster'!B651)&amp;" "&amp;LEFT(TRIM('Roster'!C651),1)&amp;".","")</f>
        <v/>
      </c>
      <c r="AM651">
        <f>IF(AE651=1,TRIM('Roster'!C651)&amp;", "&amp;TRIM('Roster'!B651)&amp;" ("&amp;B651&amp;") #"&amp;AD651,"")</f>
        <v/>
      </c>
      <c r="AN651">
        <f>IF(AE651=1,TRIM('Roster'!E651),"")</f>
        <v/>
      </c>
      <c r="AO651">
        <f>IF(AE651=1,ROUND(SUMIFS('All Donations'!$S$2:$S$4001,'All Donations'!$R$2:$R$4001,AD651,'All Donations'!$T$2:$T$4001,"&gt;="&amp;'Settings'!$C$23,'All Donations'!$T$2:$T$4001,"&lt;="&amp;'Settings'!$D$23),2),0)</f>
        <v/>
      </c>
      <c r="AQ651">
        <f>IF(AE651=1,ROUND(SUMIFS('All Donations'!$S$2:$S$4001,'All Donations'!$R$2:$R$4001,AD651,'All Donations'!$T$2:$T$4001,"&gt;="&amp;'Settings'!$C$25,'All Donations'!$T$2:$T$4001,"&lt;="&amp;'Settings'!$D$25),2),0)</f>
        <v/>
      </c>
      <c r="AR651">
        <f>IF(AE651=1,ROUND(SUMIFS('All Donations'!$S$2:$S$4001,'All Donations'!$R$2:$R$4001,AD651,'All Donations'!$T$2:$T$4001,"&gt;="&amp;'Settings'!$C$26,'All Donations'!$T$2:$T$4001,"&lt;="&amp;'Settings'!$D$26),2),0)</f>
        <v/>
      </c>
      <c r="AS651">
        <f>IF(AE651=1,ROUND(SUMIFS('All Donations'!$S$2:$S$4001,'All Donations'!$R$2:$R$4001,AD651,'All Donations'!$T$2:$T$4001,"&lt;="&amp;'Settings'!$D$27),2),0)</f>
        <v/>
      </c>
      <c r="AT651">
        <f>IF(AE651=1,ROUND(SUMIFS('All Donations'!$S$2:$S$4001,'All Donations'!$R$2:$R$4001,AD651,'All Donations'!$T$2:$T$4001,"&gt;="&amp;'Settings'!$C$28,'All Donations'!$T$2:$T$4001,"&lt;="&amp;'Settings'!$D$28),2),0)</f>
        <v/>
      </c>
      <c r="AU651">
        <f>IF(AE651=1,ROUND(SUMIFS('All Donations'!$S$2:$S$4001,'All Donations'!$R$2:$R$4001,AD651,'All Donations'!$T$2:$T$4001,"&gt;="&amp;'Settings'!$C$29,'All Donations'!$T$2:$T$4001,"&lt;="&amp;'Settings'!$D$29),2),0)</f>
        <v/>
      </c>
      <c r="AV651">
        <f>IF(AE651=1,ROUND(SUMIFS('All Donations'!$S$2:$S$4001,'All Donations'!$R$2:$R$4001,AD651,'All Donations'!$T$2:$T$4001,"&lt;="&amp;'Settings'!$D$30),2),0)</f>
        <v/>
      </c>
      <c r="AZ651">
        <f>IF(AE651=1,ROUND(SUMIFS('All Donations'!$S$2:$S$4001,'All Donations'!$R$2:$R$4001,AD651,'All Donations'!$T$2:$T$4001,"&lt;="&amp;'Settings'!$D$34),2),0)</f>
        <v/>
      </c>
    </row>
    <row r="652">
      <c r="A652">
        <f>IF(AE652=1,TRIM(TRIM('Roster'!B652)&amp;" "&amp;TRIM('Roster'!C652)),"")</f>
        <v/>
      </c>
      <c r="B652">
        <f>IF(AE652=1,IF(AN652="","(no teacher)",AN652&amp;" – "&amp;C652),"")</f>
        <v/>
      </c>
      <c r="C652">
        <f>IF(AE652=1,TRIM('Roster'!D652&amp;""),"")</f>
        <v/>
      </c>
      <c r="D652" s="48">
        <f>IF(AE652=1,ROUND(SUMIFS('All Donations'!$S$2:$S$4001,'All Donations'!$R$2:$R$4001,AD652),2),"")</f>
        <v/>
      </c>
      <c r="E652" s="48">
        <f>IF(AE652=1,ROUND(SUMIFS('All Donations'!$S$2:$S$4001,'All Donations'!$R$2:$R$4001,AD652,'All Donations'!$G$2:$G$4001,"OneCause"),2),"")</f>
        <v/>
      </c>
      <c r="F652" s="48">
        <f>IF(AE652=1,D652-E652,"")</f>
        <v/>
      </c>
      <c r="G652">
        <f>IF(AE652=1,COUNTIFS('All Donations'!$R$2:$R$4001,AD652,'All Donations'!$H$2:$H$4001,"OK"),"")</f>
        <v/>
      </c>
      <c r="H652">
        <f>IF(AE652&lt;&gt;1,"",IF(D652&gt;0,"Yes",""))</f>
        <v/>
      </c>
      <c r="I652" s="49">
        <f>IF(OR($AE652&lt;&gt;1,I$1=""),"",SUMIFS('All Donations'!$S$2:$S$4001,'All Donations'!$R$2:$R$4001,$AD652,'All Donations'!$T$2:$T$4001,I$1))</f>
        <v/>
      </c>
      <c r="J652" s="49">
        <f>IF(OR($AE652&lt;&gt;1,J$1=""),"",SUMIFS('All Donations'!$S$2:$S$4001,'All Donations'!$R$2:$R$4001,$AD652,'All Donations'!$T$2:$T$4001,J$1))</f>
        <v/>
      </c>
      <c r="K652" s="49">
        <f>IF(OR($AE652&lt;&gt;1,K$1=""),"",SUMIFS('All Donations'!$S$2:$S$4001,'All Donations'!$R$2:$R$4001,$AD652,'All Donations'!$T$2:$T$4001,K$1))</f>
        <v/>
      </c>
      <c r="L652" s="49">
        <f>IF(OR($AE652&lt;&gt;1,L$1=""),"",SUMIFS('All Donations'!$S$2:$S$4001,'All Donations'!$R$2:$R$4001,$AD652,'All Donations'!$T$2:$T$4001,L$1))</f>
        <v/>
      </c>
      <c r="M652" s="49">
        <f>IF(OR($AE652&lt;&gt;1,M$1=""),"",SUMIFS('All Donations'!$S$2:$S$4001,'All Donations'!$R$2:$R$4001,$AD652,'All Donations'!$T$2:$T$4001,M$1))</f>
        <v/>
      </c>
      <c r="N652" s="49">
        <f>IF(OR($AE652&lt;&gt;1,N$1=""),"",SUMIFS('All Donations'!$S$2:$S$4001,'All Donations'!$R$2:$R$4001,$AD652,'All Donations'!$T$2:$T$4001,N$1))</f>
        <v/>
      </c>
      <c r="O652" s="49">
        <f>IF(OR($AE652&lt;&gt;1,O$1=""),"",SUMIFS('All Donations'!$S$2:$S$4001,'All Donations'!$R$2:$R$4001,$AD652,'All Donations'!$T$2:$T$4001,O$1))</f>
        <v/>
      </c>
      <c r="P652" s="49">
        <f>IF(OR($AE652&lt;&gt;1,P$1=""),"",SUMIFS('All Donations'!$S$2:$S$4001,'All Donations'!$R$2:$R$4001,$AD652,'All Donations'!$T$2:$T$4001,P$1))</f>
        <v/>
      </c>
      <c r="Q652" s="49">
        <f>IF(OR($AE652&lt;&gt;1,Q$1=""),"",SUMIFS('All Donations'!$S$2:$S$4001,'All Donations'!$R$2:$R$4001,$AD652,'All Donations'!$T$2:$T$4001,Q$1))</f>
        <v/>
      </c>
      <c r="R652" s="49">
        <f>IF(OR($AE652&lt;&gt;1,R$1=""),"",SUMIFS('All Donations'!$S$2:$S$4001,'All Donations'!$R$2:$R$4001,$AD652,'All Donations'!$T$2:$T$4001,R$1))</f>
        <v/>
      </c>
      <c r="S652" s="49">
        <f>IF(OR($AE652&lt;&gt;1,S$1=""),"",SUMIFS('All Donations'!$S$2:$S$4001,'All Donations'!$R$2:$R$4001,$AD652,'All Donations'!$T$2:$T$4001,S$1))</f>
        <v/>
      </c>
      <c r="T652" s="49">
        <f>IF(OR($AE652&lt;&gt;1,T$1=""),"",SUMIFS('All Donations'!$S$2:$S$4001,'All Donations'!$R$2:$R$4001,$AD652,'All Donations'!$T$2:$T$4001,T$1))</f>
        <v/>
      </c>
      <c r="U652" s="49">
        <f>IF(OR($AE652&lt;&gt;1,U$1=""),"",SUMIFS('All Donations'!$S$2:$S$4001,'All Donations'!$R$2:$R$4001,$AD652,'All Donations'!$T$2:$T$4001,U$1))</f>
        <v/>
      </c>
      <c r="V652" s="49">
        <f>IF(OR($AE652&lt;&gt;1,V$1=""),"",SUMIFS('All Donations'!$S$2:$S$4001,'All Donations'!$R$2:$R$4001,$AD652,'All Donations'!$T$2:$T$4001,V$1))</f>
        <v/>
      </c>
      <c r="W652" s="49">
        <f>IF(OR($AE652&lt;&gt;1,W$1=""),"",SUMIFS('All Donations'!$S$2:$S$4001,'All Donations'!$R$2:$R$4001,$AD652,'All Donations'!$T$2:$T$4001,W$1))</f>
        <v/>
      </c>
      <c r="X652" s="49">
        <f>IF(OR($AE652&lt;&gt;1,X$1=""),"",SUMIFS('All Donations'!$S$2:$S$4001,'All Donations'!$R$2:$R$4001,$AD652,'All Donations'!$T$2:$T$4001,X$1))</f>
        <v/>
      </c>
      <c r="Y652" s="49">
        <f>IF(OR($AE652&lt;&gt;1,Y$1=""),"",SUMIFS('All Donations'!$S$2:$S$4001,'All Donations'!$R$2:$R$4001,$AD652,'All Donations'!$T$2:$T$4001,Y$1))</f>
        <v/>
      </c>
      <c r="Z652" s="49">
        <f>IF(OR($AE652&lt;&gt;1,Z$1=""),"",SUMIFS('All Donations'!$S$2:$S$4001,'All Donations'!$R$2:$R$4001,$AD652,'All Donations'!$T$2:$T$4001,Z$1))</f>
        <v/>
      </c>
      <c r="AA652" s="49">
        <f>IF(OR($AE652&lt;&gt;1,AA$1=""),"",SUMIFS('All Donations'!$S$2:$S$4001,'All Donations'!$R$2:$R$4001,$AD652,'All Donations'!$T$2:$T$4001,AA$1))</f>
        <v/>
      </c>
      <c r="AB652" s="49">
        <f>IF(OR($AE652&lt;&gt;1,AB$1=""),"",SUMIFS('All Donations'!$S$2:$S$4001,'All Donations'!$R$2:$R$4001,$AD652,'All Donations'!$T$2:$T$4001,AB$1))</f>
        <v/>
      </c>
      <c r="AC652" s="49">
        <f>IF(OR($AE652&lt;&gt;1,AC$1=""),"",SUMIFS('All Donations'!$S$2:$S$4001,'All Donations'!$R$2:$R$4001,$AD652,'All Donations'!$T$2:$T$4001,AC$1))</f>
        <v/>
      </c>
      <c r="AD652">
        <f>IF(AE652=1,'Roster'!A652,"")</f>
        <v/>
      </c>
      <c r="AE652">
        <f>IF(TRIM('Roster'!B652&amp;'Roster'!C652)&lt;&gt;"",1,0)</f>
        <v/>
      </c>
      <c r="AF652">
        <f>IF(AE652=1,LOWER(A652),"#")</f>
        <v/>
      </c>
      <c r="AG652">
        <f>IF(AE652=1,LOWER(TRIM(TRIM('Roster'!C652)&amp;", "&amp;TRIM('Roster'!B652))),"#")</f>
        <v/>
      </c>
      <c r="AH652">
        <f>IF(AND(AE652=1,TRIM('Roster'!F652)&lt;&gt;""),LOWER(TRIM('Roster'!F652)),"#")</f>
        <v/>
      </c>
      <c r="AI652">
        <f>IF(AE652=1,IF(MATCH(B652,$B$2:$B$701,0)=ROW()-1,1,0),0)</f>
        <v/>
      </c>
      <c r="AJ652">
        <f>AJ651+AI652</f>
        <v/>
      </c>
      <c r="AK652">
        <f>IF(AE652=1,D652+(1000-ROW())/10^7,-1)</f>
        <v/>
      </c>
      <c r="AL652">
        <f>IF(AE652=1,TRIM('Roster'!B652)&amp;" "&amp;LEFT(TRIM('Roster'!C652),1)&amp;".","")</f>
        <v/>
      </c>
      <c r="AM652">
        <f>IF(AE652=1,TRIM('Roster'!C652)&amp;", "&amp;TRIM('Roster'!B652)&amp;" ("&amp;B652&amp;") #"&amp;AD652,"")</f>
        <v/>
      </c>
      <c r="AN652">
        <f>IF(AE652=1,TRIM('Roster'!E652),"")</f>
        <v/>
      </c>
      <c r="AO652">
        <f>IF(AE652=1,ROUND(SUMIFS('All Donations'!$S$2:$S$4001,'All Donations'!$R$2:$R$4001,AD652,'All Donations'!$T$2:$T$4001,"&gt;="&amp;'Settings'!$C$23,'All Donations'!$T$2:$T$4001,"&lt;="&amp;'Settings'!$D$23),2),0)</f>
        <v/>
      </c>
      <c r="AQ652">
        <f>IF(AE652=1,ROUND(SUMIFS('All Donations'!$S$2:$S$4001,'All Donations'!$R$2:$R$4001,AD652,'All Donations'!$T$2:$T$4001,"&gt;="&amp;'Settings'!$C$25,'All Donations'!$T$2:$T$4001,"&lt;="&amp;'Settings'!$D$25),2),0)</f>
        <v/>
      </c>
      <c r="AR652">
        <f>IF(AE652=1,ROUND(SUMIFS('All Donations'!$S$2:$S$4001,'All Donations'!$R$2:$R$4001,AD652,'All Donations'!$T$2:$T$4001,"&gt;="&amp;'Settings'!$C$26,'All Donations'!$T$2:$T$4001,"&lt;="&amp;'Settings'!$D$26),2),0)</f>
        <v/>
      </c>
      <c r="AS652">
        <f>IF(AE652=1,ROUND(SUMIFS('All Donations'!$S$2:$S$4001,'All Donations'!$R$2:$R$4001,AD652,'All Donations'!$T$2:$T$4001,"&lt;="&amp;'Settings'!$D$27),2),0)</f>
        <v/>
      </c>
      <c r="AT652">
        <f>IF(AE652=1,ROUND(SUMIFS('All Donations'!$S$2:$S$4001,'All Donations'!$R$2:$R$4001,AD652,'All Donations'!$T$2:$T$4001,"&gt;="&amp;'Settings'!$C$28,'All Donations'!$T$2:$T$4001,"&lt;="&amp;'Settings'!$D$28),2),0)</f>
        <v/>
      </c>
      <c r="AU652">
        <f>IF(AE652=1,ROUND(SUMIFS('All Donations'!$S$2:$S$4001,'All Donations'!$R$2:$R$4001,AD652,'All Donations'!$T$2:$T$4001,"&gt;="&amp;'Settings'!$C$29,'All Donations'!$T$2:$T$4001,"&lt;="&amp;'Settings'!$D$29),2),0)</f>
        <v/>
      </c>
      <c r="AV652">
        <f>IF(AE652=1,ROUND(SUMIFS('All Donations'!$S$2:$S$4001,'All Donations'!$R$2:$R$4001,AD652,'All Donations'!$T$2:$T$4001,"&lt;="&amp;'Settings'!$D$30),2),0)</f>
        <v/>
      </c>
      <c r="AZ652">
        <f>IF(AE652=1,ROUND(SUMIFS('All Donations'!$S$2:$S$4001,'All Donations'!$R$2:$R$4001,AD652,'All Donations'!$T$2:$T$4001,"&lt;="&amp;'Settings'!$D$34),2),0)</f>
        <v/>
      </c>
    </row>
    <row r="653">
      <c r="A653">
        <f>IF(AE653=1,TRIM(TRIM('Roster'!B653)&amp;" "&amp;TRIM('Roster'!C653)),"")</f>
        <v/>
      </c>
      <c r="B653">
        <f>IF(AE653=1,IF(AN653="","(no teacher)",AN653&amp;" – "&amp;C653),"")</f>
        <v/>
      </c>
      <c r="C653">
        <f>IF(AE653=1,TRIM('Roster'!D653&amp;""),"")</f>
        <v/>
      </c>
      <c r="D653" s="48">
        <f>IF(AE653=1,ROUND(SUMIFS('All Donations'!$S$2:$S$4001,'All Donations'!$R$2:$R$4001,AD653),2),"")</f>
        <v/>
      </c>
      <c r="E653" s="48">
        <f>IF(AE653=1,ROUND(SUMIFS('All Donations'!$S$2:$S$4001,'All Donations'!$R$2:$R$4001,AD653,'All Donations'!$G$2:$G$4001,"OneCause"),2),"")</f>
        <v/>
      </c>
      <c r="F653" s="48">
        <f>IF(AE653=1,D653-E653,"")</f>
        <v/>
      </c>
      <c r="G653">
        <f>IF(AE653=1,COUNTIFS('All Donations'!$R$2:$R$4001,AD653,'All Donations'!$H$2:$H$4001,"OK"),"")</f>
        <v/>
      </c>
      <c r="H653">
        <f>IF(AE653&lt;&gt;1,"",IF(D653&gt;0,"Yes",""))</f>
        <v/>
      </c>
      <c r="I653" s="49">
        <f>IF(OR($AE653&lt;&gt;1,I$1=""),"",SUMIFS('All Donations'!$S$2:$S$4001,'All Donations'!$R$2:$R$4001,$AD653,'All Donations'!$T$2:$T$4001,I$1))</f>
        <v/>
      </c>
      <c r="J653" s="49">
        <f>IF(OR($AE653&lt;&gt;1,J$1=""),"",SUMIFS('All Donations'!$S$2:$S$4001,'All Donations'!$R$2:$R$4001,$AD653,'All Donations'!$T$2:$T$4001,J$1))</f>
        <v/>
      </c>
      <c r="K653" s="49">
        <f>IF(OR($AE653&lt;&gt;1,K$1=""),"",SUMIFS('All Donations'!$S$2:$S$4001,'All Donations'!$R$2:$R$4001,$AD653,'All Donations'!$T$2:$T$4001,K$1))</f>
        <v/>
      </c>
      <c r="L653" s="49">
        <f>IF(OR($AE653&lt;&gt;1,L$1=""),"",SUMIFS('All Donations'!$S$2:$S$4001,'All Donations'!$R$2:$R$4001,$AD653,'All Donations'!$T$2:$T$4001,L$1))</f>
        <v/>
      </c>
      <c r="M653" s="49">
        <f>IF(OR($AE653&lt;&gt;1,M$1=""),"",SUMIFS('All Donations'!$S$2:$S$4001,'All Donations'!$R$2:$R$4001,$AD653,'All Donations'!$T$2:$T$4001,M$1))</f>
        <v/>
      </c>
      <c r="N653" s="49">
        <f>IF(OR($AE653&lt;&gt;1,N$1=""),"",SUMIFS('All Donations'!$S$2:$S$4001,'All Donations'!$R$2:$R$4001,$AD653,'All Donations'!$T$2:$T$4001,N$1))</f>
        <v/>
      </c>
      <c r="O653" s="49">
        <f>IF(OR($AE653&lt;&gt;1,O$1=""),"",SUMIFS('All Donations'!$S$2:$S$4001,'All Donations'!$R$2:$R$4001,$AD653,'All Donations'!$T$2:$T$4001,O$1))</f>
        <v/>
      </c>
      <c r="P653" s="49">
        <f>IF(OR($AE653&lt;&gt;1,P$1=""),"",SUMIFS('All Donations'!$S$2:$S$4001,'All Donations'!$R$2:$R$4001,$AD653,'All Donations'!$T$2:$T$4001,P$1))</f>
        <v/>
      </c>
      <c r="Q653" s="49">
        <f>IF(OR($AE653&lt;&gt;1,Q$1=""),"",SUMIFS('All Donations'!$S$2:$S$4001,'All Donations'!$R$2:$R$4001,$AD653,'All Donations'!$T$2:$T$4001,Q$1))</f>
        <v/>
      </c>
      <c r="R653" s="49">
        <f>IF(OR($AE653&lt;&gt;1,R$1=""),"",SUMIFS('All Donations'!$S$2:$S$4001,'All Donations'!$R$2:$R$4001,$AD653,'All Donations'!$T$2:$T$4001,R$1))</f>
        <v/>
      </c>
      <c r="S653" s="49">
        <f>IF(OR($AE653&lt;&gt;1,S$1=""),"",SUMIFS('All Donations'!$S$2:$S$4001,'All Donations'!$R$2:$R$4001,$AD653,'All Donations'!$T$2:$T$4001,S$1))</f>
        <v/>
      </c>
      <c r="T653" s="49">
        <f>IF(OR($AE653&lt;&gt;1,T$1=""),"",SUMIFS('All Donations'!$S$2:$S$4001,'All Donations'!$R$2:$R$4001,$AD653,'All Donations'!$T$2:$T$4001,T$1))</f>
        <v/>
      </c>
      <c r="U653" s="49">
        <f>IF(OR($AE653&lt;&gt;1,U$1=""),"",SUMIFS('All Donations'!$S$2:$S$4001,'All Donations'!$R$2:$R$4001,$AD653,'All Donations'!$T$2:$T$4001,U$1))</f>
        <v/>
      </c>
      <c r="V653" s="49">
        <f>IF(OR($AE653&lt;&gt;1,V$1=""),"",SUMIFS('All Donations'!$S$2:$S$4001,'All Donations'!$R$2:$R$4001,$AD653,'All Donations'!$T$2:$T$4001,V$1))</f>
        <v/>
      </c>
      <c r="W653" s="49">
        <f>IF(OR($AE653&lt;&gt;1,W$1=""),"",SUMIFS('All Donations'!$S$2:$S$4001,'All Donations'!$R$2:$R$4001,$AD653,'All Donations'!$T$2:$T$4001,W$1))</f>
        <v/>
      </c>
      <c r="X653" s="49">
        <f>IF(OR($AE653&lt;&gt;1,X$1=""),"",SUMIFS('All Donations'!$S$2:$S$4001,'All Donations'!$R$2:$R$4001,$AD653,'All Donations'!$T$2:$T$4001,X$1))</f>
        <v/>
      </c>
      <c r="Y653" s="49">
        <f>IF(OR($AE653&lt;&gt;1,Y$1=""),"",SUMIFS('All Donations'!$S$2:$S$4001,'All Donations'!$R$2:$R$4001,$AD653,'All Donations'!$T$2:$T$4001,Y$1))</f>
        <v/>
      </c>
      <c r="Z653" s="49">
        <f>IF(OR($AE653&lt;&gt;1,Z$1=""),"",SUMIFS('All Donations'!$S$2:$S$4001,'All Donations'!$R$2:$R$4001,$AD653,'All Donations'!$T$2:$T$4001,Z$1))</f>
        <v/>
      </c>
      <c r="AA653" s="49">
        <f>IF(OR($AE653&lt;&gt;1,AA$1=""),"",SUMIFS('All Donations'!$S$2:$S$4001,'All Donations'!$R$2:$R$4001,$AD653,'All Donations'!$T$2:$T$4001,AA$1))</f>
        <v/>
      </c>
      <c r="AB653" s="49">
        <f>IF(OR($AE653&lt;&gt;1,AB$1=""),"",SUMIFS('All Donations'!$S$2:$S$4001,'All Donations'!$R$2:$R$4001,$AD653,'All Donations'!$T$2:$T$4001,AB$1))</f>
        <v/>
      </c>
      <c r="AC653" s="49">
        <f>IF(OR($AE653&lt;&gt;1,AC$1=""),"",SUMIFS('All Donations'!$S$2:$S$4001,'All Donations'!$R$2:$R$4001,$AD653,'All Donations'!$T$2:$T$4001,AC$1))</f>
        <v/>
      </c>
      <c r="AD653">
        <f>IF(AE653=1,'Roster'!A653,"")</f>
        <v/>
      </c>
      <c r="AE653">
        <f>IF(TRIM('Roster'!B653&amp;'Roster'!C653)&lt;&gt;"",1,0)</f>
        <v/>
      </c>
      <c r="AF653">
        <f>IF(AE653=1,LOWER(A653),"#")</f>
        <v/>
      </c>
      <c r="AG653">
        <f>IF(AE653=1,LOWER(TRIM(TRIM('Roster'!C653)&amp;", "&amp;TRIM('Roster'!B653))),"#")</f>
        <v/>
      </c>
      <c r="AH653">
        <f>IF(AND(AE653=1,TRIM('Roster'!F653)&lt;&gt;""),LOWER(TRIM('Roster'!F653)),"#")</f>
        <v/>
      </c>
      <c r="AI653">
        <f>IF(AE653=1,IF(MATCH(B653,$B$2:$B$701,0)=ROW()-1,1,0),0)</f>
        <v/>
      </c>
      <c r="AJ653">
        <f>AJ652+AI653</f>
        <v/>
      </c>
      <c r="AK653">
        <f>IF(AE653=1,D653+(1000-ROW())/10^7,-1)</f>
        <v/>
      </c>
      <c r="AL653">
        <f>IF(AE653=1,TRIM('Roster'!B653)&amp;" "&amp;LEFT(TRIM('Roster'!C653),1)&amp;".","")</f>
        <v/>
      </c>
      <c r="AM653">
        <f>IF(AE653=1,TRIM('Roster'!C653)&amp;", "&amp;TRIM('Roster'!B653)&amp;" ("&amp;B653&amp;") #"&amp;AD653,"")</f>
        <v/>
      </c>
      <c r="AN653">
        <f>IF(AE653=1,TRIM('Roster'!E653),"")</f>
        <v/>
      </c>
      <c r="AO653">
        <f>IF(AE653=1,ROUND(SUMIFS('All Donations'!$S$2:$S$4001,'All Donations'!$R$2:$R$4001,AD653,'All Donations'!$T$2:$T$4001,"&gt;="&amp;'Settings'!$C$23,'All Donations'!$T$2:$T$4001,"&lt;="&amp;'Settings'!$D$23),2),0)</f>
        <v/>
      </c>
      <c r="AQ653">
        <f>IF(AE653=1,ROUND(SUMIFS('All Donations'!$S$2:$S$4001,'All Donations'!$R$2:$R$4001,AD653,'All Donations'!$T$2:$T$4001,"&gt;="&amp;'Settings'!$C$25,'All Donations'!$T$2:$T$4001,"&lt;="&amp;'Settings'!$D$25),2),0)</f>
        <v/>
      </c>
      <c r="AR653">
        <f>IF(AE653=1,ROUND(SUMIFS('All Donations'!$S$2:$S$4001,'All Donations'!$R$2:$R$4001,AD653,'All Donations'!$T$2:$T$4001,"&gt;="&amp;'Settings'!$C$26,'All Donations'!$T$2:$T$4001,"&lt;="&amp;'Settings'!$D$26),2),0)</f>
        <v/>
      </c>
      <c r="AS653">
        <f>IF(AE653=1,ROUND(SUMIFS('All Donations'!$S$2:$S$4001,'All Donations'!$R$2:$R$4001,AD653,'All Donations'!$T$2:$T$4001,"&lt;="&amp;'Settings'!$D$27),2),0)</f>
        <v/>
      </c>
      <c r="AT653">
        <f>IF(AE653=1,ROUND(SUMIFS('All Donations'!$S$2:$S$4001,'All Donations'!$R$2:$R$4001,AD653,'All Donations'!$T$2:$T$4001,"&gt;="&amp;'Settings'!$C$28,'All Donations'!$T$2:$T$4001,"&lt;="&amp;'Settings'!$D$28),2),0)</f>
        <v/>
      </c>
      <c r="AU653">
        <f>IF(AE653=1,ROUND(SUMIFS('All Donations'!$S$2:$S$4001,'All Donations'!$R$2:$R$4001,AD653,'All Donations'!$T$2:$T$4001,"&gt;="&amp;'Settings'!$C$29,'All Donations'!$T$2:$T$4001,"&lt;="&amp;'Settings'!$D$29),2),0)</f>
        <v/>
      </c>
      <c r="AV653">
        <f>IF(AE653=1,ROUND(SUMIFS('All Donations'!$S$2:$S$4001,'All Donations'!$R$2:$R$4001,AD653,'All Donations'!$T$2:$T$4001,"&lt;="&amp;'Settings'!$D$30),2),0)</f>
        <v/>
      </c>
      <c r="AZ653">
        <f>IF(AE653=1,ROUND(SUMIFS('All Donations'!$S$2:$S$4001,'All Donations'!$R$2:$R$4001,AD653,'All Donations'!$T$2:$T$4001,"&lt;="&amp;'Settings'!$D$34),2),0)</f>
        <v/>
      </c>
    </row>
    <row r="654">
      <c r="A654">
        <f>IF(AE654=1,TRIM(TRIM('Roster'!B654)&amp;" "&amp;TRIM('Roster'!C654)),"")</f>
        <v/>
      </c>
      <c r="B654">
        <f>IF(AE654=1,IF(AN654="","(no teacher)",AN654&amp;" – "&amp;C654),"")</f>
        <v/>
      </c>
      <c r="C654">
        <f>IF(AE654=1,TRIM('Roster'!D654&amp;""),"")</f>
        <v/>
      </c>
      <c r="D654" s="48">
        <f>IF(AE654=1,ROUND(SUMIFS('All Donations'!$S$2:$S$4001,'All Donations'!$R$2:$R$4001,AD654),2),"")</f>
        <v/>
      </c>
      <c r="E654" s="48">
        <f>IF(AE654=1,ROUND(SUMIFS('All Donations'!$S$2:$S$4001,'All Donations'!$R$2:$R$4001,AD654,'All Donations'!$G$2:$G$4001,"OneCause"),2),"")</f>
        <v/>
      </c>
      <c r="F654" s="48">
        <f>IF(AE654=1,D654-E654,"")</f>
        <v/>
      </c>
      <c r="G654">
        <f>IF(AE654=1,COUNTIFS('All Donations'!$R$2:$R$4001,AD654,'All Donations'!$H$2:$H$4001,"OK"),"")</f>
        <v/>
      </c>
      <c r="H654">
        <f>IF(AE654&lt;&gt;1,"",IF(D654&gt;0,"Yes",""))</f>
        <v/>
      </c>
      <c r="I654" s="49">
        <f>IF(OR($AE654&lt;&gt;1,I$1=""),"",SUMIFS('All Donations'!$S$2:$S$4001,'All Donations'!$R$2:$R$4001,$AD654,'All Donations'!$T$2:$T$4001,I$1))</f>
        <v/>
      </c>
      <c r="J654" s="49">
        <f>IF(OR($AE654&lt;&gt;1,J$1=""),"",SUMIFS('All Donations'!$S$2:$S$4001,'All Donations'!$R$2:$R$4001,$AD654,'All Donations'!$T$2:$T$4001,J$1))</f>
        <v/>
      </c>
      <c r="K654" s="49">
        <f>IF(OR($AE654&lt;&gt;1,K$1=""),"",SUMIFS('All Donations'!$S$2:$S$4001,'All Donations'!$R$2:$R$4001,$AD654,'All Donations'!$T$2:$T$4001,K$1))</f>
        <v/>
      </c>
      <c r="L654" s="49">
        <f>IF(OR($AE654&lt;&gt;1,L$1=""),"",SUMIFS('All Donations'!$S$2:$S$4001,'All Donations'!$R$2:$R$4001,$AD654,'All Donations'!$T$2:$T$4001,L$1))</f>
        <v/>
      </c>
      <c r="M654" s="49">
        <f>IF(OR($AE654&lt;&gt;1,M$1=""),"",SUMIFS('All Donations'!$S$2:$S$4001,'All Donations'!$R$2:$R$4001,$AD654,'All Donations'!$T$2:$T$4001,M$1))</f>
        <v/>
      </c>
      <c r="N654" s="49">
        <f>IF(OR($AE654&lt;&gt;1,N$1=""),"",SUMIFS('All Donations'!$S$2:$S$4001,'All Donations'!$R$2:$R$4001,$AD654,'All Donations'!$T$2:$T$4001,N$1))</f>
        <v/>
      </c>
      <c r="O654" s="49">
        <f>IF(OR($AE654&lt;&gt;1,O$1=""),"",SUMIFS('All Donations'!$S$2:$S$4001,'All Donations'!$R$2:$R$4001,$AD654,'All Donations'!$T$2:$T$4001,O$1))</f>
        <v/>
      </c>
      <c r="P654" s="49">
        <f>IF(OR($AE654&lt;&gt;1,P$1=""),"",SUMIFS('All Donations'!$S$2:$S$4001,'All Donations'!$R$2:$R$4001,$AD654,'All Donations'!$T$2:$T$4001,P$1))</f>
        <v/>
      </c>
      <c r="Q654" s="49">
        <f>IF(OR($AE654&lt;&gt;1,Q$1=""),"",SUMIFS('All Donations'!$S$2:$S$4001,'All Donations'!$R$2:$R$4001,$AD654,'All Donations'!$T$2:$T$4001,Q$1))</f>
        <v/>
      </c>
      <c r="R654" s="49">
        <f>IF(OR($AE654&lt;&gt;1,R$1=""),"",SUMIFS('All Donations'!$S$2:$S$4001,'All Donations'!$R$2:$R$4001,$AD654,'All Donations'!$T$2:$T$4001,R$1))</f>
        <v/>
      </c>
      <c r="S654" s="49">
        <f>IF(OR($AE654&lt;&gt;1,S$1=""),"",SUMIFS('All Donations'!$S$2:$S$4001,'All Donations'!$R$2:$R$4001,$AD654,'All Donations'!$T$2:$T$4001,S$1))</f>
        <v/>
      </c>
      <c r="T654" s="49">
        <f>IF(OR($AE654&lt;&gt;1,T$1=""),"",SUMIFS('All Donations'!$S$2:$S$4001,'All Donations'!$R$2:$R$4001,$AD654,'All Donations'!$T$2:$T$4001,T$1))</f>
        <v/>
      </c>
      <c r="U654" s="49">
        <f>IF(OR($AE654&lt;&gt;1,U$1=""),"",SUMIFS('All Donations'!$S$2:$S$4001,'All Donations'!$R$2:$R$4001,$AD654,'All Donations'!$T$2:$T$4001,U$1))</f>
        <v/>
      </c>
      <c r="V654" s="49">
        <f>IF(OR($AE654&lt;&gt;1,V$1=""),"",SUMIFS('All Donations'!$S$2:$S$4001,'All Donations'!$R$2:$R$4001,$AD654,'All Donations'!$T$2:$T$4001,V$1))</f>
        <v/>
      </c>
      <c r="W654" s="49">
        <f>IF(OR($AE654&lt;&gt;1,W$1=""),"",SUMIFS('All Donations'!$S$2:$S$4001,'All Donations'!$R$2:$R$4001,$AD654,'All Donations'!$T$2:$T$4001,W$1))</f>
        <v/>
      </c>
      <c r="X654" s="49">
        <f>IF(OR($AE654&lt;&gt;1,X$1=""),"",SUMIFS('All Donations'!$S$2:$S$4001,'All Donations'!$R$2:$R$4001,$AD654,'All Donations'!$T$2:$T$4001,X$1))</f>
        <v/>
      </c>
      <c r="Y654" s="49">
        <f>IF(OR($AE654&lt;&gt;1,Y$1=""),"",SUMIFS('All Donations'!$S$2:$S$4001,'All Donations'!$R$2:$R$4001,$AD654,'All Donations'!$T$2:$T$4001,Y$1))</f>
        <v/>
      </c>
      <c r="Z654" s="49">
        <f>IF(OR($AE654&lt;&gt;1,Z$1=""),"",SUMIFS('All Donations'!$S$2:$S$4001,'All Donations'!$R$2:$R$4001,$AD654,'All Donations'!$T$2:$T$4001,Z$1))</f>
        <v/>
      </c>
      <c r="AA654" s="49">
        <f>IF(OR($AE654&lt;&gt;1,AA$1=""),"",SUMIFS('All Donations'!$S$2:$S$4001,'All Donations'!$R$2:$R$4001,$AD654,'All Donations'!$T$2:$T$4001,AA$1))</f>
        <v/>
      </c>
      <c r="AB654" s="49">
        <f>IF(OR($AE654&lt;&gt;1,AB$1=""),"",SUMIFS('All Donations'!$S$2:$S$4001,'All Donations'!$R$2:$R$4001,$AD654,'All Donations'!$T$2:$T$4001,AB$1))</f>
        <v/>
      </c>
      <c r="AC654" s="49">
        <f>IF(OR($AE654&lt;&gt;1,AC$1=""),"",SUMIFS('All Donations'!$S$2:$S$4001,'All Donations'!$R$2:$R$4001,$AD654,'All Donations'!$T$2:$T$4001,AC$1))</f>
        <v/>
      </c>
      <c r="AD654">
        <f>IF(AE654=1,'Roster'!A654,"")</f>
        <v/>
      </c>
      <c r="AE654">
        <f>IF(TRIM('Roster'!B654&amp;'Roster'!C654)&lt;&gt;"",1,0)</f>
        <v/>
      </c>
      <c r="AF654">
        <f>IF(AE654=1,LOWER(A654),"#")</f>
        <v/>
      </c>
      <c r="AG654">
        <f>IF(AE654=1,LOWER(TRIM(TRIM('Roster'!C654)&amp;", "&amp;TRIM('Roster'!B654))),"#")</f>
        <v/>
      </c>
      <c r="AH654">
        <f>IF(AND(AE654=1,TRIM('Roster'!F654)&lt;&gt;""),LOWER(TRIM('Roster'!F654)),"#")</f>
        <v/>
      </c>
      <c r="AI654">
        <f>IF(AE654=1,IF(MATCH(B654,$B$2:$B$701,0)=ROW()-1,1,0),0)</f>
        <v/>
      </c>
      <c r="AJ654">
        <f>AJ653+AI654</f>
        <v/>
      </c>
      <c r="AK654">
        <f>IF(AE654=1,D654+(1000-ROW())/10^7,-1)</f>
        <v/>
      </c>
      <c r="AL654">
        <f>IF(AE654=1,TRIM('Roster'!B654)&amp;" "&amp;LEFT(TRIM('Roster'!C654),1)&amp;".","")</f>
        <v/>
      </c>
      <c r="AM654">
        <f>IF(AE654=1,TRIM('Roster'!C654)&amp;", "&amp;TRIM('Roster'!B654)&amp;" ("&amp;B654&amp;") #"&amp;AD654,"")</f>
        <v/>
      </c>
      <c r="AN654">
        <f>IF(AE654=1,TRIM('Roster'!E654),"")</f>
        <v/>
      </c>
      <c r="AO654">
        <f>IF(AE654=1,ROUND(SUMIFS('All Donations'!$S$2:$S$4001,'All Donations'!$R$2:$R$4001,AD654,'All Donations'!$T$2:$T$4001,"&gt;="&amp;'Settings'!$C$23,'All Donations'!$T$2:$T$4001,"&lt;="&amp;'Settings'!$D$23),2),0)</f>
        <v/>
      </c>
      <c r="AQ654">
        <f>IF(AE654=1,ROUND(SUMIFS('All Donations'!$S$2:$S$4001,'All Donations'!$R$2:$R$4001,AD654,'All Donations'!$T$2:$T$4001,"&gt;="&amp;'Settings'!$C$25,'All Donations'!$T$2:$T$4001,"&lt;="&amp;'Settings'!$D$25),2),0)</f>
        <v/>
      </c>
      <c r="AR654">
        <f>IF(AE654=1,ROUND(SUMIFS('All Donations'!$S$2:$S$4001,'All Donations'!$R$2:$R$4001,AD654,'All Donations'!$T$2:$T$4001,"&gt;="&amp;'Settings'!$C$26,'All Donations'!$T$2:$T$4001,"&lt;="&amp;'Settings'!$D$26),2),0)</f>
        <v/>
      </c>
      <c r="AS654">
        <f>IF(AE654=1,ROUND(SUMIFS('All Donations'!$S$2:$S$4001,'All Donations'!$R$2:$R$4001,AD654,'All Donations'!$T$2:$T$4001,"&lt;="&amp;'Settings'!$D$27),2),0)</f>
        <v/>
      </c>
      <c r="AT654">
        <f>IF(AE654=1,ROUND(SUMIFS('All Donations'!$S$2:$S$4001,'All Donations'!$R$2:$R$4001,AD654,'All Donations'!$T$2:$T$4001,"&gt;="&amp;'Settings'!$C$28,'All Donations'!$T$2:$T$4001,"&lt;="&amp;'Settings'!$D$28),2),0)</f>
        <v/>
      </c>
      <c r="AU654">
        <f>IF(AE654=1,ROUND(SUMIFS('All Donations'!$S$2:$S$4001,'All Donations'!$R$2:$R$4001,AD654,'All Donations'!$T$2:$T$4001,"&gt;="&amp;'Settings'!$C$29,'All Donations'!$T$2:$T$4001,"&lt;="&amp;'Settings'!$D$29),2),0)</f>
        <v/>
      </c>
      <c r="AV654">
        <f>IF(AE654=1,ROUND(SUMIFS('All Donations'!$S$2:$S$4001,'All Donations'!$R$2:$R$4001,AD654,'All Donations'!$T$2:$T$4001,"&lt;="&amp;'Settings'!$D$30),2),0)</f>
        <v/>
      </c>
      <c r="AZ654">
        <f>IF(AE654=1,ROUND(SUMIFS('All Donations'!$S$2:$S$4001,'All Donations'!$R$2:$R$4001,AD654,'All Donations'!$T$2:$T$4001,"&lt;="&amp;'Settings'!$D$34),2),0)</f>
        <v/>
      </c>
    </row>
    <row r="655">
      <c r="A655">
        <f>IF(AE655=1,TRIM(TRIM('Roster'!B655)&amp;" "&amp;TRIM('Roster'!C655)),"")</f>
        <v/>
      </c>
      <c r="B655">
        <f>IF(AE655=1,IF(AN655="","(no teacher)",AN655&amp;" – "&amp;C655),"")</f>
        <v/>
      </c>
      <c r="C655">
        <f>IF(AE655=1,TRIM('Roster'!D655&amp;""),"")</f>
        <v/>
      </c>
      <c r="D655" s="48">
        <f>IF(AE655=1,ROUND(SUMIFS('All Donations'!$S$2:$S$4001,'All Donations'!$R$2:$R$4001,AD655),2),"")</f>
        <v/>
      </c>
      <c r="E655" s="48">
        <f>IF(AE655=1,ROUND(SUMIFS('All Donations'!$S$2:$S$4001,'All Donations'!$R$2:$R$4001,AD655,'All Donations'!$G$2:$G$4001,"OneCause"),2),"")</f>
        <v/>
      </c>
      <c r="F655" s="48">
        <f>IF(AE655=1,D655-E655,"")</f>
        <v/>
      </c>
      <c r="G655">
        <f>IF(AE655=1,COUNTIFS('All Donations'!$R$2:$R$4001,AD655,'All Donations'!$H$2:$H$4001,"OK"),"")</f>
        <v/>
      </c>
      <c r="H655">
        <f>IF(AE655&lt;&gt;1,"",IF(D655&gt;0,"Yes",""))</f>
        <v/>
      </c>
      <c r="I655" s="49">
        <f>IF(OR($AE655&lt;&gt;1,I$1=""),"",SUMIFS('All Donations'!$S$2:$S$4001,'All Donations'!$R$2:$R$4001,$AD655,'All Donations'!$T$2:$T$4001,I$1))</f>
        <v/>
      </c>
      <c r="J655" s="49">
        <f>IF(OR($AE655&lt;&gt;1,J$1=""),"",SUMIFS('All Donations'!$S$2:$S$4001,'All Donations'!$R$2:$R$4001,$AD655,'All Donations'!$T$2:$T$4001,J$1))</f>
        <v/>
      </c>
      <c r="K655" s="49">
        <f>IF(OR($AE655&lt;&gt;1,K$1=""),"",SUMIFS('All Donations'!$S$2:$S$4001,'All Donations'!$R$2:$R$4001,$AD655,'All Donations'!$T$2:$T$4001,K$1))</f>
        <v/>
      </c>
      <c r="L655" s="49">
        <f>IF(OR($AE655&lt;&gt;1,L$1=""),"",SUMIFS('All Donations'!$S$2:$S$4001,'All Donations'!$R$2:$R$4001,$AD655,'All Donations'!$T$2:$T$4001,L$1))</f>
        <v/>
      </c>
      <c r="M655" s="49">
        <f>IF(OR($AE655&lt;&gt;1,M$1=""),"",SUMIFS('All Donations'!$S$2:$S$4001,'All Donations'!$R$2:$R$4001,$AD655,'All Donations'!$T$2:$T$4001,M$1))</f>
        <v/>
      </c>
      <c r="N655" s="49">
        <f>IF(OR($AE655&lt;&gt;1,N$1=""),"",SUMIFS('All Donations'!$S$2:$S$4001,'All Donations'!$R$2:$R$4001,$AD655,'All Donations'!$T$2:$T$4001,N$1))</f>
        <v/>
      </c>
      <c r="O655" s="49">
        <f>IF(OR($AE655&lt;&gt;1,O$1=""),"",SUMIFS('All Donations'!$S$2:$S$4001,'All Donations'!$R$2:$R$4001,$AD655,'All Donations'!$T$2:$T$4001,O$1))</f>
        <v/>
      </c>
      <c r="P655" s="49">
        <f>IF(OR($AE655&lt;&gt;1,P$1=""),"",SUMIFS('All Donations'!$S$2:$S$4001,'All Donations'!$R$2:$R$4001,$AD655,'All Donations'!$T$2:$T$4001,P$1))</f>
        <v/>
      </c>
      <c r="Q655" s="49">
        <f>IF(OR($AE655&lt;&gt;1,Q$1=""),"",SUMIFS('All Donations'!$S$2:$S$4001,'All Donations'!$R$2:$R$4001,$AD655,'All Donations'!$T$2:$T$4001,Q$1))</f>
        <v/>
      </c>
      <c r="R655" s="49">
        <f>IF(OR($AE655&lt;&gt;1,R$1=""),"",SUMIFS('All Donations'!$S$2:$S$4001,'All Donations'!$R$2:$R$4001,$AD655,'All Donations'!$T$2:$T$4001,R$1))</f>
        <v/>
      </c>
      <c r="S655" s="49">
        <f>IF(OR($AE655&lt;&gt;1,S$1=""),"",SUMIFS('All Donations'!$S$2:$S$4001,'All Donations'!$R$2:$R$4001,$AD655,'All Donations'!$T$2:$T$4001,S$1))</f>
        <v/>
      </c>
      <c r="T655" s="49">
        <f>IF(OR($AE655&lt;&gt;1,T$1=""),"",SUMIFS('All Donations'!$S$2:$S$4001,'All Donations'!$R$2:$R$4001,$AD655,'All Donations'!$T$2:$T$4001,T$1))</f>
        <v/>
      </c>
      <c r="U655" s="49">
        <f>IF(OR($AE655&lt;&gt;1,U$1=""),"",SUMIFS('All Donations'!$S$2:$S$4001,'All Donations'!$R$2:$R$4001,$AD655,'All Donations'!$T$2:$T$4001,U$1))</f>
        <v/>
      </c>
      <c r="V655" s="49">
        <f>IF(OR($AE655&lt;&gt;1,V$1=""),"",SUMIFS('All Donations'!$S$2:$S$4001,'All Donations'!$R$2:$R$4001,$AD655,'All Donations'!$T$2:$T$4001,V$1))</f>
        <v/>
      </c>
      <c r="W655" s="49">
        <f>IF(OR($AE655&lt;&gt;1,W$1=""),"",SUMIFS('All Donations'!$S$2:$S$4001,'All Donations'!$R$2:$R$4001,$AD655,'All Donations'!$T$2:$T$4001,W$1))</f>
        <v/>
      </c>
      <c r="X655" s="49">
        <f>IF(OR($AE655&lt;&gt;1,X$1=""),"",SUMIFS('All Donations'!$S$2:$S$4001,'All Donations'!$R$2:$R$4001,$AD655,'All Donations'!$T$2:$T$4001,X$1))</f>
        <v/>
      </c>
      <c r="Y655" s="49">
        <f>IF(OR($AE655&lt;&gt;1,Y$1=""),"",SUMIFS('All Donations'!$S$2:$S$4001,'All Donations'!$R$2:$R$4001,$AD655,'All Donations'!$T$2:$T$4001,Y$1))</f>
        <v/>
      </c>
      <c r="Z655" s="49">
        <f>IF(OR($AE655&lt;&gt;1,Z$1=""),"",SUMIFS('All Donations'!$S$2:$S$4001,'All Donations'!$R$2:$R$4001,$AD655,'All Donations'!$T$2:$T$4001,Z$1))</f>
        <v/>
      </c>
      <c r="AA655" s="49">
        <f>IF(OR($AE655&lt;&gt;1,AA$1=""),"",SUMIFS('All Donations'!$S$2:$S$4001,'All Donations'!$R$2:$R$4001,$AD655,'All Donations'!$T$2:$T$4001,AA$1))</f>
        <v/>
      </c>
      <c r="AB655" s="49">
        <f>IF(OR($AE655&lt;&gt;1,AB$1=""),"",SUMIFS('All Donations'!$S$2:$S$4001,'All Donations'!$R$2:$R$4001,$AD655,'All Donations'!$T$2:$T$4001,AB$1))</f>
        <v/>
      </c>
      <c r="AC655" s="49">
        <f>IF(OR($AE655&lt;&gt;1,AC$1=""),"",SUMIFS('All Donations'!$S$2:$S$4001,'All Donations'!$R$2:$R$4001,$AD655,'All Donations'!$T$2:$T$4001,AC$1))</f>
        <v/>
      </c>
      <c r="AD655">
        <f>IF(AE655=1,'Roster'!A655,"")</f>
        <v/>
      </c>
      <c r="AE655">
        <f>IF(TRIM('Roster'!B655&amp;'Roster'!C655)&lt;&gt;"",1,0)</f>
        <v/>
      </c>
      <c r="AF655">
        <f>IF(AE655=1,LOWER(A655),"#")</f>
        <v/>
      </c>
      <c r="AG655">
        <f>IF(AE655=1,LOWER(TRIM(TRIM('Roster'!C655)&amp;", "&amp;TRIM('Roster'!B655))),"#")</f>
        <v/>
      </c>
      <c r="AH655">
        <f>IF(AND(AE655=1,TRIM('Roster'!F655)&lt;&gt;""),LOWER(TRIM('Roster'!F655)),"#")</f>
        <v/>
      </c>
      <c r="AI655">
        <f>IF(AE655=1,IF(MATCH(B655,$B$2:$B$701,0)=ROW()-1,1,0),0)</f>
        <v/>
      </c>
      <c r="AJ655">
        <f>AJ654+AI655</f>
        <v/>
      </c>
      <c r="AK655">
        <f>IF(AE655=1,D655+(1000-ROW())/10^7,-1)</f>
        <v/>
      </c>
      <c r="AL655">
        <f>IF(AE655=1,TRIM('Roster'!B655)&amp;" "&amp;LEFT(TRIM('Roster'!C655),1)&amp;".","")</f>
        <v/>
      </c>
      <c r="AM655">
        <f>IF(AE655=1,TRIM('Roster'!C655)&amp;", "&amp;TRIM('Roster'!B655)&amp;" ("&amp;B655&amp;") #"&amp;AD655,"")</f>
        <v/>
      </c>
      <c r="AN655">
        <f>IF(AE655=1,TRIM('Roster'!E655),"")</f>
        <v/>
      </c>
      <c r="AO655">
        <f>IF(AE655=1,ROUND(SUMIFS('All Donations'!$S$2:$S$4001,'All Donations'!$R$2:$R$4001,AD655,'All Donations'!$T$2:$T$4001,"&gt;="&amp;'Settings'!$C$23,'All Donations'!$T$2:$T$4001,"&lt;="&amp;'Settings'!$D$23),2),0)</f>
        <v/>
      </c>
      <c r="AQ655">
        <f>IF(AE655=1,ROUND(SUMIFS('All Donations'!$S$2:$S$4001,'All Donations'!$R$2:$R$4001,AD655,'All Donations'!$T$2:$T$4001,"&gt;="&amp;'Settings'!$C$25,'All Donations'!$T$2:$T$4001,"&lt;="&amp;'Settings'!$D$25),2),0)</f>
        <v/>
      </c>
      <c r="AR655">
        <f>IF(AE655=1,ROUND(SUMIFS('All Donations'!$S$2:$S$4001,'All Donations'!$R$2:$R$4001,AD655,'All Donations'!$T$2:$T$4001,"&gt;="&amp;'Settings'!$C$26,'All Donations'!$T$2:$T$4001,"&lt;="&amp;'Settings'!$D$26),2),0)</f>
        <v/>
      </c>
      <c r="AS655">
        <f>IF(AE655=1,ROUND(SUMIFS('All Donations'!$S$2:$S$4001,'All Donations'!$R$2:$R$4001,AD655,'All Donations'!$T$2:$T$4001,"&lt;="&amp;'Settings'!$D$27),2),0)</f>
        <v/>
      </c>
      <c r="AT655">
        <f>IF(AE655=1,ROUND(SUMIFS('All Donations'!$S$2:$S$4001,'All Donations'!$R$2:$R$4001,AD655,'All Donations'!$T$2:$T$4001,"&gt;="&amp;'Settings'!$C$28,'All Donations'!$T$2:$T$4001,"&lt;="&amp;'Settings'!$D$28),2),0)</f>
        <v/>
      </c>
      <c r="AU655">
        <f>IF(AE655=1,ROUND(SUMIFS('All Donations'!$S$2:$S$4001,'All Donations'!$R$2:$R$4001,AD655,'All Donations'!$T$2:$T$4001,"&gt;="&amp;'Settings'!$C$29,'All Donations'!$T$2:$T$4001,"&lt;="&amp;'Settings'!$D$29),2),0)</f>
        <v/>
      </c>
      <c r="AV655">
        <f>IF(AE655=1,ROUND(SUMIFS('All Donations'!$S$2:$S$4001,'All Donations'!$R$2:$R$4001,AD655,'All Donations'!$T$2:$T$4001,"&lt;="&amp;'Settings'!$D$30),2),0)</f>
        <v/>
      </c>
      <c r="AZ655">
        <f>IF(AE655=1,ROUND(SUMIFS('All Donations'!$S$2:$S$4001,'All Donations'!$R$2:$R$4001,AD655,'All Donations'!$T$2:$T$4001,"&lt;="&amp;'Settings'!$D$34),2),0)</f>
        <v/>
      </c>
    </row>
    <row r="656">
      <c r="A656">
        <f>IF(AE656=1,TRIM(TRIM('Roster'!B656)&amp;" "&amp;TRIM('Roster'!C656)),"")</f>
        <v/>
      </c>
      <c r="B656">
        <f>IF(AE656=1,IF(AN656="","(no teacher)",AN656&amp;" – "&amp;C656),"")</f>
        <v/>
      </c>
      <c r="C656">
        <f>IF(AE656=1,TRIM('Roster'!D656&amp;""),"")</f>
        <v/>
      </c>
      <c r="D656" s="48">
        <f>IF(AE656=1,ROUND(SUMIFS('All Donations'!$S$2:$S$4001,'All Donations'!$R$2:$R$4001,AD656),2),"")</f>
        <v/>
      </c>
      <c r="E656" s="48">
        <f>IF(AE656=1,ROUND(SUMIFS('All Donations'!$S$2:$S$4001,'All Donations'!$R$2:$R$4001,AD656,'All Donations'!$G$2:$G$4001,"OneCause"),2),"")</f>
        <v/>
      </c>
      <c r="F656" s="48">
        <f>IF(AE656=1,D656-E656,"")</f>
        <v/>
      </c>
      <c r="G656">
        <f>IF(AE656=1,COUNTIFS('All Donations'!$R$2:$R$4001,AD656,'All Donations'!$H$2:$H$4001,"OK"),"")</f>
        <v/>
      </c>
      <c r="H656">
        <f>IF(AE656&lt;&gt;1,"",IF(D656&gt;0,"Yes",""))</f>
        <v/>
      </c>
      <c r="I656" s="49">
        <f>IF(OR($AE656&lt;&gt;1,I$1=""),"",SUMIFS('All Donations'!$S$2:$S$4001,'All Donations'!$R$2:$R$4001,$AD656,'All Donations'!$T$2:$T$4001,I$1))</f>
        <v/>
      </c>
      <c r="J656" s="49">
        <f>IF(OR($AE656&lt;&gt;1,J$1=""),"",SUMIFS('All Donations'!$S$2:$S$4001,'All Donations'!$R$2:$R$4001,$AD656,'All Donations'!$T$2:$T$4001,J$1))</f>
        <v/>
      </c>
      <c r="K656" s="49">
        <f>IF(OR($AE656&lt;&gt;1,K$1=""),"",SUMIFS('All Donations'!$S$2:$S$4001,'All Donations'!$R$2:$R$4001,$AD656,'All Donations'!$T$2:$T$4001,K$1))</f>
        <v/>
      </c>
      <c r="L656" s="49">
        <f>IF(OR($AE656&lt;&gt;1,L$1=""),"",SUMIFS('All Donations'!$S$2:$S$4001,'All Donations'!$R$2:$R$4001,$AD656,'All Donations'!$T$2:$T$4001,L$1))</f>
        <v/>
      </c>
      <c r="M656" s="49">
        <f>IF(OR($AE656&lt;&gt;1,M$1=""),"",SUMIFS('All Donations'!$S$2:$S$4001,'All Donations'!$R$2:$R$4001,$AD656,'All Donations'!$T$2:$T$4001,M$1))</f>
        <v/>
      </c>
      <c r="N656" s="49">
        <f>IF(OR($AE656&lt;&gt;1,N$1=""),"",SUMIFS('All Donations'!$S$2:$S$4001,'All Donations'!$R$2:$R$4001,$AD656,'All Donations'!$T$2:$T$4001,N$1))</f>
        <v/>
      </c>
      <c r="O656" s="49">
        <f>IF(OR($AE656&lt;&gt;1,O$1=""),"",SUMIFS('All Donations'!$S$2:$S$4001,'All Donations'!$R$2:$R$4001,$AD656,'All Donations'!$T$2:$T$4001,O$1))</f>
        <v/>
      </c>
      <c r="P656" s="49">
        <f>IF(OR($AE656&lt;&gt;1,P$1=""),"",SUMIFS('All Donations'!$S$2:$S$4001,'All Donations'!$R$2:$R$4001,$AD656,'All Donations'!$T$2:$T$4001,P$1))</f>
        <v/>
      </c>
      <c r="Q656" s="49">
        <f>IF(OR($AE656&lt;&gt;1,Q$1=""),"",SUMIFS('All Donations'!$S$2:$S$4001,'All Donations'!$R$2:$R$4001,$AD656,'All Donations'!$T$2:$T$4001,Q$1))</f>
        <v/>
      </c>
      <c r="R656" s="49">
        <f>IF(OR($AE656&lt;&gt;1,R$1=""),"",SUMIFS('All Donations'!$S$2:$S$4001,'All Donations'!$R$2:$R$4001,$AD656,'All Donations'!$T$2:$T$4001,R$1))</f>
        <v/>
      </c>
      <c r="S656" s="49">
        <f>IF(OR($AE656&lt;&gt;1,S$1=""),"",SUMIFS('All Donations'!$S$2:$S$4001,'All Donations'!$R$2:$R$4001,$AD656,'All Donations'!$T$2:$T$4001,S$1))</f>
        <v/>
      </c>
      <c r="T656" s="49">
        <f>IF(OR($AE656&lt;&gt;1,T$1=""),"",SUMIFS('All Donations'!$S$2:$S$4001,'All Donations'!$R$2:$R$4001,$AD656,'All Donations'!$T$2:$T$4001,T$1))</f>
        <v/>
      </c>
      <c r="U656" s="49">
        <f>IF(OR($AE656&lt;&gt;1,U$1=""),"",SUMIFS('All Donations'!$S$2:$S$4001,'All Donations'!$R$2:$R$4001,$AD656,'All Donations'!$T$2:$T$4001,U$1))</f>
        <v/>
      </c>
      <c r="V656" s="49">
        <f>IF(OR($AE656&lt;&gt;1,V$1=""),"",SUMIFS('All Donations'!$S$2:$S$4001,'All Donations'!$R$2:$R$4001,$AD656,'All Donations'!$T$2:$T$4001,V$1))</f>
        <v/>
      </c>
      <c r="W656" s="49">
        <f>IF(OR($AE656&lt;&gt;1,W$1=""),"",SUMIFS('All Donations'!$S$2:$S$4001,'All Donations'!$R$2:$R$4001,$AD656,'All Donations'!$T$2:$T$4001,W$1))</f>
        <v/>
      </c>
      <c r="X656" s="49">
        <f>IF(OR($AE656&lt;&gt;1,X$1=""),"",SUMIFS('All Donations'!$S$2:$S$4001,'All Donations'!$R$2:$R$4001,$AD656,'All Donations'!$T$2:$T$4001,X$1))</f>
        <v/>
      </c>
      <c r="Y656" s="49">
        <f>IF(OR($AE656&lt;&gt;1,Y$1=""),"",SUMIFS('All Donations'!$S$2:$S$4001,'All Donations'!$R$2:$R$4001,$AD656,'All Donations'!$T$2:$T$4001,Y$1))</f>
        <v/>
      </c>
      <c r="Z656" s="49">
        <f>IF(OR($AE656&lt;&gt;1,Z$1=""),"",SUMIFS('All Donations'!$S$2:$S$4001,'All Donations'!$R$2:$R$4001,$AD656,'All Donations'!$T$2:$T$4001,Z$1))</f>
        <v/>
      </c>
      <c r="AA656" s="49">
        <f>IF(OR($AE656&lt;&gt;1,AA$1=""),"",SUMIFS('All Donations'!$S$2:$S$4001,'All Donations'!$R$2:$R$4001,$AD656,'All Donations'!$T$2:$T$4001,AA$1))</f>
        <v/>
      </c>
      <c r="AB656" s="49">
        <f>IF(OR($AE656&lt;&gt;1,AB$1=""),"",SUMIFS('All Donations'!$S$2:$S$4001,'All Donations'!$R$2:$R$4001,$AD656,'All Donations'!$T$2:$T$4001,AB$1))</f>
        <v/>
      </c>
      <c r="AC656" s="49">
        <f>IF(OR($AE656&lt;&gt;1,AC$1=""),"",SUMIFS('All Donations'!$S$2:$S$4001,'All Donations'!$R$2:$R$4001,$AD656,'All Donations'!$T$2:$T$4001,AC$1))</f>
        <v/>
      </c>
      <c r="AD656">
        <f>IF(AE656=1,'Roster'!A656,"")</f>
        <v/>
      </c>
      <c r="AE656">
        <f>IF(TRIM('Roster'!B656&amp;'Roster'!C656)&lt;&gt;"",1,0)</f>
        <v/>
      </c>
      <c r="AF656">
        <f>IF(AE656=1,LOWER(A656),"#")</f>
        <v/>
      </c>
      <c r="AG656">
        <f>IF(AE656=1,LOWER(TRIM(TRIM('Roster'!C656)&amp;", "&amp;TRIM('Roster'!B656))),"#")</f>
        <v/>
      </c>
      <c r="AH656">
        <f>IF(AND(AE656=1,TRIM('Roster'!F656)&lt;&gt;""),LOWER(TRIM('Roster'!F656)),"#")</f>
        <v/>
      </c>
      <c r="AI656">
        <f>IF(AE656=1,IF(MATCH(B656,$B$2:$B$701,0)=ROW()-1,1,0),0)</f>
        <v/>
      </c>
      <c r="AJ656">
        <f>AJ655+AI656</f>
        <v/>
      </c>
      <c r="AK656">
        <f>IF(AE656=1,D656+(1000-ROW())/10^7,-1)</f>
        <v/>
      </c>
      <c r="AL656">
        <f>IF(AE656=1,TRIM('Roster'!B656)&amp;" "&amp;LEFT(TRIM('Roster'!C656),1)&amp;".","")</f>
        <v/>
      </c>
      <c r="AM656">
        <f>IF(AE656=1,TRIM('Roster'!C656)&amp;", "&amp;TRIM('Roster'!B656)&amp;" ("&amp;B656&amp;") #"&amp;AD656,"")</f>
        <v/>
      </c>
      <c r="AN656">
        <f>IF(AE656=1,TRIM('Roster'!E656),"")</f>
        <v/>
      </c>
      <c r="AO656">
        <f>IF(AE656=1,ROUND(SUMIFS('All Donations'!$S$2:$S$4001,'All Donations'!$R$2:$R$4001,AD656,'All Donations'!$T$2:$T$4001,"&gt;="&amp;'Settings'!$C$23,'All Donations'!$T$2:$T$4001,"&lt;="&amp;'Settings'!$D$23),2),0)</f>
        <v/>
      </c>
      <c r="AQ656">
        <f>IF(AE656=1,ROUND(SUMIFS('All Donations'!$S$2:$S$4001,'All Donations'!$R$2:$R$4001,AD656,'All Donations'!$T$2:$T$4001,"&gt;="&amp;'Settings'!$C$25,'All Donations'!$T$2:$T$4001,"&lt;="&amp;'Settings'!$D$25),2),0)</f>
        <v/>
      </c>
      <c r="AR656">
        <f>IF(AE656=1,ROUND(SUMIFS('All Donations'!$S$2:$S$4001,'All Donations'!$R$2:$R$4001,AD656,'All Donations'!$T$2:$T$4001,"&gt;="&amp;'Settings'!$C$26,'All Donations'!$T$2:$T$4001,"&lt;="&amp;'Settings'!$D$26),2),0)</f>
        <v/>
      </c>
      <c r="AS656">
        <f>IF(AE656=1,ROUND(SUMIFS('All Donations'!$S$2:$S$4001,'All Donations'!$R$2:$R$4001,AD656,'All Donations'!$T$2:$T$4001,"&lt;="&amp;'Settings'!$D$27),2),0)</f>
        <v/>
      </c>
      <c r="AT656">
        <f>IF(AE656=1,ROUND(SUMIFS('All Donations'!$S$2:$S$4001,'All Donations'!$R$2:$R$4001,AD656,'All Donations'!$T$2:$T$4001,"&gt;="&amp;'Settings'!$C$28,'All Donations'!$T$2:$T$4001,"&lt;="&amp;'Settings'!$D$28),2),0)</f>
        <v/>
      </c>
      <c r="AU656">
        <f>IF(AE656=1,ROUND(SUMIFS('All Donations'!$S$2:$S$4001,'All Donations'!$R$2:$R$4001,AD656,'All Donations'!$T$2:$T$4001,"&gt;="&amp;'Settings'!$C$29,'All Donations'!$T$2:$T$4001,"&lt;="&amp;'Settings'!$D$29),2),0)</f>
        <v/>
      </c>
      <c r="AV656">
        <f>IF(AE656=1,ROUND(SUMIFS('All Donations'!$S$2:$S$4001,'All Donations'!$R$2:$R$4001,AD656,'All Donations'!$T$2:$T$4001,"&lt;="&amp;'Settings'!$D$30),2),0)</f>
        <v/>
      </c>
      <c r="AZ656">
        <f>IF(AE656=1,ROUND(SUMIFS('All Donations'!$S$2:$S$4001,'All Donations'!$R$2:$R$4001,AD656,'All Donations'!$T$2:$T$4001,"&lt;="&amp;'Settings'!$D$34),2),0)</f>
        <v/>
      </c>
    </row>
    <row r="657">
      <c r="A657">
        <f>IF(AE657=1,TRIM(TRIM('Roster'!B657)&amp;" "&amp;TRIM('Roster'!C657)),"")</f>
        <v/>
      </c>
      <c r="B657">
        <f>IF(AE657=1,IF(AN657="","(no teacher)",AN657&amp;" – "&amp;C657),"")</f>
        <v/>
      </c>
      <c r="C657">
        <f>IF(AE657=1,TRIM('Roster'!D657&amp;""),"")</f>
        <v/>
      </c>
      <c r="D657" s="48">
        <f>IF(AE657=1,ROUND(SUMIFS('All Donations'!$S$2:$S$4001,'All Donations'!$R$2:$R$4001,AD657),2),"")</f>
        <v/>
      </c>
      <c r="E657" s="48">
        <f>IF(AE657=1,ROUND(SUMIFS('All Donations'!$S$2:$S$4001,'All Donations'!$R$2:$R$4001,AD657,'All Donations'!$G$2:$G$4001,"OneCause"),2),"")</f>
        <v/>
      </c>
      <c r="F657" s="48">
        <f>IF(AE657=1,D657-E657,"")</f>
        <v/>
      </c>
      <c r="G657">
        <f>IF(AE657=1,COUNTIFS('All Donations'!$R$2:$R$4001,AD657,'All Donations'!$H$2:$H$4001,"OK"),"")</f>
        <v/>
      </c>
      <c r="H657">
        <f>IF(AE657&lt;&gt;1,"",IF(D657&gt;0,"Yes",""))</f>
        <v/>
      </c>
      <c r="I657" s="49">
        <f>IF(OR($AE657&lt;&gt;1,I$1=""),"",SUMIFS('All Donations'!$S$2:$S$4001,'All Donations'!$R$2:$R$4001,$AD657,'All Donations'!$T$2:$T$4001,I$1))</f>
        <v/>
      </c>
      <c r="J657" s="49">
        <f>IF(OR($AE657&lt;&gt;1,J$1=""),"",SUMIFS('All Donations'!$S$2:$S$4001,'All Donations'!$R$2:$R$4001,$AD657,'All Donations'!$T$2:$T$4001,J$1))</f>
        <v/>
      </c>
      <c r="K657" s="49">
        <f>IF(OR($AE657&lt;&gt;1,K$1=""),"",SUMIFS('All Donations'!$S$2:$S$4001,'All Donations'!$R$2:$R$4001,$AD657,'All Donations'!$T$2:$T$4001,K$1))</f>
        <v/>
      </c>
      <c r="L657" s="49">
        <f>IF(OR($AE657&lt;&gt;1,L$1=""),"",SUMIFS('All Donations'!$S$2:$S$4001,'All Donations'!$R$2:$R$4001,$AD657,'All Donations'!$T$2:$T$4001,L$1))</f>
        <v/>
      </c>
      <c r="M657" s="49">
        <f>IF(OR($AE657&lt;&gt;1,M$1=""),"",SUMIFS('All Donations'!$S$2:$S$4001,'All Donations'!$R$2:$R$4001,$AD657,'All Donations'!$T$2:$T$4001,M$1))</f>
        <v/>
      </c>
      <c r="N657" s="49">
        <f>IF(OR($AE657&lt;&gt;1,N$1=""),"",SUMIFS('All Donations'!$S$2:$S$4001,'All Donations'!$R$2:$R$4001,$AD657,'All Donations'!$T$2:$T$4001,N$1))</f>
        <v/>
      </c>
      <c r="O657" s="49">
        <f>IF(OR($AE657&lt;&gt;1,O$1=""),"",SUMIFS('All Donations'!$S$2:$S$4001,'All Donations'!$R$2:$R$4001,$AD657,'All Donations'!$T$2:$T$4001,O$1))</f>
        <v/>
      </c>
      <c r="P657" s="49">
        <f>IF(OR($AE657&lt;&gt;1,P$1=""),"",SUMIFS('All Donations'!$S$2:$S$4001,'All Donations'!$R$2:$R$4001,$AD657,'All Donations'!$T$2:$T$4001,P$1))</f>
        <v/>
      </c>
      <c r="Q657" s="49">
        <f>IF(OR($AE657&lt;&gt;1,Q$1=""),"",SUMIFS('All Donations'!$S$2:$S$4001,'All Donations'!$R$2:$R$4001,$AD657,'All Donations'!$T$2:$T$4001,Q$1))</f>
        <v/>
      </c>
      <c r="R657" s="49">
        <f>IF(OR($AE657&lt;&gt;1,R$1=""),"",SUMIFS('All Donations'!$S$2:$S$4001,'All Donations'!$R$2:$R$4001,$AD657,'All Donations'!$T$2:$T$4001,R$1))</f>
        <v/>
      </c>
      <c r="S657" s="49">
        <f>IF(OR($AE657&lt;&gt;1,S$1=""),"",SUMIFS('All Donations'!$S$2:$S$4001,'All Donations'!$R$2:$R$4001,$AD657,'All Donations'!$T$2:$T$4001,S$1))</f>
        <v/>
      </c>
      <c r="T657" s="49">
        <f>IF(OR($AE657&lt;&gt;1,T$1=""),"",SUMIFS('All Donations'!$S$2:$S$4001,'All Donations'!$R$2:$R$4001,$AD657,'All Donations'!$T$2:$T$4001,T$1))</f>
        <v/>
      </c>
      <c r="U657" s="49">
        <f>IF(OR($AE657&lt;&gt;1,U$1=""),"",SUMIFS('All Donations'!$S$2:$S$4001,'All Donations'!$R$2:$R$4001,$AD657,'All Donations'!$T$2:$T$4001,U$1))</f>
        <v/>
      </c>
      <c r="V657" s="49">
        <f>IF(OR($AE657&lt;&gt;1,V$1=""),"",SUMIFS('All Donations'!$S$2:$S$4001,'All Donations'!$R$2:$R$4001,$AD657,'All Donations'!$T$2:$T$4001,V$1))</f>
        <v/>
      </c>
      <c r="W657" s="49">
        <f>IF(OR($AE657&lt;&gt;1,W$1=""),"",SUMIFS('All Donations'!$S$2:$S$4001,'All Donations'!$R$2:$R$4001,$AD657,'All Donations'!$T$2:$T$4001,W$1))</f>
        <v/>
      </c>
      <c r="X657" s="49">
        <f>IF(OR($AE657&lt;&gt;1,X$1=""),"",SUMIFS('All Donations'!$S$2:$S$4001,'All Donations'!$R$2:$R$4001,$AD657,'All Donations'!$T$2:$T$4001,X$1))</f>
        <v/>
      </c>
      <c r="Y657" s="49">
        <f>IF(OR($AE657&lt;&gt;1,Y$1=""),"",SUMIFS('All Donations'!$S$2:$S$4001,'All Donations'!$R$2:$R$4001,$AD657,'All Donations'!$T$2:$T$4001,Y$1))</f>
        <v/>
      </c>
      <c r="Z657" s="49">
        <f>IF(OR($AE657&lt;&gt;1,Z$1=""),"",SUMIFS('All Donations'!$S$2:$S$4001,'All Donations'!$R$2:$R$4001,$AD657,'All Donations'!$T$2:$T$4001,Z$1))</f>
        <v/>
      </c>
      <c r="AA657" s="49">
        <f>IF(OR($AE657&lt;&gt;1,AA$1=""),"",SUMIFS('All Donations'!$S$2:$S$4001,'All Donations'!$R$2:$R$4001,$AD657,'All Donations'!$T$2:$T$4001,AA$1))</f>
        <v/>
      </c>
      <c r="AB657" s="49">
        <f>IF(OR($AE657&lt;&gt;1,AB$1=""),"",SUMIFS('All Donations'!$S$2:$S$4001,'All Donations'!$R$2:$R$4001,$AD657,'All Donations'!$T$2:$T$4001,AB$1))</f>
        <v/>
      </c>
      <c r="AC657" s="49">
        <f>IF(OR($AE657&lt;&gt;1,AC$1=""),"",SUMIFS('All Donations'!$S$2:$S$4001,'All Donations'!$R$2:$R$4001,$AD657,'All Donations'!$T$2:$T$4001,AC$1))</f>
        <v/>
      </c>
      <c r="AD657">
        <f>IF(AE657=1,'Roster'!A657,"")</f>
        <v/>
      </c>
      <c r="AE657">
        <f>IF(TRIM('Roster'!B657&amp;'Roster'!C657)&lt;&gt;"",1,0)</f>
        <v/>
      </c>
      <c r="AF657">
        <f>IF(AE657=1,LOWER(A657),"#")</f>
        <v/>
      </c>
      <c r="AG657">
        <f>IF(AE657=1,LOWER(TRIM(TRIM('Roster'!C657)&amp;", "&amp;TRIM('Roster'!B657))),"#")</f>
        <v/>
      </c>
      <c r="AH657">
        <f>IF(AND(AE657=1,TRIM('Roster'!F657)&lt;&gt;""),LOWER(TRIM('Roster'!F657)),"#")</f>
        <v/>
      </c>
      <c r="AI657">
        <f>IF(AE657=1,IF(MATCH(B657,$B$2:$B$701,0)=ROW()-1,1,0),0)</f>
        <v/>
      </c>
      <c r="AJ657">
        <f>AJ656+AI657</f>
        <v/>
      </c>
      <c r="AK657">
        <f>IF(AE657=1,D657+(1000-ROW())/10^7,-1)</f>
        <v/>
      </c>
      <c r="AL657">
        <f>IF(AE657=1,TRIM('Roster'!B657)&amp;" "&amp;LEFT(TRIM('Roster'!C657),1)&amp;".","")</f>
        <v/>
      </c>
      <c r="AM657">
        <f>IF(AE657=1,TRIM('Roster'!C657)&amp;", "&amp;TRIM('Roster'!B657)&amp;" ("&amp;B657&amp;") #"&amp;AD657,"")</f>
        <v/>
      </c>
      <c r="AN657">
        <f>IF(AE657=1,TRIM('Roster'!E657),"")</f>
        <v/>
      </c>
      <c r="AO657">
        <f>IF(AE657=1,ROUND(SUMIFS('All Donations'!$S$2:$S$4001,'All Donations'!$R$2:$R$4001,AD657,'All Donations'!$T$2:$T$4001,"&gt;="&amp;'Settings'!$C$23,'All Donations'!$T$2:$T$4001,"&lt;="&amp;'Settings'!$D$23),2),0)</f>
        <v/>
      </c>
      <c r="AQ657">
        <f>IF(AE657=1,ROUND(SUMIFS('All Donations'!$S$2:$S$4001,'All Donations'!$R$2:$R$4001,AD657,'All Donations'!$T$2:$T$4001,"&gt;="&amp;'Settings'!$C$25,'All Donations'!$T$2:$T$4001,"&lt;="&amp;'Settings'!$D$25),2),0)</f>
        <v/>
      </c>
      <c r="AR657">
        <f>IF(AE657=1,ROUND(SUMIFS('All Donations'!$S$2:$S$4001,'All Donations'!$R$2:$R$4001,AD657,'All Donations'!$T$2:$T$4001,"&gt;="&amp;'Settings'!$C$26,'All Donations'!$T$2:$T$4001,"&lt;="&amp;'Settings'!$D$26),2),0)</f>
        <v/>
      </c>
      <c r="AS657">
        <f>IF(AE657=1,ROUND(SUMIFS('All Donations'!$S$2:$S$4001,'All Donations'!$R$2:$R$4001,AD657,'All Donations'!$T$2:$T$4001,"&lt;="&amp;'Settings'!$D$27),2),0)</f>
        <v/>
      </c>
      <c r="AT657">
        <f>IF(AE657=1,ROUND(SUMIFS('All Donations'!$S$2:$S$4001,'All Donations'!$R$2:$R$4001,AD657,'All Donations'!$T$2:$T$4001,"&gt;="&amp;'Settings'!$C$28,'All Donations'!$T$2:$T$4001,"&lt;="&amp;'Settings'!$D$28),2),0)</f>
        <v/>
      </c>
      <c r="AU657">
        <f>IF(AE657=1,ROUND(SUMIFS('All Donations'!$S$2:$S$4001,'All Donations'!$R$2:$R$4001,AD657,'All Donations'!$T$2:$T$4001,"&gt;="&amp;'Settings'!$C$29,'All Donations'!$T$2:$T$4001,"&lt;="&amp;'Settings'!$D$29),2),0)</f>
        <v/>
      </c>
      <c r="AV657">
        <f>IF(AE657=1,ROUND(SUMIFS('All Donations'!$S$2:$S$4001,'All Donations'!$R$2:$R$4001,AD657,'All Donations'!$T$2:$T$4001,"&lt;="&amp;'Settings'!$D$30),2),0)</f>
        <v/>
      </c>
      <c r="AZ657">
        <f>IF(AE657=1,ROUND(SUMIFS('All Donations'!$S$2:$S$4001,'All Donations'!$R$2:$R$4001,AD657,'All Donations'!$T$2:$T$4001,"&lt;="&amp;'Settings'!$D$34),2),0)</f>
        <v/>
      </c>
    </row>
    <row r="658">
      <c r="A658">
        <f>IF(AE658=1,TRIM(TRIM('Roster'!B658)&amp;" "&amp;TRIM('Roster'!C658)),"")</f>
        <v/>
      </c>
      <c r="B658">
        <f>IF(AE658=1,IF(AN658="","(no teacher)",AN658&amp;" – "&amp;C658),"")</f>
        <v/>
      </c>
      <c r="C658">
        <f>IF(AE658=1,TRIM('Roster'!D658&amp;""),"")</f>
        <v/>
      </c>
      <c r="D658" s="48">
        <f>IF(AE658=1,ROUND(SUMIFS('All Donations'!$S$2:$S$4001,'All Donations'!$R$2:$R$4001,AD658),2),"")</f>
        <v/>
      </c>
      <c r="E658" s="48">
        <f>IF(AE658=1,ROUND(SUMIFS('All Donations'!$S$2:$S$4001,'All Donations'!$R$2:$R$4001,AD658,'All Donations'!$G$2:$G$4001,"OneCause"),2),"")</f>
        <v/>
      </c>
      <c r="F658" s="48">
        <f>IF(AE658=1,D658-E658,"")</f>
        <v/>
      </c>
      <c r="G658">
        <f>IF(AE658=1,COUNTIFS('All Donations'!$R$2:$R$4001,AD658,'All Donations'!$H$2:$H$4001,"OK"),"")</f>
        <v/>
      </c>
      <c r="H658">
        <f>IF(AE658&lt;&gt;1,"",IF(D658&gt;0,"Yes",""))</f>
        <v/>
      </c>
      <c r="I658" s="49">
        <f>IF(OR($AE658&lt;&gt;1,I$1=""),"",SUMIFS('All Donations'!$S$2:$S$4001,'All Donations'!$R$2:$R$4001,$AD658,'All Donations'!$T$2:$T$4001,I$1))</f>
        <v/>
      </c>
      <c r="J658" s="49">
        <f>IF(OR($AE658&lt;&gt;1,J$1=""),"",SUMIFS('All Donations'!$S$2:$S$4001,'All Donations'!$R$2:$R$4001,$AD658,'All Donations'!$T$2:$T$4001,J$1))</f>
        <v/>
      </c>
      <c r="K658" s="49">
        <f>IF(OR($AE658&lt;&gt;1,K$1=""),"",SUMIFS('All Donations'!$S$2:$S$4001,'All Donations'!$R$2:$R$4001,$AD658,'All Donations'!$T$2:$T$4001,K$1))</f>
        <v/>
      </c>
      <c r="L658" s="49">
        <f>IF(OR($AE658&lt;&gt;1,L$1=""),"",SUMIFS('All Donations'!$S$2:$S$4001,'All Donations'!$R$2:$R$4001,$AD658,'All Donations'!$T$2:$T$4001,L$1))</f>
        <v/>
      </c>
      <c r="M658" s="49">
        <f>IF(OR($AE658&lt;&gt;1,M$1=""),"",SUMIFS('All Donations'!$S$2:$S$4001,'All Donations'!$R$2:$R$4001,$AD658,'All Donations'!$T$2:$T$4001,M$1))</f>
        <v/>
      </c>
      <c r="N658" s="49">
        <f>IF(OR($AE658&lt;&gt;1,N$1=""),"",SUMIFS('All Donations'!$S$2:$S$4001,'All Donations'!$R$2:$R$4001,$AD658,'All Donations'!$T$2:$T$4001,N$1))</f>
        <v/>
      </c>
      <c r="O658" s="49">
        <f>IF(OR($AE658&lt;&gt;1,O$1=""),"",SUMIFS('All Donations'!$S$2:$S$4001,'All Donations'!$R$2:$R$4001,$AD658,'All Donations'!$T$2:$T$4001,O$1))</f>
        <v/>
      </c>
      <c r="P658" s="49">
        <f>IF(OR($AE658&lt;&gt;1,P$1=""),"",SUMIFS('All Donations'!$S$2:$S$4001,'All Donations'!$R$2:$R$4001,$AD658,'All Donations'!$T$2:$T$4001,P$1))</f>
        <v/>
      </c>
      <c r="Q658" s="49">
        <f>IF(OR($AE658&lt;&gt;1,Q$1=""),"",SUMIFS('All Donations'!$S$2:$S$4001,'All Donations'!$R$2:$R$4001,$AD658,'All Donations'!$T$2:$T$4001,Q$1))</f>
        <v/>
      </c>
      <c r="R658" s="49">
        <f>IF(OR($AE658&lt;&gt;1,R$1=""),"",SUMIFS('All Donations'!$S$2:$S$4001,'All Donations'!$R$2:$R$4001,$AD658,'All Donations'!$T$2:$T$4001,R$1))</f>
        <v/>
      </c>
      <c r="S658" s="49">
        <f>IF(OR($AE658&lt;&gt;1,S$1=""),"",SUMIFS('All Donations'!$S$2:$S$4001,'All Donations'!$R$2:$R$4001,$AD658,'All Donations'!$T$2:$T$4001,S$1))</f>
        <v/>
      </c>
      <c r="T658" s="49">
        <f>IF(OR($AE658&lt;&gt;1,T$1=""),"",SUMIFS('All Donations'!$S$2:$S$4001,'All Donations'!$R$2:$R$4001,$AD658,'All Donations'!$T$2:$T$4001,T$1))</f>
        <v/>
      </c>
      <c r="U658" s="49">
        <f>IF(OR($AE658&lt;&gt;1,U$1=""),"",SUMIFS('All Donations'!$S$2:$S$4001,'All Donations'!$R$2:$R$4001,$AD658,'All Donations'!$T$2:$T$4001,U$1))</f>
        <v/>
      </c>
      <c r="V658" s="49">
        <f>IF(OR($AE658&lt;&gt;1,V$1=""),"",SUMIFS('All Donations'!$S$2:$S$4001,'All Donations'!$R$2:$R$4001,$AD658,'All Donations'!$T$2:$T$4001,V$1))</f>
        <v/>
      </c>
      <c r="W658" s="49">
        <f>IF(OR($AE658&lt;&gt;1,W$1=""),"",SUMIFS('All Donations'!$S$2:$S$4001,'All Donations'!$R$2:$R$4001,$AD658,'All Donations'!$T$2:$T$4001,W$1))</f>
        <v/>
      </c>
      <c r="X658" s="49">
        <f>IF(OR($AE658&lt;&gt;1,X$1=""),"",SUMIFS('All Donations'!$S$2:$S$4001,'All Donations'!$R$2:$R$4001,$AD658,'All Donations'!$T$2:$T$4001,X$1))</f>
        <v/>
      </c>
      <c r="Y658" s="49">
        <f>IF(OR($AE658&lt;&gt;1,Y$1=""),"",SUMIFS('All Donations'!$S$2:$S$4001,'All Donations'!$R$2:$R$4001,$AD658,'All Donations'!$T$2:$T$4001,Y$1))</f>
        <v/>
      </c>
      <c r="Z658" s="49">
        <f>IF(OR($AE658&lt;&gt;1,Z$1=""),"",SUMIFS('All Donations'!$S$2:$S$4001,'All Donations'!$R$2:$R$4001,$AD658,'All Donations'!$T$2:$T$4001,Z$1))</f>
        <v/>
      </c>
      <c r="AA658" s="49">
        <f>IF(OR($AE658&lt;&gt;1,AA$1=""),"",SUMIFS('All Donations'!$S$2:$S$4001,'All Donations'!$R$2:$R$4001,$AD658,'All Donations'!$T$2:$T$4001,AA$1))</f>
        <v/>
      </c>
      <c r="AB658" s="49">
        <f>IF(OR($AE658&lt;&gt;1,AB$1=""),"",SUMIFS('All Donations'!$S$2:$S$4001,'All Donations'!$R$2:$R$4001,$AD658,'All Donations'!$T$2:$T$4001,AB$1))</f>
        <v/>
      </c>
      <c r="AC658" s="49">
        <f>IF(OR($AE658&lt;&gt;1,AC$1=""),"",SUMIFS('All Donations'!$S$2:$S$4001,'All Donations'!$R$2:$R$4001,$AD658,'All Donations'!$T$2:$T$4001,AC$1))</f>
        <v/>
      </c>
      <c r="AD658">
        <f>IF(AE658=1,'Roster'!A658,"")</f>
        <v/>
      </c>
      <c r="AE658">
        <f>IF(TRIM('Roster'!B658&amp;'Roster'!C658)&lt;&gt;"",1,0)</f>
        <v/>
      </c>
      <c r="AF658">
        <f>IF(AE658=1,LOWER(A658),"#")</f>
        <v/>
      </c>
      <c r="AG658">
        <f>IF(AE658=1,LOWER(TRIM(TRIM('Roster'!C658)&amp;", "&amp;TRIM('Roster'!B658))),"#")</f>
        <v/>
      </c>
      <c r="AH658">
        <f>IF(AND(AE658=1,TRIM('Roster'!F658)&lt;&gt;""),LOWER(TRIM('Roster'!F658)),"#")</f>
        <v/>
      </c>
      <c r="AI658">
        <f>IF(AE658=1,IF(MATCH(B658,$B$2:$B$701,0)=ROW()-1,1,0),0)</f>
        <v/>
      </c>
      <c r="AJ658">
        <f>AJ657+AI658</f>
        <v/>
      </c>
      <c r="AK658">
        <f>IF(AE658=1,D658+(1000-ROW())/10^7,-1)</f>
        <v/>
      </c>
      <c r="AL658">
        <f>IF(AE658=1,TRIM('Roster'!B658)&amp;" "&amp;LEFT(TRIM('Roster'!C658),1)&amp;".","")</f>
        <v/>
      </c>
      <c r="AM658">
        <f>IF(AE658=1,TRIM('Roster'!C658)&amp;", "&amp;TRIM('Roster'!B658)&amp;" ("&amp;B658&amp;") #"&amp;AD658,"")</f>
        <v/>
      </c>
      <c r="AN658">
        <f>IF(AE658=1,TRIM('Roster'!E658),"")</f>
        <v/>
      </c>
      <c r="AO658">
        <f>IF(AE658=1,ROUND(SUMIFS('All Donations'!$S$2:$S$4001,'All Donations'!$R$2:$R$4001,AD658,'All Donations'!$T$2:$T$4001,"&gt;="&amp;'Settings'!$C$23,'All Donations'!$T$2:$T$4001,"&lt;="&amp;'Settings'!$D$23),2),0)</f>
        <v/>
      </c>
      <c r="AQ658">
        <f>IF(AE658=1,ROUND(SUMIFS('All Donations'!$S$2:$S$4001,'All Donations'!$R$2:$R$4001,AD658,'All Donations'!$T$2:$T$4001,"&gt;="&amp;'Settings'!$C$25,'All Donations'!$T$2:$T$4001,"&lt;="&amp;'Settings'!$D$25),2),0)</f>
        <v/>
      </c>
      <c r="AR658">
        <f>IF(AE658=1,ROUND(SUMIFS('All Donations'!$S$2:$S$4001,'All Donations'!$R$2:$R$4001,AD658,'All Donations'!$T$2:$T$4001,"&gt;="&amp;'Settings'!$C$26,'All Donations'!$T$2:$T$4001,"&lt;="&amp;'Settings'!$D$26),2),0)</f>
        <v/>
      </c>
      <c r="AS658">
        <f>IF(AE658=1,ROUND(SUMIFS('All Donations'!$S$2:$S$4001,'All Donations'!$R$2:$R$4001,AD658,'All Donations'!$T$2:$T$4001,"&lt;="&amp;'Settings'!$D$27),2),0)</f>
        <v/>
      </c>
      <c r="AT658">
        <f>IF(AE658=1,ROUND(SUMIFS('All Donations'!$S$2:$S$4001,'All Donations'!$R$2:$R$4001,AD658,'All Donations'!$T$2:$T$4001,"&gt;="&amp;'Settings'!$C$28,'All Donations'!$T$2:$T$4001,"&lt;="&amp;'Settings'!$D$28),2),0)</f>
        <v/>
      </c>
      <c r="AU658">
        <f>IF(AE658=1,ROUND(SUMIFS('All Donations'!$S$2:$S$4001,'All Donations'!$R$2:$R$4001,AD658,'All Donations'!$T$2:$T$4001,"&gt;="&amp;'Settings'!$C$29,'All Donations'!$T$2:$T$4001,"&lt;="&amp;'Settings'!$D$29),2),0)</f>
        <v/>
      </c>
      <c r="AV658">
        <f>IF(AE658=1,ROUND(SUMIFS('All Donations'!$S$2:$S$4001,'All Donations'!$R$2:$R$4001,AD658,'All Donations'!$T$2:$T$4001,"&lt;="&amp;'Settings'!$D$30),2),0)</f>
        <v/>
      </c>
      <c r="AZ658">
        <f>IF(AE658=1,ROUND(SUMIFS('All Donations'!$S$2:$S$4001,'All Donations'!$R$2:$R$4001,AD658,'All Donations'!$T$2:$T$4001,"&lt;="&amp;'Settings'!$D$34),2),0)</f>
        <v/>
      </c>
    </row>
    <row r="659">
      <c r="A659">
        <f>IF(AE659=1,TRIM(TRIM('Roster'!B659)&amp;" "&amp;TRIM('Roster'!C659)),"")</f>
        <v/>
      </c>
      <c r="B659">
        <f>IF(AE659=1,IF(AN659="","(no teacher)",AN659&amp;" – "&amp;C659),"")</f>
        <v/>
      </c>
      <c r="C659">
        <f>IF(AE659=1,TRIM('Roster'!D659&amp;""),"")</f>
        <v/>
      </c>
      <c r="D659" s="48">
        <f>IF(AE659=1,ROUND(SUMIFS('All Donations'!$S$2:$S$4001,'All Donations'!$R$2:$R$4001,AD659),2),"")</f>
        <v/>
      </c>
      <c r="E659" s="48">
        <f>IF(AE659=1,ROUND(SUMIFS('All Donations'!$S$2:$S$4001,'All Donations'!$R$2:$R$4001,AD659,'All Donations'!$G$2:$G$4001,"OneCause"),2),"")</f>
        <v/>
      </c>
      <c r="F659" s="48">
        <f>IF(AE659=1,D659-E659,"")</f>
        <v/>
      </c>
      <c r="G659">
        <f>IF(AE659=1,COUNTIFS('All Donations'!$R$2:$R$4001,AD659,'All Donations'!$H$2:$H$4001,"OK"),"")</f>
        <v/>
      </c>
      <c r="H659">
        <f>IF(AE659&lt;&gt;1,"",IF(D659&gt;0,"Yes",""))</f>
        <v/>
      </c>
      <c r="I659" s="49">
        <f>IF(OR($AE659&lt;&gt;1,I$1=""),"",SUMIFS('All Donations'!$S$2:$S$4001,'All Donations'!$R$2:$R$4001,$AD659,'All Donations'!$T$2:$T$4001,I$1))</f>
        <v/>
      </c>
      <c r="J659" s="49">
        <f>IF(OR($AE659&lt;&gt;1,J$1=""),"",SUMIFS('All Donations'!$S$2:$S$4001,'All Donations'!$R$2:$R$4001,$AD659,'All Donations'!$T$2:$T$4001,J$1))</f>
        <v/>
      </c>
      <c r="K659" s="49">
        <f>IF(OR($AE659&lt;&gt;1,K$1=""),"",SUMIFS('All Donations'!$S$2:$S$4001,'All Donations'!$R$2:$R$4001,$AD659,'All Donations'!$T$2:$T$4001,K$1))</f>
        <v/>
      </c>
      <c r="L659" s="49">
        <f>IF(OR($AE659&lt;&gt;1,L$1=""),"",SUMIFS('All Donations'!$S$2:$S$4001,'All Donations'!$R$2:$R$4001,$AD659,'All Donations'!$T$2:$T$4001,L$1))</f>
        <v/>
      </c>
      <c r="M659" s="49">
        <f>IF(OR($AE659&lt;&gt;1,M$1=""),"",SUMIFS('All Donations'!$S$2:$S$4001,'All Donations'!$R$2:$R$4001,$AD659,'All Donations'!$T$2:$T$4001,M$1))</f>
        <v/>
      </c>
      <c r="N659" s="49">
        <f>IF(OR($AE659&lt;&gt;1,N$1=""),"",SUMIFS('All Donations'!$S$2:$S$4001,'All Donations'!$R$2:$R$4001,$AD659,'All Donations'!$T$2:$T$4001,N$1))</f>
        <v/>
      </c>
      <c r="O659" s="49">
        <f>IF(OR($AE659&lt;&gt;1,O$1=""),"",SUMIFS('All Donations'!$S$2:$S$4001,'All Donations'!$R$2:$R$4001,$AD659,'All Donations'!$T$2:$T$4001,O$1))</f>
        <v/>
      </c>
      <c r="P659" s="49">
        <f>IF(OR($AE659&lt;&gt;1,P$1=""),"",SUMIFS('All Donations'!$S$2:$S$4001,'All Donations'!$R$2:$R$4001,$AD659,'All Donations'!$T$2:$T$4001,P$1))</f>
        <v/>
      </c>
      <c r="Q659" s="49">
        <f>IF(OR($AE659&lt;&gt;1,Q$1=""),"",SUMIFS('All Donations'!$S$2:$S$4001,'All Donations'!$R$2:$R$4001,$AD659,'All Donations'!$T$2:$T$4001,Q$1))</f>
        <v/>
      </c>
      <c r="R659" s="49">
        <f>IF(OR($AE659&lt;&gt;1,R$1=""),"",SUMIFS('All Donations'!$S$2:$S$4001,'All Donations'!$R$2:$R$4001,$AD659,'All Donations'!$T$2:$T$4001,R$1))</f>
        <v/>
      </c>
      <c r="S659" s="49">
        <f>IF(OR($AE659&lt;&gt;1,S$1=""),"",SUMIFS('All Donations'!$S$2:$S$4001,'All Donations'!$R$2:$R$4001,$AD659,'All Donations'!$T$2:$T$4001,S$1))</f>
        <v/>
      </c>
      <c r="T659" s="49">
        <f>IF(OR($AE659&lt;&gt;1,T$1=""),"",SUMIFS('All Donations'!$S$2:$S$4001,'All Donations'!$R$2:$R$4001,$AD659,'All Donations'!$T$2:$T$4001,T$1))</f>
        <v/>
      </c>
      <c r="U659" s="49">
        <f>IF(OR($AE659&lt;&gt;1,U$1=""),"",SUMIFS('All Donations'!$S$2:$S$4001,'All Donations'!$R$2:$R$4001,$AD659,'All Donations'!$T$2:$T$4001,U$1))</f>
        <v/>
      </c>
      <c r="V659" s="49">
        <f>IF(OR($AE659&lt;&gt;1,V$1=""),"",SUMIFS('All Donations'!$S$2:$S$4001,'All Donations'!$R$2:$R$4001,$AD659,'All Donations'!$T$2:$T$4001,V$1))</f>
        <v/>
      </c>
      <c r="W659" s="49">
        <f>IF(OR($AE659&lt;&gt;1,W$1=""),"",SUMIFS('All Donations'!$S$2:$S$4001,'All Donations'!$R$2:$R$4001,$AD659,'All Donations'!$T$2:$T$4001,W$1))</f>
        <v/>
      </c>
      <c r="X659" s="49">
        <f>IF(OR($AE659&lt;&gt;1,X$1=""),"",SUMIFS('All Donations'!$S$2:$S$4001,'All Donations'!$R$2:$R$4001,$AD659,'All Donations'!$T$2:$T$4001,X$1))</f>
        <v/>
      </c>
      <c r="Y659" s="49">
        <f>IF(OR($AE659&lt;&gt;1,Y$1=""),"",SUMIFS('All Donations'!$S$2:$S$4001,'All Donations'!$R$2:$R$4001,$AD659,'All Donations'!$T$2:$T$4001,Y$1))</f>
        <v/>
      </c>
      <c r="Z659" s="49">
        <f>IF(OR($AE659&lt;&gt;1,Z$1=""),"",SUMIFS('All Donations'!$S$2:$S$4001,'All Donations'!$R$2:$R$4001,$AD659,'All Donations'!$T$2:$T$4001,Z$1))</f>
        <v/>
      </c>
      <c r="AA659" s="49">
        <f>IF(OR($AE659&lt;&gt;1,AA$1=""),"",SUMIFS('All Donations'!$S$2:$S$4001,'All Donations'!$R$2:$R$4001,$AD659,'All Donations'!$T$2:$T$4001,AA$1))</f>
        <v/>
      </c>
      <c r="AB659" s="49">
        <f>IF(OR($AE659&lt;&gt;1,AB$1=""),"",SUMIFS('All Donations'!$S$2:$S$4001,'All Donations'!$R$2:$R$4001,$AD659,'All Donations'!$T$2:$T$4001,AB$1))</f>
        <v/>
      </c>
      <c r="AC659" s="49">
        <f>IF(OR($AE659&lt;&gt;1,AC$1=""),"",SUMIFS('All Donations'!$S$2:$S$4001,'All Donations'!$R$2:$R$4001,$AD659,'All Donations'!$T$2:$T$4001,AC$1))</f>
        <v/>
      </c>
      <c r="AD659">
        <f>IF(AE659=1,'Roster'!A659,"")</f>
        <v/>
      </c>
      <c r="AE659">
        <f>IF(TRIM('Roster'!B659&amp;'Roster'!C659)&lt;&gt;"",1,0)</f>
        <v/>
      </c>
      <c r="AF659">
        <f>IF(AE659=1,LOWER(A659),"#")</f>
        <v/>
      </c>
      <c r="AG659">
        <f>IF(AE659=1,LOWER(TRIM(TRIM('Roster'!C659)&amp;", "&amp;TRIM('Roster'!B659))),"#")</f>
        <v/>
      </c>
      <c r="AH659">
        <f>IF(AND(AE659=1,TRIM('Roster'!F659)&lt;&gt;""),LOWER(TRIM('Roster'!F659)),"#")</f>
        <v/>
      </c>
      <c r="AI659">
        <f>IF(AE659=1,IF(MATCH(B659,$B$2:$B$701,0)=ROW()-1,1,0),0)</f>
        <v/>
      </c>
      <c r="AJ659">
        <f>AJ658+AI659</f>
        <v/>
      </c>
      <c r="AK659">
        <f>IF(AE659=1,D659+(1000-ROW())/10^7,-1)</f>
        <v/>
      </c>
      <c r="AL659">
        <f>IF(AE659=1,TRIM('Roster'!B659)&amp;" "&amp;LEFT(TRIM('Roster'!C659),1)&amp;".","")</f>
        <v/>
      </c>
      <c r="AM659">
        <f>IF(AE659=1,TRIM('Roster'!C659)&amp;", "&amp;TRIM('Roster'!B659)&amp;" ("&amp;B659&amp;") #"&amp;AD659,"")</f>
        <v/>
      </c>
      <c r="AN659">
        <f>IF(AE659=1,TRIM('Roster'!E659),"")</f>
        <v/>
      </c>
      <c r="AO659">
        <f>IF(AE659=1,ROUND(SUMIFS('All Donations'!$S$2:$S$4001,'All Donations'!$R$2:$R$4001,AD659,'All Donations'!$T$2:$T$4001,"&gt;="&amp;'Settings'!$C$23,'All Donations'!$T$2:$T$4001,"&lt;="&amp;'Settings'!$D$23),2),0)</f>
        <v/>
      </c>
      <c r="AQ659">
        <f>IF(AE659=1,ROUND(SUMIFS('All Donations'!$S$2:$S$4001,'All Donations'!$R$2:$R$4001,AD659,'All Donations'!$T$2:$T$4001,"&gt;="&amp;'Settings'!$C$25,'All Donations'!$T$2:$T$4001,"&lt;="&amp;'Settings'!$D$25),2),0)</f>
        <v/>
      </c>
      <c r="AR659">
        <f>IF(AE659=1,ROUND(SUMIFS('All Donations'!$S$2:$S$4001,'All Donations'!$R$2:$R$4001,AD659,'All Donations'!$T$2:$T$4001,"&gt;="&amp;'Settings'!$C$26,'All Donations'!$T$2:$T$4001,"&lt;="&amp;'Settings'!$D$26),2),0)</f>
        <v/>
      </c>
      <c r="AS659">
        <f>IF(AE659=1,ROUND(SUMIFS('All Donations'!$S$2:$S$4001,'All Donations'!$R$2:$R$4001,AD659,'All Donations'!$T$2:$T$4001,"&lt;="&amp;'Settings'!$D$27),2),0)</f>
        <v/>
      </c>
      <c r="AT659">
        <f>IF(AE659=1,ROUND(SUMIFS('All Donations'!$S$2:$S$4001,'All Donations'!$R$2:$R$4001,AD659,'All Donations'!$T$2:$T$4001,"&gt;="&amp;'Settings'!$C$28,'All Donations'!$T$2:$T$4001,"&lt;="&amp;'Settings'!$D$28),2),0)</f>
        <v/>
      </c>
      <c r="AU659">
        <f>IF(AE659=1,ROUND(SUMIFS('All Donations'!$S$2:$S$4001,'All Donations'!$R$2:$R$4001,AD659,'All Donations'!$T$2:$T$4001,"&gt;="&amp;'Settings'!$C$29,'All Donations'!$T$2:$T$4001,"&lt;="&amp;'Settings'!$D$29),2),0)</f>
        <v/>
      </c>
      <c r="AV659">
        <f>IF(AE659=1,ROUND(SUMIFS('All Donations'!$S$2:$S$4001,'All Donations'!$R$2:$R$4001,AD659,'All Donations'!$T$2:$T$4001,"&lt;="&amp;'Settings'!$D$30),2),0)</f>
        <v/>
      </c>
      <c r="AZ659">
        <f>IF(AE659=1,ROUND(SUMIFS('All Donations'!$S$2:$S$4001,'All Donations'!$R$2:$R$4001,AD659,'All Donations'!$T$2:$T$4001,"&lt;="&amp;'Settings'!$D$34),2),0)</f>
        <v/>
      </c>
    </row>
    <row r="660">
      <c r="A660">
        <f>IF(AE660=1,TRIM(TRIM('Roster'!B660)&amp;" "&amp;TRIM('Roster'!C660)),"")</f>
        <v/>
      </c>
      <c r="B660">
        <f>IF(AE660=1,IF(AN660="","(no teacher)",AN660&amp;" – "&amp;C660),"")</f>
        <v/>
      </c>
      <c r="C660">
        <f>IF(AE660=1,TRIM('Roster'!D660&amp;""),"")</f>
        <v/>
      </c>
      <c r="D660" s="48">
        <f>IF(AE660=1,ROUND(SUMIFS('All Donations'!$S$2:$S$4001,'All Donations'!$R$2:$R$4001,AD660),2),"")</f>
        <v/>
      </c>
      <c r="E660" s="48">
        <f>IF(AE660=1,ROUND(SUMIFS('All Donations'!$S$2:$S$4001,'All Donations'!$R$2:$R$4001,AD660,'All Donations'!$G$2:$G$4001,"OneCause"),2),"")</f>
        <v/>
      </c>
      <c r="F660" s="48">
        <f>IF(AE660=1,D660-E660,"")</f>
        <v/>
      </c>
      <c r="G660">
        <f>IF(AE660=1,COUNTIFS('All Donations'!$R$2:$R$4001,AD660,'All Donations'!$H$2:$H$4001,"OK"),"")</f>
        <v/>
      </c>
      <c r="H660">
        <f>IF(AE660&lt;&gt;1,"",IF(D660&gt;0,"Yes",""))</f>
        <v/>
      </c>
      <c r="I660" s="49">
        <f>IF(OR($AE660&lt;&gt;1,I$1=""),"",SUMIFS('All Donations'!$S$2:$S$4001,'All Donations'!$R$2:$R$4001,$AD660,'All Donations'!$T$2:$T$4001,I$1))</f>
        <v/>
      </c>
      <c r="J660" s="49">
        <f>IF(OR($AE660&lt;&gt;1,J$1=""),"",SUMIFS('All Donations'!$S$2:$S$4001,'All Donations'!$R$2:$R$4001,$AD660,'All Donations'!$T$2:$T$4001,J$1))</f>
        <v/>
      </c>
      <c r="K660" s="49">
        <f>IF(OR($AE660&lt;&gt;1,K$1=""),"",SUMIFS('All Donations'!$S$2:$S$4001,'All Donations'!$R$2:$R$4001,$AD660,'All Donations'!$T$2:$T$4001,K$1))</f>
        <v/>
      </c>
      <c r="L660" s="49">
        <f>IF(OR($AE660&lt;&gt;1,L$1=""),"",SUMIFS('All Donations'!$S$2:$S$4001,'All Donations'!$R$2:$R$4001,$AD660,'All Donations'!$T$2:$T$4001,L$1))</f>
        <v/>
      </c>
      <c r="M660" s="49">
        <f>IF(OR($AE660&lt;&gt;1,M$1=""),"",SUMIFS('All Donations'!$S$2:$S$4001,'All Donations'!$R$2:$R$4001,$AD660,'All Donations'!$T$2:$T$4001,M$1))</f>
        <v/>
      </c>
      <c r="N660" s="49">
        <f>IF(OR($AE660&lt;&gt;1,N$1=""),"",SUMIFS('All Donations'!$S$2:$S$4001,'All Donations'!$R$2:$R$4001,$AD660,'All Donations'!$T$2:$T$4001,N$1))</f>
        <v/>
      </c>
      <c r="O660" s="49">
        <f>IF(OR($AE660&lt;&gt;1,O$1=""),"",SUMIFS('All Donations'!$S$2:$S$4001,'All Donations'!$R$2:$R$4001,$AD660,'All Donations'!$T$2:$T$4001,O$1))</f>
        <v/>
      </c>
      <c r="P660" s="49">
        <f>IF(OR($AE660&lt;&gt;1,P$1=""),"",SUMIFS('All Donations'!$S$2:$S$4001,'All Donations'!$R$2:$R$4001,$AD660,'All Donations'!$T$2:$T$4001,P$1))</f>
        <v/>
      </c>
      <c r="Q660" s="49">
        <f>IF(OR($AE660&lt;&gt;1,Q$1=""),"",SUMIFS('All Donations'!$S$2:$S$4001,'All Donations'!$R$2:$R$4001,$AD660,'All Donations'!$T$2:$T$4001,Q$1))</f>
        <v/>
      </c>
      <c r="R660" s="49">
        <f>IF(OR($AE660&lt;&gt;1,R$1=""),"",SUMIFS('All Donations'!$S$2:$S$4001,'All Donations'!$R$2:$R$4001,$AD660,'All Donations'!$T$2:$T$4001,R$1))</f>
        <v/>
      </c>
      <c r="S660" s="49">
        <f>IF(OR($AE660&lt;&gt;1,S$1=""),"",SUMIFS('All Donations'!$S$2:$S$4001,'All Donations'!$R$2:$R$4001,$AD660,'All Donations'!$T$2:$T$4001,S$1))</f>
        <v/>
      </c>
      <c r="T660" s="49">
        <f>IF(OR($AE660&lt;&gt;1,T$1=""),"",SUMIFS('All Donations'!$S$2:$S$4001,'All Donations'!$R$2:$R$4001,$AD660,'All Donations'!$T$2:$T$4001,T$1))</f>
        <v/>
      </c>
      <c r="U660" s="49">
        <f>IF(OR($AE660&lt;&gt;1,U$1=""),"",SUMIFS('All Donations'!$S$2:$S$4001,'All Donations'!$R$2:$R$4001,$AD660,'All Donations'!$T$2:$T$4001,U$1))</f>
        <v/>
      </c>
      <c r="V660" s="49">
        <f>IF(OR($AE660&lt;&gt;1,V$1=""),"",SUMIFS('All Donations'!$S$2:$S$4001,'All Donations'!$R$2:$R$4001,$AD660,'All Donations'!$T$2:$T$4001,V$1))</f>
        <v/>
      </c>
      <c r="W660" s="49">
        <f>IF(OR($AE660&lt;&gt;1,W$1=""),"",SUMIFS('All Donations'!$S$2:$S$4001,'All Donations'!$R$2:$R$4001,$AD660,'All Donations'!$T$2:$T$4001,W$1))</f>
        <v/>
      </c>
      <c r="X660" s="49">
        <f>IF(OR($AE660&lt;&gt;1,X$1=""),"",SUMIFS('All Donations'!$S$2:$S$4001,'All Donations'!$R$2:$R$4001,$AD660,'All Donations'!$T$2:$T$4001,X$1))</f>
        <v/>
      </c>
      <c r="Y660" s="49">
        <f>IF(OR($AE660&lt;&gt;1,Y$1=""),"",SUMIFS('All Donations'!$S$2:$S$4001,'All Donations'!$R$2:$R$4001,$AD660,'All Donations'!$T$2:$T$4001,Y$1))</f>
        <v/>
      </c>
      <c r="Z660" s="49">
        <f>IF(OR($AE660&lt;&gt;1,Z$1=""),"",SUMIFS('All Donations'!$S$2:$S$4001,'All Donations'!$R$2:$R$4001,$AD660,'All Donations'!$T$2:$T$4001,Z$1))</f>
        <v/>
      </c>
      <c r="AA660" s="49">
        <f>IF(OR($AE660&lt;&gt;1,AA$1=""),"",SUMIFS('All Donations'!$S$2:$S$4001,'All Donations'!$R$2:$R$4001,$AD660,'All Donations'!$T$2:$T$4001,AA$1))</f>
        <v/>
      </c>
      <c r="AB660" s="49">
        <f>IF(OR($AE660&lt;&gt;1,AB$1=""),"",SUMIFS('All Donations'!$S$2:$S$4001,'All Donations'!$R$2:$R$4001,$AD660,'All Donations'!$T$2:$T$4001,AB$1))</f>
        <v/>
      </c>
      <c r="AC660" s="49">
        <f>IF(OR($AE660&lt;&gt;1,AC$1=""),"",SUMIFS('All Donations'!$S$2:$S$4001,'All Donations'!$R$2:$R$4001,$AD660,'All Donations'!$T$2:$T$4001,AC$1))</f>
        <v/>
      </c>
      <c r="AD660">
        <f>IF(AE660=1,'Roster'!A660,"")</f>
        <v/>
      </c>
      <c r="AE660">
        <f>IF(TRIM('Roster'!B660&amp;'Roster'!C660)&lt;&gt;"",1,0)</f>
        <v/>
      </c>
      <c r="AF660">
        <f>IF(AE660=1,LOWER(A660),"#")</f>
        <v/>
      </c>
      <c r="AG660">
        <f>IF(AE660=1,LOWER(TRIM(TRIM('Roster'!C660)&amp;", "&amp;TRIM('Roster'!B660))),"#")</f>
        <v/>
      </c>
      <c r="AH660">
        <f>IF(AND(AE660=1,TRIM('Roster'!F660)&lt;&gt;""),LOWER(TRIM('Roster'!F660)),"#")</f>
        <v/>
      </c>
      <c r="AI660">
        <f>IF(AE660=1,IF(MATCH(B660,$B$2:$B$701,0)=ROW()-1,1,0),0)</f>
        <v/>
      </c>
      <c r="AJ660">
        <f>AJ659+AI660</f>
        <v/>
      </c>
      <c r="AK660">
        <f>IF(AE660=1,D660+(1000-ROW())/10^7,-1)</f>
        <v/>
      </c>
      <c r="AL660">
        <f>IF(AE660=1,TRIM('Roster'!B660)&amp;" "&amp;LEFT(TRIM('Roster'!C660),1)&amp;".","")</f>
        <v/>
      </c>
      <c r="AM660">
        <f>IF(AE660=1,TRIM('Roster'!C660)&amp;", "&amp;TRIM('Roster'!B660)&amp;" ("&amp;B660&amp;") #"&amp;AD660,"")</f>
        <v/>
      </c>
      <c r="AN660">
        <f>IF(AE660=1,TRIM('Roster'!E660),"")</f>
        <v/>
      </c>
      <c r="AO660">
        <f>IF(AE660=1,ROUND(SUMIFS('All Donations'!$S$2:$S$4001,'All Donations'!$R$2:$R$4001,AD660,'All Donations'!$T$2:$T$4001,"&gt;="&amp;'Settings'!$C$23,'All Donations'!$T$2:$T$4001,"&lt;="&amp;'Settings'!$D$23),2),0)</f>
        <v/>
      </c>
      <c r="AQ660">
        <f>IF(AE660=1,ROUND(SUMIFS('All Donations'!$S$2:$S$4001,'All Donations'!$R$2:$R$4001,AD660,'All Donations'!$T$2:$T$4001,"&gt;="&amp;'Settings'!$C$25,'All Donations'!$T$2:$T$4001,"&lt;="&amp;'Settings'!$D$25),2),0)</f>
        <v/>
      </c>
      <c r="AR660">
        <f>IF(AE660=1,ROUND(SUMIFS('All Donations'!$S$2:$S$4001,'All Donations'!$R$2:$R$4001,AD660,'All Donations'!$T$2:$T$4001,"&gt;="&amp;'Settings'!$C$26,'All Donations'!$T$2:$T$4001,"&lt;="&amp;'Settings'!$D$26),2),0)</f>
        <v/>
      </c>
      <c r="AS660">
        <f>IF(AE660=1,ROUND(SUMIFS('All Donations'!$S$2:$S$4001,'All Donations'!$R$2:$R$4001,AD660,'All Donations'!$T$2:$T$4001,"&lt;="&amp;'Settings'!$D$27),2),0)</f>
        <v/>
      </c>
      <c r="AT660">
        <f>IF(AE660=1,ROUND(SUMIFS('All Donations'!$S$2:$S$4001,'All Donations'!$R$2:$R$4001,AD660,'All Donations'!$T$2:$T$4001,"&gt;="&amp;'Settings'!$C$28,'All Donations'!$T$2:$T$4001,"&lt;="&amp;'Settings'!$D$28),2),0)</f>
        <v/>
      </c>
      <c r="AU660">
        <f>IF(AE660=1,ROUND(SUMIFS('All Donations'!$S$2:$S$4001,'All Donations'!$R$2:$R$4001,AD660,'All Donations'!$T$2:$T$4001,"&gt;="&amp;'Settings'!$C$29,'All Donations'!$T$2:$T$4001,"&lt;="&amp;'Settings'!$D$29),2),0)</f>
        <v/>
      </c>
      <c r="AV660">
        <f>IF(AE660=1,ROUND(SUMIFS('All Donations'!$S$2:$S$4001,'All Donations'!$R$2:$R$4001,AD660,'All Donations'!$T$2:$T$4001,"&lt;="&amp;'Settings'!$D$30),2),0)</f>
        <v/>
      </c>
      <c r="AZ660">
        <f>IF(AE660=1,ROUND(SUMIFS('All Donations'!$S$2:$S$4001,'All Donations'!$R$2:$R$4001,AD660,'All Donations'!$T$2:$T$4001,"&lt;="&amp;'Settings'!$D$34),2),0)</f>
        <v/>
      </c>
    </row>
    <row r="661">
      <c r="A661">
        <f>IF(AE661=1,TRIM(TRIM('Roster'!B661)&amp;" "&amp;TRIM('Roster'!C661)),"")</f>
        <v/>
      </c>
      <c r="B661">
        <f>IF(AE661=1,IF(AN661="","(no teacher)",AN661&amp;" – "&amp;C661),"")</f>
        <v/>
      </c>
      <c r="C661">
        <f>IF(AE661=1,TRIM('Roster'!D661&amp;""),"")</f>
        <v/>
      </c>
      <c r="D661" s="48">
        <f>IF(AE661=1,ROUND(SUMIFS('All Donations'!$S$2:$S$4001,'All Donations'!$R$2:$R$4001,AD661),2),"")</f>
        <v/>
      </c>
      <c r="E661" s="48">
        <f>IF(AE661=1,ROUND(SUMIFS('All Donations'!$S$2:$S$4001,'All Donations'!$R$2:$R$4001,AD661,'All Donations'!$G$2:$G$4001,"OneCause"),2),"")</f>
        <v/>
      </c>
      <c r="F661" s="48">
        <f>IF(AE661=1,D661-E661,"")</f>
        <v/>
      </c>
      <c r="G661">
        <f>IF(AE661=1,COUNTIFS('All Donations'!$R$2:$R$4001,AD661,'All Donations'!$H$2:$H$4001,"OK"),"")</f>
        <v/>
      </c>
      <c r="H661">
        <f>IF(AE661&lt;&gt;1,"",IF(D661&gt;0,"Yes",""))</f>
        <v/>
      </c>
      <c r="I661" s="49">
        <f>IF(OR($AE661&lt;&gt;1,I$1=""),"",SUMIFS('All Donations'!$S$2:$S$4001,'All Donations'!$R$2:$R$4001,$AD661,'All Donations'!$T$2:$T$4001,I$1))</f>
        <v/>
      </c>
      <c r="J661" s="49">
        <f>IF(OR($AE661&lt;&gt;1,J$1=""),"",SUMIFS('All Donations'!$S$2:$S$4001,'All Donations'!$R$2:$R$4001,$AD661,'All Donations'!$T$2:$T$4001,J$1))</f>
        <v/>
      </c>
      <c r="K661" s="49">
        <f>IF(OR($AE661&lt;&gt;1,K$1=""),"",SUMIFS('All Donations'!$S$2:$S$4001,'All Donations'!$R$2:$R$4001,$AD661,'All Donations'!$T$2:$T$4001,K$1))</f>
        <v/>
      </c>
      <c r="L661" s="49">
        <f>IF(OR($AE661&lt;&gt;1,L$1=""),"",SUMIFS('All Donations'!$S$2:$S$4001,'All Donations'!$R$2:$R$4001,$AD661,'All Donations'!$T$2:$T$4001,L$1))</f>
        <v/>
      </c>
      <c r="M661" s="49">
        <f>IF(OR($AE661&lt;&gt;1,M$1=""),"",SUMIFS('All Donations'!$S$2:$S$4001,'All Donations'!$R$2:$R$4001,$AD661,'All Donations'!$T$2:$T$4001,M$1))</f>
        <v/>
      </c>
      <c r="N661" s="49">
        <f>IF(OR($AE661&lt;&gt;1,N$1=""),"",SUMIFS('All Donations'!$S$2:$S$4001,'All Donations'!$R$2:$R$4001,$AD661,'All Donations'!$T$2:$T$4001,N$1))</f>
        <v/>
      </c>
      <c r="O661" s="49">
        <f>IF(OR($AE661&lt;&gt;1,O$1=""),"",SUMIFS('All Donations'!$S$2:$S$4001,'All Donations'!$R$2:$R$4001,$AD661,'All Donations'!$T$2:$T$4001,O$1))</f>
        <v/>
      </c>
      <c r="P661" s="49">
        <f>IF(OR($AE661&lt;&gt;1,P$1=""),"",SUMIFS('All Donations'!$S$2:$S$4001,'All Donations'!$R$2:$R$4001,$AD661,'All Donations'!$T$2:$T$4001,P$1))</f>
        <v/>
      </c>
      <c r="Q661" s="49">
        <f>IF(OR($AE661&lt;&gt;1,Q$1=""),"",SUMIFS('All Donations'!$S$2:$S$4001,'All Donations'!$R$2:$R$4001,$AD661,'All Donations'!$T$2:$T$4001,Q$1))</f>
        <v/>
      </c>
      <c r="R661" s="49">
        <f>IF(OR($AE661&lt;&gt;1,R$1=""),"",SUMIFS('All Donations'!$S$2:$S$4001,'All Donations'!$R$2:$R$4001,$AD661,'All Donations'!$T$2:$T$4001,R$1))</f>
        <v/>
      </c>
      <c r="S661" s="49">
        <f>IF(OR($AE661&lt;&gt;1,S$1=""),"",SUMIFS('All Donations'!$S$2:$S$4001,'All Donations'!$R$2:$R$4001,$AD661,'All Donations'!$T$2:$T$4001,S$1))</f>
        <v/>
      </c>
      <c r="T661" s="49">
        <f>IF(OR($AE661&lt;&gt;1,T$1=""),"",SUMIFS('All Donations'!$S$2:$S$4001,'All Donations'!$R$2:$R$4001,$AD661,'All Donations'!$T$2:$T$4001,T$1))</f>
        <v/>
      </c>
      <c r="U661" s="49">
        <f>IF(OR($AE661&lt;&gt;1,U$1=""),"",SUMIFS('All Donations'!$S$2:$S$4001,'All Donations'!$R$2:$R$4001,$AD661,'All Donations'!$T$2:$T$4001,U$1))</f>
        <v/>
      </c>
      <c r="V661" s="49">
        <f>IF(OR($AE661&lt;&gt;1,V$1=""),"",SUMIFS('All Donations'!$S$2:$S$4001,'All Donations'!$R$2:$R$4001,$AD661,'All Donations'!$T$2:$T$4001,V$1))</f>
        <v/>
      </c>
      <c r="W661" s="49">
        <f>IF(OR($AE661&lt;&gt;1,W$1=""),"",SUMIFS('All Donations'!$S$2:$S$4001,'All Donations'!$R$2:$R$4001,$AD661,'All Donations'!$T$2:$T$4001,W$1))</f>
        <v/>
      </c>
      <c r="X661" s="49">
        <f>IF(OR($AE661&lt;&gt;1,X$1=""),"",SUMIFS('All Donations'!$S$2:$S$4001,'All Donations'!$R$2:$R$4001,$AD661,'All Donations'!$T$2:$T$4001,X$1))</f>
        <v/>
      </c>
      <c r="Y661" s="49">
        <f>IF(OR($AE661&lt;&gt;1,Y$1=""),"",SUMIFS('All Donations'!$S$2:$S$4001,'All Donations'!$R$2:$R$4001,$AD661,'All Donations'!$T$2:$T$4001,Y$1))</f>
        <v/>
      </c>
      <c r="Z661" s="49">
        <f>IF(OR($AE661&lt;&gt;1,Z$1=""),"",SUMIFS('All Donations'!$S$2:$S$4001,'All Donations'!$R$2:$R$4001,$AD661,'All Donations'!$T$2:$T$4001,Z$1))</f>
        <v/>
      </c>
      <c r="AA661" s="49">
        <f>IF(OR($AE661&lt;&gt;1,AA$1=""),"",SUMIFS('All Donations'!$S$2:$S$4001,'All Donations'!$R$2:$R$4001,$AD661,'All Donations'!$T$2:$T$4001,AA$1))</f>
        <v/>
      </c>
      <c r="AB661" s="49">
        <f>IF(OR($AE661&lt;&gt;1,AB$1=""),"",SUMIFS('All Donations'!$S$2:$S$4001,'All Donations'!$R$2:$R$4001,$AD661,'All Donations'!$T$2:$T$4001,AB$1))</f>
        <v/>
      </c>
      <c r="AC661" s="49">
        <f>IF(OR($AE661&lt;&gt;1,AC$1=""),"",SUMIFS('All Donations'!$S$2:$S$4001,'All Donations'!$R$2:$R$4001,$AD661,'All Donations'!$T$2:$T$4001,AC$1))</f>
        <v/>
      </c>
      <c r="AD661">
        <f>IF(AE661=1,'Roster'!A661,"")</f>
        <v/>
      </c>
      <c r="AE661">
        <f>IF(TRIM('Roster'!B661&amp;'Roster'!C661)&lt;&gt;"",1,0)</f>
        <v/>
      </c>
      <c r="AF661">
        <f>IF(AE661=1,LOWER(A661),"#")</f>
        <v/>
      </c>
      <c r="AG661">
        <f>IF(AE661=1,LOWER(TRIM(TRIM('Roster'!C661)&amp;", "&amp;TRIM('Roster'!B661))),"#")</f>
        <v/>
      </c>
      <c r="AH661">
        <f>IF(AND(AE661=1,TRIM('Roster'!F661)&lt;&gt;""),LOWER(TRIM('Roster'!F661)),"#")</f>
        <v/>
      </c>
      <c r="AI661">
        <f>IF(AE661=1,IF(MATCH(B661,$B$2:$B$701,0)=ROW()-1,1,0),0)</f>
        <v/>
      </c>
      <c r="AJ661">
        <f>AJ660+AI661</f>
        <v/>
      </c>
      <c r="AK661">
        <f>IF(AE661=1,D661+(1000-ROW())/10^7,-1)</f>
        <v/>
      </c>
      <c r="AL661">
        <f>IF(AE661=1,TRIM('Roster'!B661)&amp;" "&amp;LEFT(TRIM('Roster'!C661),1)&amp;".","")</f>
        <v/>
      </c>
      <c r="AM661">
        <f>IF(AE661=1,TRIM('Roster'!C661)&amp;", "&amp;TRIM('Roster'!B661)&amp;" ("&amp;B661&amp;") #"&amp;AD661,"")</f>
        <v/>
      </c>
      <c r="AN661">
        <f>IF(AE661=1,TRIM('Roster'!E661),"")</f>
        <v/>
      </c>
      <c r="AO661">
        <f>IF(AE661=1,ROUND(SUMIFS('All Donations'!$S$2:$S$4001,'All Donations'!$R$2:$R$4001,AD661,'All Donations'!$T$2:$T$4001,"&gt;="&amp;'Settings'!$C$23,'All Donations'!$T$2:$T$4001,"&lt;="&amp;'Settings'!$D$23),2),0)</f>
        <v/>
      </c>
      <c r="AQ661">
        <f>IF(AE661=1,ROUND(SUMIFS('All Donations'!$S$2:$S$4001,'All Donations'!$R$2:$R$4001,AD661,'All Donations'!$T$2:$T$4001,"&gt;="&amp;'Settings'!$C$25,'All Donations'!$T$2:$T$4001,"&lt;="&amp;'Settings'!$D$25),2),0)</f>
        <v/>
      </c>
      <c r="AR661">
        <f>IF(AE661=1,ROUND(SUMIFS('All Donations'!$S$2:$S$4001,'All Donations'!$R$2:$R$4001,AD661,'All Donations'!$T$2:$T$4001,"&gt;="&amp;'Settings'!$C$26,'All Donations'!$T$2:$T$4001,"&lt;="&amp;'Settings'!$D$26),2),0)</f>
        <v/>
      </c>
      <c r="AS661">
        <f>IF(AE661=1,ROUND(SUMIFS('All Donations'!$S$2:$S$4001,'All Donations'!$R$2:$R$4001,AD661,'All Donations'!$T$2:$T$4001,"&lt;="&amp;'Settings'!$D$27),2),0)</f>
        <v/>
      </c>
      <c r="AT661">
        <f>IF(AE661=1,ROUND(SUMIFS('All Donations'!$S$2:$S$4001,'All Donations'!$R$2:$R$4001,AD661,'All Donations'!$T$2:$T$4001,"&gt;="&amp;'Settings'!$C$28,'All Donations'!$T$2:$T$4001,"&lt;="&amp;'Settings'!$D$28),2),0)</f>
        <v/>
      </c>
      <c r="AU661">
        <f>IF(AE661=1,ROUND(SUMIFS('All Donations'!$S$2:$S$4001,'All Donations'!$R$2:$R$4001,AD661,'All Donations'!$T$2:$T$4001,"&gt;="&amp;'Settings'!$C$29,'All Donations'!$T$2:$T$4001,"&lt;="&amp;'Settings'!$D$29),2),0)</f>
        <v/>
      </c>
      <c r="AV661">
        <f>IF(AE661=1,ROUND(SUMIFS('All Donations'!$S$2:$S$4001,'All Donations'!$R$2:$R$4001,AD661,'All Donations'!$T$2:$T$4001,"&lt;="&amp;'Settings'!$D$30),2),0)</f>
        <v/>
      </c>
      <c r="AZ661">
        <f>IF(AE661=1,ROUND(SUMIFS('All Donations'!$S$2:$S$4001,'All Donations'!$R$2:$R$4001,AD661,'All Donations'!$T$2:$T$4001,"&lt;="&amp;'Settings'!$D$34),2),0)</f>
        <v/>
      </c>
    </row>
    <row r="662">
      <c r="A662">
        <f>IF(AE662=1,TRIM(TRIM('Roster'!B662)&amp;" "&amp;TRIM('Roster'!C662)),"")</f>
        <v/>
      </c>
      <c r="B662">
        <f>IF(AE662=1,IF(AN662="","(no teacher)",AN662&amp;" – "&amp;C662),"")</f>
        <v/>
      </c>
      <c r="C662">
        <f>IF(AE662=1,TRIM('Roster'!D662&amp;""),"")</f>
        <v/>
      </c>
      <c r="D662" s="48">
        <f>IF(AE662=1,ROUND(SUMIFS('All Donations'!$S$2:$S$4001,'All Donations'!$R$2:$R$4001,AD662),2),"")</f>
        <v/>
      </c>
      <c r="E662" s="48">
        <f>IF(AE662=1,ROUND(SUMIFS('All Donations'!$S$2:$S$4001,'All Donations'!$R$2:$R$4001,AD662,'All Donations'!$G$2:$G$4001,"OneCause"),2),"")</f>
        <v/>
      </c>
      <c r="F662" s="48">
        <f>IF(AE662=1,D662-E662,"")</f>
        <v/>
      </c>
      <c r="G662">
        <f>IF(AE662=1,COUNTIFS('All Donations'!$R$2:$R$4001,AD662,'All Donations'!$H$2:$H$4001,"OK"),"")</f>
        <v/>
      </c>
      <c r="H662">
        <f>IF(AE662&lt;&gt;1,"",IF(D662&gt;0,"Yes",""))</f>
        <v/>
      </c>
      <c r="I662" s="49">
        <f>IF(OR($AE662&lt;&gt;1,I$1=""),"",SUMIFS('All Donations'!$S$2:$S$4001,'All Donations'!$R$2:$R$4001,$AD662,'All Donations'!$T$2:$T$4001,I$1))</f>
        <v/>
      </c>
      <c r="J662" s="49">
        <f>IF(OR($AE662&lt;&gt;1,J$1=""),"",SUMIFS('All Donations'!$S$2:$S$4001,'All Donations'!$R$2:$R$4001,$AD662,'All Donations'!$T$2:$T$4001,J$1))</f>
        <v/>
      </c>
      <c r="K662" s="49">
        <f>IF(OR($AE662&lt;&gt;1,K$1=""),"",SUMIFS('All Donations'!$S$2:$S$4001,'All Donations'!$R$2:$R$4001,$AD662,'All Donations'!$T$2:$T$4001,K$1))</f>
        <v/>
      </c>
      <c r="L662" s="49">
        <f>IF(OR($AE662&lt;&gt;1,L$1=""),"",SUMIFS('All Donations'!$S$2:$S$4001,'All Donations'!$R$2:$R$4001,$AD662,'All Donations'!$T$2:$T$4001,L$1))</f>
        <v/>
      </c>
      <c r="M662" s="49">
        <f>IF(OR($AE662&lt;&gt;1,M$1=""),"",SUMIFS('All Donations'!$S$2:$S$4001,'All Donations'!$R$2:$R$4001,$AD662,'All Donations'!$T$2:$T$4001,M$1))</f>
        <v/>
      </c>
      <c r="N662" s="49">
        <f>IF(OR($AE662&lt;&gt;1,N$1=""),"",SUMIFS('All Donations'!$S$2:$S$4001,'All Donations'!$R$2:$R$4001,$AD662,'All Donations'!$T$2:$T$4001,N$1))</f>
        <v/>
      </c>
      <c r="O662" s="49">
        <f>IF(OR($AE662&lt;&gt;1,O$1=""),"",SUMIFS('All Donations'!$S$2:$S$4001,'All Donations'!$R$2:$R$4001,$AD662,'All Donations'!$T$2:$T$4001,O$1))</f>
        <v/>
      </c>
      <c r="P662" s="49">
        <f>IF(OR($AE662&lt;&gt;1,P$1=""),"",SUMIFS('All Donations'!$S$2:$S$4001,'All Donations'!$R$2:$R$4001,$AD662,'All Donations'!$T$2:$T$4001,P$1))</f>
        <v/>
      </c>
      <c r="Q662" s="49">
        <f>IF(OR($AE662&lt;&gt;1,Q$1=""),"",SUMIFS('All Donations'!$S$2:$S$4001,'All Donations'!$R$2:$R$4001,$AD662,'All Donations'!$T$2:$T$4001,Q$1))</f>
        <v/>
      </c>
      <c r="R662" s="49">
        <f>IF(OR($AE662&lt;&gt;1,R$1=""),"",SUMIFS('All Donations'!$S$2:$S$4001,'All Donations'!$R$2:$R$4001,$AD662,'All Donations'!$T$2:$T$4001,R$1))</f>
        <v/>
      </c>
      <c r="S662" s="49">
        <f>IF(OR($AE662&lt;&gt;1,S$1=""),"",SUMIFS('All Donations'!$S$2:$S$4001,'All Donations'!$R$2:$R$4001,$AD662,'All Donations'!$T$2:$T$4001,S$1))</f>
        <v/>
      </c>
      <c r="T662" s="49">
        <f>IF(OR($AE662&lt;&gt;1,T$1=""),"",SUMIFS('All Donations'!$S$2:$S$4001,'All Donations'!$R$2:$R$4001,$AD662,'All Donations'!$T$2:$T$4001,T$1))</f>
        <v/>
      </c>
      <c r="U662" s="49">
        <f>IF(OR($AE662&lt;&gt;1,U$1=""),"",SUMIFS('All Donations'!$S$2:$S$4001,'All Donations'!$R$2:$R$4001,$AD662,'All Donations'!$T$2:$T$4001,U$1))</f>
        <v/>
      </c>
      <c r="V662" s="49">
        <f>IF(OR($AE662&lt;&gt;1,V$1=""),"",SUMIFS('All Donations'!$S$2:$S$4001,'All Donations'!$R$2:$R$4001,$AD662,'All Donations'!$T$2:$T$4001,V$1))</f>
        <v/>
      </c>
      <c r="W662" s="49">
        <f>IF(OR($AE662&lt;&gt;1,W$1=""),"",SUMIFS('All Donations'!$S$2:$S$4001,'All Donations'!$R$2:$R$4001,$AD662,'All Donations'!$T$2:$T$4001,W$1))</f>
        <v/>
      </c>
      <c r="X662" s="49">
        <f>IF(OR($AE662&lt;&gt;1,X$1=""),"",SUMIFS('All Donations'!$S$2:$S$4001,'All Donations'!$R$2:$R$4001,$AD662,'All Donations'!$T$2:$T$4001,X$1))</f>
        <v/>
      </c>
      <c r="Y662" s="49">
        <f>IF(OR($AE662&lt;&gt;1,Y$1=""),"",SUMIFS('All Donations'!$S$2:$S$4001,'All Donations'!$R$2:$R$4001,$AD662,'All Donations'!$T$2:$T$4001,Y$1))</f>
        <v/>
      </c>
      <c r="Z662" s="49">
        <f>IF(OR($AE662&lt;&gt;1,Z$1=""),"",SUMIFS('All Donations'!$S$2:$S$4001,'All Donations'!$R$2:$R$4001,$AD662,'All Donations'!$T$2:$T$4001,Z$1))</f>
        <v/>
      </c>
      <c r="AA662" s="49">
        <f>IF(OR($AE662&lt;&gt;1,AA$1=""),"",SUMIFS('All Donations'!$S$2:$S$4001,'All Donations'!$R$2:$R$4001,$AD662,'All Donations'!$T$2:$T$4001,AA$1))</f>
        <v/>
      </c>
      <c r="AB662" s="49">
        <f>IF(OR($AE662&lt;&gt;1,AB$1=""),"",SUMIFS('All Donations'!$S$2:$S$4001,'All Donations'!$R$2:$R$4001,$AD662,'All Donations'!$T$2:$T$4001,AB$1))</f>
        <v/>
      </c>
      <c r="AC662" s="49">
        <f>IF(OR($AE662&lt;&gt;1,AC$1=""),"",SUMIFS('All Donations'!$S$2:$S$4001,'All Donations'!$R$2:$R$4001,$AD662,'All Donations'!$T$2:$T$4001,AC$1))</f>
        <v/>
      </c>
      <c r="AD662">
        <f>IF(AE662=1,'Roster'!A662,"")</f>
        <v/>
      </c>
      <c r="AE662">
        <f>IF(TRIM('Roster'!B662&amp;'Roster'!C662)&lt;&gt;"",1,0)</f>
        <v/>
      </c>
      <c r="AF662">
        <f>IF(AE662=1,LOWER(A662),"#")</f>
        <v/>
      </c>
      <c r="AG662">
        <f>IF(AE662=1,LOWER(TRIM(TRIM('Roster'!C662)&amp;", "&amp;TRIM('Roster'!B662))),"#")</f>
        <v/>
      </c>
      <c r="AH662">
        <f>IF(AND(AE662=1,TRIM('Roster'!F662)&lt;&gt;""),LOWER(TRIM('Roster'!F662)),"#")</f>
        <v/>
      </c>
      <c r="AI662">
        <f>IF(AE662=1,IF(MATCH(B662,$B$2:$B$701,0)=ROW()-1,1,0),0)</f>
        <v/>
      </c>
      <c r="AJ662">
        <f>AJ661+AI662</f>
        <v/>
      </c>
      <c r="AK662">
        <f>IF(AE662=1,D662+(1000-ROW())/10^7,-1)</f>
        <v/>
      </c>
      <c r="AL662">
        <f>IF(AE662=1,TRIM('Roster'!B662)&amp;" "&amp;LEFT(TRIM('Roster'!C662),1)&amp;".","")</f>
        <v/>
      </c>
      <c r="AM662">
        <f>IF(AE662=1,TRIM('Roster'!C662)&amp;", "&amp;TRIM('Roster'!B662)&amp;" ("&amp;B662&amp;") #"&amp;AD662,"")</f>
        <v/>
      </c>
      <c r="AN662">
        <f>IF(AE662=1,TRIM('Roster'!E662),"")</f>
        <v/>
      </c>
      <c r="AO662">
        <f>IF(AE662=1,ROUND(SUMIFS('All Donations'!$S$2:$S$4001,'All Donations'!$R$2:$R$4001,AD662,'All Donations'!$T$2:$T$4001,"&gt;="&amp;'Settings'!$C$23,'All Donations'!$T$2:$T$4001,"&lt;="&amp;'Settings'!$D$23),2),0)</f>
        <v/>
      </c>
      <c r="AQ662">
        <f>IF(AE662=1,ROUND(SUMIFS('All Donations'!$S$2:$S$4001,'All Donations'!$R$2:$R$4001,AD662,'All Donations'!$T$2:$T$4001,"&gt;="&amp;'Settings'!$C$25,'All Donations'!$T$2:$T$4001,"&lt;="&amp;'Settings'!$D$25),2),0)</f>
        <v/>
      </c>
      <c r="AR662">
        <f>IF(AE662=1,ROUND(SUMIFS('All Donations'!$S$2:$S$4001,'All Donations'!$R$2:$R$4001,AD662,'All Donations'!$T$2:$T$4001,"&gt;="&amp;'Settings'!$C$26,'All Donations'!$T$2:$T$4001,"&lt;="&amp;'Settings'!$D$26),2),0)</f>
        <v/>
      </c>
      <c r="AS662">
        <f>IF(AE662=1,ROUND(SUMIFS('All Donations'!$S$2:$S$4001,'All Donations'!$R$2:$R$4001,AD662,'All Donations'!$T$2:$T$4001,"&lt;="&amp;'Settings'!$D$27),2),0)</f>
        <v/>
      </c>
      <c r="AT662">
        <f>IF(AE662=1,ROUND(SUMIFS('All Donations'!$S$2:$S$4001,'All Donations'!$R$2:$R$4001,AD662,'All Donations'!$T$2:$T$4001,"&gt;="&amp;'Settings'!$C$28,'All Donations'!$T$2:$T$4001,"&lt;="&amp;'Settings'!$D$28),2),0)</f>
        <v/>
      </c>
      <c r="AU662">
        <f>IF(AE662=1,ROUND(SUMIFS('All Donations'!$S$2:$S$4001,'All Donations'!$R$2:$R$4001,AD662,'All Donations'!$T$2:$T$4001,"&gt;="&amp;'Settings'!$C$29,'All Donations'!$T$2:$T$4001,"&lt;="&amp;'Settings'!$D$29),2),0)</f>
        <v/>
      </c>
      <c r="AV662">
        <f>IF(AE662=1,ROUND(SUMIFS('All Donations'!$S$2:$S$4001,'All Donations'!$R$2:$R$4001,AD662,'All Donations'!$T$2:$T$4001,"&lt;="&amp;'Settings'!$D$30),2),0)</f>
        <v/>
      </c>
      <c r="AZ662">
        <f>IF(AE662=1,ROUND(SUMIFS('All Donations'!$S$2:$S$4001,'All Donations'!$R$2:$R$4001,AD662,'All Donations'!$T$2:$T$4001,"&lt;="&amp;'Settings'!$D$34),2),0)</f>
        <v/>
      </c>
    </row>
    <row r="663">
      <c r="A663">
        <f>IF(AE663=1,TRIM(TRIM('Roster'!B663)&amp;" "&amp;TRIM('Roster'!C663)),"")</f>
        <v/>
      </c>
      <c r="B663">
        <f>IF(AE663=1,IF(AN663="","(no teacher)",AN663&amp;" – "&amp;C663),"")</f>
        <v/>
      </c>
      <c r="C663">
        <f>IF(AE663=1,TRIM('Roster'!D663&amp;""),"")</f>
        <v/>
      </c>
      <c r="D663" s="48">
        <f>IF(AE663=1,ROUND(SUMIFS('All Donations'!$S$2:$S$4001,'All Donations'!$R$2:$R$4001,AD663),2),"")</f>
        <v/>
      </c>
      <c r="E663" s="48">
        <f>IF(AE663=1,ROUND(SUMIFS('All Donations'!$S$2:$S$4001,'All Donations'!$R$2:$R$4001,AD663,'All Donations'!$G$2:$G$4001,"OneCause"),2),"")</f>
        <v/>
      </c>
      <c r="F663" s="48">
        <f>IF(AE663=1,D663-E663,"")</f>
        <v/>
      </c>
      <c r="G663">
        <f>IF(AE663=1,COUNTIFS('All Donations'!$R$2:$R$4001,AD663,'All Donations'!$H$2:$H$4001,"OK"),"")</f>
        <v/>
      </c>
      <c r="H663">
        <f>IF(AE663&lt;&gt;1,"",IF(D663&gt;0,"Yes",""))</f>
        <v/>
      </c>
      <c r="I663" s="49">
        <f>IF(OR($AE663&lt;&gt;1,I$1=""),"",SUMIFS('All Donations'!$S$2:$S$4001,'All Donations'!$R$2:$R$4001,$AD663,'All Donations'!$T$2:$T$4001,I$1))</f>
        <v/>
      </c>
      <c r="J663" s="49">
        <f>IF(OR($AE663&lt;&gt;1,J$1=""),"",SUMIFS('All Donations'!$S$2:$S$4001,'All Donations'!$R$2:$R$4001,$AD663,'All Donations'!$T$2:$T$4001,J$1))</f>
        <v/>
      </c>
      <c r="K663" s="49">
        <f>IF(OR($AE663&lt;&gt;1,K$1=""),"",SUMIFS('All Donations'!$S$2:$S$4001,'All Donations'!$R$2:$R$4001,$AD663,'All Donations'!$T$2:$T$4001,K$1))</f>
        <v/>
      </c>
      <c r="L663" s="49">
        <f>IF(OR($AE663&lt;&gt;1,L$1=""),"",SUMIFS('All Donations'!$S$2:$S$4001,'All Donations'!$R$2:$R$4001,$AD663,'All Donations'!$T$2:$T$4001,L$1))</f>
        <v/>
      </c>
      <c r="M663" s="49">
        <f>IF(OR($AE663&lt;&gt;1,M$1=""),"",SUMIFS('All Donations'!$S$2:$S$4001,'All Donations'!$R$2:$R$4001,$AD663,'All Donations'!$T$2:$T$4001,M$1))</f>
        <v/>
      </c>
      <c r="N663" s="49">
        <f>IF(OR($AE663&lt;&gt;1,N$1=""),"",SUMIFS('All Donations'!$S$2:$S$4001,'All Donations'!$R$2:$R$4001,$AD663,'All Donations'!$T$2:$T$4001,N$1))</f>
        <v/>
      </c>
      <c r="O663" s="49">
        <f>IF(OR($AE663&lt;&gt;1,O$1=""),"",SUMIFS('All Donations'!$S$2:$S$4001,'All Donations'!$R$2:$R$4001,$AD663,'All Donations'!$T$2:$T$4001,O$1))</f>
        <v/>
      </c>
      <c r="P663" s="49">
        <f>IF(OR($AE663&lt;&gt;1,P$1=""),"",SUMIFS('All Donations'!$S$2:$S$4001,'All Donations'!$R$2:$R$4001,$AD663,'All Donations'!$T$2:$T$4001,P$1))</f>
        <v/>
      </c>
      <c r="Q663" s="49">
        <f>IF(OR($AE663&lt;&gt;1,Q$1=""),"",SUMIFS('All Donations'!$S$2:$S$4001,'All Donations'!$R$2:$R$4001,$AD663,'All Donations'!$T$2:$T$4001,Q$1))</f>
        <v/>
      </c>
      <c r="R663" s="49">
        <f>IF(OR($AE663&lt;&gt;1,R$1=""),"",SUMIFS('All Donations'!$S$2:$S$4001,'All Donations'!$R$2:$R$4001,$AD663,'All Donations'!$T$2:$T$4001,R$1))</f>
        <v/>
      </c>
      <c r="S663" s="49">
        <f>IF(OR($AE663&lt;&gt;1,S$1=""),"",SUMIFS('All Donations'!$S$2:$S$4001,'All Donations'!$R$2:$R$4001,$AD663,'All Donations'!$T$2:$T$4001,S$1))</f>
        <v/>
      </c>
      <c r="T663" s="49">
        <f>IF(OR($AE663&lt;&gt;1,T$1=""),"",SUMIFS('All Donations'!$S$2:$S$4001,'All Donations'!$R$2:$R$4001,$AD663,'All Donations'!$T$2:$T$4001,T$1))</f>
        <v/>
      </c>
      <c r="U663" s="49">
        <f>IF(OR($AE663&lt;&gt;1,U$1=""),"",SUMIFS('All Donations'!$S$2:$S$4001,'All Donations'!$R$2:$R$4001,$AD663,'All Donations'!$T$2:$T$4001,U$1))</f>
        <v/>
      </c>
      <c r="V663" s="49">
        <f>IF(OR($AE663&lt;&gt;1,V$1=""),"",SUMIFS('All Donations'!$S$2:$S$4001,'All Donations'!$R$2:$R$4001,$AD663,'All Donations'!$T$2:$T$4001,V$1))</f>
        <v/>
      </c>
      <c r="W663" s="49">
        <f>IF(OR($AE663&lt;&gt;1,W$1=""),"",SUMIFS('All Donations'!$S$2:$S$4001,'All Donations'!$R$2:$R$4001,$AD663,'All Donations'!$T$2:$T$4001,W$1))</f>
        <v/>
      </c>
      <c r="X663" s="49">
        <f>IF(OR($AE663&lt;&gt;1,X$1=""),"",SUMIFS('All Donations'!$S$2:$S$4001,'All Donations'!$R$2:$R$4001,$AD663,'All Donations'!$T$2:$T$4001,X$1))</f>
        <v/>
      </c>
      <c r="Y663" s="49">
        <f>IF(OR($AE663&lt;&gt;1,Y$1=""),"",SUMIFS('All Donations'!$S$2:$S$4001,'All Donations'!$R$2:$R$4001,$AD663,'All Donations'!$T$2:$T$4001,Y$1))</f>
        <v/>
      </c>
      <c r="Z663" s="49">
        <f>IF(OR($AE663&lt;&gt;1,Z$1=""),"",SUMIFS('All Donations'!$S$2:$S$4001,'All Donations'!$R$2:$R$4001,$AD663,'All Donations'!$T$2:$T$4001,Z$1))</f>
        <v/>
      </c>
      <c r="AA663" s="49">
        <f>IF(OR($AE663&lt;&gt;1,AA$1=""),"",SUMIFS('All Donations'!$S$2:$S$4001,'All Donations'!$R$2:$R$4001,$AD663,'All Donations'!$T$2:$T$4001,AA$1))</f>
        <v/>
      </c>
      <c r="AB663" s="49">
        <f>IF(OR($AE663&lt;&gt;1,AB$1=""),"",SUMIFS('All Donations'!$S$2:$S$4001,'All Donations'!$R$2:$R$4001,$AD663,'All Donations'!$T$2:$T$4001,AB$1))</f>
        <v/>
      </c>
      <c r="AC663" s="49">
        <f>IF(OR($AE663&lt;&gt;1,AC$1=""),"",SUMIFS('All Donations'!$S$2:$S$4001,'All Donations'!$R$2:$R$4001,$AD663,'All Donations'!$T$2:$T$4001,AC$1))</f>
        <v/>
      </c>
      <c r="AD663">
        <f>IF(AE663=1,'Roster'!A663,"")</f>
        <v/>
      </c>
      <c r="AE663">
        <f>IF(TRIM('Roster'!B663&amp;'Roster'!C663)&lt;&gt;"",1,0)</f>
        <v/>
      </c>
      <c r="AF663">
        <f>IF(AE663=1,LOWER(A663),"#")</f>
        <v/>
      </c>
      <c r="AG663">
        <f>IF(AE663=1,LOWER(TRIM(TRIM('Roster'!C663)&amp;", "&amp;TRIM('Roster'!B663))),"#")</f>
        <v/>
      </c>
      <c r="AH663">
        <f>IF(AND(AE663=1,TRIM('Roster'!F663)&lt;&gt;""),LOWER(TRIM('Roster'!F663)),"#")</f>
        <v/>
      </c>
      <c r="AI663">
        <f>IF(AE663=1,IF(MATCH(B663,$B$2:$B$701,0)=ROW()-1,1,0),0)</f>
        <v/>
      </c>
      <c r="AJ663">
        <f>AJ662+AI663</f>
        <v/>
      </c>
      <c r="AK663">
        <f>IF(AE663=1,D663+(1000-ROW())/10^7,-1)</f>
        <v/>
      </c>
      <c r="AL663">
        <f>IF(AE663=1,TRIM('Roster'!B663)&amp;" "&amp;LEFT(TRIM('Roster'!C663),1)&amp;".","")</f>
        <v/>
      </c>
      <c r="AM663">
        <f>IF(AE663=1,TRIM('Roster'!C663)&amp;", "&amp;TRIM('Roster'!B663)&amp;" ("&amp;B663&amp;") #"&amp;AD663,"")</f>
        <v/>
      </c>
      <c r="AN663">
        <f>IF(AE663=1,TRIM('Roster'!E663),"")</f>
        <v/>
      </c>
      <c r="AO663">
        <f>IF(AE663=1,ROUND(SUMIFS('All Donations'!$S$2:$S$4001,'All Donations'!$R$2:$R$4001,AD663,'All Donations'!$T$2:$T$4001,"&gt;="&amp;'Settings'!$C$23,'All Donations'!$T$2:$T$4001,"&lt;="&amp;'Settings'!$D$23),2),0)</f>
        <v/>
      </c>
      <c r="AQ663">
        <f>IF(AE663=1,ROUND(SUMIFS('All Donations'!$S$2:$S$4001,'All Donations'!$R$2:$R$4001,AD663,'All Donations'!$T$2:$T$4001,"&gt;="&amp;'Settings'!$C$25,'All Donations'!$T$2:$T$4001,"&lt;="&amp;'Settings'!$D$25),2),0)</f>
        <v/>
      </c>
      <c r="AR663">
        <f>IF(AE663=1,ROUND(SUMIFS('All Donations'!$S$2:$S$4001,'All Donations'!$R$2:$R$4001,AD663,'All Donations'!$T$2:$T$4001,"&gt;="&amp;'Settings'!$C$26,'All Donations'!$T$2:$T$4001,"&lt;="&amp;'Settings'!$D$26),2),0)</f>
        <v/>
      </c>
      <c r="AS663">
        <f>IF(AE663=1,ROUND(SUMIFS('All Donations'!$S$2:$S$4001,'All Donations'!$R$2:$R$4001,AD663,'All Donations'!$T$2:$T$4001,"&lt;="&amp;'Settings'!$D$27),2),0)</f>
        <v/>
      </c>
      <c r="AT663">
        <f>IF(AE663=1,ROUND(SUMIFS('All Donations'!$S$2:$S$4001,'All Donations'!$R$2:$R$4001,AD663,'All Donations'!$T$2:$T$4001,"&gt;="&amp;'Settings'!$C$28,'All Donations'!$T$2:$T$4001,"&lt;="&amp;'Settings'!$D$28),2),0)</f>
        <v/>
      </c>
      <c r="AU663">
        <f>IF(AE663=1,ROUND(SUMIFS('All Donations'!$S$2:$S$4001,'All Donations'!$R$2:$R$4001,AD663,'All Donations'!$T$2:$T$4001,"&gt;="&amp;'Settings'!$C$29,'All Donations'!$T$2:$T$4001,"&lt;="&amp;'Settings'!$D$29),2),0)</f>
        <v/>
      </c>
      <c r="AV663">
        <f>IF(AE663=1,ROUND(SUMIFS('All Donations'!$S$2:$S$4001,'All Donations'!$R$2:$R$4001,AD663,'All Donations'!$T$2:$T$4001,"&lt;="&amp;'Settings'!$D$30),2),0)</f>
        <v/>
      </c>
      <c r="AZ663">
        <f>IF(AE663=1,ROUND(SUMIFS('All Donations'!$S$2:$S$4001,'All Donations'!$R$2:$R$4001,AD663,'All Donations'!$T$2:$T$4001,"&lt;="&amp;'Settings'!$D$34),2),0)</f>
        <v/>
      </c>
    </row>
    <row r="664">
      <c r="A664">
        <f>IF(AE664=1,TRIM(TRIM('Roster'!B664)&amp;" "&amp;TRIM('Roster'!C664)),"")</f>
        <v/>
      </c>
      <c r="B664">
        <f>IF(AE664=1,IF(AN664="","(no teacher)",AN664&amp;" – "&amp;C664),"")</f>
        <v/>
      </c>
      <c r="C664">
        <f>IF(AE664=1,TRIM('Roster'!D664&amp;""),"")</f>
        <v/>
      </c>
      <c r="D664" s="48">
        <f>IF(AE664=1,ROUND(SUMIFS('All Donations'!$S$2:$S$4001,'All Donations'!$R$2:$R$4001,AD664),2),"")</f>
        <v/>
      </c>
      <c r="E664" s="48">
        <f>IF(AE664=1,ROUND(SUMIFS('All Donations'!$S$2:$S$4001,'All Donations'!$R$2:$R$4001,AD664,'All Donations'!$G$2:$G$4001,"OneCause"),2),"")</f>
        <v/>
      </c>
      <c r="F664" s="48">
        <f>IF(AE664=1,D664-E664,"")</f>
        <v/>
      </c>
      <c r="G664">
        <f>IF(AE664=1,COUNTIFS('All Donations'!$R$2:$R$4001,AD664,'All Donations'!$H$2:$H$4001,"OK"),"")</f>
        <v/>
      </c>
      <c r="H664">
        <f>IF(AE664&lt;&gt;1,"",IF(D664&gt;0,"Yes",""))</f>
        <v/>
      </c>
      <c r="I664" s="49">
        <f>IF(OR($AE664&lt;&gt;1,I$1=""),"",SUMIFS('All Donations'!$S$2:$S$4001,'All Donations'!$R$2:$R$4001,$AD664,'All Donations'!$T$2:$T$4001,I$1))</f>
        <v/>
      </c>
      <c r="J664" s="49">
        <f>IF(OR($AE664&lt;&gt;1,J$1=""),"",SUMIFS('All Donations'!$S$2:$S$4001,'All Donations'!$R$2:$R$4001,$AD664,'All Donations'!$T$2:$T$4001,J$1))</f>
        <v/>
      </c>
      <c r="K664" s="49">
        <f>IF(OR($AE664&lt;&gt;1,K$1=""),"",SUMIFS('All Donations'!$S$2:$S$4001,'All Donations'!$R$2:$R$4001,$AD664,'All Donations'!$T$2:$T$4001,K$1))</f>
        <v/>
      </c>
      <c r="L664" s="49">
        <f>IF(OR($AE664&lt;&gt;1,L$1=""),"",SUMIFS('All Donations'!$S$2:$S$4001,'All Donations'!$R$2:$R$4001,$AD664,'All Donations'!$T$2:$T$4001,L$1))</f>
        <v/>
      </c>
      <c r="M664" s="49">
        <f>IF(OR($AE664&lt;&gt;1,M$1=""),"",SUMIFS('All Donations'!$S$2:$S$4001,'All Donations'!$R$2:$R$4001,$AD664,'All Donations'!$T$2:$T$4001,M$1))</f>
        <v/>
      </c>
      <c r="N664" s="49">
        <f>IF(OR($AE664&lt;&gt;1,N$1=""),"",SUMIFS('All Donations'!$S$2:$S$4001,'All Donations'!$R$2:$R$4001,$AD664,'All Donations'!$T$2:$T$4001,N$1))</f>
        <v/>
      </c>
      <c r="O664" s="49">
        <f>IF(OR($AE664&lt;&gt;1,O$1=""),"",SUMIFS('All Donations'!$S$2:$S$4001,'All Donations'!$R$2:$R$4001,$AD664,'All Donations'!$T$2:$T$4001,O$1))</f>
        <v/>
      </c>
      <c r="P664" s="49">
        <f>IF(OR($AE664&lt;&gt;1,P$1=""),"",SUMIFS('All Donations'!$S$2:$S$4001,'All Donations'!$R$2:$R$4001,$AD664,'All Donations'!$T$2:$T$4001,P$1))</f>
        <v/>
      </c>
      <c r="Q664" s="49">
        <f>IF(OR($AE664&lt;&gt;1,Q$1=""),"",SUMIFS('All Donations'!$S$2:$S$4001,'All Donations'!$R$2:$R$4001,$AD664,'All Donations'!$T$2:$T$4001,Q$1))</f>
        <v/>
      </c>
      <c r="R664" s="49">
        <f>IF(OR($AE664&lt;&gt;1,R$1=""),"",SUMIFS('All Donations'!$S$2:$S$4001,'All Donations'!$R$2:$R$4001,$AD664,'All Donations'!$T$2:$T$4001,R$1))</f>
        <v/>
      </c>
      <c r="S664" s="49">
        <f>IF(OR($AE664&lt;&gt;1,S$1=""),"",SUMIFS('All Donations'!$S$2:$S$4001,'All Donations'!$R$2:$R$4001,$AD664,'All Donations'!$T$2:$T$4001,S$1))</f>
        <v/>
      </c>
      <c r="T664" s="49">
        <f>IF(OR($AE664&lt;&gt;1,T$1=""),"",SUMIFS('All Donations'!$S$2:$S$4001,'All Donations'!$R$2:$R$4001,$AD664,'All Donations'!$T$2:$T$4001,T$1))</f>
        <v/>
      </c>
      <c r="U664" s="49">
        <f>IF(OR($AE664&lt;&gt;1,U$1=""),"",SUMIFS('All Donations'!$S$2:$S$4001,'All Donations'!$R$2:$R$4001,$AD664,'All Donations'!$T$2:$T$4001,U$1))</f>
        <v/>
      </c>
      <c r="V664" s="49">
        <f>IF(OR($AE664&lt;&gt;1,V$1=""),"",SUMIFS('All Donations'!$S$2:$S$4001,'All Donations'!$R$2:$R$4001,$AD664,'All Donations'!$T$2:$T$4001,V$1))</f>
        <v/>
      </c>
      <c r="W664" s="49">
        <f>IF(OR($AE664&lt;&gt;1,W$1=""),"",SUMIFS('All Donations'!$S$2:$S$4001,'All Donations'!$R$2:$R$4001,$AD664,'All Donations'!$T$2:$T$4001,W$1))</f>
        <v/>
      </c>
      <c r="X664" s="49">
        <f>IF(OR($AE664&lt;&gt;1,X$1=""),"",SUMIFS('All Donations'!$S$2:$S$4001,'All Donations'!$R$2:$R$4001,$AD664,'All Donations'!$T$2:$T$4001,X$1))</f>
        <v/>
      </c>
      <c r="Y664" s="49">
        <f>IF(OR($AE664&lt;&gt;1,Y$1=""),"",SUMIFS('All Donations'!$S$2:$S$4001,'All Donations'!$R$2:$R$4001,$AD664,'All Donations'!$T$2:$T$4001,Y$1))</f>
        <v/>
      </c>
      <c r="Z664" s="49">
        <f>IF(OR($AE664&lt;&gt;1,Z$1=""),"",SUMIFS('All Donations'!$S$2:$S$4001,'All Donations'!$R$2:$R$4001,$AD664,'All Donations'!$T$2:$T$4001,Z$1))</f>
        <v/>
      </c>
      <c r="AA664" s="49">
        <f>IF(OR($AE664&lt;&gt;1,AA$1=""),"",SUMIFS('All Donations'!$S$2:$S$4001,'All Donations'!$R$2:$R$4001,$AD664,'All Donations'!$T$2:$T$4001,AA$1))</f>
        <v/>
      </c>
      <c r="AB664" s="49">
        <f>IF(OR($AE664&lt;&gt;1,AB$1=""),"",SUMIFS('All Donations'!$S$2:$S$4001,'All Donations'!$R$2:$R$4001,$AD664,'All Donations'!$T$2:$T$4001,AB$1))</f>
        <v/>
      </c>
      <c r="AC664" s="49">
        <f>IF(OR($AE664&lt;&gt;1,AC$1=""),"",SUMIFS('All Donations'!$S$2:$S$4001,'All Donations'!$R$2:$R$4001,$AD664,'All Donations'!$T$2:$T$4001,AC$1))</f>
        <v/>
      </c>
      <c r="AD664">
        <f>IF(AE664=1,'Roster'!A664,"")</f>
        <v/>
      </c>
      <c r="AE664">
        <f>IF(TRIM('Roster'!B664&amp;'Roster'!C664)&lt;&gt;"",1,0)</f>
        <v/>
      </c>
      <c r="AF664">
        <f>IF(AE664=1,LOWER(A664),"#")</f>
        <v/>
      </c>
      <c r="AG664">
        <f>IF(AE664=1,LOWER(TRIM(TRIM('Roster'!C664)&amp;", "&amp;TRIM('Roster'!B664))),"#")</f>
        <v/>
      </c>
      <c r="AH664">
        <f>IF(AND(AE664=1,TRIM('Roster'!F664)&lt;&gt;""),LOWER(TRIM('Roster'!F664)),"#")</f>
        <v/>
      </c>
      <c r="AI664">
        <f>IF(AE664=1,IF(MATCH(B664,$B$2:$B$701,0)=ROW()-1,1,0),0)</f>
        <v/>
      </c>
      <c r="AJ664">
        <f>AJ663+AI664</f>
        <v/>
      </c>
      <c r="AK664">
        <f>IF(AE664=1,D664+(1000-ROW())/10^7,-1)</f>
        <v/>
      </c>
      <c r="AL664">
        <f>IF(AE664=1,TRIM('Roster'!B664)&amp;" "&amp;LEFT(TRIM('Roster'!C664),1)&amp;".","")</f>
        <v/>
      </c>
      <c r="AM664">
        <f>IF(AE664=1,TRIM('Roster'!C664)&amp;", "&amp;TRIM('Roster'!B664)&amp;" ("&amp;B664&amp;") #"&amp;AD664,"")</f>
        <v/>
      </c>
      <c r="AN664">
        <f>IF(AE664=1,TRIM('Roster'!E664),"")</f>
        <v/>
      </c>
      <c r="AO664">
        <f>IF(AE664=1,ROUND(SUMIFS('All Donations'!$S$2:$S$4001,'All Donations'!$R$2:$R$4001,AD664,'All Donations'!$T$2:$T$4001,"&gt;="&amp;'Settings'!$C$23,'All Donations'!$T$2:$T$4001,"&lt;="&amp;'Settings'!$D$23),2),0)</f>
        <v/>
      </c>
      <c r="AQ664">
        <f>IF(AE664=1,ROUND(SUMIFS('All Donations'!$S$2:$S$4001,'All Donations'!$R$2:$R$4001,AD664,'All Donations'!$T$2:$T$4001,"&gt;="&amp;'Settings'!$C$25,'All Donations'!$T$2:$T$4001,"&lt;="&amp;'Settings'!$D$25),2),0)</f>
        <v/>
      </c>
      <c r="AR664">
        <f>IF(AE664=1,ROUND(SUMIFS('All Donations'!$S$2:$S$4001,'All Donations'!$R$2:$R$4001,AD664,'All Donations'!$T$2:$T$4001,"&gt;="&amp;'Settings'!$C$26,'All Donations'!$T$2:$T$4001,"&lt;="&amp;'Settings'!$D$26),2),0)</f>
        <v/>
      </c>
      <c r="AS664">
        <f>IF(AE664=1,ROUND(SUMIFS('All Donations'!$S$2:$S$4001,'All Donations'!$R$2:$R$4001,AD664,'All Donations'!$T$2:$T$4001,"&lt;="&amp;'Settings'!$D$27),2),0)</f>
        <v/>
      </c>
      <c r="AT664">
        <f>IF(AE664=1,ROUND(SUMIFS('All Donations'!$S$2:$S$4001,'All Donations'!$R$2:$R$4001,AD664,'All Donations'!$T$2:$T$4001,"&gt;="&amp;'Settings'!$C$28,'All Donations'!$T$2:$T$4001,"&lt;="&amp;'Settings'!$D$28),2),0)</f>
        <v/>
      </c>
      <c r="AU664">
        <f>IF(AE664=1,ROUND(SUMIFS('All Donations'!$S$2:$S$4001,'All Donations'!$R$2:$R$4001,AD664,'All Donations'!$T$2:$T$4001,"&gt;="&amp;'Settings'!$C$29,'All Donations'!$T$2:$T$4001,"&lt;="&amp;'Settings'!$D$29),2),0)</f>
        <v/>
      </c>
      <c r="AV664">
        <f>IF(AE664=1,ROUND(SUMIFS('All Donations'!$S$2:$S$4001,'All Donations'!$R$2:$R$4001,AD664,'All Donations'!$T$2:$T$4001,"&lt;="&amp;'Settings'!$D$30),2),0)</f>
        <v/>
      </c>
      <c r="AZ664">
        <f>IF(AE664=1,ROUND(SUMIFS('All Donations'!$S$2:$S$4001,'All Donations'!$R$2:$R$4001,AD664,'All Donations'!$T$2:$T$4001,"&lt;="&amp;'Settings'!$D$34),2),0)</f>
        <v/>
      </c>
    </row>
    <row r="665">
      <c r="A665">
        <f>IF(AE665=1,TRIM(TRIM('Roster'!B665)&amp;" "&amp;TRIM('Roster'!C665)),"")</f>
        <v/>
      </c>
      <c r="B665">
        <f>IF(AE665=1,IF(AN665="","(no teacher)",AN665&amp;" – "&amp;C665),"")</f>
        <v/>
      </c>
      <c r="C665">
        <f>IF(AE665=1,TRIM('Roster'!D665&amp;""),"")</f>
        <v/>
      </c>
      <c r="D665" s="48">
        <f>IF(AE665=1,ROUND(SUMIFS('All Donations'!$S$2:$S$4001,'All Donations'!$R$2:$R$4001,AD665),2),"")</f>
        <v/>
      </c>
      <c r="E665" s="48">
        <f>IF(AE665=1,ROUND(SUMIFS('All Donations'!$S$2:$S$4001,'All Donations'!$R$2:$R$4001,AD665,'All Donations'!$G$2:$G$4001,"OneCause"),2),"")</f>
        <v/>
      </c>
      <c r="F665" s="48">
        <f>IF(AE665=1,D665-E665,"")</f>
        <v/>
      </c>
      <c r="G665">
        <f>IF(AE665=1,COUNTIFS('All Donations'!$R$2:$R$4001,AD665,'All Donations'!$H$2:$H$4001,"OK"),"")</f>
        <v/>
      </c>
      <c r="H665">
        <f>IF(AE665&lt;&gt;1,"",IF(D665&gt;0,"Yes",""))</f>
        <v/>
      </c>
      <c r="I665" s="49">
        <f>IF(OR($AE665&lt;&gt;1,I$1=""),"",SUMIFS('All Donations'!$S$2:$S$4001,'All Donations'!$R$2:$R$4001,$AD665,'All Donations'!$T$2:$T$4001,I$1))</f>
        <v/>
      </c>
      <c r="J665" s="49">
        <f>IF(OR($AE665&lt;&gt;1,J$1=""),"",SUMIFS('All Donations'!$S$2:$S$4001,'All Donations'!$R$2:$R$4001,$AD665,'All Donations'!$T$2:$T$4001,J$1))</f>
        <v/>
      </c>
      <c r="K665" s="49">
        <f>IF(OR($AE665&lt;&gt;1,K$1=""),"",SUMIFS('All Donations'!$S$2:$S$4001,'All Donations'!$R$2:$R$4001,$AD665,'All Donations'!$T$2:$T$4001,K$1))</f>
        <v/>
      </c>
      <c r="L665" s="49">
        <f>IF(OR($AE665&lt;&gt;1,L$1=""),"",SUMIFS('All Donations'!$S$2:$S$4001,'All Donations'!$R$2:$R$4001,$AD665,'All Donations'!$T$2:$T$4001,L$1))</f>
        <v/>
      </c>
      <c r="M665" s="49">
        <f>IF(OR($AE665&lt;&gt;1,M$1=""),"",SUMIFS('All Donations'!$S$2:$S$4001,'All Donations'!$R$2:$R$4001,$AD665,'All Donations'!$T$2:$T$4001,M$1))</f>
        <v/>
      </c>
      <c r="N665" s="49">
        <f>IF(OR($AE665&lt;&gt;1,N$1=""),"",SUMIFS('All Donations'!$S$2:$S$4001,'All Donations'!$R$2:$R$4001,$AD665,'All Donations'!$T$2:$T$4001,N$1))</f>
        <v/>
      </c>
      <c r="O665" s="49">
        <f>IF(OR($AE665&lt;&gt;1,O$1=""),"",SUMIFS('All Donations'!$S$2:$S$4001,'All Donations'!$R$2:$R$4001,$AD665,'All Donations'!$T$2:$T$4001,O$1))</f>
        <v/>
      </c>
      <c r="P665" s="49">
        <f>IF(OR($AE665&lt;&gt;1,P$1=""),"",SUMIFS('All Donations'!$S$2:$S$4001,'All Donations'!$R$2:$R$4001,$AD665,'All Donations'!$T$2:$T$4001,P$1))</f>
        <v/>
      </c>
      <c r="Q665" s="49">
        <f>IF(OR($AE665&lt;&gt;1,Q$1=""),"",SUMIFS('All Donations'!$S$2:$S$4001,'All Donations'!$R$2:$R$4001,$AD665,'All Donations'!$T$2:$T$4001,Q$1))</f>
        <v/>
      </c>
      <c r="R665" s="49">
        <f>IF(OR($AE665&lt;&gt;1,R$1=""),"",SUMIFS('All Donations'!$S$2:$S$4001,'All Donations'!$R$2:$R$4001,$AD665,'All Donations'!$T$2:$T$4001,R$1))</f>
        <v/>
      </c>
      <c r="S665" s="49">
        <f>IF(OR($AE665&lt;&gt;1,S$1=""),"",SUMIFS('All Donations'!$S$2:$S$4001,'All Donations'!$R$2:$R$4001,$AD665,'All Donations'!$T$2:$T$4001,S$1))</f>
        <v/>
      </c>
      <c r="T665" s="49">
        <f>IF(OR($AE665&lt;&gt;1,T$1=""),"",SUMIFS('All Donations'!$S$2:$S$4001,'All Donations'!$R$2:$R$4001,$AD665,'All Donations'!$T$2:$T$4001,T$1))</f>
        <v/>
      </c>
      <c r="U665" s="49">
        <f>IF(OR($AE665&lt;&gt;1,U$1=""),"",SUMIFS('All Donations'!$S$2:$S$4001,'All Donations'!$R$2:$R$4001,$AD665,'All Donations'!$T$2:$T$4001,U$1))</f>
        <v/>
      </c>
      <c r="V665" s="49">
        <f>IF(OR($AE665&lt;&gt;1,V$1=""),"",SUMIFS('All Donations'!$S$2:$S$4001,'All Donations'!$R$2:$R$4001,$AD665,'All Donations'!$T$2:$T$4001,V$1))</f>
        <v/>
      </c>
      <c r="W665" s="49">
        <f>IF(OR($AE665&lt;&gt;1,W$1=""),"",SUMIFS('All Donations'!$S$2:$S$4001,'All Donations'!$R$2:$R$4001,$AD665,'All Donations'!$T$2:$T$4001,W$1))</f>
        <v/>
      </c>
      <c r="X665" s="49">
        <f>IF(OR($AE665&lt;&gt;1,X$1=""),"",SUMIFS('All Donations'!$S$2:$S$4001,'All Donations'!$R$2:$R$4001,$AD665,'All Donations'!$T$2:$T$4001,X$1))</f>
        <v/>
      </c>
      <c r="Y665" s="49">
        <f>IF(OR($AE665&lt;&gt;1,Y$1=""),"",SUMIFS('All Donations'!$S$2:$S$4001,'All Donations'!$R$2:$R$4001,$AD665,'All Donations'!$T$2:$T$4001,Y$1))</f>
        <v/>
      </c>
      <c r="Z665" s="49">
        <f>IF(OR($AE665&lt;&gt;1,Z$1=""),"",SUMIFS('All Donations'!$S$2:$S$4001,'All Donations'!$R$2:$R$4001,$AD665,'All Donations'!$T$2:$T$4001,Z$1))</f>
        <v/>
      </c>
      <c r="AA665" s="49">
        <f>IF(OR($AE665&lt;&gt;1,AA$1=""),"",SUMIFS('All Donations'!$S$2:$S$4001,'All Donations'!$R$2:$R$4001,$AD665,'All Donations'!$T$2:$T$4001,AA$1))</f>
        <v/>
      </c>
      <c r="AB665" s="49">
        <f>IF(OR($AE665&lt;&gt;1,AB$1=""),"",SUMIFS('All Donations'!$S$2:$S$4001,'All Donations'!$R$2:$R$4001,$AD665,'All Donations'!$T$2:$T$4001,AB$1))</f>
        <v/>
      </c>
      <c r="AC665" s="49">
        <f>IF(OR($AE665&lt;&gt;1,AC$1=""),"",SUMIFS('All Donations'!$S$2:$S$4001,'All Donations'!$R$2:$R$4001,$AD665,'All Donations'!$T$2:$T$4001,AC$1))</f>
        <v/>
      </c>
      <c r="AD665">
        <f>IF(AE665=1,'Roster'!A665,"")</f>
        <v/>
      </c>
      <c r="AE665">
        <f>IF(TRIM('Roster'!B665&amp;'Roster'!C665)&lt;&gt;"",1,0)</f>
        <v/>
      </c>
      <c r="AF665">
        <f>IF(AE665=1,LOWER(A665),"#")</f>
        <v/>
      </c>
      <c r="AG665">
        <f>IF(AE665=1,LOWER(TRIM(TRIM('Roster'!C665)&amp;", "&amp;TRIM('Roster'!B665))),"#")</f>
        <v/>
      </c>
      <c r="AH665">
        <f>IF(AND(AE665=1,TRIM('Roster'!F665)&lt;&gt;""),LOWER(TRIM('Roster'!F665)),"#")</f>
        <v/>
      </c>
      <c r="AI665">
        <f>IF(AE665=1,IF(MATCH(B665,$B$2:$B$701,0)=ROW()-1,1,0),0)</f>
        <v/>
      </c>
      <c r="AJ665">
        <f>AJ664+AI665</f>
        <v/>
      </c>
      <c r="AK665">
        <f>IF(AE665=1,D665+(1000-ROW())/10^7,-1)</f>
        <v/>
      </c>
      <c r="AL665">
        <f>IF(AE665=1,TRIM('Roster'!B665)&amp;" "&amp;LEFT(TRIM('Roster'!C665),1)&amp;".","")</f>
        <v/>
      </c>
      <c r="AM665">
        <f>IF(AE665=1,TRIM('Roster'!C665)&amp;", "&amp;TRIM('Roster'!B665)&amp;" ("&amp;B665&amp;") #"&amp;AD665,"")</f>
        <v/>
      </c>
      <c r="AN665">
        <f>IF(AE665=1,TRIM('Roster'!E665),"")</f>
        <v/>
      </c>
      <c r="AO665">
        <f>IF(AE665=1,ROUND(SUMIFS('All Donations'!$S$2:$S$4001,'All Donations'!$R$2:$R$4001,AD665,'All Donations'!$T$2:$T$4001,"&gt;="&amp;'Settings'!$C$23,'All Donations'!$T$2:$T$4001,"&lt;="&amp;'Settings'!$D$23),2),0)</f>
        <v/>
      </c>
      <c r="AQ665">
        <f>IF(AE665=1,ROUND(SUMIFS('All Donations'!$S$2:$S$4001,'All Donations'!$R$2:$R$4001,AD665,'All Donations'!$T$2:$T$4001,"&gt;="&amp;'Settings'!$C$25,'All Donations'!$T$2:$T$4001,"&lt;="&amp;'Settings'!$D$25),2),0)</f>
        <v/>
      </c>
      <c r="AR665">
        <f>IF(AE665=1,ROUND(SUMIFS('All Donations'!$S$2:$S$4001,'All Donations'!$R$2:$R$4001,AD665,'All Donations'!$T$2:$T$4001,"&gt;="&amp;'Settings'!$C$26,'All Donations'!$T$2:$T$4001,"&lt;="&amp;'Settings'!$D$26),2),0)</f>
        <v/>
      </c>
      <c r="AS665">
        <f>IF(AE665=1,ROUND(SUMIFS('All Donations'!$S$2:$S$4001,'All Donations'!$R$2:$R$4001,AD665,'All Donations'!$T$2:$T$4001,"&lt;="&amp;'Settings'!$D$27),2),0)</f>
        <v/>
      </c>
      <c r="AT665">
        <f>IF(AE665=1,ROUND(SUMIFS('All Donations'!$S$2:$S$4001,'All Donations'!$R$2:$R$4001,AD665,'All Donations'!$T$2:$T$4001,"&gt;="&amp;'Settings'!$C$28,'All Donations'!$T$2:$T$4001,"&lt;="&amp;'Settings'!$D$28),2),0)</f>
        <v/>
      </c>
      <c r="AU665">
        <f>IF(AE665=1,ROUND(SUMIFS('All Donations'!$S$2:$S$4001,'All Donations'!$R$2:$R$4001,AD665,'All Donations'!$T$2:$T$4001,"&gt;="&amp;'Settings'!$C$29,'All Donations'!$T$2:$T$4001,"&lt;="&amp;'Settings'!$D$29),2),0)</f>
        <v/>
      </c>
      <c r="AV665">
        <f>IF(AE665=1,ROUND(SUMIFS('All Donations'!$S$2:$S$4001,'All Donations'!$R$2:$R$4001,AD665,'All Donations'!$T$2:$T$4001,"&lt;="&amp;'Settings'!$D$30),2),0)</f>
        <v/>
      </c>
      <c r="AZ665">
        <f>IF(AE665=1,ROUND(SUMIFS('All Donations'!$S$2:$S$4001,'All Donations'!$R$2:$R$4001,AD665,'All Donations'!$T$2:$T$4001,"&lt;="&amp;'Settings'!$D$34),2),0)</f>
        <v/>
      </c>
    </row>
    <row r="666">
      <c r="A666">
        <f>IF(AE666=1,TRIM(TRIM('Roster'!B666)&amp;" "&amp;TRIM('Roster'!C666)),"")</f>
        <v/>
      </c>
      <c r="B666">
        <f>IF(AE666=1,IF(AN666="","(no teacher)",AN666&amp;" – "&amp;C666),"")</f>
        <v/>
      </c>
      <c r="C666">
        <f>IF(AE666=1,TRIM('Roster'!D666&amp;""),"")</f>
        <v/>
      </c>
      <c r="D666" s="48">
        <f>IF(AE666=1,ROUND(SUMIFS('All Donations'!$S$2:$S$4001,'All Donations'!$R$2:$R$4001,AD666),2),"")</f>
        <v/>
      </c>
      <c r="E666" s="48">
        <f>IF(AE666=1,ROUND(SUMIFS('All Donations'!$S$2:$S$4001,'All Donations'!$R$2:$R$4001,AD666,'All Donations'!$G$2:$G$4001,"OneCause"),2),"")</f>
        <v/>
      </c>
      <c r="F666" s="48">
        <f>IF(AE666=1,D666-E666,"")</f>
        <v/>
      </c>
      <c r="G666">
        <f>IF(AE666=1,COUNTIFS('All Donations'!$R$2:$R$4001,AD666,'All Donations'!$H$2:$H$4001,"OK"),"")</f>
        <v/>
      </c>
      <c r="H666">
        <f>IF(AE666&lt;&gt;1,"",IF(D666&gt;0,"Yes",""))</f>
        <v/>
      </c>
      <c r="I666" s="49">
        <f>IF(OR($AE666&lt;&gt;1,I$1=""),"",SUMIFS('All Donations'!$S$2:$S$4001,'All Donations'!$R$2:$R$4001,$AD666,'All Donations'!$T$2:$T$4001,I$1))</f>
        <v/>
      </c>
      <c r="J666" s="49">
        <f>IF(OR($AE666&lt;&gt;1,J$1=""),"",SUMIFS('All Donations'!$S$2:$S$4001,'All Donations'!$R$2:$R$4001,$AD666,'All Donations'!$T$2:$T$4001,J$1))</f>
        <v/>
      </c>
      <c r="K666" s="49">
        <f>IF(OR($AE666&lt;&gt;1,K$1=""),"",SUMIFS('All Donations'!$S$2:$S$4001,'All Donations'!$R$2:$R$4001,$AD666,'All Donations'!$T$2:$T$4001,K$1))</f>
        <v/>
      </c>
      <c r="L666" s="49">
        <f>IF(OR($AE666&lt;&gt;1,L$1=""),"",SUMIFS('All Donations'!$S$2:$S$4001,'All Donations'!$R$2:$R$4001,$AD666,'All Donations'!$T$2:$T$4001,L$1))</f>
        <v/>
      </c>
      <c r="M666" s="49">
        <f>IF(OR($AE666&lt;&gt;1,M$1=""),"",SUMIFS('All Donations'!$S$2:$S$4001,'All Donations'!$R$2:$R$4001,$AD666,'All Donations'!$T$2:$T$4001,M$1))</f>
        <v/>
      </c>
      <c r="N666" s="49">
        <f>IF(OR($AE666&lt;&gt;1,N$1=""),"",SUMIFS('All Donations'!$S$2:$S$4001,'All Donations'!$R$2:$R$4001,$AD666,'All Donations'!$T$2:$T$4001,N$1))</f>
        <v/>
      </c>
      <c r="O666" s="49">
        <f>IF(OR($AE666&lt;&gt;1,O$1=""),"",SUMIFS('All Donations'!$S$2:$S$4001,'All Donations'!$R$2:$R$4001,$AD666,'All Donations'!$T$2:$T$4001,O$1))</f>
        <v/>
      </c>
      <c r="P666" s="49">
        <f>IF(OR($AE666&lt;&gt;1,P$1=""),"",SUMIFS('All Donations'!$S$2:$S$4001,'All Donations'!$R$2:$R$4001,$AD666,'All Donations'!$T$2:$T$4001,P$1))</f>
        <v/>
      </c>
      <c r="Q666" s="49">
        <f>IF(OR($AE666&lt;&gt;1,Q$1=""),"",SUMIFS('All Donations'!$S$2:$S$4001,'All Donations'!$R$2:$R$4001,$AD666,'All Donations'!$T$2:$T$4001,Q$1))</f>
        <v/>
      </c>
      <c r="R666" s="49">
        <f>IF(OR($AE666&lt;&gt;1,R$1=""),"",SUMIFS('All Donations'!$S$2:$S$4001,'All Donations'!$R$2:$R$4001,$AD666,'All Donations'!$T$2:$T$4001,R$1))</f>
        <v/>
      </c>
      <c r="S666" s="49">
        <f>IF(OR($AE666&lt;&gt;1,S$1=""),"",SUMIFS('All Donations'!$S$2:$S$4001,'All Donations'!$R$2:$R$4001,$AD666,'All Donations'!$T$2:$T$4001,S$1))</f>
        <v/>
      </c>
      <c r="T666" s="49">
        <f>IF(OR($AE666&lt;&gt;1,T$1=""),"",SUMIFS('All Donations'!$S$2:$S$4001,'All Donations'!$R$2:$R$4001,$AD666,'All Donations'!$T$2:$T$4001,T$1))</f>
        <v/>
      </c>
      <c r="U666" s="49">
        <f>IF(OR($AE666&lt;&gt;1,U$1=""),"",SUMIFS('All Donations'!$S$2:$S$4001,'All Donations'!$R$2:$R$4001,$AD666,'All Donations'!$T$2:$T$4001,U$1))</f>
        <v/>
      </c>
      <c r="V666" s="49">
        <f>IF(OR($AE666&lt;&gt;1,V$1=""),"",SUMIFS('All Donations'!$S$2:$S$4001,'All Donations'!$R$2:$R$4001,$AD666,'All Donations'!$T$2:$T$4001,V$1))</f>
        <v/>
      </c>
      <c r="W666" s="49">
        <f>IF(OR($AE666&lt;&gt;1,W$1=""),"",SUMIFS('All Donations'!$S$2:$S$4001,'All Donations'!$R$2:$R$4001,$AD666,'All Donations'!$T$2:$T$4001,W$1))</f>
        <v/>
      </c>
      <c r="X666" s="49">
        <f>IF(OR($AE666&lt;&gt;1,X$1=""),"",SUMIFS('All Donations'!$S$2:$S$4001,'All Donations'!$R$2:$R$4001,$AD666,'All Donations'!$T$2:$T$4001,X$1))</f>
        <v/>
      </c>
      <c r="Y666" s="49">
        <f>IF(OR($AE666&lt;&gt;1,Y$1=""),"",SUMIFS('All Donations'!$S$2:$S$4001,'All Donations'!$R$2:$R$4001,$AD666,'All Donations'!$T$2:$T$4001,Y$1))</f>
        <v/>
      </c>
      <c r="Z666" s="49">
        <f>IF(OR($AE666&lt;&gt;1,Z$1=""),"",SUMIFS('All Donations'!$S$2:$S$4001,'All Donations'!$R$2:$R$4001,$AD666,'All Donations'!$T$2:$T$4001,Z$1))</f>
        <v/>
      </c>
      <c r="AA666" s="49">
        <f>IF(OR($AE666&lt;&gt;1,AA$1=""),"",SUMIFS('All Donations'!$S$2:$S$4001,'All Donations'!$R$2:$R$4001,$AD666,'All Donations'!$T$2:$T$4001,AA$1))</f>
        <v/>
      </c>
      <c r="AB666" s="49">
        <f>IF(OR($AE666&lt;&gt;1,AB$1=""),"",SUMIFS('All Donations'!$S$2:$S$4001,'All Donations'!$R$2:$R$4001,$AD666,'All Donations'!$T$2:$T$4001,AB$1))</f>
        <v/>
      </c>
      <c r="AC666" s="49">
        <f>IF(OR($AE666&lt;&gt;1,AC$1=""),"",SUMIFS('All Donations'!$S$2:$S$4001,'All Donations'!$R$2:$R$4001,$AD666,'All Donations'!$T$2:$T$4001,AC$1))</f>
        <v/>
      </c>
      <c r="AD666">
        <f>IF(AE666=1,'Roster'!A666,"")</f>
        <v/>
      </c>
      <c r="AE666">
        <f>IF(TRIM('Roster'!B666&amp;'Roster'!C666)&lt;&gt;"",1,0)</f>
        <v/>
      </c>
      <c r="AF666">
        <f>IF(AE666=1,LOWER(A666),"#")</f>
        <v/>
      </c>
      <c r="AG666">
        <f>IF(AE666=1,LOWER(TRIM(TRIM('Roster'!C666)&amp;", "&amp;TRIM('Roster'!B666))),"#")</f>
        <v/>
      </c>
      <c r="AH666">
        <f>IF(AND(AE666=1,TRIM('Roster'!F666)&lt;&gt;""),LOWER(TRIM('Roster'!F666)),"#")</f>
        <v/>
      </c>
      <c r="AI666">
        <f>IF(AE666=1,IF(MATCH(B666,$B$2:$B$701,0)=ROW()-1,1,0),0)</f>
        <v/>
      </c>
      <c r="AJ666">
        <f>AJ665+AI666</f>
        <v/>
      </c>
      <c r="AK666">
        <f>IF(AE666=1,D666+(1000-ROW())/10^7,-1)</f>
        <v/>
      </c>
      <c r="AL666">
        <f>IF(AE666=1,TRIM('Roster'!B666)&amp;" "&amp;LEFT(TRIM('Roster'!C666),1)&amp;".","")</f>
        <v/>
      </c>
      <c r="AM666">
        <f>IF(AE666=1,TRIM('Roster'!C666)&amp;", "&amp;TRIM('Roster'!B666)&amp;" ("&amp;B666&amp;") #"&amp;AD666,"")</f>
        <v/>
      </c>
      <c r="AN666">
        <f>IF(AE666=1,TRIM('Roster'!E666),"")</f>
        <v/>
      </c>
      <c r="AO666">
        <f>IF(AE666=1,ROUND(SUMIFS('All Donations'!$S$2:$S$4001,'All Donations'!$R$2:$R$4001,AD666,'All Donations'!$T$2:$T$4001,"&gt;="&amp;'Settings'!$C$23,'All Donations'!$T$2:$T$4001,"&lt;="&amp;'Settings'!$D$23),2),0)</f>
        <v/>
      </c>
      <c r="AQ666">
        <f>IF(AE666=1,ROUND(SUMIFS('All Donations'!$S$2:$S$4001,'All Donations'!$R$2:$R$4001,AD666,'All Donations'!$T$2:$T$4001,"&gt;="&amp;'Settings'!$C$25,'All Donations'!$T$2:$T$4001,"&lt;="&amp;'Settings'!$D$25),2),0)</f>
        <v/>
      </c>
      <c r="AR666">
        <f>IF(AE666=1,ROUND(SUMIFS('All Donations'!$S$2:$S$4001,'All Donations'!$R$2:$R$4001,AD666,'All Donations'!$T$2:$T$4001,"&gt;="&amp;'Settings'!$C$26,'All Donations'!$T$2:$T$4001,"&lt;="&amp;'Settings'!$D$26),2),0)</f>
        <v/>
      </c>
      <c r="AS666">
        <f>IF(AE666=1,ROUND(SUMIFS('All Donations'!$S$2:$S$4001,'All Donations'!$R$2:$R$4001,AD666,'All Donations'!$T$2:$T$4001,"&lt;="&amp;'Settings'!$D$27),2),0)</f>
        <v/>
      </c>
      <c r="AT666">
        <f>IF(AE666=1,ROUND(SUMIFS('All Donations'!$S$2:$S$4001,'All Donations'!$R$2:$R$4001,AD666,'All Donations'!$T$2:$T$4001,"&gt;="&amp;'Settings'!$C$28,'All Donations'!$T$2:$T$4001,"&lt;="&amp;'Settings'!$D$28),2),0)</f>
        <v/>
      </c>
      <c r="AU666">
        <f>IF(AE666=1,ROUND(SUMIFS('All Donations'!$S$2:$S$4001,'All Donations'!$R$2:$R$4001,AD666,'All Donations'!$T$2:$T$4001,"&gt;="&amp;'Settings'!$C$29,'All Donations'!$T$2:$T$4001,"&lt;="&amp;'Settings'!$D$29),2),0)</f>
        <v/>
      </c>
      <c r="AV666">
        <f>IF(AE666=1,ROUND(SUMIFS('All Donations'!$S$2:$S$4001,'All Donations'!$R$2:$R$4001,AD666,'All Donations'!$T$2:$T$4001,"&lt;="&amp;'Settings'!$D$30),2),0)</f>
        <v/>
      </c>
      <c r="AZ666">
        <f>IF(AE666=1,ROUND(SUMIFS('All Donations'!$S$2:$S$4001,'All Donations'!$R$2:$R$4001,AD666,'All Donations'!$T$2:$T$4001,"&lt;="&amp;'Settings'!$D$34),2),0)</f>
        <v/>
      </c>
    </row>
    <row r="667">
      <c r="A667">
        <f>IF(AE667=1,TRIM(TRIM('Roster'!B667)&amp;" "&amp;TRIM('Roster'!C667)),"")</f>
        <v/>
      </c>
      <c r="B667">
        <f>IF(AE667=1,IF(AN667="","(no teacher)",AN667&amp;" – "&amp;C667),"")</f>
        <v/>
      </c>
      <c r="C667">
        <f>IF(AE667=1,TRIM('Roster'!D667&amp;""),"")</f>
        <v/>
      </c>
      <c r="D667" s="48">
        <f>IF(AE667=1,ROUND(SUMIFS('All Donations'!$S$2:$S$4001,'All Donations'!$R$2:$R$4001,AD667),2),"")</f>
        <v/>
      </c>
      <c r="E667" s="48">
        <f>IF(AE667=1,ROUND(SUMIFS('All Donations'!$S$2:$S$4001,'All Donations'!$R$2:$R$4001,AD667,'All Donations'!$G$2:$G$4001,"OneCause"),2),"")</f>
        <v/>
      </c>
      <c r="F667" s="48">
        <f>IF(AE667=1,D667-E667,"")</f>
        <v/>
      </c>
      <c r="G667">
        <f>IF(AE667=1,COUNTIFS('All Donations'!$R$2:$R$4001,AD667,'All Donations'!$H$2:$H$4001,"OK"),"")</f>
        <v/>
      </c>
      <c r="H667">
        <f>IF(AE667&lt;&gt;1,"",IF(D667&gt;0,"Yes",""))</f>
        <v/>
      </c>
      <c r="I667" s="49">
        <f>IF(OR($AE667&lt;&gt;1,I$1=""),"",SUMIFS('All Donations'!$S$2:$S$4001,'All Donations'!$R$2:$R$4001,$AD667,'All Donations'!$T$2:$T$4001,I$1))</f>
        <v/>
      </c>
      <c r="J667" s="49">
        <f>IF(OR($AE667&lt;&gt;1,J$1=""),"",SUMIFS('All Donations'!$S$2:$S$4001,'All Donations'!$R$2:$R$4001,$AD667,'All Donations'!$T$2:$T$4001,J$1))</f>
        <v/>
      </c>
      <c r="K667" s="49">
        <f>IF(OR($AE667&lt;&gt;1,K$1=""),"",SUMIFS('All Donations'!$S$2:$S$4001,'All Donations'!$R$2:$R$4001,$AD667,'All Donations'!$T$2:$T$4001,K$1))</f>
        <v/>
      </c>
      <c r="L667" s="49">
        <f>IF(OR($AE667&lt;&gt;1,L$1=""),"",SUMIFS('All Donations'!$S$2:$S$4001,'All Donations'!$R$2:$R$4001,$AD667,'All Donations'!$T$2:$T$4001,L$1))</f>
        <v/>
      </c>
      <c r="M667" s="49">
        <f>IF(OR($AE667&lt;&gt;1,M$1=""),"",SUMIFS('All Donations'!$S$2:$S$4001,'All Donations'!$R$2:$R$4001,$AD667,'All Donations'!$T$2:$T$4001,M$1))</f>
        <v/>
      </c>
      <c r="N667" s="49">
        <f>IF(OR($AE667&lt;&gt;1,N$1=""),"",SUMIFS('All Donations'!$S$2:$S$4001,'All Donations'!$R$2:$R$4001,$AD667,'All Donations'!$T$2:$T$4001,N$1))</f>
        <v/>
      </c>
      <c r="O667" s="49">
        <f>IF(OR($AE667&lt;&gt;1,O$1=""),"",SUMIFS('All Donations'!$S$2:$S$4001,'All Donations'!$R$2:$R$4001,$AD667,'All Donations'!$T$2:$T$4001,O$1))</f>
        <v/>
      </c>
      <c r="P667" s="49">
        <f>IF(OR($AE667&lt;&gt;1,P$1=""),"",SUMIFS('All Donations'!$S$2:$S$4001,'All Donations'!$R$2:$R$4001,$AD667,'All Donations'!$T$2:$T$4001,P$1))</f>
        <v/>
      </c>
      <c r="Q667" s="49">
        <f>IF(OR($AE667&lt;&gt;1,Q$1=""),"",SUMIFS('All Donations'!$S$2:$S$4001,'All Donations'!$R$2:$R$4001,$AD667,'All Donations'!$T$2:$T$4001,Q$1))</f>
        <v/>
      </c>
      <c r="R667" s="49">
        <f>IF(OR($AE667&lt;&gt;1,R$1=""),"",SUMIFS('All Donations'!$S$2:$S$4001,'All Donations'!$R$2:$R$4001,$AD667,'All Donations'!$T$2:$T$4001,R$1))</f>
        <v/>
      </c>
      <c r="S667" s="49">
        <f>IF(OR($AE667&lt;&gt;1,S$1=""),"",SUMIFS('All Donations'!$S$2:$S$4001,'All Donations'!$R$2:$R$4001,$AD667,'All Donations'!$T$2:$T$4001,S$1))</f>
        <v/>
      </c>
      <c r="T667" s="49">
        <f>IF(OR($AE667&lt;&gt;1,T$1=""),"",SUMIFS('All Donations'!$S$2:$S$4001,'All Donations'!$R$2:$R$4001,$AD667,'All Donations'!$T$2:$T$4001,T$1))</f>
        <v/>
      </c>
      <c r="U667" s="49">
        <f>IF(OR($AE667&lt;&gt;1,U$1=""),"",SUMIFS('All Donations'!$S$2:$S$4001,'All Donations'!$R$2:$R$4001,$AD667,'All Donations'!$T$2:$T$4001,U$1))</f>
        <v/>
      </c>
      <c r="V667" s="49">
        <f>IF(OR($AE667&lt;&gt;1,V$1=""),"",SUMIFS('All Donations'!$S$2:$S$4001,'All Donations'!$R$2:$R$4001,$AD667,'All Donations'!$T$2:$T$4001,V$1))</f>
        <v/>
      </c>
      <c r="W667" s="49">
        <f>IF(OR($AE667&lt;&gt;1,W$1=""),"",SUMIFS('All Donations'!$S$2:$S$4001,'All Donations'!$R$2:$R$4001,$AD667,'All Donations'!$T$2:$T$4001,W$1))</f>
        <v/>
      </c>
      <c r="X667" s="49">
        <f>IF(OR($AE667&lt;&gt;1,X$1=""),"",SUMIFS('All Donations'!$S$2:$S$4001,'All Donations'!$R$2:$R$4001,$AD667,'All Donations'!$T$2:$T$4001,X$1))</f>
        <v/>
      </c>
      <c r="Y667" s="49">
        <f>IF(OR($AE667&lt;&gt;1,Y$1=""),"",SUMIFS('All Donations'!$S$2:$S$4001,'All Donations'!$R$2:$R$4001,$AD667,'All Donations'!$T$2:$T$4001,Y$1))</f>
        <v/>
      </c>
      <c r="Z667" s="49">
        <f>IF(OR($AE667&lt;&gt;1,Z$1=""),"",SUMIFS('All Donations'!$S$2:$S$4001,'All Donations'!$R$2:$R$4001,$AD667,'All Donations'!$T$2:$T$4001,Z$1))</f>
        <v/>
      </c>
      <c r="AA667" s="49">
        <f>IF(OR($AE667&lt;&gt;1,AA$1=""),"",SUMIFS('All Donations'!$S$2:$S$4001,'All Donations'!$R$2:$R$4001,$AD667,'All Donations'!$T$2:$T$4001,AA$1))</f>
        <v/>
      </c>
      <c r="AB667" s="49">
        <f>IF(OR($AE667&lt;&gt;1,AB$1=""),"",SUMIFS('All Donations'!$S$2:$S$4001,'All Donations'!$R$2:$R$4001,$AD667,'All Donations'!$T$2:$T$4001,AB$1))</f>
        <v/>
      </c>
      <c r="AC667" s="49">
        <f>IF(OR($AE667&lt;&gt;1,AC$1=""),"",SUMIFS('All Donations'!$S$2:$S$4001,'All Donations'!$R$2:$R$4001,$AD667,'All Donations'!$T$2:$T$4001,AC$1))</f>
        <v/>
      </c>
      <c r="AD667">
        <f>IF(AE667=1,'Roster'!A667,"")</f>
        <v/>
      </c>
      <c r="AE667">
        <f>IF(TRIM('Roster'!B667&amp;'Roster'!C667)&lt;&gt;"",1,0)</f>
        <v/>
      </c>
      <c r="AF667">
        <f>IF(AE667=1,LOWER(A667),"#")</f>
        <v/>
      </c>
      <c r="AG667">
        <f>IF(AE667=1,LOWER(TRIM(TRIM('Roster'!C667)&amp;", "&amp;TRIM('Roster'!B667))),"#")</f>
        <v/>
      </c>
      <c r="AH667">
        <f>IF(AND(AE667=1,TRIM('Roster'!F667)&lt;&gt;""),LOWER(TRIM('Roster'!F667)),"#")</f>
        <v/>
      </c>
      <c r="AI667">
        <f>IF(AE667=1,IF(MATCH(B667,$B$2:$B$701,0)=ROW()-1,1,0),0)</f>
        <v/>
      </c>
      <c r="AJ667">
        <f>AJ666+AI667</f>
        <v/>
      </c>
      <c r="AK667">
        <f>IF(AE667=1,D667+(1000-ROW())/10^7,-1)</f>
        <v/>
      </c>
      <c r="AL667">
        <f>IF(AE667=1,TRIM('Roster'!B667)&amp;" "&amp;LEFT(TRIM('Roster'!C667),1)&amp;".","")</f>
        <v/>
      </c>
      <c r="AM667">
        <f>IF(AE667=1,TRIM('Roster'!C667)&amp;", "&amp;TRIM('Roster'!B667)&amp;" ("&amp;B667&amp;") #"&amp;AD667,"")</f>
        <v/>
      </c>
      <c r="AN667">
        <f>IF(AE667=1,TRIM('Roster'!E667),"")</f>
        <v/>
      </c>
      <c r="AO667">
        <f>IF(AE667=1,ROUND(SUMIFS('All Donations'!$S$2:$S$4001,'All Donations'!$R$2:$R$4001,AD667,'All Donations'!$T$2:$T$4001,"&gt;="&amp;'Settings'!$C$23,'All Donations'!$T$2:$T$4001,"&lt;="&amp;'Settings'!$D$23),2),0)</f>
        <v/>
      </c>
      <c r="AQ667">
        <f>IF(AE667=1,ROUND(SUMIFS('All Donations'!$S$2:$S$4001,'All Donations'!$R$2:$R$4001,AD667,'All Donations'!$T$2:$T$4001,"&gt;="&amp;'Settings'!$C$25,'All Donations'!$T$2:$T$4001,"&lt;="&amp;'Settings'!$D$25),2),0)</f>
        <v/>
      </c>
      <c r="AR667">
        <f>IF(AE667=1,ROUND(SUMIFS('All Donations'!$S$2:$S$4001,'All Donations'!$R$2:$R$4001,AD667,'All Donations'!$T$2:$T$4001,"&gt;="&amp;'Settings'!$C$26,'All Donations'!$T$2:$T$4001,"&lt;="&amp;'Settings'!$D$26),2),0)</f>
        <v/>
      </c>
      <c r="AS667">
        <f>IF(AE667=1,ROUND(SUMIFS('All Donations'!$S$2:$S$4001,'All Donations'!$R$2:$R$4001,AD667,'All Donations'!$T$2:$T$4001,"&lt;="&amp;'Settings'!$D$27),2),0)</f>
        <v/>
      </c>
      <c r="AT667">
        <f>IF(AE667=1,ROUND(SUMIFS('All Donations'!$S$2:$S$4001,'All Donations'!$R$2:$R$4001,AD667,'All Donations'!$T$2:$T$4001,"&gt;="&amp;'Settings'!$C$28,'All Donations'!$T$2:$T$4001,"&lt;="&amp;'Settings'!$D$28),2),0)</f>
        <v/>
      </c>
      <c r="AU667">
        <f>IF(AE667=1,ROUND(SUMIFS('All Donations'!$S$2:$S$4001,'All Donations'!$R$2:$R$4001,AD667,'All Donations'!$T$2:$T$4001,"&gt;="&amp;'Settings'!$C$29,'All Donations'!$T$2:$T$4001,"&lt;="&amp;'Settings'!$D$29),2),0)</f>
        <v/>
      </c>
      <c r="AV667">
        <f>IF(AE667=1,ROUND(SUMIFS('All Donations'!$S$2:$S$4001,'All Donations'!$R$2:$R$4001,AD667,'All Donations'!$T$2:$T$4001,"&lt;="&amp;'Settings'!$D$30),2),0)</f>
        <v/>
      </c>
      <c r="AZ667">
        <f>IF(AE667=1,ROUND(SUMIFS('All Donations'!$S$2:$S$4001,'All Donations'!$R$2:$R$4001,AD667,'All Donations'!$T$2:$T$4001,"&lt;="&amp;'Settings'!$D$34),2),0)</f>
        <v/>
      </c>
    </row>
    <row r="668">
      <c r="A668">
        <f>IF(AE668=1,TRIM(TRIM('Roster'!B668)&amp;" "&amp;TRIM('Roster'!C668)),"")</f>
        <v/>
      </c>
      <c r="B668">
        <f>IF(AE668=1,IF(AN668="","(no teacher)",AN668&amp;" – "&amp;C668),"")</f>
        <v/>
      </c>
      <c r="C668">
        <f>IF(AE668=1,TRIM('Roster'!D668&amp;""),"")</f>
        <v/>
      </c>
      <c r="D668" s="48">
        <f>IF(AE668=1,ROUND(SUMIFS('All Donations'!$S$2:$S$4001,'All Donations'!$R$2:$R$4001,AD668),2),"")</f>
        <v/>
      </c>
      <c r="E668" s="48">
        <f>IF(AE668=1,ROUND(SUMIFS('All Donations'!$S$2:$S$4001,'All Donations'!$R$2:$R$4001,AD668,'All Donations'!$G$2:$G$4001,"OneCause"),2),"")</f>
        <v/>
      </c>
      <c r="F668" s="48">
        <f>IF(AE668=1,D668-E668,"")</f>
        <v/>
      </c>
      <c r="G668">
        <f>IF(AE668=1,COUNTIFS('All Donations'!$R$2:$R$4001,AD668,'All Donations'!$H$2:$H$4001,"OK"),"")</f>
        <v/>
      </c>
      <c r="H668">
        <f>IF(AE668&lt;&gt;1,"",IF(D668&gt;0,"Yes",""))</f>
        <v/>
      </c>
      <c r="I668" s="49">
        <f>IF(OR($AE668&lt;&gt;1,I$1=""),"",SUMIFS('All Donations'!$S$2:$S$4001,'All Donations'!$R$2:$R$4001,$AD668,'All Donations'!$T$2:$T$4001,I$1))</f>
        <v/>
      </c>
      <c r="J668" s="49">
        <f>IF(OR($AE668&lt;&gt;1,J$1=""),"",SUMIFS('All Donations'!$S$2:$S$4001,'All Donations'!$R$2:$R$4001,$AD668,'All Donations'!$T$2:$T$4001,J$1))</f>
        <v/>
      </c>
      <c r="K668" s="49">
        <f>IF(OR($AE668&lt;&gt;1,K$1=""),"",SUMIFS('All Donations'!$S$2:$S$4001,'All Donations'!$R$2:$R$4001,$AD668,'All Donations'!$T$2:$T$4001,K$1))</f>
        <v/>
      </c>
      <c r="L668" s="49">
        <f>IF(OR($AE668&lt;&gt;1,L$1=""),"",SUMIFS('All Donations'!$S$2:$S$4001,'All Donations'!$R$2:$R$4001,$AD668,'All Donations'!$T$2:$T$4001,L$1))</f>
        <v/>
      </c>
      <c r="M668" s="49">
        <f>IF(OR($AE668&lt;&gt;1,M$1=""),"",SUMIFS('All Donations'!$S$2:$S$4001,'All Donations'!$R$2:$R$4001,$AD668,'All Donations'!$T$2:$T$4001,M$1))</f>
        <v/>
      </c>
      <c r="N668" s="49">
        <f>IF(OR($AE668&lt;&gt;1,N$1=""),"",SUMIFS('All Donations'!$S$2:$S$4001,'All Donations'!$R$2:$R$4001,$AD668,'All Donations'!$T$2:$T$4001,N$1))</f>
        <v/>
      </c>
      <c r="O668" s="49">
        <f>IF(OR($AE668&lt;&gt;1,O$1=""),"",SUMIFS('All Donations'!$S$2:$S$4001,'All Donations'!$R$2:$R$4001,$AD668,'All Donations'!$T$2:$T$4001,O$1))</f>
        <v/>
      </c>
      <c r="P668" s="49">
        <f>IF(OR($AE668&lt;&gt;1,P$1=""),"",SUMIFS('All Donations'!$S$2:$S$4001,'All Donations'!$R$2:$R$4001,$AD668,'All Donations'!$T$2:$T$4001,P$1))</f>
        <v/>
      </c>
      <c r="Q668" s="49">
        <f>IF(OR($AE668&lt;&gt;1,Q$1=""),"",SUMIFS('All Donations'!$S$2:$S$4001,'All Donations'!$R$2:$R$4001,$AD668,'All Donations'!$T$2:$T$4001,Q$1))</f>
        <v/>
      </c>
      <c r="R668" s="49">
        <f>IF(OR($AE668&lt;&gt;1,R$1=""),"",SUMIFS('All Donations'!$S$2:$S$4001,'All Donations'!$R$2:$R$4001,$AD668,'All Donations'!$T$2:$T$4001,R$1))</f>
        <v/>
      </c>
      <c r="S668" s="49">
        <f>IF(OR($AE668&lt;&gt;1,S$1=""),"",SUMIFS('All Donations'!$S$2:$S$4001,'All Donations'!$R$2:$R$4001,$AD668,'All Donations'!$T$2:$T$4001,S$1))</f>
        <v/>
      </c>
      <c r="T668" s="49">
        <f>IF(OR($AE668&lt;&gt;1,T$1=""),"",SUMIFS('All Donations'!$S$2:$S$4001,'All Donations'!$R$2:$R$4001,$AD668,'All Donations'!$T$2:$T$4001,T$1))</f>
        <v/>
      </c>
      <c r="U668" s="49">
        <f>IF(OR($AE668&lt;&gt;1,U$1=""),"",SUMIFS('All Donations'!$S$2:$S$4001,'All Donations'!$R$2:$R$4001,$AD668,'All Donations'!$T$2:$T$4001,U$1))</f>
        <v/>
      </c>
      <c r="V668" s="49">
        <f>IF(OR($AE668&lt;&gt;1,V$1=""),"",SUMIFS('All Donations'!$S$2:$S$4001,'All Donations'!$R$2:$R$4001,$AD668,'All Donations'!$T$2:$T$4001,V$1))</f>
        <v/>
      </c>
      <c r="W668" s="49">
        <f>IF(OR($AE668&lt;&gt;1,W$1=""),"",SUMIFS('All Donations'!$S$2:$S$4001,'All Donations'!$R$2:$R$4001,$AD668,'All Donations'!$T$2:$T$4001,W$1))</f>
        <v/>
      </c>
      <c r="X668" s="49">
        <f>IF(OR($AE668&lt;&gt;1,X$1=""),"",SUMIFS('All Donations'!$S$2:$S$4001,'All Donations'!$R$2:$R$4001,$AD668,'All Donations'!$T$2:$T$4001,X$1))</f>
        <v/>
      </c>
      <c r="Y668" s="49">
        <f>IF(OR($AE668&lt;&gt;1,Y$1=""),"",SUMIFS('All Donations'!$S$2:$S$4001,'All Donations'!$R$2:$R$4001,$AD668,'All Donations'!$T$2:$T$4001,Y$1))</f>
        <v/>
      </c>
      <c r="Z668" s="49">
        <f>IF(OR($AE668&lt;&gt;1,Z$1=""),"",SUMIFS('All Donations'!$S$2:$S$4001,'All Donations'!$R$2:$R$4001,$AD668,'All Donations'!$T$2:$T$4001,Z$1))</f>
        <v/>
      </c>
      <c r="AA668" s="49">
        <f>IF(OR($AE668&lt;&gt;1,AA$1=""),"",SUMIFS('All Donations'!$S$2:$S$4001,'All Donations'!$R$2:$R$4001,$AD668,'All Donations'!$T$2:$T$4001,AA$1))</f>
        <v/>
      </c>
      <c r="AB668" s="49">
        <f>IF(OR($AE668&lt;&gt;1,AB$1=""),"",SUMIFS('All Donations'!$S$2:$S$4001,'All Donations'!$R$2:$R$4001,$AD668,'All Donations'!$T$2:$T$4001,AB$1))</f>
        <v/>
      </c>
      <c r="AC668" s="49">
        <f>IF(OR($AE668&lt;&gt;1,AC$1=""),"",SUMIFS('All Donations'!$S$2:$S$4001,'All Donations'!$R$2:$R$4001,$AD668,'All Donations'!$T$2:$T$4001,AC$1))</f>
        <v/>
      </c>
      <c r="AD668">
        <f>IF(AE668=1,'Roster'!A668,"")</f>
        <v/>
      </c>
      <c r="AE668">
        <f>IF(TRIM('Roster'!B668&amp;'Roster'!C668)&lt;&gt;"",1,0)</f>
        <v/>
      </c>
      <c r="AF668">
        <f>IF(AE668=1,LOWER(A668),"#")</f>
        <v/>
      </c>
      <c r="AG668">
        <f>IF(AE668=1,LOWER(TRIM(TRIM('Roster'!C668)&amp;", "&amp;TRIM('Roster'!B668))),"#")</f>
        <v/>
      </c>
      <c r="AH668">
        <f>IF(AND(AE668=1,TRIM('Roster'!F668)&lt;&gt;""),LOWER(TRIM('Roster'!F668)),"#")</f>
        <v/>
      </c>
      <c r="AI668">
        <f>IF(AE668=1,IF(MATCH(B668,$B$2:$B$701,0)=ROW()-1,1,0),0)</f>
        <v/>
      </c>
      <c r="AJ668">
        <f>AJ667+AI668</f>
        <v/>
      </c>
      <c r="AK668">
        <f>IF(AE668=1,D668+(1000-ROW())/10^7,-1)</f>
        <v/>
      </c>
      <c r="AL668">
        <f>IF(AE668=1,TRIM('Roster'!B668)&amp;" "&amp;LEFT(TRIM('Roster'!C668),1)&amp;".","")</f>
        <v/>
      </c>
      <c r="AM668">
        <f>IF(AE668=1,TRIM('Roster'!C668)&amp;", "&amp;TRIM('Roster'!B668)&amp;" ("&amp;B668&amp;") #"&amp;AD668,"")</f>
        <v/>
      </c>
      <c r="AN668">
        <f>IF(AE668=1,TRIM('Roster'!E668),"")</f>
        <v/>
      </c>
      <c r="AO668">
        <f>IF(AE668=1,ROUND(SUMIFS('All Donations'!$S$2:$S$4001,'All Donations'!$R$2:$R$4001,AD668,'All Donations'!$T$2:$T$4001,"&gt;="&amp;'Settings'!$C$23,'All Donations'!$T$2:$T$4001,"&lt;="&amp;'Settings'!$D$23),2),0)</f>
        <v/>
      </c>
      <c r="AQ668">
        <f>IF(AE668=1,ROUND(SUMIFS('All Donations'!$S$2:$S$4001,'All Donations'!$R$2:$R$4001,AD668,'All Donations'!$T$2:$T$4001,"&gt;="&amp;'Settings'!$C$25,'All Donations'!$T$2:$T$4001,"&lt;="&amp;'Settings'!$D$25),2),0)</f>
        <v/>
      </c>
      <c r="AR668">
        <f>IF(AE668=1,ROUND(SUMIFS('All Donations'!$S$2:$S$4001,'All Donations'!$R$2:$R$4001,AD668,'All Donations'!$T$2:$T$4001,"&gt;="&amp;'Settings'!$C$26,'All Donations'!$T$2:$T$4001,"&lt;="&amp;'Settings'!$D$26),2),0)</f>
        <v/>
      </c>
      <c r="AS668">
        <f>IF(AE668=1,ROUND(SUMIFS('All Donations'!$S$2:$S$4001,'All Donations'!$R$2:$R$4001,AD668,'All Donations'!$T$2:$T$4001,"&lt;="&amp;'Settings'!$D$27),2),0)</f>
        <v/>
      </c>
      <c r="AT668">
        <f>IF(AE668=1,ROUND(SUMIFS('All Donations'!$S$2:$S$4001,'All Donations'!$R$2:$R$4001,AD668,'All Donations'!$T$2:$T$4001,"&gt;="&amp;'Settings'!$C$28,'All Donations'!$T$2:$T$4001,"&lt;="&amp;'Settings'!$D$28),2),0)</f>
        <v/>
      </c>
      <c r="AU668">
        <f>IF(AE668=1,ROUND(SUMIFS('All Donations'!$S$2:$S$4001,'All Donations'!$R$2:$R$4001,AD668,'All Donations'!$T$2:$T$4001,"&gt;="&amp;'Settings'!$C$29,'All Donations'!$T$2:$T$4001,"&lt;="&amp;'Settings'!$D$29),2),0)</f>
        <v/>
      </c>
      <c r="AV668">
        <f>IF(AE668=1,ROUND(SUMIFS('All Donations'!$S$2:$S$4001,'All Donations'!$R$2:$R$4001,AD668,'All Donations'!$T$2:$T$4001,"&lt;="&amp;'Settings'!$D$30),2),0)</f>
        <v/>
      </c>
      <c r="AZ668">
        <f>IF(AE668=1,ROUND(SUMIFS('All Donations'!$S$2:$S$4001,'All Donations'!$R$2:$R$4001,AD668,'All Donations'!$T$2:$T$4001,"&lt;="&amp;'Settings'!$D$34),2),0)</f>
        <v/>
      </c>
    </row>
    <row r="669">
      <c r="A669">
        <f>IF(AE669=1,TRIM(TRIM('Roster'!B669)&amp;" "&amp;TRIM('Roster'!C669)),"")</f>
        <v/>
      </c>
      <c r="B669">
        <f>IF(AE669=1,IF(AN669="","(no teacher)",AN669&amp;" – "&amp;C669),"")</f>
        <v/>
      </c>
      <c r="C669">
        <f>IF(AE669=1,TRIM('Roster'!D669&amp;""),"")</f>
        <v/>
      </c>
      <c r="D669" s="48">
        <f>IF(AE669=1,ROUND(SUMIFS('All Donations'!$S$2:$S$4001,'All Donations'!$R$2:$R$4001,AD669),2),"")</f>
        <v/>
      </c>
      <c r="E669" s="48">
        <f>IF(AE669=1,ROUND(SUMIFS('All Donations'!$S$2:$S$4001,'All Donations'!$R$2:$R$4001,AD669,'All Donations'!$G$2:$G$4001,"OneCause"),2),"")</f>
        <v/>
      </c>
      <c r="F669" s="48">
        <f>IF(AE669=1,D669-E669,"")</f>
        <v/>
      </c>
      <c r="G669">
        <f>IF(AE669=1,COUNTIFS('All Donations'!$R$2:$R$4001,AD669,'All Donations'!$H$2:$H$4001,"OK"),"")</f>
        <v/>
      </c>
      <c r="H669">
        <f>IF(AE669&lt;&gt;1,"",IF(D669&gt;0,"Yes",""))</f>
        <v/>
      </c>
      <c r="I669" s="49">
        <f>IF(OR($AE669&lt;&gt;1,I$1=""),"",SUMIFS('All Donations'!$S$2:$S$4001,'All Donations'!$R$2:$R$4001,$AD669,'All Donations'!$T$2:$T$4001,I$1))</f>
        <v/>
      </c>
      <c r="J669" s="49">
        <f>IF(OR($AE669&lt;&gt;1,J$1=""),"",SUMIFS('All Donations'!$S$2:$S$4001,'All Donations'!$R$2:$R$4001,$AD669,'All Donations'!$T$2:$T$4001,J$1))</f>
        <v/>
      </c>
      <c r="K669" s="49">
        <f>IF(OR($AE669&lt;&gt;1,K$1=""),"",SUMIFS('All Donations'!$S$2:$S$4001,'All Donations'!$R$2:$R$4001,$AD669,'All Donations'!$T$2:$T$4001,K$1))</f>
        <v/>
      </c>
      <c r="L669" s="49">
        <f>IF(OR($AE669&lt;&gt;1,L$1=""),"",SUMIFS('All Donations'!$S$2:$S$4001,'All Donations'!$R$2:$R$4001,$AD669,'All Donations'!$T$2:$T$4001,L$1))</f>
        <v/>
      </c>
      <c r="M669" s="49">
        <f>IF(OR($AE669&lt;&gt;1,M$1=""),"",SUMIFS('All Donations'!$S$2:$S$4001,'All Donations'!$R$2:$R$4001,$AD669,'All Donations'!$T$2:$T$4001,M$1))</f>
        <v/>
      </c>
      <c r="N669" s="49">
        <f>IF(OR($AE669&lt;&gt;1,N$1=""),"",SUMIFS('All Donations'!$S$2:$S$4001,'All Donations'!$R$2:$R$4001,$AD669,'All Donations'!$T$2:$T$4001,N$1))</f>
        <v/>
      </c>
      <c r="O669" s="49">
        <f>IF(OR($AE669&lt;&gt;1,O$1=""),"",SUMIFS('All Donations'!$S$2:$S$4001,'All Donations'!$R$2:$R$4001,$AD669,'All Donations'!$T$2:$T$4001,O$1))</f>
        <v/>
      </c>
      <c r="P669" s="49">
        <f>IF(OR($AE669&lt;&gt;1,P$1=""),"",SUMIFS('All Donations'!$S$2:$S$4001,'All Donations'!$R$2:$R$4001,$AD669,'All Donations'!$T$2:$T$4001,P$1))</f>
        <v/>
      </c>
      <c r="Q669" s="49">
        <f>IF(OR($AE669&lt;&gt;1,Q$1=""),"",SUMIFS('All Donations'!$S$2:$S$4001,'All Donations'!$R$2:$R$4001,$AD669,'All Donations'!$T$2:$T$4001,Q$1))</f>
        <v/>
      </c>
      <c r="R669" s="49">
        <f>IF(OR($AE669&lt;&gt;1,R$1=""),"",SUMIFS('All Donations'!$S$2:$S$4001,'All Donations'!$R$2:$R$4001,$AD669,'All Donations'!$T$2:$T$4001,R$1))</f>
        <v/>
      </c>
      <c r="S669" s="49">
        <f>IF(OR($AE669&lt;&gt;1,S$1=""),"",SUMIFS('All Donations'!$S$2:$S$4001,'All Donations'!$R$2:$R$4001,$AD669,'All Donations'!$T$2:$T$4001,S$1))</f>
        <v/>
      </c>
      <c r="T669" s="49">
        <f>IF(OR($AE669&lt;&gt;1,T$1=""),"",SUMIFS('All Donations'!$S$2:$S$4001,'All Donations'!$R$2:$R$4001,$AD669,'All Donations'!$T$2:$T$4001,T$1))</f>
        <v/>
      </c>
      <c r="U669" s="49">
        <f>IF(OR($AE669&lt;&gt;1,U$1=""),"",SUMIFS('All Donations'!$S$2:$S$4001,'All Donations'!$R$2:$R$4001,$AD669,'All Donations'!$T$2:$T$4001,U$1))</f>
        <v/>
      </c>
      <c r="V669" s="49">
        <f>IF(OR($AE669&lt;&gt;1,V$1=""),"",SUMIFS('All Donations'!$S$2:$S$4001,'All Donations'!$R$2:$R$4001,$AD669,'All Donations'!$T$2:$T$4001,V$1))</f>
        <v/>
      </c>
      <c r="W669" s="49">
        <f>IF(OR($AE669&lt;&gt;1,W$1=""),"",SUMIFS('All Donations'!$S$2:$S$4001,'All Donations'!$R$2:$R$4001,$AD669,'All Donations'!$T$2:$T$4001,W$1))</f>
        <v/>
      </c>
      <c r="X669" s="49">
        <f>IF(OR($AE669&lt;&gt;1,X$1=""),"",SUMIFS('All Donations'!$S$2:$S$4001,'All Donations'!$R$2:$R$4001,$AD669,'All Donations'!$T$2:$T$4001,X$1))</f>
        <v/>
      </c>
      <c r="Y669" s="49">
        <f>IF(OR($AE669&lt;&gt;1,Y$1=""),"",SUMIFS('All Donations'!$S$2:$S$4001,'All Donations'!$R$2:$R$4001,$AD669,'All Donations'!$T$2:$T$4001,Y$1))</f>
        <v/>
      </c>
      <c r="Z669" s="49">
        <f>IF(OR($AE669&lt;&gt;1,Z$1=""),"",SUMIFS('All Donations'!$S$2:$S$4001,'All Donations'!$R$2:$R$4001,$AD669,'All Donations'!$T$2:$T$4001,Z$1))</f>
        <v/>
      </c>
      <c r="AA669" s="49">
        <f>IF(OR($AE669&lt;&gt;1,AA$1=""),"",SUMIFS('All Donations'!$S$2:$S$4001,'All Donations'!$R$2:$R$4001,$AD669,'All Donations'!$T$2:$T$4001,AA$1))</f>
        <v/>
      </c>
      <c r="AB669" s="49">
        <f>IF(OR($AE669&lt;&gt;1,AB$1=""),"",SUMIFS('All Donations'!$S$2:$S$4001,'All Donations'!$R$2:$R$4001,$AD669,'All Donations'!$T$2:$T$4001,AB$1))</f>
        <v/>
      </c>
      <c r="AC669" s="49">
        <f>IF(OR($AE669&lt;&gt;1,AC$1=""),"",SUMIFS('All Donations'!$S$2:$S$4001,'All Donations'!$R$2:$R$4001,$AD669,'All Donations'!$T$2:$T$4001,AC$1))</f>
        <v/>
      </c>
      <c r="AD669">
        <f>IF(AE669=1,'Roster'!A669,"")</f>
        <v/>
      </c>
      <c r="AE669">
        <f>IF(TRIM('Roster'!B669&amp;'Roster'!C669)&lt;&gt;"",1,0)</f>
        <v/>
      </c>
      <c r="AF669">
        <f>IF(AE669=1,LOWER(A669),"#")</f>
        <v/>
      </c>
      <c r="AG669">
        <f>IF(AE669=1,LOWER(TRIM(TRIM('Roster'!C669)&amp;", "&amp;TRIM('Roster'!B669))),"#")</f>
        <v/>
      </c>
      <c r="AH669">
        <f>IF(AND(AE669=1,TRIM('Roster'!F669)&lt;&gt;""),LOWER(TRIM('Roster'!F669)),"#")</f>
        <v/>
      </c>
      <c r="AI669">
        <f>IF(AE669=1,IF(MATCH(B669,$B$2:$B$701,0)=ROW()-1,1,0),0)</f>
        <v/>
      </c>
      <c r="AJ669">
        <f>AJ668+AI669</f>
        <v/>
      </c>
      <c r="AK669">
        <f>IF(AE669=1,D669+(1000-ROW())/10^7,-1)</f>
        <v/>
      </c>
      <c r="AL669">
        <f>IF(AE669=1,TRIM('Roster'!B669)&amp;" "&amp;LEFT(TRIM('Roster'!C669),1)&amp;".","")</f>
        <v/>
      </c>
      <c r="AM669">
        <f>IF(AE669=1,TRIM('Roster'!C669)&amp;", "&amp;TRIM('Roster'!B669)&amp;" ("&amp;B669&amp;") #"&amp;AD669,"")</f>
        <v/>
      </c>
      <c r="AN669">
        <f>IF(AE669=1,TRIM('Roster'!E669),"")</f>
        <v/>
      </c>
      <c r="AO669">
        <f>IF(AE669=1,ROUND(SUMIFS('All Donations'!$S$2:$S$4001,'All Donations'!$R$2:$R$4001,AD669,'All Donations'!$T$2:$T$4001,"&gt;="&amp;'Settings'!$C$23,'All Donations'!$T$2:$T$4001,"&lt;="&amp;'Settings'!$D$23),2),0)</f>
        <v/>
      </c>
      <c r="AQ669">
        <f>IF(AE669=1,ROUND(SUMIFS('All Donations'!$S$2:$S$4001,'All Donations'!$R$2:$R$4001,AD669,'All Donations'!$T$2:$T$4001,"&gt;="&amp;'Settings'!$C$25,'All Donations'!$T$2:$T$4001,"&lt;="&amp;'Settings'!$D$25),2),0)</f>
        <v/>
      </c>
      <c r="AR669">
        <f>IF(AE669=1,ROUND(SUMIFS('All Donations'!$S$2:$S$4001,'All Donations'!$R$2:$R$4001,AD669,'All Donations'!$T$2:$T$4001,"&gt;="&amp;'Settings'!$C$26,'All Donations'!$T$2:$T$4001,"&lt;="&amp;'Settings'!$D$26),2),0)</f>
        <v/>
      </c>
      <c r="AS669">
        <f>IF(AE669=1,ROUND(SUMIFS('All Donations'!$S$2:$S$4001,'All Donations'!$R$2:$R$4001,AD669,'All Donations'!$T$2:$T$4001,"&lt;="&amp;'Settings'!$D$27),2),0)</f>
        <v/>
      </c>
      <c r="AT669">
        <f>IF(AE669=1,ROUND(SUMIFS('All Donations'!$S$2:$S$4001,'All Donations'!$R$2:$R$4001,AD669,'All Donations'!$T$2:$T$4001,"&gt;="&amp;'Settings'!$C$28,'All Donations'!$T$2:$T$4001,"&lt;="&amp;'Settings'!$D$28),2),0)</f>
        <v/>
      </c>
      <c r="AU669">
        <f>IF(AE669=1,ROUND(SUMIFS('All Donations'!$S$2:$S$4001,'All Donations'!$R$2:$R$4001,AD669,'All Donations'!$T$2:$T$4001,"&gt;="&amp;'Settings'!$C$29,'All Donations'!$T$2:$T$4001,"&lt;="&amp;'Settings'!$D$29),2),0)</f>
        <v/>
      </c>
      <c r="AV669">
        <f>IF(AE669=1,ROUND(SUMIFS('All Donations'!$S$2:$S$4001,'All Donations'!$R$2:$R$4001,AD669,'All Donations'!$T$2:$T$4001,"&lt;="&amp;'Settings'!$D$30),2),0)</f>
        <v/>
      </c>
      <c r="AZ669">
        <f>IF(AE669=1,ROUND(SUMIFS('All Donations'!$S$2:$S$4001,'All Donations'!$R$2:$R$4001,AD669,'All Donations'!$T$2:$T$4001,"&lt;="&amp;'Settings'!$D$34),2),0)</f>
        <v/>
      </c>
    </row>
    <row r="670">
      <c r="A670">
        <f>IF(AE670=1,TRIM(TRIM('Roster'!B670)&amp;" "&amp;TRIM('Roster'!C670)),"")</f>
        <v/>
      </c>
      <c r="B670">
        <f>IF(AE670=1,IF(AN670="","(no teacher)",AN670&amp;" – "&amp;C670),"")</f>
        <v/>
      </c>
      <c r="C670">
        <f>IF(AE670=1,TRIM('Roster'!D670&amp;""),"")</f>
        <v/>
      </c>
      <c r="D670" s="48">
        <f>IF(AE670=1,ROUND(SUMIFS('All Donations'!$S$2:$S$4001,'All Donations'!$R$2:$R$4001,AD670),2),"")</f>
        <v/>
      </c>
      <c r="E670" s="48">
        <f>IF(AE670=1,ROUND(SUMIFS('All Donations'!$S$2:$S$4001,'All Donations'!$R$2:$R$4001,AD670,'All Donations'!$G$2:$G$4001,"OneCause"),2),"")</f>
        <v/>
      </c>
      <c r="F670" s="48">
        <f>IF(AE670=1,D670-E670,"")</f>
        <v/>
      </c>
      <c r="G670">
        <f>IF(AE670=1,COUNTIFS('All Donations'!$R$2:$R$4001,AD670,'All Donations'!$H$2:$H$4001,"OK"),"")</f>
        <v/>
      </c>
      <c r="H670">
        <f>IF(AE670&lt;&gt;1,"",IF(D670&gt;0,"Yes",""))</f>
        <v/>
      </c>
      <c r="I670" s="49">
        <f>IF(OR($AE670&lt;&gt;1,I$1=""),"",SUMIFS('All Donations'!$S$2:$S$4001,'All Donations'!$R$2:$R$4001,$AD670,'All Donations'!$T$2:$T$4001,I$1))</f>
        <v/>
      </c>
      <c r="J670" s="49">
        <f>IF(OR($AE670&lt;&gt;1,J$1=""),"",SUMIFS('All Donations'!$S$2:$S$4001,'All Donations'!$R$2:$R$4001,$AD670,'All Donations'!$T$2:$T$4001,J$1))</f>
        <v/>
      </c>
      <c r="K670" s="49">
        <f>IF(OR($AE670&lt;&gt;1,K$1=""),"",SUMIFS('All Donations'!$S$2:$S$4001,'All Donations'!$R$2:$R$4001,$AD670,'All Donations'!$T$2:$T$4001,K$1))</f>
        <v/>
      </c>
      <c r="L670" s="49">
        <f>IF(OR($AE670&lt;&gt;1,L$1=""),"",SUMIFS('All Donations'!$S$2:$S$4001,'All Donations'!$R$2:$R$4001,$AD670,'All Donations'!$T$2:$T$4001,L$1))</f>
        <v/>
      </c>
      <c r="M670" s="49">
        <f>IF(OR($AE670&lt;&gt;1,M$1=""),"",SUMIFS('All Donations'!$S$2:$S$4001,'All Donations'!$R$2:$R$4001,$AD670,'All Donations'!$T$2:$T$4001,M$1))</f>
        <v/>
      </c>
      <c r="N670" s="49">
        <f>IF(OR($AE670&lt;&gt;1,N$1=""),"",SUMIFS('All Donations'!$S$2:$S$4001,'All Donations'!$R$2:$R$4001,$AD670,'All Donations'!$T$2:$T$4001,N$1))</f>
        <v/>
      </c>
      <c r="O670" s="49">
        <f>IF(OR($AE670&lt;&gt;1,O$1=""),"",SUMIFS('All Donations'!$S$2:$S$4001,'All Donations'!$R$2:$R$4001,$AD670,'All Donations'!$T$2:$T$4001,O$1))</f>
        <v/>
      </c>
      <c r="P670" s="49">
        <f>IF(OR($AE670&lt;&gt;1,P$1=""),"",SUMIFS('All Donations'!$S$2:$S$4001,'All Donations'!$R$2:$R$4001,$AD670,'All Donations'!$T$2:$T$4001,P$1))</f>
        <v/>
      </c>
      <c r="Q670" s="49">
        <f>IF(OR($AE670&lt;&gt;1,Q$1=""),"",SUMIFS('All Donations'!$S$2:$S$4001,'All Donations'!$R$2:$R$4001,$AD670,'All Donations'!$T$2:$T$4001,Q$1))</f>
        <v/>
      </c>
      <c r="R670" s="49">
        <f>IF(OR($AE670&lt;&gt;1,R$1=""),"",SUMIFS('All Donations'!$S$2:$S$4001,'All Donations'!$R$2:$R$4001,$AD670,'All Donations'!$T$2:$T$4001,R$1))</f>
        <v/>
      </c>
      <c r="S670" s="49">
        <f>IF(OR($AE670&lt;&gt;1,S$1=""),"",SUMIFS('All Donations'!$S$2:$S$4001,'All Donations'!$R$2:$R$4001,$AD670,'All Donations'!$T$2:$T$4001,S$1))</f>
        <v/>
      </c>
      <c r="T670" s="49">
        <f>IF(OR($AE670&lt;&gt;1,T$1=""),"",SUMIFS('All Donations'!$S$2:$S$4001,'All Donations'!$R$2:$R$4001,$AD670,'All Donations'!$T$2:$T$4001,T$1))</f>
        <v/>
      </c>
      <c r="U670" s="49">
        <f>IF(OR($AE670&lt;&gt;1,U$1=""),"",SUMIFS('All Donations'!$S$2:$S$4001,'All Donations'!$R$2:$R$4001,$AD670,'All Donations'!$T$2:$T$4001,U$1))</f>
        <v/>
      </c>
      <c r="V670" s="49">
        <f>IF(OR($AE670&lt;&gt;1,V$1=""),"",SUMIFS('All Donations'!$S$2:$S$4001,'All Donations'!$R$2:$R$4001,$AD670,'All Donations'!$T$2:$T$4001,V$1))</f>
        <v/>
      </c>
      <c r="W670" s="49">
        <f>IF(OR($AE670&lt;&gt;1,W$1=""),"",SUMIFS('All Donations'!$S$2:$S$4001,'All Donations'!$R$2:$R$4001,$AD670,'All Donations'!$T$2:$T$4001,W$1))</f>
        <v/>
      </c>
      <c r="X670" s="49">
        <f>IF(OR($AE670&lt;&gt;1,X$1=""),"",SUMIFS('All Donations'!$S$2:$S$4001,'All Donations'!$R$2:$R$4001,$AD670,'All Donations'!$T$2:$T$4001,X$1))</f>
        <v/>
      </c>
      <c r="Y670" s="49">
        <f>IF(OR($AE670&lt;&gt;1,Y$1=""),"",SUMIFS('All Donations'!$S$2:$S$4001,'All Donations'!$R$2:$R$4001,$AD670,'All Donations'!$T$2:$T$4001,Y$1))</f>
        <v/>
      </c>
      <c r="Z670" s="49">
        <f>IF(OR($AE670&lt;&gt;1,Z$1=""),"",SUMIFS('All Donations'!$S$2:$S$4001,'All Donations'!$R$2:$R$4001,$AD670,'All Donations'!$T$2:$T$4001,Z$1))</f>
        <v/>
      </c>
      <c r="AA670" s="49">
        <f>IF(OR($AE670&lt;&gt;1,AA$1=""),"",SUMIFS('All Donations'!$S$2:$S$4001,'All Donations'!$R$2:$R$4001,$AD670,'All Donations'!$T$2:$T$4001,AA$1))</f>
        <v/>
      </c>
      <c r="AB670" s="49">
        <f>IF(OR($AE670&lt;&gt;1,AB$1=""),"",SUMIFS('All Donations'!$S$2:$S$4001,'All Donations'!$R$2:$R$4001,$AD670,'All Donations'!$T$2:$T$4001,AB$1))</f>
        <v/>
      </c>
      <c r="AC670" s="49">
        <f>IF(OR($AE670&lt;&gt;1,AC$1=""),"",SUMIFS('All Donations'!$S$2:$S$4001,'All Donations'!$R$2:$R$4001,$AD670,'All Donations'!$T$2:$T$4001,AC$1))</f>
        <v/>
      </c>
      <c r="AD670">
        <f>IF(AE670=1,'Roster'!A670,"")</f>
        <v/>
      </c>
      <c r="AE670">
        <f>IF(TRIM('Roster'!B670&amp;'Roster'!C670)&lt;&gt;"",1,0)</f>
        <v/>
      </c>
      <c r="AF670">
        <f>IF(AE670=1,LOWER(A670),"#")</f>
        <v/>
      </c>
      <c r="AG670">
        <f>IF(AE670=1,LOWER(TRIM(TRIM('Roster'!C670)&amp;", "&amp;TRIM('Roster'!B670))),"#")</f>
        <v/>
      </c>
      <c r="AH670">
        <f>IF(AND(AE670=1,TRIM('Roster'!F670)&lt;&gt;""),LOWER(TRIM('Roster'!F670)),"#")</f>
        <v/>
      </c>
      <c r="AI670">
        <f>IF(AE670=1,IF(MATCH(B670,$B$2:$B$701,0)=ROW()-1,1,0),0)</f>
        <v/>
      </c>
      <c r="AJ670">
        <f>AJ669+AI670</f>
        <v/>
      </c>
      <c r="AK670">
        <f>IF(AE670=1,D670+(1000-ROW())/10^7,-1)</f>
        <v/>
      </c>
      <c r="AL670">
        <f>IF(AE670=1,TRIM('Roster'!B670)&amp;" "&amp;LEFT(TRIM('Roster'!C670),1)&amp;".","")</f>
        <v/>
      </c>
      <c r="AM670">
        <f>IF(AE670=1,TRIM('Roster'!C670)&amp;", "&amp;TRIM('Roster'!B670)&amp;" ("&amp;B670&amp;") #"&amp;AD670,"")</f>
        <v/>
      </c>
      <c r="AN670">
        <f>IF(AE670=1,TRIM('Roster'!E670),"")</f>
        <v/>
      </c>
      <c r="AO670">
        <f>IF(AE670=1,ROUND(SUMIFS('All Donations'!$S$2:$S$4001,'All Donations'!$R$2:$R$4001,AD670,'All Donations'!$T$2:$T$4001,"&gt;="&amp;'Settings'!$C$23,'All Donations'!$T$2:$T$4001,"&lt;="&amp;'Settings'!$D$23),2),0)</f>
        <v/>
      </c>
      <c r="AQ670">
        <f>IF(AE670=1,ROUND(SUMIFS('All Donations'!$S$2:$S$4001,'All Donations'!$R$2:$R$4001,AD670,'All Donations'!$T$2:$T$4001,"&gt;="&amp;'Settings'!$C$25,'All Donations'!$T$2:$T$4001,"&lt;="&amp;'Settings'!$D$25),2),0)</f>
        <v/>
      </c>
      <c r="AR670">
        <f>IF(AE670=1,ROUND(SUMIFS('All Donations'!$S$2:$S$4001,'All Donations'!$R$2:$R$4001,AD670,'All Donations'!$T$2:$T$4001,"&gt;="&amp;'Settings'!$C$26,'All Donations'!$T$2:$T$4001,"&lt;="&amp;'Settings'!$D$26),2),0)</f>
        <v/>
      </c>
      <c r="AS670">
        <f>IF(AE670=1,ROUND(SUMIFS('All Donations'!$S$2:$S$4001,'All Donations'!$R$2:$R$4001,AD670,'All Donations'!$T$2:$T$4001,"&lt;="&amp;'Settings'!$D$27),2),0)</f>
        <v/>
      </c>
      <c r="AT670">
        <f>IF(AE670=1,ROUND(SUMIFS('All Donations'!$S$2:$S$4001,'All Donations'!$R$2:$R$4001,AD670,'All Donations'!$T$2:$T$4001,"&gt;="&amp;'Settings'!$C$28,'All Donations'!$T$2:$T$4001,"&lt;="&amp;'Settings'!$D$28),2),0)</f>
        <v/>
      </c>
      <c r="AU670">
        <f>IF(AE670=1,ROUND(SUMIFS('All Donations'!$S$2:$S$4001,'All Donations'!$R$2:$R$4001,AD670,'All Donations'!$T$2:$T$4001,"&gt;="&amp;'Settings'!$C$29,'All Donations'!$T$2:$T$4001,"&lt;="&amp;'Settings'!$D$29),2),0)</f>
        <v/>
      </c>
      <c r="AV670">
        <f>IF(AE670=1,ROUND(SUMIFS('All Donations'!$S$2:$S$4001,'All Donations'!$R$2:$R$4001,AD670,'All Donations'!$T$2:$T$4001,"&lt;="&amp;'Settings'!$D$30),2),0)</f>
        <v/>
      </c>
      <c r="AZ670">
        <f>IF(AE670=1,ROUND(SUMIFS('All Donations'!$S$2:$S$4001,'All Donations'!$R$2:$R$4001,AD670,'All Donations'!$T$2:$T$4001,"&lt;="&amp;'Settings'!$D$34),2),0)</f>
        <v/>
      </c>
    </row>
    <row r="671">
      <c r="A671">
        <f>IF(AE671=1,TRIM(TRIM('Roster'!B671)&amp;" "&amp;TRIM('Roster'!C671)),"")</f>
        <v/>
      </c>
      <c r="B671">
        <f>IF(AE671=1,IF(AN671="","(no teacher)",AN671&amp;" – "&amp;C671),"")</f>
        <v/>
      </c>
      <c r="C671">
        <f>IF(AE671=1,TRIM('Roster'!D671&amp;""),"")</f>
        <v/>
      </c>
      <c r="D671" s="48">
        <f>IF(AE671=1,ROUND(SUMIFS('All Donations'!$S$2:$S$4001,'All Donations'!$R$2:$R$4001,AD671),2),"")</f>
        <v/>
      </c>
      <c r="E671" s="48">
        <f>IF(AE671=1,ROUND(SUMIFS('All Donations'!$S$2:$S$4001,'All Donations'!$R$2:$R$4001,AD671,'All Donations'!$G$2:$G$4001,"OneCause"),2),"")</f>
        <v/>
      </c>
      <c r="F671" s="48">
        <f>IF(AE671=1,D671-E671,"")</f>
        <v/>
      </c>
      <c r="G671">
        <f>IF(AE671=1,COUNTIFS('All Donations'!$R$2:$R$4001,AD671,'All Donations'!$H$2:$H$4001,"OK"),"")</f>
        <v/>
      </c>
      <c r="H671">
        <f>IF(AE671&lt;&gt;1,"",IF(D671&gt;0,"Yes",""))</f>
        <v/>
      </c>
      <c r="I671" s="49">
        <f>IF(OR($AE671&lt;&gt;1,I$1=""),"",SUMIFS('All Donations'!$S$2:$S$4001,'All Donations'!$R$2:$R$4001,$AD671,'All Donations'!$T$2:$T$4001,I$1))</f>
        <v/>
      </c>
      <c r="J671" s="49">
        <f>IF(OR($AE671&lt;&gt;1,J$1=""),"",SUMIFS('All Donations'!$S$2:$S$4001,'All Donations'!$R$2:$R$4001,$AD671,'All Donations'!$T$2:$T$4001,J$1))</f>
        <v/>
      </c>
      <c r="K671" s="49">
        <f>IF(OR($AE671&lt;&gt;1,K$1=""),"",SUMIFS('All Donations'!$S$2:$S$4001,'All Donations'!$R$2:$R$4001,$AD671,'All Donations'!$T$2:$T$4001,K$1))</f>
        <v/>
      </c>
      <c r="L671" s="49">
        <f>IF(OR($AE671&lt;&gt;1,L$1=""),"",SUMIFS('All Donations'!$S$2:$S$4001,'All Donations'!$R$2:$R$4001,$AD671,'All Donations'!$T$2:$T$4001,L$1))</f>
        <v/>
      </c>
      <c r="M671" s="49">
        <f>IF(OR($AE671&lt;&gt;1,M$1=""),"",SUMIFS('All Donations'!$S$2:$S$4001,'All Donations'!$R$2:$R$4001,$AD671,'All Donations'!$T$2:$T$4001,M$1))</f>
        <v/>
      </c>
      <c r="N671" s="49">
        <f>IF(OR($AE671&lt;&gt;1,N$1=""),"",SUMIFS('All Donations'!$S$2:$S$4001,'All Donations'!$R$2:$R$4001,$AD671,'All Donations'!$T$2:$T$4001,N$1))</f>
        <v/>
      </c>
      <c r="O671" s="49">
        <f>IF(OR($AE671&lt;&gt;1,O$1=""),"",SUMIFS('All Donations'!$S$2:$S$4001,'All Donations'!$R$2:$R$4001,$AD671,'All Donations'!$T$2:$T$4001,O$1))</f>
        <v/>
      </c>
      <c r="P671" s="49">
        <f>IF(OR($AE671&lt;&gt;1,P$1=""),"",SUMIFS('All Donations'!$S$2:$S$4001,'All Donations'!$R$2:$R$4001,$AD671,'All Donations'!$T$2:$T$4001,P$1))</f>
        <v/>
      </c>
      <c r="Q671" s="49">
        <f>IF(OR($AE671&lt;&gt;1,Q$1=""),"",SUMIFS('All Donations'!$S$2:$S$4001,'All Donations'!$R$2:$R$4001,$AD671,'All Donations'!$T$2:$T$4001,Q$1))</f>
        <v/>
      </c>
      <c r="R671" s="49">
        <f>IF(OR($AE671&lt;&gt;1,R$1=""),"",SUMIFS('All Donations'!$S$2:$S$4001,'All Donations'!$R$2:$R$4001,$AD671,'All Donations'!$T$2:$T$4001,R$1))</f>
        <v/>
      </c>
      <c r="S671" s="49">
        <f>IF(OR($AE671&lt;&gt;1,S$1=""),"",SUMIFS('All Donations'!$S$2:$S$4001,'All Donations'!$R$2:$R$4001,$AD671,'All Donations'!$T$2:$T$4001,S$1))</f>
        <v/>
      </c>
      <c r="T671" s="49">
        <f>IF(OR($AE671&lt;&gt;1,T$1=""),"",SUMIFS('All Donations'!$S$2:$S$4001,'All Donations'!$R$2:$R$4001,$AD671,'All Donations'!$T$2:$T$4001,T$1))</f>
        <v/>
      </c>
      <c r="U671" s="49">
        <f>IF(OR($AE671&lt;&gt;1,U$1=""),"",SUMIFS('All Donations'!$S$2:$S$4001,'All Donations'!$R$2:$R$4001,$AD671,'All Donations'!$T$2:$T$4001,U$1))</f>
        <v/>
      </c>
      <c r="V671" s="49">
        <f>IF(OR($AE671&lt;&gt;1,V$1=""),"",SUMIFS('All Donations'!$S$2:$S$4001,'All Donations'!$R$2:$R$4001,$AD671,'All Donations'!$T$2:$T$4001,V$1))</f>
        <v/>
      </c>
      <c r="W671" s="49">
        <f>IF(OR($AE671&lt;&gt;1,W$1=""),"",SUMIFS('All Donations'!$S$2:$S$4001,'All Donations'!$R$2:$R$4001,$AD671,'All Donations'!$T$2:$T$4001,W$1))</f>
        <v/>
      </c>
      <c r="X671" s="49">
        <f>IF(OR($AE671&lt;&gt;1,X$1=""),"",SUMIFS('All Donations'!$S$2:$S$4001,'All Donations'!$R$2:$R$4001,$AD671,'All Donations'!$T$2:$T$4001,X$1))</f>
        <v/>
      </c>
      <c r="Y671" s="49">
        <f>IF(OR($AE671&lt;&gt;1,Y$1=""),"",SUMIFS('All Donations'!$S$2:$S$4001,'All Donations'!$R$2:$R$4001,$AD671,'All Donations'!$T$2:$T$4001,Y$1))</f>
        <v/>
      </c>
      <c r="Z671" s="49">
        <f>IF(OR($AE671&lt;&gt;1,Z$1=""),"",SUMIFS('All Donations'!$S$2:$S$4001,'All Donations'!$R$2:$R$4001,$AD671,'All Donations'!$T$2:$T$4001,Z$1))</f>
        <v/>
      </c>
      <c r="AA671" s="49">
        <f>IF(OR($AE671&lt;&gt;1,AA$1=""),"",SUMIFS('All Donations'!$S$2:$S$4001,'All Donations'!$R$2:$R$4001,$AD671,'All Donations'!$T$2:$T$4001,AA$1))</f>
        <v/>
      </c>
      <c r="AB671" s="49">
        <f>IF(OR($AE671&lt;&gt;1,AB$1=""),"",SUMIFS('All Donations'!$S$2:$S$4001,'All Donations'!$R$2:$R$4001,$AD671,'All Donations'!$T$2:$T$4001,AB$1))</f>
        <v/>
      </c>
      <c r="AC671" s="49">
        <f>IF(OR($AE671&lt;&gt;1,AC$1=""),"",SUMIFS('All Donations'!$S$2:$S$4001,'All Donations'!$R$2:$R$4001,$AD671,'All Donations'!$T$2:$T$4001,AC$1))</f>
        <v/>
      </c>
      <c r="AD671">
        <f>IF(AE671=1,'Roster'!A671,"")</f>
        <v/>
      </c>
      <c r="AE671">
        <f>IF(TRIM('Roster'!B671&amp;'Roster'!C671)&lt;&gt;"",1,0)</f>
        <v/>
      </c>
      <c r="AF671">
        <f>IF(AE671=1,LOWER(A671),"#")</f>
        <v/>
      </c>
      <c r="AG671">
        <f>IF(AE671=1,LOWER(TRIM(TRIM('Roster'!C671)&amp;", "&amp;TRIM('Roster'!B671))),"#")</f>
        <v/>
      </c>
      <c r="AH671">
        <f>IF(AND(AE671=1,TRIM('Roster'!F671)&lt;&gt;""),LOWER(TRIM('Roster'!F671)),"#")</f>
        <v/>
      </c>
      <c r="AI671">
        <f>IF(AE671=1,IF(MATCH(B671,$B$2:$B$701,0)=ROW()-1,1,0),0)</f>
        <v/>
      </c>
      <c r="AJ671">
        <f>AJ670+AI671</f>
        <v/>
      </c>
      <c r="AK671">
        <f>IF(AE671=1,D671+(1000-ROW())/10^7,-1)</f>
        <v/>
      </c>
      <c r="AL671">
        <f>IF(AE671=1,TRIM('Roster'!B671)&amp;" "&amp;LEFT(TRIM('Roster'!C671),1)&amp;".","")</f>
        <v/>
      </c>
      <c r="AM671">
        <f>IF(AE671=1,TRIM('Roster'!C671)&amp;", "&amp;TRIM('Roster'!B671)&amp;" ("&amp;B671&amp;") #"&amp;AD671,"")</f>
        <v/>
      </c>
      <c r="AN671">
        <f>IF(AE671=1,TRIM('Roster'!E671),"")</f>
        <v/>
      </c>
      <c r="AO671">
        <f>IF(AE671=1,ROUND(SUMIFS('All Donations'!$S$2:$S$4001,'All Donations'!$R$2:$R$4001,AD671,'All Donations'!$T$2:$T$4001,"&gt;="&amp;'Settings'!$C$23,'All Donations'!$T$2:$T$4001,"&lt;="&amp;'Settings'!$D$23),2),0)</f>
        <v/>
      </c>
      <c r="AQ671">
        <f>IF(AE671=1,ROUND(SUMIFS('All Donations'!$S$2:$S$4001,'All Donations'!$R$2:$R$4001,AD671,'All Donations'!$T$2:$T$4001,"&gt;="&amp;'Settings'!$C$25,'All Donations'!$T$2:$T$4001,"&lt;="&amp;'Settings'!$D$25),2),0)</f>
        <v/>
      </c>
      <c r="AR671">
        <f>IF(AE671=1,ROUND(SUMIFS('All Donations'!$S$2:$S$4001,'All Donations'!$R$2:$R$4001,AD671,'All Donations'!$T$2:$T$4001,"&gt;="&amp;'Settings'!$C$26,'All Donations'!$T$2:$T$4001,"&lt;="&amp;'Settings'!$D$26),2),0)</f>
        <v/>
      </c>
      <c r="AS671">
        <f>IF(AE671=1,ROUND(SUMIFS('All Donations'!$S$2:$S$4001,'All Donations'!$R$2:$R$4001,AD671,'All Donations'!$T$2:$T$4001,"&lt;="&amp;'Settings'!$D$27),2),0)</f>
        <v/>
      </c>
      <c r="AT671">
        <f>IF(AE671=1,ROUND(SUMIFS('All Donations'!$S$2:$S$4001,'All Donations'!$R$2:$R$4001,AD671,'All Donations'!$T$2:$T$4001,"&gt;="&amp;'Settings'!$C$28,'All Donations'!$T$2:$T$4001,"&lt;="&amp;'Settings'!$D$28),2),0)</f>
        <v/>
      </c>
      <c r="AU671">
        <f>IF(AE671=1,ROUND(SUMIFS('All Donations'!$S$2:$S$4001,'All Donations'!$R$2:$R$4001,AD671,'All Donations'!$T$2:$T$4001,"&gt;="&amp;'Settings'!$C$29,'All Donations'!$T$2:$T$4001,"&lt;="&amp;'Settings'!$D$29),2),0)</f>
        <v/>
      </c>
      <c r="AV671">
        <f>IF(AE671=1,ROUND(SUMIFS('All Donations'!$S$2:$S$4001,'All Donations'!$R$2:$R$4001,AD671,'All Donations'!$T$2:$T$4001,"&lt;="&amp;'Settings'!$D$30),2),0)</f>
        <v/>
      </c>
      <c r="AZ671">
        <f>IF(AE671=1,ROUND(SUMIFS('All Donations'!$S$2:$S$4001,'All Donations'!$R$2:$R$4001,AD671,'All Donations'!$T$2:$T$4001,"&lt;="&amp;'Settings'!$D$34),2),0)</f>
        <v/>
      </c>
    </row>
    <row r="672">
      <c r="A672">
        <f>IF(AE672=1,TRIM(TRIM('Roster'!B672)&amp;" "&amp;TRIM('Roster'!C672)),"")</f>
        <v/>
      </c>
      <c r="B672">
        <f>IF(AE672=1,IF(AN672="","(no teacher)",AN672&amp;" – "&amp;C672),"")</f>
        <v/>
      </c>
      <c r="C672">
        <f>IF(AE672=1,TRIM('Roster'!D672&amp;""),"")</f>
        <v/>
      </c>
      <c r="D672" s="48">
        <f>IF(AE672=1,ROUND(SUMIFS('All Donations'!$S$2:$S$4001,'All Donations'!$R$2:$R$4001,AD672),2),"")</f>
        <v/>
      </c>
      <c r="E672" s="48">
        <f>IF(AE672=1,ROUND(SUMIFS('All Donations'!$S$2:$S$4001,'All Donations'!$R$2:$R$4001,AD672,'All Donations'!$G$2:$G$4001,"OneCause"),2),"")</f>
        <v/>
      </c>
      <c r="F672" s="48">
        <f>IF(AE672=1,D672-E672,"")</f>
        <v/>
      </c>
      <c r="G672">
        <f>IF(AE672=1,COUNTIFS('All Donations'!$R$2:$R$4001,AD672,'All Donations'!$H$2:$H$4001,"OK"),"")</f>
        <v/>
      </c>
      <c r="H672">
        <f>IF(AE672&lt;&gt;1,"",IF(D672&gt;0,"Yes",""))</f>
        <v/>
      </c>
      <c r="I672" s="49">
        <f>IF(OR($AE672&lt;&gt;1,I$1=""),"",SUMIFS('All Donations'!$S$2:$S$4001,'All Donations'!$R$2:$R$4001,$AD672,'All Donations'!$T$2:$T$4001,I$1))</f>
        <v/>
      </c>
      <c r="J672" s="49">
        <f>IF(OR($AE672&lt;&gt;1,J$1=""),"",SUMIFS('All Donations'!$S$2:$S$4001,'All Donations'!$R$2:$R$4001,$AD672,'All Donations'!$T$2:$T$4001,J$1))</f>
        <v/>
      </c>
      <c r="K672" s="49">
        <f>IF(OR($AE672&lt;&gt;1,K$1=""),"",SUMIFS('All Donations'!$S$2:$S$4001,'All Donations'!$R$2:$R$4001,$AD672,'All Donations'!$T$2:$T$4001,K$1))</f>
        <v/>
      </c>
      <c r="L672" s="49">
        <f>IF(OR($AE672&lt;&gt;1,L$1=""),"",SUMIFS('All Donations'!$S$2:$S$4001,'All Donations'!$R$2:$R$4001,$AD672,'All Donations'!$T$2:$T$4001,L$1))</f>
        <v/>
      </c>
      <c r="M672" s="49">
        <f>IF(OR($AE672&lt;&gt;1,M$1=""),"",SUMIFS('All Donations'!$S$2:$S$4001,'All Donations'!$R$2:$R$4001,$AD672,'All Donations'!$T$2:$T$4001,M$1))</f>
        <v/>
      </c>
      <c r="N672" s="49">
        <f>IF(OR($AE672&lt;&gt;1,N$1=""),"",SUMIFS('All Donations'!$S$2:$S$4001,'All Donations'!$R$2:$R$4001,$AD672,'All Donations'!$T$2:$T$4001,N$1))</f>
        <v/>
      </c>
      <c r="O672" s="49">
        <f>IF(OR($AE672&lt;&gt;1,O$1=""),"",SUMIFS('All Donations'!$S$2:$S$4001,'All Donations'!$R$2:$R$4001,$AD672,'All Donations'!$T$2:$T$4001,O$1))</f>
        <v/>
      </c>
      <c r="P672" s="49">
        <f>IF(OR($AE672&lt;&gt;1,P$1=""),"",SUMIFS('All Donations'!$S$2:$S$4001,'All Donations'!$R$2:$R$4001,$AD672,'All Donations'!$T$2:$T$4001,P$1))</f>
        <v/>
      </c>
      <c r="Q672" s="49">
        <f>IF(OR($AE672&lt;&gt;1,Q$1=""),"",SUMIFS('All Donations'!$S$2:$S$4001,'All Donations'!$R$2:$R$4001,$AD672,'All Donations'!$T$2:$T$4001,Q$1))</f>
        <v/>
      </c>
      <c r="R672" s="49">
        <f>IF(OR($AE672&lt;&gt;1,R$1=""),"",SUMIFS('All Donations'!$S$2:$S$4001,'All Donations'!$R$2:$R$4001,$AD672,'All Donations'!$T$2:$T$4001,R$1))</f>
        <v/>
      </c>
      <c r="S672" s="49">
        <f>IF(OR($AE672&lt;&gt;1,S$1=""),"",SUMIFS('All Donations'!$S$2:$S$4001,'All Donations'!$R$2:$R$4001,$AD672,'All Donations'!$T$2:$T$4001,S$1))</f>
        <v/>
      </c>
      <c r="T672" s="49">
        <f>IF(OR($AE672&lt;&gt;1,T$1=""),"",SUMIFS('All Donations'!$S$2:$S$4001,'All Donations'!$R$2:$R$4001,$AD672,'All Donations'!$T$2:$T$4001,T$1))</f>
        <v/>
      </c>
      <c r="U672" s="49">
        <f>IF(OR($AE672&lt;&gt;1,U$1=""),"",SUMIFS('All Donations'!$S$2:$S$4001,'All Donations'!$R$2:$R$4001,$AD672,'All Donations'!$T$2:$T$4001,U$1))</f>
        <v/>
      </c>
      <c r="V672" s="49">
        <f>IF(OR($AE672&lt;&gt;1,V$1=""),"",SUMIFS('All Donations'!$S$2:$S$4001,'All Donations'!$R$2:$R$4001,$AD672,'All Donations'!$T$2:$T$4001,V$1))</f>
        <v/>
      </c>
      <c r="W672" s="49">
        <f>IF(OR($AE672&lt;&gt;1,W$1=""),"",SUMIFS('All Donations'!$S$2:$S$4001,'All Donations'!$R$2:$R$4001,$AD672,'All Donations'!$T$2:$T$4001,W$1))</f>
        <v/>
      </c>
      <c r="X672" s="49">
        <f>IF(OR($AE672&lt;&gt;1,X$1=""),"",SUMIFS('All Donations'!$S$2:$S$4001,'All Donations'!$R$2:$R$4001,$AD672,'All Donations'!$T$2:$T$4001,X$1))</f>
        <v/>
      </c>
      <c r="Y672" s="49">
        <f>IF(OR($AE672&lt;&gt;1,Y$1=""),"",SUMIFS('All Donations'!$S$2:$S$4001,'All Donations'!$R$2:$R$4001,$AD672,'All Donations'!$T$2:$T$4001,Y$1))</f>
        <v/>
      </c>
      <c r="Z672" s="49">
        <f>IF(OR($AE672&lt;&gt;1,Z$1=""),"",SUMIFS('All Donations'!$S$2:$S$4001,'All Donations'!$R$2:$R$4001,$AD672,'All Donations'!$T$2:$T$4001,Z$1))</f>
        <v/>
      </c>
      <c r="AA672" s="49">
        <f>IF(OR($AE672&lt;&gt;1,AA$1=""),"",SUMIFS('All Donations'!$S$2:$S$4001,'All Donations'!$R$2:$R$4001,$AD672,'All Donations'!$T$2:$T$4001,AA$1))</f>
        <v/>
      </c>
      <c r="AB672" s="49">
        <f>IF(OR($AE672&lt;&gt;1,AB$1=""),"",SUMIFS('All Donations'!$S$2:$S$4001,'All Donations'!$R$2:$R$4001,$AD672,'All Donations'!$T$2:$T$4001,AB$1))</f>
        <v/>
      </c>
      <c r="AC672" s="49">
        <f>IF(OR($AE672&lt;&gt;1,AC$1=""),"",SUMIFS('All Donations'!$S$2:$S$4001,'All Donations'!$R$2:$R$4001,$AD672,'All Donations'!$T$2:$T$4001,AC$1))</f>
        <v/>
      </c>
      <c r="AD672">
        <f>IF(AE672=1,'Roster'!A672,"")</f>
        <v/>
      </c>
      <c r="AE672">
        <f>IF(TRIM('Roster'!B672&amp;'Roster'!C672)&lt;&gt;"",1,0)</f>
        <v/>
      </c>
      <c r="AF672">
        <f>IF(AE672=1,LOWER(A672),"#")</f>
        <v/>
      </c>
      <c r="AG672">
        <f>IF(AE672=1,LOWER(TRIM(TRIM('Roster'!C672)&amp;", "&amp;TRIM('Roster'!B672))),"#")</f>
        <v/>
      </c>
      <c r="AH672">
        <f>IF(AND(AE672=1,TRIM('Roster'!F672)&lt;&gt;""),LOWER(TRIM('Roster'!F672)),"#")</f>
        <v/>
      </c>
      <c r="AI672">
        <f>IF(AE672=1,IF(MATCH(B672,$B$2:$B$701,0)=ROW()-1,1,0),0)</f>
        <v/>
      </c>
      <c r="AJ672">
        <f>AJ671+AI672</f>
        <v/>
      </c>
      <c r="AK672">
        <f>IF(AE672=1,D672+(1000-ROW())/10^7,-1)</f>
        <v/>
      </c>
      <c r="AL672">
        <f>IF(AE672=1,TRIM('Roster'!B672)&amp;" "&amp;LEFT(TRIM('Roster'!C672),1)&amp;".","")</f>
        <v/>
      </c>
      <c r="AM672">
        <f>IF(AE672=1,TRIM('Roster'!C672)&amp;", "&amp;TRIM('Roster'!B672)&amp;" ("&amp;B672&amp;") #"&amp;AD672,"")</f>
        <v/>
      </c>
      <c r="AN672">
        <f>IF(AE672=1,TRIM('Roster'!E672),"")</f>
        <v/>
      </c>
      <c r="AO672">
        <f>IF(AE672=1,ROUND(SUMIFS('All Donations'!$S$2:$S$4001,'All Donations'!$R$2:$R$4001,AD672,'All Donations'!$T$2:$T$4001,"&gt;="&amp;'Settings'!$C$23,'All Donations'!$T$2:$T$4001,"&lt;="&amp;'Settings'!$D$23),2),0)</f>
        <v/>
      </c>
      <c r="AQ672">
        <f>IF(AE672=1,ROUND(SUMIFS('All Donations'!$S$2:$S$4001,'All Donations'!$R$2:$R$4001,AD672,'All Donations'!$T$2:$T$4001,"&gt;="&amp;'Settings'!$C$25,'All Donations'!$T$2:$T$4001,"&lt;="&amp;'Settings'!$D$25),2),0)</f>
        <v/>
      </c>
      <c r="AR672">
        <f>IF(AE672=1,ROUND(SUMIFS('All Donations'!$S$2:$S$4001,'All Donations'!$R$2:$R$4001,AD672,'All Donations'!$T$2:$T$4001,"&gt;="&amp;'Settings'!$C$26,'All Donations'!$T$2:$T$4001,"&lt;="&amp;'Settings'!$D$26),2),0)</f>
        <v/>
      </c>
      <c r="AS672">
        <f>IF(AE672=1,ROUND(SUMIFS('All Donations'!$S$2:$S$4001,'All Donations'!$R$2:$R$4001,AD672,'All Donations'!$T$2:$T$4001,"&lt;="&amp;'Settings'!$D$27),2),0)</f>
        <v/>
      </c>
      <c r="AT672">
        <f>IF(AE672=1,ROUND(SUMIFS('All Donations'!$S$2:$S$4001,'All Donations'!$R$2:$R$4001,AD672,'All Donations'!$T$2:$T$4001,"&gt;="&amp;'Settings'!$C$28,'All Donations'!$T$2:$T$4001,"&lt;="&amp;'Settings'!$D$28),2),0)</f>
        <v/>
      </c>
      <c r="AU672">
        <f>IF(AE672=1,ROUND(SUMIFS('All Donations'!$S$2:$S$4001,'All Donations'!$R$2:$R$4001,AD672,'All Donations'!$T$2:$T$4001,"&gt;="&amp;'Settings'!$C$29,'All Donations'!$T$2:$T$4001,"&lt;="&amp;'Settings'!$D$29),2),0)</f>
        <v/>
      </c>
      <c r="AV672">
        <f>IF(AE672=1,ROUND(SUMIFS('All Donations'!$S$2:$S$4001,'All Donations'!$R$2:$R$4001,AD672,'All Donations'!$T$2:$T$4001,"&lt;="&amp;'Settings'!$D$30),2),0)</f>
        <v/>
      </c>
      <c r="AZ672">
        <f>IF(AE672=1,ROUND(SUMIFS('All Donations'!$S$2:$S$4001,'All Donations'!$R$2:$R$4001,AD672,'All Donations'!$T$2:$T$4001,"&lt;="&amp;'Settings'!$D$34),2),0)</f>
        <v/>
      </c>
    </row>
    <row r="673">
      <c r="A673">
        <f>IF(AE673=1,TRIM(TRIM('Roster'!B673)&amp;" "&amp;TRIM('Roster'!C673)),"")</f>
        <v/>
      </c>
      <c r="B673">
        <f>IF(AE673=1,IF(AN673="","(no teacher)",AN673&amp;" – "&amp;C673),"")</f>
        <v/>
      </c>
      <c r="C673">
        <f>IF(AE673=1,TRIM('Roster'!D673&amp;""),"")</f>
        <v/>
      </c>
      <c r="D673" s="48">
        <f>IF(AE673=1,ROUND(SUMIFS('All Donations'!$S$2:$S$4001,'All Donations'!$R$2:$R$4001,AD673),2),"")</f>
        <v/>
      </c>
      <c r="E673" s="48">
        <f>IF(AE673=1,ROUND(SUMIFS('All Donations'!$S$2:$S$4001,'All Donations'!$R$2:$R$4001,AD673,'All Donations'!$G$2:$G$4001,"OneCause"),2),"")</f>
        <v/>
      </c>
      <c r="F673" s="48">
        <f>IF(AE673=1,D673-E673,"")</f>
        <v/>
      </c>
      <c r="G673">
        <f>IF(AE673=1,COUNTIFS('All Donations'!$R$2:$R$4001,AD673,'All Donations'!$H$2:$H$4001,"OK"),"")</f>
        <v/>
      </c>
      <c r="H673">
        <f>IF(AE673&lt;&gt;1,"",IF(D673&gt;0,"Yes",""))</f>
        <v/>
      </c>
      <c r="I673" s="49">
        <f>IF(OR($AE673&lt;&gt;1,I$1=""),"",SUMIFS('All Donations'!$S$2:$S$4001,'All Donations'!$R$2:$R$4001,$AD673,'All Donations'!$T$2:$T$4001,I$1))</f>
        <v/>
      </c>
      <c r="J673" s="49">
        <f>IF(OR($AE673&lt;&gt;1,J$1=""),"",SUMIFS('All Donations'!$S$2:$S$4001,'All Donations'!$R$2:$R$4001,$AD673,'All Donations'!$T$2:$T$4001,J$1))</f>
        <v/>
      </c>
      <c r="K673" s="49">
        <f>IF(OR($AE673&lt;&gt;1,K$1=""),"",SUMIFS('All Donations'!$S$2:$S$4001,'All Donations'!$R$2:$R$4001,$AD673,'All Donations'!$T$2:$T$4001,K$1))</f>
        <v/>
      </c>
      <c r="L673" s="49">
        <f>IF(OR($AE673&lt;&gt;1,L$1=""),"",SUMIFS('All Donations'!$S$2:$S$4001,'All Donations'!$R$2:$R$4001,$AD673,'All Donations'!$T$2:$T$4001,L$1))</f>
        <v/>
      </c>
      <c r="M673" s="49">
        <f>IF(OR($AE673&lt;&gt;1,M$1=""),"",SUMIFS('All Donations'!$S$2:$S$4001,'All Donations'!$R$2:$R$4001,$AD673,'All Donations'!$T$2:$T$4001,M$1))</f>
        <v/>
      </c>
      <c r="N673" s="49">
        <f>IF(OR($AE673&lt;&gt;1,N$1=""),"",SUMIFS('All Donations'!$S$2:$S$4001,'All Donations'!$R$2:$R$4001,$AD673,'All Donations'!$T$2:$T$4001,N$1))</f>
        <v/>
      </c>
      <c r="O673" s="49">
        <f>IF(OR($AE673&lt;&gt;1,O$1=""),"",SUMIFS('All Donations'!$S$2:$S$4001,'All Donations'!$R$2:$R$4001,$AD673,'All Donations'!$T$2:$T$4001,O$1))</f>
        <v/>
      </c>
      <c r="P673" s="49">
        <f>IF(OR($AE673&lt;&gt;1,P$1=""),"",SUMIFS('All Donations'!$S$2:$S$4001,'All Donations'!$R$2:$R$4001,$AD673,'All Donations'!$T$2:$T$4001,P$1))</f>
        <v/>
      </c>
      <c r="Q673" s="49">
        <f>IF(OR($AE673&lt;&gt;1,Q$1=""),"",SUMIFS('All Donations'!$S$2:$S$4001,'All Donations'!$R$2:$R$4001,$AD673,'All Donations'!$T$2:$T$4001,Q$1))</f>
        <v/>
      </c>
      <c r="R673" s="49">
        <f>IF(OR($AE673&lt;&gt;1,R$1=""),"",SUMIFS('All Donations'!$S$2:$S$4001,'All Donations'!$R$2:$R$4001,$AD673,'All Donations'!$T$2:$T$4001,R$1))</f>
        <v/>
      </c>
      <c r="S673" s="49">
        <f>IF(OR($AE673&lt;&gt;1,S$1=""),"",SUMIFS('All Donations'!$S$2:$S$4001,'All Donations'!$R$2:$R$4001,$AD673,'All Donations'!$T$2:$T$4001,S$1))</f>
        <v/>
      </c>
      <c r="T673" s="49">
        <f>IF(OR($AE673&lt;&gt;1,T$1=""),"",SUMIFS('All Donations'!$S$2:$S$4001,'All Donations'!$R$2:$R$4001,$AD673,'All Donations'!$T$2:$T$4001,T$1))</f>
        <v/>
      </c>
      <c r="U673" s="49">
        <f>IF(OR($AE673&lt;&gt;1,U$1=""),"",SUMIFS('All Donations'!$S$2:$S$4001,'All Donations'!$R$2:$R$4001,$AD673,'All Donations'!$T$2:$T$4001,U$1))</f>
        <v/>
      </c>
      <c r="V673" s="49">
        <f>IF(OR($AE673&lt;&gt;1,V$1=""),"",SUMIFS('All Donations'!$S$2:$S$4001,'All Donations'!$R$2:$R$4001,$AD673,'All Donations'!$T$2:$T$4001,V$1))</f>
        <v/>
      </c>
      <c r="W673" s="49">
        <f>IF(OR($AE673&lt;&gt;1,W$1=""),"",SUMIFS('All Donations'!$S$2:$S$4001,'All Donations'!$R$2:$R$4001,$AD673,'All Donations'!$T$2:$T$4001,W$1))</f>
        <v/>
      </c>
      <c r="X673" s="49">
        <f>IF(OR($AE673&lt;&gt;1,X$1=""),"",SUMIFS('All Donations'!$S$2:$S$4001,'All Donations'!$R$2:$R$4001,$AD673,'All Donations'!$T$2:$T$4001,X$1))</f>
        <v/>
      </c>
      <c r="Y673" s="49">
        <f>IF(OR($AE673&lt;&gt;1,Y$1=""),"",SUMIFS('All Donations'!$S$2:$S$4001,'All Donations'!$R$2:$R$4001,$AD673,'All Donations'!$T$2:$T$4001,Y$1))</f>
        <v/>
      </c>
      <c r="Z673" s="49">
        <f>IF(OR($AE673&lt;&gt;1,Z$1=""),"",SUMIFS('All Donations'!$S$2:$S$4001,'All Donations'!$R$2:$R$4001,$AD673,'All Donations'!$T$2:$T$4001,Z$1))</f>
        <v/>
      </c>
      <c r="AA673" s="49">
        <f>IF(OR($AE673&lt;&gt;1,AA$1=""),"",SUMIFS('All Donations'!$S$2:$S$4001,'All Donations'!$R$2:$R$4001,$AD673,'All Donations'!$T$2:$T$4001,AA$1))</f>
        <v/>
      </c>
      <c r="AB673" s="49">
        <f>IF(OR($AE673&lt;&gt;1,AB$1=""),"",SUMIFS('All Donations'!$S$2:$S$4001,'All Donations'!$R$2:$R$4001,$AD673,'All Donations'!$T$2:$T$4001,AB$1))</f>
        <v/>
      </c>
      <c r="AC673" s="49">
        <f>IF(OR($AE673&lt;&gt;1,AC$1=""),"",SUMIFS('All Donations'!$S$2:$S$4001,'All Donations'!$R$2:$R$4001,$AD673,'All Donations'!$T$2:$T$4001,AC$1))</f>
        <v/>
      </c>
      <c r="AD673">
        <f>IF(AE673=1,'Roster'!A673,"")</f>
        <v/>
      </c>
      <c r="AE673">
        <f>IF(TRIM('Roster'!B673&amp;'Roster'!C673)&lt;&gt;"",1,0)</f>
        <v/>
      </c>
      <c r="AF673">
        <f>IF(AE673=1,LOWER(A673),"#")</f>
        <v/>
      </c>
      <c r="AG673">
        <f>IF(AE673=1,LOWER(TRIM(TRIM('Roster'!C673)&amp;", "&amp;TRIM('Roster'!B673))),"#")</f>
        <v/>
      </c>
      <c r="AH673">
        <f>IF(AND(AE673=1,TRIM('Roster'!F673)&lt;&gt;""),LOWER(TRIM('Roster'!F673)),"#")</f>
        <v/>
      </c>
      <c r="AI673">
        <f>IF(AE673=1,IF(MATCH(B673,$B$2:$B$701,0)=ROW()-1,1,0),0)</f>
        <v/>
      </c>
      <c r="AJ673">
        <f>AJ672+AI673</f>
        <v/>
      </c>
      <c r="AK673">
        <f>IF(AE673=1,D673+(1000-ROW())/10^7,-1)</f>
        <v/>
      </c>
      <c r="AL673">
        <f>IF(AE673=1,TRIM('Roster'!B673)&amp;" "&amp;LEFT(TRIM('Roster'!C673),1)&amp;".","")</f>
        <v/>
      </c>
      <c r="AM673">
        <f>IF(AE673=1,TRIM('Roster'!C673)&amp;", "&amp;TRIM('Roster'!B673)&amp;" ("&amp;B673&amp;") #"&amp;AD673,"")</f>
        <v/>
      </c>
      <c r="AN673">
        <f>IF(AE673=1,TRIM('Roster'!E673),"")</f>
        <v/>
      </c>
      <c r="AO673">
        <f>IF(AE673=1,ROUND(SUMIFS('All Donations'!$S$2:$S$4001,'All Donations'!$R$2:$R$4001,AD673,'All Donations'!$T$2:$T$4001,"&gt;="&amp;'Settings'!$C$23,'All Donations'!$T$2:$T$4001,"&lt;="&amp;'Settings'!$D$23),2),0)</f>
        <v/>
      </c>
      <c r="AQ673">
        <f>IF(AE673=1,ROUND(SUMIFS('All Donations'!$S$2:$S$4001,'All Donations'!$R$2:$R$4001,AD673,'All Donations'!$T$2:$T$4001,"&gt;="&amp;'Settings'!$C$25,'All Donations'!$T$2:$T$4001,"&lt;="&amp;'Settings'!$D$25),2),0)</f>
        <v/>
      </c>
      <c r="AR673">
        <f>IF(AE673=1,ROUND(SUMIFS('All Donations'!$S$2:$S$4001,'All Donations'!$R$2:$R$4001,AD673,'All Donations'!$T$2:$T$4001,"&gt;="&amp;'Settings'!$C$26,'All Donations'!$T$2:$T$4001,"&lt;="&amp;'Settings'!$D$26),2),0)</f>
        <v/>
      </c>
      <c r="AS673">
        <f>IF(AE673=1,ROUND(SUMIFS('All Donations'!$S$2:$S$4001,'All Donations'!$R$2:$R$4001,AD673,'All Donations'!$T$2:$T$4001,"&lt;="&amp;'Settings'!$D$27),2),0)</f>
        <v/>
      </c>
      <c r="AT673">
        <f>IF(AE673=1,ROUND(SUMIFS('All Donations'!$S$2:$S$4001,'All Donations'!$R$2:$R$4001,AD673,'All Donations'!$T$2:$T$4001,"&gt;="&amp;'Settings'!$C$28,'All Donations'!$T$2:$T$4001,"&lt;="&amp;'Settings'!$D$28),2),0)</f>
        <v/>
      </c>
      <c r="AU673">
        <f>IF(AE673=1,ROUND(SUMIFS('All Donations'!$S$2:$S$4001,'All Donations'!$R$2:$R$4001,AD673,'All Donations'!$T$2:$T$4001,"&gt;="&amp;'Settings'!$C$29,'All Donations'!$T$2:$T$4001,"&lt;="&amp;'Settings'!$D$29),2),0)</f>
        <v/>
      </c>
      <c r="AV673">
        <f>IF(AE673=1,ROUND(SUMIFS('All Donations'!$S$2:$S$4001,'All Donations'!$R$2:$R$4001,AD673,'All Donations'!$T$2:$T$4001,"&lt;="&amp;'Settings'!$D$30),2),0)</f>
        <v/>
      </c>
      <c r="AZ673">
        <f>IF(AE673=1,ROUND(SUMIFS('All Donations'!$S$2:$S$4001,'All Donations'!$R$2:$R$4001,AD673,'All Donations'!$T$2:$T$4001,"&lt;="&amp;'Settings'!$D$34),2),0)</f>
        <v/>
      </c>
    </row>
    <row r="674">
      <c r="A674">
        <f>IF(AE674=1,TRIM(TRIM('Roster'!B674)&amp;" "&amp;TRIM('Roster'!C674)),"")</f>
        <v/>
      </c>
      <c r="B674">
        <f>IF(AE674=1,IF(AN674="","(no teacher)",AN674&amp;" – "&amp;C674),"")</f>
        <v/>
      </c>
      <c r="C674">
        <f>IF(AE674=1,TRIM('Roster'!D674&amp;""),"")</f>
        <v/>
      </c>
      <c r="D674" s="48">
        <f>IF(AE674=1,ROUND(SUMIFS('All Donations'!$S$2:$S$4001,'All Donations'!$R$2:$R$4001,AD674),2),"")</f>
        <v/>
      </c>
      <c r="E674" s="48">
        <f>IF(AE674=1,ROUND(SUMIFS('All Donations'!$S$2:$S$4001,'All Donations'!$R$2:$R$4001,AD674,'All Donations'!$G$2:$G$4001,"OneCause"),2),"")</f>
        <v/>
      </c>
      <c r="F674" s="48">
        <f>IF(AE674=1,D674-E674,"")</f>
        <v/>
      </c>
      <c r="G674">
        <f>IF(AE674=1,COUNTIFS('All Donations'!$R$2:$R$4001,AD674,'All Donations'!$H$2:$H$4001,"OK"),"")</f>
        <v/>
      </c>
      <c r="H674">
        <f>IF(AE674&lt;&gt;1,"",IF(D674&gt;0,"Yes",""))</f>
        <v/>
      </c>
      <c r="I674" s="49">
        <f>IF(OR($AE674&lt;&gt;1,I$1=""),"",SUMIFS('All Donations'!$S$2:$S$4001,'All Donations'!$R$2:$R$4001,$AD674,'All Donations'!$T$2:$T$4001,I$1))</f>
        <v/>
      </c>
      <c r="J674" s="49">
        <f>IF(OR($AE674&lt;&gt;1,J$1=""),"",SUMIFS('All Donations'!$S$2:$S$4001,'All Donations'!$R$2:$R$4001,$AD674,'All Donations'!$T$2:$T$4001,J$1))</f>
        <v/>
      </c>
      <c r="K674" s="49">
        <f>IF(OR($AE674&lt;&gt;1,K$1=""),"",SUMIFS('All Donations'!$S$2:$S$4001,'All Donations'!$R$2:$R$4001,$AD674,'All Donations'!$T$2:$T$4001,K$1))</f>
        <v/>
      </c>
      <c r="L674" s="49">
        <f>IF(OR($AE674&lt;&gt;1,L$1=""),"",SUMIFS('All Donations'!$S$2:$S$4001,'All Donations'!$R$2:$R$4001,$AD674,'All Donations'!$T$2:$T$4001,L$1))</f>
        <v/>
      </c>
      <c r="M674" s="49">
        <f>IF(OR($AE674&lt;&gt;1,M$1=""),"",SUMIFS('All Donations'!$S$2:$S$4001,'All Donations'!$R$2:$R$4001,$AD674,'All Donations'!$T$2:$T$4001,M$1))</f>
        <v/>
      </c>
      <c r="N674" s="49">
        <f>IF(OR($AE674&lt;&gt;1,N$1=""),"",SUMIFS('All Donations'!$S$2:$S$4001,'All Donations'!$R$2:$R$4001,$AD674,'All Donations'!$T$2:$T$4001,N$1))</f>
        <v/>
      </c>
      <c r="O674" s="49">
        <f>IF(OR($AE674&lt;&gt;1,O$1=""),"",SUMIFS('All Donations'!$S$2:$S$4001,'All Donations'!$R$2:$R$4001,$AD674,'All Donations'!$T$2:$T$4001,O$1))</f>
        <v/>
      </c>
      <c r="P674" s="49">
        <f>IF(OR($AE674&lt;&gt;1,P$1=""),"",SUMIFS('All Donations'!$S$2:$S$4001,'All Donations'!$R$2:$R$4001,$AD674,'All Donations'!$T$2:$T$4001,P$1))</f>
        <v/>
      </c>
      <c r="Q674" s="49">
        <f>IF(OR($AE674&lt;&gt;1,Q$1=""),"",SUMIFS('All Donations'!$S$2:$S$4001,'All Donations'!$R$2:$R$4001,$AD674,'All Donations'!$T$2:$T$4001,Q$1))</f>
        <v/>
      </c>
      <c r="R674" s="49">
        <f>IF(OR($AE674&lt;&gt;1,R$1=""),"",SUMIFS('All Donations'!$S$2:$S$4001,'All Donations'!$R$2:$R$4001,$AD674,'All Donations'!$T$2:$T$4001,R$1))</f>
        <v/>
      </c>
      <c r="S674" s="49">
        <f>IF(OR($AE674&lt;&gt;1,S$1=""),"",SUMIFS('All Donations'!$S$2:$S$4001,'All Donations'!$R$2:$R$4001,$AD674,'All Donations'!$T$2:$T$4001,S$1))</f>
        <v/>
      </c>
      <c r="T674" s="49">
        <f>IF(OR($AE674&lt;&gt;1,T$1=""),"",SUMIFS('All Donations'!$S$2:$S$4001,'All Donations'!$R$2:$R$4001,$AD674,'All Donations'!$T$2:$T$4001,T$1))</f>
        <v/>
      </c>
      <c r="U674" s="49">
        <f>IF(OR($AE674&lt;&gt;1,U$1=""),"",SUMIFS('All Donations'!$S$2:$S$4001,'All Donations'!$R$2:$R$4001,$AD674,'All Donations'!$T$2:$T$4001,U$1))</f>
        <v/>
      </c>
      <c r="V674" s="49">
        <f>IF(OR($AE674&lt;&gt;1,V$1=""),"",SUMIFS('All Donations'!$S$2:$S$4001,'All Donations'!$R$2:$R$4001,$AD674,'All Donations'!$T$2:$T$4001,V$1))</f>
        <v/>
      </c>
      <c r="W674" s="49">
        <f>IF(OR($AE674&lt;&gt;1,W$1=""),"",SUMIFS('All Donations'!$S$2:$S$4001,'All Donations'!$R$2:$R$4001,$AD674,'All Donations'!$T$2:$T$4001,W$1))</f>
        <v/>
      </c>
      <c r="X674" s="49">
        <f>IF(OR($AE674&lt;&gt;1,X$1=""),"",SUMIFS('All Donations'!$S$2:$S$4001,'All Donations'!$R$2:$R$4001,$AD674,'All Donations'!$T$2:$T$4001,X$1))</f>
        <v/>
      </c>
      <c r="Y674" s="49">
        <f>IF(OR($AE674&lt;&gt;1,Y$1=""),"",SUMIFS('All Donations'!$S$2:$S$4001,'All Donations'!$R$2:$R$4001,$AD674,'All Donations'!$T$2:$T$4001,Y$1))</f>
        <v/>
      </c>
      <c r="Z674" s="49">
        <f>IF(OR($AE674&lt;&gt;1,Z$1=""),"",SUMIFS('All Donations'!$S$2:$S$4001,'All Donations'!$R$2:$R$4001,$AD674,'All Donations'!$T$2:$T$4001,Z$1))</f>
        <v/>
      </c>
      <c r="AA674" s="49">
        <f>IF(OR($AE674&lt;&gt;1,AA$1=""),"",SUMIFS('All Donations'!$S$2:$S$4001,'All Donations'!$R$2:$R$4001,$AD674,'All Donations'!$T$2:$T$4001,AA$1))</f>
        <v/>
      </c>
      <c r="AB674" s="49">
        <f>IF(OR($AE674&lt;&gt;1,AB$1=""),"",SUMIFS('All Donations'!$S$2:$S$4001,'All Donations'!$R$2:$R$4001,$AD674,'All Donations'!$T$2:$T$4001,AB$1))</f>
        <v/>
      </c>
      <c r="AC674" s="49">
        <f>IF(OR($AE674&lt;&gt;1,AC$1=""),"",SUMIFS('All Donations'!$S$2:$S$4001,'All Donations'!$R$2:$R$4001,$AD674,'All Donations'!$T$2:$T$4001,AC$1))</f>
        <v/>
      </c>
      <c r="AD674">
        <f>IF(AE674=1,'Roster'!A674,"")</f>
        <v/>
      </c>
      <c r="AE674">
        <f>IF(TRIM('Roster'!B674&amp;'Roster'!C674)&lt;&gt;"",1,0)</f>
        <v/>
      </c>
      <c r="AF674">
        <f>IF(AE674=1,LOWER(A674),"#")</f>
        <v/>
      </c>
      <c r="AG674">
        <f>IF(AE674=1,LOWER(TRIM(TRIM('Roster'!C674)&amp;", "&amp;TRIM('Roster'!B674))),"#")</f>
        <v/>
      </c>
      <c r="AH674">
        <f>IF(AND(AE674=1,TRIM('Roster'!F674)&lt;&gt;""),LOWER(TRIM('Roster'!F674)),"#")</f>
        <v/>
      </c>
      <c r="AI674">
        <f>IF(AE674=1,IF(MATCH(B674,$B$2:$B$701,0)=ROW()-1,1,0),0)</f>
        <v/>
      </c>
      <c r="AJ674">
        <f>AJ673+AI674</f>
        <v/>
      </c>
      <c r="AK674">
        <f>IF(AE674=1,D674+(1000-ROW())/10^7,-1)</f>
        <v/>
      </c>
      <c r="AL674">
        <f>IF(AE674=1,TRIM('Roster'!B674)&amp;" "&amp;LEFT(TRIM('Roster'!C674),1)&amp;".","")</f>
        <v/>
      </c>
      <c r="AM674">
        <f>IF(AE674=1,TRIM('Roster'!C674)&amp;", "&amp;TRIM('Roster'!B674)&amp;" ("&amp;B674&amp;") #"&amp;AD674,"")</f>
        <v/>
      </c>
      <c r="AN674">
        <f>IF(AE674=1,TRIM('Roster'!E674),"")</f>
        <v/>
      </c>
      <c r="AO674">
        <f>IF(AE674=1,ROUND(SUMIFS('All Donations'!$S$2:$S$4001,'All Donations'!$R$2:$R$4001,AD674,'All Donations'!$T$2:$T$4001,"&gt;="&amp;'Settings'!$C$23,'All Donations'!$T$2:$T$4001,"&lt;="&amp;'Settings'!$D$23),2),0)</f>
        <v/>
      </c>
      <c r="AQ674">
        <f>IF(AE674=1,ROUND(SUMIFS('All Donations'!$S$2:$S$4001,'All Donations'!$R$2:$R$4001,AD674,'All Donations'!$T$2:$T$4001,"&gt;="&amp;'Settings'!$C$25,'All Donations'!$T$2:$T$4001,"&lt;="&amp;'Settings'!$D$25),2),0)</f>
        <v/>
      </c>
      <c r="AR674">
        <f>IF(AE674=1,ROUND(SUMIFS('All Donations'!$S$2:$S$4001,'All Donations'!$R$2:$R$4001,AD674,'All Donations'!$T$2:$T$4001,"&gt;="&amp;'Settings'!$C$26,'All Donations'!$T$2:$T$4001,"&lt;="&amp;'Settings'!$D$26),2),0)</f>
        <v/>
      </c>
      <c r="AS674">
        <f>IF(AE674=1,ROUND(SUMIFS('All Donations'!$S$2:$S$4001,'All Donations'!$R$2:$R$4001,AD674,'All Donations'!$T$2:$T$4001,"&lt;="&amp;'Settings'!$D$27),2),0)</f>
        <v/>
      </c>
      <c r="AT674">
        <f>IF(AE674=1,ROUND(SUMIFS('All Donations'!$S$2:$S$4001,'All Donations'!$R$2:$R$4001,AD674,'All Donations'!$T$2:$T$4001,"&gt;="&amp;'Settings'!$C$28,'All Donations'!$T$2:$T$4001,"&lt;="&amp;'Settings'!$D$28),2),0)</f>
        <v/>
      </c>
      <c r="AU674">
        <f>IF(AE674=1,ROUND(SUMIFS('All Donations'!$S$2:$S$4001,'All Donations'!$R$2:$R$4001,AD674,'All Donations'!$T$2:$T$4001,"&gt;="&amp;'Settings'!$C$29,'All Donations'!$T$2:$T$4001,"&lt;="&amp;'Settings'!$D$29),2),0)</f>
        <v/>
      </c>
      <c r="AV674">
        <f>IF(AE674=1,ROUND(SUMIFS('All Donations'!$S$2:$S$4001,'All Donations'!$R$2:$R$4001,AD674,'All Donations'!$T$2:$T$4001,"&lt;="&amp;'Settings'!$D$30),2),0)</f>
        <v/>
      </c>
      <c r="AZ674">
        <f>IF(AE674=1,ROUND(SUMIFS('All Donations'!$S$2:$S$4001,'All Donations'!$R$2:$R$4001,AD674,'All Donations'!$T$2:$T$4001,"&lt;="&amp;'Settings'!$D$34),2),0)</f>
        <v/>
      </c>
    </row>
    <row r="675">
      <c r="A675">
        <f>IF(AE675=1,TRIM(TRIM('Roster'!B675)&amp;" "&amp;TRIM('Roster'!C675)),"")</f>
        <v/>
      </c>
      <c r="B675">
        <f>IF(AE675=1,IF(AN675="","(no teacher)",AN675&amp;" – "&amp;C675),"")</f>
        <v/>
      </c>
      <c r="C675">
        <f>IF(AE675=1,TRIM('Roster'!D675&amp;""),"")</f>
        <v/>
      </c>
      <c r="D675" s="48">
        <f>IF(AE675=1,ROUND(SUMIFS('All Donations'!$S$2:$S$4001,'All Donations'!$R$2:$R$4001,AD675),2),"")</f>
        <v/>
      </c>
      <c r="E675" s="48">
        <f>IF(AE675=1,ROUND(SUMIFS('All Donations'!$S$2:$S$4001,'All Donations'!$R$2:$R$4001,AD675,'All Donations'!$G$2:$G$4001,"OneCause"),2),"")</f>
        <v/>
      </c>
      <c r="F675" s="48">
        <f>IF(AE675=1,D675-E675,"")</f>
        <v/>
      </c>
      <c r="G675">
        <f>IF(AE675=1,COUNTIFS('All Donations'!$R$2:$R$4001,AD675,'All Donations'!$H$2:$H$4001,"OK"),"")</f>
        <v/>
      </c>
      <c r="H675">
        <f>IF(AE675&lt;&gt;1,"",IF(D675&gt;0,"Yes",""))</f>
        <v/>
      </c>
      <c r="I675" s="49">
        <f>IF(OR($AE675&lt;&gt;1,I$1=""),"",SUMIFS('All Donations'!$S$2:$S$4001,'All Donations'!$R$2:$R$4001,$AD675,'All Donations'!$T$2:$T$4001,I$1))</f>
        <v/>
      </c>
      <c r="J675" s="49">
        <f>IF(OR($AE675&lt;&gt;1,J$1=""),"",SUMIFS('All Donations'!$S$2:$S$4001,'All Donations'!$R$2:$R$4001,$AD675,'All Donations'!$T$2:$T$4001,J$1))</f>
        <v/>
      </c>
      <c r="K675" s="49">
        <f>IF(OR($AE675&lt;&gt;1,K$1=""),"",SUMIFS('All Donations'!$S$2:$S$4001,'All Donations'!$R$2:$R$4001,$AD675,'All Donations'!$T$2:$T$4001,K$1))</f>
        <v/>
      </c>
      <c r="L675" s="49">
        <f>IF(OR($AE675&lt;&gt;1,L$1=""),"",SUMIFS('All Donations'!$S$2:$S$4001,'All Donations'!$R$2:$R$4001,$AD675,'All Donations'!$T$2:$T$4001,L$1))</f>
        <v/>
      </c>
      <c r="M675" s="49">
        <f>IF(OR($AE675&lt;&gt;1,M$1=""),"",SUMIFS('All Donations'!$S$2:$S$4001,'All Donations'!$R$2:$R$4001,$AD675,'All Donations'!$T$2:$T$4001,M$1))</f>
        <v/>
      </c>
      <c r="N675" s="49">
        <f>IF(OR($AE675&lt;&gt;1,N$1=""),"",SUMIFS('All Donations'!$S$2:$S$4001,'All Donations'!$R$2:$R$4001,$AD675,'All Donations'!$T$2:$T$4001,N$1))</f>
        <v/>
      </c>
      <c r="O675" s="49">
        <f>IF(OR($AE675&lt;&gt;1,O$1=""),"",SUMIFS('All Donations'!$S$2:$S$4001,'All Donations'!$R$2:$R$4001,$AD675,'All Donations'!$T$2:$T$4001,O$1))</f>
        <v/>
      </c>
      <c r="P675" s="49">
        <f>IF(OR($AE675&lt;&gt;1,P$1=""),"",SUMIFS('All Donations'!$S$2:$S$4001,'All Donations'!$R$2:$R$4001,$AD675,'All Donations'!$T$2:$T$4001,P$1))</f>
        <v/>
      </c>
      <c r="Q675" s="49">
        <f>IF(OR($AE675&lt;&gt;1,Q$1=""),"",SUMIFS('All Donations'!$S$2:$S$4001,'All Donations'!$R$2:$R$4001,$AD675,'All Donations'!$T$2:$T$4001,Q$1))</f>
        <v/>
      </c>
      <c r="R675" s="49">
        <f>IF(OR($AE675&lt;&gt;1,R$1=""),"",SUMIFS('All Donations'!$S$2:$S$4001,'All Donations'!$R$2:$R$4001,$AD675,'All Donations'!$T$2:$T$4001,R$1))</f>
        <v/>
      </c>
      <c r="S675" s="49">
        <f>IF(OR($AE675&lt;&gt;1,S$1=""),"",SUMIFS('All Donations'!$S$2:$S$4001,'All Donations'!$R$2:$R$4001,$AD675,'All Donations'!$T$2:$T$4001,S$1))</f>
        <v/>
      </c>
      <c r="T675" s="49">
        <f>IF(OR($AE675&lt;&gt;1,T$1=""),"",SUMIFS('All Donations'!$S$2:$S$4001,'All Donations'!$R$2:$R$4001,$AD675,'All Donations'!$T$2:$T$4001,T$1))</f>
        <v/>
      </c>
      <c r="U675" s="49">
        <f>IF(OR($AE675&lt;&gt;1,U$1=""),"",SUMIFS('All Donations'!$S$2:$S$4001,'All Donations'!$R$2:$R$4001,$AD675,'All Donations'!$T$2:$T$4001,U$1))</f>
        <v/>
      </c>
      <c r="V675" s="49">
        <f>IF(OR($AE675&lt;&gt;1,V$1=""),"",SUMIFS('All Donations'!$S$2:$S$4001,'All Donations'!$R$2:$R$4001,$AD675,'All Donations'!$T$2:$T$4001,V$1))</f>
        <v/>
      </c>
      <c r="W675" s="49">
        <f>IF(OR($AE675&lt;&gt;1,W$1=""),"",SUMIFS('All Donations'!$S$2:$S$4001,'All Donations'!$R$2:$R$4001,$AD675,'All Donations'!$T$2:$T$4001,W$1))</f>
        <v/>
      </c>
      <c r="X675" s="49">
        <f>IF(OR($AE675&lt;&gt;1,X$1=""),"",SUMIFS('All Donations'!$S$2:$S$4001,'All Donations'!$R$2:$R$4001,$AD675,'All Donations'!$T$2:$T$4001,X$1))</f>
        <v/>
      </c>
      <c r="Y675" s="49">
        <f>IF(OR($AE675&lt;&gt;1,Y$1=""),"",SUMIFS('All Donations'!$S$2:$S$4001,'All Donations'!$R$2:$R$4001,$AD675,'All Donations'!$T$2:$T$4001,Y$1))</f>
        <v/>
      </c>
      <c r="Z675" s="49">
        <f>IF(OR($AE675&lt;&gt;1,Z$1=""),"",SUMIFS('All Donations'!$S$2:$S$4001,'All Donations'!$R$2:$R$4001,$AD675,'All Donations'!$T$2:$T$4001,Z$1))</f>
        <v/>
      </c>
      <c r="AA675" s="49">
        <f>IF(OR($AE675&lt;&gt;1,AA$1=""),"",SUMIFS('All Donations'!$S$2:$S$4001,'All Donations'!$R$2:$R$4001,$AD675,'All Donations'!$T$2:$T$4001,AA$1))</f>
        <v/>
      </c>
      <c r="AB675" s="49">
        <f>IF(OR($AE675&lt;&gt;1,AB$1=""),"",SUMIFS('All Donations'!$S$2:$S$4001,'All Donations'!$R$2:$R$4001,$AD675,'All Donations'!$T$2:$T$4001,AB$1))</f>
        <v/>
      </c>
      <c r="AC675" s="49">
        <f>IF(OR($AE675&lt;&gt;1,AC$1=""),"",SUMIFS('All Donations'!$S$2:$S$4001,'All Donations'!$R$2:$R$4001,$AD675,'All Donations'!$T$2:$T$4001,AC$1))</f>
        <v/>
      </c>
      <c r="AD675">
        <f>IF(AE675=1,'Roster'!A675,"")</f>
        <v/>
      </c>
      <c r="AE675">
        <f>IF(TRIM('Roster'!B675&amp;'Roster'!C675)&lt;&gt;"",1,0)</f>
        <v/>
      </c>
      <c r="AF675">
        <f>IF(AE675=1,LOWER(A675),"#")</f>
        <v/>
      </c>
      <c r="AG675">
        <f>IF(AE675=1,LOWER(TRIM(TRIM('Roster'!C675)&amp;", "&amp;TRIM('Roster'!B675))),"#")</f>
        <v/>
      </c>
      <c r="AH675">
        <f>IF(AND(AE675=1,TRIM('Roster'!F675)&lt;&gt;""),LOWER(TRIM('Roster'!F675)),"#")</f>
        <v/>
      </c>
      <c r="AI675">
        <f>IF(AE675=1,IF(MATCH(B675,$B$2:$B$701,0)=ROW()-1,1,0),0)</f>
        <v/>
      </c>
      <c r="AJ675">
        <f>AJ674+AI675</f>
        <v/>
      </c>
      <c r="AK675">
        <f>IF(AE675=1,D675+(1000-ROW())/10^7,-1)</f>
        <v/>
      </c>
      <c r="AL675">
        <f>IF(AE675=1,TRIM('Roster'!B675)&amp;" "&amp;LEFT(TRIM('Roster'!C675),1)&amp;".","")</f>
        <v/>
      </c>
      <c r="AM675">
        <f>IF(AE675=1,TRIM('Roster'!C675)&amp;", "&amp;TRIM('Roster'!B675)&amp;" ("&amp;B675&amp;") #"&amp;AD675,"")</f>
        <v/>
      </c>
      <c r="AN675">
        <f>IF(AE675=1,TRIM('Roster'!E675),"")</f>
        <v/>
      </c>
      <c r="AO675">
        <f>IF(AE675=1,ROUND(SUMIFS('All Donations'!$S$2:$S$4001,'All Donations'!$R$2:$R$4001,AD675,'All Donations'!$T$2:$T$4001,"&gt;="&amp;'Settings'!$C$23,'All Donations'!$T$2:$T$4001,"&lt;="&amp;'Settings'!$D$23),2),0)</f>
        <v/>
      </c>
      <c r="AQ675">
        <f>IF(AE675=1,ROUND(SUMIFS('All Donations'!$S$2:$S$4001,'All Donations'!$R$2:$R$4001,AD675,'All Donations'!$T$2:$T$4001,"&gt;="&amp;'Settings'!$C$25,'All Donations'!$T$2:$T$4001,"&lt;="&amp;'Settings'!$D$25),2),0)</f>
        <v/>
      </c>
      <c r="AR675">
        <f>IF(AE675=1,ROUND(SUMIFS('All Donations'!$S$2:$S$4001,'All Donations'!$R$2:$R$4001,AD675,'All Donations'!$T$2:$T$4001,"&gt;="&amp;'Settings'!$C$26,'All Donations'!$T$2:$T$4001,"&lt;="&amp;'Settings'!$D$26),2),0)</f>
        <v/>
      </c>
      <c r="AS675">
        <f>IF(AE675=1,ROUND(SUMIFS('All Donations'!$S$2:$S$4001,'All Donations'!$R$2:$R$4001,AD675,'All Donations'!$T$2:$T$4001,"&lt;="&amp;'Settings'!$D$27),2),0)</f>
        <v/>
      </c>
      <c r="AT675">
        <f>IF(AE675=1,ROUND(SUMIFS('All Donations'!$S$2:$S$4001,'All Donations'!$R$2:$R$4001,AD675,'All Donations'!$T$2:$T$4001,"&gt;="&amp;'Settings'!$C$28,'All Donations'!$T$2:$T$4001,"&lt;="&amp;'Settings'!$D$28),2),0)</f>
        <v/>
      </c>
      <c r="AU675">
        <f>IF(AE675=1,ROUND(SUMIFS('All Donations'!$S$2:$S$4001,'All Donations'!$R$2:$R$4001,AD675,'All Donations'!$T$2:$T$4001,"&gt;="&amp;'Settings'!$C$29,'All Donations'!$T$2:$T$4001,"&lt;="&amp;'Settings'!$D$29),2),0)</f>
        <v/>
      </c>
      <c r="AV675">
        <f>IF(AE675=1,ROUND(SUMIFS('All Donations'!$S$2:$S$4001,'All Donations'!$R$2:$R$4001,AD675,'All Donations'!$T$2:$T$4001,"&lt;="&amp;'Settings'!$D$30),2),0)</f>
        <v/>
      </c>
      <c r="AZ675">
        <f>IF(AE675=1,ROUND(SUMIFS('All Donations'!$S$2:$S$4001,'All Donations'!$R$2:$R$4001,AD675,'All Donations'!$T$2:$T$4001,"&lt;="&amp;'Settings'!$D$34),2),0)</f>
        <v/>
      </c>
    </row>
    <row r="676">
      <c r="A676">
        <f>IF(AE676=1,TRIM(TRIM('Roster'!B676)&amp;" "&amp;TRIM('Roster'!C676)),"")</f>
        <v/>
      </c>
      <c r="B676">
        <f>IF(AE676=1,IF(AN676="","(no teacher)",AN676&amp;" – "&amp;C676),"")</f>
        <v/>
      </c>
      <c r="C676">
        <f>IF(AE676=1,TRIM('Roster'!D676&amp;""),"")</f>
        <v/>
      </c>
      <c r="D676" s="48">
        <f>IF(AE676=1,ROUND(SUMIFS('All Donations'!$S$2:$S$4001,'All Donations'!$R$2:$R$4001,AD676),2),"")</f>
        <v/>
      </c>
      <c r="E676" s="48">
        <f>IF(AE676=1,ROUND(SUMIFS('All Donations'!$S$2:$S$4001,'All Donations'!$R$2:$R$4001,AD676,'All Donations'!$G$2:$G$4001,"OneCause"),2),"")</f>
        <v/>
      </c>
      <c r="F676" s="48">
        <f>IF(AE676=1,D676-E676,"")</f>
        <v/>
      </c>
      <c r="G676">
        <f>IF(AE676=1,COUNTIFS('All Donations'!$R$2:$R$4001,AD676,'All Donations'!$H$2:$H$4001,"OK"),"")</f>
        <v/>
      </c>
      <c r="H676">
        <f>IF(AE676&lt;&gt;1,"",IF(D676&gt;0,"Yes",""))</f>
        <v/>
      </c>
      <c r="I676" s="49">
        <f>IF(OR($AE676&lt;&gt;1,I$1=""),"",SUMIFS('All Donations'!$S$2:$S$4001,'All Donations'!$R$2:$R$4001,$AD676,'All Donations'!$T$2:$T$4001,I$1))</f>
        <v/>
      </c>
      <c r="J676" s="49">
        <f>IF(OR($AE676&lt;&gt;1,J$1=""),"",SUMIFS('All Donations'!$S$2:$S$4001,'All Donations'!$R$2:$R$4001,$AD676,'All Donations'!$T$2:$T$4001,J$1))</f>
        <v/>
      </c>
      <c r="K676" s="49">
        <f>IF(OR($AE676&lt;&gt;1,K$1=""),"",SUMIFS('All Donations'!$S$2:$S$4001,'All Donations'!$R$2:$R$4001,$AD676,'All Donations'!$T$2:$T$4001,K$1))</f>
        <v/>
      </c>
      <c r="L676" s="49">
        <f>IF(OR($AE676&lt;&gt;1,L$1=""),"",SUMIFS('All Donations'!$S$2:$S$4001,'All Donations'!$R$2:$R$4001,$AD676,'All Donations'!$T$2:$T$4001,L$1))</f>
        <v/>
      </c>
      <c r="M676" s="49">
        <f>IF(OR($AE676&lt;&gt;1,M$1=""),"",SUMIFS('All Donations'!$S$2:$S$4001,'All Donations'!$R$2:$R$4001,$AD676,'All Donations'!$T$2:$T$4001,M$1))</f>
        <v/>
      </c>
      <c r="N676" s="49">
        <f>IF(OR($AE676&lt;&gt;1,N$1=""),"",SUMIFS('All Donations'!$S$2:$S$4001,'All Donations'!$R$2:$R$4001,$AD676,'All Donations'!$T$2:$T$4001,N$1))</f>
        <v/>
      </c>
      <c r="O676" s="49">
        <f>IF(OR($AE676&lt;&gt;1,O$1=""),"",SUMIFS('All Donations'!$S$2:$S$4001,'All Donations'!$R$2:$R$4001,$AD676,'All Donations'!$T$2:$T$4001,O$1))</f>
        <v/>
      </c>
      <c r="P676" s="49">
        <f>IF(OR($AE676&lt;&gt;1,P$1=""),"",SUMIFS('All Donations'!$S$2:$S$4001,'All Donations'!$R$2:$R$4001,$AD676,'All Donations'!$T$2:$T$4001,P$1))</f>
        <v/>
      </c>
      <c r="Q676" s="49">
        <f>IF(OR($AE676&lt;&gt;1,Q$1=""),"",SUMIFS('All Donations'!$S$2:$S$4001,'All Donations'!$R$2:$R$4001,$AD676,'All Donations'!$T$2:$T$4001,Q$1))</f>
        <v/>
      </c>
      <c r="R676" s="49">
        <f>IF(OR($AE676&lt;&gt;1,R$1=""),"",SUMIFS('All Donations'!$S$2:$S$4001,'All Donations'!$R$2:$R$4001,$AD676,'All Donations'!$T$2:$T$4001,R$1))</f>
        <v/>
      </c>
      <c r="S676" s="49">
        <f>IF(OR($AE676&lt;&gt;1,S$1=""),"",SUMIFS('All Donations'!$S$2:$S$4001,'All Donations'!$R$2:$R$4001,$AD676,'All Donations'!$T$2:$T$4001,S$1))</f>
        <v/>
      </c>
      <c r="T676" s="49">
        <f>IF(OR($AE676&lt;&gt;1,T$1=""),"",SUMIFS('All Donations'!$S$2:$S$4001,'All Donations'!$R$2:$R$4001,$AD676,'All Donations'!$T$2:$T$4001,T$1))</f>
        <v/>
      </c>
      <c r="U676" s="49">
        <f>IF(OR($AE676&lt;&gt;1,U$1=""),"",SUMIFS('All Donations'!$S$2:$S$4001,'All Donations'!$R$2:$R$4001,$AD676,'All Donations'!$T$2:$T$4001,U$1))</f>
        <v/>
      </c>
      <c r="V676" s="49">
        <f>IF(OR($AE676&lt;&gt;1,V$1=""),"",SUMIFS('All Donations'!$S$2:$S$4001,'All Donations'!$R$2:$R$4001,$AD676,'All Donations'!$T$2:$T$4001,V$1))</f>
        <v/>
      </c>
      <c r="W676" s="49">
        <f>IF(OR($AE676&lt;&gt;1,W$1=""),"",SUMIFS('All Donations'!$S$2:$S$4001,'All Donations'!$R$2:$R$4001,$AD676,'All Donations'!$T$2:$T$4001,W$1))</f>
        <v/>
      </c>
      <c r="X676" s="49">
        <f>IF(OR($AE676&lt;&gt;1,X$1=""),"",SUMIFS('All Donations'!$S$2:$S$4001,'All Donations'!$R$2:$R$4001,$AD676,'All Donations'!$T$2:$T$4001,X$1))</f>
        <v/>
      </c>
      <c r="Y676" s="49">
        <f>IF(OR($AE676&lt;&gt;1,Y$1=""),"",SUMIFS('All Donations'!$S$2:$S$4001,'All Donations'!$R$2:$R$4001,$AD676,'All Donations'!$T$2:$T$4001,Y$1))</f>
        <v/>
      </c>
      <c r="Z676" s="49">
        <f>IF(OR($AE676&lt;&gt;1,Z$1=""),"",SUMIFS('All Donations'!$S$2:$S$4001,'All Donations'!$R$2:$R$4001,$AD676,'All Donations'!$T$2:$T$4001,Z$1))</f>
        <v/>
      </c>
      <c r="AA676" s="49">
        <f>IF(OR($AE676&lt;&gt;1,AA$1=""),"",SUMIFS('All Donations'!$S$2:$S$4001,'All Donations'!$R$2:$R$4001,$AD676,'All Donations'!$T$2:$T$4001,AA$1))</f>
        <v/>
      </c>
      <c r="AB676" s="49">
        <f>IF(OR($AE676&lt;&gt;1,AB$1=""),"",SUMIFS('All Donations'!$S$2:$S$4001,'All Donations'!$R$2:$R$4001,$AD676,'All Donations'!$T$2:$T$4001,AB$1))</f>
        <v/>
      </c>
      <c r="AC676" s="49">
        <f>IF(OR($AE676&lt;&gt;1,AC$1=""),"",SUMIFS('All Donations'!$S$2:$S$4001,'All Donations'!$R$2:$R$4001,$AD676,'All Donations'!$T$2:$T$4001,AC$1))</f>
        <v/>
      </c>
      <c r="AD676">
        <f>IF(AE676=1,'Roster'!A676,"")</f>
        <v/>
      </c>
      <c r="AE676">
        <f>IF(TRIM('Roster'!B676&amp;'Roster'!C676)&lt;&gt;"",1,0)</f>
        <v/>
      </c>
      <c r="AF676">
        <f>IF(AE676=1,LOWER(A676),"#")</f>
        <v/>
      </c>
      <c r="AG676">
        <f>IF(AE676=1,LOWER(TRIM(TRIM('Roster'!C676)&amp;", "&amp;TRIM('Roster'!B676))),"#")</f>
        <v/>
      </c>
      <c r="AH676">
        <f>IF(AND(AE676=1,TRIM('Roster'!F676)&lt;&gt;""),LOWER(TRIM('Roster'!F676)),"#")</f>
        <v/>
      </c>
      <c r="AI676">
        <f>IF(AE676=1,IF(MATCH(B676,$B$2:$B$701,0)=ROW()-1,1,0),0)</f>
        <v/>
      </c>
      <c r="AJ676">
        <f>AJ675+AI676</f>
        <v/>
      </c>
      <c r="AK676">
        <f>IF(AE676=1,D676+(1000-ROW())/10^7,-1)</f>
        <v/>
      </c>
      <c r="AL676">
        <f>IF(AE676=1,TRIM('Roster'!B676)&amp;" "&amp;LEFT(TRIM('Roster'!C676),1)&amp;".","")</f>
        <v/>
      </c>
      <c r="AM676">
        <f>IF(AE676=1,TRIM('Roster'!C676)&amp;", "&amp;TRIM('Roster'!B676)&amp;" ("&amp;B676&amp;") #"&amp;AD676,"")</f>
        <v/>
      </c>
      <c r="AN676">
        <f>IF(AE676=1,TRIM('Roster'!E676),"")</f>
        <v/>
      </c>
      <c r="AO676">
        <f>IF(AE676=1,ROUND(SUMIFS('All Donations'!$S$2:$S$4001,'All Donations'!$R$2:$R$4001,AD676,'All Donations'!$T$2:$T$4001,"&gt;="&amp;'Settings'!$C$23,'All Donations'!$T$2:$T$4001,"&lt;="&amp;'Settings'!$D$23),2),0)</f>
        <v/>
      </c>
      <c r="AQ676">
        <f>IF(AE676=1,ROUND(SUMIFS('All Donations'!$S$2:$S$4001,'All Donations'!$R$2:$R$4001,AD676,'All Donations'!$T$2:$T$4001,"&gt;="&amp;'Settings'!$C$25,'All Donations'!$T$2:$T$4001,"&lt;="&amp;'Settings'!$D$25),2),0)</f>
        <v/>
      </c>
      <c r="AR676">
        <f>IF(AE676=1,ROUND(SUMIFS('All Donations'!$S$2:$S$4001,'All Donations'!$R$2:$R$4001,AD676,'All Donations'!$T$2:$T$4001,"&gt;="&amp;'Settings'!$C$26,'All Donations'!$T$2:$T$4001,"&lt;="&amp;'Settings'!$D$26),2),0)</f>
        <v/>
      </c>
      <c r="AS676">
        <f>IF(AE676=1,ROUND(SUMIFS('All Donations'!$S$2:$S$4001,'All Donations'!$R$2:$R$4001,AD676,'All Donations'!$T$2:$T$4001,"&lt;="&amp;'Settings'!$D$27),2),0)</f>
        <v/>
      </c>
      <c r="AT676">
        <f>IF(AE676=1,ROUND(SUMIFS('All Donations'!$S$2:$S$4001,'All Donations'!$R$2:$R$4001,AD676,'All Donations'!$T$2:$T$4001,"&gt;="&amp;'Settings'!$C$28,'All Donations'!$T$2:$T$4001,"&lt;="&amp;'Settings'!$D$28),2),0)</f>
        <v/>
      </c>
      <c r="AU676">
        <f>IF(AE676=1,ROUND(SUMIFS('All Donations'!$S$2:$S$4001,'All Donations'!$R$2:$R$4001,AD676,'All Donations'!$T$2:$T$4001,"&gt;="&amp;'Settings'!$C$29,'All Donations'!$T$2:$T$4001,"&lt;="&amp;'Settings'!$D$29),2),0)</f>
        <v/>
      </c>
      <c r="AV676">
        <f>IF(AE676=1,ROUND(SUMIFS('All Donations'!$S$2:$S$4001,'All Donations'!$R$2:$R$4001,AD676,'All Donations'!$T$2:$T$4001,"&lt;="&amp;'Settings'!$D$30),2),0)</f>
        <v/>
      </c>
      <c r="AZ676">
        <f>IF(AE676=1,ROUND(SUMIFS('All Donations'!$S$2:$S$4001,'All Donations'!$R$2:$R$4001,AD676,'All Donations'!$T$2:$T$4001,"&lt;="&amp;'Settings'!$D$34),2),0)</f>
        <v/>
      </c>
    </row>
    <row r="677">
      <c r="A677">
        <f>IF(AE677=1,TRIM(TRIM('Roster'!B677)&amp;" "&amp;TRIM('Roster'!C677)),"")</f>
        <v/>
      </c>
      <c r="B677">
        <f>IF(AE677=1,IF(AN677="","(no teacher)",AN677&amp;" – "&amp;C677),"")</f>
        <v/>
      </c>
      <c r="C677">
        <f>IF(AE677=1,TRIM('Roster'!D677&amp;""),"")</f>
        <v/>
      </c>
      <c r="D677" s="48">
        <f>IF(AE677=1,ROUND(SUMIFS('All Donations'!$S$2:$S$4001,'All Donations'!$R$2:$R$4001,AD677),2),"")</f>
        <v/>
      </c>
      <c r="E677" s="48">
        <f>IF(AE677=1,ROUND(SUMIFS('All Donations'!$S$2:$S$4001,'All Donations'!$R$2:$R$4001,AD677,'All Donations'!$G$2:$G$4001,"OneCause"),2),"")</f>
        <v/>
      </c>
      <c r="F677" s="48">
        <f>IF(AE677=1,D677-E677,"")</f>
        <v/>
      </c>
      <c r="G677">
        <f>IF(AE677=1,COUNTIFS('All Donations'!$R$2:$R$4001,AD677,'All Donations'!$H$2:$H$4001,"OK"),"")</f>
        <v/>
      </c>
      <c r="H677">
        <f>IF(AE677&lt;&gt;1,"",IF(D677&gt;0,"Yes",""))</f>
        <v/>
      </c>
      <c r="I677" s="49">
        <f>IF(OR($AE677&lt;&gt;1,I$1=""),"",SUMIFS('All Donations'!$S$2:$S$4001,'All Donations'!$R$2:$R$4001,$AD677,'All Donations'!$T$2:$T$4001,I$1))</f>
        <v/>
      </c>
      <c r="J677" s="49">
        <f>IF(OR($AE677&lt;&gt;1,J$1=""),"",SUMIFS('All Donations'!$S$2:$S$4001,'All Donations'!$R$2:$R$4001,$AD677,'All Donations'!$T$2:$T$4001,J$1))</f>
        <v/>
      </c>
      <c r="K677" s="49">
        <f>IF(OR($AE677&lt;&gt;1,K$1=""),"",SUMIFS('All Donations'!$S$2:$S$4001,'All Donations'!$R$2:$R$4001,$AD677,'All Donations'!$T$2:$T$4001,K$1))</f>
        <v/>
      </c>
      <c r="L677" s="49">
        <f>IF(OR($AE677&lt;&gt;1,L$1=""),"",SUMIFS('All Donations'!$S$2:$S$4001,'All Donations'!$R$2:$R$4001,$AD677,'All Donations'!$T$2:$T$4001,L$1))</f>
        <v/>
      </c>
      <c r="M677" s="49">
        <f>IF(OR($AE677&lt;&gt;1,M$1=""),"",SUMIFS('All Donations'!$S$2:$S$4001,'All Donations'!$R$2:$R$4001,$AD677,'All Donations'!$T$2:$T$4001,M$1))</f>
        <v/>
      </c>
      <c r="N677" s="49">
        <f>IF(OR($AE677&lt;&gt;1,N$1=""),"",SUMIFS('All Donations'!$S$2:$S$4001,'All Donations'!$R$2:$R$4001,$AD677,'All Donations'!$T$2:$T$4001,N$1))</f>
        <v/>
      </c>
      <c r="O677" s="49">
        <f>IF(OR($AE677&lt;&gt;1,O$1=""),"",SUMIFS('All Donations'!$S$2:$S$4001,'All Donations'!$R$2:$R$4001,$AD677,'All Donations'!$T$2:$T$4001,O$1))</f>
        <v/>
      </c>
      <c r="P677" s="49">
        <f>IF(OR($AE677&lt;&gt;1,P$1=""),"",SUMIFS('All Donations'!$S$2:$S$4001,'All Donations'!$R$2:$R$4001,$AD677,'All Donations'!$T$2:$T$4001,P$1))</f>
        <v/>
      </c>
      <c r="Q677" s="49">
        <f>IF(OR($AE677&lt;&gt;1,Q$1=""),"",SUMIFS('All Donations'!$S$2:$S$4001,'All Donations'!$R$2:$R$4001,$AD677,'All Donations'!$T$2:$T$4001,Q$1))</f>
        <v/>
      </c>
      <c r="R677" s="49">
        <f>IF(OR($AE677&lt;&gt;1,R$1=""),"",SUMIFS('All Donations'!$S$2:$S$4001,'All Donations'!$R$2:$R$4001,$AD677,'All Donations'!$T$2:$T$4001,R$1))</f>
        <v/>
      </c>
      <c r="S677" s="49">
        <f>IF(OR($AE677&lt;&gt;1,S$1=""),"",SUMIFS('All Donations'!$S$2:$S$4001,'All Donations'!$R$2:$R$4001,$AD677,'All Donations'!$T$2:$T$4001,S$1))</f>
        <v/>
      </c>
      <c r="T677" s="49">
        <f>IF(OR($AE677&lt;&gt;1,T$1=""),"",SUMIFS('All Donations'!$S$2:$S$4001,'All Donations'!$R$2:$R$4001,$AD677,'All Donations'!$T$2:$T$4001,T$1))</f>
        <v/>
      </c>
      <c r="U677" s="49">
        <f>IF(OR($AE677&lt;&gt;1,U$1=""),"",SUMIFS('All Donations'!$S$2:$S$4001,'All Donations'!$R$2:$R$4001,$AD677,'All Donations'!$T$2:$T$4001,U$1))</f>
        <v/>
      </c>
      <c r="V677" s="49">
        <f>IF(OR($AE677&lt;&gt;1,V$1=""),"",SUMIFS('All Donations'!$S$2:$S$4001,'All Donations'!$R$2:$R$4001,$AD677,'All Donations'!$T$2:$T$4001,V$1))</f>
        <v/>
      </c>
      <c r="W677" s="49">
        <f>IF(OR($AE677&lt;&gt;1,W$1=""),"",SUMIFS('All Donations'!$S$2:$S$4001,'All Donations'!$R$2:$R$4001,$AD677,'All Donations'!$T$2:$T$4001,W$1))</f>
        <v/>
      </c>
      <c r="X677" s="49">
        <f>IF(OR($AE677&lt;&gt;1,X$1=""),"",SUMIFS('All Donations'!$S$2:$S$4001,'All Donations'!$R$2:$R$4001,$AD677,'All Donations'!$T$2:$T$4001,X$1))</f>
        <v/>
      </c>
      <c r="Y677" s="49">
        <f>IF(OR($AE677&lt;&gt;1,Y$1=""),"",SUMIFS('All Donations'!$S$2:$S$4001,'All Donations'!$R$2:$R$4001,$AD677,'All Donations'!$T$2:$T$4001,Y$1))</f>
        <v/>
      </c>
      <c r="Z677" s="49">
        <f>IF(OR($AE677&lt;&gt;1,Z$1=""),"",SUMIFS('All Donations'!$S$2:$S$4001,'All Donations'!$R$2:$R$4001,$AD677,'All Donations'!$T$2:$T$4001,Z$1))</f>
        <v/>
      </c>
      <c r="AA677" s="49">
        <f>IF(OR($AE677&lt;&gt;1,AA$1=""),"",SUMIFS('All Donations'!$S$2:$S$4001,'All Donations'!$R$2:$R$4001,$AD677,'All Donations'!$T$2:$T$4001,AA$1))</f>
        <v/>
      </c>
      <c r="AB677" s="49">
        <f>IF(OR($AE677&lt;&gt;1,AB$1=""),"",SUMIFS('All Donations'!$S$2:$S$4001,'All Donations'!$R$2:$R$4001,$AD677,'All Donations'!$T$2:$T$4001,AB$1))</f>
        <v/>
      </c>
      <c r="AC677" s="49">
        <f>IF(OR($AE677&lt;&gt;1,AC$1=""),"",SUMIFS('All Donations'!$S$2:$S$4001,'All Donations'!$R$2:$R$4001,$AD677,'All Donations'!$T$2:$T$4001,AC$1))</f>
        <v/>
      </c>
      <c r="AD677">
        <f>IF(AE677=1,'Roster'!A677,"")</f>
        <v/>
      </c>
      <c r="AE677">
        <f>IF(TRIM('Roster'!B677&amp;'Roster'!C677)&lt;&gt;"",1,0)</f>
        <v/>
      </c>
      <c r="AF677">
        <f>IF(AE677=1,LOWER(A677),"#")</f>
        <v/>
      </c>
      <c r="AG677">
        <f>IF(AE677=1,LOWER(TRIM(TRIM('Roster'!C677)&amp;", "&amp;TRIM('Roster'!B677))),"#")</f>
        <v/>
      </c>
      <c r="AH677">
        <f>IF(AND(AE677=1,TRIM('Roster'!F677)&lt;&gt;""),LOWER(TRIM('Roster'!F677)),"#")</f>
        <v/>
      </c>
      <c r="AI677">
        <f>IF(AE677=1,IF(MATCH(B677,$B$2:$B$701,0)=ROW()-1,1,0),0)</f>
        <v/>
      </c>
      <c r="AJ677">
        <f>AJ676+AI677</f>
        <v/>
      </c>
      <c r="AK677">
        <f>IF(AE677=1,D677+(1000-ROW())/10^7,-1)</f>
        <v/>
      </c>
      <c r="AL677">
        <f>IF(AE677=1,TRIM('Roster'!B677)&amp;" "&amp;LEFT(TRIM('Roster'!C677),1)&amp;".","")</f>
        <v/>
      </c>
      <c r="AM677">
        <f>IF(AE677=1,TRIM('Roster'!C677)&amp;", "&amp;TRIM('Roster'!B677)&amp;" ("&amp;B677&amp;") #"&amp;AD677,"")</f>
        <v/>
      </c>
      <c r="AN677">
        <f>IF(AE677=1,TRIM('Roster'!E677),"")</f>
        <v/>
      </c>
      <c r="AO677">
        <f>IF(AE677=1,ROUND(SUMIFS('All Donations'!$S$2:$S$4001,'All Donations'!$R$2:$R$4001,AD677,'All Donations'!$T$2:$T$4001,"&gt;="&amp;'Settings'!$C$23,'All Donations'!$T$2:$T$4001,"&lt;="&amp;'Settings'!$D$23),2),0)</f>
        <v/>
      </c>
      <c r="AQ677">
        <f>IF(AE677=1,ROUND(SUMIFS('All Donations'!$S$2:$S$4001,'All Donations'!$R$2:$R$4001,AD677,'All Donations'!$T$2:$T$4001,"&gt;="&amp;'Settings'!$C$25,'All Donations'!$T$2:$T$4001,"&lt;="&amp;'Settings'!$D$25),2),0)</f>
        <v/>
      </c>
      <c r="AR677">
        <f>IF(AE677=1,ROUND(SUMIFS('All Donations'!$S$2:$S$4001,'All Donations'!$R$2:$R$4001,AD677,'All Donations'!$T$2:$T$4001,"&gt;="&amp;'Settings'!$C$26,'All Donations'!$T$2:$T$4001,"&lt;="&amp;'Settings'!$D$26),2),0)</f>
        <v/>
      </c>
      <c r="AS677">
        <f>IF(AE677=1,ROUND(SUMIFS('All Donations'!$S$2:$S$4001,'All Donations'!$R$2:$R$4001,AD677,'All Donations'!$T$2:$T$4001,"&lt;="&amp;'Settings'!$D$27),2),0)</f>
        <v/>
      </c>
      <c r="AT677">
        <f>IF(AE677=1,ROUND(SUMIFS('All Donations'!$S$2:$S$4001,'All Donations'!$R$2:$R$4001,AD677,'All Donations'!$T$2:$T$4001,"&gt;="&amp;'Settings'!$C$28,'All Donations'!$T$2:$T$4001,"&lt;="&amp;'Settings'!$D$28),2),0)</f>
        <v/>
      </c>
      <c r="AU677">
        <f>IF(AE677=1,ROUND(SUMIFS('All Donations'!$S$2:$S$4001,'All Donations'!$R$2:$R$4001,AD677,'All Donations'!$T$2:$T$4001,"&gt;="&amp;'Settings'!$C$29,'All Donations'!$T$2:$T$4001,"&lt;="&amp;'Settings'!$D$29),2),0)</f>
        <v/>
      </c>
      <c r="AV677">
        <f>IF(AE677=1,ROUND(SUMIFS('All Donations'!$S$2:$S$4001,'All Donations'!$R$2:$R$4001,AD677,'All Donations'!$T$2:$T$4001,"&lt;="&amp;'Settings'!$D$30),2),0)</f>
        <v/>
      </c>
      <c r="AZ677">
        <f>IF(AE677=1,ROUND(SUMIFS('All Donations'!$S$2:$S$4001,'All Donations'!$R$2:$R$4001,AD677,'All Donations'!$T$2:$T$4001,"&lt;="&amp;'Settings'!$D$34),2),0)</f>
        <v/>
      </c>
    </row>
    <row r="678">
      <c r="A678">
        <f>IF(AE678=1,TRIM(TRIM('Roster'!B678)&amp;" "&amp;TRIM('Roster'!C678)),"")</f>
        <v/>
      </c>
      <c r="B678">
        <f>IF(AE678=1,IF(AN678="","(no teacher)",AN678&amp;" – "&amp;C678),"")</f>
        <v/>
      </c>
      <c r="C678">
        <f>IF(AE678=1,TRIM('Roster'!D678&amp;""),"")</f>
        <v/>
      </c>
      <c r="D678" s="48">
        <f>IF(AE678=1,ROUND(SUMIFS('All Donations'!$S$2:$S$4001,'All Donations'!$R$2:$R$4001,AD678),2),"")</f>
        <v/>
      </c>
      <c r="E678" s="48">
        <f>IF(AE678=1,ROUND(SUMIFS('All Donations'!$S$2:$S$4001,'All Donations'!$R$2:$R$4001,AD678,'All Donations'!$G$2:$G$4001,"OneCause"),2),"")</f>
        <v/>
      </c>
      <c r="F678" s="48">
        <f>IF(AE678=1,D678-E678,"")</f>
        <v/>
      </c>
      <c r="G678">
        <f>IF(AE678=1,COUNTIFS('All Donations'!$R$2:$R$4001,AD678,'All Donations'!$H$2:$H$4001,"OK"),"")</f>
        <v/>
      </c>
      <c r="H678">
        <f>IF(AE678&lt;&gt;1,"",IF(D678&gt;0,"Yes",""))</f>
        <v/>
      </c>
      <c r="I678" s="49">
        <f>IF(OR($AE678&lt;&gt;1,I$1=""),"",SUMIFS('All Donations'!$S$2:$S$4001,'All Donations'!$R$2:$R$4001,$AD678,'All Donations'!$T$2:$T$4001,I$1))</f>
        <v/>
      </c>
      <c r="J678" s="49">
        <f>IF(OR($AE678&lt;&gt;1,J$1=""),"",SUMIFS('All Donations'!$S$2:$S$4001,'All Donations'!$R$2:$R$4001,$AD678,'All Donations'!$T$2:$T$4001,J$1))</f>
        <v/>
      </c>
      <c r="K678" s="49">
        <f>IF(OR($AE678&lt;&gt;1,K$1=""),"",SUMIFS('All Donations'!$S$2:$S$4001,'All Donations'!$R$2:$R$4001,$AD678,'All Donations'!$T$2:$T$4001,K$1))</f>
        <v/>
      </c>
      <c r="L678" s="49">
        <f>IF(OR($AE678&lt;&gt;1,L$1=""),"",SUMIFS('All Donations'!$S$2:$S$4001,'All Donations'!$R$2:$R$4001,$AD678,'All Donations'!$T$2:$T$4001,L$1))</f>
        <v/>
      </c>
      <c r="M678" s="49">
        <f>IF(OR($AE678&lt;&gt;1,M$1=""),"",SUMIFS('All Donations'!$S$2:$S$4001,'All Donations'!$R$2:$R$4001,$AD678,'All Donations'!$T$2:$T$4001,M$1))</f>
        <v/>
      </c>
      <c r="N678" s="49">
        <f>IF(OR($AE678&lt;&gt;1,N$1=""),"",SUMIFS('All Donations'!$S$2:$S$4001,'All Donations'!$R$2:$R$4001,$AD678,'All Donations'!$T$2:$T$4001,N$1))</f>
        <v/>
      </c>
      <c r="O678" s="49">
        <f>IF(OR($AE678&lt;&gt;1,O$1=""),"",SUMIFS('All Donations'!$S$2:$S$4001,'All Donations'!$R$2:$R$4001,$AD678,'All Donations'!$T$2:$T$4001,O$1))</f>
        <v/>
      </c>
      <c r="P678" s="49">
        <f>IF(OR($AE678&lt;&gt;1,P$1=""),"",SUMIFS('All Donations'!$S$2:$S$4001,'All Donations'!$R$2:$R$4001,$AD678,'All Donations'!$T$2:$T$4001,P$1))</f>
        <v/>
      </c>
      <c r="Q678" s="49">
        <f>IF(OR($AE678&lt;&gt;1,Q$1=""),"",SUMIFS('All Donations'!$S$2:$S$4001,'All Donations'!$R$2:$R$4001,$AD678,'All Donations'!$T$2:$T$4001,Q$1))</f>
        <v/>
      </c>
      <c r="R678" s="49">
        <f>IF(OR($AE678&lt;&gt;1,R$1=""),"",SUMIFS('All Donations'!$S$2:$S$4001,'All Donations'!$R$2:$R$4001,$AD678,'All Donations'!$T$2:$T$4001,R$1))</f>
        <v/>
      </c>
      <c r="S678" s="49">
        <f>IF(OR($AE678&lt;&gt;1,S$1=""),"",SUMIFS('All Donations'!$S$2:$S$4001,'All Donations'!$R$2:$R$4001,$AD678,'All Donations'!$T$2:$T$4001,S$1))</f>
        <v/>
      </c>
      <c r="T678" s="49">
        <f>IF(OR($AE678&lt;&gt;1,T$1=""),"",SUMIFS('All Donations'!$S$2:$S$4001,'All Donations'!$R$2:$R$4001,$AD678,'All Donations'!$T$2:$T$4001,T$1))</f>
        <v/>
      </c>
      <c r="U678" s="49">
        <f>IF(OR($AE678&lt;&gt;1,U$1=""),"",SUMIFS('All Donations'!$S$2:$S$4001,'All Donations'!$R$2:$R$4001,$AD678,'All Donations'!$T$2:$T$4001,U$1))</f>
        <v/>
      </c>
      <c r="V678" s="49">
        <f>IF(OR($AE678&lt;&gt;1,V$1=""),"",SUMIFS('All Donations'!$S$2:$S$4001,'All Donations'!$R$2:$R$4001,$AD678,'All Donations'!$T$2:$T$4001,V$1))</f>
        <v/>
      </c>
      <c r="W678" s="49">
        <f>IF(OR($AE678&lt;&gt;1,W$1=""),"",SUMIFS('All Donations'!$S$2:$S$4001,'All Donations'!$R$2:$R$4001,$AD678,'All Donations'!$T$2:$T$4001,W$1))</f>
        <v/>
      </c>
      <c r="X678" s="49">
        <f>IF(OR($AE678&lt;&gt;1,X$1=""),"",SUMIFS('All Donations'!$S$2:$S$4001,'All Donations'!$R$2:$R$4001,$AD678,'All Donations'!$T$2:$T$4001,X$1))</f>
        <v/>
      </c>
      <c r="Y678" s="49">
        <f>IF(OR($AE678&lt;&gt;1,Y$1=""),"",SUMIFS('All Donations'!$S$2:$S$4001,'All Donations'!$R$2:$R$4001,$AD678,'All Donations'!$T$2:$T$4001,Y$1))</f>
        <v/>
      </c>
      <c r="Z678" s="49">
        <f>IF(OR($AE678&lt;&gt;1,Z$1=""),"",SUMIFS('All Donations'!$S$2:$S$4001,'All Donations'!$R$2:$R$4001,$AD678,'All Donations'!$T$2:$T$4001,Z$1))</f>
        <v/>
      </c>
      <c r="AA678" s="49">
        <f>IF(OR($AE678&lt;&gt;1,AA$1=""),"",SUMIFS('All Donations'!$S$2:$S$4001,'All Donations'!$R$2:$R$4001,$AD678,'All Donations'!$T$2:$T$4001,AA$1))</f>
        <v/>
      </c>
      <c r="AB678" s="49">
        <f>IF(OR($AE678&lt;&gt;1,AB$1=""),"",SUMIFS('All Donations'!$S$2:$S$4001,'All Donations'!$R$2:$R$4001,$AD678,'All Donations'!$T$2:$T$4001,AB$1))</f>
        <v/>
      </c>
      <c r="AC678" s="49">
        <f>IF(OR($AE678&lt;&gt;1,AC$1=""),"",SUMIFS('All Donations'!$S$2:$S$4001,'All Donations'!$R$2:$R$4001,$AD678,'All Donations'!$T$2:$T$4001,AC$1))</f>
        <v/>
      </c>
      <c r="AD678">
        <f>IF(AE678=1,'Roster'!A678,"")</f>
        <v/>
      </c>
      <c r="AE678">
        <f>IF(TRIM('Roster'!B678&amp;'Roster'!C678)&lt;&gt;"",1,0)</f>
        <v/>
      </c>
      <c r="AF678">
        <f>IF(AE678=1,LOWER(A678),"#")</f>
        <v/>
      </c>
      <c r="AG678">
        <f>IF(AE678=1,LOWER(TRIM(TRIM('Roster'!C678)&amp;", "&amp;TRIM('Roster'!B678))),"#")</f>
        <v/>
      </c>
      <c r="AH678">
        <f>IF(AND(AE678=1,TRIM('Roster'!F678)&lt;&gt;""),LOWER(TRIM('Roster'!F678)),"#")</f>
        <v/>
      </c>
      <c r="AI678">
        <f>IF(AE678=1,IF(MATCH(B678,$B$2:$B$701,0)=ROW()-1,1,0),0)</f>
        <v/>
      </c>
      <c r="AJ678">
        <f>AJ677+AI678</f>
        <v/>
      </c>
      <c r="AK678">
        <f>IF(AE678=1,D678+(1000-ROW())/10^7,-1)</f>
        <v/>
      </c>
      <c r="AL678">
        <f>IF(AE678=1,TRIM('Roster'!B678)&amp;" "&amp;LEFT(TRIM('Roster'!C678),1)&amp;".","")</f>
        <v/>
      </c>
      <c r="AM678">
        <f>IF(AE678=1,TRIM('Roster'!C678)&amp;", "&amp;TRIM('Roster'!B678)&amp;" ("&amp;B678&amp;") #"&amp;AD678,"")</f>
        <v/>
      </c>
      <c r="AN678">
        <f>IF(AE678=1,TRIM('Roster'!E678),"")</f>
        <v/>
      </c>
      <c r="AO678">
        <f>IF(AE678=1,ROUND(SUMIFS('All Donations'!$S$2:$S$4001,'All Donations'!$R$2:$R$4001,AD678,'All Donations'!$T$2:$T$4001,"&gt;="&amp;'Settings'!$C$23,'All Donations'!$T$2:$T$4001,"&lt;="&amp;'Settings'!$D$23),2),0)</f>
        <v/>
      </c>
      <c r="AQ678">
        <f>IF(AE678=1,ROUND(SUMIFS('All Donations'!$S$2:$S$4001,'All Donations'!$R$2:$R$4001,AD678,'All Donations'!$T$2:$T$4001,"&gt;="&amp;'Settings'!$C$25,'All Donations'!$T$2:$T$4001,"&lt;="&amp;'Settings'!$D$25),2),0)</f>
        <v/>
      </c>
      <c r="AR678">
        <f>IF(AE678=1,ROUND(SUMIFS('All Donations'!$S$2:$S$4001,'All Donations'!$R$2:$R$4001,AD678,'All Donations'!$T$2:$T$4001,"&gt;="&amp;'Settings'!$C$26,'All Donations'!$T$2:$T$4001,"&lt;="&amp;'Settings'!$D$26),2),0)</f>
        <v/>
      </c>
      <c r="AS678">
        <f>IF(AE678=1,ROUND(SUMIFS('All Donations'!$S$2:$S$4001,'All Donations'!$R$2:$R$4001,AD678,'All Donations'!$T$2:$T$4001,"&lt;="&amp;'Settings'!$D$27),2),0)</f>
        <v/>
      </c>
      <c r="AT678">
        <f>IF(AE678=1,ROUND(SUMIFS('All Donations'!$S$2:$S$4001,'All Donations'!$R$2:$R$4001,AD678,'All Donations'!$T$2:$T$4001,"&gt;="&amp;'Settings'!$C$28,'All Donations'!$T$2:$T$4001,"&lt;="&amp;'Settings'!$D$28),2),0)</f>
        <v/>
      </c>
      <c r="AU678">
        <f>IF(AE678=1,ROUND(SUMIFS('All Donations'!$S$2:$S$4001,'All Donations'!$R$2:$R$4001,AD678,'All Donations'!$T$2:$T$4001,"&gt;="&amp;'Settings'!$C$29,'All Donations'!$T$2:$T$4001,"&lt;="&amp;'Settings'!$D$29),2),0)</f>
        <v/>
      </c>
      <c r="AV678">
        <f>IF(AE678=1,ROUND(SUMIFS('All Donations'!$S$2:$S$4001,'All Donations'!$R$2:$R$4001,AD678,'All Donations'!$T$2:$T$4001,"&lt;="&amp;'Settings'!$D$30),2),0)</f>
        <v/>
      </c>
      <c r="AZ678">
        <f>IF(AE678=1,ROUND(SUMIFS('All Donations'!$S$2:$S$4001,'All Donations'!$R$2:$R$4001,AD678,'All Donations'!$T$2:$T$4001,"&lt;="&amp;'Settings'!$D$34),2),0)</f>
        <v/>
      </c>
    </row>
    <row r="679">
      <c r="A679">
        <f>IF(AE679=1,TRIM(TRIM('Roster'!B679)&amp;" "&amp;TRIM('Roster'!C679)),"")</f>
        <v/>
      </c>
      <c r="B679">
        <f>IF(AE679=1,IF(AN679="","(no teacher)",AN679&amp;" – "&amp;C679),"")</f>
        <v/>
      </c>
      <c r="C679">
        <f>IF(AE679=1,TRIM('Roster'!D679&amp;""),"")</f>
        <v/>
      </c>
      <c r="D679" s="48">
        <f>IF(AE679=1,ROUND(SUMIFS('All Donations'!$S$2:$S$4001,'All Donations'!$R$2:$R$4001,AD679),2),"")</f>
        <v/>
      </c>
      <c r="E679" s="48">
        <f>IF(AE679=1,ROUND(SUMIFS('All Donations'!$S$2:$S$4001,'All Donations'!$R$2:$R$4001,AD679,'All Donations'!$G$2:$G$4001,"OneCause"),2),"")</f>
        <v/>
      </c>
      <c r="F679" s="48">
        <f>IF(AE679=1,D679-E679,"")</f>
        <v/>
      </c>
      <c r="G679">
        <f>IF(AE679=1,COUNTIFS('All Donations'!$R$2:$R$4001,AD679,'All Donations'!$H$2:$H$4001,"OK"),"")</f>
        <v/>
      </c>
      <c r="H679">
        <f>IF(AE679&lt;&gt;1,"",IF(D679&gt;0,"Yes",""))</f>
        <v/>
      </c>
      <c r="I679" s="49">
        <f>IF(OR($AE679&lt;&gt;1,I$1=""),"",SUMIFS('All Donations'!$S$2:$S$4001,'All Donations'!$R$2:$R$4001,$AD679,'All Donations'!$T$2:$T$4001,I$1))</f>
        <v/>
      </c>
      <c r="J679" s="49">
        <f>IF(OR($AE679&lt;&gt;1,J$1=""),"",SUMIFS('All Donations'!$S$2:$S$4001,'All Donations'!$R$2:$R$4001,$AD679,'All Donations'!$T$2:$T$4001,J$1))</f>
        <v/>
      </c>
      <c r="K679" s="49">
        <f>IF(OR($AE679&lt;&gt;1,K$1=""),"",SUMIFS('All Donations'!$S$2:$S$4001,'All Donations'!$R$2:$R$4001,$AD679,'All Donations'!$T$2:$T$4001,K$1))</f>
        <v/>
      </c>
      <c r="L679" s="49">
        <f>IF(OR($AE679&lt;&gt;1,L$1=""),"",SUMIFS('All Donations'!$S$2:$S$4001,'All Donations'!$R$2:$R$4001,$AD679,'All Donations'!$T$2:$T$4001,L$1))</f>
        <v/>
      </c>
      <c r="M679" s="49">
        <f>IF(OR($AE679&lt;&gt;1,M$1=""),"",SUMIFS('All Donations'!$S$2:$S$4001,'All Donations'!$R$2:$R$4001,$AD679,'All Donations'!$T$2:$T$4001,M$1))</f>
        <v/>
      </c>
      <c r="N679" s="49">
        <f>IF(OR($AE679&lt;&gt;1,N$1=""),"",SUMIFS('All Donations'!$S$2:$S$4001,'All Donations'!$R$2:$R$4001,$AD679,'All Donations'!$T$2:$T$4001,N$1))</f>
        <v/>
      </c>
      <c r="O679" s="49">
        <f>IF(OR($AE679&lt;&gt;1,O$1=""),"",SUMIFS('All Donations'!$S$2:$S$4001,'All Donations'!$R$2:$R$4001,$AD679,'All Donations'!$T$2:$T$4001,O$1))</f>
        <v/>
      </c>
      <c r="P679" s="49">
        <f>IF(OR($AE679&lt;&gt;1,P$1=""),"",SUMIFS('All Donations'!$S$2:$S$4001,'All Donations'!$R$2:$R$4001,$AD679,'All Donations'!$T$2:$T$4001,P$1))</f>
        <v/>
      </c>
      <c r="Q679" s="49">
        <f>IF(OR($AE679&lt;&gt;1,Q$1=""),"",SUMIFS('All Donations'!$S$2:$S$4001,'All Donations'!$R$2:$R$4001,$AD679,'All Donations'!$T$2:$T$4001,Q$1))</f>
        <v/>
      </c>
      <c r="R679" s="49">
        <f>IF(OR($AE679&lt;&gt;1,R$1=""),"",SUMIFS('All Donations'!$S$2:$S$4001,'All Donations'!$R$2:$R$4001,$AD679,'All Donations'!$T$2:$T$4001,R$1))</f>
        <v/>
      </c>
      <c r="S679" s="49">
        <f>IF(OR($AE679&lt;&gt;1,S$1=""),"",SUMIFS('All Donations'!$S$2:$S$4001,'All Donations'!$R$2:$R$4001,$AD679,'All Donations'!$T$2:$T$4001,S$1))</f>
        <v/>
      </c>
      <c r="T679" s="49">
        <f>IF(OR($AE679&lt;&gt;1,T$1=""),"",SUMIFS('All Donations'!$S$2:$S$4001,'All Donations'!$R$2:$R$4001,$AD679,'All Donations'!$T$2:$T$4001,T$1))</f>
        <v/>
      </c>
      <c r="U679" s="49">
        <f>IF(OR($AE679&lt;&gt;1,U$1=""),"",SUMIFS('All Donations'!$S$2:$S$4001,'All Donations'!$R$2:$R$4001,$AD679,'All Donations'!$T$2:$T$4001,U$1))</f>
        <v/>
      </c>
      <c r="V679" s="49">
        <f>IF(OR($AE679&lt;&gt;1,V$1=""),"",SUMIFS('All Donations'!$S$2:$S$4001,'All Donations'!$R$2:$R$4001,$AD679,'All Donations'!$T$2:$T$4001,V$1))</f>
        <v/>
      </c>
      <c r="W679" s="49">
        <f>IF(OR($AE679&lt;&gt;1,W$1=""),"",SUMIFS('All Donations'!$S$2:$S$4001,'All Donations'!$R$2:$R$4001,$AD679,'All Donations'!$T$2:$T$4001,W$1))</f>
        <v/>
      </c>
      <c r="X679" s="49">
        <f>IF(OR($AE679&lt;&gt;1,X$1=""),"",SUMIFS('All Donations'!$S$2:$S$4001,'All Donations'!$R$2:$R$4001,$AD679,'All Donations'!$T$2:$T$4001,X$1))</f>
        <v/>
      </c>
      <c r="Y679" s="49">
        <f>IF(OR($AE679&lt;&gt;1,Y$1=""),"",SUMIFS('All Donations'!$S$2:$S$4001,'All Donations'!$R$2:$R$4001,$AD679,'All Donations'!$T$2:$T$4001,Y$1))</f>
        <v/>
      </c>
      <c r="Z679" s="49">
        <f>IF(OR($AE679&lt;&gt;1,Z$1=""),"",SUMIFS('All Donations'!$S$2:$S$4001,'All Donations'!$R$2:$R$4001,$AD679,'All Donations'!$T$2:$T$4001,Z$1))</f>
        <v/>
      </c>
      <c r="AA679" s="49">
        <f>IF(OR($AE679&lt;&gt;1,AA$1=""),"",SUMIFS('All Donations'!$S$2:$S$4001,'All Donations'!$R$2:$R$4001,$AD679,'All Donations'!$T$2:$T$4001,AA$1))</f>
        <v/>
      </c>
      <c r="AB679" s="49">
        <f>IF(OR($AE679&lt;&gt;1,AB$1=""),"",SUMIFS('All Donations'!$S$2:$S$4001,'All Donations'!$R$2:$R$4001,$AD679,'All Donations'!$T$2:$T$4001,AB$1))</f>
        <v/>
      </c>
      <c r="AC679" s="49">
        <f>IF(OR($AE679&lt;&gt;1,AC$1=""),"",SUMIFS('All Donations'!$S$2:$S$4001,'All Donations'!$R$2:$R$4001,$AD679,'All Donations'!$T$2:$T$4001,AC$1))</f>
        <v/>
      </c>
      <c r="AD679">
        <f>IF(AE679=1,'Roster'!A679,"")</f>
        <v/>
      </c>
      <c r="AE679">
        <f>IF(TRIM('Roster'!B679&amp;'Roster'!C679)&lt;&gt;"",1,0)</f>
        <v/>
      </c>
      <c r="AF679">
        <f>IF(AE679=1,LOWER(A679),"#")</f>
        <v/>
      </c>
      <c r="AG679">
        <f>IF(AE679=1,LOWER(TRIM(TRIM('Roster'!C679)&amp;", "&amp;TRIM('Roster'!B679))),"#")</f>
        <v/>
      </c>
      <c r="AH679">
        <f>IF(AND(AE679=1,TRIM('Roster'!F679)&lt;&gt;""),LOWER(TRIM('Roster'!F679)),"#")</f>
        <v/>
      </c>
      <c r="AI679">
        <f>IF(AE679=1,IF(MATCH(B679,$B$2:$B$701,0)=ROW()-1,1,0),0)</f>
        <v/>
      </c>
      <c r="AJ679">
        <f>AJ678+AI679</f>
        <v/>
      </c>
      <c r="AK679">
        <f>IF(AE679=1,D679+(1000-ROW())/10^7,-1)</f>
        <v/>
      </c>
      <c r="AL679">
        <f>IF(AE679=1,TRIM('Roster'!B679)&amp;" "&amp;LEFT(TRIM('Roster'!C679),1)&amp;".","")</f>
        <v/>
      </c>
      <c r="AM679">
        <f>IF(AE679=1,TRIM('Roster'!C679)&amp;", "&amp;TRIM('Roster'!B679)&amp;" ("&amp;B679&amp;") #"&amp;AD679,"")</f>
        <v/>
      </c>
      <c r="AN679">
        <f>IF(AE679=1,TRIM('Roster'!E679),"")</f>
        <v/>
      </c>
      <c r="AO679">
        <f>IF(AE679=1,ROUND(SUMIFS('All Donations'!$S$2:$S$4001,'All Donations'!$R$2:$R$4001,AD679,'All Donations'!$T$2:$T$4001,"&gt;="&amp;'Settings'!$C$23,'All Donations'!$T$2:$T$4001,"&lt;="&amp;'Settings'!$D$23),2),0)</f>
        <v/>
      </c>
      <c r="AQ679">
        <f>IF(AE679=1,ROUND(SUMIFS('All Donations'!$S$2:$S$4001,'All Donations'!$R$2:$R$4001,AD679,'All Donations'!$T$2:$T$4001,"&gt;="&amp;'Settings'!$C$25,'All Donations'!$T$2:$T$4001,"&lt;="&amp;'Settings'!$D$25),2),0)</f>
        <v/>
      </c>
      <c r="AR679">
        <f>IF(AE679=1,ROUND(SUMIFS('All Donations'!$S$2:$S$4001,'All Donations'!$R$2:$R$4001,AD679,'All Donations'!$T$2:$T$4001,"&gt;="&amp;'Settings'!$C$26,'All Donations'!$T$2:$T$4001,"&lt;="&amp;'Settings'!$D$26),2),0)</f>
        <v/>
      </c>
      <c r="AS679">
        <f>IF(AE679=1,ROUND(SUMIFS('All Donations'!$S$2:$S$4001,'All Donations'!$R$2:$R$4001,AD679,'All Donations'!$T$2:$T$4001,"&lt;="&amp;'Settings'!$D$27),2),0)</f>
        <v/>
      </c>
      <c r="AT679">
        <f>IF(AE679=1,ROUND(SUMIFS('All Donations'!$S$2:$S$4001,'All Donations'!$R$2:$R$4001,AD679,'All Donations'!$T$2:$T$4001,"&gt;="&amp;'Settings'!$C$28,'All Donations'!$T$2:$T$4001,"&lt;="&amp;'Settings'!$D$28),2),0)</f>
        <v/>
      </c>
      <c r="AU679">
        <f>IF(AE679=1,ROUND(SUMIFS('All Donations'!$S$2:$S$4001,'All Donations'!$R$2:$R$4001,AD679,'All Donations'!$T$2:$T$4001,"&gt;="&amp;'Settings'!$C$29,'All Donations'!$T$2:$T$4001,"&lt;="&amp;'Settings'!$D$29),2),0)</f>
        <v/>
      </c>
      <c r="AV679">
        <f>IF(AE679=1,ROUND(SUMIFS('All Donations'!$S$2:$S$4001,'All Donations'!$R$2:$R$4001,AD679,'All Donations'!$T$2:$T$4001,"&lt;="&amp;'Settings'!$D$30),2),0)</f>
        <v/>
      </c>
      <c r="AZ679">
        <f>IF(AE679=1,ROUND(SUMIFS('All Donations'!$S$2:$S$4001,'All Donations'!$R$2:$R$4001,AD679,'All Donations'!$T$2:$T$4001,"&lt;="&amp;'Settings'!$D$34),2),0)</f>
        <v/>
      </c>
    </row>
    <row r="680">
      <c r="A680">
        <f>IF(AE680=1,TRIM(TRIM('Roster'!B680)&amp;" "&amp;TRIM('Roster'!C680)),"")</f>
        <v/>
      </c>
      <c r="B680">
        <f>IF(AE680=1,IF(AN680="","(no teacher)",AN680&amp;" – "&amp;C680),"")</f>
        <v/>
      </c>
      <c r="C680">
        <f>IF(AE680=1,TRIM('Roster'!D680&amp;""),"")</f>
        <v/>
      </c>
      <c r="D680" s="48">
        <f>IF(AE680=1,ROUND(SUMIFS('All Donations'!$S$2:$S$4001,'All Donations'!$R$2:$R$4001,AD680),2),"")</f>
        <v/>
      </c>
      <c r="E680" s="48">
        <f>IF(AE680=1,ROUND(SUMIFS('All Donations'!$S$2:$S$4001,'All Donations'!$R$2:$R$4001,AD680,'All Donations'!$G$2:$G$4001,"OneCause"),2),"")</f>
        <v/>
      </c>
      <c r="F680" s="48">
        <f>IF(AE680=1,D680-E680,"")</f>
        <v/>
      </c>
      <c r="G680">
        <f>IF(AE680=1,COUNTIFS('All Donations'!$R$2:$R$4001,AD680,'All Donations'!$H$2:$H$4001,"OK"),"")</f>
        <v/>
      </c>
      <c r="H680">
        <f>IF(AE680&lt;&gt;1,"",IF(D680&gt;0,"Yes",""))</f>
        <v/>
      </c>
      <c r="I680" s="49">
        <f>IF(OR($AE680&lt;&gt;1,I$1=""),"",SUMIFS('All Donations'!$S$2:$S$4001,'All Donations'!$R$2:$R$4001,$AD680,'All Donations'!$T$2:$T$4001,I$1))</f>
        <v/>
      </c>
      <c r="J680" s="49">
        <f>IF(OR($AE680&lt;&gt;1,J$1=""),"",SUMIFS('All Donations'!$S$2:$S$4001,'All Donations'!$R$2:$R$4001,$AD680,'All Donations'!$T$2:$T$4001,J$1))</f>
        <v/>
      </c>
      <c r="K680" s="49">
        <f>IF(OR($AE680&lt;&gt;1,K$1=""),"",SUMIFS('All Donations'!$S$2:$S$4001,'All Donations'!$R$2:$R$4001,$AD680,'All Donations'!$T$2:$T$4001,K$1))</f>
        <v/>
      </c>
      <c r="L680" s="49">
        <f>IF(OR($AE680&lt;&gt;1,L$1=""),"",SUMIFS('All Donations'!$S$2:$S$4001,'All Donations'!$R$2:$R$4001,$AD680,'All Donations'!$T$2:$T$4001,L$1))</f>
        <v/>
      </c>
      <c r="M680" s="49">
        <f>IF(OR($AE680&lt;&gt;1,M$1=""),"",SUMIFS('All Donations'!$S$2:$S$4001,'All Donations'!$R$2:$R$4001,$AD680,'All Donations'!$T$2:$T$4001,M$1))</f>
        <v/>
      </c>
      <c r="N680" s="49">
        <f>IF(OR($AE680&lt;&gt;1,N$1=""),"",SUMIFS('All Donations'!$S$2:$S$4001,'All Donations'!$R$2:$R$4001,$AD680,'All Donations'!$T$2:$T$4001,N$1))</f>
        <v/>
      </c>
      <c r="O680" s="49">
        <f>IF(OR($AE680&lt;&gt;1,O$1=""),"",SUMIFS('All Donations'!$S$2:$S$4001,'All Donations'!$R$2:$R$4001,$AD680,'All Donations'!$T$2:$T$4001,O$1))</f>
        <v/>
      </c>
      <c r="P680" s="49">
        <f>IF(OR($AE680&lt;&gt;1,P$1=""),"",SUMIFS('All Donations'!$S$2:$S$4001,'All Donations'!$R$2:$R$4001,$AD680,'All Donations'!$T$2:$T$4001,P$1))</f>
        <v/>
      </c>
      <c r="Q680" s="49">
        <f>IF(OR($AE680&lt;&gt;1,Q$1=""),"",SUMIFS('All Donations'!$S$2:$S$4001,'All Donations'!$R$2:$R$4001,$AD680,'All Donations'!$T$2:$T$4001,Q$1))</f>
        <v/>
      </c>
      <c r="R680" s="49">
        <f>IF(OR($AE680&lt;&gt;1,R$1=""),"",SUMIFS('All Donations'!$S$2:$S$4001,'All Donations'!$R$2:$R$4001,$AD680,'All Donations'!$T$2:$T$4001,R$1))</f>
        <v/>
      </c>
      <c r="S680" s="49">
        <f>IF(OR($AE680&lt;&gt;1,S$1=""),"",SUMIFS('All Donations'!$S$2:$S$4001,'All Donations'!$R$2:$R$4001,$AD680,'All Donations'!$T$2:$T$4001,S$1))</f>
        <v/>
      </c>
      <c r="T680" s="49">
        <f>IF(OR($AE680&lt;&gt;1,T$1=""),"",SUMIFS('All Donations'!$S$2:$S$4001,'All Donations'!$R$2:$R$4001,$AD680,'All Donations'!$T$2:$T$4001,T$1))</f>
        <v/>
      </c>
      <c r="U680" s="49">
        <f>IF(OR($AE680&lt;&gt;1,U$1=""),"",SUMIFS('All Donations'!$S$2:$S$4001,'All Donations'!$R$2:$R$4001,$AD680,'All Donations'!$T$2:$T$4001,U$1))</f>
        <v/>
      </c>
      <c r="V680" s="49">
        <f>IF(OR($AE680&lt;&gt;1,V$1=""),"",SUMIFS('All Donations'!$S$2:$S$4001,'All Donations'!$R$2:$R$4001,$AD680,'All Donations'!$T$2:$T$4001,V$1))</f>
        <v/>
      </c>
      <c r="W680" s="49">
        <f>IF(OR($AE680&lt;&gt;1,W$1=""),"",SUMIFS('All Donations'!$S$2:$S$4001,'All Donations'!$R$2:$R$4001,$AD680,'All Donations'!$T$2:$T$4001,W$1))</f>
        <v/>
      </c>
      <c r="X680" s="49">
        <f>IF(OR($AE680&lt;&gt;1,X$1=""),"",SUMIFS('All Donations'!$S$2:$S$4001,'All Donations'!$R$2:$R$4001,$AD680,'All Donations'!$T$2:$T$4001,X$1))</f>
        <v/>
      </c>
      <c r="Y680" s="49">
        <f>IF(OR($AE680&lt;&gt;1,Y$1=""),"",SUMIFS('All Donations'!$S$2:$S$4001,'All Donations'!$R$2:$R$4001,$AD680,'All Donations'!$T$2:$T$4001,Y$1))</f>
        <v/>
      </c>
      <c r="Z680" s="49">
        <f>IF(OR($AE680&lt;&gt;1,Z$1=""),"",SUMIFS('All Donations'!$S$2:$S$4001,'All Donations'!$R$2:$R$4001,$AD680,'All Donations'!$T$2:$T$4001,Z$1))</f>
        <v/>
      </c>
      <c r="AA680" s="49">
        <f>IF(OR($AE680&lt;&gt;1,AA$1=""),"",SUMIFS('All Donations'!$S$2:$S$4001,'All Donations'!$R$2:$R$4001,$AD680,'All Donations'!$T$2:$T$4001,AA$1))</f>
        <v/>
      </c>
      <c r="AB680" s="49">
        <f>IF(OR($AE680&lt;&gt;1,AB$1=""),"",SUMIFS('All Donations'!$S$2:$S$4001,'All Donations'!$R$2:$R$4001,$AD680,'All Donations'!$T$2:$T$4001,AB$1))</f>
        <v/>
      </c>
      <c r="AC680" s="49">
        <f>IF(OR($AE680&lt;&gt;1,AC$1=""),"",SUMIFS('All Donations'!$S$2:$S$4001,'All Donations'!$R$2:$R$4001,$AD680,'All Donations'!$T$2:$T$4001,AC$1))</f>
        <v/>
      </c>
      <c r="AD680">
        <f>IF(AE680=1,'Roster'!A680,"")</f>
        <v/>
      </c>
      <c r="AE680">
        <f>IF(TRIM('Roster'!B680&amp;'Roster'!C680)&lt;&gt;"",1,0)</f>
        <v/>
      </c>
      <c r="AF680">
        <f>IF(AE680=1,LOWER(A680),"#")</f>
        <v/>
      </c>
      <c r="AG680">
        <f>IF(AE680=1,LOWER(TRIM(TRIM('Roster'!C680)&amp;", "&amp;TRIM('Roster'!B680))),"#")</f>
        <v/>
      </c>
      <c r="AH680">
        <f>IF(AND(AE680=1,TRIM('Roster'!F680)&lt;&gt;""),LOWER(TRIM('Roster'!F680)),"#")</f>
        <v/>
      </c>
      <c r="AI680">
        <f>IF(AE680=1,IF(MATCH(B680,$B$2:$B$701,0)=ROW()-1,1,0),0)</f>
        <v/>
      </c>
      <c r="AJ680">
        <f>AJ679+AI680</f>
        <v/>
      </c>
      <c r="AK680">
        <f>IF(AE680=1,D680+(1000-ROW())/10^7,-1)</f>
        <v/>
      </c>
      <c r="AL680">
        <f>IF(AE680=1,TRIM('Roster'!B680)&amp;" "&amp;LEFT(TRIM('Roster'!C680),1)&amp;".","")</f>
        <v/>
      </c>
      <c r="AM680">
        <f>IF(AE680=1,TRIM('Roster'!C680)&amp;", "&amp;TRIM('Roster'!B680)&amp;" ("&amp;B680&amp;") #"&amp;AD680,"")</f>
        <v/>
      </c>
      <c r="AN680">
        <f>IF(AE680=1,TRIM('Roster'!E680),"")</f>
        <v/>
      </c>
      <c r="AO680">
        <f>IF(AE680=1,ROUND(SUMIFS('All Donations'!$S$2:$S$4001,'All Donations'!$R$2:$R$4001,AD680,'All Donations'!$T$2:$T$4001,"&gt;="&amp;'Settings'!$C$23,'All Donations'!$T$2:$T$4001,"&lt;="&amp;'Settings'!$D$23),2),0)</f>
        <v/>
      </c>
      <c r="AQ680">
        <f>IF(AE680=1,ROUND(SUMIFS('All Donations'!$S$2:$S$4001,'All Donations'!$R$2:$R$4001,AD680,'All Donations'!$T$2:$T$4001,"&gt;="&amp;'Settings'!$C$25,'All Donations'!$T$2:$T$4001,"&lt;="&amp;'Settings'!$D$25),2),0)</f>
        <v/>
      </c>
      <c r="AR680">
        <f>IF(AE680=1,ROUND(SUMIFS('All Donations'!$S$2:$S$4001,'All Donations'!$R$2:$R$4001,AD680,'All Donations'!$T$2:$T$4001,"&gt;="&amp;'Settings'!$C$26,'All Donations'!$T$2:$T$4001,"&lt;="&amp;'Settings'!$D$26),2),0)</f>
        <v/>
      </c>
      <c r="AS680">
        <f>IF(AE680=1,ROUND(SUMIFS('All Donations'!$S$2:$S$4001,'All Donations'!$R$2:$R$4001,AD680,'All Donations'!$T$2:$T$4001,"&lt;="&amp;'Settings'!$D$27),2),0)</f>
        <v/>
      </c>
      <c r="AT680">
        <f>IF(AE680=1,ROUND(SUMIFS('All Donations'!$S$2:$S$4001,'All Donations'!$R$2:$R$4001,AD680,'All Donations'!$T$2:$T$4001,"&gt;="&amp;'Settings'!$C$28,'All Donations'!$T$2:$T$4001,"&lt;="&amp;'Settings'!$D$28),2),0)</f>
        <v/>
      </c>
      <c r="AU680">
        <f>IF(AE680=1,ROUND(SUMIFS('All Donations'!$S$2:$S$4001,'All Donations'!$R$2:$R$4001,AD680,'All Donations'!$T$2:$T$4001,"&gt;="&amp;'Settings'!$C$29,'All Donations'!$T$2:$T$4001,"&lt;="&amp;'Settings'!$D$29),2),0)</f>
        <v/>
      </c>
      <c r="AV680">
        <f>IF(AE680=1,ROUND(SUMIFS('All Donations'!$S$2:$S$4001,'All Donations'!$R$2:$R$4001,AD680,'All Donations'!$T$2:$T$4001,"&lt;="&amp;'Settings'!$D$30),2),0)</f>
        <v/>
      </c>
      <c r="AZ680">
        <f>IF(AE680=1,ROUND(SUMIFS('All Donations'!$S$2:$S$4001,'All Donations'!$R$2:$R$4001,AD680,'All Donations'!$T$2:$T$4001,"&lt;="&amp;'Settings'!$D$34),2),0)</f>
        <v/>
      </c>
    </row>
    <row r="681">
      <c r="A681">
        <f>IF(AE681=1,TRIM(TRIM('Roster'!B681)&amp;" "&amp;TRIM('Roster'!C681)),"")</f>
        <v/>
      </c>
      <c r="B681">
        <f>IF(AE681=1,IF(AN681="","(no teacher)",AN681&amp;" – "&amp;C681),"")</f>
        <v/>
      </c>
      <c r="C681">
        <f>IF(AE681=1,TRIM('Roster'!D681&amp;""),"")</f>
        <v/>
      </c>
      <c r="D681" s="48">
        <f>IF(AE681=1,ROUND(SUMIFS('All Donations'!$S$2:$S$4001,'All Donations'!$R$2:$R$4001,AD681),2),"")</f>
        <v/>
      </c>
      <c r="E681" s="48">
        <f>IF(AE681=1,ROUND(SUMIFS('All Donations'!$S$2:$S$4001,'All Donations'!$R$2:$R$4001,AD681,'All Donations'!$G$2:$G$4001,"OneCause"),2),"")</f>
        <v/>
      </c>
      <c r="F681" s="48">
        <f>IF(AE681=1,D681-E681,"")</f>
        <v/>
      </c>
      <c r="G681">
        <f>IF(AE681=1,COUNTIFS('All Donations'!$R$2:$R$4001,AD681,'All Donations'!$H$2:$H$4001,"OK"),"")</f>
        <v/>
      </c>
      <c r="H681">
        <f>IF(AE681&lt;&gt;1,"",IF(D681&gt;0,"Yes",""))</f>
        <v/>
      </c>
      <c r="I681" s="49">
        <f>IF(OR($AE681&lt;&gt;1,I$1=""),"",SUMIFS('All Donations'!$S$2:$S$4001,'All Donations'!$R$2:$R$4001,$AD681,'All Donations'!$T$2:$T$4001,I$1))</f>
        <v/>
      </c>
      <c r="J681" s="49">
        <f>IF(OR($AE681&lt;&gt;1,J$1=""),"",SUMIFS('All Donations'!$S$2:$S$4001,'All Donations'!$R$2:$R$4001,$AD681,'All Donations'!$T$2:$T$4001,J$1))</f>
        <v/>
      </c>
      <c r="K681" s="49">
        <f>IF(OR($AE681&lt;&gt;1,K$1=""),"",SUMIFS('All Donations'!$S$2:$S$4001,'All Donations'!$R$2:$R$4001,$AD681,'All Donations'!$T$2:$T$4001,K$1))</f>
        <v/>
      </c>
      <c r="L681" s="49">
        <f>IF(OR($AE681&lt;&gt;1,L$1=""),"",SUMIFS('All Donations'!$S$2:$S$4001,'All Donations'!$R$2:$R$4001,$AD681,'All Donations'!$T$2:$T$4001,L$1))</f>
        <v/>
      </c>
      <c r="M681" s="49">
        <f>IF(OR($AE681&lt;&gt;1,M$1=""),"",SUMIFS('All Donations'!$S$2:$S$4001,'All Donations'!$R$2:$R$4001,$AD681,'All Donations'!$T$2:$T$4001,M$1))</f>
        <v/>
      </c>
      <c r="N681" s="49">
        <f>IF(OR($AE681&lt;&gt;1,N$1=""),"",SUMIFS('All Donations'!$S$2:$S$4001,'All Donations'!$R$2:$R$4001,$AD681,'All Donations'!$T$2:$T$4001,N$1))</f>
        <v/>
      </c>
      <c r="O681" s="49">
        <f>IF(OR($AE681&lt;&gt;1,O$1=""),"",SUMIFS('All Donations'!$S$2:$S$4001,'All Donations'!$R$2:$R$4001,$AD681,'All Donations'!$T$2:$T$4001,O$1))</f>
        <v/>
      </c>
      <c r="P681" s="49">
        <f>IF(OR($AE681&lt;&gt;1,P$1=""),"",SUMIFS('All Donations'!$S$2:$S$4001,'All Donations'!$R$2:$R$4001,$AD681,'All Donations'!$T$2:$T$4001,P$1))</f>
        <v/>
      </c>
      <c r="Q681" s="49">
        <f>IF(OR($AE681&lt;&gt;1,Q$1=""),"",SUMIFS('All Donations'!$S$2:$S$4001,'All Donations'!$R$2:$R$4001,$AD681,'All Donations'!$T$2:$T$4001,Q$1))</f>
        <v/>
      </c>
      <c r="R681" s="49">
        <f>IF(OR($AE681&lt;&gt;1,R$1=""),"",SUMIFS('All Donations'!$S$2:$S$4001,'All Donations'!$R$2:$R$4001,$AD681,'All Donations'!$T$2:$T$4001,R$1))</f>
        <v/>
      </c>
      <c r="S681" s="49">
        <f>IF(OR($AE681&lt;&gt;1,S$1=""),"",SUMIFS('All Donations'!$S$2:$S$4001,'All Donations'!$R$2:$R$4001,$AD681,'All Donations'!$T$2:$T$4001,S$1))</f>
        <v/>
      </c>
      <c r="T681" s="49">
        <f>IF(OR($AE681&lt;&gt;1,T$1=""),"",SUMIFS('All Donations'!$S$2:$S$4001,'All Donations'!$R$2:$R$4001,$AD681,'All Donations'!$T$2:$T$4001,T$1))</f>
        <v/>
      </c>
      <c r="U681" s="49">
        <f>IF(OR($AE681&lt;&gt;1,U$1=""),"",SUMIFS('All Donations'!$S$2:$S$4001,'All Donations'!$R$2:$R$4001,$AD681,'All Donations'!$T$2:$T$4001,U$1))</f>
        <v/>
      </c>
      <c r="V681" s="49">
        <f>IF(OR($AE681&lt;&gt;1,V$1=""),"",SUMIFS('All Donations'!$S$2:$S$4001,'All Donations'!$R$2:$R$4001,$AD681,'All Donations'!$T$2:$T$4001,V$1))</f>
        <v/>
      </c>
      <c r="W681" s="49">
        <f>IF(OR($AE681&lt;&gt;1,W$1=""),"",SUMIFS('All Donations'!$S$2:$S$4001,'All Donations'!$R$2:$R$4001,$AD681,'All Donations'!$T$2:$T$4001,W$1))</f>
        <v/>
      </c>
      <c r="X681" s="49">
        <f>IF(OR($AE681&lt;&gt;1,X$1=""),"",SUMIFS('All Donations'!$S$2:$S$4001,'All Donations'!$R$2:$R$4001,$AD681,'All Donations'!$T$2:$T$4001,X$1))</f>
        <v/>
      </c>
      <c r="Y681" s="49">
        <f>IF(OR($AE681&lt;&gt;1,Y$1=""),"",SUMIFS('All Donations'!$S$2:$S$4001,'All Donations'!$R$2:$R$4001,$AD681,'All Donations'!$T$2:$T$4001,Y$1))</f>
        <v/>
      </c>
      <c r="Z681" s="49">
        <f>IF(OR($AE681&lt;&gt;1,Z$1=""),"",SUMIFS('All Donations'!$S$2:$S$4001,'All Donations'!$R$2:$R$4001,$AD681,'All Donations'!$T$2:$T$4001,Z$1))</f>
        <v/>
      </c>
      <c r="AA681" s="49">
        <f>IF(OR($AE681&lt;&gt;1,AA$1=""),"",SUMIFS('All Donations'!$S$2:$S$4001,'All Donations'!$R$2:$R$4001,$AD681,'All Donations'!$T$2:$T$4001,AA$1))</f>
        <v/>
      </c>
      <c r="AB681" s="49">
        <f>IF(OR($AE681&lt;&gt;1,AB$1=""),"",SUMIFS('All Donations'!$S$2:$S$4001,'All Donations'!$R$2:$R$4001,$AD681,'All Donations'!$T$2:$T$4001,AB$1))</f>
        <v/>
      </c>
      <c r="AC681" s="49">
        <f>IF(OR($AE681&lt;&gt;1,AC$1=""),"",SUMIFS('All Donations'!$S$2:$S$4001,'All Donations'!$R$2:$R$4001,$AD681,'All Donations'!$T$2:$T$4001,AC$1))</f>
        <v/>
      </c>
      <c r="AD681">
        <f>IF(AE681=1,'Roster'!A681,"")</f>
        <v/>
      </c>
      <c r="AE681">
        <f>IF(TRIM('Roster'!B681&amp;'Roster'!C681)&lt;&gt;"",1,0)</f>
        <v/>
      </c>
      <c r="AF681">
        <f>IF(AE681=1,LOWER(A681),"#")</f>
        <v/>
      </c>
      <c r="AG681">
        <f>IF(AE681=1,LOWER(TRIM(TRIM('Roster'!C681)&amp;", "&amp;TRIM('Roster'!B681))),"#")</f>
        <v/>
      </c>
      <c r="AH681">
        <f>IF(AND(AE681=1,TRIM('Roster'!F681)&lt;&gt;""),LOWER(TRIM('Roster'!F681)),"#")</f>
        <v/>
      </c>
      <c r="AI681">
        <f>IF(AE681=1,IF(MATCH(B681,$B$2:$B$701,0)=ROW()-1,1,0),0)</f>
        <v/>
      </c>
      <c r="AJ681">
        <f>AJ680+AI681</f>
        <v/>
      </c>
      <c r="AK681">
        <f>IF(AE681=1,D681+(1000-ROW())/10^7,-1)</f>
        <v/>
      </c>
      <c r="AL681">
        <f>IF(AE681=1,TRIM('Roster'!B681)&amp;" "&amp;LEFT(TRIM('Roster'!C681),1)&amp;".","")</f>
        <v/>
      </c>
      <c r="AM681">
        <f>IF(AE681=1,TRIM('Roster'!C681)&amp;", "&amp;TRIM('Roster'!B681)&amp;" ("&amp;B681&amp;") #"&amp;AD681,"")</f>
        <v/>
      </c>
      <c r="AN681">
        <f>IF(AE681=1,TRIM('Roster'!E681),"")</f>
        <v/>
      </c>
      <c r="AO681">
        <f>IF(AE681=1,ROUND(SUMIFS('All Donations'!$S$2:$S$4001,'All Donations'!$R$2:$R$4001,AD681,'All Donations'!$T$2:$T$4001,"&gt;="&amp;'Settings'!$C$23,'All Donations'!$T$2:$T$4001,"&lt;="&amp;'Settings'!$D$23),2),0)</f>
        <v/>
      </c>
      <c r="AQ681">
        <f>IF(AE681=1,ROUND(SUMIFS('All Donations'!$S$2:$S$4001,'All Donations'!$R$2:$R$4001,AD681,'All Donations'!$T$2:$T$4001,"&gt;="&amp;'Settings'!$C$25,'All Donations'!$T$2:$T$4001,"&lt;="&amp;'Settings'!$D$25),2),0)</f>
        <v/>
      </c>
      <c r="AR681">
        <f>IF(AE681=1,ROUND(SUMIFS('All Donations'!$S$2:$S$4001,'All Donations'!$R$2:$R$4001,AD681,'All Donations'!$T$2:$T$4001,"&gt;="&amp;'Settings'!$C$26,'All Donations'!$T$2:$T$4001,"&lt;="&amp;'Settings'!$D$26),2),0)</f>
        <v/>
      </c>
      <c r="AS681">
        <f>IF(AE681=1,ROUND(SUMIFS('All Donations'!$S$2:$S$4001,'All Donations'!$R$2:$R$4001,AD681,'All Donations'!$T$2:$T$4001,"&lt;="&amp;'Settings'!$D$27),2),0)</f>
        <v/>
      </c>
      <c r="AT681">
        <f>IF(AE681=1,ROUND(SUMIFS('All Donations'!$S$2:$S$4001,'All Donations'!$R$2:$R$4001,AD681,'All Donations'!$T$2:$T$4001,"&gt;="&amp;'Settings'!$C$28,'All Donations'!$T$2:$T$4001,"&lt;="&amp;'Settings'!$D$28),2),0)</f>
        <v/>
      </c>
      <c r="AU681">
        <f>IF(AE681=1,ROUND(SUMIFS('All Donations'!$S$2:$S$4001,'All Donations'!$R$2:$R$4001,AD681,'All Donations'!$T$2:$T$4001,"&gt;="&amp;'Settings'!$C$29,'All Donations'!$T$2:$T$4001,"&lt;="&amp;'Settings'!$D$29),2),0)</f>
        <v/>
      </c>
      <c r="AV681">
        <f>IF(AE681=1,ROUND(SUMIFS('All Donations'!$S$2:$S$4001,'All Donations'!$R$2:$R$4001,AD681,'All Donations'!$T$2:$T$4001,"&lt;="&amp;'Settings'!$D$30),2),0)</f>
        <v/>
      </c>
      <c r="AZ681">
        <f>IF(AE681=1,ROUND(SUMIFS('All Donations'!$S$2:$S$4001,'All Donations'!$R$2:$R$4001,AD681,'All Donations'!$T$2:$T$4001,"&lt;="&amp;'Settings'!$D$34),2),0)</f>
        <v/>
      </c>
    </row>
    <row r="682">
      <c r="A682">
        <f>IF(AE682=1,TRIM(TRIM('Roster'!B682)&amp;" "&amp;TRIM('Roster'!C682)),"")</f>
        <v/>
      </c>
      <c r="B682">
        <f>IF(AE682=1,IF(AN682="","(no teacher)",AN682&amp;" – "&amp;C682),"")</f>
        <v/>
      </c>
      <c r="C682">
        <f>IF(AE682=1,TRIM('Roster'!D682&amp;""),"")</f>
        <v/>
      </c>
      <c r="D682" s="48">
        <f>IF(AE682=1,ROUND(SUMIFS('All Donations'!$S$2:$S$4001,'All Donations'!$R$2:$R$4001,AD682),2),"")</f>
        <v/>
      </c>
      <c r="E682" s="48">
        <f>IF(AE682=1,ROUND(SUMIFS('All Donations'!$S$2:$S$4001,'All Donations'!$R$2:$R$4001,AD682,'All Donations'!$G$2:$G$4001,"OneCause"),2),"")</f>
        <v/>
      </c>
      <c r="F682" s="48">
        <f>IF(AE682=1,D682-E682,"")</f>
        <v/>
      </c>
      <c r="G682">
        <f>IF(AE682=1,COUNTIFS('All Donations'!$R$2:$R$4001,AD682,'All Donations'!$H$2:$H$4001,"OK"),"")</f>
        <v/>
      </c>
      <c r="H682">
        <f>IF(AE682&lt;&gt;1,"",IF(D682&gt;0,"Yes",""))</f>
        <v/>
      </c>
      <c r="I682" s="49">
        <f>IF(OR($AE682&lt;&gt;1,I$1=""),"",SUMIFS('All Donations'!$S$2:$S$4001,'All Donations'!$R$2:$R$4001,$AD682,'All Donations'!$T$2:$T$4001,I$1))</f>
        <v/>
      </c>
      <c r="J682" s="49">
        <f>IF(OR($AE682&lt;&gt;1,J$1=""),"",SUMIFS('All Donations'!$S$2:$S$4001,'All Donations'!$R$2:$R$4001,$AD682,'All Donations'!$T$2:$T$4001,J$1))</f>
        <v/>
      </c>
      <c r="K682" s="49">
        <f>IF(OR($AE682&lt;&gt;1,K$1=""),"",SUMIFS('All Donations'!$S$2:$S$4001,'All Donations'!$R$2:$R$4001,$AD682,'All Donations'!$T$2:$T$4001,K$1))</f>
        <v/>
      </c>
      <c r="L682" s="49">
        <f>IF(OR($AE682&lt;&gt;1,L$1=""),"",SUMIFS('All Donations'!$S$2:$S$4001,'All Donations'!$R$2:$R$4001,$AD682,'All Donations'!$T$2:$T$4001,L$1))</f>
        <v/>
      </c>
      <c r="M682" s="49">
        <f>IF(OR($AE682&lt;&gt;1,M$1=""),"",SUMIFS('All Donations'!$S$2:$S$4001,'All Donations'!$R$2:$R$4001,$AD682,'All Donations'!$T$2:$T$4001,M$1))</f>
        <v/>
      </c>
      <c r="N682" s="49">
        <f>IF(OR($AE682&lt;&gt;1,N$1=""),"",SUMIFS('All Donations'!$S$2:$S$4001,'All Donations'!$R$2:$R$4001,$AD682,'All Donations'!$T$2:$T$4001,N$1))</f>
        <v/>
      </c>
      <c r="O682" s="49">
        <f>IF(OR($AE682&lt;&gt;1,O$1=""),"",SUMIFS('All Donations'!$S$2:$S$4001,'All Donations'!$R$2:$R$4001,$AD682,'All Donations'!$T$2:$T$4001,O$1))</f>
        <v/>
      </c>
      <c r="P682" s="49">
        <f>IF(OR($AE682&lt;&gt;1,P$1=""),"",SUMIFS('All Donations'!$S$2:$S$4001,'All Donations'!$R$2:$R$4001,$AD682,'All Donations'!$T$2:$T$4001,P$1))</f>
        <v/>
      </c>
      <c r="Q682" s="49">
        <f>IF(OR($AE682&lt;&gt;1,Q$1=""),"",SUMIFS('All Donations'!$S$2:$S$4001,'All Donations'!$R$2:$R$4001,$AD682,'All Donations'!$T$2:$T$4001,Q$1))</f>
        <v/>
      </c>
      <c r="R682" s="49">
        <f>IF(OR($AE682&lt;&gt;1,R$1=""),"",SUMIFS('All Donations'!$S$2:$S$4001,'All Donations'!$R$2:$R$4001,$AD682,'All Donations'!$T$2:$T$4001,R$1))</f>
        <v/>
      </c>
      <c r="S682" s="49">
        <f>IF(OR($AE682&lt;&gt;1,S$1=""),"",SUMIFS('All Donations'!$S$2:$S$4001,'All Donations'!$R$2:$R$4001,$AD682,'All Donations'!$T$2:$T$4001,S$1))</f>
        <v/>
      </c>
      <c r="T682" s="49">
        <f>IF(OR($AE682&lt;&gt;1,T$1=""),"",SUMIFS('All Donations'!$S$2:$S$4001,'All Donations'!$R$2:$R$4001,$AD682,'All Donations'!$T$2:$T$4001,T$1))</f>
        <v/>
      </c>
      <c r="U682" s="49">
        <f>IF(OR($AE682&lt;&gt;1,U$1=""),"",SUMIFS('All Donations'!$S$2:$S$4001,'All Donations'!$R$2:$R$4001,$AD682,'All Donations'!$T$2:$T$4001,U$1))</f>
        <v/>
      </c>
      <c r="V682" s="49">
        <f>IF(OR($AE682&lt;&gt;1,V$1=""),"",SUMIFS('All Donations'!$S$2:$S$4001,'All Donations'!$R$2:$R$4001,$AD682,'All Donations'!$T$2:$T$4001,V$1))</f>
        <v/>
      </c>
      <c r="W682" s="49">
        <f>IF(OR($AE682&lt;&gt;1,W$1=""),"",SUMIFS('All Donations'!$S$2:$S$4001,'All Donations'!$R$2:$R$4001,$AD682,'All Donations'!$T$2:$T$4001,W$1))</f>
        <v/>
      </c>
      <c r="X682" s="49">
        <f>IF(OR($AE682&lt;&gt;1,X$1=""),"",SUMIFS('All Donations'!$S$2:$S$4001,'All Donations'!$R$2:$R$4001,$AD682,'All Donations'!$T$2:$T$4001,X$1))</f>
        <v/>
      </c>
      <c r="Y682" s="49">
        <f>IF(OR($AE682&lt;&gt;1,Y$1=""),"",SUMIFS('All Donations'!$S$2:$S$4001,'All Donations'!$R$2:$R$4001,$AD682,'All Donations'!$T$2:$T$4001,Y$1))</f>
        <v/>
      </c>
      <c r="Z682" s="49">
        <f>IF(OR($AE682&lt;&gt;1,Z$1=""),"",SUMIFS('All Donations'!$S$2:$S$4001,'All Donations'!$R$2:$R$4001,$AD682,'All Donations'!$T$2:$T$4001,Z$1))</f>
        <v/>
      </c>
      <c r="AA682" s="49">
        <f>IF(OR($AE682&lt;&gt;1,AA$1=""),"",SUMIFS('All Donations'!$S$2:$S$4001,'All Donations'!$R$2:$R$4001,$AD682,'All Donations'!$T$2:$T$4001,AA$1))</f>
        <v/>
      </c>
      <c r="AB682" s="49">
        <f>IF(OR($AE682&lt;&gt;1,AB$1=""),"",SUMIFS('All Donations'!$S$2:$S$4001,'All Donations'!$R$2:$R$4001,$AD682,'All Donations'!$T$2:$T$4001,AB$1))</f>
        <v/>
      </c>
      <c r="AC682" s="49">
        <f>IF(OR($AE682&lt;&gt;1,AC$1=""),"",SUMIFS('All Donations'!$S$2:$S$4001,'All Donations'!$R$2:$R$4001,$AD682,'All Donations'!$T$2:$T$4001,AC$1))</f>
        <v/>
      </c>
      <c r="AD682">
        <f>IF(AE682=1,'Roster'!A682,"")</f>
        <v/>
      </c>
      <c r="AE682">
        <f>IF(TRIM('Roster'!B682&amp;'Roster'!C682)&lt;&gt;"",1,0)</f>
        <v/>
      </c>
      <c r="AF682">
        <f>IF(AE682=1,LOWER(A682),"#")</f>
        <v/>
      </c>
      <c r="AG682">
        <f>IF(AE682=1,LOWER(TRIM(TRIM('Roster'!C682)&amp;", "&amp;TRIM('Roster'!B682))),"#")</f>
        <v/>
      </c>
      <c r="AH682">
        <f>IF(AND(AE682=1,TRIM('Roster'!F682)&lt;&gt;""),LOWER(TRIM('Roster'!F682)),"#")</f>
        <v/>
      </c>
      <c r="AI682">
        <f>IF(AE682=1,IF(MATCH(B682,$B$2:$B$701,0)=ROW()-1,1,0),0)</f>
        <v/>
      </c>
      <c r="AJ682">
        <f>AJ681+AI682</f>
        <v/>
      </c>
      <c r="AK682">
        <f>IF(AE682=1,D682+(1000-ROW())/10^7,-1)</f>
        <v/>
      </c>
      <c r="AL682">
        <f>IF(AE682=1,TRIM('Roster'!B682)&amp;" "&amp;LEFT(TRIM('Roster'!C682),1)&amp;".","")</f>
        <v/>
      </c>
      <c r="AM682">
        <f>IF(AE682=1,TRIM('Roster'!C682)&amp;", "&amp;TRIM('Roster'!B682)&amp;" ("&amp;B682&amp;") #"&amp;AD682,"")</f>
        <v/>
      </c>
      <c r="AN682">
        <f>IF(AE682=1,TRIM('Roster'!E682),"")</f>
        <v/>
      </c>
      <c r="AO682">
        <f>IF(AE682=1,ROUND(SUMIFS('All Donations'!$S$2:$S$4001,'All Donations'!$R$2:$R$4001,AD682,'All Donations'!$T$2:$T$4001,"&gt;="&amp;'Settings'!$C$23,'All Donations'!$T$2:$T$4001,"&lt;="&amp;'Settings'!$D$23),2),0)</f>
        <v/>
      </c>
      <c r="AQ682">
        <f>IF(AE682=1,ROUND(SUMIFS('All Donations'!$S$2:$S$4001,'All Donations'!$R$2:$R$4001,AD682,'All Donations'!$T$2:$T$4001,"&gt;="&amp;'Settings'!$C$25,'All Donations'!$T$2:$T$4001,"&lt;="&amp;'Settings'!$D$25),2),0)</f>
        <v/>
      </c>
      <c r="AR682">
        <f>IF(AE682=1,ROUND(SUMIFS('All Donations'!$S$2:$S$4001,'All Donations'!$R$2:$R$4001,AD682,'All Donations'!$T$2:$T$4001,"&gt;="&amp;'Settings'!$C$26,'All Donations'!$T$2:$T$4001,"&lt;="&amp;'Settings'!$D$26),2),0)</f>
        <v/>
      </c>
      <c r="AS682">
        <f>IF(AE682=1,ROUND(SUMIFS('All Donations'!$S$2:$S$4001,'All Donations'!$R$2:$R$4001,AD682,'All Donations'!$T$2:$T$4001,"&lt;="&amp;'Settings'!$D$27),2),0)</f>
        <v/>
      </c>
      <c r="AT682">
        <f>IF(AE682=1,ROUND(SUMIFS('All Donations'!$S$2:$S$4001,'All Donations'!$R$2:$R$4001,AD682,'All Donations'!$T$2:$T$4001,"&gt;="&amp;'Settings'!$C$28,'All Donations'!$T$2:$T$4001,"&lt;="&amp;'Settings'!$D$28),2),0)</f>
        <v/>
      </c>
      <c r="AU682">
        <f>IF(AE682=1,ROUND(SUMIFS('All Donations'!$S$2:$S$4001,'All Donations'!$R$2:$R$4001,AD682,'All Donations'!$T$2:$T$4001,"&gt;="&amp;'Settings'!$C$29,'All Donations'!$T$2:$T$4001,"&lt;="&amp;'Settings'!$D$29),2),0)</f>
        <v/>
      </c>
      <c r="AV682">
        <f>IF(AE682=1,ROUND(SUMIFS('All Donations'!$S$2:$S$4001,'All Donations'!$R$2:$R$4001,AD682,'All Donations'!$T$2:$T$4001,"&lt;="&amp;'Settings'!$D$30),2),0)</f>
        <v/>
      </c>
      <c r="AZ682">
        <f>IF(AE682=1,ROUND(SUMIFS('All Donations'!$S$2:$S$4001,'All Donations'!$R$2:$R$4001,AD682,'All Donations'!$T$2:$T$4001,"&lt;="&amp;'Settings'!$D$34),2),0)</f>
        <v/>
      </c>
    </row>
    <row r="683">
      <c r="A683">
        <f>IF(AE683=1,TRIM(TRIM('Roster'!B683)&amp;" "&amp;TRIM('Roster'!C683)),"")</f>
        <v/>
      </c>
      <c r="B683">
        <f>IF(AE683=1,IF(AN683="","(no teacher)",AN683&amp;" – "&amp;C683),"")</f>
        <v/>
      </c>
      <c r="C683">
        <f>IF(AE683=1,TRIM('Roster'!D683&amp;""),"")</f>
        <v/>
      </c>
      <c r="D683" s="48">
        <f>IF(AE683=1,ROUND(SUMIFS('All Donations'!$S$2:$S$4001,'All Donations'!$R$2:$R$4001,AD683),2),"")</f>
        <v/>
      </c>
      <c r="E683" s="48">
        <f>IF(AE683=1,ROUND(SUMIFS('All Donations'!$S$2:$S$4001,'All Donations'!$R$2:$R$4001,AD683,'All Donations'!$G$2:$G$4001,"OneCause"),2),"")</f>
        <v/>
      </c>
      <c r="F683" s="48">
        <f>IF(AE683=1,D683-E683,"")</f>
        <v/>
      </c>
      <c r="G683">
        <f>IF(AE683=1,COUNTIFS('All Donations'!$R$2:$R$4001,AD683,'All Donations'!$H$2:$H$4001,"OK"),"")</f>
        <v/>
      </c>
      <c r="H683">
        <f>IF(AE683&lt;&gt;1,"",IF(D683&gt;0,"Yes",""))</f>
        <v/>
      </c>
      <c r="I683" s="49">
        <f>IF(OR($AE683&lt;&gt;1,I$1=""),"",SUMIFS('All Donations'!$S$2:$S$4001,'All Donations'!$R$2:$R$4001,$AD683,'All Donations'!$T$2:$T$4001,I$1))</f>
        <v/>
      </c>
      <c r="J683" s="49">
        <f>IF(OR($AE683&lt;&gt;1,J$1=""),"",SUMIFS('All Donations'!$S$2:$S$4001,'All Donations'!$R$2:$R$4001,$AD683,'All Donations'!$T$2:$T$4001,J$1))</f>
        <v/>
      </c>
      <c r="K683" s="49">
        <f>IF(OR($AE683&lt;&gt;1,K$1=""),"",SUMIFS('All Donations'!$S$2:$S$4001,'All Donations'!$R$2:$R$4001,$AD683,'All Donations'!$T$2:$T$4001,K$1))</f>
        <v/>
      </c>
      <c r="L683" s="49">
        <f>IF(OR($AE683&lt;&gt;1,L$1=""),"",SUMIFS('All Donations'!$S$2:$S$4001,'All Donations'!$R$2:$R$4001,$AD683,'All Donations'!$T$2:$T$4001,L$1))</f>
        <v/>
      </c>
      <c r="M683" s="49">
        <f>IF(OR($AE683&lt;&gt;1,M$1=""),"",SUMIFS('All Donations'!$S$2:$S$4001,'All Donations'!$R$2:$R$4001,$AD683,'All Donations'!$T$2:$T$4001,M$1))</f>
        <v/>
      </c>
      <c r="N683" s="49">
        <f>IF(OR($AE683&lt;&gt;1,N$1=""),"",SUMIFS('All Donations'!$S$2:$S$4001,'All Donations'!$R$2:$R$4001,$AD683,'All Donations'!$T$2:$T$4001,N$1))</f>
        <v/>
      </c>
      <c r="O683" s="49">
        <f>IF(OR($AE683&lt;&gt;1,O$1=""),"",SUMIFS('All Donations'!$S$2:$S$4001,'All Donations'!$R$2:$R$4001,$AD683,'All Donations'!$T$2:$T$4001,O$1))</f>
        <v/>
      </c>
      <c r="P683" s="49">
        <f>IF(OR($AE683&lt;&gt;1,P$1=""),"",SUMIFS('All Donations'!$S$2:$S$4001,'All Donations'!$R$2:$R$4001,$AD683,'All Donations'!$T$2:$T$4001,P$1))</f>
        <v/>
      </c>
      <c r="Q683" s="49">
        <f>IF(OR($AE683&lt;&gt;1,Q$1=""),"",SUMIFS('All Donations'!$S$2:$S$4001,'All Donations'!$R$2:$R$4001,$AD683,'All Donations'!$T$2:$T$4001,Q$1))</f>
        <v/>
      </c>
      <c r="R683" s="49">
        <f>IF(OR($AE683&lt;&gt;1,R$1=""),"",SUMIFS('All Donations'!$S$2:$S$4001,'All Donations'!$R$2:$R$4001,$AD683,'All Donations'!$T$2:$T$4001,R$1))</f>
        <v/>
      </c>
      <c r="S683" s="49">
        <f>IF(OR($AE683&lt;&gt;1,S$1=""),"",SUMIFS('All Donations'!$S$2:$S$4001,'All Donations'!$R$2:$R$4001,$AD683,'All Donations'!$T$2:$T$4001,S$1))</f>
        <v/>
      </c>
      <c r="T683" s="49">
        <f>IF(OR($AE683&lt;&gt;1,T$1=""),"",SUMIFS('All Donations'!$S$2:$S$4001,'All Donations'!$R$2:$R$4001,$AD683,'All Donations'!$T$2:$T$4001,T$1))</f>
        <v/>
      </c>
      <c r="U683" s="49">
        <f>IF(OR($AE683&lt;&gt;1,U$1=""),"",SUMIFS('All Donations'!$S$2:$S$4001,'All Donations'!$R$2:$R$4001,$AD683,'All Donations'!$T$2:$T$4001,U$1))</f>
        <v/>
      </c>
      <c r="V683" s="49">
        <f>IF(OR($AE683&lt;&gt;1,V$1=""),"",SUMIFS('All Donations'!$S$2:$S$4001,'All Donations'!$R$2:$R$4001,$AD683,'All Donations'!$T$2:$T$4001,V$1))</f>
        <v/>
      </c>
      <c r="W683" s="49">
        <f>IF(OR($AE683&lt;&gt;1,W$1=""),"",SUMIFS('All Donations'!$S$2:$S$4001,'All Donations'!$R$2:$R$4001,$AD683,'All Donations'!$T$2:$T$4001,W$1))</f>
        <v/>
      </c>
      <c r="X683" s="49">
        <f>IF(OR($AE683&lt;&gt;1,X$1=""),"",SUMIFS('All Donations'!$S$2:$S$4001,'All Donations'!$R$2:$R$4001,$AD683,'All Donations'!$T$2:$T$4001,X$1))</f>
        <v/>
      </c>
      <c r="Y683" s="49">
        <f>IF(OR($AE683&lt;&gt;1,Y$1=""),"",SUMIFS('All Donations'!$S$2:$S$4001,'All Donations'!$R$2:$R$4001,$AD683,'All Donations'!$T$2:$T$4001,Y$1))</f>
        <v/>
      </c>
      <c r="Z683" s="49">
        <f>IF(OR($AE683&lt;&gt;1,Z$1=""),"",SUMIFS('All Donations'!$S$2:$S$4001,'All Donations'!$R$2:$R$4001,$AD683,'All Donations'!$T$2:$T$4001,Z$1))</f>
        <v/>
      </c>
      <c r="AA683" s="49">
        <f>IF(OR($AE683&lt;&gt;1,AA$1=""),"",SUMIFS('All Donations'!$S$2:$S$4001,'All Donations'!$R$2:$R$4001,$AD683,'All Donations'!$T$2:$T$4001,AA$1))</f>
        <v/>
      </c>
      <c r="AB683" s="49">
        <f>IF(OR($AE683&lt;&gt;1,AB$1=""),"",SUMIFS('All Donations'!$S$2:$S$4001,'All Donations'!$R$2:$R$4001,$AD683,'All Donations'!$T$2:$T$4001,AB$1))</f>
        <v/>
      </c>
      <c r="AC683" s="49">
        <f>IF(OR($AE683&lt;&gt;1,AC$1=""),"",SUMIFS('All Donations'!$S$2:$S$4001,'All Donations'!$R$2:$R$4001,$AD683,'All Donations'!$T$2:$T$4001,AC$1))</f>
        <v/>
      </c>
      <c r="AD683">
        <f>IF(AE683=1,'Roster'!A683,"")</f>
        <v/>
      </c>
      <c r="AE683">
        <f>IF(TRIM('Roster'!B683&amp;'Roster'!C683)&lt;&gt;"",1,0)</f>
        <v/>
      </c>
      <c r="AF683">
        <f>IF(AE683=1,LOWER(A683),"#")</f>
        <v/>
      </c>
      <c r="AG683">
        <f>IF(AE683=1,LOWER(TRIM(TRIM('Roster'!C683)&amp;", "&amp;TRIM('Roster'!B683))),"#")</f>
        <v/>
      </c>
      <c r="AH683">
        <f>IF(AND(AE683=1,TRIM('Roster'!F683)&lt;&gt;""),LOWER(TRIM('Roster'!F683)),"#")</f>
        <v/>
      </c>
      <c r="AI683">
        <f>IF(AE683=1,IF(MATCH(B683,$B$2:$B$701,0)=ROW()-1,1,0),0)</f>
        <v/>
      </c>
      <c r="AJ683">
        <f>AJ682+AI683</f>
        <v/>
      </c>
      <c r="AK683">
        <f>IF(AE683=1,D683+(1000-ROW())/10^7,-1)</f>
        <v/>
      </c>
      <c r="AL683">
        <f>IF(AE683=1,TRIM('Roster'!B683)&amp;" "&amp;LEFT(TRIM('Roster'!C683),1)&amp;".","")</f>
        <v/>
      </c>
      <c r="AM683">
        <f>IF(AE683=1,TRIM('Roster'!C683)&amp;", "&amp;TRIM('Roster'!B683)&amp;" ("&amp;B683&amp;") #"&amp;AD683,"")</f>
        <v/>
      </c>
      <c r="AN683">
        <f>IF(AE683=1,TRIM('Roster'!E683),"")</f>
        <v/>
      </c>
      <c r="AO683">
        <f>IF(AE683=1,ROUND(SUMIFS('All Donations'!$S$2:$S$4001,'All Donations'!$R$2:$R$4001,AD683,'All Donations'!$T$2:$T$4001,"&gt;="&amp;'Settings'!$C$23,'All Donations'!$T$2:$T$4001,"&lt;="&amp;'Settings'!$D$23),2),0)</f>
        <v/>
      </c>
      <c r="AQ683">
        <f>IF(AE683=1,ROUND(SUMIFS('All Donations'!$S$2:$S$4001,'All Donations'!$R$2:$R$4001,AD683,'All Donations'!$T$2:$T$4001,"&gt;="&amp;'Settings'!$C$25,'All Donations'!$T$2:$T$4001,"&lt;="&amp;'Settings'!$D$25),2),0)</f>
        <v/>
      </c>
      <c r="AR683">
        <f>IF(AE683=1,ROUND(SUMIFS('All Donations'!$S$2:$S$4001,'All Donations'!$R$2:$R$4001,AD683,'All Donations'!$T$2:$T$4001,"&gt;="&amp;'Settings'!$C$26,'All Donations'!$T$2:$T$4001,"&lt;="&amp;'Settings'!$D$26),2),0)</f>
        <v/>
      </c>
      <c r="AS683">
        <f>IF(AE683=1,ROUND(SUMIFS('All Donations'!$S$2:$S$4001,'All Donations'!$R$2:$R$4001,AD683,'All Donations'!$T$2:$T$4001,"&lt;="&amp;'Settings'!$D$27),2),0)</f>
        <v/>
      </c>
      <c r="AT683">
        <f>IF(AE683=1,ROUND(SUMIFS('All Donations'!$S$2:$S$4001,'All Donations'!$R$2:$R$4001,AD683,'All Donations'!$T$2:$T$4001,"&gt;="&amp;'Settings'!$C$28,'All Donations'!$T$2:$T$4001,"&lt;="&amp;'Settings'!$D$28),2),0)</f>
        <v/>
      </c>
      <c r="AU683">
        <f>IF(AE683=1,ROUND(SUMIFS('All Donations'!$S$2:$S$4001,'All Donations'!$R$2:$R$4001,AD683,'All Donations'!$T$2:$T$4001,"&gt;="&amp;'Settings'!$C$29,'All Donations'!$T$2:$T$4001,"&lt;="&amp;'Settings'!$D$29),2),0)</f>
        <v/>
      </c>
      <c r="AV683">
        <f>IF(AE683=1,ROUND(SUMIFS('All Donations'!$S$2:$S$4001,'All Donations'!$R$2:$R$4001,AD683,'All Donations'!$T$2:$T$4001,"&lt;="&amp;'Settings'!$D$30),2),0)</f>
        <v/>
      </c>
      <c r="AZ683">
        <f>IF(AE683=1,ROUND(SUMIFS('All Donations'!$S$2:$S$4001,'All Donations'!$R$2:$R$4001,AD683,'All Donations'!$T$2:$T$4001,"&lt;="&amp;'Settings'!$D$34),2),0)</f>
        <v/>
      </c>
    </row>
    <row r="684">
      <c r="A684">
        <f>IF(AE684=1,TRIM(TRIM('Roster'!B684)&amp;" "&amp;TRIM('Roster'!C684)),"")</f>
        <v/>
      </c>
      <c r="B684">
        <f>IF(AE684=1,IF(AN684="","(no teacher)",AN684&amp;" – "&amp;C684),"")</f>
        <v/>
      </c>
      <c r="C684">
        <f>IF(AE684=1,TRIM('Roster'!D684&amp;""),"")</f>
        <v/>
      </c>
      <c r="D684" s="48">
        <f>IF(AE684=1,ROUND(SUMIFS('All Donations'!$S$2:$S$4001,'All Donations'!$R$2:$R$4001,AD684),2),"")</f>
        <v/>
      </c>
      <c r="E684" s="48">
        <f>IF(AE684=1,ROUND(SUMIFS('All Donations'!$S$2:$S$4001,'All Donations'!$R$2:$R$4001,AD684,'All Donations'!$G$2:$G$4001,"OneCause"),2),"")</f>
        <v/>
      </c>
      <c r="F684" s="48">
        <f>IF(AE684=1,D684-E684,"")</f>
        <v/>
      </c>
      <c r="G684">
        <f>IF(AE684=1,COUNTIFS('All Donations'!$R$2:$R$4001,AD684,'All Donations'!$H$2:$H$4001,"OK"),"")</f>
        <v/>
      </c>
      <c r="H684">
        <f>IF(AE684&lt;&gt;1,"",IF(D684&gt;0,"Yes",""))</f>
        <v/>
      </c>
      <c r="I684" s="49">
        <f>IF(OR($AE684&lt;&gt;1,I$1=""),"",SUMIFS('All Donations'!$S$2:$S$4001,'All Donations'!$R$2:$R$4001,$AD684,'All Donations'!$T$2:$T$4001,I$1))</f>
        <v/>
      </c>
      <c r="J684" s="49">
        <f>IF(OR($AE684&lt;&gt;1,J$1=""),"",SUMIFS('All Donations'!$S$2:$S$4001,'All Donations'!$R$2:$R$4001,$AD684,'All Donations'!$T$2:$T$4001,J$1))</f>
        <v/>
      </c>
      <c r="K684" s="49">
        <f>IF(OR($AE684&lt;&gt;1,K$1=""),"",SUMIFS('All Donations'!$S$2:$S$4001,'All Donations'!$R$2:$R$4001,$AD684,'All Donations'!$T$2:$T$4001,K$1))</f>
        <v/>
      </c>
      <c r="L684" s="49">
        <f>IF(OR($AE684&lt;&gt;1,L$1=""),"",SUMIFS('All Donations'!$S$2:$S$4001,'All Donations'!$R$2:$R$4001,$AD684,'All Donations'!$T$2:$T$4001,L$1))</f>
        <v/>
      </c>
      <c r="M684" s="49">
        <f>IF(OR($AE684&lt;&gt;1,M$1=""),"",SUMIFS('All Donations'!$S$2:$S$4001,'All Donations'!$R$2:$R$4001,$AD684,'All Donations'!$T$2:$T$4001,M$1))</f>
        <v/>
      </c>
      <c r="N684" s="49">
        <f>IF(OR($AE684&lt;&gt;1,N$1=""),"",SUMIFS('All Donations'!$S$2:$S$4001,'All Donations'!$R$2:$R$4001,$AD684,'All Donations'!$T$2:$T$4001,N$1))</f>
        <v/>
      </c>
      <c r="O684" s="49">
        <f>IF(OR($AE684&lt;&gt;1,O$1=""),"",SUMIFS('All Donations'!$S$2:$S$4001,'All Donations'!$R$2:$R$4001,$AD684,'All Donations'!$T$2:$T$4001,O$1))</f>
        <v/>
      </c>
      <c r="P684" s="49">
        <f>IF(OR($AE684&lt;&gt;1,P$1=""),"",SUMIFS('All Donations'!$S$2:$S$4001,'All Donations'!$R$2:$R$4001,$AD684,'All Donations'!$T$2:$T$4001,P$1))</f>
        <v/>
      </c>
      <c r="Q684" s="49">
        <f>IF(OR($AE684&lt;&gt;1,Q$1=""),"",SUMIFS('All Donations'!$S$2:$S$4001,'All Donations'!$R$2:$R$4001,$AD684,'All Donations'!$T$2:$T$4001,Q$1))</f>
        <v/>
      </c>
      <c r="R684" s="49">
        <f>IF(OR($AE684&lt;&gt;1,R$1=""),"",SUMIFS('All Donations'!$S$2:$S$4001,'All Donations'!$R$2:$R$4001,$AD684,'All Donations'!$T$2:$T$4001,R$1))</f>
        <v/>
      </c>
      <c r="S684" s="49">
        <f>IF(OR($AE684&lt;&gt;1,S$1=""),"",SUMIFS('All Donations'!$S$2:$S$4001,'All Donations'!$R$2:$R$4001,$AD684,'All Donations'!$T$2:$T$4001,S$1))</f>
        <v/>
      </c>
      <c r="T684" s="49">
        <f>IF(OR($AE684&lt;&gt;1,T$1=""),"",SUMIFS('All Donations'!$S$2:$S$4001,'All Donations'!$R$2:$R$4001,$AD684,'All Donations'!$T$2:$T$4001,T$1))</f>
        <v/>
      </c>
      <c r="U684" s="49">
        <f>IF(OR($AE684&lt;&gt;1,U$1=""),"",SUMIFS('All Donations'!$S$2:$S$4001,'All Donations'!$R$2:$R$4001,$AD684,'All Donations'!$T$2:$T$4001,U$1))</f>
        <v/>
      </c>
      <c r="V684" s="49">
        <f>IF(OR($AE684&lt;&gt;1,V$1=""),"",SUMIFS('All Donations'!$S$2:$S$4001,'All Donations'!$R$2:$R$4001,$AD684,'All Donations'!$T$2:$T$4001,V$1))</f>
        <v/>
      </c>
      <c r="W684" s="49">
        <f>IF(OR($AE684&lt;&gt;1,W$1=""),"",SUMIFS('All Donations'!$S$2:$S$4001,'All Donations'!$R$2:$R$4001,$AD684,'All Donations'!$T$2:$T$4001,W$1))</f>
        <v/>
      </c>
      <c r="X684" s="49">
        <f>IF(OR($AE684&lt;&gt;1,X$1=""),"",SUMIFS('All Donations'!$S$2:$S$4001,'All Donations'!$R$2:$R$4001,$AD684,'All Donations'!$T$2:$T$4001,X$1))</f>
        <v/>
      </c>
      <c r="Y684" s="49">
        <f>IF(OR($AE684&lt;&gt;1,Y$1=""),"",SUMIFS('All Donations'!$S$2:$S$4001,'All Donations'!$R$2:$R$4001,$AD684,'All Donations'!$T$2:$T$4001,Y$1))</f>
        <v/>
      </c>
      <c r="Z684" s="49">
        <f>IF(OR($AE684&lt;&gt;1,Z$1=""),"",SUMIFS('All Donations'!$S$2:$S$4001,'All Donations'!$R$2:$R$4001,$AD684,'All Donations'!$T$2:$T$4001,Z$1))</f>
        <v/>
      </c>
      <c r="AA684" s="49">
        <f>IF(OR($AE684&lt;&gt;1,AA$1=""),"",SUMIFS('All Donations'!$S$2:$S$4001,'All Donations'!$R$2:$R$4001,$AD684,'All Donations'!$T$2:$T$4001,AA$1))</f>
        <v/>
      </c>
      <c r="AB684" s="49">
        <f>IF(OR($AE684&lt;&gt;1,AB$1=""),"",SUMIFS('All Donations'!$S$2:$S$4001,'All Donations'!$R$2:$R$4001,$AD684,'All Donations'!$T$2:$T$4001,AB$1))</f>
        <v/>
      </c>
      <c r="AC684" s="49">
        <f>IF(OR($AE684&lt;&gt;1,AC$1=""),"",SUMIFS('All Donations'!$S$2:$S$4001,'All Donations'!$R$2:$R$4001,$AD684,'All Donations'!$T$2:$T$4001,AC$1))</f>
        <v/>
      </c>
      <c r="AD684">
        <f>IF(AE684=1,'Roster'!A684,"")</f>
        <v/>
      </c>
      <c r="AE684">
        <f>IF(TRIM('Roster'!B684&amp;'Roster'!C684)&lt;&gt;"",1,0)</f>
        <v/>
      </c>
      <c r="AF684">
        <f>IF(AE684=1,LOWER(A684),"#")</f>
        <v/>
      </c>
      <c r="AG684">
        <f>IF(AE684=1,LOWER(TRIM(TRIM('Roster'!C684)&amp;", "&amp;TRIM('Roster'!B684))),"#")</f>
        <v/>
      </c>
      <c r="AH684">
        <f>IF(AND(AE684=1,TRIM('Roster'!F684)&lt;&gt;""),LOWER(TRIM('Roster'!F684)),"#")</f>
        <v/>
      </c>
      <c r="AI684">
        <f>IF(AE684=1,IF(MATCH(B684,$B$2:$B$701,0)=ROW()-1,1,0),0)</f>
        <v/>
      </c>
      <c r="AJ684">
        <f>AJ683+AI684</f>
        <v/>
      </c>
      <c r="AK684">
        <f>IF(AE684=1,D684+(1000-ROW())/10^7,-1)</f>
        <v/>
      </c>
      <c r="AL684">
        <f>IF(AE684=1,TRIM('Roster'!B684)&amp;" "&amp;LEFT(TRIM('Roster'!C684),1)&amp;".","")</f>
        <v/>
      </c>
      <c r="AM684">
        <f>IF(AE684=1,TRIM('Roster'!C684)&amp;", "&amp;TRIM('Roster'!B684)&amp;" ("&amp;B684&amp;") #"&amp;AD684,"")</f>
        <v/>
      </c>
      <c r="AN684">
        <f>IF(AE684=1,TRIM('Roster'!E684),"")</f>
        <v/>
      </c>
      <c r="AO684">
        <f>IF(AE684=1,ROUND(SUMIFS('All Donations'!$S$2:$S$4001,'All Donations'!$R$2:$R$4001,AD684,'All Donations'!$T$2:$T$4001,"&gt;="&amp;'Settings'!$C$23,'All Donations'!$T$2:$T$4001,"&lt;="&amp;'Settings'!$D$23),2),0)</f>
        <v/>
      </c>
      <c r="AQ684">
        <f>IF(AE684=1,ROUND(SUMIFS('All Donations'!$S$2:$S$4001,'All Donations'!$R$2:$R$4001,AD684,'All Donations'!$T$2:$T$4001,"&gt;="&amp;'Settings'!$C$25,'All Donations'!$T$2:$T$4001,"&lt;="&amp;'Settings'!$D$25),2),0)</f>
        <v/>
      </c>
      <c r="AR684">
        <f>IF(AE684=1,ROUND(SUMIFS('All Donations'!$S$2:$S$4001,'All Donations'!$R$2:$R$4001,AD684,'All Donations'!$T$2:$T$4001,"&gt;="&amp;'Settings'!$C$26,'All Donations'!$T$2:$T$4001,"&lt;="&amp;'Settings'!$D$26),2),0)</f>
        <v/>
      </c>
      <c r="AS684">
        <f>IF(AE684=1,ROUND(SUMIFS('All Donations'!$S$2:$S$4001,'All Donations'!$R$2:$R$4001,AD684,'All Donations'!$T$2:$T$4001,"&lt;="&amp;'Settings'!$D$27),2),0)</f>
        <v/>
      </c>
      <c r="AT684">
        <f>IF(AE684=1,ROUND(SUMIFS('All Donations'!$S$2:$S$4001,'All Donations'!$R$2:$R$4001,AD684,'All Donations'!$T$2:$T$4001,"&gt;="&amp;'Settings'!$C$28,'All Donations'!$T$2:$T$4001,"&lt;="&amp;'Settings'!$D$28),2),0)</f>
        <v/>
      </c>
      <c r="AU684">
        <f>IF(AE684=1,ROUND(SUMIFS('All Donations'!$S$2:$S$4001,'All Donations'!$R$2:$R$4001,AD684,'All Donations'!$T$2:$T$4001,"&gt;="&amp;'Settings'!$C$29,'All Donations'!$T$2:$T$4001,"&lt;="&amp;'Settings'!$D$29),2),0)</f>
        <v/>
      </c>
      <c r="AV684">
        <f>IF(AE684=1,ROUND(SUMIFS('All Donations'!$S$2:$S$4001,'All Donations'!$R$2:$R$4001,AD684,'All Donations'!$T$2:$T$4001,"&lt;="&amp;'Settings'!$D$30),2),0)</f>
        <v/>
      </c>
      <c r="AZ684">
        <f>IF(AE684=1,ROUND(SUMIFS('All Donations'!$S$2:$S$4001,'All Donations'!$R$2:$R$4001,AD684,'All Donations'!$T$2:$T$4001,"&lt;="&amp;'Settings'!$D$34),2),0)</f>
        <v/>
      </c>
    </row>
    <row r="685">
      <c r="A685">
        <f>IF(AE685=1,TRIM(TRIM('Roster'!B685)&amp;" "&amp;TRIM('Roster'!C685)),"")</f>
        <v/>
      </c>
      <c r="B685">
        <f>IF(AE685=1,IF(AN685="","(no teacher)",AN685&amp;" – "&amp;C685),"")</f>
        <v/>
      </c>
      <c r="C685">
        <f>IF(AE685=1,TRIM('Roster'!D685&amp;""),"")</f>
        <v/>
      </c>
      <c r="D685" s="48">
        <f>IF(AE685=1,ROUND(SUMIFS('All Donations'!$S$2:$S$4001,'All Donations'!$R$2:$R$4001,AD685),2),"")</f>
        <v/>
      </c>
      <c r="E685" s="48">
        <f>IF(AE685=1,ROUND(SUMIFS('All Donations'!$S$2:$S$4001,'All Donations'!$R$2:$R$4001,AD685,'All Donations'!$G$2:$G$4001,"OneCause"),2),"")</f>
        <v/>
      </c>
      <c r="F685" s="48">
        <f>IF(AE685=1,D685-E685,"")</f>
        <v/>
      </c>
      <c r="G685">
        <f>IF(AE685=1,COUNTIFS('All Donations'!$R$2:$R$4001,AD685,'All Donations'!$H$2:$H$4001,"OK"),"")</f>
        <v/>
      </c>
      <c r="H685">
        <f>IF(AE685&lt;&gt;1,"",IF(D685&gt;0,"Yes",""))</f>
        <v/>
      </c>
      <c r="I685" s="49">
        <f>IF(OR($AE685&lt;&gt;1,I$1=""),"",SUMIFS('All Donations'!$S$2:$S$4001,'All Donations'!$R$2:$R$4001,$AD685,'All Donations'!$T$2:$T$4001,I$1))</f>
        <v/>
      </c>
      <c r="J685" s="49">
        <f>IF(OR($AE685&lt;&gt;1,J$1=""),"",SUMIFS('All Donations'!$S$2:$S$4001,'All Donations'!$R$2:$R$4001,$AD685,'All Donations'!$T$2:$T$4001,J$1))</f>
        <v/>
      </c>
      <c r="K685" s="49">
        <f>IF(OR($AE685&lt;&gt;1,K$1=""),"",SUMIFS('All Donations'!$S$2:$S$4001,'All Donations'!$R$2:$R$4001,$AD685,'All Donations'!$T$2:$T$4001,K$1))</f>
        <v/>
      </c>
      <c r="L685" s="49">
        <f>IF(OR($AE685&lt;&gt;1,L$1=""),"",SUMIFS('All Donations'!$S$2:$S$4001,'All Donations'!$R$2:$R$4001,$AD685,'All Donations'!$T$2:$T$4001,L$1))</f>
        <v/>
      </c>
      <c r="M685" s="49">
        <f>IF(OR($AE685&lt;&gt;1,M$1=""),"",SUMIFS('All Donations'!$S$2:$S$4001,'All Donations'!$R$2:$R$4001,$AD685,'All Donations'!$T$2:$T$4001,M$1))</f>
        <v/>
      </c>
      <c r="N685" s="49">
        <f>IF(OR($AE685&lt;&gt;1,N$1=""),"",SUMIFS('All Donations'!$S$2:$S$4001,'All Donations'!$R$2:$R$4001,$AD685,'All Donations'!$T$2:$T$4001,N$1))</f>
        <v/>
      </c>
      <c r="O685" s="49">
        <f>IF(OR($AE685&lt;&gt;1,O$1=""),"",SUMIFS('All Donations'!$S$2:$S$4001,'All Donations'!$R$2:$R$4001,$AD685,'All Donations'!$T$2:$T$4001,O$1))</f>
        <v/>
      </c>
      <c r="P685" s="49">
        <f>IF(OR($AE685&lt;&gt;1,P$1=""),"",SUMIFS('All Donations'!$S$2:$S$4001,'All Donations'!$R$2:$R$4001,$AD685,'All Donations'!$T$2:$T$4001,P$1))</f>
        <v/>
      </c>
      <c r="Q685" s="49">
        <f>IF(OR($AE685&lt;&gt;1,Q$1=""),"",SUMIFS('All Donations'!$S$2:$S$4001,'All Donations'!$R$2:$R$4001,$AD685,'All Donations'!$T$2:$T$4001,Q$1))</f>
        <v/>
      </c>
      <c r="R685" s="49">
        <f>IF(OR($AE685&lt;&gt;1,R$1=""),"",SUMIFS('All Donations'!$S$2:$S$4001,'All Donations'!$R$2:$R$4001,$AD685,'All Donations'!$T$2:$T$4001,R$1))</f>
        <v/>
      </c>
      <c r="S685" s="49">
        <f>IF(OR($AE685&lt;&gt;1,S$1=""),"",SUMIFS('All Donations'!$S$2:$S$4001,'All Donations'!$R$2:$R$4001,$AD685,'All Donations'!$T$2:$T$4001,S$1))</f>
        <v/>
      </c>
      <c r="T685" s="49">
        <f>IF(OR($AE685&lt;&gt;1,T$1=""),"",SUMIFS('All Donations'!$S$2:$S$4001,'All Donations'!$R$2:$R$4001,$AD685,'All Donations'!$T$2:$T$4001,T$1))</f>
        <v/>
      </c>
      <c r="U685" s="49">
        <f>IF(OR($AE685&lt;&gt;1,U$1=""),"",SUMIFS('All Donations'!$S$2:$S$4001,'All Donations'!$R$2:$R$4001,$AD685,'All Donations'!$T$2:$T$4001,U$1))</f>
        <v/>
      </c>
      <c r="V685" s="49">
        <f>IF(OR($AE685&lt;&gt;1,V$1=""),"",SUMIFS('All Donations'!$S$2:$S$4001,'All Donations'!$R$2:$R$4001,$AD685,'All Donations'!$T$2:$T$4001,V$1))</f>
        <v/>
      </c>
      <c r="W685" s="49">
        <f>IF(OR($AE685&lt;&gt;1,W$1=""),"",SUMIFS('All Donations'!$S$2:$S$4001,'All Donations'!$R$2:$R$4001,$AD685,'All Donations'!$T$2:$T$4001,W$1))</f>
        <v/>
      </c>
      <c r="X685" s="49">
        <f>IF(OR($AE685&lt;&gt;1,X$1=""),"",SUMIFS('All Donations'!$S$2:$S$4001,'All Donations'!$R$2:$R$4001,$AD685,'All Donations'!$T$2:$T$4001,X$1))</f>
        <v/>
      </c>
      <c r="Y685" s="49">
        <f>IF(OR($AE685&lt;&gt;1,Y$1=""),"",SUMIFS('All Donations'!$S$2:$S$4001,'All Donations'!$R$2:$R$4001,$AD685,'All Donations'!$T$2:$T$4001,Y$1))</f>
        <v/>
      </c>
      <c r="Z685" s="49">
        <f>IF(OR($AE685&lt;&gt;1,Z$1=""),"",SUMIFS('All Donations'!$S$2:$S$4001,'All Donations'!$R$2:$R$4001,$AD685,'All Donations'!$T$2:$T$4001,Z$1))</f>
        <v/>
      </c>
      <c r="AA685" s="49">
        <f>IF(OR($AE685&lt;&gt;1,AA$1=""),"",SUMIFS('All Donations'!$S$2:$S$4001,'All Donations'!$R$2:$R$4001,$AD685,'All Donations'!$T$2:$T$4001,AA$1))</f>
        <v/>
      </c>
      <c r="AB685" s="49">
        <f>IF(OR($AE685&lt;&gt;1,AB$1=""),"",SUMIFS('All Donations'!$S$2:$S$4001,'All Donations'!$R$2:$R$4001,$AD685,'All Donations'!$T$2:$T$4001,AB$1))</f>
        <v/>
      </c>
      <c r="AC685" s="49">
        <f>IF(OR($AE685&lt;&gt;1,AC$1=""),"",SUMIFS('All Donations'!$S$2:$S$4001,'All Donations'!$R$2:$R$4001,$AD685,'All Donations'!$T$2:$T$4001,AC$1))</f>
        <v/>
      </c>
      <c r="AD685">
        <f>IF(AE685=1,'Roster'!A685,"")</f>
        <v/>
      </c>
      <c r="AE685">
        <f>IF(TRIM('Roster'!B685&amp;'Roster'!C685)&lt;&gt;"",1,0)</f>
        <v/>
      </c>
      <c r="AF685">
        <f>IF(AE685=1,LOWER(A685),"#")</f>
        <v/>
      </c>
      <c r="AG685">
        <f>IF(AE685=1,LOWER(TRIM(TRIM('Roster'!C685)&amp;", "&amp;TRIM('Roster'!B685))),"#")</f>
        <v/>
      </c>
      <c r="AH685">
        <f>IF(AND(AE685=1,TRIM('Roster'!F685)&lt;&gt;""),LOWER(TRIM('Roster'!F685)),"#")</f>
        <v/>
      </c>
      <c r="AI685">
        <f>IF(AE685=1,IF(MATCH(B685,$B$2:$B$701,0)=ROW()-1,1,0),0)</f>
        <v/>
      </c>
      <c r="AJ685">
        <f>AJ684+AI685</f>
        <v/>
      </c>
      <c r="AK685">
        <f>IF(AE685=1,D685+(1000-ROW())/10^7,-1)</f>
        <v/>
      </c>
      <c r="AL685">
        <f>IF(AE685=1,TRIM('Roster'!B685)&amp;" "&amp;LEFT(TRIM('Roster'!C685),1)&amp;".","")</f>
        <v/>
      </c>
      <c r="AM685">
        <f>IF(AE685=1,TRIM('Roster'!C685)&amp;", "&amp;TRIM('Roster'!B685)&amp;" ("&amp;B685&amp;") #"&amp;AD685,"")</f>
        <v/>
      </c>
      <c r="AN685">
        <f>IF(AE685=1,TRIM('Roster'!E685),"")</f>
        <v/>
      </c>
      <c r="AO685">
        <f>IF(AE685=1,ROUND(SUMIFS('All Donations'!$S$2:$S$4001,'All Donations'!$R$2:$R$4001,AD685,'All Donations'!$T$2:$T$4001,"&gt;="&amp;'Settings'!$C$23,'All Donations'!$T$2:$T$4001,"&lt;="&amp;'Settings'!$D$23),2),0)</f>
        <v/>
      </c>
      <c r="AQ685">
        <f>IF(AE685=1,ROUND(SUMIFS('All Donations'!$S$2:$S$4001,'All Donations'!$R$2:$R$4001,AD685,'All Donations'!$T$2:$T$4001,"&gt;="&amp;'Settings'!$C$25,'All Donations'!$T$2:$T$4001,"&lt;="&amp;'Settings'!$D$25),2),0)</f>
        <v/>
      </c>
      <c r="AR685">
        <f>IF(AE685=1,ROUND(SUMIFS('All Donations'!$S$2:$S$4001,'All Donations'!$R$2:$R$4001,AD685,'All Donations'!$T$2:$T$4001,"&gt;="&amp;'Settings'!$C$26,'All Donations'!$T$2:$T$4001,"&lt;="&amp;'Settings'!$D$26),2),0)</f>
        <v/>
      </c>
      <c r="AS685">
        <f>IF(AE685=1,ROUND(SUMIFS('All Donations'!$S$2:$S$4001,'All Donations'!$R$2:$R$4001,AD685,'All Donations'!$T$2:$T$4001,"&lt;="&amp;'Settings'!$D$27),2),0)</f>
        <v/>
      </c>
      <c r="AT685">
        <f>IF(AE685=1,ROUND(SUMIFS('All Donations'!$S$2:$S$4001,'All Donations'!$R$2:$R$4001,AD685,'All Donations'!$T$2:$T$4001,"&gt;="&amp;'Settings'!$C$28,'All Donations'!$T$2:$T$4001,"&lt;="&amp;'Settings'!$D$28),2),0)</f>
        <v/>
      </c>
      <c r="AU685">
        <f>IF(AE685=1,ROUND(SUMIFS('All Donations'!$S$2:$S$4001,'All Donations'!$R$2:$R$4001,AD685,'All Donations'!$T$2:$T$4001,"&gt;="&amp;'Settings'!$C$29,'All Donations'!$T$2:$T$4001,"&lt;="&amp;'Settings'!$D$29),2),0)</f>
        <v/>
      </c>
      <c r="AV685">
        <f>IF(AE685=1,ROUND(SUMIFS('All Donations'!$S$2:$S$4001,'All Donations'!$R$2:$R$4001,AD685,'All Donations'!$T$2:$T$4001,"&lt;="&amp;'Settings'!$D$30),2),0)</f>
        <v/>
      </c>
      <c r="AZ685">
        <f>IF(AE685=1,ROUND(SUMIFS('All Donations'!$S$2:$S$4001,'All Donations'!$R$2:$R$4001,AD685,'All Donations'!$T$2:$T$4001,"&lt;="&amp;'Settings'!$D$34),2),0)</f>
        <v/>
      </c>
    </row>
    <row r="686">
      <c r="A686">
        <f>IF(AE686=1,TRIM(TRIM('Roster'!B686)&amp;" "&amp;TRIM('Roster'!C686)),"")</f>
        <v/>
      </c>
      <c r="B686">
        <f>IF(AE686=1,IF(AN686="","(no teacher)",AN686&amp;" – "&amp;C686),"")</f>
        <v/>
      </c>
      <c r="C686">
        <f>IF(AE686=1,TRIM('Roster'!D686&amp;""),"")</f>
        <v/>
      </c>
      <c r="D686" s="48">
        <f>IF(AE686=1,ROUND(SUMIFS('All Donations'!$S$2:$S$4001,'All Donations'!$R$2:$R$4001,AD686),2),"")</f>
        <v/>
      </c>
      <c r="E686" s="48">
        <f>IF(AE686=1,ROUND(SUMIFS('All Donations'!$S$2:$S$4001,'All Donations'!$R$2:$R$4001,AD686,'All Donations'!$G$2:$G$4001,"OneCause"),2),"")</f>
        <v/>
      </c>
      <c r="F686" s="48">
        <f>IF(AE686=1,D686-E686,"")</f>
        <v/>
      </c>
      <c r="G686">
        <f>IF(AE686=1,COUNTIFS('All Donations'!$R$2:$R$4001,AD686,'All Donations'!$H$2:$H$4001,"OK"),"")</f>
        <v/>
      </c>
      <c r="H686">
        <f>IF(AE686&lt;&gt;1,"",IF(D686&gt;0,"Yes",""))</f>
        <v/>
      </c>
      <c r="I686" s="49">
        <f>IF(OR($AE686&lt;&gt;1,I$1=""),"",SUMIFS('All Donations'!$S$2:$S$4001,'All Donations'!$R$2:$R$4001,$AD686,'All Donations'!$T$2:$T$4001,I$1))</f>
        <v/>
      </c>
      <c r="J686" s="49">
        <f>IF(OR($AE686&lt;&gt;1,J$1=""),"",SUMIFS('All Donations'!$S$2:$S$4001,'All Donations'!$R$2:$R$4001,$AD686,'All Donations'!$T$2:$T$4001,J$1))</f>
        <v/>
      </c>
      <c r="K686" s="49">
        <f>IF(OR($AE686&lt;&gt;1,K$1=""),"",SUMIFS('All Donations'!$S$2:$S$4001,'All Donations'!$R$2:$R$4001,$AD686,'All Donations'!$T$2:$T$4001,K$1))</f>
        <v/>
      </c>
      <c r="L686" s="49">
        <f>IF(OR($AE686&lt;&gt;1,L$1=""),"",SUMIFS('All Donations'!$S$2:$S$4001,'All Donations'!$R$2:$R$4001,$AD686,'All Donations'!$T$2:$T$4001,L$1))</f>
        <v/>
      </c>
      <c r="M686" s="49">
        <f>IF(OR($AE686&lt;&gt;1,M$1=""),"",SUMIFS('All Donations'!$S$2:$S$4001,'All Donations'!$R$2:$R$4001,$AD686,'All Donations'!$T$2:$T$4001,M$1))</f>
        <v/>
      </c>
      <c r="N686" s="49">
        <f>IF(OR($AE686&lt;&gt;1,N$1=""),"",SUMIFS('All Donations'!$S$2:$S$4001,'All Donations'!$R$2:$R$4001,$AD686,'All Donations'!$T$2:$T$4001,N$1))</f>
        <v/>
      </c>
      <c r="O686" s="49">
        <f>IF(OR($AE686&lt;&gt;1,O$1=""),"",SUMIFS('All Donations'!$S$2:$S$4001,'All Donations'!$R$2:$R$4001,$AD686,'All Donations'!$T$2:$T$4001,O$1))</f>
        <v/>
      </c>
      <c r="P686" s="49">
        <f>IF(OR($AE686&lt;&gt;1,P$1=""),"",SUMIFS('All Donations'!$S$2:$S$4001,'All Donations'!$R$2:$R$4001,$AD686,'All Donations'!$T$2:$T$4001,P$1))</f>
        <v/>
      </c>
      <c r="Q686" s="49">
        <f>IF(OR($AE686&lt;&gt;1,Q$1=""),"",SUMIFS('All Donations'!$S$2:$S$4001,'All Donations'!$R$2:$R$4001,$AD686,'All Donations'!$T$2:$T$4001,Q$1))</f>
        <v/>
      </c>
      <c r="R686" s="49">
        <f>IF(OR($AE686&lt;&gt;1,R$1=""),"",SUMIFS('All Donations'!$S$2:$S$4001,'All Donations'!$R$2:$R$4001,$AD686,'All Donations'!$T$2:$T$4001,R$1))</f>
        <v/>
      </c>
      <c r="S686" s="49">
        <f>IF(OR($AE686&lt;&gt;1,S$1=""),"",SUMIFS('All Donations'!$S$2:$S$4001,'All Donations'!$R$2:$R$4001,$AD686,'All Donations'!$T$2:$T$4001,S$1))</f>
        <v/>
      </c>
      <c r="T686" s="49">
        <f>IF(OR($AE686&lt;&gt;1,T$1=""),"",SUMIFS('All Donations'!$S$2:$S$4001,'All Donations'!$R$2:$R$4001,$AD686,'All Donations'!$T$2:$T$4001,T$1))</f>
        <v/>
      </c>
      <c r="U686" s="49">
        <f>IF(OR($AE686&lt;&gt;1,U$1=""),"",SUMIFS('All Donations'!$S$2:$S$4001,'All Donations'!$R$2:$R$4001,$AD686,'All Donations'!$T$2:$T$4001,U$1))</f>
        <v/>
      </c>
      <c r="V686" s="49">
        <f>IF(OR($AE686&lt;&gt;1,V$1=""),"",SUMIFS('All Donations'!$S$2:$S$4001,'All Donations'!$R$2:$R$4001,$AD686,'All Donations'!$T$2:$T$4001,V$1))</f>
        <v/>
      </c>
      <c r="W686" s="49">
        <f>IF(OR($AE686&lt;&gt;1,W$1=""),"",SUMIFS('All Donations'!$S$2:$S$4001,'All Donations'!$R$2:$R$4001,$AD686,'All Donations'!$T$2:$T$4001,W$1))</f>
        <v/>
      </c>
      <c r="X686" s="49">
        <f>IF(OR($AE686&lt;&gt;1,X$1=""),"",SUMIFS('All Donations'!$S$2:$S$4001,'All Donations'!$R$2:$R$4001,$AD686,'All Donations'!$T$2:$T$4001,X$1))</f>
        <v/>
      </c>
      <c r="Y686" s="49">
        <f>IF(OR($AE686&lt;&gt;1,Y$1=""),"",SUMIFS('All Donations'!$S$2:$S$4001,'All Donations'!$R$2:$R$4001,$AD686,'All Donations'!$T$2:$T$4001,Y$1))</f>
        <v/>
      </c>
      <c r="Z686" s="49">
        <f>IF(OR($AE686&lt;&gt;1,Z$1=""),"",SUMIFS('All Donations'!$S$2:$S$4001,'All Donations'!$R$2:$R$4001,$AD686,'All Donations'!$T$2:$T$4001,Z$1))</f>
        <v/>
      </c>
      <c r="AA686" s="49">
        <f>IF(OR($AE686&lt;&gt;1,AA$1=""),"",SUMIFS('All Donations'!$S$2:$S$4001,'All Donations'!$R$2:$R$4001,$AD686,'All Donations'!$T$2:$T$4001,AA$1))</f>
        <v/>
      </c>
      <c r="AB686" s="49">
        <f>IF(OR($AE686&lt;&gt;1,AB$1=""),"",SUMIFS('All Donations'!$S$2:$S$4001,'All Donations'!$R$2:$R$4001,$AD686,'All Donations'!$T$2:$T$4001,AB$1))</f>
        <v/>
      </c>
      <c r="AC686" s="49">
        <f>IF(OR($AE686&lt;&gt;1,AC$1=""),"",SUMIFS('All Donations'!$S$2:$S$4001,'All Donations'!$R$2:$R$4001,$AD686,'All Donations'!$T$2:$T$4001,AC$1))</f>
        <v/>
      </c>
      <c r="AD686">
        <f>IF(AE686=1,'Roster'!A686,"")</f>
        <v/>
      </c>
      <c r="AE686">
        <f>IF(TRIM('Roster'!B686&amp;'Roster'!C686)&lt;&gt;"",1,0)</f>
        <v/>
      </c>
      <c r="AF686">
        <f>IF(AE686=1,LOWER(A686),"#")</f>
        <v/>
      </c>
      <c r="AG686">
        <f>IF(AE686=1,LOWER(TRIM(TRIM('Roster'!C686)&amp;", "&amp;TRIM('Roster'!B686))),"#")</f>
        <v/>
      </c>
      <c r="AH686">
        <f>IF(AND(AE686=1,TRIM('Roster'!F686)&lt;&gt;""),LOWER(TRIM('Roster'!F686)),"#")</f>
        <v/>
      </c>
      <c r="AI686">
        <f>IF(AE686=1,IF(MATCH(B686,$B$2:$B$701,0)=ROW()-1,1,0),0)</f>
        <v/>
      </c>
      <c r="AJ686">
        <f>AJ685+AI686</f>
        <v/>
      </c>
      <c r="AK686">
        <f>IF(AE686=1,D686+(1000-ROW())/10^7,-1)</f>
        <v/>
      </c>
      <c r="AL686">
        <f>IF(AE686=1,TRIM('Roster'!B686)&amp;" "&amp;LEFT(TRIM('Roster'!C686),1)&amp;".","")</f>
        <v/>
      </c>
      <c r="AM686">
        <f>IF(AE686=1,TRIM('Roster'!C686)&amp;", "&amp;TRIM('Roster'!B686)&amp;" ("&amp;B686&amp;") #"&amp;AD686,"")</f>
        <v/>
      </c>
      <c r="AN686">
        <f>IF(AE686=1,TRIM('Roster'!E686),"")</f>
        <v/>
      </c>
      <c r="AO686">
        <f>IF(AE686=1,ROUND(SUMIFS('All Donations'!$S$2:$S$4001,'All Donations'!$R$2:$R$4001,AD686,'All Donations'!$T$2:$T$4001,"&gt;="&amp;'Settings'!$C$23,'All Donations'!$T$2:$T$4001,"&lt;="&amp;'Settings'!$D$23),2),0)</f>
        <v/>
      </c>
      <c r="AQ686">
        <f>IF(AE686=1,ROUND(SUMIFS('All Donations'!$S$2:$S$4001,'All Donations'!$R$2:$R$4001,AD686,'All Donations'!$T$2:$T$4001,"&gt;="&amp;'Settings'!$C$25,'All Donations'!$T$2:$T$4001,"&lt;="&amp;'Settings'!$D$25),2),0)</f>
        <v/>
      </c>
      <c r="AR686">
        <f>IF(AE686=1,ROUND(SUMIFS('All Donations'!$S$2:$S$4001,'All Donations'!$R$2:$R$4001,AD686,'All Donations'!$T$2:$T$4001,"&gt;="&amp;'Settings'!$C$26,'All Donations'!$T$2:$T$4001,"&lt;="&amp;'Settings'!$D$26),2),0)</f>
        <v/>
      </c>
      <c r="AS686">
        <f>IF(AE686=1,ROUND(SUMIFS('All Donations'!$S$2:$S$4001,'All Donations'!$R$2:$R$4001,AD686,'All Donations'!$T$2:$T$4001,"&lt;="&amp;'Settings'!$D$27),2),0)</f>
        <v/>
      </c>
      <c r="AT686">
        <f>IF(AE686=1,ROUND(SUMIFS('All Donations'!$S$2:$S$4001,'All Donations'!$R$2:$R$4001,AD686,'All Donations'!$T$2:$T$4001,"&gt;="&amp;'Settings'!$C$28,'All Donations'!$T$2:$T$4001,"&lt;="&amp;'Settings'!$D$28),2),0)</f>
        <v/>
      </c>
      <c r="AU686">
        <f>IF(AE686=1,ROUND(SUMIFS('All Donations'!$S$2:$S$4001,'All Donations'!$R$2:$R$4001,AD686,'All Donations'!$T$2:$T$4001,"&gt;="&amp;'Settings'!$C$29,'All Donations'!$T$2:$T$4001,"&lt;="&amp;'Settings'!$D$29),2),0)</f>
        <v/>
      </c>
      <c r="AV686">
        <f>IF(AE686=1,ROUND(SUMIFS('All Donations'!$S$2:$S$4001,'All Donations'!$R$2:$R$4001,AD686,'All Donations'!$T$2:$T$4001,"&lt;="&amp;'Settings'!$D$30),2),0)</f>
        <v/>
      </c>
      <c r="AZ686">
        <f>IF(AE686=1,ROUND(SUMIFS('All Donations'!$S$2:$S$4001,'All Donations'!$R$2:$R$4001,AD686,'All Donations'!$T$2:$T$4001,"&lt;="&amp;'Settings'!$D$34),2),0)</f>
        <v/>
      </c>
    </row>
    <row r="687">
      <c r="A687">
        <f>IF(AE687=1,TRIM(TRIM('Roster'!B687)&amp;" "&amp;TRIM('Roster'!C687)),"")</f>
        <v/>
      </c>
      <c r="B687">
        <f>IF(AE687=1,IF(AN687="","(no teacher)",AN687&amp;" – "&amp;C687),"")</f>
        <v/>
      </c>
      <c r="C687">
        <f>IF(AE687=1,TRIM('Roster'!D687&amp;""),"")</f>
        <v/>
      </c>
      <c r="D687" s="48">
        <f>IF(AE687=1,ROUND(SUMIFS('All Donations'!$S$2:$S$4001,'All Donations'!$R$2:$R$4001,AD687),2),"")</f>
        <v/>
      </c>
      <c r="E687" s="48">
        <f>IF(AE687=1,ROUND(SUMIFS('All Donations'!$S$2:$S$4001,'All Donations'!$R$2:$R$4001,AD687,'All Donations'!$G$2:$G$4001,"OneCause"),2),"")</f>
        <v/>
      </c>
      <c r="F687" s="48">
        <f>IF(AE687=1,D687-E687,"")</f>
        <v/>
      </c>
      <c r="G687">
        <f>IF(AE687=1,COUNTIFS('All Donations'!$R$2:$R$4001,AD687,'All Donations'!$H$2:$H$4001,"OK"),"")</f>
        <v/>
      </c>
      <c r="H687">
        <f>IF(AE687&lt;&gt;1,"",IF(D687&gt;0,"Yes",""))</f>
        <v/>
      </c>
      <c r="I687" s="49">
        <f>IF(OR($AE687&lt;&gt;1,I$1=""),"",SUMIFS('All Donations'!$S$2:$S$4001,'All Donations'!$R$2:$R$4001,$AD687,'All Donations'!$T$2:$T$4001,I$1))</f>
        <v/>
      </c>
      <c r="J687" s="49">
        <f>IF(OR($AE687&lt;&gt;1,J$1=""),"",SUMIFS('All Donations'!$S$2:$S$4001,'All Donations'!$R$2:$R$4001,$AD687,'All Donations'!$T$2:$T$4001,J$1))</f>
        <v/>
      </c>
      <c r="K687" s="49">
        <f>IF(OR($AE687&lt;&gt;1,K$1=""),"",SUMIFS('All Donations'!$S$2:$S$4001,'All Donations'!$R$2:$R$4001,$AD687,'All Donations'!$T$2:$T$4001,K$1))</f>
        <v/>
      </c>
      <c r="L687" s="49">
        <f>IF(OR($AE687&lt;&gt;1,L$1=""),"",SUMIFS('All Donations'!$S$2:$S$4001,'All Donations'!$R$2:$R$4001,$AD687,'All Donations'!$T$2:$T$4001,L$1))</f>
        <v/>
      </c>
      <c r="M687" s="49">
        <f>IF(OR($AE687&lt;&gt;1,M$1=""),"",SUMIFS('All Donations'!$S$2:$S$4001,'All Donations'!$R$2:$R$4001,$AD687,'All Donations'!$T$2:$T$4001,M$1))</f>
        <v/>
      </c>
      <c r="N687" s="49">
        <f>IF(OR($AE687&lt;&gt;1,N$1=""),"",SUMIFS('All Donations'!$S$2:$S$4001,'All Donations'!$R$2:$R$4001,$AD687,'All Donations'!$T$2:$T$4001,N$1))</f>
        <v/>
      </c>
      <c r="O687" s="49">
        <f>IF(OR($AE687&lt;&gt;1,O$1=""),"",SUMIFS('All Donations'!$S$2:$S$4001,'All Donations'!$R$2:$R$4001,$AD687,'All Donations'!$T$2:$T$4001,O$1))</f>
        <v/>
      </c>
      <c r="P687" s="49">
        <f>IF(OR($AE687&lt;&gt;1,P$1=""),"",SUMIFS('All Donations'!$S$2:$S$4001,'All Donations'!$R$2:$R$4001,$AD687,'All Donations'!$T$2:$T$4001,P$1))</f>
        <v/>
      </c>
      <c r="Q687" s="49">
        <f>IF(OR($AE687&lt;&gt;1,Q$1=""),"",SUMIFS('All Donations'!$S$2:$S$4001,'All Donations'!$R$2:$R$4001,$AD687,'All Donations'!$T$2:$T$4001,Q$1))</f>
        <v/>
      </c>
      <c r="R687" s="49">
        <f>IF(OR($AE687&lt;&gt;1,R$1=""),"",SUMIFS('All Donations'!$S$2:$S$4001,'All Donations'!$R$2:$R$4001,$AD687,'All Donations'!$T$2:$T$4001,R$1))</f>
        <v/>
      </c>
      <c r="S687" s="49">
        <f>IF(OR($AE687&lt;&gt;1,S$1=""),"",SUMIFS('All Donations'!$S$2:$S$4001,'All Donations'!$R$2:$R$4001,$AD687,'All Donations'!$T$2:$T$4001,S$1))</f>
        <v/>
      </c>
      <c r="T687" s="49">
        <f>IF(OR($AE687&lt;&gt;1,T$1=""),"",SUMIFS('All Donations'!$S$2:$S$4001,'All Donations'!$R$2:$R$4001,$AD687,'All Donations'!$T$2:$T$4001,T$1))</f>
        <v/>
      </c>
      <c r="U687" s="49">
        <f>IF(OR($AE687&lt;&gt;1,U$1=""),"",SUMIFS('All Donations'!$S$2:$S$4001,'All Donations'!$R$2:$R$4001,$AD687,'All Donations'!$T$2:$T$4001,U$1))</f>
        <v/>
      </c>
      <c r="V687" s="49">
        <f>IF(OR($AE687&lt;&gt;1,V$1=""),"",SUMIFS('All Donations'!$S$2:$S$4001,'All Donations'!$R$2:$R$4001,$AD687,'All Donations'!$T$2:$T$4001,V$1))</f>
        <v/>
      </c>
      <c r="W687" s="49">
        <f>IF(OR($AE687&lt;&gt;1,W$1=""),"",SUMIFS('All Donations'!$S$2:$S$4001,'All Donations'!$R$2:$R$4001,$AD687,'All Donations'!$T$2:$T$4001,W$1))</f>
        <v/>
      </c>
      <c r="X687" s="49">
        <f>IF(OR($AE687&lt;&gt;1,X$1=""),"",SUMIFS('All Donations'!$S$2:$S$4001,'All Donations'!$R$2:$R$4001,$AD687,'All Donations'!$T$2:$T$4001,X$1))</f>
        <v/>
      </c>
      <c r="Y687" s="49">
        <f>IF(OR($AE687&lt;&gt;1,Y$1=""),"",SUMIFS('All Donations'!$S$2:$S$4001,'All Donations'!$R$2:$R$4001,$AD687,'All Donations'!$T$2:$T$4001,Y$1))</f>
        <v/>
      </c>
      <c r="Z687" s="49">
        <f>IF(OR($AE687&lt;&gt;1,Z$1=""),"",SUMIFS('All Donations'!$S$2:$S$4001,'All Donations'!$R$2:$R$4001,$AD687,'All Donations'!$T$2:$T$4001,Z$1))</f>
        <v/>
      </c>
      <c r="AA687" s="49">
        <f>IF(OR($AE687&lt;&gt;1,AA$1=""),"",SUMIFS('All Donations'!$S$2:$S$4001,'All Donations'!$R$2:$R$4001,$AD687,'All Donations'!$T$2:$T$4001,AA$1))</f>
        <v/>
      </c>
      <c r="AB687" s="49">
        <f>IF(OR($AE687&lt;&gt;1,AB$1=""),"",SUMIFS('All Donations'!$S$2:$S$4001,'All Donations'!$R$2:$R$4001,$AD687,'All Donations'!$T$2:$T$4001,AB$1))</f>
        <v/>
      </c>
      <c r="AC687" s="49">
        <f>IF(OR($AE687&lt;&gt;1,AC$1=""),"",SUMIFS('All Donations'!$S$2:$S$4001,'All Donations'!$R$2:$R$4001,$AD687,'All Donations'!$T$2:$T$4001,AC$1))</f>
        <v/>
      </c>
      <c r="AD687">
        <f>IF(AE687=1,'Roster'!A687,"")</f>
        <v/>
      </c>
      <c r="AE687">
        <f>IF(TRIM('Roster'!B687&amp;'Roster'!C687)&lt;&gt;"",1,0)</f>
        <v/>
      </c>
      <c r="AF687">
        <f>IF(AE687=1,LOWER(A687),"#")</f>
        <v/>
      </c>
      <c r="AG687">
        <f>IF(AE687=1,LOWER(TRIM(TRIM('Roster'!C687)&amp;", "&amp;TRIM('Roster'!B687))),"#")</f>
        <v/>
      </c>
      <c r="AH687">
        <f>IF(AND(AE687=1,TRIM('Roster'!F687)&lt;&gt;""),LOWER(TRIM('Roster'!F687)),"#")</f>
        <v/>
      </c>
      <c r="AI687">
        <f>IF(AE687=1,IF(MATCH(B687,$B$2:$B$701,0)=ROW()-1,1,0),0)</f>
        <v/>
      </c>
      <c r="AJ687">
        <f>AJ686+AI687</f>
        <v/>
      </c>
      <c r="AK687">
        <f>IF(AE687=1,D687+(1000-ROW())/10^7,-1)</f>
        <v/>
      </c>
      <c r="AL687">
        <f>IF(AE687=1,TRIM('Roster'!B687)&amp;" "&amp;LEFT(TRIM('Roster'!C687),1)&amp;".","")</f>
        <v/>
      </c>
      <c r="AM687">
        <f>IF(AE687=1,TRIM('Roster'!C687)&amp;", "&amp;TRIM('Roster'!B687)&amp;" ("&amp;B687&amp;") #"&amp;AD687,"")</f>
        <v/>
      </c>
      <c r="AN687">
        <f>IF(AE687=1,TRIM('Roster'!E687),"")</f>
        <v/>
      </c>
      <c r="AO687">
        <f>IF(AE687=1,ROUND(SUMIFS('All Donations'!$S$2:$S$4001,'All Donations'!$R$2:$R$4001,AD687,'All Donations'!$T$2:$T$4001,"&gt;="&amp;'Settings'!$C$23,'All Donations'!$T$2:$T$4001,"&lt;="&amp;'Settings'!$D$23),2),0)</f>
        <v/>
      </c>
      <c r="AQ687">
        <f>IF(AE687=1,ROUND(SUMIFS('All Donations'!$S$2:$S$4001,'All Donations'!$R$2:$R$4001,AD687,'All Donations'!$T$2:$T$4001,"&gt;="&amp;'Settings'!$C$25,'All Donations'!$T$2:$T$4001,"&lt;="&amp;'Settings'!$D$25),2),0)</f>
        <v/>
      </c>
      <c r="AR687">
        <f>IF(AE687=1,ROUND(SUMIFS('All Donations'!$S$2:$S$4001,'All Donations'!$R$2:$R$4001,AD687,'All Donations'!$T$2:$T$4001,"&gt;="&amp;'Settings'!$C$26,'All Donations'!$T$2:$T$4001,"&lt;="&amp;'Settings'!$D$26),2),0)</f>
        <v/>
      </c>
      <c r="AS687">
        <f>IF(AE687=1,ROUND(SUMIFS('All Donations'!$S$2:$S$4001,'All Donations'!$R$2:$R$4001,AD687,'All Donations'!$T$2:$T$4001,"&lt;="&amp;'Settings'!$D$27),2),0)</f>
        <v/>
      </c>
      <c r="AT687">
        <f>IF(AE687=1,ROUND(SUMIFS('All Donations'!$S$2:$S$4001,'All Donations'!$R$2:$R$4001,AD687,'All Donations'!$T$2:$T$4001,"&gt;="&amp;'Settings'!$C$28,'All Donations'!$T$2:$T$4001,"&lt;="&amp;'Settings'!$D$28),2),0)</f>
        <v/>
      </c>
      <c r="AU687">
        <f>IF(AE687=1,ROUND(SUMIFS('All Donations'!$S$2:$S$4001,'All Donations'!$R$2:$R$4001,AD687,'All Donations'!$T$2:$T$4001,"&gt;="&amp;'Settings'!$C$29,'All Donations'!$T$2:$T$4001,"&lt;="&amp;'Settings'!$D$29),2),0)</f>
        <v/>
      </c>
      <c r="AV687">
        <f>IF(AE687=1,ROUND(SUMIFS('All Donations'!$S$2:$S$4001,'All Donations'!$R$2:$R$4001,AD687,'All Donations'!$T$2:$T$4001,"&lt;="&amp;'Settings'!$D$30),2),0)</f>
        <v/>
      </c>
      <c r="AZ687">
        <f>IF(AE687=1,ROUND(SUMIFS('All Donations'!$S$2:$S$4001,'All Donations'!$R$2:$R$4001,AD687,'All Donations'!$T$2:$T$4001,"&lt;="&amp;'Settings'!$D$34),2),0)</f>
        <v/>
      </c>
    </row>
    <row r="688">
      <c r="A688">
        <f>IF(AE688=1,TRIM(TRIM('Roster'!B688)&amp;" "&amp;TRIM('Roster'!C688)),"")</f>
        <v/>
      </c>
      <c r="B688">
        <f>IF(AE688=1,IF(AN688="","(no teacher)",AN688&amp;" – "&amp;C688),"")</f>
        <v/>
      </c>
      <c r="C688">
        <f>IF(AE688=1,TRIM('Roster'!D688&amp;""),"")</f>
        <v/>
      </c>
      <c r="D688" s="48">
        <f>IF(AE688=1,ROUND(SUMIFS('All Donations'!$S$2:$S$4001,'All Donations'!$R$2:$R$4001,AD688),2),"")</f>
        <v/>
      </c>
      <c r="E688" s="48">
        <f>IF(AE688=1,ROUND(SUMIFS('All Donations'!$S$2:$S$4001,'All Donations'!$R$2:$R$4001,AD688,'All Donations'!$G$2:$G$4001,"OneCause"),2),"")</f>
        <v/>
      </c>
      <c r="F688" s="48">
        <f>IF(AE688=1,D688-E688,"")</f>
        <v/>
      </c>
      <c r="G688">
        <f>IF(AE688=1,COUNTIFS('All Donations'!$R$2:$R$4001,AD688,'All Donations'!$H$2:$H$4001,"OK"),"")</f>
        <v/>
      </c>
      <c r="H688">
        <f>IF(AE688&lt;&gt;1,"",IF(D688&gt;0,"Yes",""))</f>
        <v/>
      </c>
      <c r="I688" s="49">
        <f>IF(OR($AE688&lt;&gt;1,I$1=""),"",SUMIFS('All Donations'!$S$2:$S$4001,'All Donations'!$R$2:$R$4001,$AD688,'All Donations'!$T$2:$T$4001,I$1))</f>
        <v/>
      </c>
      <c r="J688" s="49">
        <f>IF(OR($AE688&lt;&gt;1,J$1=""),"",SUMIFS('All Donations'!$S$2:$S$4001,'All Donations'!$R$2:$R$4001,$AD688,'All Donations'!$T$2:$T$4001,J$1))</f>
        <v/>
      </c>
      <c r="K688" s="49">
        <f>IF(OR($AE688&lt;&gt;1,K$1=""),"",SUMIFS('All Donations'!$S$2:$S$4001,'All Donations'!$R$2:$R$4001,$AD688,'All Donations'!$T$2:$T$4001,K$1))</f>
        <v/>
      </c>
      <c r="L688" s="49">
        <f>IF(OR($AE688&lt;&gt;1,L$1=""),"",SUMIFS('All Donations'!$S$2:$S$4001,'All Donations'!$R$2:$R$4001,$AD688,'All Donations'!$T$2:$T$4001,L$1))</f>
        <v/>
      </c>
      <c r="M688" s="49">
        <f>IF(OR($AE688&lt;&gt;1,M$1=""),"",SUMIFS('All Donations'!$S$2:$S$4001,'All Donations'!$R$2:$R$4001,$AD688,'All Donations'!$T$2:$T$4001,M$1))</f>
        <v/>
      </c>
      <c r="N688" s="49">
        <f>IF(OR($AE688&lt;&gt;1,N$1=""),"",SUMIFS('All Donations'!$S$2:$S$4001,'All Donations'!$R$2:$R$4001,$AD688,'All Donations'!$T$2:$T$4001,N$1))</f>
        <v/>
      </c>
      <c r="O688" s="49">
        <f>IF(OR($AE688&lt;&gt;1,O$1=""),"",SUMIFS('All Donations'!$S$2:$S$4001,'All Donations'!$R$2:$R$4001,$AD688,'All Donations'!$T$2:$T$4001,O$1))</f>
        <v/>
      </c>
      <c r="P688" s="49">
        <f>IF(OR($AE688&lt;&gt;1,P$1=""),"",SUMIFS('All Donations'!$S$2:$S$4001,'All Donations'!$R$2:$R$4001,$AD688,'All Donations'!$T$2:$T$4001,P$1))</f>
        <v/>
      </c>
      <c r="Q688" s="49">
        <f>IF(OR($AE688&lt;&gt;1,Q$1=""),"",SUMIFS('All Donations'!$S$2:$S$4001,'All Donations'!$R$2:$R$4001,$AD688,'All Donations'!$T$2:$T$4001,Q$1))</f>
        <v/>
      </c>
      <c r="R688" s="49">
        <f>IF(OR($AE688&lt;&gt;1,R$1=""),"",SUMIFS('All Donations'!$S$2:$S$4001,'All Donations'!$R$2:$R$4001,$AD688,'All Donations'!$T$2:$T$4001,R$1))</f>
        <v/>
      </c>
      <c r="S688" s="49">
        <f>IF(OR($AE688&lt;&gt;1,S$1=""),"",SUMIFS('All Donations'!$S$2:$S$4001,'All Donations'!$R$2:$R$4001,$AD688,'All Donations'!$T$2:$T$4001,S$1))</f>
        <v/>
      </c>
      <c r="T688" s="49">
        <f>IF(OR($AE688&lt;&gt;1,T$1=""),"",SUMIFS('All Donations'!$S$2:$S$4001,'All Donations'!$R$2:$R$4001,$AD688,'All Donations'!$T$2:$T$4001,T$1))</f>
        <v/>
      </c>
      <c r="U688" s="49">
        <f>IF(OR($AE688&lt;&gt;1,U$1=""),"",SUMIFS('All Donations'!$S$2:$S$4001,'All Donations'!$R$2:$R$4001,$AD688,'All Donations'!$T$2:$T$4001,U$1))</f>
        <v/>
      </c>
      <c r="V688" s="49">
        <f>IF(OR($AE688&lt;&gt;1,V$1=""),"",SUMIFS('All Donations'!$S$2:$S$4001,'All Donations'!$R$2:$R$4001,$AD688,'All Donations'!$T$2:$T$4001,V$1))</f>
        <v/>
      </c>
      <c r="W688" s="49">
        <f>IF(OR($AE688&lt;&gt;1,W$1=""),"",SUMIFS('All Donations'!$S$2:$S$4001,'All Donations'!$R$2:$R$4001,$AD688,'All Donations'!$T$2:$T$4001,W$1))</f>
        <v/>
      </c>
      <c r="X688" s="49">
        <f>IF(OR($AE688&lt;&gt;1,X$1=""),"",SUMIFS('All Donations'!$S$2:$S$4001,'All Donations'!$R$2:$R$4001,$AD688,'All Donations'!$T$2:$T$4001,X$1))</f>
        <v/>
      </c>
      <c r="Y688" s="49">
        <f>IF(OR($AE688&lt;&gt;1,Y$1=""),"",SUMIFS('All Donations'!$S$2:$S$4001,'All Donations'!$R$2:$R$4001,$AD688,'All Donations'!$T$2:$T$4001,Y$1))</f>
        <v/>
      </c>
      <c r="Z688" s="49">
        <f>IF(OR($AE688&lt;&gt;1,Z$1=""),"",SUMIFS('All Donations'!$S$2:$S$4001,'All Donations'!$R$2:$R$4001,$AD688,'All Donations'!$T$2:$T$4001,Z$1))</f>
        <v/>
      </c>
      <c r="AA688" s="49">
        <f>IF(OR($AE688&lt;&gt;1,AA$1=""),"",SUMIFS('All Donations'!$S$2:$S$4001,'All Donations'!$R$2:$R$4001,$AD688,'All Donations'!$T$2:$T$4001,AA$1))</f>
        <v/>
      </c>
      <c r="AB688" s="49">
        <f>IF(OR($AE688&lt;&gt;1,AB$1=""),"",SUMIFS('All Donations'!$S$2:$S$4001,'All Donations'!$R$2:$R$4001,$AD688,'All Donations'!$T$2:$T$4001,AB$1))</f>
        <v/>
      </c>
      <c r="AC688" s="49">
        <f>IF(OR($AE688&lt;&gt;1,AC$1=""),"",SUMIFS('All Donations'!$S$2:$S$4001,'All Donations'!$R$2:$R$4001,$AD688,'All Donations'!$T$2:$T$4001,AC$1))</f>
        <v/>
      </c>
      <c r="AD688">
        <f>IF(AE688=1,'Roster'!A688,"")</f>
        <v/>
      </c>
      <c r="AE688">
        <f>IF(TRIM('Roster'!B688&amp;'Roster'!C688)&lt;&gt;"",1,0)</f>
        <v/>
      </c>
      <c r="AF688">
        <f>IF(AE688=1,LOWER(A688),"#")</f>
        <v/>
      </c>
      <c r="AG688">
        <f>IF(AE688=1,LOWER(TRIM(TRIM('Roster'!C688)&amp;", "&amp;TRIM('Roster'!B688))),"#")</f>
        <v/>
      </c>
      <c r="AH688">
        <f>IF(AND(AE688=1,TRIM('Roster'!F688)&lt;&gt;""),LOWER(TRIM('Roster'!F688)),"#")</f>
        <v/>
      </c>
      <c r="AI688">
        <f>IF(AE688=1,IF(MATCH(B688,$B$2:$B$701,0)=ROW()-1,1,0),0)</f>
        <v/>
      </c>
      <c r="AJ688">
        <f>AJ687+AI688</f>
        <v/>
      </c>
      <c r="AK688">
        <f>IF(AE688=1,D688+(1000-ROW())/10^7,-1)</f>
        <v/>
      </c>
      <c r="AL688">
        <f>IF(AE688=1,TRIM('Roster'!B688)&amp;" "&amp;LEFT(TRIM('Roster'!C688),1)&amp;".","")</f>
        <v/>
      </c>
      <c r="AM688">
        <f>IF(AE688=1,TRIM('Roster'!C688)&amp;", "&amp;TRIM('Roster'!B688)&amp;" ("&amp;B688&amp;") #"&amp;AD688,"")</f>
        <v/>
      </c>
      <c r="AN688">
        <f>IF(AE688=1,TRIM('Roster'!E688),"")</f>
        <v/>
      </c>
      <c r="AO688">
        <f>IF(AE688=1,ROUND(SUMIFS('All Donations'!$S$2:$S$4001,'All Donations'!$R$2:$R$4001,AD688,'All Donations'!$T$2:$T$4001,"&gt;="&amp;'Settings'!$C$23,'All Donations'!$T$2:$T$4001,"&lt;="&amp;'Settings'!$D$23),2),0)</f>
        <v/>
      </c>
      <c r="AQ688">
        <f>IF(AE688=1,ROUND(SUMIFS('All Donations'!$S$2:$S$4001,'All Donations'!$R$2:$R$4001,AD688,'All Donations'!$T$2:$T$4001,"&gt;="&amp;'Settings'!$C$25,'All Donations'!$T$2:$T$4001,"&lt;="&amp;'Settings'!$D$25),2),0)</f>
        <v/>
      </c>
      <c r="AR688">
        <f>IF(AE688=1,ROUND(SUMIFS('All Donations'!$S$2:$S$4001,'All Donations'!$R$2:$R$4001,AD688,'All Donations'!$T$2:$T$4001,"&gt;="&amp;'Settings'!$C$26,'All Donations'!$T$2:$T$4001,"&lt;="&amp;'Settings'!$D$26),2),0)</f>
        <v/>
      </c>
      <c r="AS688">
        <f>IF(AE688=1,ROUND(SUMIFS('All Donations'!$S$2:$S$4001,'All Donations'!$R$2:$R$4001,AD688,'All Donations'!$T$2:$T$4001,"&lt;="&amp;'Settings'!$D$27),2),0)</f>
        <v/>
      </c>
      <c r="AT688">
        <f>IF(AE688=1,ROUND(SUMIFS('All Donations'!$S$2:$S$4001,'All Donations'!$R$2:$R$4001,AD688,'All Donations'!$T$2:$T$4001,"&gt;="&amp;'Settings'!$C$28,'All Donations'!$T$2:$T$4001,"&lt;="&amp;'Settings'!$D$28),2),0)</f>
        <v/>
      </c>
      <c r="AU688">
        <f>IF(AE688=1,ROUND(SUMIFS('All Donations'!$S$2:$S$4001,'All Donations'!$R$2:$R$4001,AD688,'All Donations'!$T$2:$T$4001,"&gt;="&amp;'Settings'!$C$29,'All Donations'!$T$2:$T$4001,"&lt;="&amp;'Settings'!$D$29),2),0)</f>
        <v/>
      </c>
      <c r="AV688">
        <f>IF(AE688=1,ROUND(SUMIFS('All Donations'!$S$2:$S$4001,'All Donations'!$R$2:$R$4001,AD688,'All Donations'!$T$2:$T$4001,"&lt;="&amp;'Settings'!$D$30),2),0)</f>
        <v/>
      </c>
      <c r="AZ688">
        <f>IF(AE688=1,ROUND(SUMIFS('All Donations'!$S$2:$S$4001,'All Donations'!$R$2:$R$4001,AD688,'All Donations'!$T$2:$T$4001,"&lt;="&amp;'Settings'!$D$34),2),0)</f>
        <v/>
      </c>
    </row>
    <row r="689">
      <c r="A689">
        <f>IF(AE689=1,TRIM(TRIM('Roster'!B689)&amp;" "&amp;TRIM('Roster'!C689)),"")</f>
        <v/>
      </c>
      <c r="B689">
        <f>IF(AE689=1,IF(AN689="","(no teacher)",AN689&amp;" – "&amp;C689),"")</f>
        <v/>
      </c>
      <c r="C689">
        <f>IF(AE689=1,TRIM('Roster'!D689&amp;""),"")</f>
        <v/>
      </c>
      <c r="D689" s="48">
        <f>IF(AE689=1,ROUND(SUMIFS('All Donations'!$S$2:$S$4001,'All Donations'!$R$2:$R$4001,AD689),2),"")</f>
        <v/>
      </c>
      <c r="E689" s="48">
        <f>IF(AE689=1,ROUND(SUMIFS('All Donations'!$S$2:$S$4001,'All Donations'!$R$2:$R$4001,AD689,'All Donations'!$G$2:$G$4001,"OneCause"),2),"")</f>
        <v/>
      </c>
      <c r="F689" s="48">
        <f>IF(AE689=1,D689-E689,"")</f>
        <v/>
      </c>
      <c r="G689">
        <f>IF(AE689=1,COUNTIFS('All Donations'!$R$2:$R$4001,AD689,'All Donations'!$H$2:$H$4001,"OK"),"")</f>
        <v/>
      </c>
      <c r="H689">
        <f>IF(AE689&lt;&gt;1,"",IF(D689&gt;0,"Yes",""))</f>
        <v/>
      </c>
      <c r="I689" s="49">
        <f>IF(OR($AE689&lt;&gt;1,I$1=""),"",SUMIFS('All Donations'!$S$2:$S$4001,'All Donations'!$R$2:$R$4001,$AD689,'All Donations'!$T$2:$T$4001,I$1))</f>
        <v/>
      </c>
      <c r="J689" s="49">
        <f>IF(OR($AE689&lt;&gt;1,J$1=""),"",SUMIFS('All Donations'!$S$2:$S$4001,'All Donations'!$R$2:$R$4001,$AD689,'All Donations'!$T$2:$T$4001,J$1))</f>
        <v/>
      </c>
      <c r="K689" s="49">
        <f>IF(OR($AE689&lt;&gt;1,K$1=""),"",SUMIFS('All Donations'!$S$2:$S$4001,'All Donations'!$R$2:$R$4001,$AD689,'All Donations'!$T$2:$T$4001,K$1))</f>
        <v/>
      </c>
      <c r="L689" s="49">
        <f>IF(OR($AE689&lt;&gt;1,L$1=""),"",SUMIFS('All Donations'!$S$2:$S$4001,'All Donations'!$R$2:$R$4001,$AD689,'All Donations'!$T$2:$T$4001,L$1))</f>
        <v/>
      </c>
      <c r="M689" s="49">
        <f>IF(OR($AE689&lt;&gt;1,M$1=""),"",SUMIFS('All Donations'!$S$2:$S$4001,'All Donations'!$R$2:$R$4001,$AD689,'All Donations'!$T$2:$T$4001,M$1))</f>
        <v/>
      </c>
      <c r="N689" s="49">
        <f>IF(OR($AE689&lt;&gt;1,N$1=""),"",SUMIFS('All Donations'!$S$2:$S$4001,'All Donations'!$R$2:$R$4001,$AD689,'All Donations'!$T$2:$T$4001,N$1))</f>
        <v/>
      </c>
      <c r="O689" s="49">
        <f>IF(OR($AE689&lt;&gt;1,O$1=""),"",SUMIFS('All Donations'!$S$2:$S$4001,'All Donations'!$R$2:$R$4001,$AD689,'All Donations'!$T$2:$T$4001,O$1))</f>
        <v/>
      </c>
      <c r="P689" s="49">
        <f>IF(OR($AE689&lt;&gt;1,P$1=""),"",SUMIFS('All Donations'!$S$2:$S$4001,'All Donations'!$R$2:$R$4001,$AD689,'All Donations'!$T$2:$T$4001,P$1))</f>
        <v/>
      </c>
      <c r="Q689" s="49">
        <f>IF(OR($AE689&lt;&gt;1,Q$1=""),"",SUMIFS('All Donations'!$S$2:$S$4001,'All Donations'!$R$2:$R$4001,$AD689,'All Donations'!$T$2:$T$4001,Q$1))</f>
        <v/>
      </c>
      <c r="R689" s="49">
        <f>IF(OR($AE689&lt;&gt;1,R$1=""),"",SUMIFS('All Donations'!$S$2:$S$4001,'All Donations'!$R$2:$R$4001,$AD689,'All Donations'!$T$2:$T$4001,R$1))</f>
        <v/>
      </c>
      <c r="S689" s="49">
        <f>IF(OR($AE689&lt;&gt;1,S$1=""),"",SUMIFS('All Donations'!$S$2:$S$4001,'All Donations'!$R$2:$R$4001,$AD689,'All Donations'!$T$2:$T$4001,S$1))</f>
        <v/>
      </c>
      <c r="T689" s="49">
        <f>IF(OR($AE689&lt;&gt;1,T$1=""),"",SUMIFS('All Donations'!$S$2:$S$4001,'All Donations'!$R$2:$R$4001,$AD689,'All Donations'!$T$2:$T$4001,T$1))</f>
        <v/>
      </c>
      <c r="U689" s="49">
        <f>IF(OR($AE689&lt;&gt;1,U$1=""),"",SUMIFS('All Donations'!$S$2:$S$4001,'All Donations'!$R$2:$R$4001,$AD689,'All Donations'!$T$2:$T$4001,U$1))</f>
        <v/>
      </c>
      <c r="V689" s="49">
        <f>IF(OR($AE689&lt;&gt;1,V$1=""),"",SUMIFS('All Donations'!$S$2:$S$4001,'All Donations'!$R$2:$R$4001,$AD689,'All Donations'!$T$2:$T$4001,V$1))</f>
        <v/>
      </c>
      <c r="W689" s="49">
        <f>IF(OR($AE689&lt;&gt;1,W$1=""),"",SUMIFS('All Donations'!$S$2:$S$4001,'All Donations'!$R$2:$R$4001,$AD689,'All Donations'!$T$2:$T$4001,W$1))</f>
        <v/>
      </c>
      <c r="X689" s="49">
        <f>IF(OR($AE689&lt;&gt;1,X$1=""),"",SUMIFS('All Donations'!$S$2:$S$4001,'All Donations'!$R$2:$R$4001,$AD689,'All Donations'!$T$2:$T$4001,X$1))</f>
        <v/>
      </c>
      <c r="Y689" s="49">
        <f>IF(OR($AE689&lt;&gt;1,Y$1=""),"",SUMIFS('All Donations'!$S$2:$S$4001,'All Donations'!$R$2:$R$4001,$AD689,'All Donations'!$T$2:$T$4001,Y$1))</f>
        <v/>
      </c>
      <c r="Z689" s="49">
        <f>IF(OR($AE689&lt;&gt;1,Z$1=""),"",SUMIFS('All Donations'!$S$2:$S$4001,'All Donations'!$R$2:$R$4001,$AD689,'All Donations'!$T$2:$T$4001,Z$1))</f>
        <v/>
      </c>
      <c r="AA689" s="49">
        <f>IF(OR($AE689&lt;&gt;1,AA$1=""),"",SUMIFS('All Donations'!$S$2:$S$4001,'All Donations'!$R$2:$R$4001,$AD689,'All Donations'!$T$2:$T$4001,AA$1))</f>
        <v/>
      </c>
      <c r="AB689" s="49">
        <f>IF(OR($AE689&lt;&gt;1,AB$1=""),"",SUMIFS('All Donations'!$S$2:$S$4001,'All Donations'!$R$2:$R$4001,$AD689,'All Donations'!$T$2:$T$4001,AB$1))</f>
        <v/>
      </c>
      <c r="AC689" s="49">
        <f>IF(OR($AE689&lt;&gt;1,AC$1=""),"",SUMIFS('All Donations'!$S$2:$S$4001,'All Donations'!$R$2:$R$4001,$AD689,'All Donations'!$T$2:$T$4001,AC$1))</f>
        <v/>
      </c>
      <c r="AD689">
        <f>IF(AE689=1,'Roster'!A689,"")</f>
        <v/>
      </c>
      <c r="AE689">
        <f>IF(TRIM('Roster'!B689&amp;'Roster'!C689)&lt;&gt;"",1,0)</f>
        <v/>
      </c>
      <c r="AF689">
        <f>IF(AE689=1,LOWER(A689),"#")</f>
        <v/>
      </c>
      <c r="AG689">
        <f>IF(AE689=1,LOWER(TRIM(TRIM('Roster'!C689)&amp;", "&amp;TRIM('Roster'!B689))),"#")</f>
        <v/>
      </c>
      <c r="AH689">
        <f>IF(AND(AE689=1,TRIM('Roster'!F689)&lt;&gt;""),LOWER(TRIM('Roster'!F689)),"#")</f>
        <v/>
      </c>
      <c r="AI689">
        <f>IF(AE689=1,IF(MATCH(B689,$B$2:$B$701,0)=ROW()-1,1,0),0)</f>
        <v/>
      </c>
      <c r="AJ689">
        <f>AJ688+AI689</f>
        <v/>
      </c>
      <c r="AK689">
        <f>IF(AE689=1,D689+(1000-ROW())/10^7,-1)</f>
        <v/>
      </c>
      <c r="AL689">
        <f>IF(AE689=1,TRIM('Roster'!B689)&amp;" "&amp;LEFT(TRIM('Roster'!C689),1)&amp;".","")</f>
        <v/>
      </c>
      <c r="AM689">
        <f>IF(AE689=1,TRIM('Roster'!C689)&amp;", "&amp;TRIM('Roster'!B689)&amp;" ("&amp;B689&amp;") #"&amp;AD689,"")</f>
        <v/>
      </c>
      <c r="AN689">
        <f>IF(AE689=1,TRIM('Roster'!E689),"")</f>
        <v/>
      </c>
      <c r="AO689">
        <f>IF(AE689=1,ROUND(SUMIFS('All Donations'!$S$2:$S$4001,'All Donations'!$R$2:$R$4001,AD689,'All Donations'!$T$2:$T$4001,"&gt;="&amp;'Settings'!$C$23,'All Donations'!$T$2:$T$4001,"&lt;="&amp;'Settings'!$D$23),2),0)</f>
        <v/>
      </c>
      <c r="AQ689">
        <f>IF(AE689=1,ROUND(SUMIFS('All Donations'!$S$2:$S$4001,'All Donations'!$R$2:$R$4001,AD689,'All Donations'!$T$2:$T$4001,"&gt;="&amp;'Settings'!$C$25,'All Donations'!$T$2:$T$4001,"&lt;="&amp;'Settings'!$D$25),2),0)</f>
        <v/>
      </c>
      <c r="AR689">
        <f>IF(AE689=1,ROUND(SUMIFS('All Donations'!$S$2:$S$4001,'All Donations'!$R$2:$R$4001,AD689,'All Donations'!$T$2:$T$4001,"&gt;="&amp;'Settings'!$C$26,'All Donations'!$T$2:$T$4001,"&lt;="&amp;'Settings'!$D$26),2),0)</f>
        <v/>
      </c>
      <c r="AS689">
        <f>IF(AE689=1,ROUND(SUMIFS('All Donations'!$S$2:$S$4001,'All Donations'!$R$2:$R$4001,AD689,'All Donations'!$T$2:$T$4001,"&lt;="&amp;'Settings'!$D$27),2),0)</f>
        <v/>
      </c>
      <c r="AT689">
        <f>IF(AE689=1,ROUND(SUMIFS('All Donations'!$S$2:$S$4001,'All Donations'!$R$2:$R$4001,AD689,'All Donations'!$T$2:$T$4001,"&gt;="&amp;'Settings'!$C$28,'All Donations'!$T$2:$T$4001,"&lt;="&amp;'Settings'!$D$28),2),0)</f>
        <v/>
      </c>
      <c r="AU689">
        <f>IF(AE689=1,ROUND(SUMIFS('All Donations'!$S$2:$S$4001,'All Donations'!$R$2:$R$4001,AD689,'All Donations'!$T$2:$T$4001,"&gt;="&amp;'Settings'!$C$29,'All Donations'!$T$2:$T$4001,"&lt;="&amp;'Settings'!$D$29),2),0)</f>
        <v/>
      </c>
      <c r="AV689">
        <f>IF(AE689=1,ROUND(SUMIFS('All Donations'!$S$2:$S$4001,'All Donations'!$R$2:$R$4001,AD689,'All Donations'!$T$2:$T$4001,"&lt;="&amp;'Settings'!$D$30),2),0)</f>
        <v/>
      </c>
      <c r="AZ689">
        <f>IF(AE689=1,ROUND(SUMIFS('All Donations'!$S$2:$S$4001,'All Donations'!$R$2:$R$4001,AD689,'All Donations'!$T$2:$T$4001,"&lt;="&amp;'Settings'!$D$34),2),0)</f>
        <v/>
      </c>
    </row>
    <row r="690">
      <c r="A690">
        <f>IF(AE690=1,TRIM(TRIM('Roster'!B690)&amp;" "&amp;TRIM('Roster'!C690)),"")</f>
        <v/>
      </c>
      <c r="B690">
        <f>IF(AE690=1,IF(AN690="","(no teacher)",AN690&amp;" – "&amp;C690),"")</f>
        <v/>
      </c>
      <c r="C690">
        <f>IF(AE690=1,TRIM('Roster'!D690&amp;""),"")</f>
        <v/>
      </c>
      <c r="D690" s="48">
        <f>IF(AE690=1,ROUND(SUMIFS('All Donations'!$S$2:$S$4001,'All Donations'!$R$2:$R$4001,AD690),2),"")</f>
        <v/>
      </c>
      <c r="E690" s="48">
        <f>IF(AE690=1,ROUND(SUMIFS('All Donations'!$S$2:$S$4001,'All Donations'!$R$2:$R$4001,AD690,'All Donations'!$G$2:$G$4001,"OneCause"),2),"")</f>
        <v/>
      </c>
      <c r="F690" s="48">
        <f>IF(AE690=1,D690-E690,"")</f>
        <v/>
      </c>
      <c r="G690">
        <f>IF(AE690=1,COUNTIFS('All Donations'!$R$2:$R$4001,AD690,'All Donations'!$H$2:$H$4001,"OK"),"")</f>
        <v/>
      </c>
      <c r="H690">
        <f>IF(AE690&lt;&gt;1,"",IF(D690&gt;0,"Yes",""))</f>
        <v/>
      </c>
      <c r="I690" s="49">
        <f>IF(OR($AE690&lt;&gt;1,I$1=""),"",SUMIFS('All Donations'!$S$2:$S$4001,'All Donations'!$R$2:$R$4001,$AD690,'All Donations'!$T$2:$T$4001,I$1))</f>
        <v/>
      </c>
      <c r="J690" s="49">
        <f>IF(OR($AE690&lt;&gt;1,J$1=""),"",SUMIFS('All Donations'!$S$2:$S$4001,'All Donations'!$R$2:$R$4001,$AD690,'All Donations'!$T$2:$T$4001,J$1))</f>
        <v/>
      </c>
      <c r="K690" s="49">
        <f>IF(OR($AE690&lt;&gt;1,K$1=""),"",SUMIFS('All Donations'!$S$2:$S$4001,'All Donations'!$R$2:$R$4001,$AD690,'All Donations'!$T$2:$T$4001,K$1))</f>
        <v/>
      </c>
      <c r="L690" s="49">
        <f>IF(OR($AE690&lt;&gt;1,L$1=""),"",SUMIFS('All Donations'!$S$2:$S$4001,'All Donations'!$R$2:$R$4001,$AD690,'All Donations'!$T$2:$T$4001,L$1))</f>
        <v/>
      </c>
      <c r="M690" s="49">
        <f>IF(OR($AE690&lt;&gt;1,M$1=""),"",SUMIFS('All Donations'!$S$2:$S$4001,'All Donations'!$R$2:$R$4001,$AD690,'All Donations'!$T$2:$T$4001,M$1))</f>
        <v/>
      </c>
      <c r="N690" s="49">
        <f>IF(OR($AE690&lt;&gt;1,N$1=""),"",SUMIFS('All Donations'!$S$2:$S$4001,'All Donations'!$R$2:$R$4001,$AD690,'All Donations'!$T$2:$T$4001,N$1))</f>
        <v/>
      </c>
      <c r="O690" s="49">
        <f>IF(OR($AE690&lt;&gt;1,O$1=""),"",SUMIFS('All Donations'!$S$2:$S$4001,'All Donations'!$R$2:$R$4001,$AD690,'All Donations'!$T$2:$T$4001,O$1))</f>
        <v/>
      </c>
      <c r="P690" s="49">
        <f>IF(OR($AE690&lt;&gt;1,P$1=""),"",SUMIFS('All Donations'!$S$2:$S$4001,'All Donations'!$R$2:$R$4001,$AD690,'All Donations'!$T$2:$T$4001,P$1))</f>
        <v/>
      </c>
      <c r="Q690" s="49">
        <f>IF(OR($AE690&lt;&gt;1,Q$1=""),"",SUMIFS('All Donations'!$S$2:$S$4001,'All Donations'!$R$2:$R$4001,$AD690,'All Donations'!$T$2:$T$4001,Q$1))</f>
        <v/>
      </c>
      <c r="R690" s="49">
        <f>IF(OR($AE690&lt;&gt;1,R$1=""),"",SUMIFS('All Donations'!$S$2:$S$4001,'All Donations'!$R$2:$R$4001,$AD690,'All Donations'!$T$2:$T$4001,R$1))</f>
        <v/>
      </c>
      <c r="S690" s="49">
        <f>IF(OR($AE690&lt;&gt;1,S$1=""),"",SUMIFS('All Donations'!$S$2:$S$4001,'All Donations'!$R$2:$R$4001,$AD690,'All Donations'!$T$2:$T$4001,S$1))</f>
        <v/>
      </c>
      <c r="T690" s="49">
        <f>IF(OR($AE690&lt;&gt;1,T$1=""),"",SUMIFS('All Donations'!$S$2:$S$4001,'All Donations'!$R$2:$R$4001,$AD690,'All Donations'!$T$2:$T$4001,T$1))</f>
        <v/>
      </c>
      <c r="U690" s="49">
        <f>IF(OR($AE690&lt;&gt;1,U$1=""),"",SUMIFS('All Donations'!$S$2:$S$4001,'All Donations'!$R$2:$R$4001,$AD690,'All Donations'!$T$2:$T$4001,U$1))</f>
        <v/>
      </c>
      <c r="V690" s="49">
        <f>IF(OR($AE690&lt;&gt;1,V$1=""),"",SUMIFS('All Donations'!$S$2:$S$4001,'All Donations'!$R$2:$R$4001,$AD690,'All Donations'!$T$2:$T$4001,V$1))</f>
        <v/>
      </c>
      <c r="W690" s="49">
        <f>IF(OR($AE690&lt;&gt;1,W$1=""),"",SUMIFS('All Donations'!$S$2:$S$4001,'All Donations'!$R$2:$R$4001,$AD690,'All Donations'!$T$2:$T$4001,W$1))</f>
        <v/>
      </c>
      <c r="X690" s="49">
        <f>IF(OR($AE690&lt;&gt;1,X$1=""),"",SUMIFS('All Donations'!$S$2:$S$4001,'All Donations'!$R$2:$R$4001,$AD690,'All Donations'!$T$2:$T$4001,X$1))</f>
        <v/>
      </c>
      <c r="Y690" s="49">
        <f>IF(OR($AE690&lt;&gt;1,Y$1=""),"",SUMIFS('All Donations'!$S$2:$S$4001,'All Donations'!$R$2:$R$4001,$AD690,'All Donations'!$T$2:$T$4001,Y$1))</f>
        <v/>
      </c>
      <c r="Z690" s="49">
        <f>IF(OR($AE690&lt;&gt;1,Z$1=""),"",SUMIFS('All Donations'!$S$2:$S$4001,'All Donations'!$R$2:$R$4001,$AD690,'All Donations'!$T$2:$T$4001,Z$1))</f>
        <v/>
      </c>
      <c r="AA690" s="49">
        <f>IF(OR($AE690&lt;&gt;1,AA$1=""),"",SUMIFS('All Donations'!$S$2:$S$4001,'All Donations'!$R$2:$R$4001,$AD690,'All Donations'!$T$2:$T$4001,AA$1))</f>
        <v/>
      </c>
      <c r="AB690" s="49">
        <f>IF(OR($AE690&lt;&gt;1,AB$1=""),"",SUMIFS('All Donations'!$S$2:$S$4001,'All Donations'!$R$2:$R$4001,$AD690,'All Donations'!$T$2:$T$4001,AB$1))</f>
        <v/>
      </c>
      <c r="AC690" s="49">
        <f>IF(OR($AE690&lt;&gt;1,AC$1=""),"",SUMIFS('All Donations'!$S$2:$S$4001,'All Donations'!$R$2:$R$4001,$AD690,'All Donations'!$T$2:$T$4001,AC$1))</f>
        <v/>
      </c>
      <c r="AD690">
        <f>IF(AE690=1,'Roster'!A690,"")</f>
        <v/>
      </c>
      <c r="AE690">
        <f>IF(TRIM('Roster'!B690&amp;'Roster'!C690)&lt;&gt;"",1,0)</f>
        <v/>
      </c>
      <c r="AF690">
        <f>IF(AE690=1,LOWER(A690),"#")</f>
        <v/>
      </c>
      <c r="AG690">
        <f>IF(AE690=1,LOWER(TRIM(TRIM('Roster'!C690)&amp;", "&amp;TRIM('Roster'!B690))),"#")</f>
        <v/>
      </c>
      <c r="AH690">
        <f>IF(AND(AE690=1,TRIM('Roster'!F690)&lt;&gt;""),LOWER(TRIM('Roster'!F690)),"#")</f>
        <v/>
      </c>
      <c r="AI690">
        <f>IF(AE690=1,IF(MATCH(B690,$B$2:$B$701,0)=ROW()-1,1,0),0)</f>
        <v/>
      </c>
      <c r="AJ690">
        <f>AJ689+AI690</f>
        <v/>
      </c>
      <c r="AK690">
        <f>IF(AE690=1,D690+(1000-ROW())/10^7,-1)</f>
        <v/>
      </c>
      <c r="AL690">
        <f>IF(AE690=1,TRIM('Roster'!B690)&amp;" "&amp;LEFT(TRIM('Roster'!C690),1)&amp;".","")</f>
        <v/>
      </c>
      <c r="AM690">
        <f>IF(AE690=1,TRIM('Roster'!C690)&amp;", "&amp;TRIM('Roster'!B690)&amp;" ("&amp;B690&amp;") #"&amp;AD690,"")</f>
        <v/>
      </c>
      <c r="AN690">
        <f>IF(AE690=1,TRIM('Roster'!E690),"")</f>
        <v/>
      </c>
      <c r="AO690">
        <f>IF(AE690=1,ROUND(SUMIFS('All Donations'!$S$2:$S$4001,'All Donations'!$R$2:$R$4001,AD690,'All Donations'!$T$2:$T$4001,"&gt;="&amp;'Settings'!$C$23,'All Donations'!$T$2:$T$4001,"&lt;="&amp;'Settings'!$D$23),2),0)</f>
        <v/>
      </c>
      <c r="AQ690">
        <f>IF(AE690=1,ROUND(SUMIFS('All Donations'!$S$2:$S$4001,'All Donations'!$R$2:$R$4001,AD690,'All Donations'!$T$2:$T$4001,"&gt;="&amp;'Settings'!$C$25,'All Donations'!$T$2:$T$4001,"&lt;="&amp;'Settings'!$D$25),2),0)</f>
        <v/>
      </c>
      <c r="AR690">
        <f>IF(AE690=1,ROUND(SUMIFS('All Donations'!$S$2:$S$4001,'All Donations'!$R$2:$R$4001,AD690,'All Donations'!$T$2:$T$4001,"&gt;="&amp;'Settings'!$C$26,'All Donations'!$T$2:$T$4001,"&lt;="&amp;'Settings'!$D$26),2),0)</f>
        <v/>
      </c>
      <c r="AS690">
        <f>IF(AE690=1,ROUND(SUMIFS('All Donations'!$S$2:$S$4001,'All Donations'!$R$2:$R$4001,AD690,'All Donations'!$T$2:$T$4001,"&lt;="&amp;'Settings'!$D$27),2),0)</f>
        <v/>
      </c>
      <c r="AT690">
        <f>IF(AE690=1,ROUND(SUMIFS('All Donations'!$S$2:$S$4001,'All Donations'!$R$2:$R$4001,AD690,'All Donations'!$T$2:$T$4001,"&gt;="&amp;'Settings'!$C$28,'All Donations'!$T$2:$T$4001,"&lt;="&amp;'Settings'!$D$28),2),0)</f>
        <v/>
      </c>
      <c r="AU690">
        <f>IF(AE690=1,ROUND(SUMIFS('All Donations'!$S$2:$S$4001,'All Donations'!$R$2:$R$4001,AD690,'All Donations'!$T$2:$T$4001,"&gt;="&amp;'Settings'!$C$29,'All Donations'!$T$2:$T$4001,"&lt;="&amp;'Settings'!$D$29),2),0)</f>
        <v/>
      </c>
      <c r="AV690">
        <f>IF(AE690=1,ROUND(SUMIFS('All Donations'!$S$2:$S$4001,'All Donations'!$R$2:$R$4001,AD690,'All Donations'!$T$2:$T$4001,"&lt;="&amp;'Settings'!$D$30),2),0)</f>
        <v/>
      </c>
      <c r="AZ690">
        <f>IF(AE690=1,ROUND(SUMIFS('All Donations'!$S$2:$S$4001,'All Donations'!$R$2:$R$4001,AD690,'All Donations'!$T$2:$T$4001,"&lt;="&amp;'Settings'!$D$34),2),0)</f>
        <v/>
      </c>
    </row>
    <row r="691">
      <c r="A691">
        <f>IF(AE691=1,TRIM(TRIM('Roster'!B691)&amp;" "&amp;TRIM('Roster'!C691)),"")</f>
        <v/>
      </c>
      <c r="B691">
        <f>IF(AE691=1,IF(AN691="","(no teacher)",AN691&amp;" – "&amp;C691),"")</f>
        <v/>
      </c>
      <c r="C691">
        <f>IF(AE691=1,TRIM('Roster'!D691&amp;""),"")</f>
        <v/>
      </c>
      <c r="D691" s="48">
        <f>IF(AE691=1,ROUND(SUMIFS('All Donations'!$S$2:$S$4001,'All Donations'!$R$2:$R$4001,AD691),2),"")</f>
        <v/>
      </c>
      <c r="E691" s="48">
        <f>IF(AE691=1,ROUND(SUMIFS('All Donations'!$S$2:$S$4001,'All Donations'!$R$2:$R$4001,AD691,'All Donations'!$G$2:$G$4001,"OneCause"),2),"")</f>
        <v/>
      </c>
      <c r="F691" s="48">
        <f>IF(AE691=1,D691-E691,"")</f>
        <v/>
      </c>
      <c r="G691">
        <f>IF(AE691=1,COUNTIFS('All Donations'!$R$2:$R$4001,AD691,'All Donations'!$H$2:$H$4001,"OK"),"")</f>
        <v/>
      </c>
      <c r="H691">
        <f>IF(AE691&lt;&gt;1,"",IF(D691&gt;0,"Yes",""))</f>
        <v/>
      </c>
      <c r="I691" s="49">
        <f>IF(OR($AE691&lt;&gt;1,I$1=""),"",SUMIFS('All Donations'!$S$2:$S$4001,'All Donations'!$R$2:$R$4001,$AD691,'All Donations'!$T$2:$T$4001,I$1))</f>
        <v/>
      </c>
      <c r="J691" s="49">
        <f>IF(OR($AE691&lt;&gt;1,J$1=""),"",SUMIFS('All Donations'!$S$2:$S$4001,'All Donations'!$R$2:$R$4001,$AD691,'All Donations'!$T$2:$T$4001,J$1))</f>
        <v/>
      </c>
      <c r="K691" s="49">
        <f>IF(OR($AE691&lt;&gt;1,K$1=""),"",SUMIFS('All Donations'!$S$2:$S$4001,'All Donations'!$R$2:$R$4001,$AD691,'All Donations'!$T$2:$T$4001,K$1))</f>
        <v/>
      </c>
      <c r="L691" s="49">
        <f>IF(OR($AE691&lt;&gt;1,L$1=""),"",SUMIFS('All Donations'!$S$2:$S$4001,'All Donations'!$R$2:$R$4001,$AD691,'All Donations'!$T$2:$T$4001,L$1))</f>
        <v/>
      </c>
      <c r="M691" s="49">
        <f>IF(OR($AE691&lt;&gt;1,M$1=""),"",SUMIFS('All Donations'!$S$2:$S$4001,'All Donations'!$R$2:$R$4001,$AD691,'All Donations'!$T$2:$T$4001,M$1))</f>
        <v/>
      </c>
      <c r="N691" s="49">
        <f>IF(OR($AE691&lt;&gt;1,N$1=""),"",SUMIFS('All Donations'!$S$2:$S$4001,'All Donations'!$R$2:$R$4001,$AD691,'All Donations'!$T$2:$T$4001,N$1))</f>
        <v/>
      </c>
      <c r="O691" s="49">
        <f>IF(OR($AE691&lt;&gt;1,O$1=""),"",SUMIFS('All Donations'!$S$2:$S$4001,'All Donations'!$R$2:$R$4001,$AD691,'All Donations'!$T$2:$T$4001,O$1))</f>
        <v/>
      </c>
      <c r="P691" s="49">
        <f>IF(OR($AE691&lt;&gt;1,P$1=""),"",SUMIFS('All Donations'!$S$2:$S$4001,'All Donations'!$R$2:$R$4001,$AD691,'All Donations'!$T$2:$T$4001,P$1))</f>
        <v/>
      </c>
      <c r="Q691" s="49">
        <f>IF(OR($AE691&lt;&gt;1,Q$1=""),"",SUMIFS('All Donations'!$S$2:$S$4001,'All Donations'!$R$2:$R$4001,$AD691,'All Donations'!$T$2:$T$4001,Q$1))</f>
        <v/>
      </c>
      <c r="R691" s="49">
        <f>IF(OR($AE691&lt;&gt;1,R$1=""),"",SUMIFS('All Donations'!$S$2:$S$4001,'All Donations'!$R$2:$R$4001,$AD691,'All Donations'!$T$2:$T$4001,R$1))</f>
        <v/>
      </c>
      <c r="S691" s="49">
        <f>IF(OR($AE691&lt;&gt;1,S$1=""),"",SUMIFS('All Donations'!$S$2:$S$4001,'All Donations'!$R$2:$R$4001,$AD691,'All Donations'!$T$2:$T$4001,S$1))</f>
        <v/>
      </c>
      <c r="T691" s="49">
        <f>IF(OR($AE691&lt;&gt;1,T$1=""),"",SUMIFS('All Donations'!$S$2:$S$4001,'All Donations'!$R$2:$R$4001,$AD691,'All Donations'!$T$2:$T$4001,T$1))</f>
        <v/>
      </c>
      <c r="U691" s="49">
        <f>IF(OR($AE691&lt;&gt;1,U$1=""),"",SUMIFS('All Donations'!$S$2:$S$4001,'All Donations'!$R$2:$R$4001,$AD691,'All Donations'!$T$2:$T$4001,U$1))</f>
        <v/>
      </c>
      <c r="V691" s="49">
        <f>IF(OR($AE691&lt;&gt;1,V$1=""),"",SUMIFS('All Donations'!$S$2:$S$4001,'All Donations'!$R$2:$R$4001,$AD691,'All Donations'!$T$2:$T$4001,V$1))</f>
        <v/>
      </c>
      <c r="W691" s="49">
        <f>IF(OR($AE691&lt;&gt;1,W$1=""),"",SUMIFS('All Donations'!$S$2:$S$4001,'All Donations'!$R$2:$R$4001,$AD691,'All Donations'!$T$2:$T$4001,W$1))</f>
        <v/>
      </c>
      <c r="X691" s="49">
        <f>IF(OR($AE691&lt;&gt;1,X$1=""),"",SUMIFS('All Donations'!$S$2:$S$4001,'All Donations'!$R$2:$R$4001,$AD691,'All Donations'!$T$2:$T$4001,X$1))</f>
        <v/>
      </c>
      <c r="Y691" s="49">
        <f>IF(OR($AE691&lt;&gt;1,Y$1=""),"",SUMIFS('All Donations'!$S$2:$S$4001,'All Donations'!$R$2:$R$4001,$AD691,'All Donations'!$T$2:$T$4001,Y$1))</f>
        <v/>
      </c>
      <c r="Z691" s="49">
        <f>IF(OR($AE691&lt;&gt;1,Z$1=""),"",SUMIFS('All Donations'!$S$2:$S$4001,'All Donations'!$R$2:$R$4001,$AD691,'All Donations'!$T$2:$T$4001,Z$1))</f>
        <v/>
      </c>
      <c r="AA691" s="49">
        <f>IF(OR($AE691&lt;&gt;1,AA$1=""),"",SUMIFS('All Donations'!$S$2:$S$4001,'All Donations'!$R$2:$R$4001,$AD691,'All Donations'!$T$2:$T$4001,AA$1))</f>
        <v/>
      </c>
      <c r="AB691" s="49">
        <f>IF(OR($AE691&lt;&gt;1,AB$1=""),"",SUMIFS('All Donations'!$S$2:$S$4001,'All Donations'!$R$2:$R$4001,$AD691,'All Donations'!$T$2:$T$4001,AB$1))</f>
        <v/>
      </c>
      <c r="AC691" s="49">
        <f>IF(OR($AE691&lt;&gt;1,AC$1=""),"",SUMIFS('All Donations'!$S$2:$S$4001,'All Donations'!$R$2:$R$4001,$AD691,'All Donations'!$T$2:$T$4001,AC$1))</f>
        <v/>
      </c>
      <c r="AD691">
        <f>IF(AE691=1,'Roster'!A691,"")</f>
        <v/>
      </c>
      <c r="AE691">
        <f>IF(TRIM('Roster'!B691&amp;'Roster'!C691)&lt;&gt;"",1,0)</f>
        <v/>
      </c>
      <c r="AF691">
        <f>IF(AE691=1,LOWER(A691),"#")</f>
        <v/>
      </c>
      <c r="AG691">
        <f>IF(AE691=1,LOWER(TRIM(TRIM('Roster'!C691)&amp;", "&amp;TRIM('Roster'!B691))),"#")</f>
        <v/>
      </c>
      <c r="AH691">
        <f>IF(AND(AE691=1,TRIM('Roster'!F691)&lt;&gt;""),LOWER(TRIM('Roster'!F691)),"#")</f>
        <v/>
      </c>
      <c r="AI691">
        <f>IF(AE691=1,IF(MATCH(B691,$B$2:$B$701,0)=ROW()-1,1,0),0)</f>
        <v/>
      </c>
      <c r="AJ691">
        <f>AJ690+AI691</f>
        <v/>
      </c>
      <c r="AK691">
        <f>IF(AE691=1,D691+(1000-ROW())/10^7,-1)</f>
        <v/>
      </c>
      <c r="AL691">
        <f>IF(AE691=1,TRIM('Roster'!B691)&amp;" "&amp;LEFT(TRIM('Roster'!C691),1)&amp;".","")</f>
        <v/>
      </c>
      <c r="AM691">
        <f>IF(AE691=1,TRIM('Roster'!C691)&amp;", "&amp;TRIM('Roster'!B691)&amp;" ("&amp;B691&amp;") #"&amp;AD691,"")</f>
        <v/>
      </c>
      <c r="AN691">
        <f>IF(AE691=1,TRIM('Roster'!E691),"")</f>
        <v/>
      </c>
      <c r="AO691">
        <f>IF(AE691=1,ROUND(SUMIFS('All Donations'!$S$2:$S$4001,'All Donations'!$R$2:$R$4001,AD691,'All Donations'!$T$2:$T$4001,"&gt;="&amp;'Settings'!$C$23,'All Donations'!$T$2:$T$4001,"&lt;="&amp;'Settings'!$D$23),2),0)</f>
        <v/>
      </c>
      <c r="AQ691">
        <f>IF(AE691=1,ROUND(SUMIFS('All Donations'!$S$2:$S$4001,'All Donations'!$R$2:$R$4001,AD691,'All Donations'!$T$2:$T$4001,"&gt;="&amp;'Settings'!$C$25,'All Donations'!$T$2:$T$4001,"&lt;="&amp;'Settings'!$D$25),2),0)</f>
        <v/>
      </c>
      <c r="AR691">
        <f>IF(AE691=1,ROUND(SUMIFS('All Donations'!$S$2:$S$4001,'All Donations'!$R$2:$R$4001,AD691,'All Donations'!$T$2:$T$4001,"&gt;="&amp;'Settings'!$C$26,'All Donations'!$T$2:$T$4001,"&lt;="&amp;'Settings'!$D$26),2),0)</f>
        <v/>
      </c>
      <c r="AS691">
        <f>IF(AE691=1,ROUND(SUMIFS('All Donations'!$S$2:$S$4001,'All Donations'!$R$2:$R$4001,AD691,'All Donations'!$T$2:$T$4001,"&lt;="&amp;'Settings'!$D$27),2),0)</f>
        <v/>
      </c>
      <c r="AT691">
        <f>IF(AE691=1,ROUND(SUMIFS('All Donations'!$S$2:$S$4001,'All Donations'!$R$2:$R$4001,AD691,'All Donations'!$T$2:$T$4001,"&gt;="&amp;'Settings'!$C$28,'All Donations'!$T$2:$T$4001,"&lt;="&amp;'Settings'!$D$28),2),0)</f>
        <v/>
      </c>
      <c r="AU691">
        <f>IF(AE691=1,ROUND(SUMIFS('All Donations'!$S$2:$S$4001,'All Donations'!$R$2:$R$4001,AD691,'All Donations'!$T$2:$T$4001,"&gt;="&amp;'Settings'!$C$29,'All Donations'!$T$2:$T$4001,"&lt;="&amp;'Settings'!$D$29),2),0)</f>
        <v/>
      </c>
      <c r="AV691">
        <f>IF(AE691=1,ROUND(SUMIFS('All Donations'!$S$2:$S$4001,'All Donations'!$R$2:$R$4001,AD691,'All Donations'!$T$2:$T$4001,"&lt;="&amp;'Settings'!$D$30),2),0)</f>
        <v/>
      </c>
      <c r="AZ691">
        <f>IF(AE691=1,ROUND(SUMIFS('All Donations'!$S$2:$S$4001,'All Donations'!$R$2:$R$4001,AD691,'All Donations'!$T$2:$T$4001,"&lt;="&amp;'Settings'!$D$34),2),0)</f>
        <v/>
      </c>
    </row>
    <row r="692">
      <c r="A692">
        <f>IF(AE692=1,TRIM(TRIM('Roster'!B692)&amp;" "&amp;TRIM('Roster'!C692)),"")</f>
        <v/>
      </c>
      <c r="B692">
        <f>IF(AE692=1,IF(AN692="","(no teacher)",AN692&amp;" – "&amp;C692),"")</f>
        <v/>
      </c>
      <c r="C692">
        <f>IF(AE692=1,TRIM('Roster'!D692&amp;""),"")</f>
        <v/>
      </c>
      <c r="D692" s="48">
        <f>IF(AE692=1,ROUND(SUMIFS('All Donations'!$S$2:$S$4001,'All Donations'!$R$2:$R$4001,AD692),2),"")</f>
        <v/>
      </c>
      <c r="E692" s="48">
        <f>IF(AE692=1,ROUND(SUMIFS('All Donations'!$S$2:$S$4001,'All Donations'!$R$2:$R$4001,AD692,'All Donations'!$G$2:$G$4001,"OneCause"),2),"")</f>
        <v/>
      </c>
      <c r="F692" s="48">
        <f>IF(AE692=1,D692-E692,"")</f>
        <v/>
      </c>
      <c r="G692">
        <f>IF(AE692=1,COUNTIFS('All Donations'!$R$2:$R$4001,AD692,'All Donations'!$H$2:$H$4001,"OK"),"")</f>
        <v/>
      </c>
      <c r="H692">
        <f>IF(AE692&lt;&gt;1,"",IF(D692&gt;0,"Yes",""))</f>
        <v/>
      </c>
      <c r="I692" s="49">
        <f>IF(OR($AE692&lt;&gt;1,I$1=""),"",SUMIFS('All Donations'!$S$2:$S$4001,'All Donations'!$R$2:$R$4001,$AD692,'All Donations'!$T$2:$T$4001,I$1))</f>
        <v/>
      </c>
      <c r="J692" s="49">
        <f>IF(OR($AE692&lt;&gt;1,J$1=""),"",SUMIFS('All Donations'!$S$2:$S$4001,'All Donations'!$R$2:$R$4001,$AD692,'All Donations'!$T$2:$T$4001,J$1))</f>
        <v/>
      </c>
      <c r="K692" s="49">
        <f>IF(OR($AE692&lt;&gt;1,K$1=""),"",SUMIFS('All Donations'!$S$2:$S$4001,'All Donations'!$R$2:$R$4001,$AD692,'All Donations'!$T$2:$T$4001,K$1))</f>
        <v/>
      </c>
      <c r="L692" s="49">
        <f>IF(OR($AE692&lt;&gt;1,L$1=""),"",SUMIFS('All Donations'!$S$2:$S$4001,'All Donations'!$R$2:$R$4001,$AD692,'All Donations'!$T$2:$T$4001,L$1))</f>
        <v/>
      </c>
      <c r="M692" s="49">
        <f>IF(OR($AE692&lt;&gt;1,M$1=""),"",SUMIFS('All Donations'!$S$2:$S$4001,'All Donations'!$R$2:$R$4001,$AD692,'All Donations'!$T$2:$T$4001,M$1))</f>
        <v/>
      </c>
      <c r="N692" s="49">
        <f>IF(OR($AE692&lt;&gt;1,N$1=""),"",SUMIFS('All Donations'!$S$2:$S$4001,'All Donations'!$R$2:$R$4001,$AD692,'All Donations'!$T$2:$T$4001,N$1))</f>
        <v/>
      </c>
      <c r="O692" s="49">
        <f>IF(OR($AE692&lt;&gt;1,O$1=""),"",SUMIFS('All Donations'!$S$2:$S$4001,'All Donations'!$R$2:$R$4001,$AD692,'All Donations'!$T$2:$T$4001,O$1))</f>
        <v/>
      </c>
      <c r="P692" s="49">
        <f>IF(OR($AE692&lt;&gt;1,P$1=""),"",SUMIFS('All Donations'!$S$2:$S$4001,'All Donations'!$R$2:$R$4001,$AD692,'All Donations'!$T$2:$T$4001,P$1))</f>
        <v/>
      </c>
      <c r="Q692" s="49">
        <f>IF(OR($AE692&lt;&gt;1,Q$1=""),"",SUMIFS('All Donations'!$S$2:$S$4001,'All Donations'!$R$2:$R$4001,$AD692,'All Donations'!$T$2:$T$4001,Q$1))</f>
        <v/>
      </c>
      <c r="R692" s="49">
        <f>IF(OR($AE692&lt;&gt;1,R$1=""),"",SUMIFS('All Donations'!$S$2:$S$4001,'All Donations'!$R$2:$R$4001,$AD692,'All Donations'!$T$2:$T$4001,R$1))</f>
        <v/>
      </c>
      <c r="S692" s="49">
        <f>IF(OR($AE692&lt;&gt;1,S$1=""),"",SUMIFS('All Donations'!$S$2:$S$4001,'All Donations'!$R$2:$R$4001,$AD692,'All Donations'!$T$2:$T$4001,S$1))</f>
        <v/>
      </c>
      <c r="T692" s="49">
        <f>IF(OR($AE692&lt;&gt;1,T$1=""),"",SUMIFS('All Donations'!$S$2:$S$4001,'All Donations'!$R$2:$R$4001,$AD692,'All Donations'!$T$2:$T$4001,T$1))</f>
        <v/>
      </c>
      <c r="U692" s="49">
        <f>IF(OR($AE692&lt;&gt;1,U$1=""),"",SUMIFS('All Donations'!$S$2:$S$4001,'All Donations'!$R$2:$R$4001,$AD692,'All Donations'!$T$2:$T$4001,U$1))</f>
        <v/>
      </c>
      <c r="V692" s="49">
        <f>IF(OR($AE692&lt;&gt;1,V$1=""),"",SUMIFS('All Donations'!$S$2:$S$4001,'All Donations'!$R$2:$R$4001,$AD692,'All Donations'!$T$2:$T$4001,V$1))</f>
        <v/>
      </c>
      <c r="W692" s="49">
        <f>IF(OR($AE692&lt;&gt;1,W$1=""),"",SUMIFS('All Donations'!$S$2:$S$4001,'All Donations'!$R$2:$R$4001,$AD692,'All Donations'!$T$2:$T$4001,W$1))</f>
        <v/>
      </c>
      <c r="X692" s="49">
        <f>IF(OR($AE692&lt;&gt;1,X$1=""),"",SUMIFS('All Donations'!$S$2:$S$4001,'All Donations'!$R$2:$R$4001,$AD692,'All Donations'!$T$2:$T$4001,X$1))</f>
        <v/>
      </c>
      <c r="Y692" s="49">
        <f>IF(OR($AE692&lt;&gt;1,Y$1=""),"",SUMIFS('All Donations'!$S$2:$S$4001,'All Donations'!$R$2:$R$4001,$AD692,'All Donations'!$T$2:$T$4001,Y$1))</f>
        <v/>
      </c>
      <c r="Z692" s="49">
        <f>IF(OR($AE692&lt;&gt;1,Z$1=""),"",SUMIFS('All Donations'!$S$2:$S$4001,'All Donations'!$R$2:$R$4001,$AD692,'All Donations'!$T$2:$T$4001,Z$1))</f>
        <v/>
      </c>
      <c r="AA692" s="49">
        <f>IF(OR($AE692&lt;&gt;1,AA$1=""),"",SUMIFS('All Donations'!$S$2:$S$4001,'All Donations'!$R$2:$R$4001,$AD692,'All Donations'!$T$2:$T$4001,AA$1))</f>
        <v/>
      </c>
      <c r="AB692" s="49">
        <f>IF(OR($AE692&lt;&gt;1,AB$1=""),"",SUMIFS('All Donations'!$S$2:$S$4001,'All Donations'!$R$2:$R$4001,$AD692,'All Donations'!$T$2:$T$4001,AB$1))</f>
        <v/>
      </c>
      <c r="AC692" s="49">
        <f>IF(OR($AE692&lt;&gt;1,AC$1=""),"",SUMIFS('All Donations'!$S$2:$S$4001,'All Donations'!$R$2:$R$4001,$AD692,'All Donations'!$T$2:$T$4001,AC$1))</f>
        <v/>
      </c>
      <c r="AD692">
        <f>IF(AE692=1,'Roster'!A692,"")</f>
        <v/>
      </c>
      <c r="AE692">
        <f>IF(TRIM('Roster'!B692&amp;'Roster'!C692)&lt;&gt;"",1,0)</f>
        <v/>
      </c>
      <c r="AF692">
        <f>IF(AE692=1,LOWER(A692),"#")</f>
        <v/>
      </c>
      <c r="AG692">
        <f>IF(AE692=1,LOWER(TRIM(TRIM('Roster'!C692)&amp;", "&amp;TRIM('Roster'!B692))),"#")</f>
        <v/>
      </c>
      <c r="AH692">
        <f>IF(AND(AE692=1,TRIM('Roster'!F692)&lt;&gt;""),LOWER(TRIM('Roster'!F692)),"#")</f>
        <v/>
      </c>
      <c r="AI692">
        <f>IF(AE692=1,IF(MATCH(B692,$B$2:$B$701,0)=ROW()-1,1,0),0)</f>
        <v/>
      </c>
      <c r="AJ692">
        <f>AJ691+AI692</f>
        <v/>
      </c>
      <c r="AK692">
        <f>IF(AE692=1,D692+(1000-ROW())/10^7,-1)</f>
        <v/>
      </c>
      <c r="AL692">
        <f>IF(AE692=1,TRIM('Roster'!B692)&amp;" "&amp;LEFT(TRIM('Roster'!C692),1)&amp;".","")</f>
        <v/>
      </c>
      <c r="AM692">
        <f>IF(AE692=1,TRIM('Roster'!C692)&amp;", "&amp;TRIM('Roster'!B692)&amp;" ("&amp;B692&amp;") #"&amp;AD692,"")</f>
        <v/>
      </c>
      <c r="AN692">
        <f>IF(AE692=1,TRIM('Roster'!E692),"")</f>
        <v/>
      </c>
      <c r="AO692">
        <f>IF(AE692=1,ROUND(SUMIFS('All Donations'!$S$2:$S$4001,'All Donations'!$R$2:$R$4001,AD692,'All Donations'!$T$2:$T$4001,"&gt;="&amp;'Settings'!$C$23,'All Donations'!$T$2:$T$4001,"&lt;="&amp;'Settings'!$D$23),2),0)</f>
        <v/>
      </c>
      <c r="AQ692">
        <f>IF(AE692=1,ROUND(SUMIFS('All Donations'!$S$2:$S$4001,'All Donations'!$R$2:$R$4001,AD692,'All Donations'!$T$2:$T$4001,"&gt;="&amp;'Settings'!$C$25,'All Donations'!$T$2:$T$4001,"&lt;="&amp;'Settings'!$D$25),2),0)</f>
        <v/>
      </c>
      <c r="AR692">
        <f>IF(AE692=1,ROUND(SUMIFS('All Donations'!$S$2:$S$4001,'All Donations'!$R$2:$R$4001,AD692,'All Donations'!$T$2:$T$4001,"&gt;="&amp;'Settings'!$C$26,'All Donations'!$T$2:$T$4001,"&lt;="&amp;'Settings'!$D$26),2),0)</f>
        <v/>
      </c>
      <c r="AS692">
        <f>IF(AE692=1,ROUND(SUMIFS('All Donations'!$S$2:$S$4001,'All Donations'!$R$2:$R$4001,AD692,'All Donations'!$T$2:$T$4001,"&lt;="&amp;'Settings'!$D$27),2),0)</f>
        <v/>
      </c>
      <c r="AT692">
        <f>IF(AE692=1,ROUND(SUMIFS('All Donations'!$S$2:$S$4001,'All Donations'!$R$2:$R$4001,AD692,'All Donations'!$T$2:$T$4001,"&gt;="&amp;'Settings'!$C$28,'All Donations'!$T$2:$T$4001,"&lt;="&amp;'Settings'!$D$28),2),0)</f>
        <v/>
      </c>
      <c r="AU692">
        <f>IF(AE692=1,ROUND(SUMIFS('All Donations'!$S$2:$S$4001,'All Donations'!$R$2:$R$4001,AD692,'All Donations'!$T$2:$T$4001,"&gt;="&amp;'Settings'!$C$29,'All Donations'!$T$2:$T$4001,"&lt;="&amp;'Settings'!$D$29),2),0)</f>
        <v/>
      </c>
      <c r="AV692">
        <f>IF(AE692=1,ROUND(SUMIFS('All Donations'!$S$2:$S$4001,'All Donations'!$R$2:$R$4001,AD692,'All Donations'!$T$2:$T$4001,"&lt;="&amp;'Settings'!$D$30),2),0)</f>
        <v/>
      </c>
      <c r="AZ692">
        <f>IF(AE692=1,ROUND(SUMIFS('All Donations'!$S$2:$S$4001,'All Donations'!$R$2:$R$4001,AD692,'All Donations'!$T$2:$T$4001,"&lt;="&amp;'Settings'!$D$34),2),0)</f>
        <v/>
      </c>
    </row>
    <row r="693">
      <c r="A693">
        <f>IF(AE693=1,TRIM(TRIM('Roster'!B693)&amp;" "&amp;TRIM('Roster'!C693)),"")</f>
        <v/>
      </c>
      <c r="B693">
        <f>IF(AE693=1,IF(AN693="","(no teacher)",AN693&amp;" – "&amp;C693),"")</f>
        <v/>
      </c>
      <c r="C693">
        <f>IF(AE693=1,TRIM('Roster'!D693&amp;""),"")</f>
        <v/>
      </c>
      <c r="D693" s="48">
        <f>IF(AE693=1,ROUND(SUMIFS('All Donations'!$S$2:$S$4001,'All Donations'!$R$2:$R$4001,AD693),2),"")</f>
        <v/>
      </c>
      <c r="E693" s="48">
        <f>IF(AE693=1,ROUND(SUMIFS('All Donations'!$S$2:$S$4001,'All Donations'!$R$2:$R$4001,AD693,'All Donations'!$G$2:$G$4001,"OneCause"),2),"")</f>
        <v/>
      </c>
      <c r="F693" s="48">
        <f>IF(AE693=1,D693-E693,"")</f>
        <v/>
      </c>
      <c r="G693">
        <f>IF(AE693=1,COUNTIFS('All Donations'!$R$2:$R$4001,AD693,'All Donations'!$H$2:$H$4001,"OK"),"")</f>
        <v/>
      </c>
      <c r="H693">
        <f>IF(AE693&lt;&gt;1,"",IF(D693&gt;0,"Yes",""))</f>
        <v/>
      </c>
      <c r="I693" s="49">
        <f>IF(OR($AE693&lt;&gt;1,I$1=""),"",SUMIFS('All Donations'!$S$2:$S$4001,'All Donations'!$R$2:$R$4001,$AD693,'All Donations'!$T$2:$T$4001,I$1))</f>
        <v/>
      </c>
      <c r="J693" s="49">
        <f>IF(OR($AE693&lt;&gt;1,J$1=""),"",SUMIFS('All Donations'!$S$2:$S$4001,'All Donations'!$R$2:$R$4001,$AD693,'All Donations'!$T$2:$T$4001,J$1))</f>
        <v/>
      </c>
      <c r="K693" s="49">
        <f>IF(OR($AE693&lt;&gt;1,K$1=""),"",SUMIFS('All Donations'!$S$2:$S$4001,'All Donations'!$R$2:$R$4001,$AD693,'All Donations'!$T$2:$T$4001,K$1))</f>
        <v/>
      </c>
      <c r="L693" s="49">
        <f>IF(OR($AE693&lt;&gt;1,L$1=""),"",SUMIFS('All Donations'!$S$2:$S$4001,'All Donations'!$R$2:$R$4001,$AD693,'All Donations'!$T$2:$T$4001,L$1))</f>
        <v/>
      </c>
      <c r="M693" s="49">
        <f>IF(OR($AE693&lt;&gt;1,M$1=""),"",SUMIFS('All Donations'!$S$2:$S$4001,'All Donations'!$R$2:$R$4001,$AD693,'All Donations'!$T$2:$T$4001,M$1))</f>
        <v/>
      </c>
      <c r="N693" s="49">
        <f>IF(OR($AE693&lt;&gt;1,N$1=""),"",SUMIFS('All Donations'!$S$2:$S$4001,'All Donations'!$R$2:$R$4001,$AD693,'All Donations'!$T$2:$T$4001,N$1))</f>
        <v/>
      </c>
      <c r="O693" s="49">
        <f>IF(OR($AE693&lt;&gt;1,O$1=""),"",SUMIFS('All Donations'!$S$2:$S$4001,'All Donations'!$R$2:$R$4001,$AD693,'All Donations'!$T$2:$T$4001,O$1))</f>
        <v/>
      </c>
      <c r="P693" s="49">
        <f>IF(OR($AE693&lt;&gt;1,P$1=""),"",SUMIFS('All Donations'!$S$2:$S$4001,'All Donations'!$R$2:$R$4001,$AD693,'All Donations'!$T$2:$T$4001,P$1))</f>
        <v/>
      </c>
      <c r="Q693" s="49">
        <f>IF(OR($AE693&lt;&gt;1,Q$1=""),"",SUMIFS('All Donations'!$S$2:$S$4001,'All Donations'!$R$2:$R$4001,$AD693,'All Donations'!$T$2:$T$4001,Q$1))</f>
        <v/>
      </c>
      <c r="R693" s="49">
        <f>IF(OR($AE693&lt;&gt;1,R$1=""),"",SUMIFS('All Donations'!$S$2:$S$4001,'All Donations'!$R$2:$R$4001,$AD693,'All Donations'!$T$2:$T$4001,R$1))</f>
        <v/>
      </c>
      <c r="S693" s="49">
        <f>IF(OR($AE693&lt;&gt;1,S$1=""),"",SUMIFS('All Donations'!$S$2:$S$4001,'All Donations'!$R$2:$R$4001,$AD693,'All Donations'!$T$2:$T$4001,S$1))</f>
        <v/>
      </c>
      <c r="T693" s="49">
        <f>IF(OR($AE693&lt;&gt;1,T$1=""),"",SUMIFS('All Donations'!$S$2:$S$4001,'All Donations'!$R$2:$R$4001,$AD693,'All Donations'!$T$2:$T$4001,T$1))</f>
        <v/>
      </c>
      <c r="U693" s="49">
        <f>IF(OR($AE693&lt;&gt;1,U$1=""),"",SUMIFS('All Donations'!$S$2:$S$4001,'All Donations'!$R$2:$R$4001,$AD693,'All Donations'!$T$2:$T$4001,U$1))</f>
        <v/>
      </c>
      <c r="V693" s="49">
        <f>IF(OR($AE693&lt;&gt;1,V$1=""),"",SUMIFS('All Donations'!$S$2:$S$4001,'All Donations'!$R$2:$R$4001,$AD693,'All Donations'!$T$2:$T$4001,V$1))</f>
        <v/>
      </c>
      <c r="W693" s="49">
        <f>IF(OR($AE693&lt;&gt;1,W$1=""),"",SUMIFS('All Donations'!$S$2:$S$4001,'All Donations'!$R$2:$R$4001,$AD693,'All Donations'!$T$2:$T$4001,W$1))</f>
        <v/>
      </c>
      <c r="X693" s="49">
        <f>IF(OR($AE693&lt;&gt;1,X$1=""),"",SUMIFS('All Donations'!$S$2:$S$4001,'All Donations'!$R$2:$R$4001,$AD693,'All Donations'!$T$2:$T$4001,X$1))</f>
        <v/>
      </c>
      <c r="Y693" s="49">
        <f>IF(OR($AE693&lt;&gt;1,Y$1=""),"",SUMIFS('All Donations'!$S$2:$S$4001,'All Donations'!$R$2:$R$4001,$AD693,'All Donations'!$T$2:$T$4001,Y$1))</f>
        <v/>
      </c>
      <c r="Z693" s="49">
        <f>IF(OR($AE693&lt;&gt;1,Z$1=""),"",SUMIFS('All Donations'!$S$2:$S$4001,'All Donations'!$R$2:$R$4001,$AD693,'All Donations'!$T$2:$T$4001,Z$1))</f>
        <v/>
      </c>
      <c r="AA693" s="49">
        <f>IF(OR($AE693&lt;&gt;1,AA$1=""),"",SUMIFS('All Donations'!$S$2:$S$4001,'All Donations'!$R$2:$R$4001,$AD693,'All Donations'!$T$2:$T$4001,AA$1))</f>
        <v/>
      </c>
      <c r="AB693" s="49">
        <f>IF(OR($AE693&lt;&gt;1,AB$1=""),"",SUMIFS('All Donations'!$S$2:$S$4001,'All Donations'!$R$2:$R$4001,$AD693,'All Donations'!$T$2:$T$4001,AB$1))</f>
        <v/>
      </c>
      <c r="AC693" s="49">
        <f>IF(OR($AE693&lt;&gt;1,AC$1=""),"",SUMIFS('All Donations'!$S$2:$S$4001,'All Donations'!$R$2:$R$4001,$AD693,'All Donations'!$T$2:$T$4001,AC$1))</f>
        <v/>
      </c>
      <c r="AD693">
        <f>IF(AE693=1,'Roster'!A693,"")</f>
        <v/>
      </c>
      <c r="AE693">
        <f>IF(TRIM('Roster'!B693&amp;'Roster'!C693)&lt;&gt;"",1,0)</f>
        <v/>
      </c>
      <c r="AF693">
        <f>IF(AE693=1,LOWER(A693),"#")</f>
        <v/>
      </c>
      <c r="AG693">
        <f>IF(AE693=1,LOWER(TRIM(TRIM('Roster'!C693)&amp;", "&amp;TRIM('Roster'!B693))),"#")</f>
        <v/>
      </c>
      <c r="AH693">
        <f>IF(AND(AE693=1,TRIM('Roster'!F693)&lt;&gt;""),LOWER(TRIM('Roster'!F693)),"#")</f>
        <v/>
      </c>
      <c r="AI693">
        <f>IF(AE693=1,IF(MATCH(B693,$B$2:$B$701,0)=ROW()-1,1,0),0)</f>
        <v/>
      </c>
      <c r="AJ693">
        <f>AJ692+AI693</f>
        <v/>
      </c>
      <c r="AK693">
        <f>IF(AE693=1,D693+(1000-ROW())/10^7,-1)</f>
        <v/>
      </c>
      <c r="AL693">
        <f>IF(AE693=1,TRIM('Roster'!B693)&amp;" "&amp;LEFT(TRIM('Roster'!C693),1)&amp;".","")</f>
        <v/>
      </c>
      <c r="AM693">
        <f>IF(AE693=1,TRIM('Roster'!C693)&amp;", "&amp;TRIM('Roster'!B693)&amp;" ("&amp;B693&amp;") #"&amp;AD693,"")</f>
        <v/>
      </c>
      <c r="AN693">
        <f>IF(AE693=1,TRIM('Roster'!E693),"")</f>
        <v/>
      </c>
      <c r="AO693">
        <f>IF(AE693=1,ROUND(SUMIFS('All Donations'!$S$2:$S$4001,'All Donations'!$R$2:$R$4001,AD693,'All Donations'!$T$2:$T$4001,"&gt;="&amp;'Settings'!$C$23,'All Donations'!$T$2:$T$4001,"&lt;="&amp;'Settings'!$D$23),2),0)</f>
        <v/>
      </c>
      <c r="AQ693">
        <f>IF(AE693=1,ROUND(SUMIFS('All Donations'!$S$2:$S$4001,'All Donations'!$R$2:$R$4001,AD693,'All Donations'!$T$2:$T$4001,"&gt;="&amp;'Settings'!$C$25,'All Donations'!$T$2:$T$4001,"&lt;="&amp;'Settings'!$D$25),2),0)</f>
        <v/>
      </c>
      <c r="AR693">
        <f>IF(AE693=1,ROUND(SUMIFS('All Donations'!$S$2:$S$4001,'All Donations'!$R$2:$R$4001,AD693,'All Donations'!$T$2:$T$4001,"&gt;="&amp;'Settings'!$C$26,'All Donations'!$T$2:$T$4001,"&lt;="&amp;'Settings'!$D$26),2),0)</f>
        <v/>
      </c>
      <c r="AS693">
        <f>IF(AE693=1,ROUND(SUMIFS('All Donations'!$S$2:$S$4001,'All Donations'!$R$2:$R$4001,AD693,'All Donations'!$T$2:$T$4001,"&lt;="&amp;'Settings'!$D$27),2),0)</f>
        <v/>
      </c>
      <c r="AT693">
        <f>IF(AE693=1,ROUND(SUMIFS('All Donations'!$S$2:$S$4001,'All Donations'!$R$2:$R$4001,AD693,'All Donations'!$T$2:$T$4001,"&gt;="&amp;'Settings'!$C$28,'All Donations'!$T$2:$T$4001,"&lt;="&amp;'Settings'!$D$28),2),0)</f>
        <v/>
      </c>
      <c r="AU693">
        <f>IF(AE693=1,ROUND(SUMIFS('All Donations'!$S$2:$S$4001,'All Donations'!$R$2:$R$4001,AD693,'All Donations'!$T$2:$T$4001,"&gt;="&amp;'Settings'!$C$29,'All Donations'!$T$2:$T$4001,"&lt;="&amp;'Settings'!$D$29),2),0)</f>
        <v/>
      </c>
      <c r="AV693">
        <f>IF(AE693=1,ROUND(SUMIFS('All Donations'!$S$2:$S$4001,'All Donations'!$R$2:$R$4001,AD693,'All Donations'!$T$2:$T$4001,"&lt;="&amp;'Settings'!$D$30),2),0)</f>
        <v/>
      </c>
      <c r="AZ693">
        <f>IF(AE693=1,ROUND(SUMIFS('All Donations'!$S$2:$S$4001,'All Donations'!$R$2:$R$4001,AD693,'All Donations'!$T$2:$T$4001,"&lt;="&amp;'Settings'!$D$34),2),0)</f>
        <v/>
      </c>
    </row>
    <row r="694">
      <c r="A694">
        <f>IF(AE694=1,TRIM(TRIM('Roster'!B694)&amp;" "&amp;TRIM('Roster'!C694)),"")</f>
        <v/>
      </c>
      <c r="B694">
        <f>IF(AE694=1,IF(AN694="","(no teacher)",AN694&amp;" – "&amp;C694),"")</f>
        <v/>
      </c>
      <c r="C694">
        <f>IF(AE694=1,TRIM('Roster'!D694&amp;""),"")</f>
        <v/>
      </c>
      <c r="D694" s="48">
        <f>IF(AE694=1,ROUND(SUMIFS('All Donations'!$S$2:$S$4001,'All Donations'!$R$2:$R$4001,AD694),2),"")</f>
        <v/>
      </c>
      <c r="E694" s="48">
        <f>IF(AE694=1,ROUND(SUMIFS('All Donations'!$S$2:$S$4001,'All Donations'!$R$2:$R$4001,AD694,'All Donations'!$G$2:$G$4001,"OneCause"),2),"")</f>
        <v/>
      </c>
      <c r="F694" s="48">
        <f>IF(AE694=1,D694-E694,"")</f>
        <v/>
      </c>
      <c r="G694">
        <f>IF(AE694=1,COUNTIFS('All Donations'!$R$2:$R$4001,AD694,'All Donations'!$H$2:$H$4001,"OK"),"")</f>
        <v/>
      </c>
      <c r="H694">
        <f>IF(AE694&lt;&gt;1,"",IF(D694&gt;0,"Yes",""))</f>
        <v/>
      </c>
      <c r="I694" s="49">
        <f>IF(OR($AE694&lt;&gt;1,I$1=""),"",SUMIFS('All Donations'!$S$2:$S$4001,'All Donations'!$R$2:$R$4001,$AD694,'All Donations'!$T$2:$T$4001,I$1))</f>
        <v/>
      </c>
      <c r="J694" s="49">
        <f>IF(OR($AE694&lt;&gt;1,J$1=""),"",SUMIFS('All Donations'!$S$2:$S$4001,'All Donations'!$R$2:$R$4001,$AD694,'All Donations'!$T$2:$T$4001,J$1))</f>
        <v/>
      </c>
      <c r="K694" s="49">
        <f>IF(OR($AE694&lt;&gt;1,K$1=""),"",SUMIFS('All Donations'!$S$2:$S$4001,'All Donations'!$R$2:$R$4001,$AD694,'All Donations'!$T$2:$T$4001,K$1))</f>
        <v/>
      </c>
      <c r="L694" s="49">
        <f>IF(OR($AE694&lt;&gt;1,L$1=""),"",SUMIFS('All Donations'!$S$2:$S$4001,'All Donations'!$R$2:$R$4001,$AD694,'All Donations'!$T$2:$T$4001,L$1))</f>
        <v/>
      </c>
      <c r="M694" s="49">
        <f>IF(OR($AE694&lt;&gt;1,M$1=""),"",SUMIFS('All Donations'!$S$2:$S$4001,'All Donations'!$R$2:$R$4001,$AD694,'All Donations'!$T$2:$T$4001,M$1))</f>
        <v/>
      </c>
      <c r="N694" s="49">
        <f>IF(OR($AE694&lt;&gt;1,N$1=""),"",SUMIFS('All Donations'!$S$2:$S$4001,'All Donations'!$R$2:$R$4001,$AD694,'All Donations'!$T$2:$T$4001,N$1))</f>
        <v/>
      </c>
      <c r="O694" s="49">
        <f>IF(OR($AE694&lt;&gt;1,O$1=""),"",SUMIFS('All Donations'!$S$2:$S$4001,'All Donations'!$R$2:$R$4001,$AD694,'All Donations'!$T$2:$T$4001,O$1))</f>
        <v/>
      </c>
      <c r="P694" s="49">
        <f>IF(OR($AE694&lt;&gt;1,P$1=""),"",SUMIFS('All Donations'!$S$2:$S$4001,'All Donations'!$R$2:$R$4001,$AD694,'All Donations'!$T$2:$T$4001,P$1))</f>
        <v/>
      </c>
      <c r="Q694" s="49">
        <f>IF(OR($AE694&lt;&gt;1,Q$1=""),"",SUMIFS('All Donations'!$S$2:$S$4001,'All Donations'!$R$2:$R$4001,$AD694,'All Donations'!$T$2:$T$4001,Q$1))</f>
        <v/>
      </c>
      <c r="R694" s="49">
        <f>IF(OR($AE694&lt;&gt;1,R$1=""),"",SUMIFS('All Donations'!$S$2:$S$4001,'All Donations'!$R$2:$R$4001,$AD694,'All Donations'!$T$2:$T$4001,R$1))</f>
        <v/>
      </c>
      <c r="S694" s="49">
        <f>IF(OR($AE694&lt;&gt;1,S$1=""),"",SUMIFS('All Donations'!$S$2:$S$4001,'All Donations'!$R$2:$R$4001,$AD694,'All Donations'!$T$2:$T$4001,S$1))</f>
        <v/>
      </c>
      <c r="T694" s="49">
        <f>IF(OR($AE694&lt;&gt;1,T$1=""),"",SUMIFS('All Donations'!$S$2:$S$4001,'All Donations'!$R$2:$R$4001,$AD694,'All Donations'!$T$2:$T$4001,T$1))</f>
        <v/>
      </c>
      <c r="U694" s="49">
        <f>IF(OR($AE694&lt;&gt;1,U$1=""),"",SUMIFS('All Donations'!$S$2:$S$4001,'All Donations'!$R$2:$R$4001,$AD694,'All Donations'!$T$2:$T$4001,U$1))</f>
        <v/>
      </c>
      <c r="V694" s="49">
        <f>IF(OR($AE694&lt;&gt;1,V$1=""),"",SUMIFS('All Donations'!$S$2:$S$4001,'All Donations'!$R$2:$R$4001,$AD694,'All Donations'!$T$2:$T$4001,V$1))</f>
        <v/>
      </c>
      <c r="W694" s="49">
        <f>IF(OR($AE694&lt;&gt;1,W$1=""),"",SUMIFS('All Donations'!$S$2:$S$4001,'All Donations'!$R$2:$R$4001,$AD694,'All Donations'!$T$2:$T$4001,W$1))</f>
        <v/>
      </c>
      <c r="X694" s="49">
        <f>IF(OR($AE694&lt;&gt;1,X$1=""),"",SUMIFS('All Donations'!$S$2:$S$4001,'All Donations'!$R$2:$R$4001,$AD694,'All Donations'!$T$2:$T$4001,X$1))</f>
        <v/>
      </c>
      <c r="Y694" s="49">
        <f>IF(OR($AE694&lt;&gt;1,Y$1=""),"",SUMIFS('All Donations'!$S$2:$S$4001,'All Donations'!$R$2:$R$4001,$AD694,'All Donations'!$T$2:$T$4001,Y$1))</f>
        <v/>
      </c>
      <c r="Z694" s="49">
        <f>IF(OR($AE694&lt;&gt;1,Z$1=""),"",SUMIFS('All Donations'!$S$2:$S$4001,'All Donations'!$R$2:$R$4001,$AD694,'All Donations'!$T$2:$T$4001,Z$1))</f>
        <v/>
      </c>
      <c r="AA694" s="49">
        <f>IF(OR($AE694&lt;&gt;1,AA$1=""),"",SUMIFS('All Donations'!$S$2:$S$4001,'All Donations'!$R$2:$R$4001,$AD694,'All Donations'!$T$2:$T$4001,AA$1))</f>
        <v/>
      </c>
      <c r="AB694" s="49">
        <f>IF(OR($AE694&lt;&gt;1,AB$1=""),"",SUMIFS('All Donations'!$S$2:$S$4001,'All Donations'!$R$2:$R$4001,$AD694,'All Donations'!$T$2:$T$4001,AB$1))</f>
        <v/>
      </c>
      <c r="AC694" s="49">
        <f>IF(OR($AE694&lt;&gt;1,AC$1=""),"",SUMIFS('All Donations'!$S$2:$S$4001,'All Donations'!$R$2:$R$4001,$AD694,'All Donations'!$T$2:$T$4001,AC$1))</f>
        <v/>
      </c>
      <c r="AD694">
        <f>IF(AE694=1,'Roster'!A694,"")</f>
        <v/>
      </c>
      <c r="AE694">
        <f>IF(TRIM('Roster'!B694&amp;'Roster'!C694)&lt;&gt;"",1,0)</f>
        <v/>
      </c>
      <c r="AF694">
        <f>IF(AE694=1,LOWER(A694),"#")</f>
        <v/>
      </c>
      <c r="AG694">
        <f>IF(AE694=1,LOWER(TRIM(TRIM('Roster'!C694)&amp;", "&amp;TRIM('Roster'!B694))),"#")</f>
        <v/>
      </c>
      <c r="AH694">
        <f>IF(AND(AE694=1,TRIM('Roster'!F694)&lt;&gt;""),LOWER(TRIM('Roster'!F694)),"#")</f>
        <v/>
      </c>
      <c r="AI694">
        <f>IF(AE694=1,IF(MATCH(B694,$B$2:$B$701,0)=ROW()-1,1,0),0)</f>
        <v/>
      </c>
      <c r="AJ694">
        <f>AJ693+AI694</f>
        <v/>
      </c>
      <c r="AK694">
        <f>IF(AE694=1,D694+(1000-ROW())/10^7,-1)</f>
        <v/>
      </c>
      <c r="AL694">
        <f>IF(AE694=1,TRIM('Roster'!B694)&amp;" "&amp;LEFT(TRIM('Roster'!C694),1)&amp;".","")</f>
        <v/>
      </c>
      <c r="AM694">
        <f>IF(AE694=1,TRIM('Roster'!C694)&amp;", "&amp;TRIM('Roster'!B694)&amp;" ("&amp;B694&amp;") #"&amp;AD694,"")</f>
        <v/>
      </c>
      <c r="AN694">
        <f>IF(AE694=1,TRIM('Roster'!E694),"")</f>
        <v/>
      </c>
      <c r="AO694">
        <f>IF(AE694=1,ROUND(SUMIFS('All Donations'!$S$2:$S$4001,'All Donations'!$R$2:$R$4001,AD694,'All Donations'!$T$2:$T$4001,"&gt;="&amp;'Settings'!$C$23,'All Donations'!$T$2:$T$4001,"&lt;="&amp;'Settings'!$D$23),2),0)</f>
        <v/>
      </c>
      <c r="AQ694">
        <f>IF(AE694=1,ROUND(SUMIFS('All Donations'!$S$2:$S$4001,'All Donations'!$R$2:$R$4001,AD694,'All Donations'!$T$2:$T$4001,"&gt;="&amp;'Settings'!$C$25,'All Donations'!$T$2:$T$4001,"&lt;="&amp;'Settings'!$D$25),2),0)</f>
        <v/>
      </c>
      <c r="AR694">
        <f>IF(AE694=1,ROUND(SUMIFS('All Donations'!$S$2:$S$4001,'All Donations'!$R$2:$R$4001,AD694,'All Donations'!$T$2:$T$4001,"&gt;="&amp;'Settings'!$C$26,'All Donations'!$T$2:$T$4001,"&lt;="&amp;'Settings'!$D$26),2),0)</f>
        <v/>
      </c>
      <c r="AS694">
        <f>IF(AE694=1,ROUND(SUMIFS('All Donations'!$S$2:$S$4001,'All Donations'!$R$2:$R$4001,AD694,'All Donations'!$T$2:$T$4001,"&lt;="&amp;'Settings'!$D$27),2),0)</f>
        <v/>
      </c>
      <c r="AT694">
        <f>IF(AE694=1,ROUND(SUMIFS('All Donations'!$S$2:$S$4001,'All Donations'!$R$2:$R$4001,AD694,'All Donations'!$T$2:$T$4001,"&gt;="&amp;'Settings'!$C$28,'All Donations'!$T$2:$T$4001,"&lt;="&amp;'Settings'!$D$28),2),0)</f>
        <v/>
      </c>
      <c r="AU694">
        <f>IF(AE694=1,ROUND(SUMIFS('All Donations'!$S$2:$S$4001,'All Donations'!$R$2:$R$4001,AD694,'All Donations'!$T$2:$T$4001,"&gt;="&amp;'Settings'!$C$29,'All Donations'!$T$2:$T$4001,"&lt;="&amp;'Settings'!$D$29),2),0)</f>
        <v/>
      </c>
      <c r="AV694">
        <f>IF(AE694=1,ROUND(SUMIFS('All Donations'!$S$2:$S$4001,'All Donations'!$R$2:$R$4001,AD694,'All Donations'!$T$2:$T$4001,"&lt;="&amp;'Settings'!$D$30),2),0)</f>
        <v/>
      </c>
      <c r="AZ694">
        <f>IF(AE694=1,ROUND(SUMIFS('All Donations'!$S$2:$S$4001,'All Donations'!$R$2:$R$4001,AD694,'All Donations'!$T$2:$T$4001,"&lt;="&amp;'Settings'!$D$34),2),0)</f>
        <v/>
      </c>
    </row>
    <row r="695">
      <c r="A695">
        <f>IF(AE695=1,TRIM(TRIM('Roster'!B695)&amp;" "&amp;TRIM('Roster'!C695)),"")</f>
        <v/>
      </c>
      <c r="B695">
        <f>IF(AE695=1,IF(AN695="","(no teacher)",AN695&amp;" – "&amp;C695),"")</f>
        <v/>
      </c>
      <c r="C695">
        <f>IF(AE695=1,TRIM('Roster'!D695&amp;""),"")</f>
        <v/>
      </c>
      <c r="D695" s="48">
        <f>IF(AE695=1,ROUND(SUMIFS('All Donations'!$S$2:$S$4001,'All Donations'!$R$2:$R$4001,AD695),2),"")</f>
        <v/>
      </c>
      <c r="E695" s="48">
        <f>IF(AE695=1,ROUND(SUMIFS('All Donations'!$S$2:$S$4001,'All Donations'!$R$2:$R$4001,AD695,'All Donations'!$G$2:$G$4001,"OneCause"),2),"")</f>
        <v/>
      </c>
      <c r="F695" s="48">
        <f>IF(AE695=1,D695-E695,"")</f>
        <v/>
      </c>
      <c r="G695">
        <f>IF(AE695=1,COUNTIFS('All Donations'!$R$2:$R$4001,AD695,'All Donations'!$H$2:$H$4001,"OK"),"")</f>
        <v/>
      </c>
      <c r="H695">
        <f>IF(AE695&lt;&gt;1,"",IF(D695&gt;0,"Yes",""))</f>
        <v/>
      </c>
      <c r="I695" s="49">
        <f>IF(OR($AE695&lt;&gt;1,I$1=""),"",SUMIFS('All Donations'!$S$2:$S$4001,'All Donations'!$R$2:$R$4001,$AD695,'All Donations'!$T$2:$T$4001,I$1))</f>
        <v/>
      </c>
      <c r="J695" s="49">
        <f>IF(OR($AE695&lt;&gt;1,J$1=""),"",SUMIFS('All Donations'!$S$2:$S$4001,'All Donations'!$R$2:$R$4001,$AD695,'All Donations'!$T$2:$T$4001,J$1))</f>
        <v/>
      </c>
      <c r="K695" s="49">
        <f>IF(OR($AE695&lt;&gt;1,K$1=""),"",SUMIFS('All Donations'!$S$2:$S$4001,'All Donations'!$R$2:$R$4001,$AD695,'All Donations'!$T$2:$T$4001,K$1))</f>
        <v/>
      </c>
      <c r="L695" s="49">
        <f>IF(OR($AE695&lt;&gt;1,L$1=""),"",SUMIFS('All Donations'!$S$2:$S$4001,'All Donations'!$R$2:$R$4001,$AD695,'All Donations'!$T$2:$T$4001,L$1))</f>
        <v/>
      </c>
      <c r="M695" s="49">
        <f>IF(OR($AE695&lt;&gt;1,M$1=""),"",SUMIFS('All Donations'!$S$2:$S$4001,'All Donations'!$R$2:$R$4001,$AD695,'All Donations'!$T$2:$T$4001,M$1))</f>
        <v/>
      </c>
      <c r="N695" s="49">
        <f>IF(OR($AE695&lt;&gt;1,N$1=""),"",SUMIFS('All Donations'!$S$2:$S$4001,'All Donations'!$R$2:$R$4001,$AD695,'All Donations'!$T$2:$T$4001,N$1))</f>
        <v/>
      </c>
      <c r="O695" s="49">
        <f>IF(OR($AE695&lt;&gt;1,O$1=""),"",SUMIFS('All Donations'!$S$2:$S$4001,'All Donations'!$R$2:$R$4001,$AD695,'All Donations'!$T$2:$T$4001,O$1))</f>
        <v/>
      </c>
      <c r="P695" s="49">
        <f>IF(OR($AE695&lt;&gt;1,P$1=""),"",SUMIFS('All Donations'!$S$2:$S$4001,'All Donations'!$R$2:$R$4001,$AD695,'All Donations'!$T$2:$T$4001,P$1))</f>
        <v/>
      </c>
      <c r="Q695" s="49">
        <f>IF(OR($AE695&lt;&gt;1,Q$1=""),"",SUMIFS('All Donations'!$S$2:$S$4001,'All Donations'!$R$2:$R$4001,$AD695,'All Donations'!$T$2:$T$4001,Q$1))</f>
        <v/>
      </c>
      <c r="R695" s="49">
        <f>IF(OR($AE695&lt;&gt;1,R$1=""),"",SUMIFS('All Donations'!$S$2:$S$4001,'All Donations'!$R$2:$R$4001,$AD695,'All Donations'!$T$2:$T$4001,R$1))</f>
        <v/>
      </c>
      <c r="S695" s="49">
        <f>IF(OR($AE695&lt;&gt;1,S$1=""),"",SUMIFS('All Donations'!$S$2:$S$4001,'All Donations'!$R$2:$R$4001,$AD695,'All Donations'!$T$2:$T$4001,S$1))</f>
        <v/>
      </c>
      <c r="T695" s="49">
        <f>IF(OR($AE695&lt;&gt;1,T$1=""),"",SUMIFS('All Donations'!$S$2:$S$4001,'All Donations'!$R$2:$R$4001,$AD695,'All Donations'!$T$2:$T$4001,T$1))</f>
        <v/>
      </c>
      <c r="U695" s="49">
        <f>IF(OR($AE695&lt;&gt;1,U$1=""),"",SUMIFS('All Donations'!$S$2:$S$4001,'All Donations'!$R$2:$R$4001,$AD695,'All Donations'!$T$2:$T$4001,U$1))</f>
        <v/>
      </c>
      <c r="V695" s="49">
        <f>IF(OR($AE695&lt;&gt;1,V$1=""),"",SUMIFS('All Donations'!$S$2:$S$4001,'All Donations'!$R$2:$R$4001,$AD695,'All Donations'!$T$2:$T$4001,V$1))</f>
        <v/>
      </c>
      <c r="W695" s="49">
        <f>IF(OR($AE695&lt;&gt;1,W$1=""),"",SUMIFS('All Donations'!$S$2:$S$4001,'All Donations'!$R$2:$R$4001,$AD695,'All Donations'!$T$2:$T$4001,W$1))</f>
        <v/>
      </c>
      <c r="X695" s="49">
        <f>IF(OR($AE695&lt;&gt;1,X$1=""),"",SUMIFS('All Donations'!$S$2:$S$4001,'All Donations'!$R$2:$R$4001,$AD695,'All Donations'!$T$2:$T$4001,X$1))</f>
        <v/>
      </c>
      <c r="Y695" s="49">
        <f>IF(OR($AE695&lt;&gt;1,Y$1=""),"",SUMIFS('All Donations'!$S$2:$S$4001,'All Donations'!$R$2:$R$4001,$AD695,'All Donations'!$T$2:$T$4001,Y$1))</f>
        <v/>
      </c>
      <c r="Z695" s="49">
        <f>IF(OR($AE695&lt;&gt;1,Z$1=""),"",SUMIFS('All Donations'!$S$2:$S$4001,'All Donations'!$R$2:$R$4001,$AD695,'All Donations'!$T$2:$T$4001,Z$1))</f>
        <v/>
      </c>
      <c r="AA695" s="49">
        <f>IF(OR($AE695&lt;&gt;1,AA$1=""),"",SUMIFS('All Donations'!$S$2:$S$4001,'All Donations'!$R$2:$R$4001,$AD695,'All Donations'!$T$2:$T$4001,AA$1))</f>
        <v/>
      </c>
      <c r="AB695" s="49">
        <f>IF(OR($AE695&lt;&gt;1,AB$1=""),"",SUMIFS('All Donations'!$S$2:$S$4001,'All Donations'!$R$2:$R$4001,$AD695,'All Donations'!$T$2:$T$4001,AB$1))</f>
        <v/>
      </c>
      <c r="AC695" s="49">
        <f>IF(OR($AE695&lt;&gt;1,AC$1=""),"",SUMIFS('All Donations'!$S$2:$S$4001,'All Donations'!$R$2:$R$4001,$AD695,'All Donations'!$T$2:$T$4001,AC$1))</f>
        <v/>
      </c>
      <c r="AD695">
        <f>IF(AE695=1,'Roster'!A695,"")</f>
        <v/>
      </c>
      <c r="AE695">
        <f>IF(TRIM('Roster'!B695&amp;'Roster'!C695)&lt;&gt;"",1,0)</f>
        <v/>
      </c>
      <c r="AF695">
        <f>IF(AE695=1,LOWER(A695),"#")</f>
        <v/>
      </c>
      <c r="AG695">
        <f>IF(AE695=1,LOWER(TRIM(TRIM('Roster'!C695)&amp;", "&amp;TRIM('Roster'!B695))),"#")</f>
        <v/>
      </c>
      <c r="AH695">
        <f>IF(AND(AE695=1,TRIM('Roster'!F695)&lt;&gt;""),LOWER(TRIM('Roster'!F695)),"#")</f>
        <v/>
      </c>
      <c r="AI695">
        <f>IF(AE695=1,IF(MATCH(B695,$B$2:$B$701,0)=ROW()-1,1,0),0)</f>
        <v/>
      </c>
      <c r="AJ695">
        <f>AJ694+AI695</f>
        <v/>
      </c>
      <c r="AK695">
        <f>IF(AE695=1,D695+(1000-ROW())/10^7,-1)</f>
        <v/>
      </c>
      <c r="AL695">
        <f>IF(AE695=1,TRIM('Roster'!B695)&amp;" "&amp;LEFT(TRIM('Roster'!C695),1)&amp;".","")</f>
        <v/>
      </c>
      <c r="AM695">
        <f>IF(AE695=1,TRIM('Roster'!C695)&amp;", "&amp;TRIM('Roster'!B695)&amp;" ("&amp;B695&amp;") #"&amp;AD695,"")</f>
        <v/>
      </c>
      <c r="AN695">
        <f>IF(AE695=1,TRIM('Roster'!E695),"")</f>
        <v/>
      </c>
      <c r="AO695">
        <f>IF(AE695=1,ROUND(SUMIFS('All Donations'!$S$2:$S$4001,'All Donations'!$R$2:$R$4001,AD695,'All Donations'!$T$2:$T$4001,"&gt;="&amp;'Settings'!$C$23,'All Donations'!$T$2:$T$4001,"&lt;="&amp;'Settings'!$D$23),2),0)</f>
        <v/>
      </c>
      <c r="AQ695">
        <f>IF(AE695=1,ROUND(SUMIFS('All Donations'!$S$2:$S$4001,'All Donations'!$R$2:$R$4001,AD695,'All Donations'!$T$2:$T$4001,"&gt;="&amp;'Settings'!$C$25,'All Donations'!$T$2:$T$4001,"&lt;="&amp;'Settings'!$D$25),2),0)</f>
        <v/>
      </c>
      <c r="AR695">
        <f>IF(AE695=1,ROUND(SUMIFS('All Donations'!$S$2:$S$4001,'All Donations'!$R$2:$R$4001,AD695,'All Donations'!$T$2:$T$4001,"&gt;="&amp;'Settings'!$C$26,'All Donations'!$T$2:$T$4001,"&lt;="&amp;'Settings'!$D$26),2),0)</f>
        <v/>
      </c>
      <c r="AS695">
        <f>IF(AE695=1,ROUND(SUMIFS('All Donations'!$S$2:$S$4001,'All Donations'!$R$2:$R$4001,AD695,'All Donations'!$T$2:$T$4001,"&lt;="&amp;'Settings'!$D$27),2),0)</f>
        <v/>
      </c>
      <c r="AT695">
        <f>IF(AE695=1,ROUND(SUMIFS('All Donations'!$S$2:$S$4001,'All Donations'!$R$2:$R$4001,AD695,'All Donations'!$T$2:$T$4001,"&gt;="&amp;'Settings'!$C$28,'All Donations'!$T$2:$T$4001,"&lt;="&amp;'Settings'!$D$28),2),0)</f>
        <v/>
      </c>
      <c r="AU695">
        <f>IF(AE695=1,ROUND(SUMIFS('All Donations'!$S$2:$S$4001,'All Donations'!$R$2:$R$4001,AD695,'All Donations'!$T$2:$T$4001,"&gt;="&amp;'Settings'!$C$29,'All Donations'!$T$2:$T$4001,"&lt;="&amp;'Settings'!$D$29),2),0)</f>
        <v/>
      </c>
      <c r="AV695">
        <f>IF(AE695=1,ROUND(SUMIFS('All Donations'!$S$2:$S$4001,'All Donations'!$R$2:$R$4001,AD695,'All Donations'!$T$2:$T$4001,"&lt;="&amp;'Settings'!$D$30),2),0)</f>
        <v/>
      </c>
      <c r="AZ695">
        <f>IF(AE695=1,ROUND(SUMIFS('All Donations'!$S$2:$S$4001,'All Donations'!$R$2:$R$4001,AD695,'All Donations'!$T$2:$T$4001,"&lt;="&amp;'Settings'!$D$34),2),0)</f>
        <v/>
      </c>
    </row>
    <row r="696">
      <c r="A696">
        <f>IF(AE696=1,TRIM(TRIM('Roster'!B696)&amp;" "&amp;TRIM('Roster'!C696)),"")</f>
        <v/>
      </c>
      <c r="B696">
        <f>IF(AE696=1,IF(AN696="","(no teacher)",AN696&amp;" – "&amp;C696),"")</f>
        <v/>
      </c>
      <c r="C696">
        <f>IF(AE696=1,TRIM('Roster'!D696&amp;""),"")</f>
        <v/>
      </c>
      <c r="D696" s="48">
        <f>IF(AE696=1,ROUND(SUMIFS('All Donations'!$S$2:$S$4001,'All Donations'!$R$2:$R$4001,AD696),2),"")</f>
        <v/>
      </c>
      <c r="E696" s="48">
        <f>IF(AE696=1,ROUND(SUMIFS('All Donations'!$S$2:$S$4001,'All Donations'!$R$2:$R$4001,AD696,'All Donations'!$G$2:$G$4001,"OneCause"),2),"")</f>
        <v/>
      </c>
      <c r="F696" s="48">
        <f>IF(AE696=1,D696-E696,"")</f>
        <v/>
      </c>
      <c r="G696">
        <f>IF(AE696=1,COUNTIFS('All Donations'!$R$2:$R$4001,AD696,'All Donations'!$H$2:$H$4001,"OK"),"")</f>
        <v/>
      </c>
      <c r="H696">
        <f>IF(AE696&lt;&gt;1,"",IF(D696&gt;0,"Yes",""))</f>
        <v/>
      </c>
      <c r="I696" s="49">
        <f>IF(OR($AE696&lt;&gt;1,I$1=""),"",SUMIFS('All Donations'!$S$2:$S$4001,'All Donations'!$R$2:$R$4001,$AD696,'All Donations'!$T$2:$T$4001,I$1))</f>
        <v/>
      </c>
      <c r="J696" s="49">
        <f>IF(OR($AE696&lt;&gt;1,J$1=""),"",SUMIFS('All Donations'!$S$2:$S$4001,'All Donations'!$R$2:$R$4001,$AD696,'All Donations'!$T$2:$T$4001,J$1))</f>
        <v/>
      </c>
      <c r="K696" s="49">
        <f>IF(OR($AE696&lt;&gt;1,K$1=""),"",SUMIFS('All Donations'!$S$2:$S$4001,'All Donations'!$R$2:$R$4001,$AD696,'All Donations'!$T$2:$T$4001,K$1))</f>
        <v/>
      </c>
      <c r="L696" s="49">
        <f>IF(OR($AE696&lt;&gt;1,L$1=""),"",SUMIFS('All Donations'!$S$2:$S$4001,'All Donations'!$R$2:$R$4001,$AD696,'All Donations'!$T$2:$T$4001,L$1))</f>
        <v/>
      </c>
      <c r="M696" s="49">
        <f>IF(OR($AE696&lt;&gt;1,M$1=""),"",SUMIFS('All Donations'!$S$2:$S$4001,'All Donations'!$R$2:$R$4001,$AD696,'All Donations'!$T$2:$T$4001,M$1))</f>
        <v/>
      </c>
      <c r="N696" s="49">
        <f>IF(OR($AE696&lt;&gt;1,N$1=""),"",SUMIFS('All Donations'!$S$2:$S$4001,'All Donations'!$R$2:$R$4001,$AD696,'All Donations'!$T$2:$T$4001,N$1))</f>
        <v/>
      </c>
      <c r="O696" s="49">
        <f>IF(OR($AE696&lt;&gt;1,O$1=""),"",SUMIFS('All Donations'!$S$2:$S$4001,'All Donations'!$R$2:$R$4001,$AD696,'All Donations'!$T$2:$T$4001,O$1))</f>
        <v/>
      </c>
      <c r="P696" s="49">
        <f>IF(OR($AE696&lt;&gt;1,P$1=""),"",SUMIFS('All Donations'!$S$2:$S$4001,'All Donations'!$R$2:$R$4001,$AD696,'All Donations'!$T$2:$T$4001,P$1))</f>
        <v/>
      </c>
      <c r="Q696" s="49">
        <f>IF(OR($AE696&lt;&gt;1,Q$1=""),"",SUMIFS('All Donations'!$S$2:$S$4001,'All Donations'!$R$2:$R$4001,$AD696,'All Donations'!$T$2:$T$4001,Q$1))</f>
        <v/>
      </c>
      <c r="R696" s="49">
        <f>IF(OR($AE696&lt;&gt;1,R$1=""),"",SUMIFS('All Donations'!$S$2:$S$4001,'All Donations'!$R$2:$R$4001,$AD696,'All Donations'!$T$2:$T$4001,R$1))</f>
        <v/>
      </c>
      <c r="S696" s="49">
        <f>IF(OR($AE696&lt;&gt;1,S$1=""),"",SUMIFS('All Donations'!$S$2:$S$4001,'All Donations'!$R$2:$R$4001,$AD696,'All Donations'!$T$2:$T$4001,S$1))</f>
        <v/>
      </c>
      <c r="T696" s="49">
        <f>IF(OR($AE696&lt;&gt;1,T$1=""),"",SUMIFS('All Donations'!$S$2:$S$4001,'All Donations'!$R$2:$R$4001,$AD696,'All Donations'!$T$2:$T$4001,T$1))</f>
        <v/>
      </c>
      <c r="U696" s="49">
        <f>IF(OR($AE696&lt;&gt;1,U$1=""),"",SUMIFS('All Donations'!$S$2:$S$4001,'All Donations'!$R$2:$R$4001,$AD696,'All Donations'!$T$2:$T$4001,U$1))</f>
        <v/>
      </c>
      <c r="V696" s="49">
        <f>IF(OR($AE696&lt;&gt;1,V$1=""),"",SUMIFS('All Donations'!$S$2:$S$4001,'All Donations'!$R$2:$R$4001,$AD696,'All Donations'!$T$2:$T$4001,V$1))</f>
        <v/>
      </c>
      <c r="W696" s="49">
        <f>IF(OR($AE696&lt;&gt;1,W$1=""),"",SUMIFS('All Donations'!$S$2:$S$4001,'All Donations'!$R$2:$R$4001,$AD696,'All Donations'!$T$2:$T$4001,W$1))</f>
        <v/>
      </c>
      <c r="X696" s="49">
        <f>IF(OR($AE696&lt;&gt;1,X$1=""),"",SUMIFS('All Donations'!$S$2:$S$4001,'All Donations'!$R$2:$R$4001,$AD696,'All Donations'!$T$2:$T$4001,X$1))</f>
        <v/>
      </c>
      <c r="Y696" s="49">
        <f>IF(OR($AE696&lt;&gt;1,Y$1=""),"",SUMIFS('All Donations'!$S$2:$S$4001,'All Donations'!$R$2:$R$4001,$AD696,'All Donations'!$T$2:$T$4001,Y$1))</f>
        <v/>
      </c>
      <c r="Z696" s="49">
        <f>IF(OR($AE696&lt;&gt;1,Z$1=""),"",SUMIFS('All Donations'!$S$2:$S$4001,'All Donations'!$R$2:$R$4001,$AD696,'All Donations'!$T$2:$T$4001,Z$1))</f>
        <v/>
      </c>
      <c r="AA696" s="49">
        <f>IF(OR($AE696&lt;&gt;1,AA$1=""),"",SUMIFS('All Donations'!$S$2:$S$4001,'All Donations'!$R$2:$R$4001,$AD696,'All Donations'!$T$2:$T$4001,AA$1))</f>
        <v/>
      </c>
      <c r="AB696" s="49">
        <f>IF(OR($AE696&lt;&gt;1,AB$1=""),"",SUMIFS('All Donations'!$S$2:$S$4001,'All Donations'!$R$2:$R$4001,$AD696,'All Donations'!$T$2:$T$4001,AB$1))</f>
        <v/>
      </c>
      <c r="AC696" s="49">
        <f>IF(OR($AE696&lt;&gt;1,AC$1=""),"",SUMIFS('All Donations'!$S$2:$S$4001,'All Donations'!$R$2:$R$4001,$AD696,'All Donations'!$T$2:$T$4001,AC$1))</f>
        <v/>
      </c>
      <c r="AD696">
        <f>IF(AE696=1,'Roster'!A696,"")</f>
        <v/>
      </c>
      <c r="AE696">
        <f>IF(TRIM('Roster'!B696&amp;'Roster'!C696)&lt;&gt;"",1,0)</f>
        <v/>
      </c>
      <c r="AF696">
        <f>IF(AE696=1,LOWER(A696),"#")</f>
        <v/>
      </c>
      <c r="AG696">
        <f>IF(AE696=1,LOWER(TRIM(TRIM('Roster'!C696)&amp;", "&amp;TRIM('Roster'!B696))),"#")</f>
        <v/>
      </c>
      <c r="AH696">
        <f>IF(AND(AE696=1,TRIM('Roster'!F696)&lt;&gt;""),LOWER(TRIM('Roster'!F696)),"#")</f>
        <v/>
      </c>
      <c r="AI696">
        <f>IF(AE696=1,IF(MATCH(B696,$B$2:$B$701,0)=ROW()-1,1,0),0)</f>
        <v/>
      </c>
      <c r="AJ696">
        <f>AJ695+AI696</f>
        <v/>
      </c>
      <c r="AK696">
        <f>IF(AE696=1,D696+(1000-ROW())/10^7,-1)</f>
        <v/>
      </c>
      <c r="AL696">
        <f>IF(AE696=1,TRIM('Roster'!B696)&amp;" "&amp;LEFT(TRIM('Roster'!C696),1)&amp;".","")</f>
        <v/>
      </c>
      <c r="AM696">
        <f>IF(AE696=1,TRIM('Roster'!C696)&amp;", "&amp;TRIM('Roster'!B696)&amp;" ("&amp;B696&amp;") #"&amp;AD696,"")</f>
        <v/>
      </c>
      <c r="AN696">
        <f>IF(AE696=1,TRIM('Roster'!E696),"")</f>
        <v/>
      </c>
      <c r="AO696">
        <f>IF(AE696=1,ROUND(SUMIFS('All Donations'!$S$2:$S$4001,'All Donations'!$R$2:$R$4001,AD696,'All Donations'!$T$2:$T$4001,"&gt;="&amp;'Settings'!$C$23,'All Donations'!$T$2:$T$4001,"&lt;="&amp;'Settings'!$D$23),2),0)</f>
        <v/>
      </c>
      <c r="AQ696">
        <f>IF(AE696=1,ROUND(SUMIFS('All Donations'!$S$2:$S$4001,'All Donations'!$R$2:$R$4001,AD696,'All Donations'!$T$2:$T$4001,"&gt;="&amp;'Settings'!$C$25,'All Donations'!$T$2:$T$4001,"&lt;="&amp;'Settings'!$D$25),2),0)</f>
        <v/>
      </c>
      <c r="AR696">
        <f>IF(AE696=1,ROUND(SUMIFS('All Donations'!$S$2:$S$4001,'All Donations'!$R$2:$R$4001,AD696,'All Donations'!$T$2:$T$4001,"&gt;="&amp;'Settings'!$C$26,'All Donations'!$T$2:$T$4001,"&lt;="&amp;'Settings'!$D$26),2),0)</f>
        <v/>
      </c>
      <c r="AS696">
        <f>IF(AE696=1,ROUND(SUMIFS('All Donations'!$S$2:$S$4001,'All Donations'!$R$2:$R$4001,AD696,'All Donations'!$T$2:$T$4001,"&lt;="&amp;'Settings'!$D$27),2),0)</f>
        <v/>
      </c>
      <c r="AT696">
        <f>IF(AE696=1,ROUND(SUMIFS('All Donations'!$S$2:$S$4001,'All Donations'!$R$2:$R$4001,AD696,'All Donations'!$T$2:$T$4001,"&gt;="&amp;'Settings'!$C$28,'All Donations'!$T$2:$T$4001,"&lt;="&amp;'Settings'!$D$28),2),0)</f>
        <v/>
      </c>
      <c r="AU696">
        <f>IF(AE696=1,ROUND(SUMIFS('All Donations'!$S$2:$S$4001,'All Donations'!$R$2:$R$4001,AD696,'All Donations'!$T$2:$T$4001,"&gt;="&amp;'Settings'!$C$29,'All Donations'!$T$2:$T$4001,"&lt;="&amp;'Settings'!$D$29),2),0)</f>
        <v/>
      </c>
      <c r="AV696">
        <f>IF(AE696=1,ROUND(SUMIFS('All Donations'!$S$2:$S$4001,'All Donations'!$R$2:$R$4001,AD696,'All Donations'!$T$2:$T$4001,"&lt;="&amp;'Settings'!$D$30),2),0)</f>
        <v/>
      </c>
      <c r="AZ696">
        <f>IF(AE696=1,ROUND(SUMIFS('All Donations'!$S$2:$S$4001,'All Donations'!$R$2:$R$4001,AD696,'All Donations'!$T$2:$T$4001,"&lt;="&amp;'Settings'!$D$34),2),0)</f>
        <v/>
      </c>
    </row>
    <row r="697">
      <c r="A697">
        <f>IF(AE697=1,TRIM(TRIM('Roster'!B697)&amp;" "&amp;TRIM('Roster'!C697)),"")</f>
        <v/>
      </c>
      <c r="B697">
        <f>IF(AE697=1,IF(AN697="","(no teacher)",AN697&amp;" – "&amp;C697),"")</f>
        <v/>
      </c>
      <c r="C697">
        <f>IF(AE697=1,TRIM('Roster'!D697&amp;""),"")</f>
        <v/>
      </c>
      <c r="D697" s="48">
        <f>IF(AE697=1,ROUND(SUMIFS('All Donations'!$S$2:$S$4001,'All Donations'!$R$2:$R$4001,AD697),2),"")</f>
        <v/>
      </c>
      <c r="E697" s="48">
        <f>IF(AE697=1,ROUND(SUMIFS('All Donations'!$S$2:$S$4001,'All Donations'!$R$2:$R$4001,AD697,'All Donations'!$G$2:$G$4001,"OneCause"),2),"")</f>
        <v/>
      </c>
      <c r="F697" s="48">
        <f>IF(AE697=1,D697-E697,"")</f>
        <v/>
      </c>
      <c r="G697">
        <f>IF(AE697=1,COUNTIFS('All Donations'!$R$2:$R$4001,AD697,'All Donations'!$H$2:$H$4001,"OK"),"")</f>
        <v/>
      </c>
      <c r="H697">
        <f>IF(AE697&lt;&gt;1,"",IF(D697&gt;0,"Yes",""))</f>
        <v/>
      </c>
      <c r="I697" s="49">
        <f>IF(OR($AE697&lt;&gt;1,I$1=""),"",SUMIFS('All Donations'!$S$2:$S$4001,'All Donations'!$R$2:$R$4001,$AD697,'All Donations'!$T$2:$T$4001,I$1))</f>
        <v/>
      </c>
      <c r="J697" s="49">
        <f>IF(OR($AE697&lt;&gt;1,J$1=""),"",SUMIFS('All Donations'!$S$2:$S$4001,'All Donations'!$R$2:$R$4001,$AD697,'All Donations'!$T$2:$T$4001,J$1))</f>
        <v/>
      </c>
      <c r="K697" s="49">
        <f>IF(OR($AE697&lt;&gt;1,K$1=""),"",SUMIFS('All Donations'!$S$2:$S$4001,'All Donations'!$R$2:$R$4001,$AD697,'All Donations'!$T$2:$T$4001,K$1))</f>
        <v/>
      </c>
      <c r="L697" s="49">
        <f>IF(OR($AE697&lt;&gt;1,L$1=""),"",SUMIFS('All Donations'!$S$2:$S$4001,'All Donations'!$R$2:$R$4001,$AD697,'All Donations'!$T$2:$T$4001,L$1))</f>
        <v/>
      </c>
      <c r="M697" s="49">
        <f>IF(OR($AE697&lt;&gt;1,M$1=""),"",SUMIFS('All Donations'!$S$2:$S$4001,'All Donations'!$R$2:$R$4001,$AD697,'All Donations'!$T$2:$T$4001,M$1))</f>
        <v/>
      </c>
      <c r="N697" s="49">
        <f>IF(OR($AE697&lt;&gt;1,N$1=""),"",SUMIFS('All Donations'!$S$2:$S$4001,'All Donations'!$R$2:$R$4001,$AD697,'All Donations'!$T$2:$T$4001,N$1))</f>
        <v/>
      </c>
      <c r="O697" s="49">
        <f>IF(OR($AE697&lt;&gt;1,O$1=""),"",SUMIFS('All Donations'!$S$2:$S$4001,'All Donations'!$R$2:$R$4001,$AD697,'All Donations'!$T$2:$T$4001,O$1))</f>
        <v/>
      </c>
      <c r="P697" s="49">
        <f>IF(OR($AE697&lt;&gt;1,P$1=""),"",SUMIFS('All Donations'!$S$2:$S$4001,'All Donations'!$R$2:$R$4001,$AD697,'All Donations'!$T$2:$T$4001,P$1))</f>
        <v/>
      </c>
      <c r="Q697" s="49">
        <f>IF(OR($AE697&lt;&gt;1,Q$1=""),"",SUMIFS('All Donations'!$S$2:$S$4001,'All Donations'!$R$2:$R$4001,$AD697,'All Donations'!$T$2:$T$4001,Q$1))</f>
        <v/>
      </c>
      <c r="R697" s="49">
        <f>IF(OR($AE697&lt;&gt;1,R$1=""),"",SUMIFS('All Donations'!$S$2:$S$4001,'All Donations'!$R$2:$R$4001,$AD697,'All Donations'!$T$2:$T$4001,R$1))</f>
        <v/>
      </c>
      <c r="S697" s="49">
        <f>IF(OR($AE697&lt;&gt;1,S$1=""),"",SUMIFS('All Donations'!$S$2:$S$4001,'All Donations'!$R$2:$R$4001,$AD697,'All Donations'!$T$2:$T$4001,S$1))</f>
        <v/>
      </c>
      <c r="T697" s="49">
        <f>IF(OR($AE697&lt;&gt;1,T$1=""),"",SUMIFS('All Donations'!$S$2:$S$4001,'All Donations'!$R$2:$R$4001,$AD697,'All Donations'!$T$2:$T$4001,T$1))</f>
        <v/>
      </c>
      <c r="U697" s="49">
        <f>IF(OR($AE697&lt;&gt;1,U$1=""),"",SUMIFS('All Donations'!$S$2:$S$4001,'All Donations'!$R$2:$R$4001,$AD697,'All Donations'!$T$2:$T$4001,U$1))</f>
        <v/>
      </c>
      <c r="V697" s="49">
        <f>IF(OR($AE697&lt;&gt;1,V$1=""),"",SUMIFS('All Donations'!$S$2:$S$4001,'All Donations'!$R$2:$R$4001,$AD697,'All Donations'!$T$2:$T$4001,V$1))</f>
        <v/>
      </c>
      <c r="W697" s="49">
        <f>IF(OR($AE697&lt;&gt;1,W$1=""),"",SUMIFS('All Donations'!$S$2:$S$4001,'All Donations'!$R$2:$R$4001,$AD697,'All Donations'!$T$2:$T$4001,W$1))</f>
        <v/>
      </c>
      <c r="X697" s="49">
        <f>IF(OR($AE697&lt;&gt;1,X$1=""),"",SUMIFS('All Donations'!$S$2:$S$4001,'All Donations'!$R$2:$R$4001,$AD697,'All Donations'!$T$2:$T$4001,X$1))</f>
        <v/>
      </c>
      <c r="Y697" s="49">
        <f>IF(OR($AE697&lt;&gt;1,Y$1=""),"",SUMIFS('All Donations'!$S$2:$S$4001,'All Donations'!$R$2:$R$4001,$AD697,'All Donations'!$T$2:$T$4001,Y$1))</f>
        <v/>
      </c>
      <c r="Z697" s="49">
        <f>IF(OR($AE697&lt;&gt;1,Z$1=""),"",SUMIFS('All Donations'!$S$2:$S$4001,'All Donations'!$R$2:$R$4001,$AD697,'All Donations'!$T$2:$T$4001,Z$1))</f>
        <v/>
      </c>
      <c r="AA697" s="49">
        <f>IF(OR($AE697&lt;&gt;1,AA$1=""),"",SUMIFS('All Donations'!$S$2:$S$4001,'All Donations'!$R$2:$R$4001,$AD697,'All Donations'!$T$2:$T$4001,AA$1))</f>
        <v/>
      </c>
      <c r="AB697" s="49">
        <f>IF(OR($AE697&lt;&gt;1,AB$1=""),"",SUMIFS('All Donations'!$S$2:$S$4001,'All Donations'!$R$2:$R$4001,$AD697,'All Donations'!$T$2:$T$4001,AB$1))</f>
        <v/>
      </c>
      <c r="AC697" s="49">
        <f>IF(OR($AE697&lt;&gt;1,AC$1=""),"",SUMIFS('All Donations'!$S$2:$S$4001,'All Donations'!$R$2:$R$4001,$AD697,'All Donations'!$T$2:$T$4001,AC$1))</f>
        <v/>
      </c>
      <c r="AD697">
        <f>IF(AE697=1,'Roster'!A697,"")</f>
        <v/>
      </c>
      <c r="AE697">
        <f>IF(TRIM('Roster'!B697&amp;'Roster'!C697)&lt;&gt;"",1,0)</f>
        <v/>
      </c>
      <c r="AF697">
        <f>IF(AE697=1,LOWER(A697),"#")</f>
        <v/>
      </c>
      <c r="AG697">
        <f>IF(AE697=1,LOWER(TRIM(TRIM('Roster'!C697)&amp;", "&amp;TRIM('Roster'!B697))),"#")</f>
        <v/>
      </c>
      <c r="AH697">
        <f>IF(AND(AE697=1,TRIM('Roster'!F697)&lt;&gt;""),LOWER(TRIM('Roster'!F697)),"#")</f>
        <v/>
      </c>
      <c r="AI697">
        <f>IF(AE697=1,IF(MATCH(B697,$B$2:$B$701,0)=ROW()-1,1,0),0)</f>
        <v/>
      </c>
      <c r="AJ697">
        <f>AJ696+AI697</f>
        <v/>
      </c>
      <c r="AK697">
        <f>IF(AE697=1,D697+(1000-ROW())/10^7,-1)</f>
        <v/>
      </c>
      <c r="AL697">
        <f>IF(AE697=1,TRIM('Roster'!B697)&amp;" "&amp;LEFT(TRIM('Roster'!C697),1)&amp;".","")</f>
        <v/>
      </c>
      <c r="AM697">
        <f>IF(AE697=1,TRIM('Roster'!C697)&amp;", "&amp;TRIM('Roster'!B697)&amp;" ("&amp;B697&amp;") #"&amp;AD697,"")</f>
        <v/>
      </c>
      <c r="AN697">
        <f>IF(AE697=1,TRIM('Roster'!E697),"")</f>
        <v/>
      </c>
      <c r="AO697">
        <f>IF(AE697=1,ROUND(SUMIFS('All Donations'!$S$2:$S$4001,'All Donations'!$R$2:$R$4001,AD697,'All Donations'!$T$2:$T$4001,"&gt;="&amp;'Settings'!$C$23,'All Donations'!$T$2:$T$4001,"&lt;="&amp;'Settings'!$D$23),2),0)</f>
        <v/>
      </c>
      <c r="AQ697">
        <f>IF(AE697=1,ROUND(SUMIFS('All Donations'!$S$2:$S$4001,'All Donations'!$R$2:$R$4001,AD697,'All Donations'!$T$2:$T$4001,"&gt;="&amp;'Settings'!$C$25,'All Donations'!$T$2:$T$4001,"&lt;="&amp;'Settings'!$D$25),2),0)</f>
        <v/>
      </c>
      <c r="AR697">
        <f>IF(AE697=1,ROUND(SUMIFS('All Donations'!$S$2:$S$4001,'All Donations'!$R$2:$R$4001,AD697,'All Donations'!$T$2:$T$4001,"&gt;="&amp;'Settings'!$C$26,'All Donations'!$T$2:$T$4001,"&lt;="&amp;'Settings'!$D$26),2),0)</f>
        <v/>
      </c>
      <c r="AS697">
        <f>IF(AE697=1,ROUND(SUMIFS('All Donations'!$S$2:$S$4001,'All Donations'!$R$2:$R$4001,AD697,'All Donations'!$T$2:$T$4001,"&lt;="&amp;'Settings'!$D$27),2),0)</f>
        <v/>
      </c>
      <c r="AT697">
        <f>IF(AE697=1,ROUND(SUMIFS('All Donations'!$S$2:$S$4001,'All Donations'!$R$2:$R$4001,AD697,'All Donations'!$T$2:$T$4001,"&gt;="&amp;'Settings'!$C$28,'All Donations'!$T$2:$T$4001,"&lt;="&amp;'Settings'!$D$28),2),0)</f>
        <v/>
      </c>
      <c r="AU697">
        <f>IF(AE697=1,ROUND(SUMIFS('All Donations'!$S$2:$S$4001,'All Donations'!$R$2:$R$4001,AD697,'All Donations'!$T$2:$T$4001,"&gt;="&amp;'Settings'!$C$29,'All Donations'!$T$2:$T$4001,"&lt;="&amp;'Settings'!$D$29),2),0)</f>
        <v/>
      </c>
      <c r="AV697">
        <f>IF(AE697=1,ROUND(SUMIFS('All Donations'!$S$2:$S$4001,'All Donations'!$R$2:$R$4001,AD697,'All Donations'!$T$2:$T$4001,"&lt;="&amp;'Settings'!$D$30),2),0)</f>
        <v/>
      </c>
      <c r="AZ697">
        <f>IF(AE697=1,ROUND(SUMIFS('All Donations'!$S$2:$S$4001,'All Donations'!$R$2:$R$4001,AD697,'All Donations'!$T$2:$T$4001,"&lt;="&amp;'Settings'!$D$34),2),0)</f>
        <v/>
      </c>
    </row>
    <row r="698">
      <c r="A698">
        <f>IF(AE698=1,TRIM(TRIM('Roster'!B698)&amp;" "&amp;TRIM('Roster'!C698)),"")</f>
        <v/>
      </c>
      <c r="B698">
        <f>IF(AE698=1,IF(AN698="","(no teacher)",AN698&amp;" – "&amp;C698),"")</f>
        <v/>
      </c>
      <c r="C698">
        <f>IF(AE698=1,TRIM('Roster'!D698&amp;""),"")</f>
        <v/>
      </c>
      <c r="D698" s="48">
        <f>IF(AE698=1,ROUND(SUMIFS('All Donations'!$S$2:$S$4001,'All Donations'!$R$2:$R$4001,AD698),2),"")</f>
        <v/>
      </c>
      <c r="E698" s="48">
        <f>IF(AE698=1,ROUND(SUMIFS('All Donations'!$S$2:$S$4001,'All Donations'!$R$2:$R$4001,AD698,'All Donations'!$G$2:$G$4001,"OneCause"),2),"")</f>
        <v/>
      </c>
      <c r="F698" s="48">
        <f>IF(AE698=1,D698-E698,"")</f>
        <v/>
      </c>
      <c r="G698">
        <f>IF(AE698=1,COUNTIFS('All Donations'!$R$2:$R$4001,AD698,'All Donations'!$H$2:$H$4001,"OK"),"")</f>
        <v/>
      </c>
      <c r="H698">
        <f>IF(AE698&lt;&gt;1,"",IF(D698&gt;0,"Yes",""))</f>
        <v/>
      </c>
      <c r="I698" s="49">
        <f>IF(OR($AE698&lt;&gt;1,I$1=""),"",SUMIFS('All Donations'!$S$2:$S$4001,'All Donations'!$R$2:$R$4001,$AD698,'All Donations'!$T$2:$T$4001,I$1))</f>
        <v/>
      </c>
      <c r="J698" s="49">
        <f>IF(OR($AE698&lt;&gt;1,J$1=""),"",SUMIFS('All Donations'!$S$2:$S$4001,'All Donations'!$R$2:$R$4001,$AD698,'All Donations'!$T$2:$T$4001,J$1))</f>
        <v/>
      </c>
      <c r="K698" s="49">
        <f>IF(OR($AE698&lt;&gt;1,K$1=""),"",SUMIFS('All Donations'!$S$2:$S$4001,'All Donations'!$R$2:$R$4001,$AD698,'All Donations'!$T$2:$T$4001,K$1))</f>
        <v/>
      </c>
      <c r="L698" s="49">
        <f>IF(OR($AE698&lt;&gt;1,L$1=""),"",SUMIFS('All Donations'!$S$2:$S$4001,'All Donations'!$R$2:$R$4001,$AD698,'All Donations'!$T$2:$T$4001,L$1))</f>
        <v/>
      </c>
      <c r="M698" s="49">
        <f>IF(OR($AE698&lt;&gt;1,M$1=""),"",SUMIFS('All Donations'!$S$2:$S$4001,'All Donations'!$R$2:$R$4001,$AD698,'All Donations'!$T$2:$T$4001,M$1))</f>
        <v/>
      </c>
      <c r="N698" s="49">
        <f>IF(OR($AE698&lt;&gt;1,N$1=""),"",SUMIFS('All Donations'!$S$2:$S$4001,'All Donations'!$R$2:$R$4001,$AD698,'All Donations'!$T$2:$T$4001,N$1))</f>
        <v/>
      </c>
      <c r="O698" s="49">
        <f>IF(OR($AE698&lt;&gt;1,O$1=""),"",SUMIFS('All Donations'!$S$2:$S$4001,'All Donations'!$R$2:$R$4001,$AD698,'All Donations'!$T$2:$T$4001,O$1))</f>
        <v/>
      </c>
      <c r="P698" s="49">
        <f>IF(OR($AE698&lt;&gt;1,P$1=""),"",SUMIFS('All Donations'!$S$2:$S$4001,'All Donations'!$R$2:$R$4001,$AD698,'All Donations'!$T$2:$T$4001,P$1))</f>
        <v/>
      </c>
      <c r="Q698" s="49">
        <f>IF(OR($AE698&lt;&gt;1,Q$1=""),"",SUMIFS('All Donations'!$S$2:$S$4001,'All Donations'!$R$2:$R$4001,$AD698,'All Donations'!$T$2:$T$4001,Q$1))</f>
        <v/>
      </c>
      <c r="R698" s="49">
        <f>IF(OR($AE698&lt;&gt;1,R$1=""),"",SUMIFS('All Donations'!$S$2:$S$4001,'All Donations'!$R$2:$R$4001,$AD698,'All Donations'!$T$2:$T$4001,R$1))</f>
        <v/>
      </c>
      <c r="S698" s="49">
        <f>IF(OR($AE698&lt;&gt;1,S$1=""),"",SUMIFS('All Donations'!$S$2:$S$4001,'All Donations'!$R$2:$R$4001,$AD698,'All Donations'!$T$2:$T$4001,S$1))</f>
        <v/>
      </c>
      <c r="T698" s="49">
        <f>IF(OR($AE698&lt;&gt;1,T$1=""),"",SUMIFS('All Donations'!$S$2:$S$4001,'All Donations'!$R$2:$R$4001,$AD698,'All Donations'!$T$2:$T$4001,T$1))</f>
        <v/>
      </c>
      <c r="U698" s="49">
        <f>IF(OR($AE698&lt;&gt;1,U$1=""),"",SUMIFS('All Donations'!$S$2:$S$4001,'All Donations'!$R$2:$R$4001,$AD698,'All Donations'!$T$2:$T$4001,U$1))</f>
        <v/>
      </c>
      <c r="V698" s="49">
        <f>IF(OR($AE698&lt;&gt;1,V$1=""),"",SUMIFS('All Donations'!$S$2:$S$4001,'All Donations'!$R$2:$R$4001,$AD698,'All Donations'!$T$2:$T$4001,V$1))</f>
        <v/>
      </c>
      <c r="W698" s="49">
        <f>IF(OR($AE698&lt;&gt;1,W$1=""),"",SUMIFS('All Donations'!$S$2:$S$4001,'All Donations'!$R$2:$R$4001,$AD698,'All Donations'!$T$2:$T$4001,W$1))</f>
        <v/>
      </c>
      <c r="X698" s="49">
        <f>IF(OR($AE698&lt;&gt;1,X$1=""),"",SUMIFS('All Donations'!$S$2:$S$4001,'All Donations'!$R$2:$R$4001,$AD698,'All Donations'!$T$2:$T$4001,X$1))</f>
        <v/>
      </c>
      <c r="Y698" s="49">
        <f>IF(OR($AE698&lt;&gt;1,Y$1=""),"",SUMIFS('All Donations'!$S$2:$S$4001,'All Donations'!$R$2:$R$4001,$AD698,'All Donations'!$T$2:$T$4001,Y$1))</f>
        <v/>
      </c>
      <c r="Z698" s="49">
        <f>IF(OR($AE698&lt;&gt;1,Z$1=""),"",SUMIFS('All Donations'!$S$2:$S$4001,'All Donations'!$R$2:$R$4001,$AD698,'All Donations'!$T$2:$T$4001,Z$1))</f>
        <v/>
      </c>
      <c r="AA698" s="49">
        <f>IF(OR($AE698&lt;&gt;1,AA$1=""),"",SUMIFS('All Donations'!$S$2:$S$4001,'All Donations'!$R$2:$R$4001,$AD698,'All Donations'!$T$2:$T$4001,AA$1))</f>
        <v/>
      </c>
      <c r="AB698" s="49">
        <f>IF(OR($AE698&lt;&gt;1,AB$1=""),"",SUMIFS('All Donations'!$S$2:$S$4001,'All Donations'!$R$2:$R$4001,$AD698,'All Donations'!$T$2:$T$4001,AB$1))</f>
        <v/>
      </c>
      <c r="AC698" s="49">
        <f>IF(OR($AE698&lt;&gt;1,AC$1=""),"",SUMIFS('All Donations'!$S$2:$S$4001,'All Donations'!$R$2:$R$4001,$AD698,'All Donations'!$T$2:$T$4001,AC$1))</f>
        <v/>
      </c>
      <c r="AD698">
        <f>IF(AE698=1,'Roster'!A698,"")</f>
        <v/>
      </c>
      <c r="AE698">
        <f>IF(TRIM('Roster'!B698&amp;'Roster'!C698)&lt;&gt;"",1,0)</f>
        <v/>
      </c>
      <c r="AF698">
        <f>IF(AE698=1,LOWER(A698),"#")</f>
        <v/>
      </c>
      <c r="AG698">
        <f>IF(AE698=1,LOWER(TRIM(TRIM('Roster'!C698)&amp;", "&amp;TRIM('Roster'!B698))),"#")</f>
        <v/>
      </c>
      <c r="AH698">
        <f>IF(AND(AE698=1,TRIM('Roster'!F698)&lt;&gt;""),LOWER(TRIM('Roster'!F698)),"#")</f>
        <v/>
      </c>
      <c r="AI698">
        <f>IF(AE698=1,IF(MATCH(B698,$B$2:$B$701,0)=ROW()-1,1,0),0)</f>
        <v/>
      </c>
      <c r="AJ698">
        <f>AJ697+AI698</f>
        <v/>
      </c>
      <c r="AK698">
        <f>IF(AE698=1,D698+(1000-ROW())/10^7,-1)</f>
        <v/>
      </c>
      <c r="AL698">
        <f>IF(AE698=1,TRIM('Roster'!B698)&amp;" "&amp;LEFT(TRIM('Roster'!C698),1)&amp;".","")</f>
        <v/>
      </c>
      <c r="AM698">
        <f>IF(AE698=1,TRIM('Roster'!C698)&amp;", "&amp;TRIM('Roster'!B698)&amp;" ("&amp;B698&amp;") #"&amp;AD698,"")</f>
        <v/>
      </c>
      <c r="AN698">
        <f>IF(AE698=1,TRIM('Roster'!E698),"")</f>
        <v/>
      </c>
      <c r="AO698">
        <f>IF(AE698=1,ROUND(SUMIFS('All Donations'!$S$2:$S$4001,'All Donations'!$R$2:$R$4001,AD698,'All Donations'!$T$2:$T$4001,"&gt;="&amp;'Settings'!$C$23,'All Donations'!$T$2:$T$4001,"&lt;="&amp;'Settings'!$D$23),2),0)</f>
        <v/>
      </c>
      <c r="AQ698">
        <f>IF(AE698=1,ROUND(SUMIFS('All Donations'!$S$2:$S$4001,'All Donations'!$R$2:$R$4001,AD698,'All Donations'!$T$2:$T$4001,"&gt;="&amp;'Settings'!$C$25,'All Donations'!$T$2:$T$4001,"&lt;="&amp;'Settings'!$D$25),2),0)</f>
        <v/>
      </c>
      <c r="AR698">
        <f>IF(AE698=1,ROUND(SUMIFS('All Donations'!$S$2:$S$4001,'All Donations'!$R$2:$R$4001,AD698,'All Donations'!$T$2:$T$4001,"&gt;="&amp;'Settings'!$C$26,'All Donations'!$T$2:$T$4001,"&lt;="&amp;'Settings'!$D$26),2),0)</f>
        <v/>
      </c>
      <c r="AS698">
        <f>IF(AE698=1,ROUND(SUMIFS('All Donations'!$S$2:$S$4001,'All Donations'!$R$2:$R$4001,AD698,'All Donations'!$T$2:$T$4001,"&lt;="&amp;'Settings'!$D$27),2),0)</f>
        <v/>
      </c>
      <c r="AT698">
        <f>IF(AE698=1,ROUND(SUMIFS('All Donations'!$S$2:$S$4001,'All Donations'!$R$2:$R$4001,AD698,'All Donations'!$T$2:$T$4001,"&gt;="&amp;'Settings'!$C$28,'All Donations'!$T$2:$T$4001,"&lt;="&amp;'Settings'!$D$28),2),0)</f>
        <v/>
      </c>
      <c r="AU698">
        <f>IF(AE698=1,ROUND(SUMIFS('All Donations'!$S$2:$S$4001,'All Donations'!$R$2:$R$4001,AD698,'All Donations'!$T$2:$T$4001,"&gt;="&amp;'Settings'!$C$29,'All Donations'!$T$2:$T$4001,"&lt;="&amp;'Settings'!$D$29),2),0)</f>
        <v/>
      </c>
      <c r="AV698">
        <f>IF(AE698=1,ROUND(SUMIFS('All Donations'!$S$2:$S$4001,'All Donations'!$R$2:$R$4001,AD698,'All Donations'!$T$2:$T$4001,"&lt;="&amp;'Settings'!$D$30),2),0)</f>
        <v/>
      </c>
      <c r="AZ698">
        <f>IF(AE698=1,ROUND(SUMIFS('All Donations'!$S$2:$S$4001,'All Donations'!$R$2:$R$4001,AD698,'All Donations'!$T$2:$T$4001,"&lt;="&amp;'Settings'!$D$34),2),0)</f>
        <v/>
      </c>
    </row>
    <row r="699">
      <c r="A699">
        <f>IF(AE699=1,TRIM(TRIM('Roster'!B699)&amp;" "&amp;TRIM('Roster'!C699)),"")</f>
        <v/>
      </c>
      <c r="B699">
        <f>IF(AE699=1,IF(AN699="","(no teacher)",AN699&amp;" – "&amp;C699),"")</f>
        <v/>
      </c>
      <c r="C699">
        <f>IF(AE699=1,TRIM('Roster'!D699&amp;""),"")</f>
        <v/>
      </c>
      <c r="D699" s="48">
        <f>IF(AE699=1,ROUND(SUMIFS('All Donations'!$S$2:$S$4001,'All Donations'!$R$2:$R$4001,AD699),2),"")</f>
        <v/>
      </c>
      <c r="E699" s="48">
        <f>IF(AE699=1,ROUND(SUMIFS('All Donations'!$S$2:$S$4001,'All Donations'!$R$2:$R$4001,AD699,'All Donations'!$G$2:$G$4001,"OneCause"),2),"")</f>
        <v/>
      </c>
      <c r="F699" s="48">
        <f>IF(AE699=1,D699-E699,"")</f>
        <v/>
      </c>
      <c r="G699">
        <f>IF(AE699=1,COUNTIFS('All Donations'!$R$2:$R$4001,AD699,'All Donations'!$H$2:$H$4001,"OK"),"")</f>
        <v/>
      </c>
      <c r="H699">
        <f>IF(AE699&lt;&gt;1,"",IF(D699&gt;0,"Yes",""))</f>
        <v/>
      </c>
      <c r="I699" s="49">
        <f>IF(OR($AE699&lt;&gt;1,I$1=""),"",SUMIFS('All Donations'!$S$2:$S$4001,'All Donations'!$R$2:$R$4001,$AD699,'All Donations'!$T$2:$T$4001,I$1))</f>
        <v/>
      </c>
      <c r="J699" s="49">
        <f>IF(OR($AE699&lt;&gt;1,J$1=""),"",SUMIFS('All Donations'!$S$2:$S$4001,'All Donations'!$R$2:$R$4001,$AD699,'All Donations'!$T$2:$T$4001,J$1))</f>
        <v/>
      </c>
      <c r="K699" s="49">
        <f>IF(OR($AE699&lt;&gt;1,K$1=""),"",SUMIFS('All Donations'!$S$2:$S$4001,'All Donations'!$R$2:$R$4001,$AD699,'All Donations'!$T$2:$T$4001,K$1))</f>
        <v/>
      </c>
      <c r="L699" s="49">
        <f>IF(OR($AE699&lt;&gt;1,L$1=""),"",SUMIFS('All Donations'!$S$2:$S$4001,'All Donations'!$R$2:$R$4001,$AD699,'All Donations'!$T$2:$T$4001,L$1))</f>
        <v/>
      </c>
      <c r="M699" s="49">
        <f>IF(OR($AE699&lt;&gt;1,M$1=""),"",SUMIFS('All Donations'!$S$2:$S$4001,'All Donations'!$R$2:$R$4001,$AD699,'All Donations'!$T$2:$T$4001,M$1))</f>
        <v/>
      </c>
      <c r="N699" s="49">
        <f>IF(OR($AE699&lt;&gt;1,N$1=""),"",SUMIFS('All Donations'!$S$2:$S$4001,'All Donations'!$R$2:$R$4001,$AD699,'All Donations'!$T$2:$T$4001,N$1))</f>
        <v/>
      </c>
      <c r="O699" s="49">
        <f>IF(OR($AE699&lt;&gt;1,O$1=""),"",SUMIFS('All Donations'!$S$2:$S$4001,'All Donations'!$R$2:$R$4001,$AD699,'All Donations'!$T$2:$T$4001,O$1))</f>
        <v/>
      </c>
      <c r="P699" s="49">
        <f>IF(OR($AE699&lt;&gt;1,P$1=""),"",SUMIFS('All Donations'!$S$2:$S$4001,'All Donations'!$R$2:$R$4001,$AD699,'All Donations'!$T$2:$T$4001,P$1))</f>
        <v/>
      </c>
      <c r="Q699" s="49">
        <f>IF(OR($AE699&lt;&gt;1,Q$1=""),"",SUMIFS('All Donations'!$S$2:$S$4001,'All Donations'!$R$2:$R$4001,$AD699,'All Donations'!$T$2:$T$4001,Q$1))</f>
        <v/>
      </c>
      <c r="R699" s="49">
        <f>IF(OR($AE699&lt;&gt;1,R$1=""),"",SUMIFS('All Donations'!$S$2:$S$4001,'All Donations'!$R$2:$R$4001,$AD699,'All Donations'!$T$2:$T$4001,R$1))</f>
        <v/>
      </c>
      <c r="S699" s="49">
        <f>IF(OR($AE699&lt;&gt;1,S$1=""),"",SUMIFS('All Donations'!$S$2:$S$4001,'All Donations'!$R$2:$R$4001,$AD699,'All Donations'!$T$2:$T$4001,S$1))</f>
        <v/>
      </c>
      <c r="T699" s="49">
        <f>IF(OR($AE699&lt;&gt;1,T$1=""),"",SUMIFS('All Donations'!$S$2:$S$4001,'All Donations'!$R$2:$R$4001,$AD699,'All Donations'!$T$2:$T$4001,T$1))</f>
        <v/>
      </c>
      <c r="U699" s="49">
        <f>IF(OR($AE699&lt;&gt;1,U$1=""),"",SUMIFS('All Donations'!$S$2:$S$4001,'All Donations'!$R$2:$R$4001,$AD699,'All Donations'!$T$2:$T$4001,U$1))</f>
        <v/>
      </c>
      <c r="V699" s="49">
        <f>IF(OR($AE699&lt;&gt;1,V$1=""),"",SUMIFS('All Donations'!$S$2:$S$4001,'All Donations'!$R$2:$R$4001,$AD699,'All Donations'!$T$2:$T$4001,V$1))</f>
        <v/>
      </c>
      <c r="W699" s="49">
        <f>IF(OR($AE699&lt;&gt;1,W$1=""),"",SUMIFS('All Donations'!$S$2:$S$4001,'All Donations'!$R$2:$R$4001,$AD699,'All Donations'!$T$2:$T$4001,W$1))</f>
        <v/>
      </c>
      <c r="X699" s="49">
        <f>IF(OR($AE699&lt;&gt;1,X$1=""),"",SUMIFS('All Donations'!$S$2:$S$4001,'All Donations'!$R$2:$R$4001,$AD699,'All Donations'!$T$2:$T$4001,X$1))</f>
        <v/>
      </c>
      <c r="Y699" s="49">
        <f>IF(OR($AE699&lt;&gt;1,Y$1=""),"",SUMIFS('All Donations'!$S$2:$S$4001,'All Donations'!$R$2:$R$4001,$AD699,'All Donations'!$T$2:$T$4001,Y$1))</f>
        <v/>
      </c>
      <c r="Z699" s="49">
        <f>IF(OR($AE699&lt;&gt;1,Z$1=""),"",SUMIFS('All Donations'!$S$2:$S$4001,'All Donations'!$R$2:$R$4001,$AD699,'All Donations'!$T$2:$T$4001,Z$1))</f>
        <v/>
      </c>
      <c r="AA699" s="49">
        <f>IF(OR($AE699&lt;&gt;1,AA$1=""),"",SUMIFS('All Donations'!$S$2:$S$4001,'All Donations'!$R$2:$R$4001,$AD699,'All Donations'!$T$2:$T$4001,AA$1))</f>
        <v/>
      </c>
      <c r="AB699" s="49">
        <f>IF(OR($AE699&lt;&gt;1,AB$1=""),"",SUMIFS('All Donations'!$S$2:$S$4001,'All Donations'!$R$2:$R$4001,$AD699,'All Donations'!$T$2:$T$4001,AB$1))</f>
        <v/>
      </c>
      <c r="AC699" s="49">
        <f>IF(OR($AE699&lt;&gt;1,AC$1=""),"",SUMIFS('All Donations'!$S$2:$S$4001,'All Donations'!$R$2:$R$4001,$AD699,'All Donations'!$T$2:$T$4001,AC$1))</f>
        <v/>
      </c>
      <c r="AD699">
        <f>IF(AE699=1,'Roster'!A699,"")</f>
        <v/>
      </c>
      <c r="AE699">
        <f>IF(TRIM('Roster'!B699&amp;'Roster'!C699)&lt;&gt;"",1,0)</f>
        <v/>
      </c>
      <c r="AF699">
        <f>IF(AE699=1,LOWER(A699),"#")</f>
        <v/>
      </c>
      <c r="AG699">
        <f>IF(AE699=1,LOWER(TRIM(TRIM('Roster'!C699)&amp;", "&amp;TRIM('Roster'!B699))),"#")</f>
        <v/>
      </c>
      <c r="AH699">
        <f>IF(AND(AE699=1,TRIM('Roster'!F699)&lt;&gt;""),LOWER(TRIM('Roster'!F699)),"#")</f>
        <v/>
      </c>
      <c r="AI699">
        <f>IF(AE699=1,IF(MATCH(B699,$B$2:$B$701,0)=ROW()-1,1,0),0)</f>
        <v/>
      </c>
      <c r="AJ699">
        <f>AJ698+AI699</f>
        <v/>
      </c>
      <c r="AK699">
        <f>IF(AE699=1,D699+(1000-ROW())/10^7,-1)</f>
        <v/>
      </c>
      <c r="AL699">
        <f>IF(AE699=1,TRIM('Roster'!B699)&amp;" "&amp;LEFT(TRIM('Roster'!C699),1)&amp;".","")</f>
        <v/>
      </c>
      <c r="AM699">
        <f>IF(AE699=1,TRIM('Roster'!C699)&amp;", "&amp;TRIM('Roster'!B699)&amp;" ("&amp;B699&amp;") #"&amp;AD699,"")</f>
        <v/>
      </c>
      <c r="AN699">
        <f>IF(AE699=1,TRIM('Roster'!E699),"")</f>
        <v/>
      </c>
      <c r="AO699">
        <f>IF(AE699=1,ROUND(SUMIFS('All Donations'!$S$2:$S$4001,'All Donations'!$R$2:$R$4001,AD699,'All Donations'!$T$2:$T$4001,"&gt;="&amp;'Settings'!$C$23,'All Donations'!$T$2:$T$4001,"&lt;="&amp;'Settings'!$D$23),2),0)</f>
        <v/>
      </c>
      <c r="AQ699">
        <f>IF(AE699=1,ROUND(SUMIFS('All Donations'!$S$2:$S$4001,'All Donations'!$R$2:$R$4001,AD699,'All Donations'!$T$2:$T$4001,"&gt;="&amp;'Settings'!$C$25,'All Donations'!$T$2:$T$4001,"&lt;="&amp;'Settings'!$D$25),2),0)</f>
        <v/>
      </c>
      <c r="AR699">
        <f>IF(AE699=1,ROUND(SUMIFS('All Donations'!$S$2:$S$4001,'All Donations'!$R$2:$R$4001,AD699,'All Donations'!$T$2:$T$4001,"&gt;="&amp;'Settings'!$C$26,'All Donations'!$T$2:$T$4001,"&lt;="&amp;'Settings'!$D$26),2),0)</f>
        <v/>
      </c>
      <c r="AS699">
        <f>IF(AE699=1,ROUND(SUMIFS('All Donations'!$S$2:$S$4001,'All Donations'!$R$2:$R$4001,AD699,'All Donations'!$T$2:$T$4001,"&lt;="&amp;'Settings'!$D$27),2),0)</f>
        <v/>
      </c>
      <c r="AT699">
        <f>IF(AE699=1,ROUND(SUMIFS('All Donations'!$S$2:$S$4001,'All Donations'!$R$2:$R$4001,AD699,'All Donations'!$T$2:$T$4001,"&gt;="&amp;'Settings'!$C$28,'All Donations'!$T$2:$T$4001,"&lt;="&amp;'Settings'!$D$28),2),0)</f>
        <v/>
      </c>
      <c r="AU699">
        <f>IF(AE699=1,ROUND(SUMIFS('All Donations'!$S$2:$S$4001,'All Donations'!$R$2:$R$4001,AD699,'All Donations'!$T$2:$T$4001,"&gt;="&amp;'Settings'!$C$29,'All Donations'!$T$2:$T$4001,"&lt;="&amp;'Settings'!$D$29),2),0)</f>
        <v/>
      </c>
      <c r="AV699">
        <f>IF(AE699=1,ROUND(SUMIFS('All Donations'!$S$2:$S$4001,'All Donations'!$R$2:$R$4001,AD699,'All Donations'!$T$2:$T$4001,"&lt;="&amp;'Settings'!$D$30),2),0)</f>
        <v/>
      </c>
      <c r="AZ699">
        <f>IF(AE699=1,ROUND(SUMIFS('All Donations'!$S$2:$S$4001,'All Donations'!$R$2:$R$4001,AD699,'All Donations'!$T$2:$T$4001,"&lt;="&amp;'Settings'!$D$34),2),0)</f>
        <v/>
      </c>
    </row>
    <row r="700">
      <c r="A700">
        <f>IF(AE700=1,TRIM(TRIM('Roster'!B700)&amp;" "&amp;TRIM('Roster'!C700)),"")</f>
        <v/>
      </c>
      <c r="B700">
        <f>IF(AE700=1,IF(AN700="","(no teacher)",AN700&amp;" – "&amp;C700),"")</f>
        <v/>
      </c>
      <c r="C700">
        <f>IF(AE700=1,TRIM('Roster'!D700&amp;""),"")</f>
        <v/>
      </c>
      <c r="D700" s="48">
        <f>IF(AE700=1,ROUND(SUMIFS('All Donations'!$S$2:$S$4001,'All Donations'!$R$2:$R$4001,AD700),2),"")</f>
        <v/>
      </c>
      <c r="E700" s="48">
        <f>IF(AE700=1,ROUND(SUMIFS('All Donations'!$S$2:$S$4001,'All Donations'!$R$2:$R$4001,AD700,'All Donations'!$G$2:$G$4001,"OneCause"),2),"")</f>
        <v/>
      </c>
      <c r="F700" s="48">
        <f>IF(AE700=1,D700-E700,"")</f>
        <v/>
      </c>
      <c r="G700">
        <f>IF(AE700=1,COUNTIFS('All Donations'!$R$2:$R$4001,AD700,'All Donations'!$H$2:$H$4001,"OK"),"")</f>
        <v/>
      </c>
      <c r="H700">
        <f>IF(AE700&lt;&gt;1,"",IF(D700&gt;0,"Yes",""))</f>
        <v/>
      </c>
      <c r="I700" s="49">
        <f>IF(OR($AE700&lt;&gt;1,I$1=""),"",SUMIFS('All Donations'!$S$2:$S$4001,'All Donations'!$R$2:$R$4001,$AD700,'All Donations'!$T$2:$T$4001,I$1))</f>
        <v/>
      </c>
      <c r="J700" s="49">
        <f>IF(OR($AE700&lt;&gt;1,J$1=""),"",SUMIFS('All Donations'!$S$2:$S$4001,'All Donations'!$R$2:$R$4001,$AD700,'All Donations'!$T$2:$T$4001,J$1))</f>
        <v/>
      </c>
      <c r="K700" s="49">
        <f>IF(OR($AE700&lt;&gt;1,K$1=""),"",SUMIFS('All Donations'!$S$2:$S$4001,'All Donations'!$R$2:$R$4001,$AD700,'All Donations'!$T$2:$T$4001,K$1))</f>
        <v/>
      </c>
      <c r="L700" s="49">
        <f>IF(OR($AE700&lt;&gt;1,L$1=""),"",SUMIFS('All Donations'!$S$2:$S$4001,'All Donations'!$R$2:$R$4001,$AD700,'All Donations'!$T$2:$T$4001,L$1))</f>
        <v/>
      </c>
      <c r="M700" s="49">
        <f>IF(OR($AE700&lt;&gt;1,M$1=""),"",SUMIFS('All Donations'!$S$2:$S$4001,'All Donations'!$R$2:$R$4001,$AD700,'All Donations'!$T$2:$T$4001,M$1))</f>
        <v/>
      </c>
      <c r="N700" s="49">
        <f>IF(OR($AE700&lt;&gt;1,N$1=""),"",SUMIFS('All Donations'!$S$2:$S$4001,'All Donations'!$R$2:$R$4001,$AD700,'All Donations'!$T$2:$T$4001,N$1))</f>
        <v/>
      </c>
      <c r="O700" s="49">
        <f>IF(OR($AE700&lt;&gt;1,O$1=""),"",SUMIFS('All Donations'!$S$2:$S$4001,'All Donations'!$R$2:$R$4001,$AD700,'All Donations'!$T$2:$T$4001,O$1))</f>
        <v/>
      </c>
      <c r="P700" s="49">
        <f>IF(OR($AE700&lt;&gt;1,P$1=""),"",SUMIFS('All Donations'!$S$2:$S$4001,'All Donations'!$R$2:$R$4001,$AD700,'All Donations'!$T$2:$T$4001,P$1))</f>
        <v/>
      </c>
      <c r="Q700" s="49">
        <f>IF(OR($AE700&lt;&gt;1,Q$1=""),"",SUMIFS('All Donations'!$S$2:$S$4001,'All Donations'!$R$2:$R$4001,$AD700,'All Donations'!$T$2:$T$4001,Q$1))</f>
        <v/>
      </c>
      <c r="R700" s="49">
        <f>IF(OR($AE700&lt;&gt;1,R$1=""),"",SUMIFS('All Donations'!$S$2:$S$4001,'All Donations'!$R$2:$R$4001,$AD700,'All Donations'!$T$2:$T$4001,R$1))</f>
        <v/>
      </c>
      <c r="S700" s="49">
        <f>IF(OR($AE700&lt;&gt;1,S$1=""),"",SUMIFS('All Donations'!$S$2:$S$4001,'All Donations'!$R$2:$R$4001,$AD700,'All Donations'!$T$2:$T$4001,S$1))</f>
        <v/>
      </c>
      <c r="T700" s="49">
        <f>IF(OR($AE700&lt;&gt;1,T$1=""),"",SUMIFS('All Donations'!$S$2:$S$4001,'All Donations'!$R$2:$R$4001,$AD700,'All Donations'!$T$2:$T$4001,T$1))</f>
        <v/>
      </c>
      <c r="U700" s="49">
        <f>IF(OR($AE700&lt;&gt;1,U$1=""),"",SUMIFS('All Donations'!$S$2:$S$4001,'All Donations'!$R$2:$R$4001,$AD700,'All Donations'!$T$2:$T$4001,U$1))</f>
        <v/>
      </c>
      <c r="V700" s="49">
        <f>IF(OR($AE700&lt;&gt;1,V$1=""),"",SUMIFS('All Donations'!$S$2:$S$4001,'All Donations'!$R$2:$R$4001,$AD700,'All Donations'!$T$2:$T$4001,V$1))</f>
        <v/>
      </c>
      <c r="W700" s="49">
        <f>IF(OR($AE700&lt;&gt;1,W$1=""),"",SUMIFS('All Donations'!$S$2:$S$4001,'All Donations'!$R$2:$R$4001,$AD700,'All Donations'!$T$2:$T$4001,W$1))</f>
        <v/>
      </c>
      <c r="X700" s="49">
        <f>IF(OR($AE700&lt;&gt;1,X$1=""),"",SUMIFS('All Donations'!$S$2:$S$4001,'All Donations'!$R$2:$R$4001,$AD700,'All Donations'!$T$2:$T$4001,X$1))</f>
        <v/>
      </c>
      <c r="Y700" s="49">
        <f>IF(OR($AE700&lt;&gt;1,Y$1=""),"",SUMIFS('All Donations'!$S$2:$S$4001,'All Donations'!$R$2:$R$4001,$AD700,'All Donations'!$T$2:$T$4001,Y$1))</f>
        <v/>
      </c>
      <c r="Z700" s="49">
        <f>IF(OR($AE700&lt;&gt;1,Z$1=""),"",SUMIFS('All Donations'!$S$2:$S$4001,'All Donations'!$R$2:$R$4001,$AD700,'All Donations'!$T$2:$T$4001,Z$1))</f>
        <v/>
      </c>
      <c r="AA700" s="49">
        <f>IF(OR($AE700&lt;&gt;1,AA$1=""),"",SUMIFS('All Donations'!$S$2:$S$4001,'All Donations'!$R$2:$R$4001,$AD700,'All Donations'!$T$2:$T$4001,AA$1))</f>
        <v/>
      </c>
      <c r="AB700" s="49">
        <f>IF(OR($AE700&lt;&gt;1,AB$1=""),"",SUMIFS('All Donations'!$S$2:$S$4001,'All Donations'!$R$2:$R$4001,$AD700,'All Donations'!$T$2:$T$4001,AB$1))</f>
        <v/>
      </c>
      <c r="AC700" s="49">
        <f>IF(OR($AE700&lt;&gt;1,AC$1=""),"",SUMIFS('All Donations'!$S$2:$S$4001,'All Donations'!$R$2:$R$4001,$AD700,'All Donations'!$T$2:$T$4001,AC$1))</f>
        <v/>
      </c>
      <c r="AD700">
        <f>IF(AE700=1,'Roster'!A700,"")</f>
        <v/>
      </c>
      <c r="AE700">
        <f>IF(TRIM('Roster'!B700&amp;'Roster'!C700)&lt;&gt;"",1,0)</f>
        <v/>
      </c>
      <c r="AF700">
        <f>IF(AE700=1,LOWER(A700),"#")</f>
        <v/>
      </c>
      <c r="AG700">
        <f>IF(AE700=1,LOWER(TRIM(TRIM('Roster'!C700)&amp;", "&amp;TRIM('Roster'!B700))),"#")</f>
        <v/>
      </c>
      <c r="AH700">
        <f>IF(AND(AE700=1,TRIM('Roster'!F700)&lt;&gt;""),LOWER(TRIM('Roster'!F700)),"#")</f>
        <v/>
      </c>
      <c r="AI700">
        <f>IF(AE700=1,IF(MATCH(B700,$B$2:$B$701,0)=ROW()-1,1,0),0)</f>
        <v/>
      </c>
      <c r="AJ700">
        <f>AJ699+AI700</f>
        <v/>
      </c>
      <c r="AK700">
        <f>IF(AE700=1,D700+(1000-ROW())/10^7,-1)</f>
        <v/>
      </c>
      <c r="AL700">
        <f>IF(AE700=1,TRIM('Roster'!B700)&amp;" "&amp;LEFT(TRIM('Roster'!C700),1)&amp;".","")</f>
        <v/>
      </c>
      <c r="AM700">
        <f>IF(AE700=1,TRIM('Roster'!C700)&amp;", "&amp;TRIM('Roster'!B700)&amp;" ("&amp;B700&amp;") #"&amp;AD700,"")</f>
        <v/>
      </c>
      <c r="AN700">
        <f>IF(AE700=1,TRIM('Roster'!E700),"")</f>
        <v/>
      </c>
      <c r="AO700">
        <f>IF(AE700=1,ROUND(SUMIFS('All Donations'!$S$2:$S$4001,'All Donations'!$R$2:$R$4001,AD700,'All Donations'!$T$2:$T$4001,"&gt;="&amp;'Settings'!$C$23,'All Donations'!$T$2:$T$4001,"&lt;="&amp;'Settings'!$D$23),2),0)</f>
        <v/>
      </c>
      <c r="AQ700">
        <f>IF(AE700=1,ROUND(SUMIFS('All Donations'!$S$2:$S$4001,'All Donations'!$R$2:$R$4001,AD700,'All Donations'!$T$2:$T$4001,"&gt;="&amp;'Settings'!$C$25,'All Donations'!$T$2:$T$4001,"&lt;="&amp;'Settings'!$D$25),2),0)</f>
        <v/>
      </c>
      <c r="AR700">
        <f>IF(AE700=1,ROUND(SUMIFS('All Donations'!$S$2:$S$4001,'All Donations'!$R$2:$R$4001,AD700,'All Donations'!$T$2:$T$4001,"&gt;="&amp;'Settings'!$C$26,'All Donations'!$T$2:$T$4001,"&lt;="&amp;'Settings'!$D$26),2),0)</f>
        <v/>
      </c>
      <c r="AS700">
        <f>IF(AE700=1,ROUND(SUMIFS('All Donations'!$S$2:$S$4001,'All Donations'!$R$2:$R$4001,AD700,'All Donations'!$T$2:$T$4001,"&lt;="&amp;'Settings'!$D$27),2),0)</f>
        <v/>
      </c>
      <c r="AT700">
        <f>IF(AE700=1,ROUND(SUMIFS('All Donations'!$S$2:$S$4001,'All Donations'!$R$2:$R$4001,AD700,'All Donations'!$T$2:$T$4001,"&gt;="&amp;'Settings'!$C$28,'All Donations'!$T$2:$T$4001,"&lt;="&amp;'Settings'!$D$28),2),0)</f>
        <v/>
      </c>
      <c r="AU700">
        <f>IF(AE700=1,ROUND(SUMIFS('All Donations'!$S$2:$S$4001,'All Donations'!$R$2:$R$4001,AD700,'All Donations'!$T$2:$T$4001,"&gt;="&amp;'Settings'!$C$29,'All Donations'!$T$2:$T$4001,"&lt;="&amp;'Settings'!$D$29),2),0)</f>
        <v/>
      </c>
      <c r="AV700">
        <f>IF(AE700=1,ROUND(SUMIFS('All Donations'!$S$2:$S$4001,'All Donations'!$R$2:$R$4001,AD700,'All Donations'!$T$2:$T$4001,"&lt;="&amp;'Settings'!$D$30),2),0)</f>
        <v/>
      </c>
      <c r="AZ700">
        <f>IF(AE700=1,ROUND(SUMIFS('All Donations'!$S$2:$S$4001,'All Donations'!$R$2:$R$4001,AD700,'All Donations'!$T$2:$T$4001,"&lt;="&amp;'Settings'!$D$34),2),0)</f>
        <v/>
      </c>
    </row>
    <row r="701">
      <c r="A701">
        <f>IF(AE701=1,TRIM(TRIM('Roster'!B701)&amp;" "&amp;TRIM('Roster'!C701)),"")</f>
        <v/>
      </c>
      <c r="B701">
        <f>IF(AE701=1,IF(AN701="","(no teacher)",AN701&amp;" – "&amp;C701),"")</f>
        <v/>
      </c>
      <c r="C701">
        <f>IF(AE701=1,TRIM('Roster'!D701&amp;""),"")</f>
        <v/>
      </c>
      <c r="D701" s="48">
        <f>IF(AE701=1,ROUND(SUMIFS('All Donations'!$S$2:$S$4001,'All Donations'!$R$2:$R$4001,AD701),2),"")</f>
        <v/>
      </c>
      <c r="E701" s="48">
        <f>IF(AE701=1,ROUND(SUMIFS('All Donations'!$S$2:$S$4001,'All Donations'!$R$2:$R$4001,AD701,'All Donations'!$G$2:$G$4001,"OneCause"),2),"")</f>
        <v/>
      </c>
      <c r="F701" s="48">
        <f>IF(AE701=1,D701-E701,"")</f>
        <v/>
      </c>
      <c r="G701">
        <f>IF(AE701=1,COUNTIFS('All Donations'!$R$2:$R$4001,AD701,'All Donations'!$H$2:$H$4001,"OK"),"")</f>
        <v/>
      </c>
      <c r="H701">
        <f>IF(AE701&lt;&gt;1,"",IF(D701&gt;0,"Yes",""))</f>
        <v/>
      </c>
      <c r="I701" s="49">
        <f>IF(OR($AE701&lt;&gt;1,I$1=""),"",SUMIFS('All Donations'!$S$2:$S$4001,'All Donations'!$R$2:$R$4001,$AD701,'All Donations'!$T$2:$T$4001,I$1))</f>
        <v/>
      </c>
      <c r="J701" s="49">
        <f>IF(OR($AE701&lt;&gt;1,J$1=""),"",SUMIFS('All Donations'!$S$2:$S$4001,'All Donations'!$R$2:$R$4001,$AD701,'All Donations'!$T$2:$T$4001,J$1))</f>
        <v/>
      </c>
      <c r="K701" s="49">
        <f>IF(OR($AE701&lt;&gt;1,K$1=""),"",SUMIFS('All Donations'!$S$2:$S$4001,'All Donations'!$R$2:$R$4001,$AD701,'All Donations'!$T$2:$T$4001,K$1))</f>
        <v/>
      </c>
      <c r="L701" s="49">
        <f>IF(OR($AE701&lt;&gt;1,L$1=""),"",SUMIFS('All Donations'!$S$2:$S$4001,'All Donations'!$R$2:$R$4001,$AD701,'All Donations'!$T$2:$T$4001,L$1))</f>
        <v/>
      </c>
      <c r="M701" s="49">
        <f>IF(OR($AE701&lt;&gt;1,M$1=""),"",SUMIFS('All Donations'!$S$2:$S$4001,'All Donations'!$R$2:$R$4001,$AD701,'All Donations'!$T$2:$T$4001,M$1))</f>
        <v/>
      </c>
      <c r="N701" s="49">
        <f>IF(OR($AE701&lt;&gt;1,N$1=""),"",SUMIFS('All Donations'!$S$2:$S$4001,'All Donations'!$R$2:$R$4001,$AD701,'All Donations'!$T$2:$T$4001,N$1))</f>
        <v/>
      </c>
      <c r="O701" s="49">
        <f>IF(OR($AE701&lt;&gt;1,O$1=""),"",SUMIFS('All Donations'!$S$2:$S$4001,'All Donations'!$R$2:$R$4001,$AD701,'All Donations'!$T$2:$T$4001,O$1))</f>
        <v/>
      </c>
      <c r="P701" s="49">
        <f>IF(OR($AE701&lt;&gt;1,P$1=""),"",SUMIFS('All Donations'!$S$2:$S$4001,'All Donations'!$R$2:$R$4001,$AD701,'All Donations'!$T$2:$T$4001,P$1))</f>
        <v/>
      </c>
      <c r="Q701" s="49">
        <f>IF(OR($AE701&lt;&gt;1,Q$1=""),"",SUMIFS('All Donations'!$S$2:$S$4001,'All Donations'!$R$2:$R$4001,$AD701,'All Donations'!$T$2:$T$4001,Q$1))</f>
        <v/>
      </c>
      <c r="R701" s="49">
        <f>IF(OR($AE701&lt;&gt;1,R$1=""),"",SUMIFS('All Donations'!$S$2:$S$4001,'All Donations'!$R$2:$R$4001,$AD701,'All Donations'!$T$2:$T$4001,R$1))</f>
        <v/>
      </c>
      <c r="S701" s="49">
        <f>IF(OR($AE701&lt;&gt;1,S$1=""),"",SUMIFS('All Donations'!$S$2:$S$4001,'All Donations'!$R$2:$R$4001,$AD701,'All Donations'!$T$2:$T$4001,S$1))</f>
        <v/>
      </c>
      <c r="T701" s="49">
        <f>IF(OR($AE701&lt;&gt;1,T$1=""),"",SUMIFS('All Donations'!$S$2:$S$4001,'All Donations'!$R$2:$R$4001,$AD701,'All Donations'!$T$2:$T$4001,T$1))</f>
        <v/>
      </c>
      <c r="U701" s="49">
        <f>IF(OR($AE701&lt;&gt;1,U$1=""),"",SUMIFS('All Donations'!$S$2:$S$4001,'All Donations'!$R$2:$R$4001,$AD701,'All Donations'!$T$2:$T$4001,U$1))</f>
        <v/>
      </c>
      <c r="V701" s="49">
        <f>IF(OR($AE701&lt;&gt;1,V$1=""),"",SUMIFS('All Donations'!$S$2:$S$4001,'All Donations'!$R$2:$R$4001,$AD701,'All Donations'!$T$2:$T$4001,V$1))</f>
        <v/>
      </c>
      <c r="W701" s="49">
        <f>IF(OR($AE701&lt;&gt;1,W$1=""),"",SUMIFS('All Donations'!$S$2:$S$4001,'All Donations'!$R$2:$R$4001,$AD701,'All Donations'!$T$2:$T$4001,W$1))</f>
        <v/>
      </c>
      <c r="X701" s="49">
        <f>IF(OR($AE701&lt;&gt;1,X$1=""),"",SUMIFS('All Donations'!$S$2:$S$4001,'All Donations'!$R$2:$R$4001,$AD701,'All Donations'!$T$2:$T$4001,X$1))</f>
        <v/>
      </c>
      <c r="Y701" s="49">
        <f>IF(OR($AE701&lt;&gt;1,Y$1=""),"",SUMIFS('All Donations'!$S$2:$S$4001,'All Donations'!$R$2:$R$4001,$AD701,'All Donations'!$T$2:$T$4001,Y$1))</f>
        <v/>
      </c>
      <c r="Z701" s="49">
        <f>IF(OR($AE701&lt;&gt;1,Z$1=""),"",SUMIFS('All Donations'!$S$2:$S$4001,'All Donations'!$R$2:$R$4001,$AD701,'All Donations'!$T$2:$T$4001,Z$1))</f>
        <v/>
      </c>
      <c r="AA701" s="49">
        <f>IF(OR($AE701&lt;&gt;1,AA$1=""),"",SUMIFS('All Donations'!$S$2:$S$4001,'All Donations'!$R$2:$R$4001,$AD701,'All Donations'!$T$2:$T$4001,AA$1))</f>
        <v/>
      </c>
      <c r="AB701" s="49">
        <f>IF(OR($AE701&lt;&gt;1,AB$1=""),"",SUMIFS('All Donations'!$S$2:$S$4001,'All Donations'!$R$2:$R$4001,$AD701,'All Donations'!$T$2:$T$4001,AB$1))</f>
        <v/>
      </c>
      <c r="AC701" s="49">
        <f>IF(OR($AE701&lt;&gt;1,AC$1=""),"",SUMIFS('All Donations'!$S$2:$S$4001,'All Donations'!$R$2:$R$4001,$AD701,'All Donations'!$T$2:$T$4001,AC$1))</f>
        <v/>
      </c>
      <c r="AD701">
        <f>IF(AE701=1,'Roster'!A701,"")</f>
        <v/>
      </c>
      <c r="AE701">
        <f>IF(TRIM('Roster'!B701&amp;'Roster'!C701)&lt;&gt;"",1,0)</f>
        <v/>
      </c>
      <c r="AF701">
        <f>IF(AE701=1,LOWER(A701),"#")</f>
        <v/>
      </c>
      <c r="AG701">
        <f>IF(AE701=1,LOWER(TRIM(TRIM('Roster'!C701)&amp;", "&amp;TRIM('Roster'!B701))),"#")</f>
        <v/>
      </c>
      <c r="AH701">
        <f>IF(AND(AE701=1,TRIM('Roster'!F701)&lt;&gt;""),LOWER(TRIM('Roster'!F701)),"#")</f>
        <v/>
      </c>
      <c r="AI701">
        <f>IF(AE701=1,IF(MATCH(B701,$B$2:$B$701,0)=ROW()-1,1,0),0)</f>
        <v/>
      </c>
      <c r="AJ701">
        <f>AJ700+AI701</f>
        <v/>
      </c>
      <c r="AK701">
        <f>IF(AE701=1,D701+(1000-ROW())/10^7,-1)</f>
        <v/>
      </c>
      <c r="AL701">
        <f>IF(AE701=1,TRIM('Roster'!B701)&amp;" "&amp;LEFT(TRIM('Roster'!C701),1)&amp;".","")</f>
        <v/>
      </c>
      <c r="AM701">
        <f>IF(AE701=1,TRIM('Roster'!C701)&amp;", "&amp;TRIM('Roster'!B701)&amp;" ("&amp;B701&amp;") #"&amp;AD701,"")</f>
        <v/>
      </c>
      <c r="AN701">
        <f>IF(AE701=1,TRIM('Roster'!E701),"")</f>
        <v/>
      </c>
      <c r="AO701">
        <f>IF(AE701=1,ROUND(SUMIFS('All Donations'!$S$2:$S$4001,'All Donations'!$R$2:$R$4001,AD701,'All Donations'!$T$2:$T$4001,"&gt;="&amp;'Settings'!$C$23,'All Donations'!$T$2:$T$4001,"&lt;="&amp;'Settings'!$D$23),2),0)</f>
        <v/>
      </c>
      <c r="AQ701">
        <f>IF(AE701=1,ROUND(SUMIFS('All Donations'!$S$2:$S$4001,'All Donations'!$R$2:$R$4001,AD701,'All Donations'!$T$2:$T$4001,"&gt;="&amp;'Settings'!$C$25,'All Donations'!$T$2:$T$4001,"&lt;="&amp;'Settings'!$D$25),2),0)</f>
        <v/>
      </c>
      <c r="AR701">
        <f>IF(AE701=1,ROUND(SUMIFS('All Donations'!$S$2:$S$4001,'All Donations'!$R$2:$R$4001,AD701,'All Donations'!$T$2:$T$4001,"&gt;="&amp;'Settings'!$C$26,'All Donations'!$T$2:$T$4001,"&lt;="&amp;'Settings'!$D$26),2),0)</f>
        <v/>
      </c>
      <c r="AS701">
        <f>IF(AE701=1,ROUND(SUMIFS('All Donations'!$S$2:$S$4001,'All Donations'!$R$2:$R$4001,AD701,'All Donations'!$T$2:$T$4001,"&lt;="&amp;'Settings'!$D$27),2),0)</f>
        <v/>
      </c>
      <c r="AT701">
        <f>IF(AE701=1,ROUND(SUMIFS('All Donations'!$S$2:$S$4001,'All Donations'!$R$2:$R$4001,AD701,'All Donations'!$T$2:$T$4001,"&gt;="&amp;'Settings'!$C$28,'All Donations'!$T$2:$T$4001,"&lt;="&amp;'Settings'!$D$28),2),0)</f>
        <v/>
      </c>
      <c r="AU701">
        <f>IF(AE701=1,ROUND(SUMIFS('All Donations'!$S$2:$S$4001,'All Donations'!$R$2:$R$4001,AD701,'All Donations'!$T$2:$T$4001,"&gt;="&amp;'Settings'!$C$29,'All Donations'!$T$2:$T$4001,"&lt;="&amp;'Settings'!$D$29),2),0)</f>
        <v/>
      </c>
      <c r="AV701">
        <f>IF(AE701=1,ROUND(SUMIFS('All Donations'!$S$2:$S$4001,'All Donations'!$R$2:$R$4001,AD701,'All Donations'!$T$2:$T$4001,"&lt;="&amp;'Settings'!$D$30),2),0)</f>
        <v/>
      </c>
      <c r="AZ701">
        <f>IF(AE701=1,ROUND(SUMIFS('All Donations'!$S$2:$S$4001,'All Donations'!$R$2:$R$4001,AD701,'All Donations'!$T$2:$T$4001,"&lt;="&amp;'Settings'!$D$34),2),0)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H701"/>
  <conditionalFormatting sqref="A2:AC701">
    <cfRule type="expression" priority="1" dxfId="1">
      <formula>$A2&lt;&gt;""</formula>
    </cfRule>
  </conditionalFormatting>
  <pageMargins left="0.75" right="0.75" top="1" bottom="1" header="0.5" footer="0.5"/>
  <pageSetup orientation="landscape" fitToHeight="0" fitToWidth="1"/>
  <headerFooter>
    <oddHeader/>
    <oddFooter>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D7262B"/>
    <outlinePr summaryBelow="1" summaryRight="1"/>
    <pageSetUpPr fitToPage="1"/>
  </sheetPr>
  <dimension ref="A1:U4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24" customWidth="1" min="4" max="4"/>
    <col width="7" customWidth="1" min="5" max="5"/>
    <col width="11" customWidth="1" min="6" max="6"/>
    <col width="11" customWidth="1" min="7" max="7"/>
    <col width="2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30" customHeight="1">
      <c r="A1" s="33" t="inlineStr">
        <is>
          <t>Date</t>
        </is>
      </c>
      <c r="B1" s="33" t="inlineStr">
        <is>
          <t>Donor</t>
        </is>
      </c>
      <c r="C1" s="33" t="inlineStr">
        <is>
          <t>Student</t>
        </is>
      </c>
      <c r="D1" s="33" t="inlineStr">
        <is>
          <t>Class</t>
        </is>
      </c>
      <c r="E1" s="33" t="inlineStr">
        <is>
          <t>Grade</t>
        </is>
      </c>
      <c r="F1" s="33" t="inlineStr">
        <is>
          <t>Amount</t>
        </is>
      </c>
      <c r="G1" s="33" t="inlineStr">
        <is>
          <t>Source</t>
        </is>
      </c>
      <c r="H1" s="33" t="inlineStr">
        <is>
          <t>Status</t>
        </is>
      </c>
      <c r="I1" s="33" t="inlineStr">
        <is>
          <t>Raw date</t>
        </is>
      </c>
      <c r="J1" s="33" t="inlineStr">
        <is>
          <t>Raw amount</t>
        </is>
      </c>
      <c r="K1" s="33" t="inlineStr">
        <is>
          <t>Raw student</t>
        </is>
      </c>
      <c r="L1" s="33" t="inlineStr">
        <is>
          <t>Txn ID</t>
        </is>
      </c>
      <c r="M1" s="33" t="inlineStr">
        <is>
          <t>Pay type</t>
        </is>
      </c>
      <c r="N1" s="33" t="inlineStr">
        <is>
          <t>Date #</t>
        </is>
      </c>
      <c r="O1" s="33" t="inlineStr">
        <is>
          <t>Amount #</t>
        </is>
      </c>
      <c r="P1" s="33" t="inlineStr">
        <is>
          <t>Roster row</t>
        </is>
      </c>
      <c r="Q1" s="33" t="inlineStr"/>
      <c r="R1" s="33" t="inlineStr">
        <is>
          <t>Student ID</t>
        </is>
      </c>
      <c r="S1" s="33" t="inlineStr">
        <is>
          <t>Counted $</t>
        </is>
      </c>
      <c r="T1" s="33" t="inlineStr">
        <is>
          <t>Counted date</t>
        </is>
      </c>
      <c r="U1" s="33" t="inlineStr">
        <is>
          <t>Donor raw</t>
        </is>
      </c>
    </row>
    <row r="2">
      <c r="A2" s="62">
        <f>IF(H2="","",IF(ISNUMBER(N2),N2,I2))</f>
        <v/>
      </c>
      <c r="B2">
        <f>IF(H2="","",U2)</f>
        <v/>
      </c>
      <c r="C2">
        <f>IF(H2="","",IF(P2="",K2,INDEX('Students'!$A$2:$A$701,P2)))</f>
        <v/>
      </c>
      <c r="D2">
        <f>IF(OR(H2="",P2=""),"",INDEX('Students'!$B$2:$B$701,P2))</f>
        <v/>
      </c>
      <c r="E2">
        <f>IF(OR(H2="",P2=""),"",INDEX('Students'!$C$2:$C$701,P2))</f>
        <v/>
      </c>
      <c r="F2" s="48">
        <f>IF(H2="","",IF(ISNUMBER(O2),O2,J2))</f>
        <v/>
      </c>
      <c r="G2">
        <f>IF(H2="","","OneCause")</f>
        <v/>
      </c>
      <c r="H2">
        <f>IF(AND(I2="",J2="",K2=""),"",IF(NOT(ISNUMBER(O2)),"Bad amount",IF(O2&lt;0,"Refund (not counted)",IF(O2=0,"Zero amount",IF(NOT(ISNUMBER(N2)),"Bad date",IF(P2="","NAME NOT ON ROSTER",IF(L2="","OK",IF(MATCH(L2,$L$2:$L$3001,0)&lt;ROW()-1,"Duplicate (ignored)","OK"))))))))</f>
        <v/>
      </c>
      <c r="I2">
        <f>IF(OC_Date=0,"",IF(INDEX('OneCause_Paste'!$A$2:$AZ$2,1,OC_Date)="","",INDEX('OneCause_Paste'!$A$2:$AZ$2,1,OC_Date)))</f>
        <v/>
      </c>
      <c r="J2">
        <f>IF(OC_Amt=0,"",IF(INDEX('OneCause_Paste'!$A$2:$AZ$2,1,OC_Amt)="","",INDEX('OneCause_Paste'!$A$2:$AZ$2,1,OC_Amt)))</f>
        <v/>
      </c>
      <c r="K2">
        <f>IF(OC_Name=0,"",IF(INDEX('OneCause_Paste'!$A$2:$AZ$2,1,OC_Name)="","",INDEX('OneCause_Paste'!$A$2:$AZ$2,1,OC_Name)))</f>
        <v/>
      </c>
      <c r="L2">
        <f>IF(OC_Txn=0,"",IF(INDEX('OneCause_Paste'!$A$2:$AZ$2,1,OC_Txn)="","",INDEX('OneCause_Paste'!$A$2:$AZ$2,1,OC_Txn)))</f>
        <v/>
      </c>
      <c r="M2">
        <f>IF(OC_Pay=0,"",IF(INDEX('OneCause_Paste'!$A$2:$AZ$2,1,OC_Pay)="","",INDEX('OneCause_Paste'!$A$2:$AZ$2,1,OC_Pay)))</f>
        <v/>
      </c>
      <c r="N2">
        <f>IF(I2="","",IF(ISNUMBER(I2),INT(I2),IFERROR(INT(DATEVALUE(I2)),IFERROR(INT(VALUE(I2)),"bad"))))</f>
        <v/>
      </c>
      <c r="O2">
        <f>IF(J2="","",IF(ISNUMBER(J2),ROUND(J2,2),IFERROR(ROUND(VALUE(SUBSTITUTE(SUBSTITUTE(SUBSTITUTE(J2,"$",""),",","")," ","")),2),"bad")))</f>
        <v/>
      </c>
      <c r="P2">
        <f>IF(TRIM(K2)="","",IFERROR(MATCH(LOWER(TRIM(K2)),'Students'!$AH$2:$AH$701,0),IFERROR(MATCH(LOWER(TRIM(K2)),'Students'!$AF$2:$AF$701,0),IFERROR(MATCH(LOWER(TRIM(K2)),'Students'!$AG$2:$AG$701,0),""))))</f>
        <v/>
      </c>
      <c r="R2">
        <f>IF(P2="","",INDEX('Students'!$AD$2:$AD$701,P2))</f>
        <v/>
      </c>
      <c r="S2">
        <f>IF(H2="OK",O2,0)</f>
        <v/>
      </c>
      <c r="T2">
        <f>IF(H2="OK",N2,"")</f>
        <v/>
      </c>
      <c r="U2">
        <f>IF(OC_Donor=0,"",IF(INDEX('OneCause_Paste'!$A$2:$AZ$2,1,OC_Donor)="","",INDEX('OneCause_Paste'!$A$2:$AZ$2,1,OC_Donor)))</f>
        <v/>
      </c>
    </row>
    <row r="3">
      <c r="A3" s="62">
        <f>IF(H3="","",IF(ISNUMBER(N3),N3,I3))</f>
        <v/>
      </c>
      <c r="B3">
        <f>IF(H3="","",U3)</f>
        <v/>
      </c>
      <c r="C3">
        <f>IF(H3="","",IF(P3="",K3,INDEX('Students'!$A$2:$A$701,P3)))</f>
        <v/>
      </c>
      <c r="D3">
        <f>IF(OR(H3="",P3=""),"",INDEX('Students'!$B$2:$B$701,P3))</f>
        <v/>
      </c>
      <c r="E3">
        <f>IF(OR(H3="",P3=""),"",INDEX('Students'!$C$2:$C$701,P3))</f>
        <v/>
      </c>
      <c r="F3" s="48">
        <f>IF(H3="","",IF(ISNUMBER(O3),O3,J3))</f>
        <v/>
      </c>
      <c r="G3">
        <f>IF(H3="","","OneCause")</f>
        <v/>
      </c>
      <c r="H3">
        <f>IF(AND(I3="",J3="",K3=""),"",IF(NOT(ISNUMBER(O3)),"Bad amount",IF(O3&lt;0,"Refund (not counted)",IF(O3=0,"Zero amount",IF(NOT(ISNUMBER(N3)),"Bad date",IF(P3="","NAME NOT ON ROSTER",IF(L3="","OK",IF(MATCH(L3,$L$2:$L$3001,0)&lt;ROW()-1,"Duplicate (ignored)","OK"))))))))</f>
        <v/>
      </c>
      <c r="I3">
        <f>IF(OC_Date=0,"",IF(INDEX('OneCause_Paste'!$A$3:$AZ$3,1,OC_Date)="","",INDEX('OneCause_Paste'!$A$3:$AZ$3,1,OC_Date)))</f>
        <v/>
      </c>
      <c r="J3">
        <f>IF(OC_Amt=0,"",IF(INDEX('OneCause_Paste'!$A$3:$AZ$3,1,OC_Amt)="","",INDEX('OneCause_Paste'!$A$3:$AZ$3,1,OC_Amt)))</f>
        <v/>
      </c>
      <c r="K3">
        <f>IF(OC_Name=0,"",IF(INDEX('OneCause_Paste'!$A$3:$AZ$3,1,OC_Name)="","",INDEX('OneCause_Paste'!$A$3:$AZ$3,1,OC_Name)))</f>
        <v/>
      </c>
      <c r="L3">
        <f>IF(OC_Txn=0,"",IF(INDEX('OneCause_Paste'!$A$3:$AZ$3,1,OC_Txn)="","",INDEX('OneCause_Paste'!$A$3:$AZ$3,1,OC_Txn)))</f>
        <v/>
      </c>
      <c r="M3">
        <f>IF(OC_Pay=0,"",IF(INDEX('OneCause_Paste'!$A$3:$AZ$3,1,OC_Pay)="","",INDEX('OneCause_Paste'!$A$3:$AZ$3,1,OC_Pay)))</f>
        <v/>
      </c>
      <c r="N3">
        <f>IF(I3="","",IF(ISNUMBER(I3),INT(I3),IFERROR(INT(DATEVALUE(I3)),IFERROR(INT(VALUE(I3)),"bad"))))</f>
        <v/>
      </c>
      <c r="O3">
        <f>IF(J3="","",IF(ISNUMBER(J3),ROUND(J3,2),IFERROR(ROUND(VALUE(SUBSTITUTE(SUBSTITUTE(SUBSTITUTE(J3,"$",""),",","")," ","")),2),"bad")))</f>
        <v/>
      </c>
      <c r="P3">
        <f>IF(TRIM(K3)="","",IFERROR(MATCH(LOWER(TRIM(K3)),'Students'!$AH$2:$AH$701,0),IFERROR(MATCH(LOWER(TRIM(K3)),'Students'!$AF$2:$AF$701,0),IFERROR(MATCH(LOWER(TRIM(K3)),'Students'!$AG$2:$AG$701,0),""))))</f>
        <v/>
      </c>
      <c r="R3">
        <f>IF(P3="","",INDEX('Students'!$AD$2:$AD$701,P3))</f>
        <v/>
      </c>
      <c r="S3">
        <f>IF(H3="OK",O3,0)</f>
        <v/>
      </c>
      <c r="T3">
        <f>IF(H3="OK",N3,"")</f>
        <v/>
      </c>
      <c r="U3">
        <f>IF(OC_Donor=0,"",IF(INDEX('OneCause_Paste'!$A$3:$AZ$3,1,OC_Donor)="","",INDEX('OneCause_Paste'!$A$3:$AZ$3,1,OC_Donor)))</f>
        <v/>
      </c>
    </row>
    <row r="4">
      <c r="A4" s="62">
        <f>IF(H4="","",IF(ISNUMBER(N4),N4,I4))</f>
        <v/>
      </c>
      <c r="B4">
        <f>IF(H4="","",U4)</f>
        <v/>
      </c>
      <c r="C4">
        <f>IF(H4="","",IF(P4="",K4,INDEX('Students'!$A$2:$A$701,P4)))</f>
        <v/>
      </c>
      <c r="D4">
        <f>IF(OR(H4="",P4=""),"",INDEX('Students'!$B$2:$B$701,P4))</f>
        <v/>
      </c>
      <c r="E4">
        <f>IF(OR(H4="",P4=""),"",INDEX('Students'!$C$2:$C$701,P4))</f>
        <v/>
      </c>
      <c r="F4" s="48">
        <f>IF(H4="","",IF(ISNUMBER(O4),O4,J4))</f>
        <v/>
      </c>
      <c r="G4">
        <f>IF(H4="","","OneCause")</f>
        <v/>
      </c>
      <c r="H4">
        <f>IF(AND(I4="",J4="",K4=""),"",IF(NOT(ISNUMBER(O4)),"Bad amount",IF(O4&lt;0,"Refund (not counted)",IF(O4=0,"Zero amount",IF(NOT(ISNUMBER(N4)),"Bad date",IF(P4="","NAME NOT ON ROSTER",IF(L4="","OK",IF(MATCH(L4,$L$2:$L$3001,0)&lt;ROW()-1,"Duplicate (ignored)","OK"))))))))</f>
        <v/>
      </c>
      <c r="I4">
        <f>IF(OC_Date=0,"",IF(INDEX('OneCause_Paste'!$A$4:$AZ$4,1,OC_Date)="","",INDEX('OneCause_Paste'!$A$4:$AZ$4,1,OC_Date)))</f>
        <v/>
      </c>
      <c r="J4">
        <f>IF(OC_Amt=0,"",IF(INDEX('OneCause_Paste'!$A$4:$AZ$4,1,OC_Amt)="","",INDEX('OneCause_Paste'!$A$4:$AZ$4,1,OC_Amt)))</f>
        <v/>
      </c>
      <c r="K4">
        <f>IF(OC_Name=0,"",IF(INDEX('OneCause_Paste'!$A$4:$AZ$4,1,OC_Name)="","",INDEX('OneCause_Paste'!$A$4:$AZ$4,1,OC_Name)))</f>
        <v/>
      </c>
      <c r="L4">
        <f>IF(OC_Txn=0,"",IF(INDEX('OneCause_Paste'!$A$4:$AZ$4,1,OC_Txn)="","",INDEX('OneCause_Paste'!$A$4:$AZ$4,1,OC_Txn)))</f>
        <v/>
      </c>
      <c r="M4">
        <f>IF(OC_Pay=0,"",IF(INDEX('OneCause_Paste'!$A$4:$AZ$4,1,OC_Pay)="","",INDEX('OneCause_Paste'!$A$4:$AZ$4,1,OC_Pay)))</f>
        <v/>
      </c>
      <c r="N4">
        <f>IF(I4="","",IF(ISNUMBER(I4),INT(I4),IFERROR(INT(DATEVALUE(I4)),IFERROR(INT(VALUE(I4)),"bad"))))</f>
        <v/>
      </c>
      <c r="O4">
        <f>IF(J4="","",IF(ISNUMBER(J4),ROUND(J4,2),IFERROR(ROUND(VALUE(SUBSTITUTE(SUBSTITUTE(SUBSTITUTE(J4,"$",""),",","")," ","")),2),"bad")))</f>
        <v/>
      </c>
      <c r="P4">
        <f>IF(TRIM(K4)="","",IFERROR(MATCH(LOWER(TRIM(K4)),'Students'!$AH$2:$AH$701,0),IFERROR(MATCH(LOWER(TRIM(K4)),'Students'!$AF$2:$AF$701,0),IFERROR(MATCH(LOWER(TRIM(K4)),'Students'!$AG$2:$AG$701,0),""))))</f>
        <v/>
      </c>
      <c r="R4">
        <f>IF(P4="","",INDEX('Students'!$AD$2:$AD$701,P4))</f>
        <v/>
      </c>
      <c r="S4">
        <f>IF(H4="OK",O4,0)</f>
        <v/>
      </c>
      <c r="T4">
        <f>IF(H4="OK",N4,"")</f>
        <v/>
      </c>
      <c r="U4">
        <f>IF(OC_Donor=0,"",IF(INDEX('OneCause_Paste'!$A$4:$AZ$4,1,OC_Donor)="","",INDEX('OneCause_Paste'!$A$4:$AZ$4,1,OC_Donor)))</f>
        <v/>
      </c>
    </row>
    <row r="5">
      <c r="A5" s="62">
        <f>IF(H5="","",IF(ISNUMBER(N5),N5,I5))</f>
        <v/>
      </c>
      <c r="B5">
        <f>IF(H5="","",U5)</f>
        <v/>
      </c>
      <c r="C5">
        <f>IF(H5="","",IF(P5="",K5,INDEX('Students'!$A$2:$A$701,P5)))</f>
        <v/>
      </c>
      <c r="D5">
        <f>IF(OR(H5="",P5=""),"",INDEX('Students'!$B$2:$B$701,P5))</f>
        <v/>
      </c>
      <c r="E5">
        <f>IF(OR(H5="",P5=""),"",INDEX('Students'!$C$2:$C$701,P5))</f>
        <v/>
      </c>
      <c r="F5" s="48">
        <f>IF(H5="","",IF(ISNUMBER(O5),O5,J5))</f>
        <v/>
      </c>
      <c r="G5">
        <f>IF(H5="","","OneCause")</f>
        <v/>
      </c>
      <c r="H5">
        <f>IF(AND(I5="",J5="",K5=""),"",IF(NOT(ISNUMBER(O5)),"Bad amount",IF(O5&lt;0,"Refund (not counted)",IF(O5=0,"Zero amount",IF(NOT(ISNUMBER(N5)),"Bad date",IF(P5="","NAME NOT ON ROSTER",IF(L5="","OK",IF(MATCH(L5,$L$2:$L$3001,0)&lt;ROW()-1,"Duplicate (ignored)","OK"))))))))</f>
        <v/>
      </c>
      <c r="I5">
        <f>IF(OC_Date=0,"",IF(INDEX('OneCause_Paste'!$A$5:$AZ$5,1,OC_Date)="","",INDEX('OneCause_Paste'!$A$5:$AZ$5,1,OC_Date)))</f>
        <v/>
      </c>
      <c r="J5">
        <f>IF(OC_Amt=0,"",IF(INDEX('OneCause_Paste'!$A$5:$AZ$5,1,OC_Amt)="","",INDEX('OneCause_Paste'!$A$5:$AZ$5,1,OC_Amt)))</f>
        <v/>
      </c>
      <c r="K5">
        <f>IF(OC_Name=0,"",IF(INDEX('OneCause_Paste'!$A$5:$AZ$5,1,OC_Name)="","",INDEX('OneCause_Paste'!$A$5:$AZ$5,1,OC_Name)))</f>
        <v/>
      </c>
      <c r="L5">
        <f>IF(OC_Txn=0,"",IF(INDEX('OneCause_Paste'!$A$5:$AZ$5,1,OC_Txn)="","",INDEX('OneCause_Paste'!$A$5:$AZ$5,1,OC_Txn)))</f>
        <v/>
      </c>
      <c r="M5">
        <f>IF(OC_Pay=0,"",IF(INDEX('OneCause_Paste'!$A$5:$AZ$5,1,OC_Pay)="","",INDEX('OneCause_Paste'!$A$5:$AZ$5,1,OC_Pay)))</f>
        <v/>
      </c>
      <c r="N5">
        <f>IF(I5="","",IF(ISNUMBER(I5),INT(I5),IFERROR(INT(DATEVALUE(I5)),IFERROR(INT(VALUE(I5)),"bad"))))</f>
        <v/>
      </c>
      <c r="O5">
        <f>IF(J5="","",IF(ISNUMBER(J5),ROUND(J5,2),IFERROR(ROUND(VALUE(SUBSTITUTE(SUBSTITUTE(SUBSTITUTE(J5,"$",""),",","")," ","")),2),"bad")))</f>
        <v/>
      </c>
      <c r="P5">
        <f>IF(TRIM(K5)="","",IFERROR(MATCH(LOWER(TRIM(K5)),'Students'!$AH$2:$AH$701,0),IFERROR(MATCH(LOWER(TRIM(K5)),'Students'!$AF$2:$AF$701,0),IFERROR(MATCH(LOWER(TRIM(K5)),'Students'!$AG$2:$AG$701,0),""))))</f>
        <v/>
      </c>
      <c r="R5">
        <f>IF(P5="","",INDEX('Students'!$AD$2:$AD$701,P5))</f>
        <v/>
      </c>
      <c r="S5">
        <f>IF(H5="OK",O5,0)</f>
        <v/>
      </c>
      <c r="T5">
        <f>IF(H5="OK",N5,"")</f>
        <v/>
      </c>
      <c r="U5">
        <f>IF(OC_Donor=0,"",IF(INDEX('OneCause_Paste'!$A$5:$AZ$5,1,OC_Donor)="","",INDEX('OneCause_Paste'!$A$5:$AZ$5,1,OC_Donor)))</f>
        <v/>
      </c>
    </row>
    <row r="6">
      <c r="A6" s="62">
        <f>IF(H6="","",IF(ISNUMBER(N6),N6,I6))</f>
        <v/>
      </c>
      <c r="B6">
        <f>IF(H6="","",U6)</f>
        <v/>
      </c>
      <c r="C6">
        <f>IF(H6="","",IF(P6="",K6,INDEX('Students'!$A$2:$A$701,P6)))</f>
        <v/>
      </c>
      <c r="D6">
        <f>IF(OR(H6="",P6=""),"",INDEX('Students'!$B$2:$B$701,P6))</f>
        <v/>
      </c>
      <c r="E6">
        <f>IF(OR(H6="",P6=""),"",INDEX('Students'!$C$2:$C$701,P6))</f>
        <v/>
      </c>
      <c r="F6" s="48">
        <f>IF(H6="","",IF(ISNUMBER(O6),O6,J6))</f>
        <v/>
      </c>
      <c r="G6">
        <f>IF(H6="","","OneCause")</f>
        <v/>
      </c>
      <c r="H6">
        <f>IF(AND(I6="",J6="",K6=""),"",IF(NOT(ISNUMBER(O6)),"Bad amount",IF(O6&lt;0,"Refund (not counted)",IF(O6=0,"Zero amount",IF(NOT(ISNUMBER(N6)),"Bad date",IF(P6="","NAME NOT ON ROSTER",IF(L6="","OK",IF(MATCH(L6,$L$2:$L$3001,0)&lt;ROW()-1,"Duplicate (ignored)","OK"))))))))</f>
        <v/>
      </c>
      <c r="I6">
        <f>IF(OC_Date=0,"",IF(INDEX('OneCause_Paste'!$A$6:$AZ$6,1,OC_Date)="","",INDEX('OneCause_Paste'!$A$6:$AZ$6,1,OC_Date)))</f>
        <v/>
      </c>
      <c r="J6">
        <f>IF(OC_Amt=0,"",IF(INDEX('OneCause_Paste'!$A$6:$AZ$6,1,OC_Amt)="","",INDEX('OneCause_Paste'!$A$6:$AZ$6,1,OC_Amt)))</f>
        <v/>
      </c>
      <c r="K6">
        <f>IF(OC_Name=0,"",IF(INDEX('OneCause_Paste'!$A$6:$AZ$6,1,OC_Name)="","",INDEX('OneCause_Paste'!$A$6:$AZ$6,1,OC_Name)))</f>
        <v/>
      </c>
      <c r="L6">
        <f>IF(OC_Txn=0,"",IF(INDEX('OneCause_Paste'!$A$6:$AZ$6,1,OC_Txn)="","",INDEX('OneCause_Paste'!$A$6:$AZ$6,1,OC_Txn)))</f>
        <v/>
      </c>
      <c r="M6">
        <f>IF(OC_Pay=0,"",IF(INDEX('OneCause_Paste'!$A$6:$AZ$6,1,OC_Pay)="","",INDEX('OneCause_Paste'!$A$6:$AZ$6,1,OC_Pay)))</f>
        <v/>
      </c>
      <c r="N6">
        <f>IF(I6="","",IF(ISNUMBER(I6),INT(I6),IFERROR(INT(DATEVALUE(I6)),IFERROR(INT(VALUE(I6)),"bad"))))</f>
        <v/>
      </c>
      <c r="O6">
        <f>IF(J6="","",IF(ISNUMBER(J6),ROUND(J6,2),IFERROR(ROUND(VALUE(SUBSTITUTE(SUBSTITUTE(SUBSTITUTE(J6,"$",""),",","")," ","")),2),"bad")))</f>
        <v/>
      </c>
      <c r="P6">
        <f>IF(TRIM(K6)="","",IFERROR(MATCH(LOWER(TRIM(K6)),'Students'!$AH$2:$AH$701,0),IFERROR(MATCH(LOWER(TRIM(K6)),'Students'!$AF$2:$AF$701,0),IFERROR(MATCH(LOWER(TRIM(K6)),'Students'!$AG$2:$AG$701,0),""))))</f>
        <v/>
      </c>
      <c r="R6">
        <f>IF(P6="","",INDEX('Students'!$AD$2:$AD$701,P6))</f>
        <v/>
      </c>
      <c r="S6">
        <f>IF(H6="OK",O6,0)</f>
        <v/>
      </c>
      <c r="T6">
        <f>IF(H6="OK",N6,"")</f>
        <v/>
      </c>
      <c r="U6">
        <f>IF(OC_Donor=0,"",IF(INDEX('OneCause_Paste'!$A$6:$AZ$6,1,OC_Donor)="","",INDEX('OneCause_Paste'!$A$6:$AZ$6,1,OC_Donor)))</f>
        <v/>
      </c>
    </row>
    <row r="7">
      <c r="A7" s="62">
        <f>IF(H7="","",IF(ISNUMBER(N7),N7,I7))</f>
        <v/>
      </c>
      <c r="B7">
        <f>IF(H7="","",U7)</f>
        <v/>
      </c>
      <c r="C7">
        <f>IF(H7="","",IF(P7="",K7,INDEX('Students'!$A$2:$A$701,P7)))</f>
        <v/>
      </c>
      <c r="D7">
        <f>IF(OR(H7="",P7=""),"",INDEX('Students'!$B$2:$B$701,P7))</f>
        <v/>
      </c>
      <c r="E7">
        <f>IF(OR(H7="",P7=""),"",INDEX('Students'!$C$2:$C$701,P7))</f>
        <v/>
      </c>
      <c r="F7" s="48">
        <f>IF(H7="","",IF(ISNUMBER(O7),O7,J7))</f>
        <v/>
      </c>
      <c r="G7">
        <f>IF(H7="","","OneCause")</f>
        <v/>
      </c>
      <c r="H7">
        <f>IF(AND(I7="",J7="",K7=""),"",IF(NOT(ISNUMBER(O7)),"Bad amount",IF(O7&lt;0,"Refund (not counted)",IF(O7=0,"Zero amount",IF(NOT(ISNUMBER(N7)),"Bad date",IF(P7="","NAME NOT ON ROSTER",IF(L7="","OK",IF(MATCH(L7,$L$2:$L$3001,0)&lt;ROW()-1,"Duplicate (ignored)","OK"))))))))</f>
        <v/>
      </c>
      <c r="I7">
        <f>IF(OC_Date=0,"",IF(INDEX('OneCause_Paste'!$A$7:$AZ$7,1,OC_Date)="","",INDEX('OneCause_Paste'!$A$7:$AZ$7,1,OC_Date)))</f>
        <v/>
      </c>
      <c r="J7">
        <f>IF(OC_Amt=0,"",IF(INDEX('OneCause_Paste'!$A$7:$AZ$7,1,OC_Amt)="","",INDEX('OneCause_Paste'!$A$7:$AZ$7,1,OC_Amt)))</f>
        <v/>
      </c>
      <c r="K7">
        <f>IF(OC_Name=0,"",IF(INDEX('OneCause_Paste'!$A$7:$AZ$7,1,OC_Name)="","",INDEX('OneCause_Paste'!$A$7:$AZ$7,1,OC_Name)))</f>
        <v/>
      </c>
      <c r="L7">
        <f>IF(OC_Txn=0,"",IF(INDEX('OneCause_Paste'!$A$7:$AZ$7,1,OC_Txn)="","",INDEX('OneCause_Paste'!$A$7:$AZ$7,1,OC_Txn)))</f>
        <v/>
      </c>
      <c r="M7">
        <f>IF(OC_Pay=0,"",IF(INDEX('OneCause_Paste'!$A$7:$AZ$7,1,OC_Pay)="","",INDEX('OneCause_Paste'!$A$7:$AZ$7,1,OC_Pay)))</f>
        <v/>
      </c>
      <c r="N7">
        <f>IF(I7="","",IF(ISNUMBER(I7),INT(I7),IFERROR(INT(DATEVALUE(I7)),IFERROR(INT(VALUE(I7)),"bad"))))</f>
        <v/>
      </c>
      <c r="O7">
        <f>IF(J7="","",IF(ISNUMBER(J7),ROUND(J7,2),IFERROR(ROUND(VALUE(SUBSTITUTE(SUBSTITUTE(SUBSTITUTE(J7,"$",""),",","")," ","")),2),"bad")))</f>
        <v/>
      </c>
      <c r="P7">
        <f>IF(TRIM(K7)="","",IFERROR(MATCH(LOWER(TRIM(K7)),'Students'!$AH$2:$AH$701,0),IFERROR(MATCH(LOWER(TRIM(K7)),'Students'!$AF$2:$AF$701,0),IFERROR(MATCH(LOWER(TRIM(K7)),'Students'!$AG$2:$AG$701,0),""))))</f>
        <v/>
      </c>
      <c r="R7">
        <f>IF(P7="","",INDEX('Students'!$AD$2:$AD$701,P7))</f>
        <v/>
      </c>
      <c r="S7">
        <f>IF(H7="OK",O7,0)</f>
        <v/>
      </c>
      <c r="T7">
        <f>IF(H7="OK",N7,"")</f>
        <v/>
      </c>
      <c r="U7">
        <f>IF(OC_Donor=0,"",IF(INDEX('OneCause_Paste'!$A$7:$AZ$7,1,OC_Donor)="","",INDEX('OneCause_Paste'!$A$7:$AZ$7,1,OC_Donor)))</f>
        <v/>
      </c>
    </row>
    <row r="8">
      <c r="A8" s="62">
        <f>IF(H8="","",IF(ISNUMBER(N8),N8,I8))</f>
        <v/>
      </c>
      <c r="B8">
        <f>IF(H8="","",U8)</f>
        <v/>
      </c>
      <c r="C8">
        <f>IF(H8="","",IF(P8="",K8,INDEX('Students'!$A$2:$A$701,P8)))</f>
        <v/>
      </c>
      <c r="D8">
        <f>IF(OR(H8="",P8=""),"",INDEX('Students'!$B$2:$B$701,P8))</f>
        <v/>
      </c>
      <c r="E8">
        <f>IF(OR(H8="",P8=""),"",INDEX('Students'!$C$2:$C$701,P8))</f>
        <v/>
      </c>
      <c r="F8" s="48">
        <f>IF(H8="","",IF(ISNUMBER(O8),O8,J8))</f>
        <v/>
      </c>
      <c r="G8">
        <f>IF(H8="","","OneCause")</f>
        <v/>
      </c>
      <c r="H8">
        <f>IF(AND(I8="",J8="",K8=""),"",IF(NOT(ISNUMBER(O8)),"Bad amount",IF(O8&lt;0,"Refund (not counted)",IF(O8=0,"Zero amount",IF(NOT(ISNUMBER(N8)),"Bad date",IF(P8="","NAME NOT ON ROSTER",IF(L8="","OK",IF(MATCH(L8,$L$2:$L$3001,0)&lt;ROW()-1,"Duplicate (ignored)","OK"))))))))</f>
        <v/>
      </c>
      <c r="I8">
        <f>IF(OC_Date=0,"",IF(INDEX('OneCause_Paste'!$A$8:$AZ$8,1,OC_Date)="","",INDEX('OneCause_Paste'!$A$8:$AZ$8,1,OC_Date)))</f>
        <v/>
      </c>
      <c r="J8">
        <f>IF(OC_Amt=0,"",IF(INDEX('OneCause_Paste'!$A$8:$AZ$8,1,OC_Amt)="","",INDEX('OneCause_Paste'!$A$8:$AZ$8,1,OC_Amt)))</f>
        <v/>
      </c>
      <c r="K8">
        <f>IF(OC_Name=0,"",IF(INDEX('OneCause_Paste'!$A$8:$AZ$8,1,OC_Name)="","",INDEX('OneCause_Paste'!$A$8:$AZ$8,1,OC_Name)))</f>
        <v/>
      </c>
      <c r="L8">
        <f>IF(OC_Txn=0,"",IF(INDEX('OneCause_Paste'!$A$8:$AZ$8,1,OC_Txn)="","",INDEX('OneCause_Paste'!$A$8:$AZ$8,1,OC_Txn)))</f>
        <v/>
      </c>
      <c r="M8">
        <f>IF(OC_Pay=0,"",IF(INDEX('OneCause_Paste'!$A$8:$AZ$8,1,OC_Pay)="","",INDEX('OneCause_Paste'!$A$8:$AZ$8,1,OC_Pay)))</f>
        <v/>
      </c>
      <c r="N8">
        <f>IF(I8="","",IF(ISNUMBER(I8),INT(I8),IFERROR(INT(DATEVALUE(I8)),IFERROR(INT(VALUE(I8)),"bad"))))</f>
        <v/>
      </c>
      <c r="O8">
        <f>IF(J8="","",IF(ISNUMBER(J8),ROUND(J8,2),IFERROR(ROUND(VALUE(SUBSTITUTE(SUBSTITUTE(SUBSTITUTE(J8,"$",""),",","")," ","")),2),"bad")))</f>
        <v/>
      </c>
      <c r="P8">
        <f>IF(TRIM(K8)="","",IFERROR(MATCH(LOWER(TRIM(K8)),'Students'!$AH$2:$AH$701,0),IFERROR(MATCH(LOWER(TRIM(K8)),'Students'!$AF$2:$AF$701,0),IFERROR(MATCH(LOWER(TRIM(K8)),'Students'!$AG$2:$AG$701,0),""))))</f>
        <v/>
      </c>
      <c r="R8">
        <f>IF(P8="","",INDEX('Students'!$AD$2:$AD$701,P8))</f>
        <v/>
      </c>
      <c r="S8">
        <f>IF(H8="OK",O8,0)</f>
        <v/>
      </c>
      <c r="T8">
        <f>IF(H8="OK",N8,"")</f>
        <v/>
      </c>
      <c r="U8">
        <f>IF(OC_Donor=0,"",IF(INDEX('OneCause_Paste'!$A$8:$AZ$8,1,OC_Donor)="","",INDEX('OneCause_Paste'!$A$8:$AZ$8,1,OC_Donor)))</f>
        <v/>
      </c>
    </row>
    <row r="9">
      <c r="A9" s="62">
        <f>IF(H9="","",IF(ISNUMBER(N9),N9,I9))</f>
        <v/>
      </c>
      <c r="B9">
        <f>IF(H9="","",U9)</f>
        <v/>
      </c>
      <c r="C9">
        <f>IF(H9="","",IF(P9="",K9,INDEX('Students'!$A$2:$A$701,P9)))</f>
        <v/>
      </c>
      <c r="D9">
        <f>IF(OR(H9="",P9=""),"",INDEX('Students'!$B$2:$B$701,P9))</f>
        <v/>
      </c>
      <c r="E9">
        <f>IF(OR(H9="",P9=""),"",INDEX('Students'!$C$2:$C$701,P9))</f>
        <v/>
      </c>
      <c r="F9" s="48">
        <f>IF(H9="","",IF(ISNUMBER(O9),O9,J9))</f>
        <v/>
      </c>
      <c r="G9">
        <f>IF(H9="","","OneCause")</f>
        <v/>
      </c>
      <c r="H9">
        <f>IF(AND(I9="",J9="",K9=""),"",IF(NOT(ISNUMBER(O9)),"Bad amount",IF(O9&lt;0,"Refund (not counted)",IF(O9=0,"Zero amount",IF(NOT(ISNUMBER(N9)),"Bad date",IF(P9="","NAME NOT ON ROSTER",IF(L9="","OK",IF(MATCH(L9,$L$2:$L$3001,0)&lt;ROW()-1,"Duplicate (ignored)","OK"))))))))</f>
        <v/>
      </c>
      <c r="I9">
        <f>IF(OC_Date=0,"",IF(INDEX('OneCause_Paste'!$A$9:$AZ$9,1,OC_Date)="","",INDEX('OneCause_Paste'!$A$9:$AZ$9,1,OC_Date)))</f>
        <v/>
      </c>
      <c r="J9">
        <f>IF(OC_Amt=0,"",IF(INDEX('OneCause_Paste'!$A$9:$AZ$9,1,OC_Amt)="","",INDEX('OneCause_Paste'!$A$9:$AZ$9,1,OC_Amt)))</f>
        <v/>
      </c>
      <c r="K9">
        <f>IF(OC_Name=0,"",IF(INDEX('OneCause_Paste'!$A$9:$AZ$9,1,OC_Name)="","",INDEX('OneCause_Paste'!$A$9:$AZ$9,1,OC_Name)))</f>
        <v/>
      </c>
      <c r="L9">
        <f>IF(OC_Txn=0,"",IF(INDEX('OneCause_Paste'!$A$9:$AZ$9,1,OC_Txn)="","",INDEX('OneCause_Paste'!$A$9:$AZ$9,1,OC_Txn)))</f>
        <v/>
      </c>
      <c r="M9">
        <f>IF(OC_Pay=0,"",IF(INDEX('OneCause_Paste'!$A$9:$AZ$9,1,OC_Pay)="","",INDEX('OneCause_Paste'!$A$9:$AZ$9,1,OC_Pay)))</f>
        <v/>
      </c>
      <c r="N9">
        <f>IF(I9="","",IF(ISNUMBER(I9),INT(I9),IFERROR(INT(DATEVALUE(I9)),IFERROR(INT(VALUE(I9)),"bad"))))</f>
        <v/>
      </c>
      <c r="O9">
        <f>IF(J9="","",IF(ISNUMBER(J9),ROUND(J9,2),IFERROR(ROUND(VALUE(SUBSTITUTE(SUBSTITUTE(SUBSTITUTE(J9,"$",""),",","")," ","")),2),"bad")))</f>
        <v/>
      </c>
      <c r="P9">
        <f>IF(TRIM(K9)="","",IFERROR(MATCH(LOWER(TRIM(K9)),'Students'!$AH$2:$AH$701,0),IFERROR(MATCH(LOWER(TRIM(K9)),'Students'!$AF$2:$AF$701,0),IFERROR(MATCH(LOWER(TRIM(K9)),'Students'!$AG$2:$AG$701,0),""))))</f>
        <v/>
      </c>
      <c r="R9">
        <f>IF(P9="","",INDEX('Students'!$AD$2:$AD$701,P9))</f>
        <v/>
      </c>
      <c r="S9">
        <f>IF(H9="OK",O9,0)</f>
        <v/>
      </c>
      <c r="T9">
        <f>IF(H9="OK",N9,"")</f>
        <v/>
      </c>
      <c r="U9">
        <f>IF(OC_Donor=0,"",IF(INDEX('OneCause_Paste'!$A$9:$AZ$9,1,OC_Donor)="","",INDEX('OneCause_Paste'!$A$9:$AZ$9,1,OC_Donor)))</f>
        <v/>
      </c>
    </row>
    <row r="10">
      <c r="A10" s="62">
        <f>IF(H10="","",IF(ISNUMBER(N10),N10,I10))</f>
        <v/>
      </c>
      <c r="B10">
        <f>IF(H10="","",U10)</f>
        <v/>
      </c>
      <c r="C10">
        <f>IF(H10="","",IF(P10="",K10,INDEX('Students'!$A$2:$A$701,P10)))</f>
        <v/>
      </c>
      <c r="D10">
        <f>IF(OR(H10="",P10=""),"",INDEX('Students'!$B$2:$B$701,P10))</f>
        <v/>
      </c>
      <c r="E10">
        <f>IF(OR(H10="",P10=""),"",INDEX('Students'!$C$2:$C$701,P10))</f>
        <v/>
      </c>
      <c r="F10" s="48">
        <f>IF(H10="","",IF(ISNUMBER(O10),O10,J10))</f>
        <v/>
      </c>
      <c r="G10">
        <f>IF(H10="","","OneCause")</f>
        <v/>
      </c>
      <c r="H10">
        <f>IF(AND(I10="",J10="",K10=""),"",IF(NOT(ISNUMBER(O10)),"Bad amount",IF(O10&lt;0,"Refund (not counted)",IF(O10=0,"Zero amount",IF(NOT(ISNUMBER(N10)),"Bad date",IF(P10="","NAME NOT ON ROSTER",IF(L10="","OK",IF(MATCH(L10,$L$2:$L$3001,0)&lt;ROW()-1,"Duplicate (ignored)","OK"))))))))</f>
        <v/>
      </c>
      <c r="I10">
        <f>IF(OC_Date=0,"",IF(INDEX('OneCause_Paste'!$A$10:$AZ$10,1,OC_Date)="","",INDEX('OneCause_Paste'!$A$10:$AZ$10,1,OC_Date)))</f>
        <v/>
      </c>
      <c r="J10">
        <f>IF(OC_Amt=0,"",IF(INDEX('OneCause_Paste'!$A$10:$AZ$10,1,OC_Amt)="","",INDEX('OneCause_Paste'!$A$10:$AZ$10,1,OC_Amt)))</f>
        <v/>
      </c>
      <c r="K10">
        <f>IF(OC_Name=0,"",IF(INDEX('OneCause_Paste'!$A$10:$AZ$10,1,OC_Name)="","",INDEX('OneCause_Paste'!$A$10:$AZ$10,1,OC_Name)))</f>
        <v/>
      </c>
      <c r="L10">
        <f>IF(OC_Txn=0,"",IF(INDEX('OneCause_Paste'!$A$10:$AZ$10,1,OC_Txn)="","",INDEX('OneCause_Paste'!$A$10:$AZ$10,1,OC_Txn)))</f>
        <v/>
      </c>
      <c r="M10">
        <f>IF(OC_Pay=0,"",IF(INDEX('OneCause_Paste'!$A$10:$AZ$10,1,OC_Pay)="","",INDEX('OneCause_Paste'!$A$10:$AZ$10,1,OC_Pay)))</f>
        <v/>
      </c>
      <c r="N10">
        <f>IF(I10="","",IF(ISNUMBER(I10),INT(I10),IFERROR(INT(DATEVALUE(I10)),IFERROR(INT(VALUE(I10)),"bad"))))</f>
        <v/>
      </c>
      <c r="O10">
        <f>IF(J10="","",IF(ISNUMBER(J10),ROUND(J10,2),IFERROR(ROUND(VALUE(SUBSTITUTE(SUBSTITUTE(SUBSTITUTE(J10,"$",""),",","")," ","")),2),"bad")))</f>
        <v/>
      </c>
      <c r="P10">
        <f>IF(TRIM(K10)="","",IFERROR(MATCH(LOWER(TRIM(K10)),'Students'!$AH$2:$AH$701,0),IFERROR(MATCH(LOWER(TRIM(K10)),'Students'!$AF$2:$AF$701,0),IFERROR(MATCH(LOWER(TRIM(K10)),'Students'!$AG$2:$AG$701,0),""))))</f>
        <v/>
      </c>
      <c r="R10">
        <f>IF(P10="","",INDEX('Students'!$AD$2:$AD$701,P10))</f>
        <v/>
      </c>
      <c r="S10">
        <f>IF(H10="OK",O10,0)</f>
        <v/>
      </c>
      <c r="T10">
        <f>IF(H10="OK",N10,"")</f>
        <v/>
      </c>
      <c r="U10">
        <f>IF(OC_Donor=0,"",IF(INDEX('OneCause_Paste'!$A$10:$AZ$10,1,OC_Donor)="","",INDEX('OneCause_Paste'!$A$10:$AZ$10,1,OC_Donor)))</f>
        <v/>
      </c>
    </row>
    <row r="11">
      <c r="A11" s="62">
        <f>IF(H11="","",IF(ISNUMBER(N11),N11,I11))</f>
        <v/>
      </c>
      <c r="B11">
        <f>IF(H11="","",U11)</f>
        <v/>
      </c>
      <c r="C11">
        <f>IF(H11="","",IF(P11="",K11,INDEX('Students'!$A$2:$A$701,P11)))</f>
        <v/>
      </c>
      <c r="D11">
        <f>IF(OR(H11="",P11=""),"",INDEX('Students'!$B$2:$B$701,P11))</f>
        <v/>
      </c>
      <c r="E11">
        <f>IF(OR(H11="",P11=""),"",INDEX('Students'!$C$2:$C$701,P11))</f>
        <v/>
      </c>
      <c r="F11" s="48">
        <f>IF(H11="","",IF(ISNUMBER(O11),O11,J11))</f>
        <v/>
      </c>
      <c r="G11">
        <f>IF(H11="","","OneCause")</f>
        <v/>
      </c>
      <c r="H11">
        <f>IF(AND(I11="",J11="",K11=""),"",IF(NOT(ISNUMBER(O11)),"Bad amount",IF(O11&lt;0,"Refund (not counted)",IF(O11=0,"Zero amount",IF(NOT(ISNUMBER(N11)),"Bad date",IF(P11="","NAME NOT ON ROSTER",IF(L11="","OK",IF(MATCH(L11,$L$2:$L$3001,0)&lt;ROW()-1,"Duplicate (ignored)","OK"))))))))</f>
        <v/>
      </c>
      <c r="I11">
        <f>IF(OC_Date=0,"",IF(INDEX('OneCause_Paste'!$A$11:$AZ$11,1,OC_Date)="","",INDEX('OneCause_Paste'!$A$11:$AZ$11,1,OC_Date)))</f>
        <v/>
      </c>
      <c r="J11">
        <f>IF(OC_Amt=0,"",IF(INDEX('OneCause_Paste'!$A$11:$AZ$11,1,OC_Amt)="","",INDEX('OneCause_Paste'!$A$11:$AZ$11,1,OC_Amt)))</f>
        <v/>
      </c>
      <c r="K11">
        <f>IF(OC_Name=0,"",IF(INDEX('OneCause_Paste'!$A$11:$AZ$11,1,OC_Name)="","",INDEX('OneCause_Paste'!$A$11:$AZ$11,1,OC_Name)))</f>
        <v/>
      </c>
      <c r="L11">
        <f>IF(OC_Txn=0,"",IF(INDEX('OneCause_Paste'!$A$11:$AZ$11,1,OC_Txn)="","",INDEX('OneCause_Paste'!$A$11:$AZ$11,1,OC_Txn)))</f>
        <v/>
      </c>
      <c r="M11">
        <f>IF(OC_Pay=0,"",IF(INDEX('OneCause_Paste'!$A$11:$AZ$11,1,OC_Pay)="","",INDEX('OneCause_Paste'!$A$11:$AZ$11,1,OC_Pay)))</f>
        <v/>
      </c>
      <c r="N11">
        <f>IF(I11="","",IF(ISNUMBER(I11),INT(I11),IFERROR(INT(DATEVALUE(I11)),IFERROR(INT(VALUE(I11)),"bad"))))</f>
        <v/>
      </c>
      <c r="O11">
        <f>IF(J11="","",IF(ISNUMBER(J11),ROUND(J11,2),IFERROR(ROUND(VALUE(SUBSTITUTE(SUBSTITUTE(SUBSTITUTE(J11,"$",""),",","")," ","")),2),"bad")))</f>
        <v/>
      </c>
      <c r="P11">
        <f>IF(TRIM(K11)="","",IFERROR(MATCH(LOWER(TRIM(K11)),'Students'!$AH$2:$AH$701,0),IFERROR(MATCH(LOWER(TRIM(K11)),'Students'!$AF$2:$AF$701,0),IFERROR(MATCH(LOWER(TRIM(K11)),'Students'!$AG$2:$AG$701,0),""))))</f>
        <v/>
      </c>
      <c r="R11">
        <f>IF(P11="","",INDEX('Students'!$AD$2:$AD$701,P11))</f>
        <v/>
      </c>
      <c r="S11">
        <f>IF(H11="OK",O11,0)</f>
        <v/>
      </c>
      <c r="T11">
        <f>IF(H11="OK",N11,"")</f>
        <v/>
      </c>
      <c r="U11">
        <f>IF(OC_Donor=0,"",IF(INDEX('OneCause_Paste'!$A$11:$AZ$11,1,OC_Donor)="","",INDEX('OneCause_Paste'!$A$11:$AZ$11,1,OC_Donor)))</f>
        <v/>
      </c>
    </row>
    <row r="12">
      <c r="A12" s="62">
        <f>IF(H12="","",IF(ISNUMBER(N12),N12,I12))</f>
        <v/>
      </c>
      <c r="B12">
        <f>IF(H12="","",U12)</f>
        <v/>
      </c>
      <c r="C12">
        <f>IF(H12="","",IF(P12="",K12,INDEX('Students'!$A$2:$A$701,P12)))</f>
        <v/>
      </c>
      <c r="D12">
        <f>IF(OR(H12="",P12=""),"",INDEX('Students'!$B$2:$B$701,P12))</f>
        <v/>
      </c>
      <c r="E12">
        <f>IF(OR(H12="",P12=""),"",INDEX('Students'!$C$2:$C$701,P12))</f>
        <v/>
      </c>
      <c r="F12" s="48">
        <f>IF(H12="","",IF(ISNUMBER(O12),O12,J12))</f>
        <v/>
      </c>
      <c r="G12">
        <f>IF(H12="","","OneCause")</f>
        <v/>
      </c>
      <c r="H12">
        <f>IF(AND(I12="",J12="",K12=""),"",IF(NOT(ISNUMBER(O12)),"Bad amount",IF(O12&lt;0,"Refund (not counted)",IF(O12=0,"Zero amount",IF(NOT(ISNUMBER(N12)),"Bad date",IF(P12="","NAME NOT ON ROSTER",IF(L12="","OK",IF(MATCH(L12,$L$2:$L$3001,0)&lt;ROW()-1,"Duplicate (ignored)","OK"))))))))</f>
        <v/>
      </c>
      <c r="I12">
        <f>IF(OC_Date=0,"",IF(INDEX('OneCause_Paste'!$A$12:$AZ$12,1,OC_Date)="","",INDEX('OneCause_Paste'!$A$12:$AZ$12,1,OC_Date)))</f>
        <v/>
      </c>
      <c r="J12">
        <f>IF(OC_Amt=0,"",IF(INDEX('OneCause_Paste'!$A$12:$AZ$12,1,OC_Amt)="","",INDEX('OneCause_Paste'!$A$12:$AZ$12,1,OC_Amt)))</f>
        <v/>
      </c>
      <c r="K12">
        <f>IF(OC_Name=0,"",IF(INDEX('OneCause_Paste'!$A$12:$AZ$12,1,OC_Name)="","",INDEX('OneCause_Paste'!$A$12:$AZ$12,1,OC_Name)))</f>
        <v/>
      </c>
      <c r="L12">
        <f>IF(OC_Txn=0,"",IF(INDEX('OneCause_Paste'!$A$12:$AZ$12,1,OC_Txn)="","",INDEX('OneCause_Paste'!$A$12:$AZ$12,1,OC_Txn)))</f>
        <v/>
      </c>
      <c r="M12">
        <f>IF(OC_Pay=0,"",IF(INDEX('OneCause_Paste'!$A$12:$AZ$12,1,OC_Pay)="","",INDEX('OneCause_Paste'!$A$12:$AZ$12,1,OC_Pay)))</f>
        <v/>
      </c>
      <c r="N12">
        <f>IF(I12="","",IF(ISNUMBER(I12),INT(I12),IFERROR(INT(DATEVALUE(I12)),IFERROR(INT(VALUE(I12)),"bad"))))</f>
        <v/>
      </c>
      <c r="O12">
        <f>IF(J12="","",IF(ISNUMBER(J12),ROUND(J12,2),IFERROR(ROUND(VALUE(SUBSTITUTE(SUBSTITUTE(SUBSTITUTE(J12,"$",""),",","")," ","")),2),"bad")))</f>
        <v/>
      </c>
      <c r="P12">
        <f>IF(TRIM(K12)="","",IFERROR(MATCH(LOWER(TRIM(K12)),'Students'!$AH$2:$AH$701,0),IFERROR(MATCH(LOWER(TRIM(K12)),'Students'!$AF$2:$AF$701,0),IFERROR(MATCH(LOWER(TRIM(K12)),'Students'!$AG$2:$AG$701,0),""))))</f>
        <v/>
      </c>
      <c r="R12">
        <f>IF(P12="","",INDEX('Students'!$AD$2:$AD$701,P12))</f>
        <v/>
      </c>
      <c r="S12">
        <f>IF(H12="OK",O12,0)</f>
        <v/>
      </c>
      <c r="T12">
        <f>IF(H12="OK",N12,"")</f>
        <v/>
      </c>
      <c r="U12">
        <f>IF(OC_Donor=0,"",IF(INDEX('OneCause_Paste'!$A$12:$AZ$12,1,OC_Donor)="","",INDEX('OneCause_Paste'!$A$12:$AZ$12,1,OC_Donor)))</f>
        <v/>
      </c>
    </row>
    <row r="13">
      <c r="A13" s="62">
        <f>IF(H13="","",IF(ISNUMBER(N13),N13,I13))</f>
        <v/>
      </c>
      <c r="B13">
        <f>IF(H13="","",U13)</f>
        <v/>
      </c>
      <c r="C13">
        <f>IF(H13="","",IF(P13="",K13,INDEX('Students'!$A$2:$A$701,P13)))</f>
        <v/>
      </c>
      <c r="D13">
        <f>IF(OR(H13="",P13=""),"",INDEX('Students'!$B$2:$B$701,P13))</f>
        <v/>
      </c>
      <c r="E13">
        <f>IF(OR(H13="",P13=""),"",INDEX('Students'!$C$2:$C$701,P13))</f>
        <v/>
      </c>
      <c r="F13" s="48">
        <f>IF(H13="","",IF(ISNUMBER(O13),O13,J13))</f>
        <v/>
      </c>
      <c r="G13">
        <f>IF(H13="","","OneCause")</f>
        <v/>
      </c>
      <c r="H13">
        <f>IF(AND(I13="",J13="",K13=""),"",IF(NOT(ISNUMBER(O13)),"Bad amount",IF(O13&lt;0,"Refund (not counted)",IF(O13=0,"Zero amount",IF(NOT(ISNUMBER(N13)),"Bad date",IF(P13="","NAME NOT ON ROSTER",IF(L13="","OK",IF(MATCH(L13,$L$2:$L$3001,0)&lt;ROW()-1,"Duplicate (ignored)","OK"))))))))</f>
        <v/>
      </c>
      <c r="I13">
        <f>IF(OC_Date=0,"",IF(INDEX('OneCause_Paste'!$A$13:$AZ$13,1,OC_Date)="","",INDEX('OneCause_Paste'!$A$13:$AZ$13,1,OC_Date)))</f>
        <v/>
      </c>
      <c r="J13">
        <f>IF(OC_Amt=0,"",IF(INDEX('OneCause_Paste'!$A$13:$AZ$13,1,OC_Amt)="","",INDEX('OneCause_Paste'!$A$13:$AZ$13,1,OC_Amt)))</f>
        <v/>
      </c>
      <c r="K13">
        <f>IF(OC_Name=0,"",IF(INDEX('OneCause_Paste'!$A$13:$AZ$13,1,OC_Name)="","",INDEX('OneCause_Paste'!$A$13:$AZ$13,1,OC_Name)))</f>
        <v/>
      </c>
      <c r="L13">
        <f>IF(OC_Txn=0,"",IF(INDEX('OneCause_Paste'!$A$13:$AZ$13,1,OC_Txn)="","",INDEX('OneCause_Paste'!$A$13:$AZ$13,1,OC_Txn)))</f>
        <v/>
      </c>
      <c r="M13">
        <f>IF(OC_Pay=0,"",IF(INDEX('OneCause_Paste'!$A$13:$AZ$13,1,OC_Pay)="","",INDEX('OneCause_Paste'!$A$13:$AZ$13,1,OC_Pay)))</f>
        <v/>
      </c>
      <c r="N13">
        <f>IF(I13="","",IF(ISNUMBER(I13),INT(I13),IFERROR(INT(DATEVALUE(I13)),IFERROR(INT(VALUE(I13)),"bad"))))</f>
        <v/>
      </c>
      <c r="O13">
        <f>IF(J13="","",IF(ISNUMBER(J13),ROUND(J13,2),IFERROR(ROUND(VALUE(SUBSTITUTE(SUBSTITUTE(SUBSTITUTE(J13,"$",""),",","")," ","")),2),"bad")))</f>
        <v/>
      </c>
      <c r="P13">
        <f>IF(TRIM(K13)="","",IFERROR(MATCH(LOWER(TRIM(K13)),'Students'!$AH$2:$AH$701,0),IFERROR(MATCH(LOWER(TRIM(K13)),'Students'!$AF$2:$AF$701,0),IFERROR(MATCH(LOWER(TRIM(K13)),'Students'!$AG$2:$AG$701,0),""))))</f>
        <v/>
      </c>
      <c r="R13">
        <f>IF(P13="","",INDEX('Students'!$AD$2:$AD$701,P13))</f>
        <v/>
      </c>
      <c r="S13">
        <f>IF(H13="OK",O13,0)</f>
        <v/>
      </c>
      <c r="T13">
        <f>IF(H13="OK",N13,"")</f>
        <v/>
      </c>
      <c r="U13">
        <f>IF(OC_Donor=0,"",IF(INDEX('OneCause_Paste'!$A$13:$AZ$13,1,OC_Donor)="","",INDEX('OneCause_Paste'!$A$13:$AZ$13,1,OC_Donor)))</f>
        <v/>
      </c>
    </row>
    <row r="14">
      <c r="A14" s="62">
        <f>IF(H14="","",IF(ISNUMBER(N14),N14,I14))</f>
        <v/>
      </c>
      <c r="B14">
        <f>IF(H14="","",U14)</f>
        <v/>
      </c>
      <c r="C14">
        <f>IF(H14="","",IF(P14="",K14,INDEX('Students'!$A$2:$A$701,P14)))</f>
        <v/>
      </c>
      <c r="D14">
        <f>IF(OR(H14="",P14=""),"",INDEX('Students'!$B$2:$B$701,P14))</f>
        <v/>
      </c>
      <c r="E14">
        <f>IF(OR(H14="",P14=""),"",INDEX('Students'!$C$2:$C$701,P14))</f>
        <v/>
      </c>
      <c r="F14" s="48">
        <f>IF(H14="","",IF(ISNUMBER(O14),O14,J14))</f>
        <v/>
      </c>
      <c r="G14">
        <f>IF(H14="","","OneCause")</f>
        <v/>
      </c>
      <c r="H14">
        <f>IF(AND(I14="",J14="",K14=""),"",IF(NOT(ISNUMBER(O14)),"Bad amount",IF(O14&lt;0,"Refund (not counted)",IF(O14=0,"Zero amount",IF(NOT(ISNUMBER(N14)),"Bad date",IF(P14="","NAME NOT ON ROSTER",IF(L14="","OK",IF(MATCH(L14,$L$2:$L$3001,0)&lt;ROW()-1,"Duplicate (ignored)","OK"))))))))</f>
        <v/>
      </c>
      <c r="I14">
        <f>IF(OC_Date=0,"",IF(INDEX('OneCause_Paste'!$A$14:$AZ$14,1,OC_Date)="","",INDEX('OneCause_Paste'!$A$14:$AZ$14,1,OC_Date)))</f>
        <v/>
      </c>
      <c r="J14">
        <f>IF(OC_Amt=0,"",IF(INDEX('OneCause_Paste'!$A$14:$AZ$14,1,OC_Amt)="","",INDEX('OneCause_Paste'!$A$14:$AZ$14,1,OC_Amt)))</f>
        <v/>
      </c>
      <c r="K14">
        <f>IF(OC_Name=0,"",IF(INDEX('OneCause_Paste'!$A$14:$AZ$14,1,OC_Name)="","",INDEX('OneCause_Paste'!$A$14:$AZ$14,1,OC_Name)))</f>
        <v/>
      </c>
      <c r="L14">
        <f>IF(OC_Txn=0,"",IF(INDEX('OneCause_Paste'!$A$14:$AZ$14,1,OC_Txn)="","",INDEX('OneCause_Paste'!$A$14:$AZ$14,1,OC_Txn)))</f>
        <v/>
      </c>
      <c r="M14">
        <f>IF(OC_Pay=0,"",IF(INDEX('OneCause_Paste'!$A$14:$AZ$14,1,OC_Pay)="","",INDEX('OneCause_Paste'!$A$14:$AZ$14,1,OC_Pay)))</f>
        <v/>
      </c>
      <c r="N14">
        <f>IF(I14="","",IF(ISNUMBER(I14),INT(I14),IFERROR(INT(DATEVALUE(I14)),IFERROR(INT(VALUE(I14)),"bad"))))</f>
        <v/>
      </c>
      <c r="O14">
        <f>IF(J14="","",IF(ISNUMBER(J14),ROUND(J14,2),IFERROR(ROUND(VALUE(SUBSTITUTE(SUBSTITUTE(SUBSTITUTE(J14,"$",""),",","")," ","")),2),"bad")))</f>
        <v/>
      </c>
      <c r="P14">
        <f>IF(TRIM(K14)="","",IFERROR(MATCH(LOWER(TRIM(K14)),'Students'!$AH$2:$AH$701,0),IFERROR(MATCH(LOWER(TRIM(K14)),'Students'!$AF$2:$AF$701,0),IFERROR(MATCH(LOWER(TRIM(K14)),'Students'!$AG$2:$AG$701,0),""))))</f>
        <v/>
      </c>
      <c r="R14">
        <f>IF(P14="","",INDEX('Students'!$AD$2:$AD$701,P14))</f>
        <v/>
      </c>
      <c r="S14">
        <f>IF(H14="OK",O14,0)</f>
        <v/>
      </c>
      <c r="T14">
        <f>IF(H14="OK",N14,"")</f>
        <v/>
      </c>
      <c r="U14">
        <f>IF(OC_Donor=0,"",IF(INDEX('OneCause_Paste'!$A$14:$AZ$14,1,OC_Donor)="","",INDEX('OneCause_Paste'!$A$14:$AZ$14,1,OC_Donor)))</f>
        <v/>
      </c>
    </row>
    <row r="15">
      <c r="A15" s="62">
        <f>IF(H15="","",IF(ISNUMBER(N15),N15,I15))</f>
        <v/>
      </c>
      <c r="B15">
        <f>IF(H15="","",U15)</f>
        <v/>
      </c>
      <c r="C15">
        <f>IF(H15="","",IF(P15="",K15,INDEX('Students'!$A$2:$A$701,P15)))</f>
        <v/>
      </c>
      <c r="D15">
        <f>IF(OR(H15="",P15=""),"",INDEX('Students'!$B$2:$B$701,P15))</f>
        <v/>
      </c>
      <c r="E15">
        <f>IF(OR(H15="",P15=""),"",INDEX('Students'!$C$2:$C$701,P15))</f>
        <v/>
      </c>
      <c r="F15" s="48">
        <f>IF(H15="","",IF(ISNUMBER(O15),O15,J15))</f>
        <v/>
      </c>
      <c r="G15">
        <f>IF(H15="","","OneCause")</f>
        <v/>
      </c>
      <c r="H15">
        <f>IF(AND(I15="",J15="",K15=""),"",IF(NOT(ISNUMBER(O15)),"Bad amount",IF(O15&lt;0,"Refund (not counted)",IF(O15=0,"Zero amount",IF(NOT(ISNUMBER(N15)),"Bad date",IF(P15="","NAME NOT ON ROSTER",IF(L15="","OK",IF(MATCH(L15,$L$2:$L$3001,0)&lt;ROW()-1,"Duplicate (ignored)","OK"))))))))</f>
        <v/>
      </c>
      <c r="I15">
        <f>IF(OC_Date=0,"",IF(INDEX('OneCause_Paste'!$A$15:$AZ$15,1,OC_Date)="","",INDEX('OneCause_Paste'!$A$15:$AZ$15,1,OC_Date)))</f>
        <v/>
      </c>
      <c r="J15">
        <f>IF(OC_Amt=0,"",IF(INDEX('OneCause_Paste'!$A$15:$AZ$15,1,OC_Amt)="","",INDEX('OneCause_Paste'!$A$15:$AZ$15,1,OC_Amt)))</f>
        <v/>
      </c>
      <c r="K15">
        <f>IF(OC_Name=0,"",IF(INDEX('OneCause_Paste'!$A$15:$AZ$15,1,OC_Name)="","",INDEX('OneCause_Paste'!$A$15:$AZ$15,1,OC_Name)))</f>
        <v/>
      </c>
      <c r="L15">
        <f>IF(OC_Txn=0,"",IF(INDEX('OneCause_Paste'!$A$15:$AZ$15,1,OC_Txn)="","",INDEX('OneCause_Paste'!$A$15:$AZ$15,1,OC_Txn)))</f>
        <v/>
      </c>
      <c r="M15">
        <f>IF(OC_Pay=0,"",IF(INDEX('OneCause_Paste'!$A$15:$AZ$15,1,OC_Pay)="","",INDEX('OneCause_Paste'!$A$15:$AZ$15,1,OC_Pay)))</f>
        <v/>
      </c>
      <c r="N15">
        <f>IF(I15="","",IF(ISNUMBER(I15),INT(I15),IFERROR(INT(DATEVALUE(I15)),IFERROR(INT(VALUE(I15)),"bad"))))</f>
        <v/>
      </c>
      <c r="O15">
        <f>IF(J15="","",IF(ISNUMBER(J15),ROUND(J15,2),IFERROR(ROUND(VALUE(SUBSTITUTE(SUBSTITUTE(SUBSTITUTE(J15,"$",""),",","")," ","")),2),"bad")))</f>
        <v/>
      </c>
      <c r="P15">
        <f>IF(TRIM(K15)="","",IFERROR(MATCH(LOWER(TRIM(K15)),'Students'!$AH$2:$AH$701,0),IFERROR(MATCH(LOWER(TRIM(K15)),'Students'!$AF$2:$AF$701,0),IFERROR(MATCH(LOWER(TRIM(K15)),'Students'!$AG$2:$AG$701,0),""))))</f>
        <v/>
      </c>
      <c r="R15">
        <f>IF(P15="","",INDEX('Students'!$AD$2:$AD$701,P15))</f>
        <v/>
      </c>
      <c r="S15">
        <f>IF(H15="OK",O15,0)</f>
        <v/>
      </c>
      <c r="T15">
        <f>IF(H15="OK",N15,"")</f>
        <v/>
      </c>
      <c r="U15">
        <f>IF(OC_Donor=0,"",IF(INDEX('OneCause_Paste'!$A$15:$AZ$15,1,OC_Donor)="","",INDEX('OneCause_Paste'!$A$15:$AZ$15,1,OC_Donor)))</f>
        <v/>
      </c>
    </row>
    <row r="16">
      <c r="A16" s="62">
        <f>IF(H16="","",IF(ISNUMBER(N16),N16,I16))</f>
        <v/>
      </c>
      <c r="B16">
        <f>IF(H16="","",U16)</f>
        <v/>
      </c>
      <c r="C16">
        <f>IF(H16="","",IF(P16="",K16,INDEX('Students'!$A$2:$A$701,P16)))</f>
        <v/>
      </c>
      <c r="D16">
        <f>IF(OR(H16="",P16=""),"",INDEX('Students'!$B$2:$B$701,P16))</f>
        <v/>
      </c>
      <c r="E16">
        <f>IF(OR(H16="",P16=""),"",INDEX('Students'!$C$2:$C$701,P16))</f>
        <v/>
      </c>
      <c r="F16" s="48">
        <f>IF(H16="","",IF(ISNUMBER(O16),O16,J16))</f>
        <v/>
      </c>
      <c r="G16">
        <f>IF(H16="","","OneCause")</f>
        <v/>
      </c>
      <c r="H16">
        <f>IF(AND(I16="",J16="",K16=""),"",IF(NOT(ISNUMBER(O16)),"Bad amount",IF(O16&lt;0,"Refund (not counted)",IF(O16=0,"Zero amount",IF(NOT(ISNUMBER(N16)),"Bad date",IF(P16="","NAME NOT ON ROSTER",IF(L16="","OK",IF(MATCH(L16,$L$2:$L$3001,0)&lt;ROW()-1,"Duplicate (ignored)","OK"))))))))</f>
        <v/>
      </c>
      <c r="I16">
        <f>IF(OC_Date=0,"",IF(INDEX('OneCause_Paste'!$A$16:$AZ$16,1,OC_Date)="","",INDEX('OneCause_Paste'!$A$16:$AZ$16,1,OC_Date)))</f>
        <v/>
      </c>
      <c r="J16">
        <f>IF(OC_Amt=0,"",IF(INDEX('OneCause_Paste'!$A$16:$AZ$16,1,OC_Amt)="","",INDEX('OneCause_Paste'!$A$16:$AZ$16,1,OC_Amt)))</f>
        <v/>
      </c>
      <c r="K16">
        <f>IF(OC_Name=0,"",IF(INDEX('OneCause_Paste'!$A$16:$AZ$16,1,OC_Name)="","",INDEX('OneCause_Paste'!$A$16:$AZ$16,1,OC_Name)))</f>
        <v/>
      </c>
      <c r="L16">
        <f>IF(OC_Txn=0,"",IF(INDEX('OneCause_Paste'!$A$16:$AZ$16,1,OC_Txn)="","",INDEX('OneCause_Paste'!$A$16:$AZ$16,1,OC_Txn)))</f>
        <v/>
      </c>
      <c r="M16">
        <f>IF(OC_Pay=0,"",IF(INDEX('OneCause_Paste'!$A$16:$AZ$16,1,OC_Pay)="","",INDEX('OneCause_Paste'!$A$16:$AZ$16,1,OC_Pay)))</f>
        <v/>
      </c>
      <c r="N16">
        <f>IF(I16="","",IF(ISNUMBER(I16),INT(I16),IFERROR(INT(DATEVALUE(I16)),IFERROR(INT(VALUE(I16)),"bad"))))</f>
        <v/>
      </c>
      <c r="O16">
        <f>IF(J16="","",IF(ISNUMBER(J16),ROUND(J16,2),IFERROR(ROUND(VALUE(SUBSTITUTE(SUBSTITUTE(SUBSTITUTE(J16,"$",""),",","")," ","")),2),"bad")))</f>
        <v/>
      </c>
      <c r="P16">
        <f>IF(TRIM(K16)="","",IFERROR(MATCH(LOWER(TRIM(K16)),'Students'!$AH$2:$AH$701,0),IFERROR(MATCH(LOWER(TRIM(K16)),'Students'!$AF$2:$AF$701,0),IFERROR(MATCH(LOWER(TRIM(K16)),'Students'!$AG$2:$AG$701,0),""))))</f>
        <v/>
      </c>
      <c r="R16">
        <f>IF(P16="","",INDEX('Students'!$AD$2:$AD$701,P16))</f>
        <v/>
      </c>
      <c r="S16">
        <f>IF(H16="OK",O16,0)</f>
        <v/>
      </c>
      <c r="T16">
        <f>IF(H16="OK",N16,"")</f>
        <v/>
      </c>
      <c r="U16">
        <f>IF(OC_Donor=0,"",IF(INDEX('OneCause_Paste'!$A$16:$AZ$16,1,OC_Donor)="","",INDEX('OneCause_Paste'!$A$16:$AZ$16,1,OC_Donor)))</f>
        <v/>
      </c>
    </row>
    <row r="17">
      <c r="A17" s="62">
        <f>IF(H17="","",IF(ISNUMBER(N17),N17,I17))</f>
        <v/>
      </c>
      <c r="B17">
        <f>IF(H17="","",U17)</f>
        <v/>
      </c>
      <c r="C17">
        <f>IF(H17="","",IF(P17="",K17,INDEX('Students'!$A$2:$A$701,P17)))</f>
        <v/>
      </c>
      <c r="D17">
        <f>IF(OR(H17="",P17=""),"",INDEX('Students'!$B$2:$B$701,P17))</f>
        <v/>
      </c>
      <c r="E17">
        <f>IF(OR(H17="",P17=""),"",INDEX('Students'!$C$2:$C$701,P17))</f>
        <v/>
      </c>
      <c r="F17" s="48">
        <f>IF(H17="","",IF(ISNUMBER(O17),O17,J17))</f>
        <v/>
      </c>
      <c r="G17">
        <f>IF(H17="","","OneCause")</f>
        <v/>
      </c>
      <c r="H17">
        <f>IF(AND(I17="",J17="",K17=""),"",IF(NOT(ISNUMBER(O17)),"Bad amount",IF(O17&lt;0,"Refund (not counted)",IF(O17=0,"Zero amount",IF(NOT(ISNUMBER(N17)),"Bad date",IF(P17="","NAME NOT ON ROSTER",IF(L17="","OK",IF(MATCH(L17,$L$2:$L$3001,0)&lt;ROW()-1,"Duplicate (ignored)","OK"))))))))</f>
        <v/>
      </c>
      <c r="I17">
        <f>IF(OC_Date=0,"",IF(INDEX('OneCause_Paste'!$A$17:$AZ$17,1,OC_Date)="","",INDEX('OneCause_Paste'!$A$17:$AZ$17,1,OC_Date)))</f>
        <v/>
      </c>
      <c r="J17">
        <f>IF(OC_Amt=0,"",IF(INDEX('OneCause_Paste'!$A$17:$AZ$17,1,OC_Amt)="","",INDEX('OneCause_Paste'!$A$17:$AZ$17,1,OC_Amt)))</f>
        <v/>
      </c>
      <c r="K17">
        <f>IF(OC_Name=0,"",IF(INDEX('OneCause_Paste'!$A$17:$AZ$17,1,OC_Name)="","",INDEX('OneCause_Paste'!$A$17:$AZ$17,1,OC_Name)))</f>
        <v/>
      </c>
      <c r="L17">
        <f>IF(OC_Txn=0,"",IF(INDEX('OneCause_Paste'!$A$17:$AZ$17,1,OC_Txn)="","",INDEX('OneCause_Paste'!$A$17:$AZ$17,1,OC_Txn)))</f>
        <v/>
      </c>
      <c r="M17">
        <f>IF(OC_Pay=0,"",IF(INDEX('OneCause_Paste'!$A$17:$AZ$17,1,OC_Pay)="","",INDEX('OneCause_Paste'!$A$17:$AZ$17,1,OC_Pay)))</f>
        <v/>
      </c>
      <c r="N17">
        <f>IF(I17="","",IF(ISNUMBER(I17),INT(I17),IFERROR(INT(DATEVALUE(I17)),IFERROR(INT(VALUE(I17)),"bad"))))</f>
        <v/>
      </c>
      <c r="O17">
        <f>IF(J17="","",IF(ISNUMBER(J17),ROUND(J17,2),IFERROR(ROUND(VALUE(SUBSTITUTE(SUBSTITUTE(SUBSTITUTE(J17,"$",""),",","")," ","")),2),"bad")))</f>
        <v/>
      </c>
      <c r="P17">
        <f>IF(TRIM(K17)="","",IFERROR(MATCH(LOWER(TRIM(K17)),'Students'!$AH$2:$AH$701,0),IFERROR(MATCH(LOWER(TRIM(K17)),'Students'!$AF$2:$AF$701,0),IFERROR(MATCH(LOWER(TRIM(K17)),'Students'!$AG$2:$AG$701,0),""))))</f>
        <v/>
      </c>
      <c r="R17">
        <f>IF(P17="","",INDEX('Students'!$AD$2:$AD$701,P17))</f>
        <v/>
      </c>
      <c r="S17">
        <f>IF(H17="OK",O17,0)</f>
        <v/>
      </c>
      <c r="T17">
        <f>IF(H17="OK",N17,"")</f>
        <v/>
      </c>
      <c r="U17">
        <f>IF(OC_Donor=0,"",IF(INDEX('OneCause_Paste'!$A$17:$AZ$17,1,OC_Donor)="","",INDEX('OneCause_Paste'!$A$17:$AZ$17,1,OC_Donor)))</f>
        <v/>
      </c>
    </row>
    <row r="18">
      <c r="A18" s="62">
        <f>IF(H18="","",IF(ISNUMBER(N18),N18,I18))</f>
        <v/>
      </c>
      <c r="B18">
        <f>IF(H18="","",U18)</f>
        <v/>
      </c>
      <c r="C18">
        <f>IF(H18="","",IF(P18="",K18,INDEX('Students'!$A$2:$A$701,P18)))</f>
        <v/>
      </c>
      <c r="D18">
        <f>IF(OR(H18="",P18=""),"",INDEX('Students'!$B$2:$B$701,P18))</f>
        <v/>
      </c>
      <c r="E18">
        <f>IF(OR(H18="",P18=""),"",INDEX('Students'!$C$2:$C$701,P18))</f>
        <v/>
      </c>
      <c r="F18" s="48">
        <f>IF(H18="","",IF(ISNUMBER(O18),O18,J18))</f>
        <v/>
      </c>
      <c r="G18">
        <f>IF(H18="","","OneCause")</f>
        <v/>
      </c>
      <c r="H18">
        <f>IF(AND(I18="",J18="",K18=""),"",IF(NOT(ISNUMBER(O18)),"Bad amount",IF(O18&lt;0,"Refund (not counted)",IF(O18=0,"Zero amount",IF(NOT(ISNUMBER(N18)),"Bad date",IF(P18="","NAME NOT ON ROSTER",IF(L18="","OK",IF(MATCH(L18,$L$2:$L$3001,0)&lt;ROW()-1,"Duplicate (ignored)","OK"))))))))</f>
        <v/>
      </c>
      <c r="I18">
        <f>IF(OC_Date=0,"",IF(INDEX('OneCause_Paste'!$A$18:$AZ$18,1,OC_Date)="","",INDEX('OneCause_Paste'!$A$18:$AZ$18,1,OC_Date)))</f>
        <v/>
      </c>
      <c r="J18">
        <f>IF(OC_Amt=0,"",IF(INDEX('OneCause_Paste'!$A$18:$AZ$18,1,OC_Amt)="","",INDEX('OneCause_Paste'!$A$18:$AZ$18,1,OC_Amt)))</f>
        <v/>
      </c>
      <c r="K18">
        <f>IF(OC_Name=0,"",IF(INDEX('OneCause_Paste'!$A$18:$AZ$18,1,OC_Name)="","",INDEX('OneCause_Paste'!$A$18:$AZ$18,1,OC_Name)))</f>
        <v/>
      </c>
      <c r="L18">
        <f>IF(OC_Txn=0,"",IF(INDEX('OneCause_Paste'!$A$18:$AZ$18,1,OC_Txn)="","",INDEX('OneCause_Paste'!$A$18:$AZ$18,1,OC_Txn)))</f>
        <v/>
      </c>
      <c r="M18">
        <f>IF(OC_Pay=0,"",IF(INDEX('OneCause_Paste'!$A$18:$AZ$18,1,OC_Pay)="","",INDEX('OneCause_Paste'!$A$18:$AZ$18,1,OC_Pay)))</f>
        <v/>
      </c>
      <c r="N18">
        <f>IF(I18="","",IF(ISNUMBER(I18),INT(I18),IFERROR(INT(DATEVALUE(I18)),IFERROR(INT(VALUE(I18)),"bad"))))</f>
        <v/>
      </c>
      <c r="O18">
        <f>IF(J18="","",IF(ISNUMBER(J18),ROUND(J18,2),IFERROR(ROUND(VALUE(SUBSTITUTE(SUBSTITUTE(SUBSTITUTE(J18,"$",""),",","")," ","")),2),"bad")))</f>
        <v/>
      </c>
      <c r="P18">
        <f>IF(TRIM(K18)="","",IFERROR(MATCH(LOWER(TRIM(K18)),'Students'!$AH$2:$AH$701,0),IFERROR(MATCH(LOWER(TRIM(K18)),'Students'!$AF$2:$AF$701,0),IFERROR(MATCH(LOWER(TRIM(K18)),'Students'!$AG$2:$AG$701,0),""))))</f>
        <v/>
      </c>
      <c r="R18">
        <f>IF(P18="","",INDEX('Students'!$AD$2:$AD$701,P18))</f>
        <v/>
      </c>
      <c r="S18">
        <f>IF(H18="OK",O18,0)</f>
        <v/>
      </c>
      <c r="T18">
        <f>IF(H18="OK",N18,"")</f>
        <v/>
      </c>
      <c r="U18">
        <f>IF(OC_Donor=0,"",IF(INDEX('OneCause_Paste'!$A$18:$AZ$18,1,OC_Donor)="","",INDEX('OneCause_Paste'!$A$18:$AZ$18,1,OC_Donor)))</f>
        <v/>
      </c>
    </row>
    <row r="19">
      <c r="A19" s="62">
        <f>IF(H19="","",IF(ISNUMBER(N19),N19,I19))</f>
        <v/>
      </c>
      <c r="B19">
        <f>IF(H19="","",U19)</f>
        <v/>
      </c>
      <c r="C19">
        <f>IF(H19="","",IF(P19="",K19,INDEX('Students'!$A$2:$A$701,P19)))</f>
        <v/>
      </c>
      <c r="D19">
        <f>IF(OR(H19="",P19=""),"",INDEX('Students'!$B$2:$B$701,P19))</f>
        <v/>
      </c>
      <c r="E19">
        <f>IF(OR(H19="",P19=""),"",INDEX('Students'!$C$2:$C$701,P19))</f>
        <v/>
      </c>
      <c r="F19" s="48">
        <f>IF(H19="","",IF(ISNUMBER(O19),O19,J19))</f>
        <v/>
      </c>
      <c r="G19">
        <f>IF(H19="","","OneCause")</f>
        <v/>
      </c>
      <c r="H19">
        <f>IF(AND(I19="",J19="",K19=""),"",IF(NOT(ISNUMBER(O19)),"Bad amount",IF(O19&lt;0,"Refund (not counted)",IF(O19=0,"Zero amount",IF(NOT(ISNUMBER(N19)),"Bad date",IF(P19="","NAME NOT ON ROSTER",IF(L19="","OK",IF(MATCH(L19,$L$2:$L$3001,0)&lt;ROW()-1,"Duplicate (ignored)","OK"))))))))</f>
        <v/>
      </c>
      <c r="I19">
        <f>IF(OC_Date=0,"",IF(INDEX('OneCause_Paste'!$A$19:$AZ$19,1,OC_Date)="","",INDEX('OneCause_Paste'!$A$19:$AZ$19,1,OC_Date)))</f>
        <v/>
      </c>
      <c r="J19">
        <f>IF(OC_Amt=0,"",IF(INDEX('OneCause_Paste'!$A$19:$AZ$19,1,OC_Amt)="","",INDEX('OneCause_Paste'!$A$19:$AZ$19,1,OC_Amt)))</f>
        <v/>
      </c>
      <c r="K19">
        <f>IF(OC_Name=0,"",IF(INDEX('OneCause_Paste'!$A$19:$AZ$19,1,OC_Name)="","",INDEX('OneCause_Paste'!$A$19:$AZ$19,1,OC_Name)))</f>
        <v/>
      </c>
      <c r="L19">
        <f>IF(OC_Txn=0,"",IF(INDEX('OneCause_Paste'!$A$19:$AZ$19,1,OC_Txn)="","",INDEX('OneCause_Paste'!$A$19:$AZ$19,1,OC_Txn)))</f>
        <v/>
      </c>
      <c r="M19">
        <f>IF(OC_Pay=0,"",IF(INDEX('OneCause_Paste'!$A$19:$AZ$19,1,OC_Pay)="","",INDEX('OneCause_Paste'!$A$19:$AZ$19,1,OC_Pay)))</f>
        <v/>
      </c>
      <c r="N19">
        <f>IF(I19="","",IF(ISNUMBER(I19),INT(I19),IFERROR(INT(DATEVALUE(I19)),IFERROR(INT(VALUE(I19)),"bad"))))</f>
        <v/>
      </c>
      <c r="O19">
        <f>IF(J19="","",IF(ISNUMBER(J19),ROUND(J19,2),IFERROR(ROUND(VALUE(SUBSTITUTE(SUBSTITUTE(SUBSTITUTE(J19,"$",""),",","")," ","")),2),"bad")))</f>
        <v/>
      </c>
      <c r="P19">
        <f>IF(TRIM(K19)="","",IFERROR(MATCH(LOWER(TRIM(K19)),'Students'!$AH$2:$AH$701,0),IFERROR(MATCH(LOWER(TRIM(K19)),'Students'!$AF$2:$AF$701,0),IFERROR(MATCH(LOWER(TRIM(K19)),'Students'!$AG$2:$AG$701,0),""))))</f>
        <v/>
      </c>
      <c r="R19">
        <f>IF(P19="","",INDEX('Students'!$AD$2:$AD$701,P19))</f>
        <v/>
      </c>
      <c r="S19">
        <f>IF(H19="OK",O19,0)</f>
        <v/>
      </c>
      <c r="T19">
        <f>IF(H19="OK",N19,"")</f>
        <v/>
      </c>
      <c r="U19">
        <f>IF(OC_Donor=0,"",IF(INDEX('OneCause_Paste'!$A$19:$AZ$19,1,OC_Donor)="","",INDEX('OneCause_Paste'!$A$19:$AZ$19,1,OC_Donor)))</f>
        <v/>
      </c>
    </row>
    <row r="20">
      <c r="A20" s="62">
        <f>IF(H20="","",IF(ISNUMBER(N20),N20,I20))</f>
        <v/>
      </c>
      <c r="B20">
        <f>IF(H20="","",U20)</f>
        <v/>
      </c>
      <c r="C20">
        <f>IF(H20="","",IF(P20="",K20,INDEX('Students'!$A$2:$A$701,P20)))</f>
        <v/>
      </c>
      <c r="D20">
        <f>IF(OR(H20="",P20=""),"",INDEX('Students'!$B$2:$B$701,P20))</f>
        <v/>
      </c>
      <c r="E20">
        <f>IF(OR(H20="",P20=""),"",INDEX('Students'!$C$2:$C$701,P20))</f>
        <v/>
      </c>
      <c r="F20" s="48">
        <f>IF(H20="","",IF(ISNUMBER(O20),O20,J20))</f>
        <v/>
      </c>
      <c r="G20">
        <f>IF(H20="","","OneCause")</f>
        <v/>
      </c>
      <c r="H20">
        <f>IF(AND(I20="",J20="",K20=""),"",IF(NOT(ISNUMBER(O20)),"Bad amount",IF(O20&lt;0,"Refund (not counted)",IF(O20=0,"Zero amount",IF(NOT(ISNUMBER(N20)),"Bad date",IF(P20="","NAME NOT ON ROSTER",IF(L20="","OK",IF(MATCH(L20,$L$2:$L$3001,0)&lt;ROW()-1,"Duplicate (ignored)","OK"))))))))</f>
        <v/>
      </c>
      <c r="I20">
        <f>IF(OC_Date=0,"",IF(INDEX('OneCause_Paste'!$A$20:$AZ$20,1,OC_Date)="","",INDEX('OneCause_Paste'!$A$20:$AZ$20,1,OC_Date)))</f>
        <v/>
      </c>
      <c r="J20">
        <f>IF(OC_Amt=0,"",IF(INDEX('OneCause_Paste'!$A$20:$AZ$20,1,OC_Amt)="","",INDEX('OneCause_Paste'!$A$20:$AZ$20,1,OC_Amt)))</f>
        <v/>
      </c>
      <c r="K20">
        <f>IF(OC_Name=0,"",IF(INDEX('OneCause_Paste'!$A$20:$AZ$20,1,OC_Name)="","",INDEX('OneCause_Paste'!$A$20:$AZ$20,1,OC_Name)))</f>
        <v/>
      </c>
      <c r="L20">
        <f>IF(OC_Txn=0,"",IF(INDEX('OneCause_Paste'!$A$20:$AZ$20,1,OC_Txn)="","",INDEX('OneCause_Paste'!$A$20:$AZ$20,1,OC_Txn)))</f>
        <v/>
      </c>
      <c r="M20">
        <f>IF(OC_Pay=0,"",IF(INDEX('OneCause_Paste'!$A$20:$AZ$20,1,OC_Pay)="","",INDEX('OneCause_Paste'!$A$20:$AZ$20,1,OC_Pay)))</f>
        <v/>
      </c>
      <c r="N20">
        <f>IF(I20="","",IF(ISNUMBER(I20),INT(I20),IFERROR(INT(DATEVALUE(I20)),IFERROR(INT(VALUE(I20)),"bad"))))</f>
        <v/>
      </c>
      <c r="O20">
        <f>IF(J20="","",IF(ISNUMBER(J20),ROUND(J20,2),IFERROR(ROUND(VALUE(SUBSTITUTE(SUBSTITUTE(SUBSTITUTE(J20,"$",""),",","")," ","")),2),"bad")))</f>
        <v/>
      </c>
      <c r="P20">
        <f>IF(TRIM(K20)="","",IFERROR(MATCH(LOWER(TRIM(K20)),'Students'!$AH$2:$AH$701,0),IFERROR(MATCH(LOWER(TRIM(K20)),'Students'!$AF$2:$AF$701,0),IFERROR(MATCH(LOWER(TRIM(K20)),'Students'!$AG$2:$AG$701,0),""))))</f>
        <v/>
      </c>
      <c r="R20">
        <f>IF(P20="","",INDEX('Students'!$AD$2:$AD$701,P20))</f>
        <v/>
      </c>
      <c r="S20">
        <f>IF(H20="OK",O20,0)</f>
        <v/>
      </c>
      <c r="T20">
        <f>IF(H20="OK",N20,"")</f>
        <v/>
      </c>
      <c r="U20">
        <f>IF(OC_Donor=0,"",IF(INDEX('OneCause_Paste'!$A$20:$AZ$20,1,OC_Donor)="","",INDEX('OneCause_Paste'!$A$20:$AZ$20,1,OC_Donor)))</f>
        <v/>
      </c>
    </row>
    <row r="21">
      <c r="A21" s="62">
        <f>IF(H21="","",IF(ISNUMBER(N21),N21,I21))</f>
        <v/>
      </c>
      <c r="B21">
        <f>IF(H21="","",U21)</f>
        <v/>
      </c>
      <c r="C21">
        <f>IF(H21="","",IF(P21="",K21,INDEX('Students'!$A$2:$A$701,P21)))</f>
        <v/>
      </c>
      <c r="D21">
        <f>IF(OR(H21="",P21=""),"",INDEX('Students'!$B$2:$B$701,P21))</f>
        <v/>
      </c>
      <c r="E21">
        <f>IF(OR(H21="",P21=""),"",INDEX('Students'!$C$2:$C$701,P21))</f>
        <v/>
      </c>
      <c r="F21" s="48">
        <f>IF(H21="","",IF(ISNUMBER(O21),O21,J21))</f>
        <v/>
      </c>
      <c r="G21">
        <f>IF(H21="","","OneCause")</f>
        <v/>
      </c>
      <c r="H21">
        <f>IF(AND(I21="",J21="",K21=""),"",IF(NOT(ISNUMBER(O21)),"Bad amount",IF(O21&lt;0,"Refund (not counted)",IF(O21=0,"Zero amount",IF(NOT(ISNUMBER(N21)),"Bad date",IF(P21="","NAME NOT ON ROSTER",IF(L21="","OK",IF(MATCH(L21,$L$2:$L$3001,0)&lt;ROW()-1,"Duplicate (ignored)","OK"))))))))</f>
        <v/>
      </c>
      <c r="I21">
        <f>IF(OC_Date=0,"",IF(INDEX('OneCause_Paste'!$A$21:$AZ$21,1,OC_Date)="","",INDEX('OneCause_Paste'!$A$21:$AZ$21,1,OC_Date)))</f>
        <v/>
      </c>
      <c r="J21">
        <f>IF(OC_Amt=0,"",IF(INDEX('OneCause_Paste'!$A$21:$AZ$21,1,OC_Amt)="","",INDEX('OneCause_Paste'!$A$21:$AZ$21,1,OC_Amt)))</f>
        <v/>
      </c>
      <c r="K21">
        <f>IF(OC_Name=0,"",IF(INDEX('OneCause_Paste'!$A$21:$AZ$21,1,OC_Name)="","",INDEX('OneCause_Paste'!$A$21:$AZ$21,1,OC_Name)))</f>
        <v/>
      </c>
      <c r="L21">
        <f>IF(OC_Txn=0,"",IF(INDEX('OneCause_Paste'!$A$21:$AZ$21,1,OC_Txn)="","",INDEX('OneCause_Paste'!$A$21:$AZ$21,1,OC_Txn)))</f>
        <v/>
      </c>
      <c r="M21">
        <f>IF(OC_Pay=0,"",IF(INDEX('OneCause_Paste'!$A$21:$AZ$21,1,OC_Pay)="","",INDEX('OneCause_Paste'!$A$21:$AZ$21,1,OC_Pay)))</f>
        <v/>
      </c>
      <c r="N21">
        <f>IF(I21="","",IF(ISNUMBER(I21),INT(I21),IFERROR(INT(DATEVALUE(I21)),IFERROR(INT(VALUE(I21)),"bad"))))</f>
        <v/>
      </c>
      <c r="O21">
        <f>IF(J21="","",IF(ISNUMBER(J21),ROUND(J21,2),IFERROR(ROUND(VALUE(SUBSTITUTE(SUBSTITUTE(SUBSTITUTE(J21,"$",""),",","")," ","")),2),"bad")))</f>
        <v/>
      </c>
      <c r="P21">
        <f>IF(TRIM(K21)="","",IFERROR(MATCH(LOWER(TRIM(K21)),'Students'!$AH$2:$AH$701,0),IFERROR(MATCH(LOWER(TRIM(K21)),'Students'!$AF$2:$AF$701,0),IFERROR(MATCH(LOWER(TRIM(K21)),'Students'!$AG$2:$AG$701,0),""))))</f>
        <v/>
      </c>
      <c r="R21">
        <f>IF(P21="","",INDEX('Students'!$AD$2:$AD$701,P21))</f>
        <v/>
      </c>
      <c r="S21">
        <f>IF(H21="OK",O21,0)</f>
        <v/>
      </c>
      <c r="T21">
        <f>IF(H21="OK",N21,"")</f>
        <v/>
      </c>
      <c r="U21">
        <f>IF(OC_Donor=0,"",IF(INDEX('OneCause_Paste'!$A$21:$AZ$21,1,OC_Donor)="","",INDEX('OneCause_Paste'!$A$21:$AZ$21,1,OC_Donor)))</f>
        <v/>
      </c>
    </row>
    <row r="22">
      <c r="A22" s="62">
        <f>IF(H22="","",IF(ISNUMBER(N22),N22,I22))</f>
        <v/>
      </c>
      <c r="B22">
        <f>IF(H22="","",U22)</f>
        <v/>
      </c>
      <c r="C22">
        <f>IF(H22="","",IF(P22="",K22,INDEX('Students'!$A$2:$A$701,P22)))</f>
        <v/>
      </c>
      <c r="D22">
        <f>IF(OR(H22="",P22=""),"",INDEX('Students'!$B$2:$B$701,P22))</f>
        <v/>
      </c>
      <c r="E22">
        <f>IF(OR(H22="",P22=""),"",INDEX('Students'!$C$2:$C$701,P22))</f>
        <v/>
      </c>
      <c r="F22" s="48">
        <f>IF(H22="","",IF(ISNUMBER(O22),O22,J22))</f>
        <v/>
      </c>
      <c r="G22">
        <f>IF(H22="","","OneCause")</f>
        <v/>
      </c>
      <c r="H22">
        <f>IF(AND(I22="",J22="",K22=""),"",IF(NOT(ISNUMBER(O22)),"Bad amount",IF(O22&lt;0,"Refund (not counted)",IF(O22=0,"Zero amount",IF(NOT(ISNUMBER(N22)),"Bad date",IF(P22="","NAME NOT ON ROSTER",IF(L22="","OK",IF(MATCH(L22,$L$2:$L$3001,0)&lt;ROW()-1,"Duplicate (ignored)","OK"))))))))</f>
        <v/>
      </c>
      <c r="I22">
        <f>IF(OC_Date=0,"",IF(INDEX('OneCause_Paste'!$A$22:$AZ$22,1,OC_Date)="","",INDEX('OneCause_Paste'!$A$22:$AZ$22,1,OC_Date)))</f>
        <v/>
      </c>
      <c r="J22">
        <f>IF(OC_Amt=0,"",IF(INDEX('OneCause_Paste'!$A$22:$AZ$22,1,OC_Amt)="","",INDEX('OneCause_Paste'!$A$22:$AZ$22,1,OC_Amt)))</f>
        <v/>
      </c>
      <c r="K22">
        <f>IF(OC_Name=0,"",IF(INDEX('OneCause_Paste'!$A$22:$AZ$22,1,OC_Name)="","",INDEX('OneCause_Paste'!$A$22:$AZ$22,1,OC_Name)))</f>
        <v/>
      </c>
      <c r="L22">
        <f>IF(OC_Txn=0,"",IF(INDEX('OneCause_Paste'!$A$22:$AZ$22,1,OC_Txn)="","",INDEX('OneCause_Paste'!$A$22:$AZ$22,1,OC_Txn)))</f>
        <v/>
      </c>
      <c r="M22">
        <f>IF(OC_Pay=0,"",IF(INDEX('OneCause_Paste'!$A$22:$AZ$22,1,OC_Pay)="","",INDEX('OneCause_Paste'!$A$22:$AZ$22,1,OC_Pay)))</f>
        <v/>
      </c>
      <c r="N22">
        <f>IF(I22="","",IF(ISNUMBER(I22),INT(I22),IFERROR(INT(DATEVALUE(I22)),IFERROR(INT(VALUE(I22)),"bad"))))</f>
        <v/>
      </c>
      <c r="O22">
        <f>IF(J22="","",IF(ISNUMBER(J22),ROUND(J22,2),IFERROR(ROUND(VALUE(SUBSTITUTE(SUBSTITUTE(SUBSTITUTE(J22,"$",""),",","")," ","")),2),"bad")))</f>
        <v/>
      </c>
      <c r="P22">
        <f>IF(TRIM(K22)="","",IFERROR(MATCH(LOWER(TRIM(K22)),'Students'!$AH$2:$AH$701,0),IFERROR(MATCH(LOWER(TRIM(K22)),'Students'!$AF$2:$AF$701,0),IFERROR(MATCH(LOWER(TRIM(K22)),'Students'!$AG$2:$AG$701,0),""))))</f>
        <v/>
      </c>
      <c r="R22">
        <f>IF(P22="","",INDEX('Students'!$AD$2:$AD$701,P22))</f>
        <v/>
      </c>
      <c r="S22">
        <f>IF(H22="OK",O22,0)</f>
        <v/>
      </c>
      <c r="T22">
        <f>IF(H22="OK",N22,"")</f>
        <v/>
      </c>
      <c r="U22">
        <f>IF(OC_Donor=0,"",IF(INDEX('OneCause_Paste'!$A$22:$AZ$22,1,OC_Donor)="","",INDEX('OneCause_Paste'!$A$22:$AZ$22,1,OC_Donor)))</f>
        <v/>
      </c>
    </row>
    <row r="23">
      <c r="A23" s="62">
        <f>IF(H23="","",IF(ISNUMBER(N23),N23,I23))</f>
        <v/>
      </c>
      <c r="B23">
        <f>IF(H23="","",U23)</f>
        <v/>
      </c>
      <c r="C23">
        <f>IF(H23="","",IF(P23="",K23,INDEX('Students'!$A$2:$A$701,P23)))</f>
        <v/>
      </c>
      <c r="D23">
        <f>IF(OR(H23="",P23=""),"",INDEX('Students'!$B$2:$B$701,P23))</f>
        <v/>
      </c>
      <c r="E23">
        <f>IF(OR(H23="",P23=""),"",INDEX('Students'!$C$2:$C$701,P23))</f>
        <v/>
      </c>
      <c r="F23" s="48">
        <f>IF(H23="","",IF(ISNUMBER(O23),O23,J23))</f>
        <v/>
      </c>
      <c r="G23">
        <f>IF(H23="","","OneCause")</f>
        <v/>
      </c>
      <c r="H23">
        <f>IF(AND(I23="",J23="",K23=""),"",IF(NOT(ISNUMBER(O23)),"Bad amount",IF(O23&lt;0,"Refund (not counted)",IF(O23=0,"Zero amount",IF(NOT(ISNUMBER(N23)),"Bad date",IF(P23="","NAME NOT ON ROSTER",IF(L23="","OK",IF(MATCH(L23,$L$2:$L$3001,0)&lt;ROW()-1,"Duplicate (ignored)","OK"))))))))</f>
        <v/>
      </c>
      <c r="I23">
        <f>IF(OC_Date=0,"",IF(INDEX('OneCause_Paste'!$A$23:$AZ$23,1,OC_Date)="","",INDEX('OneCause_Paste'!$A$23:$AZ$23,1,OC_Date)))</f>
        <v/>
      </c>
      <c r="J23">
        <f>IF(OC_Amt=0,"",IF(INDEX('OneCause_Paste'!$A$23:$AZ$23,1,OC_Amt)="","",INDEX('OneCause_Paste'!$A$23:$AZ$23,1,OC_Amt)))</f>
        <v/>
      </c>
      <c r="K23">
        <f>IF(OC_Name=0,"",IF(INDEX('OneCause_Paste'!$A$23:$AZ$23,1,OC_Name)="","",INDEX('OneCause_Paste'!$A$23:$AZ$23,1,OC_Name)))</f>
        <v/>
      </c>
      <c r="L23">
        <f>IF(OC_Txn=0,"",IF(INDEX('OneCause_Paste'!$A$23:$AZ$23,1,OC_Txn)="","",INDEX('OneCause_Paste'!$A$23:$AZ$23,1,OC_Txn)))</f>
        <v/>
      </c>
      <c r="M23">
        <f>IF(OC_Pay=0,"",IF(INDEX('OneCause_Paste'!$A$23:$AZ$23,1,OC_Pay)="","",INDEX('OneCause_Paste'!$A$23:$AZ$23,1,OC_Pay)))</f>
        <v/>
      </c>
      <c r="N23">
        <f>IF(I23="","",IF(ISNUMBER(I23),INT(I23),IFERROR(INT(DATEVALUE(I23)),IFERROR(INT(VALUE(I23)),"bad"))))</f>
        <v/>
      </c>
      <c r="O23">
        <f>IF(J23="","",IF(ISNUMBER(J23),ROUND(J23,2),IFERROR(ROUND(VALUE(SUBSTITUTE(SUBSTITUTE(SUBSTITUTE(J23,"$",""),",","")," ","")),2),"bad")))</f>
        <v/>
      </c>
      <c r="P23">
        <f>IF(TRIM(K23)="","",IFERROR(MATCH(LOWER(TRIM(K23)),'Students'!$AH$2:$AH$701,0),IFERROR(MATCH(LOWER(TRIM(K23)),'Students'!$AF$2:$AF$701,0),IFERROR(MATCH(LOWER(TRIM(K23)),'Students'!$AG$2:$AG$701,0),""))))</f>
        <v/>
      </c>
      <c r="R23">
        <f>IF(P23="","",INDEX('Students'!$AD$2:$AD$701,P23))</f>
        <v/>
      </c>
      <c r="S23">
        <f>IF(H23="OK",O23,0)</f>
        <v/>
      </c>
      <c r="T23">
        <f>IF(H23="OK",N23,"")</f>
        <v/>
      </c>
      <c r="U23">
        <f>IF(OC_Donor=0,"",IF(INDEX('OneCause_Paste'!$A$23:$AZ$23,1,OC_Donor)="","",INDEX('OneCause_Paste'!$A$23:$AZ$23,1,OC_Donor)))</f>
        <v/>
      </c>
    </row>
    <row r="24">
      <c r="A24" s="62">
        <f>IF(H24="","",IF(ISNUMBER(N24),N24,I24))</f>
        <v/>
      </c>
      <c r="B24">
        <f>IF(H24="","",U24)</f>
        <v/>
      </c>
      <c r="C24">
        <f>IF(H24="","",IF(P24="",K24,INDEX('Students'!$A$2:$A$701,P24)))</f>
        <v/>
      </c>
      <c r="D24">
        <f>IF(OR(H24="",P24=""),"",INDEX('Students'!$B$2:$B$701,P24))</f>
        <v/>
      </c>
      <c r="E24">
        <f>IF(OR(H24="",P24=""),"",INDEX('Students'!$C$2:$C$701,P24))</f>
        <v/>
      </c>
      <c r="F24" s="48">
        <f>IF(H24="","",IF(ISNUMBER(O24),O24,J24))</f>
        <v/>
      </c>
      <c r="G24">
        <f>IF(H24="","","OneCause")</f>
        <v/>
      </c>
      <c r="H24">
        <f>IF(AND(I24="",J24="",K24=""),"",IF(NOT(ISNUMBER(O24)),"Bad amount",IF(O24&lt;0,"Refund (not counted)",IF(O24=0,"Zero amount",IF(NOT(ISNUMBER(N24)),"Bad date",IF(P24="","NAME NOT ON ROSTER",IF(L24="","OK",IF(MATCH(L24,$L$2:$L$3001,0)&lt;ROW()-1,"Duplicate (ignored)","OK"))))))))</f>
        <v/>
      </c>
      <c r="I24">
        <f>IF(OC_Date=0,"",IF(INDEX('OneCause_Paste'!$A$24:$AZ$24,1,OC_Date)="","",INDEX('OneCause_Paste'!$A$24:$AZ$24,1,OC_Date)))</f>
        <v/>
      </c>
      <c r="J24">
        <f>IF(OC_Amt=0,"",IF(INDEX('OneCause_Paste'!$A$24:$AZ$24,1,OC_Amt)="","",INDEX('OneCause_Paste'!$A$24:$AZ$24,1,OC_Amt)))</f>
        <v/>
      </c>
      <c r="K24">
        <f>IF(OC_Name=0,"",IF(INDEX('OneCause_Paste'!$A$24:$AZ$24,1,OC_Name)="","",INDEX('OneCause_Paste'!$A$24:$AZ$24,1,OC_Name)))</f>
        <v/>
      </c>
      <c r="L24">
        <f>IF(OC_Txn=0,"",IF(INDEX('OneCause_Paste'!$A$24:$AZ$24,1,OC_Txn)="","",INDEX('OneCause_Paste'!$A$24:$AZ$24,1,OC_Txn)))</f>
        <v/>
      </c>
      <c r="M24">
        <f>IF(OC_Pay=0,"",IF(INDEX('OneCause_Paste'!$A$24:$AZ$24,1,OC_Pay)="","",INDEX('OneCause_Paste'!$A$24:$AZ$24,1,OC_Pay)))</f>
        <v/>
      </c>
      <c r="N24">
        <f>IF(I24="","",IF(ISNUMBER(I24),INT(I24),IFERROR(INT(DATEVALUE(I24)),IFERROR(INT(VALUE(I24)),"bad"))))</f>
        <v/>
      </c>
      <c r="O24">
        <f>IF(J24="","",IF(ISNUMBER(J24),ROUND(J24,2),IFERROR(ROUND(VALUE(SUBSTITUTE(SUBSTITUTE(SUBSTITUTE(J24,"$",""),",","")," ","")),2),"bad")))</f>
        <v/>
      </c>
      <c r="P24">
        <f>IF(TRIM(K24)="","",IFERROR(MATCH(LOWER(TRIM(K24)),'Students'!$AH$2:$AH$701,0),IFERROR(MATCH(LOWER(TRIM(K24)),'Students'!$AF$2:$AF$701,0),IFERROR(MATCH(LOWER(TRIM(K24)),'Students'!$AG$2:$AG$701,0),""))))</f>
        <v/>
      </c>
      <c r="R24">
        <f>IF(P24="","",INDEX('Students'!$AD$2:$AD$701,P24))</f>
        <v/>
      </c>
      <c r="S24">
        <f>IF(H24="OK",O24,0)</f>
        <v/>
      </c>
      <c r="T24">
        <f>IF(H24="OK",N24,"")</f>
        <v/>
      </c>
      <c r="U24">
        <f>IF(OC_Donor=0,"",IF(INDEX('OneCause_Paste'!$A$24:$AZ$24,1,OC_Donor)="","",INDEX('OneCause_Paste'!$A$24:$AZ$24,1,OC_Donor)))</f>
        <v/>
      </c>
    </row>
    <row r="25">
      <c r="A25" s="62">
        <f>IF(H25="","",IF(ISNUMBER(N25),N25,I25))</f>
        <v/>
      </c>
      <c r="B25">
        <f>IF(H25="","",U25)</f>
        <v/>
      </c>
      <c r="C25">
        <f>IF(H25="","",IF(P25="",K25,INDEX('Students'!$A$2:$A$701,P25)))</f>
        <v/>
      </c>
      <c r="D25">
        <f>IF(OR(H25="",P25=""),"",INDEX('Students'!$B$2:$B$701,P25))</f>
        <v/>
      </c>
      <c r="E25">
        <f>IF(OR(H25="",P25=""),"",INDEX('Students'!$C$2:$C$701,P25))</f>
        <v/>
      </c>
      <c r="F25" s="48">
        <f>IF(H25="","",IF(ISNUMBER(O25),O25,J25))</f>
        <v/>
      </c>
      <c r="G25">
        <f>IF(H25="","","OneCause")</f>
        <v/>
      </c>
      <c r="H25">
        <f>IF(AND(I25="",J25="",K25=""),"",IF(NOT(ISNUMBER(O25)),"Bad amount",IF(O25&lt;0,"Refund (not counted)",IF(O25=0,"Zero amount",IF(NOT(ISNUMBER(N25)),"Bad date",IF(P25="","NAME NOT ON ROSTER",IF(L25="","OK",IF(MATCH(L25,$L$2:$L$3001,0)&lt;ROW()-1,"Duplicate (ignored)","OK"))))))))</f>
        <v/>
      </c>
      <c r="I25">
        <f>IF(OC_Date=0,"",IF(INDEX('OneCause_Paste'!$A$25:$AZ$25,1,OC_Date)="","",INDEX('OneCause_Paste'!$A$25:$AZ$25,1,OC_Date)))</f>
        <v/>
      </c>
      <c r="J25">
        <f>IF(OC_Amt=0,"",IF(INDEX('OneCause_Paste'!$A$25:$AZ$25,1,OC_Amt)="","",INDEX('OneCause_Paste'!$A$25:$AZ$25,1,OC_Amt)))</f>
        <v/>
      </c>
      <c r="K25">
        <f>IF(OC_Name=0,"",IF(INDEX('OneCause_Paste'!$A$25:$AZ$25,1,OC_Name)="","",INDEX('OneCause_Paste'!$A$25:$AZ$25,1,OC_Name)))</f>
        <v/>
      </c>
      <c r="L25">
        <f>IF(OC_Txn=0,"",IF(INDEX('OneCause_Paste'!$A$25:$AZ$25,1,OC_Txn)="","",INDEX('OneCause_Paste'!$A$25:$AZ$25,1,OC_Txn)))</f>
        <v/>
      </c>
      <c r="M25">
        <f>IF(OC_Pay=0,"",IF(INDEX('OneCause_Paste'!$A$25:$AZ$25,1,OC_Pay)="","",INDEX('OneCause_Paste'!$A$25:$AZ$25,1,OC_Pay)))</f>
        <v/>
      </c>
      <c r="N25">
        <f>IF(I25="","",IF(ISNUMBER(I25),INT(I25),IFERROR(INT(DATEVALUE(I25)),IFERROR(INT(VALUE(I25)),"bad"))))</f>
        <v/>
      </c>
      <c r="O25">
        <f>IF(J25="","",IF(ISNUMBER(J25),ROUND(J25,2),IFERROR(ROUND(VALUE(SUBSTITUTE(SUBSTITUTE(SUBSTITUTE(J25,"$",""),",","")," ","")),2),"bad")))</f>
        <v/>
      </c>
      <c r="P25">
        <f>IF(TRIM(K25)="","",IFERROR(MATCH(LOWER(TRIM(K25)),'Students'!$AH$2:$AH$701,0),IFERROR(MATCH(LOWER(TRIM(K25)),'Students'!$AF$2:$AF$701,0),IFERROR(MATCH(LOWER(TRIM(K25)),'Students'!$AG$2:$AG$701,0),""))))</f>
        <v/>
      </c>
      <c r="R25">
        <f>IF(P25="","",INDEX('Students'!$AD$2:$AD$701,P25))</f>
        <v/>
      </c>
      <c r="S25">
        <f>IF(H25="OK",O25,0)</f>
        <v/>
      </c>
      <c r="T25">
        <f>IF(H25="OK",N25,"")</f>
        <v/>
      </c>
      <c r="U25">
        <f>IF(OC_Donor=0,"",IF(INDEX('OneCause_Paste'!$A$25:$AZ$25,1,OC_Donor)="","",INDEX('OneCause_Paste'!$A$25:$AZ$25,1,OC_Donor)))</f>
        <v/>
      </c>
    </row>
    <row r="26">
      <c r="A26" s="62">
        <f>IF(H26="","",IF(ISNUMBER(N26),N26,I26))</f>
        <v/>
      </c>
      <c r="B26">
        <f>IF(H26="","",U26)</f>
        <v/>
      </c>
      <c r="C26">
        <f>IF(H26="","",IF(P26="",K26,INDEX('Students'!$A$2:$A$701,P26)))</f>
        <v/>
      </c>
      <c r="D26">
        <f>IF(OR(H26="",P26=""),"",INDEX('Students'!$B$2:$B$701,P26))</f>
        <v/>
      </c>
      <c r="E26">
        <f>IF(OR(H26="",P26=""),"",INDEX('Students'!$C$2:$C$701,P26))</f>
        <v/>
      </c>
      <c r="F26" s="48">
        <f>IF(H26="","",IF(ISNUMBER(O26),O26,J26))</f>
        <v/>
      </c>
      <c r="G26">
        <f>IF(H26="","","OneCause")</f>
        <v/>
      </c>
      <c r="H26">
        <f>IF(AND(I26="",J26="",K26=""),"",IF(NOT(ISNUMBER(O26)),"Bad amount",IF(O26&lt;0,"Refund (not counted)",IF(O26=0,"Zero amount",IF(NOT(ISNUMBER(N26)),"Bad date",IF(P26="","NAME NOT ON ROSTER",IF(L26="","OK",IF(MATCH(L26,$L$2:$L$3001,0)&lt;ROW()-1,"Duplicate (ignored)","OK"))))))))</f>
        <v/>
      </c>
      <c r="I26">
        <f>IF(OC_Date=0,"",IF(INDEX('OneCause_Paste'!$A$26:$AZ$26,1,OC_Date)="","",INDEX('OneCause_Paste'!$A$26:$AZ$26,1,OC_Date)))</f>
        <v/>
      </c>
      <c r="J26">
        <f>IF(OC_Amt=0,"",IF(INDEX('OneCause_Paste'!$A$26:$AZ$26,1,OC_Amt)="","",INDEX('OneCause_Paste'!$A$26:$AZ$26,1,OC_Amt)))</f>
        <v/>
      </c>
      <c r="K26">
        <f>IF(OC_Name=0,"",IF(INDEX('OneCause_Paste'!$A$26:$AZ$26,1,OC_Name)="","",INDEX('OneCause_Paste'!$A$26:$AZ$26,1,OC_Name)))</f>
        <v/>
      </c>
      <c r="L26">
        <f>IF(OC_Txn=0,"",IF(INDEX('OneCause_Paste'!$A$26:$AZ$26,1,OC_Txn)="","",INDEX('OneCause_Paste'!$A$26:$AZ$26,1,OC_Txn)))</f>
        <v/>
      </c>
      <c r="M26">
        <f>IF(OC_Pay=0,"",IF(INDEX('OneCause_Paste'!$A$26:$AZ$26,1,OC_Pay)="","",INDEX('OneCause_Paste'!$A$26:$AZ$26,1,OC_Pay)))</f>
        <v/>
      </c>
      <c r="N26">
        <f>IF(I26="","",IF(ISNUMBER(I26),INT(I26),IFERROR(INT(DATEVALUE(I26)),IFERROR(INT(VALUE(I26)),"bad"))))</f>
        <v/>
      </c>
      <c r="O26">
        <f>IF(J26="","",IF(ISNUMBER(J26),ROUND(J26,2),IFERROR(ROUND(VALUE(SUBSTITUTE(SUBSTITUTE(SUBSTITUTE(J26,"$",""),",","")," ","")),2),"bad")))</f>
        <v/>
      </c>
      <c r="P26">
        <f>IF(TRIM(K26)="","",IFERROR(MATCH(LOWER(TRIM(K26)),'Students'!$AH$2:$AH$701,0),IFERROR(MATCH(LOWER(TRIM(K26)),'Students'!$AF$2:$AF$701,0),IFERROR(MATCH(LOWER(TRIM(K26)),'Students'!$AG$2:$AG$701,0),""))))</f>
        <v/>
      </c>
      <c r="R26">
        <f>IF(P26="","",INDEX('Students'!$AD$2:$AD$701,P26))</f>
        <v/>
      </c>
      <c r="S26">
        <f>IF(H26="OK",O26,0)</f>
        <v/>
      </c>
      <c r="T26">
        <f>IF(H26="OK",N26,"")</f>
        <v/>
      </c>
      <c r="U26">
        <f>IF(OC_Donor=0,"",IF(INDEX('OneCause_Paste'!$A$26:$AZ$26,1,OC_Donor)="","",INDEX('OneCause_Paste'!$A$26:$AZ$26,1,OC_Donor)))</f>
        <v/>
      </c>
    </row>
    <row r="27">
      <c r="A27" s="62">
        <f>IF(H27="","",IF(ISNUMBER(N27),N27,I27))</f>
        <v/>
      </c>
      <c r="B27">
        <f>IF(H27="","",U27)</f>
        <v/>
      </c>
      <c r="C27">
        <f>IF(H27="","",IF(P27="",K27,INDEX('Students'!$A$2:$A$701,P27)))</f>
        <v/>
      </c>
      <c r="D27">
        <f>IF(OR(H27="",P27=""),"",INDEX('Students'!$B$2:$B$701,P27))</f>
        <v/>
      </c>
      <c r="E27">
        <f>IF(OR(H27="",P27=""),"",INDEX('Students'!$C$2:$C$701,P27))</f>
        <v/>
      </c>
      <c r="F27" s="48">
        <f>IF(H27="","",IF(ISNUMBER(O27),O27,J27))</f>
        <v/>
      </c>
      <c r="G27">
        <f>IF(H27="","","OneCause")</f>
        <v/>
      </c>
      <c r="H27">
        <f>IF(AND(I27="",J27="",K27=""),"",IF(NOT(ISNUMBER(O27)),"Bad amount",IF(O27&lt;0,"Refund (not counted)",IF(O27=0,"Zero amount",IF(NOT(ISNUMBER(N27)),"Bad date",IF(P27="","NAME NOT ON ROSTER",IF(L27="","OK",IF(MATCH(L27,$L$2:$L$3001,0)&lt;ROW()-1,"Duplicate (ignored)","OK"))))))))</f>
        <v/>
      </c>
      <c r="I27">
        <f>IF(OC_Date=0,"",IF(INDEX('OneCause_Paste'!$A$27:$AZ$27,1,OC_Date)="","",INDEX('OneCause_Paste'!$A$27:$AZ$27,1,OC_Date)))</f>
        <v/>
      </c>
      <c r="J27">
        <f>IF(OC_Amt=0,"",IF(INDEX('OneCause_Paste'!$A$27:$AZ$27,1,OC_Amt)="","",INDEX('OneCause_Paste'!$A$27:$AZ$27,1,OC_Amt)))</f>
        <v/>
      </c>
      <c r="K27">
        <f>IF(OC_Name=0,"",IF(INDEX('OneCause_Paste'!$A$27:$AZ$27,1,OC_Name)="","",INDEX('OneCause_Paste'!$A$27:$AZ$27,1,OC_Name)))</f>
        <v/>
      </c>
      <c r="L27">
        <f>IF(OC_Txn=0,"",IF(INDEX('OneCause_Paste'!$A$27:$AZ$27,1,OC_Txn)="","",INDEX('OneCause_Paste'!$A$27:$AZ$27,1,OC_Txn)))</f>
        <v/>
      </c>
      <c r="M27">
        <f>IF(OC_Pay=0,"",IF(INDEX('OneCause_Paste'!$A$27:$AZ$27,1,OC_Pay)="","",INDEX('OneCause_Paste'!$A$27:$AZ$27,1,OC_Pay)))</f>
        <v/>
      </c>
      <c r="N27">
        <f>IF(I27="","",IF(ISNUMBER(I27),INT(I27),IFERROR(INT(DATEVALUE(I27)),IFERROR(INT(VALUE(I27)),"bad"))))</f>
        <v/>
      </c>
      <c r="O27">
        <f>IF(J27="","",IF(ISNUMBER(J27),ROUND(J27,2),IFERROR(ROUND(VALUE(SUBSTITUTE(SUBSTITUTE(SUBSTITUTE(J27,"$",""),",","")," ","")),2),"bad")))</f>
        <v/>
      </c>
      <c r="P27">
        <f>IF(TRIM(K27)="","",IFERROR(MATCH(LOWER(TRIM(K27)),'Students'!$AH$2:$AH$701,0),IFERROR(MATCH(LOWER(TRIM(K27)),'Students'!$AF$2:$AF$701,0),IFERROR(MATCH(LOWER(TRIM(K27)),'Students'!$AG$2:$AG$701,0),""))))</f>
        <v/>
      </c>
      <c r="R27">
        <f>IF(P27="","",INDEX('Students'!$AD$2:$AD$701,P27))</f>
        <v/>
      </c>
      <c r="S27">
        <f>IF(H27="OK",O27,0)</f>
        <v/>
      </c>
      <c r="T27">
        <f>IF(H27="OK",N27,"")</f>
        <v/>
      </c>
      <c r="U27">
        <f>IF(OC_Donor=0,"",IF(INDEX('OneCause_Paste'!$A$27:$AZ$27,1,OC_Donor)="","",INDEX('OneCause_Paste'!$A$27:$AZ$27,1,OC_Donor)))</f>
        <v/>
      </c>
    </row>
    <row r="28">
      <c r="A28" s="62">
        <f>IF(H28="","",IF(ISNUMBER(N28),N28,I28))</f>
        <v/>
      </c>
      <c r="B28">
        <f>IF(H28="","",U28)</f>
        <v/>
      </c>
      <c r="C28">
        <f>IF(H28="","",IF(P28="",K28,INDEX('Students'!$A$2:$A$701,P28)))</f>
        <v/>
      </c>
      <c r="D28">
        <f>IF(OR(H28="",P28=""),"",INDEX('Students'!$B$2:$B$701,P28))</f>
        <v/>
      </c>
      <c r="E28">
        <f>IF(OR(H28="",P28=""),"",INDEX('Students'!$C$2:$C$701,P28))</f>
        <v/>
      </c>
      <c r="F28" s="48">
        <f>IF(H28="","",IF(ISNUMBER(O28),O28,J28))</f>
        <v/>
      </c>
      <c r="G28">
        <f>IF(H28="","","OneCause")</f>
        <v/>
      </c>
      <c r="H28">
        <f>IF(AND(I28="",J28="",K28=""),"",IF(NOT(ISNUMBER(O28)),"Bad amount",IF(O28&lt;0,"Refund (not counted)",IF(O28=0,"Zero amount",IF(NOT(ISNUMBER(N28)),"Bad date",IF(P28="","NAME NOT ON ROSTER",IF(L28="","OK",IF(MATCH(L28,$L$2:$L$3001,0)&lt;ROW()-1,"Duplicate (ignored)","OK"))))))))</f>
        <v/>
      </c>
      <c r="I28">
        <f>IF(OC_Date=0,"",IF(INDEX('OneCause_Paste'!$A$28:$AZ$28,1,OC_Date)="","",INDEX('OneCause_Paste'!$A$28:$AZ$28,1,OC_Date)))</f>
        <v/>
      </c>
      <c r="J28">
        <f>IF(OC_Amt=0,"",IF(INDEX('OneCause_Paste'!$A$28:$AZ$28,1,OC_Amt)="","",INDEX('OneCause_Paste'!$A$28:$AZ$28,1,OC_Amt)))</f>
        <v/>
      </c>
      <c r="K28">
        <f>IF(OC_Name=0,"",IF(INDEX('OneCause_Paste'!$A$28:$AZ$28,1,OC_Name)="","",INDEX('OneCause_Paste'!$A$28:$AZ$28,1,OC_Name)))</f>
        <v/>
      </c>
      <c r="L28">
        <f>IF(OC_Txn=0,"",IF(INDEX('OneCause_Paste'!$A$28:$AZ$28,1,OC_Txn)="","",INDEX('OneCause_Paste'!$A$28:$AZ$28,1,OC_Txn)))</f>
        <v/>
      </c>
      <c r="M28">
        <f>IF(OC_Pay=0,"",IF(INDEX('OneCause_Paste'!$A$28:$AZ$28,1,OC_Pay)="","",INDEX('OneCause_Paste'!$A$28:$AZ$28,1,OC_Pay)))</f>
        <v/>
      </c>
      <c r="N28">
        <f>IF(I28="","",IF(ISNUMBER(I28),INT(I28),IFERROR(INT(DATEVALUE(I28)),IFERROR(INT(VALUE(I28)),"bad"))))</f>
        <v/>
      </c>
      <c r="O28">
        <f>IF(J28="","",IF(ISNUMBER(J28),ROUND(J28,2),IFERROR(ROUND(VALUE(SUBSTITUTE(SUBSTITUTE(SUBSTITUTE(J28,"$",""),",","")," ","")),2),"bad")))</f>
        <v/>
      </c>
      <c r="P28">
        <f>IF(TRIM(K28)="","",IFERROR(MATCH(LOWER(TRIM(K28)),'Students'!$AH$2:$AH$701,0),IFERROR(MATCH(LOWER(TRIM(K28)),'Students'!$AF$2:$AF$701,0),IFERROR(MATCH(LOWER(TRIM(K28)),'Students'!$AG$2:$AG$701,0),""))))</f>
        <v/>
      </c>
      <c r="R28">
        <f>IF(P28="","",INDEX('Students'!$AD$2:$AD$701,P28))</f>
        <v/>
      </c>
      <c r="S28">
        <f>IF(H28="OK",O28,0)</f>
        <v/>
      </c>
      <c r="T28">
        <f>IF(H28="OK",N28,"")</f>
        <v/>
      </c>
      <c r="U28">
        <f>IF(OC_Donor=0,"",IF(INDEX('OneCause_Paste'!$A$28:$AZ$28,1,OC_Donor)="","",INDEX('OneCause_Paste'!$A$28:$AZ$28,1,OC_Donor)))</f>
        <v/>
      </c>
    </row>
    <row r="29">
      <c r="A29" s="62">
        <f>IF(H29="","",IF(ISNUMBER(N29),N29,I29))</f>
        <v/>
      </c>
      <c r="B29">
        <f>IF(H29="","",U29)</f>
        <v/>
      </c>
      <c r="C29">
        <f>IF(H29="","",IF(P29="",K29,INDEX('Students'!$A$2:$A$701,P29)))</f>
        <v/>
      </c>
      <c r="D29">
        <f>IF(OR(H29="",P29=""),"",INDEX('Students'!$B$2:$B$701,P29))</f>
        <v/>
      </c>
      <c r="E29">
        <f>IF(OR(H29="",P29=""),"",INDEX('Students'!$C$2:$C$701,P29))</f>
        <v/>
      </c>
      <c r="F29" s="48">
        <f>IF(H29="","",IF(ISNUMBER(O29),O29,J29))</f>
        <v/>
      </c>
      <c r="G29">
        <f>IF(H29="","","OneCause")</f>
        <v/>
      </c>
      <c r="H29">
        <f>IF(AND(I29="",J29="",K29=""),"",IF(NOT(ISNUMBER(O29)),"Bad amount",IF(O29&lt;0,"Refund (not counted)",IF(O29=0,"Zero amount",IF(NOT(ISNUMBER(N29)),"Bad date",IF(P29="","NAME NOT ON ROSTER",IF(L29="","OK",IF(MATCH(L29,$L$2:$L$3001,0)&lt;ROW()-1,"Duplicate (ignored)","OK"))))))))</f>
        <v/>
      </c>
      <c r="I29">
        <f>IF(OC_Date=0,"",IF(INDEX('OneCause_Paste'!$A$29:$AZ$29,1,OC_Date)="","",INDEX('OneCause_Paste'!$A$29:$AZ$29,1,OC_Date)))</f>
        <v/>
      </c>
      <c r="J29">
        <f>IF(OC_Amt=0,"",IF(INDEX('OneCause_Paste'!$A$29:$AZ$29,1,OC_Amt)="","",INDEX('OneCause_Paste'!$A$29:$AZ$29,1,OC_Amt)))</f>
        <v/>
      </c>
      <c r="K29">
        <f>IF(OC_Name=0,"",IF(INDEX('OneCause_Paste'!$A$29:$AZ$29,1,OC_Name)="","",INDEX('OneCause_Paste'!$A$29:$AZ$29,1,OC_Name)))</f>
        <v/>
      </c>
      <c r="L29">
        <f>IF(OC_Txn=0,"",IF(INDEX('OneCause_Paste'!$A$29:$AZ$29,1,OC_Txn)="","",INDEX('OneCause_Paste'!$A$29:$AZ$29,1,OC_Txn)))</f>
        <v/>
      </c>
      <c r="M29">
        <f>IF(OC_Pay=0,"",IF(INDEX('OneCause_Paste'!$A$29:$AZ$29,1,OC_Pay)="","",INDEX('OneCause_Paste'!$A$29:$AZ$29,1,OC_Pay)))</f>
        <v/>
      </c>
      <c r="N29">
        <f>IF(I29="","",IF(ISNUMBER(I29),INT(I29),IFERROR(INT(DATEVALUE(I29)),IFERROR(INT(VALUE(I29)),"bad"))))</f>
        <v/>
      </c>
      <c r="O29">
        <f>IF(J29="","",IF(ISNUMBER(J29),ROUND(J29,2),IFERROR(ROUND(VALUE(SUBSTITUTE(SUBSTITUTE(SUBSTITUTE(J29,"$",""),",","")," ","")),2),"bad")))</f>
        <v/>
      </c>
      <c r="P29">
        <f>IF(TRIM(K29)="","",IFERROR(MATCH(LOWER(TRIM(K29)),'Students'!$AH$2:$AH$701,0),IFERROR(MATCH(LOWER(TRIM(K29)),'Students'!$AF$2:$AF$701,0),IFERROR(MATCH(LOWER(TRIM(K29)),'Students'!$AG$2:$AG$701,0),""))))</f>
        <v/>
      </c>
      <c r="R29">
        <f>IF(P29="","",INDEX('Students'!$AD$2:$AD$701,P29))</f>
        <v/>
      </c>
      <c r="S29">
        <f>IF(H29="OK",O29,0)</f>
        <v/>
      </c>
      <c r="T29">
        <f>IF(H29="OK",N29,"")</f>
        <v/>
      </c>
      <c r="U29">
        <f>IF(OC_Donor=0,"",IF(INDEX('OneCause_Paste'!$A$29:$AZ$29,1,OC_Donor)="","",INDEX('OneCause_Paste'!$A$29:$AZ$29,1,OC_Donor)))</f>
        <v/>
      </c>
    </row>
    <row r="30">
      <c r="A30" s="62">
        <f>IF(H30="","",IF(ISNUMBER(N30),N30,I30))</f>
        <v/>
      </c>
      <c r="B30">
        <f>IF(H30="","",U30)</f>
        <v/>
      </c>
      <c r="C30">
        <f>IF(H30="","",IF(P30="",K30,INDEX('Students'!$A$2:$A$701,P30)))</f>
        <v/>
      </c>
      <c r="D30">
        <f>IF(OR(H30="",P30=""),"",INDEX('Students'!$B$2:$B$701,P30))</f>
        <v/>
      </c>
      <c r="E30">
        <f>IF(OR(H30="",P30=""),"",INDEX('Students'!$C$2:$C$701,P30))</f>
        <v/>
      </c>
      <c r="F30" s="48">
        <f>IF(H30="","",IF(ISNUMBER(O30),O30,J30))</f>
        <v/>
      </c>
      <c r="G30">
        <f>IF(H30="","","OneCause")</f>
        <v/>
      </c>
      <c r="H30">
        <f>IF(AND(I30="",J30="",K30=""),"",IF(NOT(ISNUMBER(O30)),"Bad amount",IF(O30&lt;0,"Refund (not counted)",IF(O30=0,"Zero amount",IF(NOT(ISNUMBER(N30)),"Bad date",IF(P30="","NAME NOT ON ROSTER",IF(L30="","OK",IF(MATCH(L30,$L$2:$L$3001,0)&lt;ROW()-1,"Duplicate (ignored)","OK"))))))))</f>
        <v/>
      </c>
      <c r="I30">
        <f>IF(OC_Date=0,"",IF(INDEX('OneCause_Paste'!$A$30:$AZ$30,1,OC_Date)="","",INDEX('OneCause_Paste'!$A$30:$AZ$30,1,OC_Date)))</f>
        <v/>
      </c>
      <c r="J30">
        <f>IF(OC_Amt=0,"",IF(INDEX('OneCause_Paste'!$A$30:$AZ$30,1,OC_Amt)="","",INDEX('OneCause_Paste'!$A$30:$AZ$30,1,OC_Amt)))</f>
        <v/>
      </c>
      <c r="K30">
        <f>IF(OC_Name=0,"",IF(INDEX('OneCause_Paste'!$A$30:$AZ$30,1,OC_Name)="","",INDEX('OneCause_Paste'!$A$30:$AZ$30,1,OC_Name)))</f>
        <v/>
      </c>
      <c r="L30">
        <f>IF(OC_Txn=0,"",IF(INDEX('OneCause_Paste'!$A$30:$AZ$30,1,OC_Txn)="","",INDEX('OneCause_Paste'!$A$30:$AZ$30,1,OC_Txn)))</f>
        <v/>
      </c>
      <c r="M30">
        <f>IF(OC_Pay=0,"",IF(INDEX('OneCause_Paste'!$A$30:$AZ$30,1,OC_Pay)="","",INDEX('OneCause_Paste'!$A$30:$AZ$30,1,OC_Pay)))</f>
        <v/>
      </c>
      <c r="N30">
        <f>IF(I30="","",IF(ISNUMBER(I30),INT(I30),IFERROR(INT(DATEVALUE(I30)),IFERROR(INT(VALUE(I30)),"bad"))))</f>
        <v/>
      </c>
      <c r="O30">
        <f>IF(J30="","",IF(ISNUMBER(J30),ROUND(J30,2),IFERROR(ROUND(VALUE(SUBSTITUTE(SUBSTITUTE(SUBSTITUTE(J30,"$",""),",","")," ","")),2),"bad")))</f>
        <v/>
      </c>
      <c r="P30">
        <f>IF(TRIM(K30)="","",IFERROR(MATCH(LOWER(TRIM(K30)),'Students'!$AH$2:$AH$701,0),IFERROR(MATCH(LOWER(TRIM(K30)),'Students'!$AF$2:$AF$701,0),IFERROR(MATCH(LOWER(TRIM(K30)),'Students'!$AG$2:$AG$701,0),""))))</f>
        <v/>
      </c>
      <c r="R30">
        <f>IF(P30="","",INDEX('Students'!$AD$2:$AD$701,P30))</f>
        <v/>
      </c>
      <c r="S30">
        <f>IF(H30="OK",O30,0)</f>
        <v/>
      </c>
      <c r="T30">
        <f>IF(H30="OK",N30,"")</f>
        <v/>
      </c>
      <c r="U30">
        <f>IF(OC_Donor=0,"",IF(INDEX('OneCause_Paste'!$A$30:$AZ$30,1,OC_Donor)="","",INDEX('OneCause_Paste'!$A$30:$AZ$30,1,OC_Donor)))</f>
        <v/>
      </c>
    </row>
    <row r="31">
      <c r="A31" s="62">
        <f>IF(H31="","",IF(ISNUMBER(N31),N31,I31))</f>
        <v/>
      </c>
      <c r="B31">
        <f>IF(H31="","",U31)</f>
        <v/>
      </c>
      <c r="C31">
        <f>IF(H31="","",IF(P31="",K31,INDEX('Students'!$A$2:$A$701,P31)))</f>
        <v/>
      </c>
      <c r="D31">
        <f>IF(OR(H31="",P31=""),"",INDEX('Students'!$B$2:$B$701,P31))</f>
        <v/>
      </c>
      <c r="E31">
        <f>IF(OR(H31="",P31=""),"",INDEX('Students'!$C$2:$C$701,P31))</f>
        <v/>
      </c>
      <c r="F31" s="48">
        <f>IF(H31="","",IF(ISNUMBER(O31),O31,J31))</f>
        <v/>
      </c>
      <c r="G31">
        <f>IF(H31="","","OneCause")</f>
        <v/>
      </c>
      <c r="H31">
        <f>IF(AND(I31="",J31="",K31=""),"",IF(NOT(ISNUMBER(O31)),"Bad amount",IF(O31&lt;0,"Refund (not counted)",IF(O31=0,"Zero amount",IF(NOT(ISNUMBER(N31)),"Bad date",IF(P31="","NAME NOT ON ROSTER",IF(L31="","OK",IF(MATCH(L31,$L$2:$L$3001,0)&lt;ROW()-1,"Duplicate (ignored)","OK"))))))))</f>
        <v/>
      </c>
      <c r="I31">
        <f>IF(OC_Date=0,"",IF(INDEX('OneCause_Paste'!$A$31:$AZ$31,1,OC_Date)="","",INDEX('OneCause_Paste'!$A$31:$AZ$31,1,OC_Date)))</f>
        <v/>
      </c>
      <c r="J31">
        <f>IF(OC_Amt=0,"",IF(INDEX('OneCause_Paste'!$A$31:$AZ$31,1,OC_Amt)="","",INDEX('OneCause_Paste'!$A$31:$AZ$31,1,OC_Amt)))</f>
        <v/>
      </c>
      <c r="K31">
        <f>IF(OC_Name=0,"",IF(INDEX('OneCause_Paste'!$A$31:$AZ$31,1,OC_Name)="","",INDEX('OneCause_Paste'!$A$31:$AZ$31,1,OC_Name)))</f>
        <v/>
      </c>
      <c r="L31">
        <f>IF(OC_Txn=0,"",IF(INDEX('OneCause_Paste'!$A$31:$AZ$31,1,OC_Txn)="","",INDEX('OneCause_Paste'!$A$31:$AZ$31,1,OC_Txn)))</f>
        <v/>
      </c>
      <c r="M31">
        <f>IF(OC_Pay=0,"",IF(INDEX('OneCause_Paste'!$A$31:$AZ$31,1,OC_Pay)="","",INDEX('OneCause_Paste'!$A$31:$AZ$31,1,OC_Pay)))</f>
        <v/>
      </c>
      <c r="N31">
        <f>IF(I31="","",IF(ISNUMBER(I31),INT(I31),IFERROR(INT(DATEVALUE(I31)),IFERROR(INT(VALUE(I31)),"bad"))))</f>
        <v/>
      </c>
      <c r="O31">
        <f>IF(J31="","",IF(ISNUMBER(J31),ROUND(J31,2),IFERROR(ROUND(VALUE(SUBSTITUTE(SUBSTITUTE(SUBSTITUTE(J31,"$",""),",","")," ","")),2),"bad")))</f>
        <v/>
      </c>
      <c r="P31">
        <f>IF(TRIM(K31)="","",IFERROR(MATCH(LOWER(TRIM(K31)),'Students'!$AH$2:$AH$701,0),IFERROR(MATCH(LOWER(TRIM(K31)),'Students'!$AF$2:$AF$701,0),IFERROR(MATCH(LOWER(TRIM(K31)),'Students'!$AG$2:$AG$701,0),""))))</f>
        <v/>
      </c>
      <c r="R31">
        <f>IF(P31="","",INDEX('Students'!$AD$2:$AD$701,P31))</f>
        <v/>
      </c>
      <c r="S31">
        <f>IF(H31="OK",O31,0)</f>
        <v/>
      </c>
      <c r="T31">
        <f>IF(H31="OK",N31,"")</f>
        <v/>
      </c>
      <c r="U31">
        <f>IF(OC_Donor=0,"",IF(INDEX('OneCause_Paste'!$A$31:$AZ$31,1,OC_Donor)="","",INDEX('OneCause_Paste'!$A$31:$AZ$31,1,OC_Donor)))</f>
        <v/>
      </c>
    </row>
    <row r="32">
      <c r="A32" s="62">
        <f>IF(H32="","",IF(ISNUMBER(N32),N32,I32))</f>
        <v/>
      </c>
      <c r="B32">
        <f>IF(H32="","",U32)</f>
        <v/>
      </c>
      <c r="C32">
        <f>IF(H32="","",IF(P32="",K32,INDEX('Students'!$A$2:$A$701,P32)))</f>
        <v/>
      </c>
      <c r="D32">
        <f>IF(OR(H32="",P32=""),"",INDEX('Students'!$B$2:$B$701,P32))</f>
        <v/>
      </c>
      <c r="E32">
        <f>IF(OR(H32="",P32=""),"",INDEX('Students'!$C$2:$C$701,P32))</f>
        <v/>
      </c>
      <c r="F32" s="48">
        <f>IF(H32="","",IF(ISNUMBER(O32),O32,J32))</f>
        <v/>
      </c>
      <c r="G32">
        <f>IF(H32="","","OneCause")</f>
        <v/>
      </c>
      <c r="H32">
        <f>IF(AND(I32="",J32="",K32=""),"",IF(NOT(ISNUMBER(O32)),"Bad amount",IF(O32&lt;0,"Refund (not counted)",IF(O32=0,"Zero amount",IF(NOT(ISNUMBER(N32)),"Bad date",IF(P32="","NAME NOT ON ROSTER",IF(L32="","OK",IF(MATCH(L32,$L$2:$L$3001,0)&lt;ROW()-1,"Duplicate (ignored)","OK"))))))))</f>
        <v/>
      </c>
      <c r="I32">
        <f>IF(OC_Date=0,"",IF(INDEX('OneCause_Paste'!$A$32:$AZ$32,1,OC_Date)="","",INDEX('OneCause_Paste'!$A$32:$AZ$32,1,OC_Date)))</f>
        <v/>
      </c>
      <c r="J32">
        <f>IF(OC_Amt=0,"",IF(INDEX('OneCause_Paste'!$A$32:$AZ$32,1,OC_Amt)="","",INDEX('OneCause_Paste'!$A$32:$AZ$32,1,OC_Amt)))</f>
        <v/>
      </c>
      <c r="K32">
        <f>IF(OC_Name=0,"",IF(INDEX('OneCause_Paste'!$A$32:$AZ$32,1,OC_Name)="","",INDEX('OneCause_Paste'!$A$32:$AZ$32,1,OC_Name)))</f>
        <v/>
      </c>
      <c r="L32">
        <f>IF(OC_Txn=0,"",IF(INDEX('OneCause_Paste'!$A$32:$AZ$32,1,OC_Txn)="","",INDEX('OneCause_Paste'!$A$32:$AZ$32,1,OC_Txn)))</f>
        <v/>
      </c>
      <c r="M32">
        <f>IF(OC_Pay=0,"",IF(INDEX('OneCause_Paste'!$A$32:$AZ$32,1,OC_Pay)="","",INDEX('OneCause_Paste'!$A$32:$AZ$32,1,OC_Pay)))</f>
        <v/>
      </c>
      <c r="N32">
        <f>IF(I32="","",IF(ISNUMBER(I32),INT(I32),IFERROR(INT(DATEVALUE(I32)),IFERROR(INT(VALUE(I32)),"bad"))))</f>
        <v/>
      </c>
      <c r="O32">
        <f>IF(J32="","",IF(ISNUMBER(J32),ROUND(J32,2),IFERROR(ROUND(VALUE(SUBSTITUTE(SUBSTITUTE(SUBSTITUTE(J32,"$",""),",","")," ","")),2),"bad")))</f>
        <v/>
      </c>
      <c r="P32">
        <f>IF(TRIM(K32)="","",IFERROR(MATCH(LOWER(TRIM(K32)),'Students'!$AH$2:$AH$701,0),IFERROR(MATCH(LOWER(TRIM(K32)),'Students'!$AF$2:$AF$701,0),IFERROR(MATCH(LOWER(TRIM(K32)),'Students'!$AG$2:$AG$701,0),""))))</f>
        <v/>
      </c>
      <c r="R32">
        <f>IF(P32="","",INDEX('Students'!$AD$2:$AD$701,P32))</f>
        <v/>
      </c>
      <c r="S32">
        <f>IF(H32="OK",O32,0)</f>
        <v/>
      </c>
      <c r="T32">
        <f>IF(H32="OK",N32,"")</f>
        <v/>
      </c>
      <c r="U32">
        <f>IF(OC_Donor=0,"",IF(INDEX('OneCause_Paste'!$A$32:$AZ$32,1,OC_Donor)="","",INDEX('OneCause_Paste'!$A$32:$AZ$32,1,OC_Donor)))</f>
        <v/>
      </c>
    </row>
    <row r="33">
      <c r="A33" s="62">
        <f>IF(H33="","",IF(ISNUMBER(N33),N33,I33))</f>
        <v/>
      </c>
      <c r="B33">
        <f>IF(H33="","",U33)</f>
        <v/>
      </c>
      <c r="C33">
        <f>IF(H33="","",IF(P33="",K33,INDEX('Students'!$A$2:$A$701,P33)))</f>
        <v/>
      </c>
      <c r="D33">
        <f>IF(OR(H33="",P33=""),"",INDEX('Students'!$B$2:$B$701,P33))</f>
        <v/>
      </c>
      <c r="E33">
        <f>IF(OR(H33="",P33=""),"",INDEX('Students'!$C$2:$C$701,P33))</f>
        <v/>
      </c>
      <c r="F33" s="48">
        <f>IF(H33="","",IF(ISNUMBER(O33),O33,J33))</f>
        <v/>
      </c>
      <c r="G33">
        <f>IF(H33="","","OneCause")</f>
        <v/>
      </c>
      <c r="H33">
        <f>IF(AND(I33="",J33="",K33=""),"",IF(NOT(ISNUMBER(O33)),"Bad amount",IF(O33&lt;0,"Refund (not counted)",IF(O33=0,"Zero amount",IF(NOT(ISNUMBER(N33)),"Bad date",IF(P33="","NAME NOT ON ROSTER",IF(L33="","OK",IF(MATCH(L33,$L$2:$L$3001,0)&lt;ROW()-1,"Duplicate (ignored)","OK"))))))))</f>
        <v/>
      </c>
      <c r="I33">
        <f>IF(OC_Date=0,"",IF(INDEX('OneCause_Paste'!$A$33:$AZ$33,1,OC_Date)="","",INDEX('OneCause_Paste'!$A$33:$AZ$33,1,OC_Date)))</f>
        <v/>
      </c>
      <c r="J33">
        <f>IF(OC_Amt=0,"",IF(INDEX('OneCause_Paste'!$A$33:$AZ$33,1,OC_Amt)="","",INDEX('OneCause_Paste'!$A$33:$AZ$33,1,OC_Amt)))</f>
        <v/>
      </c>
      <c r="K33">
        <f>IF(OC_Name=0,"",IF(INDEX('OneCause_Paste'!$A$33:$AZ$33,1,OC_Name)="","",INDEX('OneCause_Paste'!$A$33:$AZ$33,1,OC_Name)))</f>
        <v/>
      </c>
      <c r="L33">
        <f>IF(OC_Txn=0,"",IF(INDEX('OneCause_Paste'!$A$33:$AZ$33,1,OC_Txn)="","",INDEX('OneCause_Paste'!$A$33:$AZ$33,1,OC_Txn)))</f>
        <v/>
      </c>
      <c r="M33">
        <f>IF(OC_Pay=0,"",IF(INDEX('OneCause_Paste'!$A$33:$AZ$33,1,OC_Pay)="","",INDEX('OneCause_Paste'!$A$33:$AZ$33,1,OC_Pay)))</f>
        <v/>
      </c>
      <c r="N33">
        <f>IF(I33="","",IF(ISNUMBER(I33),INT(I33),IFERROR(INT(DATEVALUE(I33)),IFERROR(INT(VALUE(I33)),"bad"))))</f>
        <v/>
      </c>
      <c r="O33">
        <f>IF(J33="","",IF(ISNUMBER(J33),ROUND(J33,2),IFERROR(ROUND(VALUE(SUBSTITUTE(SUBSTITUTE(SUBSTITUTE(J33,"$",""),",","")," ","")),2),"bad")))</f>
        <v/>
      </c>
      <c r="P33">
        <f>IF(TRIM(K33)="","",IFERROR(MATCH(LOWER(TRIM(K33)),'Students'!$AH$2:$AH$701,0),IFERROR(MATCH(LOWER(TRIM(K33)),'Students'!$AF$2:$AF$701,0),IFERROR(MATCH(LOWER(TRIM(K33)),'Students'!$AG$2:$AG$701,0),""))))</f>
        <v/>
      </c>
      <c r="R33">
        <f>IF(P33="","",INDEX('Students'!$AD$2:$AD$701,P33))</f>
        <v/>
      </c>
      <c r="S33">
        <f>IF(H33="OK",O33,0)</f>
        <v/>
      </c>
      <c r="T33">
        <f>IF(H33="OK",N33,"")</f>
        <v/>
      </c>
      <c r="U33">
        <f>IF(OC_Donor=0,"",IF(INDEX('OneCause_Paste'!$A$33:$AZ$33,1,OC_Donor)="","",INDEX('OneCause_Paste'!$A$33:$AZ$33,1,OC_Donor)))</f>
        <v/>
      </c>
    </row>
    <row r="34">
      <c r="A34" s="62">
        <f>IF(H34="","",IF(ISNUMBER(N34),N34,I34))</f>
        <v/>
      </c>
      <c r="B34">
        <f>IF(H34="","",U34)</f>
        <v/>
      </c>
      <c r="C34">
        <f>IF(H34="","",IF(P34="",K34,INDEX('Students'!$A$2:$A$701,P34)))</f>
        <v/>
      </c>
      <c r="D34">
        <f>IF(OR(H34="",P34=""),"",INDEX('Students'!$B$2:$B$701,P34))</f>
        <v/>
      </c>
      <c r="E34">
        <f>IF(OR(H34="",P34=""),"",INDEX('Students'!$C$2:$C$701,P34))</f>
        <v/>
      </c>
      <c r="F34" s="48">
        <f>IF(H34="","",IF(ISNUMBER(O34),O34,J34))</f>
        <v/>
      </c>
      <c r="G34">
        <f>IF(H34="","","OneCause")</f>
        <v/>
      </c>
      <c r="H34">
        <f>IF(AND(I34="",J34="",K34=""),"",IF(NOT(ISNUMBER(O34)),"Bad amount",IF(O34&lt;0,"Refund (not counted)",IF(O34=0,"Zero amount",IF(NOT(ISNUMBER(N34)),"Bad date",IF(P34="","NAME NOT ON ROSTER",IF(L34="","OK",IF(MATCH(L34,$L$2:$L$3001,0)&lt;ROW()-1,"Duplicate (ignored)","OK"))))))))</f>
        <v/>
      </c>
      <c r="I34">
        <f>IF(OC_Date=0,"",IF(INDEX('OneCause_Paste'!$A$34:$AZ$34,1,OC_Date)="","",INDEX('OneCause_Paste'!$A$34:$AZ$34,1,OC_Date)))</f>
        <v/>
      </c>
      <c r="J34">
        <f>IF(OC_Amt=0,"",IF(INDEX('OneCause_Paste'!$A$34:$AZ$34,1,OC_Amt)="","",INDEX('OneCause_Paste'!$A$34:$AZ$34,1,OC_Amt)))</f>
        <v/>
      </c>
      <c r="K34">
        <f>IF(OC_Name=0,"",IF(INDEX('OneCause_Paste'!$A$34:$AZ$34,1,OC_Name)="","",INDEX('OneCause_Paste'!$A$34:$AZ$34,1,OC_Name)))</f>
        <v/>
      </c>
      <c r="L34">
        <f>IF(OC_Txn=0,"",IF(INDEX('OneCause_Paste'!$A$34:$AZ$34,1,OC_Txn)="","",INDEX('OneCause_Paste'!$A$34:$AZ$34,1,OC_Txn)))</f>
        <v/>
      </c>
      <c r="M34">
        <f>IF(OC_Pay=0,"",IF(INDEX('OneCause_Paste'!$A$34:$AZ$34,1,OC_Pay)="","",INDEX('OneCause_Paste'!$A$34:$AZ$34,1,OC_Pay)))</f>
        <v/>
      </c>
      <c r="N34">
        <f>IF(I34="","",IF(ISNUMBER(I34),INT(I34),IFERROR(INT(DATEVALUE(I34)),IFERROR(INT(VALUE(I34)),"bad"))))</f>
        <v/>
      </c>
      <c r="O34">
        <f>IF(J34="","",IF(ISNUMBER(J34),ROUND(J34,2),IFERROR(ROUND(VALUE(SUBSTITUTE(SUBSTITUTE(SUBSTITUTE(J34,"$",""),",","")," ","")),2),"bad")))</f>
        <v/>
      </c>
      <c r="P34">
        <f>IF(TRIM(K34)="","",IFERROR(MATCH(LOWER(TRIM(K34)),'Students'!$AH$2:$AH$701,0),IFERROR(MATCH(LOWER(TRIM(K34)),'Students'!$AF$2:$AF$701,0),IFERROR(MATCH(LOWER(TRIM(K34)),'Students'!$AG$2:$AG$701,0),""))))</f>
        <v/>
      </c>
      <c r="R34">
        <f>IF(P34="","",INDEX('Students'!$AD$2:$AD$701,P34))</f>
        <v/>
      </c>
      <c r="S34">
        <f>IF(H34="OK",O34,0)</f>
        <v/>
      </c>
      <c r="T34">
        <f>IF(H34="OK",N34,"")</f>
        <v/>
      </c>
      <c r="U34">
        <f>IF(OC_Donor=0,"",IF(INDEX('OneCause_Paste'!$A$34:$AZ$34,1,OC_Donor)="","",INDEX('OneCause_Paste'!$A$34:$AZ$34,1,OC_Donor)))</f>
        <v/>
      </c>
    </row>
    <row r="35">
      <c r="A35" s="62">
        <f>IF(H35="","",IF(ISNUMBER(N35),N35,I35))</f>
        <v/>
      </c>
      <c r="B35">
        <f>IF(H35="","",U35)</f>
        <v/>
      </c>
      <c r="C35">
        <f>IF(H35="","",IF(P35="",K35,INDEX('Students'!$A$2:$A$701,P35)))</f>
        <v/>
      </c>
      <c r="D35">
        <f>IF(OR(H35="",P35=""),"",INDEX('Students'!$B$2:$B$701,P35))</f>
        <v/>
      </c>
      <c r="E35">
        <f>IF(OR(H35="",P35=""),"",INDEX('Students'!$C$2:$C$701,P35))</f>
        <v/>
      </c>
      <c r="F35" s="48">
        <f>IF(H35="","",IF(ISNUMBER(O35),O35,J35))</f>
        <v/>
      </c>
      <c r="G35">
        <f>IF(H35="","","OneCause")</f>
        <v/>
      </c>
      <c r="H35">
        <f>IF(AND(I35="",J35="",K35=""),"",IF(NOT(ISNUMBER(O35)),"Bad amount",IF(O35&lt;0,"Refund (not counted)",IF(O35=0,"Zero amount",IF(NOT(ISNUMBER(N35)),"Bad date",IF(P35="","NAME NOT ON ROSTER",IF(L35="","OK",IF(MATCH(L35,$L$2:$L$3001,0)&lt;ROW()-1,"Duplicate (ignored)","OK"))))))))</f>
        <v/>
      </c>
      <c r="I35">
        <f>IF(OC_Date=0,"",IF(INDEX('OneCause_Paste'!$A$35:$AZ$35,1,OC_Date)="","",INDEX('OneCause_Paste'!$A$35:$AZ$35,1,OC_Date)))</f>
        <v/>
      </c>
      <c r="J35">
        <f>IF(OC_Amt=0,"",IF(INDEX('OneCause_Paste'!$A$35:$AZ$35,1,OC_Amt)="","",INDEX('OneCause_Paste'!$A$35:$AZ$35,1,OC_Amt)))</f>
        <v/>
      </c>
      <c r="K35">
        <f>IF(OC_Name=0,"",IF(INDEX('OneCause_Paste'!$A$35:$AZ$35,1,OC_Name)="","",INDEX('OneCause_Paste'!$A$35:$AZ$35,1,OC_Name)))</f>
        <v/>
      </c>
      <c r="L35">
        <f>IF(OC_Txn=0,"",IF(INDEX('OneCause_Paste'!$A$35:$AZ$35,1,OC_Txn)="","",INDEX('OneCause_Paste'!$A$35:$AZ$35,1,OC_Txn)))</f>
        <v/>
      </c>
      <c r="M35">
        <f>IF(OC_Pay=0,"",IF(INDEX('OneCause_Paste'!$A$35:$AZ$35,1,OC_Pay)="","",INDEX('OneCause_Paste'!$A$35:$AZ$35,1,OC_Pay)))</f>
        <v/>
      </c>
      <c r="N35">
        <f>IF(I35="","",IF(ISNUMBER(I35),INT(I35),IFERROR(INT(DATEVALUE(I35)),IFERROR(INT(VALUE(I35)),"bad"))))</f>
        <v/>
      </c>
      <c r="O35">
        <f>IF(J35="","",IF(ISNUMBER(J35),ROUND(J35,2),IFERROR(ROUND(VALUE(SUBSTITUTE(SUBSTITUTE(SUBSTITUTE(J35,"$",""),",","")," ","")),2),"bad")))</f>
        <v/>
      </c>
      <c r="P35">
        <f>IF(TRIM(K35)="","",IFERROR(MATCH(LOWER(TRIM(K35)),'Students'!$AH$2:$AH$701,0),IFERROR(MATCH(LOWER(TRIM(K35)),'Students'!$AF$2:$AF$701,0),IFERROR(MATCH(LOWER(TRIM(K35)),'Students'!$AG$2:$AG$701,0),""))))</f>
        <v/>
      </c>
      <c r="R35">
        <f>IF(P35="","",INDEX('Students'!$AD$2:$AD$701,P35))</f>
        <v/>
      </c>
      <c r="S35">
        <f>IF(H35="OK",O35,0)</f>
        <v/>
      </c>
      <c r="T35">
        <f>IF(H35="OK",N35,"")</f>
        <v/>
      </c>
      <c r="U35">
        <f>IF(OC_Donor=0,"",IF(INDEX('OneCause_Paste'!$A$35:$AZ$35,1,OC_Donor)="","",INDEX('OneCause_Paste'!$A$35:$AZ$35,1,OC_Donor)))</f>
        <v/>
      </c>
    </row>
    <row r="36">
      <c r="A36" s="62">
        <f>IF(H36="","",IF(ISNUMBER(N36),N36,I36))</f>
        <v/>
      </c>
      <c r="B36">
        <f>IF(H36="","",U36)</f>
        <v/>
      </c>
      <c r="C36">
        <f>IF(H36="","",IF(P36="",K36,INDEX('Students'!$A$2:$A$701,P36)))</f>
        <v/>
      </c>
      <c r="D36">
        <f>IF(OR(H36="",P36=""),"",INDEX('Students'!$B$2:$B$701,P36))</f>
        <v/>
      </c>
      <c r="E36">
        <f>IF(OR(H36="",P36=""),"",INDEX('Students'!$C$2:$C$701,P36))</f>
        <v/>
      </c>
      <c r="F36" s="48">
        <f>IF(H36="","",IF(ISNUMBER(O36),O36,J36))</f>
        <v/>
      </c>
      <c r="G36">
        <f>IF(H36="","","OneCause")</f>
        <v/>
      </c>
      <c r="H36">
        <f>IF(AND(I36="",J36="",K36=""),"",IF(NOT(ISNUMBER(O36)),"Bad amount",IF(O36&lt;0,"Refund (not counted)",IF(O36=0,"Zero amount",IF(NOT(ISNUMBER(N36)),"Bad date",IF(P36="","NAME NOT ON ROSTER",IF(L36="","OK",IF(MATCH(L36,$L$2:$L$3001,0)&lt;ROW()-1,"Duplicate (ignored)","OK"))))))))</f>
        <v/>
      </c>
      <c r="I36">
        <f>IF(OC_Date=0,"",IF(INDEX('OneCause_Paste'!$A$36:$AZ$36,1,OC_Date)="","",INDEX('OneCause_Paste'!$A$36:$AZ$36,1,OC_Date)))</f>
        <v/>
      </c>
      <c r="J36">
        <f>IF(OC_Amt=0,"",IF(INDEX('OneCause_Paste'!$A$36:$AZ$36,1,OC_Amt)="","",INDEX('OneCause_Paste'!$A$36:$AZ$36,1,OC_Amt)))</f>
        <v/>
      </c>
      <c r="K36">
        <f>IF(OC_Name=0,"",IF(INDEX('OneCause_Paste'!$A$36:$AZ$36,1,OC_Name)="","",INDEX('OneCause_Paste'!$A$36:$AZ$36,1,OC_Name)))</f>
        <v/>
      </c>
      <c r="L36">
        <f>IF(OC_Txn=0,"",IF(INDEX('OneCause_Paste'!$A$36:$AZ$36,1,OC_Txn)="","",INDEX('OneCause_Paste'!$A$36:$AZ$36,1,OC_Txn)))</f>
        <v/>
      </c>
      <c r="M36">
        <f>IF(OC_Pay=0,"",IF(INDEX('OneCause_Paste'!$A$36:$AZ$36,1,OC_Pay)="","",INDEX('OneCause_Paste'!$A$36:$AZ$36,1,OC_Pay)))</f>
        <v/>
      </c>
      <c r="N36">
        <f>IF(I36="","",IF(ISNUMBER(I36),INT(I36),IFERROR(INT(DATEVALUE(I36)),IFERROR(INT(VALUE(I36)),"bad"))))</f>
        <v/>
      </c>
      <c r="O36">
        <f>IF(J36="","",IF(ISNUMBER(J36),ROUND(J36,2),IFERROR(ROUND(VALUE(SUBSTITUTE(SUBSTITUTE(SUBSTITUTE(J36,"$",""),",","")," ","")),2),"bad")))</f>
        <v/>
      </c>
      <c r="P36">
        <f>IF(TRIM(K36)="","",IFERROR(MATCH(LOWER(TRIM(K36)),'Students'!$AH$2:$AH$701,0),IFERROR(MATCH(LOWER(TRIM(K36)),'Students'!$AF$2:$AF$701,0),IFERROR(MATCH(LOWER(TRIM(K36)),'Students'!$AG$2:$AG$701,0),""))))</f>
        <v/>
      </c>
      <c r="R36">
        <f>IF(P36="","",INDEX('Students'!$AD$2:$AD$701,P36))</f>
        <v/>
      </c>
      <c r="S36">
        <f>IF(H36="OK",O36,0)</f>
        <v/>
      </c>
      <c r="T36">
        <f>IF(H36="OK",N36,"")</f>
        <v/>
      </c>
      <c r="U36">
        <f>IF(OC_Donor=0,"",IF(INDEX('OneCause_Paste'!$A$36:$AZ$36,1,OC_Donor)="","",INDEX('OneCause_Paste'!$A$36:$AZ$36,1,OC_Donor)))</f>
        <v/>
      </c>
    </row>
    <row r="37">
      <c r="A37" s="62">
        <f>IF(H37="","",IF(ISNUMBER(N37),N37,I37))</f>
        <v/>
      </c>
      <c r="B37">
        <f>IF(H37="","",U37)</f>
        <v/>
      </c>
      <c r="C37">
        <f>IF(H37="","",IF(P37="",K37,INDEX('Students'!$A$2:$A$701,P37)))</f>
        <v/>
      </c>
      <c r="D37">
        <f>IF(OR(H37="",P37=""),"",INDEX('Students'!$B$2:$B$701,P37))</f>
        <v/>
      </c>
      <c r="E37">
        <f>IF(OR(H37="",P37=""),"",INDEX('Students'!$C$2:$C$701,P37))</f>
        <v/>
      </c>
      <c r="F37" s="48">
        <f>IF(H37="","",IF(ISNUMBER(O37),O37,J37))</f>
        <v/>
      </c>
      <c r="G37">
        <f>IF(H37="","","OneCause")</f>
        <v/>
      </c>
      <c r="H37">
        <f>IF(AND(I37="",J37="",K37=""),"",IF(NOT(ISNUMBER(O37)),"Bad amount",IF(O37&lt;0,"Refund (not counted)",IF(O37=0,"Zero amount",IF(NOT(ISNUMBER(N37)),"Bad date",IF(P37="","NAME NOT ON ROSTER",IF(L37="","OK",IF(MATCH(L37,$L$2:$L$3001,0)&lt;ROW()-1,"Duplicate (ignored)","OK"))))))))</f>
        <v/>
      </c>
      <c r="I37">
        <f>IF(OC_Date=0,"",IF(INDEX('OneCause_Paste'!$A$37:$AZ$37,1,OC_Date)="","",INDEX('OneCause_Paste'!$A$37:$AZ$37,1,OC_Date)))</f>
        <v/>
      </c>
      <c r="J37">
        <f>IF(OC_Amt=0,"",IF(INDEX('OneCause_Paste'!$A$37:$AZ$37,1,OC_Amt)="","",INDEX('OneCause_Paste'!$A$37:$AZ$37,1,OC_Amt)))</f>
        <v/>
      </c>
      <c r="K37">
        <f>IF(OC_Name=0,"",IF(INDEX('OneCause_Paste'!$A$37:$AZ$37,1,OC_Name)="","",INDEX('OneCause_Paste'!$A$37:$AZ$37,1,OC_Name)))</f>
        <v/>
      </c>
      <c r="L37">
        <f>IF(OC_Txn=0,"",IF(INDEX('OneCause_Paste'!$A$37:$AZ$37,1,OC_Txn)="","",INDEX('OneCause_Paste'!$A$37:$AZ$37,1,OC_Txn)))</f>
        <v/>
      </c>
      <c r="M37">
        <f>IF(OC_Pay=0,"",IF(INDEX('OneCause_Paste'!$A$37:$AZ$37,1,OC_Pay)="","",INDEX('OneCause_Paste'!$A$37:$AZ$37,1,OC_Pay)))</f>
        <v/>
      </c>
      <c r="N37">
        <f>IF(I37="","",IF(ISNUMBER(I37),INT(I37),IFERROR(INT(DATEVALUE(I37)),IFERROR(INT(VALUE(I37)),"bad"))))</f>
        <v/>
      </c>
      <c r="O37">
        <f>IF(J37="","",IF(ISNUMBER(J37),ROUND(J37,2),IFERROR(ROUND(VALUE(SUBSTITUTE(SUBSTITUTE(SUBSTITUTE(J37,"$",""),",","")," ","")),2),"bad")))</f>
        <v/>
      </c>
      <c r="P37">
        <f>IF(TRIM(K37)="","",IFERROR(MATCH(LOWER(TRIM(K37)),'Students'!$AH$2:$AH$701,0),IFERROR(MATCH(LOWER(TRIM(K37)),'Students'!$AF$2:$AF$701,0),IFERROR(MATCH(LOWER(TRIM(K37)),'Students'!$AG$2:$AG$701,0),""))))</f>
        <v/>
      </c>
      <c r="R37">
        <f>IF(P37="","",INDEX('Students'!$AD$2:$AD$701,P37))</f>
        <v/>
      </c>
      <c r="S37">
        <f>IF(H37="OK",O37,0)</f>
        <v/>
      </c>
      <c r="T37">
        <f>IF(H37="OK",N37,"")</f>
        <v/>
      </c>
      <c r="U37">
        <f>IF(OC_Donor=0,"",IF(INDEX('OneCause_Paste'!$A$37:$AZ$37,1,OC_Donor)="","",INDEX('OneCause_Paste'!$A$37:$AZ$37,1,OC_Donor)))</f>
        <v/>
      </c>
    </row>
    <row r="38">
      <c r="A38" s="62">
        <f>IF(H38="","",IF(ISNUMBER(N38),N38,I38))</f>
        <v/>
      </c>
      <c r="B38">
        <f>IF(H38="","",U38)</f>
        <v/>
      </c>
      <c r="C38">
        <f>IF(H38="","",IF(P38="",K38,INDEX('Students'!$A$2:$A$701,P38)))</f>
        <v/>
      </c>
      <c r="D38">
        <f>IF(OR(H38="",P38=""),"",INDEX('Students'!$B$2:$B$701,P38))</f>
        <v/>
      </c>
      <c r="E38">
        <f>IF(OR(H38="",P38=""),"",INDEX('Students'!$C$2:$C$701,P38))</f>
        <v/>
      </c>
      <c r="F38" s="48">
        <f>IF(H38="","",IF(ISNUMBER(O38),O38,J38))</f>
        <v/>
      </c>
      <c r="G38">
        <f>IF(H38="","","OneCause")</f>
        <v/>
      </c>
      <c r="H38">
        <f>IF(AND(I38="",J38="",K38=""),"",IF(NOT(ISNUMBER(O38)),"Bad amount",IF(O38&lt;0,"Refund (not counted)",IF(O38=0,"Zero amount",IF(NOT(ISNUMBER(N38)),"Bad date",IF(P38="","NAME NOT ON ROSTER",IF(L38="","OK",IF(MATCH(L38,$L$2:$L$3001,0)&lt;ROW()-1,"Duplicate (ignored)","OK"))))))))</f>
        <v/>
      </c>
      <c r="I38">
        <f>IF(OC_Date=0,"",IF(INDEX('OneCause_Paste'!$A$38:$AZ$38,1,OC_Date)="","",INDEX('OneCause_Paste'!$A$38:$AZ$38,1,OC_Date)))</f>
        <v/>
      </c>
      <c r="J38">
        <f>IF(OC_Amt=0,"",IF(INDEX('OneCause_Paste'!$A$38:$AZ$38,1,OC_Amt)="","",INDEX('OneCause_Paste'!$A$38:$AZ$38,1,OC_Amt)))</f>
        <v/>
      </c>
      <c r="K38">
        <f>IF(OC_Name=0,"",IF(INDEX('OneCause_Paste'!$A$38:$AZ$38,1,OC_Name)="","",INDEX('OneCause_Paste'!$A$38:$AZ$38,1,OC_Name)))</f>
        <v/>
      </c>
      <c r="L38">
        <f>IF(OC_Txn=0,"",IF(INDEX('OneCause_Paste'!$A$38:$AZ$38,1,OC_Txn)="","",INDEX('OneCause_Paste'!$A$38:$AZ$38,1,OC_Txn)))</f>
        <v/>
      </c>
      <c r="M38">
        <f>IF(OC_Pay=0,"",IF(INDEX('OneCause_Paste'!$A$38:$AZ$38,1,OC_Pay)="","",INDEX('OneCause_Paste'!$A$38:$AZ$38,1,OC_Pay)))</f>
        <v/>
      </c>
      <c r="N38">
        <f>IF(I38="","",IF(ISNUMBER(I38),INT(I38),IFERROR(INT(DATEVALUE(I38)),IFERROR(INT(VALUE(I38)),"bad"))))</f>
        <v/>
      </c>
      <c r="O38">
        <f>IF(J38="","",IF(ISNUMBER(J38),ROUND(J38,2),IFERROR(ROUND(VALUE(SUBSTITUTE(SUBSTITUTE(SUBSTITUTE(J38,"$",""),",","")," ","")),2),"bad")))</f>
        <v/>
      </c>
      <c r="P38">
        <f>IF(TRIM(K38)="","",IFERROR(MATCH(LOWER(TRIM(K38)),'Students'!$AH$2:$AH$701,0),IFERROR(MATCH(LOWER(TRIM(K38)),'Students'!$AF$2:$AF$701,0),IFERROR(MATCH(LOWER(TRIM(K38)),'Students'!$AG$2:$AG$701,0),""))))</f>
        <v/>
      </c>
      <c r="R38">
        <f>IF(P38="","",INDEX('Students'!$AD$2:$AD$701,P38))</f>
        <v/>
      </c>
      <c r="S38">
        <f>IF(H38="OK",O38,0)</f>
        <v/>
      </c>
      <c r="T38">
        <f>IF(H38="OK",N38,"")</f>
        <v/>
      </c>
      <c r="U38">
        <f>IF(OC_Donor=0,"",IF(INDEX('OneCause_Paste'!$A$38:$AZ$38,1,OC_Donor)="","",INDEX('OneCause_Paste'!$A$38:$AZ$38,1,OC_Donor)))</f>
        <v/>
      </c>
    </row>
    <row r="39">
      <c r="A39" s="62">
        <f>IF(H39="","",IF(ISNUMBER(N39),N39,I39))</f>
        <v/>
      </c>
      <c r="B39">
        <f>IF(H39="","",U39)</f>
        <v/>
      </c>
      <c r="C39">
        <f>IF(H39="","",IF(P39="",K39,INDEX('Students'!$A$2:$A$701,P39)))</f>
        <v/>
      </c>
      <c r="D39">
        <f>IF(OR(H39="",P39=""),"",INDEX('Students'!$B$2:$B$701,P39))</f>
        <v/>
      </c>
      <c r="E39">
        <f>IF(OR(H39="",P39=""),"",INDEX('Students'!$C$2:$C$701,P39))</f>
        <v/>
      </c>
      <c r="F39" s="48">
        <f>IF(H39="","",IF(ISNUMBER(O39),O39,J39))</f>
        <v/>
      </c>
      <c r="G39">
        <f>IF(H39="","","OneCause")</f>
        <v/>
      </c>
      <c r="H39">
        <f>IF(AND(I39="",J39="",K39=""),"",IF(NOT(ISNUMBER(O39)),"Bad amount",IF(O39&lt;0,"Refund (not counted)",IF(O39=0,"Zero amount",IF(NOT(ISNUMBER(N39)),"Bad date",IF(P39="","NAME NOT ON ROSTER",IF(L39="","OK",IF(MATCH(L39,$L$2:$L$3001,0)&lt;ROW()-1,"Duplicate (ignored)","OK"))))))))</f>
        <v/>
      </c>
      <c r="I39">
        <f>IF(OC_Date=0,"",IF(INDEX('OneCause_Paste'!$A$39:$AZ$39,1,OC_Date)="","",INDEX('OneCause_Paste'!$A$39:$AZ$39,1,OC_Date)))</f>
        <v/>
      </c>
      <c r="J39">
        <f>IF(OC_Amt=0,"",IF(INDEX('OneCause_Paste'!$A$39:$AZ$39,1,OC_Amt)="","",INDEX('OneCause_Paste'!$A$39:$AZ$39,1,OC_Amt)))</f>
        <v/>
      </c>
      <c r="K39">
        <f>IF(OC_Name=0,"",IF(INDEX('OneCause_Paste'!$A$39:$AZ$39,1,OC_Name)="","",INDEX('OneCause_Paste'!$A$39:$AZ$39,1,OC_Name)))</f>
        <v/>
      </c>
      <c r="L39">
        <f>IF(OC_Txn=0,"",IF(INDEX('OneCause_Paste'!$A$39:$AZ$39,1,OC_Txn)="","",INDEX('OneCause_Paste'!$A$39:$AZ$39,1,OC_Txn)))</f>
        <v/>
      </c>
      <c r="M39">
        <f>IF(OC_Pay=0,"",IF(INDEX('OneCause_Paste'!$A$39:$AZ$39,1,OC_Pay)="","",INDEX('OneCause_Paste'!$A$39:$AZ$39,1,OC_Pay)))</f>
        <v/>
      </c>
      <c r="N39">
        <f>IF(I39="","",IF(ISNUMBER(I39),INT(I39),IFERROR(INT(DATEVALUE(I39)),IFERROR(INT(VALUE(I39)),"bad"))))</f>
        <v/>
      </c>
      <c r="O39">
        <f>IF(J39="","",IF(ISNUMBER(J39),ROUND(J39,2),IFERROR(ROUND(VALUE(SUBSTITUTE(SUBSTITUTE(SUBSTITUTE(J39,"$",""),",","")," ","")),2),"bad")))</f>
        <v/>
      </c>
      <c r="P39">
        <f>IF(TRIM(K39)="","",IFERROR(MATCH(LOWER(TRIM(K39)),'Students'!$AH$2:$AH$701,0),IFERROR(MATCH(LOWER(TRIM(K39)),'Students'!$AF$2:$AF$701,0),IFERROR(MATCH(LOWER(TRIM(K39)),'Students'!$AG$2:$AG$701,0),""))))</f>
        <v/>
      </c>
      <c r="R39">
        <f>IF(P39="","",INDEX('Students'!$AD$2:$AD$701,P39))</f>
        <v/>
      </c>
      <c r="S39">
        <f>IF(H39="OK",O39,0)</f>
        <v/>
      </c>
      <c r="T39">
        <f>IF(H39="OK",N39,"")</f>
        <v/>
      </c>
      <c r="U39">
        <f>IF(OC_Donor=0,"",IF(INDEX('OneCause_Paste'!$A$39:$AZ$39,1,OC_Donor)="","",INDEX('OneCause_Paste'!$A$39:$AZ$39,1,OC_Donor)))</f>
        <v/>
      </c>
    </row>
    <row r="40">
      <c r="A40" s="62">
        <f>IF(H40="","",IF(ISNUMBER(N40),N40,I40))</f>
        <v/>
      </c>
      <c r="B40">
        <f>IF(H40="","",U40)</f>
        <v/>
      </c>
      <c r="C40">
        <f>IF(H40="","",IF(P40="",K40,INDEX('Students'!$A$2:$A$701,P40)))</f>
        <v/>
      </c>
      <c r="D40">
        <f>IF(OR(H40="",P40=""),"",INDEX('Students'!$B$2:$B$701,P40))</f>
        <v/>
      </c>
      <c r="E40">
        <f>IF(OR(H40="",P40=""),"",INDEX('Students'!$C$2:$C$701,P40))</f>
        <v/>
      </c>
      <c r="F40" s="48">
        <f>IF(H40="","",IF(ISNUMBER(O40),O40,J40))</f>
        <v/>
      </c>
      <c r="G40">
        <f>IF(H40="","","OneCause")</f>
        <v/>
      </c>
      <c r="H40">
        <f>IF(AND(I40="",J40="",K40=""),"",IF(NOT(ISNUMBER(O40)),"Bad amount",IF(O40&lt;0,"Refund (not counted)",IF(O40=0,"Zero amount",IF(NOT(ISNUMBER(N40)),"Bad date",IF(P40="","NAME NOT ON ROSTER",IF(L40="","OK",IF(MATCH(L40,$L$2:$L$3001,0)&lt;ROW()-1,"Duplicate (ignored)","OK"))))))))</f>
        <v/>
      </c>
      <c r="I40">
        <f>IF(OC_Date=0,"",IF(INDEX('OneCause_Paste'!$A$40:$AZ$40,1,OC_Date)="","",INDEX('OneCause_Paste'!$A$40:$AZ$40,1,OC_Date)))</f>
        <v/>
      </c>
      <c r="J40">
        <f>IF(OC_Amt=0,"",IF(INDEX('OneCause_Paste'!$A$40:$AZ$40,1,OC_Amt)="","",INDEX('OneCause_Paste'!$A$40:$AZ$40,1,OC_Amt)))</f>
        <v/>
      </c>
      <c r="K40">
        <f>IF(OC_Name=0,"",IF(INDEX('OneCause_Paste'!$A$40:$AZ$40,1,OC_Name)="","",INDEX('OneCause_Paste'!$A$40:$AZ$40,1,OC_Name)))</f>
        <v/>
      </c>
      <c r="L40">
        <f>IF(OC_Txn=0,"",IF(INDEX('OneCause_Paste'!$A$40:$AZ$40,1,OC_Txn)="","",INDEX('OneCause_Paste'!$A$40:$AZ$40,1,OC_Txn)))</f>
        <v/>
      </c>
      <c r="M40">
        <f>IF(OC_Pay=0,"",IF(INDEX('OneCause_Paste'!$A$40:$AZ$40,1,OC_Pay)="","",INDEX('OneCause_Paste'!$A$40:$AZ$40,1,OC_Pay)))</f>
        <v/>
      </c>
      <c r="N40">
        <f>IF(I40="","",IF(ISNUMBER(I40),INT(I40),IFERROR(INT(DATEVALUE(I40)),IFERROR(INT(VALUE(I40)),"bad"))))</f>
        <v/>
      </c>
      <c r="O40">
        <f>IF(J40="","",IF(ISNUMBER(J40),ROUND(J40,2),IFERROR(ROUND(VALUE(SUBSTITUTE(SUBSTITUTE(SUBSTITUTE(J40,"$",""),",","")," ","")),2),"bad")))</f>
        <v/>
      </c>
      <c r="P40">
        <f>IF(TRIM(K40)="","",IFERROR(MATCH(LOWER(TRIM(K40)),'Students'!$AH$2:$AH$701,0),IFERROR(MATCH(LOWER(TRIM(K40)),'Students'!$AF$2:$AF$701,0),IFERROR(MATCH(LOWER(TRIM(K40)),'Students'!$AG$2:$AG$701,0),""))))</f>
        <v/>
      </c>
      <c r="R40">
        <f>IF(P40="","",INDEX('Students'!$AD$2:$AD$701,P40))</f>
        <v/>
      </c>
      <c r="S40">
        <f>IF(H40="OK",O40,0)</f>
        <v/>
      </c>
      <c r="T40">
        <f>IF(H40="OK",N40,"")</f>
        <v/>
      </c>
      <c r="U40">
        <f>IF(OC_Donor=0,"",IF(INDEX('OneCause_Paste'!$A$40:$AZ$40,1,OC_Donor)="","",INDEX('OneCause_Paste'!$A$40:$AZ$40,1,OC_Donor)))</f>
        <v/>
      </c>
    </row>
    <row r="41">
      <c r="A41" s="62">
        <f>IF(H41="","",IF(ISNUMBER(N41),N41,I41))</f>
        <v/>
      </c>
      <c r="B41">
        <f>IF(H41="","",U41)</f>
        <v/>
      </c>
      <c r="C41">
        <f>IF(H41="","",IF(P41="",K41,INDEX('Students'!$A$2:$A$701,P41)))</f>
        <v/>
      </c>
      <c r="D41">
        <f>IF(OR(H41="",P41=""),"",INDEX('Students'!$B$2:$B$701,P41))</f>
        <v/>
      </c>
      <c r="E41">
        <f>IF(OR(H41="",P41=""),"",INDEX('Students'!$C$2:$C$701,P41))</f>
        <v/>
      </c>
      <c r="F41" s="48">
        <f>IF(H41="","",IF(ISNUMBER(O41),O41,J41))</f>
        <v/>
      </c>
      <c r="G41">
        <f>IF(H41="","","OneCause")</f>
        <v/>
      </c>
      <c r="H41">
        <f>IF(AND(I41="",J41="",K41=""),"",IF(NOT(ISNUMBER(O41)),"Bad amount",IF(O41&lt;0,"Refund (not counted)",IF(O41=0,"Zero amount",IF(NOT(ISNUMBER(N41)),"Bad date",IF(P41="","NAME NOT ON ROSTER",IF(L41="","OK",IF(MATCH(L41,$L$2:$L$3001,0)&lt;ROW()-1,"Duplicate (ignored)","OK"))))))))</f>
        <v/>
      </c>
      <c r="I41">
        <f>IF(OC_Date=0,"",IF(INDEX('OneCause_Paste'!$A$41:$AZ$41,1,OC_Date)="","",INDEX('OneCause_Paste'!$A$41:$AZ$41,1,OC_Date)))</f>
        <v/>
      </c>
      <c r="J41">
        <f>IF(OC_Amt=0,"",IF(INDEX('OneCause_Paste'!$A$41:$AZ$41,1,OC_Amt)="","",INDEX('OneCause_Paste'!$A$41:$AZ$41,1,OC_Amt)))</f>
        <v/>
      </c>
      <c r="K41">
        <f>IF(OC_Name=0,"",IF(INDEX('OneCause_Paste'!$A$41:$AZ$41,1,OC_Name)="","",INDEX('OneCause_Paste'!$A$41:$AZ$41,1,OC_Name)))</f>
        <v/>
      </c>
      <c r="L41">
        <f>IF(OC_Txn=0,"",IF(INDEX('OneCause_Paste'!$A$41:$AZ$41,1,OC_Txn)="","",INDEX('OneCause_Paste'!$A$41:$AZ$41,1,OC_Txn)))</f>
        <v/>
      </c>
      <c r="M41">
        <f>IF(OC_Pay=0,"",IF(INDEX('OneCause_Paste'!$A$41:$AZ$41,1,OC_Pay)="","",INDEX('OneCause_Paste'!$A$41:$AZ$41,1,OC_Pay)))</f>
        <v/>
      </c>
      <c r="N41">
        <f>IF(I41="","",IF(ISNUMBER(I41),INT(I41),IFERROR(INT(DATEVALUE(I41)),IFERROR(INT(VALUE(I41)),"bad"))))</f>
        <v/>
      </c>
      <c r="O41">
        <f>IF(J41="","",IF(ISNUMBER(J41),ROUND(J41,2),IFERROR(ROUND(VALUE(SUBSTITUTE(SUBSTITUTE(SUBSTITUTE(J41,"$",""),",","")," ","")),2),"bad")))</f>
        <v/>
      </c>
      <c r="P41">
        <f>IF(TRIM(K41)="","",IFERROR(MATCH(LOWER(TRIM(K41)),'Students'!$AH$2:$AH$701,0),IFERROR(MATCH(LOWER(TRIM(K41)),'Students'!$AF$2:$AF$701,0),IFERROR(MATCH(LOWER(TRIM(K41)),'Students'!$AG$2:$AG$701,0),""))))</f>
        <v/>
      </c>
      <c r="R41">
        <f>IF(P41="","",INDEX('Students'!$AD$2:$AD$701,P41))</f>
        <v/>
      </c>
      <c r="S41">
        <f>IF(H41="OK",O41,0)</f>
        <v/>
      </c>
      <c r="T41">
        <f>IF(H41="OK",N41,"")</f>
        <v/>
      </c>
      <c r="U41">
        <f>IF(OC_Donor=0,"",IF(INDEX('OneCause_Paste'!$A$41:$AZ$41,1,OC_Donor)="","",INDEX('OneCause_Paste'!$A$41:$AZ$41,1,OC_Donor)))</f>
        <v/>
      </c>
    </row>
    <row r="42">
      <c r="A42" s="62">
        <f>IF(H42="","",IF(ISNUMBER(N42),N42,I42))</f>
        <v/>
      </c>
      <c r="B42">
        <f>IF(H42="","",U42)</f>
        <v/>
      </c>
      <c r="C42">
        <f>IF(H42="","",IF(P42="",K42,INDEX('Students'!$A$2:$A$701,P42)))</f>
        <v/>
      </c>
      <c r="D42">
        <f>IF(OR(H42="",P42=""),"",INDEX('Students'!$B$2:$B$701,P42))</f>
        <v/>
      </c>
      <c r="E42">
        <f>IF(OR(H42="",P42=""),"",INDEX('Students'!$C$2:$C$701,P42))</f>
        <v/>
      </c>
      <c r="F42" s="48">
        <f>IF(H42="","",IF(ISNUMBER(O42),O42,J42))</f>
        <v/>
      </c>
      <c r="G42">
        <f>IF(H42="","","OneCause")</f>
        <v/>
      </c>
      <c r="H42">
        <f>IF(AND(I42="",J42="",K42=""),"",IF(NOT(ISNUMBER(O42)),"Bad amount",IF(O42&lt;0,"Refund (not counted)",IF(O42=0,"Zero amount",IF(NOT(ISNUMBER(N42)),"Bad date",IF(P42="","NAME NOT ON ROSTER",IF(L42="","OK",IF(MATCH(L42,$L$2:$L$3001,0)&lt;ROW()-1,"Duplicate (ignored)","OK"))))))))</f>
        <v/>
      </c>
      <c r="I42">
        <f>IF(OC_Date=0,"",IF(INDEX('OneCause_Paste'!$A$42:$AZ$42,1,OC_Date)="","",INDEX('OneCause_Paste'!$A$42:$AZ$42,1,OC_Date)))</f>
        <v/>
      </c>
      <c r="J42">
        <f>IF(OC_Amt=0,"",IF(INDEX('OneCause_Paste'!$A$42:$AZ$42,1,OC_Amt)="","",INDEX('OneCause_Paste'!$A$42:$AZ$42,1,OC_Amt)))</f>
        <v/>
      </c>
      <c r="K42">
        <f>IF(OC_Name=0,"",IF(INDEX('OneCause_Paste'!$A$42:$AZ$42,1,OC_Name)="","",INDEX('OneCause_Paste'!$A$42:$AZ$42,1,OC_Name)))</f>
        <v/>
      </c>
      <c r="L42">
        <f>IF(OC_Txn=0,"",IF(INDEX('OneCause_Paste'!$A$42:$AZ$42,1,OC_Txn)="","",INDEX('OneCause_Paste'!$A$42:$AZ$42,1,OC_Txn)))</f>
        <v/>
      </c>
      <c r="M42">
        <f>IF(OC_Pay=0,"",IF(INDEX('OneCause_Paste'!$A$42:$AZ$42,1,OC_Pay)="","",INDEX('OneCause_Paste'!$A$42:$AZ$42,1,OC_Pay)))</f>
        <v/>
      </c>
      <c r="N42">
        <f>IF(I42="","",IF(ISNUMBER(I42),INT(I42),IFERROR(INT(DATEVALUE(I42)),IFERROR(INT(VALUE(I42)),"bad"))))</f>
        <v/>
      </c>
      <c r="O42">
        <f>IF(J42="","",IF(ISNUMBER(J42),ROUND(J42,2),IFERROR(ROUND(VALUE(SUBSTITUTE(SUBSTITUTE(SUBSTITUTE(J42,"$",""),",","")," ","")),2),"bad")))</f>
        <v/>
      </c>
      <c r="P42">
        <f>IF(TRIM(K42)="","",IFERROR(MATCH(LOWER(TRIM(K42)),'Students'!$AH$2:$AH$701,0),IFERROR(MATCH(LOWER(TRIM(K42)),'Students'!$AF$2:$AF$701,0),IFERROR(MATCH(LOWER(TRIM(K42)),'Students'!$AG$2:$AG$701,0),""))))</f>
        <v/>
      </c>
      <c r="R42">
        <f>IF(P42="","",INDEX('Students'!$AD$2:$AD$701,P42))</f>
        <v/>
      </c>
      <c r="S42">
        <f>IF(H42="OK",O42,0)</f>
        <v/>
      </c>
      <c r="T42">
        <f>IF(H42="OK",N42,"")</f>
        <v/>
      </c>
      <c r="U42">
        <f>IF(OC_Donor=0,"",IF(INDEX('OneCause_Paste'!$A$42:$AZ$42,1,OC_Donor)="","",INDEX('OneCause_Paste'!$A$42:$AZ$42,1,OC_Donor)))</f>
        <v/>
      </c>
    </row>
    <row r="43">
      <c r="A43" s="62">
        <f>IF(H43="","",IF(ISNUMBER(N43),N43,I43))</f>
        <v/>
      </c>
      <c r="B43">
        <f>IF(H43="","",U43)</f>
        <v/>
      </c>
      <c r="C43">
        <f>IF(H43="","",IF(P43="",K43,INDEX('Students'!$A$2:$A$701,P43)))</f>
        <v/>
      </c>
      <c r="D43">
        <f>IF(OR(H43="",P43=""),"",INDEX('Students'!$B$2:$B$701,P43))</f>
        <v/>
      </c>
      <c r="E43">
        <f>IF(OR(H43="",P43=""),"",INDEX('Students'!$C$2:$C$701,P43))</f>
        <v/>
      </c>
      <c r="F43" s="48">
        <f>IF(H43="","",IF(ISNUMBER(O43),O43,J43))</f>
        <v/>
      </c>
      <c r="G43">
        <f>IF(H43="","","OneCause")</f>
        <v/>
      </c>
      <c r="H43">
        <f>IF(AND(I43="",J43="",K43=""),"",IF(NOT(ISNUMBER(O43)),"Bad amount",IF(O43&lt;0,"Refund (not counted)",IF(O43=0,"Zero amount",IF(NOT(ISNUMBER(N43)),"Bad date",IF(P43="","NAME NOT ON ROSTER",IF(L43="","OK",IF(MATCH(L43,$L$2:$L$3001,0)&lt;ROW()-1,"Duplicate (ignored)","OK"))))))))</f>
        <v/>
      </c>
      <c r="I43">
        <f>IF(OC_Date=0,"",IF(INDEX('OneCause_Paste'!$A$43:$AZ$43,1,OC_Date)="","",INDEX('OneCause_Paste'!$A$43:$AZ$43,1,OC_Date)))</f>
        <v/>
      </c>
      <c r="J43">
        <f>IF(OC_Amt=0,"",IF(INDEX('OneCause_Paste'!$A$43:$AZ$43,1,OC_Amt)="","",INDEX('OneCause_Paste'!$A$43:$AZ$43,1,OC_Amt)))</f>
        <v/>
      </c>
      <c r="K43">
        <f>IF(OC_Name=0,"",IF(INDEX('OneCause_Paste'!$A$43:$AZ$43,1,OC_Name)="","",INDEX('OneCause_Paste'!$A$43:$AZ$43,1,OC_Name)))</f>
        <v/>
      </c>
      <c r="L43">
        <f>IF(OC_Txn=0,"",IF(INDEX('OneCause_Paste'!$A$43:$AZ$43,1,OC_Txn)="","",INDEX('OneCause_Paste'!$A$43:$AZ$43,1,OC_Txn)))</f>
        <v/>
      </c>
      <c r="M43">
        <f>IF(OC_Pay=0,"",IF(INDEX('OneCause_Paste'!$A$43:$AZ$43,1,OC_Pay)="","",INDEX('OneCause_Paste'!$A$43:$AZ$43,1,OC_Pay)))</f>
        <v/>
      </c>
      <c r="N43">
        <f>IF(I43="","",IF(ISNUMBER(I43),INT(I43),IFERROR(INT(DATEVALUE(I43)),IFERROR(INT(VALUE(I43)),"bad"))))</f>
        <v/>
      </c>
      <c r="O43">
        <f>IF(J43="","",IF(ISNUMBER(J43),ROUND(J43,2),IFERROR(ROUND(VALUE(SUBSTITUTE(SUBSTITUTE(SUBSTITUTE(J43,"$",""),",","")," ","")),2),"bad")))</f>
        <v/>
      </c>
      <c r="P43">
        <f>IF(TRIM(K43)="","",IFERROR(MATCH(LOWER(TRIM(K43)),'Students'!$AH$2:$AH$701,0),IFERROR(MATCH(LOWER(TRIM(K43)),'Students'!$AF$2:$AF$701,0),IFERROR(MATCH(LOWER(TRIM(K43)),'Students'!$AG$2:$AG$701,0),""))))</f>
        <v/>
      </c>
      <c r="R43">
        <f>IF(P43="","",INDEX('Students'!$AD$2:$AD$701,P43))</f>
        <v/>
      </c>
      <c r="S43">
        <f>IF(H43="OK",O43,0)</f>
        <v/>
      </c>
      <c r="T43">
        <f>IF(H43="OK",N43,"")</f>
        <v/>
      </c>
      <c r="U43">
        <f>IF(OC_Donor=0,"",IF(INDEX('OneCause_Paste'!$A$43:$AZ$43,1,OC_Donor)="","",INDEX('OneCause_Paste'!$A$43:$AZ$43,1,OC_Donor)))</f>
        <v/>
      </c>
    </row>
    <row r="44">
      <c r="A44" s="62">
        <f>IF(H44="","",IF(ISNUMBER(N44),N44,I44))</f>
        <v/>
      </c>
      <c r="B44">
        <f>IF(H44="","",U44)</f>
        <v/>
      </c>
      <c r="C44">
        <f>IF(H44="","",IF(P44="",K44,INDEX('Students'!$A$2:$A$701,P44)))</f>
        <v/>
      </c>
      <c r="D44">
        <f>IF(OR(H44="",P44=""),"",INDEX('Students'!$B$2:$B$701,P44))</f>
        <v/>
      </c>
      <c r="E44">
        <f>IF(OR(H44="",P44=""),"",INDEX('Students'!$C$2:$C$701,P44))</f>
        <v/>
      </c>
      <c r="F44" s="48">
        <f>IF(H44="","",IF(ISNUMBER(O44),O44,J44))</f>
        <v/>
      </c>
      <c r="G44">
        <f>IF(H44="","","OneCause")</f>
        <v/>
      </c>
      <c r="H44">
        <f>IF(AND(I44="",J44="",K44=""),"",IF(NOT(ISNUMBER(O44)),"Bad amount",IF(O44&lt;0,"Refund (not counted)",IF(O44=0,"Zero amount",IF(NOT(ISNUMBER(N44)),"Bad date",IF(P44="","NAME NOT ON ROSTER",IF(L44="","OK",IF(MATCH(L44,$L$2:$L$3001,0)&lt;ROW()-1,"Duplicate (ignored)","OK"))))))))</f>
        <v/>
      </c>
      <c r="I44">
        <f>IF(OC_Date=0,"",IF(INDEX('OneCause_Paste'!$A$44:$AZ$44,1,OC_Date)="","",INDEX('OneCause_Paste'!$A$44:$AZ$44,1,OC_Date)))</f>
        <v/>
      </c>
      <c r="J44">
        <f>IF(OC_Amt=0,"",IF(INDEX('OneCause_Paste'!$A$44:$AZ$44,1,OC_Amt)="","",INDEX('OneCause_Paste'!$A$44:$AZ$44,1,OC_Amt)))</f>
        <v/>
      </c>
      <c r="K44">
        <f>IF(OC_Name=0,"",IF(INDEX('OneCause_Paste'!$A$44:$AZ$44,1,OC_Name)="","",INDEX('OneCause_Paste'!$A$44:$AZ$44,1,OC_Name)))</f>
        <v/>
      </c>
      <c r="L44">
        <f>IF(OC_Txn=0,"",IF(INDEX('OneCause_Paste'!$A$44:$AZ$44,1,OC_Txn)="","",INDEX('OneCause_Paste'!$A$44:$AZ$44,1,OC_Txn)))</f>
        <v/>
      </c>
      <c r="M44">
        <f>IF(OC_Pay=0,"",IF(INDEX('OneCause_Paste'!$A$44:$AZ$44,1,OC_Pay)="","",INDEX('OneCause_Paste'!$A$44:$AZ$44,1,OC_Pay)))</f>
        <v/>
      </c>
      <c r="N44">
        <f>IF(I44="","",IF(ISNUMBER(I44),INT(I44),IFERROR(INT(DATEVALUE(I44)),IFERROR(INT(VALUE(I44)),"bad"))))</f>
        <v/>
      </c>
      <c r="O44">
        <f>IF(J44="","",IF(ISNUMBER(J44),ROUND(J44,2),IFERROR(ROUND(VALUE(SUBSTITUTE(SUBSTITUTE(SUBSTITUTE(J44,"$",""),",","")," ","")),2),"bad")))</f>
        <v/>
      </c>
      <c r="P44">
        <f>IF(TRIM(K44)="","",IFERROR(MATCH(LOWER(TRIM(K44)),'Students'!$AH$2:$AH$701,0),IFERROR(MATCH(LOWER(TRIM(K44)),'Students'!$AF$2:$AF$701,0),IFERROR(MATCH(LOWER(TRIM(K44)),'Students'!$AG$2:$AG$701,0),""))))</f>
        <v/>
      </c>
      <c r="R44">
        <f>IF(P44="","",INDEX('Students'!$AD$2:$AD$701,P44))</f>
        <v/>
      </c>
      <c r="S44">
        <f>IF(H44="OK",O44,0)</f>
        <v/>
      </c>
      <c r="T44">
        <f>IF(H44="OK",N44,"")</f>
        <v/>
      </c>
      <c r="U44">
        <f>IF(OC_Donor=0,"",IF(INDEX('OneCause_Paste'!$A$44:$AZ$44,1,OC_Donor)="","",INDEX('OneCause_Paste'!$A$44:$AZ$44,1,OC_Donor)))</f>
        <v/>
      </c>
    </row>
    <row r="45">
      <c r="A45" s="62">
        <f>IF(H45="","",IF(ISNUMBER(N45),N45,I45))</f>
        <v/>
      </c>
      <c r="B45">
        <f>IF(H45="","",U45)</f>
        <v/>
      </c>
      <c r="C45">
        <f>IF(H45="","",IF(P45="",K45,INDEX('Students'!$A$2:$A$701,P45)))</f>
        <v/>
      </c>
      <c r="D45">
        <f>IF(OR(H45="",P45=""),"",INDEX('Students'!$B$2:$B$701,P45))</f>
        <v/>
      </c>
      <c r="E45">
        <f>IF(OR(H45="",P45=""),"",INDEX('Students'!$C$2:$C$701,P45))</f>
        <v/>
      </c>
      <c r="F45" s="48">
        <f>IF(H45="","",IF(ISNUMBER(O45),O45,J45))</f>
        <v/>
      </c>
      <c r="G45">
        <f>IF(H45="","","OneCause")</f>
        <v/>
      </c>
      <c r="H45">
        <f>IF(AND(I45="",J45="",K45=""),"",IF(NOT(ISNUMBER(O45)),"Bad amount",IF(O45&lt;0,"Refund (not counted)",IF(O45=0,"Zero amount",IF(NOT(ISNUMBER(N45)),"Bad date",IF(P45="","NAME NOT ON ROSTER",IF(L45="","OK",IF(MATCH(L45,$L$2:$L$3001,0)&lt;ROW()-1,"Duplicate (ignored)","OK"))))))))</f>
        <v/>
      </c>
      <c r="I45">
        <f>IF(OC_Date=0,"",IF(INDEX('OneCause_Paste'!$A$45:$AZ$45,1,OC_Date)="","",INDEX('OneCause_Paste'!$A$45:$AZ$45,1,OC_Date)))</f>
        <v/>
      </c>
      <c r="J45">
        <f>IF(OC_Amt=0,"",IF(INDEX('OneCause_Paste'!$A$45:$AZ$45,1,OC_Amt)="","",INDEX('OneCause_Paste'!$A$45:$AZ$45,1,OC_Amt)))</f>
        <v/>
      </c>
      <c r="K45">
        <f>IF(OC_Name=0,"",IF(INDEX('OneCause_Paste'!$A$45:$AZ$45,1,OC_Name)="","",INDEX('OneCause_Paste'!$A$45:$AZ$45,1,OC_Name)))</f>
        <v/>
      </c>
      <c r="L45">
        <f>IF(OC_Txn=0,"",IF(INDEX('OneCause_Paste'!$A$45:$AZ$45,1,OC_Txn)="","",INDEX('OneCause_Paste'!$A$45:$AZ$45,1,OC_Txn)))</f>
        <v/>
      </c>
      <c r="M45">
        <f>IF(OC_Pay=0,"",IF(INDEX('OneCause_Paste'!$A$45:$AZ$45,1,OC_Pay)="","",INDEX('OneCause_Paste'!$A$45:$AZ$45,1,OC_Pay)))</f>
        <v/>
      </c>
      <c r="N45">
        <f>IF(I45="","",IF(ISNUMBER(I45),INT(I45),IFERROR(INT(DATEVALUE(I45)),IFERROR(INT(VALUE(I45)),"bad"))))</f>
        <v/>
      </c>
      <c r="O45">
        <f>IF(J45="","",IF(ISNUMBER(J45),ROUND(J45,2),IFERROR(ROUND(VALUE(SUBSTITUTE(SUBSTITUTE(SUBSTITUTE(J45,"$",""),",","")," ","")),2),"bad")))</f>
        <v/>
      </c>
      <c r="P45">
        <f>IF(TRIM(K45)="","",IFERROR(MATCH(LOWER(TRIM(K45)),'Students'!$AH$2:$AH$701,0),IFERROR(MATCH(LOWER(TRIM(K45)),'Students'!$AF$2:$AF$701,0),IFERROR(MATCH(LOWER(TRIM(K45)),'Students'!$AG$2:$AG$701,0),""))))</f>
        <v/>
      </c>
      <c r="R45">
        <f>IF(P45="","",INDEX('Students'!$AD$2:$AD$701,P45))</f>
        <v/>
      </c>
      <c r="S45">
        <f>IF(H45="OK",O45,0)</f>
        <v/>
      </c>
      <c r="T45">
        <f>IF(H45="OK",N45,"")</f>
        <v/>
      </c>
      <c r="U45">
        <f>IF(OC_Donor=0,"",IF(INDEX('OneCause_Paste'!$A$45:$AZ$45,1,OC_Donor)="","",INDEX('OneCause_Paste'!$A$45:$AZ$45,1,OC_Donor)))</f>
        <v/>
      </c>
    </row>
    <row r="46">
      <c r="A46" s="62">
        <f>IF(H46="","",IF(ISNUMBER(N46),N46,I46))</f>
        <v/>
      </c>
      <c r="B46">
        <f>IF(H46="","",U46)</f>
        <v/>
      </c>
      <c r="C46">
        <f>IF(H46="","",IF(P46="",K46,INDEX('Students'!$A$2:$A$701,P46)))</f>
        <v/>
      </c>
      <c r="D46">
        <f>IF(OR(H46="",P46=""),"",INDEX('Students'!$B$2:$B$701,P46))</f>
        <v/>
      </c>
      <c r="E46">
        <f>IF(OR(H46="",P46=""),"",INDEX('Students'!$C$2:$C$701,P46))</f>
        <v/>
      </c>
      <c r="F46" s="48">
        <f>IF(H46="","",IF(ISNUMBER(O46),O46,J46))</f>
        <v/>
      </c>
      <c r="G46">
        <f>IF(H46="","","OneCause")</f>
        <v/>
      </c>
      <c r="H46">
        <f>IF(AND(I46="",J46="",K46=""),"",IF(NOT(ISNUMBER(O46)),"Bad amount",IF(O46&lt;0,"Refund (not counted)",IF(O46=0,"Zero amount",IF(NOT(ISNUMBER(N46)),"Bad date",IF(P46="","NAME NOT ON ROSTER",IF(L46="","OK",IF(MATCH(L46,$L$2:$L$3001,0)&lt;ROW()-1,"Duplicate (ignored)","OK"))))))))</f>
        <v/>
      </c>
      <c r="I46">
        <f>IF(OC_Date=0,"",IF(INDEX('OneCause_Paste'!$A$46:$AZ$46,1,OC_Date)="","",INDEX('OneCause_Paste'!$A$46:$AZ$46,1,OC_Date)))</f>
        <v/>
      </c>
      <c r="J46">
        <f>IF(OC_Amt=0,"",IF(INDEX('OneCause_Paste'!$A$46:$AZ$46,1,OC_Amt)="","",INDEX('OneCause_Paste'!$A$46:$AZ$46,1,OC_Amt)))</f>
        <v/>
      </c>
      <c r="K46">
        <f>IF(OC_Name=0,"",IF(INDEX('OneCause_Paste'!$A$46:$AZ$46,1,OC_Name)="","",INDEX('OneCause_Paste'!$A$46:$AZ$46,1,OC_Name)))</f>
        <v/>
      </c>
      <c r="L46">
        <f>IF(OC_Txn=0,"",IF(INDEX('OneCause_Paste'!$A$46:$AZ$46,1,OC_Txn)="","",INDEX('OneCause_Paste'!$A$46:$AZ$46,1,OC_Txn)))</f>
        <v/>
      </c>
      <c r="M46">
        <f>IF(OC_Pay=0,"",IF(INDEX('OneCause_Paste'!$A$46:$AZ$46,1,OC_Pay)="","",INDEX('OneCause_Paste'!$A$46:$AZ$46,1,OC_Pay)))</f>
        <v/>
      </c>
      <c r="N46">
        <f>IF(I46="","",IF(ISNUMBER(I46),INT(I46),IFERROR(INT(DATEVALUE(I46)),IFERROR(INT(VALUE(I46)),"bad"))))</f>
        <v/>
      </c>
      <c r="O46">
        <f>IF(J46="","",IF(ISNUMBER(J46),ROUND(J46,2),IFERROR(ROUND(VALUE(SUBSTITUTE(SUBSTITUTE(SUBSTITUTE(J46,"$",""),",","")," ","")),2),"bad")))</f>
        <v/>
      </c>
      <c r="P46">
        <f>IF(TRIM(K46)="","",IFERROR(MATCH(LOWER(TRIM(K46)),'Students'!$AH$2:$AH$701,0),IFERROR(MATCH(LOWER(TRIM(K46)),'Students'!$AF$2:$AF$701,0),IFERROR(MATCH(LOWER(TRIM(K46)),'Students'!$AG$2:$AG$701,0),""))))</f>
        <v/>
      </c>
      <c r="R46">
        <f>IF(P46="","",INDEX('Students'!$AD$2:$AD$701,P46))</f>
        <v/>
      </c>
      <c r="S46">
        <f>IF(H46="OK",O46,0)</f>
        <v/>
      </c>
      <c r="T46">
        <f>IF(H46="OK",N46,"")</f>
        <v/>
      </c>
      <c r="U46">
        <f>IF(OC_Donor=0,"",IF(INDEX('OneCause_Paste'!$A$46:$AZ$46,1,OC_Donor)="","",INDEX('OneCause_Paste'!$A$46:$AZ$46,1,OC_Donor)))</f>
        <v/>
      </c>
    </row>
    <row r="47">
      <c r="A47" s="62">
        <f>IF(H47="","",IF(ISNUMBER(N47),N47,I47))</f>
        <v/>
      </c>
      <c r="B47">
        <f>IF(H47="","",U47)</f>
        <v/>
      </c>
      <c r="C47">
        <f>IF(H47="","",IF(P47="",K47,INDEX('Students'!$A$2:$A$701,P47)))</f>
        <v/>
      </c>
      <c r="D47">
        <f>IF(OR(H47="",P47=""),"",INDEX('Students'!$B$2:$B$701,P47))</f>
        <v/>
      </c>
      <c r="E47">
        <f>IF(OR(H47="",P47=""),"",INDEX('Students'!$C$2:$C$701,P47))</f>
        <v/>
      </c>
      <c r="F47" s="48">
        <f>IF(H47="","",IF(ISNUMBER(O47),O47,J47))</f>
        <v/>
      </c>
      <c r="G47">
        <f>IF(H47="","","OneCause")</f>
        <v/>
      </c>
      <c r="H47">
        <f>IF(AND(I47="",J47="",K47=""),"",IF(NOT(ISNUMBER(O47)),"Bad amount",IF(O47&lt;0,"Refund (not counted)",IF(O47=0,"Zero amount",IF(NOT(ISNUMBER(N47)),"Bad date",IF(P47="","NAME NOT ON ROSTER",IF(L47="","OK",IF(MATCH(L47,$L$2:$L$3001,0)&lt;ROW()-1,"Duplicate (ignored)","OK"))))))))</f>
        <v/>
      </c>
      <c r="I47">
        <f>IF(OC_Date=0,"",IF(INDEX('OneCause_Paste'!$A$47:$AZ$47,1,OC_Date)="","",INDEX('OneCause_Paste'!$A$47:$AZ$47,1,OC_Date)))</f>
        <v/>
      </c>
      <c r="J47">
        <f>IF(OC_Amt=0,"",IF(INDEX('OneCause_Paste'!$A$47:$AZ$47,1,OC_Amt)="","",INDEX('OneCause_Paste'!$A$47:$AZ$47,1,OC_Amt)))</f>
        <v/>
      </c>
      <c r="K47">
        <f>IF(OC_Name=0,"",IF(INDEX('OneCause_Paste'!$A$47:$AZ$47,1,OC_Name)="","",INDEX('OneCause_Paste'!$A$47:$AZ$47,1,OC_Name)))</f>
        <v/>
      </c>
      <c r="L47">
        <f>IF(OC_Txn=0,"",IF(INDEX('OneCause_Paste'!$A$47:$AZ$47,1,OC_Txn)="","",INDEX('OneCause_Paste'!$A$47:$AZ$47,1,OC_Txn)))</f>
        <v/>
      </c>
      <c r="M47">
        <f>IF(OC_Pay=0,"",IF(INDEX('OneCause_Paste'!$A$47:$AZ$47,1,OC_Pay)="","",INDEX('OneCause_Paste'!$A$47:$AZ$47,1,OC_Pay)))</f>
        <v/>
      </c>
      <c r="N47">
        <f>IF(I47="","",IF(ISNUMBER(I47),INT(I47),IFERROR(INT(DATEVALUE(I47)),IFERROR(INT(VALUE(I47)),"bad"))))</f>
        <v/>
      </c>
      <c r="O47">
        <f>IF(J47="","",IF(ISNUMBER(J47),ROUND(J47,2),IFERROR(ROUND(VALUE(SUBSTITUTE(SUBSTITUTE(SUBSTITUTE(J47,"$",""),",","")," ","")),2),"bad")))</f>
        <v/>
      </c>
      <c r="P47">
        <f>IF(TRIM(K47)="","",IFERROR(MATCH(LOWER(TRIM(K47)),'Students'!$AH$2:$AH$701,0),IFERROR(MATCH(LOWER(TRIM(K47)),'Students'!$AF$2:$AF$701,0),IFERROR(MATCH(LOWER(TRIM(K47)),'Students'!$AG$2:$AG$701,0),""))))</f>
        <v/>
      </c>
      <c r="R47">
        <f>IF(P47="","",INDEX('Students'!$AD$2:$AD$701,P47))</f>
        <v/>
      </c>
      <c r="S47">
        <f>IF(H47="OK",O47,0)</f>
        <v/>
      </c>
      <c r="T47">
        <f>IF(H47="OK",N47,"")</f>
        <v/>
      </c>
      <c r="U47">
        <f>IF(OC_Donor=0,"",IF(INDEX('OneCause_Paste'!$A$47:$AZ$47,1,OC_Donor)="","",INDEX('OneCause_Paste'!$A$47:$AZ$47,1,OC_Donor)))</f>
        <v/>
      </c>
    </row>
    <row r="48">
      <c r="A48" s="62">
        <f>IF(H48="","",IF(ISNUMBER(N48),N48,I48))</f>
        <v/>
      </c>
      <c r="B48">
        <f>IF(H48="","",U48)</f>
        <v/>
      </c>
      <c r="C48">
        <f>IF(H48="","",IF(P48="",K48,INDEX('Students'!$A$2:$A$701,P48)))</f>
        <v/>
      </c>
      <c r="D48">
        <f>IF(OR(H48="",P48=""),"",INDEX('Students'!$B$2:$B$701,P48))</f>
        <v/>
      </c>
      <c r="E48">
        <f>IF(OR(H48="",P48=""),"",INDEX('Students'!$C$2:$C$701,P48))</f>
        <v/>
      </c>
      <c r="F48" s="48">
        <f>IF(H48="","",IF(ISNUMBER(O48),O48,J48))</f>
        <v/>
      </c>
      <c r="G48">
        <f>IF(H48="","","OneCause")</f>
        <v/>
      </c>
      <c r="H48">
        <f>IF(AND(I48="",J48="",K48=""),"",IF(NOT(ISNUMBER(O48)),"Bad amount",IF(O48&lt;0,"Refund (not counted)",IF(O48=0,"Zero amount",IF(NOT(ISNUMBER(N48)),"Bad date",IF(P48="","NAME NOT ON ROSTER",IF(L48="","OK",IF(MATCH(L48,$L$2:$L$3001,0)&lt;ROW()-1,"Duplicate (ignored)","OK"))))))))</f>
        <v/>
      </c>
      <c r="I48">
        <f>IF(OC_Date=0,"",IF(INDEX('OneCause_Paste'!$A$48:$AZ$48,1,OC_Date)="","",INDEX('OneCause_Paste'!$A$48:$AZ$48,1,OC_Date)))</f>
        <v/>
      </c>
      <c r="J48">
        <f>IF(OC_Amt=0,"",IF(INDEX('OneCause_Paste'!$A$48:$AZ$48,1,OC_Amt)="","",INDEX('OneCause_Paste'!$A$48:$AZ$48,1,OC_Amt)))</f>
        <v/>
      </c>
      <c r="K48">
        <f>IF(OC_Name=0,"",IF(INDEX('OneCause_Paste'!$A$48:$AZ$48,1,OC_Name)="","",INDEX('OneCause_Paste'!$A$48:$AZ$48,1,OC_Name)))</f>
        <v/>
      </c>
      <c r="L48">
        <f>IF(OC_Txn=0,"",IF(INDEX('OneCause_Paste'!$A$48:$AZ$48,1,OC_Txn)="","",INDEX('OneCause_Paste'!$A$48:$AZ$48,1,OC_Txn)))</f>
        <v/>
      </c>
      <c r="M48">
        <f>IF(OC_Pay=0,"",IF(INDEX('OneCause_Paste'!$A$48:$AZ$48,1,OC_Pay)="","",INDEX('OneCause_Paste'!$A$48:$AZ$48,1,OC_Pay)))</f>
        <v/>
      </c>
      <c r="N48">
        <f>IF(I48="","",IF(ISNUMBER(I48),INT(I48),IFERROR(INT(DATEVALUE(I48)),IFERROR(INT(VALUE(I48)),"bad"))))</f>
        <v/>
      </c>
      <c r="O48">
        <f>IF(J48="","",IF(ISNUMBER(J48),ROUND(J48,2),IFERROR(ROUND(VALUE(SUBSTITUTE(SUBSTITUTE(SUBSTITUTE(J48,"$",""),",","")," ","")),2),"bad")))</f>
        <v/>
      </c>
      <c r="P48">
        <f>IF(TRIM(K48)="","",IFERROR(MATCH(LOWER(TRIM(K48)),'Students'!$AH$2:$AH$701,0),IFERROR(MATCH(LOWER(TRIM(K48)),'Students'!$AF$2:$AF$701,0),IFERROR(MATCH(LOWER(TRIM(K48)),'Students'!$AG$2:$AG$701,0),""))))</f>
        <v/>
      </c>
      <c r="R48">
        <f>IF(P48="","",INDEX('Students'!$AD$2:$AD$701,P48))</f>
        <v/>
      </c>
      <c r="S48">
        <f>IF(H48="OK",O48,0)</f>
        <v/>
      </c>
      <c r="T48">
        <f>IF(H48="OK",N48,"")</f>
        <v/>
      </c>
      <c r="U48">
        <f>IF(OC_Donor=0,"",IF(INDEX('OneCause_Paste'!$A$48:$AZ$48,1,OC_Donor)="","",INDEX('OneCause_Paste'!$A$48:$AZ$48,1,OC_Donor)))</f>
        <v/>
      </c>
    </row>
    <row r="49">
      <c r="A49" s="62">
        <f>IF(H49="","",IF(ISNUMBER(N49),N49,I49))</f>
        <v/>
      </c>
      <c r="B49">
        <f>IF(H49="","",U49)</f>
        <v/>
      </c>
      <c r="C49">
        <f>IF(H49="","",IF(P49="",K49,INDEX('Students'!$A$2:$A$701,P49)))</f>
        <v/>
      </c>
      <c r="D49">
        <f>IF(OR(H49="",P49=""),"",INDEX('Students'!$B$2:$B$701,P49))</f>
        <v/>
      </c>
      <c r="E49">
        <f>IF(OR(H49="",P49=""),"",INDEX('Students'!$C$2:$C$701,P49))</f>
        <v/>
      </c>
      <c r="F49" s="48">
        <f>IF(H49="","",IF(ISNUMBER(O49),O49,J49))</f>
        <v/>
      </c>
      <c r="G49">
        <f>IF(H49="","","OneCause")</f>
        <v/>
      </c>
      <c r="H49">
        <f>IF(AND(I49="",J49="",K49=""),"",IF(NOT(ISNUMBER(O49)),"Bad amount",IF(O49&lt;0,"Refund (not counted)",IF(O49=0,"Zero amount",IF(NOT(ISNUMBER(N49)),"Bad date",IF(P49="","NAME NOT ON ROSTER",IF(L49="","OK",IF(MATCH(L49,$L$2:$L$3001,0)&lt;ROW()-1,"Duplicate (ignored)","OK"))))))))</f>
        <v/>
      </c>
      <c r="I49">
        <f>IF(OC_Date=0,"",IF(INDEX('OneCause_Paste'!$A$49:$AZ$49,1,OC_Date)="","",INDEX('OneCause_Paste'!$A$49:$AZ$49,1,OC_Date)))</f>
        <v/>
      </c>
      <c r="J49">
        <f>IF(OC_Amt=0,"",IF(INDEX('OneCause_Paste'!$A$49:$AZ$49,1,OC_Amt)="","",INDEX('OneCause_Paste'!$A$49:$AZ$49,1,OC_Amt)))</f>
        <v/>
      </c>
      <c r="K49">
        <f>IF(OC_Name=0,"",IF(INDEX('OneCause_Paste'!$A$49:$AZ$49,1,OC_Name)="","",INDEX('OneCause_Paste'!$A$49:$AZ$49,1,OC_Name)))</f>
        <v/>
      </c>
      <c r="L49">
        <f>IF(OC_Txn=0,"",IF(INDEX('OneCause_Paste'!$A$49:$AZ$49,1,OC_Txn)="","",INDEX('OneCause_Paste'!$A$49:$AZ$49,1,OC_Txn)))</f>
        <v/>
      </c>
      <c r="M49">
        <f>IF(OC_Pay=0,"",IF(INDEX('OneCause_Paste'!$A$49:$AZ$49,1,OC_Pay)="","",INDEX('OneCause_Paste'!$A$49:$AZ$49,1,OC_Pay)))</f>
        <v/>
      </c>
      <c r="N49">
        <f>IF(I49="","",IF(ISNUMBER(I49),INT(I49),IFERROR(INT(DATEVALUE(I49)),IFERROR(INT(VALUE(I49)),"bad"))))</f>
        <v/>
      </c>
      <c r="O49">
        <f>IF(J49="","",IF(ISNUMBER(J49),ROUND(J49,2),IFERROR(ROUND(VALUE(SUBSTITUTE(SUBSTITUTE(SUBSTITUTE(J49,"$",""),",","")," ","")),2),"bad")))</f>
        <v/>
      </c>
      <c r="P49">
        <f>IF(TRIM(K49)="","",IFERROR(MATCH(LOWER(TRIM(K49)),'Students'!$AH$2:$AH$701,0),IFERROR(MATCH(LOWER(TRIM(K49)),'Students'!$AF$2:$AF$701,0),IFERROR(MATCH(LOWER(TRIM(K49)),'Students'!$AG$2:$AG$701,0),""))))</f>
        <v/>
      </c>
      <c r="R49">
        <f>IF(P49="","",INDEX('Students'!$AD$2:$AD$701,P49))</f>
        <v/>
      </c>
      <c r="S49">
        <f>IF(H49="OK",O49,0)</f>
        <v/>
      </c>
      <c r="T49">
        <f>IF(H49="OK",N49,"")</f>
        <v/>
      </c>
      <c r="U49">
        <f>IF(OC_Donor=0,"",IF(INDEX('OneCause_Paste'!$A$49:$AZ$49,1,OC_Donor)="","",INDEX('OneCause_Paste'!$A$49:$AZ$49,1,OC_Donor)))</f>
        <v/>
      </c>
    </row>
    <row r="50">
      <c r="A50" s="62">
        <f>IF(H50="","",IF(ISNUMBER(N50),N50,I50))</f>
        <v/>
      </c>
      <c r="B50">
        <f>IF(H50="","",U50)</f>
        <v/>
      </c>
      <c r="C50">
        <f>IF(H50="","",IF(P50="",K50,INDEX('Students'!$A$2:$A$701,P50)))</f>
        <v/>
      </c>
      <c r="D50">
        <f>IF(OR(H50="",P50=""),"",INDEX('Students'!$B$2:$B$701,P50))</f>
        <v/>
      </c>
      <c r="E50">
        <f>IF(OR(H50="",P50=""),"",INDEX('Students'!$C$2:$C$701,P50))</f>
        <v/>
      </c>
      <c r="F50" s="48">
        <f>IF(H50="","",IF(ISNUMBER(O50),O50,J50))</f>
        <v/>
      </c>
      <c r="G50">
        <f>IF(H50="","","OneCause")</f>
        <v/>
      </c>
      <c r="H50">
        <f>IF(AND(I50="",J50="",K50=""),"",IF(NOT(ISNUMBER(O50)),"Bad amount",IF(O50&lt;0,"Refund (not counted)",IF(O50=0,"Zero amount",IF(NOT(ISNUMBER(N50)),"Bad date",IF(P50="","NAME NOT ON ROSTER",IF(L50="","OK",IF(MATCH(L50,$L$2:$L$3001,0)&lt;ROW()-1,"Duplicate (ignored)","OK"))))))))</f>
        <v/>
      </c>
      <c r="I50">
        <f>IF(OC_Date=0,"",IF(INDEX('OneCause_Paste'!$A$50:$AZ$50,1,OC_Date)="","",INDEX('OneCause_Paste'!$A$50:$AZ$50,1,OC_Date)))</f>
        <v/>
      </c>
      <c r="J50">
        <f>IF(OC_Amt=0,"",IF(INDEX('OneCause_Paste'!$A$50:$AZ$50,1,OC_Amt)="","",INDEX('OneCause_Paste'!$A$50:$AZ$50,1,OC_Amt)))</f>
        <v/>
      </c>
      <c r="K50">
        <f>IF(OC_Name=0,"",IF(INDEX('OneCause_Paste'!$A$50:$AZ$50,1,OC_Name)="","",INDEX('OneCause_Paste'!$A$50:$AZ$50,1,OC_Name)))</f>
        <v/>
      </c>
      <c r="L50">
        <f>IF(OC_Txn=0,"",IF(INDEX('OneCause_Paste'!$A$50:$AZ$50,1,OC_Txn)="","",INDEX('OneCause_Paste'!$A$50:$AZ$50,1,OC_Txn)))</f>
        <v/>
      </c>
      <c r="M50">
        <f>IF(OC_Pay=0,"",IF(INDEX('OneCause_Paste'!$A$50:$AZ$50,1,OC_Pay)="","",INDEX('OneCause_Paste'!$A$50:$AZ$50,1,OC_Pay)))</f>
        <v/>
      </c>
      <c r="N50">
        <f>IF(I50="","",IF(ISNUMBER(I50),INT(I50),IFERROR(INT(DATEVALUE(I50)),IFERROR(INT(VALUE(I50)),"bad"))))</f>
        <v/>
      </c>
      <c r="O50">
        <f>IF(J50="","",IF(ISNUMBER(J50),ROUND(J50,2),IFERROR(ROUND(VALUE(SUBSTITUTE(SUBSTITUTE(SUBSTITUTE(J50,"$",""),",","")," ","")),2),"bad")))</f>
        <v/>
      </c>
      <c r="P50">
        <f>IF(TRIM(K50)="","",IFERROR(MATCH(LOWER(TRIM(K50)),'Students'!$AH$2:$AH$701,0),IFERROR(MATCH(LOWER(TRIM(K50)),'Students'!$AF$2:$AF$701,0),IFERROR(MATCH(LOWER(TRIM(K50)),'Students'!$AG$2:$AG$701,0),""))))</f>
        <v/>
      </c>
      <c r="R50">
        <f>IF(P50="","",INDEX('Students'!$AD$2:$AD$701,P50))</f>
        <v/>
      </c>
      <c r="S50">
        <f>IF(H50="OK",O50,0)</f>
        <v/>
      </c>
      <c r="T50">
        <f>IF(H50="OK",N50,"")</f>
        <v/>
      </c>
      <c r="U50">
        <f>IF(OC_Donor=0,"",IF(INDEX('OneCause_Paste'!$A$50:$AZ$50,1,OC_Donor)="","",INDEX('OneCause_Paste'!$A$50:$AZ$50,1,OC_Donor)))</f>
        <v/>
      </c>
    </row>
    <row r="51">
      <c r="A51" s="62">
        <f>IF(H51="","",IF(ISNUMBER(N51),N51,I51))</f>
        <v/>
      </c>
      <c r="B51">
        <f>IF(H51="","",U51)</f>
        <v/>
      </c>
      <c r="C51">
        <f>IF(H51="","",IF(P51="",K51,INDEX('Students'!$A$2:$A$701,P51)))</f>
        <v/>
      </c>
      <c r="D51">
        <f>IF(OR(H51="",P51=""),"",INDEX('Students'!$B$2:$B$701,P51))</f>
        <v/>
      </c>
      <c r="E51">
        <f>IF(OR(H51="",P51=""),"",INDEX('Students'!$C$2:$C$701,P51))</f>
        <v/>
      </c>
      <c r="F51" s="48">
        <f>IF(H51="","",IF(ISNUMBER(O51),O51,J51))</f>
        <v/>
      </c>
      <c r="G51">
        <f>IF(H51="","","OneCause")</f>
        <v/>
      </c>
      <c r="H51">
        <f>IF(AND(I51="",J51="",K51=""),"",IF(NOT(ISNUMBER(O51)),"Bad amount",IF(O51&lt;0,"Refund (not counted)",IF(O51=0,"Zero amount",IF(NOT(ISNUMBER(N51)),"Bad date",IF(P51="","NAME NOT ON ROSTER",IF(L51="","OK",IF(MATCH(L51,$L$2:$L$3001,0)&lt;ROW()-1,"Duplicate (ignored)","OK"))))))))</f>
        <v/>
      </c>
      <c r="I51">
        <f>IF(OC_Date=0,"",IF(INDEX('OneCause_Paste'!$A$51:$AZ$51,1,OC_Date)="","",INDEX('OneCause_Paste'!$A$51:$AZ$51,1,OC_Date)))</f>
        <v/>
      </c>
      <c r="J51">
        <f>IF(OC_Amt=0,"",IF(INDEX('OneCause_Paste'!$A$51:$AZ$51,1,OC_Amt)="","",INDEX('OneCause_Paste'!$A$51:$AZ$51,1,OC_Amt)))</f>
        <v/>
      </c>
      <c r="K51">
        <f>IF(OC_Name=0,"",IF(INDEX('OneCause_Paste'!$A$51:$AZ$51,1,OC_Name)="","",INDEX('OneCause_Paste'!$A$51:$AZ$51,1,OC_Name)))</f>
        <v/>
      </c>
      <c r="L51">
        <f>IF(OC_Txn=0,"",IF(INDEX('OneCause_Paste'!$A$51:$AZ$51,1,OC_Txn)="","",INDEX('OneCause_Paste'!$A$51:$AZ$51,1,OC_Txn)))</f>
        <v/>
      </c>
      <c r="M51">
        <f>IF(OC_Pay=0,"",IF(INDEX('OneCause_Paste'!$A$51:$AZ$51,1,OC_Pay)="","",INDEX('OneCause_Paste'!$A$51:$AZ$51,1,OC_Pay)))</f>
        <v/>
      </c>
      <c r="N51">
        <f>IF(I51="","",IF(ISNUMBER(I51),INT(I51),IFERROR(INT(DATEVALUE(I51)),IFERROR(INT(VALUE(I51)),"bad"))))</f>
        <v/>
      </c>
      <c r="O51">
        <f>IF(J51="","",IF(ISNUMBER(J51),ROUND(J51,2),IFERROR(ROUND(VALUE(SUBSTITUTE(SUBSTITUTE(SUBSTITUTE(J51,"$",""),",","")," ","")),2),"bad")))</f>
        <v/>
      </c>
      <c r="P51">
        <f>IF(TRIM(K51)="","",IFERROR(MATCH(LOWER(TRIM(K51)),'Students'!$AH$2:$AH$701,0),IFERROR(MATCH(LOWER(TRIM(K51)),'Students'!$AF$2:$AF$701,0),IFERROR(MATCH(LOWER(TRIM(K51)),'Students'!$AG$2:$AG$701,0),""))))</f>
        <v/>
      </c>
      <c r="R51">
        <f>IF(P51="","",INDEX('Students'!$AD$2:$AD$701,P51))</f>
        <v/>
      </c>
      <c r="S51">
        <f>IF(H51="OK",O51,0)</f>
        <v/>
      </c>
      <c r="T51">
        <f>IF(H51="OK",N51,"")</f>
        <v/>
      </c>
      <c r="U51">
        <f>IF(OC_Donor=0,"",IF(INDEX('OneCause_Paste'!$A$51:$AZ$51,1,OC_Donor)="","",INDEX('OneCause_Paste'!$A$51:$AZ$51,1,OC_Donor)))</f>
        <v/>
      </c>
    </row>
    <row r="52">
      <c r="A52" s="62">
        <f>IF(H52="","",IF(ISNUMBER(N52),N52,I52))</f>
        <v/>
      </c>
      <c r="B52">
        <f>IF(H52="","",U52)</f>
        <v/>
      </c>
      <c r="C52">
        <f>IF(H52="","",IF(P52="",K52,INDEX('Students'!$A$2:$A$701,P52)))</f>
        <v/>
      </c>
      <c r="D52">
        <f>IF(OR(H52="",P52=""),"",INDEX('Students'!$B$2:$B$701,P52))</f>
        <v/>
      </c>
      <c r="E52">
        <f>IF(OR(H52="",P52=""),"",INDEX('Students'!$C$2:$C$701,P52))</f>
        <v/>
      </c>
      <c r="F52" s="48">
        <f>IF(H52="","",IF(ISNUMBER(O52),O52,J52))</f>
        <v/>
      </c>
      <c r="G52">
        <f>IF(H52="","","OneCause")</f>
        <v/>
      </c>
      <c r="H52">
        <f>IF(AND(I52="",J52="",K52=""),"",IF(NOT(ISNUMBER(O52)),"Bad amount",IF(O52&lt;0,"Refund (not counted)",IF(O52=0,"Zero amount",IF(NOT(ISNUMBER(N52)),"Bad date",IF(P52="","NAME NOT ON ROSTER",IF(L52="","OK",IF(MATCH(L52,$L$2:$L$3001,0)&lt;ROW()-1,"Duplicate (ignored)","OK"))))))))</f>
        <v/>
      </c>
      <c r="I52">
        <f>IF(OC_Date=0,"",IF(INDEX('OneCause_Paste'!$A$52:$AZ$52,1,OC_Date)="","",INDEX('OneCause_Paste'!$A$52:$AZ$52,1,OC_Date)))</f>
        <v/>
      </c>
      <c r="J52">
        <f>IF(OC_Amt=0,"",IF(INDEX('OneCause_Paste'!$A$52:$AZ$52,1,OC_Amt)="","",INDEX('OneCause_Paste'!$A$52:$AZ$52,1,OC_Amt)))</f>
        <v/>
      </c>
      <c r="K52">
        <f>IF(OC_Name=0,"",IF(INDEX('OneCause_Paste'!$A$52:$AZ$52,1,OC_Name)="","",INDEX('OneCause_Paste'!$A$52:$AZ$52,1,OC_Name)))</f>
        <v/>
      </c>
      <c r="L52">
        <f>IF(OC_Txn=0,"",IF(INDEX('OneCause_Paste'!$A$52:$AZ$52,1,OC_Txn)="","",INDEX('OneCause_Paste'!$A$52:$AZ$52,1,OC_Txn)))</f>
        <v/>
      </c>
      <c r="M52">
        <f>IF(OC_Pay=0,"",IF(INDEX('OneCause_Paste'!$A$52:$AZ$52,1,OC_Pay)="","",INDEX('OneCause_Paste'!$A$52:$AZ$52,1,OC_Pay)))</f>
        <v/>
      </c>
      <c r="N52">
        <f>IF(I52="","",IF(ISNUMBER(I52),INT(I52),IFERROR(INT(DATEVALUE(I52)),IFERROR(INT(VALUE(I52)),"bad"))))</f>
        <v/>
      </c>
      <c r="O52">
        <f>IF(J52="","",IF(ISNUMBER(J52),ROUND(J52,2),IFERROR(ROUND(VALUE(SUBSTITUTE(SUBSTITUTE(SUBSTITUTE(J52,"$",""),",","")," ","")),2),"bad")))</f>
        <v/>
      </c>
      <c r="P52">
        <f>IF(TRIM(K52)="","",IFERROR(MATCH(LOWER(TRIM(K52)),'Students'!$AH$2:$AH$701,0),IFERROR(MATCH(LOWER(TRIM(K52)),'Students'!$AF$2:$AF$701,0),IFERROR(MATCH(LOWER(TRIM(K52)),'Students'!$AG$2:$AG$701,0),""))))</f>
        <v/>
      </c>
      <c r="R52">
        <f>IF(P52="","",INDEX('Students'!$AD$2:$AD$701,P52))</f>
        <v/>
      </c>
      <c r="S52">
        <f>IF(H52="OK",O52,0)</f>
        <v/>
      </c>
      <c r="T52">
        <f>IF(H52="OK",N52,"")</f>
        <v/>
      </c>
      <c r="U52">
        <f>IF(OC_Donor=0,"",IF(INDEX('OneCause_Paste'!$A$52:$AZ$52,1,OC_Donor)="","",INDEX('OneCause_Paste'!$A$52:$AZ$52,1,OC_Donor)))</f>
        <v/>
      </c>
    </row>
    <row r="53">
      <c r="A53" s="62">
        <f>IF(H53="","",IF(ISNUMBER(N53),N53,I53))</f>
        <v/>
      </c>
      <c r="B53">
        <f>IF(H53="","",U53)</f>
        <v/>
      </c>
      <c r="C53">
        <f>IF(H53="","",IF(P53="",K53,INDEX('Students'!$A$2:$A$701,P53)))</f>
        <v/>
      </c>
      <c r="D53">
        <f>IF(OR(H53="",P53=""),"",INDEX('Students'!$B$2:$B$701,P53))</f>
        <v/>
      </c>
      <c r="E53">
        <f>IF(OR(H53="",P53=""),"",INDEX('Students'!$C$2:$C$701,P53))</f>
        <v/>
      </c>
      <c r="F53" s="48">
        <f>IF(H53="","",IF(ISNUMBER(O53),O53,J53))</f>
        <v/>
      </c>
      <c r="G53">
        <f>IF(H53="","","OneCause")</f>
        <v/>
      </c>
      <c r="H53">
        <f>IF(AND(I53="",J53="",K53=""),"",IF(NOT(ISNUMBER(O53)),"Bad amount",IF(O53&lt;0,"Refund (not counted)",IF(O53=0,"Zero amount",IF(NOT(ISNUMBER(N53)),"Bad date",IF(P53="","NAME NOT ON ROSTER",IF(L53="","OK",IF(MATCH(L53,$L$2:$L$3001,0)&lt;ROW()-1,"Duplicate (ignored)","OK"))))))))</f>
        <v/>
      </c>
      <c r="I53">
        <f>IF(OC_Date=0,"",IF(INDEX('OneCause_Paste'!$A$53:$AZ$53,1,OC_Date)="","",INDEX('OneCause_Paste'!$A$53:$AZ$53,1,OC_Date)))</f>
        <v/>
      </c>
      <c r="J53">
        <f>IF(OC_Amt=0,"",IF(INDEX('OneCause_Paste'!$A$53:$AZ$53,1,OC_Amt)="","",INDEX('OneCause_Paste'!$A$53:$AZ$53,1,OC_Amt)))</f>
        <v/>
      </c>
      <c r="K53">
        <f>IF(OC_Name=0,"",IF(INDEX('OneCause_Paste'!$A$53:$AZ$53,1,OC_Name)="","",INDEX('OneCause_Paste'!$A$53:$AZ$53,1,OC_Name)))</f>
        <v/>
      </c>
      <c r="L53">
        <f>IF(OC_Txn=0,"",IF(INDEX('OneCause_Paste'!$A$53:$AZ$53,1,OC_Txn)="","",INDEX('OneCause_Paste'!$A$53:$AZ$53,1,OC_Txn)))</f>
        <v/>
      </c>
      <c r="M53">
        <f>IF(OC_Pay=0,"",IF(INDEX('OneCause_Paste'!$A$53:$AZ$53,1,OC_Pay)="","",INDEX('OneCause_Paste'!$A$53:$AZ$53,1,OC_Pay)))</f>
        <v/>
      </c>
      <c r="N53">
        <f>IF(I53="","",IF(ISNUMBER(I53),INT(I53),IFERROR(INT(DATEVALUE(I53)),IFERROR(INT(VALUE(I53)),"bad"))))</f>
        <v/>
      </c>
      <c r="O53">
        <f>IF(J53="","",IF(ISNUMBER(J53),ROUND(J53,2),IFERROR(ROUND(VALUE(SUBSTITUTE(SUBSTITUTE(SUBSTITUTE(J53,"$",""),",","")," ","")),2),"bad")))</f>
        <v/>
      </c>
      <c r="P53">
        <f>IF(TRIM(K53)="","",IFERROR(MATCH(LOWER(TRIM(K53)),'Students'!$AH$2:$AH$701,0),IFERROR(MATCH(LOWER(TRIM(K53)),'Students'!$AF$2:$AF$701,0),IFERROR(MATCH(LOWER(TRIM(K53)),'Students'!$AG$2:$AG$701,0),""))))</f>
        <v/>
      </c>
      <c r="R53">
        <f>IF(P53="","",INDEX('Students'!$AD$2:$AD$701,P53))</f>
        <v/>
      </c>
      <c r="S53">
        <f>IF(H53="OK",O53,0)</f>
        <v/>
      </c>
      <c r="T53">
        <f>IF(H53="OK",N53,"")</f>
        <v/>
      </c>
      <c r="U53">
        <f>IF(OC_Donor=0,"",IF(INDEX('OneCause_Paste'!$A$53:$AZ$53,1,OC_Donor)="","",INDEX('OneCause_Paste'!$A$53:$AZ$53,1,OC_Donor)))</f>
        <v/>
      </c>
    </row>
    <row r="54">
      <c r="A54" s="62">
        <f>IF(H54="","",IF(ISNUMBER(N54),N54,I54))</f>
        <v/>
      </c>
      <c r="B54">
        <f>IF(H54="","",U54)</f>
        <v/>
      </c>
      <c r="C54">
        <f>IF(H54="","",IF(P54="",K54,INDEX('Students'!$A$2:$A$701,P54)))</f>
        <v/>
      </c>
      <c r="D54">
        <f>IF(OR(H54="",P54=""),"",INDEX('Students'!$B$2:$B$701,P54))</f>
        <v/>
      </c>
      <c r="E54">
        <f>IF(OR(H54="",P54=""),"",INDEX('Students'!$C$2:$C$701,P54))</f>
        <v/>
      </c>
      <c r="F54" s="48">
        <f>IF(H54="","",IF(ISNUMBER(O54),O54,J54))</f>
        <v/>
      </c>
      <c r="G54">
        <f>IF(H54="","","OneCause")</f>
        <v/>
      </c>
      <c r="H54">
        <f>IF(AND(I54="",J54="",K54=""),"",IF(NOT(ISNUMBER(O54)),"Bad amount",IF(O54&lt;0,"Refund (not counted)",IF(O54=0,"Zero amount",IF(NOT(ISNUMBER(N54)),"Bad date",IF(P54="","NAME NOT ON ROSTER",IF(L54="","OK",IF(MATCH(L54,$L$2:$L$3001,0)&lt;ROW()-1,"Duplicate (ignored)","OK"))))))))</f>
        <v/>
      </c>
      <c r="I54">
        <f>IF(OC_Date=0,"",IF(INDEX('OneCause_Paste'!$A$54:$AZ$54,1,OC_Date)="","",INDEX('OneCause_Paste'!$A$54:$AZ$54,1,OC_Date)))</f>
        <v/>
      </c>
      <c r="J54">
        <f>IF(OC_Amt=0,"",IF(INDEX('OneCause_Paste'!$A$54:$AZ$54,1,OC_Amt)="","",INDEX('OneCause_Paste'!$A$54:$AZ$54,1,OC_Amt)))</f>
        <v/>
      </c>
      <c r="K54">
        <f>IF(OC_Name=0,"",IF(INDEX('OneCause_Paste'!$A$54:$AZ$54,1,OC_Name)="","",INDEX('OneCause_Paste'!$A$54:$AZ$54,1,OC_Name)))</f>
        <v/>
      </c>
      <c r="L54">
        <f>IF(OC_Txn=0,"",IF(INDEX('OneCause_Paste'!$A$54:$AZ$54,1,OC_Txn)="","",INDEX('OneCause_Paste'!$A$54:$AZ$54,1,OC_Txn)))</f>
        <v/>
      </c>
      <c r="M54">
        <f>IF(OC_Pay=0,"",IF(INDEX('OneCause_Paste'!$A$54:$AZ$54,1,OC_Pay)="","",INDEX('OneCause_Paste'!$A$54:$AZ$54,1,OC_Pay)))</f>
        <v/>
      </c>
      <c r="N54">
        <f>IF(I54="","",IF(ISNUMBER(I54),INT(I54),IFERROR(INT(DATEVALUE(I54)),IFERROR(INT(VALUE(I54)),"bad"))))</f>
        <v/>
      </c>
      <c r="O54">
        <f>IF(J54="","",IF(ISNUMBER(J54),ROUND(J54,2),IFERROR(ROUND(VALUE(SUBSTITUTE(SUBSTITUTE(SUBSTITUTE(J54,"$",""),",","")," ","")),2),"bad")))</f>
        <v/>
      </c>
      <c r="P54">
        <f>IF(TRIM(K54)="","",IFERROR(MATCH(LOWER(TRIM(K54)),'Students'!$AH$2:$AH$701,0),IFERROR(MATCH(LOWER(TRIM(K54)),'Students'!$AF$2:$AF$701,0),IFERROR(MATCH(LOWER(TRIM(K54)),'Students'!$AG$2:$AG$701,0),""))))</f>
        <v/>
      </c>
      <c r="R54">
        <f>IF(P54="","",INDEX('Students'!$AD$2:$AD$701,P54))</f>
        <v/>
      </c>
      <c r="S54">
        <f>IF(H54="OK",O54,0)</f>
        <v/>
      </c>
      <c r="T54">
        <f>IF(H54="OK",N54,"")</f>
        <v/>
      </c>
      <c r="U54">
        <f>IF(OC_Donor=0,"",IF(INDEX('OneCause_Paste'!$A$54:$AZ$54,1,OC_Donor)="","",INDEX('OneCause_Paste'!$A$54:$AZ$54,1,OC_Donor)))</f>
        <v/>
      </c>
    </row>
    <row r="55">
      <c r="A55" s="62">
        <f>IF(H55="","",IF(ISNUMBER(N55),N55,I55))</f>
        <v/>
      </c>
      <c r="B55">
        <f>IF(H55="","",U55)</f>
        <v/>
      </c>
      <c r="C55">
        <f>IF(H55="","",IF(P55="",K55,INDEX('Students'!$A$2:$A$701,P55)))</f>
        <v/>
      </c>
      <c r="D55">
        <f>IF(OR(H55="",P55=""),"",INDEX('Students'!$B$2:$B$701,P55))</f>
        <v/>
      </c>
      <c r="E55">
        <f>IF(OR(H55="",P55=""),"",INDEX('Students'!$C$2:$C$701,P55))</f>
        <v/>
      </c>
      <c r="F55" s="48">
        <f>IF(H55="","",IF(ISNUMBER(O55),O55,J55))</f>
        <v/>
      </c>
      <c r="G55">
        <f>IF(H55="","","OneCause")</f>
        <v/>
      </c>
      <c r="H55">
        <f>IF(AND(I55="",J55="",K55=""),"",IF(NOT(ISNUMBER(O55)),"Bad amount",IF(O55&lt;0,"Refund (not counted)",IF(O55=0,"Zero amount",IF(NOT(ISNUMBER(N55)),"Bad date",IF(P55="","NAME NOT ON ROSTER",IF(L55="","OK",IF(MATCH(L55,$L$2:$L$3001,0)&lt;ROW()-1,"Duplicate (ignored)","OK"))))))))</f>
        <v/>
      </c>
      <c r="I55">
        <f>IF(OC_Date=0,"",IF(INDEX('OneCause_Paste'!$A$55:$AZ$55,1,OC_Date)="","",INDEX('OneCause_Paste'!$A$55:$AZ$55,1,OC_Date)))</f>
        <v/>
      </c>
      <c r="J55">
        <f>IF(OC_Amt=0,"",IF(INDEX('OneCause_Paste'!$A$55:$AZ$55,1,OC_Amt)="","",INDEX('OneCause_Paste'!$A$55:$AZ$55,1,OC_Amt)))</f>
        <v/>
      </c>
      <c r="K55">
        <f>IF(OC_Name=0,"",IF(INDEX('OneCause_Paste'!$A$55:$AZ$55,1,OC_Name)="","",INDEX('OneCause_Paste'!$A$55:$AZ$55,1,OC_Name)))</f>
        <v/>
      </c>
      <c r="L55">
        <f>IF(OC_Txn=0,"",IF(INDEX('OneCause_Paste'!$A$55:$AZ$55,1,OC_Txn)="","",INDEX('OneCause_Paste'!$A$55:$AZ$55,1,OC_Txn)))</f>
        <v/>
      </c>
      <c r="M55">
        <f>IF(OC_Pay=0,"",IF(INDEX('OneCause_Paste'!$A$55:$AZ$55,1,OC_Pay)="","",INDEX('OneCause_Paste'!$A$55:$AZ$55,1,OC_Pay)))</f>
        <v/>
      </c>
      <c r="N55">
        <f>IF(I55="","",IF(ISNUMBER(I55),INT(I55),IFERROR(INT(DATEVALUE(I55)),IFERROR(INT(VALUE(I55)),"bad"))))</f>
        <v/>
      </c>
      <c r="O55">
        <f>IF(J55="","",IF(ISNUMBER(J55),ROUND(J55,2),IFERROR(ROUND(VALUE(SUBSTITUTE(SUBSTITUTE(SUBSTITUTE(J55,"$",""),",","")," ","")),2),"bad")))</f>
        <v/>
      </c>
      <c r="P55">
        <f>IF(TRIM(K55)="","",IFERROR(MATCH(LOWER(TRIM(K55)),'Students'!$AH$2:$AH$701,0),IFERROR(MATCH(LOWER(TRIM(K55)),'Students'!$AF$2:$AF$701,0),IFERROR(MATCH(LOWER(TRIM(K55)),'Students'!$AG$2:$AG$701,0),""))))</f>
        <v/>
      </c>
      <c r="R55">
        <f>IF(P55="","",INDEX('Students'!$AD$2:$AD$701,P55))</f>
        <v/>
      </c>
      <c r="S55">
        <f>IF(H55="OK",O55,0)</f>
        <v/>
      </c>
      <c r="T55">
        <f>IF(H55="OK",N55,"")</f>
        <v/>
      </c>
      <c r="U55">
        <f>IF(OC_Donor=0,"",IF(INDEX('OneCause_Paste'!$A$55:$AZ$55,1,OC_Donor)="","",INDEX('OneCause_Paste'!$A$55:$AZ$55,1,OC_Donor)))</f>
        <v/>
      </c>
    </row>
    <row r="56">
      <c r="A56" s="62">
        <f>IF(H56="","",IF(ISNUMBER(N56),N56,I56))</f>
        <v/>
      </c>
      <c r="B56">
        <f>IF(H56="","",U56)</f>
        <v/>
      </c>
      <c r="C56">
        <f>IF(H56="","",IF(P56="",K56,INDEX('Students'!$A$2:$A$701,P56)))</f>
        <v/>
      </c>
      <c r="D56">
        <f>IF(OR(H56="",P56=""),"",INDEX('Students'!$B$2:$B$701,P56))</f>
        <v/>
      </c>
      <c r="E56">
        <f>IF(OR(H56="",P56=""),"",INDEX('Students'!$C$2:$C$701,P56))</f>
        <v/>
      </c>
      <c r="F56" s="48">
        <f>IF(H56="","",IF(ISNUMBER(O56),O56,J56))</f>
        <v/>
      </c>
      <c r="G56">
        <f>IF(H56="","","OneCause")</f>
        <v/>
      </c>
      <c r="H56">
        <f>IF(AND(I56="",J56="",K56=""),"",IF(NOT(ISNUMBER(O56)),"Bad amount",IF(O56&lt;0,"Refund (not counted)",IF(O56=0,"Zero amount",IF(NOT(ISNUMBER(N56)),"Bad date",IF(P56="","NAME NOT ON ROSTER",IF(L56="","OK",IF(MATCH(L56,$L$2:$L$3001,0)&lt;ROW()-1,"Duplicate (ignored)","OK"))))))))</f>
        <v/>
      </c>
      <c r="I56">
        <f>IF(OC_Date=0,"",IF(INDEX('OneCause_Paste'!$A$56:$AZ$56,1,OC_Date)="","",INDEX('OneCause_Paste'!$A$56:$AZ$56,1,OC_Date)))</f>
        <v/>
      </c>
      <c r="J56">
        <f>IF(OC_Amt=0,"",IF(INDEX('OneCause_Paste'!$A$56:$AZ$56,1,OC_Amt)="","",INDEX('OneCause_Paste'!$A$56:$AZ$56,1,OC_Amt)))</f>
        <v/>
      </c>
      <c r="K56">
        <f>IF(OC_Name=0,"",IF(INDEX('OneCause_Paste'!$A$56:$AZ$56,1,OC_Name)="","",INDEX('OneCause_Paste'!$A$56:$AZ$56,1,OC_Name)))</f>
        <v/>
      </c>
      <c r="L56">
        <f>IF(OC_Txn=0,"",IF(INDEX('OneCause_Paste'!$A$56:$AZ$56,1,OC_Txn)="","",INDEX('OneCause_Paste'!$A$56:$AZ$56,1,OC_Txn)))</f>
        <v/>
      </c>
      <c r="M56">
        <f>IF(OC_Pay=0,"",IF(INDEX('OneCause_Paste'!$A$56:$AZ$56,1,OC_Pay)="","",INDEX('OneCause_Paste'!$A$56:$AZ$56,1,OC_Pay)))</f>
        <v/>
      </c>
      <c r="N56">
        <f>IF(I56="","",IF(ISNUMBER(I56),INT(I56),IFERROR(INT(DATEVALUE(I56)),IFERROR(INT(VALUE(I56)),"bad"))))</f>
        <v/>
      </c>
      <c r="O56">
        <f>IF(J56="","",IF(ISNUMBER(J56),ROUND(J56,2),IFERROR(ROUND(VALUE(SUBSTITUTE(SUBSTITUTE(SUBSTITUTE(J56,"$",""),",","")," ","")),2),"bad")))</f>
        <v/>
      </c>
      <c r="P56">
        <f>IF(TRIM(K56)="","",IFERROR(MATCH(LOWER(TRIM(K56)),'Students'!$AH$2:$AH$701,0),IFERROR(MATCH(LOWER(TRIM(K56)),'Students'!$AF$2:$AF$701,0),IFERROR(MATCH(LOWER(TRIM(K56)),'Students'!$AG$2:$AG$701,0),""))))</f>
        <v/>
      </c>
      <c r="R56">
        <f>IF(P56="","",INDEX('Students'!$AD$2:$AD$701,P56))</f>
        <v/>
      </c>
      <c r="S56">
        <f>IF(H56="OK",O56,0)</f>
        <v/>
      </c>
      <c r="T56">
        <f>IF(H56="OK",N56,"")</f>
        <v/>
      </c>
      <c r="U56">
        <f>IF(OC_Donor=0,"",IF(INDEX('OneCause_Paste'!$A$56:$AZ$56,1,OC_Donor)="","",INDEX('OneCause_Paste'!$A$56:$AZ$56,1,OC_Donor)))</f>
        <v/>
      </c>
    </row>
    <row r="57">
      <c r="A57" s="62">
        <f>IF(H57="","",IF(ISNUMBER(N57),N57,I57))</f>
        <v/>
      </c>
      <c r="B57">
        <f>IF(H57="","",U57)</f>
        <v/>
      </c>
      <c r="C57">
        <f>IF(H57="","",IF(P57="",K57,INDEX('Students'!$A$2:$A$701,P57)))</f>
        <v/>
      </c>
      <c r="D57">
        <f>IF(OR(H57="",P57=""),"",INDEX('Students'!$B$2:$B$701,P57))</f>
        <v/>
      </c>
      <c r="E57">
        <f>IF(OR(H57="",P57=""),"",INDEX('Students'!$C$2:$C$701,P57))</f>
        <v/>
      </c>
      <c r="F57" s="48">
        <f>IF(H57="","",IF(ISNUMBER(O57),O57,J57))</f>
        <v/>
      </c>
      <c r="G57">
        <f>IF(H57="","","OneCause")</f>
        <v/>
      </c>
      <c r="H57">
        <f>IF(AND(I57="",J57="",K57=""),"",IF(NOT(ISNUMBER(O57)),"Bad amount",IF(O57&lt;0,"Refund (not counted)",IF(O57=0,"Zero amount",IF(NOT(ISNUMBER(N57)),"Bad date",IF(P57="","NAME NOT ON ROSTER",IF(L57="","OK",IF(MATCH(L57,$L$2:$L$3001,0)&lt;ROW()-1,"Duplicate (ignored)","OK"))))))))</f>
        <v/>
      </c>
      <c r="I57">
        <f>IF(OC_Date=0,"",IF(INDEX('OneCause_Paste'!$A$57:$AZ$57,1,OC_Date)="","",INDEX('OneCause_Paste'!$A$57:$AZ$57,1,OC_Date)))</f>
        <v/>
      </c>
      <c r="J57">
        <f>IF(OC_Amt=0,"",IF(INDEX('OneCause_Paste'!$A$57:$AZ$57,1,OC_Amt)="","",INDEX('OneCause_Paste'!$A$57:$AZ$57,1,OC_Amt)))</f>
        <v/>
      </c>
      <c r="K57">
        <f>IF(OC_Name=0,"",IF(INDEX('OneCause_Paste'!$A$57:$AZ$57,1,OC_Name)="","",INDEX('OneCause_Paste'!$A$57:$AZ$57,1,OC_Name)))</f>
        <v/>
      </c>
      <c r="L57">
        <f>IF(OC_Txn=0,"",IF(INDEX('OneCause_Paste'!$A$57:$AZ$57,1,OC_Txn)="","",INDEX('OneCause_Paste'!$A$57:$AZ$57,1,OC_Txn)))</f>
        <v/>
      </c>
      <c r="M57">
        <f>IF(OC_Pay=0,"",IF(INDEX('OneCause_Paste'!$A$57:$AZ$57,1,OC_Pay)="","",INDEX('OneCause_Paste'!$A$57:$AZ$57,1,OC_Pay)))</f>
        <v/>
      </c>
      <c r="N57">
        <f>IF(I57="","",IF(ISNUMBER(I57),INT(I57),IFERROR(INT(DATEVALUE(I57)),IFERROR(INT(VALUE(I57)),"bad"))))</f>
        <v/>
      </c>
      <c r="O57">
        <f>IF(J57="","",IF(ISNUMBER(J57),ROUND(J57,2),IFERROR(ROUND(VALUE(SUBSTITUTE(SUBSTITUTE(SUBSTITUTE(J57,"$",""),",","")," ","")),2),"bad")))</f>
        <v/>
      </c>
      <c r="P57">
        <f>IF(TRIM(K57)="","",IFERROR(MATCH(LOWER(TRIM(K57)),'Students'!$AH$2:$AH$701,0),IFERROR(MATCH(LOWER(TRIM(K57)),'Students'!$AF$2:$AF$701,0),IFERROR(MATCH(LOWER(TRIM(K57)),'Students'!$AG$2:$AG$701,0),""))))</f>
        <v/>
      </c>
      <c r="R57">
        <f>IF(P57="","",INDEX('Students'!$AD$2:$AD$701,P57))</f>
        <v/>
      </c>
      <c r="S57">
        <f>IF(H57="OK",O57,0)</f>
        <v/>
      </c>
      <c r="T57">
        <f>IF(H57="OK",N57,"")</f>
        <v/>
      </c>
      <c r="U57">
        <f>IF(OC_Donor=0,"",IF(INDEX('OneCause_Paste'!$A$57:$AZ$57,1,OC_Donor)="","",INDEX('OneCause_Paste'!$A$57:$AZ$57,1,OC_Donor)))</f>
        <v/>
      </c>
    </row>
    <row r="58">
      <c r="A58" s="62">
        <f>IF(H58="","",IF(ISNUMBER(N58),N58,I58))</f>
        <v/>
      </c>
      <c r="B58">
        <f>IF(H58="","",U58)</f>
        <v/>
      </c>
      <c r="C58">
        <f>IF(H58="","",IF(P58="",K58,INDEX('Students'!$A$2:$A$701,P58)))</f>
        <v/>
      </c>
      <c r="D58">
        <f>IF(OR(H58="",P58=""),"",INDEX('Students'!$B$2:$B$701,P58))</f>
        <v/>
      </c>
      <c r="E58">
        <f>IF(OR(H58="",P58=""),"",INDEX('Students'!$C$2:$C$701,P58))</f>
        <v/>
      </c>
      <c r="F58" s="48">
        <f>IF(H58="","",IF(ISNUMBER(O58),O58,J58))</f>
        <v/>
      </c>
      <c r="G58">
        <f>IF(H58="","","OneCause")</f>
        <v/>
      </c>
      <c r="H58">
        <f>IF(AND(I58="",J58="",K58=""),"",IF(NOT(ISNUMBER(O58)),"Bad amount",IF(O58&lt;0,"Refund (not counted)",IF(O58=0,"Zero amount",IF(NOT(ISNUMBER(N58)),"Bad date",IF(P58="","NAME NOT ON ROSTER",IF(L58="","OK",IF(MATCH(L58,$L$2:$L$3001,0)&lt;ROW()-1,"Duplicate (ignored)","OK"))))))))</f>
        <v/>
      </c>
      <c r="I58">
        <f>IF(OC_Date=0,"",IF(INDEX('OneCause_Paste'!$A$58:$AZ$58,1,OC_Date)="","",INDEX('OneCause_Paste'!$A$58:$AZ$58,1,OC_Date)))</f>
        <v/>
      </c>
      <c r="J58">
        <f>IF(OC_Amt=0,"",IF(INDEX('OneCause_Paste'!$A$58:$AZ$58,1,OC_Amt)="","",INDEX('OneCause_Paste'!$A$58:$AZ$58,1,OC_Amt)))</f>
        <v/>
      </c>
      <c r="K58">
        <f>IF(OC_Name=0,"",IF(INDEX('OneCause_Paste'!$A$58:$AZ$58,1,OC_Name)="","",INDEX('OneCause_Paste'!$A$58:$AZ$58,1,OC_Name)))</f>
        <v/>
      </c>
      <c r="L58">
        <f>IF(OC_Txn=0,"",IF(INDEX('OneCause_Paste'!$A$58:$AZ$58,1,OC_Txn)="","",INDEX('OneCause_Paste'!$A$58:$AZ$58,1,OC_Txn)))</f>
        <v/>
      </c>
      <c r="M58">
        <f>IF(OC_Pay=0,"",IF(INDEX('OneCause_Paste'!$A$58:$AZ$58,1,OC_Pay)="","",INDEX('OneCause_Paste'!$A$58:$AZ$58,1,OC_Pay)))</f>
        <v/>
      </c>
      <c r="N58">
        <f>IF(I58="","",IF(ISNUMBER(I58),INT(I58),IFERROR(INT(DATEVALUE(I58)),IFERROR(INT(VALUE(I58)),"bad"))))</f>
        <v/>
      </c>
      <c r="O58">
        <f>IF(J58="","",IF(ISNUMBER(J58),ROUND(J58,2),IFERROR(ROUND(VALUE(SUBSTITUTE(SUBSTITUTE(SUBSTITUTE(J58,"$",""),",","")," ","")),2),"bad")))</f>
        <v/>
      </c>
      <c r="P58">
        <f>IF(TRIM(K58)="","",IFERROR(MATCH(LOWER(TRIM(K58)),'Students'!$AH$2:$AH$701,0),IFERROR(MATCH(LOWER(TRIM(K58)),'Students'!$AF$2:$AF$701,0),IFERROR(MATCH(LOWER(TRIM(K58)),'Students'!$AG$2:$AG$701,0),""))))</f>
        <v/>
      </c>
      <c r="R58">
        <f>IF(P58="","",INDEX('Students'!$AD$2:$AD$701,P58))</f>
        <v/>
      </c>
      <c r="S58">
        <f>IF(H58="OK",O58,0)</f>
        <v/>
      </c>
      <c r="T58">
        <f>IF(H58="OK",N58,"")</f>
        <v/>
      </c>
      <c r="U58">
        <f>IF(OC_Donor=0,"",IF(INDEX('OneCause_Paste'!$A$58:$AZ$58,1,OC_Donor)="","",INDEX('OneCause_Paste'!$A$58:$AZ$58,1,OC_Donor)))</f>
        <v/>
      </c>
    </row>
    <row r="59">
      <c r="A59" s="62">
        <f>IF(H59="","",IF(ISNUMBER(N59),N59,I59))</f>
        <v/>
      </c>
      <c r="B59">
        <f>IF(H59="","",U59)</f>
        <v/>
      </c>
      <c r="C59">
        <f>IF(H59="","",IF(P59="",K59,INDEX('Students'!$A$2:$A$701,P59)))</f>
        <v/>
      </c>
      <c r="D59">
        <f>IF(OR(H59="",P59=""),"",INDEX('Students'!$B$2:$B$701,P59))</f>
        <v/>
      </c>
      <c r="E59">
        <f>IF(OR(H59="",P59=""),"",INDEX('Students'!$C$2:$C$701,P59))</f>
        <v/>
      </c>
      <c r="F59" s="48">
        <f>IF(H59="","",IF(ISNUMBER(O59),O59,J59))</f>
        <v/>
      </c>
      <c r="G59">
        <f>IF(H59="","","OneCause")</f>
        <v/>
      </c>
      <c r="H59">
        <f>IF(AND(I59="",J59="",K59=""),"",IF(NOT(ISNUMBER(O59)),"Bad amount",IF(O59&lt;0,"Refund (not counted)",IF(O59=0,"Zero amount",IF(NOT(ISNUMBER(N59)),"Bad date",IF(P59="","NAME NOT ON ROSTER",IF(L59="","OK",IF(MATCH(L59,$L$2:$L$3001,0)&lt;ROW()-1,"Duplicate (ignored)","OK"))))))))</f>
        <v/>
      </c>
      <c r="I59">
        <f>IF(OC_Date=0,"",IF(INDEX('OneCause_Paste'!$A$59:$AZ$59,1,OC_Date)="","",INDEX('OneCause_Paste'!$A$59:$AZ$59,1,OC_Date)))</f>
        <v/>
      </c>
      <c r="J59">
        <f>IF(OC_Amt=0,"",IF(INDEX('OneCause_Paste'!$A$59:$AZ$59,1,OC_Amt)="","",INDEX('OneCause_Paste'!$A$59:$AZ$59,1,OC_Amt)))</f>
        <v/>
      </c>
      <c r="K59">
        <f>IF(OC_Name=0,"",IF(INDEX('OneCause_Paste'!$A$59:$AZ$59,1,OC_Name)="","",INDEX('OneCause_Paste'!$A$59:$AZ$59,1,OC_Name)))</f>
        <v/>
      </c>
      <c r="L59">
        <f>IF(OC_Txn=0,"",IF(INDEX('OneCause_Paste'!$A$59:$AZ$59,1,OC_Txn)="","",INDEX('OneCause_Paste'!$A$59:$AZ$59,1,OC_Txn)))</f>
        <v/>
      </c>
      <c r="M59">
        <f>IF(OC_Pay=0,"",IF(INDEX('OneCause_Paste'!$A$59:$AZ$59,1,OC_Pay)="","",INDEX('OneCause_Paste'!$A$59:$AZ$59,1,OC_Pay)))</f>
        <v/>
      </c>
      <c r="N59">
        <f>IF(I59="","",IF(ISNUMBER(I59),INT(I59),IFERROR(INT(DATEVALUE(I59)),IFERROR(INT(VALUE(I59)),"bad"))))</f>
        <v/>
      </c>
      <c r="O59">
        <f>IF(J59="","",IF(ISNUMBER(J59),ROUND(J59,2),IFERROR(ROUND(VALUE(SUBSTITUTE(SUBSTITUTE(SUBSTITUTE(J59,"$",""),",","")," ","")),2),"bad")))</f>
        <v/>
      </c>
      <c r="P59">
        <f>IF(TRIM(K59)="","",IFERROR(MATCH(LOWER(TRIM(K59)),'Students'!$AH$2:$AH$701,0),IFERROR(MATCH(LOWER(TRIM(K59)),'Students'!$AF$2:$AF$701,0),IFERROR(MATCH(LOWER(TRIM(K59)),'Students'!$AG$2:$AG$701,0),""))))</f>
        <v/>
      </c>
      <c r="R59">
        <f>IF(P59="","",INDEX('Students'!$AD$2:$AD$701,P59))</f>
        <v/>
      </c>
      <c r="S59">
        <f>IF(H59="OK",O59,0)</f>
        <v/>
      </c>
      <c r="T59">
        <f>IF(H59="OK",N59,"")</f>
        <v/>
      </c>
      <c r="U59">
        <f>IF(OC_Donor=0,"",IF(INDEX('OneCause_Paste'!$A$59:$AZ$59,1,OC_Donor)="","",INDEX('OneCause_Paste'!$A$59:$AZ$59,1,OC_Donor)))</f>
        <v/>
      </c>
    </row>
    <row r="60">
      <c r="A60" s="62">
        <f>IF(H60="","",IF(ISNUMBER(N60),N60,I60))</f>
        <v/>
      </c>
      <c r="B60">
        <f>IF(H60="","",U60)</f>
        <v/>
      </c>
      <c r="C60">
        <f>IF(H60="","",IF(P60="",K60,INDEX('Students'!$A$2:$A$701,P60)))</f>
        <v/>
      </c>
      <c r="D60">
        <f>IF(OR(H60="",P60=""),"",INDEX('Students'!$B$2:$B$701,P60))</f>
        <v/>
      </c>
      <c r="E60">
        <f>IF(OR(H60="",P60=""),"",INDEX('Students'!$C$2:$C$701,P60))</f>
        <v/>
      </c>
      <c r="F60" s="48">
        <f>IF(H60="","",IF(ISNUMBER(O60),O60,J60))</f>
        <v/>
      </c>
      <c r="G60">
        <f>IF(H60="","","OneCause")</f>
        <v/>
      </c>
      <c r="H60">
        <f>IF(AND(I60="",J60="",K60=""),"",IF(NOT(ISNUMBER(O60)),"Bad amount",IF(O60&lt;0,"Refund (not counted)",IF(O60=0,"Zero amount",IF(NOT(ISNUMBER(N60)),"Bad date",IF(P60="","NAME NOT ON ROSTER",IF(L60="","OK",IF(MATCH(L60,$L$2:$L$3001,0)&lt;ROW()-1,"Duplicate (ignored)","OK"))))))))</f>
        <v/>
      </c>
      <c r="I60">
        <f>IF(OC_Date=0,"",IF(INDEX('OneCause_Paste'!$A$60:$AZ$60,1,OC_Date)="","",INDEX('OneCause_Paste'!$A$60:$AZ$60,1,OC_Date)))</f>
        <v/>
      </c>
      <c r="J60">
        <f>IF(OC_Amt=0,"",IF(INDEX('OneCause_Paste'!$A$60:$AZ$60,1,OC_Amt)="","",INDEX('OneCause_Paste'!$A$60:$AZ$60,1,OC_Amt)))</f>
        <v/>
      </c>
      <c r="K60">
        <f>IF(OC_Name=0,"",IF(INDEX('OneCause_Paste'!$A$60:$AZ$60,1,OC_Name)="","",INDEX('OneCause_Paste'!$A$60:$AZ$60,1,OC_Name)))</f>
        <v/>
      </c>
      <c r="L60">
        <f>IF(OC_Txn=0,"",IF(INDEX('OneCause_Paste'!$A$60:$AZ$60,1,OC_Txn)="","",INDEX('OneCause_Paste'!$A$60:$AZ$60,1,OC_Txn)))</f>
        <v/>
      </c>
      <c r="M60">
        <f>IF(OC_Pay=0,"",IF(INDEX('OneCause_Paste'!$A$60:$AZ$60,1,OC_Pay)="","",INDEX('OneCause_Paste'!$A$60:$AZ$60,1,OC_Pay)))</f>
        <v/>
      </c>
      <c r="N60">
        <f>IF(I60="","",IF(ISNUMBER(I60),INT(I60),IFERROR(INT(DATEVALUE(I60)),IFERROR(INT(VALUE(I60)),"bad"))))</f>
        <v/>
      </c>
      <c r="O60">
        <f>IF(J60="","",IF(ISNUMBER(J60),ROUND(J60,2),IFERROR(ROUND(VALUE(SUBSTITUTE(SUBSTITUTE(SUBSTITUTE(J60,"$",""),",","")," ","")),2),"bad")))</f>
        <v/>
      </c>
      <c r="P60">
        <f>IF(TRIM(K60)="","",IFERROR(MATCH(LOWER(TRIM(K60)),'Students'!$AH$2:$AH$701,0),IFERROR(MATCH(LOWER(TRIM(K60)),'Students'!$AF$2:$AF$701,0),IFERROR(MATCH(LOWER(TRIM(K60)),'Students'!$AG$2:$AG$701,0),""))))</f>
        <v/>
      </c>
      <c r="R60">
        <f>IF(P60="","",INDEX('Students'!$AD$2:$AD$701,P60))</f>
        <v/>
      </c>
      <c r="S60">
        <f>IF(H60="OK",O60,0)</f>
        <v/>
      </c>
      <c r="T60">
        <f>IF(H60="OK",N60,"")</f>
        <v/>
      </c>
      <c r="U60">
        <f>IF(OC_Donor=0,"",IF(INDEX('OneCause_Paste'!$A$60:$AZ$60,1,OC_Donor)="","",INDEX('OneCause_Paste'!$A$60:$AZ$60,1,OC_Donor)))</f>
        <v/>
      </c>
    </row>
    <row r="61">
      <c r="A61" s="62">
        <f>IF(H61="","",IF(ISNUMBER(N61),N61,I61))</f>
        <v/>
      </c>
      <c r="B61">
        <f>IF(H61="","",U61)</f>
        <v/>
      </c>
      <c r="C61">
        <f>IF(H61="","",IF(P61="",K61,INDEX('Students'!$A$2:$A$701,P61)))</f>
        <v/>
      </c>
      <c r="D61">
        <f>IF(OR(H61="",P61=""),"",INDEX('Students'!$B$2:$B$701,P61))</f>
        <v/>
      </c>
      <c r="E61">
        <f>IF(OR(H61="",P61=""),"",INDEX('Students'!$C$2:$C$701,P61))</f>
        <v/>
      </c>
      <c r="F61" s="48">
        <f>IF(H61="","",IF(ISNUMBER(O61),O61,J61))</f>
        <v/>
      </c>
      <c r="G61">
        <f>IF(H61="","","OneCause")</f>
        <v/>
      </c>
      <c r="H61">
        <f>IF(AND(I61="",J61="",K61=""),"",IF(NOT(ISNUMBER(O61)),"Bad amount",IF(O61&lt;0,"Refund (not counted)",IF(O61=0,"Zero amount",IF(NOT(ISNUMBER(N61)),"Bad date",IF(P61="","NAME NOT ON ROSTER",IF(L61="","OK",IF(MATCH(L61,$L$2:$L$3001,0)&lt;ROW()-1,"Duplicate (ignored)","OK"))))))))</f>
        <v/>
      </c>
      <c r="I61">
        <f>IF(OC_Date=0,"",IF(INDEX('OneCause_Paste'!$A$61:$AZ$61,1,OC_Date)="","",INDEX('OneCause_Paste'!$A$61:$AZ$61,1,OC_Date)))</f>
        <v/>
      </c>
      <c r="J61">
        <f>IF(OC_Amt=0,"",IF(INDEX('OneCause_Paste'!$A$61:$AZ$61,1,OC_Amt)="","",INDEX('OneCause_Paste'!$A$61:$AZ$61,1,OC_Amt)))</f>
        <v/>
      </c>
      <c r="K61">
        <f>IF(OC_Name=0,"",IF(INDEX('OneCause_Paste'!$A$61:$AZ$61,1,OC_Name)="","",INDEX('OneCause_Paste'!$A$61:$AZ$61,1,OC_Name)))</f>
        <v/>
      </c>
      <c r="L61">
        <f>IF(OC_Txn=0,"",IF(INDEX('OneCause_Paste'!$A$61:$AZ$61,1,OC_Txn)="","",INDEX('OneCause_Paste'!$A$61:$AZ$61,1,OC_Txn)))</f>
        <v/>
      </c>
      <c r="M61">
        <f>IF(OC_Pay=0,"",IF(INDEX('OneCause_Paste'!$A$61:$AZ$61,1,OC_Pay)="","",INDEX('OneCause_Paste'!$A$61:$AZ$61,1,OC_Pay)))</f>
        <v/>
      </c>
      <c r="N61">
        <f>IF(I61="","",IF(ISNUMBER(I61),INT(I61),IFERROR(INT(DATEVALUE(I61)),IFERROR(INT(VALUE(I61)),"bad"))))</f>
        <v/>
      </c>
      <c r="O61">
        <f>IF(J61="","",IF(ISNUMBER(J61),ROUND(J61,2),IFERROR(ROUND(VALUE(SUBSTITUTE(SUBSTITUTE(SUBSTITUTE(J61,"$",""),",","")," ","")),2),"bad")))</f>
        <v/>
      </c>
      <c r="P61">
        <f>IF(TRIM(K61)="","",IFERROR(MATCH(LOWER(TRIM(K61)),'Students'!$AH$2:$AH$701,0),IFERROR(MATCH(LOWER(TRIM(K61)),'Students'!$AF$2:$AF$701,0),IFERROR(MATCH(LOWER(TRIM(K61)),'Students'!$AG$2:$AG$701,0),""))))</f>
        <v/>
      </c>
      <c r="R61">
        <f>IF(P61="","",INDEX('Students'!$AD$2:$AD$701,P61))</f>
        <v/>
      </c>
      <c r="S61">
        <f>IF(H61="OK",O61,0)</f>
        <v/>
      </c>
      <c r="T61">
        <f>IF(H61="OK",N61,"")</f>
        <v/>
      </c>
      <c r="U61">
        <f>IF(OC_Donor=0,"",IF(INDEX('OneCause_Paste'!$A$61:$AZ$61,1,OC_Donor)="","",INDEX('OneCause_Paste'!$A$61:$AZ$61,1,OC_Donor)))</f>
        <v/>
      </c>
    </row>
    <row r="62">
      <c r="A62" s="62">
        <f>IF(H62="","",IF(ISNUMBER(N62),N62,I62))</f>
        <v/>
      </c>
      <c r="B62">
        <f>IF(H62="","",U62)</f>
        <v/>
      </c>
      <c r="C62">
        <f>IF(H62="","",IF(P62="",K62,INDEX('Students'!$A$2:$A$701,P62)))</f>
        <v/>
      </c>
      <c r="D62">
        <f>IF(OR(H62="",P62=""),"",INDEX('Students'!$B$2:$B$701,P62))</f>
        <v/>
      </c>
      <c r="E62">
        <f>IF(OR(H62="",P62=""),"",INDEX('Students'!$C$2:$C$701,P62))</f>
        <v/>
      </c>
      <c r="F62" s="48">
        <f>IF(H62="","",IF(ISNUMBER(O62),O62,J62))</f>
        <v/>
      </c>
      <c r="G62">
        <f>IF(H62="","","OneCause")</f>
        <v/>
      </c>
      <c r="H62">
        <f>IF(AND(I62="",J62="",K62=""),"",IF(NOT(ISNUMBER(O62)),"Bad amount",IF(O62&lt;0,"Refund (not counted)",IF(O62=0,"Zero amount",IF(NOT(ISNUMBER(N62)),"Bad date",IF(P62="","NAME NOT ON ROSTER",IF(L62="","OK",IF(MATCH(L62,$L$2:$L$3001,0)&lt;ROW()-1,"Duplicate (ignored)","OK"))))))))</f>
        <v/>
      </c>
      <c r="I62">
        <f>IF(OC_Date=0,"",IF(INDEX('OneCause_Paste'!$A$62:$AZ$62,1,OC_Date)="","",INDEX('OneCause_Paste'!$A$62:$AZ$62,1,OC_Date)))</f>
        <v/>
      </c>
      <c r="J62">
        <f>IF(OC_Amt=0,"",IF(INDEX('OneCause_Paste'!$A$62:$AZ$62,1,OC_Amt)="","",INDEX('OneCause_Paste'!$A$62:$AZ$62,1,OC_Amt)))</f>
        <v/>
      </c>
      <c r="K62">
        <f>IF(OC_Name=0,"",IF(INDEX('OneCause_Paste'!$A$62:$AZ$62,1,OC_Name)="","",INDEX('OneCause_Paste'!$A$62:$AZ$62,1,OC_Name)))</f>
        <v/>
      </c>
      <c r="L62">
        <f>IF(OC_Txn=0,"",IF(INDEX('OneCause_Paste'!$A$62:$AZ$62,1,OC_Txn)="","",INDEX('OneCause_Paste'!$A$62:$AZ$62,1,OC_Txn)))</f>
        <v/>
      </c>
      <c r="M62">
        <f>IF(OC_Pay=0,"",IF(INDEX('OneCause_Paste'!$A$62:$AZ$62,1,OC_Pay)="","",INDEX('OneCause_Paste'!$A$62:$AZ$62,1,OC_Pay)))</f>
        <v/>
      </c>
      <c r="N62">
        <f>IF(I62="","",IF(ISNUMBER(I62),INT(I62),IFERROR(INT(DATEVALUE(I62)),IFERROR(INT(VALUE(I62)),"bad"))))</f>
        <v/>
      </c>
      <c r="O62">
        <f>IF(J62="","",IF(ISNUMBER(J62),ROUND(J62,2),IFERROR(ROUND(VALUE(SUBSTITUTE(SUBSTITUTE(SUBSTITUTE(J62,"$",""),",","")," ","")),2),"bad")))</f>
        <v/>
      </c>
      <c r="P62">
        <f>IF(TRIM(K62)="","",IFERROR(MATCH(LOWER(TRIM(K62)),'Students'!$AH$2:$AH$701,0),IFERROR(MATCH(LOWER(TRIM(K62)),'Students'!$AF$2:$AF$701,0),IFERROR(MATCH(LOWER(TRIM(K62)),'Students'!$AG$2:$AG$701,0),""))))</f>
        <v/>
      </c>
      <c r="R62">
        <f>IF(P62="","",INDEX('Students'!$AD$2:$AD$701,P62))</f>
        <v/>
      </c>
      <c r="S62">
        <f>IF(H62="OK",O62,0)</f>
        <v/>
      </c>
      <c r="T62">
        <f>IF(H62="OK",N62,"")</f>
        <v/>
      </c>
      <c r="U62">
        <f>IF(OC_Donor=0,"",IF(INDEX('OneCause_Paste'!$A$62:$AZ$62,1,OC_Donor)="","",INDEX('OneCause_Paste'!$A$62:$AZ$62,1,OC_Donor)))</f>
        <v/>
      </c>
    </row>
    <row r="63">
      <c r="A63" s="62">
        <f>IF(H63="","",IF(ISNUMBER(N63),N63,I63))</f>
        <v/>
      </c>
      <c r="B63">
        <f>IF(H63="","",U63)</f>
        <v/>
      </c>
      <c r="C63">
        <f>IF(H63="","",IF(P63="",K63,INDEX('Students'!$A$2:$A$701,P63)))</f>
        <v/>
      </c>
      <c r="D63">
        <f>IF(OR(H63="",P63=""),"",INDEX('Students'!$B$2:$B$701,P63))</f>
        <v/>
      </c>
      <c r="E63">
        <f>IF(OR(H63="",P63=""),"",INDEX('Students'!$C$2:$C$701,P63))</f>
        <v/>
      </c>
      <c r="F63" s="48">
        <f>IF(H63="","",IF(ISNUMBER(O63),O63,J63))</f>
        <v/>
      </c>
      <c r="G63">
        <f>IF(H63="","","OneCause")</f>
        <v/>
      </c>
      <c r="H63">
        <f>IF(AND(I63="",J63="",K63=""),"",IF(NOT(ISNUMBER(O63)),"Bad amount",IF(O63&lt;0,"Refund (not counted)",IF(O63=0,"Zero amount",IF(NOT(ISNUMBER(N63)),"Bad date",IF(P63="","NAME NOT ON ROSTER",IF(L63="","OK",IF(MATCH(L63,$L$2:$L$3001,0)&lt;ROW()-1,"Duplicate (ignored)","OK"))))))))</f>
        <v/>
      </c>
      <c r="I63">
        <f>IF(OC_Date=0,"",IF(INDEX('OneCause_Paste'!$A$63:$AZ$63,1,OC_Date)="","",INDEX('OneCause_Paste'!$A$63:$AZ$63,1,OC_Date)))</f>
        <v/>
      </c>
      <c r="J63">
        <f>IF(OC_Amt=0,"",IF(INDEX('OneCause_Paste'!$A$63:$AZ$63,1,OC_Amt)="","",INDEX('OneCause_Paste'!$A$63:$AZ$63,1,OC_Amt)))</f>
        <v/>
      </c>
      <c r="K63">
        <f>IF(OC_Name=0,"",IF(INDEX('OneCause_Paste'!$A$63:$AZ$63,1,OC_Name)="","",INDEX('OneCause_Paste'!$A$63:$AZ$63,1,OC_Name)))</f>
        <v/>
      </c>
      <c r="L63">
        <f>IF(OC_Txn=0,"",IF(INDEX('OneCause_Paste'!$A$63:$AZ$63,1,OC_Txn)="","",INDEX('OneCause_Paste'!$A$63:$AZ$63,1,OC_Txn)))</f>
        <v/>
      </c>
      <c r="M63">
        <f>IF(OC_Pay=0,"",IF(INDEX('OneCause_Paste'!$A$63:$AZ$63,1,OC_Pay)="","",INDEX('OneCause_Paste'!$A$63:$AZ$63,1,OC_Pay)))</f>
        <v/>
      </c>
      <c r="N63">
        <f>IF(I63="","",IF(ISNUMBER(I63),INT(I63),IFERROR(INT(DATEVALUE(I63)),IFERROR(INT(VALUE(I63)),"bad"))))</f>
        <v/>
      </c>
      <c r="O63">
        <f>IF(J63="","",IF(ISNUMBER(J63),ROUND(J63,2),IFERROR(ROUND(VALUE(SUBSTITUTE(SUBSTITUTE(SUBSTITUTE(J63,"$",""),",","")," ","")),2),"bad")))</f>
        <v/>
      </c>
      <c r="P63">
        <f>IF(TRIM(K63)="","",IFERROR(MATCH(LOWER(TRIM(K63)),'Students'!$AH$2:$AH$701,0),IFERROR(MATCH(LOWER(TRIM(K63)),'Students'!$AF$2:$AF$701,0),IFERROR(MATCH(LOWER(TRIM(K63)),'Students'!$AG$2:$AG$701,0),""))))</f>
        <v/>
      </c>
      <c r="R63">
        <f>IF(P63="","",INDEX('Students'!$AD$2:$AD$701,P63))</f>
        <v/>
      </c>
      <c r="S63">
        <f>IF(H63="OK",O63,0)</f>
        <v/>
      </c>
      <c r="T63">
        <f>IF(H63="OK",N63,"")</f>
        <v/>
      </c>
      <c r="U63">
        <f>IF(OC_Donor=0,"",IF(INDEX('OneCause_Paste'!$A$63:$AZ$63,1,OC_Donor)="","",INDEX('OneCause_Paste'!$A$63:$AZ$63,1,OC_Donor)))</f>
        <v/>
      </c>
    </row>
    <row r="64">
      <c r="A64" s="62">
        <f>IF(H64="","",IF(ISNUMBER(N64),N64,I64))</f>
        <v/>
      </c>
      <c r="B64">
        <f>IF(H64="","",U64)</f>
        <v/>
      </c>
      <c r="C64">
        <f>IF(H64="","",IF(P64="",K64,INDEX('Students'!$A$2:$A$701,P64)))</f>
        <v/>
      </c>
      <c r="D64">
        <f>IF(OR(H64="",P64=""),"",INDEX('Students'!$B$2:$B$701,P64))</f>
        <v/>
      </c>
      <c r="E64">
        <f>IF(OR(H64="",P64=""),"",INDEX('Students'!$C$2:$C$701,P64))</f>
        <v/>
      </c>
      <c r="F64" s="48">
        <f>IF(H64="","",IF(ISNUMBER(O64),O64,J64))</f>
        <v/>
      </c>
      <c r="G64">
        <f>IF(H64="","","OneCause")</f>
        <v/>
      </c>
      <c r="H64">
        <f>IF(AND(I64="",J64="",K64=""),"",IF(NOT(ISNUMBER(O64)),"Bad amount",IF(O64&lt;0,"Refund (not counted)",IF(O64=0,"Zero amount",IF(NOT(ISNUMBER(N64)),"Bad date",IF(P64="","NAME NOT ON ROSTER",IF(L64="","OK",IF(MATCH(L64,$L$2:$L$3001,0)&lt;ROW()-1,"Duplicate (ignored)","OK"))))))))</f>
        <v/>
      </c>
      <c r="I64">
        <f>IF(OC_Date=0,"",IF(INDEX('OneCause_Paste'!$A$64:$AZ$64,1,OC_Date)="","",INDEX('OneCause_Paste'!$A$64:$AZ$64,1,OC_Date)))</f>
        <v/>
      </c>
      <c r="J64">
        <f>IF(OC_Amt=0,"",IF(INDEX('OneCause_Paste'!$A$64:$AZ$64,1,OC_Amt)="","",INDEX('OneCause_Paste'!$A$64:$AZ$64,1,OC_Amt)))</f>
        <v/>
      </c>
      <c r="K64">
        <f>IF(OC_Name=0,"",IF(INDEX('OneCause_Paste'!$A$64:$AZ$64,1,OC_Name)="","",INDEX('OneCause_Paste'!$A$64:$AZ$64,1,OC_Name)))</f>
        <v/>
      </c>
      <c r="L64">
        <f>IF(OC_Txn=0,"",IF(INDEX('OneCause_Paste'!$A$64:$AZ$64,1,OC_Txn)="","",INDEX('OneCause_Paste'!$A$64:$AZ$64,1,OC_Txn)))</f>
        <v/>
      </c>
      <c r="M64">
        <f>IF(OC_Pay=0,"",IF(INDEX('OneCause_Paste'!$A$64:$AZ$64,1,OC_Pay)="","",INDEX('OneCause_Paste'!$A$64:$AZ$64,1,OC_Pay)))</f>
        <v/>
      </c>
      <c r="N64">
        <f>IF(I64="","",IF(ISNUMBER(I64),INT(I64),IFERROR(INT(DATEVALUE(I64)),IFERROR(INT(VALUE(I64)),"bad"))))</f>
        <v/>
      </c>
      <c r="O64">
        <f>IF(J64="","",IF(ISNUMBER(J64),ROUND(J64,2),IFERROR(ROUND(VALUE(SUBSTITUTE(SUBSTITUTE(SUBSTITUTE(J64,"$",""),",","")," ","")),2),"bad")))</f>
        <v/>
      </c>
      <c r="P64">
        <f>IF(TRIM(K64)="","",IFERROR(MATCH(LOWER(TRIM(K64)),'Students'!$AH$2:$AH$701,0),IFERROR(MATCH(LOWER(TRIM(K64)),'Students'!$AF$2:$AF$701,0),IFERROR(MATCH(LOWER(TRIM(K64)),'Students'!$AG$2:$AG$701,0),""))))</f>
        <v/>
      </c>
      <c r="R64">
        <f>IF(P64="","",INDEX('Students'!$AD$2:$AD$701,P64))</f>
        <v/>
      </c>
      <c r="S64">
        <f>IF(H64="OK",O64,0)</f>
        <v/>
      </c>
      <c r="T64">
        <f>IF(H64="OK",N64,"")</f>
        <v/>
      </c>
      <c r="U64">
        <f>IF(OC_Donor=0,"",IF(INDEX('OneCause_Paste'!$A$64:$AZ$64,1,OC_Donor)="","",INDEX('OneCause_Paste'!$A$64:$AZ$64,1,OC_Donor)))</f>
        <v/>
      </c>
    </row>
    <row r="65">
      <c r="A65" s="62">
        <f>IF(H65="","",IF(ISNUMBER(N65),N65,I65))</f>
        <v/>
      </c>
      <c r="B65">
        <f>IF(H65="","",U65)</f>
        <v/>
      </c>
      <c r="C65">
        <f>IF(H65="","",IF(P65="",K65,INDEX('Students'!$A$2:$A$701,P65)))</f>
        <v/>
      </c>
      <c r="D65">
        <f>IF(OR(H65="",P65=""),"",INDEX('Students'!$B$2:$B$701,P65))</f>
        <v/>
      </c>
      <c r="E65">
        <f>IF(OR(H65="",P65=""),"",INDEX('Students'!$C$2:$C$701,P65))</f>
        <v/>
      </c>
      <c r="F65" s="48">
        <f>IF(H65="","",IF(ISNUMBER(O65),O65,J65))</f>
        <v/>
      </c>
      <c r="G65">
        <f>IF(H65="","","OneCause")</f>
        <v/>
      </c>
      <c r="H65">
        <f>IF(AND(I65="",J65="",K65=""),"",IF(NOT(ISNUMBER(O65)),"Bad amount",IF(O65&lt;0,"Refund (not counted)",IF(O65=0,"Zero amount",IF(NOT(ISNUMBER(N65)),"Bad date",IF(P65="","NAME NOT ON ROSTER",IF(L65="","OK",IF(MATCH(L65,$L$2:$L$3001,0)&lt;ROW()-1,"Duplicate (ignored)","OK"))))))))</f>
        <v/>
      </c>
      <c r="I65">
        <f>IF(OC_Date=0,"",IF(INDEX('OneCause_Paste'!$A$65:$AZ$65,1,OC_Date)="","",INDEX('OneCause_Paste'!$A$65:$AZ$65,1,OC_Date)))</f>
        <v/>
      </c>
      <c r="J65">
        <f>IF(OC_Amt=0,"",IF(INDEX('OneCause_Paste'!$A$65:$AZ$65,1,OC_Amt)="","",INDEX('OneCause_Paste'!$A$65:$AZ$65,1,OC_Amt)))</f>
        <v/>
      </c>
      <c r="K65">
        <f>IF(OC_Name=0,"",IF(INDEX('OneCause_Paste'!$A$65:$AZ$65,1,OC_Name)="","",INDEX('OneCause_Paste'!$A$65:$AZ$65,1,OC_Name)))</f>
        <v/>
      </c>
      <c r="L65">
        <f>IF(OC_Txn=0,"",IF(INDEX('OneCause_Paste'!$A$65:$AZ$65,1,OC_Txn)="","",INDEX('OneCause_Paste'!$A$65:$AZ$65,1,OC_Txn)))</f>
        <v/>
      </c>
      <c r="M65">
        <f>IF(OC_Pay=0,"",IF(INDEX('OneCause_Paste'!$A$65:$AZ$65,1,OC_Pay)="","",INDEX('OneCause_Paste'!$A$65:$AZ$65,1,OC_Pay)))</f>
        <v/>
      </c>
      <c r="N65">
        <f>IF(I65="","",IF(ISNUMBER(I65),INT(I65),IFERROR(INT(DATEVALUE(I65)),IFERROR(INT(VALUE(I65)),"bad"))))</f>
        <v/>
      </c>
      <c r="O65">
        <f>IF(J65="","",IF(ISNUMBER(J65),ROUND(J65,2),IFERROR(ROUND(VALUE(SUBSTITUTE(SUBSTITUTE(SUBSTITUTE(J65,"$",""),",","")," ","")),2),"bad")))</f>
        <v/>
      </c>
      <c r="P65">
        <f>IF(TRIM(K65)="","",IFERROR(MATCH(LOWER(TRIM(K65)),'Students'!$AH$2:$AH$701,0),IFERROR(MATCH(LOWER(TRIM(K65)),'Students'!$AF$2:$AF$701,0),IFERROR(MATCH(LOWER(TRIM(K65)),'Students'!$AG$2:$AG$701,0),""))))</f>
        <v/>
      </c>
      <c r="R65">
        <f>IF(P65="","",INDEX('Students'!$AD$2:$AD$701,P65))</f>
        <v/>
      </c>
      <c r="S65">
        <f>IF(H65="OK",O65,0)</f>
        <v/>
      </c>
      <c r="T65">
        <f>IF(H65="OK",N65,"")</f>
        <v/>
      </c>
      <c r="U65">
        <f>IF(OC_Donor=0,"",IF(INDEX('OneCause_Paste'!$A$65:$AZ$65,1,OC_Donor)="","",INDEX('OneCause_Paste'!$A$65:$AZ$65,1,OC_Donor)))</f>
        <v/>
      </c>
    </row>
    <row r="66">
      <c r="A66" s="62">
        <f>IF(H66="","",IF(ISNUMBER(N66),N66,I66))</f>
        <v/>
      </c>
      <c r="B66">
        <f>IF(H66="","",U66)</f>
        <v/>
      </c>
      <c r="C66">
        <f>IF(H66="","",IF(P66="",K66,INDEX('Students'!$A$2:$A$701,P66)))</f>
        <v/>
      </c>
      <c r="D66">
        <f>IF(OR(H66="",P66=""),"",INDEX('Students'!$B$2:$B$701,P66))</f>
        <v/>
      </c>
      <c r="E66">
        <f>IF(OR(H66="",P66=""),"",INDEX('Students'!$C$2:$C$701,P66))</f>
        <v/>
      </c>
      <c r="F66" s="48">
        <f>IF(H66="","",IF(ISNUMBER(O66),O66,J66))</f>
        <v/>
      </c>
      <c r="G66">
        <f>IF(H66="","","OneCause")</f>
        <v/>
      </c>
      <c r="H66">
        <f>IF(AND(I66="",J66="",K66=""),"",IF(NOT(ISNUMBER(O66)),"Bad amount",IF(O66&lt;0,"Refund (not counted)",IF(O66=0,"Zero amount",IF(NOT(ISNUMBER(N66)),"Bad date",IF(P66="","NAME NOT ON ROSTER",IF(L66="","OK",IF(MATCH(L66,$L$2:$L$3001,0)&lt;ROW()-1,"Duplicate (ignored)","OK"))))))))</f>
        <v/>
      </c>
      <c r="I66">
        <f>IF(OC_Date=0,"",IF(INDEX('OneCause_Paste'!$A$66:$AZ$66,1,OC_Date)="","",INDEX('OneCause_Paste'!$A$66:$AZ$66,1,OC_Date)))</f>
        <v/>
      </c>
      <c r="J66">
        <f>IF(OC_Amt=0,"",IF(INDEX('OneCause_Paste'!$A$66:$AZ$66,1,OC_Amt)="","",INDEX('OneCause_Paste'!$A$66:$AZ$66,1,OC_Amt)))</f>
        <v/>
      </c>
      <c r="K66">
        <f>IF(OC_Name=0,"",IF(INDEX('OneCause_Paste'!$A$66:$AZ$66,1,OC_Name)="","",INDEX('OneCause_Paste'!$A$66:$AZ$66,1,OC_Name)))</f>
        <v/>
      </c>
      <c r="L66">
        <f>IF(OC_Txn=0,"",IF(INDEX('OneCause_Paste'!$A$66:$AZ$66,1,OC_Txn)="","",INDEX('OneCause_Paste'!$A$66:$AZ$66,1,OC_Txn)))</f>
        <v/>
      </c>
      <c r="M66">
        <f>IF(OC_Pay=0,"",IF(INDEX('OneCause_Paste'!$A$66:$AZ$66,1,OC_Pay)="","",INDEX('OneCause_Paste'!$A$66:$AZ$66,1,OC_Pay)))</f>
        <v/>
      </c>
      <c r="N66">
        <f>IF(I66="","",IF(ISNUMBER(I66),INT(I66),IFERROR(INT(DATEVALUE(I66)),IFERROR(INT(VALUE(I66)),"bad"))))</f>
        <v/>
      </c>
      <c r="O66">
        <f>IF(J66="","",IF(ISNUMBER(J66),ROUND(J66,2),IFERROR(ROUND(VALUE(SUBSTITUTE(SUBSTITUTE(SUBSTITUTE(J66,"$",""),",","")," ","")),2),"bad")))</f>
        <v/>
      </c>
      <c r="P66">
        <f>IF(TRIM(K66)="","",IFERROR(MATCH(LOWER(TRIM(K66)),'Students'!$AH$2:$AH$701,0),IFERROR(MATCH(LOWER(TRIM(K66)),'Students'!$AF$2:$AF$701,0),IFERROR(MATCH(LOWER(TRIM(K66)),'Students'!$AG$2:$AG$701,0),""))))</f>
        <v/>
      </c>
      <c r="R66">
        <f>IF(P66="","",INDEX('Students'!$AD$2:$AD$701,P66))</f>
        <v/>
      </c>
      <c r="S66">
        <f>IF(H66="OK",O66,0)</f>
        <v/>
      </c>
      <c r="T66">
        <f>IF(H66="OK",N66,"")</f>
        <v/>
      </c>
      <c r="U66">
        <f>IF(OC_Donor=0,"",IF(INDEX('OneCause_Paste'!$A$66:$AZ$66,1,OC_Donor)="","",INDEX('OneCause_Paste'!$A$66:$AZ$66,1,OC_Donor)))</f>
        <v/>
      </c>
    </row>
    <row r="67">
      <c r="A67" s="62">
        <f>IF(H67="","",IF(ISNUMBER(N67),N67,I67))</f>
        <v/>
      </c>
      <c r="B67">
        <f>IF(H67="","",U67)</f>
        <v/>
      </c>
      <c r="C67">
        <f>IF(H67="","",IF(P67="",K67,INDEX('Students'!$A$2:$A$701,P67)))</f>
        <v/>
      </c>
      <c r="D67">
        <f>IF(OR(H67="",P67=""),"",INDEX('Students'!$B$2:$B$701,P67))</f>
        <v/>
      </c>
      <c r="E67">
        <f>IF(OR(H67="",P67=""),"",INDEX('Students'!$C$2:$C$701,P67))</f>
        <v/>
      </c>
      <c r="F67" s="48">
        <f>IF(H67="","",IF(ISNUMBER(O67),O67,J67))</f>
        <v/>
      </c>
      <c r="G67">
        <f>IF(H67="","","OneCause")</f>
        <v/>
      </c>
      <c r="H67">
        <f>IF(AND(I67="",J67="",K67=""),"",IF(NOT(ISNUMBER(O67)),"Bad amount",IF(O67&lt;0,"Refund (not counted)",IF(O67=0,"Zero amount",IF(NOT(ISNUMBER(N67)),"Bad date",IF(P67="","NAME NOT ON ROSTER",IF(L67="","OK",IF(MATCH(L67,$L$2:$L$3001,0)&lt;ROW()-1,"Duplicate (ignored)","OK"))))))))</f>
        <v/>
      </c>
      <c r="I67">
        <f>IF(OC_Date=0,"",IF(INDEX('OneCause_Paste'!$A$67:$AZ$67,1,OC_Date)="","",INDEX('OneCause_Paste'!$A$67:$AZ$67,1,OC_Date)))</f>
        <v/>
      </c>
      <c r="J67">
        <f>IF(OC_Amt=0,"",IF(INDEX('OneCause_Paste'!$A$67:$AZ$67,1,OC_Amt)="","",INDEX('OneCause_Paste'!$A$67:$AZ$67,1,OC_Amt)))</f>
        <v/>
      </c>
      <c r="K67">
        <f>IF(OC_Name=0,"",IF(INDEX('OneCause_Paste'!$A$67:$AZ$67,1,OC_Name)="","",INDEX('OneCause_Paste'!$A$67:$AZ$67,1,OC_Name)))</f>
        <v/>
      </c>
      <c r="L67">
        <f>IF(OC_Txn=0,"",IF(INDEX('OneCause_Paste'!$A$67:$AZ$67,1,OC_Txn)="","",INDEX('OneCause_Paste'!$A$67:$AZ$67,1,OC_Txn)))</f>
        <v/>
      </c>
      <c r="M67">
        <f>IF(OC_Pay=0,"",IF(INDEX('OneCause_Paste'!$A$67:$AZ$67,1,OC_Pay)="","",INDEX('OneCause_Paste'!$A$67:$AZ$67,1,OC_Pay)))</f>
        <v/>
      </c>
      <c r="N67">
        <f>IF(I67="","",IF(ISNUMBER(I67),INT(I67),IFERROR(INT(DATEVALUE(I67)),IFERROR(INT(VALUE(I67)),"bad"))))</f>
        <v/>
      </c>
      <c r="O67">
        <f>IF(J67="","",IF(ISNUMBER(J67),ROUND(J67,2),IFERROR(ROUND(VALUE(SUBSTITUTE(SUBSTITUTE(SUBSTITUTE(J67,"$",""),",","")," ","")),2),"bad")))</f>
        <v/>
      </c>
      <c r="P67">
        <f>IF(TRIM(K67)="","",IFERROR(MATCH(LOWER(TRIM(K67)),'Students'!$AH$2:$AH$701,0),IFERROR(MATCH(LOWER(TRIM(K67)),'Students'!$AF$2:$AF$701,0),IFERROR(MATCH(LOWER(TRIM(K67)),'Students'!$AG$2:$AG$701,0),""))))</f>
        <v/>
      </c>
      <c r="R67">
        <f>IF(P67="","",INDEX('Students'!$AD$2:$AD$701,P67))</f>
        <v/>
      </c>
      <c r="S67">
        <f>IF(H67="OK",O67,0)</f>
        <v/>
      </c>
      <c r="T67">
        <f>IF(H67="OK",N67,"")</f>
        <v/>
      </c>
      <c r="U67">
        <f>IF(OC_Donor=0,"",IF(INDEX('OneCause_Paste'!$A$67:$AZ$67,1,OC_Donor)="","",INDEX('OneCause_Paste'!$A$67:$AZ$67,1,OC_Donor)))</f>
        <v/>
      </c>
    </row>
    <row r="68">
      <c r="A68" s="62">
        <f>IF(H68="","",IF(ISNUMBER(N68),N68,I68))</f>
        <v/>
      </c>
      <c r="B68">
        <f>IF(H68="","",U68)</f>
        <v/>
      </c>
      <c r="C68">
        <f>IF(H68="","",IF(P68="",K68,INDEX('Students'!$A$2:$A$701,P68)))</f>
        <v/>
      </c>
      <c r="D68">
        <f>IF(OR(H68="",P68=""),"",INDEX('Students'!$B$2:$B$701,P68))</f>
        <v/>
      </c>
      <c r="E68">
        <f>IF(OR(H68="",P68=""),"",INDEX('Students'!$C$2:$C$701,P68))</f>
        <v/>
      </c>
      <c r="F68" s="48">
        <f>IF(H68="","",IF(ISNUMBER(O68),O68,J68))</f>
        <v/>
      </c>
      <c r="G68">
        <f>IF(H68="","","OneCause")</f>
        <v/>
      </c>
      <c r="H68">
        <f>IF(AND(I68="",J68="",K68=""),"",IF(NOT(ISNUMBER(O68)),"Bad amount",IF(O68&lt;0,"Refund (not counted)",IF(O68=0,"Zero amount",IF(NOT(ISNUMBER(N68)),"Bad date",IF(P68="","NAME NOT ON ROSTER",IF(L68="","OK",IF(MATCH(L68,$L$2:$L$3001,0)&lt;ROW()-1,"Duplicate (ignored)","OK"))))))))</f>
        <v/>
      </c>
      <c r="I68">
        <f>IF(OC_Date=0,"",IF(INDEX('OneCause_Paste'!$A$68:$AZ$68,1,OC_Date)="","",INDEX('OneCause_Paste'!$A$68:$AZ$68,1,OC_Date)))</f>
        <v/>
      </c>
      <c r="J68">
        <f>IF(OC_Amt=0,"",IF(INDEX('OneCause_Paste'!$A$68:$AZ$68,1,OC_Amt)="","",INDEX('OneCause_Paste'!$A$68:$AZ$68,1,OC_Amt)))</f>
        <v/>
      </c>
      <c r="K68">
        <f>IF(OC_Name=0,"",IF(INDEX('OneCause_Paste'!$A$68:$AZ$68,1,OC_Name)="","",INDEX('OneCause_Paste'!$A$68:$AZ$68,1,OC_Name)))</f>
        <v/>
      </c>
      <c r="L68">
        <f>IF(OC_Txn=0,"",IF(INDEX('OneCause_Paste'!$A$68:$AZ$68,1,OC_Txn)="","",INDEX('OneCause_Paste'!$A$68:$AZ$68,1,OC_Txn)))</f>
        <v/>
      </c>
      <c r="M68">
        <f>IF(OC_Pay=0,"",IF(INDEX('OneCause_Paste'!$A$68:$AZ$68,1,OC_Pay)="","",INDEX('OneCause_Paste'!$A$68:$AZ$68,1,OC_Pay)))</f>
        <v/>
      </c>
      <c r="N68">
        <f>IF(I68="","",IF(ISNUMBER(I68),INT(I68),IFERROR(INT(DATEVALUE(I68)),IFERROR(INT(VALUE(I68)),"bad"))))</f>
        <v/>
      </c>
      <c r="O68">
        <f>IF(J68="","",IF(ISNUMBER(J68),ROUND(J68,2),IFERROR(ROUND(VALUE(SUBSTITUTE(SUBSTITUTE(SUBSTITUTE(J68,"$",""),",","")," ","")),2),"bad")))</f>
        <v/>
      </c>
      <c r="P68">
        <f>IF(TRIM(K68)="","",IFERROR(MATCH(LOWER(TRIM(K68)),'Students'!$AH$2:$AH$701,0),IFERROR(MATCH(LOWER(TRIM(K68)),'Students'!$AF$2:$AF$701,0),IFERROR(MATCH(LOWER(TRIM(K68)),'Students'!$AG$2:$AG$701,0),""))))</f>
        <v/>
      </c>
      <c r="R68">
        <f>IF(P68="","",INDEX('Students'!$AD$2:$AD$701,P68))</f>
        <v/>
      </c>
      <c r="S68">
        <f>IF(H68="OK",O68,0)</f>
        <v/>
      </c>
      <c r="T68">
        <f>IF(H68="OK",N68,"")</f>
        <v/>
      </c>
      <c r="U68">
        <f>IF(OC_Donor=0,"",IF(INDEX('OneCause_Paste'!$A$68:$AZ$68,1,OC_Donor)="","",INDEX('OneCause_Paste'!$A$68:$AZ$68,1,OC_Donor)))</f>
        <v/>
      </c>
    </row>
    <row r="69">
      <c r="A69" s="62">
        <f>IF(H69="","",IF(ISNUMBER(N69),N69,I69))</f>
        <v/>
      </c>
      <c r="B69">
        <f>IF(H69="","",U69)</f>
        <v/>
      </c>
      <c r="C69">
        <f>IF(H69="","",IF(P69="",K69,INDEX('Students'!$A$2:$A$701,P69)))</f>
        <v/>
      </c>
      <c r="D69">
        <f>IF(OR(H69="",P69=""),"",INDEX('Students'!$B$2:$B$701,P69))</f>
        <v/>
      </c>
      <c r="E69">
        <f>IF(OR(H69="",P69=""),"",INDEX('Students'!$C$2:$C$701,P69))</f>
        <v/>
      </c>
      <c r="F69" s="48">
        <f>IF(H69="","",IF(ISNUMBER(O69),O69,J69))</f>
        <v/>
      </c>
      <c r="G69">
        <f>IF(H69="","","OneCause")</f>
        <v/>
      </c>
      <c r="H69">
        <f>IF(AND(I69="",J69="",K69=""),"",IF(NOT(ISNUMBER(O69)),"Bad amount",IF(O69&lt;0,"Refund (not counted)",IF(O69=0,"Zero amount",IF(NOT(ISNUMBER(N69)),"Bad date",IF(P69="","NAME NOT ON ROSTER",IF(L69="","OK",IF(MATCH(L69,$L$2:$L$3001,0)&lt;ROW()-1,"Duplicate (ignored)","OK"))))))))</f>
        <v/>
      </c>
      <c r="I69">
        <f>IF(OC_Date=0,"",IF(INDEX('OneCause_Paste'!$A$69:$AZ$69,1,OC_Date)="","",INDEX('OneCause_Paste'!$A$69:$AZ$69,1,OC_Date)))</f>
        <v/>
      </c>
      <c r="J69">
        <f>IF(OC_Amt=0,"",IF(INDEX('OneCause_Paste'!$A$69:$AZ$69,1,OC_Amt)="","",INDEX('OneCause_Paste'!$A$69:$AZ$69,1,OC_Amt)))</f>
        <v/>
      </c>
      <c r="K69">
        <f>IF(OC_Name=0,"",IF(INDEX('OneCause_Paste'!$A$69:$AZ$69,1,OC_Name)="","",INDEX('OneCause_Paste'!$A$69:$AZ$69,1,OC_Name)))</f>
        <v/>
      </c>
      <c r="L69">
        <f>IF(OC_Txn=0,"",IF(INDEX('OneCause_Paste'!$A$69:$AZ$69,1,OC_Txn)="","",INDEX('OneCause_Paste'!$A$69:$AZ$69,1,OC_Txn)))</f>
        <v/>
      </c>
      <c r="M69">
        <f>IF(OC_Pay=0,"",IF(INDEX('OneCause_Paste'!$A$69:$AZ$69,1,OC_Pay)="","",INDEX('OneCause_Paste'!$A$69:$AZ$69,1,OC_Pay)))</f>
        <v/>
      </c>
      <c r="N69">
        <f>IF(I69="","",IF(ISNUMBER(I69),INT(I69),IFERROR(INT(DATEVALUE(I69)),IFERROR(INT(VALUE(I69)),"bad"))))</f>
        <v/>
      </c>
      <c r="O69">
        <f>IF(J69="","",IF(ISNUMBER(J69),ROUND(J69,2),IFERROR(ROUND(VALUE(SUBSTITUTE(SUBSTITUTE(SUBSTITUTE(J69,"$",""),",","")," ","")),2),"bad")))</f>
        <v/>
      </c>
      <c r="P69">
        <f>IF(TRIM(K69)="","",IFERROR(MATCH(LOWER(TRIM(K69)),'Students'!$AH$2:$AH$701,0),IFERROR(MATCH(LOWER(TRIM(K69)),'Students'!$AF$2:$AF$701,0),IFERROR(MATCH(LOWER(TRIM(K69)),'Students'!$AG$2:$AG$701,0),""))))</f>
        <v/>
      </c>
      <c r="R69">
        <f>IF(P69="","",INDEX('Students'!$AD$2:$AD$701,P69))</f>
        <v/>
      </c>
      <c r="S69">
        <f>IF(H69="OK",O69,0)</f>
        <v/>
      </c>
      <c r="T69">
        <f>IF(H69="OK",N69,"")</f>
        <v/>
      </c>
      <c r="U69">
        <f>IF(OC_Donor=0,"",IF(INDEX('OneCause_Paste'!$A$69:$AZ$69,1,OC_Donor)="","",INDEX('OneCause_Paste'!$A$69:$AZ$69,1,OC_Donor)))</f>
        <v/>
      </c>
    </row>
    <row r="70">
      <c r="A70" s="62">
        <f>IF(H70="","",IF(ISNUMBER(N70),N70,I70))</f>
        <v/>
      </c>
      <c r="B70">
        <f>IF(H70="","",U70)</f>
        <v/>
      </c>
      <c r="C70">
        <f>IF(H70="","",IF(P70="",K70,INDEX('Students'!$A$2:$A$701,P70)))</f>
        <v/>
      </c>
      <c r="D70">
        <f>IF(OR(H70="",P70=""),"",INDEX('Students'!$B$2:$B$701,P70))</f>
        <v/>
      </c>
      <c r="E70">
        <f>IF(OR(H70="",P70=""),"",INDEX('Students'!$C$2:$C$701,P70))</f>
        <v/>
      </c>
      <c r="F70" s="48">
        <f>IF(H70="","",IF(ISNUMBER(O70),O70,J70))</f>
        <v/>
      </c>
      <c r="G70">
        <f>IF(H70="","","OneCause")</f>
        <v/>
      </c>
      <c r="H70">
        <f>IF(AND(I70="",J70="",K70=""),"",IF(NOT(ISNUMBER(O70)),"Bad amount",IF(O70&lt;0,"Refund (not counted)",IF(O70=0,"Zero amount",IF(NOT(ISNUMBER(N70)),"Bad date",IF(P70="","NAME NOT ON ROSTER",IF(L70="","OK",IF(MATCH(L70,$L$2:$L$3001,0)&lt;ROW()-1,"Duplicate (ignored)","OK"))))))))</f>
        <v/>
      </c>
      <c r="I70">
        <f>IF(OC_Date=0,"",IF(INDEX('OneCause_Paste'!$A$70:$AZ$70,1,OC_Date)="","",INDEX('OneCause_Paste'!$A$70:$AZ$70,1,OC_Date)))</f>
        <v/>
      </c>
      <c r="J70">
        <f>IF(OC_Amt=0,"",IF(INDEX('OneCause_Paste'!$A$70:$AZ$70,1,OC_Amt)="","",INDEX('OneCause_Paste'!$A$70:$AZ$70,1,OC_Amt)))</f>
        <v/>
      </c>
      <c r="K70">
        <f>IF(OC_Name=0,"",IF(INDEX('OneCause_Paste'!$A$70:$AZ$70,1,OC_Name)="","",INDEX('OneCause_Paste'!$A$70:$AZ$70,1,OC_Name)))</f>
        <v/>
      </c>
      <c r="L70">
        <f>IF(OC_Txn=0,"",IF(INDEX('OneCause_Paste'!$A$70:$AZ$70,1,OC_Txn)="","",INDEX('OneCause_Paste'!$A$70:$AZ$70,1,OC_Txn)))</f>
        <v/>
      </c>
      <c r="M70">
        <f>IF(OC_Pay=0,"",IF(INDEX('OneCause_Paste'!$A$70:$AZ$70,1,OC_Pay)="","",INDEX('OneCause_Paste'!$A$70:$AZ$70,1,OC_Pay)))</f>
        <v/>
      </c>
      <c r="N70">
        <f>IF(I70="","",IF(ISNUMBER(I70),INT(I70),IFERROR(INT(DATEVALUE(I70)),IFERROR(INT(VALUE(I70)),"bad"))))</f>
        <v/>
      </c>
      <c r="O70">
        <f>IF(J70="","",IF(ISNUMBER(J70),ROUND(J70,2),IFERROR(ROUND(VALUE(SUBSTITUTE(SUBSTITUTE(SUBSTITUTE(J70,"$",""),",","")," ","")),2),"bad")))</f>
        <v/>
      </c>
      <c r="P70">
        <f>IF(TRIM(K70)="","",IFERROR(MATCH(LOWER(TRIM(K70)),'Students'!$AH$2:$AH$701,0),IFERROR(MATCH(LOWER(TRIM(K70)),'Students'!$AF$2:$AF$701,0),IFERROR(MATCH(LOWER(TRIM(K70)),'Students'!$AG$2:$AG$701,0),""))))</f>
        <v/>
      </c>
      <c r="R70">
        <f>IF(P70="","",INDEX('Students'!$AD$2:$AD$701,P70))</f>
        <v/>
      </c>
      <c r="S70">
        <f>IF(H70="OK",O70,0)</f>
        <v/>
      </c>
      <c r="T70">
        <f>IF(H70="OK",N70,"")</f>
        <v/>
      </c>
      <c r="U70">
        <f>IF(OC_Donor=0,"",IF(INDEX('OneCause_Paste'!$A$70:$AZ$70,1,OC_Donor)="","",INDEX('OneCause_Paste'!$A$70:$AZ$70,1,OC_Donor)))</f>
        <v/>
      </c>
    </row>
    <row r="71">
      <c r="A71" s="62">
        <f>IF(H71="","",IF(ISNUMBER(N71),N71,I71))</f>
        <v/>
      </c>
      <c r="B71">
        <f>IF(H71="","",U71)</f>
        <v/>
      </c>
      <c r="C71">
        <f>IF(H71="","",IF(P71="",K71,INDEX('Students'!$A$2:$A$701,P71)))</f>
        <v/>
      </c>
      <c r="D71">
        <f>IF(OR(H71="",P71=""),"",INDEX('Students'!$B$2:$B$701,P71))</f>
        <v/>
      </c>
      <c r="E71">
        <f>IF(OR(H71="",P71=""),"",INDEX('Students'!$C$2:$C$701,P71))</f>
        <v/>
      </c>
      <c r="F71" s="48">
        <f>IF(H71="","",IF(ISNUMBER(O71),O71,J71))</f>
        <v/>
      </c>
      <c r="G71">
        <f>IF(H71="","","OneCause")</f>
        <v/>
      </c>
      <c r="H71">
        <f>IF(AND(I71="",J71="",K71=""),"",IF(NOT(ISNUMBER(O71)),"Bad amount",IF(O71&lt;0,"Refund (not counted)",IF(O71=0,"Zero amount",IF(NOT(ISNUMBER(N71)),"Bad date",IF(P71="","NAME NOT ON ROSTER",IF(L71="","OK",IF(MATCH(L71,$L$2:$L$3001,0)&lt;ROW()-1,"Duplicate (ignored)","OK"))))))))</f>
        <v/>
      </c>
      <c r="I71">
        <f>IF(OC_Date=0,"",IF(INDEX('OneCause_Paste'!$A$71:$AZ$71,1,OC_Date)="","",INDEX('OneCause_Paste'!$A$71:$AZ$71,1,OC_Date)))</f>
        <v/>
      </c>
      <c r="J71">
        <f>IF(OC_Amt=0,"",IF(INDEX('OneCause_Paste'!$A$71:$AZ$71,1,OC_Amt)="","",INDEX('OneCause_Paste'!$A$71:$AZ$71,1,OC_Amt)))</f>
        <v/>
      </c>
      <c r="K71">
        <f>IF(OC_Name=0,"",IF(INDEX('OneCause_Paste'!$A$71:$AZ$71,1,OC_Name)="","",INDEX('OneCause_Paste'!$A$71:$AZ$71,1,OC_Name)))</f>
        <v/>
      </c>
      <c r="L71">
        <f>IF(OC_Txn=0,"",IF(INDEX('OneCause_Paste'!$A$71:$AZ$71,1,OC_Txn)="","",INDEX('OneCause_Paste'!$A$71:$AZ$71,1,OC_Txn)))</f>
        <v/>
      </c>
      <c r="M71">
        <f>IF(OC_Pay=0,"",IF(INDEX('OneCause_Paste'!$A$71:$AZ$71,1,OC_Pay)="","",INDEX('OneCause_Paste'!$A$71:$AZ$71,1,OC_Pay)))</f>
        <v/>
      </c>
      <c r="N71">
        <f>IF(I71="","",IF(ISNUMBER(I71),INT(I71),IFERROR(INT(DATEVALUE(I71)),IFERROR(INT(VALUE(I71)),"bad"))))</f>
        <v/>
      </c>
      <c r="O71">
        <f>IF(J71="","",IF(ISNUMBER(J71),ROUND(J71,2),IFERROR(ROUND(VALUE(SUBSTITUTE(SUBSTITUTE(SUBSTITUTE(J71,"$",""),",","")," ","")),2),"bad")))</f>
        <v/>
      </c>
      <c r="P71">
        <f>IF(TRIM(K71)="","",IFERROR(MATCH(LOWER(TRIM(K71)),'Students'!$AH$2:$AH$701,0),IFERROR(MATCH(LOWER(TRIM(K71)),'Students'!$AF$2:$AF$701,0),IFERROR(MATCH(LOWER(TRIM(K71)),'Students'!$AG$2:$AG$701,0),""))))</f>
        <v/>
      </c>
      <c r="R71">
        <f>IF(P71="","",INDEX('Students'!$AD$2:$AD$701,P71))</f>
        <v/>
      </c>
      <c r="S71">
        <f>IF(H71="OK",O71,0)</f>
        <v/>
      </c>
      <c r="T71">
        <f>IF(H71="OK",N71,"")</f>
        <v/>
      </c>
      <c r="U71">
        <f>IF(OC_Donor=0,"",IF(INDEX('OneCause_Paste'!$A$71:$AZ$71,1,OC_Donor)="","",INDEX('OneCause_Paste'!$A$71:$AZ$71,1,OC_Donor)))</f>
        <v/>
      </c>
    </row>
    <row r="72">
      <c r="A72" s="62">
        <f>IF(H72="","",IF(ISNUMBER(N72),N72,I72))</f>
        <v/>
      </c>
      <c r="B72">
        <f>IF(H72="","",U72)</f>
        <v/>
      </c>
      <c r="C72">
        <f>IF(H72="","",IF(P72="",K72,INDEX('Students'!$A$2:$A$701,P72)))</f>
        <v/>
      </c>
      <c r="D72">
        <f>IF(OR(H72="",P72=""),"",INDEX('Students'!$B$2:$B$701,P72))</f>
        <v/>
      </c>
      <c r="E72">
        <f>IF(OR(H72="",P72=""),"",INDEX('Students'!$C$2:$C$701,P72))</f>
        <v/>
      </c>
      <c r="F72" s="48">
        <f>IF(H72="","",IF(ISNUMBER(O72),O72,J72))</f>
        <v/>
      </c>
      <c r="G72">
        <f>IF(H72="","","OneCause")</f>
        <v/>
      </c>
      <c r="H72">
        <f>IF(AND(I72="",J72="",K72=""),"",IF(NOT(ISNUMBER(O72)),"Bad amount",IF(O72&lt;0,"Refund (not counted)",IF(O72=0,"Zero amount",IF(NOT(ISNUMBER(N72)),"Bad date",IF(P72="","NAME NOT ON ROSTER",IF(L72="","OK",IF(MATCH(L72,$L$2:$L$3001,0)&lt;ROW()-1,"Duplicate (ignored)","OK"))))))))</f>
        <v/>
      </c>
      <c r="I72">
        <f>IF(OC_Date=0,"",IF(INDEX('OneCause_Paste'!$A$72:$AZ$72,1,OC_Date)="","",INDEX('OneCause_Paste'!$A$72:$AZ$72,1,OC_Date)))</f>
        <v/>
      </c>
      <c r="J72">
        <f>IF(OC_Amt=0,"",IF(INDEX('OneCause_Paste'!$A$72:$AZ$72,1,OC_Amt)="","",INDEX('OneCause_Paste'!$A$72:$AZ$72,1,OC_Amt)))</f>
        <v/>
      </c>
      <c r="K72">
        <f>IF(OC_Name=0,"",IF(INDEX('OneCause_Paste'!$A$72:$AZ$72,1,OC_Name)="","",INDEX('OneCause_Paste'!$A$72:$AZ$72,1,OC_Name)))</f>
        <v/>
      </c>
      <c r="L72">
        <f>IF(OC_Txn=0,"",IF(INDEX('OneCause_Paste'!$A$72:$AZ$72,1,OC_Txn)="","",INDEX('OneCause_Paste'!$A$72:$AZ$72,1,OC_Txn)))</f>
        <v/>
      </c>
      <c r="M72">
        <f>IF(OC_Pay=0,"",IF(INDEX('OneCause_Paste'!$A$72:$AZ$72,1,OC_Pay)="","",INDEX('OneCause_Paste'!$A$72:$AZ$72,1,OC_Pay)))</f>
        <v/>
      </c>
      <c r="N72">
        <f>IF(I72="","",IF(ISNUMBER(I72),INT(I72),IFERROR(INT(DATEVALUE(I72)),IFERROR(INT(VALUE(I72)),"bad"))))</f>
        <v/>
      </c>
      <c r="O72">
        <f>IF(J72="","",IF(ISNUMBER(J72),ROUND(J72,2),IFERROR(ROUND(VALUE(SUBSTITUTE(SUBSTITUTE(SUBSTITUTE(J72,"$",""),",","")," ","")),2),"bad")))</f>
        <v/>
      </c>
      <c r="P72">
        <f>IF(TRIM(K72)="","",IFERROR(MATCH(LOWER(TRIM(K72)),'Students'!$AH$2:$AH$701,0),IFERROR(MATCH(LOWER(TRIM(K72)),'Students'!$AF$2:$AF$701,0),IFERROR(MATCH(LOWER(TRIM(K72)),'Students'!$AG$2:$AG$701,0),""))))</f>
        <v/>
      </c>
      <c r="R72">
        <f>IF(P72="","",INDEX('Students'!$AD$2:$AD$701,P72))</f>
        <v/>
      </c>
      <c r="S72">
        <f>IF(H72="OK",O72,0)</f>
        <v/>
      </c>
      <c r="T72">
        <f>IF(H72="OK",N72,"")</f>
        <v/>
      </c>
      <c r="U72">
        <f>IF(OC_Donor=0,"",IF(INDEX('OneCause_Paste'!$A$72:$AZ$72,1,OC_Donor)="","",INDEX('OneCause_Paste'!$A$72:$AZ$72,1,OC_Donor)))</f>
        <v/>
      </c>
    </row>
    <row r="73">
      <c r="A73" s="62">
        <f>IF(H73="","",IF(ISNUMBER(N73),N73,I73))</f>
        <v/>
      </c>
      <c r="B73">
        <f>IF(H73="","",U73)</f>
        <v/>
      </c>
      <c r="C73">
        <f>IF(H73="","",IF(P73="",K73,INDEX('Students'!$A$2:$A$701,P73)))</f>
        <v/>
      </c>
      <c r="D73">
        <f>IF(OR(H73="",P73=""),"",INDEX('Students'!$B$2:$B$701,P73))</f>
        <v/>
      </c>
      <c r="E73">
        <f>IF(OR(H73="",P73=""),"",INDEX('Students'!$C$2:$C$701,P73))</f>
        <v/>
      </c>
      <c r="F73" s="48">
        <f>IF(H73="","",IF(ISNUMBER(O73),O73,J73))</f>
        <v/>
      </c>
      <c r="G73">
        <f>IF(H73="","","OneCause")</f>
        <v/>
      </c>
      <c r="H73">
        <f>IF(AND(I73="",J73="",K73=""),"",IF(NOT(ISNUMBER(O73)),"Bad amount",IF(O73&lt;0,"Refund (not counted)",IF(O73=0,"Zero amount",IF(NOT(ISNUMBER(N73)),"Bad date",IF(P73="","NAME NOT ON ROSTER",IF(L73="","OK",IF(MATCH(L73,$L$2:$L$3001,0)&lt;ROW()-1,"Duplicate (ignored)","OK"))))))))</f>
        <v/>
      </c>
      <c r="I73">
        <f>IF(OC_Date=0,"",IF(INDEX('OneCause_Paste'!$A$73:$AZ$73,1,OC_Date)="","",INDEX('OneCause_Paste'!$A$73:$AZ$73,1,OC_Date)))</f>
        <v/>
      </c>
      <c r="J73">
        <f>IF(OC_Amt=0,"",IF(INDEX('OneCause_Paste'!$A$73:$AZ$73,1,OC_Amt)="","",INDEX('OneCause_Paste'!$A$73:$AZ$73,1,OC_Amt)))</f>
        <v/>
      </c>
      <c r="K73">
        <f>IF(OC_Name=0,"",IF(INDEX('OneCause_Paste'!$A$73:$AZ$73,1,OC_Name)="","",INDEX('OneCause_Paste'!$A$73:$AZ$73,1,OC_Name)))</f>
        <v/>
      </c>
      <c r="L73">
        <f>IF(OC_Txn=0,"",IF(INDEX('OneCause_Paste'!$A$73:$AZ$73,1,OC_Txn)="","",INDEX('OneCause_Paste'!$A$73:$AZ$73,1,OC_Txn)))</f>
        <v/>
      </c>
      <c r="M73">
        <f>IF(OC_Pay=0,"",IF(INDEX('OneCause_Paste'!$A$73:$AZ$73,1,OC_Pay)="","",INDEX('OneCause_Paste'!$A$73:$AZ$73,1,OC_Pay)))</f>
        <v/>
      </c>
      <c r="N73">
        <f>IF(I73="","",IF(ISNUMBER(I73),INT(I73),IFERROR(INT(DATEVALUE(I73)),IFERROR(INT(VALUE(I73)),"bad"))))</f>
        <v/>
      </c>
      <c r="O73">
        <f>IF(J73="","",IF(ISNUMBER(J73),ROUND(J73,2),IFERROR(ROUND(VALUE(SUBSTITUTE(SUBSTITUTE(SUBSTITUTE(J73,"$",""),",","")," ","")),2),"bad")))</f>
        <v/>
      </c>
      <c r="P73">
        <f>IF(TRIM(K73)="","",IFERROR(MATCH(LOWER(TRIM(K73)),'Students'!$AH$2:$AH$701,0),IFERROR(MATCH(LOWER(TRIM(K73)),'Students'!$AF$2:$AF$701,0),IFERROR(MATCH(LOWER(TRIM(K73)),'Students'!$AG$2:$AG$701,0),""))))</f>
        <v/>
      </c>
      <c r="R73">
        <f>IF(P73="","",INDEX('Students'!$AD$2:$AD$701,P73))</f>
        <v/>
      </c>
      <c r="S73">
        <f>IF(H73="OK",O73,0)</f>
        <v/>
      </c>
      <c r="T73">
        <f>IF(H73="OK",N73,"")</f>
        <v/>
      </c>
      <c r="U73">
        <f>IF(OC_Donor=0,"",IF(INDEX('OneCause_Paste'!$A$73:$AZ$73,1,OC_Donor)="","",INDEX('OneCause_Paste'!$A$73:$AZ$73,1,OC_Donor)))</f>
        <v/>
      </c>
    </row>
    <row r="74">
      <c r="A74" s="62">
        <f>IF(H74="","",IF(ISNUMBER(N74),N74,I74))</f>
        <v/>
      </c>
      <c r="B74">
        <f>IF(H74="","",U74)</f>
        <v/>
      </c>
      <c r="C74">
        <f>IF(H74="","",IF(P74="",K74,INDEX('Students'!$A$2:$A$701,P74)))</f>
        <v/>
      </c>
      <c r="D74">
        <f>IF(OR(H74="",P74=""),"",INDEX('Students'!$B$2:$B$701,P74))</f>
        <v/>
      </c>
      <c r="E74">
        <f>IF(OR(H74="",P74=""),"",INDEX('Students'!$C$2:$C$701,P74))</f>
        <v/>
      </c>
      <c r="F74" s="48">
        <f>IF(H74="","",IF(ISNUMBER(O74),O74,J74))</f>
        <v/>
      </c>
      <c r="G74">
        <f>IF(H74="","","OneCause")</f>
        <v/>
      </c>
      <c r="H74">
        <f>IF(AND(I74="",J74="",K74=""),"",IF(NOT(ISNUMBER(O74)),"Bad amount",IF(O74&lt;0,"Refund (not counted)",IF(O74=0,"Zero amount",IF(NOT(ISNUMBER(N74)),"Bad date",IF(P74="","NAME NOT ON ROSTER",IF(L74="","OK",IF(MATCH(L74,$L$2:$L$3001,0)&lt;ROW()-1,"Duplicate (ignored)","OK"))))))))</f>
        <v/>
      </c>
      <c r="I74">
        <f>IF(OC_Date=0,"",IF(INDEX('OneCause_Paste'!$A$74:$AZ$74,1,OC_Date)="","",INDEX('OneCause_Paste'!$A$74:$AZ$74,1,OC_Date)))</f>
        <v/>
      </c>
      <c r="J74">
        <f>IF(OC_Amt=0,"",IF(INDEX('OneCause_Paste'!$A$74:$AZ$74,1,OC_Amt)="","",INDEX('OneCause_Paste'!$A$74:$AZ$74,1,OC_Amt)))</f>
        <v/>
      </c>
      <c r="K74">
        <f>IF(OC_Name=0,"",IF(INDEX('OneCause_Paste'!$A$74:$AZ$74,1,OC_Name)="","",INDEX('OneCause_Paste'!$A$74:$AZ$74,1,OC_Name)))</f>
        <v/>
      </c>
      <c r="L74">
        <f>IF(OC_Txn=0,"",IF(INDEX('OneCause_Paste'!$A$74:$AZ$74,1,OC_Txn)="","",INDEX('OneCause_Paste'!$A$74:$AZ$74,1,OC_Txn)))</f>
        <v/>
      </c>
      <c r="M74">
        <f>IF(OC_Pay=0,"",IF(INDEX('OneCause_Paste'!$A$74:$AZ$74,1,OC_Pay)="","",INDEX('OneCause_Paste'!$A$74:$AZ$74,1,OC_Pay)))</f>
        <v/>
      </c>
      <c r="N74">
        <f>IF(I74="","",IF(ISNUMBER(I74),INT(I74),IFERROR(INT(DATEVALUE(I74)),IFERROR(INT(VALUE(I74)),"bad"))))</f>
        <v/>
      </c>
      <c r="O74">
        <f>IF(J74="","",IF(ISNUMBER(J74),ROUND(J74,2),IFERROR(ROUND(VALUE(SUBSTITUTE(SUBSTITUTE(SUBSTITUTE(J74,"$",""),",","")," ","")),2),"bad")))</f>
        <v/>
      </c>
      <c r="P74">
        <f>IF(TRIM(K74)="","",IFERROR(MATCH(LOWER(TRIM(K74)),'Students'!$AH$2:$AH$701,0),IFERROR(MATCH(LOWER(TRIM(K74)),'Students'!$AF$2:$AF$701,0),IFERROR(MATCH(LOWER(TRIM(K74)),'Students'!$AG$2:$AG$701,0),""))))</f>
        <v/>
      </c>
      <c r="R74">
        <f>IF(P74="","",INDEX('Students'!$AD$2:$AD$701,P74))</f>
        <v/>
      </c>
      <c r="S74">
        <f>IF(H74="OK",O74,0)</f>
        <v/>
      </c>
      <c r="T74">
        <f>IF(H74="OK",N74,"")</f>
        <v/>
      </c>
      <c r="U74">
        <f>IF(OC_Donor=0,"",IF(INDEX('OneCause_Paste'!$A$74:$AZ$74,1,OC_Donor)="","",INDEX('OneCause_Paste'!$A$74:$AZ$74,1,OC_Donor)))</f>
        <v/>
      </c>
    </row>
    <row r="75">
      <c r="A75" s="62">
        <f>IF(H75="","",IF(ISNUMBER(N75),N75,I75))</f>
        <v/>
      </c>
      <c r="B75">
        <f>IF(H75="","",U75)</f>
        <v/>
      </c>
      <c r="C75">
        <f>IF(H75="","",IF(P75="",K75,INDEX('Students'!$A$2:$A$701,P75)))</f>
        <v/>
      </c>
      <c r="D75">
        <f>IF(OR(H75="",P75=""),"",INDEX('Students'!$B$2:$B$701,P75))</f>
        <v/>
      </c>
      <c r="E75">
        <f>IF(OR(H75="",P75=""),"",INDEX('Students'!$C$2:$C$701,P75))</f>
        <v/>
      </c>
      <c r="F75" s="48">
        <f>IF(H75="","",IF(ISNUMBER(O75),O75,J75))</f>
        <v/>
      </c>
      <c r="G75">
        <f>IF(H75="","","OneCause")</f>
        <v/>
      </c>
      <c r="H75">
        <f>IF(AND(I75="",J75="",K75=""),"",IF(NOT(ISNUMBER(O75)),"Bad amount",IF(O75&lt;0,"Refund (not counted)",IF(O75=0,"Zero amount",IF(NOT(ISNUMBER(N75)),"Bad date",IF(P75="","NAME NOT ON ROSTER",IF(L75="","OK",IF(MATCH(L75,$L$2:$L$3001,0)&lt;ROW()-1,"Duplicate (ignored)","OK"))))))))</f>
        <v/>
      </c>
      <c r="I75">
        <f>IF(OC_Date=0,"",IF(INDEX('OneCause_Paste'!$A$75:$AZ$75,1,OC_Date)="","",INDEX('OneCause_Paste'!$A$75:$AZ$75,1,OC_Date)))</f>
        <v/>
      </c>
      <c r="J75">
        <f>IF(OC_Amt=0,"",IF(INDEX('OneCause_Paste'!$A$75:$AZ$75,1,OC_Amt)="","",INDEX('OneCause_Paste'!$A$75:$AZ$75,1,OC_Amt)))</f>
        <v/>
      </c>
      <c r="K75">
        <f>IF(OC_Name=0,"",IF(INDEX('OneCause_Paste'!$A$75:$AZ$75,1,OC_Name)="","",INDEX('OneCause_Paste'!$A$75:$AZ$75,1,OC_Name)))</f>
        <v/>
      </c>
      <c r="L75">
        <f>IF(OC_Txn=0,"",IF(INDEX('OneCause_Paste'!$A$75:$AZ$75,1,OC_Txn)="","",INDEX('OneCause_Paste'!$A$75:$AZ$75,1,OC_Txn)))</f>
        <v/>
      </c>
      <c r="M75">
        <f>IF(OC_Pay=0,"",IF(INDEX('OneCause_Paste'!$A$75:$AZ$75,1,OC_Pay)="","",INDEX('OneCause_Paste'!$A$75:$AZ$75,1,OC_Pay)))</f>
        <v/>
      </c>
      <c r="N75">
        <f>IF(I75="","",IF(ISNUMBER(I75),INT(I75),IFERROR(INT(DATEVALUE(I75)),IFERROR(INT(VALUE(I75)),"bad"))))</f>
        <v/>
      </c>
      <c r="O75">
        <f>IF(J75="","",IF(ISNUMBER(J75),ROUND(J75,2),IFERROR(ROUND(VALUE(SUBSTITUTE(SUBSTITUTE(SUBSTITUTE(J75,"$",""),",","")," ","")),2),"bad")))</f>
        <v/>
      </c>
      <c r="P75">
        <f>IF(TRIM(K75)="","",IFERROR(MATCH(LOWER(TRIM(K75)),'Students'!$AH$2:$AH$701,0),IFERROR(MATCH(LOWER(TRIM(K75)),'Students'!$AF$2:$AF$701,0),IFERROR(MATCH(LOWER(TRIM(K75)),'Students'!$AG$2:$AG$701,0),""))))</f>
        <v/>
      </c>
      <c r="R75">
        <f>IF(P75="","",INDEX('Students'!$AD$2:$AD$701,P75))</f>
        <v/>
      </c>
      <c r="S75">
        <f>IF(H75="OK",O75,0)</f>
        <v/>
      </c>
      <c r="T75">
        <f>IF(H75="OK",N75,"")</f>
        <v/>
      </c>
      <c r="U75">
        <f>IF(OC_Donor=0,"",IF(INDEX('OneCause_Paste'!$A$75:$AZ$75,1,OC_Donor)="","",INDEX('OneCause_Paste'!$A$75:$AZ$75,1,OC_Donor)))</f>
        <v/>
      </c>
    </row>
    <row r="76">
      <c r="A76" s="62">
        <f>IF(H76="","",IF(ISNUMBER(N76),N76,I76))</f>
        <v/>
      </c>
      <c r="B76">
        <f>IF(H76="","",U76)</f>
        <v/>
      </c>
      <c r="C76">
        <f>IF(H76="","",IF(P76="",K76,INDEX('Students'!$A$2:$A$701,P76)))</f>
        <v/>
      </c>
      <c r="D76">
        <f>IF(OR(H76="",P76=""),"",INDEX('Students'!$B$2:$B$701,P76))</f>
        <v/>
      </c>
      <c r="E76">
        <f>IF(OR(H76="",P76=""),"",INDEX('Students'!$C$2:$C$701,P76))</f>
        <v/>
      </c>
      <c r="F76" s="48">
        <f>IF(H76="","",IF(ISNUMBER(O76),O76,J76))</f>
        <v/>
      </c>
      <c r="G76">
        <f>IF(H76="","","OneCause")</f>
        <v/>
      </c>
      <c r="H76">
        <f>IF(AND(I76="",J76="",K76=""),"",IF(NOT(ISNUMBER(O76)),"Bad amount",IF(O76&lt;0,"Refund (not counted)",IF(O76=0,"Zero amount",IF(NOT(ISNUMBER(N76)),"Bad date",IF(P76="","NAME NOT ON ROSTER",IF(L76="","OK",IF(MATCH(L76,$L$2:$L$3001,0)&lt;ROW()-1,"Duplicate (ignored)","OK"))))))))</f>
        <v/>
      </c>
      <c r="I76">
        <f>IF(OC_Date=0,"",IF(INDEX('OneCause_Paste'!$A$76:$AZ$76,1,OC_Date)="","",INDEX('OneCause_Paste'!$A$76:$AZ$76,1,OC_Date)))</f>
        <v/>
      </c>
      <c r="J76">
        <f>IF(OC_Amt=0,"",IF(INDEX('OneCause_Paste'!$A$76:$AZ$76,1,OC_Amt)="","",INDEX('OneCause_Paste'!$A$76:$AZ$76,1,OC_Amt)))</f>
        <v/>
      </c>
      <c r="K76">
        <f>IF(OC_Name=0,"",IF(INDEX('OneCause_Paste'!$A$76:$AZ$76,1,OC_Name)="","",INDEX('OneCause_Paste'!$A$76:$AZ$76,1,OC_Name)))</f>
        <v/>
      </c>
      <c r="L76">
        <f>IF(OC_Txn=0,"",IF(INDEX('OneCause_Paste'!$A$76:$AZ$76,1,OC_Txn)="","",INDEX('OneCause_Paste'!$A$76:$AZ$76,1,OC_Txn)))</f>
        <v/>
      </c>
      <c r="M76">
        <f>IF(OC_Pay=0,"",IF(INDEX('OneCause_Paste'!$A$76:$AZ$76,1,OC_Pay)="","",INDEX('OneCause_Paste'!$A$76:$AZ$76,1,OC_Pay)))</f>
        <v/>
      </c>
      <c r="N76">
        <f>IF(I76="","",IF(ISNUMBER(I76),INT(I76),IFERROR(INT(DATEVALUE(I76)),IFERROR(INT(VALUE(I76)),"bad"))))</f>
        <v/>
      </c>
      <c r="O76">
        <f>IF(J76="","",IF(ISNUMBER(J76),ROUND(J76,2),IFERROR(ROUND(VALUE(SUBSTITUTE(SUBSTITUTE(SUBSTITUTE(J76,"$",""),",","")," ","")),2),"bad")))</f>
        <v/>
      </c>
      <c r="P76">
        <f>IF(TRIM(K76)="","",IFERROR(MATCH(LOWER(TRIM(K76)),'Students'!$AH$2:$AH$701,0),IFERROR(MATCH(LOWER(TRIM(K76)),'Students'!$AF$2:$AF$701,0),IFERROR(MATCH(LOWER(TRIM(K76)),'Students'!$AG$2:$AG$701,0),""))))</f>
        <v/>
      </c>
      <c r="R76">
        <f>IF(P76="","",INDEX('Students'!$AD$2:$AD$701,P76))</f>
        <v/>
      </c>
      <c r="S76">
        <f>IF(H76="OK",O76,0)</f>
        <v/>
      </c>
      <c r="T76">
        <f>IF(H76="OK",N76,"")</f>
        <v/>
      </c>
      <c r="U76">
        <f>IF(OC_Donor=0,"",IF(INDEX('OneCause_Paste'!$A$76:$AZ$76,1,OC_Donor)="","",INDEX('OneCause_Paste'!$A$76:$AZ$76,1,OC_Donor)))</f>
        <v/>
      </c>
    </row>
    <row r="77">
      <c r="A77" s="62">
        <f>IF(H77="","",IF(ISNUMBER(N77),N77,I77))</f>
        <v/>
      </c>
      <c r="B77">
        <f>IF(H77="","",U77)</f>
        <v/>
      </c>
      <c r="C77">
        <f>IF(H77="","",IF(P77="",K77,INDEX('Students'!$A$2:$A$701,P77)))</f>
        <v/>
      </c>
      <c r="D77">
        <f>IF(OR(H77="",P77=""),"",INDEX('Students'!$B$2:$B$701,P77))</f>
        <v/>
      </c>
      <c r="E77">
        <f>IF(OR(H77="",P77=""),"",INDEX('Students'!$C$2:$C$701,P77))</f>
        <v/>
      </c>
      <c r="F77" s="48">
        <f>IF(H77="","",IF(ISNUMBER(O77),O77,J77))</f>
        <v/>
      </c>
      <c r="G77">
        <f>IF(H77="","","OneCause")</f>
        <v/>
      </c>
      <c r="H77">
        <f>IF(AND(I77="",J77="",K77=""),"",IF(NOT(ISNUMBER(O77)),"Bad amount",IF(O77&lt;0,"Refund (not counted)",IF(O77=0,"Zero amount",IF(NOT(ISNUMBER(N77)),"Bad date",IF(P77="","NAME NOT ON ROSTER",IF(L77="","OK",IF(MATCH(L77,$L$2:$L$3001,0)&lt;ROW()-1,"Duplicate (ignored)","OK"))))))))</f>
        <v/>
      </c>
      <c r="I77">
        <f>IF(OC_Date=0,"",IF(INDEX('OneCause_Paste'!$A$77:$AZ$77,1,OC_Date)="","",INDEX('OneCause_Paste'!$A$77:$AZ$77,1,OC_Date)))</f>
        <v/>
      </c>
      <c r="J77">
        <f>IF(OC_Amt=0,"",IF(INDEX('OneCause_Paste'!$A$77:$AZ$77,1,OC_Amt)="","",INDEX('OneCause_Paste'!$A$77:$AZ$77,1,OC_Amt)))</f>
        <v/>
      </c>
      <c r="K77">
        <f>IF(OC_Name=0,"",IF(INDEX('OneCause_Paste'!$A$77:$AZ$77,1,OC_Name)="","",INDEX('OneCause_Paste'!$A$77:$AZ$77,1,OC_Name)))</f>
        <v/>
      </c>
      <c r="L77">
        <f>IF(OC_Txn=0,"",IF(INDEX('OneCause_Paste'!$A$77:$AZ$77,1,OC_Txn)="","",INDEX('OneCause_Paste'!$A$77:$AZ$77,1,OC_Txn)))</f>
        <v/>
      </c>
      <c r="M77">
        <f>IF(OC_Pay=0,"",IF(INDEX('OneCause_Paste'!$A$77:$AZ$77,1,OC_Pay)="","",INDEX('OneCause_Paste'!$A$77:$AZ$77,1,OC_Pay)))</f>
        <v/>
      </c>
      <c r="N77">
        <f>IF(I77="","",IF(ISNUMBER(I77),INT(I77),IFERROR(INT(DATEVALUE(I77)),IFERROR(INT(VALUE(I77)),"bad"))))</f>
        <v/>
      </c>
      <c r="O77">
        <f>IF(J77="","",IF(ISNUMBER(J77),ROUND(J77,2),IFERROR(ROUND(VALUE(SUBSTITUTE(SUBSTITUTE(SUBSTITUTE(J77,"$",""),",","")," ","")),2),"bad")))</f>
        <v/>
      </c>
      <c r="P77">
        <f>IF(TRIM(K77)="","",IFERROR(MATCH(LOWER(TRIM(K77)),'Students'!$AH$2:$AH$701,0),IFERROR(MATCH(LOWER(TRIM(K77)),'Students'!$AF$2:$AF$701,0),IFERROR(MATCH(LOWER(TRIM(K77)),'Students'!$AG$2:$AG$701,0),""))))</f>
        <v/>
      </c>
      <c r="R77">
        <f>IF(P77="","",INDEX('Students'!$AD$2:$AD$701,P77))</f>
        <v/>
      </c>
      <c r="S77">
        <f>IF(H77="OK",O77,0)</f>
        <v/>
      </c>
      <c r="T77">
        <f>IF(H77="OK",N77,"")</f>
        <v/>
      </c>
      <c r="U77">
        <f>IF(OC_Donor=0,"",IF(INDEX('OneCause_Paste'!$A$77:$AZ$77,1,OC_Donor)="","",INDEX('OneCause_Paste'!$A$77:$AZ$77,1,OC_Donor)))</f>
        <v/>
      </c>
    </row>
    <row r="78">
      <c r="A78" s="62">
        <f>IF(H78="","",IF(ISNUMBER(N78),N78,I78))</f>
        <v/>
      </c>
      <c r="B78">
        <f>IF(H78="","",U78)</f>
        <v/>
      </c>
      <c r="C78">
        <f>IF(H78="","",IF(P78="",K78,INDEX('Students'!$A$2:$A$701,P78)))</f>
        <v/>
      </c>
      <c r="D78">
        <f>IF(OR(H78="",P78=""),"",INDEX('Students'!$B$2:$B$701,P78))</f>
        <v/>
      </c>
      <c r="E78">
        <f>IF(OR(H78="",P78=""),"",INDEX('Students'!$C$2:$C$701,P78))</f>
        <v/>
      </c>
      <c r="F78" s="48">
        <f>IF(H78="","",IF(ISNUMBER(O78),O78,J78))</f>
        <v/>
      </c>
      <c r="G78">
        <f>IF(H78="","","OneCause")</f>
        <v/>
      </c>
      <c r="H78">
        <f>IF(AND(I78="",J78="",K78=""),"",IF(NOT(ISNUMBER(O78)),"Bad amount",IF(O78&lt;0,"Refund (not counted)",IF(O78=0,"Zero amount",IF(NOT(ISNUMBER(N78)),"Bad date",IF(P78="","NAME NOT ON ROSTER",IF(L78="","OK",IF(MATCH(L78,$L$2:$L$3001,0)&lt;ROW()-1,"Duplicate (ignored)","OK"))))))))</f>
        <v/>
      </c>
      <c r="I78">
        <f>IF(OC_Date=0,"",IF(INDEX('OneCause_Paste'!$A$78:$AZ$78,1,OC_Date)="","",INDEX('OneCause_Paste'!$A$78:$AZ$78,1,OC_Date)))</f>
        <v/>
      </c>
      <c r="J78">
        <f>IF(OC_Amt=0,"",IF(INDEX('OneCause_Paste'!$A$78:$AZ$78,1,OC_Amt)="","",INDEX('OneCause_Paste'!$A$78:$AZ$78,1,OC_Amt)))</f>
        <v/>
      </c>
      <c r="K78">
        <f>IF(OC_Name=0,"",IF(INDEX('OneCause_Paste'!$A$78:$AZ$78,1,OC_Name)="","",INDEX('OneCause_Paste'!$A$78:$AZ$78,1,OC_Name)))</f>
        <v/>
      </c>
      <c r="L78">
        <f>IF(OC_Txn=0,"",IF(INDEX('OneCause_Paste'!$A$78:$AZ$78,1,OC_Txn)="","",INDEX('OneCause_Paste'!$A$78:$AZ$78,1,OC_Txn)))</f>
        <v/>
      </c>
      <c r="M78">
        <f>IF(OC_Pay=0,"",IF(INDEX('OneCause_Paste'!$A$78:$AZ$78,1,OC_Pay)="","",INDEX('OneCause_Paste'!$A$78:$AZ$78,1,OC_Pay)))</f>
        <v/>
      </c>
      <c r="N78">
        <f>IF(I78="","",IF(ISNUMBER(I78),INT(I78),IFERROR(INT(DATEVALUE(I78)),IFERROR(INT(VALUE(I78)),"bad"))))</f>
        <v/>
      </c>
      <c r="O78">
        <f>IF(J78="","",IF(ISNUMBER(J78),ROUND(J78,2),IFERROR(ROUND(VALUE(SUBSTITUTE(SUBSTITUTE(SUBSTITUTE(J78,"$",""),",","")," ","")),2),"bad")))</f>
        <v/>
      </c>
      <c r="P78">
        <f>IF(TRIM(K78)="","",IFERROR(MATCH(LOWER(TRIM(K78)),'Students'!$AH$2:$AH$701,0),IFERROR(MATCH(LOWER(TRIM(K78)),'Students'!$AF$2:$AF$701,0),IFERROR(MATCH(LOWER(TRIM(K78)),'Students'!$AG$2:$AG$701,0),""))))</f>
        <v/>
      </c>
      <c r="R78">
        <f>IF(P78="","",INDEX('Students'!$AD$2:$AD$701,P78))</f>
        <v/>
      </c>
      <c r="S78">
        <f>IF(H78="OK",O78,0)</f>
        <v/>
      </c>
      <c r="T78">
        <f>IF(H78="OK",N78,"")</f>
        <v/>
      </c>
      <c r="U78">
        <f>IF(OC_Donor=0,"",IF(INDEX('OneCause_Paste'!$A$78:$AZ$78,1,OC_Donor)="","",INDEX('OneCause_Paste'!$A$78:$AZ$78,1,OC_Donor)))</f>
        <v/>
      </c>
    </row>
    <row r="79">
      <c r="A79" s="62">
        <f>IF(H79="","",IF(ISNUMBER(N79),N79,I79))</f>
        <v/>
      </c>
      <c r="B79">
        <f>IF(H79="","",U79)</f>
        <v/>
      </c>
      <c r="C79">
        <f>IF(H79="","",IF(P79="",K79,INDEX('Students'!$A$2:$A$701,P79)))</f>
        <v/>
      </c>
      <c r="D79">
        <f>IF(OR(H79="",P79=""),"",INDEX('Students'!$B$2:$B$701,P79))</f>
        <v/>
      </c>
      <c r="E79">
        <f>IF(OR(H79="",P79=""),"",INDEX('Students'!$C$2:$C$701,P79))</f>
        <v/>
      </c>
      <c r="F79" s="48">
        <f>IF(H79="","",IF(ISNUMBER(O79),O79,J79))</f>
        <v/>
      </c>
      <c r="G79">
        <f>IF(H79="","","OneCause")</f>
        <v/>
      </c>
      <c r="H79">
        <f>IF(AND(I79="",J79="",K79=""),"",IF(NOT(ISNUMBER(O79)),"Bad amount",IF(O79&lt;0,"Refund (not counted)",IF(O79=0,"Zero amount",IF(NOT(ISNUMBER(N79)),"Bad date",IF(P79="","NAME NOT ON ROSTER",IF(L79="","OK",IF(MATCH(L79,$L$2:$L$3001,0)&lt;ROW()-1,"Duplicate (ignored)","OK"))))))))</f>
        <v/>
      </c>
      <c r="I79">
        <f>IF(OC_Date=0,"",IF(INDEX('OneCause_Paste'!$A$79:$AZ$79,1,OC_Date)="","",INDEX('OneCause_Paste'!$A$79:$AZ$79,1,OC_Date)))</f>
        <v/>
      </c>
      <c r="J79">
        <f>IF(OC_Amt=0,"",IF(INDEX('OneCause_Paste'!$A$79:$AZ$79,1,OC_Amt)="","",INDEX('OneCause_Paste'!$A$79:$AZ$79,1,OC_Amt)))</f>
        <v/>
      </c>
      <c r="K79">
        <f>IF(OC_Name=0,"",IF(INDEX('OneCause_Paste'!$A$79:$AZ$79,1,OC_Name)="","",INDEX('OneCause_Paste'!$A$79:$AZ$79,1,OC_Name)))</f>
        <v/>
      </c>
      <c r="L79">
        <f>IF(OC_Txn=0,"",IF(INDEX('OneCause_Paste'!$A$79:$AZ$79,1,OC_Txn)="","",INDEX('OneCause_Paste'!$A$79:$AZ$79,1,OC_Txn)))</f>
        <v/>
      </c>
      <c r="M79">
        <f>IF(OC_Pay=0,"",IF(INDEX('OneCause_Paste'!$A$79:$AZ$79,1,OC_Pay)="","",INDEX('OneCause_Paste'!$A$79:$AZ$79,1,OC_Pay)))</f>
        <v/>
      </c>
      <c r="N79">
        <f>IF(I79="","",IF(ISNUMBER(I79),INT(I79),IFERROR(INT(DATEVALUE(I79)),IFERROR(INT(VALUE(I79)),"bad"))))</f>
        <v/>
      </c>
      <c r="O79">
        <f>IF(J79="","",IF(ISNUMBER(J79),ROUND(J79,2),IFERROR(ROUND(VALUE(SUBSTITUTE(SUBSTITUTE(SUBSTITUTE(J79,"$",""),",","")," ","")),2),"bad")))</f>
        <v/>
      </c>
      <c r="P79">
        <f>IF(TRIM(K79)="","",IFERROR(MATCH(LOWER(TRIM(K79)),'Students'!$AH$2:$AH$701,0),IFERROR(MATCH(LOWER(TRIM(K79)),'Students'!$AF$2:$AF$701,0),IFERROR(MATCH(LOWER(TRIM(K79)),'Students'!$AG$2:$AG$701,0),""))))</f>
        <v/>
      </c>
      <c r="R79">
        <f>IF(P79="","",INDEX('Students'!$AD$2:$AD$701,P79))</f>
        <v/>
      </c>
      <c r="S79">
        <f>IF(H79="OK",O79,0)</f>
        <v/>
      </c>
      <c r="T79">
        <f>IF(H79="OK",N79,"")</f>
        <v/>
      </c>
      <c r="U79">
        <f>IF(OC_Donor=0,"",IF(INDEX('OneCause_Paste'!$A$79:$AZ$79,1,OC_Donor)="","",INDEX('OneCause_Paste'!$A$79:$AZ$79,1,OC_Donor)))</f>
        <v/>
      </c>
    </row>
    <row r="80">
      <c r="A80" s="62">
        <f>IF(H80="","",IF(ISNUMBER(N80),N80,I80))</f>
        <v/>
      </c>
      <c r="B80">
        <f>IF(H80="","",U80)</f>
        <v/>
      </c>
      <c r="C80">
        <f>IF(H80="","",IF(P80="",K80,INDEX('Students'!$A$2:$A$701,P80)))</f>
        <v/>
      </c>
      <c r="D80">
        <f>IF(OR(H80="",P80=""),"",INDEX('Students'!$B$2:$B$701,P80))</f>
        <v/>
      </c>
      <c r="E80">
        <f>IF(OR(H80="",P80=""),"",INDEX('Students'!$C$2:$C$701,P80))</f>
        <v/>
      </c>
      <c r="F80" s="48">
        <f>IF(H80="","",IF(ISNUMBER(O80),O80,J80))</f>
        <v/>
      </c>
      <c r="G80">
        <f>IF(H80="","","OneCause")</f>
        <v/>
      </c>
      <c r="H80">
        <f>IF(AND(I80="",J80="",K80=""),"",IF(NOT(ISNUMBER(O80)),"Bad amount",IF(O80&lt;0,"Refund (not counted)",IF(O80=0,"Zero amount",IF(NOT(ISNUMBER(N80)),"Bad date",IF(P80="","NAME NOT ON ROSTER",IF(L80="","OK",IF(MATCH(L80,$L$2:$L$3001,0)&lt;ROW()-1,"Duplicate (ignored)","OK"))))))))</f>
        <v/>
      </c>
      <c r="I80">
        <f>IF(OC_Date=0,"",IF(INDEX('OneCause_Paste'!$A$80:$AZ$80,1,OC_Date)="","",INDEX('OneCause_Paste'!$A$80:$AZ$80,1,OC_Date)))</f>
        <v/>
      </c>
      <c r="J80">
        <f>IF(OC_Amt=0,"",IF(INDEX('OneCause_Paste'!$A$80:$AZ$80,1,OC_Amt)="","",INDEX('OneCause_Paste'!$A$80:$AZ$80,1,OC_Amt)))</f>
        <v/>
      </c>
      <c r="K80">
        <f>IF(OC_Name=0,"",IF(INDEX('OneCause_Paste'!$A$80:$AZ$80,1,OC_Name)="","",INDEX('OneCause_Paste'!$A$80:$AZ$80,1,OC_Name)))</f>
        <v/>
      </c>
      <c r="L80">
        <f>IF(OC_Txn=0,"",IF(INDEX('OneCause_Paste'!$A$80:$AZ$80,1,OC_Txn)="","",INDEX('OneCause_Paste'!$A$80:$AZ$80,1,OC_Txn)))</f>
        <v/>
      </c>
      <c r="M80">
        <f>IF(OC_Pay=0,"",IF(INDEX('OneCause_Paste'!$A$80:$AZ$80,1,OC_Pay)="","",INDEX('OneCause_Paste'!$A$80:$AZ$80,1,OC_Pay)))</f>
        <v/>
      </c>
      <c r="N80">
        <f>IF(I80="","",IF(ISNUMBER(I80),INT(I80),IFERROR(INT(DATEVALUE(I80)),IFERROR(INT(VALUE(I80)),"bad"))))</f>
        <v/>
      </c>
      <c r="O80">
        <f>IF(J80="","",IF(ISNUMBER(J80),ROUND(J80,2),IFERROR(ROUND(VALUE(SUBSTITUTE(SUBSTITUTE(SUBSTITUTE(J80,"$",""),",","")," ","")),2),"bad")))</f>
        <v/>
      </c>
      <c r="P80">
        <f>IF(TRIM(K80)="","",IFERROR(MATCH(LOWER(TRIM(K80)),'Students'!$AH$2:$AH$701,0),IFERROR(MATCH(LOWER(TRIM(K80)),'Students'!$AF$2:$AF$701,0),IFERROR(MATCH(LOWER(TRIM(K80)),'Students'!$AG$2:$AG$701,0),""))))</f>
        <v/>
      </c>
      <c r="R80">
        <f>IF(P80="","",INDEX('Students'!$AD$2:$AD$701,P80))</f>
        <v/>
      </c>
      <c r="S80">
        <f>IF(H80="OK",O80,0)</f>
        <v/>
      </c>
      <c r="T80">
        <f>IF(H80="OK",N80,"")</f>
        <v/>
      </c>
      <c r="U80">
        <f>IF(OC_Donor=0,"",IF(INDEX('OneCause_Paste'!$A$80:$AZ$80,1,OC_Donor)="","",INDEX('OneCause_Paste'!$A$80:$AZ$80,1,OC_Donor)))</f>
        <v/>
      </c>
    </row>
    <row r="81">
      <c r="A81" s="62">
        <f>IF(H81="","",IF(ISNUMBER(N81),N81,I81))</f>
        <v/>
      </c>
      <c r="B81">
        <f>IF(H81="","",U81)</f>
        <v/>
      </c>
      <c r="C81">
        <f>IF(H81="","",IF(P81="",K81,INDEX('Students'!$A$2:$A$701,P81)))</f>
        <v/>
      </c>
      <c r="D81">
        <f>IF(OR(H81="",P81=""),"",INDEX('Students'!$B$2:$B$701,P81))</f>
        <v/>
      </c>
      <c r="E81">
        <f>IF(OR(H81="",P81=""),"",INDEX('Students'!$C$2:$C$701,P81))</f>
        <v/>
      </c>
      <c r="F81" s="48">
        <f>IF(H81="","",IF(ISNUMBER(O81),O81,J81))</f>
        <v/>
      </c>
      <c r="G81">
        <f>IF(H81="","","OneCause")</f>
        <v/>
      </c>
      <c r="H81">
        <f>IF(AND(I81="",J81="",K81=""),"",IF(NOT(ISNUMBER(O81)),"Bad amount",IF(O81&lt;0,"Refund (not counted)",IF(O81=0,"Zero amount",IF(NOT(ISNUMBER(N81)),"Bad date",IF(P81="","NAME NOT ON ROSTER",IF(L81="","OK",IF(MATCH(L81,$L$2:$L$3001,0)&lt;ROW()-1,"Duplicate (ignored)","OK"))))))))</f>
        <v/>
      </c>
      <c r="I81">
        <f>IF(OC_Date=0,"",IF(INDEX('OneCause_Paste'!$A$81:$AZ$81,1,OC_Date)="","",INDEX('OneCause_Paste'!$A$81:$AZ$81,1,OC_Date)))</f>
        <v/>
      </c>
      <c r="J81">
        <f>IF(OC_Amt=0,"",IF(INDEX('OneCause_Paste'!$A$81:$AZ$81,1,OC_Amt)="","",INDEX('OneCause_Paste'!$A$81:$AZ$81,1,OC_Amt)))</f>
        <v/>
      </c>
      <c r="K81">
        <f>IF(OC_Name=0,"",IF(INDEX('OneCause_Paste'!$A$81:$AZ$81,1,OC_Name)="","",INDEX('OneCause_Paste'!$A$81:$AZ$81,1,OC_Name)))</f>
        <v/>
      </c>
      <c r="L81">
        <f>IF(OC_Txn=0,"",IF(INDEX('OneCause_Paste'!$A$81:$AZ$81,1,OC_Txn)="","",INDEX('OneCause_Paste'!$A$81:$AZ$81,1,OC_Txn)))</f>
        <v/>
      </c>
      <c r="M81">
        <f>IF(OC_Pay=0,"",IF(INDEX('OneCause_Paste'!$A$81:$AZ$81,1,OC_Pay)="","",INDEX('OneCause_Paste'!$A$81:$AZ$81,1,OC_Pay)))</f>
        <v/>
      </c>
      <c r="N81">
        <f>IF(I81="","",IF(ISNUMBER(I81),INT(I81),IFERROR(INT(DATEVALUE(I81)),IFERROR(INT(VALUE(I81)),"bad"))))</f>
        <v/>
      </c>
      <c r="O81">
        <f>IF(J81="","",IF(ISNUMBER(J81),ROUND(J81,2),IFERROR(ROUND(VALUE(SUBSTITUTE(SUBSTITUTE(SUBSTITUTE(J81,"$",""),",","")," ","")),2),"bad")))</f>
        <v/>
      </c>
      <c r="P81">
        <f>IF(TRIM(K81)="","",IFERROR(MATCH(LOWER(TRIM(K81)),'Students'!$AH$2:$AH$701,0),IFERROR(MATCH(LOWER(TRIM(K81)),'Students'!$AF$2:$AF$701,0),IFERROR(MATCH(LOWER(TRIM(K81)),'Students'!$AG$2:$AG$701,0),""))))</f>
        <v/>
      </c>
      <c r="R81">
        <f>IF(P81="","",INDEX('Students'!$AD$2:$AD$701,P81))</f>
        <v/>
      </c>
      <c r="S81">
        <f>IF(H81="OK",O81,0)</f>
        <v/>
      </c>
      <c r="T81">
        <f>IF(H81="OK",N81,"")</f>
        <v/>
      </c>
      <c r="U81">
        <f>IF(OC_Donor=0,"",IF(INDEX('OneCause_Paste'!$A$81:$AZ$81,1,OC_Donor)="","",INDEX('OneCause_Paste'!$A$81:$AZ$81,1,OC_Donor)))</f>
        <v/>
      </c>
    </row>
    <row r="82">
      <c r="A82" s="62">
        <f>IF(H82="","",IF(ISNUMBER(N82),N82,I82))</f>
        <v/>
      </c>
      <c r="B82">
        <f>IF(H82="","",U82)</f>
        <v/>
      </c>
      <c r="C82">
        <f>IF(H82="","",IF(P82="",K82,INDEX('Students'!$A$2:$A$701,P82)))</f>
        <v/>
      </c>
      <c r="D82">
        <f>IF(OR(H82="",P82=""),"",INDEX('Students'!$B$2:$B$701,P82))</f>
        <v/>
      </c>
      <c r="E82">
        <f>IF(OR(H82="",P82=""),"",INDEX('Students'!$C$2:$C$701,P82))</f>
        <v/>
      </c>
      <c r="F82" s="48">
        <f>IF(H82="","",IF(ISNUMBER(O82),O82,J82))</f>
        <v/>
      </c>
      <c r="G82">
        <f>IF(H82="","","OneCause")</f>
        <v/>
      </c>
      <c r="H82">
        <f>IF(AND(I82="",J82="",K82=""),"",IF(NOT(ISNUMBER(O82)),"Bad amount",IF(O82&lt;0,"Refund (not counted)",IF(O82=0,"Zero amount",IF(NOT(ISNUMBER(N82)),"Bad date",IF(P82="","NAME NOT ON ROSTER",IF(L82="","OK",IF(MATCH(L82,$L$2:$L$3001,0)&lt;ROW()-1,"Duplicate (ignored)","OK"))))))))</f>
        <v/>
      </c>
      <c r="I82">
        <f>IF(OC_Date=0,"",IF(INDEX('OneCause_Paste'!$A$82:$AZ$82,1,OC_Date)="","",INDEX('OneCause_Paste'!$A$82:$AZ$82,1,OC_Date)))</f>
        <v/>
      </c>
      <c r="J82">
        <f>IF(OC_Amt=0,"",IF(INDEX('OneCause_Paste'!$A$82:$AZ$82,1,OC_Amt)="","",INDEX('OneCause_Paste'!$A$82:$AZ$82,1,OC_Amt)))</f>
        <v/>
      </c>
      <c r="K82">
        <f>IF(OC_Name=0,"",IF(INDEX('OneCause_Paste'!$A$82:$AZ$82,1,OC_Name)="","",INDEX('OneCause_Paste'!$A$82:$AZ$82,1,OC_Name)))</f>
        <v/>
      </c>
      <c r="L82">
        <f>IF(OC_Txn=0,"",IF(INDEX('OneCause_Paste'!$A$82:$AZ$82,1,OC_Txn)="","",INDEX('OneCause_Paste'!$A$82:$AZ$82,1,OC_Txn)))</f>
        <v/>
      </c>
      <c r="M82">
        <f>IF(OC_Pay=0,"",IF(INDEX('OneCause_Paste'!$A$82:$AZ$82,1,OC_Pay)="","",INDEX('OneCause_Paste'!$A$82:$AZ$82,1,OC_Pay)))</f>
        <v/>
      </c>
      <c r="N82">
        <f>IF(I82="","",IF(ISNUMBER(I82),INT(I82),IFERROR(INT(DATEVALUE(I82)),IFERROR(INT(VALUE(I82)),"bad"))))</f>
        <v/>
      </c>
      <c r="O82">
        <f>IF(J82="","",IF(ISNUMBER(J82),ROUND(J82,2),IFERROR(ROUND(VALUE(SUBSTITUTE(SUBSTITUTE(SUBSTITUTE(J82,"$",""),",","")," ","")),2),"bad")))</f>
        <v/>
      </c>
      <c r="P82">
        <f>IF(TRIM(K82)="","",IFERROR(MATCH(LOWER(TRIM(K82)),'Students'!$AH$2:$AH$701,0),IFERROR(MATCH(LOWER(TRIM(K82)),'Students'!$AF$2:$AF$701,0),IFERROR(MATCH(LOWER(TRIM(K82)),'Students'!$AG$2:$AG$701,0),""))))</f>
        <v/>
      </c>
      <c r="R82">
        <f>IF(P82="","",INDEX('Students'!$AD$2:$AD$701,P82))</f>
        <v/>
      </c>
      <c r="S82">
        <f>IF(H82="OK",O82,0)</f>
        <v/>
      </c>
      <c r="T82">
        <f>IF(H82="OK",N82,"")</f>
        <v/>
      </c>
      <c r="U82">
        <f>IF(OC_Donor=0,"",IF(INDEX('OneCause_Paste'!$A$82:$AZ$82,1,OC_Donor)="","",INDEX('OneCause_Paste'!$A$82:$AZ$82,1,OC_Donor)))</f>
        <v/>
      </c>
    </row>
    <row r="83">
      <c r="A83" s="62">
        <f>IF(H83="","",IF(ISNUMBER(N83),N83,I83))</f>
        <v/>
      </c>
      <c r="B83">
        <f>IF(H83="","",U83)</f>
        <v/>
      </c>
      <c r="C83">
        <f>IF(H83="","",IF(P83="",K83,INDEX('Students'!$A$2:$A$701,P83)))</f>
        <v/>
      </c>
      <c r="D83">
        <f>IF(OR(H83="",P83=""),"",INDEX('Students'!$B$2:$B$701,P83))</f>
        <v/>
      </c>
      <c r="E83">
        <f>IF(OR(H83="",P83=""),"",INDEX('Students'!$C$2:$C$701,P83))</f>
        <v/>
      </c>
      <c r="F83" s="48">
        <f>IF(H83="","",IF(ISNUMBER(O83),O83,J83))</f>
        <v/>
      </c>
      <c r="G83">
        <f>IF(H83="","","OneCause")</f>
        <v/>
      </c>
      <c r="H83">
        <f>IF(AND(I83="",J83="",K83=""),"",IF(NOT(ISNUMBER(O83)),"Bad amount",IF(O83&lt;0,"Refund (not counted)",IF(O83=0,"Zero amount",IF(NOT(ISNUMBER(N83)),"Bad date",IF(P83="","NAME NOT ON ROSTER",IF(L83="","OK",IF(MATCH(L83,$L$2:$L$3001,0)&lt;ROW()-1,"Duplicate (ignored)","OK"))))))))</f>
        <v/>
      </c>
      <c r="I83">
        <f>IF(OC_Date=0,"",IF(INDEX('OneCause_Paste'!$A$83:$AZ$83,1,OC_Date)="","",INDEX('OneCause_Paste'!$A$83:$AZ$83,1,OC_Date)))</f>
        <v/>
      </c>
      <c r="J83">
        <f>IF(OC_Amt=0,"",IF(INDEX('OneCause_Paste'!$A$83:$AZ$83,1,OC_Amt)="","",INDEX('OneCause_Paste'!$A$83:$AZ$83,1,OC_Amt)))</f>
        <v/>
      </c>
      <c r="K83">
        <f>IF(OC_Name=0,"",IF(INDEX('OneCause_Paste'!$A$83:$AZ$83,1,OC_Name)="","",INDEX('OneCause_Paste'!$A$83:$AZ$83,1,OC_Name)))</f>
        <v/>
      </c>
      <c r="L83">
        <f>IF(OC_Txn=0,"",IF(INDEX('OneCause_Paste'!$A$83:$AZ$83,1,OC_Txn)="","",INDEX('OneCause_Paste'!$A$83:$AZ$83,1,OC_Txn)))</f>
        <v/>
      </c>
      <c r="M83">
        <f>IF(OC_Pay=0,"",IF(INDEX('OneCause_Paste'!$A$83:$AZ$83,1,OC_Pay)="","",INDEX('OneCause_Paste'!$A$83:$AZ$83,1,OC_Pay)))</f>
        <v/>
      </c>
      <c r="N83">
        <f>IF(I83="","",IF(ISNUMBER(I83),INT(I83),IFERROR(INT(DATEVALUE(I83)),IFERROR(INT(VALUE(I83)),"bad"))))</f>
        <v/>
      </c>
      <c r="O83">
        <f>IF(J83="","",IF(ISNUMBER(J83),ROUND(J83,2),IFERROR(ROUND(VALUE(SUBSTITUTE(SUBSTITUTE(SUBSTITUTE(J83,"$",""),",","")," ","")),2),"bad")))</f>
        <v/>
      </c>
      <c r="P83">
        <f>IF(TRIM(K83)="","",IFERROR(MATCH(LOWER(TRIM(K83)),'Students'!$AH$2:$AH$701,0),IFERROR(MATCH(LOWER(TRIM(K83)),'Students'!$AF$2:$AF$701,0),IFERROR(MATCH(LOWER(TRIM(K83)),'Students'!$AG$2:$AG$701,0),""))))</f>
        <v/>
      </c>
      <c r="R83">
        <f>IF(P83="","",INDEX('Students'!$AD$2:$AD$701,P83))</f>
        <v/>
      </c>
      <c r="S83">
        <f>IF(H83="OK",O83,0)</f>
        <v/>
      </c>
      <c r="T83">
        <f>IF(H83="OK",N83,"")</f>
        <v/>
      </c>
      <c r="U83">
        <f>IF(OC_Donor=0,"",IF(INDEX('OneCause_Paste'!$A$83:$AZ$83,1,OC_Donor)="","",INDEX('OneCause_Paste'!$A$83:$AZ$83,1,OC_Donor)))</f>
        <v/>
      </c>
    </row>
    <row r="84">
      <c r="A84" s="62">
        <f>IF(H84="","",IF(ISNUMBER(N84),N84,I84))</f>
        <v/>
      </c>
      <c r="B84">
        <f>IF(H84="","",U84)</f>
        <v/>
      </c>
      <c r="C84">
        <f>IF(H84="","",IF(P84="",K84,INDEX('Students'!$A$2:$A$701,P84)))</f>
        <v/>
      </c>
      <c r="D84">
        <f>IF(OR(H84="",P84=""),"",INDEX('Students'!$B$2:$B$701,P84))</f>
        <v/>
      </c>
      <c r="E84">
        <f>IF(OR(H84="",P84=""),"",INDEX('Students'!$C$2:$C$701,P84))</f>
        <v/>
      </c>
      <c r="F84" s="48">
        <f>IF(H84="","",IF(ISNUMBER(O84),O84,J84))</f>
        <v/>
      </c>
      <c r="G84">
        <f>IF(H84="","","OneCause")</f>
        <v/>
      </c>
      <c r="H84">
        <f>IF(AND(I84="",J84="",K84=""),"",IF(NOT(ISNUMBER(O84)),"Bad amount",IF(O84&lt;0,"Refund (not counted)",IF(O84=0,"Zero amount",IF(NOT(ISNUMBER(N84)),"Bad date",IF(P84="","NAME NOT ON ROSTER",IF(L84="","OK",IF(MATCH(L84,$L$2:$L$3001,0)&lt;ROW()-1,"Duplicate (ignored)","OK"))))))))</f>
        <v/>
      </c>
      <c r="I84">
        <f>IF(OC_Date=0,"",IF(INDEX('OneCause_Paste'!$A$84:$AZ$84,1,OC_Date)="","",INDEX('OneCause_Paste'!$A$84:$AZ$84,1,OC_Date)))</f>
        <v/>
      </c>
      <c r="J84">
        <f>IF(OC_Amt=0,"",IF(INDEX('OneCause_Paste'!$A$84:$AZ$84,1,OC_Amt)="","",INDEX('OneCause_Paste'!$A$84:$AZ$84,1,OC_Amt)))</f>
        <v/>
      </c>
      <c r="K84">
        <f>IF(OC_Name=0,"",IF(INDEX('OneCause_Paste'!$A$84:$AZ$84,1,OC_Name)="","",INDEX('OneCause_Paste'!$A$84:$AZ$84,1,OC_Name)))</f>
        <v/>
      </c>
      <c r="L84">
        <f>IF(OC_Txn=0,"",IF(INDEX('OneCause_Paste'!$A$84:$AZ$84,1,OC_Txn)="","",INDEX('OneCause_Paste'!$A$84:$AZ$84,1,OC_Txn)))</f>
        <v/>
      </c>
      <c r="M84">
        <f>IF(OC_Pay=0,"",IF(INDEX('OneCause_Paste'!$A$84:$AZ$84,1,OC_Pay)="","",INDEX('OneCause_Paste'!$A$84:$AZ$84,1,OC_Pay)))</f>
        <v/>
      </c>
      <c r="N84">
        <f>IF(I84="","",IF(ISNUMBER(I84),INT(I84),IFERROR(INT(DATEVALUE(I84)),IFERROR(INT(VALUE(I84)),"bad"))))</f>
        <v/>
      </c>
      <c r="O84">
        <f>IF(J84="","",IF(ISNUMBER(J84),ROUND(J84,2),IFERROR(ROUND(VALUE(SUBSTITUTE(SUBSTITUTE(SUBSTITUTE(J84,"$",""),",","")," ","")),2),"bad")))</f>
        <v/>
      </c>
      <c r="P84">
        <f>IF(TRIM(K84)="","",IFERROR(MATCH(LOWER(TRIM(K84)),'Students'!$AH$2:$AH$701,0),IFERROR(MATCH(LOWER(TRIM(K84)),'Students'!$AF$2:$AF$701,0),IFERROR(MATCH(LOWER(TRIM(K84)),'Students'!$AG$2:$AG$701,0),""))))</f>
        <v/>
      </c>
      <c r="R84">
        <f>IF(P84="","",INDEX('Students'!$AD$2:$AD$701,P84))</f>
        <v/>
      </c>
      <c r="S84">
        <f>IF(H84="OK",O84,0)</f>
        <v/>
      </c>
      <c r="T84">
        <f>IF(H84="OK",N84,"")</f>
        <v/>
      </c>
      <c r="U84">
        <f>IF(OC_Donor=0,"",IF(INDEX('OneCause_Paste'!$A$84:$AZ$84,1,OC_Donor)="","",INDEX('OneCause_Paste'!$A$84:$AZ$84,1,OC_Donor)))</f>
        <v/>
      </c>
    </row>
    <row r="85">
      <c r="A85" s="62">
        <f>IF(H85="","",IF(ISNUMBER(N85),N85,I85))</f>
        <v/>
      </c>
      <c r="B85">
        <f>IF(H85="","",U85)</f>
        <v/>
      </c>
      <c r="C85">
        <f>IF(H85="","",IF(P85="",K85,INDEX('Students'!$A$2:$A$701,P85)))</f>
        <v/>
      </c>
      <c r="D85">
        <f>IF(OR(H85="",P85=""),"",INDEX('Students'!$B$2:$B$701,P85))</f>
        <v/>
      </c>
      <c r="E85">
        <f>IF(OR(H85="",P85=""),"",INDEX('Students'!$C$2:$C$701,P85))</f>
        <v/>
      </c>
      <c r="F85" s="48">
        <f>IF(H85="","",IF(ISNUMBER(O85),O85,J85))</f>
        <v/>
      </c>
      <c r="G85">
        <f>IF(H85="","","OneCause")</f>
        <v/>
      </c>
      <c r="H85">
        <f>IF(AND(I85="",J85="",K85=""),"",IF(NOT(ISNUMBER(O85)),"Bad amount",IF(O85&lt;0,"Refund (not counted)",IF(O85=0,"Zero amount",IF(NOT(ISNUMBER(N85)),"Bad date",IF(P85="","NAME NOT ON ROSTER",IF(L85="","OK",IF(MATCH(L85,$L$2:$L$3001,0)&lt;ROW()-1,"Duplicate (ignored)","OK"))))))))</f>
        <v/>
      </c>
      <c r="I85">
        <f>IF(OC_Date=0,"",IF(INDEX('OneCause_Paste'!$A$85:$AZ$85,1,OC_Date)="","",INDEX('OneCause_Paste'!$A$85:$AZ$85,1,OC_Date)))</f>
        <v/>
      </c>
      <c r="J85">
        <f>IF(OC_Amt=0,"",IF(INDEX('OneCause_Paste'!$A$85:$AZ$85,1,OC_Amt)="","",INDEX('OneCause_Paste'!$A$85:$AZ$85,1,OC_Amt)))</f>
        <v/>
      </c>
      <c r="K85">
        <f>IF(OC_Name=0,"",IF(INDEX('OneCause_Paste'!$A$85:$AZ$85,1,OC_Name)="","",INDEX('OneCause_Paste'!$A$85:$AZ$85,1,OC_Name)))</f>
        <v/>
      </c>
      <c r="L85">
        <f>IF(OC_Txn=0,"",IF(INDEX('OneCause_Paste'!$A$85:$AZ$85,1,OC_Txn)="","",INDEX('OneCause_Paste'!$A$85:$AZ$85,1,OC_Txn)))</f>
        <v/>
      </c>
      <c r="M85">
        <f>IF(OC_Pay=0,"",IF(INDEX('OneCause_Paste'!$A$85:$AZ$85,1,OC_Pay)="","",INDEX('OneCause_Paste'!$A$85:$AZ$85,1,OC_Pay)))</f>
        <v/>
      </c>
      <c r="N85">
        <f>IF(I85="","",IF(ISNUMBER(I85),INT(I85),IFERROR(INT(DATEVALUE(I85)),IFERROR(INT(VALUE(I85)),"bad"))))</f>
        <v/>
      </c>
      <c r="O85">
        <f>IF(J85="","",IF(ISNUMBER(J85),ROUND(J85,2),IFERROR(ROUND(VALUE(SUBSTITUTE(SUBSTITUTE(SUBSTITUTE(J85,"$",""),",","")," ","")),2),"bad")))</f>
        <v/>
      </c>
      <c r="P85">
        <f>IF(TRIM(K85)="","",IFERROR(MATCH(LOWER(TRIM(K85)),'Students'!$AH$2:$AH$701,0),IFERROR(MATCH(LOWER(TRIM(K85)),'Students'!$AF$2:$AF$701,0),IFERROR(MATCH(LOWER(TRIM(K85)),'Students'!$AG$2:$AG$701,0),""))))</f>
        <v/>
      </c>
      <c r="R85">
        <f>IF(P85="","",INDEX('Students'!$AD$2:$AD$701,P85))</f>
        <v/>
      </c>
      <c r="S85">
        <f>IF(H85="OK",O85,0)</f>
        <v/>
      </c>
      <c r="T85">
        <f>IF(H85="OK",N85,"")</f>
        <v/>
      </c>
      <c r="U85">
        <f>IF(OC_Donor=0,"",IF(INDEX('OneCause_Paste'!$A$85:$AZ$85,1,OC_Donor)="","",INDEX('OneCause_Paste'!$A$85:$AZ$85,1,OC_Donor)))</f>
        <v/>
      </c>
    </row>
    <row r="86">
      <c r="A86" s="62">
        <f>IF(H86="","",IF(ISNUMBER(N86),N86,I86))</f>
        <v/>
      </c>
      <c r="B86">
        <f>IF(H86="","",U86)</f>
        <v/>
      </c>
      <c r="C86">
        <f>IF(H86="","",IF(P86="",K86,INDEX('Students'!$A$2:$A$701,P86)))</f>
        <v/>
      </c>
      <c r="D86">
        <f>IF(OR(H86="",P86=""),"",INDEX('Students'!$B$2:$B$701,P86))</f>
        <v/>
      </c>
      <c r="E86">
        <f>IF(OR(H86="",P86=""),"",INDEX('Students'!$C$2:$C$701,P86))</f>
        <v/>
      </c>
      <c r="F86" s="48">
        <f>IF(H86="","",IF(ISNUMBER(O86),O86,J86))</f>
        <v/>
      </c>
      <c r="G86">
        <f>IF(H86="","","OneCause")</f>
        <v/>
      </c>
      <c r="H86">
        <f>IF(AND(I86="",J86="",K86=""),"",IF(NOT(ISNUMBER(O86)),"Bad amount",IF(O86&lt;0,"Refund (not counted)",IF(O86=0,"Zero amount",IF(NOT(ISNUMBER(N86)),"Bad date",IF(P86="","NAME NOT ON ROSTER",IF(L86="","OK",IF(MATCH(L86,$L$2:$L$3001,0)&lt;ROW()-1,"Duplicate (ignored)","OK"))))))))</f>
        <v/>
      </c>
      <c r="I86">
        <f>IF(OC_Date=0,"",IF(INDEX('OneCause_Paste'!$A$86:$AZ$86,1,OC_Date)="","",INDEX('OneCause_Paste'!$A$86:$AZ$86,1,OC_Date)))</f>
        <v/>
      </c>
      <c r="J86">
        <f>IF(OC_Amt=0,"",IF(INDEX('OneCause_Paste'!$A$86:$AZ$86,1,OC_Amt)="","",INDEX('OneCause_Paste'!$A$86:$AZ$86,1,OC_Amt)))</f>
        <v/>
      </c>
      <c r="K86">
        <f>IF(OC_Name=0,"",IF(INDEX('OneCause_Paste'!$A$86:$AZ$86,1,OC_Name)="","",INDEX('OneCause_Paste'!$A$86:$AZ$86,1,OC_Name)))</f>
        <v/>
      </c>
      <c r="L86">
        <f>IF(OC_Txn=0,"",IF(INDEX('OneCause_Paste'!$A$86:$AZ$86,1,OC_Txn)="","",INDEX('OneCause_Paste'!$A$86:$AZ$86,1,OC_Txn)))</f>
        <v/>
      </c>
      <c r="M86">
        <f>IF(OC_Pay=0,"",IF(INDEX('OneCause_Paste'!$A$86:$AZ$86,1,OC_Pay)="","",INDEX('OneCause_Paste'!$A$86:$AZ$86,1,OC_Pay)))</f>
        <v/>
      </c>
      <c r="N86">
        <f>IF(I86="","",IF(ISNUMBER(I86),INT(I86),IFERROR(INT(DATEVALUE(I86)),IFERROR(INT(VALUE(I86)),"bad"))))</f>
        <v/>
      </c>
      <c r="O86">
        <f>IF(J86="","",IF(ISNUMBER(J86),ROUND(J86,2),IFERROR(ROUND(VALUE(SUBSTITUTE(SUBSTITUTE(SUBSTITUTE(J86,"$",""),",","")," ","")),2),"bad")))</f>
        <v/>
      </c>
      <c r="P86">
        <f>IF(TRIM(K86)="","",IFERROR(MATCH(LOWER(TRIM(K86)),'Students'!$AH$2:$AH$701,0),IFERROR(MATCH(LOWER(TRIM(K86)),'Students'!$AF$2:$AF$701,0),IFERROR(MATCH(LOWER(TRIM(K86)),'Students'!$AG$2:$AG$701,0),""))))</f>
        <v/>
      </c>
      <c r="R86">
        <f>IF(P86="","",INDEX('Students'!$AD$2:$AD$701,P86))</f>
        <v/>
      </c>
      <c r="S86">
        <f>IF(H86="OK",O86,0)</f>
        <v/>
      </c>
      <c r="T86">
        <f>IF(H86="OK",N86,"")</f>
        <v/>
      </c>
      <c r="U86">
        <f>IF(OC_Donor=0,"",IF(INDEX('OneCause_Paste'!$A$86:$AZ$86,1,OC_Donor)="","",INDEX('OneCause_Paste'!$A$86:$AZ$86,1,OC_Donor)))</f>
        <v/>
      </c>
    </row>
    <row r="87">
      <c r="A87" s="62">
        <f>IF(H87="","",IF(ISNUMBER(N87),N87,I87))</f>
        <v/>
      </c>
      <c r="B87">
        <f>IF(H87="","",U87)</f>
        <v/>
      </c>
      <c r="C87">
        <f>IF(H87="","",IF(P87="",K87,INDEX('Students'!$A$2:$A$701,P87)))</f>
        <v/>
      </c>
      <c r="D87">
        <f>IF(OR(H87="",P87=""),"",INDEX('Students'!$B$2:$B$701,P87))</f>
        <v/>
      </c>
      <c r="E87">
        <f>IF(OR(H87="",P87=""),"",INDEX('Students'!$C$2:$C$701,P87))</f>
        <v/>
      </c>
      <c r="F87" s="48">
        <f>IF(H87="","",IF(ISNUMBER(O87),O87,J87))</f>
        <v/>
      </c>
      <c r="G87">
        <f>IF(H87="","","OneCause")</f>
        <v/>
      </c>
      <c r="H87">
        <f>IF(AND(I87="",J87="",K87=""),"",IF(NOT(ISNUMBER(O87)),"Bad amount",IF(O87&lt;0,"Refund (not counted)",IF(O87=0,"Zero amount",IF(NOT(ISNUMBER(N87)),"Bad date",IF(P87="","NAME NOT ON ROSTER",IF(L87="","OK",IF(MATCH(L87,$L$2:$L$3001,0)&lt;ROW()-1,"Duplicate (ignored)","OK"))))))))</f>
        <v/>
      </c>
      <c r="I87">
        <f>IF(OC_Date=0,"",IF(INDEX('OneCause_Paste'!$A$87:$AZ$87,1,OC_Date)="","",INDEX('OneCause_Paste'!$A$87:$AZ$87,1,OC_Date)))</f>
        <v/>
      </c>
      <c r="J87">
        <f>IF(OC_Amt=0,"",IF(INDEX('OneCause_Paste'!$A$87:$AZ$87,1,OC_Amt)="","",INDEX('OneCause_Paste'!$A$87:$AZ$87,1,OC_Amt)))</f>
        <v/>
      </c>
      <c r="K87">
        <f>IF(OC_Name=0,"",IF(INDEX('OneCause_Paste'!$A$87:$AZ$87,1,OC_Name)="","",INDEX('OneCause_Paste'!$A$87:$AZ$87,1,OC_Name)))</f>
        <v/>
      </c>
      <c r="L87">
        <f>IF(OC_Txn=0,"",IF(INDEX('OneCause_Paste'!$A$87:$AZ$87,1,OC_Txn)="","",INDEX('OneCause_Paste'!$A$87:$AZ$87,1,OC_Txn)))</f>
        <v/>
      </c>
      <c r="M87">
        <f>IF(OC_Pay=0,"",IF(INDEX('OneCause_Paste'!$A$87:$AZ$87,1,OC_Pay)="","",INDEX('OneCause_Paste'!$A$87:$AZ$87,1,OC_Pay)))</f>
        <v/>
      </c>
      <c r="N87">
        <f>IF(I87="","",IF(ISNUMBER(I87),INT(I87),IFERROR(INT(DATEVALUE(I87)),IFERROR(INT(VALUE(I87)),"bad"))))</f>
        <v/>
      </c>
      <c r="O87">
        <f>IF(J87="","",IF(ISNUMBER(J87),ROUND(J87,2),IFERROR(ROUND(VALUE(SUBSTITUTE(SUBSTITUTE(SUBSTITUTE(J87,"$",""),",","")," ","")),2),"bad")))</f>
        <v/>
      </c>
      <c r="P87">
        <f>IF(TRIM(K87)="","",IFERROR(MATCH(LOWER(TRIM(K87)),'Students'!$AH$2:$AH$701,0),IFERROR(MATCH(LOWER(TRIM(K87)),'Students'!$AF$2:$AF$701,0),IFERROR(MATCH(LOWER(TRIM(K87)),'Students'!$AG$2:$AG$701,0),""))))</f>
        <v/>
      </c>
      <c r="R87">
        <f>IF(P87="","",INDEX('Students'!$AD$2:$AD$701,P87))</f>
        <v/>
      </c>
      <c r="S87">
        <f>IF(H87="OK",O87,0)</f>
        <v/>
      </c>
      <c r="T87">
        <f>IF(H87="OK",N87,"")</f>
        <v/>
      </c>
      <c r="U87">
        <f>IF(OC_Donor=0,"",IF(INDEX('OneCause_Paste'!$A$87:$AZ$87,1,OC_Donor)="","",INDEX('OneCause_Paste'!$A$87:$AZ$87,1,OC_Donor)))</f>
        <v/>
      </c>
    </row>
    <row r="88">
      <c r="A88" s="62">
        <f>IF(H88="","",IF(ISNUMBER(N88),N88,I88))</f>
        <v/>
      </c>
      <c r="B88">
        <f>IF(H88="","",U88)</f>
        <v/>
      </c>
      <c r="C88">
        <f>IF(H88="","",IF(P88="",K88,INDEX('Students'!$A$2:$A$701,P88)))</f>
        <v/>
      </c>
      <c r="D88">
        <f>IF(OR(H88="",P88=""),"",INDEX('Students'!$B$2:$B$701,P88))</f>
        <v/>
      </c>
      <c r="E88">
        <f>IF(OR(H88="",P88=""),"",INDEX('Students'!$C$2:$C$701,P88))</f>
        <v/>
      </c>
      <c r="F88" s="48">
        <f>IF(H88="","",IF(ISNUMBER(O88),O88,J88))</f>
        <v/>
      </c>
      <c r="G88">
        <f>IF(H88="","","OneCause")</f>
        <v/>
      </c>
      <c r="H88">
        <f>IF(AND(I88="",J88="",K88=""),"",IF(NOT(ISNUMBER(O88)),"Bad amount",IF(O88&lt;0,"Refund (not counted)",IF(O88=0,"Zero amount",IF(NOT(ISNUMBER(N88)),"Bad date",IF(P88="","NAME NOT ON ROSTER",IF(L88="","OK",IF(MATCH(L88,$L$2:$L$3001,0)&lt;ROW()-1,"Duplicate (ignored)","OK"))))))))</f>
        <v/>
      </c>
      <c r="I88">
        <f>IF(OC_Date=0,"",IF(INDEX('OneCause_Paste'!$A$88:$AZ$88,1,OC_Date)="","",INDEX('OneCause_Paste'!$A$88:$AZ$88,1,OC_Date)))</f>
        <v/>
      </c>
      <c r="J88">
        <f>IF(OC_Amt=0,"",IF(INDEX('OneCause_Paste'!$A$88:$AZ$88,1,OC_Amt)="","",INDEX('OneCause_Paste'!$A$88:$AZ$88,1,OC_Amt)))</f>
        <v/>
      </c>
      <c r="K88">
        <f>IF(OC_Name=0,"",IF(INDEX('OneCause_Paste'!$A$88:$AZ$88,1,OC_Name)="","",INDEX('OneCause_Paste'!$A$88:$AZ$88,1,OC_Name)))</f>
        <v/>
      </c>
      <c r="L88">
        <f>IF(OC_Txn=0,"",IF(INDEX('OneCause_Paste'!$A$88:$AZ$88,1,OC_Txn)="","",INDEX('OneCause_Paste'!$A$88:$AZ$88,1,OC_Txn)))</f>
        <v/>
      </c>
      <c r="M88">
        <f>IF(OC_Pay=0,"",IF(INDEX('OneCause_Paste'!$A$88:$AZ$88,1,OC_Pay)="","",INDEX('OneCause_Paste'!$A$88:$AZ$88,1,OC_Pay)))</f>
        <v/>
      </c>
      <c r="N88">
        <f>IF(I88="","",IF(ISNUMBER(I88),INT(I88),IFERROR(INT(DATEVALUE(I88)),IFERROR(INT(VALUE(I88)),"bad"))))</f>
        <v/>
      </c>
      <c r="O88">
        <f>IF(J88="","",IF(ISNUMBER(J88),ROUND(J88,2),IFERROR(ROUND(VALUE(SUBSTITUTE(SUBSTITUTE(SUBSTITUTE(J88,"$",""),",","")," ","")),2),"bad")))</f>
        <v/>
      </c>
      <c r="P88">
        <f>IF(TRIM(K88)="","",IFERROR(MATCH(LOWER(TRIM(K88)),'Students'!$AH$2:$AH$701,0),IFERROR(MATCH(LOWER(TRIM(K88)),'Students'!$AF$2:$AF$701,0),IFERROR(MATCH(LOWER(TRIM(K88)),'Students'!$AG$2:$AG$701,0),""))))</f>
        <v/>
      </c>
      <c r="R88">
        <f>IF(P88="","",INDEX('Students'!$AD$2:$AD$701,P88))</f>
        <v/>
      </c>
      <c r="S88">
        <f>IF(H88="OK",O88,0)</f>
        <v/>
      </c>
      <c r="T88">
        <f>IF(H88="OK",N88,"")</f>
        <v/>
      </c>
      <c r="U88">
        <f>IF(OC_Donor=0,"",IF(INDEX('OneCause_Paste'!$A$88:$AZ$88,1,OC_Donor)="","",INDEX('OneCause_Paste'!$A$88:$AZ$88,1,OC_Donor)))</f>
        <v/>
      </c>
    </row>
    <row r="89">
      <c r="A89" s="62">
        <f>IF(H89="","",IF(ISNUMBER(N89),N89,I89))</f>
        <v/>
      </c>
      <c r="B89">
        <f>IF(H89="","",U89)</f>
        <v/>
      </c>
      <c r="C89">
        <f>IF(H89="","",IF(P89="",K89,INDEX('Students'!$A$2:$A$701,P89)))</f>
        <v/>
      </c>
      <c r="D89">
        <f>IF(OR(H89="",P89=""),"",INDEX('Students'!$B$2:$B$701,P89))</f>
        <v/>
      </c>
      <c r="E89">
        <f>IF(OR(H89="",P89=""),"",INDEX('Students'!$C$2:$C$701,P89))</f>
        <v/>
      </c>
      <c r="F89" s="48">
        <f>IF(H89="","",IF(ISNUMBER(O89),O89,J89))</f>
        <v/>
      </c>
      <c r="G89">
        <f>IF(H89="","","OneCause")</f>
        <v/>
      </c>
      <c r="H89">
        <f>IF(AND(I89="",J89="",K89=""),"",IF(NOT(ISNUMBER(O89)),"Bad amount",IF(O89&lt;0,"Refund (not counted)",IF(O89=0,"Zero amount",IF(NOT(ISNUMBER(N89)),"Bad date",IF(P89="","NAME NOT ON ROSTER",IF(L89="","OK",IF(MATCH(L89,$L$2:$L$3001,0)&lt;ROW()-1,"Duplicate (ignored)","OK"))))))))</f>
        <v/>
      </c>
      <c r="I89">
        <f>IF(OC_Date=0,"",IF(INDEX('OneCause_Paste'!$A$89:$AZ$89,1,OC_Date)="","",INDEX('OneCause_Paste'!$A$89:$AZ$89,1,OC_Date)))</f>
        <v/>
      </c>
      <c r="J89">
        <f>IF(OC_Amt=0,"",IF(INDEX('OneCause_Paste'!$A$89:$AZ$89,1,OC_Amt)="","",INDEX('OneCause_Paste'!$A$89:$AZ$89,1,OC_Amt)))</f>
        <v/>
      </c>
      <c r="K89">
        <f>IF(OC_Name=0,"",IF(INDEX('OneCause_Paste'!$A$89:$AZ$89,1,OC_Name)="","",INDEX('OneCause_Paste'!$A$89:$AZ$89,1,OC_Name)))</f>
        <v/>
      </c>
      <c r="L89">
        <f>IF(OC_Txn=0,"",IF(INDEX('OneCause_Paste'!$A$89:$AZ$89,1,OC_Txn)="","",INDEX('OneCause_Paste'!$A$89:$AZ$89,1,OC_Txn)))</f>
        <v/>
      </c>
      <c r="M89">
        <f>IF(OC_Pay=0,"",IF(INDEX('OneCause_Paste'!$A$89:$AZ$89,1,OC_Pay)="","",INDEX('OneCause_Paste'!$A$89:$AZ$89,1,OC_Pay)))</f>
        <v/>
      </c>
      <c r="N89">
        <f>IF(I89="","",IF(ISNUMBER(I89),INT(I89),IFERROR(INT(DATEVALUE(I89)),IFERROR(INT(VALUE(I89)),"bad"))))</f>
        <v/>
      </c>
      <c r="O89">
        <f>IF(J89="","",IF(ISNUMBER(J89),ROUND(J89,2),IFERROR(ROUND(VALUE(SUBSTITUTE(SUBSTITUTE(SUBSTITUTE(J89,"$",""),",","")," ","")),2),"bad")))</f>
        <v/>
      </c>
      <c r="P89">
        <f>IF(TRIM(K89)="","",IFERROR(MATCH(LOWER(TRIM(K89)),'Students'!$AH$2:$AH$701,0),IFERROR(MATCH(LOWER(TRIM(K89)),'Students'!$AF$2:$AF$701,0),IFERROR(MATCH(LOWER(TRIM(K89)),'Students'!$AG$2:$AG$701,0),""))))</f>
        <v/>
      </c>
      <c r="R89">
        <f>IF(P89="","",INDEX('Students'!$AD$2:$AD$701,P89))</f>
        <v/>
      </c>
      <c r="S89">
        <f>IF(H89="OK",O89,0)</f>
        <v/>
      </c>
      <c r="T89">
        <f>IF(H89="OK",N89,"")</f>
        <v/>
      </c>
      <c r="U89">
        <f>IF(OC_Donor=0,"",IF(INDEX('OneCause_Paste'!$A$89:$AZ$89,1,OC_Donor)="","",INDEX('OneCause_Paste'!$A$89:$AZ$89,1,OC_Donor)))</f>
        <v/>
      </c>
    </row>
    <row r="90">
      <c r="A90" s="62">
        <f>IF(H90="","",IF(ISNUMBER(N90),N90,I90))</f>
        <v/>
      </c>
      <c r="B90">
        <f>IF(H90="","",U90)</f>
        <v/>
      </c>
      <c r="C90">
        <f>IF(H90="","",IF(P90="",K90,INDEX('Students'!$A$2:$A$701,P90)))</f>
        <v/>
      </c>
      <c r="D90">
        <f>IF(OR(H90="",P90=""),"",INDEX('Students'!$B$2:$B$701,P90))</f>
        <v/>
      </c>
      <c r="E90">
        <f>IF(OR(H90="",P90=""),"",INDEX('Students'!$C$2:$C$701,P90))</f>
        <v/>
      </c>
      <c r="F90" s="48">
        <f>IF(H90="","",IF(ISNUMBER(O90),O90,J90))</f>
        <v/>
      </c>
      <c r="G90">
        <f>IF(H90="","","OneCause")</f>
        <v/>
      </c>
      <c r="H90">
        <f>IF(AND(I90="",J90="",K90=""),"",IF(NOT(ISNUMBER(O90)),"Bad amount",IF(O90&lt;0,"Refund (not counted)",IF(O90=0,"Zero amount",IF(NOT(ISNUMBER(N90)),"Bad date",IF(P90="","NAME NOT ON ROSTER",IF(L90="","OK",IF(MATCH(L90,$L$2:$L$3001,0)&lt;ROW()-1,"Duplicate (ignored)","OK"))))))))</f>
        <v/>
      </c>
      <c r="I90">
        <f>IF(OC_Date=0,"",IF(INDEX('OneCause_Paste'!$A$90:$AZ$90,1,OC_Date)="","",INDEX('OneCause_Paste'!$A$90:$AZ$90,1,OC_Date)))</f>
        <v/>
      </c>
      <c r="J90">
        <f>IF(OC_Amt=0,"",IF(INDEX('OneCause_Paste'!$A$90:$AZ$90,1,OC_Amt)="","",INDEX('OneCause_Paste'!$A$90:$AZ$90,1,OC_Amt)))</f>
        <v/>
      </c>
      <c r="K90">
        <f>IF(OC_Name=0,"",IF(INDEX('OneCause_Paste'!$A$90:$AZ$90,1,OC_Name)="","",INDEX('OneCause_Paste'!$A$90:$AZ$90,1,OC_Name)))</f>
        <v/>
      </c>
      <c r="L90">
        <f>IF(OC_Txn=0,"",IF(INDEX('OneCause_Paste'!$A$90:$AZ$90,1,OC_Txn)="","",INDEX('OneCause_Paste'!$A$90:$AZ$90,1,OC_Txn)))</f>
        <v/>
      </c>
      <c r="M90">
        <f>IF(OC_Pay=0,"",IF(INDEX('OneCause_Paste'!$A$90:$AZ$90,1,OC_Pay)="","",INDEX('OneCause_Paste'!$A$90:$AZ$90,1,OC_Pay)))</f>
        <v/>
      </c>
      <c r="N90">
        <f>IF(I90="","",IF(ISNUMBER(I90),INT(I90),IFERROR(INT(DATEVALUE(I90)),IFERROR(INT(VALUE(I90)),"bad"))))</f>
        <v/>
      </c>
      <c r="O90">
        <f>IF(J90="","",IF(ISNUMBER(J90),ROUND(J90,2),IFERROR(ROUND(VALUE(SUBSTITUTE(SUBSTITUTE(SUBSTITUTE(J90,"$",""),",","")," ","")),2),"bad")))</f>
        <v/>
      </c>
      <c r="P90">
        <f>IF(TRIM(K90)="","",IFERROR(MATCH(LOWER(TRIM(K90)),'Students'!$AH$2:$AH$701,0),IFERROR(MATCH(LOWER(TRIM(K90)),'Students'!$AF$2:$AF$701,0),IFERROR(MATCH(LOWER(TRIM(K90)),'Students'!$AG$2:$AG$701,0),""))))</f>
        <v/>
      </c>
      <c r="R90">
        <f>IF(P90="","",INDEX('Students'!$AD$2:$AD$701,P90))</f>
        <v/>
      </c>
      <c r="S90">
        <f>IF(H90="OK",O90,0)</f>
        <v/>
      </c>
      <c r="T90">
        <f>IF(H90="OK",N90,"")</f>
        <v/>
      </c>
      <c r="U90">
        <f>IF(OC_Donor=0,"",IF(INDEX('OneCause_Paste'!$A$90:$AZ$90,1,OC_Donor)="","",INDEX('OneCause_Paste'!$A$90:$AZ$90,1,OC_Donor)))</f>
        <v/>
      </c>
    </row>
    <row r="91">
      <c r="A91" s="62">
        <f>IF(H91="","",IF(ISNUMBER(N91),N91,I91))</f>
        <v/>
      </c>
      <c r="B91">
        <f>IF(H91="","",U91)</f>
        <v/>
      </c>
      <c r="C91">
        <f>IF(H91="","",IF(P91="",K91,INDEX('Students'!$A$2:$A$701,P91)))</f>
        <v/>
      </c>
      <c r="D91">
        <f>IF(OR(H91="",P91=""),"",INDEX('Students'!$B$2:$B$701,P91))</f>
        <v/>
      </c>
      <c r="E91">
        <f>IF(OR(H91="",P91=""),"",INDEX('Students'!$C$2:$C$701,P91))</f>
        <v/>
      </c>
      <c r="F91" s="48">
        <f>IF(H91="","",IF(ISNUMBER(O91),O91,J91))</f>
        <v/>
      </c>
      <c r="G91">
        <f>IF(H91="","","OneCause")</f>
        <v/>
      </c>
      <c r="H91">
        <f>IF(AND(I91="",J91="",K91=""),"",IF(NOT(ISNUMBER(O91)),"Bad amount",IF(O91&lt;0,"Refund (not counted)",IF(O91=0,"Zero amount",IF(NOT(ISNUMBER(N91)),"Bad date",IF(P91="","NAME NOT ON ROSTER",IF(L91="","OK",IF(MATCH(L91,$L$2:$L$3001,0)&lt;ROW()-1,"Duplicate (ignored)","OK"))))))))</f>
        <v/>
      </c>
      <c r="I91">
        <f>IF(OC_Date=0,"",IF(INDEX('OneCause_Paste'!$A$91:$AZ$91,1,OC_Date)="","",INDEX('OneCause_Paste'!$A$91:$AZ$91,1,OC_Date)))</f>
        <v/>
      </c>
      <c r="J91">
        <f>IF(OC_Amt=0,"",IF(INDEX('OneCause_Paste'!$A$91:$AZ$91,1,OC_Amt)="","",INDEX('OneCause_Paste'!$A$91:$AZ$91,1,OC_Amt)))</f>
        <v/>
      </c>
      <c r="K91">
        <f>IF(OC_Name=0,"",IF(INDEX('OneCause_Paste'!$A$91:$AZ$91,1,OC_Name)="","",INDEX('OneCause_Paste'!$A$91:$AZ$91,1,OC_Name)))</f>
        <v/>
      </c>
      <c r="L91">
        <f>IF(OC_Txn=0,"",IF(INDEX('OneCause_Paste'!$A$91:$AZ$91,1,OC_Txn)="","",INDEX('OneCause_Paste'!$A$91:$AZ$91,1,OC_Txn)))</f>
        <v/>
      </c>
      <c r="M91">
        <f>IF(OC_Pay=0,"",IF(INDEX('OneCause_Paste'!$A$91:$AZ$91,1,OC_Pay)="","",INDEX('OneCause_Paste'!$A$91:$AZ$91,1,OC_Pay)))</f>
        <v/>
      </c>
      <c r="N91">
        <f>IF(I91="","",IF(ISNUMBER(I91),INT(I91),IFERROR(INT(DATEVALUE(I91)),IFERROR(INT(VALUE(I91)),"bad"))))</f>
        <v/>
      </c>
      <c r="O91">
        <f>IF(J91="","",IF(ISNUMBER(J91),ROUND(J91,2),IFERROR(ROUND(VALUE(SUBSTITUTE(SUBSTITUTE(SUBSTITUTE(J91,"$",""),",","")," ","")),2),"bad")))</f>
        <v/>
      </c>
      <c r="P91">
        <f>IF(TRIM(K91)="","",IFERROR(MATCH(LOWER(TRIM(K91)),'Students'!$AH$2:$AH$701,0),IFERROR(MATCH(LOWER(TRIM(K91)),'Students'!$AF$2:$AF$701,0),IFERROR(MATCH(LOWER(TRIM(K91)),'Students'!$AG$2:$AG$701,0),""))))</f>
        <v/>
      </c>
      <c r="R91">
        <f>IF(P91="","",INDEX('Students'!$AD$2:$AD$701,P91))</f>
        <v/>
      </c>
      <c r="S91">
        <f>IF(H91="OK",O91,0)</f>
        <v/>
      </c>
      <c r="T91">
        <f>IF(H91="OK",N91,"")</f>
        <v/>
      </c>
      <c r="U91">
        <f>IF(OC_Donor=0,"",IF(INDEX('OneCause_Paste'!$A$91:$AZ$91,1,OC_Donor)="","",INDEX('OneCause_Paste'!$A$91:$AZ$91,1,OC_Donor)))</f>
        <v/>
      </c>
    </row>
    <row r="92">
      <c r="A92" s="62">
        <f>IF(H92="","",IF(ISNUMBER(N92),N92,I92))</f>
        <v/>
      </c>
      <c r="B92">
        <f>IF(H92="","",U92)</f>
        <v/>
      </c>
      <c r="C92">
        <f>IF(H92="","",IF(P92="",K92,INDEX('Students'!$A$2:$A$701,P92)))</f>
        <v/>
      </c>
      <c r="D92">
        <f>IF(OR(H92="",P92=""),"",INDEX('Students'!$B$2:$B$701,P92))</f>
        <v/>
      </c>
      <c r="E92">
        <f>IF(OR(H92="",P92=""),"",INDEX('Students'!$C$2:$C$701,P92))</f>
        <v/>
      </c>
      <c r="F92" s="48">
        <f>IF(H92="","",IF(ISNUMBER(O92),O92,J92))</f>
        <v/>
      </c>
      <c r="G92">
        <f>IF(H92="","","OneCause")</f>
        <v/>
      </c>
      <c r="H92">
        <f>IF(AND(I92="",J92="",K92=""),"",IF(NOT(ISNUMBER(O92)),"Bad amount",IF(O92&lt;0,"Refund (not counted)",IF(O92=0,"Zero amount",IF(NOT(ISNUMBER(N92)),"Bad date",IF(P92="","NAME NOT ON ROSTER",IF(L92="","OK",IF(MATCH(L92,$L$2:$L$3001,0)&lt;ROW()-1,"Duplicate (ignored)","OK"))))))))</f>
        <v/>
      </c>
      <c r="I92">
        <f>IF(OC_Date=0,"",IF(INDEX('OneCause_Paste'!$A$92:$AZ$92,1,OC_Date)="","",INDEX('OneCause_Paste'!$A$92:$AZ$92,1,OC_Date)))</f>
        <v/>
      </c>
      <c r="J92">
        <f>IF(OC_Amt=0,"",IF(INDEX('OneCause_Paste'!$A$92:$AZ$92,1,OC_Amt)="","",INDEX('OneCause_Paste'!$A$92:$AZ$92,1,OC_Amt)))</f>
        <v/>
      </c>
      <c r="K92">
        <f>IF(OC_Name=0,"",IF(INDEX('OneCause_Paste'!$A$92:$AZ$92,1,OC_Name)="","",INDEX('OneCause_Paste'!$A$92:$AZ$92,1,OC_Name)))</f>
        <v/>
      </c>
      <c r="L92">
        <f>IF(OC_Txn=0,"",IF(INDEX('OneCause_Paste'!$A$92:$AZ$92,1,OC_Txn)="","",INDEX('OneCause_Paste'!$A$92:$AZ$92,1,OC_Txn)))</f>
        <v/>
      </c>
      <c r="M92">
        <f>IF(OC_Pay=0,"",IF(INDEX('OneCause_Paste'!$A$92:$AZ$92,1,OC_Pay)="","",INDEX('OneCause_Paste'!$A$92:$AZ$92,1,OC_Pay)))</f>
        <v/>
      </c>
      <c r="N92">
        <f>IF(I92="","",IF(ISNUMBER(I92),INT(I92),IFERROR(INT(DATEVALUE(I92)),IFERROR(INT(VALUE(I92)),"bad"))))</f>
        <v/>
      </c>
      <c r="O92">
        <f>IF(J92="","",IF(ISNUMBER(J92),ROUND(J92,2),IFERROR(ROUND(VALUE(SUBSTITUTE(SUBSTITUTE(SUBSTITUTE(J92,"$",""),",","")," ","")),2),"bad")))</f>
        <v/>
      </c>
      <c r="P92">
        <f>IF(TRIM(K92)="","",IFERROR(MATCH(LOWER(TRIM(K92)),'Students'!$AH$2:$AH$701,0),IFERROR(MATCH(LOWER(TRIM(K92)),'Students'!$AF$2:$AF$701,0),IFERROR(MATCH(LOWER(TRIM(K92)),'Students'!$AG$2:$AG$701,0),""))))</f>
        <v/>
      </c>
      <c r="R92">
        <f>IF(P92="","",INDEX('Students'!$AD$2:$AD$701,P92))</f>
        <v/>
      </c>
      <c r="S92">
        <f>IF(H92="OK",O92,0)</f>
        <v/>
      </c>
      <c r="T92">
        <f>IF(H92="OK",N92,"")</f>
        <v/>
      </c>
      <c r="U92">
        <f>IF(OC_Donor=0,"",IF(INDEX('OneCause_Paste'!$A$92:$AZ$92,1,OC_Donor)="","",INDEX('OneCause_Paste'!$A$92:$AZ$92,1,OC_Donor)))</f>
        <v/>
      </c>
    </row>
    <row r="93">
      <c r="A93" s="62">
        <f>IF(H93="","",IF(ISNUMBER(N93),N93,I93))</f>
        <v/>
      </c>
      <c r="B93">
        <f>IF(H93="","",U93)</f>
        <v/>
      </c>
      <c r="C93">
        <f>IF(H93="","",IF(P93="",K93,INDEX('Students'!$A$2:$A$701,P93)))</f>
        <v/>
      </c>
      <c r="D93">
        <f>IF(OR(H93="",P93=""),"",INDEX('Students'!$B$2:$B$701,P93))</f>
        <v/>
      </c>
      <c r="E93">
        <f>IF(OR(H93="",P93=""),"",INDEX('Students'!$C$2:$C$701,P93))</f>
        <v/>
      </c>
      <c r="F93" s="48">
        <f>IF(H93="","",IF(ISNUMBER(O93),O93,J93))</f>
        <v/>
      </c>
      <c r="G93">
        <f>IF(H93="","","OneCause")</f>
        <v/>
      </c>
      <c r="H93">
        <f>IF(AND(I93="",J93="",K93=""),"",IF(NOT(ISNUMBER(O93)),"Bad amount",IF(O93&lt;0,"Refund (not counted)",IF(O93=0,"Zero amount",IF(NOT(ISNUMBER(N93)),"Bad date",IF(P93="","NAME NOT ON ROSTER",IF(L93="","OK",IF(MATCH(L93,$L$2:$L$3001,0)&lt;ROW()-1,"Duplicate (ignored)","OK"))))))))</f>
        <v/>
      </c>
      <c r="I93">
        <f>IF(OC_Date=0,"",IF(INDEX('OneCause_Paste'!$A$93:$AZ$93,1,OC_Date)="","",INDEX('OneCause_Paste'!$A$93:$AZ$93,1,OC_Date)))</f>
        <v/>
      </c>
      <c r="J93">
        <f>IF(OC_Amt=0,"",IF(INDEX('OneCause_Paste'!$A$93:$AZ$93,1,OC_Amt)="","",INDEX('OneCause_Paste'!$A$93:$AZ$93,1,OC_Amt)))</f>
        <v/>
      </c>
      <c r="K93">
        <f>IF(OC_Name=0,"",IF(INDEX('OneCause_Paste'!$A$93:$AZ$93,1,OC_Name)="","",INDEX('OneCause_Paste'!$A$93:$AZ$93,1,OC_Name)))</f>
        <v/>
      </c>
      <c r="L93">
        <f>IF(OC_Txn=0,"",IF(INDEX('OneCause_Paste'!$A$93:$AZ$93,1,OC_Txn)="","",INDEX('OneCause_Paste'!$A$93:$AZ$93,1,OC_Txn)))</f>
        <v/>
      </c>
      <c r="M93">
        <f>IF(OC_Pay=0,"",IF(INDEX('OneCause_Paste'!$A$93:$AZ$93,1,OC_Pay)="","",INDEX('OneCause_Paste'!$A$93:$AZ$93,1,OC_Pay)))</f>
        <v/>
      </c>
      <c r="N93">
        <f>IF(I93="","",IF(ISNUMBER(I93),INT(I93),IFERROR(INT(DATEVALUE(I93)),IFERROR(INT(VALUE(I93)),"bad"))))</f>
        <v/>
      </c>
      <c r="O93">
        <f>IF(J93="","",IF(ISNUMBER(J93),ROUND(J93,2),IFERROR(ROUND(VALUE(SUBSTITUTE(SUBSTITUTE(SUBSTITUTE(J93,"$",""),",","")," ","")),2),"bad")))</f>
        <v/>
      </c>
      <c r="P93">
        <f>IF(TRIM(K93)="","",IFERROR(MATCH(LOWER(TRIM(K93)),'Students'!$AH$2:$AH$701,0),IFERROR(MATCH(LOWER(TRIM(K93)),'Students'!$AF$2:$AF$701,0),IFERROR(MATCH(LOWER(TRIM(K93)),'Students'!$AG$2:$AG$701,0),""))))</f>
        <v/>
      </c>
      <c r="R93">
        <f>IF(P93="","",INDEX('Students'!$AD$2:$AD$701,P93))</f>
        <v/>
      </c>
      <c r="S93">
        <f>IF(H93="OK",O93,0)</f>
        <v/>
      </c>
      <c r="T93">
        <f>IF(H93="OK",N93,"")</f>
        <v/>
      </c>
      <c r="U93">
        <f>IF(OC_Donor=0,"",IF(INDEX('OneCause_Paste'!$A$93:$AZ$93,1,OC_Donor)="","",INDEX('OneCause_Paste'!$A$93:$AZ$93,1,OC_Donor)))</f>
        <v/>
      </c>
    </row>
    <row r="94">
      <c r="A94" s="62">
        <f>IF(H94="","",IF(ISNUMBER(N94),N94,I94))</f>
        <v/>
      </c>
      <c r="B94">
        <f>IF(H94="","",U94)</f>
        <v/>
      </c>
      <c r="C94">
        <f>IF(H94="","",IF(P94="",K94,INDEX('Students'!$A$2:$A$701,P94)))</f>
        <v/>
      </c>
      <c r="D94">
        <f>IF(OR(H94="",P94=""),"",INDEX('Students'!$B$2:$B$701,P94))</f>
        <v/>
      </c>
      <c r="E94">
        <f>IF(OR(H94="",P94=""),"",INDEX('Students'!$C$2:$C$701,P94))</f>
        <v/>
      </c>
      <c r="F94" s="48">
        <f>IF(H94="","",IF(ISNUMBER(O94),O94,J94))</f>
        <v/>
      </c>
      <c r="G94">
        <f>IF(H94="","","OneCause")</f>
        <v/>
      </c>
      <c r="H94">
        <f>IF(AND(I94="",J94="",K94=""),"",IF(NOT(ISNUMBER(O94)),"Bad amount",IF(O94&lt;0,"Refund (not counted)",IF(O94=0,"Zero amount",IF(NOT(ISNUMBER(N94)),"Bad date",IF(P94="","NAME NOT ON ROSTER",IF(L94="","OK",IF(MATCH(L94,$L$2:$L$3001,0)&lt;ROW()-1,"Duplicate (ignored)","OK"))))))))</f>
        <v/>
      </c>
      <c r="I94">
        <f>IF(OC_Date=0,"",IF(INDEX('OneCause_Paste'!$A$94:$AZ$94,1,OC_Date)="","",INDEX('OneCause_Paste'!$A$94:$AZ$94,1,OC_Date)))</f>
        <v/>
      </c>
      <c r="J94">
        <f>IF(OC_Amt=0,"",IF(INDEX('OneCause_Paste'!$A$94:$AZ$94,1,OC_Amt)="","",INDEX('OneCause_Paste'!$A$94:$AZ$94,1,OC_Amt)))</f>
        <v/>
      </c>
      <c r="K94">
        <f>IF(OC_Name=0,"",IF(INDEX('OneCause_Paste'!$A$94:$AZ$94,1,OC_Name)="","",INDEX('OneCause_Paste'!$A$94:$AZ$94,1,OC_Name)))</f>
        <v/>
      </c>
      <c r="L94">
        <f>IF(OC_Txn=0,"",IF(INDEX('OneCause_Paste'!$A$94:$AZ$94,1,OC_Txn)="","",INDEX('OneCause_Paste'!$A$94:$AZ$94,1,OC_Txn)))</f>
        <v/>
      </c>
      <c r="M94">
        <f>IF(OC_Pay=0,"",IF(INDEX('OneCause_Paste'!$A$94:$AZ$94,1,OC_Pay)="","",INDEX('OneCause_Paste'!$A$94:$AZ$94,1,OC_Pay)))</f>
        <v/>
      </c>
      <c r="N94">
        <f>IF(I94="","",IF(ISNUMBER(I94),INT(I94),IFERROR(INT(DATEVALUE(I94)),IFERROR(INT(VALUE(I94)),"bad"))))</f>
        <v/>
      </c>
      <c r="O94">
        <f>IF(J94="","",IF(ISNUMBER(J94),ROUND(J94,2),IFERROR(ROUND(VALUE(SUBSTITUTE(SUBSTITUTE(SUBSTITUTE(J94,"$",""),",","")," ","")),2),"bad")))</f>
        <v/>
      </c>
      <c r="P94">
        <f>IF(TRIM(K94)="","",IFERROR(MATCH(LOWER(TRIM(K94)),'Students'!$AH$2:$AH$701,0),IFERROR(MATCH(LOWER(TRIM(K94)),'Students'!$AF$2:$AF$701,0),IFERROR(MATCH(LOWER(TRIM(K94)),'Students'!$AG$2:$AG$701,0),""))))</f>
        <v/>
      </c>
      <c r="R94">
        <f>IF(P94="","",INDEX('Students'!$AD$2:$AD$701,P94))</f>
        <v/>
      </c>
      <c r="S94">
        <f>IF(H94="OK",O94,0)</f>
        <v/>
      </c>
      <c r="T94">
        <f>IF(H94="OK",N94,"")</f>
        <v/>
      </c>
      <c r="U94">
        <f>IF(OC_Donor=0,"",IF(INDEX('OneCause_Paste'!$A$94:$AZ$94,1,OC_Donor)="","",INDEX('OneCause_Paste'!$A$94:$AZ$94,1,OC_Donor)))</f>
        <v/>
      </c>
    </row>
    <row r="95">
      <c r="A95" s="62">
        <f>IF(H95="","",IF(ISNUMBER(N95),N95,I95))</f>
        <v/>
      </c>
      <c r="B95">
        <f>IF(H95="","",U95)</f>
        <v/>
      </c>
      <c r="C95">
        <f>IF(H95="","",IF(P95="",K95,INDEX('Students'!$A$2:$A$701,P95)))</f>
        <v/>
      </c>
      <c r="D95">
        <f>IF(OR(H95="",P95=""),"",INDEX('Students'!$B$2:$B$701,P95))</f>
        <v/>
      </c>
      <c r="E95">
        <f>IF(OR(H95="",P95=""),"",INDEX('Students'!$C$2:$C$701,P95))</f>
        <v/>
      </c>
      <c r="F95" s="48">
        <f>IF(H95="","",IF(ISNUMBER(O95),O95,J95))</f>
        <v/>
      </c>
      <c r="G95">
        <f>IF(H95="","","OneCause")</f>
        <v/>
      </c>
      <c r="H95">
        <f>IF(AND(I95="",J95="",K95=""),"",IF(NOT(ISNUMBER(O95)),"Bad amount",IF(O95&lt;0,"Refund (not counted)",IF(O95=0,"Zero amount",IF(NOT(ISNUMBER(N95)),"Bad date",IF(P95="","NAME NOT ON ROSTER",IF(L95="","OK",IF(MATCH(L95,$L$2:$L$3001,0)&lt;ROW()-1,"Duplicate (ignored)","OK"))))))))</f>
        <v/>
      </c>
      <c r="I95">
        <f>IF(OC_Date=0,"",IF(INDEX('OneCause_Paste'!$A$95:$AZ$95,1,OC_Date)="","",INDEX('OneCause_Paste'!$A$95:$AZ$95,1,OC_Date)))</f>
        <v/>
      </c>
      <c r="J95">
        <f>IF(OC_Amt=0,"",IF(INDEX('OneCause_Paste'!$A$95:$AZ$95,1,OC_Amt)="","",INDEX('OneCause_Paste'!$A$95:$AZ$95,1,OC_Amt)))</f>
        <v/>
      </c>
      <c r="K95">
        <f>IF(OC_Name=0,"",IF(INDEX('OneCause_Paste'!$A$95:$AZ$95,1,OC_Name)="","",INDEX('OneCause_Paste'!$A$95:$AZ$95,1,OC_Name)))</f>
        <v/>
      </c>
      <c r="L95">
        <f>IF(OC_Txn=0,"",IF(INDEX('OneCause_Paste'!$A$95:$AZ$95,1,OC_Txn)="","",INDEX('OneCause_Paste'!$A$95:$AZ$95,1,OC_Txn)))</f>
        <v/>
      </c>
      <c r="M95">
        <f>IF(OC_Pay=0,"",IF(INDEX('OneCause_Paste'!$A$95:$AZ$95,1,OC_Pay)="","",INDEX('OneCause_Paste'!$A$95:$AZ$95,1,OC_Pay)))</f>
        <v/>
      </c>
      <c r="N95">
        <f>IF(I95="","",IF(ISNUMBER(I95),INT(I95),IFERROR(INT(DATEVALUE(I95)),IFERROR(INT(VALUE(I95)),"bad"))))</f>
        <v/>
      </c>
      <c r="O95">
        <f>IF(J95="","",IF(ISNUMBER(J95),ROUND(J95,2),IFERROR(ROUND(VALUE(SUBSTITUTE(SUBSTITUTE(SUBSTITUTE(J95,"$",""),",","")," ","")),2),"bad")))</f>
        <v/>
      </c>
      <c r="P95">
        <f>IF(TRIM(K95)="","",IFERROR(MATCH(LOWER(TRIM(K95)),'Students'!$AH$2:$AH$701,0),IFERROR(MATCH(LOWER(TRIM(K95)),'Students'!$AF$2:$AF$701,0),IFERROR(MATCH(LOWER(TRIM(K95)),'Students'!$AG$2:$AG$701,0),""))))</f>
        <v/>
      </c>
      <c r="R95">
        <f>IF(P95="","",INDEX('Students'!$AD$2:$AD$701,P95))</f>
        <v/>
      </c>
      <c r="S95">
        <f>IF(H95="OK",O95,0)</f>
        <v/>
      </c>
      <c r="T95">
        <f>IF(H95="OK",N95,"")</f>
        <v/>
      </c>
      <c r="U95">
        <f>IF(OC_Donor=0,"",IF(INDEX('OneCause_Paste'!$A$95:$AZ$95,1,OC_Donor)="","",INDEX('OneCause_Paste'!$A$95:$AZ$95,1,OC_Donor)))</f>
        <v/>
      </c>
    </row>
    <row r="96">
      <c r="A96" s="62">
        <f>IF(H96="","",IF(ISNUMBER(N96),N96,I96))</f>
        <v/>
      </c>
      <c r="B96">
        <f>IF(H96="","",U96)</f>
        <v/>
      </c>
      <c r="C96">
        <f>IF(H96="","",IF(P96="",K96,INDEX('Students'!$A$2:$A$701,P96)))</f>
        <v/>
      </c>
      <c r="D96">
        <f>IF(OR(H96="",P96=""),"",INDEX('Students'!$B$2:$B$701,P96))</f>
        <v/>
      </c>
      <c r="E96">
        <f>IF(OR(H96="",P96=""),"",INDEX('Students'!$C$2:$C$701,P96))</f>
        <v/>
      </c>
      <c r="F96" s="48">
        <f>IF(H96="","",IF(ISNUMBER(O96),O96,J96))</f>
        <v/>
      </c>
      <c r="G96">
        <f>IF(H96="","","OneCause")</f>
        <v/>
      </c>
      <c r="H96">
        <f>IF(AND(I96="",J96="",K96=""),"",IF(NOT(ISNUMBER(O96)),"Bad amount",IF(O96&lt;0,"Refund (not counted)",IF(O96=0,"Zero amount",IF(NOT(ISNUMBER(N96)),"Bad date",IF(P96="","NAME NOT ON ROSTER",IF(L96="","OK",IF(MATCH(L96,$L$2:$L$3001,0)&lt;ROW()-1,"Duplicate (ignored)","OK"))))))))</f>
        <v/>
      </c>
      <c r="I96">
        <f>IF(OC_Date=0,"",IF(INDEX('OneCause_Paste'!$A$96:$AZ$96,1,OC_Date)="","",INDEX('OneCause_Paste'!$A$96:$AZ$96,1,OC_Date)))</f>
        <v/>
      </c>
      <c r="J96">
        <f>IF(OC_Amt=0,"",IF(INDEX('OneCause_Paste'!$A$96:$AZ$96,1,OC_Amt)="","",INDEX('OneCause_Paste'!$A$96:$AZ$96,1,OC_Amt)))</f>
        <v/>
      </c>
      <c r="K96">
        <f>IF(OC_Name=0,"",IF(INDEX('OneCause_Paste'!$A$96:$AZ$96,1,OC_Name)="","",INDEX('OneCause_Paste'!$A$96:$AZ$96,1,OC_Name)))</f>
        <v/>
      </c>
      <c r="L96">
        <f>IF(OC_Txn=0,"",IF(INDEX('OneCause_Paste'!$A$96:$AZ$96,1,OC_Txn)="","",INDEX('OneCause_Paste'!$A$96:$AZ$96,1,OC_Txn)))</f>
        <v/>
      </c>
      <c r="M96">
        <f>IF(OC_Pay=0,"",IF(INDEX('OneCause_Paste'!$A$96:$AZ$96,1,OC_Pay)="","",INDEX('OneCause_Paste'!$A$96:$AZ$96,1,OC_Pay)))</f>
        <v/>
      </c>
      <c r="N96">
        <f>IF(I96="","",IF(ISNUMBER(I96),INT(I96),IFERROR(INT(DATEVALUE(I96)),IFERROR(INT(VALUE(I96)),"bad"))))</f>
        <v/>
      </c>
      <c r="O96">
        <f>IF(J96="","",IF(ISNUMBER(J96),ROUND(J96,2),IFERROR(ROUND(VALUE(SUBSTITUTE(SUBSTITUTE(SUBSTITUTE(J96,"$",""),",","")," ","")),2),"bad")))</f>
        <v/>
      </c>
      <c r="P96">
        <f>IF(TRIM(K96)="","",IFERROR(MATCH(LOWER(TRIM(K96)),'Students'!$AH$2:$AH$701,0),IFERROR(MATCH(LOWER(TRIM(K96)),'Students'!$AF$2:$AF$701,0),IFERROR(MATCH(LOWER(TRIM(K96)),'Students'!$AG$2:$AG$701,0),""))))</f>
        <v/>
      </c>
      <c r="R96">
        <f>IF(P96="","",INDEX('Students'!$AD$2:$AD$701,P96))</f>
        <v/>
      </c>
      <c r="S96">
        <f>IF(H96="OK",O96,0)</f>
        <v/>
      </c>
      <c r="T96">
        <f>IF(H96="OK",N96,"")</f>
        <v/>
      </c>
      <c r="U96">
        <f>IF(OC_Donor=0,"",IF(INDEX('OneCause_Paste'!$A$96:$AZ$96,1,OC_Donor)="","",INDEX('OneCause_Paste'!$A$96:$AZ$96,1,OC_Donor)))</f>
        <v/>
      </c>
    </row>
    <row r="97">
      <c r="A97" s="62">
        <f>IF(H97="","",IF(ISNUMBER(N97),N97,I97))</f>
        <v/>
      </c>
      <c r="B97">
        <f>IF(H97="","",U97)</f>
        <v/>
      </c>
      <c r="C97">
        <f>IF(H97="","",IF(P97="",K97,INDEX('Students'!$A$2:$A$701,P97)))</f>
        <v/>
      </c>
      <c r="D97">
        <f>IF(OR(H97="",P97=""),"",INDEX('Students'!$B$2:$B$701,P97))</f>
        <v/>
      </c>
      <c r="E97">
        <f>IF(OR(H97="",P97=""),"",INDEX('Students'!$C$2:$C$701,P97))</f>
        <v/>
      </c>
      <c r="F97" s="48">
        <f>IF(H97="","",IF(ISNUMBER(O97),O97,J97))</f>
        <v/>
      </c>
      <c r="G97">
        <f>IF(H97="","","OneCause")</f>
        <v/>
      </c>
      <c r="H97">
        <f>IF(AND(I97="",J97="",K97=""),"",IF(NOT(ISNUMBER(O97)),"Bad amount",IF(O97&lt;0,"Refund (not counted)",IF(O97=0,"Zero amount",IF(NOT(ISNUMBER(N97)),"Bad date",IF(P97="","NAME NOT ON ROSTER",IF(L97="","OK",IF(MATCH(L97,$L$2:$L$3001,0)&lt;ROW()-1,"Duplicate (ignored)","OK"))))))))</f>
        <v/>
      </c>
      <c r="I97">
        <f>IF(OC_Date=0,"",IF(INDEX('OneCause_Paste'!$A$97:$AZ$97,1,OC_Date)="","",INDEX('OneCause_Paste'!$A$97:$AZ$97,1,OC_Date)))</f>
        <v/>
      </c>
      <c r="J97">
        <f>IF(OC_Amt=0,"",IF(INDEX('OneCause_Paste'!$A$97:$AZ$97,1,OC_Amt)="","",INDEX('OneCause_Paste'!$A$97:$AZ$97,1,OC_Amt)))</f>
        <v/>
      </c>
      <c r="K97">
        <f>IF(OC_Name=0,"",IF(INDEX('OneCause_Paste'!$A$97:$AZ$97,1,OC_Name)="","",INDEX('OneCause_Paste'!$A$97:$AZ$97,1,OC_Name)))</f>
        <v/>
      </c>
      <c r="L97">
        <f>IF(OC_Txn=0,"",IF(INDEX('OneCause_Paste'!$A$97:$AZ$97,1,OC_Txn)="","",INDEX('OneCause_Paste'!$A$97:$AZ$97,1,OC_Txn)))</f>
        <v/>
      </c>
      <c r="M97">
        <f>IF(OC_Pay=0,"",IF(INDEX('OneCause_Paste'!$A$97:$AZ$97,1,OC_Pay)="","",INDEX('OneCause_Paste'!$A$97:$AZ$97,1,OC_Pay)))</f>
        <v/>
      </c>
      <c r="N97">
        <f>IF(I97="","",IF(ISNUMBER(I97),INT(I97),IFERROR(INT(DATEVALUE(I97)),IFERROR(INT(VALUE(I97)),"bad"))))</f>
        <v/>
      </c>
      <c r="O97">
        <f>IF(J97="","",IF(ISNUMBER(J97),ROUND(J97,2),IFERROR(ROUND(VALUE(SUBSTITUTE(SUBSTITUTE(SUBSTITUTE(J97,"$",""),",","")," ","")),2),"bad")))</f>
        <v/>
      </c>
      <c r="P97">
        <f>IF(TRIM(K97)="","",IFERROR(MATCH(LOWER(TRIM(K97)),'Students'!$AH$2:$AH$701,0),IFERROR(MATCH(LOWER(TRIM(K97)),'Students'!$AF$2:$AF$701,0),IFERROR(MATCH(LOWER(TRIM(K97)),'Students'!$AG$2:$AG$701,0),""))))</f>
        <v/>
      </c>
      <c r="R97">
        <f>IF(P97="","",INDEX('Students'!$AD$2:$AD$701,P97))</f>
        <v/>
      </c>
      <c r="S97">
        <f>IF(H97="OK",O97,0)</f>
        <v/>
      </c>
      <c r="T97">
        <f>IF(H97="OK",N97,"")</f>
        <v/>
      </c>
      <c r="U97">
        <f>IF(OC_Donor=0,"",IF(INDEX('OneCause_Paste'!$A$97:$AZ$97,1,OC_Donor)="","",INDEX('OneCause_Paste'!$A$97:$AZ$97,1,OC_Donor)))</f>
        <v/>
      </c>
    </row>
    <row r="98">
      <c r="A98" s="62">
        <f>IF(H98="","",IF(ISNUMBER(N98),N98,I98))</f>
        <v/>
      </c>
      <c r="B98">
        <f>IF(H98="","",U98)</f>
        <v/>
      </c>
      <c r="C98">
        <f>IF(H98="","",IF(P98="",K98,INDEX('Students'!$A$2:$A$701,P98)))</f>
        <v/>
      </c>
      <c r="D98">
        <f>IF(OR(H98="",P98=""),"",INDEX('Students'!$B$2:$B$701,P98))</f>
        <v/>
      </c>
      <c r="E98">
        <f>IF(OR(H98="",P98=""),"",INDEX('Students'!$C$2:$C$701,P98))</f>
        <v/>
      </c>
      <c r="F98" s="48">
        <f>IF(H98="","",IF(ISNUMBER(O98),O98,J98))</f>
        <v/>
      </c>
      <c r="G98">
        <f>IF(H98="","","OneCause")</f>
        <v/>
      </c>
      <c r="H98">
        <f>IF(AND(I98="",J98="",K98=""),"",IF(NOT(ISNUMBER(O98)),"Bad amount",IF(O98&lt;0,"Refund (not counted)",IF(O98=0,"Zero amount",IF(NOT(ISNUMBER(N98)),"Bad date",IF(P98="","NAME NOT ON ROSTER",IF(L98="","OK",IF(MATCH(L98,$L$2:$L$3001,0)&lt;ROW()-1,"Duplicate (ignored)","OK"))))))))</f>
        <v/>
      </c>
      <c r="I98">
        <f>IF(OC_Date=0,"",IF(INDEX('OneCause_Paste'!$A$98:$AZ$98,1,OC_Date)="","",INDEX('OneCause_Paste'!$A$98:$AZ$98,1,OC_Date)))</f>
        <v/>
      </c>
      <c r="J98">
        <f>IF(OC_Amt=0,"",IF(INDEX('OneCause_Paste'!$A$98:$AZ$98,1,OC_Amt)="","",INDEX('OneCause_Paste'!$A$98:$AZ$98,1,OC_Amt)))</f>
        <v/>
      </c>
      <c r="K98">
        <f>IF(OC_Name=0,"",IF(INDEX('OneCause_Paste'!$A$98:$AZ$98,1,OC_Name)="","",INDEX('OneCause_Paste'!$A$98:$AZ$98,1,OC_Name)))</f>
        <v/>
      </c>
      <c r="L98">
        <f>IF(OC_Txn=0,"",IF(INDEX('OneCause_Paste'!$A$98:$AZ$98,1,OC_Txn)="","",INDEX('OneCause_Paste'!$A$98:$AZ$98,1,OC_Txn)))</f>
        <v/>
      </c>
      <c r="M98">
        <f>IF(OC_Pay=0,"",IF(INDEX('OneCause_Paste'!$A$98:$AZ$98,1,OC_Pay)="","",INDEX('OneCause_Paste'!$A$98:$AZ$98,1,OC_Pay)))</f>
        <v/>
      </c>
      <c r="N98">
        <f>IF(I98="","",IF(ISNUMBER(I98),INT(I98),IFERROR(INT(DATEVALUE(I98)),IFERROR(INT(VALUE(I98)),"bad"))))</f>
        <v/>
      </c>
      <c r="O98">
        <f>IF(J98="","",IF(ISNUMBER(J98),ROUND(J98,2),IFERROR(ROUND(VALUE(SUBSTITUTE(SUBSTITUTE(SUBSTITUTE(J98,"$",""),",","")," ","")),2),"bad")))</f>
        <v/>
      </c>
      <c r="P98">
        <f>IF(TRIM(K98)="","",IFERROR(MATCH(LOWER(TRIM(K98)),'Students'!$AH$2:$AH$701,0),IFERROR(MATCH(LOWER(TRIM(K98)),'Students'!$AF$2:$AF$701,0),IFERROR(MATCH(LOWER(TRIM(K98)),'Students'!$AG$2:$AG$701,0),""))))</f>
        <v/>
      </c>
      <c r="R98">
        <f>IF(P98="","",INDEX('Students'!$AD$2:$AD$701,P98))</f>
        <v/>
      </c>
      <c r="S98">
        <f>IF(H98="OK",O98,0)</f>
        <v/>
      </c>
      <c r="T98">
        <f>IF(H98="OK",N98,"")</f>
        <v/>
      </c>
      <c r="U98">
        <f>IF(OC_Donor=0,"",IF(INDEX('OneCause_Paste'!$A$98:$AZ$98,1,OC_Donor)="","",INDEX('OneCause_Paste'!$A$98:$AZ$98,1,OC_Donor)))</f>
        <v/>
      </c>
    </row>
    <row r="99">
      <c r="A99" s="62">
        <f>IF(H99="","",IF(ISNUMBER(N99),N99,I99))</f>
        <v/>
      </c>
      <c r="B99">
        <f>IF(H99="","",U99)</f>
        <v/>
      </c>
      <c r="C99">
        <f>IF(H99="","",IF(P99="",K99,INDEX('Students'!$A$2:$A$701,P99)))</f>
        <v/>
      </c>
      <c r="D99">
        <f>IF(OR(H99="",P99=""),"",INDEX('Students'!$B$2:$B$701,P99))</f>
        <v/>
      </c>
      <c r="E99">
        <f>IF(OR(H99="",P99=""),"",INDEX('Students'!$C$2:$C$701,P99))</f>
        <v/>
      </c>
      <c r="F99" s="48">
        <f>IF(H99="","",IF(ISNUMBER(O99),O99,J99))</f>
        <v/>
      </c>
      <c r="G99">
        <f>IF(H99="","","OneCause")</f>
        <v/>
      </c>
      <c r="H99">
        <f>IF(AND(I99="",J99="",K99=""),"",IF(NOT(ISNUMBER(O99)),"Bad amount",IF(O99&lt;0,"Refund (not counted)",IF(O99=0,"Zero amount",IF(NOT(ISNUMBER(N99)),"Bad date",IF(P99="","NAME NOT ON ROSTER",IF(L99="","OK",IF(MATCH(L99,$L$2:$L$3001,0)&lt;ROW()-1,"Duplicate (ignored)","OK"))))))))</f>
        <v/>
      </c>
      <c r="I99">
        <f>IF(OC_Date=0,"",IF(INDEX('OneCause_Paste'!$A$99:$AZ$99,1,OC_Date)="","",INDEX('OneCause_Paste'!$A$99:$AZ$99,1,OC_Date)))</f>
        <v/>
      </c>
      <c r="J99">
        <f>IF(OC_Amt=0,"",IF(INDEX('OneCause_Paste'!$A$99:$AZ$99,1,OC_Amt)="","",INDEX('OneCause_Paste'!$A$99:$AZ$99,1,OC_Amt)))</f>
        <v/>
      </c>
      <c r="K99">
        <f>IF(OC_Name=0,"",IF(INDEX('OneCause_Paste'!$A$99:$AZ$99,1,OC_Name)="","",INDEX('OneCause_Paste'!$A$99:$AZ$99,1,OC_Name)))</f>
        <v/>
      </c>
      <c r="L99">
        <f>IF(OC_Txn=0,"",IF(INDEX('OneCause_Paste'!$A$99:$AZ$99,1,OC_Txn)="","",INDEX('OneCause_Paste'!$A$99:$AZ$99,1,OC_Txn)))</f>
        <v/>
      </c>
      <c r="M99">
        <f>IF(OC_Pay=0,"",IF(INDEX('OneCause_Paste'!$A$99:$AZ$99,1,OC_Pay)="","",INDEX('OneCause_Paste'!$A$99:$AZ$99,1,OC_Pay)))</f>
        <v/>
      </c>
      <c r="N99">
        <f>IF(I99="","",IF(ISNUMBER(I99),INT(I99),IFERROR(INT(DATEVALUE(I99)),IFERROR(INT(VALUE(I99)),"bad"))))</f>
        <v/>
      </c>
      <c r="O99">
        <f>IF(J99="","",IF(ISNUMBER(J99),ROUND(J99,2),IFERROR(ROUND(VALUE(SUBSTITUTE(SUBSTITUTE(SUBSTITUTE(J99,"$",""),",","")," ","")),2),"bad")))</f>
        <v/>
      </c>
      <c r="P99">
        <f>IF(TRIM(K99)="","",IFERROR(MATCH(LOWER(TRIM(K99)),'Students'!$AH$2:$AH$701,0),IFERROR(MATCH(LOWER(TRIM(K99)),'Students'!$AF$2:$AF$701,0),IFERROR(MATCH(LOWER(TRIM(K99)),'Students'!$AG$2:$AG$701,0),""))))</f>
        <v/>
      </c>
      <c r="R99">
        <f>IF(P99="","",INDEX('Students'!$AD$2:$AD$701,P99))</f>
        <v/>
      </c>
      <c r="S99">
        <f>IF(H99="OK",O99,0)</f>
        <v/>
      </c>
      <c r="T99">
        <f>IF(H99="OK",N99,"")</f>
        <v/>
      </c>
      <c r="U99">
        <f>IF(OC_Donor=0,"",IF(INDEX('OneCause_Paste'!$A$99:$AZ$99,1,OC_Donor)="","",INDEX('OneCause_Paste'!$A$99:$AZ$99,1,OC_Donor)))</f>
        <v/>
      </c>
    </row>
    <row r="100">
      <c r="A100" s="62">
        <f>IF(H100="","",IF(ISNUMBER(N100),N100,I100))</f>
        <v/>
      </c>
      <c r="B100">
        <f>IF(H100="","",U100)</f>
        <v/>
      </c>
      <c r="C100">
        <f>IF(H100="","",IF(P100="",K100,INDEX('Students'!$A$2:$A$701,P100)))</f>
        <v/>
      </c>
      <c r="D100">
        <f>IF(OR(H100="",P100=""),"",INDEX('Students'!$B$2:$B$701,P100))</f>
        <v/>
      </c>
      <c r="E100">
        <f>IF(OR(H100="",P100=""),"",INDEX('Students'!$C$2:$C$701,P100))</f>
        <v/>
      </c>
      <c r="F100" s="48">
        <f>IF(H100="","",IF(ISNUMBER(O100),O100,J100))</f>
        <v/>
      </c>
      <c r="G100">
        <f>IF(H100="","","OneCause")</f>
        <v/>
      </c>
      <c r="H100">
        <f>IF(AND(I100="",J100="",K100=""),"",IF(NOT(ISNUMBER(O100)),"Bad amount",IF(O100&lt;0,"Refund (not counted)",IF(O100=0,"Zero amount",IF(NOT(ISNUMBER(N100)),"Bad date",IF(P100="","NAME NOT ON ROSTER",IF(L100="","OK",IF(MATCH(L100,$L$2:$L$3001,0)&lt;ROW()-1,"Duplicate (ignored)","OK"))))))))</f>
        <v/>
      </c>
      <c r="I100">
        <f>IF(OC_Date=0,"",IF(INDEX('OneCause_Paste'!$A$100:$AZ$100,1,OC_Date)="","",INDEX('OneCause_Paste'!$A$100:$AZ$100,1,OC_Date)))</f>
        <v/>
      </c>
      <c r="J100">
        <f>IF(OC_Amt=0,"",IF(INDEX('OneCause_Paste'!$A$100:$AZ$100,1,OC_Amt)="","",INDEX('OneCause_Paste'!$A$100:$AZ$100,1,OC_Amt)))</f>
        <v/>
      </c>
      <c r="K100">
        <f>IF(OC_Name=0,"",IF(INDEX('OneCause_Paste'!$A$100:$AZ$100,1,OC_Name)="","",INDEX('OneCause_Paste'!$A$100:$AZ$100,1,OC_Name)))</f>
        <v/>
      </c>
      <c r="L100">
        <f>IF(OC_Txn=0,"",IF(INDEX('OneCause_Paste'!$A$100:$AZ$100,1,OC_Txn)="","",INDEX('OneCause_Paste'!$A$100:$AZ$100,1,OC_Txn)))</f>
        <v/>
      </c>
      <c r="M100">
        <f>IF(OC_Pay=0,"",IF(INDEX('OneCause_Paste'!$A$100:$AZ$100,1,OC_Pay)="","",INDEX('OneCause_Paste'!$A$100:$AZ$100,1,OC_Pay)))</f>
        <v/>
      </c>
      <c r="N100">
        <f>IF(I100="","",IF(ISNUMBER(I100),INT(I100),IFERROR(INT(DATEVALUE(I100)),IFERROR(INT(VALUE(I100)),"bad"))))</f>
        <v/>
      </c>
      <c r="O100">
        <f>IF(J100="","",IF(ISNUMBER(J100),ROUND(J100,2),IFERROR(ROUND(VALUE(SUBSTITUTE(SUBSTITUTE(SUBSTITUTE(J100,"$",""),",","")," ","")),2),"bad")))</f>
        <v/>
      </c>
      <c r="P100">
        <f>IF(TRIM(K100)="","",IFERROR(MATCH(LOWER(TRIM(K100)),'Students'!$AH$2:$AH$701,0),IFERROR(MATCH(LOWER(TRIM(K100)),'Students'!$AF$2:$AF$701,0),IFERROR(MATCH(LOWER(TRIM(K100)),'Students'!$AG$2:$AG$701,0),""))))</f>
        <v/>
      </c>
      <c r="R100">
        <f>IF(P100="","",INDEX('Students'!$AD$2:$AD$701,P100))</f>
        <v/>
      </c>
      <c r="S100">
        <f>IF(H100="OK",O100,0)</f>
        <v/>
      </c>
      <c r="T100">
        <f>IF(H100="OK",N100,"")</f>
        <v/>
      </c>
      <c r="U100">
        <f>IF(OC_Donor=0,"",IF(INDEX('OneCause_Paste'!$A$100:$AZ$100,1,OC_Donor)="","",INDEX('OneCause_Paste'!$A$100:$AZ$100,1,OC_Donor)))</f>
        <v/>
      </c>
    </row>
    <row r="101">
      <c r="A101" s="62">
        <f>IF(H101="","",IF(ISNUMBER(N101),N101,I101))</f>
        <v/>
      </c>
      <c r="B101">
        <f>IF(H101="","",U101)</f>
        <v/>
      </c>
      <c r="C101">
        <f>IF(H101="","",IF(P101="",K101,INDEX('Students'!$A$2:$A$701,P101)))</f>
        <v/>
      </c>
      <c r="D101">
        <f>IF(OR(H101="",P101=""),"",INDEX('Students'!$B$2:$B$701,P101))</f>
        <v/>
      </c>
      <c r="E101">
        <f>IF(OR(H101="",P101=""),"",INDEX('Students'!$C$2:$C$701,P101))</f>
        <v/>
      </c>
      <c r="F101" s="48">
        <f>IF(H101="","",IF(ISNUMBER(O101),O101,J101))</f>
        <v/>
      </c>
      <c r="G101">
        <f>IF(H101="","","OneCause")</f>
        <v/>
      </c>
      <c r="H101">
        <f>IF(AND(I101="",J101="",K101=""),"",IF(NOT(ISNUMBER(O101)),"Bad amount",IF(O101&lt;0,"Refund (not counted)",IF(O101=0,"Zero amount",IF(NOT(ISNUMBER(N101)),"Bad date",IF(P101="","NAME NOT ON ROSTER",IF(L101="","OK",IF(MATCH(L101,$L$2:$L$3001,0)&lt;ROW()-1,"Duplicate (ignored)","OK"))))))))</f>
        <v/>
      </c>
      <c r="I101">
        <f>IF(OC_Date=0,"",IF(INDEX('OneCause_Paste'!$A$101:$AZ$101,1,OC_Date)="","",INDEX('OneCause_Paste'!$A$101:$AZ$101,1,OC_Date)))</f>
        <v/>
      </c>
      <c r="J101">
        <f>IF(OC_Amt=0,"",IF(INDEX('OneCause_Paste'!$A$101:$AZ$101,1,OC_Amt)="","",INDEX('OneCause_Paste'!$A$101:$AZ$101,1,OC_Amt)))</f>
        <v/>
      </c>
      <c r="K101">
        <f>IF(OC_Name=0,"",IF(INDEX('OneCause_Paste'!$A$101:$AZ$101,1,OC_Name)="","",INDEX('OneCause_Paste'!$A$101:$AZ$101,1,OC_Name)))</f>
        <v/>
      </c>
      <c r="L101">
        <f>IF(OC_Txn=0,"",IF(INDEX('OneCause_Paste'!$A$101:$AZ$101,1,OC_Txn)="","",INDEX('OneCause_Paste'!$A$101:$AZ$101,1,OC_Txn)))</f>
        <v/>
      </c>
      <c r="M101">
        <f>IF(OC_Pay=0,"",IF(INDEX('OneCause_Paste'!$A$101:$AZ$101,1,OC_Pay)="","",INDEX('OneCause_Paste'!$A$101:$AZ$101,1,OC_Pay)))</f>
        <v/>
      </c>
      <c r="N101">
        <f>IF(I101="","",IF(ISNUMBER(I101),INT(I101),IFERROR(INT(DATEVALUE(I101)),IFERROR(INT(VALUE(I101)),"bad"))))</f>
        <v/>
      </c>
      <c r="O101">
        <f>IF(J101="","",IF(ISNUMBER(J101),ROUND(J101,2),IFERROR(ROUND(VALUE(SUBSTITUTE(SUBSTITUTE(SUBSTITUTE(J101,"$",""),",","")," ","")),2),"bad")))</f>
        <v/>
      </c>
      <c r="P101">
        <f>IF(TRIM(K101)="","",IFERROR(MATCH(LOWER(TRIM(K101)),'Students'!$AH$2:$AH$701,0),IFERROR(MATCH(LOWER(TRIM(K101)),'Students'!$AF$2:$AF$701,0),IFERROR(MATCH(LOWER(TRIM(K101)),'Students'!$AG$2:$AG$701,0),""))))</f>
        <v/>
      </c>
      <c r="R101">
        <f>IF(P101="","",INDEX('Students'!$AD$2:$AD$701,P101))</f>
        <v/>
      </c>
      <c r="S101">
        <f>IF(H101="OK",O101,0)</f>
        <v/>
      </c>
      <c r="T101">
        <f>IF(H101="OK",N101,"")</f>
        <v/>
      </c>
      <c r="U101">
        <f>IF(OC_Donor=0,"",IF(INDEX('OneCause_Paste'!$A$101:$AZ$101,1,OC_Donor)="","",INDEX('OneCause_Paste'!$A$101:$AZ$101,1,OC_Donor)))</f>
        <v/>
      </c>
    </row>
    <row r="102">
      <c r="A102" s="62">
        <f>IF(H102="","",IF(ISNUMBER(N102),N102,I102))</f>
        <v/>
      </c>
      <c r="B102">
        <f>IF(H102="","",U102)</f>
        <v/>
      </c>
      <c r="C102">
        <f>IF(H102="","",IF(P102="",K102,INDEX('Students'!$A$2:$A$701,P102)))</f>
        <v/>
      </c>
      <c r="D102">
        <f>IF(OR(H102="",P102=""),"",INDEX('Students'!$B$2:$B$701,P102))</f>
        <v/>
      </c>
      <c r="E102">
        <f>IF(OR(H102="",P102=""),"",INDEX('Students'!$C$2:$C$701,P102))</f>
        <v/>
      </c>
      <c r="F102" s="48">
        <f>IF(H102="","",IF(ISNUMBER(O102),O102,J102))</f>
        <v/>
      </c>
      <c r="G102">
        <f>IF(H102="","","OneCause")</f>
        <v/>
      </c>
      <c r="H102">
        <f>IF(AND(I102="",J102="",K102=""),"",IF(NOT(ISNUMBER(O102)),"Bad amount",IF(O102&lt;0,"Refund (not counted)",IF(O102=0,"Zero amount",IF(NOT(ISNUMBER(N102)),"Bad date",IF(P102="","NAME NOT ON ROSTER",IF(L102="","OK",IF(MATCH(L102,$L$2:$L$3001,0)&lt;ROW()-1,"Duplicate (ignored)","OK"))))))))</f>
        <v/>
      </c>
      <c r="I102">
        <f>IF(OC_Date=0,"",IF(INDEX('OneCause_Paste'!$A$102:$AZ$102,1,OC_Date)="","",INDEX('OneCause_Paste'!$A$102:$AZ$102,1,OC_Date)))</f>
        <v/>
      </c>
      <c r="J102">
        <f>IF(OC_Amt=0,"",IF(INDEX('OneCause_Paste'!$A$102:$AZ$102,1,OC_Amt)="","",INDEX('OneCause_Paste'!$A$102:$AZ$102,1,OC_Amt)))</f>
        <v/>
      </c>
      <c r="K102">
        <f>IF(OC_Name=0,"",IF(INDEX('OneCause_Paste'!$A$102:$AZ$102,1,OC_Name)="","",INDEX('OneCause_Paste'!$A$102:$AZ$102,1,OC_Name)))</f>
        <v/>
      </c>
      <c r="L102">
        <f>IF(OC_Txn=0,"",IF(INDEX('OneCause_Paste'!$A$102:$AZ$102,1,OC_Txn)="","",INDEX('OneCause_Paste'!$A$102:$AZ$102,1,OC_Txn)))</f>
        <v/>
      </c>
      <c r="M102">
        <f>IF(OC_Pay=0,"",IF(INDEX('OneCause_Paste'!$A$102:$AZ$102,1,OC_Pay)="","",INDEX('OneCause_Paste'!$A$102:$AZ$102,1,OC_Pay)))</f>
        <v/>
      </c>
      <c r="N102">
        <f>IF(I102="","",IF(ISNUMBER(I102),INT(I102),IFERROR(INT(DATEVALUE(I102)),IFERROR(INT(VALUE(I102)),"bad"))))</f>
        <v/>
      </c>
      <c r="O102">
        <f>IF(J102="","",IF(ISNUMBER(J102),ROUND(J102,2),IFERROR(ROUND(VALUE(SUBSTITUTE(SUBSTITUTE(SUBSTITUTE(J102,"$",""),",","")," ","")),2),"bad")))</f>
        <v/>
      </c>
      <c r="P102">
        <f>IF(TRIM(K102)="","",IFERROR(MATCH(LOWER(TRIM(K102)),'Students'!$AH$2:$AH$701,0),IFERROR(MATCH(LOWER(TRIM(K102)),'Students'!$AF$2:$AF$701,0),IFERROR(MATCH(LOWER(TRIM(K102)),'Students'!$AG$2:$AG$701,0),""))))</f>
        <v/>
      </c>
      <c r="R102">
        <f>IF(P102="","",INDEX('Students'!$AD$2:$AD$701,P102))</f>
        <v/>
      </c>
      <c r="S102">
        <f>IF(H102="OK",O102,0)</f>
        <v/>
      </c>
      <c r="T102">
        <f>IF(H102="OK",N102,"")</f>
        <v/>
      </c>
      <c r="U102">
        <f>IF(OC_Donor=0,"",IF(INDEX('OneCause_Paste'!$A$102:$AZ$102,1,OC_Donor)="","",INDEX('OneCause_Paste'!$A$102:$AZ$102,1,OC_Donor)))</f>
        <v/>
      </c>
    </row>
    <row r="103">
      <c r="A103" s="62">
        <f>IF(H103="","",IF(ISNUMBER(N103),N103,I103))</f>
        <v/>
      </c>
      <c r="B103">
        <f>IF(H103="","",U103)</f>
        <v/>
      </c>
      <c r="C103">
        <f>IF(H103="","",IF(P103="",K103,INDEX('Students'!$A$2:$A$701,P103)))</f>
        <v/>
      </c>
      <c r="D103">
        <f>IF(OR(H103="",P103=""),"",INDEX('Students'!$B$2:$B$701,P103))</f>
        <v/>
      </c>
      <c r="E103">
        <f>IF(OR(H103="",P103=""),"",INDEX('Students'!$C$2:$C$701,P103))</f>
        <v/>
      </c>
      <c r="F103" s="48">
        <f>IF(H103="","",IF(ISNUMBER(O103),O103,J103))</f>
        <v/>
      </c>
      <c r="G103">
        <f>IF(H103="","","OneCause")</f>
        <v/>
      </c>
      <c r="H103">
        <f>IF(AND(I103="",J103="",K103=""),"",IF(NOT(ISNUMBER(O103)),"Bad amount",IF(O103&lt;0,"Refund (not counted)",IF(O103=0,"Zero amount",IF(NOT(ISNUMBER(N103)),"Bad date",IF(P103="","NAME NOT ON ROSTER",IF(L103="","OK",IF(MATCH(L103,$L$2:$L$3001,0)&lt;ROW()-1,"Duplicate (ignored)","OK"))))))))</f>
        <v/>
      </c>
      <c r="I103">
        <f>IF(OC_Date=0,"",IF(INDEX('OneCause_Paste'!$A$103:$AZ$103,1,OC_Date)="","",INDEX('OneCause_Paste'!$A$103:$AZ$103,1,OC_Date)))</f>
        <v/>
      </c>
      <c r="J103">
        <f>IF(OC_Amt=0,"",IF(INDEX('OneCause_Paste'!$A$103:$AZ$103,1,OC_Amt)="","",INDEX('OneCause_Paste'!$A$103:$AZ$103,1,OC_Amt)))</f>
        <v/>
      </c>
      <c r="K103">
        <f>IF(OC_Name=0,"",IF(INDEX('OneCause_Paste'!$A$103:$AZ$103,1,OC_Name)="","",INDEX('OneCause_Paste'!$A$103:$AZ$103,1,OC_Name)))</f>
        <v/>
      </c>
      <c r="L103">
        <f>IF(OC_Txn=0,"",IF(INDEX('OneCause_Paste'!$A$103:$AZ$103,1,OC_Txn)="","",INDEX('OneCause_Paste'!$A$103:$AZ$103,1,OC_Txn)))</f>
        <v/>
      </c>
      <c r="M103">
        <f>IF(OC_Pay=0,"",IF(INDEX('OneCause_Paste'!$A$103:$AZ$103,1,OC_Pay)="","",INDEX('OneCause_Paste'!$A$103:$AZ$103,1,OC_Pay)))</f>
        <v/>
      </c>
      <c r="N103">
        <f>IF(I103="","",IF(ISNUMBER(I103),INT(I103),IFERROR(INT(DATEVALUE(I103)),IFERROR(INT(VALUE(I103)),"bad"))))</f>
        <v/>
      </c>
      <c r="O103">
        <f>IF(J103="","",IF(ISNUMBER(J103),ROUND(J103,2),IFERROR(ROUND(VALUE(SUBSTITUTE(SUBSTITUTE(SUBSTITUTE(J103,"$",""),",","")," ","")),2),"bad")))</f>
        <v/>
      </c>
      <c r="P103">
        <f>IF(TRIM(K103)="","",IFERROR(MATCH(LOWER(TRIM(K103)),'Students'!$AH$2:$AH$701,0),IFERROR(MATCH(LOWER(TRIM(K103)),'Students'!$AF$2:$AF$701,0),IFERROR(MATCH(LOWER(TRIM(K103)),'Students'!$AG$2:$AG$701,0),""))))</f>
        <v/>
      </c>
      <c r="R103">
        <f>IF(P103="","",INDEX('Students'!$AD$2:$AD$701,P103))</f>
        <v/>
      </c>
      <c r="S103">
        <f>IF(H103="OK",O103,0)</f>
        <v/>
      </c>
      <c r="T103">
        <f>IF(H103="OK",N103,"")</f>
        <v/>
      </c>
      <c r="U103">
        <f>IF(OC_Donor=0,"",IF(INDEX('OneCause_Paste'!$A$103:$AZ$103,1,OC_Donor)="","",INDEX('OneCause_Paste'!$A$103:$AZ$103,1,OC_Donor)))</f>
        <v/>
      </c>
    </row>
    <row r="104">
      <c r="A104" s="62">
        <f>IF(H104="","",IF(ISNUMBER(N104),N104,I104))</f>
        <v/>
      </c>
      <c r="B104">
        <f>IF(H104="","",U104)</f>
        <v/>
      </c>
      <c r="C104">
        <f>IF(H104="","",IF(P104="",K104,INDEX('Students'!$A$2:$A$701,P104)))</f>
        <v/>
      </c>
      <c r="D104">
        <f>IF(OR(H104="",P104=""),"",INDEX('Students'!$B$2:$B$701,P104))</f>
        <v/>
      </c>
      <c r="E104">
        <f>IF(OR(H104="",P104=""),"",INDEX('Students'!$C$2:$C$701,P104))</f>
        <v/>
      </c>
      <c r="F104" s="48">
        <f>IF(H104="","",IF(ISNUMBER(O104),O104,J104))</f>
        <v/>
      </c>
      <c r="G104">
        <f>IF(H104="","","OneCause")</f>
        <v/>
      </c>
      <c r="H104">
        <f>IF(AND(I104="",J104="",K104=""),"",IF(NOT(ISNUMBER(O104)),"Bad amount",IF(O104&lt;0,"Refund (not counted)",IF(O104=0,"Zero amount",IF(NOT(ISNUMBER(N104)),"Bad date",IF(P104="","NAME NOT ON ROSTER",IF(L104="","OK",IF(MATCH(L104,$L$2:$L$3001,0)&lt;ROW()-1,"Duplicate (ignored)","OK"))))))))</f>
        <v/>
      </c>
      <c r="I104">
        <f>IF(OC_Date=0,"",IF(INDEX('OneCause_Paste'!$A$104:$AZ$104,1,OC_Date)="","",INDEX('OneCause_Paste'!$A$104:$AZ$104,1,OC_Date)))</f>
        <v/>
      </c>
      <c r="J104">
        <f>IF(OC_Amt=0,"",IF(INDEX('OneCause_Paste'!$A$104:$AZ$104,1,OC_Amt)="","",INDEX('OneCause_Paste'!$A$104:$AZ$104,1,OC_Amt)))</f>
        <v/>
      </c>
      <c r="K104">
        <f>IF(OC_Name=0,"",IF(INDEX('OneCause_Paste'!$A$104:$AZ$104,1,OC_Name)="","",INDEX('OneCause_Paste'!$A$104:$AZ$104,1,OC_Name)))</f>
        <v/>
      </c>
      <c r="L104">
        <f>IF(OC_Txn=0,"",IF(INDEX('OneCause_Paste'!$A$104:$AZ$104,1,OC_Txn)="","",INDEX('OneCause_Paste'!$A$104:$AZ$104,1,OC_Txn)))</f>
        <v/>
      </c>
      <c r="M104">
        <f>IF(OC_Pay=0,"",IF(INDEX('OneCause_Paste'!$A$104:$AZ$104,1,OC_Pay)="","",INDEX('OneCause_Paste'!$A$104:$AZ$104,1,OC_Pay)))</f>
        <v/>
      </c>
      <c r="N104">
        <f>IF(I104="","",IF(ISNUMBER(I104),INT(I104),IFERROR(INT(DATEVALUE(I104)),IFERROR(INT(VALUE(I104)),"bad"))))</f>
        <v/>
      </c>
      <c r="O104">
        <f>IF(J104="","",IF(ISNUMBER(J104),ROUND(J104,2),IFERROR(ROUND(VALUE(SUBSTITUTE(SUBSTITUTE(SUBSTITUTE(J104,"$",""),",","")," ","")),2),"bad")))</f>
        <v/>
      </c>
      <c r="P104">
        <f>IF(TRIM(K104)="","",IFERROR(MATCH(LOWER(TRIM(K104)),'Students'!$AH$2:$AH$701,0),IFERROR(MATCH(LOWER(TRIM(K104)),'Students'!$AF$2:$AF$701,0),IFERROR(MATCH(LOWER(TRIM(K104)),'Students'!$AG$2:$AG$701,0),""))))</f>
        <v/>
      </c>
      <c r="R104">
        <f>IF(P104="","",INDEX('Students'!$AD$2:$AD$701,P104))</f>
        <v/>
      </c>
      <c r="S104">
        <f>IF(H104="OK",O104,0)</f>
        <v/>
      </c>
      <c r="T104">
        <f>IF(H104="OK",N104,"")</f>
        <v/>
      </c>
      <c r="U104">
        <f>IF(OC_Donor=0,"",IF(INDEX('OneCause_Paste'!$A$104:$AZ$104,1,OC_Donor)="","",INDEX('OneCause_Paste'!$A$104:$AZ$104,1,OC_Donor)))</f>
        <v/>
      </c>
    </row>
    <row r="105">
      <c r="A105" s="62">
        <f>IF(H105="","",IF(ISNUMBER(N105),N105,I105))</f>
        <v/>
      </c>
      <c r="B105">
        <f>IF(H105="","",U105)</f>
        <v/>
      </c>
      <c r="C105">
        <f>IF(H105="","",IF(P105="",K105,INDEX('Students'!$A$2:$A$701,P105)))</f>
        <v/>
      </c>
      <c r="D105">
        <f>IF(OR(H105="",P105=""),"",INDEX('Students'!$B$2:$B$701,P105))</f>
        <v/>
      </c>
      <c r="E105">
        <f>IF(OR(H105="",P105=""),"",INDEX('Students'!$C$2:$C$701,P105))</f>
        <v/>
      </c>
      <c r="F105" s="48">
        <f>IF(H105="","",IF(ISNUMBER(O105),O105,J105))</f>
        <v/>
      </c>
      <c r="G105">
        <f>IF(H105="","","OneCause")</f>
        <v/>
      </c>
      <c r="H105">
        <f>IF(AND(I105="",J105="",K105=""),"",IF(NOT(ISNUMBER(O105)),"Bad amount",IF(O105&lt;0,"Refund (not counted)",IF(O105=0,"Zero amount",IF(NOT(ISNUMBER(N105)),"Bad date",IF(P105="","NAME NOT ON ROSTER",IF(L105="","OK",IF(MATCH(L105,$L$2:$L$3001,0)&lt;ROW()-1,"Duplicate (ignored)","OK"))))))))</f>
        <v/>
      </c>
      <c r="I105">
        <f>IF(OC_Date=0,"",IF(INDEX('OneCause_Paste'!$A$105:$AZ$105,1,OC_Date)="","",INDEX('OneCause_Paste'!$A$105:$AZ$105,1,OC_Date)))</f>
        <v/>
      </c>
      <c r="J105">
        <f>IF(OC_Amt=0,"",IF(INDEX('OneCause_Paste'!$A$105:$AZ$105,1,OC_Amt)="","",INDEX('OneCause_Paste'!$A$105:$AZ$105,1,OC_Amt)))</f>
        <v/>
      </c>
      <c r="K105">
        <f>IF(OC_Name=0,"",IF(INDEX('OneCause_Paste'!$A$105:$AZ$105,1,OC_Name)="","",INDEX('OneCause_Paste'!$A$105:$AZ$105,1,OC_Name)))</f>
        <v/>
      </c>
      <c r="L105">
        <f>IF(OC_Txn=0,"",IF(INDEX('OneCause_Paste'!$A$105:$AZ$105,1,OC_Txn)="","",INDEX('OneCause_Paste'!$A$105:$AZ$105,1,OC_Txn)))</f>
        <v/>
      </c>
      <c r="M105">
        <f>IF(OC_Pay=0,"",IF(INDEX('OneCause_Paste'!$A$105:$AZ$105,1,OC_Pay)="","",INDEX('OneCause_Paste'!$A$105:$AZ$105,1,OC_Pay)))</f>
        <v/>
      </c>
      <c r="N105">
        <f>IF(I105="","",IF(ISNUMBER(I105),INT(I105),IFERROR(INT(DATEVALUE(I105)),IFERROR(INT(VALUE(I105)),"bad"))))</f>
        <v/>
      </c>
      <c r="O105">
        <f>IF(J105="","",IF(ISNUMBER(J105),ROUND(J105,2),IFERROR(ROUND(VALUE(SUBSTITUTE(SUBSTITUTE(SUBSTITUTE(J105,"$",""),",","")," ","")),2),"bad")))</f>
        <v/>
      </c>
      <c r="P105">
        <f>IF(TRIM(K105)="","",IFERROR(MATCH(LOWER(TRIM(K105)),'Students'!$AH$2:$AH$701,0),IFERROR(MATCH(LOWER(TRIM(K105)),'Students'!$AF$2:$AF$701,0),IFERROR(MATCH(LOWER(TRIM(K105)),'Students'!$AG$2:$AG$701,0),""))))</f>
        <v/>
      </c>
      <c r="R105">
        <f>IF(P105="","",INDEX('Students'!$AD$2:$AD$701,P105))</f>
        <v/>
      </c>
      <c r="S105">
        <f>IF(H105="OK",O105,0)</f>
        <v/>
      </c>
      <c r="T105">
        <f>IF(H105="OK",N105,"")</f>
        <v/>
      </c>
      <c r="U105">
        <f>IF(OC_Donor=0,"",IF(INDEX('OneCause_Paste'!$A$105:$AZ$105,1,OC_Donor)="","",INDEX('OneCause_Paste'!$A$105:$AZ$105,1,OC_Donor)))</f>
        <v/>
      </c>
    </row>
    <row r="106">
      <c r="A106" s="62">
        <f>IF(H106="","",IF(ISNUMBER(N106),N106,I106))</f>
        <v/>
      </c>
      <c r="B106">
        <f>IF(H106="","",U106)</f>
        <v/>
      </c>
      <c r="C106">
        <f>IF(H106="","",IF(P106="",K106,INDEX('Students'!$A$2:$A$701,P106)))</f>
        <v/>
      </c>
      <c r="D106">
        <f>IF(OR(H106="",P106=""),"",INDEX('Students'!$B$2:$B$701,P106))</f>
        <v/>
      </c>
      <c r="E106">
        <f>IF(OR(H106="",P106=""),"",INDEX('Students'!$C$2:$C$701,P106))</f>
        <v/>
      </c>
      <c r="F106" s="48">
        <f>IF(H106="","",IF(ISNUMBER(O106),O106,J106))</f>
        <v/>
      </c>
      <c r="G106">
        <f>IF(H106="","","OneCause")</f>
        <v/>
      </c>
      <c r="H106">
        <f>IF(AND(I106="",J106="",K106=""),"",IF(NOT(ISNUMBER(O106)),"Bad amount",IF(O106&lt;0,"Refund (not counted)",IF(O106=0,"Zero amount",IF(NOT(ISNUMBER(N106)),"Bad date",IF(P106="","NAME NOT ON ROSTER",IF(L106="","OK",IF(MATCH(L106,$L$2:$L$3001,0)&lt;ROW()-1,"Duplicate (ignored)","OK"))))))))</f>
        <v/>
      </c>
      <c r="I106">
        <f>IF(OC_Date=0,"",IF(INDEX('OneCause_Paste'!$A$106:$AZ$106,1,OC_Date)="","",INDEX('OneCause_Paste'!$A$106:$AZ$106,1,OC_Date)))</f>
        <v/>
      </c>
      <c r="J106">
        <f>IF(OC_Amt=0,"",IF(INDEX('OneCause_Paste'!$A$106:$AZ$106,1,OC_Amt)="","",INDEX('OneCause_Paste'!$A$106:$AZ$106,1,OC_Amt)))</f>
        <v/>
      </c>
      <c r="K106">
        <f>IF(OC_Name=0,"",IF(INDEX('OneCause_Paste'!$A$106:$AZ$106,1,OC_Name)="","",INDEX('OneCause_Paste'!$A$106:$AZ$106,1,OC_Name)))</f>
        <v/>
      </c>
      <c r="L106">
        <f>IF(OC_Txn=0,"",IF(INDEX('OneCause_Paste'!$A$106:$AZ$106,1,OC_Txn)="","",INDEX('OneCause_Paste'!$A$106:$AZ$106,1,OC_Txn)))</f>
        <v/>
      </c>
      <c r="M106">
        <f>IF(OC_Pay=0,"",IF(INDEX('OneCause_Paste'!$A$106:$AZ$106,1,OC_Pay)="","",INDEX('OneCause_Paste'!$A$106:$AZ$106,1,OC_Pay)))</f>
        <v/>
      </c>
      <c r="N106">
        <f>IF(I106="","",IF(ISNUMBER(I106),INT(I106),IFERROR(INT(DATEVALUE(I106)),IFERROR(INT(VALUE(I106)),"bad"))))</f>
        <v/>
      </c>
      <c r="O106">
        <f>IF(J106="","",IF(ISNUMBER(J106),ROUND(J106,2),IFERROR(ROUND(VALUE(SUBSTITUTE(SUBSTITUTE(SUBSTITUTE(J106,"$",""),",","")," ","")),2),"bad")))</f>
        <v/>
      </c>
      <c r="P106">
        <f>IF(TRIM(K106)="","",IFERROR(MATCH(LOWER(TRIM(K106)),'Students'!$AH$2:$AH$701,0),IFERROR(MATCH(LOWER(TRIM(K106)),'Students'!$AF$2:$AF$701,0),IFERROR(MATCH(LOWER(TRIM(K106)),'Students'!$AG$2:$AG$701,0),""))))</f>
        <v/>
      </c>
      <c r="R106">
        <f>IF(P106="","",INDEX('Students'!$AD$2:$AD$701,P106))</f>
        <v/>
      </c>
      <c r="S106">
        <f>IF(H106="OK",O106,0)</f>
        <v/>
      </c>
      <c r="T106">
        <f>IF(H106="OK",N106,"")</f>
        <v/>
      </c>
      <c r="U106">
        <f>IF(OC_Donor=0,"",IF(INDEX('OneCause_Paste'!$A$106:$AZ$106,1,OC_Donor)="","",INDEX('OneCause_Paste'!$A$106:$AZ$106,1,OC_Donor)))</f>
        <v/>
      </c>
    </row>
    <row r="107">
      <c r="A107" s="62">
        <f>IF(H107="","",IF(ISNUMBER(N107),N107,I107))</f>
        <v/>
      </c>
      <c r="B107">
        <f>IF(H107="","",U107)</f>
        <v/>
      </c>
      <c r="C107">
        <f>IF(H107="","",IF(P107="",K107,INDEX('Students'!$A$2:$A$701,P107)))</f>
        <v/>
      </c>
      <c r="D107">
        <f>IF(OR(H107="",P107=""),"",INDEX('Students'!$B$2:$B$701,P107))</f>
        <v/>
      </c>
      <c r="E107">
        <f>IF(OR(H107="",P107=""),"",INDEX('Students'!$C$2:$C$701,P107))</f>
        <v/>
      </c>
      <c r="F107" s="48">
        <f>IF(H107="","",IF(ISNUMBER(O107),O107,J107))</f>
        <v/>
      </c>
      <c r="G107">
        <f>IF(H107="","","OneCause")</f>
        <v/>
      </c>
      <c r="H107">
        <f>IF(AND(I107="",J107="",K107=""),"",IF(NOT(ISNUMBER(O107)),"Bad amount",IF(O107&lt;0,"Refund (not counted)",IF(O107=0,"Zero amount",IF(NOT(ISNUMBER(N107)),"Bad date",IF(P107="","NAME NOT ON ROSTER",IF(L107="","OK",IF(MATCH(L107,$L$2:$L$3001,0)&lt;ROW()-1,"Duplicate (ignored)","OK"))))))))</f>
        <v/>
      </c>
      <c r="I107">
        <f>IF(OC_Date=0,"",IF(INDEX('OneCause_Paste'!$A$107:$AZ$107,1,OC_Date)="","",INDEX('OneCause_Paste'!$A$107:$AZ$107,1,OC_Date)))</f>
        <v/>
      </c>
      <c r="J107">
        <f>IF(OC_Amt=0,"",IF(INDEX('OneCause_Paste'!$A$107:$AZ$107,1,OC_Amt)="","",INDEX('OneCause_Paste'!$A$107:$AZ$107,1,OC_Amt)))</f>
        <v/>
      </c>
      <c r="K107">
        <f>IF(OC_Name=0,"",IF(INDEX('OneCause_Paste'!$A$107:$AZ$107,1,OC_Name)="","",INDEX('OneCause_Paste'!$A$107:$AZ$107,1,OC_Name)))</f>
        <v/>
      </c>
      <c r="L107">
        <f>IF(OC_Txn=0,"",IF(INDEX('OneCause_Paste'!$A$107:$AZ$107,1,OC_Txn)="","",INDEX('OneCause_Paste'!$A$107:$AZ$107,1,OC_Txn)))</f>
        <v/>
      </c>
      <c r="M107">
        <f>IF(OC_Pay=0,"",IF(INDEX('OneCause_Paste'!$A$107:$AZ$107,1,OC_Pay)="","",INDEX('OneCause_Paste'!$A$107:$AZ$107,1,OC_Pay)))</f>
        <v/>
      </c>
      <c r="N107">
        <f>IF(I107="","",IF(ISNUMBER(I107),INT(I107),IFERROR(INT(DATEVALUE(I107)),IFERROR(INT(VALUE(I107)),"bad"))))</f>
        <v/>
      </c>
      <c r="O107">
        <f>IF(J107="","",IF(ISNUMBER(J107),ROUND(J107,2),IFERROR(ROUND(VALUE(SUBSTITUTE(SUBSTITUTE(SUBSTITUTE(J107,"$",""),",","")," ","")),2),"bad")))</f>
        <v/>
      </c>
      <c r="P107">
        <f>IF(TRIM(K107)="","",IFERROR(MATCH(LOWER(TRIM(K107)),'Students'!$AH$2:$AH$701,0),IFERROR(MATCH(LOWER(TRIM(K107)),'Students'!$AF$2:$AF$701,0),IFERROR(MATCH(LOWER(TRIM(K107)),'Students'!$AG$2:$AG$701,0),""))))</f>
        <v/>
      </c>
      <c r="R107">
        <f>IF(P107="","",INDEX('Students'!$AD$2:$AD$701,P107))</f>
        <v/>
      </c>
      <c r="S107">
        <f>IF(H107="OK",O107,0)</f>
        <v/>
      </c>
      <c r="T107">
        <f>IF(H107="OK",N107,"")</f>
        <v/>
      </c>
      <c r="U107">
        <f>IF(OC_Donor=0,"",IF(INDEX('OneCause_Paste'!$A$107:$AZ$107,1,OC_Donor)="","",INDEX('OneCause_Paste'!$A$107:$AZ$107,1,OC_Donor)))</f>
        <v/>
      </c>
    </row>
    <row r="108">
      <c r="A108" s="62">
        <f>IF(H108="","",IF(ISNUMBER(N108),N108,I108))</f>
        <v/>
      </c>
      <c r="B108">
        <f>IF(H108="","",U108)</f>
        <v/>
      </c>
      <c r="C108">
        <f>IF(H108="","",IF(P108="",K108,INDEX('Students'!$A$2:$A$701,P108)))</f>
        <v/>
      </c>
      <c r="D108">
        <f>IF(OR(H108="",P108=""),"",INDEX('Students'!$B$2:$B$701,P108))</f>
        <v/>
      </c>
      <c r="E108">
        <f>IF(OR(H108="",P108=""),"",INDEX('Students'!$C$2:$C$701,P108))</f>
        <v/>
      </c>
      <c r="F108" s="48">
        <f>IF(H108="","",IF(ISNUMBER(O108),O108,J108))</f>
        <v/>
      </c>
      <c r="G108">
        <f>IF(H108="","","OneCause")</f>
        <v/>
      </c>
      <c r="H108">
        <f>IF(AND(I108="",J108="",K108=""),"",IF(NOT(ISNUMBER(O108)),"Bad amount",IF(O108&lt;0,"Refund (not counted)",IF(O108=0,"Zero amount",IF(NOT(ISNUMBER(N108)),"Bad date",IF(P108="","NAME NOT ON ROSTER",IF(L108="","OK",IF(MATCH(L108,$L$2:$L$3001,0)&lt;ROW()-1,"Duplicate (ignored)","OK"))))))))</f>
        <v/>
      </c>
      <c r="I108">
        <f>IF(OC_Date=0,"",IF(INDEX('OneCause_Paste'!$A$108:$AZ$108,1,OC_Date)="","",INDEX('OneCause_Paste'!$A$108:$AZ$108,1,OC_Date)))</f>
        <v/>
      </c>
      <c r="J108">
        <f>IF(OC_Amt=0,"",IF(INDEX('OneCause_Paste'!$A$108:$AZ$108,1,OC_Amt)="","",INDEX('OneCause_Paste'!$A$108:$AZ$108,1,OC_Amt)))</f>
        <v/>
      </c>
      <c r="K108">
        <f>IF(OC_Name=0,"",IF(INDEX('OneCause_Paste'!$A$108:$AZ$108,1,OC_Name)="","",INDEX('OneCause_Paste'!$A$108:$AZ$108,1,OC_Name)))</f>
        <v/>
      </c>
      <c r="L108">
        <f>IF(OC_Txn=0,"",IF(INDEX('OneCause_Paste'!$A$108:$AZ$108,1,OC_Txn)="","",INDEX('OneCause_Paste'!$A$108:$AZ$108,1,OC_Txn)))</f>
        <v/>
      </c>
      <c r="M108">
        <f>IF(OC_Pay=0,"",IF(INDEX('OneCause_Paste'!$A$108:$AZ$108,1,OC_Pay)="","",INDEX('OneCause_Paste'!$A$108:$AZ$108,1,OC_Pay)))</f>
        <v/>
      </c>
      <c r="N108">
        <f>IF(I108="","",IF(ISNUMBER(I108),INT(I108),IFERROR(INT(DATEVALUE(I108)),IFERROR(INT(VALUE(I108)),"bad"))))</f>
        <v/>
      </c>
      <c r="O108">
        <f>IF(J108="","",IF(ISNUMBER(J108),ROUND(J108,2),IFERROR(ROUND(VALUE(SUBSTITUTE(SUBSTITUTE(SUBSTITUTE(J108,"$",""),",","")," ","")),2),"bad")))</f>
        <v/>
      </c>
      <c r="P108">
        <f>IF(TRIM(K108)="","",IFERROR(MATCH(LOWER(TRIM(K108)),'Students'!$AH$2:$AH$701,0),IFERROR(MATCH(LOWER(TRIM(K108)),'Students'!$AF$2:$AF$701,0),IFERROR(MATCH(LOWER(TRIM(K108)),'Students'!$AG$2:$AG$701,0),""))))</f>
        <v/>
      </c>
      <c r="R108">
        <f>IF(P108="","",INDEX('Students'!$AD$2:$AD$701,P108))</f>
        <v/>
      </c>
      <c r="S108">
        <f>IF(H108="OK",O108,0)</f>
        <v/>
      </c>
      <c r="T108">
        <f>IF(H108="OK",N108,"")</f>
        <v/>
      </c>
      <c r="U108">
        <f>IF(OC_Donor=0,"",IF(INDEX('OneCause_Paste'!$A$108:$AZ$108,1,OC_Donor)="","",INDEX('OneCause_Paste'!$A$108:$AZ$108,1,OC_Donor)))</f>
        <v/>
      </c>
    </row>
    <row r="109">
      <c r="A109" s="62">
        <f>IF(H109="","",IF(ISNUMBER(N109),N109,I109))</f>
        <v/>
      </c>
      <c r="B109">
        <f>IF(H109="","",U109)</f>
        <v/>
      </c>
      <c r="C109">
        <f>IF(H109="","",IF(P109="",K109,INDEX('Students'!$A$2:$A$701,P109)))</f>
        <v/>
      </c>
      <c r="D109">
        <f>IF(OR(H109="",P109=""),"",INDEX('Students'!$B$2:$B$701,P109))</f>
        <v/>
      </c>
      <c r="E109">
        <f>IF(OR(H109="",P109=""),"",INDEX('Students'!$C$2:$C$701,P109))</f>
        <v/>
      </c>
      <c r="F109" s="48">
        <f>IF(H109="","",IF(ISNUMBER(O109),O109,J109))</f>
        <v/>
      </c>
      <c r="G109">
        <f>IF(H109="","","OneCause")</f>
        <v/>
      </c>
      <c r="H109">
        <f>IF(AND(I109="",J109="",K109=""),"",IF(NOT(ISNUMBER(O109)),"Bad amount",IF(O109&lt;0,"Refund (not counted)",IF(O109=0,"Zero amount",IF(NOT(ISNUMBER(N109)),"Bad date",IF(P109="","NAME NOT ON ROSTER",IF(L109="","OK",IF(MATCH(L109,$L$2:$L$3001,0)&lt;ROW()-1,"Duplicate (ignored)","OK"))))))))</f>
        <v/>
      </c>
      <c r="I109">
        <f>IF(OC_Date=0,"",IF(INDEX('OneCause_Paste'!$A$109:$AZ$109,1,OC_Date)="","",INDEX('OneCause_Paste'!$A$109:$AZ$109,1,OC_Date)))</f>
        <v/>
      </c>
      <c r="J109">
        <f>IF(OC_Amt=0,"",IF(INDEX('OneCause_Paste'!$A$109:$AZ$109,1,OC_Amt)="","",INDEX('OneCause_Paste'!$A$109:$AZ$109,1,OC_Amt)))</f>
        <v/>
      </c>
      <c r="K109">
        <f>IF(OC_Name=0,"",IF(INDEX('OneCause_Paste'!$A$109:$AZ$109,1,OC_Name)="","",INDEX('OneCause_Paste'!$A$109:$AZ$109,1,OC_Name)))</f>
        <v/>
      </c>
      <c r="L109">
        <f>IF(OC_Txn=0,"",IF(INDEX('OneCause_Paste'!$A$109:$AZ$109,1,OC_Txn)="","",INDEX('OneCause_Paste'!$A$109:$AZ$109,1,OC_Txn)))</f>
        <v/>
      </c>
      <c r="M109">
        <f>IF(OC_Pay=0,"",IF(INDEX('OneCause_Paste'!$A$109:$AZ$109,1,OC_Pay)="","",INDEX('OneCause_Paste'!$A$109:$AZ$109,1,OC_Pay)))</f>
        <v/>
      </c>
      <c r="N109">
        <f>IF(I109="","",IF(ISNUMBER(I109),INT(I109),IFERROR(INT(DATEVALUE(I109)),IFERROR(INT(VALUE(I109)),"bad"))))</f>
        <v/>
      </c>
      <c r="O109">
        <f>IF(J109="","",IF(ISNUMBER(J109),ROUND(J109,2),IFERROR(ROUND(VALUE(SUBSTITUTE(SUBSTITUTE(SUBSTITUTE(J109,"$",""),",","")," ","")),2),"bad")))</f>
        <v/>
      </c>
      <c r="P109">
        <f>IF(TRIM(K109)="","",IFERROR(MATCH(LOWER(TRIM(K109)),'Students'!$AH$2:$AH$701,0),IFERROR(MATCH(LOWER(TRIM(K109)),'Students'!$AF$2:$AF$701,0),IFERROR(MATCH(LOWER(TRIM(K109)),'Students'!$AG$2:$AG$701,0),""))))</f>
        <v/>
      </c>
      <c r="R109">
        <f>IF(P109="","",INDEX('Students'!$AD$2:$AD$701,P109))</f>
        <v/>
      </c>
      <c r="S109">
        <f>IF(H109="OK",O109,0)</f>
        <v/>
      </c>
      <c r="T109">
        <f>IF(H109="OK",N109,"")</f>
        <v/>
      </c>
      <c r="U109">
        <f>IF(OC_Donor=0,"",IF(INDEX('OneCause_Paste'!$A$109:$AZ$109,1,OC_Donor)="","",INDEX('OneCause_Paste'!$A$109:$AZ$109,1,OC_Donor)))</f>
        <v/>
      </c>
    </row>
    <row r="110">
      <c r="A110" s="62">
        <f>IF(H110="","",IF(ISNUMBER(N110),N110,I110))</f>
        <v/>
      </c>
      <c r="B110">
        <f>IF(H110="","",U110)</f>
        <v/>
      </c>
      <c r="C110">
        <f>IF(H110="","",IF(P110="",K110,INDEX('Students'!$A$2:$A$701,P110)))</f>
        <v/>
      </c>
      <c r="D110">
        <f>IF(OR(H110="",P110=""),"",INDEX('Students'!$B$2:$B$701,P110))</f>
        <v/>
      </c>
      <c r="E110">
        <f>IF(OR(H110="",P110=""),"",INDEX('Students'!$C$2:$C$701,P110))</f>
        <v/>
      </c>
      <c r="F110" s="48">
        <f>IF(H110="","",IF(ISNUMBER(O110),O110,J110))</f>
        <v/>
      </c>
      <c r="G110">
        <f>IF(H110="","","OneCause")</f>
        <v/>
      </c>
      <c r="H110">
        <f>IF(AND(I110="",J110="",K110=""),"",IF(NOT(ISNUMBER(O110)),"Bad amount",IF(O110&lt;0,"Refund (not counted)",IF(O110=0,"Zero amount",IF(NOT(ISNUMBER(N110)),"Bad date",IF(P110="","NAME NOT ON ROSTER",IF(L110="","OK",IF(MATCH(L110,$L$2:$L$3001,0)&lt;ROW()-1,"Duplicate (ignored)","OK"))))))))</f>
        <v/>
      </c>
      <c r="I110">
        <f>IF(OC_Date=0,"",IF(INDEX('OneCause_Paste'!$A$110:$AZ$110,1,OC_Date)="","",INDEX('OneCause_Paste'!$A$110:$AZ$110,1,OC_Date)))</f>
        <v/>
      </c>
      <c r="J110">
        <f>IF(OC_Amt=0,"",IF(INDEX('OneCause_Paste'!$A$110:$AZ$110,1,OC_Amt)="","",INDEX('OneCause_Paste'!$A$110:$AZ$110,1,OC_Amt)))</f>
        <v/>
      </c>
      <c r="K110">
        <f>IF(OC_Name=0,"",IF(INDEX('OneCause_Paste'!$A$110:$AZ$110,1,OC_Name)="","",INDEX('OneCause_Paste'!$A$110:$AZ$110,1,OC_Name)))</f>
        <v/>
      </c>
      <c r="L110">
        <f>IF(OC_Txn=0,"",IF(INDEX('OneCause_Paste'!$A$110:$AZ$110,1,OC_Txn)="","",INDEX('OneCause_Paste'!$A$110:$AZ$110,1,OC_Txn)))</f>
        <v/>
      </c>
      <c r="M110">
        <f>IF(OC_Pay=0,"",IF(INDEX('OneCause_Paste'!$A$110:$AZ$110,1,OC_Pay)="","",INDEX('OneCause_Paste'!$A$110:$AZ$110,1,OC_Pay)))</f>
        <v/>
      </c>
      <c r="N110">
        <f>IF(I110="","",IF(ISNUMBER(I110),INT(I110),IFERROR(INT(DATEVALUE(I110)),IFERROR(INT(VALUE(I110)),"bad"))))</f>
        <v/>
      </c>
      <c r="O110">
        <f>IF(J110="","",IF(ISNUMBER(J110),ROUND(J110,2),IFERROR(ROUND(VALUE(SUBSTITUTE(SUBSTITUTE(SUBSTITUTE(J110,"$",""),",","")," ","")),2),"bad")))</f>
        <v/>
      </c>
      <c r="P110">
        <f>IF(TRIM(K110)="","",IFERROR(MATCH(LOWER(TRIM(K110)),'Students'!$AH$2:$AH$701,0),IFERROR(MATCH(LOWER(TRIM(K110)),'Students'!$AF$2:$AF$701,0),IFERROR(MATCH(LOWER(TRIM(K110)),'Students'!$AG$2:$AG$701,0),""))))</f>
        <v/>
      </c>
      <c r="R110">
        <f>IF(P110="","",INDEX('Students'!$AD$2:$AD$701,P110))</f>
        <v/>
      </c>
      <c r="S110">
        <f>IF(H110="OK",O110,0)</f>
        <v/>
      </c>
      <c r="T110">
        <f>IF(H110="OK",N110,"")</f>
        <v/>
      </c>
      <c r="U110">
        <f>IF(OC_Donor=0,"",IF(INDEX('OneCause_Paste'!$A$110:$AZ$110,1,OC_Donor)="","",INDEX('OneCause_Paste'!$A$110:$AZ$110,1,OC_Donor)))</f>
        <v/>
      </c>
    </row>
    <row r="111">
      <c r="A111" s="62">
        <f>IF(H111="","",IF(ISNUMBER(N111),N111,I111))</f>
        <v/>
      </c>
      <c r="B111">
        <f>IF(H111="","",U111)</f>
        <v/>
      </c>
      <c r="C111">
        <f>IF(H111="","",IF(P111="",K111,INDEX('Students'!$A$2:$A$701,P111)))</f>
        <v/>
      </c>
      <c r="D111">
        <f>IF(OR(H111="",P111=""),"",INDEX('Students'!$B$2:$B$701,P111))</f>
        <v/>
      </c>
      <c r="E111">
        <f>IF(OR(H111="",P111=""),"",INDEX('Students'!$C$2:$C$701,P111))</f>
        <v/>
      </c>
      <c r="F111" s="48">
        <f>IF(H111="","",IF(ISNUMBER(O111),O111,J111))</f>
        <v/>
      </c>
      <c r="G111">
        <f>IF(H111="","","OneCause")</f>
        <v/>
      </c>
      <c r="H111">
        <f>IF(AND(I111="",J111="",K111=""),"",IF(NOT(ISNUMBER(O111)),"Bad amount",IF(O111&lt;0,"Refund (not counted)",IF(O111=0,"Zero amount",IF(NOT(ISNUMBER(N111)),"Bad date",IF(P111="","NAME NOT ON ROSTER",IF(L111="","OK",IF(MATCH(L111,$L$2:$L$3001,0)&lt;ROW()-1,"Duplicate (ignored)","OK"))))))))</f>
        <v/>
      </c>
      <c r="I111">
        <f>IF(OC_Date=0,"",IF(INDEX('OneCause_Paste'!$A$111:$AZ$111,1,OC_Date)="","",INDEX('OneCause_Paste'!$A$111:$AZ$111,1,OC_Date)))</f>
        <v/>
      </c>
      <c r="J111">
        <f>IF(OC_Amt=0,"",IF(INDEX('OneCause_Paste'!$A$111:$AZ$111,1,OC_Amt)="","",INDEX('OneCause_Paste'!$A$111:$AZ$111,1,OC_Amt)))</f>
        <v/>
      </c>
      <c r="K111">
        <f>IF(OC_Name=0,"",IF(INDEX('OneCause_Paste'!$A$111:$AZ$111,1,OC_Name)="","",INDEX('OneCause_Paste'!$A$111:$AZ$111,1,OC_Name)))</f>
        <v/>
      </c>
      <c r="L111">
        <f>IF(OC_Txn=0,"",IF(INDEX('OneCause_Paste'!$A$111:$AZ$111,1,OC_Txn)="","",INDEX('OneCause_Paste'!$A$111:$AZ$111,1,OC_Txn)))</f>
        <v/>
      </c>
      <c r="M111">
        <f>IF(OC_Pay=0,"",IF(INDEX('OneCause_Paste'!$A$111:$AZ$111,1,OC_Pay)="","",INDEX('OneCause_Paste'!$A$111:$AZ$111,1,OC_Pay)))</f>
        <v/>
      </c>
      <c r="N111">
        <f>IF(I111="","",IF(ISNUMBER(I111),INT(I111),IFERROR(INT(DATEVALUE(I111)),IFERROR(INT(VALUE(I111)),"bad"))))</f>
        <v/>
      </c>
      <c r="O111">
        <f>IF(J111="","",IF(ISNUMBER(J111),ROUND(J111,2),IFERROR(ROUND(VALUE(SUBSTITUTE(SUBSTITUTE(SUBSTITUTE(J111,"$",""),",","")," ","")),2),"bad")))</f>
        <v/>
      </c>
      <c r="P111">
        <f>IF(TRIM(K111)="","",IFERROR(MATCH(LOWER(TRIM(K111)),'Students'!$AH$2:$AH$701,0),IFERROR(MATCH(LOWER(TRIM(K111)),'Students'!$AF$2:$AF$701,0),IFERROR(MATCH(LOWER(TRIM(K111)),'Students'!$AG$2:$AG$701,0),""))))</f>
        <v/>
      </c>
      <c r="R111">
        <f>IF(P111="","",INDEX('Students'!$AD$2:$AD$701,P111))</f>
        <v/>
      </c>
      <c r="S111">
        <f>IF(H111="OK",O111,0)</f>
        <v/>
      </c>
      <c r="T111">
        <f>IF(H111="OK",N111,"")</f>
        <v/>
      </c>
      <c r="U111">
        <f>IF(OC_Donor=0,"",IF(INDEX('OneCause_Paste'!$A$111:$AZ$111,1,OC_Donor)="","",INDEX('OneCause_Paste'!$A$111:$AZ$111,1,OC_Donor)))</f>
        <v/>
      </c>
    </row>
    <row r="112">
      <c r="A112" s="62">
        <f>IF(H112="","",IF(ISNUMBER(N112),N112,I112))</f>
        <v/>
      </c>
      <c r="B112">
        <f>IF(H112="","",U112)</f>
        <v/>
      </c>
      <c r="C112">
        <f>IF(H112="","",IF(P112="",K112,INDEX('Students'!$A$2:$A$701,P112)))</f>
        <v/>
      </c>
      <c r="D112">
        <f>IF(OR(H112="",P112=""),"",INDEX('Students'!$B$2:$B$701,P112))</f>
        <v/>
      </c>
      <c r="E112">
        <f>IF(OR(H112="",P112=""),"",INDEX('Students'!$C$2:$C$701,P112))</f>
        <v/>
      </c>
      <c r="F112" s="48">
        <f>IF(H112="","",IF(ISNUMBER(O112),O112,J112))</f>
        <v/>
      </c>
      <c r="G112">
        <f>IF(H112="","","OneCause")</f>
        <v/>
      </c>
      <c r="H112">
        <f>IF(AND(I112="",J112="",K112=""),"",IF(NOT(ISNUMBER(O112)),"Bad amount",IF(O112&lt;0,"Refund (not counted)",IF(O112=0,"Zero amount",IF(NOT(ISNUMBER(N112)),"Bad date",IF(P112="","NAME NOT ON ROSTER",IF(L112="","OK",IF(MATCH(L112,$L$2:$L$3001,0)&lt;ROW()-1,"Duplicate (ignored)","OK"))))))))</f>
        <v/>
      </c>
      <c r="I112">
        <f>IF(OC_Date=0,"",IF(INDEX('OneCause_Paste'!$A$112:$AZ$112,1,OC_Date)="","",INDEX('OneCause_Paste'!$A$112:$AZ$112,1,OC_Date)))</f>
        <v/>
      </c>
      <c r="J112">
        <f>IF(OC_Amt=0,"",IF(INDEX('OneCause_Paste'!$A$112:$AZ$112,1,OC_Amt)="","",INDEX('OneCause_Paste'!$A$112:$AZ$112,1,OC_Amt)))</f>
        <v/>
      </c>
      <c r="K112">
        <f>IF(OC_Name=0,"",IF(INDEX('OneCause_Paste'!$A$112:$AZ$112,1,OC_Name)="","",INDEX('OneCause_Paste'!$A$112:$AZ$112,1,OC_Name)))</f>
        <v/>
      </c>
      <c r="L112">
        <f>IF(OC_Txn=0,"",IF(INDEX('OneCause_Paste'!$A$112:$AZ$112,1,OC_Txn)="","",INDEX('OneCause_Paste'!$A$112:$AZ$112,1,OC_Txn)))</f>
        <v/>
      </c>
      <c r="M112">
        <f>IF(OC_Pay=0,"",IF(INDEX('OneCause_Paste'!$A$112:$AZ$112,1,OC_Pay)="","",INDEX('OneCause_Paste'!$A$112:$AZ$112,1,OC_Pay)))</f>
        <v/>
      </c>
      <c r="N112">
        <f>IF(I112="","",IF(ISNUMBER(I112),INT(I112),IFERROR(INT(DATEVALUE(I112)),IFERROR(INT(VALUE(I112)),"bad"))))</f>
        <v/>
      </c>
      <c r="O112">
        <f>IF(J112="","",IF(ISNUMBER(J112),ROUND(J112,2),IFERROR(ROUND(VALUE(SUBSTITUTE(SUBSTITUTE(SUBSTITUTE(J112,"$",""),",","")," ","")),2),"bad")))</f>
        <v/>
      </c>
      <c r="P112">
        <f>IF(TRIM(K112)="","",IFERROR(MATCH(LOWER(TRIM(K112)),'Students'!$AH$2:$AH$701,0),IFERROR(MATCH(LOWER(TRIM(K112)),'Students'!$AF$2:$AF$701,0),IFERROR(MATCH(LOWER(TRIM(K112)),'Students'!$AG$2:$AG$701,0),""))))</f>
        <v/>
      </c>
      <c r="R112">
        <f>IF(P112="","",INDEX('Students'!$AD$2:$AD$701,P112))</f>
        <v/>
      </c>
      <c r="S112">
        <f>IF(H112="OK",O112,0)</f>
        <v/>
      </c>
      <c r="T112">
        <f>IF(H112="OK",N112,"")</f>
        <v/>
      </c>
      <c r="U112">
        <f>IF(OC_Donor=0,"",IF(INDEX('OneCause_Paste'!$A$112:$AZ$112,1,OC_Donor)="","",INDEX('OneCause_Paste'!$A$112:$AZ$112,1,OC_Donor)))</f>
        <v/>
      </c>
    </row>
    <row r="113">
      <c r="A113" s="62">
        <f>IF(H113="","",IF(ISNUMBER(N113),N113,I113))</f>
        <v/>
      </c>
      <c r="B113">
        <f>IF(H113="","",U113)</f>
        <v/>
      </c>
      <c r="C113">
        <f>IF(H113="","",IF(P113="",K113,INDEX('Students'!$A$2:$A$701,P113)))</f>
        <v/>
      </c>
      <c r="D113">
        <f>IF(OR(H113="",P113=""),"",INDEX('Students'!$B$2:$B$701,P113))</f>
        <v/>
      </c>
      <c r="E113">
        <f>IF(OR(H113="",P113=""),"",INDEX('Students'!$C$2:$C$701,P113))</f>
        <v/>
      </c>
      <c r="F113" s="48">
        <f>IF(H113="","",IF(ISNUMBER(O113),O113,J113))</f>
        <v/>
      </c>
      <c r="G113">
        <f>IF(H113="","","OneCause")</f>
        <v/>
      </c>
      <c r="H113">
        <f>IF(AND(I113="",J113="",K113=""),"",IF(NOT(ISNUMBER(O113)),"Bad amount",IF(O113&lt;0,"Refund (not counted)",IF(O113=0,"Zero amount",IF(NOT(ISNUMBER(N113)),"Bad date",IF(P113="","NAME NOT ON ROSTER",IF(L113="","OK",IF(MATCH(L113,$L$2:$L$3001,0)&lt;ROW()-1,"Duplicate (ignored)","OK"))))))))</f>
        <v/>
      </c>
      <c r="I113">
        <f>IF(OC_Date=0,"",IF(INDEX('OneCause_Paste'!$A$113:$AZ$113,1,OC_Date)="","",INDEX('OneCause_Paste'!$A$113:$AZ$113,1,OC_Date)))</f>
        <v/>
      </c>
      <c r="J113">
        <f>IF(OC_Amt=0,"",IF(INDEX('OneCause_Paste'!$A$113:$AZ$113,1,OC_Amt)="","",INDEX('OneCause_Paste'!$A$113:$AZ$113,1,OC_Amt)))</f>
        <v/>
      </c>
      <c r="K113">
        <f>IF(OC_Name=0,"",IF(INDEX('OneCause_Paste'!$A$113:$AZ$113,1,OC_Name)="","",INDEX('OneCause_Paste'!$A$113:$AZ$113,1,OC_Name)))</f>
        <v/>
      </c>
      <c r="L113">
        <f>IF(OC_Txn=0,"",IF(INDEX('OneCause_Paste'!$A$113:$AZ$113,1,OC_Txn)="","",INDEX('OneCause_Paste'!$A$113:$AZ$113,1,OC_Txn)))</f>
        <v/>
      </c>
      <c r="M113">
        <f>IF(OC_Pay=0,"",IF(INDEX('OneCause_Paste'!$A$113:$AZ$113,1,OC_Pay)="","",INDEX('OneCause_Paste'!$A$113:$AZ$113,1,OC_Pay)))</f>
        <v/>
      </c>
      <c r="N113">
        <f>IF(I113="","",IF(ISNUMBER(I113),INT(I113),IFERROR(INT(DATEVALUE(I113)),IFERROR(INT(VALUE(I113)),"bad"))))</f>
        <v/>
      </c>
      <c r="O113">
        <f>IF(J113="","",IF(ISNUMBER(J113),ROUND(J113,2),IFERROR(ROUND(VALUE(SUBSTITUTE(SUBSTITUTE(SUBSTITUTE(J113,"$",""),",","")," ","")),2),"bad")))</f>
        <v/>
      </c>
      <c r="P113">
        <f>IF(TRIM(K113)="","",IFERROR(MATCH(LOWER(TRIM(K113)),'Students'!$AH$2:$AH$701,0),IFERROR(MATCH(LOWER(TRIM(K113)),'Students'!$AF$2:$AF$701,0),IFERROR(MATCH(LOWER(TRIM(K113)),'Students'!$AG$2:$AG$701,0),""))))</f>
        <v/>
      </c>
      <c r="R113">
        <f>IF(P113="","",INDEX('Students'!$AD$2:$AD$701,P113))</f>
        <v/>
      </c>
      <c r="S113">
        <f>IF(H113="OK",O113,0)</f>
        <v/>
      </c>
      <c r="T113">
        <f>IF(H113="OK",N113,"")</f>
        <v/>
      </c>
      <c r="U113">
        <f>IF(OC_Donor=0,"",IF(INDEX('OneCause_Paste'!$A$113:$AZ$113,1,OC_Donor)="","",INDEX('OneCause_Paste'!$A$113:$AZ$113,1,OC_Donor)))</f>
        <v/>
      </c>
    </row>
    <row r="114">
      <c r="A114" s="62">
        <f>IF(H114="","",IF(ISNUMBER(N114),N114,I114))</f>
        <v/>
      </c>
      <c r="B114">
        <f>IF(H114="","",U114)</f>
        <v/>
      </c>
      <c r="C114">
        <f>IF(H114="","",IF(P114="",K114,INDEX('Students'!$A$2:$A$701,P114)))</f>
        <v/>
      </c>
      <c r="D114">
        <f>IF(OR(H114="",P114=""),"",INDEX('Students'!$B$2:$B$701,P114))</f>
        <v/>
      </c>
      <c r="E114">
        <f>IF(OR(H114="",P114=""),"",INDEX('Students'!$C$2:$C$701,P114))</f>
        <v/>
      </c>
      <c r="F114" s="48">
        <f>IF(H114="","",IF(ISNUMBER(O114),O114,J114))</f>
        <v/>
      </c>
      <c r="G114">
        <f>IF(H114="","","OneCause")</f>
        <v/>
      </c>
      <c r="H114">
        <f>IF(AND(I114="",J114="",K114=""),"",IF(NOT(ISNUMBER(O114)),"Bad amount",IF(O114&lt;0,"Refund (not counted)",IF(O114=0,"Zero amount",IF(NOT(ISNUMBER(N114)),"Bad date",IF(P114="","NAME NOT ON ROSTER",IF(L114="","OK",IF(MATCH(L114,$L$2:$L$3001,0)&lt;ROW()-1,"Duplicate (ignored)","OK"))))))))</f>
        <v/>
      </c>
      <c r="I114">
        <f>IF(OC_Date=0,"",IF(INDEX('OneCause_Paste'!$A$114:$AZ$114,1,OC_Date)="","",INDEX('OneCause_Paste'!$A$114:$AZ$114,1,OC_Date)))</f>
        <v/>
      </c>
      <c r="J114">
        <f>IF(OC_Amt=0,"",IF(INDEX('OneCause_Paste'!$A$114:$AZ$114,1,OC_Amt)="","",INDEX('OneCause_Paste'!$A$114:$AZ$114,1,OC_Amt)))</f>
        <v/>
      </c>
      <c r="K114">
        <f>IF(OC_Name=0,"",IF(INDEX('OneCause_Paste'!$A$114:$AZ$114,1,OC_Name)="","",INDEX('OneCause_Paste'!$A$114:$AZ$114,1,OC_Name)))</f>
        <v/>
      </c>
      <c r="L114">
        <f>IF(OC_Txn=0,"",IF(INDEX('OneCause_Paste'!$A$114:$AZ$114,1,OC_Txn)="","",INDEX('OneCause_Paste'!$A$114:$AZ$114,1,OC_Txn)))</f>
        <v/>
      </c>
      <c r="M114">
        <f>IF(OC_Pay=0,"",IF(INDEX('OneCause_Paste'!$A$114:$AZ$114,1,OC_Pay)="","",INDEX('OneCause_Paste'!$A$114:$AZ$114,1,OC_Pay)))</f>
        <v/>
      </c>
      <c r="N114">
        <f>IF(I114="","",IF(ISNUMBER(I114),INT(I114),IFERROR(INT(DATEVALUE(I114)),IFERROR(INT(VALUE(I114)),"bad"))))</f>
        <v/>
      </c>
      <c r="O114">
        <f>IF(J114="","",IF(ISNUMBER(J114),ROUND(J114,2),IFERROR(ROUND(VALUE(SUBSTITUTE(SUBSTITUTE(SUBSTITUTE(J114,"$",""),",","")," ","")),2),"bad")))</f>
        <v/>
      </c>
      <c r="P114">
        <f>IF(TRIM(K114)="","",IFERROR(MATCH(LOWER(TRIM(K114)),'Students'!$AH$2:$AH$701,0),IFERROR(MATCH(LOWER(TRIM(K114)),'Students'!$AF$2:$AF$701,0),IFERROR(MATCH(LOWER(TRIM(K114)),'Students'!$AG$2:$AG$701,0),""))))</f>
        <v/>
      </c>
      <c r="R114">
        <f>IF(P114="","",INDEX('Students'!$AD$2:$AD$701,P114))</f>
        <v/>
      </c>
      <c r="S114">
        <f>IF(H114="OK",O114,0)</f>
        <v/>
      </c>
      <c r="T114">
        <f>IF(H114="OK",N114,"")</f>
        <v/>
      </c>
      <c r="U114">
        <f>IF(OC_Donor=0,"",IF(INDEX('OneCause_Paste'!$A$114:$AZ$114,1,OC_Donor)="","",INDEX('OneCause_Paste'!$A$114:$AZ$114,1,OC_Donor)))</f>
        <v/>
      </c>
    </row>
    <row r="115">
      <c r="A115" s="62">
        <f>IF(H115="","",IF(ISNUMBER(N115),N115,I115))</f>
        <v/>
      </c>
      <c r="B115">
        <f>IF(H115="","",U115)</f>
        <v/>
      </c>
      <c r="C115">
        <f>IF(H115="","",IF(P115="",K115,INDEX('Students'!$A$2:$A$701,P115)))</f>
        <v/>
      </c>
      <c r="D115">
        <f>IF(OR(H115="",P115=""),"",INDEX('Students'!$B$2:$B$701,P115))</f>
        <v/>
      </c>
      <c r="E115">
        <f>IF(OR(H115="",P115=""),"",INDEX('Students'!$C$2:$C$701,P115))</f>
        <v/>
      </c>
      <c r="F115" s="48">
        <f>IF(H115="","",IF(ISNUMBER(O115),O115,J115))</f>
        <v/>
      </c>
      <c r="G115">
        <f>IF(H115="","","OneCause")</f>
        <v/>
      </c>
      <c r="H115">
        <f>IF(AND(I115="",J115="",K115=""),"",IF(NOT(ISNUMBER(O115)),"Bad amount",IF(O115&lt;0,"Refund (not counted)",IF(O115=0,"Zero amount",IF(NOT(ISNUMBER(N115)),"Bad date",IF(P115="","NAME NOT ON ROSTER",IF(L115="","OK",IF(MATCH(L115,$L$2:$L$3001,0)&lt;ROW()-1,"Duplicate (ignored)","OK"))))))))</f>
        <v/>
      </c>
      <c r="I115">
        <f>IF(OC_Date=0,"",IF(INDEX('OneCause_Paste'!$A$115:$AZ$115,1,OC_Date)="","",INDEX('OneCause_Paste'!$A$115:$AZ$115,1,OC_Date)))</f>
        <v/>
      </c>
      <c r="J115">
        <f>IF(OC_Amt=0,"",IF(INDEX('OneCause_Paste'!$A$115:$AZ$115,1,OC_Amt)="","",INDEX('OneCause_Paste'!$A$115:$AZ$115,1,OC_Amt)))</f>
        <v/>
      </c>
      <c r="K115">
        <f>IF(OC_Name=0,"",IF(INDEX('OneCause_Paste'!$A$115:$AZ$115,1,OC_Name)="","",INDEX('OneCause_Paste'!$A$115:$AZ$115,1,OC_Name)))</f>
        <v/>
      </c>
      <c r="L115">
        <f>IF(OC_Txn=0,"",IF(INDEX('OneCause_Paste'!$A$115:$AZ$115,1,OC_Txn)="","",INDEX('OneCause_Paste'!$A$115:$AZ$115,1,OC_Txn)))</f>
        <v/>
      </c>
      <c r="M115">
        <f>IF(OC_Pay=0,"",IF(INDEX('OneCause_Paste'!$A$115:$AZ$115,1,OC_Pay)="","",INDEX('OneCause_Paste'!$A$115:$AZ$115,1,OC_Pay)))</f>
        <v/>
      </c>
      <c r="N115">
        <f>IF(I115="","",IF(ISNUMBER(I115),INT(I115),IFERROR(INT(DATEVALUE(I115)),IFERROR(INT(VALUE(I115)),"bad"))))</f>
        <v/>
      </c>
      <c r="O115">
        <f>IF(J115="","",IF(ISNUMBER(J115),ROUND(J115,2),IFERROR(ROUND(VALUE(SUBSTITUTE(SUBSTITUTE(SUBSTITUTE(J115,"$",""),",","")," ","")),2),"bad")))</f>
        <v/>
      </c>
      <c r="P115">
        <f>IF(TRIM(K115)="","",IFERROR(MATCH(LOWER(TRIM(K115)),'Students'!$AH$2:$AH$701,0),IFERROR(MATCH(LOWER(TRIM(K115)),'Students'!$AF$2:$AF$701,0),IFERROR(MATCH(LOWER(TRIM(K115)),'Students'!$AG$2:$AG$701,0),""))))</f>
        <v/>
      </c>
      <c r="R115">
        <f>IF(P115="","",INDEX('Students'!$AD$2:$AD$701,P115))</f>
        <v/>
      </c>
      <c r="S115">
        <f>IF(H115="OK",O115,0)</f>
        <v/>
      </c>
      <c r="T115">
        <f>IF(H115="OK",N115,"")</f>
        <v/>
      </c>
      <c r="U115">
        <f>IF(OC_Donor=0,"",IF(INDEX('OneCause_Paste'!$A$115:$AZ$115,1,OC_Donor)="","",INDEX('OneCause_Paste'!$A$115:$AZ$115,1,OC_Donor)))</f>
        <v/>
      </c>
    </row>
    <row r="116">
      <c r="A116" s="62">
        <f>IF(H116="","",IF(ISNUMBER(N116),N116,I116))</f>
        <v/>
      </c>
      <c r="B116">
        <f>IF(H116="","",U116)</f>
        <v/>
      </c>
      <c r="C116">
        <f>IF(H116="","",IF(P116="",K116,INDEX('Students'!$A$2:$A$701,P116)))</f>
        <v/>
      </c>
      <c r="D116">
        <f>IF(OR(H116="",P116=""),"",INDEX('Students'!$B$2:$B$701,P116))</f>
        <v/>
      </c>
      <c r="E116">
        <f>IF(OR(H116="",P116=""),"",INDEX('Students'!$C$2:$C$701,P116))</f>
        <v/>
      </c>
      <c r="F116" s="48">
        <f>IF(H116="","",IF(ISNUMBER(O116),O116,J116))</f>
        <v/>
      </c>
      <c r="G116">
        <f>IF(H116="","","OneCause")</f>
        <v/>
      </c>
      <c r="H116">
        <f>IF(AND(I116="",J116="",K116=""),"",IF(NOT(ISNUMBER(O116)),"Bad amount",IF(O116&lt;0,"Refund (not counted)",IF(O116=0,"Zero amount",IF(NOT(ISNUMBER(N116)),"Bad date",IF(P116="","NAME NOT ON ROSTER",IF(L116="","OK",IF(MATCH(L116,$L$2:$L$3001,0)&lt;ROW()-1,"Duplicate (ignored)","OK"))))))))</f>
        <v/>
      </c>
      <c r="I116">
        <f>IF(OC_Date=0,"",IF(INDEX('OneCause_Paste'!$A$116:$AZ$116,1,OC_Date)="","",INDEX('OneCause_Paste'!$A$116:$AZ$116,1,OC_Date)))</f>
        <v/>
      </c>
      <c r="J116">
        <f>IF(OC_Amt=0,"",IF(INDEX('OneCause_Paste'!$A$116:$AZ$116,1,OC_Amt)="","",INDEX('OneCause_Paste'!$A$116:$AZ$116,1,OC_Amt)))</f>
        <v/>
      </c>
      <c r="K116">
        <f>IF(OC_Name=0,"",IF(INDEX('OneCause_Paste'!$A$116:$AZ$116,1,OC_Name)="","",INDEX('OneCause_Paste'!$A$116:$AZ$116,1,OC_Name)))</f>
        <v/>
      </c>
      <c r="L116">
        <f>IF(OC_Txn=0,"",IF(INDEX('OneCause_Paste'!$A$116:$AZ$116,1,OC_Txn)="","",INDEX('OneCause_Paste'!$A$116:$AZ$116,1,OC_Txn)))</f>
        <v/>
      </c>
      <c r="M116">
        <f>IF(OC_Pay=0,"",IF(INDEX('OneCause_Paste'!$A$116:$AZ$116,1,OC_Pay)="","",INDEX('OneCause_Paste'!$A$116:$AZ$116,1,OC_Pay)))</f>
        <v/>
      </c>
      <c r="N116">
        <f>IF(I116="","",IF(ISNUMBER(I116),INT(I116),IFERROR(INT(DATEVALUE(I116)),IFERROR(INT(VALUE(I116)),"bad"))))</f>
        <v/>
      </c>
      <c r="O116">
        <f>IF(J116="","",IF(ISNUMBER(J116),ROUND(J116,2),IFERROR(ROUND(VALUE(SUBSTITUTE(SUBSTITUTE(SUBSTITUTE(J116,"$",""),",","")," ","")),2),"bad")))</f>
        <v/>
      </c>
      <c r="P116">
        <f>IF(TRIM(K116)="","",IFERROR(MATCH(LOWER(TRIM(K116)),'Students'!$AH$2:$AH$701,0),IFERROR(MATCH(LOWER(TRIM(K116)),'Students'!$AF$2:$AF$701,0),IFERROR(MATCH(LOWER(TRIM(K116)),'Students'!$AG$2:$AG$701,0),""))))</f>
        <v/>
      </c>
      <c r="R116">
        <f>IF(P116="","",INDEX('Students'!$AD$2:$AD$701,P116))</f>
        <v/>
      </c>
      <c r="S116">
        <f>IF(H116="OK",O116,0)</f>
        <v/>
      </c>
      <c r="T116">
        <f>IF(H116="OK",N116,"")</f>
        <v/>
      </c>
      <c r="U116">
        <f>IF(OC_Donor=0,"",IF(INDEX('OneCause_Paste'!$A$116:$AZ$116,1,OC_Donor)="","",INDEX('OneCause_Paste'!$A$116:$AZ$116,1,OC_Donor)))</f>
        <v/>
      </c>
    </row>
    <row r="117">
      <c r="A117" s="62">
        <f>IF(H117="","",IF(ISNUMBER(N117),N117,I117))</f>
        <v/>
      </c>
      <c r="B117">
        <f>IF(H117="","",U117)</f>
        <v/>
      </c>
      <c r="C117">
        <f>IF(H117="","",IF(P117="",K117,INDEX('Students'!$A$2:$A$701,P117)))</f>
        <v/>
      </c>
      <c r="D117">
        <f>IF(OR(H117="",P117=""),"",INDEX('Students'!$B$2:$B$701,P117))</f>
        <v/>
      </c>
      <c r="E117">
        <f>IF(OR(H117="",P117=""),"",INDEX('Students'!$C$2:$C$701,P117))</f>
        <v/>
      </c>
      <c r="F117" s="48">
        <f>IF(H117="","",IF(ISNUMBER(O117),O117,J117))</f>
        <v/>
      </c>
      <c r="G117">
        <f>IF(H117="","","OneCause")</f>
        <v/>
      </c>
      <c r="H117">
        <f>IF(AND(I117="",J117="",K117=""),"",IF(NOT(ISNUMBER(O117)),"Bad amount",IF(O117&lt;0,"Refund (not counted)",IF(O117=0,"Zero amount",IF(NOT(ISNUMBER(N117)),"Bad date",IF(P117="","NAME NOT ON ROSTER",IF(L117="","OK",IF(MATCH(L117,$L$2:$L$3001,0)&lt;ROW()-1,"Duplicate (ignored)","OK"))))))))</f>
        <v/>
      </c>
      <c r="I117">
        <f>IF(OC_Date=0,"",IF(INDEX('OneCause_Paste'!$A$117:$AZ$117,1,OC_Date)="","",INDEX('OneCause_Paste'!$A$117:$AZ$117,1,OC_Date)))</f>
        <v/>
      </c>
      <c r="J117">
        <f>IF(OC_Amt=0,"",IF(INDEX('OneCause_Paste'!$A$117:$AZ$117,1,OC_Amt)="","",INDEX('OneCause_Paste'!$A$117:$AZ$117,1,OC_Amt)))</f>
        <v/>
      </c>
      <c r="K117">
        <f>IF(OC_Name=0,"",IF(INDEX('OneCause_Paste'!$A$117:$AZ$117,1,OC_Name)="","",INDEX('OneCause_Paste'!$A$117:$AZ$117,1,OC_Name)))</f>
        <v/>
      </c>
      <c r="L117">
        <f>IF(OC_Txn=0,"",IF(INDEX('OneCause_Paste'!$A$117:$AZ$117,1,OC_Txn)="","",INDEX('OneCause_Paste'!$A$117:$AZ$117,1,OC_Txn)))</f>
        <v/>
      </c>
      <c r="M117">
        <f>IF(OC_Pay=0,"",IF(INDEX('OneCause_Paste'!$A$117:$AZ$117,1,OC_Pay)="","",INDEX('OneCause_Paste'!$A$117:$AZ$117,1,OC_Pay)))</f>
        <v/>
      </c>
      <c r="N117">
        <f>IF(I117="","",IF(ISNUMBER(I117),INT(I117),IFERROR(INT(DATEVALUE(I117)),IFERROR(INT(VALUE(I117)),"bad"))))</f>
        <v/>
      </c>
      <c r="O117">
        <f>IF(J117="","",IF(ISNUMBER(J117),ROUND(J117,2),IFERROR(ROUND(VALUE(SUBSTITUTE(SUBSTITUTE(SUBSTITUTE(J117,"$",""),",","")," ","")),2),"bad")))</f>
        <v/>
      </c>
      <c r="P117">
        <f>IF(TRIM(K117)="","",IFERROR(MATCH(LOWER(TRIM(K117)),'Students'!$AH$2:$AH$701,0),IFERROR(MATCH(LOWER(TRIM(K117)),'Students'!$AF$2:$AF$701,0),IFERROR(MATCH(LOWER(TRIM(K117)),'Students'!$AG$2:$AG$701,0),""))))</f>
        <v/>
      </c>
      <c r="R117">
        <f>IF(P117="","",INDEX('Students'!$AD$2:$AD$701,P117))</f>
        <v/>
      </c>
      <c r="S117">
        <f>IF(H117="OK",O117,0)</f>
        <v/>
      </c>
      <c r="T117">
        <f>IF(H117="OK",N117,"")</f>
        <v/>
      </c>
      <c r="U117">
        <f>IF(OC_Donor=0,"",IF(INDEX('OneCause_Paste'!$A$117:$AZ$117,1,OC_Donor)="","",INDEX('OneCause_Paste'!$A$117:$AZ$117,1,OC_Donor)))</f>
        <v/>
      </c>
    </row>
    <row r="118">
      <c r="A118" s="62">
        <f>IF(H118="","",IF(ISNUMBER(N118),N118,I118))</f>
        <v/>
      </c>
      <c r="B118">
        <f>IF(H118="","",U118)</f>
        <v/>
      </c>
      <c r="C118">
        <f>IF(H118="","",IF(P118="",K118,INDEX('Students'!$A$2:$A$701,P118)))</f>
        <v/>
      </c>
      <c r="D118">
        <f>IF(OR(H118="",P118=""),"",INDEX('Students'!$B$2:$B$701,P118))</f>
        <v/>
      </c>
      <c r="E118">
        <f>IF(OR(H118="",P118=""),"",INDEX('Students'!$C$2:$C$701,P118))</f>
        <v/>
      </c>
      <c r="F118" s="48">
        <f>IF(H118="","",IF(ISNUMBER(O118),O118,J118))</f>
        <v/>
      </c>
      <c r="G118">
        <f>IF(H118="","","OneCause")</f>
        <v/>
      </c>
      <c r="H118">
        <f>IF(AND(I118="",J118="",K118=""),"",IF(NOT(ISNUMBER(O118)),"Bad amount",IF(O118&lt;0,"Refund (not counted)",IF(O118=0,"Zero amount",IF(NOT(ISNUMBER(N118)),"Bad date",IF(P118="","NAME NOT ON ROSTER",IF(L118="","OK",IF(MATCH(L118,$L$2:$L$3001,0)&lt;ROW()-1,"Duplicate (ignored)","OK"))))))))</f>
        <v/>
      </c>
      <c r="I118">
        <f>IF(OC_Date=0,"",IF(INDEX('OneCause_Paste'!$A$118:$AZ$118,1,OC_Date)="","",INDEX('OneCause_Paste'!$A$118:$AZ$118,1,OC_Date)))</f>
        <v/>
      </c>
      <c r="J118">
        <f>IF(OC_Amt=0,"",IF(INDEX('OneCause_Paste'!$A$118:$AZ$118,1,OC_Amt)="","",INDEX('OneCause_Paste'!$A$118:$AZ$118,1,OC_Amt)))</f>
        <v/>
      </c>
      <c r="K118">
        <f>IF(OC_Name=0,"",IF(INDEX('OneCause_Paste'!$A$118:$AZ$118,1,OC_Name)="","",INDEX('OneCause_Paste'!$A$118:$AZ$118,1,OC_Name)))</f>
        <v/>
      </c>
      <c r="L118">
        <f>IF(OC_Txn=0,"",IF(INDEX('OneCause_Paste'!$A$118:$AZ$118,1,OC_Txn)="","",INDEX('OneCause_Paste'!$A$118:$AZ$118,1,OC_Txn)))</f>
        <v/>
      </c>
      <c r="M118">
        <f>IF(OC_Pay=0,"",IF(INDEX('OneCause_Paste'!$A$118:$AZ$118,1,OC_Pay)="","",INDEX('OneCause_Paste'!$A$118:$AZ$118,1,OC_Pay)))</f>
        <v/>
      </c>
      <c r="N118">
        <f>IF(I118="","",IF(ISNUMBER(I118),INT(I118),IFERROR(INT(DATEVALUE(I118)),IFERROR(INT(VALUE(I118)),"bad"))))</f>
        <v/>
      </c>
      <c r="O118">
        <f>IF(J118="","",IF(ISNUMBER(J118),ROUND(J118,2),IFERROR(ROUND(VALUE(SUBSTITUTE(SUBSTITUTE(SUBSTITUTE(J118,"$",""),",","")," ","")),2),"bad")))</f>
        <v/>
      </c>
      <c r="P118">
        <f>IF(TRIM(K118)="","",IFERROR(MATCH(LOWER(TRIM(K118)),'Students'!$AH$2:$AH$701,0),IFERROR(MATCH(LOWER(TRIM(K118)),'Students'!$AF$2:$AF$701,0),IFERROR(MATCH(LOWER(TRIM(K118)),'Students'!$AG$2:$AG$701,0),""))))</f>
        <v/>
      </c>
      <c r="R118">
        <f>IF(P118="","",INDEX('Students'!$AD$2:$AD$701,P118))</f>
        <v/>
      </c>
      <c r="S118">
        <f>IF(H118="OK",O118,0)</f>
        <v/>
      </c>
      <c r="T118">
        <f>IF(H118="OK",N118,"")</f>
        <v/>
      </c>
      <c r="U118">
        <f>IF(OC_Donor=0,"",IF(INDEX('OneCause_Paste'!$A$118:$AZ$118,1,OC_Donor)="","",INDEX('OneCause_Paste'!$A$118:$AZ$118,1,OC_Donor)))</f>
        <v/>
      </c>
    </row>
    <row r="119">
      <c r="A119" s="62">
        <f>IF(H119="","",IF(ISNUMBER(N119),N119,I119))</f>
        <v/>
      </c>
      <c r="B119">
        <f>IF(H119="","",U119)</f>
        <v/>
      </c>
      <c r="C119">
        <f>IF(H119="","",IF(P119="",K119,INDEX('Students'!$A$2:$A$701,P119)))</f>
        <v/>
      </c>
      <c r="D119">
        <f>IF(OR(H119="",P119=""),"",INDEX('Students'!$B$2:$B$701,P119))</f>
        <v/>
      </c>
      <c r="E119">
        <f>IF(OR(H119="",P119=""),"",INDEX('Students'!$C$2:$C$701,P119))</f>
        <v/>
      </c>
      <c r="F119" s="48">
        <f>IF(H119="","",IF(ISNUMBER(O119),O119,J119))</f>
        <v/>
      </c>
      <c r="G119">
        <f>IF(H119="","","OneCause")</f>
        <v/>
      </c>
      <c r="H119">
        <f>IF(AND(I119="",J119="",K119=""),"",IF(NOT(ISNUMBER(O119)),"Bad amount",IF(O119&lt;0,"Refund (not counted)",IF(O119=0,"Zero amount",IF(NOT(ISNUMBER(N119)),"Bad date",IF(P119="","NAME NOT ON ROSTER",IF(L119="","OK",IF(MATCH(L119,$L$2:$L$3001,0)&lt;ROW()-1,"Duplicate (ignored)","OK"))))))))</f>
        <v/>
      </c>
      <c r="I119">
        <f>IF(OC_Date=0,"",IF(INDEX('OneCause_Paste'!$A$119:$AZ$119,1,OC_Date)="","",INDEX('OneCause_Paste'!$A$119:$AZ$119,1,OC_Date)))</f>
        <v/>
      </c>
      <c r="J119">
        <f>IF(OC_Amt=0,"",IF(INDEX('OneCause_Paste'!$A$119:$AZ$119,1,OC_Amt)="","",INDEX('OneCause_Paste'!$A$119:$AZ$119,1,OC_Amt)))</f>
        <v/>
      </c>
      <c r="K119">
        <f>IF(OC_Name=0,"",IF(INDEX('OneCause_Paste'!$A$119:$AZ$119,1,OC_Name)="","",INDEX('OneCause_Paste'!$A$119:$AZ$119,1,OC_Name)))</f>
        <v/>
      </c>
      <c r="L119">
        <f>IF(OC_Txn=0,"",IF(INDEX('OneCause_Paste'!$A$119:$AZ$119,1,OC_Txn)="","",INDEX('OneCause_Paste'!$A$119:$AZ$119,1,OC_Txn)))</f>
        <v/>
      </c>
      <c r="M119">
        <f>IF(OC_Pay=0,"",IF(INDEX('OneCause_Paste'!$A$119:$AZ$119,1,OC_Pay)="","",INDEX('OneCause_Paste'!$A$119:$AZ$119,1,OC_Pay)))</f>
        <v/>
      </c>
      <c r="N119">
        <f>IF(I119="","",IF(ISNUMBER(I119),INT(I119),IFERROR(INT(DATEVALUE(I119)),IFERROR(INT(VALUE(I119)),"bad"))))</f>
        <v/>
      </c>
      <c r="O119">
        <f>IF(J119="","",IF(ISNUMBER(J119),ROUND(J119,2),IFERROR(ROUND(VALUE(SUBSTITUTE(SUBSTITUTE(SUBSTITUTE(J119,"$",""),",","")," ","")),2),"bad")))</f>
        <v/>
      </c>
      <c r="P119">
        <f>IF(TRIM(K119)="","",IFERROR(MATCH(LOWER(TRIM(K119)),'Students'!$AH$2:$AH$701,0),IFERROR(MATCH(LOWER(TRIM(K119)),'Students'!$AF$2:$AF$701,0),IFERROR(MATCH(LOWER(TRIM(K119)),'Students'!$AG$2:$AG$701,0),""))))</f>
        <v/>
      </c>
      <c r="R119">
        <f>IF(P119="","",INDEX('Students'!$AD$2:$AD$701,P119))</f>
        <v/>
      </c>
      <c r="S119">
        <f>IF(H119="OK",O119,0)</f>
        <v/>
      </c>
      <c r="T119">
        <f>IF(H119="OK",N119,"")</f>
        <v/>
      </c>
      <c r="U119">
        <f>IF(OC_Donor=0,"",IF(INDEX('OneCause_Paste'!$A$119:$AZ$119,1,OC_Donor)="","",INDEX('OneCause_Paste'!$A$119:$AZ$119,1,OC_Donor)))</f>
        <v/>
      </c>
    </row>
    <row r="120">
      <c r="A120" s="62">
        <f>IF(H120="","",IF(ISNUMBER(N120),N120,I120))</f>
        <v/>
      </c>
      <c r="B120">
        <f>IF(H120="","",U120)</f>
        <v/>
      </c>
      <c r="C120">
        <f>IF(H120="","",IF(P120="",K120,INDEX('Students'!$A$2:$A$701,P120)))</f>
        <v/>
      </c>
      <c r="D120">
        <f>IF(OR(H120="",P120=""),"",INDEX('Students'!$B$2:$B$701,P120))</f>
        <v/>
      </c>
      <c r="E120">
        <f>IF(OR(H120="",P120=""),"",INDEX('Students'!$C$2:$C$701,P120))</f>
        <v/>
      </c>
      <c r="F120" s="48">
        <f>IF(H120="","",IF(ISNUMBER(O120),O120,J120))</f>
        <v/>
      </c>
      <c r="G120">
        <f>IF(H120="","","OneCause")</f>
        <v/>
      </c>
      <c r="H120">
        <f>IF(AND(I120="",J120="",K120=""),"",IF(NOT(ISNUMBER(O120)),"Bad amount",IF(O120&lt;0,"Refund (not counted)",IF(O120=0,"Zero amount",IF(NOT(ISNUMBER(N120)),"Bad date",IF(P120="","NAME NOT ON ROSTER",IF(L120="","OK",IF(MATCH(L120,$L$2:$L$3001,0)&lt;ROW()-1,"Duplicate (ignored)","OK"))))))))</f>
        <v/>
      </c>
      <c r="I120">
        <f>IF(OC_Date=0,"",IF(INDEX('OneCause_Paste'!$A$120:$AZ$120,1,OC_Date)="","",INDEX('OneCause_Paste'!$A$120:$AZ$120,1,OC_Date)))</f>
        <v/>
      </c>
      <c r="J120">
        <f>IF(OC_Amt=0,"",IF(INDEX('OneCause_Paste'!$A$120:$AZ$120,1,OC_Amt)="","",INDEX('OneCause_Paste'!$A$120:$AZ$120,1,OC_Amt)))</f>
        <v/>
      </c>
      <c r="K120">
        <f>IF(OC_Name=0,"",IF(INDEX('OneCause_Paste'!$A$120:$AZ$120,1,OC_Name)="","",INDEX('OneCause_Paste'!$A$120:$AZ$120,1,OC_Name)))</f>
        <v/>
      </c>
      <c r="L120">
        <f>IF(OC_Txn=0,"",IF(INDEX('OneCause_Paste'!$A$120:$AZ$120,1,OC_Txn)="","",INDEX('OneCause_Paste'!$A$120:$AZ$120,1,OC_Txn)))</f>
        <v/>
      </c>
      <c r="M120">
        <f>IF(OC_Pay=0,"",IF(INDEX('OneCause_Paste'!$A$120:$AZ$120,1,OC_Pay)="","",INDEX('OneCause_Paste'!$A$120:$AZ$120,1,OC_Pay)))</f>
        <v/>
      </c>
      <c r="N120">
        <f>IF(I120="","",IF(ISNUMBER(I120),INT(I120),IFERROR(INT(DATEVALUE(I120)),IFERROR(INT(VALUE(I120)),"bad"))))</f>
        <v/>
      </c>
      <c r="O120">
        <f>IF(J120="","",IF(ISNUMBER(J120),ROUND(J120,2),IFERROR(ROUND(VALUE(SUBSTITUTE(SUBSTITUTE(SUBSTITUTE(J120,"$",""),",","")," ","")),2),"bad")))</f>
        <v/>
      </c>
      <c r="P120">
        <f>IF(TRIM(K120)="","",IFERROR(MATCH(LOWER(TRIM(K120)),'Students'!$AH$2:$AH$701,0),IFERROR(MATCH(LOWER(TRIM(K120)),'Students'!$AF$2:$AF$701,0),IFERROR(MATCH(LOWER(TRIM(K120)),'Students'!$AG$2:$AG$701,0),""))))</f>
        <v/>
      </c>
      <c r="R120">
        <f>IF(P120="","",INDEX('Students'!$AD$2:$AD$701,P120))</f>
        <v/>
      </c>
      <c r="S120">
        <f>IF(H120="OK",O120,0)</f>
        <v/>
      </c>
      <c r="T120">
        <f>IF(H120="OK",N120,"")</f>
        <v/>
      </c>
      <c r="U120">
        <f>IF(OC_Donor=0,"",IF(INDEX('OneCause_Paste'!$A$120:$AZ$120,1,OC_Donor)="","",INDEX('OneCause_Paste'!$A$120:$AZ$120,1,OC_Donor)))</f>
        <v/>
      </c>
    </row>
    <row r="121">
      <c r="A121" s="62">
        <f>IF(H121="","",IF(ISNUMBER(N121),N121,I121))</f>
        <v/>
      </c>
      <c r="B121">
        <f>IF(H121="","",U121)</f>
        <v/>
      </c>
      <c r="C121">
        <f>IF(H121="","",IF(P121="",K121,INDEX('Students'!$A$2:$A$701,P121)))</f>
        <v/>
      </c>
      <c r="D121">
        <f>IF(OR(H121="",P121=""),"",INDEX('Students'!$B$2:$B$701,P121))</f>
        <v/>
      </c>
      <c r="E121">
        <f>IF(OR(H121="",P121=""),"",INDEX('Students'!$C$2:$C$701,P121))</f>
        <v/>
      </c>
      <c r="F121" s="48">
        <f>IF(H121="","",IF(ISNUMBER(O121),O121,J121))</f>
        <v/>
      </c>
      <c r="G121">
        <f>IF(H121="","","OneCause")</f>
        <v/>
      </c>
      <c r="H121">
        <f>IF(AND(I121="",J121="",K121=""),"",IF(NOT(ISNUMBER(O121)),"Bad amount",IF(O121&lt;0,"Refund (not counted)",IF(O121=0,"Zero amount",IF(NOT(ISNUMBER(N121)),"Bad date",IF(P121="","NAME NOT ON ROSTER",IF(L121="","OK",IF(MATCH(L121,$L$2:$L$3001,0)&lt;ROW()-1,"Duplicate (ignored)","OK"))))))))</f>
        <v/>
      </c>
      <c r="I121">
        <f>IF(OC_Date=0,"",IF(INDEX('OneCause_Paste'!$A$121:$AZ$121,1,OC_Date)="","",INDEX('OneCause_Paste'!$A$121:$AZ$121,1,OC_Date)))</f>
        <v/>
      </c>
      <c r="J121">
        <f>IF(OC_Amt=0,"",IF(INDEX('OneCause_Paste'!$A$121:$AZ$121,1,OC_Amt)="","",INDEX('OneCause_Paste'!$A$121:$AZ$121,1,OC_Amt)))</f>
        <v/>
      </c>
      <c r="K121">
        <f>IF(OC_Name=0,"",IF(INDEX('OneCause_Paste'!$A$121:$AZ$121,1,OC_Name)="","",INDEX('OneCause_Paste'!$A$121:$AZ$121,1,OC_Name)))</f>
        <v/>
      </c>
      <c r="L121">
        <f>IF(OC_Txn=0,"",IF(INDEX('OneCause_Paste'!$A$121:$AZ$121,1,OC_Txn)="","",INDEX('OneCause_Paste'!$A$121:$AZ$121,1,OC_Txn)))</f>
        <v/>
      </c>
      <c r="M121">
        <f>IF(OC_Pay=0,"",IF(INDEX('OneCause_Paste'!$A$121:$AZ$121,1,OC_Pay)="","",INDEX('OneCause_Paste'!$A$121:$AZ$121,1,OC_Pay)))</f>
        <v/>
      </c>
      <c r="N121">
        <f>IF(I121="","",IF(ISNUMBER(I121),INT(I121),IFERROR(INT(DATEVALUE(I121)),IFERROR(INT(VALUE(I121)),"bad"))))</f>
        <v/>
      </c>
      <c r="O121">
        <f>IF(J121="","",IF(ISNUMBER(J121),ROUND(J121,2),IFERROR(ROUND(VALUE(SUBSTITUTE(SUBSTITUTE(SUBSTITUTE(J121,"$",""),",","")," ","")),2),"bad")))</f>
        <v/>
      </c>
      <c r="P121">
        <f>IF(TRIM(K121)="","",IFERROR(MATCH(LOWER(TRIM(K121)),'Students'!$AH$2:$AH$701,0),IFERROR(MATCH(LOWER(TRIM(K121)),'Students'!$AF$2:$AF$701,0),IFERROR(MATCH(LOWER(TRIM(K121)),'Students'!$AG$2:$AG$701,0),""))))</f>
        <v/>
      </c>
      <c r="R121">
        <f>IF(P121="","",INDEX('Students'!$AD$2:$AD$701,P121))</f>
        <v/>
      </c>
      <c r="S121">
        <f>IF(H121="OK",O121,0)</f>
        <v/>
      </c>
      <c r="T121">
        <f>IF(H121="OK",N121,"")</f>
        <v/>
      </c>
      <c r="U121">
        <f>IF(OC_Donor=0,"",IF(INDEX('OneCause_Paste'!$A$121:$AZ$121,1,OC_Donor)="","",INDEX('OneCause_Paste'!$A$121:$AZ$121,1,OC_Donor)))</f>
        <v/>
      </c>
    </row>
    <row r="122">
      <c r="A122" s="62">
        <f>IF(H122="","",IF(ISNUMBER(N122),N122,I122))</f>
        <v/>
      </c>
      <c r="B122">
        <f>IF(H122="","",U122)</f>
        <v/>
      </c>
      <c r="C122">
        <f>IF(H122="","",IF(P122="",K122,INDEX('Students'!$A$2:$A$701,P122)))</f>
        <v/>
      </c>
      <c r="D122">
        <f>IF(OR(H122="",P122=""),"",INDEX('Students'!$B$2:$B$701,P122))</f>
        <v/>
      </c>
      <c r="E122">
        <f>IF(OR(H122="",P122=""),"",INDEX('Students'!$C$2:$C$701,P122))</f>
        <v/>
      </c>
      <c r="F122" s="48">
        <f>IF(H122="","",IF(ISNUMBER(O122),O122,J122))</f>
        <v/>
      </c>
      <c r="G122">
        <f>IF(H122="","","OneCause")</f>
        <v/>
      </c>
      <c r="H122">
        <f>IF(AND(I122="",J122="",K122=""),"",IF(NOT(ISNUMBER(O122)),"Bad amount",IF(O122&lt;0,"Refund (not counted)",IF(O122=0,"Zero amount",IF(NOT(ISNUMBER(N122)),"Bad date",IF(P122="","NAME NOT ON ROSTER",IF(L122="","OK",IF(MATCH(L122,$L$2:$L$3001,0)&lt;ROW()-1,"Duplicate (ignored)","OK"))))))))</f>
        <v/>
      </c>
      <c r="I122">
        <f>IF(OC_Date=0,"",IF(INDEX('OneCause_Paste'!$A$122:$AZ$122,1,OC_Date)="","",INDEX('OneCause_Paste'!$A$122:$AZ$122,1,OC_Date)))</f>
        <v/>
      </c>
      <c r="J122">
        <f>IF(OC_Amt=0,"",IF(INDEX('OneCause_Paste'!$A$122:$AZ$122,1,OC_Amt)="","",INDEX('OneCause_Paste'!$A$122:$AZ$122,1,OC_Amt)))</f>
        <v/>
      </c>
      <c r="K122">
        <f>IF(OC_Name=0,"",IF(INDEX('OneCause_Paste'!$A$122:$AZ$122,1,OC_Name)="","",INDEX('OneCause_Paste'!$A$122:$AZ$122,1,OC_Name)))</f>
        <v/>
      </c>
      <c r="L122">
        <f>IF(OC_Txn=0,"",IF(INDEX('OneCause_Paste'!$A$122:$AZ$122,1,OC_Txn)="","",INDEX('OneCause_Paste'!$A$122:$AZ$122,1,OC_Txn)))</f>
        <v/>
      </c>
      <c r="M122">
        <f>IF(OC_Pay=0,"",IF(INDEX('OneCause_Paste'!$A$122:$AZ$122,1,OC_Pay)="","",INDEX('OneCause_Paste'!$A$122:$AZ$122,1,OC_Pay)))</f>
        <v/>
      </c>
      <c r="N122">
        <f>IF(I122="","",IF(ISNUMBER(I122),INT(I122),IFERROR(INT(DATEVALUE(I122)),IFERROR(INT(VALUE(I122)),"bad"))))</f>
        <v/>
      </c>
      <c r="O122">
        <f>IF(J122="","",IF(ISNUMBER(J122),ROUND(J122,2),IFERROR(ROUND(VALUE(SUBSTITUTE(SUBSTITUTE(SUBSTITUTE(J122,"$",""),",","")," ","")),2),"bad")))</f>
        <v/>
      </c>
      <c r="P122">
        <f>IF(TRIM(K122)="","",IFERROR(MATCH(LOWER(TRIM(K122)),'Students'!$AH$2:$AH$701,0),IFERROR(MATCH(LOWER(TRIM(K122)),'Students'!$AF$2:$AF$701,0),IFERROR(MATCH(LOWER(TRIM(K122)),'Students'!$AG$2:$AG$701,0),""))))</f>
        <v/>
      </c>
      <c r="R122">
        <f>IF(P122="","",INDEX('Students'!$AD$2:$AD$701,P122))</f>
        <v/>
      </c>
      <c r="S122">
        <f>IF(H122="OK",O122,0)</f>
        <v/>
      </c>
      <c r="T122">
        <f>IF(H122="OK",N122,"")</f>
        <v/>
      </c>
      <c r="U122">
        <f>IF(OC_Donor=0,"",IF(INDEX('OneCause_Paste'!$A$122:$AZ$122,1,OC_Donor)="","",INDEX('OneCause_Paste'!$A$122:$AZ$122,1,OC_Donor)))</f>
        <v/>
      </c>
    </row>
    <row r="123">
      <c r="A123" s="62">
        <f>IF(H123="","",IF(ISNUMBER(N123),N123,I123))</f>
        <v/>
      </c>
      <c r="B123">
        <f>IF(H123="","",U123)</f>
        <v/>
      </c>
      <c r="C123">
        <f>IF(H123="","",IF(P123="",K123,INDEX('Students'!$A$2:$A$701,P123)))</f>
        <v/>
      </c>
      <c r="D123">
        <f>IF(OR(H123="",P123=""),"",INDEX('Students'!$B$2:$B$701,P123))</f>
        <v/>
      </c>
      <c r="E123">
        <f>IF(OR(H123="",P123=""),"",INDEX('Students'!$C$2:$C$701,P123))</f>
        <v/>
      </c>
      <c r="F123" s="48">
        <f>IF(H123="","",IF(ISNUMBER(O123),O123,J123))</f>
        <v/>
      </c>
      <c r="G123">
        <f>IF(H123="","","OneCause")</f>
        <v/>
      </c>
      <c r="H123">
        <f>IF(AND(I123="",J123="",K123=""),"",IF(NOT(ISNUMBER(O123)),"Bad amount",IF(O123&lt;0,"Refund (not counted)",IF(O123=0,"Zero amount",IF(NOT(ISNUMBER(N123)),"Bad date",IF(P123="","NAME NOT ON ROSTER",IF(L123="","OK",IF(MATCH(L123,$L$2:$L$3001,0)&lt;ROW()-1,"Duplicate (ignored)","OK"))))))))</f>
        <v/>
      </c>
      <c r="I123">
        <f>IF(OC_Date=0,"",IF(INDEX('OneCause_Paste'!$A$123:$AZ$123,1,OC_Date)="","",INDEX('OneCause_Paste'!$A$123:$AZ$123,1,OC_Date)))</f>
        <v/>
      </c>
      <c r="J123">
        <f>IF(OC_Amt=0,"",IF(INDEX('OneCause_Paste'!$A$123:$AZ$123,1,OC_Amt)="","",INDEX('OneCause_Paste'!$A$123:$AZ$123,1,OC_Amt)))</f>
        <v/>
      </c>
      <c r="K123">
        <f>IF(OC_Name=0,"",IF(INDEX('OneCause_Paste'!$A$123:$AZ$123,1,OC_Name)="","",INDEX('OneCause_Paste'!$A$123:$AZ$123,1,OC_Name)))</f>
        <v/>
      </c>
      <c r="L123">
        <f>IF(OC_Txn=0,"",IF(INDEX('OneCause_Paste'!$A$123:$AZ$123,1,OC_Txn)="","",INDEX('OneCause_Paste'!$A$123:$AZ$123,1,OC_Txn)))</f>
        <v/>
      </c>
      <c r="M123">
        <f>IF(OC_Pay=0,"",IF(INDEX('OneCause_Paste'!$A$123:$AZ$123,1,OC_Pay)="","",INDEX('OneCause_Paste'!$A$123:$AZ$123,1,OC_Pay)))</f>
        <v/>
      </c>
      <c r="N123">
        <f>IF(I123="","",IF(ISNUMBER(I123),INT(I123),IFERROR(INT(DATEVALUE(I123)),IFERROR(INT(VALUE(I123)),"bad"))))</f>
        <v/>
      </c>
      <c r="O123">
        <f>IF(J123="","",IF(ISNUMBER(J123),ROUND(J123,2),IFERROR(ROUND(VALUE(SUBSTITUTE(SUBSTITUTE(SUBSTITUTE(J123,"$",""),",","")," ","")),2),"bad")))</f>
        <v/>
      </c>
      <c r="P123">
        <f>IF(TRIM(K123)="","",IFERROR(MATCH(LOWER(TRIM(K123)),'Students'!$AH$2:$AH$701,0),IFERROR(MATCH(LOWER(TRIM(K123)),'Students'!$AF$2:$AF$701,0),IFERROR(MATCH(LOWER(TRIM(K123)),'Students'!$AG$2:$AG$701,0),""))))</f>
        <v/>
      </c>
      <c r="R123">
        <f>IF(P123="","",INDEX('Students'!$AD$2:$AD$701,P123))</f>
        <v/>
      </c>
      <c r="S123">
        <f>IF(H123="OK",O123,0)</f>
        <v/>
      </c>
      <c r="T123">
        <f>IF(H123="OK",N123,"")</f>
        <v/>
      </c>
      <c r="U123">
        <f>IF(OC_Donor=0,"",IF(INDEX('OneCause_Paste'!$A$123:$AZ$123,1,OC_Donor)="","",INDEX('OneCause_Paste'!$A$123:$AZ$123,1,OC_Donor)))</f>
        <v/>
      </c>
    </row>
    <row r="124">
      <c r="A124" s="62">
        <f>IF(H124="","",IF(ISNUMBER(N124),N124,I124))</f>
        <v/>
      </c>
      <c r="B124">
        <f>IF(H124="","",U124)</f>
        <v/>
      </c>
      <c r="C124">
        <f>IF(H124="","",IF(P124="",K124,INDEX('Students'!$A$2:$A$701,P124)))</f>
        <v/>
      </c>
      <c r="D124">
        <f>IF(OR(H124="",P124=""),"",INDEX('Students'!$B$2:$B$701,P124))</f>
        <v/>
      </c>
      <c r="E124">
        <f>IF(OR(H124="",P124=""),"",INDEX('Students'!$C$2:$C$701,P124))</f>
        <v/>
      </c>
      <c r="F124" s="48">
        <f>IF(H124="","",IF(ISNUMBER(O124),O124,J124))</f>
        <v/>
      </c>
      <c r="G124">
        <f>IF(H124="","","OneCause")</f>
        <v/>
      </c>
      <c r="H124">
        <f>IF(AND(I124="",J124="",K124=""),"",IF(NOT(ISNUMBER(O124)),"Bad amount",IF(O124&lt;0,"Refund (not counted)",IF(O124=0,"Zero amount",IF(NOT(ISNUMBER(N124)),"Bad date",IF(P124="","NAME NOT ON ROSTER",IF(L124="","OK",IF(MATCH(L124,$L$2:$L$3001,0)&lt;ROW()-1,"Duplicate (ignored)","OK"))))))))</f>
        <v/>
      </c>
      <c r="I124">
        <f>IF(OC_Date=0,"",IF(INDEX('OneCause_Paste'!$A$124:$AZ$124,1,OC_Date)="","",INDEX('OneCause_Paste'!$A$124:$AZ$124,1,OC_Date)))</f>
        <v/>
      </c>
      <c r="J124">
        <f>IF(OC_Amt=0,"",IF(INDEX('OneCause_Paste'!$A$124:$AZ$124,1,OC_Amt)="","",INDEX('OneCause_Paste'!$A$124:$AZ$124,1,OC_Amt)))</f>
        <v/>
      </c>
      <c r="K124">
        <f>IF(OC_Name=0,"",IF(INDEX('OneCause_Paste'!$A$124:$AZ$124,1,OC_Name)="","",INDEX('OneCause_Paste'!$A$124:$AZ$124,1,OC_Name)))</f>
        <v/>
      </c>
      <c r="L124">
        <f>IF(OC_Txn=0,"",IF(INDEX('OneCause_Paste'!$A$124:$AZ$124,1,OC_Txn)="","",INDEX('OneCause_Paste'!$A$124:$AZ$124,1,OC_Txn)))</f>
        <v/>
      </c>
      <c r="M124">
        <f>IF(OC_Pay=0,"",IF(INDEX('OneCause_Paste'!$A$124:$AZ$124,1,OC_Pay)="","",INDEX('OneCause_Paste'!$A$124:$AZ$124,1,OC_Pay)))</f>
        <v/>
      </c>
      <c r="N124">
        <f>IF(I124="","",IF(ISNUMBER(I124),INT(I124),IFERROR(INT(DATEVALUE(I124)),IFERROR(INT(VALUE(I124)),"bad"))))</f>
        <v/>
      </c>
      <c r="O124">
        <f>IF(J124="","",IF(ISNUMBER(J124),ROUND(J124,2),IFERROR(ROUND(VALUE(SUBSTITUTE(SUBSTITUTE(SUBSTITUTE(J124,"$",""),",","")," ","")),2),"bad")))</f>
        <v/>
      </c>
      <c r="P124">
        <f>IF(TRIM(K124)="","",IFERROR(MATCH(LOWER(TRIM(K124)),'Students'!$AH$2:$AH$701,0),IFERROR(MATCH(LOWER(TRIM(K124)),'Students'!$AF$2:$AF$701,0),IFERROR(MATCH(LOWER(TRIM(K124)),'Students'!$AG$2:$AG$701,0),""))))</f>
        <v/>
      </c>
      <c r="R124">
        <f>IF(P124="","",INDEX('Students'!$AD$2:$AD$701,P124))</f>
        <v/>
      </c>
      <c r="S124">
        <f>IF(H124="OK",O124,0)</f>
        <v/>
      </c>
      <c r="T124">
        <f>IF(H124="OK",N124,"")</f>
        <v/>
      </c>
      <c r="U124">
        <f>IF(OC_Donor=0,"",IF(INDEX('OneCause_Paste'!$A$124:$AZ$124,1,OC_Donor)="","",INDEX('OneCause_Paste'!$A$124:$AZ$124,1,OC_Donor)))</f>
        <v/>
      </c>
    </row>
    <row r="125">
      <c r="A125" s="62">
        <f>IF(H125="","",IF(ISNUMBER(N125),N125,I125))</f>
        <v/>
      </c>
      <c r="B125">
        <f>IF(H125="","",U125)</f>
        <v/>
      </c>
      <c r="C125">
        <f>IF(H125="","",IF(P125="",K125,INDEX('Students'!$A$2:$A$701,P125)))</f>
        <v/>
      </c>
      <c r="D125">
        <f>IF(OR(H125="",P125=""),"",INDEX('Students'!$B$2:$B$701,P125))</f>
        <v/>
      </c>
      <c r="E125">
        <f>IF(OR(H125="",P125=""),"",INDEX('Students'!$C$2:$C$701,P125))</f>
        <v/>
      </c>
      <c r="F125" s="48">
        <f>IF(H125="","",IF(ISNUMBER(O125),O125,J125))</f>
        <v/>
      </c>
      <c r="G125">
        <f>IF(H125="","","OneCause")</f>
        <v/>
      </c>
      <c r="H125">
        <f>IF(AND(I125="",J125="",K125=""),"",IF(NOT(ISNUMBER(O125)),"Bad amount",IF(O125&lt;0,"Refund (not counted)",IF(O125=0,"Zero amount",IF(NOT(ISNUMBER(N125)),"Bad date",IF(P125="","NAME NOT ON ROSTER",IF(L125="","OK",IF(MATCH(L125,$L$2:$L$3001,0)&lt;ROW()-1,"Duplicate (ignored)","OK"))))))))</f>
        <v/>
      </c>
      <c r="I125">
        <f>IF(OC_Date=0,"",IF(INDEX('OneCause_Paste'!$A$125:$AZ$125,1,OC_Date)="","",INDEX('OneCause_Paste'!$A$125:$AZ$125,1,OC_Date)))</f>
        <v/>
      </c>
      <c r="J125">
        <f>IF(OC_Amt=0,"",IF(INDEX('OneCause_Paste'!$A$125:$AZ$125,1,OC_Amt)="","",INDEX('OneCause_Paste'!$A$125:$AZ$125,1,OC_Amt)))</f>
        <v/>
      </c>
      <c r="K125">
        <f>IF(OC_Name=0,"",IF(INDEX('OneCause_Paste'!$A$125:$AZ$125,1,OC_Name)="","",INDEX('OneCause_Paste'!$A$125:$AZ$125,1,OC_Name)))</f>
        <v/>
      </c>
      <c r="L125">
        <f>IF(OC_Txn=0,"",IF(INDEX('OneCause_Paste'!$A$125:$AZ$125,1,OC_Txn)="","",INDEX('OneCause_Paste'!$A$125:$AZ$125,1,OC_Txn)))</f>
        <v/>
      </c>
      <c r="M125">
        <f>IF(OC_Pay=0,"",IF(INDEX('OneCause_Paste'!$A$125:$AZ$125,1,OC_Pay)="","",INDEX('OneCause_Paste'!$A$125:$AZ$125,1,OC_Pay)))</f>
        <v/>
      </c>
      <c r="N125">
        <f>IF(I125="","",IF(ISNUMBER(I125),INT(I125),IFERROR(INT(DATEVALUE(I125)),IFERROR(INT(VALUE(I125)),"bad"))))</f>
        <v/>
      </c>
      <c r="O125">
        <f>IF(J125="","",IF(ISNUMBER(J125),ROUND(J125,2),IFERROR(ROUND(VALUE(SUBSTITUTE(SUBSTITUTE(SUBSTITUTE(J125,"$",""),",","")," ","")),2),"bad")))</f>
        <v/>
      </c>
      <c r="P125">
        <f>IF(TRIM(K125)="","",IFERROR(MATCH(LOWER(TRIM(K125)),'Students'!$AH$2:$AH$701,0),IFERROR(MATCH(LOWER(TRIM(K125)),'Students'!$AF$2:$AF$701,0),IFERROR(MATCH(LOWER(TRIM(K125)),'Students'!$AG$2:$AG$701,0),""))))</f>
        <v/>
      </c>
      <c r="R125">
        <f>IF(P125="","",INDEX('Students'!$AD$2:$AD$701,P125))</f>
        <v/>
      </c>
      <c r="S125">
        <f>IF(H125="OK",O125,0)</f>
        <v/>
      </c>
      <c r="T125">
        <f>IF(H125="OK",N125,"")</f>
        <v/>
      </c>
      <c r="U125">
        <f>IF(OC_Donor=0,"",IF(INDEX('OneCause_Paste'!$A$125:$AZ$125,1,OC_Donor)="","",INDEX('OneCause_Paste'!$A$125:$AZ$125,1,OC_Donor)))</f>
        <v/>
      </c>
    </row>
    <row r="126">
      <c r="A126" s="62">
        <f>IF(H126="","",IF(ISNUMBER(N126),N126,I126))</f>
        <v/>
      </c>
      <c r="B126">
        <f>IF(H126="","",U126)</f>
        <v/>
      </c>
      <c r="C126">
        <f>IF(H126="","",IF(P126="",K126,INDEX('Students'!$A$2:$A$701,P126)))</f>
        <v/>
      </c>
      <c r="D126">
        <f>IF(OR(H126="",P126=""),"",INDEX('Students'!$B$2:$B$701,P126))</f>
        <v/>
      </c>
      <c r="E126">
        <f>IF(OR(H126="",P126=""),"",INDEX('Students'!$C$2:$C$701,P126))</f>
        <v/>
      </c>
      <c r="F126" s="48">
        <f>IF(H126="","",IF(ISNUMBER(O126),O126,J126))</f>
        <v/>
      </c>
      <c r="G126">
        <f>IF(H126="","","OneCause")</f>
        <v/>
      </c>
      <c r="H126">
        <f>IF(AND(I126="",J126="",K126=""),"",IF(NOT(ISNUMBER(O126)),"Bad amount",IF(O126&lt;0,"Refund (not counted)",IF(O126=0,"Zero amount",IF(NOT(ISNUMBER(N126)),"Bad date",IF(P126="","NAME NOT ON ROSTER",IF(L126="","OK",IF(MATCH(L126,$L$2:$L$3001,0)&lt;ROW()-1,"Duplicate (ignored)","OK"))))))))</f>
        <v/>
      </c>
      <c r="I126">
        <f>IF(OC_Date=0,"",IF(INDEX('OneCause_Paste'!$A$126:$AZ$126,1,OC_Date)="","",INDEX('OneCause_Paste'!$A$126:$AZ$126,1,OC_Date)))</f>
        <v/>
      </c>
      <c r="J126">
        <f>IF(OC_Amt=0,"",IF(INDEX('OneCause_Paste'!$A$126:$AZ$126,1,OC_Amt)="","",INDEX('OneCause_Paste'!$A$126:$AZ$126,1,OC_Amt)))</f>
        <v/>
      </c>
      <c r="K126">
        <f>IF(OC_Name=0,"",IF(INDEX('OneCause_Paste'!$A$126:$AZ$126,1,OC_Name)="","",INDEX('OneCause_Paste'!$A$126:$AZ$126,1,OC_Name)))</f>
        <v/>
      </c>
      <c r="L126">
        <f>IF(OC_Txn=0,"",IF(INDEX('OneCause_Paste'!$A$126:$AZ$126,1,OC_Txn)="","",INDEX('OneCause_Paste'!$A$126:$AZ$126,1,OC_Txn)))</f>
        <v/>
      </c>
      <c r="M126">
        <f>IF(OC_Pay=0,"",IF(INDEX('OneCause_Paste'!$A$126:$AZ$126,1,OC_Pay)="","",INDEX('OneCause_Paste'!$A$126:$AZ$126,1,OC_Pay)))</f>
        <v/>
      </c>
      <c r="N126">
        <f>IF(I126="","",IF(ISNUMBER(I126),INT(I126),IFERROR(INT(DATEVALUE(I126)),IFERROR(INT(VALUE(I126)),"bad"))))</f>
        <v/>
      </c>
      <c r="O126">
        <f>IF(J126="","",IF(ISNUMBER(J126),ROUND(J126,2),IFERROR(ROUND(VALUE(SUBSTITUTE(SUBSTITUTE(SUBSTITUTE(J126,"$",""),",","")," ","")),2),"bad")))</f>
        <v/>
      </c>
      <c r="P126">
        <f>IF(TRIM(K126)="","",IFERROR(MATCH(LOWER(TRIM(K126)),'Students'!$AH$2:$AH$701,0),IFERROR(MATCH(LOWER(TRIM(K126)),'Students'!$AF$2:$AF$701,0),IFERROR(MATCH(LOWER(TRIM(K126)),'Students'!$AG$2:$AG$701,0),""))))</f>
        <v/>
      </c>
      <c r="R126">
        <f>IF(P126="","",INDEX('Students'!$AD$2:$AD$701,P126))</f>
        <v/>
      </c>
      <c r="S126">
        <f>IF(H126="OK",O126,0)</f>
        <v/>
      </c>
      <c r="T126">
        <f>IF(H126="OK",N126,"")</f>
        <v/>
      </c>
      <c r="U126">
        <f>IF(OC_Donor=0,"",IF(INDEX('OneCause_Paste'!$A$126:$AZ$126,1,OC_Donor)="","",INDEX('OneCause_Paste'!$A$126:$AZ$126,1,OC_Donor)))</f>
        <v/>
      </c>
    </row>
    <row r="127">
      <c r="A127" s="62">
        <f>IF(H127="","",IF(ISNUMBER(N127),N127,I127))</f>
        <v/>
      </c>
      <c r="B127">
        <f>IF(H127="","",U127)</f>
        <v/>
      </c>
      <c r="C127">
        <f>IF(H127="","",IF(P127="",K127,INDEX('Students'!$A$2:$A$701,P127)))</f>
        <v/>
      </c>
      <c r="D127">
        <f>IF(OR(H127="",P127=""),"",INDEX('Students'!$B$2:$B$701,P127))</f>
        <v/>
      </c>
      <c r="E127">
        <f>IF(OR(H127="",P127=""),"",INDEX('Students'!$C$2:$C$701,P127))</f>
        <v/>
      </c>
      <c r="F127" s="48">
        <f>IF(H127="","",IF(ISNUMBER(O127),O127,J127))</f>
        <v/>
      </c>
      <c r="G127">
        <f>IF(H127="","","OneCause")</f>
        <v/>
      </c>
      <c r="H127">
        <f>IF(AND(I127="",J127="",K127=""),"",IF(NOT(ISNUMBER(O127)),"Bad amount",IF(O127&lt;0,"Refund (not counted)",IF(O127=0,"Zero amount",IF(NOT(ISNUMBER(N127)),"Bad date",IF(P127="","NAME NOT ON ROSTER",IF(L127="","OK",IF(MATCH(L127,$L$2:$L$3001,0)&lt;ROW()-1,"Duplicate (ignored)","OK"))))))))</f>
        <v/>
      </c>
      <c r="I127">
        <f>IF(OC_Date=0,"",IF(INDEX('OneCause_Paste'!$A$127:$AZ$127,1,OC_Date)="","",INDEX('OneCause_Paste'!$A$127:$AZ$127,1,OC_Date)))</f>
        <v/>
      </c>
      <c r="J127">
        <f>IF(OC_Amt=0,"",IF(INDEX('OneCause_Paste'!$A$127:$AZ$127,1,OC_Amt)="","",INDEX('OneCause_Paste'!$A$127:$AZ$127,1,OC_Amt)))</f>
        <v/>
      </c>
      <c r="K127">
        <f>IF(OC_Name=0,"",IF(INDEX('OneCause_Paste'!$A$127:$AZ$127,1,OC_Name)="","",INDEX('OneCause_Paste'!$A$127:$AZ$127,1,OC_Name)))</f>
        <v/>
      </c>
      <c r="L127">
        <f>IF(OC_Txn=0,"",IF(INDEX('OneCause_Paste'!$A$127:$AZ$127,1,OC_Txn)="","",INDEX('OneCause_Paste'!$A$127:$AZ$127,1,OC_Txn)))</f>
        <v/>
      </c>
      <c r="M127">
        <f>IF(OC_Pay=0,"",IF(INDEX('OneCause_Paste'!$A$127:$AZ$127,1,OC_Pay)="","",INDEX('OneCause_Paste'!$A$127:$AZ$127,1,OC_Pay)))</f>
        <v/>
      </c>
      <c r="N127">
        <f>IF(I127="","",IF(ISNUMBER(I127),INT(I127),IFERROR(INT(DATEVALUE(I127)),IFERROR(INT(VALUE(I127)),"bad"))))</f>
        <v/>
      </c>
      <c r="O127">
        <f>IF(J127="","",IF(ISNUMBER(J127),ROUND(J127,2),IFERROR(ROUND(VALUE(SUBSTITUTE(SUBSTITUTE(SUBSTITUTE(J127,"$",""),",","")," ","")),2),"bad")))</f>
        <v/>
      </c>
      <c r="P127">
        <f>IF(TRIM(K127)="","",IFERROR(MATCH(LOWER(TRIM(K127)),'Students'!$AH$2:$AH$701,0),IFERROR(MATCH(LOWER(TRIM(K127)),'Students'!$AF$2:$AF$701,0),IFERROR(MATCH(LOWER(TRIM(K127)),'Students'!$AG$2:$AG$701,0),""))))</f>
        <v/>
      </c>
      <c r="R127">
        <f>IF(P127="","",INDEX('Students'!$AD$2:$AD$701,P127))</f>
        <v/>
      </c>
      <c r="S127">
        <f>IF(H127="OK",O127,0)</f>
        <v/>
      </c>
      <c r="T127">
        <f>IF(H127="OK",N127,"")</f>
        <v/>
      </c>
      <c r="U127">
        <f>IF(OC_Donor=0,"",IF(INDEX('OneCause_Paste'!$A$127:$AZ$127,1,OC_Donor)="","",INDEX('OneCause_Paste'!$A$127:$AZ$127,1,OC_Donor)))</f>
        <v/>
      </c>
    </row>
    <row r="128">
      <c r="A128" s="62">
        <f>IF(H128="","",IF(ISNUMBER(N128),N128,I128))</f>
        <v/>
      </c>
      <c r="B128">
        <f>IF(H128="","",U128)</f>
        <v/>
      </c>
      <c r="C128">
        <f>IF(H128="","",IF(P128="",K128,INDEX('Students'!$A$2:$A$701,P128)))</f>
        <v/>
      </c>
      <c r="D128">
        <f>IF(OR(H128="",P128=""),"",INDEX('Students'!$B$2:$B$701,P128))</f>
        <v/>
      </c>
      <c r="E128">
        <f>IF(OR(H128="",P128=""),"",INDEX('Students'!$C$2:$C$701,P128))</f>
        <v/>
      </c>
      <c r="F128" s="48">
        <f>IF(H128="","",IF(ISNUMBER(O128),O128,J128))</f>
        <v/>
      </c>
      <c r="G128">
        <f>IF(H128="","","OneCause")</f>
        <v/>
      </c>
      <c r="H128">
        <f>IF(AND(I128="",J128="",K128=""),"",IF(NOT(ISNUMBER(O128)),"Bad amount",IF(O128&lt;0,"Refund (not counted)",IF(O128=0,"Zero amount",IF(NOT(ISNUMBER(N128)),"Bad date",IF(P128="","NAME NOT ON ROSTER",IF(L128="","OK",IF(MATCH(L128,$L$2:$L$3001,0)&lt;ROW()-1,"Duplicate (ignored)","OK"))))))))</f>
        <v/>
      </c>
      <c r="I128">
        <f>IF(OC_Date=0,"",IF(INDEX('OneCause_Paste'!$A$128:$AZ$128,1,OC_Date)="","",INDEX('OneCause_Paste'!$A$128:$AZ$128,1,OC_Date)))</f>
        <v/>
      </c>
      <c r="J128">
        <f>IF(OC_Amt=0,"",IF(INDEX('OneCause_Paste'!$A$128:$AZ$128,1,OC_Amt)="","",INDEX('OneCause_Paste'!$A$128:$AZ$128,1,OC_Amt)))</f>
        <v/>
      </c>
      <c r="K128">
        <f>IF(OC_Name=0,"",IF(INDEX('OneCause_Paste'!$A$128:$AZ$128,1,OC_Name)="","",INDEX('OneCause_Paste'!$A$128:$AZ$128,1,OC_Name)))</f>
        <v/>
      </c>
      <c r="L128">
        <f>IF(OC_Txn=0,"",IF(INDEX('OneCause_Paste'!$A$128:$AZ$128,1,OC_Txn)="","",INDEX('OneCause_Paste'!$A$128:$AZ$128,1,OC_Txn)))</f>
        <v/>
      </c>
      <c r="M128">
        <f>IF(OC_Pay=0,"",IF(INDEX('OneCause_Paste'!$A$128:$AZ$128,1,OC_Pay)="","",INDEX('OneCause_Paste'!$A$128:$AZ$128,1,OC_Pay)))</f>
        <v/>
      </c>
      <c r="N128">
        <f>IF(I128="","",IF(ISNUMBER(I128),INT(I128),IFERROR(INT(DATEVALUE(I128)),IFERROR(INT(VALUE(I128)),"bad"))))</f>
        <v/>
      </c>
      <c r="O128">
        <f>IF(J128="","",IF(ISNUMBER(J128),ROUND(J128,2),IFERROR(ROUND(VALUE(SUBSTITUTE(SUBSTITUTE(SUBSTITUTE(J128,"$",""),",","")," ","")),2),"bad")))</f>
        <v/>
      </c>
      <c r="P128">
        <f>IF(TRIM(K128)="","",IFERROR(MATCH(LOWER(TRIM(K128)),'Students'!$AH$2:$AH$701,0),IFERROR(MATCH(LOWER(TRIM(K128)),'Students'!$AF$2:$AF$701,0),IFERROR(MATCH(LOWER(TRIM(K128)),'Students'!$AG$2:$AG$701,0),""))))</f>
        <v/>
      </c>
      <c r="R128">
        <f>IF(P128="","",INDEX('Students'!$AD$2:$AD$701,P128))</f>
        <v/>
      </c>
      <c r="S128">
        <f>IF(H128="OK",O128,0)</f>
        <v/>
      </c>
      <c r="T128">
        <f>IF(H128="OK",N128,"")</f>
        <v/>
      </c>
      <c r="U128">
        <f>IF(OC_Donor=0,"",IF(INDEX('OneCause_Paste'!$A$128:$AZ$128,1,OC_Donor)="","",INDEX('OneCause_Paste'!$A$128:$AZ$128,1,OC_Donor)))</f>
        <v/>
      </c>
    </row>
    <row r="129">
      <c r="A129" s="62">
        <f>IF(H129="","",IF(ISNUMBER(N129),N129,I129))</f>
        <v/>
      </c>
      <c r="B129">
        <f>IF(H129="","",U129)</f>
        <v/>
      </c>
      <c r="C129">
        <f>IF(H129="","",IF(P129="",K129,INDEX('Students'!$A$2:$A$701,P129)))</f>
        <v/>
      </c>
      <c r="D129">
        <f>IF(OR(H129="",P129=""),"",INDEX('Students'!$B$2:$B$701,P129))</f>
        <v/>
      </c>
      <c r="E129">
        <f>IF(OR(H129="",P129=""),"",INDEX('Students'!$C$2:$C$701,P129))</f>
        <v/>
      </c>
      <c r="F129" s="48">
        <f>IF(H129="","",IF(ISNUMBER(O129),O129,J129))</f>
        <v/>
      </c>
      <c r="G129">
        <f>IF(H129="","","OneCause")</f>
        <v/>
      </c>
      <c r="H129">
        <f>IF(AND(I129="",J129="",K129=""),"",IF(NOT(ISNUMBER(O129)),"Bad amount",IF(O129&lt;0,"Refund (not counted)",IF(O129=0,"Zero amount",IF(NOT(ISNUMBER(N129)),"Bad date",IF(P129="","NAME NOT ON ROSTER",IF(L129="","OK",IF(MATCH(L129,$L$2:$L$3001,0)&lt;ROW()-1,"Duplicate (ignored)","OK"))))))))</f>
        <v/>
      </c>
      <c r="I129">
        <f>IF(OC_Date=0,"",IF(INDEX('OneCause_Paste'!$A$129:$AZ$129,1,OC_Date)="","",INDEX('OneCause_Paste'!$A$129:$AZ$129,1,OC_Date)))</f>
        <v/>
      </c>
      <c r="J129">
        <f>IF(OC_Amt=0,"",IF(INDEX('OneCause_Paste'!$A$129:$AZ$129,1,OC_Amt)="","",INDEX('OneCause_Paste'!$A$129:$AZ$129,1,OC_Amt)))</f>
        <v/>
      </c>
      <c r="K129">
        <f>IF(OC_Name=0,"",IF(INDEX('OneCause_Paste'!$A$129:$AZ$129,1,OC_Name)="","",INDEX('OneCause_Paste'!$A$129:$AZ$129,1,OC_Name)))</f>
        <v/>
      </c>
      <c r="L129">
        <f>IF(OC_Txn=0,"",IF(INDEX('OneCause_Paste'!$A$129:$AZ$129,1,OC_Txn)="","",INDEX('OneCause_Paste'!$A$129:$AZ$129,1,OC_Txn)))</f>
        <v/>
      </c>
      <c r="M129">
        <f>IF(OC_Pay=0,"",IF(INDEX('OneCause_Paste'!$A$129:$AZ$129,1,OC_Pay)="","",INDEX('OneCause_Paste'!$A$129:$AZ$129,1,OC_Pay)))</f>
        <v/>
      </c>
      <c r="N129">
        <f>IF(I129="","",IF(ISNUMBER(I129),INT(I129),IFERROR(INT(DATEVALUE(I129)),IFERROR(INT(VALUE(I129)),"bad"))))</f>
        <v/>
      </c>
      <c r="O129">
        <f>IF(J129="","",IF(ISNUMBER(J129),ROUND(J129,2),IFERROR(ROUND(VALUE(SUBSTITUTE(SUBSTITUTE(SUBSTITUTE(J129,"$",""),",","")," ","")),2),"bad")))</f>
        <v/>
      </c>
      <c r="P129">
        <f>IF(TRIM(K129)="","",IFERROR(MATCH(LOWER(TRIM(K129)),'Students'!$AH$2:$AH$701,0),IFERROR(MATCH(LOWER(TRIM(K129)),'Students'!$AF$2:$AF$701,0),IFERROR(MATCH(LOWER(TRIM(K129)),'Students'!$AG$2:$AG$701,0),""))))</f>
        <v/>
      </c>
      <c r="R129">
        <f>IF(P129="","",INDEX('Students'!$AD$2:$AD$701,P129))</f>
        <v/>
      </c>
      <c r="S129">
        <f>IF(H129="OK",O129,0)</f>
        <v/>
      </c>
      <c r="T129">
        <f>IF(H129="OK",N129,"")</f>
        <v/>
      </c>
      <c r="U129">
        <f>IF(OC_Donor=0,"",IF(INDEX('OneCause_Paste'!$A$129:$AZ$129,1,OC_Donor)="","",INDEX('OneCause_Paste'!$A$129:$AZ$129,1,OC_Donor)))</f>
        <v/>
      </c>
    </row>
    <row r="130">
      <c r="A130" s="62">
        <f>IF(H130="","",IF(ISNUMBER(N130),N130,I130))</f>
        <v/>
      </c>
      <c r="B130">
        <f>IF(H130="","",U130)</f>
        <v/>
      </c>
      <c r="C130">
        <f>IF(H130="","",IF(P130="",K130,INDEX('Students'!$A$2:$A$701,P130)))</f>
        <v/>
      </c>
      <c r="D130">
        <f>IF(OR(H130="",P130=""),"",INDEX('Students'!$B$2:$B$701,P130))</f>
        <v/>
      </c>
      <c r="E130">
        <f>IF(OR(H130="",P130=""),"",INDEX('Students'!$C$2:$C$701,P130))</f>
        <v/>
      </c>
      <c r="F130" s="48">
        <f>IF(H130="","",IF(ISNUMBER(O130),O130,J130))</f>
        <v/>
      </c>
      <c r="G130">
        <f>IF(H130="","","OneCause")</f>
        <v/>
      </c>
      <c r="H130">
        <f>IF(AND(I130="",J130="",K130=""),"",IF(NOT(ISNUMBER(O130)),"Bad amount",IF(O130&lt;0,"Refund (not counted)",IF(O130=0,"Zero amount",IF(NOT(ISNUMBER(N130)),"Bad date",IF(P130="","NAME NOT ON ROSTER",IF(L130="","OK",IF(MATCH(L130,$L$2:$L$3001,0)&lt;ROW()-1,"Duplicate (ignored)","OK"))))))))</f>
        <v/>
      </c>
      <c r="I130">
        <f>IF(OC_Date=0,"",IF(INDEX('OneCause_Paste'!$A$130:$AZ$130,1,OC_Date)="","",INDEX('OneCause_Paste'!$A$130:$AZ$130,1,OC_Date)))</f>
        <v/>
      </c>
      <c r="J130">
        <f>IF(OC_Amt=0,"",IF(INDEX('OneCause_Paste'!$A$130:$AZ$130,1,OC_Amt)="","",INDEX('OneCause_Paste'!$A$130:$AZ$130,1,OC_Amt)))</f>
        <v/>
      </c>
      <c r="K130">
        <f>IF(OC_Name=0,"",IF(INDEX('OneCause_Paste'!$A$130:$AZ$130,1,OC_Name)="","",INDEX('OneCause_Paste'!$A$130:$AZ$130,1,OC_Name)))</f>
        <v/>
      </c>
      <c r="L130">
        <f>IF(OC_Txn=0,"",IF(INDEX('OneCause_Paste'!$A$130:$AZ$130,1,OC_Txn)="","",INDEX('OneCause_Paste'!$A$130:$AZ$130,1,OC_Txn)))</f>
        <v/>
      </c>
      <c r="M130">
        <f>IF(OC_Pay=0,"",IF(INDEX('OneCause_Paste'!$A$130:$AZ$130,1,OC_Pay)="","",INDEX('OneCause_Paste'!$A$130:$AZ$130,1,OC_Pay)))</f>
        <v/>
      </c>
      <c r="N130">
        <f>IF(I130="","",IF(ISNUMBER(I130),INT(I130),IFERROR(INT(DATEVALUE(I130)),IFERROR(INT(VALUE(I130)),"bad"))))</f>
        <v/>
      </c>
      <c r="O130">
        <f>IF(J130="","",IF(ISNUMBER(J130),ROUND(J130,2),IFERROR(ROUND(VALUE(SUBSTITUTE(SUBSTITUTE(SUBSTITUTE(J130,"$",""),",","")," ","")),2),"bad")))</f>
        <v/>
      </c>
      <c r="P130">
        <f>IF(TRIM(K130)="","",IFERROR(MATCH(LOWER(TRIM(K130)),'Students'!$AH$2:$AH$701,0),IFERROR(MATCH(LOWER(TRIM(K130)),'Students'!$AF$2:$AF$701,0),IFERROR(MATCH(LOWER(TRIM(K130)),'Students'!$AG$2:$AG$701,0),""))))</f>
        <v/>
      </c>
      <c r="R130">
        <f>IF(P130="","",INDEX('Students'!$AD$2:$AD$701,P130))</f>
        <v/>
      </c>
      <c r="S130">
        <f>IF(H130="OK",O130,0)</f>
        <v/>
      </c>
      <c r="T130">
        <f>IF(H130="OK",N130,"")</f>
        <v/>
      </c>
      <c r="U130">
        <f>IF(OC_Donor=0,"",IF(INDEX('OneCause_Paste'!$A$130:$AZ$130,1,OC_Donor)="","",INDEX('OneCause_Paste'!$A$130:$AZ$130,1,OC_Donor)))</f>
        <v/>
      </c>
    </row>
    <row r="131">
      <c r="A131" s="62">
        <f>IF(H131="","",IF(ISNUMBER(N131),N131,I131))</f>
        <v/>
      </c>
      <c r="B131">
        <f>IF(H131="","",U131)</f>
        <v/>
      </c>
      <c r="C131">
        <f>IF(H131="","",IF(P131="",K131,INDEX('Students'!$A$2:$A$701,P131)))</f>
        <v/>
      </c>
      <c r="D131">
        <f>IF(OR(H131="",P131=""),"",INDEX('Students'!$B$2:$B$701,P131))</f>
        <v/>
      </c>
      <c r="E131">
        <f>IF(OR(H131="",P131=""),"",INDEX('Students'!$C$2:$C$701,P131))</f>
        <v/>
      </c>
      <c r="F131" s="48">
        <f>IF(H131="","",IF(ISNUMBER(O131),O131,J131))</f>
        <v/>
      </c>
      <c r="G131">
        <f>IF(H131="","","OneCause")</f>
        <v/>
      </c>
      <c r="H131">
        <f>IF(AND(I131="",J131="",K131=""),"",IF(NOT(ISNUMBER(O131)),"Bad amount",IF(O131&lt;0,"Refund (not counted)",IF(O131=0,"Zero amount",IF(NOT(ISNUMBER(N131)),"Bad date",IF(P131="","NAME NOT ON ROSTER",IF(L131="","OK",IF(MATCH(L131,$L$2:$L$3001,0)&lt;ROW()-1,"Duplicate (ignored)","OK"))))))))</f>
        <v/>
      </c>
      <c r="I131">
        <f>IF(OC_Date=0,"",IF(INDEX('OneCause_Paste'!$A$131:$AZ$131,1,OC_Date)="","",INDEX('OneCause_Paste'!$A$131:$AZ$131,1,OC_Date)))</f>
        <v/>
      </c>
      <c r="J131">
        <f>IF(OC_Amt=0,"",IF(INDEX('OneCause_Paste'!$A$131:$AZ$131,1,OC_Amt)="","",INDEX('OneCause_Paste'!$A$131:$AZ$131,1,OC_Amt)))</f>
        <v/>
      </c>
      <c r="K131">
        <f>IF(OC_Name=0,"",IF(INDEX('OneCause_Paste'!$A$131:$AZ$131,1,OC_Name)="","",INDEX('OneCause_Paste'!$A$131:$AZ$131,1,OC_Name)))</f>
        <v/>
      </c>
      <c r="L131">
        <f>IF(OC_Txn=0,"",IF(INDEX('OneCause_Paste'!$A$131:$AZ$131,1,OC_Txn)="","",INDEX('OneCause_Paste'!$A$131:$AZ$131,1,OC_Txn)))</f>
        <v/>
      </c>
      <c r="M131">
        <f>IF(OC_Pay=0,"",IF(INDEX('OneCause_Paste'!$A$131:$AZ$131,1,OC_Pay)="","",INDEX('OneCause_Paste'!$A$131:$AZ$131,1,OC_Pay)))</f>
        <v/>
      </c>
      <c r="N131">
        <f>IF(I131="","",IF(ISNUMBER(I131),INT(I131),IFERROR(INT(DATEVALUE(I131)),IFERROR(INT(VALUE(I131)),"bad"))))</f>
        <v/>
      </c>
      <c r="O131">
        <f>IF(J131="","",IF(ISNUMBER(J131),ROUND(J131,2),IFERROR(ROUND(VALUE(SUBSTITUTE(SUBSTITUTE(SUBSTITUTE(J131,"$",""),",","")," ","")),2),"bad")))</f>
        <v/>
      </c>
      <c r="P131">
        <f>IF(TRIM(K131)="","",IFERROR(MATCH(LOWER(TRIM(K131)),'Students'!$AH$2:$AH$701,0),IFERROR(MATCH(LOWER(TRIM(K131)),'Students'!$AF$2:$AF$701,0),IFERROR(MATCH(LOWER(TRIM(K131)),'Students'!$AG$2:$AG$701,0),""))))</f>
        <v/>
      </c>
      <c r="R131">
        <f>IF(P131="","",INDEX('Students'!$AD$2:$AD$701,P131))</f>
        <v/>
      </c>
      <c r="S131">
        <f>IF(H131="OK",O131,0)</f>
        <v/>
      </c>
      <c r="T131">
        <f>IF(H131="OK",N131,"")</f>
        <v/>
      </c>
      <c r="U131">
        <f>IF(OC_Donor=0,"",IF(INDEX('OneCause_Paste'!$A$131:$AZ$131,1,OC_Donor)="","",INDEX('OneCause_Paste'!$A$131:$AZ$131,1,OC_Donor)))</f>
        <v/>
      </c>
    </row>
    <row r="132">
      <c r="A132" s="62">
        <f>IF(H132="","",IF(ISNUMBER(N132),N132,I132))</f>
        <v/>
      </c>
      <c r="B132">
        <f>IF(H132="","",U132)</f>
        <v/>
      </c>
      <c r="C132">
        <f>IF(H132="","",IF(P132="",K132,INDEX('Students'!$A$2:$A$701,P132)))</f>
        <v/>
      </c>
      <c r="D132">
        <f>IF(OR(H132="",P132=""),"",INDEX('Students'!$B$2:$B$701,P132))</f>
        <v/>
      </c>
      <c r="E132">
        <f>IF(OR(H132="",P132=""),"",INDEX('Students'!$C$2:$C$701,P132))</f>
        <v/>
      </c>
      <c r="F132" s="48">
        <f>IF(H132="","",IF(ISNUMBER(O132),O132,J132))</f>
        <v/>
      </c>
      <c r="G132">
        <f>IF(H132="","","OneCause")</f>
        <v/>
      </c>
      <c r="H132">
        <f>IF(AND(I132="",J132="",K132=""),"",IF(NOT(ISNUMBER(O132)),"Bad amount",IF(O132&lt;0,"Refund (not counted)",IF(O132=0,"Zero amount",IF(NOT(ISNUMBER(N132)),"Bad date",IF(P132="","NAME NOT ON ROSTER",IF(L132="","OK",IF(MATCH(L132,$L$2:$L$3001,0)&lt;ROW()-1,"Duplicate (ignored)","OK"))))))))</f>
        <v/>
      </c>
      <c r="I132">
        <f>IF(OC_Date=0,"",IF(INDEX('OneCause_Paste'!$A$132:$AZ$132,1,OC_Date)="","",INDEX('OneCause_Paste'!$A$132:$AZ$132,1,OC_Date)))</f>
        <v/>
      </c>
      <c r="J132">
        <f>IF(OC_Amt=0,"",IF(INDEX('OneCause_Paste'!$A$132:$AZ$132,1,OC_Amt)="","",INDEX('OneCause_Paste'!$A$132:$AZ$132,1,OC_Amt)))</f>
        <v/>
      </c>
      <c r="K132">
        <f>IF(OC_Name=0,"",IF(INDEX('OneCause_Paste'!$A$132:$AZ$132,1,OC_Name)="","",INDEX('OneCause_Paste'!$A$132:$AZ$132,1,OC_Name)))</f>
        <v/>
      </c>
      <c r="L132">
        <f>IF(OC_Txn=0,"",IF(INDEX('OneCause_Paste'!$A$132:$AZ$132,1,OC_Txn)="","",INDEX('OneCause_Paste'!$A$132:$AZ$132,1,OC_Txn)))</f>
        <v/>
      </c>
      <c r="M132">
        <f>IF(OC_Pay=0,"",IF(INDEX('OneCause_Paste'!$A$132:$AZ$132,1,OC_Pay)="","",INDEX('OneCause_Paste'!$A$132:$AZ$132,1,OC_Pay)))</f>
        <v/>
      </c>
      <c r="N132">
        <f>IF(I132="","",IF(ISNUMBER(I132),INT(I132),IFERROR(INT(DATEVALUE(I132)),IFERROR(INT(VALUE(I132)),"bad"))))</f>
        <v/>
      </c>
      <c r="O132">
        <f>IF(J132="","",IF(ISNUMBER(J132),ROUND(J132,2),IFERROR(ROUND(VALUE(SUBSTITUTE(SUBSTITUTE(SUBSTITUTE(J132,"$",""),",","")," ","")),2),"bad")))</f>
        <v/>
      </c>
      <c r="P132">
        <f>IF(TRIM(K132)="","",IFERROR(MATCH(LOWER(TRIM(K132)),'Students'!$AH$2:$AH$701,0),IFERROR(MATCH(LOWER(TRIM(K132)),'Students'!$AF$2:$AF$701,0),IFERROR(MATCH(LOWER(TRIM(K132)),'Students'!$AG$2:$AG$701,0),""))))</f>
        <v/>
      </c>
      <c r="R132">
        <f>IF(P132="","",INDEX('Students'!$AD$2:$AD$701,P132))</f>
        <v/>
      </c>
      <c r="S132">
        <f>IF(H132="OK",O132,0)</f>
        <v/>
      </c>
      <c r="T132">
        <f>IF(H132="OK",N132,"")</f>
        <v/>
      </c>
      <c r="U132">
        <f>IF(OC_Donor=0,"",IF(INDEX('OneCause_Paste'!$A$132:$AZ$132,1,OC_Donor)="","",INDEX('OneCause_Paste'!$A$132:$AZ$132,1,OC_Donor)))</f>
        <v/>
      </c>
    </row>
    <row r="133">
      <c r="A133" s="62">
        <f>IF(H133="","",IF(ISNUMBER(N133),N133,I133))</f>
        <v/>
      </c>
      <c r="B133">
        <f>IF(H133="","",U133)</f>
        <v/>
      </c>
      <c r="C133">
        <f>IF(H133="","",IF(P133="",K133,INDEX('Students'!$A$2:$A$701,P133)))</f>
        <v/>
      </c>
      <c r="D133">
        <f>IF(OR(H133="",P133=""),"",INDEX('Students'!$B$2:$B$701,P133))</f>
        <v/>
      </c>
      <c r="E133">
        <f>IF(OR(H133="",P133=""),"",INDEX('Students'!$C$2:$C$701,P133))</f>
        <v/>
      </c>
      <c r="F133" s="48">
        <f>IF(H133="","",IF(ISNUMBER(O133),O133,J133))</f>
        <v/>
      </c>
      <c r="G133">
        <f>IF(H133="","","OneCause")</f>
        <v/>
      </c>
      <c r="H133">
        <f>IF(AND(I133="",J133="",K133=""),"",IF(NOT(ISNUMBER(O133)),"Bad amount",IF(O133&lt;0,"Refund (not counted)",IF(O133=0,"Zero amount",IF(NOT(ISNUMBER(N133)),"Bad date",IF(P133="","NAME NOT ON ROSTER",IF(L133="","OK",IF(MATCH(L133,$L$2:$L$3001,0)&lt;ROW()-1,"Duplicate (ignored)","OK"))))))))</f>
        <v/>
      </c>
      <c r="I133">
        <f>IF(OC_Date=0,"",IF(INDEX('OneCause_Paste'!$A$133:$AZ$133,1,OC_Date)="","",INDEX('OneCause_Paste'!$A$133:$AZ$133,1,OC_Date)))</f>
        <v/>
      </c>
      <c r="J133">
        <f>IF(OC_Amt=0,"",IF(INDEX('OneCause_Paste'!$A$133:$AZ$133,1,OC_Amt)="","",INDEX('OneCause_Paste'!$A$133:$AZ$133,1,OC_Amt)))</f>
        <v/>
      </c>
      <c r="K133">
        <f>IF(OC_Name=0,"",IF(INDEX('OneCause_Paste'!$A$133:$AZ$133,1,OC_Name)="","",INDEX('OneCause_Paste'!$A$133:$AZ$133,1,OC_Name)))</f>
        <v/>
      </c>
      <c r="L133">
        <f>IF(OC_Txn=0,"",IF(INDEX('OneCause_Paste'!$A$133:$AZ$133,1,OC_Txn)="","",INDEX('OneCause_Paste'!$A$133:$AZ$133,1,OC_Txn)))</f>
        <v/>
      </c>
      <c r="M133">
        <f>IF(OC_Pay=0,"",IF(INDEX('OneCause_Paste'!$A$133:$AZ$133,1,OC_Pay)="","",INDEX('OneCause_Paste'!$A$133:$AZ$133,1,OC_Pay)))</f>
        <v/>
      </c>
      <c r="N133">
        <f>IF(I133="","",IF(ISNUMBER(I133),INT(I133),IFERROR(INT(DATEVALUE(I133)),IFERROR(INT(VALUE(I133)),"bad"))))</f>
        <v/>
      </c>
      <c r="O133">
        <f>IF(J133="","",IF(ISNUMBER(J133),ROUND(J133,2),IFERROR(ROUND(VALUE(SUBSTITUTE(SUBSTITUTE(SUBSTITUTE(J133,"$",""),",","")," ","")),2),"bad")))</f>
        <v/>
      </c>
      <c r="P133">
        <f>IF(TRIM(K133)="","",IFERROR(MATCH(LOWER(TRIM(K133)),'Students'!$AH$2:$AH$701,0),IFERROR(MATCH(LOWER(TRIM(K133)),'Students'!$AF$2:$AF$701,0),IFERROR(MATCH(LOWER(TRIM(K133)),'Students'!$AG$2:$AG$701,0),""))))</f>
        <v/>
      </c>
      <c r="R133">
        <f>IF(P133="","",INDEX('Students'!$AD$2:$AD$701,P133))</f>
        <v/>
      </c>
      <c r="S133">
        <f>IF(H133="OK",O133,0)</f>
        <v/>
      </c>
      <c r="T133">
        <f>IF(H133="OK",N133,"")</f>
        <v/>
      </c>
      <c r="U133">
        <f>IF(OC_Donor=0,"",IF(INDEX('OneCause_Paste'!$A$133:$AZ$133,1,OC_Donor)="","",INDEX('OneCause_Paste'!$A$133:$AZ$133,1,OC_Donor)))</f>
        <v/>
      </c>
    </row>
    <row r="134">
      <c r="A134" s="62">
        <f>IF(H134="","",IF(ISNUMBER(N134),N134,I134))</f>
        <v/>
      </c>
      <c r="B134">
        <f>IF(H134="","",U134)</f>
        <v/>
      </c>
      <c r="C134">
        <f>IF(H134="","",IF(P134="",K134,INDEX('Students'!$A$2:$A$701,P134)))</f>
        <v/>
      </c>
      <c r="D134">
        <f>IF(OR(H134="",P134=""),"",INDEX('Students'!$B$2:$B$701,P134))</f>
        <v/>
      </c>
      <c r="E134">
        <f>IF(OR(H134="",P134=""),"",INDEX('Students'!$C$2:$C$701,P134))</f>
        <v/>
      </c>
      <c r="F134" s="48">
        <f>IF(H134="","",IF(ISNUMBER(O134),O134,J134))</f>
        <v/>
      </c>
      <c r="G134">
        <f>IF(H134="","","OneCause")</f>
        <v/>
      </c>
      <c r="H134">
        <f>IF(AND(I134="",J134="",K134=""),"",IF(NOT(ISNUMBER(O134)),"Bad amount",IF(O134&lt;0,"Refund (not counted)",IF(O134=0,"Zero amount",IF(NOT(ISNUMBER(N134)),"Bad date",IF(P134="","NAME NOT ON ROSTER",IF(L134="","OK",IF(MATCH(L134,$L$2:$L$3001,0)&lt;ROW()-1,"Duplicate (ignored)","OK"))))))))</f>
        <v/>
      </c>
      <c r="I134">
        <f>IF(OC_Date=0,"",IF(INDEX('OneCause_Paste'!$A$134:$AZ$134,1,OC_Date)="","",INDEX('OneCause_Paste'!$A$134:$AZ$134,1,OC_Date)))</f>
        <v/>
      </c>
      <c r="J134">
        <f>IF(OC_Amt=0,"",IF(INDEX('OneCause_Paste'!$A$134:$AZ$134,1,OC_Amt)="","",INDEX('OneCause_Paste'!$A$134:$AZ$134,1,OC_Amt)))</f>
        <v/>
      </c>
      <c r="K134">
        <f>IF(OC_Name=0,"",IF(INDEX('OneCause_Paste'!$A$134:$AZ$134,1,OC_Name)="","",INDEX('OneCause_Paste'!$A$134:$AZ$134,1,OC_Name)))</f>
        <v/>
      </c>
      <c r="L134">
        <f>IF(OC_Txn=0,"",IF(INDEX('OneCause_Paste'!$A$134:$AZ$134,1,OC_Txn)="","",INDEX('OneCause_Paste'!$A$134:$AZ$134,1,OC_Txn)))</f>
        <v/>
      </c>
      <c r="M134">
        <f>IF(OC_Pay=0,"",IF(INDEX('OneCause_Paste'!$A$134:$AZ$134,1,OC_Pay)="","",INDEX('OneCause_Paste'!$A$134:$AZ$134,1,OC_Pay)))</f>
        <v/>
      </c>
      <c r="N134">
        <f>IF(I134="","",IF(ISNUMBER(I134),INT(I134),IFERROR(INT(DATEVALUE(I134)),IFERROR(INT(VALUE(I134)),"bad"))))</f>
        <v/>
      </c>
      <c r="O134">
        <f>IF(J134="","",IF(ISNUMBER(J134),ROUND(J134,2),IFERROR(ROUND(VALUE(SUBSTITUTE(SUBSTITUTE(SUBSTITUTE(J134,"$",""),",","")," ","")),2),"bad")))</f>
        <v/>
      </c>
      <c r="P134">
        <f>IF(TRIM(K134)="","",IFERROR(MATCH(LOWER(TRIM(K134)),'Students'!$AH$2:$AH$701,0),IFERROR(MATCH(LOWER(TRIM(K134)),'Students'!$AF$2:$AF$701,0),IFERROR(MATCH(LOWER(TRIM(K134)),'Students'!$AG$2:$AG$701,0),""))))</f>
        <v/>
      </c>
      <c r="R134">
        <f>IF(P134="","",INDEX('Students'!$AD$2:$AD$701,P134))</f>
        <v/>
      </c>
      <c r="S134">
        <f>IF(H134="OK",O134,0)</f>
        <v/>
      </c>
      <c r="T134">
        <f>IF(H134="OK",N134,"")</f>
        <v/>
      </c>
      <c r="U134">
        <f>IF(OC_Donor=0,"",IF(INDEX('OneCause_Paste'!$A$134:$AZ$134,1,OC_Donor)="","",INDEX('OneCause_Paste'!$A$134:$AZ$134,1,OC_Donor)))</f>
        <v/>
      </c>
    </row>
    <row r="135">
      <c r="A135" s="62">
        <f>IF(H135="","",IF(ISNUMBER(N135),N135,I135))</f>
        <v/>
      </c>
      <c r="B135">
        <f>IF(H135="","",U135)</f>
        <v/>
      </c>
      <c r="C135">
        <f>IF(H135="","",IF(P135="",K135,INDEX('Students'!$A$2:$A$701,P135)))</f>
        <v/>
      </c>
      <c r="D135">
        <f>IF(OR(H135="",P135=""),"",INDEX('Students'!$B$2:$B$701,P135))</f>
        <v/>
      </c>
      <c r="E135">
        <f>IF(OR(H135="",P135=""),"",INDEX('Students'!$C$2:$C$701,P135))</f>
        <v/>
      </c>
      <c r="F135" s="48">
        <f>IF(H135="","",IF(ISNUMBER(O135),O135,J135))</f>
        <v/>
      </c>
      <c r="G135">
        <f>IF(H135="","","OneCause")</f>
        <v/>
      </c>
      <c r="H135">
        <f>IF(AND(I135="",J135="",K135=""),"",IF(NOT(ISNUMBER(O135)),"Bad amount",IF(O135&lt;0,"Refund (not counted)",IF(O135=0,"Zero amount",IF(NOT(ISNUMBER(N135)),"Bad date",IF(P135="","NAME NOT ON ROSTER",IF(L135="","OK",IF(MATCH(L135,$L$2:$L$3001,0)&lt;ROW()-1,"Duplicate (ignored)","OK"))))))))</f>
        <v/>
      </c>
      <c r="I135">
        <f>IF(OC_Date=0,"",IF(INDEX('OneCause_Paste'!$A$135:$AZ$135,1,OC_Date)="","",INDEX('OneCause_Paste'!$A$135:$AZ$135,1,OC_Date)))</f>
        <v/>
      </c>
      <c r="J135">
        <f>IF(OC_Amt=0,"",IF(INDEX('OneCause_Paste'!$A$135:$AZ$135,1,OC_Amt)="","",INDEX('OneCause_Paste'!$A$135:$AZ$135,1,OC_Amt)))</f>
        <v/>
      </c>
      <c r="K135">
        <f>IF(OC_Name=0,"",IF(INDEX('OneCause_Paste'!$A$135:$AZ$135,1,OC_Name)="","",INDEX('OneCause_Paste'!$A$135:$AZ$135,1,OC_Name)))</f>
        <v/>
      </c>
      <c r="L135">
        <f>IF(OC_Txn=0,"",IF(INDEX('OneCause_Paste'!$A$135:$AZ$135,1,OC_Txn)="","",INDEX('OneCause_Paste'!$A$135:$AZ$135,1,OC_Txn)))</f>
        <v/>
      </c>
      <c r="M135">
        <f>IF(OC_Pay=0,"",IF(INDEX('OneCause_Paste'!$A$135:$AZ$135,1,OC_Pay)="","",INDEX('OneCause_Paste'!$A$135:$AZ$135,1,OC_Pay)))</f>
        <v/>
      </c>
      <c r="N135">
        <f>IF(I135="","",IF(ISNUMBER(I135),INT(I135),IFERROR(INT(DATEVALUE(I135)),IFERROR(INT(VALUE(I135)),"bad"))))</f>
        <v/>
      </c>
      <c r="O135">
        <f>IF(J135="","",IF(ISNUMBER(J135),ROUND(J135,2),IFERROR(ROUND(VALUE(SUBSTITUTE(SUBSTITUTE(SUBSTITUTE(J135,"$",""),",","")," ","")),2),"bad")))</f>
        <v/>
      </c>
      <c r="P135">
        <f>IF(TRIM(K135)="","",IFERROR(MATCH(LOWER(TRIM(K135)),'Students'!$AH$2:$AH$701,0),IFERROR(MATCH(LOWER(TRIM(K135)),'Students'!$AF$2:$AF$701,0),IFERROR(MATCH(LOWER(TRIM(K135)),'Students'!$AG$2:$AG$701,0),""))))</f>
        <v/>
      </c>
      <c r="R135">
        <f>IF(P135="","",INDEX('Students'!$AD$2:$AD$701,P135))</f>
        <v/>
      </c>
      <c r="S135">
        <f>IF(H135="OK",O135,0)</f>
        <v/>
      </c>
      <c r="T135">
        <f>IF(H135="OK",N135,"")</f>
        <v/>
      </c>
      <c r="U135">
        <f>IF(OC_Donor=0,"",IF(INDEX('OneCause_Paste'!$A$135:$AZ$135,1,OC_Donor)="","",INDEX('OneCause_Paste'!$A$135:$AZ$135,1,OC_Donor)))</f>
        <v/>
      </c>
    </row>
    <row r="136">
      <c r="A136" s="62">
        <f>IF(H136="","",IF(ISNUMBER(N136),N136,I136))</f>
        <v/>
      </c>
      <c r="B136">
        <f>IF(H136="","",U136)</f>
        <v/>
      </c>
      <c r="C136">
        <f>IF(H136="","",IF(P136="",K136,INDEX('Students'!$A$2:$A$701,P136)))</f>
        <v/>
      </c>
      <c r="D136">
        <f>IF(OR(H136="",P136=""),"",INDEX('Students'!$B$2:$B$701,P136))</f>
        <v/>
      </c>
      <c r="E136">
        <f>IF(OR(H136="",P136=""),"",INDEX('Students'!$C$2:$C$701,P136))</f>
        <v/>
      </c>
      <c r="F136" s="48">
        <f>IF(H136="","",IF(ISNUMBER(O136),O136,J136))</f>
        <v/>
      </c>
      <c r="G136">
        <f>IF(H136="","","OneCause")</f>
        <v/>
      </c>
      <c r="H136">
        <f>IF(AND(I136="",J136="",K136=""),"",IF(NOT(ISNUMBER(O136)),"Bad amount",IF(O136&lt;0,"Refund (not counted)",IF(O136=0,"Zero amount",IF(NOT(ISNUMBER(N136)),"Bad date",IF(P136="","NAME NOT ON ROSTER",IF(L136="","OK",IF(MATCH(L136,$L$2:$L$3001,0)&lt;ROW()-1,"Duplicate (ignored)","OK"))))))))</f>
        <v/>
      </c>
      <c r="I136">
        <f>IF(OC_Date=0,"",IF(INDEX('OneCause_Paste'!$A$136:$AZ$136,1,OC_Date)="","",INDEX('OneCause_Paste'!$A$136:$AZ$136,1,OC_Date)))</f>
        <v/>
      </c>
      <c r="J136">
        <f>IF(OC_Amt=0,"",IF(INDEX('OneCause_Paste'!$A$136:$AZ$136,1,OC_Amt)="","",INDEX('OneCause_Paste'!$A$136:$AZ$136,1,OC_Amt)))</f>
        <v/>
      </c>
      <c r="K136">
        <f>IF(OC_Name=0,"",IF(INDEX('OneCause_Paste'!$A$136:$AZ$136,1,OC_Name)="","",INDEX('OneCause_Paste'!$A$136:$AZ$136,1,OC_Name)))</f>
        <v/>
      </c>
      <c r="L136">
        <f>IF(OC_Txn=0,"",IF(INDEX('OneCause_Paste'!$A$136:$AZ$136,1,OC_Txn)="","",INDEX('OneCause_Paste'!$A$136:$AZ$136,1,OC_Txn)))</f>
        <v/>
      </c>
      <c r="M136">
        <f>IF(OC_Pay=0,"",IF(INDEX('OneCause_Paste'!$A$136:$AZ$136,1,OC_Pay)="","",INDEX('OneCause_Paste'!$A$136:$AZ$136,1,OC_Pay)))</f>
        <v/>
      </c>
      <c r="N136">
        <f>IF(I136="","",IF(ISNUMBER(I136),INT(I136),IFERROR(INT(DATEVALUE(I136)),IFERROR(INT(VALUE(I136)),"bad"))))</f>
        <v/>
      </c>
      <c r="O136">
        <f>IF(J136="","",IF(ISNUMBER(J136),ROUND(J136,2),IFERROR(ROUND(VALUE(SUBSTITUTE(SUBSTITUTE(SUBSTITUTE(J136,"$",""),",","")," ","")),2),"bad")))</f>
        <v/>
      </c>
      <c r="P136">
        <f>IF(TRIM(K136)="","",IFERROR(MATCH(LOWER(TRIM(K136)),'Students'!$AH$2:$AH$701,0),IFERROR(MATCH(LOWER(TRIM(K136)),'Students'!$AF$2:$AF$701,0),IFERROR(MATCH(LOWER(TRIM(K136)),'Students'!$AG$2:$AG$701,0),""))))</f>
        <v/>
      </c>
      <c r="R136">
        <f>IF(P136="","",INDEX('Students'!$AD$2:$AD$701,P136))</f>
        <v/>
      </c>
      <c r="S136">
        <f>IF(H136="OK",O136,0)</f>
        <v/>
      </c>
      <c r="T136">
        <f>IF(H136="OK",N136,"")</f>
        <v/>
      </c>
      <c r="U136">
        <f>IF(OC_Donor=0,"",IF(INDEX('OneCause_Paste'!$A$136:$AZ$136,1,OC_Donor)="","",INDEX('OneCause_Paste'!$A$136:$AZ$136,1,OC_Donor)))</f>
        <v/>
      </c>
    </row>
    <row r="137">
      <c r="A137" s="62">
        <f>IF(H137="","",IF(ISNUMBER(N137),N137,I137))</f>
        <v/>
      </c>
      <c r="B137">
        <f>IF(H137="","",U137)</f>
        <v/>
      </c>
      <c r="C137">
        <f>IF(H137="","",IF(P137="",K137,INDEX('Students'!$A$2:$A$701,P137)))</f>
        <v/>
      </c>
      <c r="D137">
        <f>IF(OR(H137="",P137=""),"",INDEX('Students'!$B$2:$B$701,P137))</f>
        <v/>
      </c>
      <c r="E137">
        <f>IF(OR(H137="",P137=""),"",INDEX('Students'!$C$2:$C$701,P137))</f>
        <v/>
      </c>
      <c r="F137" s="48">
        <f>IF(H137="","",IF(ISNUMBER(O137),O137,J137))</f>
        <v/>
      </c>
      <c r="G137">
        <f>IF(H137="","","OneCause")</f>
        <v/>
      </c>
      <c r="H137">
        <f>IF(AND(I137="",J137="",K137=""),"",IF(NOT(ISNUMBER(O137)),"Bad amount",IF(O137&lt;0,"Refund (not counted)",IF(O137=0,"Zero amount",IF(NOT(ISNUMBER(N137)),"Bad date",IF(P137="","NAME NOT ON ROSTER",IF(L137="","OK",IF(MATCH(L137,$L$2:$L$3001,0)&lt;ROW()-1,"Duplicate (ignored)","OK"))))))))</f>
        <v/>
      </c>
      <c r="I137">
        <f>IF(OC_Date=0,"",IF(INDEX('OneCause_Paste'!$A$137:$AZ$137,1,OC_Date)="","",INDEX('OneCause_Paste'!$A$137:$AZ$137,1,OC_Date)))</f>
        <v/>
      </c>
      <c r="J137">
        <f>IF(OC_Amt=0,"",IF(INDEX('OneCause_Paste'!$A$137:$AZ$137,1,OC_Amt)="","",INDEX('OneCause_Paste'!$A$137:$AZ$137,1,OC_Amt)))</f>
        <v/>
      </c>
      <c r="K137">
        <f>IF(OC_Name=0,"",IF(INDEX('OneCause_Paste'!$A$137:$AZ$137,1,OC_Name)="","",INDEX('OneCause_Paste'!$A$137:$AZ$137,1,OC_Name)))</f>
        <v/>
      </c>
      <c r="L137">
        <f>IF(OC_Txn=0,"",IF(INDEX('OneCause_Paste'!$A$137:$AZ$137,1,OC_Txn)="","",INDEX('OneCause_Paste'!$A$137:$AZ$137,1,OC_Txn)))</f>
        <v/>
      </c>
      <c r="M137">
        <f>IF(OC_Pay=0,"",IF(INDEX('OneCause_Paste'!$A$137:$AZ$137,1,OC_Pay)="","",INDEX('OneCause_Paste'!$A$137:$AZ$137,1,OC_Pay)))</f>
        <v/>
      </c>
      <c r="N137">
        <f>IF(I137="","",IF(ISNUMBER(I137),INT(I137),IFERROR(INT(DATEVALUE(I137)),IFERROR(INT(VALUE(I137)),"bad"))))</f>
        <v/>
      </c>
      <c r="O137">
        <f>IF(J137="","",IF(ISNUMBER(J137),ROUND(J137,2),IFERROR(ROUND(VALUE(SUBSTITUTE(SUBSTITUTE(SUBSTITUTE(J137,"$",""),",","")," ","")),2),"bad")))</f>
        <v/>
      </c>
      <c r="P137">
        <f>IF(TRIM(K137)="","",IFERROR(MATCH(LOWER(TRIM(K137)),'Students'!$AH$2:$AH$701,0),IFERROR(MATCH(LOWER(TRIM(K137)),'Students'!$AF$2:$AF$701,0),IFERROR(MATCH(LOWER(TRIM(K137)),'Students'!$AG$2:$AG$701,0),""))))</f>
        <v/>
      </c>
      <c r="R137">
        <f>IF(P137="","",INDEX('Students'!$AD$2:$AD$701,P137))</f>
        <v/>
      </c>
      <c r="S137">
        <f>IF(H137="OK",O137,0)</f>
        <v/>
      </c>
      <c r="T137">
        <f>IF(H137="OK",N137,"")</f>
        <v/>
      </c>
      <c r="U137">
        <f>IF(OC_Donor=0,"",IF(INDEX('OneCause_Paste'!$A$137:$AZ$137,1,OC_Donor)="","",INDEX('OneCause_Paste'!$A$137:$AZ$137,1,OC_Donor)))</f>
        <v/>
      </c>
    </row>
    <row r="138">
      <c r="A138" s="62">
        <f>IF(H138="","",IF(ISNUMBER(N138),N138,I138))</f>
        <v/>
      </c>
      <c r="B138">
        <f>IF(H138="","",U138)</f>
        <v/>
      </c>
      <c r="C138">
        <f>IF(H138="","",IF(P138="",K138,INDEX('Students'!$A$2:$A$701,P138)))</f>
        <v/>
      </c>
      <c r="D138">
        <f>IF(OR(H138="",P138=""),"",INDEX('Students'!$B$2:$B$701,P138))</f>
        <v/>
      </c>
      <c r="E138">
        <f>IF(OR(H138="",P138=""),"",INDEX('Students'!$C$2:$C$701,P138))</f>
        <v/>
      </c>
      <c r="F138" s="48">
        <f>IF(H138="","",IF(ISNUMBER(O138),O138,J138))</f>
        <v/>
      </c>
      <c r="G138">
        <f>IF(H138="","","OneCause")</f>
        <v/>
      </c>
      <c r="H138">
        <f>IF(AND(I138="",J138="",K138=""),"",IF(NOT(ISNUMBER(O138)),"Bad amount",IF(O138&lt;0,"Refund (not counted)",IF(O138=0,"Zero amount",IF(NOT(ISNUMBER(N138)),"Bad date",IF(P138="","NAME NOT ON ROSTER",IF(L138="","OK",IF(MATCH(L138,$L$2:$L$3001,0)&lt;ROW()-1,"Duplicate (ignored)","OK"))))))))</f>
        <v/>
      </c>
      <c r="I138">
        <f>IF(OC_Date=0,"",IF(INDEX('OneCause_Paste'!$A$138:$AZ$138,1,OC_Date)="","",INDEX('OneCause_Paste'!$A$138:$AZ$138,1,OC_Date)))</f>
        <v/>
      </c>
      <c r="J138">
        <f>IF(OC_Amt=0,"",IF(INDEX('OneCause_Paste'!$A$138:$AZ$138,1,OC_Amt)="","",INDEX('OneCause_Paste'!$A$138:$AZ$138,1,OC_Amt)))</f>
        <v/>
      </c>
      <c r="K138">
        <f>IF(OC_Name=0,"",IF(INDEX('OneCause_Paste'!$A$138:$AZ$138,1,OC_Name)="","",INDEX('OneCause_Paste'!$A$138:$AZ$138,1,OC_Name)))</f>
        <v/>
      </c>
      <c r="L138">
        <f>IF(OC_Txn=0,"",IF(INDEX('OneCause_Paste'!$A$138:$AZ$138,1,OC_Txn)="","",INDEX('OneCause_Paste'!$A$138:$AZ$138,1,OC_Txn)))</f>
        <v/>
      </c>
      <c r="M138">
        <f>IF(OC_Pay=0,"",IF(INDEX('OneCause_Paste'!$A$138:$AZ$138,1,OC_Pay)="","",INDEX('OneCause_Paste'!$A$138:$AZ$138,1,OC_Pay)))</f>
        <v/>
      </c>
      <c r="N138">
        <f>IF(I138="","",IF(ISNUMBER(I138),INT(I138),IFERROR(INT(DATEVALUE(I138)),IFERROR(INT(VALUE(I138)),"bad"))))</f>
        <v/>
      </c>
      <c r="O138">
        <f>IF(J138="","",IF(ISNUMBER(J138),ROUND(J138,2),IFERROR(ROUND(VALUE(SUBSTITUTE(SUBSTITUTE(SUBSTITUTE(J138,"$",""),",","")," ","")),2),"bad")))</f>
        <v/>
      </c>
      <c r="P138">
        <f>IF(TRIM(K138)="","",IFERROR(MATCH(LOWER(TRIM(K138)),'Students'!$AH$2:$AH$701,0),IFERROR(MATCH(LOWER(TRIM(K138)),'Students'!$AF$2:$AF$701,0),IFERROR(MATCH(LOWER(TRIM(K138)),'Students'!$AG$2:$AG$701,0),""))))</f>
        <v/>
      </c>
      <c r="R138">
        <f>IF(P138="","",INDEX('Students'!$AD$2:$AD$701,P138))</f>
        <v/>
      </c>
      <c r="S138">
        <f>IF(H138="OK",O138,0)</f>
        <v/>
      </c>
      <c r="T138">
        <f>IF(H138="OK",N138,"")</f>
        <v/>
      </c>
      <c r="U138">
        <f>IF(OC_Donor=0,"",IF(INDEX('OneCause_Paste'!$A$138:$AZ$138,1,OC_Donor)="","",INDEX('OneCause_Paste'!$A$138:$AZ$138,1,OC_Donor)))</f>
        <v/>
      </c>
    </row>
    <row r="139">
      <c r="A139" s="62">
        <f>IF(H139="","",IF(ISNUMBER(N139),N139,I139))</f>
        <v/>
      </c>
      <c r="B139">
        <f>IF(H139="","",U139)</f>
        <v/>
      </c>
      <c r="C139">
        <f>IF(H139="","",IF(P139="",K139,INDEX('Students'!$A$2:$A$701,P139)))</f>
        <v/>
      </c>
      <c r="D139">
        <f>IF(OR(H139="",P139=""),"",INDEX('Students'!$B$2:$B$701,P139))</f>
        <v/>
      </c>
      <c r="E139">
        <f>IF(OR(H139="",P139=""),"",INDEX('Students'!$C$2:$C$701,P139))</f>
        <v/>
      </c>
      <c r="F139" s="48">
        <f>IF(H139="","",IF(ISNUMBER(O139),O139,J139))</f>
        <v/>
      </c>
      <c r="G139">
        <f>IF(H139="","","OneCause")</f>
        <v/>
      </c>
      <c r="H139">
        <f>IF(AND(I139="",J139="",K139=""),"",IF(NOT(ISNUMBER(O139)),"Bad amount",IF(O139&lt;0,"Refund (not counted)",IF(O139=0,"Zero amount",IF(NOT(ISNUMBER(N139)),"Bad date",IF(P139="","NAME NOT ON ROSTER",IF(L139="","OK",IF(MATCH(L139,$L$2:$L$3001,0)&lt;ROW()-1,"Duplicate (ignored)","OK"))))))))</f>
        <v/>
      </c>
      <c r="I139">
        <f>IF(OC_Date=0,"",IF(INDEX('OneCause_Paste'!$A$139:$AZ$139,1,OC_Date)="","",INDEX('OneCause_Paste'!$A$139:$AZ$139,1,OC_Date)))</f>
        <v/>
      </c>
      <c r="J139">
        <f>IF(OC_Amt=0,"",IF(INDEX('OneCause_Paste'!$A$139:$AZ$139,1,OC_Amt)="","",INDEX('OneCause_Paste'!$A$139:$AZ$139,1,OC_Amt)))</f>
        <v/>
      </c>
      <c r="K139">
        <f>IF(OC_Name=0,"",IF(INDEX('OneCause_Paste'!$A$139:$AZ$139,1,OC_Name)="","",INDEX('OneCause_Paste'!$A$139:$AZ$139,1,OC_Name)))</f>
        <v/>
      </c>
      <c r="L139">
        <f>IF(OC_Txn=0,"",IF(INDEX('OneCause_Paste'!$A$139:$AZ$139,1,OC_Txn)="","",INDEX('OneCause_Paste'!$A$139:$AZ$139,1,OC_Txn)))</f>
        <v/>
      </c>
      <c r="M139">
        <f>IF(OC_Pay=0,"",IF(INDEX('OneCause_Paste'!$A$139:$AZ$139,1,OC_Pay)="","",INDEX('OneCause_Paste'!$A$139:$AZ$139,1,OC_Pay)))</f>
        <v/>
      </c>
      <c r="N139">
        <f>IF(I139="","",IF(ISNUMBER(I139),INT(I139),IFERROR(INT(DATEVALUE(I139)),IFERROR(INT(VALUE(I139)),"bad"))))</f>
        <v/>
      </c>
      <c r="O139">
        <f>IF(J139="","",IF(ISNUMBER(J139),ROUND(J139,2),IFERROR(ROUND(VALUE(SUBSTITUTE(SUBSTITUTE(SUBSTITUTE(J139,"$",""),",","")," ","")),2),"bad")))</f>
        <v/>
      </c>
      <c r="P139">
        <f>IF(TRIM(K139)="","",IFERROR(MATCH(LOWER(TRIM(K139)),'Students'!$AH$2:$AH$701,0),IFERROR(MATCH(LOWER(TRIM(K139)),'Students'!$AF$2:$AF$701,0),IFERROR(MATCH(LOWER(TRIM(K139)),'Students'!$AG$2:$AG$701,0),""))))</f>
        <v/>
      </c>
      <c r="R139">
        <f>IF(P139="","",INDEX('Students'!$AD$2:$AD$701,P139))</f>
        <v/>
      </c>
      <c r="S139">
        <f>IF(H139="OK",O139,0)</f>
        <v/>
      </c>
      <c r="T139">
        <f>IF(H139="OK",N139,"")</f>
        <v/>
      </c>
      <c r="U139">
        <f>IF(OC_Donor=0,"",IF(INDEX('OneCause_Paste'!$A$139:$AZ$139,1,OC_Donor)="","",INDEX('OneCause_Paste'!$A$139:$AZ$139,1,OC_Donor)))</f>
        <v/>
      </c>
    </row>
    <row r="140">
      <c r="A140" s="62">
        <f>IF(H140="","",IF(ISNUMBER(N140),N140,I140))</f>
        <v/>
      </c>
      <c r="B140">
        <f>IF(H140="","",U140)</f>
        <v/>
      </c>
      <c r="C140">
        <f>IF(H140="","",IF(P140="",K140,INDEX('Students'!$A$2:$A$701,P140)))</f>
        <v/>
      </c>
      <c r="D140">
        <f>IF(OR(H140="",P140=""),"",INDEX('Students'!$B$2:$B$701,P140))</f>
        <v/>
      </c>
      <c r="E140">
        <f>IF(OR(H140="",P140=""),"",INDEX('Students'!$C$2:$C$701,P140))</f>
        <v/>
      </c>
      <c r="F140" s="48">
        <f>IF(H140="","",IF(ISNUMBER(O140),O140,J140))</f>
        <v/>
      </c>
      <c r="G140">
        <f>IF(H140="","","OneCause")</f>
        <v/>
      </c>
      <c r="H140">
        <f>IF(AND(I140="",J140="",K140=""),"",IF(NOT(ISNUMBER(O140)),"Bad amount",IF(O140&lt;0,"Refund (not counted)",IF(O140=0,"Zero amount",IF(NOT(ISNUMBER(N140)),"Bad date",IF(P140="","NAME NOT ON ROSTER",IF(L140="","OK",IF(MATCH(L140,$L$2:$L$3001,0)&lt;ROW()-1,"Duplicate (ignored)","OK"))))))))</f>
        <v/>
      </c>
      <c r="I140">
        <f>IF(OC_Date=0,"",IF(INDEX('OneCause_Paste'!$A$140:$AZ$140,1,OC_Date)="","",INDEX('OneCause_Paste'!$A$140:$AZ$140,1,OC_Date)))</f>
        <v/>
      </c>
      <c r="J140">
        <f>IF(OC_Amt=0,"",IF(INDEX('OneCause_Paste'!$A$140:$AZ$140,1,OC_Amt)="","",INDEX('OneCause_Paste'!$A$140:$AZ$140,1,OC_Amt)))</f>
        <v/>
      </c>
      <c r="K140">
        <f>IF(OC_Name=0,"",IF(INDEX('OneCause_Paste'!$A$140:$AZ$140,1,OC_Name)="","",INDEX('OneCause_Paste'!$A$140:$AZ$140,1,OC_Name)))</f>
        <v/>
      </c>
      <c r="L140">
        <f>IF(OC_Txn=0,"",IF(INDEX('OneCause_Paste'!$A$140:$AZ$140,1,OC_Txn)="","",INDEX('OneCause_Paste'!$A$140:$AZ$140,1,OC_Txn)))</f>
        <v/>
      </c>
      <c r="M140">
        <f>IF(OC_Pay=0,"",IF(INDEX('OneCause_Paste'!$A$140:$AZ$140,1,OC_Pay)="","",INDEX('OneCause_Paste'!$A$140:$AZ$140,1,OC_Pay)))</f>
        <v/>
      </c>
      <c r="N140">
        <f>IF(I140="","",IF(ISNUMBER(I140),INT(I140),IFERROR(INT(DATEVALUE(I140)),IFERROR(INT(VALUE(I140)),"bad"))))</f>
        <v/>
      </c>
      <c r="O140">
        <f>IF(J140="","",IF(ISNUMBER(J140),ROUND(J140,2),IFERROR(ROUND(VALUE(SUBSTITUTE(SUBSTITUTE(SUBSTITUTE(J140,"$",""),",","")," ","")),2),"bad")))</f>
        <v/>
      </c>
      <c r="P140">
        <f>IF(TRIM(K140)="","",IFERROR(MATCH(LOWER(TRIM(K140)),'Students'!$AH$2:$AH$701,0),IFERROR(MATCH(LOWER(TRIM(K140)),'Students'!$AF$2:$AF$701,0),IFERROR(MATCH(LOWER(TRIM(K140)),'Students'!$AG$2:$AG$701,0),""))))</f>
        <v/>
      </c>
      <c r="R140">
        <f>IF(P140="","",INDEX('Students'!$AD$2:$AD$701,P140))</f>
        <v/>
      </c>
      <c r="S140">
        <f>IF(H140="OK",O140,0)</f>
        <v/>
      </c>
      <c r="T140">
        <f>IF(H140="OK",N140,"")</f>
        <v/>
      </c>
      <c r="U140">
        <f>IF(OC_Donor=0,"",IF(INDEX('OneCause_Paste'!$A$140:$AZ$140,1,OC_Donor)="","",INDEX('OneCause_Paste'!$A$140:$AZ$140,1,OC_Donor)))</f>
        <v/>
      </c>
    </row>
    <row r="141">
      <c r="A141" s="62">
        <f>IF(H141="","",IF(ISNUMBER(N141),N141,I141))</f>
        <v/>
      </c>
      <c r="B141">
        <f>IF(H141="","",U141)</f>
        <v/>
      </c>
      <c r="C141">
        <f>IF(H141="","",IF(P141="",K141,INDEX('Students'!$A$2:$A$701,P141)))</f>
        <v/>
      </c>
      <c r="D141">
        <f>IF(OR(H141="",P141=""),"",INDEX('Students'!$B$2:$B$701,P141))</f>
        <v/>
      </c>
      <c r="E141">
        <f>IF(OR(H141="",P141=""),"",INDEX('Students'!$C$2:$C$701,P141))</f>
        <v/>
      </c>
      <c r="F141" s="48">
        <f>IF(H141="","",IF(ISNUMBER(O141),O141,J141))</f>
        <v/>
      </c>
      <c r="G141">
        <f>IF(H141="","","OneCause")</f>
        <v/>
      </c>
      <c r="H141">
        <f>IF(AND(I141="",J141="",K141=""),"",IF(NOT(ISNUMBER(O141)),"Bad amount",IF(O141&lt;0,"Refund (not counted)",IF(O141=0,"Zero amount",IF(NOT(ISNUMBER(N141)),"Bad date",IF(P141="","NAME NOT ON ROSTER",IF(L141="","OK",IF(MATCH(L141,$L$2:$L$3001,0)&lt;ROW()-1,"Duplicate (ignored)","OK"))))))))</f>
        <v/>
      </c>
      <c r="I141">
        <f>IF(OC_Date=0,"",IF(INDEX('OneCause_Paste'!$A$141:$AZ$141,1,OC_Date)="","",INDEX('OneCause_Paste'!$A$141:$AZ$141,1,OC_Date)))</f>
        <v/>
      </c>
      <c r="J141">
        <f>IF(OC_Amt=0,"",IF(INDEX('OneCause_Paste'!$A$141:$AZ$141,1,OC_Amt)="","",INDEX('OneCause_Paste'!$A$141:$AZ$141,1,OC_Amt)))</f>
        <v/>
      </c>
      <c r="K141">
        <f>IF(OC_Name=0,"",IF(INDEX('OneCause_Paste'!$A$141:$AZ$141,1,OC_Name)="","",INDEX('OneCause_Paste'!$A$141:$AZ$141,1,OC_Name)))</f>
        <v/>
      </c>
      <c r="L141">
        <f>IF(OC_Txn=0,"",IF(INDEX('OneCause_Paste'!$A$141:$AZ$141,1,OC_Txn)="","",INDEX('OneCause_Paste'!$A$141:$AZ$141,1,OC_Txn)))</f>
        <v/>
      </c>
      <c r="M141">
        <f>IF(OC_Pay=0,"",IF(INDEX('OneCause_Paste'!$A$141:$AZ$141,1,OC_Pay)="","",INDEX('OneCause_Paste'!$A$141:$AZ$141,1,OC_Pay)))</f>
        <v/>
      </c>
      <c r="N141">
        <f>IF(I141="","",IF(ISNUMBER(I141),INT(I141),IFERROR(INT(DATEVALUE(I141)),IFERROR(INT(VALUE(I141)),"bad"))))</f>
        <v/>
      </c>
      <c r="O141">
        <f>IF(J141="","",IF(ISNUMBER(J141),ROUND(J141,2),IFERROR(ROUND(VALUE(SUBSTITUTE(SUBSTITUTE(SUBSTITUTE(J141,"$",""),",","")," ","")),2),"bad")))</f>
        <v/>
      </c>
      <c r="P141">
        <f>IF(TRIM(K141)="","",IFERROR(MATCH(LOWER(TRIM(K141)),'Students'!$AH$2:$AH$701,0),IFERROR(MATCH(LOWER(TRIM(K141)),'Students'!$AF$2:$AF$701,0),IFERROR(MATCH(LOWER(TRIM(K141)),'Students'!$AG$2:$AG$701,0),""))))</f>
        <v/>
      </c>
      <c r="R141">
        <f>IF(P141="","",INDEX('Students'!$AD$2:$AD$701,P141))</f>
        <v/>
      </c>
      <c r="S141">
        <f>IF(H141="OK",O141,0)</f>
        <v/>
      </c>
      <c r="T141">
        <f>IF(H141="OK",N141,"")</f>
        <v/>
      </c>
      <c r="U141">
        <f>IF(OC_Donor=0,"",IF(INDEX('OneCause_Paste'!$A$141:$AZ$141,1,OC_Donor)="","",INDEX('OneCause_Paste'!$A$141:$AZ$141,1,OC_Donor)))</f>
        <v/>
      </c>
    </row>
    <row r="142">
      <c r="A142" s="62">
        <f>IF(H142="","",IF(ISNUMBER(N142),N142,I142))</f>
        <v/>
      </c>
      <c r="B142">
        <f>IF(H142="","",U142)</f>
        <v/>
      </c>
      <c r="C142">
        <f>IF(H142="","",IF(P142="",K142,INDEX('Students'!$A$2:$A$701,P142)))</f>
        <v/>
      </c>
      <c r="D142">
        <f>IF(OR(H142="",P142=""),"",INDEX('Students'!$B$2:$B$701,P142))</f>
        <v/>
      </c>
      <c r="E142">
        <f>IF(OR(H142="",P142=""),"",INDEX('Students'!$C$2:$C$701,P142))</f>
        <v/>
      </c>
      <c r="F142" s="48">
        <f>IF(H142="","",IF(ISNUMBER(O142),O142,J142))</f>
        <v/>
      </c>
      <c r="G142">
        <f>IF(H142="","","OneCause")</f>
        <v/>
      </c>
      <c r="H142">
        <f>IF(AND(I142="",J142="",K142=""),"",IF(NOT(ISNUMBER(O142)),"Bad amount",IF(O142&lt;0,"Refund (not counted)",IF(O142=0,"Zero amount",IF(NOT(ISNUMBER(N142)),"Bad date",IF(P142="","NAME NOT ON ROSTER",IF(L142="","OK",IF(MATCH(L142,$L$2:$L$3001,0)&lt;ROW()-1,"Duplicate (ignored)","OK"))))))))</f>
        <v/>
      </c>
      <c r="I142">
        <f>IF(OC_Date=0,"",IF(INDEX('OneCause_Paste'!$A$142:$AZ$142,1,OC_Date)="","",INDEX('OneCause_Paste'!$A$142:$AZ$142,1,OC_Date)))</f>
        <v/>
      </c>
      <c r="J142">
        <f>IF(OC_Amt=0,"",IF(INDEX('OneCause_Paste'!$A$142:$AZ$142,1,OC_Amt)="","",INDEX('OneCause_Paste'!$A$142:$AZ$142,1,OC_Amt)))</f>
        <v/>
      </c>
      <c r="K142">
        <f>IF(OC_Name=0,"",IF(INDEX('OneCause_Paste'!$A$142:$AZ$142,1,OC_Name)="","",INDEX('OneCause_Paste'!$A$142:$AZ$142,1,OC_Name)))</f>
        <v/>
      </c>
      <c r="L142">
        <f>IF(OC_Txn=0,"",IF(INDEX('OneCause_Paste'!$A$142:$AZ$142,1,OC_Txn)="","",INDEX('OneCause_Paste'!$A$142:$AZ$142,1,OC_Txn)))</f>
        <v/>
      </c>
      <c r="M142">
        <f>IF(OC_Pay=0,"",IF(INDEX('OneCause_Paste'!$A$142:$AZ$142,1,OC_Pay)="","",INDEX('OneCause_Paste'!$A$142:$AZ$142,1,OC_Pay)))</f>
        <v/>
      </c>
      <c r="N142">
        <f>IF(I142="","",IF(ISNUMBER(I142),INT(I142),IFERROR(INT(DATEVALUE(I142)),IFERROR(INT(VALUE(I142)),"bad"))))</f>
        <v/>
      </c>
      <c r="O142">
        <f>IF(J142="","",IF(ISNUMBER(J142),ROUND(J142,2),IFERROR(ROUND(VALUE(SUBSTITUTE(SUBSTITUTE(SUBSTITUTE(J142,"$",""),",","")," ","")),2),"bad")))</f>
        <v/>
      </c>
      <c r="P142">
        <f>IF(TRIM(K142)="","",IFERROR(MATCH(LOWER(TRIM(K142)),'Students'!$AH$2:$AH$701,0),IFERROR(MATCH(LOWER(TRIM(K142)),'Students'!$AF$2:$AF$701,0),IFERROR(MATCH(LOWER(TRIM(K142)),'Students'!$AG$2:$AG$701,0),""))))</f>
        <v/>
      </c>
      <c r="R142">
        <f>IF(P142="","",INDEX('Students'!$AD$2:$AD$701,P142))</f>
        <v/>
      </c>
      <c r="S142">
        <f>IF(H142="OK",O142,0)</f>
        <v/>
      </c>
      <c r="T142">
        <f>IF(H142="OK",N142,"")</f>
        <v/>
      </c>
      <c r="U142">
        <f>IF(OC_Donor=0,"",IF(INDEX('OneCause_Paste'!$A$142:$AZ$142,1,OC_Donor)="","",INDEX('OneCause_Paste'!$A$142:$AZ$142,1,OC_Donor)))</f>
        <v/>
      </c>
    </row>
    <row r="143">
      <c r="A143" s="62">
        <f>IF(H143="","",IF(ISNUMBER(N143),N143,I143))</f>
        <v/>
      </c>
      <c r="B143">
        <f>IF(H143="","",U143)</f>
        <v/>
      </c>
      <c r="C143">
        <f>IF(H143="","",IF(P143="",K143,INDEX('Students'!$A$2:$A$701,P143)))</f>
        <v/>
      </c>
      <c r="D143">
        <f>IF(OR(H143="",P143=""),"",INDEX('Students'!$B$2:$B$701,P143))</f>
        <v/>
      </c>
      <c r="E143">
        <f>IF(OR(H143="",P143=""),"",INDEX('Students'!$C$2:$C$701,P143))</f>
        <v/>
      </c>
      <c r="F143" s="48">
        <f>IF(H143="","",IF(ISNUMBER(O143),O143,J143))</f>
        <v/>
      </c>
      <c r="G143">
        <f>IF(H143="","","OneCause")</f>
        <v/>
      </c>
      <c r="H143">
        <f>IF(AND(I143="",J143="",K143=""),"",IF(NOT(ISNUMBER(O143)),"Bad amount",IF(O143&lt;0,"Refund (not counted)",IF(O143=0,"Zero amount",IF(NOT(ISNUMBER(N143)),"Bad date",IF(P143="","NAME NOT ON ROSTER",IF(L143="","OK",IF(MATCH(L143,$L$2:$L$3001,0)&lt;ROW()-1,"Duplicate (ignored)","OK"))))))))</f>
        <v/>
      </c>
      <c r="I143">
        <f>IF(OC_Date=0,"",IF(INDEX('OneCause_Paste'!$A$143:$AZ$143,1,OC_Date)="","",INDEX('OneCause_Paste'!$A$143:$AZ$143,1,OC_Date)))</f>
        <v/>
      </c>
      <c r="J143">
        <f>IF(OC_Amt=0,"",IF(INDEX('OneCause_Paste'!$A$143:$AZ$143,1,OC_Amt)="","",INDEX('OneCause_Paste'!$A$143:$AZ$143,1,OC_Amt)))</f>
        <v/>
      </c>
      <c r="K143">
        <f>IF(OC_Name=0,"",IF(INDEX('OneCause_Paste'!$A$143:$AZ$143,1,OC_Name)="","",INDEX('OneCause_Paste'!$A$143:$AZ$143,1,OC_Name)))</f>
        <v/>
      </c>
      <c r="L143">
        <f>IF(OC_Txn=0,"",IF(INDEX('OneCause_Paste'!$A$143:$AZ$143,1,OC_Txn)="","",INDEX('OneCause_Paste'!$A$143:$AZ$143,1,OC_Txn)))</f>
        <v/>
      </c>
      <c r="M143">
        <f>IF(OC_Pay=0,"",IF(INDEX('OneCause_Paste'!$A$143:$AZ$143,1,OC_Pay)="","",INDEX('OneCause_Paste'!$A$143:$AZ$143,1,OC_Pay)))</f>
        <v/>
      </c>
      <c r="N143">
        <f>IF(I143="","",IF(ISNUMBER(I143),INT(I143),IFERROR(INT(DATEVALUE(I143)),IFERROR(INT(VALUE(I143)),"bad"))))</f>
        <v/>
      </c>
      <c r="O143">
        <f>IF(J143="","",IF(ISNUMBER(J143),ROUND(J143,2),IFERROR(ROUND(VALUE(SUBSTITUTE(SUBSTITUTE(SUBSTITUTE(J143,"$",""),",","")," ","")),2),"bad")))</f>
        <v/>
      </c>
      <c r="P143">
        <f>IF(TRIM(K143)="","",IFERROR(MATCH(LOWER(TRIM(K143)),'Students'!$AH$2:$AH$701,0),IFERROR(MATCH(LOWER(TRIM(K143)),'Students'!$AF$2:$AF$701,0),IFERROR(MATCH(LOWER(TRIM(K143)),'Students'!$AG$2:$AG$701,0),""))))</f>
        <v/>
      </c>
      <c r="R143">
        <f>IF(P143="","",INDEX('Students'!$AD$2:$AD$701,P143))</f>
        <v/>
      </c>
      <c r="S143">
        <f>IF(H143="OK",O143,0)</f>
        <v/>
      </c>
      <c r="T143">
        <f>IF(H143="OK",N143,"")</f>
        <v/>
      </c>
      <c r="U143">
        <f>IF(OC_Donor=0,"",IF(INDEX('OneCause_Paste'!$A$143:$AZ$143,1,OC_Donor)="","",INDEX('OneCause_Paste'!$A$143:$AZ$143,1,OC_Donor)))</f>
        <v/>
      </c>
    </row>
    <row r="144">
      <c r="A144" s="62">
        <f>IF(H144="","",IF(ISNUMBER(N144),N144,I144))</f>
        <v/>
      </c>
      <c r="B144">
        <f>IF(H144="","",U144)</f>
        <v/>
      </c>
      <c r="C144">
        <f>IF(H144="","",IF(P144="",K144,INDEX('Students'!$A$2:$A$701,P144)))</f>
        <v/>
      </c>
      <c r="D144">
        <f>IF(OR(H144="",P144=""),"",INDEX('Students'!$B$2:$B$701,P144))</f>
        <v/>
      </c>
      <c r="E144">
        <f>IF(OR(H144="",P144=""),"",INDEX('Students'!$C$2:$C$701,P144))</f>
        <v/>
      </c>
      <c r="F144" s="48">
        <f>IF(H144="","",IF(ISNUMBER(O144),O144,J144))</f>
        <v/>
      </c>
      <c r="G144">
        <f>IF(H144="","","OneCause")</f>
        <v/>
      </c>
      <c r="H144">
        <f>IF(AND(I144="",J144="",K144=""),"",IF(NOT(ISNUMBER(O144)),"Bad amount",IF(O144&lt;0,"Refund (not counted)",IF(O144=0,"Zero amount",IF(NOT(ISNUMBER(N144)),"Bad date",IF(P144="","NAME NOT ON ROSTER",IF(L144="","OK",IF(MATCH(L144,$L$2:$L$3001,0)&lt;ROW()-1,"Duplicate (ignored)","OK"))))))))</f>
        <v/>
      </c>
      <c r="I144">
        <f>IF(OC_Date=0,"",IF(INDEX('OneCause_Paste'!$A$144:$AZ$144,1,OC_Date)="","",INDEX('OneCause_Paste'!$A$144:$AZ$144,1,OC_Date)))</f>
        <v/>
      </c>
      <c r="J144">
        <f>IF(OC_Amt=0,"",IF(INDEX('OneCause_Paste'!$A$144:$AZ$144,1,OC_Amt)="","",INDEX('OneCause_Paste'!$A$144:$AZ$144,1,OC_Amt)))</f>
        <v/>
      </c>
      <c r="K144">
        <f>IF(OC_Name=0,"",IF(INDEX('OneCause_Paste'!$A$144:$AZ$144,1,OC_Name)="","",INDEX('OneCause_Paste'!$A$144:$AZ$144,1,OC_Name)))</f>
        <v/>
      </c>
      <c r="L144">
        <f>IF(OC_Txn=0,"",IF(INDEX('OneCause_Paste'!$A$144:$AZ$144,1,OC_Txn)="","",INDEX('OneCause_Paste'!$A$144:$AZ$144,1,OC_Txn)))</f>
        <v/>
      </c>
      <c r="M144">
        <f>IF(OC_Pay=0,"",IF(INDEX('OneCause_Paste'!$A$144:$AZ$144,1,OC_Pay)="","",INDEX('OneCause_Paste'!$A$144:$AZ$144,1,OC_Pay)))</f>
        <v/>
      </c>
      <c r="N144">
        <f>IF(I144="","",IF(ISNUMBER(I144),INT(I144),IFERROR(INT(DATEVALUE(I144)),IFERROR(INT(VALUE(I144)),"bad"))))</f>
        <v/>
      </c>
      <c r="O144">
        <f>IF(J144="","",IF(ISNUMBER(J144),ROUND(J144,2),IFERROR(ROUND(VALUE(SUBSTITUTE(SUBSTITUTE(SUBSTITUTE(J144,"$",""),",","")," ","")),2),"bad")))</f>
        <v/>
      </c>
      <c r="P144">
        <f>IF(TRIM(K144)="","",IFERROR(MATCH(LOWER(TRIM(K144)),'Students'!$AH$2:$AH$701,0),IFERROR(MATCH(LOWER(TRIM(K144)),'Students'!$AF$2:$AF$701,0),IFERROR(MATCH(LOWER(TRIM(K144)),'Students'!$AG$2:$AG$701,0),""))))</f>
        <v/>
      </c>
      <c r="R144">
        <f>IF(P144="","",INDEX('Students'!$AD$2:$AD$701,P144))</f>
        <v/>
      </c>
      <c r="S144">
        <f>IF(H144="OK",O144,0)</f>
        <v/>
      </c>
      <c r="T144">
        <f>IF(H144="OK",N144,"")</f>
        <v/>
      </c>
      <c r="U144">
        <f>IF(OC_Donor=0,"",IF(INDEX('OneCause_Paste'!$A$144:$AZ$144,1,OC_Donor)="","",INDEX('OneCause_Paste'!$A$144:$AZ$144,1,OC_Donor)))</f>
        <v/>
      </c>
    </row>
    <row r="145">
      <c r="A145" s="62">
        <f>IF(H145="","",IF(ISNUMBER(N145),N145,I145))</f>
        <v/>
      </c>
      <c r="B145">
        <f>IF(H145="","",U145)</f>
        <v/>
      </c>
      <c r="C145">
        <f>IF(H145="","",IF(P145="",K145,INDEX('Students'!$A$2:$A$701,P145)))</f>
        <v/>
      </c>
      <c r="D145">
        <f>IF(OR(H145="",P145=""),"",INDEX('Students'!$B$2:$B$701,P145))</f>
        <v/>
      </c>
      <c r="E145">
        <f>IF(OR(H145="",P145=""),"",INDEX('Students'!$C$2:$C$701,P145))</f>
        <v/>
      </c>
      <c r="F145" s="48">
        <f>IF(H145="","",IF(ISNUMBER(O145),O145,J145))</f>
        <v/>
      </c>
      <c r="G145">
        <f>IF(H145="","","OneCause")</f>
        <v/>
      </c>
      <c r="H145">
        <f>IF(AND(I145="",J145="",K145=""),"",IF(NOT(ISNUMBER(O145)),"Bad amount",IF(O145&lt;0,"Refund (not counted)",IF(O145=0,"Zero amount",IF(NOT(ISNUMBER(N145)),"Bad date",IF(P145="","NAME NOT ON ROSTER",IF(L145="","OK",IF(MATCH(L145,$L$2:$L$3001,0)&lt;ROW()-1,"Duplicate (ignored)","OK"))))))))</f>
        <v/>
      </c>
      <c r="I145">
        <f>IF(OC_Date=0,"",IF(INDEX('OneCause_Paste'!$A$145:$AZ$145,1,OC_Date)="","",INDEX('OneCause_Paste'!$A$145:$AZ$145,1,OC_Date)))</f>
        <v/>
      </c>
      <c r="J145">
        <f>IF(OC_Amt=0,"",IF(INDEX('OneCause_Paste'!$A$145:$AZ$145,1,OC_Amt)="","",INDEX('OneCause_Paste'!$A$145:$AZ$145,1,OC_Amt)))</f>
        <v/>
      </c>
      <c r="K145">
        <f>IF(OC_Name=0,"",IF(INDEX('OneCause_Paste'!$A$145:$AZ$145,1,OC_Name)="","",INDEX('OneCause_Paste'!$A$145:$AZ$145,1,OC_Name)))</f>
        <v/>
      </c>
      <c r="L145">
        <f>IF(OC_Txn=0,"",IF(INDEX('OneCause_Paste'!$A$145:$AZ$145,1,OC_Txn)="","",INDEX('OneCause_Paste'!$A$145:$AZ$145,1,OC_Txn)))</f>
        <v/>
      </c>
      <c r="M145">
        <f>IF(OC_Pay=0,"",IF(INDEX('OneCause_Paste'!$A$145:$AZ$145,1,OC_Pay)="","",INDEX('OneCause_Paste'!$A$145:$AZ$145,1,OC_Pay)))</f>
        <v/>
      </c>
      <c r="N145">
        <f>IF(I145="","",IF(ISNUMBER(I145),INT(I145),IFERROR(INT(DATEVALUE(I145)),IFERROR(INT(VALUE(I145)),"bad"))))</f>
        <v/>
      </c>
      <c r="O145">
        <f>IF(J145="","",IF(ISNUMBER(J145),ROUND(J145,2),IFERROR(ROUND(VALUE(SUBSTITUTE(SUBSTITUTE(SUBSTITUTE(J145,"$",""),",","")," ","")),2),"bad")))</f>
        <v/>
      </c>
      <c r="P145">
        <f>IF(TRIM(K145)="","",IFERROR(MATCH(LOWER(TRIM(K145)),'Students'!$AH$2:$AH$701,0),IFERROR(MATCH(LOWER(TRIM(K145)),'Students'!$AF$2:$AF$701,0),IFERROR(MATCH(LOWER(TRIM(K145)),'Students'!$AG$2:$AG$701,0),""))))</f>
        <v/>
      </c>
      <c r="R145">
        <f>IF(P145="","",INDEX('Students'!$AD$2:$AD$701,P145))</f>
        <v/>
      </c>
      <c r="S145">
        <f>IF(H145="OK",O145,0)</f>
        <v/>
      </c>
      <c r="T145">
        <f>IF(H145="OK",N145,"")</f>
        <v/>
      </c>
      <c r="U145">
        <f>IF(OC_Donor=0,"",IF(INDEX('OneCause_Paste'!$A$145:$AZ$145,1,OC_Donor)="","",INDEX('OneCause_Paste'!$A$145:$AZ$145,1,OC_Donor)))</f>
        <v/>
      </c>
    </row>
    <row r="146">
      <c r="A146" s="62">
        <f>IF(H146="","",IF(ISNUMBER(N146),N146,I146))</f>
        <v/>
      </c>
      <c r="B146">
        <f>IF(H146="","",U146)</f>
        <v/>
      </c>
      <c r="C146">
        <f>IF(H146="","",IF(P146="",K146,INDEX('Students'!$A$2:$A$701,P146)))</f>
        <v/>
      </c>
      <c r="D146">
        <f>IF(OR(H146="",P146=""),"",INDEX('Students'!$B$2:$B$701,P146))</f>
        <v/>
      </c>
      <c r="E146">
        <f>IF(OR(H146="",P146=""),"",INDEX('Students'!$C$2:$C$701,P146))</f>
        <v/>
      </c>
      <c r="F146" s="48">
        <f>IF(H146="","",IF(ISNUMBER(O146),O146,J146))</f>
        <v/>
      </c>
      <c r="G146">
        <f>IF(H146="","","OneCause")</f>
        <v/>
      </c>
      <c r="H146">
        <f>IF(AND(I146="",J146="",K146=""),"",IF(NOT(ISNUMBER(O146)),"Bad amount",IF(O146&lt;0,"Refund (not counted)",IF(O146=0,"Zero amount",IF(NOT(ISNUMBER(N146)),"Bad date",IF(P146="","NAME NOT ON ROSTER",IF(L146="","OK",IF(MATCH(L146,$L$2:$L$3001,0)&lt;ROW()-1,"Duplicate (ignored)","OK"))))))))</f>
        <v/>
      </c>
      <c r="I146">
        <f>IF(OC_Date=0,"",IF(INDEX('OneCause_Paste'!$A$146:$AZ$146,1,OC_Date)="","",INDEX('OneCause_Paste'!$A$146:$AZ$146,1,OC_Date)))</f>
        <v/>
      </c>
      <c r="J146">
        <f>IF(OC_Amt=0,"",IF(INDEX('OneCause_Paste'!$A$146:$AZ$146,1,OC_Amt)="","",INDEX('OneCause_Paste'!$A$146:$AZ$146,1,OC_Amt)))</f>
        <v/>
      </c>
      <c r="K146">
        <f>IF(OC_Name=0,"",IF(INDEX('OneCause_Paste'!$A$146:$AZ$146,1,OC_Name)="","",INDEX('OneCause_Paste'!$A$146:$AZ$146,1,OC_Name)))</f>
        <v/>
      </c>
      <c r="L146">
        <f>IF(OC_Txn=0,"",IF(INDEX('OneCause_Paste'!$A$146:$AZ$146,1,OC_Txn)="","",INDEX('OneCause_Paste'!$A$146:$AZ$146,1,OC_Txn)))</f>
        <v/>
      </c>
      <c r="M146">
        <f>IF(OC_Pay=0,"",IF(INDEX('OneCause_Paste'!$A$146:$AZ$146,1,OC_Pay)="","",INDEX('OneCause_Paste'!$A$146:$AZ$146,1,OC_Pay)))</f>
        <v/>
      </c>
      <c r="N146">
        <f>IF(I146="","",IF(ISNUMBER(I146),INT(I146),IFERROR(INT(DATEVALUE(I146)),IFERROR(INT(VALUE(I146)),"bad"))))</f>
        <v/>
      </c>
      <c r="O146">
        <f>IF(J146="","",IF(ISNUMBER(J146),ROUND(J146,2),IFERROR(ROUND(VALUE(SUBSTITUTE(SUBSTITUTE(SUBSTITUTE(J146,"$",""),",","")," ","")),2),"bad")))</f>
        <v/>
      </c>
      <c r="P146">
        <f>IF(TRIM(K146)="","",IFERROR(MATCH(LOWER(TRIM(K146)),'Students'!$AH$2:$AH$701,0),IFERROR(MATCH(LOWER(TRIM(K146)),'Students'!$AF$2:$AF$701,0),IFERROR(MATCH(LOWER(TRIM(K146)),'Students'!$AG$2:$AG$701,0),""))))</f>
        <v/>
      </c>
      <c r="R146">
        <f>IF(P146="","",INDEX('Students'!$AD$2:$AD$701,P146))</f>
        <v/>
      </c>
      <c r="S146">
        <f>IF(H146="OK",O146,0)</f>
        <v/>
      </c>
      <c r="T146">
        <f>IF(H146="OK",N146,"")</f>
        <v/>
      </c>
      <c r="U146">
        <f>IF(OC_Donor=0,"",IF(INDEX('OneCause_Paste'!$A$146:$AZ$146,1,OC_Donor)="","",INDEX('OneCause_Paste'!$A$146:$AZ$146,1,OC_Donor)))</f>
        <v/>
      </c>
    </row>
    <row r="147">
      <c r="A147" s="62">
        <f>IF(H147="","",IF(ISNUMBER(N147),N147,I147))</f>
        <v/>
      </c>
      <c r="B147">
        <f>IF(H147="","",U147)</f>
        <v/>
      </c>
      <c r="C147">
        <f>IF(H147="","",IF(P147="",K147,INDEX('Students'!$A$2:$A$701,P147)))</f>
        <v/>
      </c>
      <c r="D147">
        <f>IF(OR(H147="",P147=""),"",INDEX('Students'!$B$2:$B$701,P147))</f>
        <v/>
      </c>
      <c r="E147">
        <f>IF(OR(H147="",P147=""),"",INDEX('Students'!$C$2:$C$701,P147))</f>
        <v/>
      </c>
      <c r="F147" s="48">
        <f>IF(H147="","",IF(ISNUMBER(O147),O147,J147))</f>
        <v/>
      </c>
      <c r="G147">
        <f>IF(H147="","","OneCause")</f>
        <v/>
      </c>
      <c r="H147">
        <f>IF(AND(I147="",J147="",K147=""),"",IF(NOT(ISNUMBER(O147)),"Bad amount",IF(O147&lt;0,"Refund (not counted)",IF(O147=0,"Zero amount",IF(NOT(ISNUMBER(N147)),"Bad date",IF(P147="","NAME NOT ON ROSTER",IF(L147="","OK",IF(MATCH(L147,$L$2:$L$3001,0)&lt;ROW()-1,"Duplicate (ignored)","OK"))))))))</f>
        <v/>
      </c>
      <c r="I147">
        <f>IF(OC_Date=0,"",IF(INDEX('OneCause_Paste'!$A$147:$AZ$147,1,OC_Date)="","",INDEX('OneCause_Paste'!$A$147:$AZ$147,1,OC_Date)))</f>
        <v/>
      </c>
      <c r="J147">
        <f>IF(OC_Amt=0,"",IF(INDEX('OneCause_Paste'!$A$147:$AZ$147,1,OC_Amt)="","",INDEX('OneCause_Paste'!$A$147:$AZ$147,1,OC_Amt)))</f>
        <v/>
      </c>
      <c r="K147">
        <f>IF(OC_Name=0,"",IF(INDEX('OneCause_Paste'!$A$147:$AZ$147,1,OC_Name)="","",INDEX('OneCause_Paste'!$A$147:$AZ$147,1,OC_Name)))</f>
        <v/>
      </c>
      <c r="L147">
        <f>IF(OC_Txn=0,"",IF(INDEX('OneCause_Paste'!$A$147:$AZ$147,1,OC_Txn)="","",INDEX('OneCause_Paste'!$A$147:$AZ$147,1,OC_Txn)))</f>
        <v/>
      </c>
      <c r="M147">
        <f>IF(OC_Pay=0,"",IF(INDEX('OneCause_Paste'!$A$147:$AZ$147,1,OC_Pay)="","",INDEX('OneCause_Paste'!$A$147:$AZ$147,1,OC_Pay)))</f>
        <v/>
      </c>
      <c r="N147">
        <f>IF(I147="","",IF(ISNUMBER(I147),INT(I147),IFERROR(INT(DATEVALUE(I147)),IFERROR(INT(VALUE(I147)),"bad"))))</f>
        <v/>
      </c>
      <c r="O147">
        <f>IF(J147="","",IF(ISNUMBER(J147),ROUND(J147,2),IFERROR(ROUND(VALUE(SUBSTITUTE(SUBSTITUTE(SUBSTITUTE(J147,"$",""),",","")," ","")),2),"bad")))</f>
        <v/>
      </c>
      <c r="P147">
        <f>IF(TRIM(K147)="","",IFERROR(MATCH(LOWER(TRIM(K147)),'Students'!$AH$2:$AH$701,0),IFERROR(MATCH(LOWER(TRIM(K147)),'Students'!$AF$2:$AF$701,0),IFERROR(MATCH(LOWER(TRIM(K147)),'Students'!$AG$2:$AG$701,0),""))))</f>
        <v/>
      </c>
      <c r="R147">
        <f>IF(P147="","",INDEX('Students'!$AD$2:$AD$701,P147))</f>
        <v/>
      </c>
      <c r="S147">
        <f>IF(H147="OK",O147,0)</f>
        <v/>
      </c>
      <c r="T147">
        <f>IF(H147="OK",N147,"")</f>
        <v/>
      </c>
      <c r="U147">
        <f>IF(OC_Donor=0,"",IF(INDEX('OneCause_Paste'!$A$147:$AZ$147,1,OC_Donor)="","",INDEX('OneCause_Paste'!$A$147:$AZ$147,1,OC_Donor)))</f>
        <v/>
      </c>
    </row>
    <row r="148">
      <c r="A148" s="62">
        <f>IF(H148="","",IF(ISNUMBER(N148),N148,I148))</f>
        <v/>
      </c>
      <c r="B148">
        <f>IF(H148="","",U148)</f>
        <v/>
      </c>
      <c r="C148">
        <f>IF(H148="","",IF(P148="",K148,INDEX('Students'!$A$2:$A$701,P148)))</f>
        <v/>
      </c>
      <c r="D148">
        <f>IF(OR(H148="",P148=""),"",INDEX('Students'!$B$2:$B$701,P148))</f>
        <v/>
      </c>
      <c r="E148">
        <f>IF(OR(H148="",P148=""),"",INDEX('Students'!$C$2:$C$701,P148))</f>
        <v/>
      </c>
      <c r="F148" s="48">
        <f>IF(H148="","",IF(ISNUMBER(O148),O148,J148))</f>
        <v/>
      </c>
      <c r="G148">
        <f>IF(H148="","","OneCause")</f>
        <v/>
      </c>
      <c r="H148">
        <f>IF(AND(I148="",J148="",K148=""),"",IF(NOT(ISNUMBER(O148)),"Bad amount",IF(O148&lt;0,"Refund (not counted)",IF(O148=0,"Zero amount",IF(NOT(ISNUMBER(N148)),"Bad date",IF(P148="","NAME NOT ON ROSTER",IF(L148="","OK",IF(MATCH(L148,$L$2:$L$3001,0)&lt;ROW()-1,"Duplicate (ignored)","OK"))))))))</f>
        <v/>
      </c>
      <c r="I148">
        <f>IF(OC_Date=0,"",IF(INDEX('OneCause_Paste'!$A$148:$AZ$148,1,OC_Date)="","",INDEX('OneCause_Paste'!$A$148:$AZ$148,1,OC_Date)))</f>
        <v/>
      </c>
      <c r="J148">
        <f>IF(OC_Amt=0,"",IF(INDEX('OneCause_Paste'!$A$148:$AZ$148,1,OC_Amt)="","",INDEX('OneCause_Paste'!$A$148:$AZ$148,1,OC_Amt)))</f>
        <v/>
      </c>
      <c r="K148">
        <f>IF(OC_Name=0,"",IF(INDEX('OneCause_Paste'!$A$148:$AZ$148,1,OC_Name)="","",INDEX('OneCause_Paste'!$A$148:$AZ$148,1,OC_Name)))</f>
        <v/>
      </c>
      <c r="L148">
        <f>IF(OC_Txn=0,"",IF(INDEX('OneCause_Paste'!$A$148:$AZ$148,1,OC_Txn)="","",INDEX('OneCause_Paste'!$A$148:$AZ$148,1,OC_Txn)))</f>
        <v/>
      </c>
      <c r="M148">
        <f>IF(OC_Pay=0,"",IF(INDEX('OneCause_Paste'!$A$148:$AZ$148,1,OC_Pay)="","",INDEX('OneCause_Paste'!$A$148:$AZ$148,1,OC_Pay)))</f>
        <v/>
      </c>
      <c r="N148">
        <f>IF(I148="","",IF(ISNUMBER(I148),INT(I148),IFERROR(INT(DATEVALUE(I148)),IFERROR(INT(VALUE(I148)),"bad"))))</f>
        <v/>
      </c>
      <c r="O148">
        <f>IF(J148="","",IF(ISNUMBER(J148),ROUND(J148,2),IFERROR(ROUND(VALUE(SUBSTITUTE(SUBSTITUTE(SUBSTITUTE(J148,"$",""),",","")," ","")),2),"bad")))</f>
        <v/>
      </c>
      <c r="P148">
        <f>IF(TRIM(K148)="","",IFERROR(MATCH(LOWER(TRIM(K148)),'Students'!$AH$2:$AH$701,0),IFERROR(MATCH(LOWER(TRIM(K148)),'Students'!$AF$2:$AF$701,0),IFERROR(MATCH(LOWER(TRIM(K148)),'Students'!$AG$2:$AG$701,0),""))))</f>
        <v/>
      </c>
      <c r="R148">
        <f>IF(P148="","",INDEX('Students'!$AD$2:$AD$701,P148))</f>
        <v/>
      </c>
      <c r="S148">
        <f>IF(H148="OK",O148,0)</f>
        <v/>
      </c>
      <c r="T148">
        <f>IF(H148="OK",N148,"")</f>
        <v/>
      </c>
      <c r="U148">
        <f>IF(OC_Donor=0,"",IF(INDEX('OneCause_Paste'!$A$148:$AZ$148,1,OC_Donor)="","",INDEX('OneCause_Paste'!$A$148:$AZ$148,1,OC_Donor)))</f>
        <v/>
      </c>
    </row>
    <row r="149">
      <c r="A149" s="62">
        <f>IF(H149="","",IF(ISNUMBER(N149),N149,I149))</f>
        <v/>
      </c>
      <c r="B149">
        <f>IF(H149="","",U149)</f>
        <v/>
      </c>
      <c r="C149">
        <f>IF(H149="","",IF(P149="",K149,INDEX('Students'!$A$2:$A$701,P149)))</f>
        <v/>
      </c>
      <c r="D149">
        <f>IF(OR(H149="",P149=""),"",INDEX('Students'!$B$2:$B$701,P149))</f>
        <v/>
      </c>
      <c r="E149">
        <f>IF(OR(H149="",P149=""),"",INDEX('Students'!$C$2:$C$701,P149))</f>
        <v/>
      </c>
      <c r="F149" s="48">
        <f>IF(H149="","",IF(ISNUMBER(O149),O149,J149))</f>
        <v/>
      </c>
      <c r="G149">
        <f>IF(H149="","","OneCause")</f>
        <v/>
      </c>
      <c r="H149">
        <f>IF(AND(I149="",J149="",K149=""),"",IF(NOT(ISNUMBER(O149)),"Bad amount",IF(O149&lt;0,"Refund (not counted)",IF(O149=0,"Zero amount",IF(NOT(ISNUMBER(N149)),"Bad date",IF(P149="","NAME NOT ON ROSTER",IF(L149="","OK",IF(MATCH(L149,$L$2:$L$3001,0)&lt;ROW()-1,"Duplicate (ignored)","OK"))))))))</f>
        <v/>
      </c>
      <c r="I149">
        <f>IF(OC_Date=0,"",IF(INDEX('OneCause_Paste'!$A$149:$AZ$149,1,OC_Date)="","",INDEX('OneCause_Paste'!$A$149:$AZ$149,1,OC_Date)))</f>
        <v/>
      </c>
      <c r="J149">
        <f>IF(OC_Amt=0,"",IF(INDEX('OneCause_Paste'!$A$149:$AZ$149,1,OC_Amt)="","",INDEX('OneCause_Paste'!$A$149:$AZ$149,1,OC_Amt)))</f>
        <v/>
      </c>
      <c r="K149">
        <f>IF(OC_Name=0,"",IF(INDEX('OneCause_Paste'!$A$149:$AZ$149,1,OC_Name)="","",INDEX('OneCause_Paste'!$A$149:$AZ$149,1,OC_Name)))</f>
        <v/>
      </c>
      <c r="L149">
        <f>IF(OC_Txn=0,"",IF(INDEX('OneCause_Paste'!$A$149:$AZ$149,1,OC_Txn)="","",INDEX('OneCause_Paste'!$A$149:$AZ$149,1,OC_Txn)))</f>
        <v/>
      </c>
      <c r="M149">
        <f>IF(OC_Pay=0,"",IF(INDEX('OneCause_Paste'!$A$149:$AZ$149,1,OC_Pay)="","",INDEX('OneCause_Paste'!$A$149:$AZ$149,1,OC_Pay)))</f>
        <v/>
      </c>
      <c r="N149">
        <f>IF(I149="","",IF(ISNUMBER(I149),INT(I149),IFERROR(INT(DATEVALUE(I149)),IFERROR(INT(VALUE(I149)),"bad"))))</f>
        <v/>
      </c>
      <c r="O149">
        <f>IF(J149="","",IF(ISNUMBER(J149),ROUND(J149,2),IFERROR(ROUND(VALUE(SUBSTITUTE(SUBSTITUTE(SUBSTITUTE(J149,"$",""),",","")," ","")),2),"bad")))</f>
        <v/>
      </c>
      <c r="P149">
        <f>IF(TRIM(K149)="","",IFERROR(MATCH(LOWER(TRIM(K149)),'Students'!$AH$2:$AH$701,0),IFERROR(MATCH(LOWER(TRIM(K149)),'Students'!$AF$2:$AF$701,0),IFERROR(MATCH(LOWER(TRIM(K149)),'Students'!$AG$2:$AG$701,0),""))))</f>
        <v/>
      </c>
      <c r="R149">
        <f>IF(P149="","",INDEX('Students'!$AD$2:$AD$701,P149))</f>
        <v/>
      </c>
      <c r="S149">
        <f>IF(H149="OK",O149,0)</f>
        <v/>
      </c>
      <c r="T149">
        <f>IF(H149="OK",N149,"")</f>
        <v/>
      </c>
      <c r="U149">
        <f>IF(OC_Donor=0,"",IF(INDEX('OneCause_Paste'!$A$149:$AZ$149,1,OC_Donor)="","",INDEX('OneCause_Paste'!$A$149:$AZ$149,1,OC_Donor)))</f>
        <v/>
      </c>
    </row>
    <row r="150">
      <c r="A150" s="62">
        <f>IF(H150="","",IF(ISNUMBER(N150),N150,I150))</f>
        <v/>
      </c>
      <c r="B150">
        <f>IF(H150="","",U150)</f>
        <v/>
      </c>
      <c r="C150">
        <f>IF(H150="","",IF(P150="",K150,INDEX('Students'!$A$2:$A$701,P150)))</f>
        <v/>
      </c>
      <c r="D150">
        <f>IF(OR(H150="",P150=""),"",INDEX('Students'!$B$2:$B$701,P150))</f>
        <v/>
      </c>
      <c r="E150">
        <f>IF(OR(H150="",P150=""),"",INDEX('Students'!$C$2:$C$701,P150))</f>
        <v/>
      </c>
      <c r="F150" s="48">
        <f>IF(H150="","",IF(ISNUMBER(O150),O150,J150))</f>
        <v/>
      </c>
      <c r="G150">
        <f>IF(H150="","","OneCause")</f>
        <v/>
      </c>
      <c r="H150">
        <f>IF(AND(I150="",J150="",K150=""),"",IF(NOT(ISNUMBER(O150)),"Bad amount",IF(O150&lt;0,"Refund (not counted)",IF(O150=0,"Zero amount",IF(NOT(ISNUMBER(N150)),"Bad date",IF(P150="","NAME NOT ON ROSTER",IF(L150="","OK",IF(MATCH(L150,$L$2:$L$3001,0)&lt;ROW()-1,"Duplicate (ignored)","OK"))))))))</f>
        <v/>
      </c>
      <c r="I150">
        <f>IF(OC_Date=0,"",IF(INDEX('OneCause_Paste'!$A$150:$AZ$150,1,OC_Date)="","",INDEX('OneCause_Paste'!$A$150:$AZ$150,1,OC_Date)))</f>
        <v/>
      </c>
      <c r="J150">
        <f>IF(OC_Amt=0,"",IF(INDEX('OneCause_Paste'!$A$150:$AZ$150,1,OC_Amt)="","",INDEX('OneCause_Paste'!$A$150:$AZ$150,1,OC_Amt)))</f>
        <v/>
      </c>
      <c r="K150">
        <f>IF(OC_Name=0,"",IF(INDEX('OneCause_Paste'!$A$150:$AZ$150,1,OC_Name)="","",INDEX('OneCause_Paste'!$A$150:$AZ$150,1,OC_Name)))</f>
        <v/>
      </c>
      <c r="L150">
        <f>IF(OC_Txn=0,"",IF(INDEX('OneCause_Paste'!$A$150:$AZ$150,1,OC_Txn)="","",INDEX('OneCause_Paste'!$A$150:$AZ$150,1,OC_Txn)))</f>
        <v/>
      </c>
      <c r="M150">
        <f>IF(OC_Pay=0,"",IF(INDEX('OneCause_Paste'!$A$150:$AZ$150,1,OC_Pay)="","",INDEX('OneCause_Paste'!$A$150:$AZ$150,1,OC_Pay)))</f>
        <v/>
      </c>
      <c r="N150">
        <f>IF(I150="","",IF(ISNUMBER(I150),INT(I150),IFERROR(INT(DATEVALUE(I150)),IFERROR(INT(VALUE(I150)),"bad"))))</f>
        <v/>
      </c>
      <c r="O150">
        <f>IF(J150="","",IF(ISNUMBER(J150),ROUND(J150,2),IFERROR(ROUND(VALUE(SUBSTITUTE(SUBSTITUTE(SUBSTITUTE(J150,"$",""),",","")," ","")),2),"bad")))</f>
        <v/>
      </c>
      <c r="P150">
        <f>IF(TRIM(K150)="","",IFERROR(MATCH(LOWER(TRIM(K150)),'Students'!$AH$2:$AH$701,0),IFERROR(MATCH(LOWER(TRIM(K150)),'Students'!$AF$2:$AF$701,0),IFERROR(MATCH(LOWER(TRIM(K150)),'Students'!$AG$2:$AG$701,0),""))))</f>
        <v/>
      </c>
      <c r="R150">
        <f>IF(P150="","",INDEX('Students'!$AD$2:$AD$701,P150))</f>
        <v/>
      </c>
      <c r="S150">
        <f>IF(H150="OK",O150,0)</f>
        <v/>
      </c>
      <c r="T150">
        <f>IF(H150="OK",N150,"")</f>
        <v/>
      </c>
      <c r="U150">
        <f>IF(OC_Donor=0,"",IF(INDEX('OneCause_Paste'!$A$150:$AZ$150,1,OC_Donor)="","",INDEX('OneCause_Paste'!$A$150:$AZ$150,1,OC_Donor)))</f>
        <v/>
      </c>
    </row>
    <row r="151">
      <c r="A151" s="62">
        <f>IF(H151="","",IF(ISNUMBER(N151),N151,I151))</f>
        <v/>
      </c>
      <c r="B151">
        <f>IF(H151="","",U151)</f>
        <v/>
      </c>
      <c r="C151">
        <f>IF(H151="","",IF(P151="",K151,INDEX('Students'!$A$2:$A$701,P151)))</f>
        <v/>
      </c>
      <c r="D151">
        <f>IF(OR(H151="",P151=""),"",INDEX('Students'!$B$2:$B$701,P151))</f>
        <v/>
      </c>
      <c r="E151">
        <f>IF(OR(H151="",P151=""),"",INDEX('Students'!$C$2:$C$701,P151))</f>
        <v/>
      </c>
      <c r="F151" s="48">
        <f>IF(H151="","",IF(ISNUMBER(O151),O151,J151))</f>
        <v/>
      </c>
      <c r="G151">
        <f>IF(H151="","","OneCause")</f>
        <v/>
      </c>
      <c r="H151">
        <f>IF(AND(I151="",J151="",K151=""),"",IF(NOT(ISNUMBER(O151)),"Bad amount",IF(O151&lt;0,"Refund (not counted)",IF(O151=0,"Zero amount",IF(NOT(ISNUMBER(N151)),"Bad date",IF(P151="","NAME NOT ON ROSTER",IF(L151="","OK",IF(MATCH(L151,$L$2:$L$3001,0)&lt;ROW()-1,"Duplicate (ignored)","OK"))))))))</f>
        <v/>
      </c>
      <c r="I151">
        <f>IF(OC_Date=0,"",IF(INDEX('OneCause_Paste'!$A$151:$AZ$151,1,OC_Date)="","",INDEX('OneCause_Paste'!$A$151:$AZ$151,1,OC_Date)))</f>
        <v/>
      </c>
      <c r="J151">
        <f>IF(OC_Amt=0,"",IF(INDEX('OneCause_Paste'!$A$151:$AZ$151,1,OC_Amt)="","",INDEX('OneCause_Paste'!$A$151:$AZ$151,1,OC_Amt)))</f>
        <v/>
      </c>
      <c r="K151">
        <f>IF(OC_Name=0,"",IF(INDEX('OneCause_Paste'!$A$151:$AZ$151,1,OC_Name)="","",INDEX('OneCause_Paste'!$A$151:$AZ$151,1,OC_Name)))</f>
        <v/>
      </c>
      <c r="L151">
        <f>IF(OC_Txn=0,"",IF(INDEX('OneCause_Paste'!$A$151:$AZ$151,1,OC_Txn)="","",INDEX('OneCause_Paste'!$A$151:$AZ$151,1,OC_Txn)))</f>
        <v/>
      </c>
      <c r="M151">
        <f>IF(OC_Pay=0,"",IF(INDEX('OneCause_Paste'!$A$151:$AZ$151,1,OC_Pay)="","",INDEX('OneCause_Paste'!$A$151:$AZ$151,1,OC_Pay)))</f>
        <v/>
      </c>
      <c r="N151">
        <f>IF(I151="","",IF(ISNUMBER(I151),INT(I151),IFERROR(INT(DATEVALUE(I151)),IFERROR(INT(VALUE(I151)),"bad"))))</f>
        <v/>
      </c>
      <c r="O151">
        <f>IF(J151="","",IF(ISNUMBER(J151),ROUND(J151,2),IFERROR(ROUND(VALUE(SUBSTITUTE(SUBSTITUTE(SUBSTITUTE(J151,"$",""),",","")," ","")),2),"bad")))</f>
        <v/>
      </c>
      <c r="P151">
        <f>IF(TRIM(K151)="","",IFERROR(MATCH(LOWER(TRIM(K151)),'Students'!$AH$2:$AH$701,0),IFERROR(MATCH(LOWER(TRIM(K151)),'Students'!$AF$2:$AF$701,0),IFERROR(MATCH(LOWER(TRIM(K151)),'Students'!$AG$2:$AG$701,0),""))))</f>
        <v/>
      </c>
      <c r="R151">
        <f>IF(P151="","",INDEX('Students'!$AD$2:$AD$701,P151))</f>
        <v/>
      </c>
      <c r="S151">
        <f>IF(H151="OK",O151,0)</f>
        <v/>
      </c>
      <c r="T151">
        <f>IF(H151="OK",N151,"")</f>
        <v/>
      </c>
      <c r="U151">
        <f>IF(OC_Donor=0,"",IF(INDEX('OneCause_Paste'!$A$151:$AZ$151,1,OC_Donor)="","",INDEX('OneCause_Paste'!$A$151:$AZ$151,1,OC_Donor)))</f>
        <v/>
      </c>
    </row>
    <row r="152">
      <c r="A152" s="62">
        <f>IF(H152="","",IF(ISNUMBER(N152),N152,I152))</f>
        <v/>
      </c>
      <c r="B152">
        <f>IF(H152="","",U152)</f>
        <v/>
      </c>
      <c r="C152">
        <f>IF(H152="","",IF(P152="",K152,INDEX('Students'!$A$2:$A$701,P152)))</f>
        <v/>
      </c>
      <c r="D152">
        <f>IF(OR(H152="",P152=""),"",INDEX('Students'!$B$2:$B$701,P152))</f>
        <v/>
      </c>
      <c r="E152">
        <f>IF(OR(H152="",P152=""),"",INDEX('Students'!$C$2:$C$701,P152))</f>
        <v/>
      </c>
      <c r="F152" s="48">
        <f>IF(H152="","",IF(ISNUMBER(O152),O152,J152))</f>
        <v/>
      </c>
      <c r="G152">
        <f>IF(H152="","","OneCause")</f>
        <v/>
      </c>
      <c r="H152">
        <f>IF(AND(I152="",J152="",K152=""),"",IF(NOT(ISNUMBER(O152)),"Bad amount",IF(O152&lt;0,"Refund (not counted)",IF(O152=0,"Zero amount",IF(NOT(ISNUMBER(N152)),"Bad date",IF(P152="","NAME NOT ON ROSTER",IF(L152="","OK",IF(MATCH(L152,$L$2:$L$3001,0)&lt;ROW()-1,"Duplicate (ignored)","OK"))))))))</f>
        <v/>
      </c>
      <c r="I152">
        <f>IF(OC_Date=0,"",IF(INDEX('OneCause_Paste'!$A$152:$AZ$152,1,OC_Date)="","",INDEX('OneCause_Paste'!$A$152:$AZ$152,1,OC_Date)))</f>
        <v/>
      </c>
      <c r="J152">
        <f>IF(OC_Amt=0,"",IF(INDEX('OneCause_Paste'!$A$152:$AZ$152,1,OC_Amt)="","",INDEX('OneCause_Paste'!$A$152:$AZ$152,1,OC_Amt)))</f>
        <v/>
      </c>
      <c r="K152">
        <f>IF(OC_Name=0,"",IF(INDEX('OneCause_Paste'!$A$152:$AZ$152,1,OC_Name)="","",INDEX('OneCause_Paste'!$A$152:$AZ$152,1,OC_Name)))</f>
        <v/>
      </c>
      <c r="L152">
        <f>IF(OC_Txn=0,"",IF(INDEX('OneCause_Paste'!$A$152:$AZ$152,1,OC_Txn)="","",INDEX('OneCause_Paste'!$A$152:$AZ$152,1,OC_Txn)))</f>
        <v/>
      </c>
      <c r="M152">
        <f>IF(OC_Pay=0,"",IF(INDEX('OneCause_Paste'!$A$152:$AZ$152,1,OC_Pay)="","",INDEX('OneCause_Paste'!$A$152:$AZ$152,1,OC_Pay)))</f>
        <v/>
      </c>
      <c r="N152">
        <f>IF(I152="","",IF(ISNUMBER(I152),INT(I152),IFERROR(INT(DATEVALUE(I152)),IFERROR(INT(VALUE(I152)),"bad"))))</f>
        <v/>
      </c>
      <c r="O152">
        <f>IF(J152="","",IF(ISNUMBER(J152),ROUND(J152,2),IFERROR(ROUND(VALUE(SUBSTITUTE(SUBSTITUTE(SUBSTITUTE(J152,"$",""),",","")," ","")),2),"bad")))</f>
        <v/>
      </c>
      <c r="P152">
        <f>IF(TRIM(K152)="","",IFERROR(MATCH(LOWER(TRIM(K152)),'Students'!$AH$2:$AH$701,0),IFERROR(MATCH(LOWER(TRIM(K152)),'Students'!$AF$2:$AF$701,0),IFERROR(MATCH(LOWER(TRIM(K152)),'Students'!$AG$2:$AG$701,0),""))))</f>
        <v/>
      </c>
      <c r="R152">
        <f>IF(P152="","",INDEX('Students'!$AD$2:$AD$701,P152))</f>
        <v/>
      </c>
      <c r="S152">
        <f>IF(H152="OK",O152,0)</f>
        <v/>
      </c>
      <c r="T152">
        <f>IF(H152="OK",N152,"")</f>
        <v/>
      </c>
      <c r="U152">
        <f>IF(OC_Donor=0,"",IF(INDEX('OneCause_Paste'!$A$152:$AZ$152,1,OC_Donor)="","",INDEX('OneCause_Paste'!$A$152:$AZ$152,1,OC_Donor)))</f>
        <v/>
      </c>
    </row>
    <row r="153">
      <c r="A153" s="62">
        <f>IF(H153="","",IF(ISNUMBER(N153),N153,I153))</f>
        <v/>
      </c>
      <c r="B153">
        <f>IF(H153="","",U153)</f>
        <v/>
      </c>
      <c r="C153">
        <f>IF(H153="","",IF(P153="",K153,INDEX('Students'!$A$2:$A$701,P153)))</f>
        <v/>
      </c>
      <c r="D153">
        <f>IF(OR(H153="",P153=""),"",INDEX('Students'!$B$2:$B$701,P153))</f>
        <v/>
      </c>
      <c r="E153">
        <f>IF(OR(H153="",P153=""),"",INDEX('Students'!$C$2:$C$701,P153))</f>
        <v/>
      </c>
      <c r="F153" s="48">
        <f>IF(H153="","",IF(ISNUMBER(O153),O153,J153))</f>
        <v/>
      </c>
      <c r="G153">
        <f>IF(H153="","","OneCause")</f>
        <v/>
      </c>
      <c r="H153">
        <f>IF(AND(I153="",J153="",K153=""),"",IF(NOT(ISNUMBER(O153)),"Bad amount",IF(O153&lt;0,"Refund (not counted)",IF(O153=0,"Zero amount",IF(NOT(ISNUMBER(N153)),"Bad date",IF(P153="","NAME NOT ON ROSTER",IF(L153="","OK",IF(MATCH(L153,$L$2:$L$3001,0)&lt;ROW()-1,"Duplicate (ignored)","OK"))))))))</f>
        <v/>
      </c>
      <c r="I153">
        <f>IF(OC_Date=0,"",IF(INDEX('OneCause_Paste'!$A$153:$AZ$153,1,OC_Date)="","",INDEX('OneCause_Paste'!$A$153:$AZ$153,1,OC_Date)))</f>
        <v/>
      </c>
      <c r="J153">
        <f>IF(OC_Amt=0,"",IF(INDEX('OneCause_Paste'!$A$153:$AZ$153,1,OC_Amt)="","",INDEX('OneCause_Paste'!$A$153:$AZ$153,1,OC_Amt)))</f>
        <v/>
      </c>
      <c r="K153">
        <f>IF(OC_Name=0,"",IF(INDEX('OneCause_Paste'!$A$153:$AZ$153,1,OC_Name)="","",INDEX('OneCause_Paste'!$A$153:$AZ$153,1,OC_Name)))</f>
        <v/>
      </c>
      <c r="L153">
        <f>IF(OC_Txn=0,"",IF(INDEX('OneCause_Paste'!$A$153:$AZ$153,1,OC_Txn)="","",INDEX('OneCause_Paste'!$A$153:$AZ$153,1,OC_Txn)))</f>
        <v/>
      </c>
      <c r="M153">
        <f>IF(OC_Pay=0,"",IF(INDEX('OneCause_Paste'!$A$153:$AZ$153,1,OC_Pay)="","",INDEX('OneCause_Paste'!$A$153:$AZ$153,1,OC_Pay)))</f>
        <v/>
      </c>
      <c r="N153">
        <f>IF(I153="","",IF(ISNUMBER(I153),INT(I153),IFERROR(INT(DATEVALUE(I153)),IFERROR(INT(VALUE(I153)),"bad"))))</f>
        <v/>
      </c>
      <c r="O153">
        <f>IF(J153="","",IF(ISNUMBER(J153),ROUND(J153,2),IFERROR(ROUND(VALUE(SUBSTITUTE(SUBSTITUTE(SUBSTITUTE(J153,"$",""),",","")," ","")),2),"bad")))</f>
        <v/>
      </c>
      <c r="P153">
        <f>IF(TRIM(K153)="","",IFERROR(MATCH(LOWER(TRIM(K153)),'Students'!$AH$2:$AH$701,0),IFERROR(MATCH(LOWER(TRIM(K153)),'Students'!$AF$2:$AF$701,0),IFERROR(MATCH(LOWER(TRIM(K153)),'Students'!$AG$2:$AG$701,0),""))))</f>
        <v/>
      </c>
      <c r="R153">
        <f>IF(P153="","",INDEX('Students'!$AD$2:$AD$701,P153))</f>
        <v/>
      </c>
      <c r="S153">
        <f>IF(H153="OK",O153,0)</f>
        <v/>
      </c>
      <c r="T153">
        <f>IF(H153="OK",N153,"")</f>
        <v/>
      </c>
      <c r="U153">
        <f>IF(OC_Donor=0,"",IF(INDEX('OneCause_Paste'!$A$153:$AZ$153,1,OC_Donor)="","",INDEX('OneCause_Paste'!$A$153:$AZ$153,1,OC_Donor)))</f>
        <v/>
      </c>
    </row>
    <row r="154">
      <c r="A154" s="62">
        <f>IF(H154="","",IF(ISNUMBER(N154),N154,I154))</f>
        <v/>
      </c>
      <c r="B154">
        <f>IF(H154="","",U154)</f>
        <v/>
      </c>
      <c r="C154">
        <f>IF(H154="","",IF(P154="",K154,INDEX('Students'!$A$2:$A$701,P154)))</f>
        <v/>
      </c>
      <c r="D154">
        <f>IF(OR(H154="",P154=""),"",INDEX('Students'!$B$2:$B$701,P154))</f>
        <v/>
      </c>
      <c r="E154">
        <f>IF(OR(H154="",P154=""),"",INDEX('Students'!$C$2:$C$701,P154))</f>
        <v/>
      </c>
      <c r="F154" s="48">
        <f>IF(H154="","",IF(ISNUMBER(O154),O154,J154))</f>
        <v/>
      </c>
      <c r="G154">
        <f>IF(H154="","","OneCause")</f>
        <v/>
      </c>
      <c r="H154">
        <f>IF(AND(I154="",J154="",K154=""),"",IF(NOT(ISNUMBER(O154)),"Bad amount",IF(O154&lt;0,"Refund (not counted)",IF(O154=0,"Zero amount",IF(NOT(ISNUMBER(N154)),"Bad date",IF(P154="","NAME NOT ON ROSTER",IF(L154="","OK",IF(MATCH(L154,$L$2:$L$3001,0)&lt;ROW()-1,"Duplicate (ignored)","OK"))))))))</f>
        <v/>
      </c>
      <c r="I154">
        <f>IF(OC_Date=0,"",IF(INDEX('OneCause_Paste'!$A$154:$AZ$154,1,OC_Date)="","",INDEX('OneCause_Paste'!$A$154:$AZ$154,1,OC_Date)))</f>
        <v/>
      </c>
      <c r="J154">
        <f>IF(OC_Amt=0,"",IF(INDEX('OneCause_Paste'!$A$154:$AZ$154,1,OC_Amt)="","",INDEX('OneCause_Paste'!$A$154:$AZ$154,1,OC_Amt)))</f>
        <v/>
      </c>
      <c r="K154">
        <f>IF(OC_Name=0,"",IF(INDEX('OneCause_Paste'!$A$154:$AZ$154,1,OC_Name)="","",INDEX('OneCause_Paste'!$A$154:$AZ$154,1,OC_Name)))</f>
        <v/>
      </c>
      <c r="L154">
        <f>IF(OC_Txn=0,"",IF(INDEX('OneCause_Paste'!$A$154:$AZ$154,1,OC_Txn)="","",INDEX('OneCause_Paste'!$A$154:$AZ$154,1,OC_Txn)))</f>
        <v/>
      </c>
      <c r="M154">
        <f>IF(OC_Pay=0,"",IF(INDEX('OneCause_Paste'!$A$154:$AZ$154,1,OC_Pay)="","",INDEX('OneCause_Paste'!$A$154:$AZ$154,1,OC_Pay)))</f>
        <v/>
      </c>
      <c r="N154">
        <f>IF(I154="","",IF(ISNUMBER(I154),INT(I154),IFERROR(INT(DATEVALUE(I154)),IFERROR(INT(VALUE(I154)),"bad"))))</f>
        <v/>
      </c>
      <c r="O154">
        <f>IF(J154="","",IF(ISNUMBER(J154),ROUND(J154,2),IFERROR(ROUND(VALUE(SUBSTITUTE(SUBSTITUTE(SUBSTITUTE(J154,"$",""),",","")," ","")),2),"bad")))</f>
        <v/>
      </c>
      <c r="P154">
        <f>IF(TRIM(K154)="","",IFERROR(MATCH(LOWER(TRIM(K154)),'Students'!$AH$2:$AH$701,0),IFERROR(MATCH(LOWER(TRIM(K154)),'Students'!$AF$2:$AF$701,0),IFERROR(MATCH(LOWER(TRIM(K154)),'Students'!$AG$2:$AG$701,0),""))))</f>
        <v/>
      </c>
      <c r="R154">
        <f>IF(P154="","",INDEX('Students'!$AD$2:$AD$701,P154))</f>
        <v/>
      </c>
      <c r="S154">
        <f>IF(H154="OK",O154,0)</f>
        <v/>
      </c>
      <c r="T154">
        <f>IF(H154="OK",N154,"")</f>
        <v/>
      </c>
      <c r="U154">
        <f>IF(OC_Donor=0,"",IF(INDEX('OneCause_Paste'!$A$154:$AZ$154,1,OC_Donor)="","",INDEX('OneCause_Paste'!$A$154:$AZ$154,1,OC_Donor)))</f>
        <v/>
      </c>
    </row>
    <row r="155">
      <c r="A155" s="62">
        <f>IF(H155="","",IF(ISNUMBER(N155),N155,I155))</f>
        <v/>
      </c>
      <c r="B155">
        <f>IF(H155="","",U155)</f>
        <v/>
      </c>
      <c r="C155">
        <f>IF(H155="","",IF(P155="",K155,INDEX('Students'!$A$2:$A$701,P155)))</f>
        <v/>
      </c>
      <c r="D155">
        <f>IF(OR(H155="",P155=""),"",INDEX('Students'!$B$2:$B$701,P155))</f>
        <v/>
      </c>
      <c r="E155">
        <f>IF(OR(H155="",P155=""),"",INDEX('Students'!$C$2:$C$701,P155))</f>
        <v/>
      </c>
      <c r="F155" s="48">
        <f>IF(H155="","",IF(ISNUMBER(O155),O155,J155))</f>
        <v/>
      </c>
      <c r="G155">
        <f>IF(H155="","","OneCause")</f>
        <v/>
      </c>
      <c r="H155">
        <f>IF(AND(I155="",J155="",K155=""),"",IF(NOT(ISNUMBER(O155)),"Bad amount",IF(O155&lt;0,"Refund (not counted)",IF(O155=0,"Zero amount",IF(NOT(ISNUMBER(N155)),"Bad date",IF(P155="","NAME NOT ON ROSTER",IF(L155="","OK",IF(MATCH(L155,$L$2:$L$3001,0)&lt;ROW()-1,"Duplicate (ignored)","OK"))))))))</f>
        <v/>
      </c>
      <c r="I155">
        <f>IF(OC_Date=0,"",IF(INDEX('OneCause_Paste'!$A$155:$AZ$155,1,OC_Date)="","",INDEX('OneCause_Paste'!$A$155:$AZ$155,1,OC_Date)))</f>
        <v/>
      </c>
      <c r="J155">
        <f>IF(OC_Amt=0,"",IF(INDEX('OneCause_Paste'!$A$155:$AZ$155,1,OC_Amt)="","",INDEX('OneCause_Paste'!$A$155:$AZ$155,1,OC_Amt)))</f>
        <v/>
      </c>
      <c r="K155">
        <f>IF(OC_Name=0,"",IF(INDEX('OneCause_Paste'!$A$155:$AZ$155,1,OC_Name)="","",INDEX('OneCause_Paste'!$A$155:$AZ$155,1,OC_Name)))</f>
        <v/>
      </c>
      <c r="L155">
        <f>IF(OC_Txn=0,"",IF(INDEX('OneCause_Paste'!$A$155:$AZ$155,1,OC_Txn)="","",INDEX('OneCause_Paste'!$A$155:$AZ$155,1,OC_Txn)))</f>
        <v/>
      </c>
      <c r="M155">
        <f>IF(OC_Pay=0,"",IF(INDEX('OneCause_Paste'!$A$155:$AZ$155,1,OC_Pay)="","",INDEX('OneCause_Paste'!$A$155:$AZ$155,1,OC_Pay)))</f>
        <v/>
      </c>
      <c r="N155">
        <f>IF(I155="","",IF(ISNUMBER(I155),INT(I155),IFERROR(INT(DATEVALUE(I155)),IFERROR(INT(VALUE(I155)),"bad"))))</f>
        <v/>
      </c>
      <c r="O155">
        <f>IF(J155="","",IF(ISNUMBER(J155),ROUND(J155,2),IFERROR(ROUND(VALUE(SUBSTITUTE(SUBSTITUTE(SUBSTITUTE(J155,"$",""),",","")," ","")),2),"bad")))</f>
        <v/>
      </c>
      <c r="P155">
        <f>IF(TRIM(K155)="","",IFERROR(MATCH(LOWER(TRIM(K155)),'Students'!$AH$2:$AH$701,0),IFERROR(MATCH(LOWER(TRIM(K155)),'Students'!$AF$2:$AF$701,0),IFERROR(MATCH(LOWER(TRIM(K155)),'Students'!$AG$2:$AG$701,0),""))))</f>
        <v/>
      </c>
      <c r="R155">
        <f>IF(P155="","",INDEX('Students'!$AD$2:$AD$701,P155))</f>
        <v/>
      </c>
      <c r="S155">
        <f>IF(H155="OK",O155,0)</f>
        <v/>
      </c>
      <c r="T155">
        <f>IF(H155="OK",N155,"")</f>
        <v/>
      </c>
      <c r="U155">
        <f>IF(OC_Donor=0,"",IF(INDEX('OneCause_Paste'!$A$155:$AZ$155,1,OC_Donor)="","",INDEX('OneCause_Paste'!$A$155:$AZ$155,1,OC_Donor)))</f>
        <v/>
      </c>
    </row>
    <row r="156">
      <c r="A156" s="62">
        <f>IF(H156="","",IF(ISNUMBER(N156),N156,I156))</f>
        <v/>
      </c>
      <c r="B156">
        <f>IF(H156="","",U156)</f>
        <v/>
      </c>
      <c r="C156">
        <f>IF(H156="","",IF(P156="",K156,INDEX('Students'!$A$2:$A$701,P156)))</f>
        <v/>
      </c>
      <c r="D156">
        <f>IF(OR(H156="",P156=""),"",INDEX('Students'!$B$2:$B$701,P156))</f>
        <v/>
      </c>
      <c r="E156">
        <f>IF(OR(H156="",P156=""),"",INDEX('Students'!$C$2:$C$701,P156))</f>
        <v/>
      </c>
      <c r="F156" s="48">
        <f>IF(H156="","",IF(ISNUMBER(O156),O156,J156))</f>
        <v/>
      </c>
      <c r="G156">
        <f>IF(H156="","","OneCause")</f>
        <v/>
      </c>
      <c r="H156">
        <f>IF(AND(I156="",J156="",K156=""),"",IF(NOT(ISNUMBER(O156)),"Bad amount",IF(O156&lt;0,"Refund (not counted)",IF(O156=0,"Zero amount",IF(NOT(ISNUMBER(N156)),"Bad date",IF(P156="","NAME NOT ON ROSTER",IF(L156="","OK",IF(MATCH(L156,$L$2:$L$3001,0)&lt;ROW()-1,"Duplicate (ignored)","OK"))))))))</f>
        <v/>
      </c>
      <c r="I156">
        <f>IF(OC_Date=0,"",IF(INDEX('OneCause_Paste'!$A$156:$AZ$156,1,OC_Date)="","",INDEX('OneCause_Paste'!$A$156:$AZ$156,1,OC_Date)))</f>
        <v/>
      </c>
      <c r="J156">
        <f>IF(OC_Amt=0,"",IF(INDEX('OneCause_Paste'!$A$156:$AZ$156,1,OC_Amt)="","",INDEX('OneCause_Paste'!$A$156:$AZ$156,1,OC_Amt)))</f>
        <v/>
      </c>
      <c r="K156">
        <f>IF(OC_Name=0,"",IF(INDEX('OneCause_Paste'!$A$156:$AZ$156,1,OC_Name)="","",INDEX('OneCause_Paste'!$A$156:$AZ$156,1,OC_Name)))</f>
        <v/>
      </c>
      <c r="L156">
        <f>IF(OC_Txn=0,"",IF(INDEX('OneCause_Paste'!$A$156:$AZ$156,1,OC_Txn)="","",INDEX('OneCause_Paste'!$A$156:$AZ$156,1,OC_Txn)))</f>
        <v/>
      </c>
      <c r="M156">
        <f>IF(OC_Pay=0,"",IF(INDEX('OneCause_Paste'!$A$156:$AZ$156,1,OC_Pay)="","",INDEX('OneCause_Paste'!$A$156:$AZ$156,1,OC_Pay)))</f>
        <v/>
      </c>
      <c r="N156">
        <f>IF(I156="","",IF(ISNUMBER(I156),INT(I156),IFERROR(INT(DATEVALUE(I156)),IFERROR(INT(VALUE(I156)),"bad"))))</f>
        <v/>
      </c>
      <c r="O156">
        <f>IF(J156="","",IF(ISNUMBER(J156),ROUND(J156,2),IFERROR(ROUND(VALUE(SUBSTITUTE(SUBSTITUTE(SUBSTITUTE(J156,"$",""),",","")," ","")),2),"bad")))</f>
        <v/>
      </c>
      <c r="P156">
        <f>IF(TRIM(K156)="","",IFERROR(MATCH(LOWER(TRIM(K156)),'Students'!$AH$2:$AH$701,0),IFERROR(MATCH(LOWER(TRIM(K156)),'Students'!$AF$2:$AF$701,0),IFERROR(MATCH(LOWER(TRIM(K156)),'Students'!$AG$2:$AG$701,0),""))))</f>
        <v/>
      </c>
      <c r="R156">
        <f>IF(P156="","",INDEX('Students'!$AD$2:$AD$701,P156))</f>
        <v/>
      </c>
      <c r="S156">
        <f>IF(H156="OK",O156,0)</f>
        <v/>
      </c>
      <c r="T156">
        <f>IF(H156="OK",N156,"")</f>
        <v/>
      </c>
      <c r="U156">
        <f>IF(OC_Donor=0,"",IF(INDEX('OneCause_Paste'!$A$156:$AZ$156,1,OC_Donor)="","",INDEX('OneCause_Paste'!$A$156:$AZ$156,1,OC_Donor)))</f>
        <v/>
      </c>
    </row>
    <row r="157">
      <c r="A157" s="62">
        <f>IF(H157="","",IF(ISNUMBER(N157),N157,I157))</f>
        <v/>
      </c>
      <c r="B157">
        <f>IF(H157="","",U157)</f>
        <v/>
      </c>
      <c r="C157">
        <f>IF(H157="","",IF(P157="",K157,INDEX('Students'!$A$2:$A$701,P157)))</f>
        <v/>
      </c>
      <c r="D157">
        <f>IF(OR(H157="",P157=""),"",INDEX('Students'!$B$2:$B$701,P157))</f>
        <v/>
      </c>
      <c r="E157">
        <f>IF(OR(H157="",P157=""),"",INDEX('Students'!$C$2:$C$701,P157))</f>
        <v/>
      </c>
      <c r="F157" s="48">
        <f>IF(H157="","",IF(ISNUMBER(O157),O157,J157))</f>
        <v/>
      </c>
      <c r="G157">
        <f>IF(H157="","","OneCause")</f>
        <v/>
      </c>
      <c r="H157">
        <f>IF(AND(I157="",J157="",K157=""),"",IF(NOT(ISNUMBER(O157)),"Bad amount",IF(O157&lt;0,"Refund (not counted)",IF(O157=0,"Zero amount",IF(NOT(ISNUMBER(N157)),"Bad date",IF(P157="","NAME NOT ON ROSTER",IF(L157="","OK",IF(MATCH(L157,$L$2:$L$3001,0)&lt;ROW()-1,"Duplicate (ignored)","OK"))))))))</f>
        <v/>
      </c>
      <c r="I157">
        <f>IF(OC_Date=0,"",IF(INDEX('OneCause_Paste'!$A$157:$AZ$157,1,OC_Date)="","",INDEX('OneCause_Paste'!$A$157:$AZ$157,1,OC_Date)))</f>
        <v/>
      </c>
      <c r="J157">
        <f>IF(OC_Amt=0,"",IF(INDEX('OneCause_Paste'!$A$157:$AZ$157,1,OC_Amt)="","",INDEX('OneCause_Paste'!$A$157:$AZ$157,1,OC_Amt)))</f>
        <v/>
      </c>
      <c r="K157">
        <f>IF(OC_Name=0,"",IF(INDEX('OneCause_Paste'!$A$157:$AZ$157,1,OC_Name)="","",INDEX('OneCause_Paste'!$A$157:$AZ$157,1,OC_Name)))</f>
        <v/>
      </c>
      <c r="L157">
        <f>IF(OC_Txn=0,"",IF(INDEX('OneCause_Paste'!$A$157:$AZ$157,1,OC_Txn)="","",INDEX('OneCause_Paste'!$A$157:$AZ$157,1,OC_Txn)))</f>
        <v/>
      </c>
      <c r="M157">
        <f>IF(OC_Pay=0,"",IF(INDEX('OneCause_Paste'!$A$157:$AZ$157,1,OC_Pay)="","",INDEX('OneCause_Paste'!$A$157:$AZ$157,1,OC_Pay)))</f>
        <v/>
      </c>
      <c r="N157">
        <f>IF(I157="","",IF(ISNUMBER(I157),INT(I157),IFERROR(INT(DATEVALUE(I157)),IFERROR(INT(VALUE(I157)),"bad"))))</f>
        <v/>
      </c>
      <c r="O157">
        <f>IF(J157="","",IF(ISNUMBER(J157),ROUND(J157,2),IFERROR(ROUND(VALUE(SUBSTITUTE(SUBSTITUTE(SUBSTITUTE(J157,"$",""),",","")," ","")),2),"bad")))</f>
        <v/>
      </c>
      <c r="P157">
        <f>IF(TRIM(K157)="","",IFERROR(MATCH(LOWER(TRIM(K157)),'Students'!$AH$2:$AH$701,0),IFERROR(MATCH(LOWER(TRIM(K157)),'Students'!$AF$2:$AF$701,0),IFERROR(MATCH(LOWER(TRIM(K157)),'Students'!$AG$2:$AG$701,0),""))))</f>
        <v/>
      </c>
      <c r="R157">
        <f>IF(P157="","",INDEX('Students'!$AD$2:$AD$701,P157))</f>
        <v/>
      </c>
      <c r="S157">
        <f>IF(H157="OK",O157,0)</f>
        <v/>
      </c>
      <c r="T157">
        <f>IF(H157="OK",N157,"")</f>
        <v/>
      </c>
      <c r="U157">
        <f>IF(OC_Donor=0,"",IF(INDEX('OneCause_Paste'!$A$157:$AZ$157,1,OC_Donor)="","",INDEX('OneCause_Paste'!$A$157:$AZ$157,1,OC_Donor)))</f>
        <v/>
      </c>
    </row>
    <row r="158">
      <c r="A158" s="62">
        <f>IF(H158="","",IF(ISNUMBER(N158),N158,I158))</f>
        <v/>
      </c>
      <c r="B158">
        <f>IF(H158="","",U158)</f>
        <v/>
      </c>
      <c r="C158">
        <f>IF(H158="","",IF(P158="",K158,INDEX('Students'!$A$2:$A$701,P158)))</f>
        <v/>
      </c>
      <c r="D158">
        <f>IF(OR(H158="",P158=""),"",INDEX('Students'!$B$2:$B$701,P158))</f>
        <v/>
      </c>
      <c r="E158">
        <f>IF(OR(H158="",P158=""),"",INDEX('Students'!$C$2:$C$701,P158))</f>
        <v/>
      </c>
      <c r="F158" s="48">
        <f>IF(H158="","",IF(ISNUMBER(O158),O158,J158))</f>
        <v/>
      </c>
      <c r="G158">
        <f>IF(H158="","","OneCause")</f>
        <v/>
      </c>
      <c r="H158">
        <f>IF(AND(I158="",J158="",K158=""),"",IF(NOT(ISNUMBER(O158)),"Bad amount",IF(O158&lt;0,"Refund (not counted)",IF(O158=0,"Zero amount",IF(NOT(ISNUMBER(N158)),"Bad date",IF(P158="","NAME NOT ON ROSTER",IF(L158="","OK",IF(MATCH(L158,$L$2:$L$3001,0)&lt;ROW()-1,"Duplicate (ignored)","OK"))))))))</f>
        <v/>
      </c>
      <c r="I158">
        <f>IF(OC_Date=0,"",IF(INDEX('OneCause_Paste'!$A$158:$AZ$158,1,OC_Date)="","",INDEX('OneCause_Paste'!$A$158:$AZ$158,1,OC_Date)))</f>
        <v/>
      </c>
      <c r="J158">
        <f>IF(OC_Amt=0,"",IF(INDEX('OneCause_Paste'!$A$158:$AZ$158,1,OC_Amt)="","",INDEX('OneCause_Paste'!$A$158:$AZ$158,1,OC_Amt)))</f>
        <v/>
      </c>
      <c r="K158">
        <f>IF(OC_Name=0,"",IF(INDEX('OneCause_Paste'!$A$158:$AZ$158,1,OC_Name)="","",INDEX('OneCause_Paste'!$A$158:$AZ$158,1,OC_Name)))</f>
        <v/>
      </c>
      <c r="L158">
        <f>IF(OC_Txn=0,"",IF(INDEX('OneCause_Paste'!$A$158:$AZ$158,1,OC_Txn)="","",INDEX('OneCause_Paste'!$A$158:$AZ$158,1,OC_Txn)))</f>
        <v/>
      </c>
      <c r="M158">
        <f>IF(OC_Pay=0,"",IF(INDEX('OneCause_Paste'!$A$158:$AZ$158,1,OC_Pay)="","",INDEX('OneCause_Paste'!$A$158:$AZ$158,1,OC_Pay)))</f>
        <v/>
      </c>
      <c r="N158">
        <f>IF(I158="","",IF(ISNUMBER(I158),INT(I158),IFERROR(INT(DATEVALUE(I158)),IFERROR(INT(VALUE(I158)),"bad"))))</f>
        <v/>
      </c>
      <c r="O158">
        <f>IF(J158="","",IF(ISNUMBER(J158),ROUND(J158,2),IFERROR(ROUND(VALUE(SUBSTITUTE(SUBSTITUTE(SUBSTITUTE(J158,"$",""),",","")," ","")),2),"bad")))</f>
        <v/>
      </c>
      <c r="P158">
        <f>IF(TRIM(K158)="","",IFERROR(MATCH(LOWER(TRIM(K158)),'Students'!$AH$2:$AH$701,0),IFERROR(MATCH(LOWER(TRIM(K158)),'Students'!$AF$2:$AF$701,0),IFERROR(MATCH(LOWER(TRIM(K158)),'Students'!$AG$2:$AG$701,0),""))))</f>
        <v/>
      </c>
      <c r="R158">
        <f>IF(P158="","",INDEX('Students'!$AD$2:$AD$701,P158))</f>
        <v/>
      </c>
      <c r="S158">
        <f>IF(H158="OK",O158,0)</f>
        <v/>
      </c>
      <c r="T158">
        <f>IF(H158="OK",N158,"")</f>
        <v/>
      </c>
      <c r="U158">
        <f>IF(OC_Donor=0,"",IF(INDEX('OneCause_Paste'!$A$158:$AZ$158,1,OC_Donor)="","",INDEX('OneCause_Paste'!$A$158:$AZ$158,1,OC_Donor)))</f>
        <v/>
      </c>
    </row>
    <row r="159">
      <c r="A159" s="62">
        <f>IF(H159="","",IF(ISNUMBER(N159),N159,I159))</f>
        <v/>
      </c>
      <c r="B159">
        <f>IF(H159="","",U159)</f>
        <v/>
      </c>
      <c r="C159">
        <f>IF(H159="","",IF(P159="",K159,INDEX('Students'!$A$2:$A$701,P159)))</f>
        <v/>
      </c>
      <c r="D159">
        <f>IF(OR(H159="",P159=""),"",INDEX('Students'!$B$2:$B$701,P159))</f>
        <v/>
      </c>
      <c r="E159">
        <f>IF(OR(H159="",P159=""),"",INDEX('Students'!$C$2:$C$701,P159))</f>
        <v/>
      </c>
      <c r="F159" s="48">
        <f>IF(H159="","",IF(ISNUMBER(O159),O159,J159))</f>
        <v/>
      </c>
      <c r="G159">
        <f>IF(H159="","","OneCause")</f>
        <v/>
      </c>
      <c r="H159">
        <f>IF(AND(I159="",J159="",K159=""),"",IF(NOT(ISNUMBER(O159)),"Bad amount",IF(O159&lt;0,"Refund (not counted)",IF(O159=0,"Zero amount",IF(NOT(ISNUMBER(N159)),"Bad date",IF(P159="","NAME NOT ON ROSTER",IF(L159="","OK",IF(MATCH(L159,$L$2:$L$3001,0)&lt;ROW()-1,"Duplicate (ignored)","OK"))))))))</f>
        <v/>
      </c>
      <c r="I159">
        <f>IF(OC_Date=0,"",IF(INDEX('OneCause_Paste'!$A$159:$AZ$159,1,OC_Date)="","",INDEX('OneCause_Paste'!$A$159:$AZ$159,1,OC_Date)))</f>
        <v/>
      </c>
      <c r="J159">
        <f>IF(OC_Amt=0,"",IF(INDEX('OneCause_Paste'!$A$159:$AZ$159,1,OC_Amt)="","",INDEX('OneCause_Paste'!$A$159:$AZ$159,1,OC_Amt)))</f>
        <v/>
      </c>
      <c r="K159">
        <f>IF(OC_Name=0,"",IF(INDEX('OneCause_Paste'!$A$159:$AZ$159,1,OC_Name)="","",INDEX('OneCause_Paste'!$A$159:$AZ$159,1,OC_Name)))</f>
        <v/>
      </c>
      <c r="L159">
        <f>IF(OC_Txn=0,"",IF(INDEX('OneCause_Paste'!$A$159:$AZ$159,1,OC_Txn)="","",INDEX('OneCause_Paste'!$A$159:$AZ$159,1,OC_Txn)))</f>
        <v/>
      </c>
      <c r="M159">
        <f>IF(OC_Pay=0,"",IF(INDEX('OneCause_Paste'!$A$159:$AZ$159,1,OC_Pay)="","",INDEX('OneCause_Paste'!$A$159:$AZ$159,1,OC_Pay)))</f>
        <v/>
      </c>
      <c r="N159">
        <f>IF(I159="","",IF(ISNUMBER(I159),INT(I159),IFERROR(INT(DATEVALUE(I159)),IFERROR(INT(VALUE(I159)),"bad"))))</f>
        <v/>
      </c>
      <c r="O159">
        <f>IF(J159="","",IF(ISNUMBER(J159),ROUND(J159,2),IFERROR(ROUND(VALUE(SUBSTITUTE(SUBSTITUTE(SUBSTITUTE(J159,"$",""),",","")," ","")),2),"bad")))</f>
        <v/>
      </c>
      <c r="P159">
        <f>IF(TRIM(K159)="","",IFERROR(MATCH(LOWER(TRIM(K159)),'Students'!$AH$2:$AH$701,0),IFERROR(MATCH(LOWER(TRIM(K159)),'Students'!$AF$2:$AF$701,0),IFERROR(MATCH(LOWER(TRIM(K159)),'Students'!$AG$2:$AG$701,0),""))))</f>
        <v/>
      </c>
      <c r="R159">
        <f>IF(P159="","",INDEX('Students'!$AD$2:$AD$701,P159))</f>
        <v/>
      </c>
      <c r="S159">
        <f>IF(H159="OK",O159,0)</f>
        <v/>
      </c>
      <c r="T159">
        <f>IF(H159="OK",N159,"")</f>
        <v/>
      </c>
      <c r="U159">
        <f>IF(OC_Donor=0,"",IF(INDEX('OneCause_Paste'!$A$159:$AZ$159,1,OC_Donor)="","",INDEX('OneCause_Paste'!$A$159:$AZ$159,1,OC_Donor)))</f>
        <v/>
      </c>
    </row>
    <row r="160">
      <c r="A160" s="62">
        <f>IF(H160="","",IF(ISNUMBER(N160),N160,I160))</f>
        <v/>
      </c>
      <c r="B160">
        <f>IF(H160="","",U160)</f>
        <v/>
      </c>
      <c r="C160">
        <f>IF(H160="","",IF(P160="",K160,INDEX('Students'!$A$2:$A$701,P160)))</f>
        <v/>
      </c>
      <c r="D160">
        <f>IF(OR(H160="",P160=""),"",INDEX('Students'!$B$2:$B$701,P160))</f>
        <v/>
      </c>
      <c r="E160">
        <f>IF(OR(H160="",P160=""),"",INDEX('Students'!$C$2:$C$701,P160))</f>
        <v/>
      </c>
      <c r="F160" s="48">
        <f>IF(H160="","",IF(ISNUMBER(O160),O160,J160))</f>
        <v/>
      </c>
      <c r="G160">
        <f>IF(H160="","","OneCause")</f>
        <v/>
      </c>
      <c r="H160">
        <f>IF(AND(I160="",J160="",K160=""),"",IF(NOT(ISNUMBER(O160)),"Bad amount",IF(O160&lt;0,"Refund (not counted)",IF(O160=0,"Zero amount",IF(NOT(ISNUMBER(N160)),"Bad date",IF(P160="","NAME NOT ON ROSTER",IF(L160="","OK",IF(MATCH(L160,$L$2:$L$3001,0)&lt;ROW()-1,"Duplicate (ignored)","OK"))))))))</f>
        <v/>
      </c>
      <c r="I160">
        <f>IF(OC_Date=0,"",IF(INDEX('OneCause_Paste'!$A$160:$AZ$160,1,OC_Date)="","",INDEX('OneCause_Paste'!$A$160:$AZ$160,1,OC_Date)))</f>
        <v/>
      </c>
      <c r="J160">
        <f>IF(OC_Amt=0,"",IF(INDEX('OneCause_Paste'!$A$160:$AZ$160,1,OC_Amt)="","",INDEX('OneCause_Paste'!$A$160:$AZ$160,1,OC_Amt)))</f>
        <v/>
      </c>
      <c r="K160">
        <f>IF(OC_Name=0,"",IF(INDEX('OneCause_Paste'!$A$160:$AZ$160,1,OC_Name)="","",INDEX('OneCause_Paste'!$A$160:$AZ$160,1,OC_Name)))</f>
        <v/>
      </c>
      <c r="L160">
        <f>IF(OC_Txn=0,"",IF(INDEX('OneCause_Paste'!$A$160:$AZ$160,1,OC_Txn)="","",INDEX('OneCause_Paste'!$A$160:$AZ$160,1,OC_Txn)))</f>
        <v/>
      </c>
      <c r="M160">
        <f>IF(OC_Pay=0,"",IF(INDEX('OneCause_Paste'!$A$160:$AZ$160,1,OC_Pay)="","",INDEX('OneCause_Paste'!$A$160:$AZ$160,1,OC_Pay)))</f>
        <v/>
      </c>
      <c r="N160">
        <f>IF(I160="","",IF(ISNUMBER(I160),INT(I160),IFERROR(INT(DATEVALUE(I160)),IFERROR(INT(VALUE(I160)),"bad"))))</f>
        <v/>
      </c>
      <c r="O160">
        <f>IF(J160="","",IF(ISNUMBER(J160),ROUND(J160,2),IFERROR(ROUND(VALUE(SUBSTITUTE(SUBSTITUTE(SUBSTITUTE(J160,"$",""),",","")," ","")),2),"bad")))</f>
        <v/>
      </c>
      <c r="P160">
        <f>IF(TRIM(K160)="","",IFERROR(MATCH(LOWER(TRIM(K160)),'Students'!$AH$2:$AH$701,0),IFERROR(MATCH(LOWER(TRIM(K160)),'Students'!$AF$2:$AF$701,0),IFERROR(MATCH(LOWER(TRIM(K160)),'Students'!$AG$2:$AG$701,0),""))))</f>
        <v/>
      </c>
      <c r="R160">
        <f>IF(P160="","",INDEX('Students'!$AD$2:$AD$701,P160))</f>
        <v/>
      </c>
      <c r="S160">
        <f>IF(H160="OK",O160,0)</f>
        <v/>
      </c>
      <c r="T160">
        <f>IF(H160="OK",N160,"")</f>
        <v/>
      </c>
      <c r="U160">
        <f>IF(OC_Donor=0,"",IF(INDEX('OneCause_Paste'!$A$160:$AZ$160,1,OC_Donor)="","",INDEX('OneCause_Paste'!$A$160:$AZ$160,1,OC_Donor)))</f>
        <v/>
      </c>
    </row>
    <row r="161">
      <c r="A161" s="62">
        <f>IF(H161="","",IF(ISNUMBER(N161),N161,I161))</f>
        <v/>
      </c>
      <c r="B161">
        <f>IF(H161="","",U161)</f>
        <v/>
      </c>
      <c r="C161">
        <f>IF(H161="","",IF(P161="",K161,INDEX('Students'!$A$2:$A$701,P161)))</f>
        <v/>
      </c>
      <c r="D161">
        <f>IF(OR(H161="",P161=""),"",INDEX('Students'!$B$2:$B$701,P161))</f>
        <v/>
      </c>
      <c r="E161">
        <f>IF(OR(H161="",P161=""),"",INDEX('Students'!$C$2:$C$701,P161))</f>
        <v/>
      </c>
      <c r="F161" s="48">
        <f>IF(H161="","",IF(ISNUMBER(O161),O161,J161))</f>
        <v/>
      </c>
      <c r="G161">
        <f>IF(H161="","","OneCause")</f>
        <v/>
      </c>
      <c r="H161">
        <f>IF(AND(I161="",J161="",K161=""),"",IF(NOT(ISNUMBER(O161)),"Bad amount",IF(O161&lt;0,"Refund (not counted)",IF(O161=0,"Zero amount",IF(NOT(ISNUMBER(N161)),"Bad date",IF(P161="","NAME NOT ON ROSTER",IF(L161="","OK",IF(MATCH(L161,$L$2:$L$3001,0)&lt;ROW()-1,"Duplicate (ignored)","OK"))))))))</f>
        <v/>
      </c>
      <c r="I161">
        <f>IF(OC_Date=0,"",IF(INDEX('OneCause_Paste'!$A$161:$AZ$161,1,OC_Date)="","",INDEX('OneCause_Paste'!$A$161:$AZ$161,1,OC_Date)))</f>
        <v/>
      </c>
      <c r="J161">
        <f>IF(OC_Amt=0,"",IF(INDEX('OneCause_Paste'!$A$161:$AZ$161,1,OC_Amt)="","",INDEX('OneCause_Paste'!$A$161:$AZ$161,1,OC_Amt)))</f>
        <v/>
      </c>
      <c r="K161">
        <f>IF(OC_Name=0,"",IF(INDEX('OneCause_Paste'!$A$161:$AZ$161,1,OC_Name)="","",INDEX('OneCause_Paste'!$A$161:$AZ$161,1,OC_Name)))</f>
        <v/>
      </c>
      <c r="L161">
        <f>IF(OC_Txn=0,"",IF(INDEX('OneCause_Paste'!$A$161:$AZ$161,1,OC_Txn)="","",INDEX('OneCause_Paste'!$A$161:$AZ$161,1,OC_Txn)))</f>
        <v/>
      </c>
      <c r="M161">
        <f>IF(OC_Pay=0,"",IF(INDEX('OneCause_Paste'!$A$161:$AZ$161,1,OC_Pay)="","",INDEX('OneCause_Paste'!$A$161:$AZ$161,1,OC_Pay)))</f>
        <v/>
      </c>
      <c r="N161">
        <f>IF(I161="","",IF(ISNUMBER(I161),INT(I161),IFERROR(INT(DATEVALUE(I161)),IFERROR(INT(VALUE(I161)),"bad"))))</f>
        <v/>
      </c>
      <c r="O161">
        <f>IF(J161="","",IF(ISNUMBER(J161),ROUND(J161,2),IFERROR(ROUND(VALUE(SUBSTITUTE(SUBSTITUTE(SUBSTITUTE(J161,"$",""),",","")," ","")),2),"bad")))</f>
        <v/>
      </c>
      <c r="P161">
        <f>IF(TRIM(K161)="","",IFERROR(MATCH(LOWER(TRIM(K161)),'Students'!$AH$2:$AH$701,0),IFERROR(MATCH(LOWER(TRIM(K161)),'Students'!$AF$2:$AF$701,0),IFERROR(MATCH(LOWER(TRIM(K161)),'Students'!$AG$2:$AG$701,0),""))))</f>
        <v/>
      </c>
      <c r="R161">
        <f>IF(P161="","",INDEX('Students'!$AD$2:$AD$701,P161))</f>
        <v/>
      </c>
      <c r="S161">
        <f>IF(H161="OK",O161,0)</f>
        <v/>
      </c>
      <c r="T161">
        <f>IF(H161="OK",N161,"")</f>
        <v/>
      </c>
      <c r="U161">
        <f>IF(OC_Donor=0,"",IF(INDEX('OneCause_Paste'!$A$161:$AZ$161,1,OC_Donor)="","",INDEX('OneCause_Paste'!$A$161:$AZ$161,1,OC_Donor)))</f>
        <v/>
      </c>
    </row>
    <row r="162">
      <c r="A162" s="62">
        <f>IF(H162="","",IF(ISNUMBER(N162),N162,I162))</f>
        <v/>
      </c>
      <c r="B162">
        <f>IF(H162="","",U162)</f>
        <v/>
      </c>
      <c r="C162">
        <f>IF(H162="","",IF(P162="",K162,INDEX('Students'!$A$2:$A$701,P162)))</f>
        <v/>
      </c>
      <c r="D162">
        <f>IF(OR(H162="",P162=""),"",INDEX('Students'!$B$2:$B$701,P162))</f>
        <v/>
      </c>
      <c r="E162">
        <f>IF(OR(H162="",P162=""),"",INDEX('Students'!$C$2:$C$701,P162))</f>
        <v/>
      </c>
      <c r="F162" s="48">
        <f>IF(H162="","",IF(ISNUMBER(O162),O162,J162))</f>
        <v/>
      </c>
      <c r="G162">
        <f>IF(H162="","","OneCause")</f>
        <v/>
      </c>
      <c r="H162">
        <f>IF(AND(I162="",J162="",K162=""),"",IF(NOT(ISNUMBER(O162)),"Bad amount",IF(O162&lt;0,"Refund (not counted)",IF(O162=0,"Zero amount",IF(NOT(ISNUMBER(N162)),"Bad date",IF(P162="","NAME NOT ON ROSTER",IF(L162="","OK",IF(MATCH(L162,$L$2:$L$3001,0)&lt;ROW()-1,"Duplicate (ignored)","OK"))))))))</f>
        <v/>
      </c>
      <c r="I162">
        <f>IF(OC_Date=0,"",IF(INDEX('OneCause_Paste'!$A$162:$AZ$162,1,OC_Date)="","",INDEX('OneCause_Paste'!$A$162:$AZ$162,1,OC_Date)))</f>
        <v/>
      </c>
      <c r="J162">
        <f>IF(OC_Amt=0,"",IF(INDEX('OneCause_Paste'!$A$162:$AZ$162,1,OC_Amt)="","",INDEX('OneCause_Paste'!$A$162:$AZ$162,1,OC_Amt)))</f>
        <v/>
      </c>
      <c r="K162">
        <f>IF(OC_Name=0,"",IF(INDEX('OneCause_Paste'!$A$162:$AZ$162,1,OC_Name)="","",INDEX('OneCause_Paste'!$A$162:$AZ$162,1,OC_Name)))</f>
        <v/>
      </c>
      <c r="L162">
        <f>IF(OC_Txn=0,"",IF(INDEX('OneCause_Paste'!$A$162:$AZ$162,1,OC_Txn)="","",INDEX('OneCause_Paste'!$A$162:$AZ$162,1,OC_Txn)))</f>
        <v/>
      </c>
      <c r="M162">
        <f>IF(OC_Pay=0,"",IF(INDEX('OneCause_Paste'!$A$162:$AZ$162,1,OC_Pay)="","",INDEX('OneCause_Paste'!$A$162:$AZ$162,1,OC_Pay)))</f>
        <v/>
      </c>
      <c r="N162">
        <f>IF(I162="","",IF(ISNUMBER(I162),INT(I162),IFERROR(INT(DATEVALUE(I162)),IFERROR(INT(VALUE(I162)),"bad"))))</f>
        <v/>
      </c>
      <c r="O162">
        <f>IF(J162="","",IF(ISNUMBER(J162),ROUND(J162,2),IFERROR(ROUND(VALUE(SUBSTITUTE(SUBSTITUTE(SUBSTITUTE(J162,"$",""),",","")," ","")),2),"bad")))</f>
        <v/>
      </c>
      <c r="P162">
        <f>IF(TRIM(K162)="","",IFERROR(MATCH(LOWER(TRIM(K162)),'Students'!$AH$2:$AH$701,0),IFERROR(MATCH(LOWER(TRIM(K162)),'Students'!$AF$2:$AF$701,0),IFERROR(MATCH(LOWER(TRIM(K162)),'Students'!$AG$2:$AG$701,0),""))))</f>
        <v/>
      </c>
      <c r="R162">
        <f>IF(P162="","",INDEX('Students'!$AD$2:$AD$701,P162))</f>
        <v/>
      </c>
      <c r="S162">
        <f>IF(H162="OK",O162,0)</f>
        <v/>
      </c>
      <c r="T162">
        <f>IF(H162="OK",N162,"")</f>
        <v/>
      </c>
      <c r="U162">
        <f>IF(OC_Donor=0,"",IF(INDEX('OneCause_Paste'!$A$162:$AZ$162,1,OC_Donor)="","",INDEX('OneCause_Paste'!$A$162:$AZ$162,1,OC_Donor)))</f>
        <v/>
      </c>
    </row>
    <row r="163">
      <c r="A163" s="62">
        <f>IF(H163="","",IF(ISNUMBER(N163),N163,I163))</f>
        <v/>
      </c>
      <c r="B163">
        <f>IF(H163="","",U163)</f>
        <v/>
      </c>
      <c r="C163">
        <f>IF(H163="","",IF(P163="",K163,INDEX('Students'!$A$2:$A$701,P163)))</f>
        <v/>
      </c>
      <c r="D163">
        <f>IF(OR(H163="",P163=""),"",INDEX('Students'!$B$2:$B$701,P163))</f>
        <v/>
      </c>
      <c r="E163">
        <f>IF(OR(H163="",P163=""),"",INDEX('Students'!$C$2:$C$701,P163))</f>
        <v/>
      </c>
      <c r="F163" s="48">
        <f>IF(H163="","",IF(ISNUMBER(O163),O163,J163))</f>
        <v/>
      </c>
      <c r="G163">
        <f>IF(H163="","","OneCause")</f>
        <v/>
      </c>
      <c r="H163">
        <f>IF(AND(I163="",J163="",K163=""),"",IF(NOT(ISNUMBER(O163)),"Bad amount",IF(O163&lt;0,"Refund (not counted)",IF(O163=0,"Zero amount",IF(NOT(ISNUMBER(N163)),"Bad date",IF(P163="","NAME NOT ON ROSTER",IF(L163="","OK",IF(MATCH(L163,$L$2:$L$3001,0)&lt;ROW()-1,"Duplicate (ignored)","OK"))))))))</f>
        <v/>
      </c>
      <c r="I163">
        <f>IF(OC_Date=0,"",IF(INDEX('OneCause_Paste'!$A$163:$AZ$163,1,OC_Date)="","",INDEX('OneCause_Paste'!$A$163:$AZ$163,1,OC_Date)))</f>
        <v/>
      </c>
      <c r="J163">
        <f>IF(OC_Amt=0,"",IF(INDEX('OneCause_Paste'!$A$163:$AZ$163,1,OC_Amt)="","",INDEX('OneCause_Paste'!$A$163:$AZ$163,1,OC_Amt)))</f>
        <v/>
      </c>
      <c r="K163">
        <f>IF(OC_Name=0,"",IF(INDEX('OneCause_Paste'!$A$163:$AZ$163,1,OC_Name)="","",INDEX('OneCause_Paste'!$A$163:$AZ$163,1,OC_Name)))</f>
        <v/>
      </c>
      <c r="L163">
        <f>IF(OC_Txn=0,"",IF(INDEX('OneCause_Paste'!$A$163:$AZ$163,1,OC_Txn)="","",INDEX('OneCause_Paste'!$A$163:$AZ$163,1,OC_Txn)))</f>
        <v/>
      </c>
      <c r="M163">
        <f>IF(OC_Pay=0,"",IF(INDEX('OneCause_Paste'!$A$163:$AZ$163,1,OC_Pay)="","",INDEX('OneCause_Paste'!$A$163:$AZ$163,1,OC_Pay)))</f>
        <v/>
      </c>
      <c r="N163">
        <f>IF(I163="","",IF(ISNUMBER(I163),INT(I163),IFERROR(INT(DATEVALUE(I163)),IFERROR(INT(VALUE(I163)),"bad"))))</f>
        <v/>
      </c>
      <c r="O163">
        <f>IF(J163="","",IF(ISNUMBER(J163),ROUND(J163,2),IFERROR(ROUND(VALUE(SUBSTITUTE(SUBSTITUTE(SUBSTITUTE(J163,"$",""),",","")," ","")),2),"bad")))</f>
        <v/>
      </c>
      <c r="P163">
        <f>IF(TRIM(K163)="","",IFERROR(MATCH(LOWER(TRIM(K163)),'Students'!$AH$2:$AH$701,0),IFERROR(MATCH(LOWER(TRIM(K163)),'Students'!$AF$2:$AF$701,0),IFERROR(MATCH(LOWER(TRIM(K163)),'Students'!$AG$2:$AG$701,0),""))))</f>
        <v/>
      </c>
      <c r="R163">
        <f>IF(P163="","",INDEX('Students'!$AD$2:$AD$701,P163))</f>
        <v/>
      </c>
      <c r="S163">
        <f>IF(H163="OK",O163,0)</f>
        <v/>
      </c>
      <c r="T163">
        <f>IF(H163="OK",N163,"")</f>
        <v/>
      </c>
      <c r="U163">
        <f>IF(OC_Donor=0,"",IF(INDEX('OneCause_Paste'!$A$163:$AZ$163,1,OC_Donor)="","",INDEX('OneCause_Paste'!$A$163:$AZ$163,1,OC_Donor)))</f>
        <v/>
      </c>
    </row>
    <row r="164">
      <c r="A164" s="62">
        <f>IF(H164="","",IF(ISNUMBER(N164),N164,I164))</f>
        <v/>
      </c>
      <c r="B164">
        <f>IF(H164="","",U164)</f>
        <v/>
      </c>
      <c r="C164">
        <f>IF(H164="","",IF(P164="",K164,INDEX('Students'!$A$2:$A$701,P164)))</f>
        <v/>
      </c>
      <c r="D164">
        <f>IF(OR(H164="",P164=""),"",INDEX('Students'!$B$2:$B$701,P164))</f>
        <v/>
      </c>
      <c r="E164">
        <f>IF(OR(H164="",P164=""),"",INDEX('Students'!$C$2:$C$701,P164))</f>
        <v/>
      </c>
      <c r="F164" s="48">
        <f>IF(H164="","",IF(ISNUMBER(O164),O164,J164))</f>
        <v/>
      </c>
      <c r="G164">
        <f>IF(H164="","","OneCause")</f>
        <v/>
      </c>
      <c r="H164">
        <f>IF(AND(I164="",J164="",K164=""),"",IF(NOT(ISNUMBER(O164)),"Bad amount",IF(O164&lt;0,"Refund (not counted)",IF(O164=0,"Zero amount",IF(NOT(ISNUMBER(N164)),"Bad date",IF(P164="","NAME NOT ON ROSTER",IF(L164="","OK",IF(MATCH(L164,$L$2:$L$3001,0)&lt;ROW()-1,"Duplicate (ignored)","OK"))))))))</f>
        <v/>
      </c>
      <c r="I164">
        <f>IF(OC_Date=0,"",IF(INDEX('OneCause_Paste'!$A$164:$AZ$164,1,OC_Date)="","",INDEX('OneCause_Paste'!$A$164:$AZ$164,1,OC_Date)))</f>
        <v/>
      </c>
      <c r="J164">
        <f>IF(OC_Amt=0,"",IF(INDEX('OneCause_Paste'!$A$164:$AZ$164,1,OC_Amt)="","",INDEX('OneCause_Paste'!$A$164:$AZ$164,1,OC_Amt)))</f>
        <v/>
      </c>
      <c r="K164">
        <f>IF(OC_Name=0,"",IF(INDEX('OneCause_Paste'!$A$164:$AZ$164,1,OC_Name)="","",INDEX('OneCause_Paste'!$A$164:$AZ$164,1,OC_Name)))</f>
        <v/>
      </c>
      <c r="L164">
        <f>IF(OC_Txn=0,"",IF(INDEX('OneCause_Paste'!$A$164:$AZ$164,1,OC_Txn)="","",INDEX('OneCause_Paste'!$A$164:$AZ$164,1,OC_Txn)))</f>
        <v/>
      </c>
      <c r="M164">
        <f>IF(OC_Pay=0,"",IF(INDEX('OneCause_Paste'!$A$164:$AZ$164,1,OC_Pay)="","",INDEX('OneCause_Paste'!$A$164:$AZ$164,1,OC_Pay)))</f>
        <v/>
      </c>
      <c r="N164">
        <f>IF(I164="","",IF(ISNUMBER(I164),INT(I164),IFERROR(INT(DATEVALUE(I164)),IFERROR(INT(VALUE(I164)),"bad"))))</f>
        <v/>
      </c>
      <c r="O164">
        <f>IF(J164="","",IF(ISNUMBER(J164),ROUND(J164,2),IFERROR(ROUND(VALUE(SUBSTITUTE(SUBSTITUTE(SUBSTITUTE(J164,"$",""),",","")," ","")),2),"bad")))</f>
        <v/>
      </c>
      <c r="P164">
        <f>IF(TRIM(K164)="","",IFERROR(MATCH(LOWER(TRIM(K164)),'Students'!$AH$2:$AH$701,0),IFERROR(MATCH(LOWER(TRIM(K164)),'Students'!$AF$2:$AF$701,0),IFERROR(MATCH(LOWER(TRIM(K164)),'Students'!$AG$2:$AG$701,0),""))))</f>
        <v/>
      </c>
      <c r="R164">
        <f>IF(P164="","",INDEX('Students'!$AD$2:$AD$701,P164))</f>
        <v/>
      </c>
      <c r="S164">
        <f>IF(H164="OK",O164,0)</f>
        <v/>
      </c>
      <c r="T164">
        <f>IF(H164="OK",N164,"")</f>
        <v/>
      </c>
      <c r="U164">
        <f>IF(OC_Donor=0,"",IF(INDEX('OneCause_Paste'!$A$164:$AZ$164,1,OC_Donor)="","",INDEX('OneCause_Paste'!$A$164:$AZ$164,1,OC_Donor)))</f>
        <v/>
      </c>
    </row>
    <row r="165">
      <c r="A165" s="62">
        <f>IF(H165="","",IF(ISNUMBER(N165),N165,I165))</f>
        <v/>
      </c>
      <c r="B165">
        <f>IF(H165="","",U165)</f>
        <v/>
      </c>
      <c r="C165">
        <f>IF(H165="","",IF(P165="",K165,INDEX('Students'!$A$2:$A$701,P165)))</f>
        <v/>
      </c>
      <c r="D165">
        <f>IF(OR(H165="",P165=""),"",INDEX('Students'!$B$2:$B$701,P165))</f>
        <v/>
      </c>
      <c r="E165">
        <f>IF(OR(H165="",P165=""),"",INDEX('Students'!$C$2:$C$701,P165))</f>
        <v/>
      </c>
      <c r="F165" s="48">
        <f>IF(H165="","",IF(ISNUMBER(O165),O165,J165))</f>
        <v/>
      </c>
      <c r="G165">
        <f>IF(H165="","","OneCause")</f>
        <v/>
      </c>
      <c r="H165">
        <f>IF(AND(I165="",J165="",K165=""),"",IF(NOT(ISNUMBER(O165)),"Bad amount",IF(O165&lt;0,"Refund (not counted)",IF(O165=0,"Zero amount",IF(NOT(ISNUMBER(N165)),"Bad date",IF(P165="","NAME NOT ON ROSTER",IF(L165="","OK",IF(MATCH(L165,$L$2:$L$3001,0)&lt;ROW()-1,"Duplicate (ignored)","OK"))))))))</f>
        <v/>
      </c>
      <c r="I165">
        <f>IF(OC_Date=0,"",IF(INDEX('OneCause_Paste'!$A$165:$AZ$165,1,OC_Date)="","",INDEX('OneCause_Paste'!$A$165:$AZ$165,1,OC_Date)))</f>
        <v/>
      </c>
      <c r="J165">
        <f>IF(OC_Amt=0,"",IF(INDEX('OneCause_Paste'!$A$165:$AZ$165,1,OC_Amt)="","",INDEX('OneCause_Paste'!$A$165:$AZ$165,1,OC_Amt)))</f>
        <v/>
      </c>
      <c r="K165">
        <f>IF(OC_Name=0,"",IF(INDEX('OneCause_Paste'!$A$165:$AZ$165,1,OC_Name)="","",INDEX('OneCause_Paste'!$A$165:$AZ$165,1,OC_Name)))</f>
        <v/>
      </c>
      <c r="L165">
        <f>IF(OC_Txn=0,"",IF(INDEX('OneCause_Paste'!$A$165:$AZ$165,1,OC_Txn)="","",INDEX('OneCause_Paste'!$A$165:$AZ$165,1,OC_Txn)))</f>
        <v/>
      </c>
      <c r="M165">
        <f>IF(OC_Pay=0,"",IF(INDEX('OneCause_Paste'!$A$165:$AZ$165,1,OC_Pay)="","",INDEX('OneCause_Paste'!$A$165:$AZ$165,1,OC_Pay)))</f>
        <v/>
      </c>
      <c r="N165">
        <f>IF(I165="","",IF(ISNUMBER(I165),INT(I165),IFERROR(INT(DATEVALUE(I165)),IFERROR(INT(VALUE(I165)),"bad"))))</f>
        <v/>
      </c>
      <c r="O165">
        <f>IF(J165="","",IF(ISNUMBER(J165),ROUND(J165,2),IFERROR(ROUND(VALUE(SUBSTITUTE(SUBSTITUTE(SUBSTITUTE(J165,"$",""),",","")," ","")),2),"bad")))</f>
        <v/>
      </c>
      <c r="P165">
        <f>IF(TRIM(K165)="","",IFERROR(MATCH(LOWER(TRIM(K165)),'Students'!$AH$2:$AH$701,0),IFERROR(MATCH(LOWER(TRIM(K165)),'Students'!$AF$2:$AF$701,0),IFERROR(MATCH(LOWER(TRIM(K165)),'Students'!$AG$2:$AG$701,0),""))))</f>
        <v/>
      </c>
      <c r="R165">
        <f>IF(P165="","",INDEX('Students'!$AD$2:$AD$701,P165))</f>
        <v/>
      </c>
      <c r="S165">
        <f>IF(H165="OK",O165,0)</f>
        <v/>
      </c>
      <c r="T165">
        <f>IF(H165="OK",N165,"")</f>
        <v/>
      </c>
      <c r="U165">
        <f>IF(OC_Donor=0,"",IF(INDEX('OneCause_Paste'!$A$165:$AZ$165,1,OC_Donor)="","",INDEX('OneCause_Paste'!$A$165:$AZ$165,1,OC_Donor)))</f>
        <v/>
      </c>
    </row>
    <row r="166">
      <c r="A166" s="62">
        <f>IF(H166="","",IF(ISNUMBER(N166),N166,I166))</f>
        <v/>
      </c>
      <c r="B166">
        <f>IF(H166="","",U166)</f>
        <v/>
      </c>
      <c r="C166">
        <f>IF(H166="","",IF(P166="",K166,INDEX('Students'!$A$2:$A$701,P166)))</f>
        <v/>
      </c>
      <c r="D166">
        <f>IF(OR(H166="",P166=""),"",INDEX('Students'!$B$2:$B$701,P166))</f>
        <v/>
      </c>
      <c r="E166">
        <f>IF(OR(H166="",P166=""),"",INDEX('Students'!$C$2:$C$701,P166))</f>
        <v/>
      </c>
      <c r="F166" s="48">
        <f>IF(H166="","",IF(ISNUMBER(O166),O166,J166))</f>
        <v/>
      </c>
      <c r="G166">
        <f>IF(H166="","","OneCause")</f>
        <v/>
      </c>
      <c r="H166">
        <f>IF(AND(I166="",J166="",K166=""),"",IF(NOT(ISNUMBER(O166)),"Bad amount",IF(O166&lt;0,"Refund (not counted)",IF(O166=0,"Zero amount",IF(NOT(ISNUMBER(N166)),"Bad date",IF(P166="","NAME NOT ON ROSTER",IF(L166="","OK",IF(MATCH(L166,$L$2:$L$3001,0)&lt;ROW()-1,"Duplicate (ignored)","OK"))))))))</f>
        <v/>
      </c>
      <c r="I166">
        <f>IF(OC_Date=0,"",IF(INDEX('OneCause_Paste'!$A$166:$AZ$166,1,OC_Date)="","",INDEX('OneCause_Paste'!$A$166:$AZ$166,1,OC_Date)))</f>
        <v/>
      </c>
      <c r="J166">
        <f>IF(OC_Amt=0,"",IF(INDEX('OneCause_Paste'!$A$166:$AZ$166,1,OC_Amt)="","",INDEX('OneCause_Paste'!$A$166:$AZ$166,1,OC_Amt)))</f>
        <v/>
      </c>
      <c r="K166">
        <f>IF(OC_Name=0,"",IF(INDEX('OneCause_Paste'!$A$166:$AZ$166,1,OC_Name)="","",INDEX('OneCause_Paste'!$A$166:$AZ$166,1,OC_Name)))</f>
        <v/>
      </c>
      <c r="L166">
        <f>IF(OC_Txn=0,"",IF(INDEX('OneCause_Paste'!$A$166:$AZ$166,1,OC_Txn)="","",INDEX('OneCause_Paste'!$A$166:$AZ$166,1,OC_Txn)))</f>
        <v/>
      </c>
      <c r="M166">
        <f>IF(OC_Pay=0,"",IF(INDEX('OneCause_Paste'!$A$166:$AZ$166,1,OC_Pay)="","",INDEX('OneCause_Paste'!$A$166:$AZ$166,1,OC_Pay)))</f>
        <v/>
      </c>
      <c r="N166">
        <f>IF(I166="","",IF(ISNUMBER(I166),INT(I166),IFERROR(INT(DATEVALUE(I166)),IFERROR(INT(VALUE(I166)),"bad"))))</f>
        <v/>
      </c>
      <c r="O166">
        <f>IF(J166="","",IF(ISNUMBER(J166),ROUND(J166,2),IFERROR(ROUND(VALUE(SUBSTITUTE(SUBSTITUTE(SUBSTITUTE(J166,"$",""),",","")," ","")),2),"bad")))</f>
        <v/>
      </c>
      <c r="P166">
        <f>IF(TRIM(K166)="","",IFERROR(MATCH(LOWER(TRIM(K166)),'Students'!$AH$2:$AH$701,0),IFERROR(MATCH(LOWER(TRIM(K166)),'Students'!$AF$2:$AF$701,0),IFERROR(MATCH(LOWER(TRIM(K166)),'Students'!$AG$2:$AG$701,0),""))))</f>
        <v/>
      </c>
      <c r="R166">
        <f>IF(P166="","",INDEX('Students'!$AD$2:$AD$701,P166))</f>
        <v/>
      </c>
      <c r="S166">
        <f>IF(H166="OK",O166,0)</f>
        <v/>
      </c>
      <c r="T166">
        <f>IF(H166="OK",N166,"")</f>
        <v/>
      </c>
      <c r="U166">
        <f>IF(OC_Donor=0,"",IF(INDEX('OneCause_Paste'!$A$166:$AZ$166,1,OC_Donor)="","",INDEX('OneCause_Paste'!$A$166:$AZ$166,1,OC_Donor)))</f>
        <v/>
      </c>
    </row>
    <row r="167">
      <c r="A167" s="62">
        <f>IF(H167="","",IF(ISNUMBER(N167),N167,I167))</f>
        <v/>
      </c>
      <c r="B167">
        <f>IF(H167="","",U167)</f>
        <v/>
      </c>
      <c r="C167">
        <f>IF(H167="","",IF(P167="",K167,INDEX('Students'!$A$2:$A$701,P167)))</f>
        <v/>
      </c>
      <c r="D167">
        <f>IF(OR(H167="",P167=""),"",INDEX('Students'!$B$2:$B$701,P167))</f>
        <v/>
      </c>
      <c r="E167">
        <f>IF(OR(H167="",P167=""),"",INDEX('Students'!$C$2:$C$701,P167))</f>
        <v/>
      </c>
      <c r="F167" s="48">
        <f>IF(H167="","",IF(ISNUMBER(O167),O167,J167))</f>
        <v/>
      </c>
      <c r="G167">
        <f>IF(H167="","","OneCause")</f>
        <v/>
      </c>
      <c r="H167">
        <f>IF(AND(I167="",J167="",K167=""),"",IF(NOT(ISNUMBER(O167)),"Bad amount",IF(O167&lt;0,"Refund (not counted)",IF(O167=0,"Zero amount",IF(NOT(ISNUMBER(N167)),"Bad date",IF(P167="","NAME NOT ON ROSTER",IF(L167="","OK",IF(MATCH(L167,$L$2:$L$3001,0)&lt;ROW()-1,"Duplicate (ignored)","OK"))))))))</f>
        <v/>
      </c>
      <c r="I167">
        <f>IF(OC_Date=0,"",IF(INDEX('OneCause_Paste'!$A$167:$AZ$167,1,OC_Date)="","",INDEX('OneCause_Paste'!$A$167:$AZ$167,1,OC_Date)))</f>
        <v/>
      </c>
      <c r="J167">
        <f>IF(OC_Amt=0,"",IF(INDEX('OneCause_Paste'!$A$167:$AZ$167,1,OC_Amt)="","",INDEX('OneCause_Paste'!$A$167:$AZ$167,1,OC_Amt)))</f>
        <v/>
      </c>
      <c r="K167">
        <f>IF(OC_Name=0,"",IF(INDEX('OneCause_Paste'!$A$167:$AZ$167,1,OC_Name)="","",INDEX('OneCause_Paste'!$A$167:$AZ$167,1,OC_Name)))</f>
        <v/>
      </c>
      <c r="L167">
        <f>IF(OC_Txn=0,"",IF(INDEX('OneCause_Paste'!$A$167:$AZ$167,1,OC_Txn)="","",INDEX('OneCause_Paste'!$A$167:$AZ$167,1,OC_Txn)))</f>
        <v/>
      </c>
      <c r="M167">
        <f>IF(OC_Pay=0,"",IF(INDEX('OneCause_Paste'!$A$167:$AZ$167,1,OC_Pay)="","",INDEX('OneCause_Paste'!$A$167:$AZ$167,1,OC_Pay)))</f>
        <v/>
      </c>
      <c r="N167">
        <f>IF(I167="","",IF(ISNUMBER(I167),INT(I167),IFERROR(INT(DATEVALUE(I167)),IFERROR(INT(VALUE(I167)),"bad"))))</f>
        <v/>
      </c>
      <c r="O167">
        <f>IF(J167="","",IF(ISNUMBER(J167),ROUND(J167,2),IFERROR(ROUND(VALUE(SUBSTITUTE(SUBSTITUTE(SUBSTITUTE(J167,"$",""),",","")," ","")),2),"bad")))</f>
        <v/>
      </c>
      <c r="P167">
        <f>IF(TRIM(K167)="","",IFERROR(MATCH(LOWER(TRIM(K167)),'Students'!$AH$2:$AH$701,0),IFERROR(MATCH(LOWER(TRIM(K167)),'Students'!$AF$2:$AF$701,0),IFERROR(MATCH(LOWER(TRIM(K167)),'Students'!$AG$2:$AG$701,0),""))))</f>
        <v/>
      </c>
      <c r="R167">
        <f>IF(P167="","",INDEX('Students'!$AD$2:$AD$701,P167))</f>
        <v/>
      </c>
      <c r="S167">
        <f>IF(H167="OK",O167,0)</f>
        <v/>
      </c>
      <c r="T167">
        <f>IF(H167="OK",N167,"")</f>
        <v/>
      </c>
      <c r="U167">
        <f>IF(OC_Donor=0,"",IF(INDEX('OneCause_Paste'!$A$167:$AZ$167,1,OC_Donor)="","",INDEX('OneCause_Paste'!$A$167:$AZ$167,1,OC_Donor)))</f>
        <v/>
      </c>
    </row>
    <row r="168">
      <c r="A168" s="62">
        <f>IF(H168="","",IF(ISNUMBER(N168),N168,I168))</f>
        <v/>
      </c>
      <c r="B168">
        <f>IF(H168="","",U168)</f>
        <v/>
      </c>
      <c r="C168">
        <f>IF(H168="","",IF(P168="",K168,INDEX('Students'!$A$2:$A$701,P168)))</f>
        <v/>
      </c>
      <c r="D168">
        <f>IF(OR(H168="",P168=""),"",INDEX('Students'!$B$2:$B$701,P168))</f>
        <v/>
      </c>
      <c r="E168">
        <f>IF(OR(H168="",P168=""),"",INDEX('Students'!$C$2:$C$701,P168))</f>
        <v/>
      </c>
      <c r="F168" s="48">
        <f>IF(H168="","",IF(ISNUMBER(O168),O168,J168))</f>
        <v/>
      </c>
      <c r="G168">
        <f>IF(H168="","","OneCause")</f>
        <v/>
      </c>
      <c r="H168">
        <f>IF(AND(I168="",J168="",K168=""),"",IF(NOT(ISNUMBER(O168)),"Bad amount",IF(O168&lt;0,"Refund (not counted)",IF(O168=0,"Zero amount",IF(NOT(ISNUMBER(N168)),"Bad date",IF(P168="","NAME NOT ON ROSTER",IF(L168="","OK",IF(MATCH(L168,$L$2:$L$3001,0)&lt;ROW()-1,"Duplicate (ignored)","OK"))))))))</f>
        <v/>
      </c>
      <c r="I168">
        <f>IF(OC_Date=0,"",IF(INDEX('OneCause_Paste'!$A$168:$AZ$168,1,OC_Date)="","",INDEX('OneCause_Paste'!$A$168:$AZ$168,1,OC_Date)))</f>
        <v/>
      </c>
      <c r="J168">
        <f>IF(OC_Amt=0,"",IF(INDEX('OneCause_Paste'!$A$168:$AZ$168,1,OC_Amt)="","",INDEX('OneCause_Paste'!$A$168:$AZ$168,1,OC_Amt)))</f>
        <v/>
      </c>
      <c r="K168">
        <f>IF(OC_Name=0,"",IF(INDEX('OneCause_Paste'!$A$168:$AZ$168,1,OC_Name)="","",INDEX('OneCause_Paste'!$A$168:$AZ$168,1,OC_Name)))</f>
        <v/>
      </c>
      <c r="L168">
        <f>IF(OC_Txn=0,"",IF(INDEX('OneCause_Paste'!$A$168:$AZ$168,1,OC_Txn)="","",INDEX('OneCause_Paste'!$A$168:$AZ$168,1,OC_Txn)))</f>
        <v/>
      </c>
      <c r="M168">
        <f>IF(OC_Pay=0,"",IF(INDEX('OneCause_Paste'!$A$168:$AZ$168,1,OC_Pay)="","",INDEX('OneCause_Paste'!$A$168:$AZ$168,1,OC_Pay)))</f>
        <v/>
      </c>
      <c r="N168">
        <f>IF(I168="","",IF(ISNUMBER(I168),INT(I168),IFERROR(INT(DATEVALUE(I168)),IFERROR(INT(VALUE(I168)),"bad"))))</f>
        <v/>
      </c>
      <c r="O168">
        <f>IF(J168="","",IF(ISNUMBER(J168),ROUND(J168,2),IFERROR(ROUND(VALUE(SUBSTITUTE(SUBSTITUTE(SUBSTITUTE(J168,"$",""),",","")," ","")),2),"bad")))</f>
        <v/>
      </c>
      <c r="P168">
        <f>IF(TRIM(K168)="","",IFERROR(MATCH(LOWER(TRIM(K168)),'Students'!$AH$2:$AH$701,0),IFERROR(MATCH(LOWER(TRIM(K168)),'Students'!$AF$2:$AF$701,0),IFERROR(MATCH(LOWER(TRIM(K168)),'Students'!$AG$2:$AG$701,0),""))))</f>
        <v/>
      </c>
      <c r="R168">
        <f>IF(P168="","",INDEX('Students'!$AD$2:$AD$701,P168))</f>
        <v/>
      </c>
      <c r="S168">
        <f>IF(H168="OK",O168,0)</f>
        <v/>
      </c>
      <c r="T168">
        <f>IF(H168="OK",N168,"")</f>
        <v/>
      </c>
      <c r="U168">
        <f>IF(OC_Donor=0,"",IF(INDEX('OneCause_Paste'!$A$168:$AZ$168,1,OC_Donor)="","",INDEX('OneCause_Paste'!$A$168:$AZ$168,1,OC_Donor)))</f>
        <v/>
      </c>
    </row>
    <row r="169">
      <c r="A169" s="62">
        <f>IF(H169="","",IF(ISNUMBER(N169),N169,I169))</f>
        <v/>
      </c>
      <c r="B169">
        <f>IF(H169="","",U169)</f>
        <v/>
      </c>
      <c r="C169">
        <f>IF(H169="","",IF(P169="",K169,INDEX('Students'!$A$2:$A$701,P169)))</f>
        <v/>
      </c>
      <c r="D169">
        <f>IF(OR(H169="",P169=""),"",INDEX('Students'!$B$2:$B$701,P169))</f>
        <v/>
      </c>
      <c r="E169">
        <f>IF(OR(H169="",P169=""),"",INDEX('Students'!$C$2:$C$701,P169))</f>
        <v/>
      </c>
      <c r="F169" s="48">
        <f>IF(H169="","",IF(ISNUMBER(O169),O169,J169))</f>
        <v/>
      </c>
      <c r="G169">
        <f>IF(H169="","","OneCause")</f>
        <v/>
      </c>
      <c r="H169">
        <f>IF(AND(I169="",J169="",K169=""),"",IF(NOT(ISNUMBER(O169)),"Bad amount",IF(O169&lt;0,"Refund (not counted)",IF(O169=0,"Zero amount",IF(NOT(ISNUMBER(N169)),"Bad date",IF(P169="","NAME NOT ON ROSTER",IF(L169="","OK",IF(MATCH(L169,$L$2:$L$3001,0)&lt;ROW()-1,"Duplicate (ignored)","OK"))))))))</f>
        <v/>
      </c>
      <c r="I169">
        <f>IF(OC_Date=0,"",IF(INDEX('OneCause_Paste'!$A$169:$AZ$169,1,OC_Date)="","",INDEX('OneCause_Paste'!$A$169:$AZ$169,1,OC_Date)))</f>
        <v/>
      </c>
      <c r="J169">
        <f>IF(OC_Amt=0,"",IF(INDEX('OneCause_Paste'!$A$169:$AZ$169,1,OC_Amt)="","",INDEX('OneCause_Paste'!$A$169:$AZ$169,1,OC_Amt)))</f>
        <v/>
      </c>
      <c r="K169">
        <f>IF(OC_Name=0,"",IF(INDEX('OneCause_Paste'!$A$169:$AZ$169,1,OC_Name)="","",INDEX('OneCause_Paste'!$A$169:$AZ$169,1,OC_Name)))</f>
        <v/>
      </c>
      <c r="L169">
        <f>IF(OC_Txn=0,"",IF(INDEX('OneCause_Paste'!$A$169:$AZ$169,1,OC_Txn)="","",INDEX('OneCause_Paste'!$A$169:$AZ$169,1,OC_Txn)))</f>
        <v/>
      </c>
      <c r="M169">
        <f>IF(OC_Pay=0,"",IF(INDEX('OneCause_Paste'!$A$169:$AZ$169,1,OC_Pay)="","",INDEX('OneCause_Paste'!$A$169:$AZ$169,1,OC_Pay)))</f>
        <v/>
      </c>
      <c r="N169">
        <f>IF(I169="","",IF(ISNUMBER(I169),INT(I169),IFERROR(INT(DATEVALUE(I169)),IFERROR(INT(VALUE(I169)),"bad"))))</f>
        <v/>
      </c>
      <c r="O169">
        <f>IF(J169="","",IF(ISNUMBER(J169),ROUND(J169,2),IFERROR(ROUND(VALUE(SUBSTITUTE(SUBSTITUTE(SUBSTITUTE(J169,"$",""),",","")," ","")),2),"bad")))</f>
        <v/>
      </c>
      <c r="P169">
        <f>IF(TRIM(K169)="","",IFERROR(MATCH(LOWER(TRIM(K169)),'Students'!$AH$2:$AH$701,0),IFERROR(MATCH(LOWER(TRIM(K169)),'Students'!$AF$2:$AF$701,0),IFERROR(MATCH(LOWER(TRIM(K169)),'Students'!$AG$2:$AG$701,0),""))))</f>
        <v/>
      </c>
      <c r="R169">
        <f>IF(P169="","",INDEX('Students'!$AD$2:$AD$701,P169))</f>
        <v/>
      </c>
      <c r="S169">
        <f>IF(H169="OK",O169,0)</f>
        <v/>
      </c>
      <c r="T169">
        <f>IF(H169="OK",N169,"")</f>
        <v/>
      </c>
      <c r="U169">
        <f>IF(OC_Donor=0,"",IF(INDEX('OneCause_Paste'!$A$169:$AZ$169,1,OC_Donor)="","",INDEX('OneCause_Paste'!$A$169:$AZ$169,1,OC_Donor)))</f>
        <v/>
      </c>
    </row>
    <row r="170">
      <c r="A170" s="62">
        <f>IF(H170="","",IF(ISNUMBER(N170),N170,I170))</f>
        <v/>
      </c>
      <c r="B170">
        <f>IF(H170="","",U170)</f>
        <v/>
      </c>
      <c r="C170">
        <f>IF(H170="","",IF(P170="",K170,INDEX('Students'!$A$2:$A$701,P170)))</f>
        <v/>
      </c>
      <c r="D170">
        <f>IF(OR(H170="",P170=""),"",INDEX('Students'!$B$2:$B$701,P170))</f>
        <v/>
      </c>
      <c r="E170">
        <f>IF(OR(H170="",P170=""),"",INDEX('Students'!$C$2:$C$701,P170))</f>
        <v/>
      </c>
      <c r="F170" s="48">
        <f>IF(H170="","",IF(ISNUMBER(O170),O170,J170))</f>
        <v/>
      </c>
      <c r="G170">
        <f>IF(H170="","","OneCause")</f>
        <v/>
      </c>
      <c r="H170">
        <f>IF(AND(I170="",J170="",K170=""),"",IF(NOT(ISNUMBER(O170)),"Bad amount",IF(O170&lt;0,"Refund (not counted)",IF(O170=0,"Zero amount",IF(NOT(ISNUMBER(N170)),"Bad date",IF(P170="","NAME NOT ON ROSTER",IF(L170="","OK",IF(MATCH(L170,$L$2:$L$3001,0)&lt;ROW()-1,"Duplicate (ignored)","OK"))))))))</f>
        <v/>
      </c>
      <c r="I170">
        <f>IF(OC_Date=0,"",IF(INDEX('OneCause_Paste'!$A$170:$AZ$170,1,OC_Date)="","",INDEX('OneCause_Paste'!$A$170:$AZ$170,1,OC_Date)))</f>
        <v/>
      </c>
      <c r="J170">
        <f>IF(OC_Amt=0,"",IF(INDEX('OneCause_Paste'!$A$170:$AZ$170,1,OC_Amt)="","",INDEX('OneCause_Paste'!$A$170:$AZ$170,1,OC_Amt)))</f>
        <v/>
      </c>
      <c r="K170">
        <f>IF(OC_Name=0,"",IF(INDEX('OneCause_Paste'!$A$170:$AZ$170,1,OC_Name)="","",INDEX('OneCause_Paste'!$A$170:$AZ$170,1,OC_Name)))</f>
        <v/>
      </c>
      <c r="L170">
        <f>IF(OC_Txn=0,"",IF(INDEX('OneCause_Paste'!$A$170:$AZ$170,1,OC_Txn)="","",INDEX('OneCause_Paste'!$A$170:$AZ$170,1,OC_Txn)))</f>
        <v/>
      </c>
      <c r="M170">
        <f>IF(OC_Pay=0,"",IF(INDEX('OneCause_Paste'!$A$170:$AZ$170,1,OC_Pay)="","",INDEX('OneCause_Paste'!$A$170:$AZ$170,1,OC_Pay)))</f>
        <v/>
      </c>
      <c r="N170">
        <f>IF(I170="","",IF(ISNUMBER(I170),INT(I170),IFERROR(INT(DATEVALUE(I170)),IFERROR(INT(VALUE(I170)),"bad"))))</f>
        <v/>
      </c>
      <c r="O170">
        <f>IF(J170="","",IF(ISNUMBER(J170),ROUND(J170,2),IFERROR(ROUND(VALUE(SUBSTITUTE(SUBSTITUTE(SUBSTITUTE(J170,"$",""),",","")," ","")),2),"bad")))</f>
        <v/>
      </c>
      <c r="P170">
        <f>IF(TRIM(K170)="","",IFERROR(MATCH(LOWER(TRIM(K170)),'Students'!$AH$2:$AH$701,0),IFERROR(MATCH(LOWER(TRIM(K170)),'Students'!$AF$2:$AF$701,0),IFERROR(MATCH(LOWER(TRIM(K170)),'Students'!$AG$2:$AG$701,0),""))))</f>
        <v/>
      </c>
      <c r="R170">
        <f>IF(P170="","",INDEX('Students'!$AD$2:$AD$701,P170))</f>
        <v/>
      </c>
      <c r="S170">
        <f>IF(H170="OK",O170,0)</f>
        <v/>
      </c>
      <c r="T170">
        <f>IF(H170="OK",N170,"")</f>
        <v/>
      </c>
      <c r="U170">
        <f>IF(OC_Donor=0,"",IF(INDEX('OneCause_Paste'!$A$170:$AZ$170,1,OC_Donor)="","",INDEX('OneCause_Paste'!$A$170:$AZ$170,1,OC_Donor)))</f>
        <v/>
      </c>
    </row>
    <row r="171">
      <c r="A171" s="62">
        <f>IF(H171="","",IF(ISNUMBER(N171),N171,I171))</f>
        <v/>
      </c>
      <c r="B171">
        <f>IF(H171="","",U171)</f>
        <v/>
      </c>
      <c r="C171">
        <f>IF(H171="","",IF(P171="",K171,INDEX('Students'!$A$2:$A$701,P171)))</f>
        <v/>
      </c>
      <c r="D171">
        <f>IF(OR(H171="",P171=""),"",INDEX('Students'!$B$2:$B$701,P171))</f>
        <v/>
      </c>
      <c r="E171">
        <f>IF(OR(H171="",P171=""),"",INDEX('Students'!$C$2:$C$701,P171))</f>
        <v/>
      </c>
      <c r="F171" s="48">
        <f>IF(H171="","",IF(ISNUMBER(O171),O171,J171))</f>
        <v/>
      </c>
      <c r="G171">
        <f>IF(H171="","","OneCause")</f>
        <v/>
      </c>
      <c r="H171">
        <f>IF(AND(I171="",J171="",K171=""),"",IF(NOT(ISNUMBER(O171)),"Bad amount",IF(O171&lt;0,"Refund (not counted)",IF(O171=0,"Zero amount",IF(NOT(ISNUMBER(N171)),"Bad date",IF(P171="","NAME NOT ON ROSTER",IF(L171="","OK",IF(MATCH(L171,$L$2:$L$3001,0)&lt;ROW()-1,"Duplicate (ignored)","OK"))))))))</f>
        <v/>
      </c>
      <c r="I171">
        <f>IF(OC_Date=0,"",IF(INDEX('OneCause_Paste'!$A$171:$AZ$171,1,OC_Date)="","",INDEX('OneCause_Paste'!$A$171:$AZ$171,1,OC_Date)))</f>
        <v/>
      </c>
      <c r="J171">
        <f>IF(OC_Amt=0,"",IF(INDEX('OneCause_Paste'!$A$171:$AZ$171,1,OC_Amt)="","",INDEX('OneCause_Paste'!$A$171:$AZ$171,1,OC_Amt)))</f>
        <v/>
      </c>
      <c r="K171">
        <f>IF(OC_Name=0,"",IF(INDEX('OneCause_Paste'!$A$171:$AZ$171,1,OC_Name)="","",INDEX('OneCause_Paste'!$A$171:$AZ$171,1,OC_Name)))</f>
        <v/>
      </c>
      <c r="L171">
        <f>IF(OC_Txn=0,"",IF(INDEX('OneCause_Paste'!$A$171:$AZ$171,1,OC_Txn)="","",INDEX('OneCause_Paste'!$A$171:$AZ$171,1,OC_Txn)))</f>
        <v/>
      </c>
      <c r="M171">
        <f>IF(OC_Pay=0,"",IF(INDEX('OneCause_Paste'!$A$171:$AZ$171,1,OC_Pay)="","",INDEX('OneCause_Paste'!$A$171:$AZ$171,1,OC_Pay)))</f>
        <v/>
      </c>
      <c r="N171">
        <f>IF(I171="","",IF(ISNUMBER(I171),INT(I171),IFERROR(INT(DATEVALUE(I171)),IFERROR(INT(VALUE(I171)),"bad"))))</f>
        <v/>
      </c>
      <c r="O171">
        <f>IF(J171="","",IF(ISNUMBER(J171),ROUND(J171,2),IFERROR(ROUND(VALUE(SUBSTITUTE(SUBSTITUTE(SUBSTITUTE(J171,"$",""),",","")," ","")),2),"bad")))</f>
        <v/>
      </c>
      <c r="P171">
        <f>IF(TRIM(K171)="","",IFERROR(MATCH(LOWER(TRIM(K171)),'Students'!$AH$2:$AH$701,0),IFERROR(MATCH(LOWER(TRIM(K171)),'Students'!$AF$2:$AF$701,0),IFERROR(MATCH(LOWER(TRIM(K171)),'Students'!$AG$2:$AG$701,0),""))))</f>
        <v/>
      </c>
      <c r="R171">
        <f>IF(P171="","",INDEX('Students'!$AD$2:$AD$701,P171))</f>
        <v/>
      </c>
      <c r="S171">
        <f>IF(H171="OK",O171,0)</f>
        <v/>
      </c>
      <c r="T171">
        <f>IF(H171="OK",N171,"")</f>
        <v/>
      </c>
      <c r="U171">
        <f>IF(OC_Donor=0,"",IF(INDEX('OneCause_Paste'!$A$171:$AZ$171,1,OC_Donor)="","",INDEX('OneCause_Paste'!$A$171:$AZ$171,1,OC_Donor)))</f>
        <v/>
      </c>
    </row>
    <row r="172">
      <c r="A172" s="62">
        <f>IF(H172="","",IF(ISNUMBER(N172),N172,I172))</f>
        <v/>
      </c>
      <c r="B172">
        <f>IF(H172="","",U172)</f>
        <v/>
      </c>
      <c r="C172">
        <f>IF(H172="","",IF(P172="",K172,INDEX('Students'!$A$2:$A$701,P172)))</f>
        <v/>
      </c>
      <c r="D172">
        <f>IF(OR(H172="",P172=""),"",INDEX('Students'!$B$2:$B$701,P172))</f>
        <v/>
      </c>
      <c r="E172">
        <f>IF(OR(H172="",P172=""),"",INDEX('Students'!$C$2:$C$701,P172))</f>
        <v/>
      </c>
      <c r="F172" s="48">
        <f>IF(H172="","",IF(ISNUMBER(O172),O172,J172))</f>
        <v/>
      </c>
      <c r="G172">
        <f>IF(H172="","","OneCause")</f>
        <v/>
      </c>
      <c r="H172">
        <f>IF(AND(I172="",J172="",K172=""),"",IF(NOT(ISNUMBER(O172)),"Bad amount",IF(O172&lt;0,"Refund (not counted)",IF(O172=0,"Zero amount",IF(NOT(ISNUMBER(N172)),"Bad date",IF(P172="","NAME NOT ON ROSTER",IF(L172="","OK",IF(MATCH(L172,$L$2:$L$3001,0)&lt;ROW()-1,"Duplicate (ignored)","OK"))))))))</f>
        <v/>
      </c>
      <c r="I172">
        <f>IF(OC_Date=0,"",IF(INDEX('OneCause_Paste'!$A$172:$AZ$172,1,OC_Date)="","",INDEX('OneCause_Paste'!$A$172:$AZ$172,1,OC_Date)))</f>
        <v/>
      </c>
      <c r="J172">
        <f>IF(OC_Amt=0,"",IF(INDEX('OneCause_Paste'!$A$172:$AZ$172,1,OC_Amt)="","",INDEX('OneCause_Paste'!$A$172:$AZ$172,1,OC_Amt)))</f>
        <v/>
      </c>
      <c r="K172">
        <f>IF(OC_Name=0,"",IF(INDEX('OneCause_Paste'!$A$172:$AZ$172,1,OC_Name)="","",INDEX('OneCause_Paste'!$A$172:$AZ$172,1,OC_Name)))</f>
        <v/>
      </c>
      <c r="L172">
        <f>IF(OC_Txn=0,"",IF(INDEX('OneCause_Paste'!$A$172:$AZ$172,1,OC_Txn)="","",INDEX('OneCause_Paste'!$A$172:$AZ$172,1,OC_Txn)))</f>
        <v/>
      </c>
      <c r="M172">
        <f>IF(OC_Pay=0,"",IF(INDEX('OneCause_Paste'!$A$172:$AZ$172,1,OC_Pay)="","",INDEX('OneCause_Paste'!$A$172:$AZ$172,1,OC_Pay)))</f>
        <v/>
      </c>
      <c r="N172">
        <f>IF(I172="","",IF(ISNUMBER(I172),INT(I172),IFERROR(INT(DATEVALUE(I172)),IFERROR(INT(VALUE(I172)),"bad"))))</f>
        <v/>
      </c>
      <c r="O172">
        <f>IF(J172="","",IF(ISNUMBER(J172),ROUND(J172,2),IFERROR(ROUND(VALUE(SUBSTITUTE(SUBSTITUTE(SUBSTITUTE(J172,"$",""),",","")," ","")),2),"bad")))</f>
        <v/>
      </c>
      <c r="P172">
        <f>IF(TRIM(K172)="","",IFERROR(MATCH(LOWER(TRIM(K172)),'Students'!$AH$2:$AH$701,0),IFERROR(MATCH(LOWER(TRIM(K172)),'Students'!$AF$2:$AF$701,0),IFERROR(MATCH(LOWER(TRIM(K172)),'Students'!$AG$2:$AG$701,0),""))))</f>
        <v/>
      </c>
      <c r="R172">
        <f>IF(P172="","",INDEX('Students'!$AD$2:$AD$701,P172))</f>
        <v/>
      </c>
      <c r="S172">
        <f>IF(H172="OK",O172,0)</f>
        <v/>
      </c>
      <c r="T172">
        <f>IF(H172="OK",N172,"")</f>
        <v/>
      </c>
      <c r="U172">
        <f>IF(OC_Donor=0,"",IF(INDEX('OneCause_Paste'!$A$172:$AZ$172,1,OC_Donor)="","",INDEX('OneCause_Paste'!$A$172:$AZ$172,1,OC_Donor)))</f>
        <v/>
      </c>
    </row>
    <row r="173">
      <c r="A173" s="62">
        <f>IF(H173="","",IF(ISNUMBER(N173),N173,I173))</f>
        <v/>
      </c>
      <c r="B173">
        <f>IF(H173="","",U173)</f>
        <v/>
      </c>
      <c r="C173">
        <f>IF(H173="","",IF(P173="",K173,INDEX('Students'!$A$2:$A$701,P173)))</f>
        <v/>
      </c>
      <c r="D173">
        <f>IF(OR(H173="",P173=""),"",INDEX('Students'!$B$2:$B$701,P173))</f>
        <v/>
      </c>
      <c r="E173">
        <f>IF(OR(H173="",P173=""),"",INDEX('Students'!$C$2:$C$701,P173))</f>
        <v/>
      </c>
      <c r="F173" s="48">
        <f>IF(H173="","",IF(ISNUMBER(O173),O173,J173))</f>
        <v/>
      </c>
      <c r="G173">
        <f>IF(H173="","","OneCause")</f>
        <v/>
      </c>
      <c r="H173">
        <f>IF(AND(I173="",J173="",K173=""),"",IF(NOT(ISNUMBER(O173)),"Bad amount",IF(O173&lt;0,"Refund (not counted)",IF(O173=0,"Zero amount",IF(NOT(ISNUMBER(N173)),"Bad date",IF(P173="","NAME NOT ON ROSTER",IF(L173="","OK",IF(MATCH(L173,$L$2:$L$3001,0)&lt;ROW()-1,"Duplicate (ignored)","OK"))))))))</f>
        <v/>
      </c>
      <c r="I173">
        <f>IF(OC_Date=0,"",IF(INDEX('OneCause_Paste'!$A$173:$AZ$173,1,OC_Date)="","",INDEX('OneCause_Paste'!$A$173:$AZ$173,1,OC_Date)))</f>
        <v/>
      </c>
      <c r="J173">
        <f>IF(OC_Amt=0,"",IF(INDEX('OneCause_Paste'!$A$173:$AZ$173,1,OC_Amt)="","",INDEX('OneCause_Paste'!$A$173:$AZ$173,1,OC_Amt)))</f>
        <v/>
      </c>
      <c r="K173">
        <f>IF(OC_Name=0,"",IF(INDEX('OneCause_Paste'!$A$173:$AZ$173,1,OC_Name)="","",INDEX('OneCause_Paste'!$A$173:$AZ$173,1,OC_Name)))</f>
        <v/>
      </c>
      <c r="L173">
        <f>IF(OC_Txn=0,"",IF(INDEX('OneCause_Paste'!$A$173:$AZ$173,1,OC_Txn)="","",INDEX('OneCause_Paste'!$A$173:$AZ$173,1,OC_Txn)))</f>
        <v/>
      </c>
      <c r="M173">
        <f>IF(OC_Pay=0,"",IF(INDEX('OneCause_Paste'!$A$173:$AZ$173,1,OC_Pay)="","",INDEX('OneCause_Paste'!$A$173:$AZ$173,1,OC_Pay)))</f>
        <v/>
      </c>
      <c r="N173">
        <f>IF(I173="","",IF(ISNUMBER(I173),INT(I173),IFERROR(INT(DATEVALUE(I173)),IFERROR(INT(VALUE(I173)),"bad"))))</f>
        <v/>
      </c>
      <c r="O173">
        <f>IF(J173="","",IF(ISNUMBER(J173),ROUND(J173,2),IFERROR(ROUND(VALUE(SUBSTITUTE(SUBSTITUTE(SUBSTITUTE(J173,"$",""),",","")," ","")),2),"bad")))</f>
        <v/>
      </c>
      <c r="P173">
        <f>IF(TRIM(K173)="","",IFERROR(MATCH(LOWER(TRIM(K173)),'Students'!$AH$2:$AH$701,0),IFERROR(MATCH(LOWER(TRIM(K173)),'Students'!$AF$2:$AF$701,0),IFERROR(MATCH(LOWER(TRIM(K173)),'Students'!$AG$2:$AG$701,0),""))))</f>
        <v/>
      </c>
      <c r="R173">
        <f>IF(P173="","",INDEX('Students'!$AD$2:$AD$701,P173))</f>
        <v/>
      </c>
      <c r="S173">
        <f>IF(H173="OK",O173,0)</f>
        <v/>
      </c>
      <c r="T173">
        <f>IF(H173="OK",N173,"")</f>
        <v/>
      </c>
      <c r="U173">
        <f>IF(OC_Donor=0,"",IF(INDEX('OneCause_Paste'!$A$173:$AZ$173,1,OC_Donor)="","",INDEX('OneCause_Paste'!$A$173:$AZ$173,1,OC_Donor)))</f>
        <v/>
      </c>
    </row>
    <row r="174">
      <c r="A174" s="62">
        <f>IF(H174="","",IF(ISNUMBER(N174),N174,I174))</f>
        <v/>
      </c>
      <c r="B174">
        <f>IF(H174="","",U174)</f>
        <v/>
      </c>
      <c r="C174">
        <f>IF(H174="","",IF(P174="",K174,INDEX('Students'!$A$2:$A$701,P174)))</f>
        <v/>
      </c>
      <c r="D174">
        <f>IF(OR(H174="",P174=""),"",INDEX('Students'!$B$2:$B$701,P174))</f>
        <v/>
      </c>
      <c r="E174">
        <f>IF(OR(H174="",P174=""),"",INDEX('Students'!$C$2:$C$701,P174))</f>
        <v/>
      </c>
      <c r="F174" s="48">
        <f>IF(H174="","",IF(ISNUMBER(O174),O174,J174))</f>
        <v/>
      </c>
      <c r="G174">
        <f>IF(H174="","","OneCause")</f>
        <v/>
      </c>
      <c r="H174">
        <f>IF(AND(I174="",J174="",K174=""),"",IF(NOT(ISNUMBER(O174)),"Bad amount",IF(O174&lt;0,"Refund (not counted)",IF(O174=0,"Zero amount",IF(NOT(ISNUMBER(N174)),"Bad date",IF(P174="","NAME NOT ON ROSTER",IF(L174="","OK",IF(MATCH(L174,$L$2:$L$3001,0)&lt;ROW()-1,"Duplicate (ignored)","OK"))))))))</f>
        <v/>
      </c>
      <c r="I174">
        <f>IF(OC_Date=0,"",IF(INDEX('OneCause_Paste'!$A$174:$AZ$174,1,OC_Date)="","",INDEX('OneCause_Paste'!$A$174:$AZ$174,1,OC_Date)))</f>
        <v/>
      </c>
      <c r="J174">
        <f>IF(OC_Amt=0,"",IF(INDEX('OneCause_Paste'!$A$174:$AZ$174,1,OC_Amt)="","",INDEX('OneCause_Paste'!$A$174:$AZ$174,1,OC_Amt)))</f>
        <v/>
      </c>
      <c r="K174">
        <f>IF(OC_Name=0,"",IF(INDEX('OneCause_Paste'!$A$174:$AZ$174,1,OC_Name)="","",INDEX('OneCause_Paste'!$A$174:$AZ$174,1,OC_Name)))</f>
        <v/>
      </c>
      <c r="L174">
        <f>IF(OC_Txn=0,"",IF(INDEX('OneCause_Paste'!$A$174:$AZ$174,1,OC_Txn)="","",INDEX('OneCause_Paste'!$A$174:$AZ$174,1,OC_Txn)))</f>
        <v/>
      </c>
      <c r="M174">
        <f>IF(OC_Pay=0,"",IF(INDEX('OneCause_Paste'!$A$174:$AZ$174,1,OC_Pay)="","",INDEX('OneCause_Paste'!$A$174:$AZ$174,1,OC_Pay)))</f>
        <v/>
      </c>
      <c r="N174">
        <f>IF(I174="","",IF(ISNUMBER(I174),INT(I174),IFERROR(INT(DATEVALUE(I174)),IFERROR(INT(VALUE(I174)),"bad"))))</f>
        <v/>
      </c>
      <c r="O174">
        <f>IF(J174="","",IF(ISNUMBER(J174),ROUND(J174,2),IFERROR(ROUND(VALUE(SUBSTITUTE(SUBSTITUTE(SUBSTITUTE(J174,"$",""),",","")," ","")),2),"bad")))</f>
        <v/>
      </c>
      <c r="P174">
        <f>IF(TRIM(K174)="","",IFERROR(MATCH(LOWER(TRIM(K174)),'Students'!$AH$2:$AH$701,0),IFERROR(MATCH(LOWER(TRIM(K174)),'Students'!$AF$2:$AF$701,0),IFERROR(MATCH(LOWER(TRIM(K174)),'Students'!$AG$2:$AG$701,0),""))))</f>
        <v/>
      </c>
      <c r="R174">
        <f>IF(P174="","",INDEX('Students'!$AD$2:$AD$701,P174))</f>
        <v/>
      </c>
      <c r="S174">
        <f>IF(H174="OK",O174,0)</f>
        <v/>
      </c>
      <c r="T174">
        <f>IF(H174="OK",N174,"")</f>
        <v/>
      </c>
      <c r="U174">
        <f>IF(OC_Donor=0,"",IF(INDEX('OneCause_Paste'!$A$174:$AZ$174,1,OC_Donor)="","",INDEX('OneCause_Paste'!$A$174:$AZ$174,1,OC_Donor)))</f>
        <v/>
      </c>
    </row>
    <row r="175">
      <c r="A175" s="62">
        <f>IF(H175="","",IF(ISNUMBER(N175),N175,I175))</f>
        <v/>
      </c>
      <c r="B175">
        <f>IF(H175="","",U175)</f>
        <v/>
      </c>
      <c r="C175">
        <f>IF(H175="","",IF(P175="",K175,INDEX('Students'!$A$2:$A$701,P175)))</f>
        <v/>
      </c>
      <c r="D175">
        <f>IF(OR(H175="",P175=""),"",INDEX('Students'!$B$2:$B$701,P175))</f>
        <v/>
      </c>
      <c r="E175">
        <f>IF(OR(H175="",P175=""),"",INDEX('Students'!$C$2:$C$701,P175))</f>
        <v/>
      </c>
      <c r="F175" s="48">
        <f>IF(H175="","",IF(ISNUMBER(O175),O175,J175))</f>
        <v/>
      </c>
      <c r="G175">
        <f>IF(H175="","","OneCause")</f>
        <v/>
      </c>
      <c r="H175">
        <f>IF(AND(I175="",J175="",K175=""),"",IF(NOT(ISNUMBER(O175)),"Bad amount",IF(O175&lt;0,"Refund (not counted)",IF(O175=0,"Zero amount",IF(NOT(ISNUMBER(N175)),"Bad date",IF(P175="","NAME NOT ON ROSTER",IF(L175="","OK",IF(MATCH(L175,$L$2:$L$3001,0)&lt;ROW()-1,"Duplicate (ignored)","OK"))))))))</f>
        <v/>
      </c>
      <c r="I175">
        <f>IF(OC_Date=0,"",IF(INDEX('OneCause_Paste'!$A$175:$AZ$175,1,OC_Date)="","",INDEX('OneCause_Paste'!$A$175:$AZ$175,1,OC_Date)))</f>
        <v/>
      </c>
      <c r="J175">
        <f>IF(OC_Amt=0,"",IF(INDEX('OneCause_Paste'!$A$175:$AZ$175,1,OC_Amt)="","",INDEX('OneCause_Paste'!$A$175:$AZ$175,1,OC_Amt)))</f>
        <v/>
      </c>
      <c r="K175">
        <f>IF(OC_Name=0,"",IF(INDEX('OneCause_Paste'!$A$175:$AZ$175,1,OC_Name)="","",INDEX('OneCause_Paste'!$A$175:$AZ$175,1,OC_Name)))</f>
        <v/>
      </c>
      <c r="L175">
        <f>IF(OC_Txn=0,"",IF(INDEX('OneCause_Paste'!$A$175:$AZ$175,1,OC_Txn)="","",INDEX('OneCause_Paste'!$A$175:$AZ$175,1,OC_Txn)))</f>
        <v/>
      </c>
      <c r="M175">
        <f>IF(OC_Pay=0,"",IF(INDEX('OneCause_Paste'!$A$175:$AZ$175,1,OC_Pay)="","",INDEX('OneCause_Paste'!$A$175:$AZ$175,1,OC_Pay)))</f>
        <v/>
      </c>
      <c r="N175">
        <f>IF(I175="","",IF(ISNUMBER(I175),INT(I175),IFERROR(INT(DATEVALUE(I175)),IFERROR(INT(VALUE(I175)),"bad"))))</f>
        <v/>
      </c>
      <c r="O175">
        <f>IF(J175="","",IF(ISNUMBER(J175),ROUND(J175,2),IFERROR(ROUND(VALUE(SUBSTITUTE(SUBSTITUTE(SUBSTITUTE(J175,"$",""),",","")," ","")),2),"bad")))</f>
        <v/>
      </c>
      <c r="P175">
        <f>IF(TRIM(K175)="","",IFERROR(MATCH(LOWER(TRIM(K175)),'Students'!$AH$2:$AH$701,0),IFERROR(MATCH(LOWER(TRIM(K175)),'Students'!$AF$2:$AF$701,0),IFERROR(MATCH(LOWER(TRIM(K175)),'Students'!$AG$2:$AG$701,0),""))))</f>
        <v/>
      </c>
      <c r="R175">
        <f>IF(P175="","",INDEX('Students'!$AD$2:$AD$701,P175))</f>
        <v/>
      </c>
      <c r="S175">
        <f>IF(H175="OK",O175,0)</f>
        <v/>
      </c>
      <c r="T175">
        <f>IF(H175="OK",N175,"")</f>
        <v/>
      </c>
      <c r="U175">
        <f>IF(OC_Donor=0,"",IF(INDEX('OneCause_Paste'!$A$175:$AZ$175,1,OC_Donor)="","",INDEX('OneCause_Paste'!$A$175:$AZ$175,1,OC_Donor)))</f>
        <v/>
      </c>
    </row>
    <row r="176">
      <c r="A176" s="62">
        <f>IF(H176="","",IF(ISNUMBER(N176),N176,I176))</f>
        <v/>
      </c>
      <c r="B176">
        <f>IF(H176="","",U176)</f>
        <v/>
      </c>
      <c r="C176">
        <f>IF(H176="","",IF(P176="",K176,INDEX('Students'!$A$2:$A$701,P176)))</f>
        <v/>
      </c>
      <c r="D176">
        <f>IF(OR(H176="",P176=""),"",INDEX('Students'!$B$2:$B$701,P176))</f>
        <v/>
      </c>
      <c r="E176">
        <f>IF(OR(H176="",P176=""),"",INDEX('Students'!$C$2:$C$701,P176))</f>
        <v/>
      </c>
      <c r="F176" s="48">
        <f>IF(H176="","",IF(ISNUMBER(O176),O176,J176))</f>
        <v/>
      </c>
      <c r="G176">
        <f>IF(H176="","","OneCause")</f>
        <v/>
      </c>
      <c r="H176">
        <f>IF(AND(I176="",J176="",K176=""),"",IF(NOT(ISNUMBER(O176)),"Bad amount",IF(O176&lt;0,"Refund (not counted)",IF(O176=0,"Zero amount",IF(NOT(ISNUMBER(N176)),"Bad date",IF(P176="","NAME NOT ON ROSTER",IF(L176="","OK",IF(MATCH(L176,$L$2:$L$3001,0)&lt;ROW()-1,"Duplicate (ignored)","OK"))))))))</f>
        <v/>
      </c>
      <c r="I176">
        <f>IF(OC_Date=0,"",IF(INDEX('OneCause_Paste'!$A$176:$AZ$176,1,OC_Date)="","",INDEX('OneCause_Paste'!$A$176:$AZ$176,1,OC_Date)))</f>
        <v/>
      </c>
      <c r="J176">
        <f>IF(OC_Amt=0,"",IF(INDEX('OneCause_Paste'!$A$176:$AZ$176,1,OC_Amt)="","",INDEX('OneCause_Paste'!$A$176:$AZ$176,1,OC_Amt)))</f>
        <v/>
      </c>
      <c r="K176">
        <f>IF(OC_Name=0,"",IF(INDEX('OneCause_Paste'!$A$176:$AZ$176,1,OC_Name)="","",INDEX('OneCause_Paste'!$A$176:$AZ$176,1,OC_Name)))</f>
        <v/>
      </c>
      <c r="L176">
        <f>IF(OC_Txn=0,"",IF(INDEX('OneCause_Paste'!$A$176:$AZ$176,1,OC_Txn)="","",INDEX('OneCause_Paste'!$A$176:$AZ$176,1,OC_Txn)))</f>
        <v/>
      </c>
      <c r="M176">
        <f>IF(OC_Pay=0,"",IF(INDEX('OneCause_Paste'!$A$176:$AZ$176,1,OC_Pay)="","",INDEX('OneCause_Paste'!$A$176:$AZ$176,1,OC_Pay)))</f>
        <v/>
      </c>
      <c r="N176">
        <f>IF(I176="","",IF(ISNUMBER(I176),INT(I176),IFERROR(INT(DATEVALUE(I176)),IFERROR(INT(VALUE(I176)),"bad"))))</f>
        <v/>
      </c>
      <c r="O176">
        <f>IF(J176="","",IF(ISNUMBER(J176),ROUND(J176,2),IFERROR(ROUND(VALUE(SUBSTITUTE(SUBSTITUTE(SUBSTITUTE(J176,"$",""),",","")," ","")),2),"bad")))</f>
        <v/>
      </c>
      <c r="P176">
        <f>IF(TRIM(K176)="","",IFERROR(MATCH(LOWER(TRIM(K176)),'Students'!$AH$2:$AH$701,0),IFERROR(MATCH(LOWER(TRIM(K176)),'Students'!$AF$2:$AF$701,0),IFERROR(MATCH(LOWER(TRIM(K176)),'Students'!$AG$2:$AG$701,0),""))))</f>
        <v/>
      </c>
      <c r="R176">
        <f>IF(P176="","",INDEX('Students'!$AD$2:$AD$701,P176))</f>
        <v/>
      </c>
      <c r="S176">
        <f>IF(H176="OK",O176,0)</f>
        <v/>
      </c>
      <c r="T176">
        <f>IF(H176="OK",N176,"")</f>
        <v/>
      </c>
      <c r="U176">
        <f>IF(OC_Donor=0,"",IF(INDEX('OneCause_Paste'!$A$176:$AZ$176,1,OC_Donor)="","",INDEX('OneCause_Paste'!$A$176:$AZ$176,1,OC_Donor)))</f>
        <v/>
      </c>
    </row>
    <row r="177">
      <c r="A177" s="62">
        <f>IF(H177="","",IF(ISNUMBER(N177),N177,I177))</f>
        <v/>
      </c>
      <c r="B177">
        <f>IF(H177="","",U177)</f>
        <v/>
      </c>
      <c r="C177">
        <f>IF(H177="","",IF(P177="",K177,INDEX('Students'!$A$2:$A$701,P177)))</f>
        <v/>
      </c>
      <c r="D177">
        <f>IF(OR(H177="",P177=""),"",INDEX('Students'!$B$2:$B$701,P177))</f>
        <v/>
      </c>
      <c r="E177">
        <f>IF(OR(H177="",P177=""),"",INDEX('Students'!$C$2:$C$701,P177))</f>
        <v/>
      </c>
      <c r="F177" s="48">
        <f>IF(H177="","",IF(ISNUMBER(O177),O177,J177))</f>
        <v/>
      </c>
      <c r="G177">
        <f>IF(H177="","","OneCause")</f>
        <v/>
      </c>
      <c r="H177">
        <f>IF(AND(I177="",J177="",K177=""),"",IF(NOT(ISNUMBER(O177)),"Bad amount",IF(O177&lt;0,"Refund (not counted)",IF(O177=0,"Zero amount",IF(NOT(ISNUMBER(N177)),"Bad date",IF(P177="","NAME NOT ON ROSTER",IF(L177="","OK",IF(MATCH(L177,$L$2:$L$3001,0)&lt;ROW()-1,"Duplicate (ignored)","OK"))))))))</f>
        <v/>
      </c>
      <c r="I177">
        <f>IF(OC_Date=0,"",IF(INDEX('OneCause_Paste'!$A$177:$AZ$177,1,OC_Date)="","",INDEX('OneCause_Paste'!$A$177:$AZ$177,1,OC_Date)))</f>
        <v/>
      </c>
      <c r="J177">
        <f>IF(OC_Amt=0,"",IF(INDEX('OneCause_Paste'!$A$177:$AZ$177,1,OC_Amt)="","",INDEX('OneCause_Paste'!$A$177:$AZ$177,1,OC_Amt)))</f>
        <v/>
      </c>
      <c r="K177">
        <f>IF(OC_Name=0,"",IF(INDEX('OneCause_Paste'!$A$177:$AZ$177,1,OC_Name)="","",INDEX('OneCause_Paste'!$A$177:$AZ$177,1,OC_Name)))</f>
        <v/>
      </c>
      <c r="L177">
        <f>IF(OC_Txn=0,"",IF(INDEX('OneCause_Paste'!$A$177:$AZ$177,1,OC_Txn)="","",INDEX('OneCause_Paste'!$A$177:$AZ$177,1,OC_Txn)))</f>
        <v/>
      </c>
      <c r="M177">
        <f>IF(OC_Pay=0,"",IF(INDEX('OneCause_Paste'!$A$177:$AZ$177,1,OC_Pay)="","",INDEX('OneCause_Paste'!$A$177:$AZ$177,1,OC_Pay)))</f>
        <v/>
      </c>
      <c r="N177">
        <f>IF(I177="","",IF(ISNUMBER(I177),INT(I177),IFERROR(INT(DATEVALUE(I177)),IFERROR(INT(VALUE(I177)),"bad"))))</f>
        <v/>
      </c>
      <c r="O177">
        <f>IF(J177="","",IF(ISNUMBER(J177),ROUND(J177,2),IFERROR(ROUND(VALUE(SUBSTITUTE(SUBSTITUTE(SUBSTITUTE(J177,"$",""),",","")," ","")),2),"bad")))</f>
        <v/>
      </c>
      <c r="P177">
        <f>IF(TRIM(K177)="","",IFERROR(MATCH(LOWER(TRIM(K177)),'Students'!$AH$2:$AH$701,0),IFERROR(MATCH(LOWER(TRIM(K177)),'Students'!$AF$2:$AF$701,0),IFERROR(MATCH(LOWER(TRIM(K177)),'Students'!$AG$2:$AG$701,0),""))))</f>
        <v/>
      </c>
      <c r="R177">
        <f>IF(P177="","",INDEX('Students'!$AD$2:$AD$701,P177))</f>
        <v/>
      </c>
      <c r="S177">
        <f>IF(H177="OK",O177,0)</f>
        <v/>
      </c>
      <c r="T177">
        <f>IF(H177="OK",N177,"")</f>
        <v/>
      </c>
      <c r="U177">
        <f>IF(OC_Donor=0,"",IF(INDEX('OneCause_Paste'!$A$177:$AZ$177,1,OC_Donor)="","",INDEX('OneCause_Paste'!$A$177:$AZ$177,1,OC_Donor)))</f>
        <v/>
      </c>
    </row>
    <row r="178">
      <c r="A178" s="62">
        <f>IF(H178="","",IF(ISNUMBER(N178),N178,I178))</f>
        <v/>
      </c>
      <c r="B178">
        <f>IF(H178="","",U178)</f>
        <v/>
      </c>
      <c r="C178">
        <f>IF(H178="","",IF(P178="",K178,INDEX('Students'!$A$2:$A$701,P178)))</f>
        <v/>
      </c>
      <c r="D178">
        <f>IF(OR(H178="",P178=""),"",INDEX('Students'!$B$2:$B$701,P178))</f>
        <v/>
      </c>
      <c r="E178">
        <f>IF(OR(H178="",P178=""),"",INDEX('Students'!$C$2:$C$701,P178))</f>
        <v/>
      </c>
      <c r="F178" s="48">
        <f>IF(H178="","",IF(ISNUMBER(O178),O178,J178))</f>
        <v/>
      </c>
      <c r="G178">
        <f>IF(H178="","","OneCause")</f>
        <v/>
      </c>
      <c r="H178">
        <f>IF(AND(I178="",J178="",K178=""),"",IF(NOT(ISNUMBER(O178)),"Bad amount",IF(O178&lt;0,"Refund (not counted)",IF(O178=0,"Zero amount",IF(NOT(ISNUMBER(N178)),"Bad date",IF(P178="","NAME NOT ON ROSTER",IF(L178="","OK",IF(MATCH(L178,$L$2:$L$3001,0)&lt;ROW()-1,"Duplicate (ignored)","OK"))))))))</f>
        <v/>
      </c>
      <c r="I178">
        <f>IF(OC_Date=0,"",IF(INDEX('OneCause_Paste'!$A$178:$AZ$178,1,OC_Date)="","",INDEX('OneCause_Paste'!$A$178:$AZ$178,1,OC_Date)))</f>
        <v/>
      </c>
      <c r="J178">
        <f>IF(OC_Amt=0,"",IF(INDEX('OneCause_Paste'!$A$178:$AZ$178,1,OC_Amt)="","",INDEX('OneCause_Paste'!$A$178:$AZ$178,1,OC_Amt)))</f>
        <v/>
      </c>
      <c r="K178">
        <f>IF(OC_Name=0,"",IF(INDEX('OneCause_Paste'!$A$178:$AZ$178,1,OC_Name)="","",INDEX('OneCause_Paste'!$A$178:$AZ$178,1,OC_Name)))</f>
        <v/>
      </c>
      <c r="L178">
        <f>IF(OC_Txn=0,"",IF(INDEX('OneCause_Paste'!$A$178:$AZ$178,1,OC_Txn)="","",INDEX('OneCause_Paste'!$A$178:$AZ$178,1,OC_Txn)))</f>
        <v/>
      </c>
      <c r="M178">
        <f>IF(OC_Pay=0,"",IF(INDEX('OneCause_Paste'!$A$178:$AZ$178,1,OC_Pay)="","",INDEX('OneCause_Paste'!$A$178:$AZ$178,1,OC_Pay)))</f>
        <v/>
      </c>
      <c r="N178">
        <f>IF(I178="","",IF(ISNUMBER(I178),INT(I178),IFERROR(INT(DATEVALUE(I178)),IFERROR(INT(VALUE(I178)),"bad"))))</f>
        <v/>
      </c>
      <c r="O178">
        <f>IF(J178="","",IF(ISNUMBER(J178),ROUND(J178,2),IFERROR(ROUND(VALUE(SUBSTITUTE(SUBSTITUTE(SUBSTITUTE(J178,"$",""),",","")," ","")),2),"bad")))</f>
        <v/>
      </c>
      <c r="P178">
        <f>IF(TRIM(K178)="","",IFERROR(MATCH(LOWER(TRIM(K178)),'Students'!$AH$2:$AH$701,0),IFERROR(MATCH(LOWER(TRIM(K178)),'Students'!$AF$2:$AF$701,0),IFERROR(MATCH(LOWER(TRIM(K178)),'Students'!$AG$2:$AG$701,0),""))))</f>
        <v/>
      </c>
      <c r="R178">
        <f>IF(P178="","",INDEX('Students'!$AD$2:$AD$701,P178))</f>
        <v/>
      </c>
      <c r="S178">
        <f>IF(H178="OK",O178,0)</f>
        <v/>
      </c>
      <c r="T178">
        <f>IF(H178="OK",N178,"")</f>
        <v/>
      </c>
      <c r="U178">
        <f>IF(OC_Donor=0,"",IF(INDEX('OneCause_Paste'!$A$178:$AZ$178,1,OC_Donor)="","",INDEX('OneCause_Paste'!$A$178:$AZ$178,1,OC_Donor)))</f>
        <v/>
      </c>
    </row>
    <row r="179">
      <c r="A179" s="62">
        <f>IF(H179="","",IF(ISNUMBER(N179),N179,I179))</f>
        <v/>
      </c>
      <c r="B179">
        <f>IF(H179="","",U179)</f>
        <v/>
      </c>
      <c r="C179">
        <f>IF(H179="","",IF(P179="",K179,INDEX('Students'!$A$2:$A$701,P179)))</f>
        <v/>
      </c>
      <c r="D179">
        <f>IF(OR(H179="",P179=""),"",INDEX('Students'!$B$2:$B$701,P179))</f>
        <v/>
      </c>
      <c r="E179">
        <f>IF(OR(H179="",P179=""),"",INDEX('Students'!$C$2:$C$701,P179))</f>
        <v/>
      </c>
      <c r="F179" s="48">
        <f>IF(H179="","",IF(ISNUMBER(O179),O179,J179))</f>
        <v/>
      </c>
      <c r="G179">
        <f>IF(H179="","","OneCause")</f>
        <v/>
      </c>
      <c r="H179">
        <f>IF(AND(I179="",J179="",K179=""),"",IF(NOT(ISNUMBER(O179)),"Bad amount",IF(O179&lt;0,"Refund (not counted)",IF(O179=0,"Zero amount",IF(NOT(ISNUMBER(N179)),"Bad date",IF(P179="","NAME NOT ON ROSTER",IF(L179="","OK",IF(MATCH(L179,$L$2:$L$3001,0)&lt;ROW()-1,"Duplicate (ignored)","OK"))))))))</f>
        <v/>
      </c>
      <c r="I179">
        <f>IF(OC_Date=0,"",IF(INDEX('OneCause_Paste'!$A$179:$AZ$179,1,OC_Date)="","",INDEX('OneCause_Paste'!$A$179:$AZ$179,1,OC_Date)))</f>
        <v/>
      </c>
      <c r="J179">
        <f>IF(OC_Amt=0,"",IF(INDEX('OneCause_Paste'!$A$179:$AZ$179,1,OC_Amt)="","",INDEX('OneCause_Paste'!$A$179:$AZ$179,1,OC_Amt)))</f>
        <v/>
      </c>
      <c r="K179">
        <f>IF(OC_Name=0,"",IF(INDEX('OneCause_Paste'!$A$179:$AZ$179,1,OC_Name)="","",INDEX('OneCause_Paste'!$A$179:$AZ$179,1,OC_Name)))</f>
        <v/>
      </c>
      <c r="L179">
        <f>IF(OC_Txn=0,"",IF(INDEX('OneCause_Paste'!$A$179:$AZ$179,1,OC_Txn)="","",INDEX('OneCause_Paste'!$A$179:$AZ$179,1,OC_Txn)))</f>
        <v/>
      </c>
      <c r="M179">
        <f>IF(OC_Pay=0,"",IF(INDEX('OneCause_Paste'!$A$179:$AZ$179,1,OC_Pay)="","",INDEX('OneCause_Paste'!$A$179:$AZ$179,1,OC_Pay)))</f>
        <v/>
      </c>
      <c r="N179">
        <f>IF(I179="","",IF(ISNUMBER(I179),INT(I179),IFERROR(INT(DATEVALUE(I179)),IFERROR(INT(VALUE(I179)),"bad"))))</f>
        <v/>
      </c>
      <c r="O179">
        <f>IF(J179="","",IF(ISNUMBER(J179),ROUND(J179,2),IFERROR(ROUND(VALUE(SUBSTITUTE(SUBSTITUTE(SUBSTITUTE(J179,"$",""),",","")," ","")),2),"bad")))</f>
        <v/>
      </c>
      <c r="P179">
        <f>IF(TRIM(K179)="","",IFERROR(MATCH(LOWER(TRIM(K179)),'Students'!$AH$2:$AH$701,0),IFERROR(MATCH(LOWER(TRIM(K179)),'Students'!$AF$2:$AF$701,0),IFERROR(MATCH(LOWER(TRIM(K179)),'Students'!$AG$2:$AG$701,0),""))))</f>
        <v/>
      </c>
      <c r="R179">
        <f>IF(P179="","",INDEX('Students'!$AD$2:$AD$701,P179))</f>
        <v/>
      </c>
      <c r="S179">
        <f>IF(H179="OK",O179,0)</f>
        <v/>
      </c>
      <c r="T179">
        <f>IF(H179="OK",N179,"")</f>
        <v/>
      </c>
      <c r="U179">
        <f>IF(OC_Donor=0,"",IF(INDEX('OneCause_Paste'!$A$179:$AZ$179,1,OC_Donor)="","",INDEX('OneCause_Paste'!$A$179:$AZ$179,1,OC_Donor)))</f>
        <v/>
      </c>
    </row>
    <row r="180">
      <c r="A180" s="62">
        <f>IF(H180="","",IF(ISNUMBER(N180),N180,I180))</f>
        <v/>
      </c>
      <c r="B180">
        <f>IF(H180="","",U180)</f>
        <v/>
      </c>
      <c r="C180">
        <f>IF(H180="","",IF(P180="",K180,INDEX('Students'!$A$2:$A$701,P180)))</f>
        <v/>
      </c>
      <c r="D180">
        <f>IF(OR(H180="",P180=""),"",INDEX('Students'!$B$2:$B$701,P180))</f>
        <v/>
      </c>
      <c r="E180">
        <f>IF(OR(H180="",P180=""),"",INDEX('Students'!$C$2:$C$701,P180))</f>
        <v/>
      </c>
      <c r="F180" s="48">
        <f>IF(H180="","",IF(ISNUMBER(O180),O180,J180))</f>
        <v/>
      </c>
      <c r="G180">
        <f>IF(H180="","","OneCause")</f>
        <v/>
      </c>
      <c r="H180">
        <f>IF(AND(I180="",J180="",K180=""),"",IF(NOT(ISNUMBER(O180)),"Bad amount",IF(O180&lt;0,"Refund (not counted)",IF(O180=0,"Zero amount",IF(NOT(ISNUMBER(N180)),"Bad date",IF(P180="","NAME NOT ON ROSTER",IF(L180="","OK",IF(MATCH(L180,$L$2:$L$3001,0)&lt;ROW()-1,"Duplicate (ignored)","OK"))))))))</f>
        <v/>
      </c>
      <c r="I180">
        <f>IF(OC_Date=0,"",IF(INDEX('OneCause_Paste'!$A$180:$AZ$180,1,OC_Date)="","",INDEX('OneCause_Paste'!$A$180:$AZ$180,1,OC_Date)))</f>
        <v/>
      </c>
      <c r="J180">
        <f>IF(OC_Amt=0,"",IF(INDEX('OneCause_Paste'!$A$180:$AZ$180,1,OC_Amt)="","",INDEX('OneCause_Paste'!$A$180:$AZ$180,1,OC_Amt)))</f>
        <v/>
      </c>
      <c r="K180">
        <f>IF(OC_Name=0,"",IF(INDEX('OneCause_Paste'!$A$180:$AZ$180,1,OC_Name)="","",INDEX('OneCause_Paste'!$A$180:$AZ$180,1,OC_Name)))</f>
        <v/>
      </c>
      <c r="L180">
        <f>IF(OC_Txn=0,"",IF(INDEX('OneCause_Paste'!$A$180:$AZ$180,1,OC_Txn)="","",INDEX('OneCause_Paste'!$A$180:$AZ$180,1,OC_Txn)))</f>
        <v/>
      </c>
      <c r="M180">
        <f>IF(OC_Pay=0,"",IF(INDEX('OneCause_Paste'!$A$180:$AZ$180,1,OC_Pay)="","",INDEX('OneCause_Paste'!$A$180:$AZ$180,1,OC_Pay)))</f>
        <v/>
      </c>
      <c r="N180">
        <f>IF(I180="","",IF(ISNUMBER(I180),INT(I180),IFERROR(INT(DATEVALUE(I180)),IFERROR(INT(VALUE(I180)),"bad"))))</f>
        <v/>
      </c>
      <c r="O180">
        <f>IF(J180="","",IF(ISNUMBER(J180),ROUND(J180,2),IFERROR(ROUND(VALUE(SUBSTITUTE(SUBSTITUTE(SUBSTITUTE(J180,"$",""),",","")," ","")),2),"bad")))</f>
        <v/>
      </c>
      <c r="P180">
        <f>IF(TRIM(K180)="","",IFERROR(MATCH(LOWER(TRIM(K180)),'Students'!$AH$2:$AH$701,0),IFERROR(MATCH(LOWER(TRIM(K180)),'Students'!$AF$2:$AF$701,0),IFERROR(MATCH(LOWER(TRIM(K180)),'Students'!$AG$2:$AG$701,0),""))))</f>
        <v/>
      </c>
      <c r="R180">
        <f>IF(P180="","",INDEX('Students'!$AD$2:$AD$701,P180))</f>
        <v/>
      </c>
      <c r="S180">
        <f>IF(H180="OK",O180,0)</f>
        <v/>
      </c>
      <c r="T180">
        <f>IF(H180="OK",N180,"")</f>
        <v/>
      </c>
      <c r="U180">
        <f>IF(OC_Donor=0,"",IF(INDEX('OneCause_Paste'!$A$180:$AZ$180,1,OC_Donor)="","",INDEX('OneCause_Paste'!$A$180:$AZ$180,1,OC_Donor)))</f>
        <v/>
      </c>
    </row>
    <row r="181">
      <c r="A181" s="62">
        <f>IF(H181="","",IF(ISNUMBER(N181),N181,I181))</f>
        <v/>
      </c>
      <c r="B181">
        <f>IF(H181="","",U181)</f>
        <v/>
      </c>
      <c r="C181">
        <f>IF(H181="","",IF(P181="",K181,INDEX('Students'!$A$2:$A$701,P181)))</f>
        <v/>
      </c>
      <c r="D181">
        <f>IF(OR(H181="",P181=""),"",INDEX('Students'!$B$2:$B$701,P181))</f>
        <v/>
      </c>
      <c r="E181">
        <f>IF(OR(H181="",P181=""),"",INDEX('Students'!$C$2:$C$701,P181))</f>
        <v/>
      </c>
      <c r="F181" s="48">
        <f>IF(H181="","",IF(ISNUMBER(O181),O181,J181))</f>
        <v/>
      </c>
      <c r="G181">
        <f>IF(H181="","","OneCause")</f>
        <v/>
      </c>
      <c r="H181">
        <f>IF(AND(I181="",J181="",K181=""),"",IF(NOT(ISNUMBER(O181)),"Bad amount",IF(O181&lt;0,"Refund (not counted)",IF(O181=0,"Zero amount",IF(NOT(ISNUMBER(N181)),"Bad date",IF(P181="","NAME NOT ON ROSTER",IF(L181="","OK",IF(MATCH(L181,$L$2:$L$3001,0)&lt;ROW()-1,"Duplicate (ignored)","OK"))))))))</f>
        <v/>
      </c>
      <c r="I181">
        <f>IF(OC_Date=0,"",IF(INDEX('OneCause_Paste'!$A$181:$AZ$181,1,OC_Date)="","",INDEX('OneCause_Paste'!$A$181:$AZ$181,1,OC_Date)))</f>
        <v/>
      </c>
      <c r="J181">
        <f>IF(OC_Amt=0,"",IF(INDEX('OneCause_Paste'!$A$181:$AZ$181,1,OC_Amt)="","",INDEX('OneCause_Paste'!$A$181:$AZ$181,1,OC_Amt)))</f>
        <v/>
      </c>
      <c r="K181">
        <f>IF(OC_Name=0,"",IF(INDEX('OneCause_Paste'!$A$181:$AZ$181,1,OC_Name)="","",INDEX('OneCause_Paste'!$A$181:$AZ$181,1,OC_Name)))</f>
        <v/>
      </c>
      <c r="L181">
        <f>IF(OC_Txn=0,"",IF(INDEX('OneCause_Paste'!$A$181:$AZ$181,1,OC_Txn)="","",INDEX('OneCause_Paste'!$A$181:$AZ$181,1,OC_Txn)))</f>
        <v/>
      </c>
      <c r="M181">
        <f>IF(OC_Pay=0,"",IF(INDEX('OneCause_Paste'!$A$181:$AZ$181,1,OC_Pay)="","",INDEX('OneCause_Paste'!$A$181:$AZ$181,1,OC_Pay)))</f>
        <v/>
      </c>
      <c r="N181">
        <f>IF(I181="","",IF(ISNUMBER(I181),INT(I181),IFERROR(INT(DATEVALUE(I181)),IFERROR(INT(VALUE(I181)),"bad"))))</f>
        <v/>
      </c>
      <c r="O181">
        <f>IF(J181="","",IF(ISNUMBER(J181),ROUND(J181,2),IFERROR(ROUND(VALUE(SUBSTITUTE(SUBSTITUTE(SUBSTITUTE(J181,"$",""),",","")," ","")),2),"bad")))</f>
        <v/>
      </c>
      <c r="P181">
        <f>IF(TRIM(K181)="","",IFERROR(MATCH(LOWER(TRIM(K181)),'Students'!$AH$2:$AH$701,0),IFERROR(MATCH(LOWER(TRIM(K181)),'Students'!$AF$2:$AF$701,0),IFERROR(MATCH(LOWER(TRIM(K181)),'Students'!$AG$2:$AG$701,0),""))))</f>
        <v/>
      </c>
      <c r="R181">
        <f>IF(P181="","",INDEX('Students'!$AD$2:$AD$701,P181))</f>
        <v/>
      </c>
      <c r="S181">
        <f>IF(H181="OK",O181,0)</f>
        <v/>
      </c>
      <c r="T181">
        <f>IF(H181="OK",N181,"")</f>
        <v/>
      </c>
      <c r="U181">
        <f>IF(OC_Donor=0,"",IF(INDEX('OneCause_Paste'!$A$181:$AZ$181,1,OC_Donor)="","",INDEX('OneCause_Paste'!$A$181:$AZ$181,1,OC_Donor)))</f>
        <v/>
      </c>
    </row>
    <row r="182">
      <c r="A182" s="62">
        <f>IF(H182="","",IF(ISNUMBER(N182),N182,I182))</f>
        <v/>
      </c>
      <c r="B182">
        <f>IF(H182="","",U182)</f>
        <v/>
      </c>
      <c r="C182">
        <f>IF(H182="","",IF(P182="",K182,INDEX('Students'!$A$2:$A$701,P182)))</f>
        <v/>
      </c>
      <c r="D182">
        <f>IF(OR(H182="",P182=""),"",INDEX('Students'!$B$2:$B$701,P182))</f>
        <v/>
      </c>
      <c r="E182">
        <f>IF(OR(H182="",P182=""),"",INDEX('Students'!$C$2:$C$701,P182))</f>
        <v/>
      </c>
      <c r="F182" s="48">
        <f>IF(H182="","",IF(ISNUMBER(O182),O182,J182))</f>
        <v/>
      </c>
      <c r="G182">
        <f>IF(H182="","","OneCause")</f>
        <v/>
      </c>
      <c r="H182">
        <f>IF(AND(I182="",J182="",K182=""),"",IF(NOT(ISNUMBER(O182)),"Bad amount",IF(O182&lt;0,"Refund (not counted)",IF(O182=0,"Zero amount",IF(NOT(ISNUMBER(N182)),"Bad date",IF(P182="","NAME NOT ON ROSTER",IF(L182="","OK",IF(MATCH(L182,$L$2:$L$3001,0)&lt;ROW()-1,"Duplicate (ignored)","OK"))))))))</f>
        <v/>
      </c>
      <c r="I182">
        <f>IF(OC_Date=0,"",IF(INDEX('OneCause_Paste'!$A$182:$AZ$182,1,OC_Date)="","",INDEX('OneCause_Paste'!$A$182:$AZ$182,1,OC_Date)))</f>
        <v/>
      </c>
      <c r="J182">
        <f>IF(OC_Amt=0,"",IF(INDEX('OneCause_Paste'!$A$182:$AZ$182,1,OC_Amt)="","",INDEX('OneCause_Paste'!$A$182:$AZ$182,1,OC_Amt)))</f>
        <v/>
      </c>
      <c r="K182">
        <f>IF(OC_Name=0,"",IF(INDEX('OneCause_Paste'!$A$182:$AZ$182,1,OC_Name)="","",INDEX('OneCause_Paste'!$A$182:$AZ$182,1,OC_Name)))</f>
        <v/>
      </c>
      <c r="L182">
        <f>IF(OC_Txn=0,"",IF(INDEX('OneCause_Paste'!$A$182:$AZ$182,1,OC_Txn)="","",INDEX('OneCause_Paste'!$A$182:$AZ$182,1,OC_Txn)))</f>
        <v/>
      </c>
      <c r="M182">
        <f>IF(OC_Pay=0,"",IF(INDEX('OneCause_Paste'!$A$182:$AZ$182,1,OC_Pay)="","",INDEX('OneCause_Paste'!$A$182:$AZ$182,1,OC_Pay)))</f>
        <v/>
      </c>
      <c r="N182">
        <f>IF(I182="","",IF(ISNUMBER(I182),INT(I182),IFERROR(INT(DATEVALUE(I182)),IFERROR(INT(VALUE(I182)),"bad"))))</f>
        <v/>
      </c>
      <c r="O182">
        <f>IF(J182="","",IF(ISNUMBER(J182),ROUND(J182,2),IFERROR(ROUND(VALUE(SUBSTITUTE(SUBSTITUTE(SUBSTITUTE(J182,"$",""),",","")," ","")),2),"bad")))</f>
        <v/>
      </c>
      <c r="P182">
        <f>IF(TRIM(K182)="","",IFERROR(MATCH(LOWER(TRIM(K182)),'Students'!$AH$2:$AH$701,0),IFERROR(MATCH(LOWER(TRIM(K182)),'Students'!$AF$2:$AF$701,0),IFERROR(MATCH(LOWER(TRIM(K182)),'Students'!$AG$2:$AG$701,0),""))))</f>
        <v/>
      </c>
      <c r="R182">
        <f>IF(P182="","",INDEX('Students'!$AD$2:$AD$701,P182))</f>
        <v/>
      </c>
      <c r="S182">
        <f>IF(H182="OK",O182,0)</f>
        <v/>
      </c>
      <c r="T182">
        <f>IF(H182="OK",N182,"")</f>
        <v/>
      </c>
      <c r="U182">
        <f>IF(OC_Donor=0,"",IF(INDEX('OneCause_Paste'!$A$182:$AZ$182,1,OC_Donor)="","",INDEX('OneCause_Paste'!$A$182:$AZ$182,1,OC_Donor)))</f>
        <v/>
      </c>
    </row>
    <row r="183">
      <c r="A183" s="62">
        <f>IF(H183="","",IF(ISNUMBER(N183),N183,I183))</f>
        <v/>
      </c>
      <c r="B183">
        <f>IF(H183="","",U183)</f>
        <v/>
      </c>
      <c r="C183">
        <f>IF(H183="","",IF(P183="",K183,INDEX('Students'!$A$2:$A$701,P183)))</f>
        <v/>
      </c>
      <c r="D183">
        <f>IF(OR(H183="",P183=""),"",INDEX('Students'!$B$2:$B$701,P183))</f>
        <v/>
      </c>
      <c r="E183">
        <f>IF(OR(H183="",P183=""),"",INDEX('Students'!$C$2:$C$701,P183))</f>
        <v/>
      </c>
      <c r="F183" s="48">
        <f>IF(H183="","",IF(ISNUMBER(O183),O183,J183))</f>
        <v/>
      </c>
      <c r="G183">
        <f>IF(H183="","","OneCause")</f>
        <v/>
      </c>
      <c r="H183">
        <f>IF(AND(I183="",J183="",K183=""),"",IF(NOT(ISNUMBER(O183)),"Bad amount",IF(O183&lt;0,"Refund (not counted)",IF(O183=0,"Zero amount",IF(NOT(ISNUMBER(N183)),"Bad date",IF(P183="","NAME NOT ON ROSTER",IF(L183="","OK",IF(MATCH(L183,$L$2:$L$3001,0)&lt;ROW()-1,"Duplicate (ignored)","OK"))))))))</f>
        <v/>
      </c>
      <c r="I183">
        <f>IF(OC_Date=0,"",IF(INDEX('OneCause_Paste'!$A$183:$AZ$183,1,OC_Date)="","",INDEX('OneCause_Paste'!$A$183:$AZ$183,1,OC_Date)))</f>
        <v/>
      </c>
      <c r="J183">
        <f>IF(OC_Amt=0,"",IF(INDEX('OneCause_Paste'!$A$183:$AZ$183,1,OC_Amt)="","",INDEX('OneCause_Paste'!$A$183:$AZ$183,1,OC_Amt)))</f>
        <v/>
      </c>
      <c r="K183">
        <f>IF(OC_Name=0,"",IF(INDEX('OneCause_Paste'!$A$183:$AZ$183,1,OC_Name)="","",INDEX('OneCause_Paste'!$A$183:$AZ$183,1,OC_Name)))</f>
        <v/>
      </c>
      <c r="L183">
        <f>IF(OC_Txn=0,"",IF(INDEX('OneCause_Paste'!$A$183:$AZ$183,1,OC_Txn)="","",INDEX('OneCause_Paste'!$A$183:$AZ$183,1,OC_Txn)))</f>
        <v/>
      </c>
      <c r="M183">
        <f>IF(OC_Pay=0,"",IF(INDEX('OneCause_Paste'!$A$183:$AZ$183,1,OC_Pay)="","",INDEX('OneCause_Paste'!$A$183:$AZ$183,1,OC_Pay)))</f>
        <v/>
      </c>
      <c r="N183">
        <f>IF(I183="","",IF(ISNUMBER(I183),INT(I183),IFERROR(INT(DATEVALUE(I183)),IFERROR(INT(VALUE(I183)),"bad"))))</f>
        <v/>
      </c>
      <c r="O183">
        <f>IF(J183="","",IF(ISNUMBER(J183),ROUND(J183,2),IFERROR(ROUND(VALUE(SUBSTITUTE(SUBSTITUTE(SUBSTITUTE(J183,"$",""),",","")," ","")),2),"bad")))</f>
        <v/>
      </c>
      <c r="P183">
        <f>IF(TRIM(K183)="","",IFERROR(MATCH(LOWER(TRIM(K183)),'Students'!$AH$2:$AH$701,0),IFERROR(MATCH(LOWER(TRIM(K183)),'Students'!$AF$2:$AF$701,0),IFERROR(MATCH(LOWER(TRIM(K183)),'Students'!$AG$2:$AG$701,0),""))))</f>
        <v/>
      </c>
      <c r="R183">
        <f>IF(P183="","",INDEX('Students'!$AD$2:$AD$701,P183))</f>
        <v/>
      </c>
      <c r="S183">
        <f>IF(H183="OK",O183,0)</f>
        <v/>
      </c>
      <c r="T183">
        <f>IF(H183="OK",N183,"")</f>
        <v/>
      </c>
      <c r="U183">
        <f>IF(OC_Donor=0,"",IF(INDEX('OneCause_Paste'!$A$183:$AZ$183,1,OC_Donor)="","",INDEX('OneCause_Paste'!$A$183:$AZ$183,1,OC_Donor)))</f>
        <v/>
      </c>
    </row>
    <row r="184">
      <c r="A184" s="62">
        <f>IF(H184="","",IF(ISNUMBER(N184),N184,I184))</f>
        <v/>
      </c>
      <c r="B184">
        <f>IF(H184="","",U184)</f>
        <v/>
      </c>
      <c r="C184">
        <f>IF(H184="","",IF(P184="",K184,INDEX('Students'!$A$2:$A$701,P184)))</f>
        <v/>
      </c>
      <c r="D184">
        <f>IF(OR(H184="",P184=""),"",INDEX('Students'!$B$2:$B$701,P184))</f>
        <v/>
      </c>
      <c r="E184">
        <f>IF(OR(H184="",P184=""),"",INDEX('Students'!$C$2:$C$701,P184))</f>
        <v/>
      </c>
      <c r="F184" s="48">
        <f>IF(H184="","",IF(ISNUMBER(O184),O184,J184))</f>
        <v/>
      </c>
      <c r="G184">
        <f>IF(H184="","","OneCause")</f>
        <v/>
      </c>
      <c r="H184">
        <f>IF(AND(I184="",J184="",K184=""),"",IF(NOT(ISNUMBER(O184)),"Bad amount",IF(O184&lt;0,"Refund (not counted)",IF(O184=0,"Zero amount",IF(NOT(ISNUMBER(N184)),"Bad date",IF(P184="","NAME NOT ON ROSTER",IF(L184="","OK",IF(MATCH(L184,$L$2:$L$3001,0)&lt;ROW()-1,"Duplicate (ignored)","OK"))))))))</f>
        <v/>
      </c>
      <c r="I184">
        <f>IF(OC_Date=0,"",IF(INDEX('OneCause_Paste'!$A$184:$AZ$184,1,OC_Date)="","",INDEX('OneCause_Paste'!$A$184:$AZ$184,1,OC_Date)))</f>
        <v/>
      </c>
      <c r="J184">
        <f>IF(OC_Amt=0,"",IF(INDEX('OneCause_Paste'!$A$184:$AZ$184,1,OC_Amt)="","",INDEX('OneCause_Paste'!$A$184:$AZ$184,1,OC_Amt)))</f>
        <v/>
      </c>
      <c r="K184">
        <f>IF(OC_Name=0,"",IF(INDEX('OneCause_Paste'!$A$184:$AZ$184,1,OC_Name)="","",INDEX('OneCause_Paste'!$A$184:$AZ$184,1,OC_Name)))</f>
        <v/>
      </c>
      <c r="L184">
        <f>IF(OC_Txn=0,"",IF(INDEX('OneCause_Paste'!$A$184:$AZ$184,1,OC_Txn)="","",INDEX('OneCause_Paste'!$A$184:$AZ$184,1,OC_Txn)))</f>
        <v/>
      </c>
      <c r="M184">
        <f>IF(OC_Pay=0,"",IF(INDEX('OneCause_Paste'!$A$184:$AZ$184,1,OC_Pay)="","",INDEX('OneCause_Paste'!$A$184:$AZ$184,1,OC_Pay)))</f>
        <v/>
      </c>
      <c r="N184">
        <f>IF(I184="","",IF(ISNUMBER(I184),INT(I184),IFERROR(INT(DATEVALUE(I184)),IFERROR(INT(VALUE(I184)),"bad"))))</f>
        <v/>
      </c>
      <c r="O184">
        <f>IF(J184="","",IF(ISNUMBER(J184),ROUND(J184,2),IFERROR(ROUND(VALUE(SUBSTITUTE(SUBSTITUTE(SUBSTITUTE(J184,"$",""),",","")," ","")),2),"bad")))</f>
        <v/>
      </c>
      <c r="P184">
        <f>IF(TRIM(K184)="","",IFERROR(MATCH(LOWER(TRIM(K184)),'Students'!$AH$2:$AH$701,0),IFERROR(MATCH(LOWER(TRIM(K184)),'Students'!$AF$2:$AF$701,0),IFERROR(MATCH(LOWER(TRIM(K184)),'Students'!$AG$2:$AG$701,0),""))))</f>
        <v/>
      </c>
      <c r="R184">
        <f>IF(P184="","",INDEX('Students'!$AD$2:$AD$701,P184))</f>
        <v/>
      </c>
      <c r="S184">
        <f>IF(H184="OK",O184,0)</f>
        <v/>
      </c>
      <c r="T184">
        <f>IF(H184="OK",N184,"")</f>
        <v/>
      </c>
      <c r="U184">
        <f>IF(OC_Donor=0,"",IF(INDEX('OneCause_Paste'!$A$184:$AZ$184,1,OC_Donor)="","",INDEX('OneCause_Paste'!$A$184:$AZ$184,1,OC_Donor)))</f>
        <v/>
      </c>
    </row>
    <row r="185">
      <c r="A185" s="62">
        <f>IF(H185="","",IF(ISNUMBER(N185),N185,I185))</f>
        <v/>
      </c>
      <c r="B185">
        <f>IF(H185="","",U185)</f>
        <v/>
      </c>
      <c r="C185">
        <f>IF(H185="","",IF(P185="",K185,INDEX('Students'!$A$2:$A$701,P185)))</f>
        <v/>
      </c>
      <c r="D185">
        <f>IF(OR(H185="",P185=""),"",INDEX('Students'!$B$2:$B$701,P185))</f>
        <v/>
      </c>
      <c r="E185">
        <f>IF(OR(H185="",P185=""),"",INDEX('Students'!$C$2:$C$701,P185))</f>
        <v/>
      </c>
      <c r="F185" s="48">
        <f>IF(H185="","",IF(ISNUMBER(O185),O185,J185))</f>
        <v/>
      </c>
      <c r="G185">
        <f>IF(H185="","","OneCause")</f>
        <v/>
      </c>
      <c r="H185">
        <f>IF(AND(I185="",J185="",K185=""),"",IF(NOT(ISNUMBER(O185)),"Bad amount",IF(O185&lt;0,"Refund (not counted)",IF(O185=0,"Zero amount",IF(NOT(ISNUMBER(N185)),"Bad date",IF(P185="","NAME NOT ON ROSTER",IF(L185="","OK",IF(MATCH(L185,$L$2:$L$3001,0)&lt;ROW()-1,"Duplicate (ignored)","OK"))))))))</f>
        <v/>
      </c>
      <c r="I185">
        <f>IF(OC_Date=0,"",IF(INDEX('OneCause_Paste'!$A$185:$AZ$185,1,OC_Date)="","",INDEX('OneCause_Paste'!$A$185:$AZ$185,1,OC_Date)))</f>
        <v/>
      </c>
      <c r="J185">
        <f>IF(OC_Amt=0,"",IF(INDEX('OneCause_Paste'!$A$185:$AZ$185,1,OC_Amt)="","",INDEX('OneCause_Paste'!$A$185:$AZ$185,1,OC_Amt)))</f>
        <v/>
      </c>
      <c r="K185">
        <f>IF(OC_Name=0,"",IF(INDEX('OneCause_Paste'!$A$185:$AZ$185,1,OC_Name)="","",INDEX('OneCause_Paste'!$A$185:$AZ$185,1,OC_Name)))</f>
        <v/>
      </c>
      <c r="L185">
        <f>IF(OC_Txn=0,"",IF(INDEX('OneCause_Paste'!$A$185:$AZ$185,1,OC_Txn)="","",INDEX('OneCause_Paste'!$A$185:$AZ$185,1,OC_Txn)))</f>
        <v/>
      </c>
      <c r="M185">
        <f>IF(OC_Pay=0,"",IF(INDEX('OneCause_Paste'!$A$185:$AZ$185,1,OC_Pay)="","",INDEX('OneCause_Paste'!$A$185:$AZ$185,1,OC_Pay)))</f>
        <v/>
      </c>
      <c r="N185">
        <f>IF(I185="","",IF(ISNUMBER(I185),INT(I185),IFERROR(INT(DATEVALUE(I185)),IFERROR(INT(VALUE(I185)),"bad"))))</f>
        <v/>
      </c>
      <c r="O185">
        <f>IF(J185="","",IF(ISNUMBER(J185),ROUND(J185,2),IFERROR(ROUND(VALUE(SUBSTITUTE(SUBSTITUTE(SUBSTITUTE(J185,"$",""),",","")," ","")),2),"bad")))</f>
        <v/>
      </c>
      <c r="P185">
        <f>IF(TRIM(K185)="","",IFERROR(MATCH(LOWER(TRIM(K185)),'Students'!$AH$2:$AH$701,0),IFERROR(MATCH(LOWER(TRIM(K185)),'Students'!$AF$2:$AF$701,0),IFERROR(MATCH(LOWER(TRIM(K185)),'Students'!$AG$2:$AG$701,0),""))))</f>
        <v/>
      </c>
      <c r="R185">
        <f>IF(P185="","",INDEX('Students'!$AD$2:$AD$701,P185))</f>
        <v/>
      </c>
      <c r="S185">
        <f>IF(H185="OK",O185,0)</f>
        <v/>
      </c>
      <c r="T185">
        <f>IF(H185="OK",N185,"")</f>
        <v/>
      </c>
      <c r="U185">
        <f>IF(OC_Donor=0,"",IF(INDEX('OneCause_Paste'!$A$185:$AZ$185,1,OC_Donor)="","",INDEX('OneCause_Paste'!$A$185:$AZ$185,1,OC_Donor)))</f>
        <v/>
      </c>
    </row>
    <row r="186">
      <c r="A186" s="62">
        <f>IF(H186="","",IF(ISNUMBER(N186),N186,I186))</f>
        <v/>
      </c>
      <c r="B186">
        <f>IF(H186="","",U186)</f>
        <v/>
      </c>
      <c r="C186">
        <f>IF(H186="","",IF(P186="",K186,INDEX('Students'!$A$2:$A$701,P186)))</f>
        <v/>
      </c>
      <c r="D186">
        <f>IF(OR(H186="",P186=""),"",INDEX('Students'!$B$2:$B$701,P186))</f>
        <v/>
      </c>
      <c r="E186">
        <f>IF(OR(H186="",P186=""),"",INDEX('Students'!$C$2:$C$701,P186))</f>
        <v/>
      </c>
      <c r="F186" s="48">
        <f>IF(H186="","",IF(ISNUMBER(O186),O186,J186))</f>
        <v/>
      </c>
      <c r="G186">
        <f>IF(H186="","","OneCause")</f>
        <v/>
      </c>
      <c r="H186">
        <f>IF(AND(I186="",J186="",K186=""),"",IF(NOT(ISNUMBER(O186)),"Bad amount",IF(O186&lt;0,"Refund (not counted)",IF(O186=0,"Zero amount",IF(NOT(ISNUMBER(N186)),"Bad date",IF(P186="","NAME NOT ON ROSTER",IF(L186="","OK",IF(MATCH(L186,$L$2:$L$3001,0)&lt;ROW()-1,"Duplicate (ignored)","OK"))))))))</f>
        <v/>
      </c>
      <c r="I186">
        <f>IF(OC_Date=0,"",IF(INDEX('OneCause_Paste'!$A$186:$AZ$186,1,OC_Date)="","",INDEX('OneCause_Paste'!$A$186:$AZ$186,1,OC_Date)))</f>
        <v/>
      </c>
      <c r="J186">
        <f>IF(OC_Amt=0,"",IF(INDEX('OneCause_Paste'!$A$186:$AZ$186,1,OC_Amt)="","",INDEX('OneCause_Paste'!$A$186:$AZ$186,1,OC_Amt)))</f>
        <v/>
      </c>
      <c r="K186">
        <f>IF(OC_Name=0,"",IF(INDEX('OneCause_Paste'!$A$186:$AZ$186,1,OC_Name)="","",INDEX('OneCause_Paste'!$A$186:$AZ$186,1,OC_Name)))</f>
        <v/>
      </c>
      <c r="L186">
        <f>IF(OC_Txn=0,"",IF(INDEX('OneCause_Paste'!$A$186:$AZ$186,1,OC_Txn)="","",INDEX('OneCause_Paste'!$A$186:$AZ$186,1,OC_Txn)))</f>
        <v/>
      </c>
      <c r="M186">
        <f>IF(OC_Pay=0,"",IF(INDEX('OneCause_Paste'!$A$186:$AZ$186,1,OC_Pay)="","",INDEX('OneCause_Paste'!$A$186:$AZ$186,1,OC_Pay)))</f>
        <v/>
      </c>
      <c r="N186">
        <f>IF(I186="","",IF(ISNUMBER(I186),INT(I186),IFERROR(INT(DATEVALUE(I186)),IFERROR(INT(VALUE(I186)),"bad"))))</f>
        <v/>
      </c>
      <c r="O186">
        <f>IF(J186="","",IF(ISNUMBER(J186),ROUND(J186,2),IFERROR(ROUND(VALUE(SUBSTITUTE(SUBSTITUTE(SUBSTITUTE(J186,"$",""),",","")," ","")),2),"bad")))</f>
        <v/>
      </c>
      <c r="P186">
        <f>IF(TRIM(K186)="","",IFERROR(MATCH(LOWER(TRIM(K186)),'Students'!$AH$2:$AH$701,0),IFERROR(MATCH(LOWER(TRIM(K186)),'Students'!$AF$2:$AF$701,0),IFERROR(MATCH(LOWER(TRIM(K186)),'Students'!$AG$2:$AG$701,0),""))))</f>
        <v/>
      </c>
      <c r="R186">
        <f>IF(P186="","",INDEX('Students'!$AD$2:$AD$701,P186))</f>
        <v/>
      </c>
      <c r="S186">
        <f>IF(H186="OK",O186,0)</f>
        <v/>
      </c>
      <c r="T186">
        <f>IF(H186="OK",N186,"")</f>
        <v/>
      </c>
      <c r="U186">
        <f>IF(OC_Donor=0,"",IF(INDEX('OneCause_Paste'!$A$186:$AZ$186,1,OC_Donor)="","",INDEX('OneCause_Paste'!$A$186:$AZ$186,1,OC_Donor)))</f>
        <v/>
      </c>
    </row>
    <row r="187">
      <c r="A187" s="62">
        <f>IF(H187="","",IF(ISNUMBER(N187),N187,I187))</f>
        <v/>
      </c>
      <c r="B187">
        <f>IF(H187="","",U187)</f>
        <v/>
      </c>
      <c r="C187">
        <f>IF(H187="","",IF(P187="",K187,INDEX('Students'!$A$2:$A$701,P187)))</f>
        <v/>
      </c>
      <c r="D187">
        <f>IF(OR(H187="",P187=""),"",INDEX('Students'!$B$2:$B$701,P187))</f>
        <v/>
      </c>
      <c r="E187">
        <f>IF(OR(H187="",P187=""),"",INDEX('Students'!$C$2:$C$701,P187))</f>
        <v/>
      </c>
      <c r="F187" s="48">
        <f>IF(H187="","",IF(ISNUMBER(O187),O187,J187))</f>
        <v/>
      </c>
      <c r="G187">
        <f>IF(H187="","","OneCause")</f>
        <v/>
      </c>
      <c r="H187">
        <f>IF(AND(I187="",J187="",K187=""),"",IF(NOT(ISNUMBER(O187)),"Bad amount",IF(O187&lt;0,"Refund (not counted)",IF(O187=0,"Zero amount",IF(NOT(ISNUMBER(N187)),"Bad date",IF(P187="","NAME NOT ON ROSTER",IF(L187="","OK",IF(MATCH(L187,$L$2:$L$3001,0)&lt;ROW()-1,"Duplicate (ignored)","OK"))))))))</f>
        <v/>
      </c>
      <c r="I187">
        <f>IF(OC_Date=0,"",IF(INDEX('OneCause_Paste'!$A$187:$AZ$187,1,OC_Date)="","",INDEX('OneCause_Paste'!$A$187:$AZ$187,1,OC_Date)))</f>
        <v/>
      </c>
      <c r="J187">
        <f>IF(OC_Amt=0,"",IF(INDEX('OneCause_Paste'!$A$187:$AZ$187,1,OC_Amt)="","",INDEX('OneCause_Paste'!$A$187:$AZ$187,1,OC_Amt)))</f>
        <v/>
      </c>
      <c r="K187">
        <f>IF(OC_Name=0,"",IF(INDEX('OneCause_Paste'!$A$187:$AZ$187,1,OC_Name)="","",INDEX('OneCause_Paste'!$A$187:$AZ$187,1,OC_Name)))</f>
        <v/>
      </c>
      <c r="L187">
        <f>IF(OC_Txn=0,"",IF(INDEX('OneCause_Paste'!$A$187:$AZ$187,1,OC_Txn)="","",INDEX('OneCause_Paste'!$A$187:$AZ$187,1,OC_Txn)))</f>
        <v/>
      </c>
      <c r="M187">
        <f>IF(OC_Pay=0,"",IF(INDEX('OneCause_Paste'!$A$187:$AZ$187,1,OC_Pay)="","",INDEX('OneCause_Paste'!$A$187:$AZ$187,1,OC_Pay)))</f>
        <v/>
      </c>
      <c r="N187">
        <f>IF(I187="","",IF(ISNUMBER(I187),INT(I187),IFERROR(INT(DATEVALUE(I187)),IFERROR(INT(VALUE(I187)),"bad"))))</f>
        <v/>
      </c>
      <c r="O187">
        <f>IF(J187="","",IF(ISNUMBER(J187),ROUND(J187,2),IFERROR(ROUND(VALUE(SUBSTITUTE(SUBSTITUTE(SUBSTITUTE(J187,"$",""),",","")," ","")),2),"bad")))</f>
        <v/>
      </c>
      <c r="P187">
        <f>IF(TRIM(K187)="","",IFERROR(MATCH(LOWER(TRIM(K187)),'Students'!$AH$2:$AH$701,0),IFERROR(MATCH(LOWER(TRIM(K187)),'Students'!$AF$2:$AF$701,0),IFERROR(MATCH(LOWER(TRIM(K187)),'Students'!$AG$2:$AG$701,0),""))))</f>
        <v/>
      </c>
      <c r="R187">
        <f>IF(P187="","",INDEX('Students'!$AD$2:$AD$701,P187))</f>
        <v/>
      </c>
      <c r="S187">
        <f>IF(H187="OK",O187,0)</f>
        <v/>
      </c>
      <c r="T187">
        <f>IF(H187="OK",N187,"")</f>
        <v/>
      </c>
      <c r="U187">
        <f>IF(OC_Donor=0,"",IF(INDEX('OneCause_Paste'!$A$187:$AZ$187,1,OC_Donor)="","",INDEX('OneCause_Paste'!$A$187:$AZ$187,1,OC_Donor)))</f>
        <v/>
      </c>
    </row>
    <row r="188">
      <c r="A188" s="62">
        <f>IF(H188="","",IF(ISNUMBER(N188),N188,I188))</f>
        <v/>
      </c>
      <c r="B188">
        <f>IF(H188="","",U188)</f>
        <v/>
      </c>
      <c r="C188">
        <f>IF(H188="","",IF(P188="",K188,INDEX('Students'!$A$2:$A$701,P188)))</f>
        <v/>
      </c>
      <c r="D188">
        <f>IF(OR(H188="",P188=""),"",INDEX('Students'!$B$2:$B$701,P188))</f>
        <v/>
      </c>
      <c r="E188">
        <f>IF(OR(H188="",P188=""),"",INDEX('Students'!$C$2:$C$701,P188))</f>
        <v/>
      </c>
      <c r="F188" s="48">
        <f>IF(H188="","",IF(ISNUMBER(O188),O188,J188))</f>
        <v/>
      </c>
      <c r="G188">
        <f>IF(H188="","","OneCause")</f>
        <v/>
      </c>
      <c r="H188">
        <f>IF(AND(I188="",J188="",K188=""),"",IF(NOT(ISNUMBER(O188)),"Bad amount",IF(O188&lt;0,"Refund (not counted)",IF(O188=0,"Zero amount",IF(NOT(ISNUMBER(N188)),"Bad date",IF(P188="","NAME NOT ON ROSTER",IF(L188="","OK",IF(MATCH(L188,$L$2:$L$3001,0)&lt;ROW()-1,"Duplicate (ignored)","OK"))))))))</f>
        <v/>
      </c>
      <c r="I188">
        <f>IF(OC_Date=0,"",IF(INDEX('OneCause_Paste'!$A$188:$AZ$188,1,OC_Date)="","",INDEX('OneCause_Paste'!$A$188:$AZ$188,1,OC_Date)))</f>
        <v/>
      </c>
      <c r="J188">
        <f>IF(OC_Amt=0,"",IF(INDEX('OneCause_Paste'!$A$188:$AZ$188,1,OC_Amt)="","",INDEX('OneCause_Paste'!$A$188:$AZ$188,1,OC_Amt)))</f>
        <v/>
      </c>
      <c r="K188">
        <f>IF(OC_Name=0,"",IF(INDEX('OneCause_Paste'!$A$188:$AZ$188,1,OC_Name)="","",INDEX('OneCause_Paste'!$A$188:$AZ$188,1,OC_Name)))</f>
        <v/>
      </c>
      <c r="L188">
        <f>IF(OC_Txn=0,"",IF(INDEX('OneCause_Paste'!$A$188:$AZ$188,1,OC_Txn)="","",INDEX('OneCause_Paste'!$A$188:$AZ$188,1,OC_Txn)))</f>
        <v/>
      </c>
      <c r="M188">
        <f>IF(OC_Pay=0,"",IF(INDEX('OneCause_Paste'!$A$188:$AZ$188,1,OC_Pay)="","",INDEX('OneCause_Paste'!$A$188:$AZ$188,1,OC_Pay)))</f>
        <v/>
      </c>
      <c r="N188">
        <f>IF(I188="","",IF(ISNUMBER(I188),INT(I188),IFERROR(INT(DATEVALUE(I188)),IFERROR(INT(VALUE(I188)),"bad"))))</f>
        <v/>
      </c>
      <c r="O188">
        <f>IF(J188="","",IF(ISNUMBER(J188),ROUND(J188,2),IFERROR(ROUND(VALUE(SUBSTITUTE(SUBSTITUTE(SUBSTITUTE(J188,"$",""),",","")," ","")),2),"bad")))</f>
        <v/>
      </c>
      <c r="P188">
        <f>IF(TRIM(K188)="","",IFERROR(MATCH(LOWER(TRIM(K188)),'Students'!$AH$2:$AH$701,0),IFERROR(MATCH(LOWER(TRIM(K188)),'Students'!$AF$2:$AF$701,0),IFERROR(MATCH(LOWER(TRIM(K188)),'Students'!$AG$2:$AG$701,0),""))))</f>
        <v/>
      </c>
      <c r="R188">
        <f>IF(P188="","",INDEX('Students'!$AD$2:$AD$701,P188))</f>
        <v/>
      </c>
      <c r="S188">
        <f>IF(H188="OK",O188,0)</f>
        <v/>
      </c>
      <c r="T188">
        <f>IF(H188="OK",N188,"")</f>
        <v/>
      </c>
      <c r="U188">
        <f>IF(OC_Donor=0,"",IF(INDEX('OneCause_Paste'!$A$188:$AZ$188,1,OC_Donor)="","",INDEX('OneCause_Paste'!$A$188:$AZ$188,1,OC_Donor)))</f>
        <v/>
      </c>
    </row>
    <row r="189">
      <c r="A189" s="62">
        <f>IF(H189="","",IF(ISNUMBER(N189),N189,I189))</f>
        <v/>
      </c>
      <c r="B189">
        <f>IF(H189="","",U189)</f>
        <v/>
      </c>
      <c r="C189">
        <f>IF(H189="","",IF(P189="",K189,INDEX('Students'!$A$2:$A$701,P189)))</f>
        <v/>
      </c>
      <c r="D189">
        <f>IF(OR(H189="",P189=""),"",INDEX('Students'!$B$2:$B$701,P189))</f>
        <v/>
      </c>
      <c r="E189">
        <f>IF(OR(H189="",P189=""),"",INDEX('Students'!$C$2:$C$701,P189))</f>
        <v/>
      </c>
      <c r="F189" s="48">
        <f>IF(H189="","",IF(ISNUMBER(O189),O189,J189))</f>
        <v/>
      </c>
      <c r="G189">
        <f>IF(H189="","","OneCause")</f>
        <v/>
      </c>
      <c r="H189">
        <f>IF(AND(I189="",J189="",K189=""),"",IF(NOT(ISNUMBER(O189)),"Bad amount",IF(O189&lt;0,"Refund (not counted)",IF(O189=0,"Zero amount",IF(NOT(ISNUMBER(N189)),"Bad date",IF(P189="","NAME NOT ON ROSTER",IF(L189="","OK",IF(MATCH(L189,$L$2:$L$3001,0)&lt;ROW()-1,"Duplicate (ignored)","OK"))))))))</f>
        <v/>
      </c>
      <c r="I189">
        <f>IF(OC_Date=0,"",IF(INDEX('OneCause_Paste'!$A$189:$AZ$189,1,OC_Date)="","",INDEX('OneCause_Paste'!$A$189:$AZ$189,1,OC_Date)))</f>
        <v/>
      </c>
      <c r="J189">
        <f>IF(OC_Amt=0,"",IF(INDEX('OneCause_Paste'!$A$189:$AZ$189,1,OC_Amt)="","",INDEX('OneCause_Paste'!$A$189:$AZ$189,1,OC_Amt)))</f>
        <v/>
      </c>
      <c r="K189">
        <f>IF(OC_Name=0,"",IF(INDEX('OneCause_Paste'!$A$189:$AZ$189,1,OC_Name)="","",INDEX('OneCause_Paste'!$A$189:$AZ$189,1,OC_Name)))</f>
        <v/>
      </c>
      <c r="L189">
        <f>IF(OC_Txn=0,"",IF(INDEX('OneCause_Paste'!$A$189:$AZ$189,1,OC_Txn)="","",INDEX('OneCause_Paste'!$A$189:$AZ$189,1,OC_Txn)))</f>
        <v/>
      </c>
      <c r="M189">
        <f>IF(OC_Pay=0,"",IF(INDEX('OneCause_Paste'!$A$189:$AZ$189,1,OC_Pay)="","",INDEX('OneCause_Paste'!$A$189:$AZ$189,1,OC_Pay)))</f>
        <v/>
      </c>
      <c r="N189">
        <f>IF(I189="","",IF(ISNUMBER(I189),INT(I189),IFERROR(INT(DATEVALUE(I189)),IFERROR(INT(VALUE(I189)),"bad"))))</f>
        <v/>
      </c>
      <c r="O189">
        <f>IF(J189="","",IF(ISNUMBER(J189),ROUND(J189,2),IFERROR(ROUND(VALUE(SUBSTITUTE(SUBSTITUTE(SUBSTITUTE(J189,"$",""),",","")," ","")),2),"bad")))</f>
        <v/>
      </c>
      <c r="P189">
        <f>IF(TRIM(K189)="","",IFERROR(MATCH(LOWER(TRIM(K189)),'Students'!$AH$2:$AH$701,0),IFERROR(MATCH(LOWER(TRIM(K189)),'Students'!$AF$2:$AF$701,0),IFERROR(MATCH(LOWER(TRIM(K189)),'Students'!$AG$2:$AG$701,0),""))))</f>
        <v/>
      </c>
      <c r="R189">
        <f>IF(P189="","",INDEX('Students'!$AD$2:$AD$701,P189))</f>
        <v/>
      </c>
      <c r="S189">
        <f>IF(H189="OK",O189,0)</f>
        <v/>
      </c>
      <c r="T189">
        <f>IF(H189="OK",N189,"")</f>
        <v/>
      </c>
      <c r="U189">
        <f>IF(OC_Donor=0,"",IF(INDEX('OneCause_Paste'!$A$189:$AZ$189,1,OC_Donor)="","",INDEX('OneCause_Paste'!$A$189:$AZ$189,1,OC_Donor)))</f>
        <v/>
      </c>
    </row>
    <row r="190">
      <c r="A190" s="62">
        <f>IF(H190="","",IF(ISNUMBER(N190),N190,I190))</f>
        <v/>
      </c>
      <c r="B190">
        <f>IF(H190="","",U190)</f>
        <v/>
      </c>
      <c r="C190">
        <f>IF(H190="","",IF(P190="",K190,INDEX('Students'!$A$2:$A$701,P190)))</f>
        <v/>
      </c>
      <c r="D190">
        <f>IF(OR(H190="",P190=""),"",INDEX('Students'!$B$2:$B$701,P190))</f>
        <v/>
      </c>
      <c r="E190">
        <f>IF(OR(H190="",P190=""),"",INDEX('Students'!$C$2:$C$701,P190))</f>
        <v/>
      </c>
      <c r="F190" s="48">
        <f>IF(H190="","",IF(ISNUMBER(O190),O190,J190))</f>
        <v/>
      </c>
      <c r="G190">
        <f>IF(H190="","","OneCause")</f>
        <v/>
      </c>
      <c r="H190">
        <f>IF(AND(I190="",J190="",K190=""),"",IF(NOT(ISNUMBER(O190)),"Bad amount",IF(O190&lt;0,"Refund (not counted)",IF(O190=0,"Zero amount",IF(NOT(ISNUMBER(N190)),"Bad date",IF(P190="","NAME NOT ON ROSTER",IF(L190="","OK",IF(MATCH(L190,$L$2:$L$3001,0)&lt;ROW()-1,"Duplicate (ignored)","OK"))))))))</f>
        <v/>
      </c>
      <c r="I190">
        <f>IF(OC_Date=0,"",IF(INDEX('OneCause_Paste'!$A$190:$AZ$190,1,OC_Date)="","",INDEX('OneCause_Paste'!$A$190:$AZ$190,1,OC_Date)))</f>
        <v/>
      </c>
      <c r="J190">
        <f>IF(OC_Amt=0,"",IF(INDEX('OneCause_Paste'!$A$190:$AZ$190,1,OC_Amt)="","",INDEX('OneCause_Paste'!$A$190:$AZ$190,1,OC_Amt)))</f>
        <v/>
      </c>
      <c r="K190">
        <f>IF(OC_Name=0,"",IF(INDEX('OneCause_Paste'!$A$190:$AZ$190,1,OC_Name)="","",INDEX('OneCause_Paste'!$A$190:$AZ$190,1,OC_Name)))</f>
        <v/>
      </c>
      <c r="L190">
        <f>IF(OC_Txn=0,"",IF(INDEX('OneCause_Paste'!$A$190:$AZ$190,1,OC_Txn)="","",INDEX('OneCause_Paste'!$A$190:$AZ$190,1,OC_Txn)))</f>
        <v/>
      </c>
      <c r="M190">
        <f>IF(OC_Pay=0,"",IF(INDEX('OneCause_Paste'!$A$190:$AZ$190,1,OC_Pay)="","",INDEX('OneCause_Paste'!$A$190:$AZ$190,1,OC_Pay)))</f>
        <v/>
      </c>
      <c r="N190">
        <f>IF(I190="","",IF(ISNUMBER(I190),INT(I190),IFERROR(INT(DATEVALUE(I190)),IFERROR(INT(VALUE(I190)),"bad"))))</f>
        <v/>
      </c>
      <c r="O190">
        <f>IF(J190="","",IF(ISNUMBER(J190),ROUND(J190,2),IFERROR(ROUND(VALUE(SUBSTITUTE(SUBSTITUTE(SUBSTITUTE(J190,"$",""),",","")," ","")),2),"bad")))</f>
        <v/>
      </c>
      <c r="P190">
        <f>IF(TRIM(K190)="","",IFERROR(MATCH(LOWER(TRIM(K190)),'Students'!$AH$2:$AH$701,0),IFERROR(MATCH(LOWER(TRIM(K190)),'Students'!$AF$2:$AF$701,0),IFERROR(MATCH(LOWER(TRIM(K190)),'Students'!$AG$2:$AG$701,0),""))))</f>
        <v/>
      </c>
      <c r="R190">
        <f>IF(P190="","",INDEX('Students'!$AD$2:$AD$701,P190))</f>
        <v/>
      </c>
      <c r="S190">
        <f>IF(H190="OK",O190,0)</f>
        <v/>
      </c>
      <c r="T190">
        <f>IF(H190="OK",N190,"")</f>
        <v/>
      </c>
      <c r="U190">
        <f>IF(OC_Donor=0,"",IF(INDEX('OneCause_Paste'!$A$190:$AZ$190,1,OC_Donor)="","",INDEX('OneCause_Paste'!$A$190:$AZ$190,1,OC_Donor)))</f>
        <v/>
      </c>
    </row>
    <row r="191">
      <c r="A191" s="62">
        <f>IF(H191="","",IF(ISNUMBER(N191),N191,I191))</f>
        <v/>
      </c>
      <c r="B191">
        <f>IF(H191="","",U191)</f>
        <v/>
      </c>
      <c r="C191">
        <f>IF(H191="","",IF(P191="",K191,INDEX('Students'!$A$2:$A$701,P191)))</f>
        <v/>
      </c>
      <c r="D191">
        <f>IF(OR(H191="",P191=""),"",INDEX('Students'!$B$2:$B$701,P191))</f>
        <v/>
      </c>
      <c r="E191">
        <f>IF(OR(H191="",P191=""),"",INDEX('Students'!$C$2:$C$701,P191))</f>
        <v/>
      </c>
      <c r="F191" s="48">
        <f>IF(H191="","",IF(ISNUMBER(O191),O191,J191))</f>
        <v/>
      </c>
      <c r="G191">
        <f>IF(H191="","","OneCause")</f>
        <v/>
      </c>
      <c r="H191">
        <f>IF(AND(I191="",J191="",K191=""),"",IF(NOT(ISNUMBER(O191)),"Bad amount",IF(O191&lt;0,"Refund (not counted)",IF(O191=0,"Zero amount",IF(NOT(ISNUMBER(N191)),"Bad date",IF(P191="","NAME NOT ON ROSTER",IF(L191="","OK",IF(MATCH(L191,$L$2:$L$3001,0)&lt;ROW()-1,"Duplicate (ignored)","OK"))))))))</f>
        <v/>
      </c>
      <c r="I191">
        <f>IF(OC_Date=0,"",IF(INDEX('OneCause_Paste'!$A$191:$AZ$191,1,OC_Date)="","",INDEX('OneCause_Paste'!$A$191:$AZ$191,1,OC_Date)))</f>
        <v/>
      </c>
      <c r="J191">
        <f>IF(OC_Amt=0,"",IF(INDEX('OneCause_Paste'!$A$191:$AZ$191,1,OC_Amt)="","",INDEX('OneCause_Paste'!$A$191:$AZ$191,1,OC_Amt)))</f>
        <v/>
      </c>
      <c r="K191">
        <f>IF(OC_Name=0,"",IF(INDEX('OneCause_Paste'!$A$191:$AZ$191,1,OC_Name)="","",INDEX('OneCause_Paste'!$A$191:$AZ$191,1,OC_Name)))</f>
        <v/>
      </c>
      <c r="L191">
        <f>IF(OC_Txn=0,"",IF(INDEX('OneCause_Paste'!$A$191:$AZ$191,1,OC_Txn)="","",INDEX('OneCause_Paste'!$A$191:$AZ$191,1,OC_Txn)))</f>
        <v/>
      </c>
      <c r="M191">
        <f>IF(OC_Pay=0,"",IF(INDEX('OneCause_Paste'!$A$191:$AZ$191,1,OC_Pay)="","",INDEX('OneCause_Paste'!$A$191:$AZ$191,1,OC_Pay)))</f>
        <v/>
      </c>
      <c r="N191">
        <f>IF(I191="","",IF(ISNUMBER(I191),INT(I191),IFERROR(INT(DATEVALUE(I191)),IFERROR(INT(VALUE(I191)),"bad"))))</f>
        <v/>
      </c>
      <c r="O191">
        <f>IF(J191="","",IF(ISNUMBER(J191),ROUND(J191,2),IFERROR(ROUND(VALUE(SUBSTITUTE(SUBSTITUTE(SUBSTITUTE(J191,"$",""),",","")," ","")),2),"bad")))</f>
        <v/>
      </c>
      <c r="P191">
        <f>IF(TRIM(K191)="","",IFERROR(MATCH(LOWER(TRIM(K191)),'Students'!$AH$2:$AH$701,0),IFERROR(MATCH(LOWER(TRIM(K191)),'Students'!$AF$2:$AF$701,0),IFERROR(MATCH(LOWER(TRIM(K191)),'Students'!$AG$2:$AG$701,0),""))))</f>
        <v/>
      </c>
      <c r="R191">
        <f>IF(P191="","",INDEX('Students'!$AD$2:$AD$701,P191))</f>
        <v/>
      </c>
      <c r="S191">
        <f>IF(H191="OK",O191,0)</f>
        <v/>
      </c>
      <c r="T191">
        <f>IF(H191="OK",N191,"")</f>
        <v/>
      </c>
      <c r="U191">
        <f>IF(OC_Donor=0,"",IF(INDEX('OneCause_Paste'!$A$191:$AZ$191,1,OC_Donor)="","",INDEX('OneCause_Paste'!$A$191:$AZ$191,1,OC_Donor)))</f>
        <v/>
      </c>
    </row>
    <row r="192">
      <c r="A192" s="62">
        <f>IF(H192="","",IF(ISNUMBER(N192),N192,I192))</f>
        <v/>
      </c>
      <c r="B192">
        <f>IF(H192="","",U192)</f>
        <v/>
      </c>
      <c r="C192">
        <f>IF(H192="","",IF(P192="",K192,INDEX('Students'!$A$2:$A$701,P192)))</f>
        <v/>
      </c>
      <c r="D192">
        <f>IF(OR(H192="",P192=""),"",INDEX('Students'!$B$2:$B$701,P192))</f>
        <v/>
      </c>
      <c r="E192">
        <f>IF(OR(H192="",P192=""),"",INDEX('Students'!$C$2:$C$701,P192))</f>
        <v/>
      </c>
      <c r="F192" s="48">
        <f>IF(H192="","",IF(ISNUMBER(O192),O192,J192))</f>
        <v/>
      </c>
      <c r="G192">
        <f>IF(H192="","","OneCause")</f>
        <v/>
      </c>
      <c r="H192">
        <f>IF(AND(I192="",J192="",K192=""),"",IF(NOT(ISNUMBER(O192)),"Bad amount",IF(O192&lt;0,"Refund (not counted)",IF(O192=0,"Zero amount",IF(NOT(ISNUMBER(N192)),"Bad date",IF(P192="","NAME NOT ON ROSTER",IF(L192="","OK",IF(MATCH(L192,$L$2:$L$3001,0)&lt;ROW()-1,"Duplicate (ignored)","OK"))))))))</f>
        <v/>
      </c>
      <c r="I192">
        <f>IF(OC_Date=0,"",IF(INDEX('OneCause_Paste'!$A$192:$AZ$192,1,OC_Date)="","",INDEX('OneCause_Paste'!$A$192:$AZ$192,1,OC_Date)))</f>
        <v/>
      </c>
      <c r="J192">
        <f>IF(OC_Amt=0,"",IF(INDEX('OneCause_Paste'!$A$192:$AZ$192,1,OC_Amt)="","",INDEX('OneCause_Paste'!$A$192:$AZ$192,1,OC_Amt)))</f>
        <v/>
      </c>
      <c r="K192">
        <f>IF(OC_Name=0,"",IF(INDEX('OneCause_Paste'!$A$192:$AZ$192,1,OC_Name)="","",INDEX('OneCause_Paste'!$A$192:$AZ$192,1,OC_Name)))</f>
        <v/>
      </c>
      <c r="L192">
        <f>IF(OC_Txn=0,"",IF(INDEX('OneCause_Paste'!$A$192:$AZ$192,1,OC_Txn)="","",INDEX('OneCause_Paste'!$A$192:$AZ$192,1,OC_Txn)))</f>
        <v/>
      </c>
      <c r="M192">
        <f>IF(OC_Pay=0,"",IF(INDEX('OneCause_Paste'!$A$192:$AZ$192,1,OC_Pay)="","",INDEX('OneCause_Paste'!$A$192:$AZ$192,1,OC_Pay)))</f>
        <v/>
      </c>
      <c r="N192">
        <f>IF(I192="","",IF(ISNUMBER(I192),INT(I192),IFERROR(INT(DATEVALUE(I192)),IFERROR(INT(VALUE(I192)),"bad"))))</f>
        <v/>
      </c>
      <c r="O192">
        <f>IF(J192="","",IF(ISNUMBER(J192),ROUND(J192,2),IFERROR(ROUND(VALUE(SUBSTITUTE(SUBSTITUTE(SUBSTITUTE(J192,"$",""),",","")," ","")),2),"bad")))</f>
        <v/>
      </c>
      <c r="P192">
        <f>IF(TRIM(K192)="","",IFERROR(MATCH(LOWER(TRIM(K192)),'Students'!$AH$2:$AH$701,0),IFERROR(MATCH(LOWER(TRIM(K192)),'Students'!$AF$2:$AF$701,0),IFERROR(MATCH(LOWER(TRIM(K192)),'Students'!$AG$2:$AG$701,0),""))))</f>
        <v/>
      </c>
      <c r="R192">
        <f>IF(P192="","",INDEX('Students'!$AD$2:$AD$701,P192))</f>
        <v/>
      </c>
      <c r="S192">
        <f>IF(H192="OK",O192,0)</f>
        <v/>
      </c>
      <c r="T192">
        <f>IF(H192="OK",N192,"")</f>
        <v/>
      </c>
      <c r="U192">
        <f>IF(OC_Donor=0,"",IF(INDEX('OneCause_Paste'!$A$192:$AZ$192,1,OC_Donor)="","",INDEX('OneCause_Paste'!$A$192:$AZ$192,1,OC_Donor)))</f>
        <v/>
      </c>
    </row>
    <row r="193">
      <c r="A193" s="62">
        <f>IF(H193="","",IF(ISNUMBER(N193),N193,I193))</f>
        <v/>
      </c>
      <c r="B193">
        <f>IF(H193="","",U193)</f>
        <v/>
      </c>
      <c r="C193">
        <f>IF(H193="","",IF(P193="",K193,INDEX('Students'!$A$2:$A$701,P193)))</f>
        <v/>
      </c>
      <c r="D193">
        <f>IF(OR(H193="",P193=""),"",INDEX('Students'!$B$2:$B$701,P193))</f>
        <v/>
      </c>
      <c r="E193">
        <f>IF(OR(H193="",P193=""),"",INDEX('Students'!$C$2:$C$701,P193))</f>
        <v/>
      </c>
      <c r="F193" s="48">
        <f>IF(H193="","",IF(ISNUMBER(O193),O193,J193))</f>
        <v/>
      </c>
      <c r="G193">
        <f>IF(H193="","","OneCause")</f>
        <v/>
      </c>
      <c r="H193">
        <f>IF(AND(I193="",J193="",K193=""),"",IF(NOT(ISNUMBER(O193)),"Bad amount",IF(O193&lt;0,"Refund (not counted)",IF(O193=0,"Zero amount",IF(NOT(ISNUMBER(N193)),"Bad date",IF(P193="","NAME NOT ON ROSTER",IF(L193="","OK",IF(MATCH(L193,$L$2:$L$3001,0)&lt;ROW()-1,"Duplicate (ignored)","OK"))))))))</f>
        <v/>
      </c>
      <c r="I193">
        <f>IF(OC_Date=0,"",IF(INDEX('OneCause_Paste'!$A$193:$AZ$193,1,OC_Date)="","",INDEX('OneCause_Paste'!$A$193:$AZ$193,1,OC_Date)))</f>
        <v/>
      </c>
      <c r="J193">
        <f>IF(OC_Amt=0,"",IF(INDEX('OneCause_Paste'!$A$193:$AZ$193,1,OC_Amt)="","",INDEX('OneCause_Paste'!$A$193:$AZ$193,1,OC_Amt)))</f>
        <v/>
      </c>
      <c r="K193">
        <f>IF(OC_Name=0,"",IF(INDEX('OneCause_Paste'!$A$193:$AZ$193,1,OC_Name)="","",INDEX('OneCause_Paste'!$A$193:$AZ$193,1,OC_Name)))</f>
        <v/>
      </c>
      <c r="L193">
        <f>IF(OC_Txn=0,"",IF(INDEX('OneCause_Paste'!$A$193:$AZ$193,1,OC_Txn)="","",INDEX('OneCause_Paste'!$A$193:$AZ$193,1,OC_Txn)))</f>
        <v/>
      </c>
      <c r="M193">
        <f>IF(OC_Pay=0,"",IF(INDEX('OneCause_Paste'!$A$193:$AZ$193,1,OC_Pay)="","",INDEX('OneCause_Paste'!$A$193:$AZ$193,1,OC_Pay)))</f>
        <v/>
      </c>
      <c r="N193">
        <f>IF(I193="","",IF(ISNUMBER(I193),INT(I193),IFERROR(INT(DATEVALUE(I193)),IFERROR(INT(VALUE(I193)),"bad"))))</f>
        <v/>
      </c>
      <c r="O193">
        <f>IF(J193="","",IF(ISNUMBER(J193),ROUND(J193,2),IFERROR(ROUND(VALUE(SUBSTITUTE(SUBSTITUTE(SUBSTITUTE(J193,"$",""),",","")," ","")),2),"bad")))</f>
        <v/>
      </c>
      <c r="P193">
        <f>IF(TRIM(K193)="","",IFERROR(MATCH(LOWER(TRIM(K193)),'Students'!$AH$2:$AH$701,0),IFERROR(MATCH(LOWER(TRIM(K193)),'Students'!$AF$2:$AF$701,0),IFERROR(MATCH(LOWER(TRIM(K193)),'Students'!$AG$2:$AG$701,0),""))))</f>
        <v/>
      </c>
      <c r="R193">
        <f>IF(P193="","",INDEX('Students'!$AD$2:$AD$701,P193))</f>
        <v/>
      </c>
      <c r="S193">
        <f>IF(H193="OK",O193,0)</f>
        <v/>
      </c>
      <c r="T193">
        <f>IF(H193="OK",N193,"")</f>
        <v/>
      </c>
      <c r="U193">
        <f>IF(OC_Donor=0,"",IF(INDEX('OneCause_Paste'!$A$193:$AZ$193,1,OC_Donor)="","",INDEX('OneCause_Paste'!$A$193:$AZ$193,1,OC_Donor)))</f>
        <v/>
      </c>
    </row>
    <row r="194">
      <c r="A194" s="62">
        <f>IF(H194="","",IF(ISNUMBER(N194),N194,I194))</f>
        <v/>
      </c>
      <c r="B194">
        <f>IF(H194="","",U194)</f>
        <v/>
      </c>
      <c r="C194">
        <f>IF(H194="","",IF(P194="",K194,INDEX('Students'!$A$2:$A$701,P194)))</f>
        <v/>
      </c>
      <c r="D194">
        <f>IF(OR(H194="",P194=""),"",INDEX('Students'!$B$2:$B$701,P194))</f>
        <v/>
      </c>
      <c r="E194">
        <f>IF(OR(H194="",P194=""),"",INDEX('Students'!$C$2:$C$701,P194))</f>
        <v/>
      </c>
      <c r="F194" s="48">
        <f>IF(H194="","",IF(ISNUMBER(O194),O194,J194))</f>
        <v/>
      </c>
      <c r="G194">
        <f>IF(H194="","","OneCause")</f>
        <v/>
      </c>
      <c r="H194">
        <f>IF(AND(I194="",J194="",K194=""),"",IF(NOT(ISNUMBER(O194)),"Bad amount",IF(O194&lt;0,"Refund (not counted)",IF(O194=0,"Zero amount",IF(NOT(ISNUMBER(N194)),"Bad date",IF(P194="","NAME NOT ON ROSTER",IF(L194="","OK",IF(MATCH(L194,$L$2:$L$3001,0)&lt;ROW()-1,"Duplicate (ignored)","OK"))))))))</f>
        <v/>
      </c>
      <c r="I194">
        <f>IF(OC_Date=0,"",IF(INDEX('OneCause_Paste'!$A$194:$AZ$194,1,OC_Date)="","",INDEX('OneCause_Paste'!$A$194:$AZ$194,1,OC_Date)))</f>
        <v/>
      </c>
      <c r="J194">
        <f>IF(OC_Amt=0,"",IF(INDEX('OneCause_Paste'!$A$194:$AZ$194,1,OC_Amt)="","",INDEX('OneCause_Paste'!$A$194:$AZ$194,1,OC_Amt)))</f>
        <v/>
      </c>
      <c r="K194">
        <f>IF(OC_Name=0,"",IF(INDEX('OneCause_Paste'!$A$194:$AZ$194,1,OC_Name)="","",INDEX('OneCause_Paste'!$A$194:$AZ$194,1,OC_Name)))</f>
        <v/>
      </c>
      <c r="L194">
        <f>IF(OC_Txn=0,"",IF(INDEX('OneCause_Paste'!$A$194:$AZ$194,1,OC_Txn)="","",INDEX('OneCause_Paste'!$A$194:$AZ$194,1,OC_Txn)))</f>
        <v/>
      </c>
      <c r="M194">
        <f>IF(OC_Pay=0,"",IF(INDEX('OneCause_Paste'!$A$194:$AZ$194,1,OC_Pay)="","",INDEX('OneCause_Paste'!$A$194:$AZ$194,1,OC_Pay)))</f>
        <v/>
      </c>
      <c r="N194">
        <f>IF(I194="","",IF(ISNUMBER(I194),INT(I194),IFERROR(INT(DATEVALUE(I194)),IFERROR(INT(VALUE(I194)),"bad"))))</f>
        <v/>
      </c>
      <c r="O194">
        <f>IF(J194="","",IF(ISNUMBER(J194),ROUND(J194,2),IFERROR(ROUND(VALUE(SUBSTITUTE(SUBSTITUTE(SUBSTITUTE(J194,"$",""),",","")," ","")),2),"bad")))</f>
        <v/>
      </c>
      <c r="P194">
        <f>IF(TRIM(K194)="","",IFERROR(MATCH(LOWER(TRIM(K194)),'Students'!$AH$2:$AH$701,0),IFERROR(MATCH(LOWER(TRIM(K194)),'Students'!$AF$2:$AF$701,0),IFERROR(MATCH(LOWER(TRIM(K194)),'Students'!$AG$2:$AG$701,0),""))))</f>
        <v/>
      </c>
      <c r="R194">
        <f>IF(P194="","",INDEX('Students'!$AD$2:$AD$701,P194))</f>
        <v/>
      </c>
      <c r="S194">
        <f>IF(H194="OK",O194,0)</f>
        <v/>
      </c>
      <c r="T194">
        <f>IF(H194="OK",N194,"")</f>
        <v/>
      </c>
      <c r="U194">
        <f>IF(OC_Donor=0,"",IF(INDEX('OneCause_Paste'!$A$194:$AZ$194,1,OC_Donor)="","",INDEX('OneCause_Paste'!$A$194:$AZ$194,1,OC_Donor)))</f>
        <v/>
      </c>
    </row>
    <row r="195">
      <c r="A195" s="62">
        <f>IF(H195="","",IF(ISNUMBER(N195),N195,I195))</f>
        <v/>
      </c>
      <c r="B195">
        <f>IF(H195="","",U195)</f>
        <v/>
      </c>
      <c r="C195">
        <f>IF(H195="","",IF(P195="",K195,INDEX('Students'!$A$2:$A$701,P195)))</f>
        <v/>
      </c>
      <c r="D195">
        <f>IF(OR(H195="",P195=""),"",INDEX('Students'!$B$2:$B$701,P195))</f>
        <v/>
      </c>
      <c r="E195">
        <f>IF(OR(H195="",P195=""),"",INDEX('Students'!$C$2:$C$701,P195))</f>
        <v/>
      </c>
      <c r="F195" s="48">
        <f>IF(H195="","",IF(ISNUMBER(O195),O195,J195))</f>
        <v/>
      </c>
      <c r="G195">
        <f>IF(H195="","","OneCause")</f>
        <v/>
      </c>
      <c r="H195">
        <f>IF(AND(I195="",J195="",K195=""),"",IF(NOT(ISNUMBER(O195)),"Bad amount",IF(O195&lt;0,"Refund (not counted)",IF(O195=0,"Zero amount",IF(NOT(ISNUMBER(N195)),"Bad date",IF(P195="","NAME NOT ON ROSTER",IF(L195="","OK",IF(MATCH(L195,$L$2:$L$3001,0)&lt;ROW()-1,"Duplicate (ignored)","OK"))))))))</f>
        <v/>
      </c>
      <c r="I195">
        <f>IF(OC_Date=0,"",IF(INDEX('OneCause_Paste'!$A$195:$AZ$195,1,OC_Date)="","",INDEX('OneCause_Paste'!$A$195:$AZ$195,1,OC_Date)))</f>
        <v/>
      </c>
      <c r="J195">
        <f>IF(OC_Amt=0,"",IF(INDEX('OneCause_Paste'!$A$195:$AZ$195,1,OC_Amt)="","",INDEX('OneCause_Paste'!$A$195:$AZ$195,1,OC_Amt)))</f>
        <v/>
      </c>
      <c r="K195">
        <f>IF(OC_Name=0,"",IF(INDEX('OneCause_Paste'!$A$195:$AZ$195,1,OC_Name)="","",INDEX('OneCause_Paste'!$A$195:$AZ$195,1,OC_Name)))</f>
        <v/>
      </c>
      <c r="L195">
        <f>IF(OC_Txn=0,"",IF(INDEX('OneCause_Paste'!$A$195:$AZ$195,1,OC_Txn)="","",INDEX('OneCause_Paste'!$A$195:$AZ$195,1,OC_Txn)))</f>
        <v/>
      </c>
      <c r="M195">
        <f>IF(OC_Pay=0,"",IF(INDEX('OneCause_Paste'!$A$195:$AZ$195,1,OC_Pay)="","",INDEX('OneCause_Paste'!$A$195:$AZ$195,1,OC_Pay)))</f>
        <v/>
      </c>
      <c r="N195">
        <f>IF(I195="","",IF(ISNUMBER(I195),INT(I195),IFERROR(INT(DATEVALUE(I195)),IFERROR(INT(VALUE(I195)),"bad"))))</f>
        <v/>
      </c>
      <c r="O195">
        <f>IF(J195="","",IF(ISNUMBER(J195),ROUND(J195,2),IFERROR(ROUND(VALUE(SUBSTITUTE(SUBSTITUTE(SUBSTITUTE(J195,"$",""),",","")," ","")),2),"bad")))</f>
        <v/>
      </c>
      <c r="P195">
        <f>IF(TRIM(K195)="","",IFERROR(MATCH(LOWER(TRIM(K195)),'Students'!$AH$2:$AH$701,0),IFERROR(MATCH(LOWER(TRIM(K195)),'Students'!$AF$2:$AF$701,0),IFERROR(MATCH(LOWER(TRIM(K195)),'Students'!$AG$2:$AG$701,0),""))))</f>
        <v/>
      </c>
      <c r="R195">
        <f>IF(P195="","",INDEX('Students'!$AD$2:$AD$701,P195))</f>
        <v/>
      </c>
      <c r="S195">
        <f>IF(H195="OK",O195,0)</f>
        <v/>
      </c>
      <c r="T195">
        <f>IF(H195="OK",N195,"")</f>
        <v/>
      </c>
      <c r="U195">
        <f>IF(OC_Donor=0,"",IF(INDEX('OneCause_Paste'!$A$195:$AZ$195,1,OC_Donor)="","",INDEX('OneCause_Paste'!$A$195:$AZ$195,1,OC_Donor)))</f>
        <v/>
      </c>
    </row>
    <row r="196">
      <c r="A196" s="62">
        <f>IF(H196="","",IF(ISNUMBER(N196),N196,I196))</f>
        <v/>
      </c>
      <c r="B196">
        <f>IF(H196="","",U196)</f>
        <v/>
      </c>
      <c r="C196">
        <f>IF(H196="","",IF(P196="",K196,INDEX('Students'!$A$2:$A$701,P196)))</f>
        <v/>
      </c>
      <c r="D196">
        <f>IF(OR(H196="",P196=""),"",INDEX('Students'!$B$2:$B$701,P196))</f>
        <v/>
      </c>
      <c r="E196">
        <f>IF(OR(H196="",P196=""),"",INDEX('Students'!$C$2:$C$701,P196))</f>
        <v/>
      </c>
      <c r="F196" s="48">
        <f>IF(H196="","",IF(ISNUMBER(O196),O196,J196))</f>
        <v/>
      </c>
      <c r="G196">
        <f>IF(H196="","","OneCause")</f>
        <v/>
      </c>
      <c r="H196">
        <f>IF(AND(I196="",J196="",K196=""),"",IF(NOT(ISNUMBER(O196)),"Bad amount",IF(O196&lt;0,"Refund (not counted)",IF(O196=0,"Zero amount",IF(NOT(ISNUMBER(N196)),"Bad date",IF(P196="","NAME NOT ON ROSTER",IF(L196="","OK",IF(MATCH(L196,$L$2:$L$3001,0)&lt;ROW()-1,"Duplicate (ignored)","OK"))))))))</f>
        <v/>
      </c>
      <c r="I196">
        <f>IF(OC_Date=0,"",IF(INDEX('OneCause_Paste'!$A$196:$AZ$196,1,OC_Date)="","",INDEX('OneCause_Paste'!$A$196:$AZ$196,1,OC_Date)))</f>
        <v/>
      </c>
      <c r="J196">
        <f>IF(OC_Amt=0,"",IF(INDEX('OneCause_Paste'!$A$196:$AZ$196,1,OC_Amt)="","",INDEX('OneCause_Paste'!$A$196:$AZ$196,1,OC_Amt)))</f>
        <v/>
      </c>
      <c r="K196">
        <f>IF(OC_Name=0,"",IF(INDEX('OneCause_Paste'!$A$196:$AZ$196,1,OC_Name)="","",INDEX('OneCause_Paste'!$A$196:$AZ$196,1,OC_Name)))</f>
        <v/>
      </c>
      <c r="L196">
        <f>IF(OC_Txn=0,"",IF(INDEX('OneCause_Paste'!$A$196:$AZ$196,1,OC_Txn)="","",INDEX('OneCause_Paste'!$A$196:$AZ$196,1,OC_Txn)))</f>
        <v/>
      </c>
      <c r="M196">
        <f>IF(OC_Pay=0,"",IF(INDEX('OneCause_Paste'!$A$196:$AZ$196,1,OC_Pay)="","",INDEX('OneCause_Paste'!$A$196:$AZ$196,1,OC_Pay)))</f>
        <v/>
      </c>
      <c r="N196">
        <f>IF(I196="","",IF(ISNUMBER(I196),INT(I196),IFERROR(INT(DATEVALUE(I196)),IFERROR(INT(VALUE(I196)),"bad"))))</f>
        <v/>
      </c>
      <c r="O196">
        <f>IF(J196="","",IF(ISNUMBER(J196),ROUND(J196,2),IFERROR(ROUND(VALUE(SUBSTITUTE(SUBSTITUTE(SUBSTITUTE(J196,"$",""),",","")," ","")),2),"bad")))</f>
        <v/>
      </c>
      <c r="P196">
        <f>IF(TRIM(K196)="","",IFERROR(MATCH(LOWER(TRIM(K196)),'Students'!$AH$2:$AH$701,0),IFERROR(MATCH(LOWER(TRIM(K196)),'Students'!$AF$2:$AF$701,0),IFERROR(MATCH(LOWER(TRIM(K196)),'Students'!$AG$2:$AG$701,0),""))))</f>
        <v/>
      </c>
      <c r="R196">
        <f>IF(P196="","",INDEX('Students'!$AD$2:$AD$701,P196))</f>
        <v/>
      </c>
      <c r="S196">
        <f>IF(H196="OK",O196,0)</f>
        <v/>
      </c>
      <c r="T196">
        <f>IF(H196="OK",N196,"")</f>
        <v/>
      </c>
      <c r="U196">
        <f>IF(OC_Donor=0,"",IF(INDEX('OneCause_Paste'!$A$196:$AZ$196,1,OC_Donor)="","",INDEX('OneCause_Paste'!$A$196:$AZ$196,1,OC_Donor)))</f>
        <v/>
      </c>
    </row>
    <row r="197">
      <c r="A197" s="62">
        <f>IF(H197="","",IF(ISNUMBER(N197),N197,I197))</f>
        <v/>
      </c>
      <c r="B197">
        <f>IF(H197="","",U197)</f>
        <v/>
      </c>
      <c r="C197">
        <f>IF(H197="","",IF(P197="",K197,INDEX('Students'!$A$2:$A$701,P197)))</f>
        <v/>
      </c>
      <c r="D197">
        <f>IF(OR(H197="",P197=""),"",INDEX('Students'!$B$2:$B$701,P197))</f>
        <v/>
      </c>
      <c r="E197">
        <f>IF(OR(H197="",P197=""),"",INDEX('Students'!$C$2:$C$701,P197))</f>
        <v/>
      </c>
      <c r="F197" s="48">
        <f>IF(H197="","",IF(ISNUMBER(O197),O197,J197))</f>
        <v/>
      </c>
      <c r="G197">
        <f>IF(H197="","","OneCause")</f>
        <v/>
      </c>
      <c r="H197">
        <f>IF(AND(I197="",J197="",K197=""),"",IF(NOT(ISNUMBER(O197)),"Bad amount",IF(O197&lt;0,"Refund (not counted)",IF(O197=0,"Zero amount",IF(NOT(ISNUMBER(N197)),"Bad date",IF(P197="","NAME NOT ON ROSTER",IF(L197="","OK",IF(MATCH(L197,$L$2:$L$3001,0)&lt;ROW()-1,"Duplicate (ignored)","OK"))))))))</f>
        <v/>
      </c>
      <c r="I197">
        <f>IF(OC_Date=0,"",IF(INDEX('OneCause_Paste'!$A$197:$AZ$197,1,OC_Date)="","",INDEX('OneCause_Paste'!$A$197:$AZ$197,1,OC_Date)))</f>
        <v/>
      </c>
      <c r="J197">
        <f>IF(OC_Amt=0,"",IF(INDEX('OneCause_Paste'!$A$197:$AZ$197,1,OC_Amt)="","",INDEX('OneCause_Paste'!$A$197:$AZ$197,1,OC_Amt)))</f>
        <v/>
      </c>
      <c r="K197">
        <f>IF(OC_Name=0,"",IF(INDEX('OneCause_Paste'!$A$197:$AZ$197,1,OC_Name)="","",INDEX('OneCause_Paste'!$A$197:$AZ$197,1,OC_Name)))</f>
        <v/>
      </c>
      <c r="L197">
        <f>IF(OC_Txn=0,"",IF(INDEX('OneCause_Paste'!$A$197:$AZ$197,1,OC_Txn)="","",INDEX('OneCause_Paste'!$A$197:$AZ$197,1,OC_Txn)))</f>
        <v/>
      </c>
      <c r="M197">
        <f>IF(OC_Pay=0,"",IF(INDEX('OneCause_Paste'!$A$197:$AZ$197,1,OC_Pay)="","",INDEX('OneCause_Paste'!$A$197:$AZ$197,1,OC_Pay)))</f>
        <v/>
      </c>
      <c r="N197">
        <f>IF(I197="","",IF(ISNUMBER(I197),INT(I197),IFERROR(INT(DATEVALUE(I197)),IFERROR(INT(VALUE(I197)),"bad"))))</f>
        <v/>
      </c>
      <c r="O197">
        <f>IF(J197="","",IF(ISNUMBER(J197),ROUND(J197,2),IFERROR(ROUND(VALUE(SUBSTITUTE(SUBSTITUTE(SUBSTITUTE(J197,"$",""),",","")," ","")),2),"bad")))</f>
        <v/>
      </c>
      <c r="P197">
        <f>IF(TRIM(K197)="","",IFERROR(MATCH(LOWER(TRIM(K197)),'Students'!$AH$2:$AH$701,0),IFERROR(MATCH(LOWER(TRIM(K197)),'Students'!$AF$2:$AF$701,0),IFERROR(MATCH(LOWER(TRIM(K197)),'Students'!$AG$2:$AG$701,0),""))))</f>
        <v/>
      </c>
      <c r="R197">
        <f>IF(P197="","",INDEX('Students'!$AD$2:$AD$701,P197))</f>
        <v/>
      </c>
      <c r="S197">
        <f>IF(H197="OK",O197,0)</f>
        <v/>
      </c>
      <c r="T197">
        <f>IF(H197="OK",N197,"")</f>
        <v/>
      </c>
      <c r="U197">
        <f>IF(OC_Donor=0,"",IF(INDEX('OneCause_Paste'!$A$197:$AZ$197,1,OC_Donor)="","",INDEX('OneCause_Paste'!$A$197:$AZ$197,1,OC_Donor)))</f>
        <v/>
      </c>
    </row>
    <row r="198">
      <c r="A198" s="62">
        <f>IF(H198="","",IF(ISNUMBER(N198),N198,I198))</f>
        <v/>
      </c>
      <c r="B198">
        <f>IF(H198="","",U198)</f>
        <v/>
      </c>
      <c r="C198">
        <f>IF(H198="","",IF(P198="",K198,INDEX('Students'!$A$2:$A$701,P198)))</f>
        <v/>
      </c>
      <c r="D198">
        <f>IF(OR(H198="",P198=""),"",INDEX('Students'!$B$2:$B$701,P198))</f>
        <v/>
      </c>
      <c r="E198">
        <f>IF(OR(H198="",P198=""),"",INDEX('Students'!$C$2:$C$701,P198))</f>
        <v/>
      </c>
      <c r="F198" s="48">
        <f>IF(H198="","",IF(ISNUMBER(O198),O198,J198))</f>
        <v/>
      </c>
      <c r="G198">
        <f>IF(H198="","","OneCause")</f>
        <v/>
      </c>
      <c r="H198">
        <f>IF(AND(I198="",J198="",K198=""),"",IF(NOT(ISNUMBER(O198)),"Bad amount",IF(O198&lt;0,"Refund (not counted)",IF(O198=0,"Zero amount",IF(NOT(ISNUMBER(N198)),"Bad date",IF(P198="","NAME NOT ON ROSTER",IF(L198="","OK",IF(MATCH(L198,$L$2:$L$3001,0)&lt;ROW()-1,"Duplicate (ignored)","OK"))))))))</f>
        <v/>
      </c>
      <c r="I198">
        <f>IF(OC_Date=0,"",IF(INDEX('OneCause_Paste'!$A$198:$AZ$198,1,OC_Date)="","",INDEX('OneCause_Paste'!$A$198:$AZ$198,1,OC_Date)))</f>
        <v/>
      </c>
      <c r="J198">
        <f>IF(OC_Amt=0,"",IF(INDEX('OneCause_Paste'!$A$198:$AZ$198,1,OC_Amt)="","",INDEX('OneCause_Paste'!$A$198:$AZ$198,1,OC_Amt)))</f>
        <v/>
      </c>
      <c r="K198">
        <f>IF(OC_Name=0,"",IF(INDEX('OneCause_Paste'!$A$198:$AZ$198,1,OC_Name)="","",INDEX('OneCause_Paste'!$A$198:$AZ$198,1,OC_Name)))</f>
        <v/>
      </c>
      <c r="L198">
        <f>IF(OC_Txn=0,"",IF(INDEX('OneCause_Paste'!$A$198:$AZ$198,1,OC_Txn)="","",INDEX('OneCause_Paste'!$A$198:$AZ$198,1,OC_Txn)))</f>
        <v/>
      </c>
      <c r="M198">
        <f>IF(OC_Pay=0,"",IF(INDEX('OneCause_Paste'!$A$198:$AZ$198,1,OC_Pay)="","",INDEX('OneCause_Paste'!$A$198:$AZ$198,1,OC_Pay)))</f>
        <v/>
      </c>
      <c r="N198">
        <f>IF(I198="","",IF(ISNUMBER(I198),INT(I198),IFERROR(INT(DATEVALUE(I198)),IFERROR(INT(VALUE(I198)),"bad"))))</f>
        <v/>
      </c>
      <c r="O198">
        <f>IF(J198="","",IF(ISNUMBER(J198),ROUND(J198,2),IFERROR(ROUND(VALUE(SUBSTITUTE(SUBSTITUTE(SUBSTITUTE(J198,"$",""),",","")," ","")),2),"bad")))</f>
        <v/>
      </c>
      <c r="P198">
        <f>IF(TRIM(K198)="","",IFERROR(MATCH(LOWER(TRIM(K198)),'Students'!$AH$2:$AH$701,0),IFERROR(MATCH(LOWER(TRIM(K198)),'Students'!$AF$2:$AF$701,0),IFERROR(MATCH(LOWER(TRIM(K198)),'Students'!$AG$2:$AG$701,0),""))))</f>
        <v/>
      </c>
      <c r="R198">
        <f>IF(P198="","",INDEX('Students'!$AD$2:$AD$701,P198))</f>
        <v/>
      </c>
      <c r="S198">
        <f>IF(H198="OK",O198,0)</f>
        <v/>
      </c>
      <c r="T198">
        <f>IF(H198="OK",N198,"")</f>
        <v/>
      </c>
      <c r="U198">
        <f>IF(OC_Donor=0,"",IF(INDEX('OneCause_Paste'!$A$198:$AZ$198,1,OC_Donor)="","",INDEX('OneCause_Paste'!$A$198:$AZ$198,1,OC_Donor)))</f>
        <v/>
      </c>
    </row>
    <row r="199">
      <c r="A199" s="62">
        <f>IF(H199="","",IF(ISNUMBER(N199),N199,I199))</f>
        <v/>
      </c>
      <c r="B199">
        <f>IF(H199="","",U199)</f>
        <v/>
      </c>
      <c r="C199">
        <f>IF(H199="","",IF(P199="",K199,INDEX('Students'!$A$2:$A$701,P199)))</f>
        <v/>
      </c>
      <c r="D199">
        <f>IF(OR(H199="",P199=""),"",INDEX('Students'!$B$2:$B$701,P199))</f>
        <v/>
      </c>
      <c r="E199">
        <f>IF(OR(H199="",P199=""),"",INDEX('Students'!$C$2:$C$701,P199))</f>
        <v/>
      </c>
      <c r="F199" s="48">
        <f>IF(H199="","",IF(ISNUMBER(O199),O199,J199))</f>
        <v/>
      </c>
      <c r="G199">
        <f>IF(H199="","","OneCause")</f>
        <v/>
      </c>
      <c r="H199">
        <f>IF(AND(I199="",J199="",K199=""),"",IF(NOT(ISNUMBER(O199)),"Bad amount",IF(O199&lt;0,"Refund (not counted)",IF(O199=0,"Zero amount",IF(NOT(ISNUMBER(N199)),"Bad date",IF(P199="","NAME NOT ON ROSTER",IF(L199="","OK",IF(MATCH(L199,$L$2:$L$3001,0)&lt;ROW()-1,"Duplicate (ignored)","OK"))))))))</f>
        <v/>
      </c>
      <c r="I199">
        <f>IF(OC_Date=0,"",IF(INDEX('OneCause_Paste'!$A$199:$AZ$199,1,OC_Date)="","",INDEX('OneCause_Paste'!$A$199:$AZ$199,1,OC_Date)))</f>
        <v/>
      </c>
      <c r="J199">
        <f>IF(OC_Amt=0,"",IF(INDEX('OneCause_Paste'!$A$199:$AZ$199,1,OC_Amt)="","",INDEX('OneCause_Paste'!$A$199:$AZ$199,1,OC_Amt)))</f>
        <v/>
      </c>
      <c r="K199">
        <f>IF(OC_Name=0,"",IF(INDEX('OneCause_Paste'!$A$199:$AZ$199,1,OC_Name)="","",INDEX('OneCause_Paste'!$A$199:$AZ$199,1,OC_Name)))</f>
        <v/>
      </c>
      <c r="L199">
        <f>IF(OC_Txn=0,"",IF(INDEX('OneCause_Paste'!$A$199:$AZ$199,1,OC_Txn)="","",INDEX('OneCause_Paste'!$A$199:$AZ$199,1,OC_Txn)))</f>
        <v/>
      </c>
      <c r="M199">
        <f>IF(OC_Pay=0,"",IF(INDEX('OneCause_Paste'!$A$199:$AZ$199,1,OC_Pay)="","",INDEX('OneCause_Paste'!$A$199:$AZ$199,1,OC_Pay)))</f>
        <v/>
      </c>
      <c r="N199">
        <f>IF(I199="","",IF(ISNUMBER(I199),INT(I199),IFERROR(INT(DATEVALUE(I199)),IFERROR(INT(VALUE(I199)),"bad"))))</f>
        <v/>
      </c>
      <c r="O199">
        <f>IF(J199="","",IF(ISNUMBER(J199),ROUND(J199,2),IFERROR(ROUND(VALUE(SUBSTITUTE(SUBSTITUTE(SUBSTITUTE(J199,"$",""),",","")," ","")),2),"bad")))</f>
        <v/>
      </c>
      <c r="P199">
        <f>IF(TRIM(K199)="","",IFERROR(MATCH(LOWER(TRIM(K199)),'Students'!$AH$2:$AH$701,0),IFERROR(MATCH(LOWER(TRIM(K199)),'Students'!$AF$2:$AF$701,0),IFERROR(MATCH(LOWER(TRIM(K199)),'Students'!$AG$2:$AG$701,0),""))))</f>
        <v/>
      </c>
      <c r="R199">
        <f>IF(P199="","",INDEX('Students'!$AD$2:$AD$701,P199))</f>
        <v/>
      </c>
      <c r="S199">
        <f>IF(H199="OK",O199,0)</f>
        <v/>
      </c>
      <c r="T199">
        <f>IF(H199="OK",N199,"")</f>
        <v/>
      </c>
      <c r="U199">
        <f>IF(OC_Donor=0,"",IF(INDEX('OneCause_Paste'!$A$199:$AZ$199,1,OC_Donor)="","",INDEX('OneCause_Paste'!$A$199:$AZ$199,1,OC_Donor)))</f>
        <v/>
      </c>
    </row>
    <row r="200">
      <c r="A200" s="62">
        <f>IF(H200="","",IF(ISNUMBER(N200),N200,I200))</f>
        <v/>
      </c>
      <c r="B200">
        <f>IF(H200="","",U200)</f>
        <v/>
      </c>
      <c r="C200">
        <f>IF(H200="","",IF(P200="",K200,INDEX('Students'!$A$2:$A$701,P200)))</f>
        <v/>
      </c>
      <c r="D200">
        <f>IF(OR(H200="",P200=""),"",INDEX('Students'!$B$2:$B$701,P200))</f>
        <v/>
      </c>
      <c r="E200">
        <f>IF(OR(H200="",P200=""),"",INDEX('Students'!$C$2:$C$701,P200))</f>
        <v/>
      </c>
      <c r="F200" s="48">
        <f>IF(H200="","",IF(ISNUMBER(O200),O200,J200))</f>
        <v/>
      </c>
      <c r="G200">
        <f>IF(H200="","","OneCause")</f>
        <v/>
      </c>
      <c r="H200">
        <f>IF(AND(I200="",J200="",K200=""),"",IF(NOT(ISNUMBER(O200)),"Bad amount",IF(O200&lt;0,"Refund (not counted)",IF(O200=0,"Zero amount",IF(NOT(ISNUMBER(N200)),"Bad date",IF(P200="","NAME NOT ON ROSTER",IF(L200="","OK",IF(MATCH(L200,$L$2:$L$3001,0)&lt;ROW()-1,"Duplicate (ignored)","OK"))))))))</f>
        <v/>
      </c>
      <c r="I200">
        <f>IF(OC_Date=0,"",IF(INDEX('OneCause_Paste'!$A$200:$AZ$200,1,OC_Date)="","",INDEX('OneCause_Paste'!$A$200:$AZ$200,1,OC_Date)))</f>
        <v/>
      </c>
      <c r="J200">
        <f>IF(OC_Amt=0,"",IF(INDEX('OneCause_Paste'!$A$200:$AZ$200,1,OC_Amt)="","",INDEX('OneCause_Paste'!$A$200:$AZ$200,1,OC_Amt)))</f>
        <v/>
      </c>
      <c r="K200">
        <f>IF(OC_Name=0,"",IF(INDEX('OneCause_Paste'!$A$200:$AZ$200,1,OC_Name)="","",INDEX('OneCause_Paste'!$A$200:$AZ$200,1,OC_Name)))</f>
        <v/>
      </c>
      <c r="L200">
        <f>IF(OC_Txn=0,"",IF(INDEX('OneCause_Paste'!$A$200:$AZ$200,1,OC_Txn)="","",INDEX('OneCause_Paste'!$A$200:$AZ$200,1,OC_Txn)))</f>
        <v/>
      </c>
      <c r="M200">
        <f>IF(OC_Pay=0,"",IF(INDEX('OneCause_Paste'!$A$200:$AZ$200,1,OC_Pay)="","",INDEX('OneCause_Paste'!$A$200:$AZ$200,1,OC_Pay)))</f>
        <v/>
      </c>
      <c r="N200">
        <f>IF(I200="","",IF(ISNUMBER(I200),INT(I200),IFERROR(INT(DATEVALUE(I200)),IFERROR(INT(VALUE(I200)),"bad"))))</f>
        <v/>
      </c>
      <c r="O200">
        <f>IF(J200="","",IF(ISNUMBER(J200),ROUND(J200,2),IFERROR(ROUND(VALUE(SUBSTITUTE(SUBSTITUTE(SUBSTITUTE(J200,"$",""),",","")," ","")),2),"bad")))</f>
        <v/>
      </c>
      <c r="P200">
        <f>IF(TRIM(K200)="","",IFERROR(MATCH(LOWER(TRIM(K200)),'Students'!$AH$2:$AH$701,0),IFERROR(MATCH(LOWER(TRIM(K200)),'Students'!$AF$2:$AF$701,0),IFERROR(MATCH(LOWER(TRIM(K200)),'Students'!$AG$2:$AG$701,0),""))))</f>
        <v/>
      </c>
      <c r="R200">
        <f>IF(P200="","",INDEX('Students'!$AD$2:$AD$701,P200))</f>
        <v/>
      </c>
      <c r="S200">
        <f>IF(H200="OK",O200,0)</f>
        <v/>
      </c>
      <c r="T200">
        <f>IF(H200="OK",N200,"")</f>
        <v/>
      </c>
      <c r="U200">
        <f>IF(OC_Donor=0,"",IF(INDEX('OneCause_Paste'!$A$200:$AZ$200,1,OC_Donor)="","",INDEX('OneCause_Paste'!$A$200:$AZ$200,1,OC_Donor)))</f>
        <v/>
      </c>
    </row>
    <row r="201">
      <c r="A201" s="62">
        <f>IF(H201="","",IF(ISNUMBER(N201),N201,I201))</f>
        <v/>
      </c>
      <c r="B201">
        <f>IF(H201="","",U201)</f>
        <v/>
      </c>
      <c r="C201">
        <f>IF(H201="","",IF(P201="",K201,INDEX('Students'!$A$2:$A$701,P201)))</f>
        <v/>
      </c>
      <c r="D201">
        <f>IF(OR(H201="",P201=""),"",INDEX('Students'!$B$2:$B$701,P201))</f>
        <v/>
      </c>
      <c r="E201">
        <f>IF(OR(H201="",P201=""),"",INDEX('Students'!$C$2:$C$701,P201))</f>
        <v/>
      </c>
      <c r="F201" s="48">
        <f>IF(H201="","",IF(ISNUMBER(O201),O201,J201))</f>
        <v/>
      </c>
      <c r="G201">
        <f>IF(H201="","","OneCause")</f>
        <v/>
      </c>
      <c r="H201">
        <f>IF(AND(I201="",J201="",K201=""),"",IF(NOT(ISNUMBER(O201)),"Bad amount",IF(O201&lt;0,"Refund (not counted)",IF(O201=0,"Zero amount",IF(NOT(ISNUMBER(N201)),"Bad date",IF(P201="","NAME NOT ON ROSTER",IF(L201="","OK",IF(MATCH(L201,$L$2:$L$3001,0)&lt;ROW()-1,"Duplicate (ignored)","OK"))))))))</f>
        <v/>
      </c>
      <c r="I201">
        <f>IF(OC_Date=0,"",IF(INDEX('OneCause_Paste'!$A$201:$AZ$201,1,OC_Date)="","",INDEX('OneCause_Paste'!$A$201:$AZ$201,1,OC_Date)))</f>
        <v/>
      </c>
      <c r="J201">
        <f>IF(OC_Amt=0,"",IF(INDEX('OneCause_Paste'!$A$201:$AZ$201,1,OC_Amt)="","",INDEX('OneCause_Paste'!$A$201:$AZ$201,1,OC_Amt)))</f>
        <v/>
      </c>
      <c r="K201">
        <f>IF(OC_Name=0,"",IF(INDEX('OneCause_Paste'!$A$201:$AZ$201,1,OC_Name)="","",INDEX('OneCause_Paste'!$A$201:$AZ$201,1,OC_Name)))</f>
        <v/>
      </c>
      <c r="L201">
        <f>IF(OC_Txn=0,"",IF(INDEX('OneCause_Paste'!$A$201:$AZ$201,1,OC_Txn)="","",INDEX('OneCause_Paste'!$A$201:$AZ$201,1,OC_Txn)))</f>
        <v/>
      </c>
      <c r="M201">
        <f>IF(OC_Pay=0,"",IF(INDEX('OneCause_Paste'!$A$201:$AZ$201,1,OC_Pay)="","",INDEX('OneCause_Paste'!$A$201:$AZ$201,1,OC_Pay)))</f>
        <v/>
      </c>
      <c r="N201">
        <f>IF(I201="","",IF(ISNUMBER(I201),INT(I201),IFERROR(INT(DATEVALUE(I201)),IFERROR(INT(VALUE(I201)),"bad"))))</f>
        <v/>
      </c>
      <c r="O201">
        <f>IF(J201="","",IF(ISNUMBER(J201),ROUND(J201,2),IFERROR(ROUND(VALUE(SUBSTITUTE(SUBSTITUTE(SUBSTITUTE(J201,"$",""),",","")," ","")),2),"bad")))</f>
        <v/>
      </c>
      <c r="P201">
        <f>IF(TRIM(K201)="","",IFERROR(MATCH(LOWER(TRIM(K201)),'Students'!$AH$2:$AH$701,0),IFERROR(MATCH(LOWER(TRIM(K201)),'Students'!$AF$2:$AF$701,0),IFERROR(MATCH(LOWER(TRIM(K201)),'Students'!$AG$2:$AG$701,0),""))))</f>
        <v/>
      </c>
      <c r="R201">
        <f>IF(P201="","",INDEX('Students'!$AD$2:$AD$701,P201))</f>
        <v/>
      </c>
      <c r="S201">
        <f>IF(H201="OK",O201,0)</f>
        <v/>
      </c>
      <c r="T201">
        <f>IF(H201="OK",N201,"")</f>
        <v/>
      </c>
      <c r="U201">
        <f>IF(OC_Donor=0,"",IF(INDEX('OneCause_Paste'!$A$201:$AZ$201,1,OC_Donor)="","",INDEX('OneCause_Paste'!$A$201:$AZ$201,1,OC_Donor)))</f>
        <v/>
      </c>
    </row>
    <row r="202">
      <c r="A202" s="62">
        <f>IF(H202="","",IF(ISNUMBER(N202),N202,I202))</f>
        <v/>
      </c>
      <c r="B202">
        <f>IF(H202="","",U202)</f>
        <v/>
      </c>
      <c r="C202">
        <f>IF(H202="","",IF(P202="",K202,INDEX('Students'!$A$2:$A$701,P202)))</f>
        <v/>
      </c>
      <c r="D202">
        <f>IF(OR(H202="",P202=""),"",INDEX('Students'!$B$2:$B$701,P202))</f>
        <v/>
      </c>
      <c r="E202">
        <f>IF(OR(H202="",P202=""),"",INDEX('Students'!$C$2:$C$701,P202))</f>
        <v/>
      </c>
      <c r="F202" s="48">
        <f>IF(H202="","",IF(ISNUMBER(O202),O202,J202))</f>
        <v/>
      </c>
      <c r="G202">
        <f>IF(H202="","","OneCause")</f>
        <v/>
      </c>
      <c r="H202">
        <f>IF(AND(I202="",J202="",K202=""),"",IF(NOT(ISNUMBER(O202)),"Bad amount",IF(O202&lt;0,"Refund (not counted)",IF(O202=0,"Zero amount",IF(NOT(ISNUMBER(N202)),"Bad date",IF(P202="","NAME NOT ON ROSTER",IF(L202="","OK",IF(MATCH(L202,$L$2:$L$3001,0)&lt;ROW()-1,"Duplicate (ignored)","OK"))))))))</f>
        <v/>
      </c>
      <c r="I202">
        <f>IF(OC_Date=0,"",IF(INDEX('OneCause_Paste'!$A$202:$AZ$202,1,OC_Date)="","",INDEX('OneCause_Paste'!$A$202:$AZ$202,1,OC_Date)))</f>
        <v/>
      </c>
      <c r="J202">
        <f>IF(OC_Amt=0,"",IF(INDEX('OneCause_Paste'!$A$202:$AZ$202,1,OC_Amt)="","",INDEX('OneCause_Paste'!$A$202:$AZ$202,1,OC_Amt)))</f>
        <v/>
      </c>
      <c r="K202">
        <f>IF(OC_Name=0,"",IF(INDEX('OneCause_Paste'!$A$202:$AZ$202,1,OC_Name)="","",INDEX('OneCause_Paste'!$A$202:$AZ$202,1,OC_Name)))</f>
        <v/>
      </c>
      <c r="L202">
        <f>IF(OC_Txn=0,"",IF(INDEX('OneCause_Paste'!$A$202:$AZ$202,1,OC_Txn)="","",INDEX('OneCause_Paste'!$A$202:$AZ$202,1,OC_Txn)))</f>
        <v/>
      </c>
      <c r="M202">
        <f>IF(OC_Pay=0,"",IF(INDEX('OneCause_Paste'!$A$202:$AZ$202,1,OC_Pay)="","",INDEX('OneCause_Paste'!$A$202:$AZ$202,1,OC_Pay)))</f>
        <v/>
      </c>
      <c r="N202">
        <f>IF(I202="","",IF(ISNUMBER(I202),INT(I202),IFERROR(INT(DATEVALUE(I202)),IFERROR(INT(VALUE(I202)),"bad"))))</f>
        <v/>
      </c>
      <c r="O202">
        <f>IF(J202="","",IF(ISNUMBER(J202),ROUND(J202,2),IFERROR(ROUND(VALUE(SUBSTITUTE(SUBSTITUTE(SUBSTITUTE(J202,"$",""),",","")," ","")),2),"bad")))</f>
        <v/>
      </c>
      <c r="P202">
        <f>IF(TRIM(K202)="","",IFERROR(MATCH(LOWER(TRIM(K202)),'Students'!$AH$2:$AH$701,0),IFERROR(MATCH(LOWER(TRIM(K202)),'Students'!$AF$2:$AF$701,0),IFERROR(MATCH(LOWER(TRIM(K202)),'Students'!$AG$2:$AG$701,0),""))))</f>
        <v/>
      </c>
      <c r="R202">
        <f>IF(P202="","",INDEX('Students'!$AD$2:$AD$701,P202))</f>
        <v/>
      </c>
      <c r="S202">
        <f>IF(H202="OK",O202,0)</f>
        <v/>
      </c>
      <c r="T202">
        <f>IF(H202="OK",N202,"")</f>
        <v/>
      </c>
      <c r="U202">
        <f>IF(OC_Donor=0,"",IF(INDEX('OneCause_Paste'!$A$202:$AZ$202,1,OC_Donor)="","",INDEX('OneCause_Paste'!$A$202:$AZ$202,1,OC_Donor)))</f>
        <v/>
      </c>
    </row>
    <row r="203">
      <c r="A203" s="62">
        <f>IF(H203="","",IF(ISNUMBER(N203),N203,I203))</f>
        <v/>
      </c>
      <c r="B203">
        <f>IF(H203="","",U203)</f>
        <v/>
      </c>
      <c r="C203">
        <f>IF(H203="","",IF(P203="",K203,INDEX('Students'!$A$2:$A$701,P203)))</f>
        <v/>
      </c>
      <c r="D203">
        <f>IF(OR(H203="",P203=""),"",INDEX('Students'!$B$2:$B$701,P203))</f>
        <v/>
      </c>
      <c r="E203">
        <f>IF(OR(H203="",P203=""),"",INDEX('Students'!$C$2:$C$701,P203))</f>
        <v/>
      </c>
      <c r="F203" s="48">
        <f>IF(H203="","",IF(ISNUMBER(O203),O203,J203))</f>
        <v/>
      </c>
      <c r="G203">
        <f>IF(H203="","","OneCause")</f>
        <v/>
      </c>
      <c r="H203">
        <f>IF(AND(I203="",J203="",K203=""),"",IF(NOT(ISNUMBER(O203)),"Bad amount",IF(O203&lt;0,"Refund (not counted)",IF(O203=0,"Zero amount",IF(NOT(ISNUMBER(N203)),"Bad date",IF(P203="","NAME NOT ON ROSTER",IF(L203="","OK",IF(MATCH(L203,$L$2:$L$3001,0)&lt;ROW()-1,"Duplicate (ignored)","OK"))))))))</f>
        <v/>
      </c>
      <c r="I203">
        <f>IF(OC_Date=0,"",IF(INDEX('OneCause_Paste'!$A$203:$AZ$203,1,OC_Date)="","",INDEX('OneCause_Paste'!$A$203:$AZ$203,1,OC_Date)))</f>
        <v/>
      </c>
      <c r="J203">
        <f>IF(OC_Amt=0,"",IF(INDEX('OneCause_Paste'!$A$203:$AZ$203,1,OC_Amt)="","",INDEX('OneCause_Paste'!$A$203:$AZ$203,1,OC_Amt)))</f>
        <v/>
      </c>
      <c r="K203">
        <f>IF(OC_Name=0,"",IF(INDEX('OneCause_Paste'!$A$203:$AZ$203,1,OC_Name)="","",INDEX('OneCause_Paste'!$A$203:$AZ$203,1,OC_Name)))</f>
        <v/>
      </c>
      <c r="L203">
        <f>IF(OC_Txn=0,"",IF(INDEX('OneCause_Paste'!$A$203:$AZ$203,1,OC_Txn)="","",INDEX('OneCause_Paste'!$A$203:$AZ$203,1,OC_Txn)))</f>
        <v/>
      </c>
      <c r="M203">
        <f>IF(OC_Pay=0,"",IF(INDEX('OneCause_Paste'!$A$203:$AZ$203,1,OC_Pay)="","",INDEX('OneCause_Paste'!$A$203:$AZ$203,1,OC_Pay)))</f>
        <v/>
      </c>
      <c r="N203">
        <f>IF(I203="","",IF(ISNUMBER(I203),INT(I203),IFERROR(INT(DATEVALUE(I203)),IFERROR(INT(VALUE(I203)),"bad"))))</f>
        <v/>
      </c>
      <c r="O203">
        <f>IF(J203="","",IF(ISNUMBER(J203),ROUND(J203,2),IFERROR(ROUND(VALUE(SUBSTITUTE(SUBSTITUTE(SUBSTITUTE(J203,"$",""),",","")," ","")),2),"bad")))</f>
        <v/>
      </c>
      <c r="P203">
        <f>IF(TRIM(K203)="","",IFERROR(MATCH(LOWER(TRIM(K203)),'Students'!$AH$2:$AH$701,0),IFERROR(MATCH(LOWER(TRIM(K203)),'Students'!$AF$2:$AF$701,0),IFERROR(MATCH(LOWER(TRIM(K203)),'Students'!$AG$2:$AG$701,0),""))))</f>
        <v/>
      </c>
      <c r="R203">
        <f>IF(P203="","",INDEX('Students'!$AD$2:$AD$701,P203))</f>
        <v/>
      </c>
      <c r="S203">
        <f>IF(H203="OK",O203,0)</f>
        <v/>
      </c>
      <c r="T203">
        <f>IF(H203="OK",N203,"")</f>
        <v/>
      </c>
      <c r="U203">
        <f>IF(OC_Donor=0,"",IF(INDEX('OneCause_Paste'!$A$203:$AZ$203,1,OC_Donor)="","",INDEX('OneCause_Paste'!$A$203:$AZ$203,1,OC_Donor)))</f>
        <v/>
      </c>
    </row>
    <row r="204">
      <c r="A204" s="62">
        <f>IF(H204="","",IF(ISNUMBER(N204),N204,I204))</f>
        <v/>
      </c>
      <c r="B204">
        <f>IF(H204="","",U204)</f>
        <v/>
      </c>
      <c r="C204">
        <f>IF(H204="","",IF(P204="",K204,INDEX('Students'!$A$2:$A$701,P204)))</f>
        <v/>
      </c>
      <c r="D204">
        <f>IF(OR(H204="",P204=""),"",INDEX('Students'!$B$2:$B$701,P204))</f>
        <v/>
      </c>
      <c r="E204">
        <f>IF(OR(H204="",P204=""),"",INDEX('Students'!$C$2:$C$701,P204))</f>
        <v/>
      </c>
      <c r="F204" s="48">
        <f>IF(H204="","",IF(ISNUMBER(O204),O204,J204))</f>
        <v/>
      </c>
      <c r="G204">
        <f>IF(H204="","","OneCause")</f>
        <v/>
      </c>
      <c r="H204">
        <f>IF(AND(I204="",J204="",K204=""),"",IF(NOT(ISNUMBER(O204)),"Bad amount",IF(O204&lt;0,"Refund (not counted)",IF(O204=0,"Zero amount",IF(NOT(ISNUMBER(N204)),"Bad date",IF(P204="","NAME NOT ON ROSTER",IF(L204="","OK",IF(MATCH(L204,$L$2:$L$3001,0)&lt;ROW()-1,"Duplicate (ignored)","OK"))))))))</f>
        <v/>
      </c>
      <c r="I204">
        <f>IF(OC_Date=0,"",IF(INDEX('OneCause_Paste'!$A$204:$AZ$204,1,OC_Date)="","",INDEX('OneCause_Paste'!$A$204:$AZ$204,1,OC_Date)))</f>
        <v/>
      </c>
      <c r="J204">
        <f>IF(OC_Amt=0,"",IF(INDEX('OneCause_Paste'!$A$204:$AZ$204,1,OC_Amt)="","",INDEX('OneCause_Paste'!$A$204:$AZ$204,1,OC_Amt)))</f>
        <v/>
      </c>
      <c r="K204">
        <f>IF(OC_Name=0,"",IF(INDEX('OneCause_Paste'!$A$204:$AZ$204,1,OC_Name)="","",INDEX('OneCause_Paste'!$A$204:$AZ$204,1,OC_Name)))</f>
        <v/>
      </c>
      <c r="L204">
        <f>IF(OC_Txn=0,"",IF(INDEX('OneCause_Paste'!$A$204:$AZ$204,1,OC_Txn)="","",INDEX('OneCause_Paste'!$A$204:$AZ$204,1,OC_Txn)))</f>
        <v/>
      </c>
      <c r="M204">
        <f>IF(OC_Pay=0,"",IF(INDEX('OneCause_Paste'!$A$204:$AZ$204,1,OC_Pay)="","",INDEX('OneCause_Paste'!$A$204:$AZ$204,1,OC_Pay)))</f>
        <v/>
      </c>
      <c r="N204">
        <f>IF(I204="","",IF(ISNUMBER(I204),INT(I204),IFERROR(INT(DATEVALUE(I204)),IFERROR(INT(VALUE(I204)),"bad"))))</f>
        <v/>
      </c>
      <c r="O204">
        <f>IF(J204="","",IF(ISNUMBER(J204),ROUND(J204,2),IFERROR(ROUND(VALUE(SUBSTITUTE(SUBSTITUTE(SUBSTITUTE(J204,"$",""),",","")," ","")),2),"bad")))</f>
        <v/>
      </c>
      <c r="P204">
        <f>IF(TRIM(K204)="","",IFERROR(MATCH(LOWER(TRIM(K204)),'Students'!$AH$2:$AH$701,0),IFERROR(MATCH(LOWER(TRIM(K204)),'Students'!$AF$2:$AF$701,0),IFERROR(MATCH(LOWER(TRIM(K204)),'Students'!$AG$2:$AG$701,0),""))))</f>
        <v/>
      </c>
      <c r="R204">
        <f>IF(P204="","",INDEX('Students'!$AD$2:$AD$701,P204))</f>
        <v/>
      </c>
      <c r="S204">
        <f>IF(H204="OK",O204,0)</f>
        <v/>
      </c>
      <c r="T204">
        <f>IF(H204="OK",N204,"")</f>
        <v/>
      </c>
      <c r="U204">
        <f>IF(OC_Donor=0,"",IF(INDEX('OneCause_Paste'!$A$204:$AZ$204,1,OC_Donor)="","",INDEX('OneCause_Paste'!$A$204:$AZ$204,1,OC_Donor)))</f>
        <v/>
      </c>
    </row>
    <row r="205">
      <c r="A205" s="62">
        <f>IF(H205="","",IF(ISNUMBER(N205),N205,I205))</f>
        <v/>
      </c>
      <c r="B205">
        <f>IF(H205="","",U205)</f>
        <v/>
      </c>
      <c r="C205">
        <f>IF(H205="","",IF(P205="",K205,INDEX('Students'!$A$2:$A$701,P205)))</f>
        <v/>
      </c>
      <c r="D205">
        <f>IF(OR(H205="",P205=""),"",INDEX('Students'!$B$2:$B$701,P205))</f>
        <v/>
      </c>
      <c r="E205">
        <f>IF(OR(H205="",P205=""),"",INDEX('Students'!$C$2:$C$701,P205))</f>
        <v/>
      </c>
      <c r="F205" s="48">
        <f>IF(H205="","",IF(ISNUMBER(O205),O205,J205))</f>
        <v/>
      </c>
      <c r="G205">
        <f>IF(H205="","","OneCause")</f>
        <v/>
      </c>
      <c r="H205">
        <f>IF(AND(I205="",J205="",K205=""),"",IF(NOT(ISNUMBER(O205)),"Bad amount",IF(O205&lt;0,"Refund (not counted)",IF(O205=0,"Zero amount",IF(NOT(ISNUMBER(N205)),"Bad date",IF(P205="","NAME NOT ON ROSTER",IF(L205="","OK",IF(MATCH(L205,$L$2:$L$3001,0)&lt;ROW()-1,"Duplicate (ignored)","OK"))))))))</f>
        <v/>
      </c>
      <c r="I205">
        <f>IF(OC_Date=0,"",IF(INDEX('OneCause_Paste'!$A$205:$AZ$205,1,OC_Date)="","",INDEX('OneCause_Paste'!$A$205:$AZ$205,1,OC_Date)))</f>
        <v/>
      </c>
      <c r="J205">
        <f>IF(OC_Amt=0,"",IF(INDEX('OneCause_Paste'!$A$205:$AZ$205,1,OC_Amt)="","",INDEX('OneCause_Paste'!$A$205:$AZ$205,1,OC_Amt)))</f>
        <v/>
      </c>
      <c r="K205">
        <f>IF(OC_Name=0,"",IF(INDEX('OneCause_Paste'!$A$205:$AZ$205,1,OC_Name)="","",INDEX('OneCause_Paste'!$A$205:$AZ$205,1,OC_Name)))</f>
        <v/>
      </c>
      <c r="L205">
        <f>IF(OC_Txn=0,"",IF(INDEX('OneCause_Paste'!$A$205:$AZ$205,1,OC_Txn)="","",INDEX('OneCause_Paste'!$A$205:$AZ$205,1,OC_Txn)))</f>
        <v/>
      </c>
      <c r="M205">
        <f>IF(OC_Pay=0,"",IF(INDEX('OneCause_Paste'!$A$205:$AZ$205,1,OC_Pay)="","",INDEX('OneCause_Paste'!$A$205:$AZ$205,1,OC_Pay)))</f>
        <v/>
      </c>
      <c r="N205">
        <f>IF(I205="","",IF(ISNUMBER(I205),INT(I205),IFERROR(INT(DATEVALUE(I205)),IFERROR(INT(VALUE(I205)),"bad"))))</f>
        <v/>
      </c>
      <c r="O205">
        <f>IF(J205="","",IF(ISNUMBER(J205),ROUND(J205,2),IFERROR(ROUND(VALUE(SUBSTITUTE(SUBSTITUTE(SUBSTITUTE(J205,"$",""),",","")," ","")),2),"bad")))</f>
        <v/>
      </c>
      <c r="P205">
        <f>IF(TRIM(K205)="","",IFERROR(MATCH(LOWER(TRIM(K205)),'Students'!$AH$2:$AH$701,0),IFERROR(MATCH(LOWER(TRIM(K205)),'Students'!$AF$2:$AF$701,0),IFERROR(MATCH(LOWER(TRIM(K205)),'Students'!$AG$2:$AG$701,0),""))))</f>
        <v/>
      </c>
      <c r="R205">
        <f>IF(P205="","",INDEX('Students'!$AD$2:$AD$701,P205))</f>
        <v/>
      </c>
      <c r="S205">
        <f>IF(H205="OK",O205,0)</f>
        <v/>
      </c>
      <c r="T205">
        <f>IF(H205="OK",N205,"")</f>
        <v/>
      </c>
      <c r="U205">
        <f>IF(OC_Donor=0,"",IF(INDEX('OneCause_Paste'!$A$205:$AZ$205,1,OC_Donor)="","",INDEX('OneCause_Paste'!$A$205:$AZ$205,1,OC_Donor)))</f>
        <v/>
      </c>
    </row>
    <row r="206">
      <c r="A206" s="62">
        <f>IF(H206="","",IF(ISNUMBER(N206),N206,I206))</f>
        <v/>
      </c>
      <c r="B206">
        <f>IF(H206="","",U206)</f>
        <v/>
      </c>
      <c r="C206">
        <f>IF(H206="","",IF(P206="",K206,INDEX('Students'!$A$2:$A$701,P206)))</f>
        <v/>
      </c>
      <c r="D206">
        <f>IF(OR(H206="",P206=""),"",INDEX('Students'!$B$2:$B$701,P206))</f>
        <v/>
      </c>
      <c r="E206">
        <f>IF(OR(H206="",P206=""),"",INDEX('Students'!$C$2:$C$701,P206))</f>
        <v/>
      </c>
      <c r="F206" s="48">
        <f>IF(H206="","",IF(ISNUMBER(O206),O206,J206))</f>
        <v/>
      </c>
      <c r="G206">
        <f>IF(H206="","","OneCause")</f>
        <v/>
      </c>
      <c r="H206">
        <f>IF(AND(I206="",J206="",K206=""),"",IF(NOT(ISNUMBER(O206)),"Bad amount",IF(O206&lt;0,"Refund (not counted)",IF(O206=0,"Zero amount",IF(NOT(ISNUMBER(N206)),"Bad date",IF(P206="","NAME NOT ON ROSTER",IF(L206="","OK",IF(MATCH(L206,$L$2:$L$3001,0)&lt;ROW()-1,"Duplicate (ignored)","OK"))))))))</f>
        <v/>
      </c>
      <c r="I206">
        <f>IF(OC_Date=0,"",IF(INDEX('OneCause_Paste'!$A$206:$AZ$206,1,OC_Date)="","",INDEX('OneCause_Paste'!$A$206:$AZ$206,1,OC_Date)))</f>
        <v/>
      </c>
      <c r="J206">
        <f>IF(OC_Amt=0,"",IF(INDEX('OneCause_Paste'!$A$206:$AZ$206,1,OC_Amt)="","",INDEX('OneCause_Paste'!$A$206:$AZ$206,1,OC_Amt)))</f>
        <v/>
      </c>
      <c r="K206">
        <f>IF(OC_Name=0,"",IF(INDEX('OneCause_Paste'!$A$206:$AZ$206,1,OC_Name)="","",INDEX('OneCause_Paste'!$A$206:$AZ$206,1,OC_Name)))</f>
        <v/>
      </c>
      <c r="L206">
        <f>IF(OC_Txn=0,"",IF(INDEX('OneCause_Paste'!$A$206:$AZ$206,1,OC_Txn)="","",INDEX('OneCause_Paste'!$A$206:$AZ$206,1,OC_Txn)))</f>
        <v/>
      </c>
      <c r="M206">
        <f>IF(OC_Pay=0,"",IF(INDEX('OneCause_Paste'!$A$206:$AZ$206,1,OC_Pay)="","",INDEX('OneCause_Paste'!$A$206:$AZ$206,1,OC_Pay)))</f>
        <v/>
      </c>
      <c r="N206">
        <f>IF(I206="","",IF(ISNUMBER(I206),INT(I206),IFERROR(INT(DATEVALUE(I206)),IFERROR(INT(VALUE(I206)),"bad"))))</f>
        <v/>
      </c>
      <c r="O206">
        <f>IF(J206="","",IF(ISNUMBER(J206),ROUND(J206,2),IFERROR(ROUND(VALUE(SUBSTITUTE(SUBSTITUTE(SUBSTITUTE(J206,"$",""),",","")," ","")),2),"bad")))</f>
        <v/>
      </c>
      <c r="P206">
        <f>IF(TRIM(K206)="","",IFERROR(MATCH(LOWER(TRIM(K206)),'Students'!$AH$2:$AH$701,0),IFERROR(MATCH(LOWER(TRIM(K206)),'Students'!$AF$2:$AF$701,0),IFERROR(MATCH(LOWER(TRIM(K206)),'Students'!$AG$2:$AG$701,0),""))))</f>
        <v/>
      </c>
      <c r="R206">
        <f>IF(P206="","",INDEX('Students'!$AD$2:$AD$701,P206))</f>
        <v/>
      </c>
      <c r="S206">
        <f>IF(H206="OK",O206,0)</f>
        <v/>
      </c>
      <c r="T206">
        <f>IF(H206="OK",N206,"")</f>
        <v/>
      </c>
      <c r="U206">
        <f>IF(OC_Donor=0,"",IF(INDEX('OneCause_Paste'!$A$206:$AZ$206,1,OC_Donor)="","",INDEX('OneCause_Paste'!$A$206:$AZ$206,1,OC_Donor)))</f>
        <v/>
      </c>
    </row>
    <row r="207">
      <c r="A207" s="62">
        <f>IF(H207="","",IF(ISNUMBER(N207),N207,I207))</f>
        <v/>
      </c>
      <c r="B207">
        <f>IF(H207="","",U207)</f>
        <v/>
      </c>
      <c r="C207">
        <f>IF(H207="","",IF(P207="",K207,INDEX('Students'!$A$2:$A$701,P207)))</f>
        <v/>
      </c>
      <c r="D207">
        <f>IF(OR(H207="",P207=""),"",INDEX('Students'!$B$2:$B$701,P207))</f>
        <v/>
      </c>
      <c r="E207">
        <f>IF(OR(H207="",P207=""),"",INDEX('Students'!$C$2:$C$701,P207))</f>
        <v/>
      </c>
      <c r="F207" s="48">
        <f>IF(H207="","",IF(ISNUMBER(O207),O207,J207))</f>
        <v/>
      </c>
      <c r="G207">
        <f>IF(H207="","","OneCause")</f>
        <v/>
      </c>
      <c r="H207">
        <f>IF(AND(I207="",J207="",K207=""),"",IF(NOT(ISNUMBER(O207)),"Bad amount",IF(O207&lt;0,"Refund (not counted)",IF(O207=0,"Zero amount",IF(NOT(ISNUMBER(N207)),"Bad date",IF(P207="","NAME NOT ON ROSTER",IF(L207="","OK",IF(MATCH(L207,$L$2:$L$3001,0)&lt;ROW()-1,"Duplicate (ignored)","OK"))))))))</f>
        <v/>
      </c>
      <c r="I207">
        <f>IF(OC_Date=0,"",IF(INDEX('OneCause_Paste'!$A$207:$AZ$207,1,OC_Date)="","",INDEX('OneCause_Paste'!$A$207:$AZ$207,1,OC_Date)))</f>
        <v/>
      </c>
      <c r="J207">
        <f>IF(OC_Amt=0,"",IF(INDEX('OneCause_Paste'!$A$207:$AZ$207,1,OC_Amt)="","",INDEX('OneCause_Paste'!$A$207:$AZ$207,1,OC_Amt)))</f>
        <v/>
      </c>
      <c r="K207">
        <f>IF(OC_Name=0,"",IF(INDEX('OneCause_Paste'!$A$207:$AZ$207,1,OC_Name)="","",INDEX('OneCause_Paste'!$A$207:$AZ$207,1,OC_Name)))</f>
        <v/>
      </c>
      <c r="L207">
        <f>IF(OC_Txn=0,"",IF(INDEX('OneCause_Paste'!$A$207:$AZ$207,1,OC_Txn)="","",INDEX('OneCause_Paste'!$A$207:$AZ$207,1,OC_Txn)))</f>
        <v/>
      </c>
      <c r="M207">
        <f>IF(OC_Pay=0,"",IF(INDEX('OneCause_Paste'!$A$207:$AZ$207,1,OC_Pay)="","",INDEX('OneCause_Paste'!$A$207:$AZ$207,1,OC_Pay)))</f>
        <v/>
      </c>
      <c r="N207">
        <f>IF(I207="","",IF(ISNUMBER(I207),INT(I207),IFERROR(INT(DATEVALUE(I207)),IFERROR(INT(VALUE(I207)),"bad"))))</f>
        <v/>
      </c>
      <c r="O207">
        <f>IF(J207="","",IF(ISNUMBER(J207),ROUND(J207,2),IFERROR(ROUND(VALUE(SUBSTITUTE(SUBSTITUTE(SUBSTITUTE(J207,"$",""),",","")," ","")),2),"bad")))</f>
        <v/>
      </c>
      <c r="P207">
        <f>IF(TRIM(K207)="","",IFERROR(MATCH(LOWER(TRIM(K207)),'Students'!$AH$2:$AH$701,0),IFERROR(MATCH(LOWER(TRIM(K207)),'Students'!$AF$2:$AF$701,0),IFERROR(MATCH(LOWER(TRIM(K207)),'Students'!$AG$2:$AG$701,0),""))))</f>
        <v/>
      </c>
      <c r="R207">
        <f>IF(P207="","",INDEX('Students'!$AD$2:$AD$701,P207))</f>
        <v/>
      </c>
      <c r="S207">
        <f>IF(H207="OK",O207,0)</f>
        <v/>
      </c>
      <c r="T207">
        <f>IF(H207="OK",N207,"")</f>
        <v/>
      </c>
      <c r="U207">
        <f>IF(OC_Donor=0,"",IF(INDEX('OneCause_Paste'!$A$207:$AZ$207,1,OC_Donor)="","",INDEX('OneCause_Paste'!$A$207:$AZ$207,1,OC_Donor)))</f>
        <v/>
      </c>
    </row>
    <row r="208">
      <c r="A208" s="62">
        <f>IF(H208="","",IF(ISNUMBER(N208),N208,I208))</f>
        <v/>
      </c>
      <c r="B208">
        <f>IF(H208="","",U208)</f>
        <v/>
      </c>
      <c r="C208">
        <f>IF(H208="","",IF(P208="",K208,INDEX('Students'!$A$2:$A$701,P208)))</f>
        <v/>
      </c>
      <c r="D208">
        <f>IF(OR(H208="",P208=""),"",INDEX('Students'!$B$2:$B$701,P208))</f>
        <v/>
      </c>
      <c r="E208">
        <f>IF(OR(H208="",P208=""),"",INDEX('Students'!$C$2:$C$701,P208))</f>
        <v/>
      </c>
      <c r="F208" s="48">
        <f>IF(H208="","",IF(ISNUMBER(O208),O208,J208))</f>
        <v/>
      </c>
      <c r="G208">
        <f>IF(H208="","","OneCause")</f>
        <v/>
      </c>
      <c r="H208">
        <f>IF(AND(I208="",J208="",K208=""),"",IF(NOT(ISNUMBER(O208)),"Bad amount",IF(O208&lt;0,"Refund (not counted)",IF(O208=0,"Zero amount",IF(NOT(ISNUMBER(N208)),"Bad date",IF(P208="","NAME NOT ON ROSTER",IF(L208="","OK",IF(MATCH(L208,$L$2:$L$3001,0)&lt;ROW()-1,"Duplicate (ignored)","OK"))))))))</f>
        <v/>
      </c>
      <c r="I208">
        <f>IF(OC_Date=0,"",IF(INDEX('OneCause_Paste'!$A$208:$AZ$208,1,OC_Date)="","",INDEX('OneCause_Paste'!$A$208:$AZ$208,1,OC_Date)))</f>
        <v/>
      </c>
      <c r="J208">
        <f>IF(OC_Amt=0,"",IF(INDEX('OneCause_Paste'!$A$208:$AZ$208,1,OC_Amt)="","",INDEX('OneCause_Paste'!$A$208:$AZ$208,1,OC_Amt)))</f>
        <v/>
      </c>
      <c r="K208">
        <f>IF(OC_Name=0,"",IF(INDEX('OneCause_Paste'!$A$208:$AZ$208,1,OC_Name)="","",INDEX('OneCause_Paste'!$A$208:$AZ$208,1,OC_Name)))</f>
        <v/>
      </c>
      <c r="L208">
        <f>IF(OC_Txn=0,"",IF(INDEX('OneCause_Paste'!$A$208:$AZ$208,1,OC_Txn)="","",INDEX('OneCause_Paste'!$A$208:$AZ$208,1,OC_Txn)))</f>
        <v/>
      </c>
      <c r="M208">
        <f>IF(OC_Pay=0,"",IF(INDEX('OneCause_Paste'!$A$208:$AZ$208,1,OC_Pay)="","",INDEX('OneCause_Paste'!$A$208:$AZ$208,1,OC_Pay)))</f>
        <v/>
      </c>
      <c r="N208">
        <f>IF(I208="","",IF(ISNUMBER(I208),INT(I208),IFERROR(INT(DATEVALUE(I208)),IFERROR(INT(VALUE(I208)),"bad"))))</f>
        <v/>
      </c>
      <c r="O208">
        <f>IF(J208="","",IF(ISNUMBER(J208),ROUND(J208,2),IFERROR(ROUND(VALUE(SUBSTITUTE(SUBSTITUTE(SUBSTITUTE(J208,"$",""),",","")," ","")),2),"bad")))</f>
        <v/>
      </c>
      <c r="P208">
        <f>IF(TRIM(K208)="","",IFERROR(MATCH(LOWER(TRIM(K208)),'Students'!$AH$2:$AH$701,0),IFERROR(MATCH(LOWER(TRIM(K208)),'Students'!$AF$2:$AF$701,0),IFERROR(MATCH(LOWER(TRIM(K208)),'Students'!$AG$2:$AG$701,0),""))))</f>
        <v/>
      </c>
      <c r="R208">
        <f>IF(P208="","",INDEX('Students'!$AD$2:$AD$701,P208))</f>
        <v/>
      </c>
      <c r="S208">
        <f>IF(H208="OK",O208,0)</f>
        <v/>
      </c>
      <c r="T208">
        <f>IF(H208="OK",N208,"")</f>
        <v/>
      </c>
      <c r="U208">
        <f>IF(OC_Donor=0,"",IF(INDEX('OneCause_Paste'!$A$208:$AZ$208,1,OC_Donor)="","",INDEX('OneCause_Paste'!$A$208:$AZ$208,1,OC_Donor)))</f>
        <v/>
      </c>
    </row>
    <row r="209">
      <c r="A209" s="62">
        <f>IF(H209="","",IF(ISNUMBER(N209),N209,I209))</f>
        <v/>
      </c>
      <c r="B209">
        <f>IF(H209="","",U209)</f>
        <v/>
      </c>
      <c r="C209">
        <f>IF(H209="","",IF(P209="",K209,INDEX('Students'!$A$2:$A$701,P209)))</f>
        <v/>
      </c>
      <c r="D209">
        <f>IF(OR(H209="",P209=""),"",INDEX('Students'!$B$2:$B$701,P209))</f>
        <v/>
      </c>
      <c r="E209">
        <f>IF(OR(H209="",P209=""),"",INDEX('Students'!$C$2:$C$701,P209))</f>
        <v/>
      </c>
      <c r="F209" s="48">
        <f>IF(H209="","",IF(ISNUMBER(O209),O209,J209))</f>
        <v/>
      </c>
      <c r="G209">
        <f>IF(H209="","","OneCause")</f>
        <v/>
      </c>
      <c r="H209">
        <f>IF(AND(I209="",J209="",K209=""),"",IF(NOT(ISNUMBER(O209)),"Bad amount",IF(O209&lt;0,"Refund (not counted)",IF(O209=0,"Zero amount",IF(NOT(ISNUMBER(N209)),"Bad date",IF(P209="","NAME NOT ON ROSTER",IF(L209="","OK",IF(MATCH(L209,$L$2:$L$3001,0)&lt;ROW()-1,"Duplicate (ignored)","OK"))))))))</f>
        <v/>
      </c>
      <c r="I209">
        <f>IF(OC_Date=0,"",IF(INDEX('OneCause_Paste'!$A$209:$AZ$209,1,OC_Date)="","",INDEX('OneCause_Paste'!$A$209:$AZ$209,1,OC_Date)))</f>
        <v/>
      </c>
      <c r="J209">
        <f>IF(OC_Amt=0,"",IF(INDEX('OneCause_Paste'!$A$209:$AZ$209,1,OC_Amt)="","",INDEX('OneCause_Paste'!$A$209:$AZ$209,1,OC_Amt)))</f>
        <v/>
      </c>
      <c r="K209">
        <f>IF(OC_Name=0,"",IF(INDEX('OneCause_Paste'!$A$209:$AZ$209,1,OC_Name)="","",INDEX('OneCause_Paste'!$A$209:$AZ$209,1,OC_Name)))</f>
        <v/>
      </c>
      <c r="L209">
        <f>IF(OC_Txn=0,"",IF(INDEX('OneCause_Paste'!$A$209:$AZ$209,1,OC_Txn)="","",INDEX('OneCause_Paste'!$A$209:$AZ$209,1,OC_Txn)))</f>
        <v/>
      </c>
      <c r="M209">
        <f>IF(OC_Pay=0,"",IF(INDEX('OneCause_Paste'!$A$209:$AZ$209,1,OC_Pay)="","",INDEX('OneCause_Paste'!$A$209:$AZ$209,1,OC_Pay)))</f>
        <v/>
      </c>
      <c r="N209">
        <f>IF(I209="","",IF(ISNUMBER(I209),INT(I209),IFERROR(INT(DATEVALUE(I209)),IFERROR(INT(VALUE(I209)),"bad"))))</f>
        <v/>
      </c>
      <c r="O209">
        <f>IF(J209="","",IF(ISNUMBER(J209),ROUND(J209,2),IFERROR(ROUND(VALUE(SUBSTITUTE(SUBSTITUTE(SUBSTITUTE(J209,"$",""),",","")," ","")),2),"bad")))</f>
        <v/>
      </c>
      <c r="P209">
        <f>IF(TRIM(K209)="","",IFERROR(MATCH(LOWER(TRIM(K209)),'Students'!$AH$2:$AH$701,0),IFERROR(MATCH(LOWER(TRIM(K209)),'Students'!$AF$2:$AF$701,0),IFERROR(MATCH(LOWER(TRIM(K209)),'Students'!$AG$2:$AG$701,0),""))))</f>
        <v/>
      </c>
      <c r="R209">
        <f>IF(P209="","",INDEX('Students'!$AD$2:$AD$701,P209))</f>
        <v/>
      </c>
      <c r="S209">
        <f>IF(H209="OK",O209,0)</f>
        <v/>
      </c>
      <c r="T209">
        <f>IF(H209="OK",N209,"")</f>
        <v/>
      </c>
      <c r="U209">
        <f>IF(OC_Donor=0,"",IF(INDEX('OneCause_Paste'!$A$209:$AZ$209,1,OC_Donor)="","",INDEX('OneCause_Paste'!$A$209:$AZ$209,1,OC_Donor)))</f>
        <v/>
      </c>
    </row>
    <row r="210">
      <c r="A210" s="62">
        <f>IF(H210="","",IF(ISNUMBER(N210),N210,I210))</f>
        <v/>
      </c>
      <c r="B210">
        <f>IF(H210="","",U210)</f>
        <v/>
      </c>
      <c r="C210">
        <f>IF(H210="","",IF(P210="",K210,INDEX('Students'!$A$2:$A$701,P210)))</f>
        <v/>
      </c>
      <c r="D210">
        <f>IF(OR(H210="",P210=""),"",INDEX('Students'!$B$2:$B$701,P210))</f>
        <v/>
      </c>
      <c r="E210">
        <f>IF(OR(H210="",P210=""),"",INDEX('Students'!$C$2:$C$701,P210))</f>
        <v/>
      </c>
      <c r="F210" s="48">
        <f>IF(H210="","",IF(ISNUMBER(O210),O210,J210))</f>
        <v/>
      </c>
      <c r="G210">
        <f>IF(H210="","","OneCause")</f>
        <v/>
      </c>
      <c r="H210">
        <f>IF(AND(I210="",J210="",K210=""),"",IF(NOT(ISNUMBER(O210)),"Bad amount",IF(O210&lt;0,"Refund (not counted)",IF(O210=0,"Zero amount",IF(NOT(ISNUMBER(N210)),"Bad date",IF(P210="","NAME NOT ON ROSTER",IF(L210="","OK",IF(MATCH(L210,$L$2:$L$3001,0)&lt;ROW()-1,"Duplicate (ignored)","OK"))))))))</f>
        <v/>
      </c>
      <c r="I210">
        <f>IF(OC_Date=0,"",IF(INDEX('OneCause_Paste'!$A$210:$AZ$210,1,OC_Date)="","",INDEX('OneCause_Paste'!$A$210:$AZ$210,1,OC_Date)))</f>
        <v/>
      </c>
      <c r="J210">
        <f>IF(OC_Amt=0,"",IF(INDEX('OneCause_Paste'!$A$210:$AZ$210,1,OC_Amt)="","",INDEX('OneCause_Paste'!$A$210:$AZ$210,1,OC_Amt)))</f>
        <v/>
      </c>
      <c r="K210">
        <f>IF(OC_Name=0,"",IF(INDEX('OneCause_Paste'!$A$210:$AZ$210,1,OC_Name)="","",INDEX('OneCause_Paste'!$A$210:$AZ$210,1,OC_Name)))</f>
        <v/>
      </c>
      <c r="L210">
        <f>IF(OC_Txn=0,"",IF(INDEX('OneCause_Paste'!$A$210:$AZ$210,1,OC_Txn)="","",INDEX('OneCause_Paste'!$A$210:$AZ$210,1,OC_Txn)))</f>
        <v/>
      </c>
      <c r="M210">
        <f>IF(OC_Pay=0,"",IF(INDEX('OneCause_Paste'!$A$210:$AZ$210,1,OC_Pay)="","",INDEX('OneCause_Paste'!$A$210:$AZ$210,1,OC_Pay)))</f>
        <v/>
      </c>
      <c r="N210">
        <f>IF(I210="","",IF(ISNUMBER(I210),INT(I210),IFERROR(INT(DATEVALUE(I210)),IFERROR(INT(VALUE(I210)),"bad"))))</f>
        <v/>
      </c>
      <c r="O210">
        <f>IF(J210="","",IF(ISNUMBER(J210),ROUND(J210,2),IFERROR(ROUND(VALUE(SUBSTITUTE(SUBSTITUTE(SUBSTITUTE(J210,"$",""),",","")," ","")),2),"bad")))</f>
        <v/>
      </c>
      <c r="P210">
        <f>IF(TRIM(K210)="","",IFERROR(MATCH(LOWER(TRIM(K210)),'Students'!$AH$2:$AH$701,0),IFERROR(MATCH(LOWER(TRIM(K210)),'Students'!$AF$2:$AF$701,0),IFERROR(MATCH(LOWER(TRIM(K210)),'Students'!$AG$2:$AG$701,0),""))))</f>
        <v/>
      </c>
      <c r="R210">
        <f>IF(P210="","",INDEX('Students'!$AD$2:$AD$701,P210))</f>
        <v/>
      </c>
      <c r="S210">
        <f>IF(H210="OK",O210,0)</f>
        <v/>
      </c>
      <c r="T210">
        <f>IF(H210="OK",N210,"")</f>
        <v/>
      </c>
      <c r="U210">
        <f>IF(OC_Donor=0,"",IF(INDEX('OneCause_Paste'!$A$210:$AZ$210,1,OC_Donor)="","",INDEX('OneCause_Paste'!$A$210:$AZ$210,1,OC_Donor)))</f>
        <v/>
      </c>
    </row>
    <row r="211">
      <c r="A211" s="62">
        <f>IF(H211="","",IF(ISNUMBER(N211),N211,I211))</f>
        <v/>
      </c>
      <c r="B211">
        <f>IF(H211="","",U211)</f>
        <v/>
      </c>
      <c r="C211">
        <f>IF(H211="","",IF(P211="",K211,INDEX('Students'!$A$2:$A$701,P211)))</f>
        <v/>
      </c>
      <c r="D211">
        <f>IF(OR(H211="",P211=""),"",INDEX('Students'!$B$2:$B$701,P211))</f>
        <v/>
      </c>
      <c r="E211">
        <f>IF(OR(H211="",P211=""),"",INDEX('Students'!$C$2:$C$701,P211))</f>
        <v/>
      </c>
      <c r="F211" s="48">
        <f>IF(H211="","",IF(ISNUMBER(O211),O211,J211))</f>
        <v/>
      </c>
      <c r="G211">
        <f>IF(H211="","","OneCause")</f>
        <v/>
      </c>
      <c r="H211">
        <f>IF(AND(I211="",J211="",K211=""),"",IF(NOT(ISNUMBER(O211)),"Bad amount",IF(O211&lt;0,"Refund (not counted)",IF(O211=0,"Zero amount",IF(NOT(ISNUMBER(N211)),"Bad date",IF(P211="","NAME NOT ON ROSTER",IF(L211="","OK",IF(MATCH(L211,$L$2:$L$3001,0)&lt;ROW()-1,"Duplicate (ignored)","OK"))))))))</f>
        <v/>
      </c>
      <c r="I211">
        <f>IF(OC_Date=0,"",IF(INDEX('OneCause_Paste'!$A$211:$AZ$211,1,OC_Date)="","",INDEX('OneCause_Paste'!$A$211:$AZ$211,1,OC_Date)))</f>
        <v/>
      </c>
      <c r="J211">
        <f>IF(OC_Amt=0,"",IF(INDEX('OneCause_Paste'!$A$211:$AZ$211,1,OC_Amt)="","",INDEX('OneCause_Paste'!$A$211:$AZ$211,1,OC_Amt)))</f>
        <v/>
      </c>
      <c r="K211">
        <f>IF(OC_Name=0,"",IF(INDEX('OneCause_Paste'!$A$211:$AZ$211,1,OC_Name)="","",INDEX('OneCause_Paste'!$A$211:$AZ$211,1,OC_Name)))</f>
        <v/>
      </c>
      <c r="L211">
        <f>IF(OC_Txn=0,"",IF(INDEX('OneCause_Paste'!$A$211:$AZ$211,1,OC_Txn)="","",INDEX('OneCause_Paste'!$A$211:$AZ$211,1,OC_Txn)))</f>
        <v/>
      </c>
      <c r="M211">
        <f>IF(OC_Pay=0,"",IF(INDEX('OneCause_Paste'!$A$211:$AZ$211,1,OC_Pay)="","",INDEX('OneCause_Paste'!$A$211:$AZ$211,1,OC_Pay)))</f>
        <v/>
      </c>
      <c r="N211">
        <f>IF(I211="","",IF(ISNUMBER(I211),INT(I211),IFERROR(INT(DATEVALUE(I211)),IFERROR(INT(VALUE(I211)),"bad"))))</f>
        <v/>
      </c>
      <c r="O211">
        <f>IF(J211="","",IF(ISNUMBER(J211),ROUND(J211,2),IFERROR(ROUND(VALUE(SUBSTITUTE(SUBSTITUTE(SUBSTITUTE(J211,"$",""),",","")," ","")),2),"bad")))</f>
        <v/>
      </c>
      <c r="P211">
        <f>IF(TRIM(K211)="","",IFERROR(MATCH(LOWER(TRIM(K211)),'Students'!$AH$2:$AH$701,0),IFERROR(MATCH(LOWER(TRIM(K211)),'Students'!$AF$2:$AF$701,0),IFERROR(MATCH(LOWER(TRIM(K211)),'Students'!$AG$2:$AG$701,0),""))))</f>
        <v/>
      </c>
      <c r="R211">
        <f>IF(P211="","",INDEX('Students'!$AD$2:$AD$701,P211))</f>
        <v/>
      </c>
      <c r="S211">
        <f>IF(H211="OK",O211,0)</f>
        <v/>
      </c>
      <c r="T211">
        <f>IF(H211="OK",N211,"")</f>
        <v/>
      </c>
      <c r="U211">
        <f>IF(OC_Donor=0,"",IF(INDEX('OneCause_Paste'!$A$211:$AZ$211,1,OC_Donor)="","",INDEX('OneCause_Paste'!$A$211:$AZ$211,1,OC_Donor)))</f>
        <v/>
      </c>
    </row>
    <row r="212">
      <c r="A212" s="62">
        <f>IF(H212="","",IF(ISNUMBER(N212),N212,I212))</f>
        <v/>
      </c>
      <c r="B212">
        <f>IF(H212="","",U212)</f>
        <v/>
      </c>
      <c r="C212">
        <f>IF(H212="","",IF(P212="",K212,INDEX('Students'!$A$2:$A$701,P212)))</f>
        <v/>
      </c>
      <c r="D212">
        <f>IF(OR(H212="",P212=""),"",INDEX('Students'!$B$2:$B$701,P212))</f>
        <v/>
      </c>
      <c r="E212">
        <f>IF(OR(H212="",P212=""),"",INDEX('Students'!$C$2:$C$701,P212))</f>
        <v/>
      </c>
      <c r="F212" s="48">
        <f>IF(H212="","",IF(ISNUMBER(O212),O212,J212))</f>
        <v/>
      </c>
      <c r="G212">
        <f>IF(H212="","","OneCause")</f>
        <v/>
      </c>
      <c r="H212">
        <f>IF(AND(I212="",J212="",K212=""),"",IF(NOT(ISNUMBER(O212)),"Bad amount",IF(O212&lt;0,"Refund (not counted)",IF(O212=0,"Zero amount",IF(NOT(ISNUMBER(N212)),"Bad date",IF(P212="","NAME NOT ON ROSTER",IF(L212="","OK",IF(MATCH(L212,$L$2:$L$3001,0)&lt;ROW()-1,"Duplicate (ignored)","OK"))))))))</f>
        <v/>
      </c>
      <c r="I212">
        <f>IF(OC_Date=0,"",IF(INDEX('OneCause_Paste'!$A$212:$AZ$212,1,OC_Date)="","",INDEX('OneCause_Paste'!$A$212:$AZ$212,1,OC_Date)))</f>
        <v/>
      </c>
      <c r="J212">
        <f>IF(OC_Amt=0,"",IF(INDEX('OneCause_Paste'!$A$212:$AZ$212,1,OC_Amt)="","",INDEX('OneCause_Paste'!$A$212:$AZ$212,1,OC_Amt)))</f>
        <v/>
      </c>
      <c r="K212">
        <f>IF(OC_Name=0,"",IF(INDEX('OneCause_Paste'!$A$212:$AZ$212,1,OC_Name)="","",INDEX('OneCause_Paste'!$A$212:$AZ$212,1,OC_Name)))</f>
        <v/>
      </c>
      <c r="L212">
        <f>IF(OC_Txn=0,"",IF(INDEX('OneCause_Paste'!$A$212:$AZ$212,1,OC_Txn)="","",INDEX('OneCause_Paste'!$A$212:$AZ$212,1,OC_Txn)))</f>
        <v/>
      </c>
      <c r="M212">
        <f>IF(OC_Pay=0,"",IF(INDEX('OneCause_Paste'!$A$212:$AZ$212,1,OC_Pay)="","",INDEX('OneCause_Paste'!$A$212:$AZ$212,1,OC_Pay)))</f>
        <v/>
      </c>
      <c r="N212">
        <f>IF(I212="","",IF(ISNUMBER(I212),INT(I212),IFERROR(INT(DATEVALUE(I212)),IFERROR(INT(VALUE(I212)),"bad"))))</f>
        <v/>
      </c>
      <c r="O212">
        <f>IF(J212="","",IF(ISNUMBER(J212),ROUND(J212,2),IFERROR(ROUND(VALUE(SUBSTITUTE(SUBSTITUTE(SUBSTITUTE(J212,"$",""),",","")," ","")),2),"bad")))</f>
        <v/>
      </c>
      <c r="P212">
        <f>IF(TRIM(K212)="","",IFERROR(MATCH(LOWER(TRIM(K212)),'Students'!$AH$2:$AH$701,0),IFERROR(MATCH(LOWER(TRIM(K212)),'Students'!$AF$2:$AF$701,0),IFERROR(MATCH(LOWER(TRIM(K212)),'Students'!$AG$2:$AG$701,0),""))))</f>
        <v/>
      </c>
      <c r="R212">
        <f>IF(P212="","",INDEX('Students'!$AD$2:$AD$701,P212))</f>
        <v/>
      </c>
      <c r="S212">
        <f>IF(H212="OK",O212,0)</f>
        <v/>
      </c>
      <c r="T212">
        <f>IF(H212="OK",N212,"")</f>
        <v/>
      </c>
      <c r="U212">
        <f>IF(OC_Donor=0,"",IF(INDEX('OneCause_Paste'!$A$212:$AZ$212,1,OC_Donor)="","",INDEX('OneCause_Paste'!$A$212:$AZ$212,1,OC_Donor)))</f>
        <v/>
      </c>
    </row>
    <row r="213">
      <c r="A213" s="62">
        <f>IF(H213="","",IF(ISNUMBER(N213),N213,I213))</f>
        <v/>
      </c>
      <c r="B213">
        <f>IF(H213="","",U213)</f>
        <v/>
      </c>
      <c r="C213">
        <f>IF(H213="","",IF(P213="",K213,INDEX('Students'!$A$2:$A$701,P213)))</f>
        <v/>
      </c>
      <c r="D213">
        <f>IF(OR(H213="",P213=""),"",INDEX('Students'!$B$2:$B$701,P213))</f>
        <v/>
      </c>
      <c r="E213">
        <f>IF(OR(H213="",P213=""),"",INDEX('Students'!$C$2:$C$701,P213))</f>
        <v/>
      </c>
      <c r="F213" s="48">
        <f>IF(H213="","",IF(ISNUMBER(O213),O213,J213))</f>
        <v/>
      </c>
      <c r="G213">
        <f>IF(H213="","","OneCause")</f>
        <v/>
      </c>
      <c r="H213">
        <f>IF(AND(I213="",J213="",K213=""),"",IF(NOT(ISNUMBER(O213)),"Bad amount",IF(O213&lt;0,"Refund (not counted)",IF(O213=0,"Zero amount",IF(NOT(ISNUMBER(N213)),"Bad date",IF(P213="","NAME NOT ON ROSTER",IF(L213="","OK",IF(MATCH(L213,$L$2:$L$3001,0)&lt;ROW()-1,"Duplicate (ignored)","OK"))))))))</f>
        <v/>
      </c>
      <c r="I213">
        <f>IF(OC_Date=0,"",IF(INDEX('OneCause_Paste'!$A$213:$AZ$213,1,OC_Date)="","",INDEX('OneCause_Paste'!$A$213:$AZ$213,1,OC_Date)))</f>
        <v/>
      </c>
      <c r="J213">
        <f>IF(OC_Amt=0,"",IF(INDEX('OneCause_Paste'!$A$213:$AZ$213,1,OC_Amt)="","",INDEX('OneCause_Paste'!$A$213:$AZ$213,1,OC_Amt)))</f>
        <v/>
      </c>
      <c r="K213">
        <f>IF(OC_Name=0,"",IF(INDEX('OneCause_Paste'!$A$213:$AZ$213,1,OC_Name)="","",INDEX('OneCause_Paste'!$A$213:$AZ$213,1,OC_Name)))</f>
        <v/>
      </c>
      <c r="L213">
        <f>IF(OC_Txn=0,"",IF(INDEX('OneCause_Paste'!$A$213:$AZ$213,1,OC_Txn)="","",INDEX('OneCause_Paste'!$A$213:$AZ$213,1,OC_Txn)))</f>
        <v/>
      </c>
      <c r="M213">
        <f>IF(OC_Pay=0,"",IF(INDEX('OneCause_Paste'!$A$213:$AZ$213,1,OC_Pay)="","",INDEX('OneCause_Paste'!$A$213:$AZ$213,1,OC_Pay)))</f>
        <v/>
      </c>
      <c r="N213">
        <f>IF(I213="","",IF(ISNUMBER(I213),INT(I213),IFERROR(INT(DATEVALUE(I213)),IFERROR(INT(VALUE(I213)),"bad"))))</f>
        <v/>
      </c>
      <c r="O213">
        <f>IF(J213="","",IF(ISNUMBER(J213),ROUND(J213,2),IFERROR(ROUND(VALUE(SUBSTITUTE(SUBSTITUTE(SUBSTITUTE(J213,"$",""),",","")," ","")),2),"bad")))</f>
        <v/>
      </c>
      <c r="P213">
        <f>IF(TRIM(K213)="","",IFERROR(MATCH(LOWER(TRIM(K213)),'Students'!$AH$2:$AH$701,0),IFERROR(MATCH(LOWER(TRIM(K213)),'Students'!$AF$2:$AF$701,0),IFERROR(MATCH(LOWER(TRIM(K213)),'Students'!$AG$2:$AG$701,0),""))))</f>
        <v/>
      </c>
      <c r="R213">
        <f>IF(P213="","",INDEX('Students'!$AD$2:$AD$701,P213))</f>
        <v/>
      </c>
      <c r="S213">
        <f>IF(H213="OK",O213,0)</f>
        <v/>
      </c>
      <c r="T213">
        <f>IF(H213="OK",N213,"")</f>
        <v/>
      </c>
      <c r="U213">
        <f>IF(OC_Donor=0,"",IF(INDEX('OneCause_Paste'!$A$213:$AZ$213,1,OC_Donor)="","",INDEX('OneCause_Paste'!$A$213:$AZ$213,1,OC_Donor)))</f>
        <v/>
      </c>
    </row>
    <row r="214">
      <c r="A214" s="62">
        <f>IF(H214="","",IF(ISNUMBER(N214),N214,I214))</f>
        <v/>
      </c>
      <c r="B214">
        <f>IF(H214="","",U214)</f>
        <v/>
      </c>
      <c r="C214">
        <f>IF(H214="","",IF(P214="",K214,INDEX('Students'!$A$2:$A$701,P214)))</f>
        <v/>
      </c>
      <c r="D214">
        <f>IF(OR(H214="",P214=""),"",INDEX('Students'!$B$2:$B$701,P214))</f>
        <v/>
      </c>
      <c r="E214">
        <f>IF(OR(H214="",P214=""),"",INDEX('Students'!$C$2:$C$701,P214))</f>
        <v/>
      </c>
      <c r="F214" s="48">
        <f>IF(H214="","",IF(ISNUMBER(O214),O214,J214))</f>
        <v/>
      </c>
      <c r="G214">
        <f>IF(H214="","","OneCause")</f>
        <v/>
      </c>
      <c r="H214">
        <f>IF(AND(I214="",J214="",K214=""),"",IF(NOT(ISNUMBER(O214)),"Bad amount",IF(O214&lt;0,"Refund (not counted)",IF(O214=0,"Zero amount",IF(NOT(ISNUMBER(N214)),"Bad date",IF(P214="","NAME NOT ON ROSTER",IF(L214="","OK",IF(MATCH(L214,$L$2:$L$3001,0)&lt;ROW()-1,"Duplicate (ignored)","OK"))))))))</f>
        <v/>
      </c>
      <c r="I214">
        <f>IF(OC_Date=0,"",IF(INDEX('OneCause_Paste'!$A$214:$AZ$214,1,OC_Date)="","",INDEX('OneCause_Paste'!$A$214:$AZ$214,1,OC_Date)))</f>
        <v/>
      </c>
      <c r="J214">
        <f>IF(OC_Amt=0,"",IF(INDEX('OneCause_Paste'!$A$214:$AZ$214,1,OC_Amt)="","",INDEX('OneCause_Paste'!$A$214:$AZ$214,1,OC_Amt)))</f>
        <v/>
      </c>
      <c r="K214">
        <f>IF(OC_Name=0,"",IF(INDEX('OneCause_Paste'!$A$214:$AZ$214,1,OC_Name)="","",INDEX('OneCause_Paste'!$A$214:$AZ$214,1,OC_Name)))</f>
        <v/>
      </c>
      <c r="L214">
        <f>IF(OC_Txn=0,"",IF(INDEX('OneCause_Paste'!$A$214:$AZ$214,1,OC_Txn)="","",INDEX('OneCause_Paste'!$A$214:$AZ$214,1,OC_Txn)))</f>
        <v/>
      </c>
      <c r="M214">
        <f>IF(OC_Pay=0,"",IF(INDEX('OneCause_Paste'!$A$214:$AZ$214,1,OC_Pay)="","",INDEX('OneCause_Paste'!$A$214:$AZ$214,1,OC_Pay)))</f>
        <v/>
      </c>
      <c r="N214">
        <f>IF(I214="","",IF(ISNUMBER(I214),INT(I214),IFERROR(INT(DATEVALUE(I214)),IFERROR(INT(VALUE(I214)),"bad"))))</f>
        <v/>
      </c>
      <c r="O214">
        <f>IF(J214="","",IF(ISNUMBER(J214),ROUND(J214,2),IFERROR(ROUND(VALUE(SUBSTITUTE(SUBSTITUTE(SUBSTITUTE(J214,"$",""),",","")," ","")),2),"bad")))</f>
        <v/>
      </c>
      <c r="P214">
        <f>IF(TRIM(K214)="","",IFERROR(MATCH(LOWER(TRIM(K214)),'Students'!$AH$2:$AH$701,0),IFERROR(MATCH(LOWER(TRIM(K214)),'Students'!$AF$2:$AF$701,0),IFERROR(MATCH(LOWER(TRIM(K214)),'Students'!$AG$2:$AG$701,0),""))))</f>
        <v/>
      </c>
      <c r="R214">
        <f>IF(P214="","",INDEX('Students'!$AD$2:$AD$701,P214))</f>
        <v/>
      </c>
      <c r="S214">
        <f>IF(H214="OK",O214,0)</f>
        <v/>
      </c>
      <c r="T214">
        <f>IF(H214="OK",N214,"")</f>
        <v/>
      </c>
      <c r="U214">
        <f>IF(OC_Donor=0,"",IF(INDEX('OneCause_Paste'!$A$214:$AZ$214,1,OC_Donor)="","",INDEX('OneCause_Paste'!$A$214:$AZ$214,1,OC_Donor)))</f>
        <v/>
      </c>
    </row>
    <row r="215">
      <c r="A215" s="62">
        <f>IF(H215="","",IF(ISNUMBER(N215),N215,I215))</f>
        <v/>
      </c>
      <c r="B215">
        <f>IF(H215="","",U215)</f>
        <v/>
      </c>
      <c r="C215">
        <f>IF(H215="","",IF(P215="",K215,INDEX('Students'!$A$2:$A$701,P215)))</f>
        <v/>
      </c>
      <c r="D215">
        <f>IF(OR(H215="",P215=""),"",INDEX('Students'!$B$2:$B$701,P215))</f>
        <v/>
      </c>
      <c r="E215">
        <f>IF(OR(H215="",P215=""),"",INDEX('Students'!$C$2:$C$701,P215))</f>
        <v/>
      </c>
      <c r="F215" s="48">
        <f>IF(H215="","",IF(ISNUMBER(O215),O215,J215))</f>
        <v/>
      </c>
      <c r="G215">
        <f>IF(H215="","","OneCause")</f>
        <v/>
      </c>
      <c r="H215">
        <f>IF(AND(I215="",J215="",K215=""),"",IF(NOT(ISNUMBER(O215)),"Bad amount",IF(O215&lt;0,"Refund (not counted)",IF(O215=0,"Zero amount",IF(NOT(ISNUMBER(N215)),"Bad date",IF(P215="","NAME NOT ON ROSTER",IF(L215="","OK",IF(MATCH(L215,$L$2:$L$3001,0)&lt;ROW()-1,"Duplicate (ignored)","OK"))))))))</f>
        <v/>
      </c>
      <c r="I215">
        <f>IF(OC_Date=0,"",IF(INDEX('OneCause_Paste'!$A$215:$AZ$215,1,OC_Date)="","",INDEX('OneCause_Paste'!$A$215:$AZ$215,1,OC_Date)))</f>
        <v/>
      </c>
      <c r="J215">
        <f>IF(OC_Amt=0,"",IF(INDEX('OneCause_Paste'!$A$215:$AZ$215,1,OC_Amt)="","",INDEX('OneCause_Paste'!$A$215:$AZ$215,1,OC_Amt)))</f>
        <v/>
      </c>
      <c r="K215">
        <f>IF(OC_Name=0,"",IF(INDEX('OneCause_Paste'!$A$215:$AZ$215,1,OC_Name)="","",INDEX('OneCause_Paste'!$A$215:$AZ$215,1,OC_Name)))</f>
        <v/>
      </c>
      <c r="L215">
        <f>IF(OC_Txn=0,"",IF(INDEX('OneCause_Paste'!$A$215:$AZ$215,1,OC_Txn)="","",INDEX('OneCause_Paste'!$A$215:$AZ$215,1,OC_Txn)))</f>
        <v/>
      </c>
      <c r="M215">
        <f>IF(OC_Pay=0,"",IF(INDEX('OneCause_Paste'!$A$215:$AZ$215,1,OC_Pay)="","",INDEX('OneCause_Paste'!$A$215:$AZ$215,1,OC_Pay)))</f>
        <v/>
      </c>
      <c r="N215">
        <f>IF(I215="","",IF(ISNUMBER(I215),INT(I215),IFERROR(INT(DATEVALUE(I215)),IFERROR(INT(VALUE(I215)),"bad"))))</f>
        <v/>
      </c>
      <c r="O215">
        <f>IF(J215="","",IF(ISNUMBER(J215),ROUND(J215,2),IFERROR(ROUND(VALUE(SUBSTITUTE(SUBSTITUTE(SUBSTITUTE(J215,"$",""),",","")," ","")),2),"bad")))</f>
        <v/>
      </c>
      <c r="P215">
        <f>IF(TRIM(K215)="","",IFERROR(MATCH(LOWER(TRIM(K215)),'Students'!$AH$2:$AH$701,0),IFERROR(MATCH(LOWER(TRIM(K215)),'Students'!$AF$2:$AF$701,0),IFERROR(MATCH(LOWER(TRIM(K215)),'Students'!$AG$2:$AG$701,0),""))))</f>
        <v/>
      </c>
      <c r="R215">
        <f>IF(P215="","",INDEX('Students'!$AD$2:$AD$701,P215))</f>
        <v/>
      </c>
      <c r="S215">
        <f>IF(H215="OK",O215,0)</f>
        <v/>
      </c>
      <c r="T215">
        <f>IF(H215="OK",N215,"")</f>
        <v/>
      </c>
      <c r="U215">
        <f>IF(OC_Donor=0,"",IF(INDEX('OneCause_Paste'!$A$215:$AZ$215,1,OC_Donor)="","",INDEX('OneCause_Paste'!$A$215:$AZ$215,1,OC_Donor)))</f>
        <v/>
      </c>
    </row>
    <row r="216">
      <c r="A216" s="62">
        <f>IF(H216="","",IF(ISNUMBER(N216),N216,I216))</f>
        <v/>
      </c>
      <c r="B216">
        <f>IF(H216="","",U216)</f>
        <v/>
      </c>
      <c r="C216">
        <f>IF(H216="","",IF(P216="",K216,INDEX('Students'!$A$2:$A$701,P216)))</f>
        <v/>
      </c>
      <c r="D216">
        <f>IF(OR(H216="",P216=""),"",INDEX('Students'!$B$2:$B$701,P216))</f>
        <v/>
      </c>
      <c r="E216">
        <f>IF(OR(H216="",P216=""),"",INDEX('Students'!$C$2:$C$701,P216))</f>
        <v/>
      </c>
      <c r="F216" s="48">
        <f>IF(H216="","",IF(ISNUMBER(O216),O216,J216))</f>
        <v/>
      </c>
      <c r="G216">
        <f>IF(H216="","","OneCause")</f>
        <v/>
      </c>
      <c r="H216">
        <f>IF(AND(I216="",J216="",K216=""),"",IF(NOT(ISNUMBER(O216)),"Bad amount",IF(O216&lt;0,"Refund (not counted)",IF(O216=0,"Zero amount",IF(NOT(ISNUMBER(N216)),"Bad date",IF(P216="","NAME NOT ON ROSTER",IF(L216="","OK",IF(MATCH(L216,$L$2:$L$3001,0)&lt;ROW()-1,"Duplicate (ignored)","OK"))))))))</f>
        <v/>
      </c>
      <c r="I216">
        <f>IF(OC_Date=0,"",IF(INDEX('OneCause_Paste'!$A$216:$AZ$216,1,OC_Date)="","",INDEX('OneCause_Paste'!$A$216:$AZ$216,1,OC_Date)))</f>
        <v/>
      </c>
      <c r="J216">
        <f>IF(OC_Amt=0,"",IF(INDEX('OneCause_Paste'!$A$216:$AZ$216,1,OC_Amt)="","",INDEX('OneCause_Paste'!$A$216:$AZ$216,1,OC_Amt)))</f>
        <v/>
      </c>
      <c r="K216">
        <f>IF(OC_Name=0,"",IF(INDEX('OneCause_Paste'!$A$216:$AZ$216,1,OC_Name)="","",INDEX('OneCause_Paste'!$A$216:$AZ$216,1,OC_Name)))</f>
        <v/>
      </c>
      <c r="L216">
        <f>IF(OC_Txn=0,"",IF(INDEX('OneCause_Paste'!$A$216:$AZ$216,1,OC_Txn)="","",INDEX('OneCause_Paste'!$A$216:$AZ$216,1,OC_Txn)))</f>
        <v/>
      </c>
      <c r="M216">
        <f>IF(OC_Pay=0,"",IF(INDEX('OneCause_Paste'!$A$216:$AZ$216,1,OC_Pay)="","",INDEX('OneCause_Paste'!$A$216:$AZ$216,1,OC_Pay)))</f>
        <v/>
      </c>
      <c r="N216">
        <f>IF(I216="","",IF(ISNUMBER(I216),INT(I216),IFERROR(INT(DATEVALUE(I216)),IFERROR(INT(VALUE(I216)),"bad"))))</f>
        <v/>
      </c>
      <c r="O216">
        <f>IF(J216="","",IF(ISNUMBER(J216),ROUND(J216,2),IFERROR(ROUND(VALUE(SUBSTITUTE(SUBSTITUTE(SUBSTITUTE(J216,"$",""),",","")," ","")),2),"bad")))</f>
        <v/>
      </c>
      <c r="P216">
        <f>IF(TRIM(K216)="","",IFERROR(MATCH(LOWER(TRIM(K216)),'Students'!$AH$2:$AH$701,0),IFERROR(MATCH(LOWER(TRIM(K216)),'Students'!$AF$2:$AF$701,0),IFERROR(MATCH(LOWER(TRIM(K216)),'Students'!$AG$2:$AG$701,0),""))))</f>
        <v/>
      </c>
      <c r="R216">
        <f>IF(P216="","",INDEX('Students'!$AD$2:$AD$701,P216))</f>
        <v/>
      </c>
      <c r="S216">
        <f>IF(H216="OK",O216,0)</f>
        <v/>
      </c>
      <c r="T216">
        <f>IF(H216="OK",N216,"")</f>
        <v/>
      </c>
      <c r="U216">
        <f>IF(OC_Donor=0,"",IF(INDEX('OneCause_Paste'!$A$216:$AZ$216,1,OC_Donor)="","",INDEX('OneCause_Paste'!$A$216:$AZ$216,1,OC_Donor)))</f>
        <v/>
      </c>
    </row>
    <row r="217">
      <c r="A217" s="62">
        <f>IF(H217="","",IF(ISNUMBER(N217),N217,I217))</f>
        <v/>
      </c>
      <c r="B217">
        <f>IF(H217="","",U217)</f>
        <v/>
      </c>
      <c r="C217">
        <f>IF(H217="","",IF(P217="",K217,INDEX('Students'!$A$2:$A$701,P217)))</f>
        <v/>
      </c>
      <c r="D217">
        <f>IF(OR(H217="",P217=""),"",INDEX('Students'!$B$2:$B$701,P217))</f>
        <v/>
      </c>
      <c r="E217">
        <f>IF(OR(H217="",P217=""),"",INDEX('Students'!$C$2:$C$701,P217))</f>
        <v/>
      </c>
      <c r="F217" s="48">
        <f>IF(H217="","",IF(ISNUMBER(O217),O217,J217))</f>
        <v/>
      </c>
      <c r="G217">
        <f>IF(H217="","","OneCause")</f>
        <v/>
      </c>
      <c r="H217">
        <f>IF(AND(I217="",J217="",K217=""),"",IF(NOT(ISNUMBER(O217)),"Bad amount",IF(O217&lt;0,"Refund (not counted)",IF(O217=0,"Zero amount",IF(NOT(ISNUMBER(N217)),"Bad date",IF(P217="","NAME NOT ON ROSTER",IF(L217="","OK",IF(MATCH(L217,$L$2:$L$3001,0)&lt;ROW()-1,"Duplicate (ignored)","OK"))))))))</f>
        <v/>
      </c>
      <c r="I217">
        <f>IF(OC_Date=0,"",IF(INDEX('OneCause_Paste'!$A$217:$AZ$217,1,OC_Date)="","",INDEX('OneCause_Paste'!$A$217:$AZ$217,1,OC_Date)))</f>
        <v/>
      </c>
      <c r="J217">
        <f>IF(OC_Amt=0,"",IF(INDEX('OneCause_Paste'!$A$217:$AZ$217,1,OC_Amt)="","",INDEX('OneCause_Paste'!$A$217:$AZ$217,1,OC_Amt)))</f>
        <v/>
      </c>
      <c r="K217">
        <f>IF(OC_Name=0,"",IF(INDEX('OneCause_Paste'!$A$217:$AZ$217,1,OC_Name)="","",INDEX('OneCause_Paste'!$A$217:$AZ$217,1,OC_Name)))</f>
        <v/>
      </c>
      <c r="L217">
        <f>IF(OC_Txn=0,"",IF(INDEX('OneCause_Paste'!$A$217:$AZ$217,1,OC_Txn)="","",INDEX('OneCause_Paste'!$A$217:$AZ$217,1,OC_Txn)))</f>
        <v/>
      </c>
      <c r="M217">
        <f>IF(OC_Pay=0,"",IF(INDEX('OneCause_Paste'!$A$217:$AZ$217,1,OC_Pay)="","",INDEX('OneCause_Paste'!$A$217:$AZ$217,1,OC_Pay)))</f>
        <v/>
      </c>
      <c r="N217">
        <f>IF(I217="","",IF(ISNUMBER(I217),INT(I217),IFERROR(INT(DATEVALUE(I217)),IFERROR(INT(VALUE(I217)),"bad"))))</f>
        <v/>
      </c>
      <c r="O217">
        <f>IF(J217="","",IF(ISNUMBER(J217),ROUND(J217,2),IFERROR(ROUND(VALUE(SUBSTITUTE(SUBSTITUTE(SUBSTITUTE(J217,"$",""),",","")," ","")),2),"bad")))</f>
        <v/>
      </c>
      <c r="P217">
        <f>IF(TRIM(K217)="","",IFERROR(MATCH(LOWER(TRIM(K217)),'Students'!$AH$2:$AH$701,0),IFERROR(MATCH(LOWER(TRIM(K217)),'Students'!$AF$2:$AF$701,0),IFERROR(MATCH(LOWER(TRIM(K217)),'Students'!$AG$2:$AG$701,0),""))))</f>
        <v/>
      </c>
      <c r="R217">
        <f>IF(P217="","",INDEX('Students'!$AD$2:$AD$701,P217))</f>
        <v/>
      </c>
      <c r="S217">
        <f>IF(H217="OK",O217,0)</f>
        <v/>
      </c>
      <c r="T217">
        <f>IF(H217="OK",N217,"")</f>
        <v/>
      </c>
      <c r="U217">
        <f>IF(OC_Donor=0,"",IF(INDEX('OneCause_Paste'!$A$217:$AZ$217,1,OC_Donor)="","",INDEX('OneCause_Paste'!$A$217:$AZ$217,1,OC_Donor)))</f>
        <v/>
      </c>
    </row>
    <row r="218">
      <c r="A218" s="62">
        <f>IF(H218="","",IF(ISNUMBER(N218),N218,I218))</f>
        <v/>
      </c>
      <c r="B218">
        <f>IF(H218="","",U218)</f>
        <v/>
      </c>
      <c r="C218">
        <f>IF(H218="","",IF(P218="",K218,INDEX('Students'!$A$2:$A$701,P218)))</f>
        <v/>
      </c>
      <c r="D218">
        <f>IF(OR(H218="",P218=""),"",INDEX('Students'!$B$2:$B$701,P218))</f>
        <v/>
      </c>
      <c r="E218">
        <f>IF(OR(H218="",P218=""),"",INDEX('Students'!$C$2:$C$701,P218))</f>
        <v/>
      </c>
      <c r="F218" s="48">
        <f>IF(H218="","",IF(ISNUMBER(O218),O218,J218))</f>
        <v/>
      </c>
      <c r="G218">
        <f>IF(H218="","","OneCause")</f>
        <v/>
      </c>
      <c r="H218">
        <f>IF(AND(I218="",J218="",K218=""),"",IF(NOT(ISNUMBER(O218)),"Bad amount",IF(O218&lt;0,"Refund (not counted)",IF(O218=0,"Zero amount",IF(NOT(ISNUMBER(N218)),"Bad date",IF(P218="","NAME NOT ON ROSTER",IF(L218="","OK",IF(MATCH(L218,$L$2:$L$3001,0)&lt;ROW()-1,"Duplicate (ignored)","OK"))))))))</f>
        <v/>
      </c>
      <c r="I218">
        <f>IF(OC_Date=0,"",IF(INDEX('OneCause_Paste'!$A$218:$AZ$218,1,OC_Date)="","",INDEX('OneCause_Paste'!$A$218:$AZ$218,1,OC_Date)))</f>
        <v/>
      </c>
      <c r="J218">
        <f>IF(OC_Amt=0,"",IF(INDEX('OneCause_Paste'!$A$218:$AZ$218,1,OC_Amt)="","",INDEX('OneCause_Paste'!$A$218:$AZ$218,1,OC_Amt)))</f>
        <v/>
      </c>
      <c r="K218">
        <f>IF(OC_Name=0,"",IF(INDEX('OneCause_Paste'!$A$218:$AZ$218,1,OC_Name)="","",INDEX('OneCause_Paste'!$A$218:$AZ$218,1,OC_Name)))</f>
        <v/>
      </c>
      <c r="L218">
        <f>IF(OC_Txn=0,"",IF(INDEX('OneCause_Paste'!$A$218:$AZ$218,1,OC_Txn)="","",INDEX('OneCause_Paste'!$A$218:$AZ$218,1,OC_Txn)))</f>
        <v/>
      </c>
      <c r="M218">
        <f>IF(OC_Pay=0,"",IF(INDEX('OneCause_Paste'!$A$218:$AZ$218,1,OC_Pay)="","",INDEX('OneCause_Paste'!$A$218:$AZ$218,1,OC_Pay)))</f>
        <v/>
      </c>
      <c r="N218">
        <f>IF(I218="","",IF(ISNUMBER(I218),INT(I218),IFERROR(INT(DATEVALUE(I218)),IFERROR(INT(VALUE(I218)),"bad"))))</f>
        <v/>
      </c>
      <c r="O218">
        <f>IF(J218="","",IF(ISNUMBER(J218),ROUND(J218,2),IFERROR(ROUND(VALUE(SUBSTITUTE(SUBSTITUTE(SUBSTITUTE(J218,"$",""),",","")," ","")),2),"bad")))</f>
        <v/>
      </c>
      <c r="P218">
        <f>IF(TRIM(K218)="","",IFERROR(MATCH(LOWER(TRIM(K218)),'Students'!$AH$2:$AH$701,0),IFERROR(MATCH(LOWER(TRIM(K218)),'Students'!$AF$2:$AF$701,0),IFERROR(MATCH(LOWER(TRIM(K218)),'Students'!$AG$2:$AG$701,0),""))))</f>
        <v/>
      </c>
      <c r="R218">
        <f>IF(P218="","",INDEX('Students'!$AD$2:$AD$701,P218))</f>
        <v/>
      </c>
      <c r="S218">
        <f>IF(H218="OK",O218,0)</f>
        <v/>
      </c>
      <c r="T218">
        <f>IF(H218="OK",N218,"")</f>
        <v/>
      </c>
      <c r="U218">
        <f>IF(OC_Donor=0,"",IF(INDEX('OneCause_Paste'!$A$218:$AZ$218,1,OC_Donor)="","",INDEX('OneCause_Paste'!$A$218:$AZ$218,1,OC_Donor)))</f>
        <v/>
      </c>
    </row>
    <row r="219">
      <c r="A219" s="62">
        <f>IF(H219="","",IF(ISNUMBER(N219),N219,I219))</f>
        <v/>
      </c>
      <c r="B219">
        <f>IF(H219="","",U219)</f>
        <v/>
      </c>
      <c r="C219">
        <f>IF(H219="","",IF(P219="",K219,INDEX('Students'!$A$2:$A$701,P219)))</f>
        <v/>
      </c>
      <c r="D219">
        <f>IF(OR(H219="",P219=""),"",INDEX('Students'!$B$2:$B$701,P219))</f>
        <v/>
      </c>
      <c r="E219">
        <f>IF(OR(H219="",P219=""),"",INDEX('Students'!$C$2:$C$701,P219))</f>
        <v/>
      </c>
      <c r="F219" s="48">
        <f>IF(H219="","",IF(ISNUMBER(O219),O219,J219))</f>
        <v/>
      </c>
      <c r="G219">
        <f>IF(H219="","","OneCause")</f>
        <v/>
      </c>
      <c r="H219">
        <f>IF(AND(I219="",J219="",K219=""),"",IF(NOT(ISNUMBER(O219)),"Bad amount",IF(O219&lt;0,"Refund (not counted)",IF(O219=0,"Zero amount",IF(NOT(ISNUMBER(N219)),"Bad date",IF(P219="","NAME NOT ON ROSTER",IF(L219="","OK",IF(MATCH(L219,$L$2:$L$3001,0)&lt;ROW()-1,"Duplicate (ignored)","OK"))))))))</f>
        <v/>
      </c>
      <c r="I219">
        <f>IF(OC_Date=0,"",IF(INDEX('OneCause_Paste'!$A$219:$AZ$219,1,OC_Date)="","",INDEX('OneCause_Paste'!$A$219:$AZ$219,1,OC_Date)))</f>
        <v/>
      </c>
      <c r="J219">
        <f>IF(OC_Amt=0,"",IF(INDEX('OneCause_Paste'!$A$219:$AZ$219,1,OC_Amt)="","",INDEX('OneCause_Paste'!$A$219:$AZ$219,1,OC_Amt)))</f>
        <v/>
      </c>
      <c r="K219">
        <f>IF(OC_Name=0,"",IF(INDEX('OneCause_Paste'!$A$219:$AZ$219,1,OC_Name)="","",INDEX('OneCause_Paste'!$A$219:$AZ$219,1,OC_Name)))</f>
        <v/>
      </c>
      <c r="L219">
        <f>IF(OC_Txn=0,"",IF(INDEX('OneCause_Paste'!$A$219:$AZ$219,1,OC_Txn)="","",INDEX('OneCause_Paste'!$A$219:$AZ$219,1,OC_Txn)))</f>
        <v/>
      </c>
      <c r="M219">
        <f>IF(OC_Pay=0,"",IF(INDEX('OneCause_Paste'!$A$219:$AZ$219,1,OC_Pay)="","",INDEX('OneCause_Paste'!$A$219:$AZ$219,1,OC_Pay)))</f>
        <v/>
      </c>
      <c r="N219">
        <f>IF(I219="","",IF(ISNUMBER(I219),INT(I219),IFERROR(INT(DATEVALUE(I219)),IFERROR(INT(VALUE(I219)),"bad"))))</f>
        <v/>
      </c>
      <c r="O219">
        <f>IF(J219="","",IF(ISNUMBER(J219),ROUND(J219,2),IFERROR(ROUND(VALUE(SUBSTITUTE(SUBSTITUTE(SUBSTITUTE(J219,"$",""),",","")," ","")),2),"bad")))</f>
        <v/>
      </c>
      <c r="P219">
        <f>IF(TRIM(K219)="","",IFERROR(MATCH(LOWER(TRIM(K219)),'Students'!$AH$2:$AH$701,0),IFERROR(MATCH(LOWER(TRIM(K219)),'Students'!$AF$2:$AF$701,0),IFERROR(MATCH(LOWER(TRIM(K219)),'Students'!$AG$2:$AG$701,0),""))))</f>
        <v/>
      </c>
      <c r="R219">
        <f>IF(P219="","",INDEX('Students'!$AD$2:$AD$701,P219))</f>
        <v/>
      </c>
      <c r="S219">
        <f>IF(H219="OK",O219,0)</f>
        <v/>
      </c>
      <c r="T219">
        <f>IF(H219="OK",N219,"")</f>
        <v/>
      </c>
      <c r="U219">
        <f>IF(OC_Donor=0,"",IF(INDEX('OneCause_Paste'!$A$219:$AZ$219,1,OC_Donor)="","",INDEX('OneCause_Paste'!$A$219:$AZ$219,1,OC_Donor)))</f>
        <v/>
      </c>
    </row>
    <row r="220">
      <c r="A220" s="62">
        <f>IF(H220="","",IF(ISNUMBER(N220),N220,I220))</f>
        <v/>
      </c>
      <c r="B220">
        <f>IF(H220="","",U220)</f>
        <v/>
      </c>
      <c r="C220">
        <f>IF(H220="","",IF(P220="",K220,INDEX('Students'!$A$2:$A$701,P220)))</f>
        <v/>
      </c>
      <c r="D220">
        <f>IF(OR(H220="",P220=""),"",INDEX('Students'!$B$2:$B$701,P220))</f>
        <v/>
      </c>
      <c r="E220">
        <f>IF(OR(H220="",P220=""),"",INDEX('Students'!$C$2:$C$701,P220))</f>
        <v/>
      </c>
      <c r="F220" s="48">
        <f>IF(H220="","",IF(ISNUMBER(O220),O220,J220))</f>
        <v/>
      </c>
      <c r="G220">
        <f>IF(H220="","","OneCause")</f>
        <v/>
      </c>
      <c r="H220">
        <f>IF(AND(I220="",J220="",K220=""),"",IF(NOT(ISNUMBER(O220)),"Bad amount",IF(O220&lt;0,"Refund (not counted)",IF(O220=0,"Zero amount",IF(NOT(ISNUMBER(N220)),"Bad date",IF(P220="","NAME NOT ON ROSTER",IF(L220="","OK",IF(MATCH(L220,$L$2:$L$3001,0)&lt;ROW()-1,"Duplicate (ignored)","OK"))))))))</f>
        <v/>
      </c>
      <c r="I220">
        <f>IF(OC_Date=0,"",IF(INDEX('OneCause_Paste'!$A$220:$AZ$220,1,OC_Date)="","",INDEX('OneCause_Paste'!$A$220:$AZ$220,1,OC_Date)))</f>
        <v/>
      </c>
      <c r="J220">
        <f>IF(OC_Amt=0,"",IF(INDEX('OneCause_Paste'!$A$220:$AZ$220,1,OC_Amt)="","",INDEX('OneCause_Paste'!$A$220:$AZ$220,1,OC_Amt)))</f>
        <v/>
      </c>
      <c r="K220">
        <f>IF(OC_Name=0,"",IF(INDEX('OneCause_Paste'!$A$220:$AZ$220,1,OC_Name)="","",INDEX('OneCause_Paste'!$A$220:$AZ$220,1,OC_Name)))</f>
        <v/>
      </c>
      <c r="L220">
        <f>IF(OC_Txn=0,"",IF(INDEX('OneCause_Paste'!$A$220:$AZ$220,1,OC_Txn)="","",INDEX('OneCause_Paste'!$A$220:$AZ$220,1,OC_Txn)))</f>
        <v/>
      </c>
      <c r="M220">
        <f>IF(OC_Pay=0,"",IF(INDEX('OneCause_Paste'!$A$220:$AZ$220,1,OC_Pay)="","",INDEX('OneCause_Paste'!$A$220:$AZ$220,1,OC_Pay)))</f>
        <v/>
      </c>
      <c r="N220">
        <f>IF(I220="","",IF(ISNUMBER(I220),INT(I220),IFERROR(INT(DATEVALUE(I220)),IFERROR(INT(VALUE(I220)),"bad"))))</f>
        <v/>
      </c>
      <c r="O220">
        <f>IF(J220="","",IF(ISNUMBER(J220),ROUND(J220,2),IFERROR(ROUND(VALUE(SUBSTITUTE(SUBSTITUTE(SUBSTITUTE(J220,"$",""),",","")," ","")),2),"bad")))</f>
        <v/>
      </c>
      <c r="P220">
        <f>IF(TRIM(K220)="","",IFERROR(MATCH(LOWER(TRIM(K220)),'Students'!$AH$2:$AH$701,0),IFERROR(MATCH(LOWER(TRIM(K220)),'Students'!$AF$2:$AF$701,0),IFERROR(MATCH(LOWER(TRIM(K220)),'Students'!$AG$2:$AG$701,0),""))))</f>
        <v/>
      </c>
      <c r="R220">
        <f>IF(P220="","",INDEX('Students'!$AD$2:$AD$701,P220))</f>
        <v/>
      </c>
      <c r="S220">
        <f>IF(H220="OK",O220,0)</f>
        <v/>
      </c>
      <c r="T220">
        <f>IF(H220="OK",N220,"")</f>
        <v/>
      </c>
      <c r="U220">
        <f>IF(OC_Donor=0,"",IF(INDEX('OneCause_Paste'!$A$220:$AZ$220,1,OC_Donor)="","",INDEX('OneCause_Paste'!$A$220:$AZ$220,1,OC_Donor)))</f>
        <v/>
      </c>
    </row>
    <row r="221">
      <c r="A221" s="62">
        <f>IF(H221="","",IF(ISNUMBER(N221),N221,I221))</f>
        <v/>
      </c>
      <c r="B221">
        <f>IF(H221="","",U221)</f>
        <v/>
      </c>
      <c r="C221">
        <f>IF(H221="","",IF(P221="",K221,INDEX('Students'!$A$2:$A$701,P221)))</f>
        <v/>
      </c>
      <c r="D221">
        <f>IF(OR(H221="",P221=""),"",INDEX('Students'!$B$2:$B$701,P221))</f>
        <v/>
      </c>
      <c r="E221">
        <f>IF(OR(H221="",P221=""),"",INDEX('Students'!$C$2:$C$701,P221))</f>
        <v/>
      </c>
      <c r="F221" s="48">
        <f>IF(H221="","",IF(ISNUMBER(O221),O221,J221))</f>
        <v/>
      </c>
      <c r="G221">
        <f>IF(H221="","","OneCause")</f>
        <v/>
      </c>
      <c r="H221">
        <f>IF(AND(I221="",J221="",K221=""),"",IF(NOT(ISNUMBER(O221)),"Bad amount",IF(O221&lt;0,"Refund (not counted)",IF(O221=0,"Zero amount",IF(NOT(ISNUMBER(N221)),"Bad date",IF(P221="","NAME NOT ON ROSTER",IF(L221="","OK",IF(MATCH(L221,$L$2:$L$3001,0)&lt;ROW()-1,"Duplicate (ignored)","OK"))))))))</f>
        <v/>
      </c>
      <c r="I221">
        <f>IF(OC_Date=0,"",IF(INDEX('OneCause_Paste'!$A$221:$AZ$221,1,OC_Date)="","",INDEX('OneCause_Paste'!$A$221:$AZ$221,1,OC_Date)))</f>
        <v/>
      </c>
      <c r="J221">
        <f>IF(OC_Amt=0,"",IF(INDEX('OneCause_Paste'!$A$221:$AZ$221,1,OC_Amt)="","",INDEX('OneCause_Paste'!$A$221:$AZ$221,1,OC_Amt)))</f>
        <v/>
      </c>
      <c r="K221">
        <f>IF(OC_Name=0,"",IF(INDEX('OneCause_Paste'!$A$221:$AZ$221,1,OC_Name)="","",INDEX('OneCause_Paste'!$A$221:$AZ$221,1,OC_Name)))</f>
        <v/>
      </c>
      <c r="L221">
        <f>IF(OC_Txn=0,"",IF(INDEX('OneCause_Paste'!$A$221:$AZ$221,1,OC_Txn)="","",INDEX('OneCause_Paste'!$A$221:$AZ$221,1,OC_Txn)))</f>
        <v/>
      </c>
      <c r="M221">
        <f>IF(OC_Pay=0,"",IF(INDEX('OneCause_Paste'!$A$221:$AZ$221,1,OC_Pay)="","",INDEX('OneCause_Paste'!$A$221:$AZ$221,1,OC_Pay)))</f>
        <v/>
      </c>
      <c r="N221">
        <f>IF(I221="","",IF(ISNUMBER(I221),INT(I221),IFERROR(INT(DATEVALUE(I221)),IFERROR(INT(VALUE(I221)),"bad"))))</f>
        <v/>
      </c>
      <c r="O221">
        <f>IF(J221="","",IF(ISNUMBER(J221),ROUND(J221,2),IFERROR(ROUND(VALUE(SUBSTITUTE(SUBSTITUTE(SUBSTITUTE(J221,"$",""),",","")," ","")),2),"bad")))</f>
        <v/>
      </c>
      <c r="P221">
        <f>IF(TRIM(K221)="","",IFERROR(MATCH(LOWER(TRIM(K221)),'Students'!$AH$2:$AH$701,0),IFERROR(MATCH(LOWER(TRIM(K221)),'Students'!$AF$2:$AF$701,0),IFERROR(MATCH(LOWER(TRIM(K221)),'Students'!$AG$2:$AG$701,0),""))))</f>
        <v/>
      </c>
      <c r="R221">
        <f>IF(P221="","",INDEX('Students'!$AD$2:$AD$701,P221))</f>
        <v/>
      </c>
      <c r="S221">
        <f>IF(H221="OK",O221,0)</f>
        <v/>
      </c>
      <c r="T221">
        <f>IF(H221="OK",N221,"")</f>
        <v/>
      </c>
      <c r="U221">
        <f>IF(OC_Donor=0,"",IF(INDEX('OneCause_Paste'!$A$221:$AZ$221,1,OC_Donor)="","",INDEX('OneCause_Paste'!$A$221:$AZ$221,1,OC_Donor)))</f>
        <v/>
      </c>
    </row>
    <row r="222">
      <c r="A222" s="62">
        <f>IF(H222="","",IF(ISNUMBER(N222),N222,I222))</f>
        <v/>
      </c>
      <c r="B222">
        <f>IF(H222="","",U222)</f>
        <v/>
      </c>
      <c r="C222">
        <f>IF(H222="","",IF(P222="",K222,INDEX('Students'!$A$2:$A$701,P222)))</f>
        <v/>
      </c>
      <c r="D222">
        <f>IF(OR(H222="",P222=""),"",INDEX('Students'!$B$2:$B$701,P222))</f>
        <v/>
      </c>
      <c r="E222">
        <f>IF(OR(H222="",P222=""),"",INDEX('Students'!$C$2:$C$701,P222))</f>
        <v/>
      </c>
      <c r="F222" s="48">
        <f>IF(H222="","",IF(ISNUMBER(O222),O222,J222))</f>
        <v/>
      </c>
      <c r="G222">
        <f>IF(H222="","","OneCause")</f>
        <v/>
      </c>
      <c r="H222">
        <f>IF(AND(I222="",J222="",K222=""),"",IF(NOT(ISNUMBER(O222)),"Bad amount",IF(O222&lt;0,"Refund (not counted)",IF(O222=0,"Zero amount",IF(NOT(ISNUMBER(N222)),"Bad date",IF(P222="","NAME NOT ON ROSTER",IF(L222="","OK",IF(MATCH(L222,$L$2:$L$3001,0)&lt;ROW()-1,"Duplicate (ignored)","OK"))))))))</f>
        <v/>
      </c>
      <c r="I222">
        <f>IF(OC_Date=0,"",IF(INDEX('OneCause_Paste'!$A$222:$AZ$222,1,OC_Date)="","",INDEX('OneCause_Paste'!$A$222:$AZ$222,1,OC_Date)))</f>
        <v/>
      </c>
      <c r="J222">
        <f>IF(OC_Amt=0,"",IF(INDEX('OneCause_Paste'!$A$222:$AZ$222,1,OC_Amt)="","",INDEX('OneCause_Paste'!$A$222:$AZ$222,1,OC_Amt)))</f>
        <v/>
      </c>
      <c r="K222">
        <f>IF(OC_Name=0,"",IF(INDEX('OneCause_Paste'!$A$222:$AZ$222,1,OC_Name)="","",INDEX('OneCause_Paste'!$A$222:$AZ$222,1,OC_Name)))</f>
        <v/>
      </c>
      <c r="L222">
        <f>IF(OC_Txn=0,"",IF(INDEX('OneCause_Paste'!$A$222:$AZ$222,1,OC_Txn)="","",INDEX('OneCause_Paste'!$A$222:$AZ$222,1,OC_Txn)))</f>
        <v/>
      </c>
      <c r="M222">
        <f>IF(OC_Pay=0,"",IF(INDEX('OneCause_Paste'!$A$222:$AZ$222,1,OC_Pay)="","",INDEX('OneCause_Paste'!$A$222:$AZ$222,1,OC_Pay)))</f>
        <v/>
      </c>
      <c r="N222">
        <f>IF(I222="","",IF(ISNUMBER(I222),INT(I222),IFERROR(INT(DATEVALUE(I222)),IFERROR(INT(VALUE(I222)),"bad"))))</f>
        <v/>
      </c>
      <c r="O222">
        <f>IF(J222="","",IF(ISNUMBER(J222),ROUND(J222,2),IFERROR(ROUND(VALUE(SUBSTITUTE(SUBSTITUTE(SUBSTITUTE(J222,"$",""),",","")," ","")),2),"bad")))</f>
        <v/>
      </c>
      <c r="P222">
        <f>IF(TRIM(K222)="","",IFERROR(MATCH(LOWER(TRIM(K222)),'Students'!$AH$2:$AH$701,0),IFERROR(MATCH(LOWER(TRIM(K222)),'Students'!$AF$2:$AF$701,0),IFERROR(MATCH(LOWER(TRIM(K222)),'Students'!$AG$2:$AG$701,0),""))))</f>
        <v/>
      </c>
      <c r="R222">
        <f>IF(P222="","",INDEX('Students'!$AD$2:$AD$701,P222))</f>
        <v/>
      </c>
      <c r="S222">
        <f>IF(H222="OK",O222,0)</f>
        <v/>
      </c>
      <c r="T222">
        <f>IF(H222="OK",N222,"")</f>
        <v/>
      </c>
      <c r="U222">
        <f>IF(OC_Donor=0,"",IF(INDEX('OneCause_Paste'!$A$222:$AZ$222,1,OC_Donor)="","",INDEX('OneCause_Paste'!$A$222:$AZ$222,1,OC_Donor)))</f>
        <v/>
      </c>
    </row>
    <row r="223">
      <c r="A223" s="62">
        <f>IF(H223="","",IF(ISNUMBER(N223),N223,I223))</f>
        <v/>
      </c>
      <c r="B223">
        <f>IF(H223="","",U223)</f>
        <v/>
      </c>
      <c r="C223">
        <f>IF(H223="","",IF(P223="",K223,INDEX('Students'!$A$2:$A$701,P223)))</f>
        <v/>
      </c>
      <c r="D223">
        <f>IF(OR(H223="",P223=""),"",INDEX('Students'!$B$2:$B$701,P223))</f>
        <v/>
      </c>
      <c r="E223">
        <f>IF(OR(H223="",P223=""),"",INDEX('Students'!$C$2:$C$701,P223))</f>
        <v/>
      </c>
      <c r="F223" s="48">
        <f>IF(H223="","",IF(ISNUMBER(O223),O223,J223))</f>
        <v/>
      </c>
      <c r="G223">
        <f>IF(H223="","","OneCause")</f>
        <v/>
      </c>
      <c r="H223">
        <f>IF(AND(I223="",J223="",K223=""),"",IF(NOT(ISNUMBER(O223)),"Bad amount",IF(O223&lt;0,"Refund (not counted)",IF(O223=0,"Zero amount",IF(NOT(ISNUMBER(N223)),"Bad date",IF(P223="","NAME NOT ON ROSTER",IF(L223="","OK",IF(MATCH(L223,$L$2:$L$3001,0)&lt;ROW()-1,"Duplicate (ignored)","OK"))))))))</f>
        <v/>
      </c>
      <c r="I223">
        <f>IF(OC_Date=0,"",IF(INDEX('OneCause_Paste'!$A$223:$AZ$223,1,OC_Date)="","",INDEX('OneCause_Paste'!$A$223:$AZ$223,1,OC_Date)))</f>
        <v/>
      </c>
      <c r="J223">
        <f>IF(OC_Amt=0,"",IF(INDEX('OneCause_Paste'!$A$223:$AZ$223,1,OC_Amt)="","",INDEX('OneCause_Paste'!$A$223:$AZ$223,1,OC_Amt)))</f>
        <v/>
      </c>
      <c r="K223">
        <f>IF(OC_Name=0,"",IF(INDEX('OneCause_Paste'!$A$223:$AZ$223,1,OC_Name)="","",INDEX('OneCause_Paste'!$A$223:$AZ$223,1,OC_Name)))</f>
        <v/>
      </c>
      <c r="L223">
        <f>IF(OC_Txn=0,"",IF(INDEX('OneCause_Paste'!$A$223:$AZ$223,1,OC_Txn)="","",INDEX('OneCause_Paste'!$A$223:$AZ$223,1,OC_Txn)))</f>
        <v/>
      </c>
      <c r="M223">
        <f>IF(OC_Pay=0,"",IF(INDEX('OneCause_Paste'!$A$223:$AZ$223,1,OC_Pay)="","",INDEX('OneCause_Paste'!$A$223:$AZ$223,1,OC_Pay)))</f>
        <v/>
      </c>
      <c r="N223">
        <f>IF(I223="","",IF(ISNUMBER(I223),INT(I223),IFERROR(INT(DATEVALUE(I223)),IFERROR(INT(VALUE(I223)),"bad"))))</f>
        <v/>
      </c>
      <c r="O223">
        <f>IF(J223="","",IF(ISNUMBER(J223),ROUND(J223,2),IFERROR(ROUND(VALUE(SUBSTITUTE(SUBSTITUTE(SUBSTITUTE(J223,"$",""),",","")," ","")),2),"bad")))</f>
        <v/>
      </c>
      <c r="P223">
        <f>IF(TRIM(K223)="","",IFERROR(MATCH(LOWER(TRIM(K223)),'Students'!$AH$2:$AH$701,0),IFERROR(MATCH(LOWER(TRIM(K223)),'Students'!$AF$2:$AF$701,0),IFERROR(MATCH(LOWER(TRIM(K223)),'Students'!$AG$2:$AG$701,0),""))))</f>
        <v/>
      </c>
      <c r="R223">
        <f>IF(P223="","",INDEX('Students'!$AD$2:$AD$701,P223))</f>
        <v/>
      </c>
      <c r="S223">
        <f>IF(H223="OK",O223,0)</f>
        <v/>
      </c>
      <c r="T223">
        <f>IF(H223="OK",N223,"")</f>
        <v/>
      </c>
      <c r="U223">
        <f>IF(OC_Donor=0,"",IF(INDEX('OneCause_Paste'!$A$223:$AZ$223,1,OC_Donor)="","",INDEX('OneCause_Paste'!$A$223:$AZ$223,1,OC_Donor)))</f>
        <v/>
      </c>
    </row>
    <row r="224">
      <c r="A224" s="62">
        <f>IF(H224="","",IF(ISNUMBER(N224),N224,I224))</f>
        <v/>
      </c>
      <c r="B224">
        <f>IF(H224="","",U224)</f>
        <v/>
      </c>
      <c r="C224">
        <f>IF(H224="","",IF(P224="",K224,INDEX('Students'!$A$2:$A$701,P224)))</f>
        <v/>
      </c>
      <c r="D224">
        <f>IF(OR(H224="",P224=""),"",INDEX('Students'!$B$2:$B$701,P224))</f>
        <v/>
      </c>
      <c r="E224">
        <f>IF(OR(H224="",P224=""),"",INDEX('Students'!$C$2:$C$701,P224))</f>
        <v/>
      </c>
      <c r="F224" s="48">
        <f>IF(H224="","",IF(ISNUMBER(O224),O224,J224))</f>
        <v/>
      </c>
      <c r="G224">
        <f>IF(H224="","","OneCause")</f>
        <v/>
      </c>
      <c r="H224">
        <f>IF(AND(I224="",J224="",K224=""),"",IF(NOT(ISNUMBER(O224)),"Bad amount",IF(O224&lt;0,"Refund (not counted)",IF(O224=0,"Zero amount",IF(NOT(ISNUMBER(N224)),"Bad date",IF(P224="","NAME NOT ON ROSTER",IF(L224="","OK",IF(MATCH(L224,$L$2:$L$3001,0)&lt;ROW()-1,"Duplicate (ignored)","OK"))))))))</f>
        <v/>
      </c>
      <c r="I224">
        <f>IF(OC_Date=0,"",IF(INDEX('OneCause_Paste'!$A$224:$AZ$224,1,OC_Date)="","",INDEX('OneCause_Paste'!$A$224:$AZ$224,1,OC_Date)))</f>
        <v/>
      </c>
      <c r="J224">
        <f>IF(OC_Amt=0,"",IF(INDEX('OneCause_Paste'!$A$224:$AZ$224,1,OC_Amt)="","",INDEX('OneCause_Paste'!$A$224:$AZ$224,1,OC_Amt)))</f>
        <v/>
      </c>
      <c r="K224">
        <f>IF(OC_Name=0,"",IF(INDEX('OneCause_Paste'!$A$224:$AZ$224,1,OC_Name)="","",INDEX('OneCause_Paste'!$A$224:$AZ$224,1,OC_Name)))</f>
        <v/>
      </c>
      <c r="L224">
        <f>IF(OC_Txn=0,"",IF(INDEX('OneCause_Paste'!$A$224:$AZ$224,1,OC_Txn)="","",INDEX('OneCause_Paste'!$A$224:$AZ$224,1,OC_Txn)))</f>
        <v/>
      </c>
      <c r="M224">
        <f>IF(OC_Pay=0,"",IF(INDEX('OneCause_Paste'!$A$224:$AZ$224,1,OC_Pay)="","",INDEX('OneCause_Paste'!$A$224:$AZ$224,1,OC_Pay)))</f>
        <v/>
      </c>
      <c r="N224">
        <f>IF(I224="","",IF(ISNUMBER(I224),INT(I224),IFERROR(INT(DATEVALUE(I224)),IFERROR(INT(VALUE(I224)),"bad"))))</f>
        <v/>
      </c>
      <c r="O224">
        <f>IF(J224="","",IF(ISNUMBER(J224),ROUND(J224,2),IFERROR(ROUND(VALUE(SUBSTITUTE(SUBSTITUTE(SUBSTITUTE(J224,"$",""),",","")," ","")),2),"bad")))</f>
        <v/>
      </c>
      <c r="P224">
        <f>IF(TRIM(K224)="","",IFERROR(MATCH(LOWER(TRIM(K224)),'Students'!$AH$2:$AH$701,0),IFERROR(MATCH(LOWER(TRIM(K224)),'Students'!$AF$2:$AF$701,0),IFERROR(MATCH(LOWER(TRIM(K224)),'Students'!$AG$2:$AG$701,0),""))))</f>
        <v/>
      </c>
      <c r="R224">
        <f>IF(P224="","",INDEX('Students'!$AD$2:$AD$701,P224))</f>
        <v/>
      </c>
      <c r="S224">
        <f>IF(H224="OK",O224,0)</f>
        <v/>
      </c>
      <c r="T224">
        <f>IF(H224="OK",N224,"")</f>
        <v/>
      </c>
      <c r="U224">
        <f>IF(OC_Donor=0,"",IF(INDEX('OneCause_Paste'!$A$224:$AZ$224,1,OC_Donor)="","",INDEX('OneCause_Paste'!$A$224:$AZ$224,1,OC_Donor)))</f>
        <v/>
      </c>
    </row>
    <row r="225">
      <c r="A225" s="62">
        <f>IF(H225="","",IF(ISNUMBER(N225),N225,I225))</f>
        <v/>
      </c>
      <c r="B225">
        <f>IF(H225="","",U225)</f>
        <v/>
      </c>
      <c r="C225">
        <f>IF(H225="","",IF(P225="",K225,INDEX('Students'!$A$2:$A$701,P225)))</f>
        <v/>
      </c>
      <c r="D225">
        <f>IF(OR(H225="",P225=""),"",INDEX('Students'!$B$2:$B$701,P225))</f>
        <v/>
      </c>
      <c r="E225">
        <f>IF(OR(H225="",P225=""),"",INDEX('Students'!$C$2:$C$701,P225))</f>
        <v/>
      </c>
      <c r="F225" s="48">
        <f>IF(H225="","",IF(ISNUMBER(O225),O225,J225))</f>
        <v/>
      </c>
      <c r="G225">
        <f>IF(H225="","","OneCause")</f>
        <v/>
      </c>
      <c r="H225">
        <f>IF(AND(I225="",J225="",K225=""),"",IF(NOT(ISNUMBER(O225)),"Bad amount",IF(O225&lt;0,"Refund (not counted)",IF(O225=0,"Zero amount",IF(NOT(ISNUMBER(N225)),"Bad date",IF(P225="","NAME NOT ON ROSTER",IF(L225="","OK",IF(MATCH(L225,$L$2:$L$3001,0)&lt;ROW()-1,"Duplicate (ignored)","OK"))))))))</f>
        <v/>
      </c>
      <c r="I225">
        <f>IF(OC_Date=0,"",IF(INDEX('OneCause_Paste'!$A$225:$AZ$225,1,OC_Date)="","",INDEX('OneCause_Paste'!$A$225:$AZ$225,1,OC_Date)))</f>
        <v/>
      </c>
      <c r="J225">
        <f>IF(OC_Amt=0,"",IF(INDEX('OneCause_Paste'!$A$225:$AZ$225,1,OC_Amt)="","",INDEX('OneCause_Paste'!$A$225:$AZ$225,1,OC_Amt)))</f>
        <v/>
      </c>
      <c r="K225">
        <f>IF(OC_Name=0,"",IF(INDEX('OneCause_Paste'!$A$225:$AZ$225,1,OC_Name)="","",INDEX('OneCause_Paste'!$A$225:$AZ$225,1,OC_Name)))</f>
        <v/>
      </c>
      <c r="L225">
        <f>IF(OC_Txn=0,"",IF(INDEX('OneCause_Paste'!$A$225:$AZ$225,1,OC_Txn)="","",INDEX('OneCause_Paste'!$A$225:$AZ$225,1,OC_Txn)))</f>
        <v/>
      </c>
      <c r="M225">
        <f>IF(OC_Pay=0,"",IF(INDEX('OneCause_Paste'!$A$225:$AZ$225,1,OC_Pay)="","",INDEX('OneCause_Paste'!$A$225:$AZ$225,1,OC_Pay)))</f>
        <v/>
      </c>
      <c r="N225">
        <f>IF(I225="","",IF(ISNUMBER(I225),INT(I225),IFERROR(INT(DATEVALUE(I225)),IFERROR(INT(VALUE(I225)),"bad"))))</f>
        <v/>
      </c>
      <c r="O225">
        <f>IF(J225="","",IF(ISNUMBER(J225),ROUND(J225,2),IFERROR(ROUND(VALUE(SUBSTITUTE(SUBSTITUTE(SUBSTITUTE(J225,"$",""),",","")," ","")),2),"bad")))</f>
        <v/>
      </c>
      <c r="P225">
        <f>IF(TRIM(K225)="","",IFERROR(MATCH(LOWER(TRIM(K225)),'Students'!$AH$2:$AH$701,0),IFERROR(MATCH(LOWER(TRIM(K225)),'Students'!$AF$2:$AF$701,0),IFERROR(MATCH(LOWER(TRIM(K225)),'Students'!$AG$2:$AG$701,0),""))))</f>
        <v/>
      </c>
      <c r="R225">
        <f>IF(P225="","",INDEX('Students'!$AD$2:$AD$701,P225))</f>
        <v/>
      </c>
      <c r="S225">
        <f>IF(H225="OK",O225,0)</f>
        <v/>
      </c>
      <c r="T225">
        <f>IF(H225="OK",N225,"")</f>
        <v/>
      </c>
      <c r="U225">
        <f>IF(OC_Donor=0,"",IF(INDEX('OneCause_Paste'!$A$225:$AZ$225,1,OC_Donor)="","",INDEX('OneCause_Paste'!$A$225:$AZ$225,1,OC_Donor)))</f>
        <v/>
      </c>
    </row>
    <row r="226">
      <c r="A226" s="62">
        <f>IF(H226="","",IF(ISNUMBER(N226),N226,I226))</f>
        <v/>
      </c>
      <c r="B226">
        <f>IF(H226="","",U226)</f>
        <v/>
      </c>
      <c r="C226">
        <f>IF(H226="","",IF(P226="",K226,INDEX('Students'!$A$2:$A$701,P226)))</f>
        <v/>
      </c>
      <c r="D226">
        <f>IF(OR(H226="",P226=""),"",INDEX('Students'!$B$2:$B$701,P226))</f>
        <v/>
      </c>
      <c r="E226">
        <f>IF(OR(H226="",P226=""),"",INDEX('Students'!$C$2:$C$701,P226))</f>
        <v/>
      </c>
      <c r="F226" s="48">
        <f>IF(H226="","",IF(ISNUMBER(O226),O226,J226))</f>
        <v/>
      </c>
      <c r="G226">
        <f>IF(H226="","","OneCause")</f>
        <v/>
      </c>
      <c r="H226">
        <f>IF(AND(I226="",J226="",K226=""),"",IF(NOT(ISNUMBER(O226)),"Bad amount",IF(O226&lt;0,"Refund (not counted)",IF(O226=0,"Zero amount",IF(NOT(ISNUMBER(N226)),"Bad date",IF(P226="","NAME NOT ON ROSTER",IF(L226="","OK",IF(MATCH(L226,$L$2:$L$3001,0)&lt;ROW()-1,"Duplicate (ignored)","OK"))))))))</f>
        <v/>
      </c>
      <c r="I226">
        <f>IF(OC_Date=0,"",IF(INDEX('OneCause_Paste'!$A$226:$AZ$226,1,OC_Date)="","",INDEX('OneCause_Paste'!$A$226:$AZ$226,1,OC_Date)))</f>
        <v/>
      </c>
      <c r="J226">
        <f>IF(OC_Amt=0,"",IF(INDEX('OneCause_Paste'!$A$226:$AZ$226,1,OC_Amt)="","",INDEX('OneCause_Paste'!$A$226:$AZ$226,1,OC_Amt)))</f>
        <v/>
      </c>
      <c r="K226">
        <f>IF(OC_Name=0,"",IF(INDEX('OneCause_Paste'!$A$226:$AZ$226,1,OC_Name)="","",INDEX('OneCause_Paste'!$A$226:$AZ$226,1,OC_Name)))</f>
        <v/>
      </c>
      <c r="L226">
        <f>IF(OC_Txn=0,"",IF(INDEX('OneCause_Paste'!$A$226:$AZ$226,1,OC_Txn)="","",INDEX('OneCause_Paste'!$A$226:$AZ$226,1,OC_Txn)))</f>
        <v/>
      </c>
      <c r="M226">
        <f>IF(OC_Pay=0,"",IF(INDEX('OneCause_Paste'!$A$226:$AZ$226,1,OC_Pay)="","",INDEX('OneCause_Paste'!$A$226:$AZ$226,1,OC_Pay)))</f>
        <v/>
      </c>
      <c r="N226">
        <f>IF(I226="","",IF(ISNUMBER(I226),INT(I226),IFERROR(INT(DATEVALUE(I226)),IFERROR(INT(VALUE(I226)),"bad"))))</f>
        <v/>
      </c>
      <c r="O226">
        <f>IF(J226="","",IF(ISNUMBER(J226),ROUND(J226,2),IFERROR(ROUND(VALUE(SUBSTITUTE(SUBSTITUTE(SUBSTITUTE(J226,"$",""),",","")," ","")),2),"bad")))</f>
        <v/>
      </c>
      <c r="P226">
        <f>IF(TRIM(K226)="","",IFERROR(MATCH(LOWER(TRIM(K226)),'Students'!$AH$2:$AH$701,0),IFERROR(MATCH(LOWER(TRIM(K226)),'Students'!$AF$2:$AF$701,0),IFERROR(MATCH(LOWER(TRIM(K226)),'Students'!$AG$2:$AG$701,0),""))))</f>
        <v/>
      </c>
      <c r="R226">
        <f>IF(P226="","",INDEX('Students'!$AD$2:$AD$701,P226))</f>
        <v/>
      </c>
      <c r="S226">
        <f>IF(H226="OK",O226,0)</f>
        <v/>
      </c>
      <c r="T226">
        <f>IF(H226="OK",N226,"")</f>
        <v/>
      </c>
      <c r="U226">
        <f>IF(OC_Donor=0,"",IF(INDEX('OneCause_Paste'!$A$226:$AZ$226,1,OC_Donor)="","",INDEX('OneCause_Paste'!$A$226:$AZ$226,1,OC_Donor)))</f>
        <v/>
      </c>
    </row>
    <row r="227">
      <c r="A227" s="62">
        <f>IF(H227="","",IF(ISNUMBER(N227),N227,I227))</f>
        <v/>
      </c>
      <c r="B227">
        <f>IF(H227="","",U227)</f>
        <v/>
      </c>
      <c r="C227">
        <f>IF(H227="","",IF(P227="",K227,INDEX('Students'!$A$2:$A$701,P227)))</f>
        <v/>
      </c>
      <c r="D227">
        <f>IF(OR(H227="",P227=""),"",INDEX('Students'!$B$2:$B$701,P227))</f>
        <v/>
      </c>
      <c r="E227">
        <f>IF(OR(H227="",P227=""),"",INDEX('Students'!$C$2:$C$701,P227))</f>
        <v/>
      </c>
      <c r="F227" s="48">
        <f>IF(H227="","",IF(ISNUMBER(O227),O227,J227))</f>
        <v/>
      </c>
      <c r="G227">
        <f>IF(H227="","","OneCause")</f>
        <v/>
      </c>
      <c r="H227">
        <f>IF(AND(I227="",J227="",K227=""),"",IF(NOT(ISNUMBER(O227)),"Bad amount",IF(O227&lt;0,"Refund (not counted)",IF(O227=0,"Zero amount",IF(NOT(ISNUMBER(N227)),"Bad date",IF(P227="","NAME NOT ON ROSTER",IF(L227="","OK",IF(MATCH(L227,$L$2:$L$3001,0)&lt;ROW()-1,"Duplicate (ignored)","OK"))))))))</f>
        <v/>
      </c>
      <c r="I227">
        <f>IF(OC_Date=0,"",IF(INDEX('OneCause_Paste'!$A$227:$AZ$227,1,OC_Date)="","",INDEX('OneCause_Paste'!$A$227:$AZ$227,1,OC_Date)))</f>
        <v/>
      </c>
      <c r="J227">
        <f>IF(OC_Amt=0,"",IF(INDEX('OneCause_Paste'!$A$227:$AZ$227,1,OC_Amt)="","",INDEX('OneCause_Paste'!$A$227:$AZ$227,1,OC_Amt)))</f>
        <v/>
      </c>
      <c r="K227">
        <f>IF(OC_Name=0,"",IF(INDEX('OneCause_Paste'!$A$227:$AZ$227,1,OC_Name)="","",INDEX('OneCause_Paste'!$A$227:$AZ$227,1,OC_Name)))</f>
        <v/>
      </c>
      <c r="L227">
        <f>IF(OC_Txn=0,"",IF(INDEX('OneCause_Paste'!$A$227:$AZ$227,1,OC_Txn)="","",INDEX('OneCause_Paste'!$A$227:$AZ$227,1,OC_Txn)))</f>
        <v/>
      </c>
      <c r="M227">
        <f>IF(OC_Pay=0,"",IF(INDEX('OneCause_Paste'!$A$227:$AZ$227,1,OC_Pay)="","",INDEX('OneCause_Paste'!$A$227:$AZ$227,1,OC_Pay)))</f>
        <v/>
      </c>
      <c r="N227">
        <f>IF(I227="","",IF(ISNUMBER(I227),INT(I227),IFERROR(INT(DATEVALUE(I227)),IFERROR(INT(VALUE(I227)),"bad"))))</f>
        <v/>
      </c>
      <c r="O227">
        <f>IF(J227="","",IF(ISNUMBER(J227),ROUND(J227,2),IFERROR(ROUND(VALUE(SUBSTITUTE(SUBSTITUTE(SUBSTITUTE(J227,"$",""),",","")," ","")),2),"bad")))</f>
        <v/>
      </c>
      <c r="P227">
        <f>IF(TRIM(K227)="","",IFERROR(MATCH(LOWER(TRIM(K227)),'Students'!$AH$2:$AH$701,0),IFERROR(MATCH(LOWER(TRIM(K227)),'Students'!$AF$2:$AF$701,0),IFERROR(MATCH(LOWER(TRIM(K227)),'Students'!$AG$2:$AG$701,0),""))))</f>
        <v/>
      </c>
      <c r="R227">
        <f>IF(P227="","",INDEX('Students'!$AD$2:$AD$701,P227))</f>
        <v/>
      </c>
      <c r="S227">
        <f>IF(H227="OK",O227,0)</f>
        <v/>
      </c>
      <c r="T227">
        <f>IF(H227="OK",N227,"")</f>
        <v/>
      </c>
      <c r="U227">
        <f>IF(OC_Donor=0,"",IF(INDEX('OneCause_Paste'!$A$227:$AZ$227,1,OC_Donor)="","",INDEX('OneCause_Paste'!$A$227:$AZ$227,1,OC_Donor)))</f>
        <v/>
      </c>
    </row>
    <row r="228">
      <c r="A228" s="62">
        <f>IF(H228="","",IF(ISNUMBER(N228),N228,I228))</f>
        <v/>
      </c>
      <c r="B228">
        <f>IF(H228="","",U228)</f>
        <v/>
      </c>
      <c r="C228">
        <f>IF(H228="","",IF(P228="",K228,INDEX('Students'!$A$2:$A$701,P228)))</f>
        <v/>
      </c>
      <c r="D228">
        <f>IF(OR(H228="",P228=""),"",INDEX('Students'!$B$2:$B$701,P228))</f>
        <v/>
      </c>
      <c r="E228">
        <f>IF(OR(H228="",P228=""),"",INDEX('Students'!$C$2:$C$701,P228))</f>
        <v/>
      </c>
      <c r="F228" s="48">
        <f>IF(H228="","",IF(ISNUMBER(O228),O228,J228))</f>
        <v/>
      </c>
      <c r="G228">
        <f>IF(H228="","","OneCause")</f>
        <v/>
      </c>
      <c r="H228">
        <f>IF(AND(I228="",J228="",K228=""),"",IF(NOT(ISNUMBER(O228)),"Bad amount",IF(O228&lt;0,"Refund (not counted)",IF(O228=0,"Zero amount",IF(NOT(ISNUMBER(N228)),"Bad date",IF(P228="","NAME NOT ON ROSTER",IF(L228="","OK",IF(MATCH(L228,$L$2:$L$3001,0)&lt;ROW()-1,"Duplicate (ignored)","OK"))))))))</f>
        <v/>
      </c>
      <c r="I228">
        <f>IF(OC_Date=0,"",IF(INDEX('OneCause_Paste'!$A$228:$AZ$228,1,OC_Date)="","",INDEX('OneCause_Paste'!$A$228:$AZ$228,1,OC_Date)))</f>
        <v/>
      </c>
      <c r="J228">
        <f>IF(OC_Amt=0,"",IF(INDEX('OneCause_Paste'!$A$228:$AZ$228,1,OC_Amt)="","",INDEX('OneCause_Paste'!$A$228:$AZ$228,1,OC_Amt)))</f>
        <v/>
      </c>
      <c r="K228">
        <f>IF(OC_Name=0,"",IF(INDEX('OneCause_Paste'!$A$228:$AZ$228,1,OC_Name)="","",INDEX('OneCause_Paste'!$A$228:$AZ$228,1,OC_Name)))</f>
        <v/>
      </c>
      <c r="L228">
        <f>IF(OC_Txn=0,"",IF(INDEX('OneCause_Paste'!$A$228:$AZ$228,1,OC_Txn)="","",INDEX('OneCause_Paste'!$A$228:$AZ$228,1,OC_Txn)))</f>
        <v/>
      </c>
      <c r="M228">
        <f>IF(OC_Pay=0,"",IF(INDEX('OneCause_Paste'!$A$228:$AZ$228,1,OC_Pay)="","",INDEX('OneCause_Paste'!$A$228:$AZ$228,1,OC_Pay)))</f>
        <v/>
      </c>
      <c r="N228">
        <f>IF(I228="","",IF(ISNUMBER(I228),INT(I228),IFERROR(INT(DATEVALUE(I228)),IFERROR(INT(VALUE(I228)),"bad"))))</f>
        <v/>
      </c>
      <c r="O228">
        <f>IF(J228="","",IF(ISNUMBER(J228),ROUND(J228,2),IFERROR(ROUND(VALUE(SUBSTITUTE(SUBSTITUTE(SUBSTITUTE(J228,"$",""),",","")," ","")),2),"bad")))</f>
        <v/>
      </c>
      <c r="P228">
        <f>IF(TRIM(K228)="","",IFERROR(MATCH(LOWER(TRIM(K228)),'Students'!$AH$2:$AH$701,0),IFERROR(MATCH(LOWER(TRIM(K228)),'Students'!$AF$2:$AF$701,0),IFERROR(MATCH(LOWER(TRIM(K228)),'Students'!$AG$2:$AG$701,0),""))))</f>
        <v/>
      </c>
      <c r="R228">
        <f>IF(P228="","",INDEX('Students'!$AD$2:$AD$701,P228))</f>
        <v/>
      </c>
      <c r="S228">
        <f>IF(H228="OK",O228,0)</f>
        <v/>
      </c>
      <c r="T228">
        <f>IF(H228="OK",N228,"")</f>
        <v/>
      </c>
      <c r="U228">
        <f>IF(OC_Donor=0,"",IF(INDEX('OneCause_Paste'!$A$228:$AZ$228,1,OC_Donor)="","",INDEX('OneCause_Paste'!$A$228:$AZ$228,1,OC_Donor)))</f>
        <v/>
      </c>
    </row>
    <row r="229">
      <c r="A229" s="62">
        <f>IF(H229="","",IF(ISNUMBER(N229),N229,I229))</f>
        <v/>
      </c>
      <c r="B229">
        <f>IF(H229="","",U229)</f>
        <v/>
      </c>
      <c r="C229">
        <f>IF(H229="","",IF(P229="",K229,INDEX('Students'!$A$2:$A$701,P229)))</f>
        <v/>
      </c>
      <c r="D229">
        <f>IF(OR(H229="",P229=""),"",INDEX('Students'!$B$2:$B$701,P229))</f>
        <v/>
      </c>
      <c r="E229">
        <f>IF(OR(H229="",P229=""),"",INDEX('Students'!$C$2:$C$701,P229))</f>
        <v/>
      </c>
      <c r="F229" s="48">
        <f>IF(H229="","",IF(ISNUMBER(O229),O229,J229))</f>
        <v/>
      </c>
      <c r="G229">
        <f>IF(H229="","","OneCause")</f>
        <v/>
      </c>
      <c r="H229">
        <f>IF(AND(I229="",J229="",K229=""),"",IF(NOT(ISNUMBER(O229)),"Bad amount",IF(O229&lt;0,"Refund (not counted)",IF(O229=0,"Zero amount",IF(NOT(ISNUMBER(N229)),"Bad date",IF(P229="","NAME NOT ON ROSTER",IF(L229="","OK",IF(MATCH(L229,$L$2:$L$3001,0)&lt;ROW()-1,"Duplicate (ignored)","OK"))))))))</f>
        <v/>
      </c>
      <c r="I229">
        <f>IF(OC_Date=0,"",IF(INDEX('OneCause_Paste'!$A$229:$AZ$229,1,OC_Date)="","",INDEX('OneCause_Paste'!$A$229:$AZ$229,1,OC_Date)))</f>
        <v/>
      </c>
      <c r="J229">
        <f>IF(OC_Amt=0,"",IF(INDEX('OneCause_Paste'!$A$229:$AZ$229,1,OC_Amt)="","",INDEX('OneCause_Paste'!$A$229:$AZ$229,1,OC_Amt)))</f>
        <v/>
      </c>
      <c r="K229">
        <f>IF(OC_Name=0,"",IF(INDEX('OneCause_Paste'!$A$229:$AZ$229,1,OC_Name)="","",INDEX('OneCause_Paste'!$A$229:$AZ$229,1,OC_Name)))</f>
        <v/>
      </c>
      <c r="L229">
        <f>IF(OC_Txn=0,"",IF(INDEX('OneCause_Paste'!$A$229:$AZ$229,1,OC_Txn)="","",INDEX('OneCause_Paste'!$A$229:$AZ$229,1,OC_Txn)))</f>
        <v/>
      </c>
      <c r="M229">
        <f>IF(OC_Pay=0,"",IF(INDEX('OneCause_Paste'!$A$229:$AZ$229,1,OC_Pay)="","",INDEX('OneCause_Paste'!$A$229:$AZ$229,1,OC_Pay)))</f>
        <v/>
      </c>
      <c r="N229">
        <f>IF(I229="","",IF(ISNUMBER(I229),INT(I229),IFERROR(INT(DATEVALUE(I229)),IFERROR(INT(VALUE(I229)),"bad"))))</f>
        <v/>
      </c>
      <c r="O229">
        <f>IF(J229="","",IF(ISNUMBER(J229),ROUND(J229,2),IFERROR(ROUND(VALUE(SUBSTITUTE(SUBSTITUTE(SUBSTITUTE(J229,"$",""),",","")," ","")),2),"bad")))</f>
        <v/>
      </c>
      <c r="P229">
        <f>IF(TRIM(K229)="","",IFERROR(MATCH(LOWER(TRIM(K229)),'Students'!$AH$2:$AH$701,0),IFERROR(MATCH(LOWER(TRIM(K229)),'Students'!$AF$2:$AF$701,0),IFERROR(MATCH(LOWER(TRIM(K229)),'Students'!$AG$2:$AG$701,0),""))))</f>
        <v/>
      </c>
      <c r="R229">
        <f>IF(P229="","",INDEX('Students'!$AD$2:$AD$701,P229))</f>
        <v/>
      </c>
      <c r="S229">
        <f>IF(H229="OK",O229,0)</f>
        <v/>
      </c>
      <c r="T229">
        <f>IF(H229="OK",N229,"")</f>
        <v/>
      </c>
      <c r="U229">
        <f>IF(OC_Donor=0,"",IF(INDEX('OneCause_Paste'!$A$229:$AZ$229,1,OC_Donor)="","",INDEX('OneCause_Paste'!$A$229:$AZ$229,1,OC_Donor)))</f>
        <v/>
      </c>
    </row>
    <row r="230">
      <c r="A230" s="62">
        <f>IF(H230="","",IF(ISNUMBER(N230),N230,I230))</f>
        <v/>
      </c>
      <c r="B230">
        <f>IF(H230="","",U230)</f>
        <v/>
      </c>
      <c r="C230">
        <f>IF(H230="","",IF(P230="",K230,INDEX('Students'!$A$2:$A$701,P230)))</f>
        <v/>
      </c>
      <c r="D230">
        <f>IF(OR(H230="",P230=""),"",INDEX('Students'!$B$2:$B$701,P230))</f>
        <v/>
      </c>
      <c r="E230">
        <f>IF(OR(H230="",P230=""),"",INDEX('Students'!$C$2:$C$701,P230))</f>
        <v/>
      </c>
      <c r="F230" s="48">
        <f>IF(H230="","",IF(ISNUMBER(O230),O230,J230))</f>
        <v/>
      </c>
      <c r="G230">
        <f>IF(H230="","","OneCause")</f>
        <v/>
      </c>
      <c r="H230">
        <f>IF(AND(I230="",J230="",K230=""),"",IF(NOT(ISNUMBER(O230)),"Bad amount",IF(O230&lt;0,"Refund (not counted)",IF(O230=0,"Zero amount",IF(NOT(ISNUMBER(N230)),"Bad date",IF(P230="","NAME NOT ON ROSTER",IF(L230="","OK",IF(MATCH(L230,$L$2:$L$3001,0)&lt;ROW()-1,"Duplicate (ignored)","OK"))))))))</f>
        <v/>
      </c>
      <c r="I230">
        <f>IF(OC_Date=0,"",IF(INDEX('OneCause_Paste'!$A$230:$AZ$230,1,OC_Date)="","",INDEX('OneCause_Paste'!$A$230:$AZ$230,1,OC_Date)))</f>
        <v/>
      </c>
      <c r="J230">
        <f>IF(OC_Amt=0,"",IF(INDEX('OneCause_Paste'!$A$230:$AZ$230,1,OC_Amt)="","",INDEX('OneCause_Paste'!$A$230:$AZ$230,1,OC_Amt)))</f>
        <v/>
      </c>
      <c r="K230">
        <f>IF(OC_Name=0,"",IF(INDEX('OneCause_Paste'!$A$230:$AZ$230,1,OC_Name)="","",INDEX('OneCause_Paste'!$A$230:$AZ$230,1,OC_Name)))</f>
        <v/>
      </c>
      <c r="L230">
        <f>IF(OC_Txn=0,"",IF(INDEX('OneCause_Paste'!$A$230:$AZ$230,1,OC_Txn)="","",INDEX('OneCause_Paste'!$A$230:$AZ$230,1,OC_Txn)))</f>
        <v/>
      </c>
      <c r="M230">
        <f>IF(OC_Pay=0,"",IF(INDEX('OneCause_Paste'!$A$230:$AZ$230,1,OC_Pay)="","",INDEX('OneCause_Paste'!$A$230:$AZ$230,1,OC_Pay)))</f>
        <v/>
      </c>
      <c r="N230">
        <f>IF(I230="","",IF(ISNUMBER(I230),INT(I230),IFERROR(INT(DATEVALUE(I230)),IFERROR(INT(VALUE(I230)),"bad"))))</f>
        <v/>
      </c>
      <c r="O230">
        <f>IF(J230="","",IF(ISNUMBER(J230),ROUND(J230,2),IFERROR(ROUND(VALUE(SUBSTITUTE(SUBSTITUTE(SUBSTITUTE(J230,"$",""),",","")," ","")),2),"bad")))</f>
        <v/>
      </c>
      <c r="P230">
        <f>IF(TRIM(K230)="","",IFERROR(MATCH(LOWER(TRIM(K230)),'Students'!$AH$2:$AH$701,0),IFERROR(MATCH(LOWER(TRIM(K230)),'Students'!$AF$2:$AF$701,0),IFERROR(MATCH(LOWER(TRIM(K230)),'Students'!$AG$2:$AG$701,0),""))))</f>
        <v/>
      </c>
      <c r="R230">
        <f>IF(P230="","",INDEX('Students'!$AD$2:$AD$701,P230))</f>
        <v/>
      </c>
      <c r="S230">
        <f>IF(H230="OK",O230,0)</f>
        <v/>
      </c>
      <c r="T230">
        <f>IF(H230="OK",N230,"")</f>
        <v/>
      </c>
      <c r="U230">
        <f>IF(OC_Donor=0,"",IF(INDEX('OneCause_Paste'!$A$230:$AZ$230,1,OC_Donor)="","",INDEX('OneCause_Paste'!$A$230:$AZ$230,1,OC_Donor)))</f>
        <v/>
      </c>
    </row>
    <row r="231">
      <c r="A231" s="62">
        <f>IF(H231="","",IF(ISNUMBER(N231),N231,I231))</f>
        <v/>
      </c>
      <c r="B231">
        <f>IF(H231="","",U231)</f>
        <v/>
      </c>
      <c r="C231">
        <f>IF(H231="","",IF(P231="",K231,INDEX('Students'!$A$2:$A$701,P231)))</f>
        <v/>
      </c>
      <c r="D231">
        <f>IF(OR(H231="",P231=""),"",INDEX('Students'!$B$2:$B$701,P231))</f>
        <v/>
      </c>
      <c r="E231">
        <f>IF(OR(H231="",P231=""),"",INDEX('Students'!$C$2:$C$701,P231))</f>
        <v/>
      </c>
      <c r="F231" s="48">
        <f>IF(H231="","",IF(ISNUMBER(O231),O231,J231))</f>
        <v/>
      </c>
      <c r="G231">
        <f>IF(H231="","","OneCause")</f>
        <v/>
      </c>
      <c r="H231">
        <f>IF(AND(I231="",J231="",K231=""),"",IF(NOT(ISNUMBER(O231)),"Bad amount",IF(O231&lt;0,"Refund (not counted)",IF(O231=0,"Zero amount",IF(NOT(ISNUMBER(N231)),"Bad date",IF(P231="","NAME NOT ON ROSTER",IF(L231="","OK",IF(MATCH(L231,$L$2:$L$3001,0)&lt;ROW()-1,"Duplicate (ignored)","OK"))))))))</f>
        <v/>
      </c>
      <c r="I231">
        <f>IF(OC_Date=0,"",IF(INDEX('OneCause_Paste'!$A$231:$AZ$231,1,OC_Date)="","",INDEX('OneCause_Paste'!$A$231:$AZ$231,1,OC_Date)))</f>
        <v/>
      </c>
      <c r="J231">
        <f>IF(OC_Amt=0,"",IF(INDEX('OneCause_Paste'!$A$231:$AZ$231,1,OC_Amt)="","",INDEX('OneCause_Paste'!$A$231:$AZ$231,1,OC_Amt)))</f>
        <v/>
      </c>
      <c r="K231">
        <f>IF(OC_Name=0,"",IF(INDEX('OneCause_Paste'!$A$231:$AZ$231,1,OC_Name)="","",INDEX('OneCause_Paste'!$A$231:$AZ$231,1,OC_Name)))</f>
        <v/>
      </c>
      <c r="L231">
        <f>IF(OC_Txn=0,"",IF(INDEX('OneCause_Paste'!$A$231:$AZ$231,1,OC_Txn)="","",INDEX('OneCause_Paste'!$A$231:$AZ$231,1,OC_Txn)))</f>
        <v/>
      </c>
      <c r="M231">
        <f>IF(OC_Pay=0,"",IF(INDEX('OneCause_Paste'!$A$231:$AZ$231,1,OC_Pay)="","",INDEX('OneCause_Paste'!$A$231:$AZ$231,1,OC_Pay)))</f>
        <v/>
      </c>
      <c r="N231">
        <f>IF(I231="","",IF(ISNUMBER(I231),INT(I231),IFERROR(INT(DATEVALUE(I231)),IFERROR(INT(VALUE(I231)),"bad"))))</f>
        <v/>
      </c>
      <c r="O231">
        <f>IF(J231="","",IF(ISNUMBER(J231),ROUND(J231,2),IFERROR(ROUND(VALUE(SUBSTITUTE(SUBSTITUTE(SUBSTITUTE(J231,"$",""),",","")," ","")),2),"bad")))</f>
        <v/>
      </c>
      <c r="P231">
        <f>IF(TRIM(K231)="","",IFERROR(MATCH(LOWER(TRIM(K231)),'Students'!$AH$2:$AH$701,0),IFERROR(MATCH(LOWER(TRIM(K231)),'Students'!$AF$2:$AF$701,0),IFERROR(MATCH(LOWER(TRIM(K231)),'Students'!$AG$2:$AG$701,0),""))))</f>
        <v/>
      </c>
      <c r="R231">
        <f>IF(P231="","",INDEX('Students'!$AD$2:$AD$701,P231))</f>
        <v/>
      </c>
      <c r="S231">
        <f>IF(H231="OK",O231,0)</f>
        <v/>
      </c>
      <c r="T231">
        <f>IF(H231="OK",N231,"")</f>
        <v/>
      </c>
      <c r="U231">
        <f>IF(OC_Donor=0,"",IF(INDEX('OneCause_Paste'!$A$231:$AZ$231,1,OC_Donor)="","",INDEX('OneCause_Paste'!$A$231:$AZ$231,1,OC_Donor)))</f>
        <v/>
      </c>
    </row>
    <row r="232">
      <c r="A232" s="62">
        <f>IF(H232="","",IF(ISNUMBER(N232),N232,I232))</f>
        <v/>
      </c>
      <c r="B232">
        <f>IF(H232="","",U232)</f>
        <v/>
      </c>
      <c r="C232">
        <f>IF(H232="","",IF(P232="",K232,INDEX('Students'!$A$2:$A$701,P232)))</f>
        <v/>
      </c>
      <c r="D232">
        <f>IF(OR(H232="",P232=""),"",INDEX('Students'!$B$2:$B$701,P232))</f>
        <v/>
      </c>
      <c r="E232">
        <f>IF(OR(H232="",P232=""),"",INDEX('Students'!$C$2:$C$701,P232))</f>
        <v/>
      </c>
      <c r="F232" s="48">
        <f>IF(H232="","",IF(ISNUMBER(O232),O232,J232))</f>
        <v/>
      </c>
      <c r="G232">
        <f>IF(H232="","","OneCause")</f>
        <v/>
      </c>
      <c r="H232">
        <f>IF(AND(I232="",J232="",K232=""),"",IF(NOT(ISNUMBER(O232)),"Bad amount",IF(O232&lt;0,"Refund (not counted)",IF(O232=0,"Zero amount",IF(NOT(ISNUMBER(N232)),"Bad date",IF(P232="","NAME NOT ON ROSTER",IF(L232="","OK",IF(MATCH(L232,$L$2:$L$3001,0)&lt;ROW()-1,"Duplicate (ignored)","OK"))))))))</f>
        <v/>
      </c>
      <c r="I232">
        <f>IF(OC_Date=0,"",IF(INDEX('OneCause_Paste'!$A$232:$AZ$232,1,OC_Date)="","",INDEX('OneCause_Paste'!$A$232:$AZ$232,1,OC_Date)))</f>
        <v/>
      </c>
      <c r="J232">
        <f>IF(OC_Amt=0,"",IF(INDEX('OneCause_Paste'!$A$232:$AZ$232,1,OC_Amt)="","",INDEX('OneCause_Paste'!$A$232:$AZ$232,1,OC_Amt)))</f>
        <v/>
      </c>
      <c r="K232">
        <f>IF(OC_Name=0,"",IF(INDEX('OneCause_Paste'!$A$232:$AZ$232,1,OC_Name)="","",INDEX('OneCause_Paste'!$A$232:$AZ$232,1,OC_Name)))</f>
        <v/>
      </c>
      <c r="L232">
        <f>IF(OC_Txn=0,"",IF(INDEX('OneCause_Paste'!$A$232:$AZ$232,1,OC_Txn)="","",INDEX('OneCause_Paste'!$A$232:$AZ$232,1,OC_Txn)))</f>
        <v/>
      </c>
      <c r="M232">
        <f>IF(OC_Pay=0,"",IF(INDEX('OneCause_Paste'!$A$232:$AZ$232,1,OC_Pay)="","",INDEX('OneCause_Paste'!$A$232:$AZ$232,1,OC_Pay)))</f>
        <v/>
      </c>
      <c r="N232">
        <f>IF(I232="","",IF(ISNUMBER(I232),INT(I232),IFERROR(INT(DATEVALUE(I232)),IFERROR(INT(VALUE(I232)),"bad"))))</f>
        <v/>
      </c>
      <c r="O232">
        <f>IF(J232="","",IF(ISNUMBER(J232),ROUND(J232,2),IFERROR(ROUND(VALUE(SUBSTITUTE(SUBSTITUTE(SUBSTITUTE(J232,"$",""),",","")," ","")),2),"bad")))</f>
        <v/>
      </c>
      <c r="P232">
        <f>IF(TRIM(K232)="","",IFERROR(MATCH(LOWER(TRIM(K232)),'Students'!$AH$2:$AH$701,0),IFERROR(MATCH(LOWER(TRIM(K232)),'Students'!$AF$2:$AF$701,0),IFERROR(MATCH(LOWER(TRIM(K232)),'Students'!$AG$2:$AG$701,0),""))))</f>
        <v/>
      </c>
      <c r="R232">
        <f>IF(P232="","",INDEX('Students'!$AD$2:$AD$701,P232))</f>
        <v/>
      </c>
      <c r="S232">
        <f>IF(H232="OK",O232,0)</f>
        <v/>
      </c>
      <c r="T232">
        <f>IF(H232="OK",N232,"")</f>
        <v/>
      </c>
      <c r="U232">
        <f>IF(OC_Donor=0,"",IF(INDEX('OneCause_Paste'!$A$232:$AZ$232,1,OC_Donor)="","",INDEX('OneCause_Paste'!$A$232:$AZ$232,1,OC_Donor)))</f>
        <v/>
      </c>
    </row>
    <row r="233">
      <c r="A233" s="62">
        <f>IF(H233="","",IF(ISNUMBER(N233),N233,I233))</f>
        <v/>
      </c>
      <c r="B233">
        <f>IF(H233="","",U233)</f>
        <v/>
      </c>
      <c r="C233">
        <f>IF(H233="","",IF(P233="",K233,INDEX('Students'!$A$2:$A$701,P233)))</f>
        <v/>
      </c>
      <c r="D233">
        <f>IF(OR(H233="",P233=""),"",INDEX('Students'!$B$2:$B$701,P233))</f>
        <v/>
      </c>
      <c r="E233">
        <f>IF(OR(H233="",P233=""),"",INDEX('Students'!$C$2:$C$701,P233))</f>
        <v/>
      </c>
      <c r="F233" s="48">
        <f>IF(H233="","",IF(ISNUMBER(O233),O233,J233))</f>
        <v/>
      </c>
      <c r="G233">
        <f>IF(H233="","","OneCause")</f>
        <v/>
      </c>
      <c r="H233">
        <f>IF(AND(I233="",J233="",K233=""),"",IF(NOT(ISNUMBER(O233)),"Bad amount",IF(O233&lt;0,"Refund (not counted)",IF(O233=0,"Zero amount",IF(NOT(ISNUMBER(N233)),"Bad date",IF(P233="","NAME NOT ON ROSTER",IF(L233="","OK",IF(MATCH(L233,$L$2:$L$3001,0)&lt;ROW()-1,"Duplicate (ignored)","OK"))))))))</f>
        <v/>
      </c>
      <c r="I233">
        <f>IF(OC_Date=0,"",IF(INDEX('OneCause_Paste'!$A$233:$AZ$233,1,OC_Date)="","",INDEX('OneCause_Paste'!$A$233:$AZ$233,1,OC_Date)))</f>
        <v/>
      </c>
      <c r="J233">
        <f>IF(OC_Amt=0,"",IF(INDEX('OneCause_Paste'!$A$233:$AZ$233,1,OC_Amt)="","",INDEX('OneCause_Paste'!$A$233:$AZ$233,1,OC_Amt)))</f>
        <v/>
      </c>
      <c r="K233">
        <f>IF(OC_Name=0,"",IF(INDEX('OneCause_Paste'!$A$233:$AZ$233,1,OC_Name)="","",INDEX('OneCause_Paste'!$A$233:$AZ$233,1,OC_Name)))</f>
        <v/>
      </c>
      <c r="L233">
        <f>IF(OC_Txn=0,"",IF(INDEX('OneCause_Paste'!$A$233:$AZ$233,1,OC_Txn)="","",INDEX('OneCause_Paste'!$A$233:$AZ$233,1,OC_Txn)))</f>
        <v/>
      </c>
      <c r="M233">
        <f>IF(OC_Pay=0,"",IF(INDEX('OneCause_Paste'!$A$233:$AZ$233,1,OC_Pay)="","",INDEX('OneCause_Paste'!$A$233:$AZ$233,1,OC_Pay)))</f>
        <v/>
      </c>
      <c r="N233">
        <f>IF(I233="","",IF(ISNUMBER(I233),INT(I233),IFERROR(INT(DATEVALUE(I233)),IFERROR(INT(VALUE(I233)),"bad"))))</f>
        <v/>
      </c>
      <c r="O233">
        <f>IF(J233="","",IF(ISNUMBER(J233),ROUND(J233,2),IFERROR(ROUND(VALUE(SUBSTITUTE(SUBSTITUTE(SUBSTITUTE(J233,"$",""),",","")," ","")),2),"bad")))</f>
        <v/>
      </c>
      <c r="P233">
        <f>IF(TRIM(K233)="","",IFERROR(MATCH(LOWER(TRIM(K233)),'Students'!$AH$2:$AH$701,0),IFERROR(MATCH(LOWER(TRIM(K233)),'Students'!$AF$2:$AF$701,0),IFERROR(MATCH(LOWER(TRIM(K233)),'Students'!$AG$2:$AG$701,0),""))))</f>
        <v/>
      </c>
      <c r="R233">
        <f>IF(P233="","",INDEX('Students'!$AD$2:$AD$701,P233))</f>
        <v/>
      </c>
      <c r="S233">
        <f>IF(H233="OK",O233,0)</f>
        <v/>
      </c>
      <c r="T233">
        <f>IF(H233="OK",N233,"")</f>
        <v/>
      </c>
      <c r="U233">
        <f>IF(OC_Donor=0,"",IF(INDEX('OneCause_Paste'!$A$233:$AZ$233,1,OC_Donor)="","",INDEX('OneCause_Paste'!$A$233:$AZ$233,1,OC_Donor)))</f>
        <v/>
      </c>
    </row>
    <row r="234">
      <c r="A234" s="62">
        <f>IF(H234="","",IF(ISNUMBER(N234),N234,I234))</f>
        <v/>
      </c>
      <c r="B234">
        <f>IF(H234="","",U234)</f>
        <v/>
      </c>
      <c r="C234">
        <f>IF(H234="","",IF(P234="",K234,INDEX('Students'!$A$2:$A$701,P234)))</f>
        <v/>
      </c>
      <c r="D234">
        <f>IF(OR(H234="",P234=""),"",INDEX('Students'!$B$2:$B$701,P234))</f>
        <v/>
      </c>
      <c r="E234">
        <f>IF(OR(H234="",P234=""),"",INDEX('Students'!$C$2:$C$701,P234))</f>
        <v/>
      </c>
      <c r="F234" s="48">
        <f>IF(H234="","",IF(ISNUMBER(O234),O234,J234))</f>
        <v/>
      </c>
      <c r="G234">
        <f>IF(H234="","","OneCause")</f>
        <v/>
      </c>
      <c r="H234">
        <f>IF(AND(I234="",J234="",K234=""),"",IF(NOT(ISNUMBER(O234)),"Bad amount",IF(O234&lt;0,"Refund (not counted)",IF(O234=0,"Zero amount",IF(NOT(ISNUMBER(N234)),"Bad date",IF(P234="","NAME NOT ON ROSTER",IF(L234="","OK",IF(MATCH(L234,$L$2:$L$3001,0)&lt;ROW()-1,"Duplicate (ignored)","OK"))))))))</f>
        <v/>
      </c>
      <c r="I234">
        <f>IF(OC_Date=0,"",IF(INDEX('OneCause_Paste'!$A$234:$AZ$234,1,OC_Date)="","",INDEX('OneCause_Paste'!$A$234:$AZ$234,1,OC_Date)))</f>
        <v/>
      </c>
      <c r="J234">
        <f>IF(OC_Amt=0,"",IF(INDEX('OneCause_Paste'!$A$234:$AZ$234,1,OC_Amt)="","",INDEX('OneCause_Paste'!$A$234:$AZ$234,1,OC_Amt)))</f>
        <v/>
      </c>
      <c r="K234">
        <f>IF(OC_Name=0,"",IF(INDEX('OneCause_Paste'!$A$234:$AZ$234,1,OC_Name)="","",INDEX('OneCause_Paste'!$A$234:$AZ$234,1,OC_Name)))</f>
        <v/>
      </c>
      <c r="L234">
        <f>IF(OC_Txn=0,"",IF(INDEX('OneCause_Paste'!$A$234:$AZ$234,1,OC_Txn)="","",INDEX('OneCause_Paste'!$A$234:$AZ$234,1,OC_Txn)))</f>
        <v/>
      </c>
      <c r="M234">
        <f>IF(OC_Pay=0,"",IF(INDEX('OneCause_Paste'!$A$234:$AZ$234,1,OC_Pay)="","",INDEX('OneCause_Paste'!$A$234:$AZ$234,1,OC_Pay)))</f>
        <v/>
      </c>
      <c r="N234">
        <f>IF(I234="","",IF(ISNUMBER(I234),INT(I234),IFERROR(INT(DATEVALUE(I234)),IFERROR(INT(VALUE(I234)),"bad"))))</f>
        <v/>
      </c>
      <c r="O234">
        <f>IF(J234="","",IF(ISNUMBER(J234),ROUND(J234,2),IFERROR(ROUND(VALUE(SUBSTITUTE(SUBSTITUTE(SUBSTITUTE(J234,"$",""),",","")," ","")),2),"bad")))</f>
        <v/>
      </c>
      <c r="P234">
        <f>IF(TRIM(K234)="","",IFERROR(MATCH(LOWER(TRIM(K234)),'Students'!$AH$2:$AH$701,0),IFERROR(MATCH(LOWER(TRIM(K234)),'Students'!$AF$2:$AF$701,0),IFERROR(MATCH(LOWER(TRIM(K234)),'Students'!$AG$2:$AG$701,0),""))))</f>
        <v/>
      </c>
      <c r="R234">
        <f>IF(P234="","",INDEX('Students'!$AD$2:$AD$701,P234))</f>
        <v/>
      </c>
      <c r="S234">
        <f>IF(H234="OK",O234,0)</f>
        <v/>
      </c>
      <c r="T234">
        <f>IF(H234="OK",N234,"")</f>
        <v/>
      </c>
      <c r="U234">
        <f>IF(OC_Donor=0,"",IF(INDEX('OneCause_Paste'!$A$234:$AZ$234,1,OC_Donor)="","",INDEX('OneCause_Paste'!$A$234:$AZ$234,1,OC_Donor)))</f>
        <v/>
      </c>
    </row>
    <row r="235">
      <c r="A235" s="62">
        <f>IF(H235="","",IF(ISNUMBER(N235),N235,I235))</f>
        <v/>
      </c>
      <c r="B235">
        <f>IF(H235="","",U235)</f>
        <v/>
      </c>
      <c r="C235">
        <f>IF(H235="","",IF(P235="",K235,INDEX('Students'!$A$2:$A$701,P235)))</f>
        <v/>
      </c>
      <c r="D235">
        <f>IF(OR(H235="",P235=""),"",INDEX('Students'!$B$2:$B$701,P235))</f>
        <v/>
      </c>
      <c r="E235">
        <f>IF(OR(H235="",P235=""),"",INDEX('Students'!$C$2:$C$701,P235))</f>
        <v/>
      </c>
      <c r="F235" s="48">
        <f>IF(H235="","",IF(ISNUMBER(O235),O235,J235))</f>
        <v/>
      </c>
      <c r="G235">
        <f>IF(H235="","","OneCause")</f>
        <v/>
      </c>
      <c r="H235">
        <f>IF(AND(I235="",J235="",K235=""),"",IF(NOT(ISNUMBER(O235)),"Bad amount",IF(O235&lt;0,"Refund (not counted)",IF(O235=0,"Zero amount",IF(NOT(ISNUMBER(N235)),"Bad date",IF(P235="","NAME NOT ON ROSTER",IF(L235="","OK",IF(MATCH(L235,$L$2:$L$3001,0)&lt;ROW()-1,"Duplicate (ignored)","OK"))))))))</f>
        <v/>
      </c>
      <c r="I235">
        <f>IF(OC_Date=0,"",IF(INDEX('OneCause_Paste'!$A$235:$AZ$235,1,OC_Date)="","",INDEX('OneCause_Paste'!$A$235:$AZ$235,1,OC_Date)))</f>
        <v/>
      </c>
      <c r="J235">
        <f>IF(OC_Amt=0,"",IF(INDEX('OneCause_Paste'!$A$235:$AZ$235,1,OC_Amt)="","",INDEX('OneCause_Paste'!$A$235:$AZ$235,1,OC_Amt)))</f>
        <v/>
      </c>
      <c r="K235">
        <f>IF(OC_Name=0,"",IF(INDEX('OneCause_Paste'!$A$235:$AZ$235,1,OC_Name)="","",INDEX('OneCause_Paste'!$A$235:$AZ$235,1,OC_Name)))</f>
        <v/>
      </c>
      <c r="L235">
        <f>IF(OC_Txn=0,"",IF(INDEX('OneCause_Paste'!$A$235:$AZ$235,1,OC_Txn)="","",INDEX('OneCause_Paste'!$A$235:$AZ$235,1,OC_Txn)))</f>
        <v/>
      </c>
      <c r="M235">
        <f>IF(OC_Pay=0,"",IF(INDEX('OneCause_Paste'!$A$235:$AZ$235,1,OC_Pay)="","",INDEX('OneCause_Paste'!$A$235:$AZ$235,1,OC_Pay)))</f>
        <v/>
      </c>
      <c r="N235">
        <f>IF(I235="","",IF(ISNUMBER(I235),INT(I235),IFERROR(INT(DATEVALUE(I235)),IFERROR(INT(VALUE(I235)),"bad"))))</f>
        <v/>
      </c>
      <c r="O235">
        <f>IF(J235="","",IF(ISNUMBER(J235),ROUND(J235,2),IFERROR(ROUND(VALUE(SUBSTITUTE(SUBSTITUTE(SUBSTITUTE(J235,"$",""),",","")," ","")),2),"bad")))</f>
        <v/>
      </c>
      <c r="P235">
        <f>IF(TRIM(K235)="","",IFERROR(MATCH(LOWER(TRIM(K235)),'Students'!$AH$2:$AH$701,0),IFERROR(MATCH(LOWER(TRIM(K235)),'Students'!$AF$2:$AF$701,0),IFERROR(MATCH(LOWER(TRIM(K235)),'Students'!$AG$2:$AG$701,0),""))))</f>
        <v/>
      </c>
      <c r="R235">
        <f>IF(P235="","",INDEX('Students'!$AD$2:$AD$701,P235))</f>
        <v/>
      </c>
      <c r="S235">
        <f>IF(H235="OK",O235,0)</f>
        <v/>
      </c>
      <c r="T235">
        <f>IF(H235="OK",N235,"")</f>
        <v/>
      </c>
      <c r="U235">
        <f>IF(OC_Donor=0,"",IF(INDEX('OneCause_Paste'!$A$235:$AZ$235,1,OC_Donor)="","",INDEX('OneCause_Paste'!$A$235:$AZ$235,1,OC_Donor)))</f>
        <v/>
      </c>
    </row>
    <row r="236">
      <c r="A236" s="62">
        <f>IF(H236="","",IF(ISNUMBER(N236),N236,I236))</f>
        <v/>
      </c>
      <c r="B236">
        <f>IF(H236="","",U236)</f>
        <v/>
      </c>
      <c r="C236">
        <f>IF(H236="","",IF(P236="",K236,INDEX('Students'!$A$2:$A$701,P236)))</f>
        <v/>
      </c>
      <c r="D236">
        <f>IF(OR(H236="",P236=""),"",INDEX('Students'!$B$2:$B$701,P236))</f>
        <v/>
      </c>
      <c r="E236">
        <f>IF(OR(H236="",P236=""),"",INDEX('Students'!$C$2:$C$701,P236))</f>
        <v/>
      </c>
      <c r="F236" s="48">
        <f>IF(H236="","",IF(ISNUMBER(O236),O236,J236))</f>
        <v/>
      </c>
      <c r="G236">
        <f>IF(H236="","","OneCause")</f>
        <v/>
      </c>
      <c r="H236">
        <f>IF(AND(I236="",J236="",K236=""),"",IF(NOT(ISNUMBER(O236)),"Bad amount",IF(O236&lt;0,"Refund (not counted)",IF(O236=0,"Zero amount",IF(NOT(ISNUMBER(N236)),"Bad date",IF(P236="","NAME NOT ON ROSTER",IF(L236="","OK",IF(MATCH(L236,$L$2:$L$3001,0)&lt;ROW()-1,"Duplicate (ignored)","OK"))))))))</f>
        <v/>
      </c>
      <c r="I236">
        <f>IF(OC_Date=0,"",IF(INDEX('OneCause_Paste'!$A$236:$AZ$236,1,OC_Date)="","",INDEX('OneCause_Paste'!$A$236:$AZ$236,1,OC_Date)))</f>
        <v/>
      </c>
      <c r="J236">
        <f>IF(OC_Amt=0,"",IF(INDEX('OneCause_Paste'!$A$236:$AZ$236,1,OC_Amt)="","",INDEX('OneCause_Paste'!$A$236:$AZ$236,1,OC_Amt)))</f>
        <v/>
      </c>
      <c r="K236">
        <f>IF(OC_Name=0,"",IF(INDEX('OneCause_Paste'!$A$236:$AZ$236,1,OC_Name)="","",INDEX('OneCause_Paste'!$A$236:$AZ$236,1,OC_Name)))</f>
        <v/>
      </c>
      <c r="L236">
        <f>IF(OC_Txn=0,"",IF(INDEX('OneCause_Paste'!$A$236:$AZ$236,1,OC_Txn)="","",INDEX('OneCause_Paste'!$A$236:$AZ$236,1,OC_Txn)))</f>
        <v/>
      </c>
      <c r="M236">
        <f>IF(OC_Pay=0,"",IF(INDEX('OneCause_Paste'!$A$236:$AZ$236,1,OC_Pay)="","",INDEX('OneCause_Paste'!$A$236:$AZ$236,1,OC_Pay)))</f>
        <v/>
      </c>
      <c r="N236">
        <f>IF(I236="","",IF(ISNUMBER(I236),INT(I236),IFERROR(INT(DATEVALUE(I236)),IFERROR(INT(VALUE(I236)),"bad"))))</f>
        <v/>
      </c>
      <c r="O236">
        <f>IF(J236="","",IF(ISNUMBER(J236),ROUND(J236,2),IFERROR(ROUND(VALUE(SUBSTITUTE(SUBSTITUTE(SUBSTITUTE(J236,"$",""),",","")," ","")),2),"bad")))</f>
        <v/>
      </c>
      <c r="P236">
        <f>IF(TRIM(K236)="","",IFERROR(MATCH(LOWER(TRIM(K236)),'Students'!$AH$2:$AH$701,0),IFERROR(MATCH(LOWER(TRIM(K236)),'Students'!$AF$2:$AF$701,0),IFERROR(MATCH(LOWER(TRIM(K236)),'Students'!$AG$2:$AG$701,0),""))))</f>
        <v/>
      </c>
      <c r="R236">
        <f>IF(P236="","",INDEX('Students'!$AD$2:$AD$701,P236))</f>
        <v/>
      </c>
      <c r="S236">
        <f>IF(H236="OK",O236,0)</f>
        <v/>
      </c>
      <c r="T236">
        <f>IF(H236="OK",N236,"")</f>
        <v/>
      </c>
      <c r="U236">
        <f>IF(OC_Donor=0,"",IF(INDEX('OneCause_Paste'!$A$236:$AZ$236,1,OC_Donor)="","",INDEX('OneCause_Paste'!$A$236:$AZ$236,1,OC_Donor)))</f>
        <v/>
      </c>
    </row>
    <row r="237">
      <c r="A237" s="62">
        <f>IF(H237="","",IF(ISNUMBER(N237),N237,I237))</f>
        <v/>
      </c>
      <c r="B237">
        <f>IF(H237="","",U237)</f>
        <v/>
      </c>
      <c r="C237">
        <f>IF(H237="","",IF(P237="",K237,INDEX('Students'!$A$2:$A$701,P237)))</f>
        <v/>
      </c>
      <c r="D237">
        <f>IF(OR(H237="",P237=""),"",INDEX('Students'!$B$2:$B$701,P237))</f>
        <v/>
      </c>
      <c r="E237">
        <f>IF(OR(H237="",P237=""),"",INDEX('Students'!$C$2:$C$701,P237))</f>
        <v/>
      </c>
      <c r="F237" s="48">
        <f>IF(H237="","",IF(ISNUMBER(O237),O237,J237))</f>
        <v/>
      </c>
      <c r="G237">
        <f>IF(H237="","","OneCause")</f>
        <v/>
      </c>
      <c r="H237">
        <f>IF(AND(I237="",J237="",K237=""),"",IF(NOT(ISNUMBER(O237)),"Bad amount",IF(O237&lt;0,"Refund (not counted)",IF(O237=0,"Zero amount",IF(NOT(ISNUMBER(N237)),"Bad date",IF(P237="","NAME NOT ON ROSTER",IF(L237="","OK",IF(MATCH(L237,$L$2:$L$3001,0)&lt;ROW()-1,"Duplicate (ignored)","OK"))))))))</f>
        <v/>
      </c>
      <c r="I237">
        <f>IF(OC_Date=0,"",IF(INDEX('OneCause_Paste'!$A$237:$AZ$237,1,OC_Date)="","",INDEX('OneCause_Paste'!$A$237:$AZ$237,1,OC_Date)))</f>
        <v/>
      </c>
      <c r="J237">
        <f>IF(OC_Amt=0,"",IF(INDEX('OneCause_Paste'!$A$237:$AZ$237,1,OC_Amt)="","",INDEX('OneCause_Paste'!$A$237:$AZ$237,1,OC_Amt)))</f>
        <v/>
      </c>
      <c r="K237">
        <f>IF(OC_Name=0,"",IF(INDEX('OneCause_Paste'!$A$237:$AZ$237,1,OC_Name)="","",INDEX('OneCause_Paste'!$A$237:$AZ$237,1,OC_Name)))</f>
        <v/>
      </c>
      <c r="L237">
        <f>IF(OC_Txn=0,"",IF(INDEX('OneCause_Paste'!$A$237:$AZ$237,1,OC_Txn)="","",INDEX('OneCause_Paste'!$A$237:$AZ$237,1,OC_Txn)))</f>
        <v/>
      </c>
      <c r="M237">
        <f>IF(OC_Pay=0,"",IF(INDEX('OneCause_Paste'!$A$237:$AZ$237,1,OC_Pay)="","",INDEX('OneCause_Paste'!$A$237:$AZ$237,1,OC_Pay)))</f>
        <v/>
      </c>
      <c r="N237">
        <f>IF(I237="","",IF(ISNUMBER(I237),INT(I237),IFERROR(INT(DATEVALUE(I237)),IFERROR(INT(VALUE(I237)),"bad"))))</f>
        <v/>
      </c>
      <c r="O237">
        <f>IF(J237="","",IF(ISNUMBER(J237),ROUND(J237,2),IFERROR(ROUND(VALUE(SUBSTITUTE(SUBSTITUTE(SUBSTITUTE(J237,"$",""),",","")," ","")),2),"bad")))</f>
        <v/>
      </c>
      <c r="P237">
        <f>IF(TRIM(K237)="","",IFERROR(MATCH(LOWER(TRIM(K237)),'Students'!$AH$2:$AH$701,0),IFERROR(MATCH(LOWER(TRIM(K237)),'Students'!$AF$2:$AF$701,0),IFERROR(MATCH(LOWER(TRIM(K237)),'Students'!$AG$2:$AG$701,0),""))))</f>
        <v/>
      </c>
      <c r="R237">
        <f>IF(P237="","",INDEX('Students'!$AD$2:$AD$701,P237))</f>
        <v/>
      </c>
      <c r="S237">
        <f>IF(H237="OK",O237,0)</f>
        <v/>
      </c>
      <c r="T237">
        <f>IF(H237="OK",N237,"")</f>
        <v/>
      </c>
      <c r="U237">
        <f>IF(OC_Donor=0,"",IF(INDEX('OneCause_Paste'!$A$237:$AZ$237,1,OC_Donor)="","",INDEX('OneCause_Paste'!$A$237:$AZ$237,1,OC_Donor)))</f>
        <v/>
      </c>
    </row>
    <row r="238">
      <c r="A238" s="62">
        <f>IF(H238="","",IF(ISNUMBER(N238),N238,I238))</f>
        <v/>
      </c>
      <c r="B238">
        <f>IF(H238="","",U238)</f>
        <v/>
      </c>
      <c r="C238">
        <f>IF(H238="","",IF(P238="",K238,INDEX('Students'!$A$2:$A$701,P238)))</f>
        <v/>
      </c>
      <c r="D238">
        <f>IF(OR(H238="",P238=""),"",INDEX('Students'!$B$2:$B$701,P238))</f>
        <v/>
      </c>
      <c r="E238">
        <f>IF(OR(H238="",P238=""),"",INDEX('Students'!$C$2:$C$701,P238))</f>
        <v/>
      </c>
      <c r="F238" s="48">
        <f>IF(H238="","",IF(ISNUMBER(O238),O238,J238))</f>
        <v/>
      </c>
      <c r="G238">
        <f>IF(H238="","","OneCause")</f>
        <v/>
      </c>
      <c r="H238">
        <f>IF(AND(I238="",J238="",K238=""),"",IF(NOT(ISNUMBER(O238)),"Bad amount",IF(O238&lt;0,"Refund (not counted)",IF(O238=0,"Zero amount",IF(NOT(ISNUMBER(N238)),"Bad date",IF(P238="","NAME NOT ON ROSTER",IF(L238="","OK",IF(MATCH(L238,$L$2:$L$3001,0)&lt;ROW()-1,"Duplicate (ignored)","OK"))))))))</f>
        <v/>
      </c>
      <c r="I238">
        <f>IF(OC_Date=0,"",IF(INDEX('OneCause_Paste'!$A$238:$AZ$238,1,OC_Date)="","",INDEX('OneCause_Paste'!$A$238:$AZ$238,1,OC_Date)))</f>
        <v/>
      </c>
      <c r="J238">
        <f>IF(OC_Amt=0,"",IF(INDEX('OneCause_Paste'!$A$238:$AZ$238,1,OC_Amt)="","",INDEX('OneCause_Paste'!$A$238:$AZ$238,1,OC_Amt)))</f>
        <v/>
      </c>
      <c r="K238">
        <f>IF(OC_Name=0,"",IF(INDEX('OneCause_Paste'!$A$238:$AZ$238,1,OC_Name)="","",INDEX('OneCause_Paste'!$A$238:$AZ$238,1,OC_Name)))</f>
        <v/>
      </c>
      <c r="L238">
        <f>IF(OC_Txn=0,"",IF(INDEX('OneCause_Paste'!$A$238:$AZ$238,1,OC_Txn)="","",INDEX('OneCause_Paste'!$A$238:$AZ$238,1,OC_Txn)))</f>
        <v/>
      </c>
      <c r="M238">
        <f>IF(OC_Pay=0,"",IF(INDEX('OneCause_Paste'!$A$238:$AZ$238,1,OC_Pay)="","",INDEX('OneCause_Paste'!$A$238:$AZ$238,1,OC_Pay)))</f>
        <v/>
      </c>
      <c r="N238">
        <f>IF(I238="","",IF(ISNUMBER(I238),INT(I238),IFERROR(INT(DATEVALUE(I238)),IFERROR(INT(VALUE(I238)),"bad"))))</f>
        <v/>
      </c>
      <c r="O238">
        <f>IF(J238="","",IF(ISNUMBER(J238),ROUND(J238,2),IFERROR(ROUND(VALUE(SUBSTITUTE(SUBSTITUTE(SUBSTITUTE(J238,"$",""),",","")," ","")),2),"bad")))</f>
        <v/>
      </c>
      <c r="P238">
        <f>IF(TRIM(K238)="","",IFERROR(MATCH(LOWER(TRIM(K238)),'Students'!$AH$2:$AH$701,0),IFERROR(MATCH(LOWER(TRIM(K238)),'Students'!$AF$2:$AF$701,0),IFERROR(MATCH(LOWER(TRIM(K238)),'Students'!$AG$2:$AG$701,0),""))))</f>
        <v/>
      </c>
      <c r="R238">
        <f>IF(P238="","",INDEX('Students'!$AD$2:$AD$701,P238))</f>
        <v/>
      </c>
      <c r="S238">
        <f>IF(H238="OK",O238,0)</f>
        <v/>
      </c>
      <c r="T238">
        <f>IF(H238="OK",N238,"")</f>
        <v/>
      </c>
      <c r="U238">
        <f>IF(OC_Donor=0,"",IF(INDEX('OneCause_Paste'!$A$238:$AZ$238,1,OC_Donor)="","",INDEX('OneCause_Paste'!$A$238:$AZ$238,1,OC_Donor)))</f>
        <v/>
      </c>
    </row>
    <row r="239">
      <c r="A239" s="62">
        <f>IF(H239="","",IF(ISNUMBER(N239),N239,I239))</f>
        <v/>
      </c>
      <c r="B239">
        <f>IF(H239="","",U239)</f>
        <v/>
      </c>
      <c r="C239">
        <f>IF(H239="","",IF(P239="",K239,INDEX('Students'!$A$2:$A$701,P239)))</f>
        <v/>
      </c>
      <c r="D239">
        <f>IF(OR(H239="",P239=""),"",INDEX('Students'!$B$2:$B$701,P239))</f>
        <v/>
      </c>
      <c r="E239">
        <f>IF(OR(H239="",P239=""),"",INDEX('Students'!$C$2:$C$701,P239))</f>
        <v/>
      </c>
      <c r="F239" s="48">
        <f>IF(H239="","",IF(ISNUMBER(O239),O239,J239))</f>
        <v/>
      </c>
      <c r="G239">
        <f>IF(H239="","","OneCause")</f>
        <v/>
      </c>
      <c r="H239">
        <f>IF(AND(I239="",J239="",K239=""),"",IF(NOT(ISNUMBER(O239)),"Bad amount",IF(O239&lt;0,"Refund (not counted)",IF(O239=0,"Zero amount",IF(NOT(ISNUMBER(N239)),"Bad date",IF(P239="","NAME NOT ON ROSTER",IF(L239="","OK",IF(MATCH(L239,$L$2:$L$3001,0)&lt;ROW()-1,"Duplicate (ignored)","OK"))))))))</f>
        <v/>
      </c>
      <c r="I239">
        <f>IF(OC_Date=0,"",IF(INDEX('OneCause_Paste'!$A$239:$AZ$239,1,OC_Date)="","",INDEX('OneCause_Paste'!$A$239:$AZ$239,1,OC_Date)))</f>
        <v/>
      </c>
      <c r="J239">
        <f>IF(OC_Amt=0,"",IF(INDEX('OneCause_Paste'!$A$239:$AZ$239,1,OC_Amt)="","",INDEX('OneCause_Paste'!$A$239:$AZ$239,1,OC_Amt)))</f>
        <v/>
      </c>
      <c r="K239">
        <f>IF(OC_Name=0,"",IF(INDEX('OneCause_Paste'!$A$239:$AZ$239,1,OC_Name)="","",INDEX('OneCause_Paste'!$A$239:$AZ$239,1,OC_Name)))</f>
        <v/>
      </c>
      <c r="L239">
        <f>IF(OC_Txn=0,"",IF(INDEX('OneCause_Paste'!$A$239:$AZ$239,1,OC_Txn)="","",INDEX('OneCause_Paste'!$A$239:$AZ$239,1,OC_Txn)))</f>
        <v/>
      </c>
      <c r="M239">
        <f>IF(OC_Pay=0,"",IF(INDEX('OneCause_Paste'!$A$239:$AZ$239,1,OC_Pay)="","",INDEX('OneCause_Paste'!$A$239:$AZ$239,1,OC_Pay)))</f>
        <v/>
      </c>
      <c r="N239">
        <f>IF(I239="","",IF(ISNUMBER(I239),INT(I239),IFERROR(INT(DATEVALUE(I239)),IFERROR(INT(VALUE(I239)),"bad"))))</f>
        <v/>
      </c>
      <c r="O239">
        <f>IF(J239="","",IF(ISNUMBER(J239),ROUND(J239,2),IFERROR(ROUND(VALUE(SUBSTITUTE(SUBSTITUTE(SUBSTITUTE(J239,"$",""),",","")," ","")),2),"bad")))</f>
        <v/>
      </c>
      <c r="P239">
        <f>IF(TRIM(K239)="","",IFERROR(MATCH(LOWER(TRIM(K239)),'Students'!$AH$2:$AH$701,0),IFERROR(MATCH(LOWER(TRIM(K239)),'Students'!$AF$2:$AF$701,0),IFERROR(MATCH(LOWER(TRIM(K239)),'Students'!$AG$2:$AG$701,0),""))))</f>
        <v/>
      </c>
      <c r="R239">
        <f>IF(P239="","",INDEX('Students'!$AD$2:$AD$701,P239))</f>
        <v/>
      </c>
      <c r="S239">
        <f>IF(H239="OK",O239,0)</f>
        <v/>
      </c>
      <c r="T239">
        <f>IF(H239="OK",N239,"")</f>
        <v/>
      </c>
      <c r="U239">
        <f>IF(OC_Donor=0,"",IF(INDEX('OneCause_Paste'!$A$239:$AZ$239,1,OC_Donor)="","",INDEX('OneCause_Paste'!$A$239:$AZ$239,1,OC_Donor)))</f>
        <v/>
      </c>
    </row>
    <row r="240">
      <c r="A240" s="62">
        <f>IF(H240="","",IF(ISNUMBER(N240),N240,I240))</f>
        <v/>
      </c>
      <c r="B240">
        <f>IF(H240="","",U240)</f>
        <v/>
      </c>
      <c r="C240">
        <f>IF(H240="","",IF(P240="",K240,INDEX('Students'!$A$2:$A$701,P240)))</f>
        <v/>
      </c>
      <c r="D240">
        <f>IF(OR(H240="",P240=""),"",INDEX('Students'!$B$2:$B$701,P240))</f>
        <v/>
      </c>
      <c r="E240">
        <f>IF(OR(H240="",P240=""),"",INDEX('Students'!$C$2:$C$701,P240))</f>
        <v/>
      </c>
      <c r="F240" s="48">
        <f>IF(H240="","",IF(ISNUMBER(O240),O240,J240))</f>
        <v/>
      </c>
      <c r="G240">
        <f>IF(H240="","","OneCause")</f>
        <v/>
      </c>
      <c r="H240">
        <f>IF(AND(I240="",J240="",K240=""),"",IF(NOT(ISNUMBER(O240)),"Bad amount",IF(O240&lt;0,"Refund (not counted)",IF(O240=0,"Zero amount",IF(NOT(ISNUMBER(N240)),"Bad date",IF(P240="","NAME NOT ON ROSTER",IF(L240="","OK",IF(MATCH(L240,$L$2:$L$3001,0)&lt;ROW()-1,"Duplicate (ignored)","OK"))))))))</f>
        <v/>
      </c>
      <c r="I240">
        <f>IF(OC_Date=0,"",IF(INDEX('OneCause_Paste'!$A$240:$AZ$240,1,OC_Date)="","",INDEX('OneCause_Paste'!$A$240:$AZ$240,1,OC_Date)))</f>
        <v/>
      </c>
      <c r="J240">
        <f>IF(OC_Amt=0,"",IF(INDEX('OneCause_Paste'!$A$240:$AZ$240,1,OC_Amt)="","",INDEX('OneCause_Paste'!$A$240:$AZ$240,1,OC_Amt)))</f>
        <v/>
      </c>
      <c r="K240">
        <f>IF(OC_Name=0,"",IF(INDEX('OneCause_Paste'!$A$240:$AZ$240,1,OC_Name)="","",INDEX('OneCause_Paste'!$A$240:$AZ$240,1,OC_Name)))</f>
        <v/>
      </c>
      <c r="L240">
        <f>IF(OC_Txn=0,"",IF(INDEX('OneCause_Paste'!$A$240:$AZ$240,1,OC_Txn)="","",INDEX('OneCause_Paste'!$A$240:$AZ$240,1,OC_Txn)))</f>
        <v/>
      </c>
      <c r="M240">
        <f>IF(OC_Pay=0,"",IF(INDEX('OneCause_Paste'!$A$240:$AZ$240,1,OC_Pay)="","",INDEX('OneCause_Paste'!$A$240:$AZ$240,1,OC_Pay)))</f>
        <v/>
      </c>
      <c r="N240">
        <f>IF(I240="","",IF(ISNUMBER(I240),INT(I240),IFERROR(INT(DATEVALUE(I240)),IFERROR(INT(VALUE(I240)),"bad"))))</f>
        <v/>
      </c>
      <c r="O240">
        <f>IF(J240="","",IF(ISNUMBER(J240),ROUND(J240,2),IFERROR(ROUND(VALUE(SUBSTITUTE(SUBSTITUTE(SUBSTITUTE(J240,"$",""),",","")," ","")),2),"bad")))</f>
        <v/>
      </c>
      <c r="P240">
        <f>IF(TRIM(K240)="","",IFERROR(MATCH(LOWER(TRIM(K240)),'Students'!$AH$2:$AH$701,0),IFERROR(MATCH(LOWER(TRIM(K240)),'Students'!$AF$2:$AF$701,0),IFERROR(MATCH(LOWER(TRIM(K240)),'Students'!$AG$2:$AG$701,0),""))))</f>
        <v/>
      </c>
      <c r="R240">
        <f>IF(P240="","",INDEX('Students'!$AD$2:$AD$701,P240))</f>
        <v/>
      </c>
      <c r="S240">
        <f>IF(H240="OK",O240,0)</f>
        <v/>
      </c>
      <c r="T240">
        <f>IF(H240="OK",N240,"")</f>
        <v/>
      </c>
      <c r="U240">
        <f>IF(OC_Donor=0,"",IF(INDEX('OneCause_Paste'!$A$240:$AZ$240,1,OC_Donor)="","",INDEX('OneCause_Paste'!$A$240:$AZ$240,1,OC_Donor)))</f>
        <v/>
      </c>
    </row>
    <row r="241">
      <c r="A241" s="62">
        <f>IF(H241="","",IF(ISNUMBER(N241),N241,I241))</f>
        <v/>
      </c>
      <c r="B241">
        <f>IF(H241="","",U241)</f>
        <v/>
      </c>
      <c r="C241">
        <f>IF(H241="","",IF(P241="",K241,INDEX('Students'!$A$2:$A$701,P241)))</f>
        <v/>
      </c>
      <c r="D241">
        <f>IF(OR(H241="",P241=""),"",INDEX('Students'!$B$2:$B$701,P241))</f>
        <v/>
      </c>
      <c r="E241">
        <f>IF(OR(H241="",P241=""),"",INDEX('Students'!$C$2:$C$701,P241))</f>
        <v/>
      </c>
      <c r="F241" s="48">
        <f>IF(H241="","",IF(ISNUMBER(O241),O241,J241))</f>
        <v/>
      </c>
      <c r="G241">
        <f>IF(H241="","","OneCause")</f>
        <v/>
      </c>
      <c r="H241">
        <f>IF(AND(I241="",J241="",K241=""),"",IF(NOT(ISNUMBER(O241)),"Bad amount",IF(O241&lt;0,"Refund (not counted)",IF(O241=0,"Zero amount",IF(NOT(ISNUMBER(N241)),"Bad date",IF(P241="","NAME NOT ON ROSTER",IF(L241="","OK",IF(MATCH(L241,$L$2:$L$3001,0)&lt;ROW()-1,"Duplicate (ignored)","OK"))))))))</f>
        <v/>
      </c>
      <c r="I241">
        <f>IF(OC_Date=0,"",IF(INDEX('OneCause_Paste'!$A$241:$AZ$241,1,OC_Date)="","",INDEX('OneCause_Paste'!$A$241:$AZ$241,1,OC_Date)))</f>
        <v/>
      </c>
      <c r="J241">
        <f>IF(OC_Amt=0,"",IF(INDEX('OneCause_Paste'!$A$241:$AZ$241,1,OC_Amt)="","",INDEX('OneCause_Paste'!$A$241:$AZ$241,1,OC_Amt)))</f>
        <v/>
      </c>
      <c r="K241">
        <f>IF(OC_Name=0,"",IF(INDEX('OneCause_Paste'!$A$241:$AZ$241,1,OC_Name)="","",INDEX('OneCause_Paste'!$A$241:$AZ$241,1,OC_Name)))</f>
        <v/>
      </c>
      <c r="L241">
        <f>IF(OC_Txn=0,"",IF(INDEX('OneCause_Paste'!$A$241:$AZ$241,1,OC_Txn)="","",INDEX('OneCause_Paste'!$A$241:$AZ$241,1,OC_Txn)))</f>
        <v/>
      </c>
      <c r="M241">
        <f>IF(OC_Pay=0,"",IF(INDEX('OneCause_Paste'!$A$241:$AZ$241,1,OC_Pay)="","",INDEX('OneCause_Paste'!$A$241:$AZ$241,1,OC_Pay)))</f>
        <v/>
      </c>
      <c r="N241">
        <f>IF(I241="","",IF(ISNUMBER(I241),INT(I241),IFERROR(INT(DATEVALUE(I241)),IFERROR(INT(VALUE(I241)),"bad"))))</f>
        <v/>
      </c>
      <c r="O241">
        <f>IF(J241="","",IF(ISNUMBER(J241),ROUND(J241,2),IFERROR(ROUND(VALUE(SUBSTITUTE(SUBSTITUTE(SUBSTITUTE(J241,"$",""),",","")," ","")),2),"bad")))</f>
        <v/>
      </c>
      <c r="P241">
        <f>IF(TRIM(K241)="","",IFERROR(MATCH(LOWER(TRIM(K241)),'Students'!$AH$2:$AH$701,0),IFERROR(MATCH(LOWER(TRIM(K241)),'Students'!$AF$2:$AF$701,0),IFERROR(MATCH(LOWER(TRIM(K241)),'Students'!$AG$2:$AG$701,0),""))))</f>
        <v/>
      </c>
      <c r="R241">
        <f>IF(P241="","",INDEX('Students'!$AD$2:$AD$701,P241))</f>
        <v/>
      </c>
      <c r="S241">
        <f>IF(H241="OK",O241,0)</f>
        <v/>
      </c>
      <c r="T241">
        <f>IF(H241="OK",N241,"")</f>
        <v/>
      </c>
      <c r="U241">
        <f>IF(OC_Donor=0,"",IF(INDEX('OneCause_Paste'!$A$241:$AZ$241,1,OC_Donor)="","",INDEX('OneCause_Paste'!$A$241:$AZ$241,1,OC_Donor)))</f>
        <v/>
      </c>
    </row>
    <row r="242">
      <c r="A242" s="62">
        <f>IF(H242="","",IF(ISNUMBER(N242),N242,I242))</f>
        <v/>
      </c>
      <c r="B242">
        <f>IF(H242="","",U242)</f>
        <v/>
      </c>
      <c r="C242">
        <f>IF(H242="","",IF(P242="",K242,INDEX('Students'!$A$2:$A$701,P242)))</f>
        <v/>
      </c>
      <c r="D242">
        <f>IF(OR(H242="",P242=""),"",INDEX('Students'!$B$2:$B$701,P242))</f>
        <v/>
      </c>
      <c r="E242">
        <f>IF(OR(H242="",P242=""),"",INDEX('Students'!$C$2:$C$701,P242))</f>
        <v/>
      </c>
      <c r="F242" s="48">
        <f>IF(H242="","",IF(ISNUMBER(O242),O242,J242))</f>
        <v/>
      </c>
      <c r="G242">
        <f>IF(H242="","","OneCause")</f>
        <v/>
      </c>
      <c r="H242">
        <f>IF(AND(I242="",J242="",K242=""),"",IF(NOT(ISNUMBER(O242)),"Bad amount",IF(O242&lt;0,"Refund (not counted)",IF(O242=0,"Zero amount",IF(NOT(ISNUMBER(N242)),"Bad date",IF(P242="","NAME NOT ON ROSTER",IF(L242="","OK",IF(MATCH(L242,$L$2:$L$3001,0)&lt;ROW()-1,"Duplicate (ignored)","OK"))))))))</f>
        <v/>
      </c>
      <c r="I242">
        <f>IF(OC_Date=0,"",IF(INDEX('OneCause_Paste'!$A$242:$AZ$242,1,OC_Date)="","",INDEX('OneCause_Paste'!$A$242:$AZ$242,1,OC_Date)))</f>
        <v/>
      </c>
      <c r="J242">
        <f>IF(OC_Amt=0,"",IF(INDEX('OneCause_Paste'!$A$242:$AZ$242,1,OC_Amt)="","",INDEX('OneCause_Paste'!$A$242:$AZ$242,1,OC_Amt)))</f>
        <v/>
      </c>
      <c r="K242">
        <f>IF(OC_Name=0,"",IF(INDEX('OneCause_Paste'!$A$242:$AZ$242,1,OC_Name)="","",INDEX('OneCause_Paste'!$A$242:$AZ$242,1,OC_Name)))</f>
        <v/>
      </c>
      <c r="L242">
        <f>IF(OC_Txn=0,"",IF(INDEX('OneCause_Paste'!$A$242:$AZ$242,1,OC_Txn)="","",INDEX('OneCause_Paste'!$A$242:$AZ$242,1,OC_Txn)))</f>
        <v/>
      </c>
      <c r="M242">
        <f>IF(OC_Pay=0,"",IF(INDEX('OneCause_Paste'!$A$242:$AZ$242,1,OC_Pay)="","",INDEX('OneCause_Paste'!$A$242:$AZ$242,1,OC_Pay)))</f>
        <v/>
      </c>
      <c r="N242">
        <f>IF(I242="","",IF(ISNUMBER(I242),INT(I242),IFERROR(INT(DATEVALUE(I242)),IFERROR(INT(VALUE(I242)),"bad"))))</f>
        <v/>
      </c>
      <c r="O242">
        <f>IF(J242="","",IF(ISNUMBER(J242),ROUND(J242,2),IFERROR(ROUND(VALUE(SUBSTITUTE(SUBSTITUTE(SUBSTITUTE(J242,"$",""),",","")," ","")),2),"bad")))</f>
        <v/>
      </c>
      <c r="P242">
        <f>IF(TRIM(K242)="","",IFERROR(MATCH(LOWER(TRIM(K242)),'Students'!$AH$2:$AH$701,0),IFERROR(MATCH(LOWER(TRIM(K242)),'Students'!$AF$2:$AF$701,0),IFERROR(MATCH(LOWER(TRIM(K242)),'Students'!$AG$2:$AG$701,0),""))))</f>
        <v/>
      </c>
      <c r="R242">
        <f>IF(P242="","",INDEX('Students'!$AD$2:$AD$701,P242))</f>
        <v/>
      </c>
      <c r="S242">
        <f>IF(H242="OK",O242,0)</f>
        <v/>
      </c>
      <c r="T242">
        <f>IF(H242="OK",N242,"")</f>
        <v/>
      </c>
      <c r="U242">
        <f>IF(OC_Donor=0,"",IF(INDEX('OneCause_Paste'!$A$242:$AZ$242,1,OC_Donor)="","",INDEX('OneCause_Paste'!$A$242:$AZ$242,1,OC_Donor)))</f>
        <v/>
      </c>
    </row>
    <row r="243">
      <c r="A243" s="62">
        <f>IF(H243="","",IF(ISNUMBER(N243),N243,I243))</f>
        <v/>
      </c>
      <c r="B243">
        <f>IF(H243="","",U243)</f>
        <v/>
      </c>
      <c r="C243">
        <f>IF(H243="","",IF(P243="",K243,INDEX('Students'!$A$2:$A$701,P243)))</f>
        <v/>
      </c>
      <c r="D243">
        <f>IF(OR(H243="",P243=""),"",INDEX('Students'!$B$2:$B$701,P243))</f>
        <v/>
      </c>
      <c r="E243">
        <f>IF(OR(H243="",P243=""),"",INDEX('Students'!$C$2:$C$701,P243))</f>
        <v/>
      </c>
      <c r="F243" s="48">
        <f>IF(H243="","",IF(ISNUMBER(O243),O243,J243))</f>
        <v/>
      </c>
      <c r="G243">
        <f>IF(H243="","","OneCause")</f>
        <v/>
      </c>
      <c r="H243">
        <f>IF(AND(I243="",J243="",K243=""),"",IF(NOT(ISNUMBER(O243)),"Bad amount",IF(O243&lt;0,"Refund (not counted)",IF(O243=0,"Zero amount",IF(NOT(ISNUMBER(N243)),"Bad date",IF(P243="","NAME NOT ON ROSTER",IF(L243="","OK",IF(MATCH(L243,$L$2:$L$3001,0)&lt;ROW()-1,"Duplicate (ignored)","OK"))))))))</f>
        <v/>
      </c>
      <c r="I243">
        <f>IF(OC_Date=0,"",IF(INDEX('OneCause_Paste'!$A$243:$AZ$243,1,OC_Date)="","",INDEX('OneCause_Paste'!$A$243:$AZ$243,1,OC_Date)))</f>
        <v/>
      </c>
      <c r="J243">
        <f>IF(OC_Amt=0,"",IF(INDEX('OneCause_Paste'!$A$243:$AZ$243,1,OC_Amt)="","",INDEX('OneCause_Paste'!$A$243:$AZ$243,1,OC_Amt)))</f>
        <v/>
      </c>
      <c r="K243">
        <f>IF(OC_Name=0,"",IF(INDEX('OneCause_Paste'!$A$243:$AZ$243,1,OC_Name)="","",INDEX('OneCause_Paste'!$A$243:$AZ$243,1,OC_Name)))</f>
        <v/>
      </c>
      <c r="L243">
        <f>IF(OC_Txn=0,"",IF(INDEX('OneCause_Paste'!$A$243:$AZ$243,1,OC_Txn)="","",INDEX('OneCause_Paste'!$A$243:$AZ$243,1,OC_Txn)))</f>
        <v/>
      </c>
      <c r="M243">
        <f>IF(OC_Pay=0,"",IF(INDEX('OneCause_Paste'!$A$243:$AZ$243,1,OC_Pay)="","",INDEX('OneCause_Paste'!$A$243:$AZ$243,1,OC_Pay)))</f>
        <v/>
      </c>
      <c r="N243">
        <f>IF(I243="","",IF(ISNUMBER(I243),INT(I243),IFERROR(INT(DATEVALUE(I243)),IFERROR(INT(VALUE(I243)),"bad"))))</f>
        <v/>
      </c>
      <c r="O243">
        <f>IF(J243="","",IF(ISNUMBER(J243),ROUND(J243,2),IFERROR(ROUND(VALUE(SUBSTITUTE(SUBSTITUTE(SUBSTITUTE(J243,"$",""),",","")," ","")),2),"bad")))</f>
        <v/>
      </c>
      <c r="P243">
        <f>IF(TRIM(K243)="","",IFERROR(MATCH(LOWER(TRIM(K243)),'Students'!$AH$2:$AH$701,0),IFERROR(MATCH(LOWER(TRIM(K243)),'Students'!$AF$2:$AF$701,0),IFERROR(MATCH(LOWER(TRIM(K243)),'Students'!$AG$2:$AG$701,0),""))))</f>
        <v/>
      </c>
      <c r="R243">
        <f>IF(P243="","",INDEX('Students'!$AD$2:$AD$701,P243))</f>
        <v/>
      </c>
      <c r="S243">
        <f>IF(H243="OK",O243,0)</f>
        <v/>
      </c>
      <c r="T243">
        <f>IF(H243="OK",N243,"")</f>
        <v/>
      </c>
      <c r="U243">
        <f>IF(OC_Donor=0,"",IF(INDEX('OneCause_Paste'!$A$243:$AZ$243,1,OC_Donor)="","",INDEX('OneCause_Paste'!$A$243:$AZ$243,1,OC_Donor)))</f>
        <v/>
      </c>
    </row>
    <row r="244">
      <c r="A244" s="62">
        <f>IF(H244="","",IF(ISNUMBER(N244),N244,I244))</f>
        <v/>
      </c>
      <c r="B244">
        <f>IF(H244="","",U244)</f>
        <v/>
      </c>
      <c r="C244">
        <f>IF(H244="","",IF(P244="",K244,INDEX('Students'!$A$2:$A$701,P244)))</f>
        <v/>
      </c>
      <c r="D244">
        <f>IF(OR(H244="",P244=""),"",INDEX('Students'!$B$2:$B$701,P244))</f>
        <v/>
      </c>
      <c r="E244">
        <f>IF(OR(H244="",P244=""),"",INDEX('Students'!$C$2:$C$701,P244))</f>
        <v/>
      </c>
      <c r="F244" s="48">
        <f>IF(H244="","",IF(ISNUMBER(O244),O244,J244))</f>
        <v/>
      </c>
      <c r="G244">
        <f>IF(H244="","","OneCause")</f>
        <v/>
      </c>
      <c r="H244">
        <f>IF(AND(I244="",J244="",K244=""),"",IF(NOT(ISNUMBER(O244)),"Bad amount",IF(O244&lt;0,"Refund (not counted)",IF(O244=0,"Zero amount",IF(NOT(ISNUMBER(N244)),"Bad date",IF(P244="","NAME NOT ON ROSTER",IF(L244="","OK",IF(MATCH(L244,$L$2:$L$3001,0)&lt;ROW()-1,"Duplicate (ignored)","OK"))))))))</f>
        <v/>
      </c>
      <c r="I244">
        <f>IF(OC_Date=0,"",IF(INDEX('OneCause_Paste'!$A$244:$AZ$244,1,OC_Date)="","",INDEX('OneCause_Paste'!$A$244:$AZ$244,1,OC_Date)))</f>
        <v/>
      </c>
      <c r="J244">
        <f>IF(OC_Amt=0,"",IF(INDEX('OneCause_Paste'!$A$244:$AZ$244,1,OC_Amt)="","",INDEX('OneCause_Paste'!$A$244:$AZ$244,1,OC_Amt)))</f>
        <v/>
      </c>
      <c r="K244">
        <f>IF(OC_Name=0,"",IF(INDEX('OneCause_Paste'!$A$244:$AZ$244,1,OC_Name)="","",INDEX('OneCause_Paste'!$A$244:$AZ$244,1,OC_Name)))</f>
        <v/>
      </c>
      <c r="L244">
        <f>IF(OC_Txn=0,"",IF(INDEX('OneCause_Paste'!$A$244:$AZ$244,1,OC_Txn)="","",INDEX('OneCause_Paste'!$A$244:$AZ$244,1,OC_Txn)))</f>
        <v/>
      </c>
      <c r="M244">
        <f>IF(OC_Pay=0,"",IF(INDEX('OneCause_Paste'!$A$244:$AZ$244,1,OC_Pay)="","",INDEX('OneCause_Paste'!$A$244:$AZ$244,1,OC_Pay)))</f>
        <v/>
      </c>
      <c r="N244">
        <f>IF(I244="","",IF(ISNUMBER(I244),INT(I244),IFERROR(INT(DATEVALUE(I244)),IFERROR(INT(VALUE(I244)),"bad"))))</f>
        <v/>
      </c>
      <c r="O244">
        <f>IF(J244="","",IF(ISNUMBER(J244),ROUND(J244,2),IFERROR(ROUND(VALUE(SUBSTITUTE(SUBSTITUTE(SUBSTITUTE(J244,"$",""),",","")," ","")),2),"bad")))</f>
        <v/>
      </c>
      <c r="P244">
        <f>IF(TRIM(K244)="","",IFERROR(MATCH(LOWER(TRIM(K244)),'Students'!$AH$2:$AH$701,0),IFERROR(MATCH(LOWER(TRIM(K244)),'Students'!$AF$2:$AF$701,0),IFERROR(MATCH(LOWER(TRIM(K244)),'Students'!$AG$2:$AG$701,0),""))))</f>
        <v/>
      </c>
      <c r="R244">
        <f>IF(P244="","",INDEX('Students'!$AD$2:$AD$701,P244))</f>
        <v/>
      </c>
      <c r="S244">
        <f>IF(H244="OK",O244,0)</f>
        <v/>
      </c>
      <c r="T244">
        <f>IF(H244="OK",N244,"")</f>
        <v/>
      </c>
      <c r="U244">
        <f>IF(OC_Donor=0,"",IF(INDEX('OneCause_Paste'!$A$244:$AZ$244,1,OC_Donor)="","",INDEX('OneCause_Paste'!$A$244:$AZ$244,1,OC_Donor)))</f>
        <v/>
      </c>
    </row>
    <row r="245">
      <c r="A245" s="62">
        <f>IF(H245="","",IF(ISNUMBER(N245),N245,I245))</f>
        <v/>
      </c>
      <c r="B245">
        <f>IF(H245="","",U245)</f>
        <v/>
      </c>
      <c r="C245">
        <f>IF(H245="","",IF(P245="",K245,INDEX('Students'!$A$2:$A$701,P245)))</f>
        <v/>
      </c>
      <c r="D245">
        <f>IF(OR(H245="",P245=""),"",INDEX('Students'!$B$2:$B$701,P245))</f>
        <v/>
      </c>
      <c r="E245">
        <f>IF(OR(H245="",P245=""),"",INDEX('Students'!$C$2:$C$701,P245))</f>
        <v/>
      </c>
      <c r="F245" s="48">
        <f>IF(H245="","",IF(ISNUMBER(O245),O245,J245))</f>
        <v/>
      </c>
      <c r="G245">
        <f>IF(H245="","","OneCause")</f>
        <v/>
      </c>
      <c r="H245">
        <f>IF(AND(I245="",J245="",K245=""),"",IF(NOT(ISNUMBER(O245)),"Bad amount",IF(O245&lt;0,"Refund (not counted)",IF(O245=0,"Zero amount",IF(NOT(ISNUMBER(N245)),"Bad date",IF(P245="","NAME NOT ON ROSTER",IF(L245="","OK",IF(MATCH(L245,$L$2:$L$3001,0)&lt;ROW()-1,"Duplicate (ignored)","OK"))))))))</f>
        <v/>
      </c>
      <c r="I245">
        <f>IF(OC_Date=0,"",IF(INDEX('OneCause_Paste'!$A$245:$AZ$245,1,OC_Date)="","",INDEX('OneCause_Paste'!$A$245:$AZ$245,1,OC_Date)))</f>
        <v/>
      </c>
      <c r="J245">
        <f>IF(OC_Amt=0,"",IF(INDEX('OneCause_Paste'!$A$245:$AZ$245,1,OC_Amt)="","",INDEX('OneCause_Paste'!$A$245:$AZ$245,1,OC_Amt)))</f>
        <v/>
      </c>
      <c r="K245">
        <f>IF(OC_Name=0,"",IF(INDEX('OneCause_Paste'!$A$245:$AZ$245,1,OC_Name)="","",INDEX('OneCause_Paste'!$A$245:$AZ$245,1,OC_Name)))</f>
        <v/>
      </c>
      <c r="L245">
        <f>IF(OC_Txn=0,"",IF(INDEX('OneCause_Paste'!$A$245:$AZ$245,1,OC_Txn)="","",INDEX('OneCause_Paste'!$A$245:$AZ$245,1,OC_Txn)))</f>
        <v/>
      </c>
      <c r="M245">
        <f>IF(OC_Pay=0,"",IF(INDEX('OneCause_Paste'!$A$245:$AZ$245,1,OC_Pay)="","",INDEX('OneCause_Paste'!$A$245:$AZ$245,1,OC_Pay)))</f>
        <v/>
      </c>
      <c r="N245">
        <f>IF(I245="","",IF(ISNUMBER(I245),INT(I245),IFERROR(INT(DATEVALUE(I245)),IFERROR(INT(VALUE(I245)),"bad"))))</f>
        <v/>
      </c>
      <c r="O245">
        <f>IF(J245="","",IF(ISNUMBER(J245),ROUND(J245,2),IFERROR(ROUND(VALUE(SUBSTITUTE(SUBSTITUTE(SUBSTITUTE(J245,"$",""),",","")," ","")),2),"bad")))</f>
        <v/>
      </c>
      <c r="P245">
        <f>IF(TRIM(K245)="","",IFERROR(MATCH(LOWER(TRIM(K245)),'Students'!$AH$2:$AH$701,0),IFERROR(MATCH(LOWER(TRIM(K245)),'Students'!$AF$2:$AF$701,0),IFERROR(MATCH(LOWER(TRIM(K245)),'Students'!$AG$2:$AG$701,0),""))))</f>
        <v/>
      </c>
      <c r="R245">
        <f>IF(P245="","",INDEX('Students'!$AD$2:$AD$701,P245))</f>
        <v/>
      </c>
      <c r="S245">
        <f>IF(H245="OK",O245,0)</f>
        <v/>
      </c>
      <c r="T245">
        <f>IF(H245="OK",N245,"")</f>
        <v/>
      </c>
      <c r="U245">
        <f>IF(OC_Donor=0,"",IF(INDEX('OneCause_Paste'!$A$245:$AZ$245,1,OC_Donor)="","",INDEX('OneCause_Paste'!$A$245:$AZ$245,1,OC_Donor)))</f>
        <v/>
      </c>
    </row>
    <row r="246">
      <c r="A246" s="62">
        <f>IF(H246="","",IF(ISNUMBER(N246),N246,I246))</f>
        <v/>
      </c>
      <c r="B246">
        <f>IF(H246="","",U246)</f>
        <v/>
      </c>
      <c r="C246">
        <f>IF(H246="","",IF(P246="",K246,INDEX('Students'!$A$2:$A$701,P246)))</f>
        <v/>
      </c>
      <c r="D246">
        <f>IF(OR(H246="",P246=""),"",INDEX('Students'!$B$2:$B$701,P246))</f>
        <v/>
      </c>
      <c r="E246">
        <f>IF(OR(H246="",P246=""),"",INDEX('Students'!$C$2:$C$701,P246))</f>
        <v/>
      </c>
      <c r="F246" s="48">
        <f>IF(H246="","",IF(ISNUMBER(O246),O246,J246))</f>
        <v/>
      </c>
      <c r="G246">
        <f>IF(H246="","","OneCause")</f>
        <v/>
      </c>
      <c r="H246">
        <f>IF(AND(I246="",J246="",K246=""),"",IF(NOT(ISNUMBER(O246)),"Bad amount",IF(O246&lt;0,"Refund (not counted)",IF(O246=0,"Zero amount",IF(NOT(ISNUMBER(N246)),"Bad date",IF(P246="","NAME NOT ON ROSTER",IF(L246="","OK",IF(MATCH(L246,$L$2:$L$3001,0)&lt;ROW()-1,"Duplicate (ignored)","OK"))))))))</f>
        <v/>
      </c>
      <c r="I246">
        <f>IF(OC_Date=0,"",IF(INDEX('OneCause_Paste'!$A$246:$AZ$246,1,OC_Date)="","",INDEX('OneCause_Paste'!$A$246:$AZ$246,1,OC_Date)))</f>
        <v/>
      </c>
      <c r="J246">
        <f>IF(OC_Amt=0,"",IF(INDEX('OneCause_Paste'!$A$246:$AZ$246,1,OC_Amt)="","",INDEX('OneCause_Paste'!$A$246:$AZ$246,1,OC_Amt)))</f>
        <v/>
      </c>
      <c r="K246">
        <f>IF(OC_Name=0,"",IF(INDEX('OneCause_Paste'!$A$246:$AZ$246,1,OC_Name)="","",INDEX('OneCause_Paste'!$A$246:$AZ$246,1,OC_Name)))</f>
        <v/>
      </c>
      <c r="L246">
        <f>IF(OC_Txn=0,"",IF(INDEX('OneCause_Paste'!$A$246:$AZ$246,1,OC_Txn)="","",INDEX('OneCause_Paste'!$A$246:$AZ$246,1,OC_Txn)))</f>
        <v/>
      </c>
      <c r="M246">
        <f>IF(OC_Pay=0,"",IF(INDEX('OneCause_Paste'!$A$246:$AZ$246,1,OC_Pay)="","",INDEX('OneCause_Paste'!$A$246:$AZ$246,1,OC_Pay)))</f>
        <v/>
      </c>
      <c r="N246">
        <f>IF(I246="","",IF(ISNUMBER(I246),INT(I246),IFERROR(INT(DATEVALUE(I246)),IFERROR(INT(VALUE(I246)),"bad"))))</f>
        <v/>
      </c>
      <c r="O246">
        <f>IF(J246="","",IF(ISNUMBER(J246),ROUND(J246,2),IFERROR(ROUND(VALUE(SUBSTITUTE(SUBSTITUTE(SUBSTITUTE(J246,"$",""),",","")," ","")),2),"bad")))</f>
        <v/>
      </c>
      <c r="P246">
        <f>IF(TRIM(K246)="","",IFERROR(MATCH(LOWER(TRIM(K246)),'Students'!$AH$2:$AH$701,0),IFERROR(MATCH(LOWER(TRIM(K246)),'Students'!$AF$2:$AF$701,0),IFERROR(MATCH(LOWER(TRIM(K246)),'Students'!$AG$2:$AG$701,0),""))))</f>
        <v/>
      </c>
      <c r="R246">
        <f>IF(P246="","",INDEX('Students'!$AD$2:$AD$701,P246))</f>
        <v/>
      </c>
      <c r="S246">
        <f>IF(H246="OK",O246,0)</f>
        <v/>
      </c>
      <c r="T246">
        <f>IF(H246="OK",N246,"")</f>
        <v/>
      </c>
      <c r="U246">
        <f>IF(OC_Donor=0,"",IF(INDEX('OneCause_Paste'!$A$246:$AZ$246,1,OC_Donor)="","",INDEX('OneCause_Paste'!$A$246:$AZ$246,1,OC_Donor)))</f>
        <v/>
      </c>
    </row>
    <row r="247">
      <c r="A247" s="62">
        <f>IF(H247="","",IF(ISNUMBER(N247),N247,I247))</f>
        <v/>
      </c>
      <c r="B247">
        <f>IF(H247="","",U247)</f>
        <v/>
      </c>
      <c r="C247">
        <f>IF(H247="","",IF(P247="",K247,INDEX('Students'!$A$2:$A$701,P247)))</f>
        <v/>
      </c>
      <c r="D247">
        <f>IF(OR(H247="",P247=""),"",INDEX('Students'!$B$2:$B$701,P247))</f>
        <v/>
      </c>
      <c r="E247">
        <f>IF(OR(H247="",P247=""),"",INDEX('Students'!$C$2:$C$701,P247))</f>
        <v/>
      </c>
      <c r="F247" s="48">
        <f>IF(H247="","",IF(ISNUMBER(O247),O247,J247))</f>
        <v/>
      </c>
      <c r="G247">
        <f>IF(H247="","","OneCause")</f>
        <v/>
      </c>
      <c r="H247">
        <f>IF(AND(I247="",J247="",K247=""),"",IF(NOT(ISNUMBER(O247)),"Bad amount",IF(O247&lt;0,"Refund (not counted)",IF(O247=0,"Zero amount",IF(NOT(ISNUMBER(N247)),"Bad date",IF(P247="","NAME NOT ON ROSTER",IF(L247="","OK",IF(MATCH(L247,$L$2:$L$3001,0)&lt;ROW()-1,"Duplicate (ignored)","OK"))))))))</f>
        <v/>
      </c>
      <c r="I247">
        <f>IF(OC_Date=0,"",IF(INDEX('OneCause_Paste'!$A$247:$AZ$247,1,OC_Date)="","",INDEX('OneCause_Paste'!$A$247:$AZ$247,1,OC_Date)))</f>
        <v/>
      </c>
      <c r="J247">
        <f>IF(OC_Amt=0,"",IF(INDEX('OneCause_Paste'!$A$247:$AZ$247,1,OC_Amt)="","",INDEX('OneCause_Paste'!$A$247:$AZ$247,1,OC_Amt)))</f>
        <v/>
      </c>
      <c r="K247">
        <f>IF(OC_Name=0,"",IF(INDEX('OneCause_Paste'!$A$247:$AZ$247,1,OC_Name)="","",INDEX('OneCause_Paste'!$A$247:$AZ$247,1,OC_Name)))</f>
        <v/>
      </c>
      <c r="L247">
        <f>IF(OC_Txn=0,"",IF(INDEX('OneCause_Paste'!$A$247:$AZ$247,1,OC_Txn)="","",INDEX('OneCause_Paste'!$A$247:$AZ$247,1,OC_Txn)))</f>
        <v/>
      </c>
      <c r="M247">
        <f>IF(OC_Pay=0,"",IF(INDEX('OneCause_Paste'!$A$247:$AZ$247,1,OC_Pay)="","",INDEX('OneCause_Paste'!$A$247:$AZ$247,1,OC_Pay)))</f>
        <v/>
      </c>
      <c r="N247">
        <f>IF(I247="","",IF(ISNUMBER(I247),INT(I247),IFERROR(INT(DATEVALUE(I247)),IFERROR(INT(VALUE(I247)),"bad"))))</f>
        <v/>
      </c>
      <c r="O247">
        <f>IF(J247="","",IF(ISNUMBER(J247),ROUND(J247,2),IFERROR(ROUND(VALUE(SUBSTITUTE(SUBSTITUTE(SUBSTITUTE(J247,"$",""),",","")," ","")),2),"bad")))</f>
        <v/>
      </c>
      <c r="P247">
        <f>IF(TRIM(K247)="","",IFERROR(MATCH(LOWER(TRIM(K247)),'Students'!$AH$2:$AH$701,0),IFERROR(MATCH(LOWER(TRIM(K247)),'Students'!$AF$2:$AF$701,0),IFERROR(MATCH(LOWER(TRIM(K247)),'Students'!$AG$2:$AG$701,0),""))))</f>
        <v/>
      </c>
      <c r="R247">
        <f>IF(P247="","",INDEX('Students'!$AD$2:$AD$701,P247))</f>
        <v/>
      </c>
      <c r="S247">
        <f>IF(H247="OK",O247,0)</f>
        <v/>
      </c>
      <c r="T247">
        <f>IF(H247="OK",N247,"")</f>
        <v/>
      </c>
      <c r="U247">
        <f>IF(OC_Donor=0,"",IF(INDEX('OneCause_Paste'!$A$247:$AZ$247,1,OC_Donor)="","",INDEX('OneCause_Paste'!$A$247:$AZ$247,1,OC_Donor)))</f>
        <v/>
      </c>
    </row>
    <row r="248">
      <c r="A248" s="62">
        <f>IF(H248="","",IF(ISNUMBER(N248),N248,I248))</f>
        <v/>
      </c>
      <c r="B248">
        <f>IF(H248="","",U248)</f>
        <v/>
      </c>
      <c r="C248">
        <f>IF(H248="","",IF(P248="",K248,INDEX('Students'!$A$2:$A$701,P248)))</f>
        <v/>
      </c>
      <c r="D248">
        <f>IF(OR(H248="",P248=""),"",INDEX('Students'!$B$2:$B$701,P248))</f>
        <v/>
      </c>
      <c r="E248">
        <f>IF(OR(H248="",P248=""),"",INDEX('Students'!$C$2:$C$701,P248))</f>
        <v/>
      </c>
      <c r="F248" s="48">
        <f>IF(H248="","",IF(ISNUMBER(O248),O248,J248))</f>
        <v/>
      </c>
      <c r="G248">
        <f>IF(H248="","","OneCause")</f>
        <v/>
      </c>
      <c r="H248">
        <f>IF(AND(I248="",J248="",K248=""),"",IF(NOT(ISNUMBER(O248)),"Bad amount",IF(O248&lt;0,"Refund (not counted)",IF(O248=0,"Zero amount",IF(NOT(ISNUMBER(N248)),"Bad date",IF(P248="","NAME NOT ON ROSTER",IF(L248="","OK",IF(MATCH(L248,$L$2:$L$3001,0)&lt;ROW()-1,"Duplicate (ignored)","OK"))))))))</f>
        <v/>
      </c>
      <c r="I248">
        <f>IF(OC_Date=0,"",IF(INDEX('OneCause_Paste'!$A$248:$AZ$248,1,OC_Date)="","",INDEX('OneCause_Paste'!$A$248:$AZ$248,1,OC_Date)))</f>
        <v/>
      </c>
      <c r="J248">
        <f>IF(OC_Amt=0,"",IF(INDEX('OneCause_Paste'!$A$248:$AZ$248,1,OC_Amt)="","",INDEX('OneCause_Paste'!$A$248:$AZ$248,1,OC_Amt)))</f>
        <v/>
      </c>
      <c r="K248">
        <f>IF(OC_Name=0,"",IF(INDEX('OneCause_Paste'!$A$248:$AZ$248,1,OC_Name)="","",INDEX('OneCause_Paste'!$A$248:$AZ$248,1,OC_Name)))</f>
        <v/>
      </c>
      <c r="L248">
        <f>IF(OC_Txn=0,"",IF(INDEX('OneCause_Paste'!$A$248:$AZ$248,1,OC_Txn)="","",INDEX('OneCause_Paste'!$A$248:$AZ$248,1,OC_Txn)))</f>
        <v/>
      </c>
      <c r="M248">
        <f>IF(OC_Pay=0,"",IF(INDEX('OneCause_Paste'!$A$248:$AZ$248,1,OC_Pay)="","",INDEX('OneCause_Paste'!$A$248:$AZ$248,1,OC_Pay)))</f>
        <v/>
      </c>
      <c r="N248">
        <f>IF(I248="","",IF(ISNUMBER(I248),INT(I248),IFERROR(INT(DATEVALUE(I248)),IFERROR(INT(VALUE(I248)),"bad"))))</f>
        <v/>
      </c>
      <c r="O248">
        <f>IF(J248="","",IF(ISNUMBER(J248),ROUND(J248,2),IFERROR(ROUND(VALUE(SUBSTITUTE(SUBSTITUTE(SUBSTITUTE(J248,"$",""),",","")," ","")),2),"bad")))</f>
        <v/>
      </c>
      <c r="P248">
        <f>IF(TRIM(K248)="","",IFERROR(MATCH(LOWER(TRIM(K248)),'Students'!$AH$2:$AH$701,0),IFERROR(MATCH(LOWER(TRIM(K248)),'Students'!$AF$2:$AF$701,0),IFERROR(MATCH(LOWER(TRIM(K248)),'Students'!$AG$2:$AG$701,0),""))))</f>
        <v/>
      </c>
      <c r="R248">
        <f>IF(P248="","",INDEX('Students'!$AD$2:$AD$701,P248))</f>
        <v/>
      </c>
      <c r="S248">
        <f>IF(H248="OK",O248,0)</f>
        <v/>
      </c>
      <c r="T248">
        <f>IF(H248="OK",N248,"")</f>
        <v/>
      </c>
      <c r="U248">
        <f>IF(OC_Donor=0,"",IF(INDEX('OneCause_Paste'!$A$248:$AZ$248,1,OC_Donor)="","",INDEX('OneCause_Paste'!$A$248:$AZ$248,1,OC_Donor)))</f>
        <v/>
      </c>
    </row>
    <row r="249">
      <c r="A249" s="62">
        <f>IF(H249="","",IF(ISNUMBER(N249),N249,I249))</f>
        <v/>
      </c>
      <c r="B249">
        <f>IF(H249="","",U249)</f>
        <v/>
      </c>
      <c r="C249">
        <f>IF(H249="","",IF(P249="",K249,INDEX('Students'!$A$2:$A$701,P249)))</f>
        <v/>
      </c>
      <c r="D249">
        <f>IF(OR(H249="",P249=""),"",INDEX('Students'!$B$2:$B$701,P249))</f>
        <v/>
      </c>
      <c r="E249">
        <f>IF(OR(H249="",P249=""),"",INDEX('Students'!$C$2:$C$701,P249))</f>
        <v/>
      </c>
      <c r="F249" s="48">
        <f>IF(H249="","",IF(ISNUMBER(O249),O249,J249))</f>
        <v/>
      </c>
      <c r="G249">
        <f>IF(H249="","","OneCause")</f>
        <v/>
      </c>
      <c r="H249">
        <f>IF(AND(I249="",J249="",K249=""),"",IF(NOT(ISNUMBER(O249)),"Bad amount",IF(O249&lt;0,"Refund (not counted)",IF(O249=0,"Zero amount",IF(NOT(ISNUMBER(N249)),"Bad date",IF(P249="","NAME NOT ON ROSTER",IF(L249="","OK",IF(MATCH(L249,$L$2:$L$3001,0)&lt;ROW()-1,"Duplicate (ignored)","OK"))))))))</f>
        <v/>
      </c>
      <c r="I249">
        <f>IF(OC_Date=0,"",IF(INDEX('OneCause_Paste'!$A$249:$AZ$249,1,OC_Date)="","",INDEX('OneCause_Paste'!$A$249:$AZ$249,1,OC_Date)))</f>
        <v/>
      </c>
      <c r="J249">
        <f>IF(OC_Amt=0,"",IF(INDEX('OneCause_Paste'!$A$249:$AZ$249,1,OC_Amt)="","",INDEX('OneCause_Paste'!$A$249:$AZ$249,1,OC_Amt)))</f>
        <v/>
      </c>
      <c r="K249">
        <f>IF(OC_Name=0,"",IF(INDEX('OneCause_Paste'!$A$249:$AZ$249,1,OC_Name)="","",INDEX('OneCause_Paste'!$A$249:$AZ$249,1,OC_Name)))</f>
        <v/>
      </c>
      <c r="L249">
        <f>IF(OC_Txn=0,"",IF(INDEX('OneCause_Paste'!$A$249:$AZ$249,1,OC_Txn)="","",INDEX('OneCause_Paste'!$A$249:$AZ$249,1,OC_Txn)))</f>
        <v/>
      </c>
      <c r="M249">
        <f>IF(OC_Pay=0,"",IF(INDEX('OneCause_Paste'!$A$249:$AZ$249,1,OC_Pay)="","",INDEX('OneCause_Paste'!$A$249:$AZ$249,1,OC_Pay)))</f>
        <v/>
      </c>
      <c r="N249">
        <f>IF(I249="","",IF(ISNUMBER(I249),INT(I249),IFERROR(INT(DATEVALUE(I249)),IFERROR(INT(VALUE(I249)),"bad"))))</f>
        <v/>
      </c>
      <c r="O249">
        <f>IF(J249="","",IF(ISNUMBER(J249),ROUND(J249,2),IFERROR(ROUND(VALUE(SUBSTITUTE(SUBSTITUTE(SUBSTITUTE(J249,"$",""),",","")," ","")),2),"bad")))</f>
        <v/>
      </c>
      <c r="P249">
        <f>IF(TRIM(K249)="","",IFERROR(MATCH(LOWER(TRIM(K249)),'Students'!$AH$2:$AH$701,0),IFERROR(MATCH(LOWER(TRIM(K249)),'Students'!$AF$2:$AF$701,0),IFERROR(MATCH(LOWER(TRIM(K249)),'Students'!$AG$2:$AG$701,0),""))))</f>
        <v/>
      </c>
      <c r="R249">
        <f>IF(P249="","",INDEX('Students'!$AD$2:$AD$701,P249))</f>
        <v/>
      </c>
      <c r="S249">
        <f>IF(H249="OK",O249,0)</f>
        <v/>
      </c>
      <c r="T249">
        <f>IF(H249="OK",N249,"")</f>
        <v/>
      </c>
      <c r="U249">
        <f>IF(OC_Donor=0,"",IF(INDEX('OneCause_Paste'!$A$249:$AZ$249,1,OC_Donor)="","",INDEX('OneCause_Paste'!$A$249:$AZ$249,1,OC_Donor)))</f>
        <v/>
      </c>
    </row>
    <row r="250">
      <c r="A250" s="62">
        <f>IF(H250="","",IF(ISNUMBER(N250),N250,I250))</f>
        <v/>
      </c>
      <c r="B250">
        <f>IF(H250="","",U250)</f>
        <v/>
      </c>
      <c r="C250">
        <f>IF(H250="","",IF(P250="",K250,INDEX('Students'!$A$2:$A$701,P250)))</f>
        <v/>
      </c>
      <c r="D250">
        <f>IF(OR(H250="",P250=""),"",INDEX('Students'!$B$2:$B$701,P250))</f>
        <v/>
      </c>
      <c r="E250">
        <f>IF(OR(H250="",P250=""),"",INDEX('Students'!$C$2:$C$701,P250))</f>
        <v/>
      </c>
      <c r="F250" s="48">
        <f>IF(H250="","",IF(ISNUMBER(O250),O250,J250))</f>
        <v/>
      </c>
      <c r="G250">
        <f>IF(H250="","","OneCause")</f>
        <v/>
      </c>
      <c r="H250">
        <f>IF(AND(I250="",J250="",K250=""),"",IF(NOT(ISNUMBER(O250)),"Bad amount",IF(O250&lt;0,"Refund (not counted)",IF(O250=0,"Zero amount",IF(NOT(ISNUMBER(N250)),"Bad date",IF(P250="","NAME NOT ON ROSTER",IF(L250="","OK",IF(MATCH(L250,$L$2:$L$3001,0)&lt;ROW()-1,"Duplicate (ignored)","OK"))))))))</f>
        <v/>
      </c>
      <c r="I250">
        <f>IF(OC_Date=0,"",IF(INDEX('OneCause_Paste'!$A$250:$AZ$250,1,OC_Date)="","",INDEX('OneCause_Paste'!$A$250:$AZ$250,1,OC_Date)))</f>
        <v/>
      </c>
      <c r="J250">
        <f>IF(OC_Amt=0,"",IF(INDEX('OneCause_Paste'!$A$250:$AZ$250,1,OC_Amt)="","",INDEX('OneCause_Paste'!$A$250:$AZ$250,1,OC_Amt)))</f>
        <v/>
      </c>
      <c r="K250">
        <f>IF(OC_Name=0,"",IF(INDEX('OneCause_Paste'!$A$250:$AZ$250,1,OC_Name)="","",INDEX('OneCause_Paste'!$A$250:$AZ$250,1,OC_Name)))</f>
        <v/>
      </c>
      <c r="L250">
        <f>IF(OC_Txn=0,"",IF(INDEX('OneCause_Paste'!$A$250:$AZ$250,1,OC_Txn)="","",INDEX('OneCause_Paste'!$A$250:$AZ$250,1,OC_Txn)))</f>
        <v/>
      </c>
      <c r="M250">
        <f>IF(OC_Pay=0,"",IF(INDEX('OneCause_Paste'!$A$250:$AZ$250,1,OC_Pay)="","",INDEX('OneCause_Paste'!$A$250:$AZ$250,1,OC_Pay)))</f>
        <v/>
      </c>
      <c r="N250">
        <f>IF(I250="","",IF(ISNUMBER(I250),INT(I250),IFERROR(INT(DATEVALUE(I250)),IFERROR(INT(VALUE(I250)),"bad"))))</f>
        <v/>
      </c>
      <c r="O250">
        <f>IF(J250="","",IF(ISNUMBER(J250),ROUND(J250,2),IFERROR(ROUND(VALUE(SUBSTITUTE(SUBSTITUTE(SUBSTITUTE(J250,"$",""),",","")," ","")),2),"bad")))</f>
        <v/>
      </c>
      <c r="P250">
        <f>IF(TRIM(K250)="","",IFERROR(MATCH(LOWER(TRIM(K250)),'Students'!$AH$2:$AH$701,0),IFERROR(MATCH(LOWER(TRIM(K250)),'Students'!$AF$2:$AF$701,0),IFERROR(MATCH(LOWER(TRIM(K250)),'Students'!$AG$2:$AG$701,0),""))))</f>
        <v/>
      </c>
      <c r="R250">
        <f>IF(P250="","",INDEX('Students'!$AD$2:$AD$701,P250))</f>
        <v/>
      </c>
      <c r="S250">
        <f>IF(H250="OK",O250,0)</f>
        <v/>
      </c>
      <c r="T250">
        <f>IF(H250="OK",N250,"")</f>
        <v/>
      </c>
      <c r="U250">
        <f>IF(OC_Donor=0,"",IF(INDEX('OneCause_Paste'!$A$250:$AZ$250,1,OC_Donor)="","",INDEX('OneCause_Paste'!$A$250:$AZ$250,1,OC_Donor)))</f>
        <v/>
      </c>
    </row>
    <row r="251">
      <c r="A251" s="62">
        <f>IF(H251="","",IF(ISNUMBER(N251),N251,I251))</f>
        <v/>
      </c>
      <c r="B251">
        <f>IF(H251="","",U251)</f>
        <v/>
      </c>
      <c r="C251">
        <f>IF(H251="","",IF(P251="",K251,INDEX('Students'!$A$2:$A$701,P251)))</f>
        <v/>
      </c>
      <c r="D251">
        <f>IF(OR(H251="",P251=""),"",INDEX('Students'!$B$2:$B$701,P251))</f>
        <v/>
      </c>
      <c r="E251">
        <f>IF(OR(H251="",P251=""),"",INDEX('Students'!$C$2:$C$701,P251))</f>
        <v/>
      </c>
      <c r="F251" s="48">
        <f>IF(H251="","",IF(ISNUMBER(O251),O251,J251))</f>
        <v/>
      </c>
      <c r="G251">
        <f>IF(H251="","","OneCause")</f>
        <v/>
      </c>
      <c r="H251">
        <f>IF(AND(I251="",J251="",K251=""),"",IF(NOT(ISNUMBER(O251)),"Bad amount",IF(O251&lt;0,"Refund (not counted)",IF(O251=0,"Zero amount",IF(NOT(ISNUMBER(N251)),"Bad date",IF(P251="","NAME NOT ON ROSTER",IF(L251="","OK",IF(MATCH(L251,$L$2:$L$3001,0)&lt;ROW()-1,"Duplicate (ignored)","OK"))))))))</f>
        <v/>
      </c>
      <c r="I251">
        <f>IF(OC_Date=0,"",IF(INDEX('OneCause_Paste'!$A$251:$AZ$251,1,OC_Date)="","",INDEX('OneCause_Paste'!$A$251:$AZ$251,1,OC_Date)))</f>
        <v/>
      </c>
      <c r="J251">
        <f>IF(OC_Amt=0,"",IF(INDEX('OneCause_Paste'!$A$251:$AZ$251,1,OC_Amt)="","",INDEX('OneCause_Paste'!$A$251:$AZ$251,1,OC_Amt)))</f>
        <v/>
      </c>
      <c r="K251">
        <f>IF(OC_Name=0,"",IF(INDEX('OneCause_Paste'!$A$251:$AZ$251,1,OC_Name)="","",INDEX('OneCause_Paste'!$A$251:$AZ$251,1,OC_Name)))</f>
        <v/>
      </c>
      <c r="L251">
        <f>IF(OC_Txn=0,"",IF(INDEX('OneCause_Paste'!$A$251:$AZ$251,1,OC_Txn)="","",INDEX('OneCause_Paste'!$A$251:$AZ$251,1,OC_Txn)))</f>
        <v/>
      </c>
      <c r="M251">
        <f>IF(OC_Pay=0,"",IF(INDEX('OneCause_Paste'!$A$251:$AZ$251,1,OC_Pay)="","",INDEX('OneCause_Paste'!$A$251:$AZ$251,1,OC_Pay)))</f>
        <v/>
      </c>
      <c r="N251">
        <f>IF(I251="","",IF(ISNUMBER(I251),INT(I251),IFERROR(INT(DATEVALUE(I251)),IFERROR(INT(VALUE(I251)),"bad"))))</f>
        <v/>
      </c>
      <c r="O251">
        <f>IF(J251="","",IF(ISNUMBER(J251),ROUND(J251,2),IFERROR(ROUND(VALUE(SUBSTITUTE(SUBSTITUTE(SUBSTITUTE(J251,"$",""),",","")," ","")),2),"bad")))</f>
        <v/>
      </c>
      <c r="P251">
        <f>IF(TRIM(K251)="","",IFERROR(MATCH(LOWER(TRIM(K251)),'Students'!$AH$2:$AH$701,0),IFERROR(MATCH(LOWER(TRIM(K251)),'Students'!$AF$2:$AF$701,0),IFERROR(MATCH(LOWER(TRIM(K251)),'Students'!$AG$2:$AG$701,0),""))))</f>
        <v/>
      </c>
      <c r="R251">
        <f>IF(P251="","",INDEX('Students'!$AD$2:$AD$701,P251))</f>
        <v/>
      </c>
      <c r="S251">
        <f>IF(H251="OK",O251,0)</f>
        <v/>
      </c>
      <c r="T251">
        <f>IF(H251="OK",N251,"")</f>
        <v/>
      </c>
      <c r="U251">
        <f>IF(OC_Donor=0,"",IF(INDEX('OneCause_Paste'!$A$251:$AZ$251,1,OC_Donor)="","",INDEX('OneCause_Paste'!$A$251:$AZ$251,1,OC_Donor)))</f>
        <v/>
      </c>
    </row>
    <row r="252">
      <c r="A252" s="62">
        <f>IF(H252="","",IF(ISNUMBER(N252),N252,I252))</f>
        <v/>
      </c>
      <c r="B252">
        <f>IF(H252="","",U252)</f>
        <v/>
      </c>
      <c r="C252">
        <f>IF(H252="","",IF(P252="",K252,INDEX('Students'!$A$2:$A$701,P252)))</f>
        <v/>
      </c>
      <c r="D252">
        <f>IF(OR(H252="",P252=""),"",INDEX('Students'!$B$2:$B$701,P252))</f>
        <v/>
      </c>
      <c r="E252">
        <f>IF(OR(H252="",P252=""),"",INDEX('Students'!$C$2:$C$701,P252))</f>
        <v/>
      </c>
      <c r="F252" s="48">
        <f>IF(H252="","",IF(ISNUMBER(O252),O252,J252))</f>
        <v/>
      </c>
      <c r="G252">
        <f>IF(H252="","","OneCause")</f>
        <v/>
      </c>
      <c r="H252">
        <f>IF(AND(I252="",J252="",K252=""),"",IF(NOT(ISNUMBER(O252)),"Bad amount",IF(O252&lt;0,"Refund (not counted)",IF(O252=0,"Zero amount",IF(NOT(ISNUMBER(N252)),"Bad date",IF(P252="","NAME NOT ON ROSTER",IF(L252="","OK",IF(MATCH(L252,$L$2:$L$3001,0)&lt;ROW()-1,"Duplicate (ignored)","OK"))))))))</f>
        <v/>
      </c>
      <c r="I252">
        <f>IF(OC_Date=0,"",IF(INDEX('OneCause_Paste'!$A$252:$AZ$252,1,OC_Date)="","",INDEX('OneCause_Paste'!$A$252:$AZ$252,1,OC_Date)))</f>
        <v/>
      </c>
      <c r="J252">
        <f>IF(OC_Amt=0,"",IF(INDEX('OneCause_Paste'!$A$252:$AZ$252,1,OC_Amt)="","",INDEX('OneCause_Paste'!$A$252:$AZ$252,1,OC_Amt)))</f>
        <v/>
      </c>
      <c r="K252">
        <f>IF(OC_Name=0,"",IF(INDEX('OneCause_Paste'!$A$252:$AZ$252,1,OC_Name)="","",INDEX('OneCause_Paste'!$A$252:$AZ$252,1,OC_Name)))</f>
        <v/>
      </c>
      <c r="L252">
        <f>IF(OC_Txn=0,"",IF(INDEX('OneCause_Paste'!$A$252:$AZ$252,1,OC_Txn)="","",INDEX('OneCause_Paste'!$A$252:$AZ$252,1,OC_Txn)))</f>
        <v/>
      </c>
      <c r="M252">
        <f>IF(OC_Pay=0,"",IF(INDEX('OneCause_Paste'!$A$252:$AZ$252,1,OC_Pay)="","",INDEX('OneCause_Paste'!$A$252:$AZ$252,1,OC_Pay)))</f>
        <v/>
      </c>
      <c r="N252">
        <f>IF(I252="","",IF(ISNUMBER(I252),INT(I252),IFERROR(INT(DATEVALUE(I252)),IFERROR(INT(VALUE(I252)),"bad"))))</f>
        <v/>
      </c>
      <c r="O252">
        <f>IF(J252="","",IF(ISNUMBER(J252),ROUND(J252,2),IFERROR(ROUND(VALUE(SUBSTITUTE(SUBSTITUTE(SUBSTITUTE(J252,"$",""),",","")," ","")),2),"bad")))</f>
        <v/>
      </c>
      <c r="P252">
        <f>IF(TRIM(K252)="","",IFERROR(MATCH(LOWER(TRIM(K252)),'Students'!$AH$2:$AH$701,0),IFERROR(MATCH(LOWER(TRIM(K252)),'Students'!$AF$2:$AF$701,0),IFERROR(MATCH(LOWER(TRIM(K252)),'Students'!$AG$2:$AG$701,0),""))))</f>
        <v/>
      </c>
      <c r="R252">
        <f>IF(P252="","",INDEX('Students'!$AD$2:$AD$701,P252))</f>
        <v/>
      </c>
      <c r="S252">
        <f>IF(H252="OK",O252,0)</f>
        <v/>
      </c>
      <c r="T252">
        <f>IF(H252="OK",N252,"")</f>
        <v/>
      </c>
      <c r="U252">
        <f>IF(OC_Donor=0,"",IF(INDEX('OneCause_Paste'!$A$252:$AZ$252,1,OC_Donor)="","",INDEX('OneCause_Paste'!$A$252:$AZ$252,1,OC_Donor)))</f>
        <v/>
      </c>
    </row>
    <row r="253">
      <c r="A253" s="62">
        <f>IF(H253="","",IF(ISNUMBER(N253),N253,I253))</f>
        <v/>
      </c>
      <c r="B253">
        <f>IF(H253="","",U253)</f>
        <v/>
      </c>
      <c r="C253">
        <f>IF(H253="","",IF(P253="",K253,INDEX('Students'!$A$2:$A$701,P253)))</f>
        <v/>
      </c>
      <c r="D253">
        <f>IF(OR(H253="",P253=""),"",INDEX('Students'!$B$2:$B$701,P253))</f>
        <v/>
      </c>
      <c r="E253">
        <f>IF(OR(H253="",P253=""),"",INDEX('Students'!$C$2:$C$701,P253))</f>
        <v/>
      </c>
      <c r="F253" s="48">
        <f>IF(H253="","",IF(ISNUMBER(O253),O253,J253))</f>
        <v/>
      </c>
      <c r="G253">
        <f>IF(H253="","","OneCause")</f>
        <v/>
      </c>
      <c r="H253">
        <f>IF(AND(I253="",J253="",K253=""),"",IF(NOT(ISNUMBER(O253)),"Bad amount",IF(O253&lt;0,"Refund (not counted)",IF(O253=0,"Zero amount",IF(NOT(ISNUMBER(N253)),"Bad date",IF(P253="","NAME NOT ON ROSTER",IF(L253="","OK",IF(MATCH(L253,$L$2:$L$3001,0)&lt;ROW()-1,"Duplicate (ignored)","OK"))))))))</f>
        <v/>
      </c>
      <c r="I253">
        <f>IF(OC_Date=0,"",IF(INDEX('OneCause_Paste'!$A$253:$AZ$253,1,OC_Date)="","",INDEX('OneCause_Paste'!$A$253:$AZ$253,1,OC_Date)))</f>
        <v/>
      </c>
      <c r="J253">
        <f>IF(OC_Amt=0,"",IF(INDEX('OneCause_Paste'!$A$253:$AZ$253,1,OC_Amt)="","",INDEX('OneCause_Paste'!$A$253:$AZ$253,1,OC_Amt)))</f>
        <v/>
      </c>
      <c r="K253">
        <f>IF(OC_Name=0,"",IF(INDEX('OneCause_Paste'!$A$253:$AZ$253,1,OC_Name)="","",INDEX('OneCause_Paste'!$A$253:$AZ$253,1,OC_Name)))</f>
        <v/>
      </c>
      <c r="L253">
        <f>IF(OC_Txn=0,"",IF(INDEX('OneCause_Paste'!$A$253:$AZ$253,1,OC_Txn)="","",INDEX('OneCause_Paste'!$A$253:$AZ$253,1,OC_Txn)))</f>
        <v/>
      </c>
      <c r="M253">
        <f>IF(OC_Pay=0,"",IF(INDEX('OneCause_Paste'!$A$253:$AZ$253,1,OC_Pay)="","",INDEX('OneCause_Paste'!$A$253:$AZ$253,1,OC_Pay)))</f>
        <v/>
      </c>
      <c r="N253">
        <f>IF(I253="","",IF(ISNUMBER(I253),INT(I253),IFERROR(INT(DATEVALUE(I253)),IFERROR(INT(VALUE(I253)),"bad"))))</f>
        <v/>
      </c>
      <c r="O253">
        <f>IF(J253="","",IF(ISNUMBER(J253),ROUND(J253,2),IFERROR(ROUND(VALUE(SUBSTITUTE(SUBSTITUTE(SUBSTITUTE(J253,"$",""),",","")," ","")),2),"bad")))</f>
        <v/>
      </c>
      <c r="P253">
        <f>IF(TRIM(K253)="","",IFERROR(MATCH(LOWER(TRIM(K253)),'Students'!$AH$2:$AH$701,0),IFERROR(MATCH(LOWER(TRIM(K253)),'Students'!$AF$2:$AF$701,0),IFERROR(MATCH(LOWER(TRIM(K253)),'Students'!$AG$2:$AG$701,0),""))))</f>
        <v/>
      </c>
      <c r="R253">
        <f>IF(P253="","",INDEX('Students'!$AD$2:$AD$701,P253))</f>
        <v/>
      </c>
      <c r="S253">
        <f>IF(H253="OK",O253,0)</f>
        <v/>
      </c>
      <c r="T253">
        <f>IF(H253="OK",N253,"")</f>
        <v/>
      </c>
      <c r="U253">
        <f>IF(OC_Donor=0,"",IF(INDEX('OneCause_Paste'!$A$253:$AZ$253,1,OC_Donor)="","",INDEX('OneCause_Paste'!$A$253:$AZ$253,1,OC_Donor)))</f>
        <v/>
      </c>
    </row>
    <row r="254">
      <c r="A254" s="62">
        <f>IF(H254="","",IF(ISNUMBER(N254),N254,I254))</f>
        <v/>
      </c>
      <c r="B254">
        <f>IF(H254="","",U254)</f>
        <v/>
      </c>
      <c r="C254">
        <f>IF(H254="","",IF(P254="",K254,INDEX('Students'!$A$2:$A$701,P254)))</f>
        <v/>
      </c>
      <c r="D254">
        <f>IF(OR(H254="",P254=""),"",INDEX('Students'!$B$2:$B$701,P254))</f>
        <v/>
      </c>
      <c r="E254">
        <f>IF(OR(H254="",P254=""),"",INDEX('Students'!$C$2:$C$701,P254))</f>
        <v/>
      </c>
      <c r="F254" s="48">
        <f>IF(H254="","",IF(ISNUMBER(O254),O254,J254))</f>
        <v/>
      </c>
      <c r="G254">
        <f>IF(H254="","","OneCause")</f>
        <v/>
      </c>
      <c r="H254">
        <f>IF(AND(I254="",J254="",K254=""),"",IF(NOT(ISNUMBER(O254)),"Bad amount",IF(O254&lt;0,"Refund (not counted)",IF(O254=0,"Zero amount",IF(NOT(ISNUMBER(N254)),"Bad date",IF(P254="","NAME NOT ON ROSTER",IF(L254="","OK",IF(MATCH(L254,$L$2:$L$3001,0)&lt;ROW()-1,"Duplicate (ignored)","OK"))))))))</f>
        <v/>
      </c>
      <c r="I254">
        <f>IF(OC_Date=0,"",IF(INDEX('OneCause_Paste'!$A$254:$AZ$254,1,OC_Date)="","",INDEX('OneCause_Paste'!$A$254:$AZ$254,1,OC_Date)))</f>
        <v/>
      </c>
      <c r="J254">
        <f>IF(OC_Amt=0,"",IF(INDEX('OneCause_Paste'!$A$254:$AZ$254,1,OC_Amt)="","",INDEX('OneCause_Paste'!$A$254:$AZ$254,1,OC_Amt)))</f>
        <v/>
      </c>
      <c r="K254">
        <f>IF(OC_Name=0,"",IF(INDEX('OneCause_Paste'!$A$254:$AZ$254,1,OC_Name)="","",INDEX('OneCause_Paste'!$A$254:$AZ$254,1,OC_Name)))</f>
        <v/>
      </c>
      <c r="L254">
        <f>IF(OC_Txn=0,"",IF(INDEX('OneCause_Paste'!$A$254:$AZ$254,1,OC_Txn)="","",INDEX('OneCause_Paste'!$A$254:$AZ$254,1,OC_Txn)))</f>
        <v/>
      </c>
      <c r="M254">
        <f>IF(OC_Pay=0,"",IF(INDEX('OneCause_Paste'!$A$254:$AZ$254,1,OC_Pay)="","",INDEX('OneCause_Paste'!$A$254:$AZ$254,1,OC_Pay)))</f>
        <v/>
      </c>
      <c r="N254">
        <f>IF(I254="","",IF(ISNUMBER(I254),INT(I254),IFERROR(INT(DATEVALUE(I254)),IFERROR(INT(VALUE(I254)),"bad"))))</f>
        <v/>
      </c>
      <c r="O254">
        <f>IF(J254="","",IF(ISNUMBER(J254),ROUND(J254,2),IFERROR(ROUND(VALUE(SUBSTITUTE(SUBSTITUTE(SUBSTITUTE(J254,"$",""),",","")," ","")),2),"bad")))</f>
        <v/>
      </c>
      <c r="P254">
        <f>IF(TRIM(K254)="","",IFERROR(MATCH(LOWER(TRIM(K254)),'Students'!$AH$2:$AH$701,0),IFERROR(MATCH(LOWER(TRIM(K254)),'Students'!$AF$2:$AF$701,0),IFERROR(MATCH(LOWER(TRIM(K254)),'Students'!$AG$2:$AG$701,0),""))))</f>
        <v/>
      </c>
      <c r="R254">
        <f>IF(P254="","",INDEX('Students'!$AD$2:$AD$701,P254))</f>
        <v/>
      </c>
      <c r="S254">
        <f>IF(H254="OK",O254,0)</f>
        <v/>
      </c>
      <c r="T254">
        <f>IF(H254="OK",N254,"")</f>
        <v/>
      </c>
      <c r="U254">
        <f>IF(OC_Donor=0,"",IF(INDEX('OneCause_Paste'!$A$254:$AZ$254,1,OC_Donor)="","",INDEX('OneCause_Paste'!$A$254:$AZ$254,1,OC_Donor)))</f>
        <v/>
      </c>
    </row>
    <row r="255">
      <c r="A255" s="62">
        <f>IF(H255="","",IF(ISNUMBER(N255),N255,I255))</f>
        <v/>
      </c>
      <c r="B255">
        <f>IF(H255="","",U255)</f>
        <v/>
      </c>
      <c r="C255">
        <f>IF(H255="","",IF(P255="",K255,INDEX('Students'!$A$2:$A$701,P255)))</f>
        <v/>
      </c>
      <c r="D255">
        <f>IF(OR(H255="",P255=""),"",INDEX('Students'!$B$2:$B$701,P255))</f>
        <v/>
      </c>
      <c r="E255">
        <f>IF(OR(H255="",P255=""),"",INDEX('Students'!$C$2:$C$701,P255))</f>
        <v/>
      </c>
      <c r="F255" s="48">
        <f>IF(H255="","",IF(ISNUMBER(O255),O255,J255))</f>
        <v/>
      </c>
      <c r="G255">
        <f>IF(H255="","","OneCause")</f>
        <v/>
      </c>
      <c r="H255">
        <f>IF(AND(I255="",J255="",K255=""),"",IF(NOT(ISNUMBER(O255)),"Bad amount",IF(O255&lt;0,"Refund (not counted)",IF(O255=0,"Zero amount",IF(NOT(ISNUMBER(N255)),"Bad date",IF(P255="","NAME NOT ON ROSTER",IF(L255="","OK",IF(MATCH(L255,$L$2:$L$3001,0)&lt;ROW()-1,"Duplicate (ignored)","OK"))))))))</f>
        <v/>
      </c>
      <c r="I255">
        <f>IF(OC_Date=0,"",IF(INDEX('OneCause_Paste'!$A$255:$AZ$255,1,OC_Date)="","",INDEX('OneCause_Paste'!$A$255:$AZ$255,1,OC_Date)))</f>
        <v/>
      </c>
      <c r="J255">
        <f>IF(OC_Amt=0,"",IF(INDEX('OneCause_Paste'!$A$255:$AZ$255,1,OC_Amt)="","",INDEX('OneCause_Paste'!$A$255:$AZ$255,1,OC_Amt)))</f>
        <v/>
      </c>
      <c r="K255">
        <f>IF(OC_Name=0,"",IF(INDEX('OneCause_Paste'!$A$255:$AZ$255,1,OC_Name)="","",INDEX('OneCause_Paste'!$A$255:$AZ$255,1,OC_Name)))</f>
        <v/>
      </c>
      <c r="L255">
        <f>IF(OC_Txn=0,"",IF(INDEX('OneCause_Paste'!$A$255:$AZ$255,1,OC_Txn)="","",INDEX('OneCause_Paste'!$A$255:$AZ$255,1,OC_Txn)))</f>
        <v/>
      </c>
      <c r="M255">
        <f>IF(OC_Pay=0,"",IF(INDEX('OneCause_Paste'!$A$255:$AZ$255,1,OC_Pay)="","",INDEX('OneCause_Paste'!$A$255:$AZ$255,1,OC_Pay)))</f>
        <v/>
      </c>
      <c r="N255">
        <f>IF(I255="","",IF(ISNUMBER(I255),INT(I255),IFERROR(INT(DATEVALUE(I255)),IFERROR(INT(VALUE(I255)),"bad"))))</f>
        <v/>
      </c>
      <c r="O255">
        <f>IF(J255="","",IF(ISNUMBER(J255),ROUND(J255,2),IFERROR(ROUND(VALUE(SUBSTITUTE(SUBSTITUTE(SUBSTITUTE(J255,"$",""),",","")," ","")),2),"bad")))</f>
        <v/>
      </c>
      <c r="P255">
        <f>IF(TRIM(K255)="","",IFERROR(MATCH(LOWER(TRIM(K255)),'Students'!$AH$2:$AH$701,0),IFERROR(MATCH(LOWER(TRIM(K255)),'Students'!$AF$2:$AF$701,0),IFERROR(MATCH(LOWER(TRIM(K255)),'Students'!$AG$2:$AG$701,0),""))))</f>
        <v/>
      </c>
      <c r="R255">
        <f>IF(P255="","",INDEX('Students'!$AD$2:$AD$701,P255))</f>
        <v/>
      </c>
      <c r="S255">
        <f>IF(H255="OK",O255,0)</f>
        <v/>
      </c>
      <c r="T255">
        <f>IF(H255="OK",N255,"")</f>
        <v/>
      </c>
      <c r="U255">
        <f>IF(OC_Donor=0,"",IF(INDEX('OneCause_Paste'!$A$255:$AZ$255,1,OC_Donor)="","",INDEX('OneCause_Paste'!$A$255:$AZ$255,1,OC_Donor)))</f>
        <v/>
      </c>
    </row>
    <row r="256">
      <c r="A256" s="62">
        <f>IF(H256="","",IF(ISNUMBER(N256),N256,I256))</f>
        <v/>
      </c>
      <c r="B256">
        <f>IF(H256="","",U256)</f>
        <v/>
      </c>
      <c r="C256">
        <f>IF(H256="","",IF(P256="",K256,INDEX('Students'!$A$2:$A$701,P256)))</f>
        <v/>
      </c>
      <c r="D256">
        <f>IF(OR(H256="",P256=""),"",INDEX('Students'!$B$2:$B$701,P256))</f>
        <v/>
      </c>
      <c r="E256">
        <f>IF(OR(H256="",P256=""),"",INDEX('Students'!$C$2:$C$701,P256))</f>
        <v/>
      </c>
      <c r="F256" s="48">
        <f>IF(H256="","",IF(ISNUMBER(O256),O256,J256))</f>
        <v/>
      </c>
      <c r="G256">
        <f>IF(H256="","","OneCause")</f>
        <v/>
      </c>
      <c r="H256">
        <f>IF(AND(I256="",J256="",K256=""),"",IF(NOT(ISNUMBER(O256)),"Bad amount",IF(O256&lt;0,"Refund (not counted)",IF(O256=0,"Zero amount",IF(NOT(ISNUMBER(N256)),"Bad date",IF(P256="","NAME NOT ON ROSTER",IF(L256="","OK",IF(MATCH(L256,$L$2:$L$3001,0)&lt;ROW()-1,"Duplicate (ignored)","OK"))))))))</f>
        <v/>
      </c>
      <c r="I256">
        <f>IF(OC_Date=0,"",IF(INDEX('OneCause_Paste'!$A$256:$AZ$256,1,OC_Date)="","",INDEX('OneCause_Paste'!$A$256:$AZ$256,1,OC_Date)))</f>
        <v/>
      </c>
      <c r="J256">
        <f>IF(OC_Amt=0,"",IF(INDEX('OneCause_Paste'!$A$256:$AZ$256,1,OC_Amt)="","",INDEX('OneCause_Paste'!$A$256:$AZ$256,1,OC_Amt)))</f>
        <v/>
      </c>
      <c r="K256">
        <f>IF(OC_Name=0,"",IF(INDEX('OneCause_Paste'!$A$256:$AZ$256,1,OC_Name)="","",INDEX('OneCause_Paste'!$A$256:$AZ$256,1,OC_Name)))</f>
        <v/>
      </c>
      <c r="L256">
        <f>IF(OC_Txn=0,"",IF(INDEX('OneCause_Paste'!$A$256:$AZ$256,1,OC_Txn)="","",INDEX('OneCause_Paste'!$A$256:$AZ$256,1,OC_Txn)))</f>
        <v/>
      </c>
      <c r="M256">
        <f>IF(OC_Pay=0,"",IF(INDEX('OneCause_Paste'!$A$256:$AZ$256,1,OC_Pay)="","",INDEX('OneCause_Paste'!$A$256:$AZ$256,1,OC_Pay)))</f>
        <v/>
      </c>
      <c r="N256">
        <f>IF(I256="","",IF(ISNUMBER(I256),INT(I256),IFERROR(INT(DATEVALUE(I256)),IFERROR(INT(VALUE(I256)),"bad"))))</f>
        <v/>
      </c>
      <c r="O256">
        <f>IF(J256="","",IF(ISNUMBER(J256),ROUND(J256,2),IFERROR(ROUND(VALUE(SUBSTITUTE(SUBSTITUTE(SUBSTITUTE(J256,"$",""),",","")," ","")),2),"bad")))</f>
        <v/>
      </c>
      <c r="P256">
        <f>IF(TRIM(K256)="","",IFERROR(MATCH(LOWER(TRIM(K256)),'Students'!$AH$2:$AH$701,0),IFERROR(MATCH(LOWER(TRIM(K256)),'Students'!$AF$2:$AF$701,0),IFERROR(MATCH(LOWER(TRIM(K256)),'Students'!$AG$2:$AG$701,0),""))))</f>
        <v/>
      </c>
      <c r="R256">
        <f>IF(P256="","",INDEX('Students'!$AD$2:$AD$701,P256))</f>
        <v/>
      </c>
      <c r="S256">
        <f>IF(H256="OK",O256,0)</f>
        <v/>
      </c>
      <c r="T256">
        <f>IF(H256="OK",N256,"")</f>
        <v/>
      </c>
      <c r="U256">
        <f>IF(OC_Donor=0,"",IF(INDEX('OneCause_Paste'!$A$256:$AZ$256,1,OC_Donor)="","",INDEX('OneCause_Paste'!$A$256:$AZ$256,1,OC_Donor)))</f>
        <v/>
      </c>
    </row>
    <row r="257">
      <c r="A257" s="62">
        <f>IF(H257="","",IF(ISNUMBER(N257),N257,I257))</f>
        <v/>
      </c>
      <c r="B257">
        <f>IF(H257="","",U257)</f>
        <v/>
      </c>
      <c r="C257">
        <f>IF(H257="","",IF(P257="",K257,INDEX('Students'!$A$2:$A$701,P257)))</f>
        <v/>
      </c>
      <c r="D257">
        <f>IF(OR(H257="",P257=""),"",INDEX('Students'!$B$2:$B$701,P257))</f>
        <v/>
      </c>
      <c r="E257">
        <f>IF(OR(H257="",P257=""),"",INDEX('Students'!$C$2:$C$701,P257))</f>
        <v/>
      </c>
      <c r="F257" s="48">
        <f>IF(H257="","",IF(ISNUMBER(O257),O257,J257))</f>
        <v/>
      </c>
      <c r="G257">
        <f>IF(H257="","","OneCause")</f>
        <v/>
      </c>
      <c r="H257">
        <f>IF(AND(I257="",J257="",K257=""),"",IF(NOT(ISNUMBER(O257)),"Bad amount",IF(O257&lt;0,"Refund (not counted)",IF(O257=0,"Zero amount",IF(NOT(ISNUMBER(N257)),"Bad date",IF(P257="","NAME NOT ON ROSTER",IF(L257="","OK",IF(MATCH(L257,$L$2:$L$3001,0)&lt;ROW()-1,"Duplicate (ignored)","OK"))))))))</f>
        <v/>
      </c>
      <c r="I257">
        <f>IF(OC_Date=0,"",IF(INDEX('OneCause_Paste'!$A$257:$AZ$257,1,OC_Date)="","",INDEX('OneCause_Paste'!$A$257:$AZ$257,1,OC_Date)))</f>
        <v/>
      </c>
      <c r="J257">
        <f>IF(OC_Amt=0,"",IF(INDEX('OneCause_Paste'!$A$257:$AZ$257,1,OC_Amt)="","",INDEX('OneCause_Paste'!$A$257:$AZ$257,1,OC_Amt)))</f>
        <v/>
      </c>
      <c r="K257">
        <f>IF(OC_Name=0,"",IF(INDEX('OneCause_Paste'!$A$257:$AZ$257,1,OC_Name)="","",INDEX('OneCause_Paste'!$A$257:$AZ$257,1,OC_Name)))</f>
        <v/>
      </c>
      <c r="L257">
        <f>IF(OC_Txn=0,"",IF(INDEX('OneCause_Paste'!$A$257:$AZ$257,1,OC_Txn)="","",INDEX('OneCause_Paste'!$A$257:$AZ$257,1,OC_Txn)))</f>
        <v/>
      </c>
      <c r="M257">
        <f>IF(OC_Pay=0,"",IF(INDEX('OneCause_Paste'!$A$257:$AZ$257,1,OC_Pay)="","",INDEX('OneCause_Paste'!$A$257:$AZ$257,1,OC_Pay)))</f>
        <v/>
      </c>
      <c r="N257">
        <f>IF(I257="","",IF(ISNUMBER(I257),INT(I257),IFERROR(INT(DATEVALUE(I257)),IFERROR(INT(VALUE(I257)),"bad"))))</f>
        <v/>
      </c>
      <c r="O257">
        <f>IF(J257="","",IF(ISNUMBER(J257),ROUND(J257,2),IFERROR(ROUND(VALUE(SUBSTITUTE(SUBSTITUTE(SUBSTITUTE(J257,"$",""),",","")," ","")),2),"bad")))</f>
        <v/>
      </c>
      <c r="P257">
        <f>IF(TRIM(K257)="","",IFERROR(MATCH(LOWER(TRIM(K257)),'Students'!$AH$2:$AH$701,0),IFERROR(MATCH(LOWER(TRIM(K257)),'Students'!$AF$2:$AF$701,0),IFERROR(MATCH(LOWER(TRIM(K257)),'Students'!$AG$2:$AG$701,0),""))))</f>
        <v/>
      </c>
      <c r="R257">
        <f>IF(P257="","",INDEX('Students'!$AD$2:$AD$701,P257))</f>
        <v/>
      </c>
      <c r="S257">
        <f>IF(H257="OK",O257,0)</f>
        <v/>
      </c>
      <c r="T257">
        <f>IF(H257="OK",N257,"")</f>
        <v/>
      </c>
      <c r="U257">
        <f>IF(OC_Donor=0,"",IF(INDEX('OneCause_Paste'!$A$257:$AZ$257,1,OC_Donor)="","",INDEX('OneCause_Paste'!$A$257:$AZ$257,1,OC_Donor)))</f>
        <v/>
      </c>
    </row>
    <row r="258">
      <c r="A258" s="62">
        <f>IF(H258="","",IF(ISNUMBER(N258),N258,I258))</f>
        <v/>
      </c>
      <c r="B258">
        <f>IF(H258="","",U258)</f>
        <v/>
      </c>
      <c r="C258">
        <f>IF(H258="","",IF(P258="",K258,INDEX('Students'!$A$2:$A$701,P258)))</f>
        <v/>
      </c>
      <c r="D258">
        <f>IF(OR(H258="",P258=""),"",INDEX('Students'!$B$2:$B$701,P258))</f>
        <v/>
      </c>
      <c r="E258">
        <f>IF(OR(H258="",P258=""),"",INDEX('Students'!$C$2:$C$701,P258))</f>
        <v/>
      </c>
      <c r="F258" s="48">
        <f>IF(H258="","",IF(ISNUMBER(O258),O258,J258))</f>
        <v/>
      </c>
      <c r="G258">
        <f>IF(H258="","","OneCause")</f>
        <v/>
      </c>
      <c r="H258">
        <f>IF(AND(I258="",J258="",K258=""),"",IF(NOT(ISNUMBER(O258)),"Bad amount",IF(O258&lt;0,"Refund (not counted)",IF(O258=0,"Zero amount",IF(NOT(ISNUMBER(N258)),"Bad date",IF(P258="","NAME NOT ON ROSTER",IF(L258="","OK",IF(MATCH(L258,$L$2:$L$3001,0)&lt;ROW()-1,"Duplicate (ignored)","OK"))))))))</f>
        <v/>
      </c>
      <c r="I258">
        <f>IF(OC_Date=0,"",IF(INDEX('OneCause_Paste'!$A$258:$AZ$258,1,OC_Date)="","",INDEX('OneCause_Paste'!$A$258:$AZ$258,1,OC_Date)))</f>
        <v/>
      </c>
      <c r="J258">
        <f>IF(OC_Amt=0,"",IF(INDEX('OneCause_Paste'!$A$258:$AZ$258,1,OC_Amt)="","",INDEX('OneCause_Paste'!$A$258:$AZ$258,1,OC_Amt)))</f>
        <v/>
      </c>
      <c r="K258">
        <f>IF(OC_Name=0,"",IF(INDEX('OneCause_Paste'!$A$258:$AZ$258,1,OC_Name)="","",INDEX('OneCause_Paste'!$A$258:$AZ$258,1,OC_Name)))</f>
        <v/>
      </c>
      <c r="L258">
        <f>IF(OC_Txn=0,"",IF(INDEX('OneCause_Paste'!$A$258:$AZ$258,1,OC_Txn)="","",INDEX('OneCause_Paste'!$A$258:$AZ$258,1,OC_Txn)))</f>
        <v/>
      </c>
      <c r="M258">
        <f>IF(OC_Pay=0,"",IF(INDEX('OneCause_Paste'!$A$258:$AZ$258,1,OC_Pay)="","",INDEX('OneCause_Paste'!$A$258:$AZ$258,1,OC_Pay)))</f>
        <v/>
      </c>
      <c r="N258">
        <f>IF(I258="","",IF(ISNUMBER(I258),INT(I258),IFERROR(INT(DATEVALUE(I258)),IFERROR(INT(VALUE(I258)),"bad"))))</f>
        <v/>
      </c>
      <c r="O258">
        <f>IF(J258="","",IF(ISNUMBER(J258),ROUND(J258,2),IFERROR(ROUND(VALUE(SUBSTITUTE(SUBSTITUTE(SUBSTITUTE(J258,"$",""),",","")," ","")),2),"bad")))</f>
        <v/>
      </c>
      <c r="P258">
        <f>IF(TRIM(K258)="","",IFERROR(MATCH(LOWER(TRIM(K258)),'Students'!$AH$2:$AH$701,0),IFERROR(MATCH(LOWER(TRIM(K258)),'Students'!$AF$2:$AF$701,0),IFERROR(MATCH(LOWER(TRIM(K258)),'Students'!$AG$2:$AG$701,0),""))))</f>
        <v/>
      </c>
      <c r="R258">
        <f>IF(P258="","",INDEX('Students'!$AD$2:$AD$701,P258))</f>
        <v/>
      </c>
      <c r="S258">
        <f>IF(H258="OK",O258,0)</f>
        <v/>
      </c>
      <c r="T258">
        <f>IF(H258="OK",N258,"")</f>
        <v/>
      </c>
      <c r="U258">
        <f>IF(OC_Donor=0,"",IF(INDEX('OneCause_Paste'!$A$258:$AZ$258,1,OC_Donor)="","",INDEX('OneCause_Paste'!$A$258:$AZ$258,1,OC_Donor)))</f>
        <v/>
      </c>
    </row>
    <row r="259">
      <c r="A259" s="62">
        <f>IF(H259="","",IF(ISNUMBER(N259),N259,I259))</f>
        <v/>
      </c>
      <c r="B259">
        <f>IF(H259="","",U259)</f>
        <v/>
      </c>
      <c r="C259">
        <f>IF(H259="","",IF(P259="",K259,INDEX('Students'!$A$2:$A$701,P259)))</f>
        <v/>
      </c>
      <c r="D259">
        <f>IF(OR(H259="",P259=""),"",INDEX('Students'!$B$2:$B$701,P259))</f>
        <v/>
      </c>
      <c r="E259">
        <f>IF(OR(H259="",P259=""),"",INDEX('Students'!$C$2:$C$701,P259))</f>
        <v/>
      </c>
      <c r="F259" s="48">
        <f>IF(H259="","",IF(ISNUMBER(O259),O259,J259))</f>
        <v/>
      </c>
      <c r="G259">
        <f>IF(H259="","","OneCause")</f>
        <v/>
      </c>
      <c r="H259">
        <f>IF(AND(I259="",J259="",K259=""),"",IF(NOT(ISNUMBER(O259)),"Bad amount",IF(O259&lt;0,"Refund (not counted)",IF(O259=0,"Zero amount",IF(NOT(ISNUMBER(N259)),"Bad date",IF(P259="","NAME NOT ON ROSTER",IF(L259="","OK",IF(MATCH(L259,$L$2:$L$3001,0)&lt;ROW()-1,"Duplicate (ignored)","OK"))))))))</f>
        <v/>
      </c>
      <c r="I259">
        <f>IF(OC_Date=0,"",IF(INDEX('OneCause_Paste'!$A$259:$AZ$259,1,OC_Date)="","",INDEX('OneCause_Paste'!$A$259:$AZ$259,1,OC_Date)))</f>
        <v/>
      </c>
      <c r="J259">
        <f>IF(OC_Amt=0,"",IF(INDEX('OneCause_Paste'!$A$259:$AZ$259,1,OC_Amt)="","",INDEX('OneCause_Paste'!$A$259:$AZ$259,1,OC_Amt)))</f>
        <v/>
      </c>
      <c r="K259">
        <f>IF(OC_Name=0,"",IF(INDEX('OneCause_Paste'!$A$259:$AZ$259,1,OC_Name)="","",INDEX('OneCause_Paste'!$A$259:$AZ$259,1,OC_Name)))</f>
        <v/>
      </c>
      <c r="L259">
        <f>IF(OC_Txn=0,"",IF(INDEX('OneCause_Paste'!$A$259:$AZ$259,1,OC_Txn)="","",INDEX('OneCause_Paste'!$A$259:$AZ$259,1,OC_Txn)))</f>
        <v/>
      </c>
      <c r="M259">
        <f>IF(OC_Pay=0,"",IF(INDEX('OneCause_Paste'!$A$259:$AZ$259,1,OC_Pay)="","",INDEX('OneCause_Paste'!$A$259:$AZ$259,1,OC_Pay)))</f>
        <v/>
      </c>
      <c r="N259">
        <f>IF(I259="","",IF(ISNUMBER(I259),INT(I259),IFERROR(INT(DATEVALUE(I259)),IFERROR(INT(VALUE(I259)),"bad"))))</f>
        <v/>
      </c>
      <c r="O259">
        <f>IF(J259="","",IF(ISNUMBER(J259),ROUND(J259,2),IFERROR(ROUND(VALUE(SUBSTITUTE(SUBSTITUTE(SUBSTITUTE(J259,"$",""),",","")," ","")),2),"bad")))</f>
        <v/>
      </c>
      <c r="P259">
        <f>IF(TRIM(K259)="","",IFERROR(MATCH(LOWER(TRIM(K259)),'Students'!$AH$2:$AH$701,0),IFERROR(MATCH(LOWER(TRIM(K259)),'Students'!$AF$2:$AF$701,0),IFERROR(MATCH(LOWER(TRIM(K259)),'Students'!$AG$2:$AG$701,0),""))))</f>
        <v/>
      </c>
      <c r="R259">
        <f>IF(P259="","",INDEX('Students'!$AD$2:$AD$701,P259))</f>
        <v/>
      </c>
      <c r="S259">
        <f>IF(H259="OK",O259,0)</f>
        <v/>
      </c>
      <c r="T259">
        <f>IF(H259="OK",N259,"")</f>
        <v/>
      </c>
      <c r="U259">
        <f>IF(OC_Donor=0,"",IF(INDEX('OneCause_Paste'!$A$259:$AZ$259,1,OC_Donor)="","",INDEX('OneCause_Paste'!$A$259:$AZ$259,1,OC_Donor)))</f>
        <v/>
      </c>
    </row>
    <row r="260">
      <c r="A260" s="62">
        <f>IF(H260="","",IF(ISNUMBER(N260),N260,I260))</f>
        <v/>
      </c>
      <c r="B260">
        <f>IF(H260="","",U260)</f>
        <v/>
      </c>
      <c r="C260">
        <f>IF(H260="","",IF(P260="",K260,INDEX('Students'!$A$2:$A$701,P260)))</f>
        <v/>
      </c>
      <c r="D260">
        <f>IF(OR(H260="",P260=""),"",INDEX('Students'!$B$2:$B$701,P260))</f>
        <v/>
      </c>
      <c r="E260">
        <f>IF(OR(H260="",P260=""),"",INDEX('Students'!$C$2:$C$701,P260))</f>
        <v/>
      </c>
      <c r="F260" s="48">
        <f>IF(H260="","",IF(ISNUMBER(O260),O260,J260))</f>
        <v/>
      </c>
      <c r="G260">
        <f>IF(H260="","","OneCause")</f>
        <v/>
      </c>
      <c r="H260">
        <f>IF(AND(I260="",J260="",K260=""),"",IF(NOT(ISNUMBER(O260)),"Bad amount",IF(O260&lt;0,"Refund (not counted)",IF(O260=0,"Zero amount",IF(NOT(ISNUMBER(N260)),"Bad date",IF(P260="","NAME NOT ON ROSTER",IF(L260="","OK",IF(MATCH(L260,$L$2:$L$3001,0)&lt;ROW()-1,"Duplicate (ignored)","OK"))))))))</f>
        <v/>
      </c>
      <c r="I260">
        <f>IF(OC_Date=0,"",IF(INDEX('OneCause_Paste'!$A$260:$AZ$260,1,OC_Date)="","",INDEX('OneCause_Paste'!$A$260:$AZ$260,1,OC_Date)))</f>
        <v/>
      </c>
      <c r="J260">
        <f>IF(OC_Amt=0,"",IF(INDEX('OneCause_Paste'!$A$260:$AZ$260,1,OC_Amt)="","",INDEX('OneCause_Paste'!$A$260:$AZ$260,1,OC_Amt)))</f>
        <v/>
      </c>
      <c r="K260">
        <f>IF(OC_Name=0,"",IF(INDEX('OneCause_Paste'!$A$260:$AZ$260,1,OC_Name)="","",INDEX('OneCause_Paste'!$A$260:$AZ$260,1,OC_Name)))</f>
        <v/>
      </c>
      <c r="L260">
        <f>IF(OC_Txn=0,"",IF(INDEX('OneCause_Paste'!$A$260:$AZ$260,1,OC_Txn)="","",INDEX('OneCause_Paste'!$A$260:$AZ$260,1,OC_Txn)))</f>
        <v/>
      </c>
      <c r="M260">
        <f>IF(OC_Pay=0,"",IF(INDEX('OneCause_Paste'!$A$260:$AZ$260,1,OC_Pay)="","",INDEX('OneCause_Paste'!$A$260:$AZ$260,1,OC_Pay)))</f>
        <v/>
      </c>
      <c r="N260">
        <f>IF(I260="","",IF(ISNUMBER(I260),INT(I260),IFERROR(INT(DATEVALUE(I260)),IFERROR(INT(VALUE(I260)),"bad"))))</f>
        <v/>
      </c>
      <c r="O260">
        <f>IF(J260="","",IF(ISNUMBER(J260),ROUND(J260,2),IFERROR(ROUND(VALUE(SUBSTITUTE(SUBSTITUTE(SUBSTITUTE(J260,"$",""),",","")," ","")),2),"bad")))</f>
        <v/>
      </c>
      <c r="P260">
        <f>IF(TRIM(K260)="","",IFERROR(MATCH(LOWER(TRIM(K260)),'Students'!$AH$2:$AH$701,0),IFERROR(MATCH(LOWER(TRIM(K260)),'Students'!$AF$2:$AF$701,0),IFERROR(MATCH(LOWER(TRIM(K260)),'Students'!$AG$2:$AG$701,0),""))))</f>
        <v/>
      </c>
      <c r="R260">
        <f>IF(P260="","",INDEX('Students'!$AD$2:$AD$701,P260))</f>
        <v/>
      </c>
      <c r="S260">
        <f>IF(H260="OK",O260,0)</f>
        <v/>
      </c>
      <c r="T260">
        <f>IF(H260="OK",N260,"")</f>
        <v/>
      </c>
      <c r="U260">
        <f>IF(OC_Donor=0,"",IF(INDEX('OneCause_Paste'!$A$260:$AZ$260,1,OC_Donor)="","",INDEX('OneCause_Paste'!$A$260:$AZ$260,1,OC_Donor)))</f>
        <v/>
      </c>
    </row>
    <row r="261">
      <c r="A261" s="62">
        <f>IF(H261="","",IF(ISNUMBER(N261),N261,I261))</f>
        <v/>
      </c>
      <c r="B261">
        <f>IF(H261="","",U261)</f>
        <v/>
      </c>
      <c r="C261">
        <f>IF(H261="","",IF(P261="",K261,INDEX('Students'!$A$2:$A$701,P261)))</f>
        <v/>
      </c>
      <c r="D261">
        <f>IF(OR(H261="",P261=""),"",INDEX('Students'!$B$2:$B$701,P261))</f>
        <v/>
      </c>
      <c r="E261">
        <f>IF(OR(H261="",P261=""),"",INDEX('Students'!$C$2:$C$701,P261))</f>
        <v/>
      </c>
      <c r="F261" s="48">
        <f>IF(H261="","",IF(ISNUMBER(O261),O261,J261))</f>
        <v/>
      </c>
      <c r="G261">
        <f>IF(H261="","","OneCause")</f>
        <v/>
      </c>
      <c r="H261">
        <f>IF(AND(I261="",J261="",K261=""),"",IF(NOT(ISNUMBER(O261)),"Bad amount",IF(O261&lt;0,"Refund (not counted)",IF(O261=0,"Zero amount",IF(NOT(ISNUMBER(N261)),"Bad date",IF(P261="","NAME NOT ON ROSTER",IF(L261="","OK",IF(MATCH(L261,$L$2:$L$3001,0)&lt;ROW()-1,"Duplicate (ignored)","OK"))))))))</f>
        <v/>
      </c>
      <c r="I261">
        <f>IF(OC_Date=0,"",IF(INDEX('OneCause_Paste'!$A$261:$AZ$261,1,OC_Date)="","",INDEX('OneCause_Paste'!$A$261:$AZ$261,1,OC_Date)))</f>
        <v/>
      </c>
      <c r="J261">
        <f>IF(OC_Amt=0,"",IF(INDEX('OneCause_Paste'!$A$261:$AZ$261,1,OC_Amt)="","",INDEX('OneCause_Paste'!$A$261:$AZ$261,1,OC_Amt)))</f>
        <v/>
      </c>
      <c r="K261">
        <f>IF(OC_Name=0,"",IF(INDEX('OneCause_Paste'!$A$261:$AZ$261,1,OC_Name)="","",INDEX('OneCause_Paste'!$A$261:$AZ$261,1,OC_Name)))</f>
        <v/>
      </c>
      <c r="L261">
        <f>IF(OC_Txn=0,"",IF(INDEX('OneCause_Paste'!$A$261:$AZ$261,1,OC_Txn)="","",INDEX('OneCause_Paste'!$A$261:$AZ$261,1,OC_Txn)))</f>
        <v/>
      </c>
      <c r="M261">
        <f>IF(OC_Pay=0,"",IF(INDEX('OneCause_Paste'!$A$261:$AZ$261,1,OC_Pay)="","",INDEX('OneCause_Paste'!$A$261:$AZ$261,1,OC_Pay)))</f>
        <v/>
      </c>
      <c r="N261">
        <f>IF(I261="","",IF(ISNUMBER(I261),INT(I261),IFERROR(INT(DATEVALUE(I261)),IFERROR(INT(VALUE(I261)),"bad"))))</f>
        <v/>
      </c>
      <c r="O261">
        <f>IF(J261="","",IF(ISNUMBER(J261),ROUND(J261,2),IFERROR(ROUND(VALUE(SUBSTITUTE(SUBSTITUTE(SUBSTITUTE(J261,"$",""),",","")," ","")),2),"bad")))</f>
        <v/>
      </c>
      <c r="P261">
        <f>IF(TRIM(K261)="","",IFERROR(MATCH(LOWER(TRIM(K261)),'Students'!$AH$2:$AH$701,0),IFERROR(MATCH(LOWER(TRIM(K261)),'Students'!$AF$2:$AF$701,0),IFERROR(MATCH(LOWER(TRIM(K261)),'Students'!$AG$2:$AG$701,0),""))))</f>
        <v/>
      </c>
      <c r="R261">
        <f>IF(P261="","",INDEX('Students'!$AD$2:$AD$701,P261))</f>
        <v/>
      </c>
      <c r="S261">
        <f>IF(H261="OK",O261,0)</f>
        <v/>
      </c>
      <c r="T261">
        <f>IF(H261="OK",N261,"")</f>
        <v/>
      </c>
      <c r="U261">
        <f>IF(OC_Donor=0,"",IF(INDEX('OneCause_Paste'!$A$261:$AZ$261,1,OC_Donor)="","",INDEX('OneCause_Paste'!$A$261:$AZ$261,1,OC_Donor)))</f>
        <v/>
      </c>
    </row>
    <row r="262">
      <c r="A262" s="62">
        <f>IF(H262="","",IF(ISNUMBER(N262),N262,I262))</f>
        <v/>
      </c>
      <c r="B262">
        <f>IF(H262="","",U262)</f>
        <v/>
      </c>
      <c r="C262">
        <f>IF(H262="","",IF(P262="",K262,INDEX('Students'!$A$2:$A$701,P262)))</f>
        <v/>
      </c>
      <c r="D262">
        <f>IF(OR(H262="",P262=""),"",INDEX('Students'!$B$2:$B$701,P262))</f>
        <v/>
      </c>
      <c r="E262">
        <f>IF(OR(H262="",P262=""),"",INDEX('Students'!$C$2:$C$701,P262))</f>
        <v/>
      </c>
      <c r="F262" s="48">
        <f>IF(H262="","",IF(ISNUMBER(O262),O262,J262))</f>
        <v/>
      </c>
      <c r="G262">
        <f>IF(H262="","","OneCause")</f>
        <v/>
      </c>
      <c r="H262">
        <f>IF(AND(I262="",J262="",K262=""),"",IF(NOT(ISNUMBER(O262)),"Bad amount",IF(O262&lt;0,"Refund (not counted)",IF(O262=0,"Zero amount",IF(NOT(ISNUMBER(N262)),"Bad date",IF(P262="","NAME NOT ON ROSTER",IF(L262="","OK",IF(MATCH(L262,$L$2:$L$3001,0)&lt;ROW()-1,"Duplicate (ignored)","OK"))))))))</f>
        <v/>
      </c>
      <c r="I262">
        <f>IF(OC_Date=0,"",IF(INDEX('OneCause_Paste'!$A$262:$AZ$262,1,OC_Date)="","",INDEX('OneCause_Paste'!$A$262:$AZ$262,1,OC_Date)))</f>
        <v/>
      </c>
      <c r="J262">
        <f>IF(OC_Amt=0,"",IF(INDEX('OneCause_Paste'!$A$262:$AZ$262,1,OC_Amt)="","",INDEX('OneCause_Paste'!$A$262:$AZ$262,1,OC_Amt)))</f>
        <v/>
      </c>
      <c r="K262">
        <f>IF(OC_Name=0,"",IF(INDEX('OneCause_Paste'!$A$262:$AZ$262,1,OC_Name)="","",INDEX('OneCause_Paste'!$A$262:$AZ$262,1,OC_Name)))</f>
        <v/>
      </c>
      <c r="L262">
        <f>IF(OC_Txn=0,"",IF(INDEX('OneCause_Paste'!$A$262:$AZ$262,1,OC_Txn)="","",INDEX('OneCause_Paste'!$A$262:$AZ$262,1,OC_Txn)))</f>
        <v/>
      </c>
      <c r="M262">
        <f>IF(OC_Pay=0,"",IF(INDEX('OneCause_Paste'!$A$262:$AZ$262,1,OC_Pay)="","",INDEX('OneCause_Paste'!$A$262:$AZ$262,1,OC_Pay)))</f>
        <v/>
      </c>
      <c r="N262">
        <f>IF(I262="","",IF(ISNUMBER(I262),INT(I262),IFERROR(INT(DATEVALUE(I262)),IFERROR(INT(VALUE(I262)),"bad"))))</f>
        <v/>
      </c>
      <c r="O262">
        <f>IF(J262="","",IF(ISNUMBER(J262),ROUND(J262,2),IFERROR(ROUND(VALUE(SUBSTITUTE(SUBSTITUTE(SUBSTITUTE(J262,"$",""),",","")," ","")),2),"bad")))</f>
        <v/>
      </c>
      <c r="P262">
        <f>IF(TRIM(K262)="","",IFERROR(MATCH(LOWER(TRIM(K262)),'Students'!$AH$2:$AH$701,0),IFERROR(MATCH(LOWER(TRIM(K262)),'Students'!$AF$2:$AF$701,0),IFERROR(MATCH(LOWER(TRIM(K262)),'Students'!$AG$2:$AG$701,0),""))))</f>
        <v/>
      </c>
      <c r="R262">
        <f>IF(P262="","",INDEX('Students'!$AD$2:$AD$701,P262))</f>
        <v/>
      </c>
      <c r="S262">
        <f>IF(H262="OK",O262,0)</f>
        <v/>
      </c>
      <c r="T262">
        <f>IF(H262="OK",N262,"")</f>
        <v/>
      </c>
      <c r="U262">
        <f>IF(OC_Donor=0,"",IF(INDEX('OneCause_Paste'!$A$262:$AZ$262,1,OC_Donor)="","",INDEX('OneCause_Paste'!$A$262:$AZ$262,1,OC_Donor)))</f>
        <v/>
      </c>
    </row>
    <row r="263">
      <c r="A263" s="62">
        <f>IF(H263="","",IF(ISNUMBER(N263),N263,I263))</f>
        <v/>
      </c>
      <c r="B263">
        <f>IF(H263="","",U263)</f>
        <v/>
      </c>
      <c r="C263">
        <f>IF(H263="","",IF(P263="",K263,INDEX('Students'!$A$2:$A$701,P263)))</f>
        <v/>
      </c>
      <c r="D263">
        <f>IF(OR(H263="",P263=""),"",INDEX('Students'!$B$2:$B$701,P263))</f>
        <v/>
      </c>
      <c r="E263">
        <f>IF(OR(H263="",P263=""),"",INDEX('Students'!$C$2:$C$701,P263))</f>
        <v/>
      </c>
      <c r="F263" s="48">
        <f>IF(H263="","",IF(ISNUMBER(O263),O263,J263))</f>
        <v/>
      </c>
      <c r="G263">
        <f>IF(H263="","","OneCause")</f>
        <v/>
      </c>
      <c r="H263">
        <f>IF(AND(I263="",J263="",K263=""),"",IF(NOT(ISNUMBER(O263)),"Bad amount",IF(O263&lt;0,"Refund (not counted)",IF(O263=0,"Zero amount",IF(NOT(ISNUMBER(N263)),"Bad date",IF(P263="","NAME NOT ON ROSTER",IF(L263="","OK",IF(MATCH(L263,$L$2:$L$3001,0)&lt;ROW()-1,"Duplicate (ignored)","OK"))))))))</f>
        <v/>
      </c>
      <c r="I263">
        <f>IF(OC_Date=0,"",IF(INDEX('OneCause_Paste'!$A$263:$AZ$263,1,OC_Date)="","",INDEX('OneCause_Paste'!$A$263:$AZ$263,1,OC_Date)))</f>
        <v/>
      </c>
      <c r="J263">
        <f>IF(OC_Amt=0,"",IF(INDEX('OneCause_Paste'!$A$263:$AZ$263,1,OC_Amt)="","",INDEX('OneCause_Paste'!$A$263:$AZ$263,1,OC_Amt)))</f>
        <v/>
      </c>
      <c r="K263">
        <f>IF(OC_Name=0,"",IF(INDEX('OneCause_Paste'!$A$263:$AZ$263,1,OC_Name)="","",INDEX('OneCause_Paste'!$A$263:$AZ$263,1,OC_Name)))</f>
        <v/>
      </c>
      <c r="L263">
        <f>IF(OC_Txn=0,"",IF(INDEX('OneCause_Paste'!$A$263:$AZ$263,1,OC_Txn)="","",INDEX('OneCause_Paste'!$A$263:$AZ$263,1,OC_Txn)))</f>
        <v/>
      </c>
      <c r="M263">
        <f>IF(OC_Pay=0,"",IF(INDEX('OneCause_Paste'!$A$263:$AZ$263,1,OC_Pay)="","",INDEX('OneCause_Paste'!$A$263:$AZ$263,1,OC_Pay)))</f>
        <v/>
      </c>
      <c r="N263">
        <f>IF(I263="","",IF(ISNUMBER(I263),INT(I263),IFERROR(INT(DATEVALUE(I263)),IFERROR(INT(VALUE(I263)),"bad"))))</f>
        <v/>
      </c>
      <c r="O263">
        <f>IF(J263="","",IF(ISNUMBER(J263),ROUND(J263,2),IFERROR(ROUND(VALUE(SUBSTITUTE(SUBSTITUTE(SUBSTITUTE(J263,"$",""),",","")," ","")),2),"bad")))</f>
        <v/>
      </c>
      <c r="P263">
        <f>IF(TRIM(K263)="","",IFERROR(MATCH(LOWER(TRIM(K263)),'Students'!$AH$2:$AH$701,0),IFERROR(MATCH(LOWER(TRIM(K263)),'Students'!$AF$2:$AF$701,0),IFERROR(MATCH(LOWER(TRIM(K263)),'Students'!$AG$2:$AG$701,0),""))))</f>
        <v/>
      </c>
      <c r="R263">
        <f>IF(P263="","",INDEX('Students'!$AD$2:$AD$701,P263))</f>
        <v/>
      </c>
      <c r="S263">
        <f>IF(H263="OK",O263,0)</f>
        <v/>
      </c>
      <c r="T263">
        <f>IF(H263="OK",N263,"")</f>
        <v/>
      </c>
      <c r="U263">
        <f>IF(OC_Donor=0,"",IF(INDEX('OneCause_Paste'!$A$263:$AZ$263,1,OC_Donor)="","",INDEX('OneCause_Paste'!$A$263:$AZ$263,1,OC_Donor)))</f>
        <v/>
      </c>
    </row>
    <row r="264">
      <c r="A264" s="62">
        <f>IF(H264="","",IF(ISNUMBER(N264),N264,I264))</f>
        <v/>
      </c>
      <c r="B264">
        <f>IF(H264="","",U264)</f>
        <v/>
      </c>
      <c r="C264">
        <f>IF(H264="","",IF(P264="",K264,INDEX('Students'!$A$2:$A$701,P264)))</f>
        <v/>
      </c>
      <c r="D264">
        <f>IF(OR(H264="",P264=""),"",INDEX('Students'!$B$2:$B$701,P264))</f>
        <v/>
      </c>
      <c r="E264">
        <f>IF(OR(H264="",P264=""),"",INDEX('Students'!$C$2:$C$701,P264))</f>
        <v/>
      </c>
      <c r="F264" s="48">
        <f>IF(H264="","",IF(ISNUMBER(O264),O264,J264))</f>
        <v/>
      </c>
      <c r="G264">
        <f>IF(H264="","","OneCause")</f>
        <v/>
      </c>
      <c r="H264">
        <f>IF(AND(I264="",J264="",K264=""),"",IF(NOT(ISNUMBER(O264)),"Bad amount",IF(O264&lt;0,"Refund (not counted)",IF(O264=0,"Zero amount",IF(NOT(ISNUMBER(N264)),"Bad date",IF(P264="","NAME NOT ON ROSTER",IF(L264="","OK",IF(MATCH(L264,$L$2:$L$3001,0)&lt;ROW()-1,"Duplicate (ignored)","OK"))))))))</f>
        <v/>
      </c>
      <c r="I264">
        <f>IF(OC_Date=0,"",IF(INDEX('OneCause_Paste'!$A$264:$AZ$264,1,OC_Date)="","",INDEX('OneCause_Paste'!$A$264:$AZ$264,1,OC_Date)))</f>
        <v/>
      </c>
      <c r="J264">
        <f>IF(OC_Amt=0,"",IF(INDEX('OneCause_Paste'!$A$264:$AZ$264,1,OC_Amt)="","",INDEX('OneCause_Paste'!$A$264:$AZ$264,1,OC_Amt)))</f>
        <v/>
      </c>
      <c r="K264">
        <f>IF(OC_Name=0,"",IF(INDEX('OneCause_Paste'!$A$264:$AZ$264,1,OC_Name)="","",INDEX('OneCause_Paste'!$A$264:$AZ$264,1,OC_Name)))</f>
        <v/>
      </c>
      <c r="L264">
        <f>IF(OC_Txn=0,"",IF(INDEX('OneCause_Paste'!$A$264:$AZ$264,1,OC_Txn)="","",INDEX('OneCause_Paste'!$A$264:$AZ$264,1,OC_Txn)))</f>
        <v/>
      </c>
      <c r="M264">
        <f>IF(OC_Pay=0,"",IF(INDEX('OneCause_Paste'!$A$264:$AZ$264,1,OC_Pay)="","",INDEX('OneCause_Paste'!$A$264:$AZ$264,1,OC_Pay)))</f>
        <v/>
      </c>
      <c r="N264">
        <f>IF(I264="","",IF(ISNUMBER(I264),INT(I264),IFERROR(INT(DATEVALUE(I264)),IFERROR(INT(VALUE(I264)),"bad"))))</f>
        <v/>
      </c>
      <c r="O264">
        <f>IF(J264="","",IF(ISNUMBER(J264),ROUND(J264,2),IFERROR(ROUND(VALUE(SUBSTITUTE(SUBSTITUTE(SUBSTITUTE(J264,"$",""),",","")," ","")),2),"bad")))</f>
        <v/>
      </c>
      <c r="P264">
        <f>IF(TRIM(K264)="","",IFERROR(MATCH(LOWER(TRIM(K264)),'Students'!$AH$2:$AH$701,0),IFERROR(MATCH(LOWER(TRIM(K264)),'Students'!$AF$2:$AF$701,0),IFERROR(MATCH(LOWER(TRIM(K264)),'Students'!$AG$2:$AG$701,0),""))))</f>
        <v/>
      </c>
      <c r="R264">
        <f>IF(P264="","",INDEX('Students'!$AD$2:$AD$701,P264))</f>
        <v/>
      </c>
      <c r="S264">
        <f>IF(H264="OK",O264,0)</f>
        <v/>
      </c>
      <c r="T264">
        <f>IF(H264="OK",N264,"")</f>
        <v/>
      </c>
      <c r="U264">
        <f>IF(OC_Donor=0,"",IF(INDEX('OneCause_Paste'!$A$264:$AZ$264,1,OC_Donor)="","",INDEX('OneCause_Paste'!$A$264:$AZ$264,1,OC_Donor)))</f>
        <v/>
      </c>
    </row>
    <row r="265">
      <c r="A265" s="62">
        <f>IF(H265="","",IF(ISNUMBER(N265),N265,I265))</f>
        <v/>
      </c>
      <c r="B265">
        <f>IF(H265="","",U265)</f>
        <v/>
      </c>
      <c r="C265">
        <f>IF(H265="","",IF(P265="",K265,INDEX('Students'!$A$2:$A$701,P265)))</f>
        <v/>
      </c>
      <c r="D265">
        <f>IF(OR(H265="",P265=""),"",INDEX('Students'!$B$2:$B$701,P265))</f>
        <v/>
      </c>
      <c r="E265">
        <f>IF(OR(H265="",P265=""),"",INDEX('Students'!$C$2:$C$701,P265))</f>
        <v/>
      </c>
      <c r="F265" s="48">
        <f>IF(H265="","",IF(ISNUMBER(O265),O265,J265))</f>
        <v/>
      </c>
      <c r="G265">
        <f>IF(H265="","","OneCause")</f>
        <v/>
      </c>
      <c r="H265">
        <f>IF(AND(I265="",J265="",K265=""),"",IF(NOT(ISNUMBER(O265)),"Bad amount",IF(O265&lt;0,"Refund (not counted)",IF(O265=0,"Zero amount",IF(NOT(ISNUMBER(N265)),"Bad date",IF(P265="","NAME NOT ON ROSTER",IF(L265="","OK",IF(MATCH(L265,$L$2:$L$3001,0)&lt;ROW()-1,"Duplicate (ignored)","OK"))))))))</f>
        <v/>
      </c>
      <c r="I265">
        <f>IF(OC_Date=0,"",IF(INDEX('OneCause_Paste'!$A$265:$AZ$265,1,OC_Date)="","",INDEX('OneCause_Paste'!$A$265:$AZ$265,1,OC_Date)))</f>
        <v/>
      </c>
      <c r="J265">
        <f>IF(OC_Amt=0,"",IF(INDEX('OneCause_Paste'!$A$265:$AZ$265,1,OC_Amt)="","",INDEX('OneCause_Paste'!$A$265:$AZ$265,1,OC_Amt)))</f>
        <v/>
      </c>
      <c r="K265">
        <f>IF(OC_Name=0,"",IF(INDEX('OneCause_Paste'!$A$265:$AZ$265,1,OC_Name)="","",INDEX('OneCause_Paste'!$A$265:$AZ$265,1,OC_Name)))</f>
        <v/>
      </c>
      <c r="L265">
        <f>IF(OC_Txn=0,"",IF(INDEX('OneCause_Paste'!$A$265:$AZ$265,1,OC_Txn)="","",INDEX('OneCause_Paste'!$A$265:$AZ$265,1,OC_Txn)))</f>
        <v/>
      </c>
      <c r="M265">
        <f>IF(OC_Pay=0,"",IF(INDEX('OneCause_Paste'!$A$265:$AZ$265,1,OC_Pay)="","",INDEX('OneCause_Paste'!$A$265:$AZ$265,1,OC_Pay)))</f>
        <v/>
      </c>
      <c r="N265">
        <f>IF(I265="","",IF(ISNUMBER(I265),INT(I265),IFERROR(INT(DATEVALUE(I265)),IFERROR(INT(VALUE(I265)),"bad"))))</f>
        <v/>
      </c>
      <c r="O265">
        <f>IF(J265="","",IF(ISNUMBER(J265),ROUND(J265,2),IFERROR(ROUND(VALUE(SUBSTITUTE(SUBSTITUTE(SUBSTITUTE(J265,"$",""),",","")," ","")),2),"bad")))</f>
        <v/>
      </c>
      <c r="P265">
        <f>IF(TRIM(K265)="","",IFERROR(MATCH(LOWER(TRIM(K265)),'Students'!$AH$2:$AH$701,0),IFERROR(MATCH(LOWER(TRIM(K265)),'Students'!$AF$2:$AF$701,0),IFERROR(MATCH(LOWER(TRIM(K265)),'Students'!$AG$2:$AG$701,0),""))))</f>
        <v/>
      </c>
      <c r="R265">
        <f>IF(P265="","",INDEX('Students'!$AD$2:$AD$701,P265))</f>
        <v/>
      </c>
      <c r="S265">
        <f>IF(H265="OK",O265,0)</f>
        <v/>
      </c>
      <c r="T265">
        <f>IF(H265="OK",N265,"")</f>
        <v/>
      </c>
      <c r="U265">
        <f>IF(OC_Donor=0,"",IF(INDEX('OneCause_Paste'!$A$265:$AZ$265,1,OC_Donor)="","",INDEX('OneCause_Paste'!$A$265:$AZ$265,1,OC_Donor)))</f>
        <v/>
      </c>
    </row>
    <row r="266">
      <c r="A266" s="62">
        <f>IF(H266="","",IF(ISNUMBER(N266),N266,I266))</f>
        <v/>
      </c>
      <c r="B266">
        <f>IF(H266="","",U266)</f>
        <v/>
      </c>
      <c r="C266">
        <f>IF(H266="","",IF(P266="",K266,INDEX('Students'!$A$2:$A$701,P266)))</f>
        <v/>
      </c>
      <c r="D266">
        <f>IF(OR(H266="",P266=""),"",INDEX('Students'!$B$2:$B$701,P266))</f>
        <v/>
      </c>
      <c r="E266">
        <f>IF(OR(H266="",P266=""),"",INDEX('Students'!$C$2:$C$701,P266))</f>
        <v/>
      </c>
      <c r="F266" s="48">
        <f>IF(H266="","",IF(ISNUMBER(O266),O266,J266))</f>
        <v/>
      </c>
      <c r="G266">
        <f>IF(H266="","","OneCause")</f>
        <v/>
      </c>
      <c r="H266">
        <f>IF(AND(I266="",J266="",K266=""),"",IF(NOT(ISNUMBER(O266)),"Bad amount",IF(O266&lt;0,"Refund (not counted)",IF(O266=0,"Zero amount",IF(NOT(ISNUMBER(N266)),"Bad date",IF(P266="","NAME NOT ON ROSTER",IF(L266="","OK",IF(MATCH(L266,$L$2:$L$3001,0)&lt;ROW()-1,"Duplicate (ignored)","OK"))))))))</f>
        <v/>
      </c>
      <c r="I266">
        <f>IF(OC_Date=0,"",IF(INDEX('OneCause_Paste'!$A$266:$AZ$266,1,OC_Date)="","",INDEX('OneCause_Paste'!$A$266:$AZ$266,1,OC_Date)))</f>
        <v/>
      </c>
      <c r="J266">
        <f>IF(OC_Amt=0,"",IF(INDEX('OneCause_Paste'!$A$266:$AZ$266,1,OC_Amt)="","",INDEX('OneCause_Paste'!$A$266:$AZ$266,1,OC_Amt)))</f>
        <v/>
      </c>
      <c r="K266">
        <f>IF(OC_Name=0,"",IF(INDEX('OneCause_Paste'!$A$266:$AZ$266,1,OC_Name)="","",INDEX('OneCause_Paste'!$A$266:$AZ$266,1,OC_Name)))</f>
        <v/>
      </c>
      <c r="L266">
        <f>IF(OC_Txn=0,"",IF(INDEX('OneCause_Paste'!$A$266:$AZ$266,1,OC_Txn)="","",INDEX('OneCause_Paste'!$A$266:$AZ$266,1,OC_Txn)))</f>
        <v/>
      </c>
      <c r="M266">
        <f>IF(OC_Pay=0,"",IF(INDEX('OneCause_Paste'!$A$266:$AZ$266,1,OC_Pay)="","",INDEX('OneCause_Paste'!$A$266:$AZ$266,1,OC_Pay)))</f>
        <v/>
      </c>
      <c r="N266">
        <f>IF(I266="","",IF(ISNUMBER(I266),INT(I266),IFERROR(INT(DATEVALUE(I266)),IFERROR(INT(VALUE(I266)),"bad"))))</f>
        <v/>
      </c>
      <c r="O266">
        <f>IF(J266="","",IF(ISNUMBER(J266),ROUND(J266,2),IFERROR(ROUND(VALUE(SUBSTITUTE(SUBSTITUTE(SUBSTITUTE(J266,"$",""),",","")," ","")),2),"bad")))</f>
        <v/>
      </c>
      <c r="P266">
        <f>IF(TRIM(K266)="","",IFERROR(MATCH(LOWER(TRIM(K266)),'Students'!$AH$2:$AH$701,0),IFERROR(MATCH(LOWER(TRIM(K266)),'Students'!$AF$2:$AF$701,0),IFERROR(MATCH(LOWER(TRIM(K266)),'Students'!$AG$2:$AG$701,0),""))))</f>
        <v/>
      </c>
      <c r="R266">
        <f>IF(P266="","",INDEX('Students'!$AD$2:$AD$701,P266))</f>
        <v/>
      </c>
      <c r="S266">
        <f>IF(H266="OK",O266,0)</f>
        <v/>
      </c>
      <c r="T266">
        <f>IF(H266="OK",N266,"")</f>
        <v/>
      </c>
      <c r="U266">
        <f>IF(OC_Donor=0,"",IF(INDEX('OneCause_Paste'!$A$266:$AZ$266,1,OC_Donor)="","",INDEX('OneCause_Paste'!$A$266:$AZ$266,1,OC_Donor)))</f>
        <v/>
      </c>
    </row>
    <row r="267">
      <c r="A267" s="62">
        <f>IF(H267="","",IF(ISNUMBER(N267),N267,I267))</f>
        <v/>
      </c>
      <c r="B267">
        <f>IF(H267="","",U267)</f>
        <v/>
      </c>
      <c r="C267">
        <f>IF(H267="","",IF(P267="",K267,INDEX('Students'!$A$2:$A$701,P267)))</f>
        <v/>
      </c>
      <c r="D267">
        <f>IF(OR(H267="",P267=""),"",INDEX('Students'!$B$2:$B$701,P267))</f>
        <v/>
      </c>
      <c r="E267">
        <f>IF(OR(H267="",P267=""),"",INDEX('Students'!$C$2:$C$701,P267))</f>
        <v/>
      </c>
      <c r="F267" s="48">
        <f>IF(H267="","",IF(ISNUMBER(O267),O267,J267))</f>
        <v/>
      </c>
      <c r="G267">
        <f>IF(H267="","","OneCause")</f>
        <v/>
      </c>
      <c r="H267">
        <f>IF(AND(I267="",J267="",K267=""),"",IF(NOT(ISNUMBER(O267)),"Bad amount",IF(O267&lt;0,"Refund (not counted)",IF(O267=0,"Zero amount",IF(NOT(ISNUMBER(N267)),"Bad date",IF(P267="","NAME NOT ON ROSTER",IF(L267="","OK",IF(MATCH(L267,$L$2:$L$3001,0)&lt;ROW()-1,"Duplicate (ignored)","OK"))))))))</f>
        <v/>
      </c>
      <c r="I267">
        <f>IF(OC_Date=0,"",IF(INDEX('OneCause_Paste'!$A$267:$AZ$267,1,OC_Date)="","",INDEX('OneCause_Paste'!$A$267:$AZ$267,1,OC_Date)))</f>
        <v/>
      </c>
      <c r="J267">
        <f>IF(OC_Amt=0,"",IF(INDEX('OneCause_Paste'!$A$267:$AZ$267,1,OC_Amt)="","",INDEX('OneCause_Paste'!$A$267:$AZ$267,1,OC_Amt)))</f>
        <v/>
      </c>
      <c r="K267">
        <f>IF(OC_Name=0,"",IF(INDEX('OneCause_Paste'!$A$267:$AZ$267,1,OC_Name)="","",INDEX('OneCause_Paste'!$A$267:$AZ$267,1,OC_Name)))</f>
        <v/>
      </c>
      <c r="L267">
        <f>IF(OC_Txn=0,"",IF(INDEX('OneCause_Paste'!$A$267:$AZ$267,1,OC_Txn)="","",INDEX('OneCause_Paste'!$A$267:$AZ$267,1,OC_Txn)))</f>
        <v/>
      </c>
      <c r="M267">
        <f>IF(OC_Pay=0,"",IF(INDEX('OneCause_Paste'!$A$267:$AZ$267,1,OC_Pay)="","",INDEX('OneCause_Paste'!$A$267:$AZ$267,1,OC_Pay)))</f>
        <v/>
      </c>
      <c r="N267">
        <f>IF(I267="","",IF(ISNUMBER(I267),INT(I267),IFERROR(INT(DATEVALUE(I267)),IFERROR(INT(VALUE(I267)),"bad"))))</f>
        <v/>
      </c>
      <c r="O267">
        <f>IF(J267="","",IF(ISNUMBER(J267),ROUND(J267,2),IFERROR(ROUND(VALUE(SUBSTITUTE(SUBSTITUTE(SUBSTITUTE(J267,"$",""),",","")," ","")),2),"bad")))</f>
        <v/>
      </c>
      <c r="P267">
        <f>IF(TRIM(K267)="","",IFERROR(MATCH(LOWER(TRIM(K267)),'Students'!$AH$2:$AH$701,0),IFERROR(MATCH(LOWER(TRIM(K267)),'Students'!$AF$2:$AF$701,0),IFERROR(MATCH(LOWER(TRIM(K267)),'Students'!$AG$2:$AG$701,0),""))))</f>
        <v/>
      </c>
      <c r="R267">
        <f>IF(P267="","",INDEX('Students'!$AD$2:$AD$701,P267))</f>
        <v/>
      </c>
      <c r="S267">
        <f>IF(H267="OK",O267,0)</f>
        <v/>
      </c>
      <c r="T267">
        <f>IF(H267="OK",N267,"")</f>
        <v/>
      </c>
      <c r="U267">
        <f>IF(OC_Donor=0,"",IF(INDEX('OneCause_Paste'!$A$267:$AZ$267,1,OC_Donor)="","",INDEX('OneCause_Paste'!$A$267:$AZ$267,1,OC_Donor)))</f>
        <v/>
      </c>
    </row>
    <row r="268">
      <c r="A268" s="62">
        <f>IF(H268="","",IF(ISNUMBER(N268),N268,I268))</f>
        <v/>
      </c>
      <c r="B268">
        <f>IF(H268="","",U268)</f>
        <v/>
      </c>
      <c r="C268">
        <f>IF(H268="","",IF(P268="",K268,INDEX('Students'!$A$2:$A$701,P268)))</f>
        <v/>
      </c>
      <c r="D268">
        <f>IF(OR(H268="",P268=""),"",INDEX('Students'!$B$2:$B$701,P268))</f>
        <v/>
      </c>
      <c r="E268">
        <f>IF(OR(H268="",P268=""),"",INDEX('Students'!$C$2:$C$701,P268))</f>
        <v/>
      </c>
      <c r="F268" s="48">
        <f>IF(H268="","",IF(ISNUMBER(O268),O268,J268))</f>
        <v/>
      </c>
      <c r="G268">
        <f>IF(H268="","","OneCause")</f>
        <v/>
      </c>
      <c r="H268">
        <f>IF(AND(I268="",J268="",K268=""),"",IF(NOT(ISNUMBER(O268)),"Bad amount",IF(O268&lt;0,"Refund (not counted)",IF(O268=0,"Zero amount",IF(NOT(ISNUMBER(N268)),"Bad date",IF(P268="","NAME NOT ON ROSTER",IF(L268="","OK",IF(MATCH(L268,$L$2:$L$3001,0)&lt;ROW()-1,"Duplicate (ignored)","OK"))))))))</f>
        <v/>
      </c>
      <c r="I268">
        <f>IF(OC_Date=0,"",IF(INDEX('OneCause_Paste'!$A$268:$AZ$268,1,OC_Date)="","",INDEX('OneCause_Paste'!$A$268:$AZ$268,1,OC_Date)))</f>
        <v/>
      </c>
      <c r="J268">
        <f>IF(OC_Amt=0,"",IF(INDEX('OneCause_Paste'!$A$268:$AZ$268,1,OC_Amt)="","",INDEX('OneCause_Paste'!$A$268:$AZ$268,1,OC_Amt)))</f>
        <v/>
      </c>
      <c r="K268">
        <f>IF(OC_Name=0,"",IF(INDEX('OneCause_Paste'!$A$268:$AZ$268,1,OC_Name)="","",INDEX('OneCause_Paste'!$A$268:$AZ$268,1,OC_Name)))</f>
        <v/>
      </c>
      <c r="L268">
        <f>IF(OC_Txn=0,"",IF(INDEX('OneCause_Paste'!$A$268:$AZ$268,1,OC_Txn)="","",INDEX('OneCause_Paste'!$A$268:$AZ$268,1,OC_Txn)))</f>
        <v/>
      </c>
      <c r="M268">
        <f>IF(OC_Pay=0,"",IF(INDEX('OneCause_Paste'!$A$268:$AZ$268,1,OC_Pay)="","",INDEX('OneCause_Paste'!$A$268:$AZ$268,1,OC_Pay)))</f>
        <v/>
      </c>
      <c r="N268">
        <f>IF(I268="","",IF(ISNUMBER(I268),INT(I268),IFERROR(INT(DATEVALUE(I268)),IFERROR(INT(VALUE(I268)),"bad"))))</f>
        <v/>
      </c>
      <c r="O268">
        <f>IF(J268="","",IF(ISNUMBER(J268),ROUND(J268,2),IFERROR(ROUND(VALUE(SUBSTITUTE(SUBSTITUTE(SUBSTITUTE(J268,"$",""),",","")," ","")),2),"bad")))</f>
        <v/>
      </c>
      <c r="P268">
        <f>IF(TRIM(K268)="","",IFERROR(MATCH(LOWER(TRIM(K268)),'Students'!$AH$2:$AH$701,0),IFERROR(MATCH(LOWER(TRIM(K268)),'Students'!$AF$2:$AF$701,0),IFERROR(MATCH(LOWER(TRIM(K268)),'Students'!$AG$2:$AG$701,0),""))))</f>
        <v/>
      </c>
      <c r="R268">
        <f>IF(P268="","",INDEX('Students'!$AD$2:$AD$701,P268))</f>
        <v/>
      </c>
      <c r="S268">
        <f>IF(H268="OK",O268,0)</f>
        <v/>
      </c>
      <c r="T268">
        <f>IF(H268="OK",N268,"")</f>
        <v/>
      </c>
      <c r="U268">
        <f>IF(OC_Donor=0,"",IF(INDEX('OneCause_Paste'!$A$268:$AZ$268,1,OC_Donor)="","",INDEX('OneCause_Paste'!$A$268:$AZ$268,1,OC_Donor)))</f>
        <v/>
      </c>
    </row>
    <row r="269">
      <c r="A269" s="62">
        <f>IF(H269="","",IF(ISNUMBER(N269),N269,I269))</f>
        <v/>
      </c>
      <c r="B269">
        <f>IF(H269="","",U269)</f>
        <v/>
      </c>
      <c r="C269">
        <f>IF(H269="","",IF(P269="",K269,INDEX('Students'!$A$2:$A$701,P269)))</f>
        <v/>
      </c>
      <c r="D269">
        <f>IF(OR(H269="",P269=""),"",INDEX('Students'!$B$2:$B$701,P269))</f>
        <v/>
      </c>
      <c r="E269">
        <f>IF(OR(H269="",P269=""),"",INDEX('Students'!$C$2:$C$701,P269))</f>
        <v/>
      </c>
      <c r="F269" s="48">
        <f>IF(H269="","",IF(ISNUMBER(O269),O269,J269))</f>
        <v/>
      </c>
      <c r="G269">
        <f>IF(H269="","","OneCause")</f>
        <v/>
      </c>
      <c r="H269">
        <f>IF(AND(I269="",J269="",K269=""),"",IF(NOT(ISNUMBER(O269)),"Bad amount",IF(O269&lt;0,"Refund (not counted)",IF(O269=0,"Zero amount",IF(NOT(ISNUMBER(N269)),"Bad date",IF(P269="","NAME NOT ON ROSTER",IF(L269="","OK",IF(MATCH(L269,$L$2:$L$3001,0)&lt;ROW()-1,"Duplicate (ignored)","OK"))))))))</f>
        <v/>
      </c>
      <c r="I269">
        <f>IF(OC_Date=0,"",IF(INDEX('OneCause_Paste'!$A$269:$AZ$269,1,OC_Date)="","",INDEX('OneCause_Paste'!$A$269:$AZ$269,1,OC_Date)))</f>
        <v/>
      </c>
      <c r="J269">
        <f>IF(OC_Amt=0,"",IF(INDEX('OneCause_Paste'!$A$269:$AZ$269,1,OC_Amt)="","",INDEX('OneCause_Paste'!$A$269:$AZ$269,1,OC_Amt)))</f>
        <v/>
      </c>
      <c r="K269">
        <f>IF(OC_Name=0,"",IF(INDEX('OneCause_Paste'!$A$269:$AZ$269,1,OC_Name)="","",INDEX('OneCause_Paste'!$A$269:$AZ$269,1,OC_Name)))</f>
        <v/>
      </c>
      <c r="L269">
        <f>IF(OC_Txn=0,"",IF(INDEX('OneCause_Paste'!$A$269:$AZ$269,1,OC_Txn)="","",INDEX('OneCause_Paste'!$A$269:$AZ$269,1,OC_Txn)))</f>
        <v/>
      </c>
      <c r="M269">
        <f>IF(OC_Pay=0,"",IF(INDEX('OneCause_Paste'!$A$269:$AZ$269,1,OC_Pay)="","",INDEX('OneCause_Paste'!$A$269:$AZ$269,1,OC_Pay)))</f>
        <v/>
      </c>
      <c r="N269">
        <f>IF(I269="","",IF(ISNUMBER(I269),INT(I269),IFERROR(INT(DATEVALUE(I269)),IFERROR(INT(VALUE(I269)),"bad"))))</f>
        <v/>
      </c>
      <c r="O269">
        <f>IF(J269="","",IF(ISNUMBER(J269),ROUND(J269,2),IFERROR(ROUND(VALUE(SUBSTITUTE(SUBSTITUTE(SUBSTITUTE(J269,"$",""),",","")," ","")),2),"bad")))</f>
        <v/>
      </c>
      <c r="P269">
        <f>IF(TRIM(K269)="","",IFERROR(MATCH(LOWER(TRIM(K269)),'Students'!$AH$2:$AH$701,0),IFERROR(MATCH(LOWER(TRIM(K269)),'Students'!$AF$2:$AF$701,0),IFERROR(MATCH(LOWER(TRIM(K269)),'Students'!$AG$2:$AG$701,0),""))))</f>
        <v/>
      </c>
      <c r="R269">
        <f>IF(P269="","",INDEX('Students'!$AD$2:$AD$701,P269))</f>
        <v/>
      </c>
      <c r="S269">
        <f>IF(H269="OK",O269,0)</f>
        <v/>
      </c>
      <c r="T269">
        <f>IF(H269="OK",N269,"")</f>
        <v/>
      </c>
      <c r="U269">
        <f>IF(OC_Donor=0,"",IF(INDEX('OneCause_Paste'!$A$269:$AZ$269,1,OC_Donor)="","",INDEX('OneCause_Paste'!$A$269:$AZ$269,1,OC_Donor)))</f>
        <v/>
      </c>
    </row>
    <row r="270">
      <c r="A270" s="62">
        <f>IF(H270="","",IF(ISNUMBER(N270),N270,I270))</f>
        <v/>
      </c>
      <c r="B270">
        <f>IF(H270="","",U270)</f>
        <v/>
      </c>
      <c r="C270">
        <f>IF(H270="","",IF(P270="",K270,INDEX('Students'!$A$2:$A$701,P270)))</f>
        <v/>
      </c>
      <c r="D270">
        <f>IF(OR(H270="",P270=""),"",INDEX('Students'!$B$2:$B$701,P270))</f>
        <v/>
      </c>
      <c r="E270">
        <f>IF(OR(H270="",P270=""),"",INDEX('Students'!$C$2:$C$701,P270))</f>
        <v/>
      </c>
      <c r="F270" s="48">
        <f>IF(H270="","",IF(ISNUMBER(O270),O270,J270))</f>
        <v/>
      </c>
      <c r="G270">
        <f>IF(H270="","","OneCause")</f>
        <v/>
      </c>
      <c r="H270">
        <f>IF(AND(I270="",J270="",K270=""),"",IF(NOT(ISNUMBER(O270)),"Bad amount",IF(O270&lt;0,"Refund (not counted)",IF(O270=0,"Zero amount",IF(NOT(ISNUMBER(N270)),"Bad date",IF(P270="","NAME NOT ON ROSTER",IF(L270="","OK",IF(MATCH(L270,$L$2:$L$3001,0)&lt;ROW()-1,"Duplicate (ignored)","OK"))))))))</f>
        <v/>
      </c>
      <c r="I270">
        <f>IF(OC_Date=0,"",IF(INDEX('OneCause_Paste'!$A$270:$AZ$270,1,OC_Date)="","",INDEX('OneCause_Paste'!$A$270:$AZ$270,1,OC_Date)))</f>
        <v/>
      </c>
      <c r="J270">
        <f>IF(OC_Amt=0,"",IF(INDEX('OneCause_Paste'!$A$270:$AZ$270,1,OC_Amt)="","",INDEX('OneCause_Paste'!$A$270:$AZ$270,1,OC_Amt)))</f>
        <v/>
      </c>
      <c r="K270">
        <f>IF(OC_Name=0,"",IF(INDEX('OneCause_Paste'!$A$270:$AZ$270,1,OC_Name)="","",INDEX('OneCause_Paste'!$A$270:$AZ$270,1,OC_Name)))</f>
        <v/>
      </c>
      <c r="L270">
        <f>IF(OC_Txn=0,"",IF(INDEX('OneCause_Paste'!$A$270:$AZ$270,1,OC_Txn)="","",INDEX('OneCause_Paste'!$A$270:$AZ$270,1,OC_Txn)))</f>
        <v/>
      </c>
      <c r="M270">
        <f>IF(OC_Pay=0,"",IF(INDEX('OneCause_Paste'!$A$270:$AZ$270,1,OC_Pay)="","",INDEX('OneCause_Paste'!$A$270:$AZ$270,1,OC_Pay)))</f>
        <v/>
      </c>
      <c r="N270">
        <f>IF(I270="","",IF(ISNUMBER(I270),INT(I270),IFERROR(INT(DATEVALUE(I270)),IFERROR(INT(VALUE(I270)),"bad"))))</f>
        <v/>
      </c>
      <c r="O270">
        <f>IF(J270="","",IF(ISNUMBER(J270),ROUND(J270,2),IFERROR(ROUND(VALUE(SUBSTITUTE(SUBSTITUTE(SUBSTITUTE(J270,"$",""),",","")," ","")),2),"bad")))</f>
        <v/>
      </c>
      <c r="P270">
        <f>IF(TRIM(K270)="","",IFERROR(MATCH(LOWER(TRIM(K270)),'Students'!$AH$2:$AH$701,0),IFERROR(MATCH(LOWER(TRIM(K270)),'Students'!$AF$2:$AF$701,0),IFERROR(MATCH(LOWER(TRIM(K270)),'Students'!$AG$2:$AG$701,0),""))))</f>
        <v/>
      </c>
      <c r="R270">
        <f>IF(P270="","",INDEX('Students'!$AD$2:$AD$701,P270))</f>
        <v/>
      </c>
      <c r="S270">
        <f>IF(H270="OK",O270,0)</f>
        <v/>
      </c>
      <c r="T270">
        <f>IF(H270="OK",N270,"")</f>
        <v/>
      </c>
      <c r="U270">
        <f>IF(OC_Donor=0,"",IF(INDEX('OneCause_Paste'!$A$270:$AZ$270,1,OC_Donor)="","",INDEX('OneCause_Paste'!$A$270:$AZ$270,1,OC_Donor)))</f>
        <v/>
      </c>
    </row>
    <row r="271">
      <c r="A271" s="62">
        <f>IF(H271="","",IF(ISNUMBER(N271),N271,I271))</f>
        <v/>
      </c>
      <c r="B271">
        <f>IF(H271="","",U271)</f>
        <v/>
      </c>
      <c r="C271">
        <f>IF(H271="","",IF(P271="",K271,INDEX('Students'!$A$2:$A$701,P271)))</f>
        <v/>
      </c>
      <c r="D271">
        <f>IF(OR(H271="",P271=""),"",INDEX('Students'!$B$2:$B$701,P271))</f>
        <v/>
      </c>
      <c r="E271">
        <f>IF(OR(H271="",P271=""),"",INDEX('Students'!$C$2:$C$701,P271))</f>
        <v/>
      </c>
      <c r="F271" s="48">
        <f>IF(H271="","",IF(ISNUMBER(O271),O271,J271))</f>
        <v/>
      </c>
      <c r="G271">
        <f>IF(H271="","","OneCause")</f>
        <v/>
      </c>
      <c r="H271">
        <f>IF(AND(I271="",J271="",K271=""),"",IF(NOT(ISNUMBER(O271)),"Bad amount",IF(O271&lt;0,"Refund (not counted)",IF(O271=0,"Zero amount",IF(NOT(ISNUMBER(N271)),"Bad date",IF(P271="","NAME NOT ON ROSTER",IF(L271="","OK",IF(MATCH(L271,$L$2:$L$3001,0)&lt;ROW()-1,"Duplicate (ignored)","OK"))))))))</f>
        <v/>
      </c>
      <c r="I271">
        <f>IF(OC_Date=0,"",IF(INDEX('OneCause_Paste'!$A$271:$AZ$271,1,OC_Date)="","",INDEX('OneCause_Paste'!$A$271:$AZ$271,1,OC_Date)))</f>
        <v/>
      </c>
      <c r="J271">
        <f>IF(OC_Amt=0,"",IF(INDEX('OneCause_Paste'!$A$271:$AZ$271,1,OC_Amt)="","",INDEX('OneCause_Paste'!$A$271:$AZ$271,1,OC_Amt)))</f>
        <v/>
      </c>
      <c r="K271">
        <f>IF(OC_Name=0,"",IF(INDEX('OneCause_Paste'!$A$271:$AZ$271,1,OC_Name)="","",INDEX('OneCause_Paste'!$A$271:$AZ$271,1,OC_Name)))</f>
        <v/>
      </c>
      <c r="L271">
        <f>IF(OC_Txn=0,"",IF(INDEX('OneCause_Paste'!$A$271:$AZ$271,1,OC_Txn)="","",INDEX('OneCause_Paste'!$A$271:$AZ$271,1,OC_Txn)))</f>
        <v/>
      </c>
      <c r="M271">
        <f>IF(OC_Pay=0,"",IF(INDEX('OneCause_Paste'!$A$271:$AZ$271,1,OC_Pay)="","",INDEX('OneCause_Paste'!$A$271:$AZ$271,1,OC_Pay)))</f>
        <v/>
      </c>
      <c r="N271">
        <f>IF(I271="","",IF(ISNUMBER(I271),INT(I271),IFERROR(INT(DATEVALUE(I271)),IFERROR(INT(VALUE(I271)),"bad"))))</f>
        <v/>
      </c>
      <c r="O271">
        <f>IF(J271="","",IF(ISNUMBER(J271),ROUND(J271,2),IFERROR(ROUND(VALUE(SUBSTITUTE(SUBSTITUTE(SUBSTITUTE(J271,"$",""),",","")," ","")),2),"bad")))</f>
        <v/>
      </c>
      <c r="P271">
        <f>IF(TRIM(K271)="","",IFERROR(MATCH(LOWER(TRIM(K271)),'Students'!$AH$2:$AH$701,0),IFERROR(MATCH(LOWER(TRIM(K271)),'Students'!$AF$2:$AF$701,0),IFERROR(MATCH(LOWER(TRIM(K271)),'Students'!$AG$2:$AG$701,0),""))))</f>
        <v/>
      </c>
      <c r="R271">
        <f>IF(P271="","",INDEX('Students'!$AD$2:$AD$701,P271))</f>
        <v/>
      </c>
      <c r="S271">
        <f>IF(H271="OK",O271,0)</f>
        <v/>
      </c>
      <c r="T271">
        <f>IF(H271="OK",N271,"")</f>
        <v/>
      </c>
      <c r="U271">
        <f>IF(OC_Donor=0,"",IF(INDEX('OneCause_Paste'!$A$271:$AZ$271,1,OC_Donor)="","",INDEX('OneCause_Paste'!$A$271:$AZ$271,1,OC_Donor)))</f>
        <v/>
      </c>
    </row>
    <row r="272">
      <c r="A272" s="62">
        <f>IF(H272="","",IF(ISNUMBER(N272),N272,I272))</f>
        <v/>
      </c>
      <c r="B272">
        <f>IF(H272="","",U272)</f>
        <v/>
      </c>
      <c r="C272">
        <f>IF(H272="","",IF(P272="",K272,INDEX('Students'!$A$2:$A$701,P272)))</f>
        <v/>
      </c>
      <c r="D272">
        <f>IF(OR(H272="",P272=""),"",INDEX('Students'!$B$2:$B$701,P272))</f>
        <v/>
      </c>
      <c r="E272">
        <f>IF(OR(H272="",P272=""),"",INDEX('Students'!$C$2:$C$701,P272))</f>
        <v/>
      </c>
      <c r="F272" s="48">
        <f>IF(H272="","",IF(ISNUMBER(O272),O272,J272))</f>
        <v/>
      </c>
      <c r="G272">
        <f>IF(H272="","","OneCause")</f>
        <v/>
      </c>
      <c r="H272">
        <f>IF(AND(I272="",J272="",K272=""),"",IF(NOT(ISNUMBER(O272)),"Bad amount",IF(O272&lt;0,"Refund (not counted)",IF(O272=0,"Zero amount",IF(NOT(ISNUMBER(N272)),"Bad date",IF(P272="","NAME NOT ON ROSTER",IF(L272="","OK",IF(MATCH(L272,$L$2:$L$3001,0)&lt;ROW()-1,"Duplicate (ignored)","OK"))))))))</f>
        <v/>
      </c>
      <c r="I272">
        <f>IF(OC_Date=0,"",IF(INDEX('OneCause_Paste'!$A$272:$AZ$272,1,OC_Date)="","",INDEX('OneCause_Paste'!$A$272:$AZ$272,1,OC_Date)))</f>
        <v/>
      </c>
      <c r="J272">
        <f>IF(OC_Amt=0,"",IF(INDEX('OneCause_Paste'!$A$272:$AZ$272,1,OC_Amt)="","",INDEX('OneCause_Paste'!$A$272:$AZ$272,1,OC_Amt)))</f>
        <v/>
      </c>
      <c r="K272">
        <f>IF(OC_Name=0,"",IF(INDEX('OneCause_Paste'!$A$272:$AZ$272,1,OC_Name)="","",INDEX('OneCause_Paste'!$A$272:$AZ$272,1,OC_Name)))</f>
        <v/>
      </c>
      <c r="L272">
        <f>IF(OC_Txn=0,"",IF(INDEX('OneCause_Paste'!$A$272:$AZ$272,1,OC_Txn)="","",INDEX('OneCause_Paste'!$A$272:$AZ$272,1,OC_Txn)))</f>
        <v/>
      </c>
      <c r="M272">
        <f>IF(OC_Pay=0,"",IF(INDEX('OneCause_Paste'!$A$272:$AZ$272,1,OC_Pay)="","",INDEX('OneCause_Paste'!$A$272:$AZ$272,1,OC_Pay)))</f>
        <v/>
      </c>
      <c r="N272">
        <f>IF(I272="","",IF(ISNUMBER(I272),INT(I272),IFERROR(INT(DATEVALUE(I272)),IFERROR(INT(VALUE(I272)),"bad"))))</f>
        <v/>
      </c>
      <c r="O272">
        <f>IF(J272="","",IF(ISNUMBER(J272),ROUND(J272,2),IFERROR(ROUND(VALUE(SUBSTITUTE(SUBSTITUTE(SUBSTITUTE(J272,"$",""),",","")," ","")),2),"bad")))</f>
        <v/>
      </c>
      <c r="P272">
        <f>IF(TRIM(K272)="","",IFERROR(MATCH(LOWER(TRIM(K272)),'Students'!$AH$2:$AH$701,0),IFERROR(MATCH(LOWER(TRIM(K272)),'Students'!$AF$2:$AF$701,0),IFERROR(MATCH(LOWER(TRIM(K272)),'Students'!$AG$2:$AG$701,0),""))))</f>
        <v/>
      </c>
      <c r="R272">
        <f>IF(P272="","",INDEX('Students'!$AD$2:$AD$701,P272))</f>
        <v/>
      </c>
      <c r="S272">
        <f>IF(H272="OK",O272,0)</f>
        <v/>
      </c>
      <c r="T272">
        <f>IF(H272="OK",N272,"")</f>
        <v/>
      </c>
      <c r="U272">
        <f>IF(OC_Donor=0,"",IF(INDEX('OneCause_Paste'!$A$272:$AZ$272,1,OC_Donor)="","",INDEX('OneCause_Paste'!$A$272:$AZ$272,1,OC_Donor)))</f>
        <v/>
      </c>
    </row>
    <row r="273">
      <c r="A273" s="62">
        <f>IF(H273="","",IF(ISNUMBER(N273),N273,I273))</f>
        <v/>
      </c>
      <c r="B273">
        <f>IF(H273="","",U273)</f>
        <v/>
      </c>
      <c r="C273">
        <f>IF(H273="","",IF(P273="",K273,INDEX('Students'!$A$2:$A$701,P273)))</f>
        <v/>
      </c>
      <c r="D273">
        <f>IF(OR(H273="",P273=""),"",INDEX('Students'!$B$2:$B$701,P273))</f>
        <v/>
      </c>
      <c r="E273">
        <f>IF(OR(H273="",P273=""),"",INDEX('Students'!$C$2:$C$701,P273))</f>
        <v/>
      </c>
      <c r="F273" s="48">
        <f>IF(H273="","",IF(ISNUMBER(O273),O273,J273))</f>
        <v/>
      </c>
      <c r="G273">
        <f>IF(H273="","","OneCause")</f>
        <v/>
      </c>
      <c r="H273">
        <f>IF(AND(I273="",J273="",K273=""),"",IF(NOT(ISNUMBER(O273)),"Bad amount",IF(O273&lt;0,"Refund (not counted)",IF(O273=0,"Zero amount",IF(NOT(ISNUMBER(N273)),"Bad date",IF(P273="","NAME NOT ON ROSTER",IF(L273="","OK",IF(MATCH(L273,$L$2:$L$3001,0)&lt;ROW()-1,"Duplicate (ignored)","OK"))))))))</f>
        <v/>
      </c>
      <c r="I273">
        <f>IF(OC_Date=0,"",IF(INDEX('OneCause_Paste'!$A$273:$AZ$273,1,OC_Date)="","",INDEX('OneCause_Paste'!$A$273:$AZ$273,1,OC_Date)))</f>
        <v/>
      </c>
      <c r="J273">
        <f>IF(OC_Amt=0,"",IF(INDEX('OneCause_Paste'!$A$273:$AZ$273,1,OC_Amt)="","",INDEX('OneCause_Paste'!$A$273:$AZ$273,1,OC_Amt)))</f>
        <v/>
      </c>
      <c r="K273">
        <f>IF(OC_Name=0,"",IF(INDEX('OneCause_Paste'!$A$273:$AZ$273,1,OC_Name)="","",INDEX('OneCause_Paste'!$A$273:$AZ$273,1,OC_Name)))</f>
        <v/>
      </c>
      <c r="L273">
        <f>IF(OC_Txn=0,"",IF(INDEX('OneCause_Paste'!$A$273:$AZ$273,1,OC_Txn)="","",INDEX('OneCause_Paste'!$A$273:$AZ$273,1,OC_Txn)))</f>
        <v/>
      </c>
      <c r="M273">
        <f>IF(OC_Pay=0,"",IF(INDEX('OneCause_Paste'!$A$273:$AZ$273,1,OC_Pay)="","",INDEX('OneCause_Paste'!$A$273:$AZ$273,1,OC_Pay)))</f>
        <v/>
      </c>
      <c r="N273">
        <f>IF(I273="","",IF(ISNUMBER(I273),INT(I273),IFERROR(INT(DATEVALUE(I273)),IFERROR(INT(VALUE(I273)),"bad"))))</f>
        <v/>
      </c>
      <c r="O273">
        <f>IF(J273="","",IF(ISNUMBER(J273),ROUND(J273,2),IFERROR(ROUND(VALUE(SUBSTITUTE(SUBSTITUTE(SUBSTITUTE(J273,"$",""),",","")," ","")),2),"bad")))</f>
        <v/>
      </c>
      <c r="P273">
        <f>IF(TRIM(K273)="","",IFERROR(MATCH(LOWER(TRIM(K273)),'Students'!$AH$2:$AH$701,0),IFERROR(MATCH(LOWER(TRIM(K273)),'Students'!$AF$2:$AF$701,0),IFERROR(MATCH(LOWER(TRIM(K273)),'Students'!$AG$2:$AG$701,0),""))))</f>
        <v/>
      </c>
      <c r="R273">
        <f>IF(P273="","",INDEX('Students'!$AD$2:$AD$701,P273))</f>
        <v/>
      </c>
      <c r="S273">
        <f>IF(H273="OK",O273,0)</f>
        <v/>
      </c>
      <c r="T273">
        <f>IF(H273="OK",N273,"")</f>
        <v/>
      </c>
      <c r="U273">
        <f>IF(OC_Donor=0,"",IF(INDEX('OneCause_Paste'!$A$273:$AZ$273,1,OC_Donor)="","",INDEX('OneCause_Paste'!$A$273:$AZ$273,1,OC_Donor)))</f>
        <v/>
      </c>
    </row>
    <row r="274">
      <c r="A274" s="62">
        <f>IF(H274="","",IF(ISNUMBER(N274),N274,I274))</f>
        <v/>
      </c>
      <c r="B274">
        <f>IF(H274="","",U274)</f>
        <v/>
      </c>
      <c r="C274">
        <f>IF(H274="","",IF(P274="",K274,INDEX('Students'!$A$2:$A$701,P274)))</f>
        <v/>
      </c>
      <c r="D274">
        <f>IF(OR(H274="",P274=""),"",INDEX('Students'!$B$2:$B$701,P274))</f>
        <v/>
      </c>
      <c r="E274">
        <f>IF(OR(H274="",P274=""),"",INDEX('Students'!$C$2:$C$701,P274))</f>
        <v/>
      </c>
      <c r="F274" s="48">
        <f>IF(H274="","",IF(ISNUMBER(O274),O274,J274))</f>
        <v/>
      </c>
      <c r="G274">
        <f>IF(H274="","","OneCause")</f>
        <v/>
      </c>
      <c r="H274">
        <f>IF(AND(I274="",J274="",K274=""),"",IF(NOT(ISNUMBER(O274)),"Bad amount",IF(O274&lt;0,"Refund (not counted)",IF(O274=0,"Zero amount",IF(NOT(ISNUMBER(N274)),"Bad date",IF(P274="","NAME NOT ON ROSTER",IF(L274="","OK",IF(MATCH(L274,$L$2:$L$3001,0)&lt;ROW()-1,"Duplicate (ignored)","OK"))))))))</f>
        <v/>
      </c>
      <c r="I274">
        <f>IF(OC_Date=0,"",IF(INDEX('OneCause_Paste'!$A$274:$AZ$274,1,OC_Date)="","",INDEX('OneCause_Paste'!$A$274:$AZ$274,1,OC_Date)))</f>
        <v/>
      </c>
      <c r="J274">
        <f>IF(OC_Amt=0,"",IF(INDEX('OneCause_Paste'!$A$274:$AZ$274,1,OC_Amt)="","",INDEX('OneCause_Paste'!$A$274:$AZ$274,1,OC_Amt)))</f>
        <v/>
      </c>
      <c r="K274">
        <f>IF(OC_Name=0,"",IF(INDEX('OneCause_Paste'!$A$274:$AZ$274,1,OC_Name)="","",INDEX('OneCause_Paste'!$A$274:$AZ$274,1,OC_Name)))</f>
        <v/>
      </c>
      <c r="L274">
        <f>IF(OC_Txn=0,"",IF(INDEX('OneCause_Paste'!$A$274:$AZ$274,1,OC_Txn)="","",INDEX('OneCause_Paste'!$A$274:$AZ$274,1,OC_Txn)))</f>
        <v/>
      </c>
      <c r="M274">
        <f>IF(OC_Pay=0,"",IF(INDEX('OneCause_Paste'!$A$274:$AZ$274,1,OC_Pay)="","",INDEX('OneCause_Paste'!$A$274:$AZ$274,1,OC_Pay)))</f>
        <v/>
      </c>
      <c r="N274">
        <f>IF(I274="","",IF(ISNUMBER(I274),INT(I274),IFERROR(INT(DATEVALUE(I274)),IFERROR(INT(VALUE(I274)),"bad"))))</f>
        <v/>
      </c>
      <c r="O274">
        <f>IF(J274="","",IF(ISNUMBER(J274),ROUND(J274,2),IFERROR(ROUND(VALUE(SUBSTITUTE(SUBSTITUTE(SUBSTITUTE(J274,"$",""),",","")," ","")),2),"bad")))</f>
        <v/>
      </c>
      <c r="P274">
        <f>IF(TRIM(K274)="","",IFERROR(MATCH(LOWER(TRIM(K274)),'Students'!$AH$2:$AH$701,0),IFERROR(MATCH(LOWER(TRIM(K274)),'Students'!$AF$2:$AF$701,0),IFERROR(MATCH(LOWER(TRIM(K274)),'Students'!$AG$2:$AG$701,0),""))))</f>
        <v/>
      </c>
      <c r="R274">
        <f>IF(P274="","",INDEX('Students'!$AD$2:$AD$701,P274))</f>
        <v/>
      </c>
      <c r="S274">
        <f>IF(H274="OK",O274,0)</f>
        <v/>
      </c>
      <c r="T274">
        <f>IF(H274="OK",N274,"")</f>
        <v/>
      </c>
      <c r="U274">
        <f>IF(OC_Donor=0,"",IF(INDEX('OneCause_Paste'!$A$274:$AZ$274,1,OC_Donor)="","",INDEX('OneCause_Paste'!$A$274:$AZ$274,1,OC_Donor)))</f>
        <v/>
      </c>
    </row>
    <row r="275">
      <c r="A275" s="62">
        <f>IF(H275="","",IF(ISNUMBER(N275),N275,I275))</f>
        <v/>
      </c>
      <c r="B275">
        <f>IF(H275="","",U275)</f>
        <v/>
      </c>
      <c r="C275">
        <f>IF(H275="","",IF(P275="",K275,INDEX('Students'!$A$2:$A$701,P275)))</f>
        <v/>
      </c>
      <c r="D275">
        <f>IF(OR(H275="",P275=""),"",INDEX('Students'!$B$2:$B$701,P275))</f>
        <v/>
      </c>
      <c r="E275">
        <f>IF(OR(H275="",P275=""),"",INDEX('Students'!$C$2:$C$701,P275))</f>
        <v/>
      </c>
      <c r="F275" s="48">
        <f>IF(H275="","",IF(ISNUMBER(O275),O275,J275))</f>
        <v/>
      </c>
      <c r="G275">
        <f>IF(H275="","","OneCause")</f>
        <v/>
      </c>
      <c r="H275">
        <f>IF(AND(I275="",J275="",K275=""),"",IF(NOT(ISNUMBER(O275)),"Bad amount",IF(O275&lt;0,"Refund (not counted)",IF(O275=0,"Zero amount",IF(NOT(ISNUMBER(N275)),"Bad date",IF(P275="","NAME NOT ON ROSTER",IF(L275="","OK",IF(MATCH(L275,$L$2:$L$3001,0)&lt;ROW()-1,"Duplicate (ignored)","OK"))))))))</f>
        <v/>
      </c>
      <c r="I275">
        <f>IF(OC_Date=0,"",IF(INDEX('OneCause_Paste'!$A$275:$AZ$275,1,OC_Date)="","",INDEX('OneCause_Paste'!$A$275:$AZ$275,1,OC_Date)))</f>
        <v/>
      </c>
      <c r="J275">
        <f>IF(OC_Amt=0,"",IF(INDEX('OneCause_Paste'!$A$275:$AZ$275,1,OC_Amt)="","",INDEX('OneCause_Paste'!$A$275:$AZ$275,1,OC_Amt)))</f>
        <v/>
      </c>
      <c r="K275">
        <f>IF(OC_Name=0,"",IF(INDEX('OneCause_Paste'!$A$275:$AZ$275,1,OC_Name)="","",INDEX('OneCause_Paste'!$A$275:$AZ$275,1,OC_Name)))</f>
        <v/>
      </c>
      <c r="L275">
        <f>IF(OC_Txn=0,"",IF(INDEX('OneCause_Paste'!$A$275:$AZ$275,1,OC_Txn)="","",INDEX('OneCause_Paste'!$A$275:$AZ$275,1,OC_Txn)))</f>
        <v/>
      </c>
      <c r="M275">
        <f>IF(OC_Pay=0,"",IF(INDEX('OneCause_Paste'!$A$275:$AZ$275,1,OC_Pay)="","",INDEX('OneCause_Paste'!$A$275:$AZ$275,1,OC_Pay)))</f>
        <v/>
      </c>
      <c r="N275">
        <f>IF(I275="","",IF(ISNUMBER(I275),INT(I275),IFERROR(INT(DATEVALUE(I275)),IFERROR(INT(VALUE(I275)),"bad"))))</f>
        <v/>
      </c>
      <c r="O275">
        <f>IF(J275="","",IF(ISNUMBER(J275),ROUND(J275,2),IFERROR(ROUND(VALUE(SUBSTITUTE(SUBSTITUTE(SUBSTITUTE(J275,"$",""),",","")," ","")),2),"bad")))</f>
        <v/>
      </c>
      <c r="P275">
        <f>IF(TRIM(K275)="","",IFERROR(MATCH(LOWER(TRIM(K275)),'Students'!$AH$2:$AH$701,0),IFERROR(MATCH(LOWER(TRIM(K275)),'Students'!$AF$2:$AF$701,0),IFERROR(MATCH(LOWER(TRIM(K275)),'Students'!$AG$2:$AG$701,0),""))))</f>
        <v/>
      </c>
      <c r="R275">
        <f>IF(P275="","",INDEX('Students'!$AD$2:$AD$701,P275))</f>
        <v/>
      </c>
      <c r="S275">
        <f>IF(H275="OK",O275,0)</f>
        <v/>
      </c>
      <c r="T275">
        <f>IF(H275="OK",N275,"")</f>
        <v/>
      </c>
      <c r="U275">
        <f>IF(OC_Donor=0,"",IF(INDEX('OneCause_Paste'!$A$275:$AZ$275,1,OC_Donor)="","",INDEX('OneCause_Paste'!$A$275:$AZ$275,1,OC_Donor)))</f>
        <v/>
      </c>
    </row>
    <row r="276">
      <c r="A276" s="62">
        <f>IF(H276="","",IF(ISNUMBER(N276),N276,I276))</f>
        <v/>
      </c>
      <c r="B276">
        <f>IF(H276="","",U276)</f>
        <v/>
      </c>
      <c r="C276">
        <f>IF(H276="","",IF(P276="",K276,INDEX('Students'!$A$2:$A$701,P276)))</f>
        <v/>
      </c>
      <c r="D276">
        <f>IF(OR(H276="",P276=""),"",INDEX('Students'!$B$2:$B$701,P276))</f>
        <v/>
      </c>
      <c r="E276">
        <f>IF(OR(H276="",P276=""),"",INDEX('Students'!$C$2:$C$701,P276))</f>
        <v/>
      </c>
      <c r="F276" s="48">
        <f>IF(H276="","",IF(ISNUMBER(O276),O276,J276))</f>
        <v/>
      </c>
      <c r="G276">
        <f>IF(H276="","","OneCause")</f>
        <v/>
      </c>
      <c r="H276">
        <f>IF(AND(I276="",J276="",K276=""),"",IF(NOT(ISNUMBER(O276)),"Bad amount",IF(O276&lt;0,"Refund (not counted)",IF(O276=0,"Zero amount",IF(NOT(ISNUMBER(N276)),"Bad date",IF(P276="","NAME NOT ON ROSTER",IF(L276="","OK",IF(MATCH(L276,$L$2:$L$3001,0)&lt;ROW()-1,"Duplicate (ignored)","OK"))))))))</f>
        <v/>
      </c>
      <c r="I276">
        <f>IF(OC_Date=0,"",IF(INDEX('OneCause_Paste'!$A$276:$AZ$276,1,OC_Date)="","",INDEX('OneCause_Paste'!$A$276:$AZ$276,1,OC_Date)))</f>
        <v/>
      </c>
      <c r="J276">
        <f>IF(OC_Amt=0,"",IF(INDEX('OneCause_Paste'!$A$276:$AZ$276,1,OC_Amt)="","",INDEX('OneCause_Paste'!$A$276:$AZ$276,1,OC_Amt)))</f>
        <v/>
      </c>
      <c r="K276">
        <f>IF(OC_Name=0,"",IF(INDEX('OneCause_Paste'!$A$276:$AZ$276,1,OC_Name)="","",INDEX('OneCause_Paste'!$A$276:$AZ$276,1,OC_Name)))</f>
        <v/>
      </c>
      <c r="L276">
        <f>IF(OC_Txn=0,"",IF(INDEX('OneCause_Paste'!$A$276:$AZ$276,1,OC_Txn)="","",INDEX('OneCause_Paste'!$A$276:$AZ$276,1,OC_Txn)))</f>
        <v/>
      </c>
      <c r="M276">
        <f>IF(OC_Pay=0,"",IF(INDEX('OneCause_Paste'!$A$276:$AZ$276,1,OC_Pay)="","",INDEX('OneCause_Paste'!$A$276:$AZ$276,1,OC_Pay)))</f>
        <v/>
      </c>
      <c r="N276">
        <f>IF(I276="","",IF(ISNUMBER(I276),INT(I276),IFERROR(INT(DATEVALUE(I276)),IFERROR(INT(VALUE(I276)),"bad"))))</f>
        <v/>
      </c>
      <c r="O276">
        <f>IF(J276="","",IF(ISNUMBER(J276),ROUND(J276,2),IFERROR(ROUND(VALUE(SUBSTITUTE(SUBSTITUTE(SUBSTITUTE(J276,"$",""),",","")," ","")),2),"bad")))</f>
        <v/>
      </c>
      <c r="P276">
        <f>IF(TRIM(K276)="","",IFERROR(MATCH(LOWER(TRIM(K276)),'Students'!$AH$2:$AH$701,0),IFERROR(MATCH(LOWER(TRIM(K276)),'Students'!$AF$2:$AF$701,0),IFERROR(MATCH(LOWER(TRIM(K276)),'Students'!$AG$2:$AG$701,0),""))))</f>
        <v/>
      </c>
      <c r="R276">
        <f>IF(P276="","",INDEX('Students'!$AD$2:$AD$701,P276))</f>
        <v/>
      </c>
      <c r="S276">
        <f>IF(H276="OK",O276,0)</f>
        <v/>
      </c>
      <c r="T276">
        <f>IF(H276="OK",N276,"")</f>
        <v/>
      </c>
      <c r="U276">
        <f>IF(OC_Donor=0,"",IF(INDEX('OneCause_Paste'!$A$276:$AZ$276,1,OC_Donor)="","",INDEX('OneCause_Paste'!$A$276:$AZ$276,1,OC_Donor)))</f>
        <v/>
      </c>
    </row>
    <row r="277">
      <c r="A277" s="62">
        <f>IF(H277="","",IF(ISNUMBER(N277),N277,I277))</f>
        <v/>
      </c>
      <c r="B277">
        <f>IF(H277="","",U277)</f>
        <v/>
      </c>
      <c r="C277">
        <f>IF(H277="","",IF(P277="",K277,INDEX('Students'!$A$2:$A$701,P277)))</f>
        <v/>
      </c>
      <c r="D277">
        <f>IF(OR(H277="",P277=""),"",INDEX('Students'!$B$2:$B$701,P277))</f>
        <v/>
      </c>
      <c r="E277">
        <f>IF(OR(H277="",P277=""),"",INDEX('Students'!$C$2:$C$701,P277))</f>
        <v/>
      </c>
      <c r="F277" s="48">
        <f>IF(H277="","",IF(ISNUMBER(O277),O277,J277))</f>
        <v/>
      </c>
      <c r="G277">
        <f>IF(H277="","","OneCause")</f>
        <v/>
      </c>
      <c r="H277">
        <f>IF(AND(I277="",J277="",K277=""),"",IF(NOT(ISNUMBER(O277)),"Bad amount",IF(O277&lt;0,"Refund (not counted)",IF(O277=0,"Zero amount",IF(NOT(ISNUMBER(N277)),"Bad date",IF(P277="","NAME NOT ON ROSTER",IF(L277="","OK",IF(MATCH(L277,$L$2:$L$3001,0)&lt;ROW()-1,"Duplicate (ignored)","OK"))))))))</f>
        <v/>
      </c>
      <c r="I277">
        <f>IF(OC_Date=0,"",IF(INDEX('OneCause_Paste'!$A$277:$AZ$277,1,OC_Date)="","",INDEX('OneCause_Paste'!$A$277:$AZ$277,1,OC_Date)))</f>
        <v/>
      </c>
      <c r="J277">
        <f>IF(OC_Amt=0,"",IF(INDEX('OneCause_Paste'!$A$277:$AZ$277,1,OC_Amt)="","",INDEX('OneCause_Paste'!$A$277:$AZ$277,1,OC_Amt)))</f>
        <v/>
      </c>
      <c r="K277">
        <f>IF(OC_Name=0,"",IF(INDEX('OneCause_Paste'!$A$277:$AZ$277,1,OC_Name)="","",INDEX('OneCause_Paste'!$A$277:$AZ$277,1,OC_Name)))</f>
        <v/>
      </c>
      <c r="L277">
        <f>IF(OC_Txn=0,"",IF(INDEX('OneCause_Paste'!$A$277:$AZ$277,1,OC_Txn)="","",INDEX('OneCause_Paste'!$A$277:$AZ$277,1,OC_Txn)))</f>
        <v/>
      </c>
      <c r="M277">
        <f>IF(OC_Pay=0,"",IF(INDEX('OneCause_Paste'!$A$277:$AZ$277,1,OC_Pay)="","",INDEX('OneCause_Paste'!$A$277:$AZ$277,1,OC_Pay)))</f>
        <v/>
      </c>
      <c r="N277">
        <f>IF(I277="","",IF(ISNUMBER(I277),INT(I277),IFERROR(INT(DATEVALUE(I277)),IFERROR(INT(VALUE(I277)),"bad"))))</f>
        <v/>
      </c>
      <c r="O277">
        <f>IF(J277="","",IF(ISNUMBER(J277),ROUND(J277,2),IFERROR(ROUND(VALUE(SUBSTITUTE(SUBSTITUTE(SUBSTITUTE(J277,"$",""),",","")," ","")),2),"bad")))</f>
        <v/>
      </c>
      <c r="P277">
        <f>IF(TRIM(K277)="","",IFERROR(MATCH(LOWER(TRIM(K277)),'Students'!$AH$2:$AH$701,0),IFERROR(MATCH(LOWER(TRIM(K277)),'Students'!$AF$2:$AF$701,0),IFERROR(MATCH(LOWER(TRIM(K277)),'Students'!$AG$2:$AG$701,0),""))))</f>
        <v/>
      </c>
      <c r="R277">
        <f>IF(P277="","",INDEX('Students'!$AD$2:$AD$701,P277))</f>
        <v/>
      </c>
      <c r="S277">
        <f>IF(H277="OK",O277,0)</f>
        <v/>
      </c>
      <c r="T277">
        <f>IF(H277="OK",N277,"")</f>
        <v/>
      </c>
      <c r="U277">
        <f>IF(OC_Donor=0,"",IF(INDEX('OneCause_Paste'!$A$277:$AZ$277,1,OC_Donor)="","",INDEX('OneCause_Paste'!$A$277:$AZ$277,1,OC_Donor)))</f>
        <v/>
      </c>
    </row>
    <row r="278">
      <c r="A278" s="62">
        <f>IF(H278="","",IF(ISNUMBER(N278),N278,I278))</f>
        <v/>
      </c>
      <c r="B278">
        <f>IF(H278="","",U278)</f>
        <v/>
      </c>
      <c r="C278">
        <f>IF(H278="","",IF(P278="",K278,INDEX('Students'!$A$2:$A$701,P278)))</f>
        <v/>
      </c>
      <c r="D278">
        <f>IF(OR(H278="",P278=""),"",INDEX('Students'!$B$2:$B$701,P278))</f>
        <v/>
      </c>
      <c r="E278">
        <f>IF(OR(H278="",P278=""),"",INDEX('Students'!$C$2:$C$701,P278))</f>
        <v/>
      </c>
      <c r="F278" s="48">
        <f>IF(H278="","",IF(ISNUMBER(O278),O278,J278))</f>
        <v/>
      </c>
      <c r="G278">
        <f>IF(H278="","","OneCause")</f>
        <v/>
      </c>
      <c r="H278">
        <f>IF(AND(I278="",J278="",K278=""),"",IF(NOT(ISNUMBER(O278)),"Bad amount",IF(O278&lt;0,"Refund (not counted)",IF(O278=0,"Zero amount",IF(NOT(ISNUMBER(N278)),"Bad date",IF(P278="","NAME NOT ON ROSTER",IF(L278="","OK",IF(MATCH(L278,$L$2:$L$3001,0)&lt;ROW()-1,"Duplicate (ignored)","OK"))))))))</f>
        <v/>
      </c>
      <c r="I278">
        <f>IF(OC_Date=0,"",IF(INDEX('OneCause_Paste'!$A$278:$AZ$278,1,OC_Date)="","",INDEX('OneCause_Paste'!$A$278:$AZ$278,1,OC_Date)))</f>
        <v/>
      </c>
      <c r="J278">
        <f>IF(OC_Amt=0,"",IF(INDEX('OneCause_Paste'!$A$278:$AZ$278,1,OC_Amt)="","",INDEX('OneCause_Paste'!$A$278:$AZ$278,1,OC_Amt)))</f>
        <v/>
      </c>
      <c r="K278">
        <f>IF(OC_Name=0,"",IF(INDEX('OneCause_Paste'!$A$278:$AZ$278,1,OC_Name)="","",INDEX('OneCause_Paste'!$A$278:$AZ$278,1,OC_Name)))</f>
        <v/>
      </c>
      <c r="L278">
        <f>IF(OC_Txn=0,"",IF(INDEX('OneCause_Paste'!$A$278:$AZ$278,1,OC_Txn)="","",INDEX('OneCause_Paste'!$A$278:$AZ$278,1,OC_Txn)))</f>
        <v/>
      </c>
      <c r="M278">
        <f>IF(OC_Pay=0,"",IF(INDEX('OneCause_Paste'!$A$278:$AZ$278,1,OC_Pay)="","",INDEX('OneCause_Paste'!$A$278:$AZ$278,1,OC_Pay)))</f>
        <v/>
      </c>
      <c r="N278">
        <f>IF(I278="","",IF(ISNUMBER(I278),INT(I278),IFERROR(INT(DATEVALUE(I278)),IFERROR(INT(VALUE(I278)),"bad"))))</f>
        <v/>
      </c>
      <c r="O278">
        <f>IF(J278="","",IF(ISNUMBER(J278),ROUND(J278,2),IFERROR(ROUND(VALUE(SUBSTITUTE(SUBSTITUTE(SUBSTITUTE(J278,"$",""),",","")," ","")),2),"bad")))</f>
        <v/>
      </c>
      <c r="P278">
        <f>IF(TRIM(K278)="","",IFERROR(MATCH(LOWER(TRIM(K278)),'Students'!$AH$2:$AH$701,0),IFERROR(MATCH(LOWER(TRIM(K278)),'Students'!$AF$2:$AF$701,0),IFERROR(MATCH(LOWER(TRIM(K278)),'Students'!$AG$2:$AG$701,0),""))))</f>
        <v/>
      </c>
      <c r="R278">
        <f>IF(P278="","",INDEX('Students'!$AD$2:$AD$701,P278))</f>
        <v/>
      </c>
      <c r="S278">
        <f>IF(H278="OK",O278,0)</f>
        <v/>
      </c>
      <c r="T278">
        <f>IF(H278="OK",N278,"")</f>
        <v/>
      </c>
      <c r="U278">
        <f>IF(OC_Donor=0,"",IF(INDEX('OneCause_Paste'!$A$278:$AZ$278,1,OC_Donor)="","",INDEX('OneCause_Paste'!$A$278:$AZ$278,1,OC_Donor)))</f>
        <v/>
      </c>
    </row>
    <row r="279">
      <c r="A279" s="62">
        <f>IF(H279="","",IF(ISNUMBER(N279),N279,I279))</f>
        <v/>
      </c>
      <c r="B279">
        <f>IF(H279="","",U279)</f>
        <v/>
      </c>
      <c r="C279">
        <f>IF(H279="","",IF(P279="",K279,INDEX('Students'!$A$2:$A$701,P279)))</f>
        <v/>
      </c>
      <c r="D279">
        <f>IF(OR(H279="",P279=""),"",INDEX('Students'!$B$2:$B$701,P279))</f>
        <v/>
      </c>
      <c r="E279">
        <f>IF(OR(H279="",P279=""),"",INDEX('Students'!$C$2:$C$701,P279))</f>
        <v/>
      </c>
      <c r="F279" s="48">
        <f>IF(H279="","",IF(ISNUMBER(O279),O279,J279))</f>
        <v/>
      </c>
      <c r="G279">
        <f>IF(H279="","","OneCause")</f>
        <v/>
      </c>
      <c r="H279">
        <f>IF(AND(I279="",J279="",K279=""),"",IF(NOT(ISNUMBER(O279)),"Bad amount",IF(O279&lt;0,"Refund (not counted)",IF(O279=0,"Zero amount",IF(NOT(ISNUMBER(N279)),"Bad date",IF(P279="","NAME NOT ON ROSTER",IF(L279="","OK",IF(MATCH(L279,$L$2:$L$3001,0)&lt;ROW()-1,"Duplicate (ignored)","OK"))))))))</f>
        <v/>
      </c>
      <c r="I279">
        <f>IF(OC_Date=0,"",IF(INDEX('OneCause_Paste'!$A$279:$AZ$279,1,OC_Date)="","",INDEX('OneCause_Paste'!$A$279:$AZ$279,1,OC_Date)))</f>
        <v/>
      </c>
      <c r="J279">
        <f>IF(OC_Amt=0,"",IF(INDEX('OneCause_Paste'!$A$279:$AZ$279,1,OC_Amt)="","",INDEX('OneCause_Paste'!$A$279:$AZ$279,1,OC_Amt)))</f>
        <v/>
      </c>
      <c r="K279">
        <f>IF(OC_Name=0,"",IF(INDEX('OneCause_Paste'!$A$279:$AZ$279,1,OC_Name)="","",INDEX('OneCause_Paste'!$A$279:$AZ$279,1,OC_Name)))</f>
        <v/>
      </c>
      <c r="L279">
        <f>IF(OC_Txn=0,"",IF(INDEX('OneCause_Paste'!$A$279:$AZ$279,1,OC_Txn)="","",INDEX('OneCause_Paste'!$A$279:$AZ$279,1,OC_Txn)))</f>
        <v/>
      </c>
      <c r="M279">
        <f>IF(OC_Pay=0,"",IF(INDEX('OneCause_Paste'!$A$279:$AZ$279,1,OC_Pay)="","",INDEX('OneCause_Paste'!$A$279:$AZ$279,1,OC_Pay)))</f>
        <v/>
      </c>
      <c r="N279">
        <f>IF(I279="","",IF(ISNUMBER(I279),INT(I279),IFERROR(INT(DATEVALUE(I279)),IFERROR(INT(VALUE(I279)),"bad"))))</f>
        <v/>
      </c>
      <c r="O279">
        <f>IF(J279="","",IF(ISNUMBER(J279),ROUND(J279,2),IFERROR(ROUND(VALUE(SUBSTITUTE(SUBSTITUTE(SUBSTITUTE(J279,"$",""),",","")," ","")),2),"bad")))</f>
        <v/>
      </c>
      <c r="P279">
        <f>IF(TRIM(K279)="","",IFERROR(MATCH(LOWER(TRIM(K279)),'Students'!$AH$2:$AH$701,0),IFERROR(MATCH(LOWER(TRIM(K279)),'Students'!$AF$2:$AF$701,0),IFERROR(MATCH(LOWER(TRIM(K279)),'Students'!$AG$2:$AG$701,0),""))))</f>
        <v/>
      </c>
      <c r="R279">
        <f>IF(P279="","",INDEX('Students'!$AD$2:$AD$701,P279))</f>
        <v/>
      </c>
      <c r="S279">
        <f>IF(H279="OK",O279,0)</f>
        <v/>
      </c>
      <c r="T279">
        <f>IF(H279="OK",N279,"")</f>
        <v/>
      </c>
      <c r="U279">
        <f>IF(OC_Donor=0,"",IF(INDEX('OneCause_Paste'!$A$279:$AZ$279,1,OC_Donor)="","",INDEX('OneCause_Paste'!$A$279:$AZ$279,1,OC_Donor)))</f>
        <v/>
      </c>
    </row>
    <row r="280">
      <c r="A280" s="62">
        <f>IF(H280="","",IF(ISNUMBER(N280),N280,I280))</f>
        <v/>
      </c>
      <c r="B280">
        <f>IF(H280="","",U280)</f>
        <v/>
      </c>
      <c r="C280">
        <f>IF(H280="","",IF(P280="",K280,INDEX('Students'!$A$2:$A$701,P280)))</f>
        <v/>
      </c>
      <c r="D280">
        <f>IF(OR(H280="",P280=""),"",INDEX('Students'!$B$2:$B$701,P280))</f>
        <v/>
      </c>
      <c r="E280">
        <f>IF(OR(H280="",P280=""),"",INDEX('Students'!$C$2:$C$701,P280))</f>
        <v/>
      </c>
      <c r="F280" s="48">
        <f>IF(H280="","",IF(ISNUMBER(O280),O280,J280))</f>
        <v/>
      </c>
      <c r="G280">
        <f>IF(H280="","","OneCause")</f>
        <v/>
      </c>
      <c r="H280">
        <f>IF(AND(I280="",J280="",K280=""),"",IF(NOT(ISNUMBER(O280)),"Bad amount",IF(O280&lt;0,"Refund (not counted)",IF(O280=0,"Zero amount",IF(NOT(ISNUMBER(N280)),"Bad date",IF(P280="","NAME NOT ON ROSTER",IF(L280="","OK",IF(MATCH(L280,$L$2:$L$3001,0)&lt;ROW()-1,"Duplicate (ignored)","OK"))))))))</f>
        <v/>
      </c>
      <c r="I280">
        <f>IF(OC_Date=0,"",IF(INDEX('OneCause_Paste'!$A$280:$AZ$280,1,OC_Date)="","",INDEX('OneCause_Paste'!$A$280:$AZ$280,1,OC_Date)))</f>
        <v/>
      </c>
      <c r="J280">
        <f>IF(OC_Amt=0,"",IF(INDEX('OneCause_Paste'!$A$280:$AZ$280,1,OC_Amt)="","",INDEX('OneCause_Paste'!$A$280:$AZ$280,1,OC_Amt)))</f>
        <v/>
      </c>
      <c r="K280">
        <f>IF(OC_Name=0,"",IF(INDEX('OneCause_Paste'!$A$280:$AZ$280,1,OC_Name)="","",INDEX('OneCause_Paste'!$A$280:$AZ$280,1,OC_Name)))</f>
        <v/>
      </c>
      <c r="L280">
        <f>IF(OC_Txn=0,"",IF(INDEX('OneCause_Paste'!$A$280:$AZ$280,1,OC_Txn)="","",INDEX('OneCause_Paste'!$A$280:$AZ$280,1,OC_Txn)))</f>
        <v/>
      </c>
      <c r="M280">
        <f>IF(OC_Pay=0,"",IF(INDEX('OneCause_Paste'!$A$280:$AZ$280,1,OC_Pay)="","",INDEX('OneCause_Paste'!$A$280:$AZ$280,1,OC_Pay)))</f>
        <v/>
      </c>
      <c r="N280">
        <f>IF(I280="","",IF(ISNUMBER(I280),INT(I280),IFERROR(INT(DATEVALUE(I280)),IFERROR(INT(VALUE(I280)),"bad"))))</f>
        <v/>
      </c>
      <c r="O280">
        <f>IF(J280="","",IF(ISNUMBER(J280),ROUND(J280,2),IFERROR(ROUND(VALUE(SUBSTITUTE(SUBSTITUTE(SUBSTITUTE(J280,"$",""),",","")," ","")),2),"bad")))</f>
        <v/>
      </c>
      <c r="P280">
        <f>IF(TRIM(K280)="","",IFERROR(MATCH(LOWER(TRIM(K280)),'Students'!$AH$2:$AH$701,0),IFERROR(MATCH(LOWER(TRIM(K280)),'Students'!$AF$2:$AF$701,0),IFERROR(MATCH(LOWER(TRIM(K280)),'Students'!$AG$2:$AG$701,0),""))))</f>
        <v/>
      </c>
      <c r="R280">
        <f>IF(P280="","",INDEX('Students'!$AD$2:$AD$701,P280))</f>
        <v/>
      </c>
      <c r="S280">
        <f>IF(H280="OK",O280,0)</f>
        <v/>
      </c>
      <c r="T280">
        <f>IF(H280="OK",N280,"")</f>
        <v/>
      </c>
      <c r="U280">
        <f>IF(OC_Donor=0,"",IF(INDEX('OneCause_Paste'!$A$280:$AZ$280,1,OC_Donor)="","",INDEX('OneCause_Paste'!$A$280:$AZ$280,1,OC_Donor)))</f>
        <v/>
      </c>
    </row>
    <row r="281">
      <c r="A281" s="62">
        <f>IF(H281="","",IF(ISNUMBER(N281),N281,I281))</f>
        <v/>
      </c>
      <c r="B281">
        <f>IF(H281="","",U281)</f>
        <v/>
      </c>
      <c r="C281">
        <f>IF(H281="","",IF(P281="",K281,INDEX('Students'!$A$2:$A$701,P281)))</f>
        <v/>
      </c>
      <c r="D281">
        <f>IF(OR(H281="",P281=""),"",INDEX('Students'!$B$2:$B$701,P281))</f>
        <v/>
      </c>
      <c r="E281">
        <f>IF(OR(H281="",P281=""),"",INDEX('Students'!$C$2:$C$701,P281))</f>
        <v/>
      </c>
      <c r="F281" s="48">
        <f>IF(H281="","",IF(ISNUMBER(O281),O281,J281))</f>
        <v/>
      </c>
      <c r="G281">
        <f>IF(H281="","","OneCause")</f>
        <v/>
      </c>
      <c r="H281">
        <f>IF(AND(I281="",J281="",K281=""),"",IF(NOT(ISNUMBER(O281)),"Bad amount",IF(O281&lt;0,"Refund (not counted)",IF(O281=0,"Zero amount",IF(NOT(ISNUMBER(N281)),"Bad date",IF(P281="","NAME NOT ON ROSTER",IF(L281="","OK",IF(MATCH(L281,$L$2:$L$3001,0)&lt;ROW()-1,"Duplicate (ignored)","OK"))))))))</f>
        <v/>
      </c>
      <c r="I281">
        <f>IF(OC_Date=0,"",IF(INDEX('OneCause_Paste'!$A$281:$AZ$281,1,OC_Date)="","",INDEX('OneCause_Paste'!$A$281:$AZ$281,1,OC_Date)))</f>
        <v/>
      </c>
      <c r="J281">
        <f>IF(OC_Amt=0,"",IF(INDEX('OneCause_Paste'!$A$281:$AZ$281,1,OC_Amt)="","",INDEX('OneCause_Paste'!$A$281:$AZ$281,1,OC_Amt)))</f>
        <v/>
      </c>
      <c r="K281">
        <f>IF(OC_Name=0,"",IF(INDEX('OneCause_Paste'!$A$281:$AZ$281,1,OC_Name)="","",INDEX('OneCause_Paste'!$A$281:$AZ$281,1,OC_Name)))</f>
        <v/>
      </c>
      <c r="L281">
        <f>IF(OC_Txn=0,"",IF(INDEX('OneCause_Paste'!$A$281:$AZ$281,1,OC_Txn)="","",INDEX('OneCause_Paste'!$A$281:$AZ$281,1,OC_Txn)))</f>
        <v/>
      </c>
      <c r="M281">
        <f>IF(OC_Pay=0,"",IF(INDEX('OneCause_Paste'!$A$281:$AZ$281,1,OC_Pay)="","",INDEX('OneCause_Paste'!$A$281:$AZ$281,1,OC_Pay)))</f>
        <v/>
      </c>
      <c r="N281">
        <f>IF(I281="","",IF(ISNUMBER(I281),INT(I281),IFERROR(INT(DATEVALUE(I281)),IFERROR(INT(VALUE(I281)),"bad"))))</f>
        <v/>
      </c>
      <c r="O281">
        <f>IF(J281="","",IF(ISNUMBER(J281),ROUND(J281,2),IFERROR(ROUND(VALUE(SUBSTITUTE(SUBSTITUTE(SUBSTITUTE(J281,"$",""),",","")," ","")),2),"bad")))</f>
        <v/>
      </c>
      <c r="P281">
        <f>IF(TRIM(K281)="","",IFERROR(MATCH(LOWER(TRIM(K281)),'Students'!$AH$2:$AH$701,0),IFERROR(MATCH(LOWER(TRIM(K281)),'Students'!$AF$2:$AF$701,0),IFERROR(MATCH(LOWER(TRIM(K281)),'Students'!$AG$2:$AG$701,0),""))))</f>
        <v/>
      </c>
      <c r="R281">
        <f>IF(P281="","",INDEX('Students'!$AD$2:$AD$701,P281))</f>
        <v/>
      </c>
      <c r="S281">
        <f>IF(H281="OK",O281,0)</f>
        <v/>
      </c>
      <c r="T281">
        <f>IF(H281="OK",N281,"")</f>
        <v/>
      </c>
      <c r="U281">
        <f>IF(OC_Donor=0,"",IF(INDEX('OneCause_Paste'!$A$281:$AZ$281,1,OC_Donor)="","",INDEX('OneCause_Paste'!$A$281:$AZ$281,1,OC_Donor)))</f>
        <v/>
      </c>
    </row>
    <row r="282">
      <c r="A282" s="62">
        <f>IF(H282="","",IF(ISNUMBER(N282),N282,I282))</f>
        <v/>
      </c>
      <c r="B282">
        <f>IF(H282="","",U282)</f>
        <v/>
      </c>
      <c r="C282">
        <f>IF(H282="","",IF(P282="",K282,INDEX('Students'!$A$2:$A$701,P282)))</f>
        <v/>
      </c>
      <c r="D282">
        <f>IF(OR(H282="",P282=""),"",INDEX('Students'!$B$2:$B$701,P282))</f>
        <v/>
      </c>
      <c r="E282">
        <f>IF(OR(H282="",P282=""),"",INDEX('Students'!$C$2:$C$701,P282))</f>
        <v/>
      </c>
      <c r="F282" s="48">
        <f>IF(H282="","",IF(ISNUMBER(O282),O282,J282))</f>
        <v/>
      </c>
      <c r="G282">
        <f>IF(H282="","","OneCause")</f>
        <v/>
      </c>
      <c r="H282">
        <f>IF(AND(I282="",J282="",K282=""),"",IF(NOT(ISNUMBER(O282)),"Bad amount",IF(O282&lt;0,"Refund (not counted)",IF(O282=0,"Zero amount",IF(NOT(ISNUMBER(N282)),"Bad date",IF(P282="","NAME NOT ON ROSTER",IF(L282="","OK",IF(MATCH(L282,$L$2:$L$3001,0)&lt;ROW()-1,"Duplicate (ignored)","OK"))))))))</f>
        <v/>
      </c>
      <c r="I282">
        <f>IF(OC_Date=0,"",IF(INDEX('OneCause_Paste'!$A$282:$AZ$282,1,OC_Date)="","",INDEX('OneCause_Paste'!$A$282:$AZ$282,1,OC_Date)))</f>
        <v/>
      </c>
      <c r="J282">
        <f>IF(OC_Amt=0,"",IF(INDEX('OneCause_Paste'!$A$282:$AZ$282,1,OC_Amt)="","",INDEX('OneCause_Paste'!$A$282:$AZ$282,1,OC_Amt)))</f>
        <v/>
      </c>
      <c r="K282">
        <f>IF(OC_Name=0,"",IF(INDEX('OneCause_Paste'!$A$282:$AZ$282,1,OC_Name)="","",INDEX('OneCause_Paste'!$A$282:$AZ$282,1,OC_Name)))</f>
        <v/>
      </c>
      <c r="L282">
        <f>IF(OC_Txn=0,"",IF(INDEX('OneCause_Paste'!$A$282:$AZ$282,1,OC_Txn)="","",INDEX('OneCause_Paste'!$A$282:$AZ$282,1,OC_Txn)))</f>
        <v/>
      </c>
      <c r="M282">
        <f>IF(OC_Pay=0,"",IF(INDEX('OneCause_Paste'!$A$282:$AZ$282,1,OC_Pay)="","",INDEX('OneCause_Paste'!$A$282:$AZ$282,1,OC_Pay)))</f>
        <v/>
      </c>
      <c r="N282">
        <f>IF(I282="","",IF(ISNUMBER(I282),INT(I282),IFERROR(INT(DATEVALUE(I282)),IFERROR(INT(VALUE(I282)),"bad"))))</f>
        <v/>
      </c>
      <c r="O282">
        <f>IF(J282="","",IF(ISNUMBER(J282),ROUND(J282,2),IFERROR(ROUND(VALUE(SUBSTITUTE(SUBSTITUTE(SUBSTITUTE(J282,"$",""),",","")," ","")),2),"bad")))</f>
        <v/>
      </c>
      <c r="P282">
        <f>IF(TRIM(K282)="","",IFERROR(MATCH(LOWER(TRIM(K282)),'Students'!$AH$2:$AH$701,0),IFERROR(MATCH(LOWER(TRIM(K282)),'Students'!$AF$2:$AF$701,0),IFERROR(MATCH(LOWER(TRIM(K282)),'Students'!$AG$2:$AG$701,0),""))))</f>
        <v/>
      </c>
      <c r="R282">
        <f>IF(P282="","",INDEX('Students'!$AD$2:$AD$701,P282))</f>
        <v/>
      </c>
      <c r="S282">
        <f>IF(H282="OK",O282,0)</f>
        <v/>
      </c>
      <c r="T282">
        <f>IF(H282="OK",N282,"")</f>
        <v/>
      </c>
      <c r="U282">
        <f>IF(OC_Donor=0,"",IF(INDEX('OneCause_Paste'!$A$282:$AZ$282,1,OC_Donor)="","",INDEX('OneCause_Paste'!$A$282:$AZ$282,1,OC_Donor)))</f>
        <v/>
      </c>
    </row>
    <row r="283">
      <c r="A283" s="62">
        <f>IF(H283="","",IF(ISNUMBER(N283),N283,I283))</f>
        <v/>
      </c>
      <c r="B283">
        <f>IF(H283="","",U283)</f>
        <v/>
      </c>
      <c r="C283">
        <f>IF(H283="","",IF(P283="",K283,INDEX('Students'!$A$2:$A$701,P283)))</f>
        <v/>
      </c>
      <c r="D283">
        <f>IF(OR(H283="",P283=""),"",INDEX('Students'!$B$2:$B$701,P283))</f>
        <v/>
      </c>
      <c r="E283">
        <f>IF(OR(H283="",P283=""),"",INDEX('Students'!$C$2:$C$701,P283))</f>
        <v/>
      </c>
      <c r="F283" s="48">
        <f>IF(H283="","",IF(ISNUMBER(O283),O283,J283))</f>
        <v/>
      </c>
      <c r="G283">
        <f>IF(H283="","","OneCause")</f>
        <v/>
      </c>
      <c r="H283">
        <f>IF(AND(I283="",J283="",K283=""),"",IF(NOT(ISNUMBER(O283)),"Bad amount",IF(O283&lt;0,"Refund (not counted)",IF(O283=0,"Zero amount",IF(NOT(ISNUMBER(N283)),"Bad date",IF(P283="","NAME NOT ON ROSTER",IF(L283="","OK",IF(MATCH(L283,$L$2:$L$3001,0)&lt;ROW()-1,"Duplicate (ignored)","OK"))))))))</f>
        <v/>
      </c>
      <c r="I283">
        <f>IF(OC_Date=0,"",IF(INDEX('OneCause_Paste'!$A$283:$AZ$283,1,OC_Date)="","",INDEX('OneCause_Paste'!$A$283:$AZ$283,1,OC_Date)))</f>
        <v/>
      </c>
      <c r="J283">
        <f>IF(OC_Amt=0,"",IF(INDEX('OneCause_Paste'!$A$283:$AZ$283,1,OC_Amt)="","",INDEX('OneCause_Paste'!$A$283:$AZ$283,1,OC_Amt)))</f>
        <v/>
      </c>
      <c r="K283">
        <f>IF(OC_Name=0,"",IF(INDEX('OneCause_Paste'!$A$283:$AZ$283,1,OC_Name)="","",INDEX('OneCause_Paste'!$A$283:$AZ$283,1,OC_Name)))</f>
        <v/>
      </c>
      <c r="L283">
        <f>IF(OC_Txn=0,"",IF(INDEX('OneCause_Paste'!$A$283:$AZ$283,1,OC_Txn)="","",INDEX('OneCause_Paste'!$A$283:$AZ$283,1,OC_Txn)))</f>
        <v/>
      </c>
      <c r="M283">
        <f>IF(OC_Pay=0,"",IF(INDEX('OneCause_Paste'!$A$283:$AZ$283,1,OC_Pay)="","",INDEX('OneCause_Paste'!$A$283:$AZ$283,1,OC_Pay)))</f>
        <v/>
      </c>
      <c r="N283">
        <f>IF(I283="","",IF(ISNUMBER(I283),INT(I283),IFERROR(INT(DATEVALUE(I283)),IFERROR(INT(VALUE(I283)),"bad"))))</f>
        <v/>
      </c>
      <c r="O283">
        <f>IF(J283="","",IF(ISNUMBER(J283),ROUND(J283,2),IFERROR(ROUND(VALUE(SUBSTITUTE(SUBSTITUTE(SUBSTITUTE(J283,"$",""),",","")," ","")),2),"bad")))</f>
        <v/>
      </c>
      <c r="P283">
        <f>IF(TRIM(K283)="","",IFERROR(MATCH(LOWER(TRIM(K283)),'Students'!$AH$2:$AH$701,0),IFERROR(MATCH(LOWER(TRIM(K283)),'Students'!$AF$2:$AF$701,0),IFERROR(MATCH(LOWER(TRIM(K283)),'Students'!$AG$2:$AG$701,0),""))))</f>
        <v/>
      </c>
      <c r="R283">
        <f>IF(P283="","",INDEX('Students'!$AD$2:$AD$701,P283))</f>
        <v/>
      </c>
      <c r="S283">
        <f>IF(H283="OK",O283,0)</f>
        <v/>
      </c>
      <c r="T283">
        <f>IF(H283="OK",N283,"")</f>
        <v/>
      </c>
      <c r="U283">
        <f>IF(OC_Donor=0,"",IF(INDEX('OneCause_Paste'!$A$283:$AZ$283,1,OC_Donor)="","",INDEX('OneCause_Paste'!$A$283:$AZ$283,1,OC_Donor)))</f>
        <v/>
      </c>
    </row>
    <row r="284">
      <c r="A284" s="62">
        <f>IF(H284="","",IF(ISNUMBER(N284),N284,I284))</f>
        <v/>
      </c>
      <c r="B284">
        <f>IF(H284="","",U284)</f>
        <v/>
      </c>
      <c r="C284">
        <f>IF(H284="","",IF(P284="",K284,INDEX('Students'!$A$2:$A$701,P284)))</f>
        <v/>
      </c>
      <c r="D284">
        <f>IF(OR(H284="",P284=""),"",INDEX('Students'!$B$2:$B$701,P284))</f>
        <v/>
      </c>
      <c r="E284">
        <f>IF(OR(H284="",P284=""),"",INDEX('Students'!$C$2:$C$701,P284))</f>
        <v/>
      </c>
      <c r="F284" s="48">
        <f>IF(H284="","",IF(ISNUMBER(O284),O284,J284))</f>
        <v/>
      </c>
      <c r="G284">
        <f>IF(H284="","","OneCause")</f>
        <v/>
      </c>
      <c r="H284">
        <f>IF(AND(I284="",J284="",K284=""),"",IF(NOT(ISNUMBER(O284)),"Bad amount",IF(O284&lt;0,"Refund (not counted)",IF(O284=0,"Zero amount",IF(NOT(ISNUMBER(N284)),"Bad date",IF(P284="","NAME NOT ON ROSTER",IF(L284="","OK",IF(MATCH(L284,$L$2:$L$3001,0)&lt;ROW()-1,"Duplicate (ignored)","OK"))))))))</f>
        <v/>
      </c>
      <c r="I284">
        <f>IF(OC_Date=0,"",IF(INDEX('OneCause_Paste'!$A$284:$AZ$284,1,OC_Date)="","",INDEX('OneCause_Paste'!$A$284:$AZ$284,1,OC_Date)))</f>
        <v/>
      </c>
      <c r="J284">
        <f>IF(OC_Amt=0,"",IF(INDEX('OneCause_Paste'!$A$284:$AZ$284,1,OC_Amt)="","",INDEX('OneCause_Paste'!$A$284:$AZ$284,1,OC_Amt)))</f>
        <v/>
      </c>
      <c r="K284">
        <f>IF(OC_Name=0,"",IF(INDEX('OneCause_Paste'!$A$284:$AZ$284,1,OC_Name)="","",INDEX('OneCause_Paste'!$A$284:$AZ$284,1,OC_Name)))</f>
        <v/>
      </c>
      <c r="L284">
        <f>IF(OC_Txn=0,"",IF(INDEX('OneCause_Paste'!$A$284:$AZ$284,1,OC_Txn)="","",INDEX('OneCause_Paste'!$A$284:$AZ$284,1,OC_Txn)))</f>
        <v/>
      </c>
      <c r="M284">
        <f>IF(OC_Pay=0,"",IF(INDEX('OneCause_Paste'!$A$284:$AZ$284,1,OC_Pay)="","",INDEX('OneCause_Paste'!$A$284:$AZ$284,1,OC_Pay)))</f>
        <v/>
      </c>
      <c r="N284">
        <f>IF(I284="","",IF(ISNUMBER(I284),INT(I284),IFERROR(INT(DATEVALUE(I284)),IFERROR(INT(VALUE(I284)),"bad"))))</f>
        <v/>
      </c>
      <c r="O284">
        <f>IF(J284="","",IF(ISNUMBER(J284),ROUND(J284,2),IFERROR(ROUND(VALUE(SUBSTITUTE(SUBSTITUTE(SUBSTITUTE(J284,"$",""),",","")," ","")),2),"bad")))</f>
        <v/>
      </c>
      <c r="P284">
        <f>IF(TRIM(K284)="","",IFERROR(MATCH(LOWER(TRIM(K284)),'Students'!$AH$2:$AH$701,0),IFERROR(MATCH(LOWER(TRIM(K284)),'Students'!$AF$2:$AF$701,0),IFERROR(MATCH(LOWER(TRIM(K284)),'Students'!$AG$2:$AG$701,0),""))))</f>
        <v/>
      </c>
      <c r="R284">
        <f>IF(P284="","",INDEX('Students'!$AD$2:$AD$701,P284))</f>
        <v/>
      </c>
      <c r="S284">
        <f>IF(H284="OK",O284,0)</f>
        <v/>
      </c>
      <c r="T284">
        <f>IF(H284="OK",N284,"")</f>
        <v/>
      </c>
      <c r="U284">
        <f>IF(OC_Donor=0,"",IF(INDEX('OneCause_Paste'!$A$284:$AZ$284,1,OC_Donor)="","",INDEX('OneCause_Paste'!$A$284:$AZ$284,1,OC_Donor)))</f>
        <v/>
      </c>
    </row>
    <row r="285">
      <c r="A285" s="62">
        <f>IF(H285="","",IF(ISNUMBER(N285),N285,I285))</f>
        <v/>
      </c>
      <c r="B285">
        <f>IF(H285="","",U285)</f>
        <v/>
      </c>
      <c r="C285">
        <f>IF(H285="","",IF(P285="",K285,INDEX('Students'!$A$2:$A$701,P285)))</f>
        <v/>
      </c>
      <c r="D285">
        <f>IF(OR(H285="",P285=""),"",INDEX('Students'!$B$2:$B$701,P285))</f>
        <v/>
      </c>
      <c r="E285">
        <f>IF(OR(H285="",P285=""),"",INDEX('Students'!$C$2:$C$701,P285))</f>
        <v/>
      </c>
      <c r="F285" s="48">
        <f>IF(H285="","",IF(ISNUMBER(O285),O285,J285))</f>
        <v/>
      </c>
      <c r="G285">
        <f>IF(H285="","","OneCause")</f>
        <v/>
      </c>
      <c r="H285">
        <f>IF(AND(I285="",J285="",K285=""),"",IF(NOT(ISNUMBER(O285)),"Bad amount",IF(O285&lt;0,"Refund (not counted)",IF(O285=0,"Zero amount",IF(NOT(ISNUMBER(N285)),"Bad date",IF(P285="","NAME NOT ON ROSTER",IF(L285="","OK",IF(MATCH(L285,$L$2:$L$3001,0)&lt;ROW()-1,"Duplicate (ignored)","OK"))))))))</f>
        <v/>
      </c>
      <c r="I285">
        <f>IF(OC_Date=0,"",IF(INDEX('OneCause_Paste'!$A$285:$AZ$285,1,OC_Date)="","",INDEX('OneCause_Paste'!$A$285:$AZ$285,1,OC_Date)))</f>
        <v/>
      </c>
      <c r="J285">
        <f>IF(OC_Amt=0,"",IF(INDEX('OneCause_Paste'!$A$285:$AZ$285,1,OC_Amt)="","",INDEX('OneCause_Paste'!$A$285:$AZ$285,1,OC_Amt)))</f>
        <v/>
      </c>
      <c r="K285">
        <f>IF(OC_Name=0,"",IF(INDEX('OneCause_Paste'!$A$285:$AZ$285,1,OC_Name)="","",INDEX('OneCause_Paste'!$A$285:$AZ$285,1,OC_Name)))</f>
        <v/>
      </c>
      <c r="L285">
        <f>IF(OC_Txn=0,"",IF(INDEX('OneCause_Paste'!$A$285:$AZ$285,1,OC_Txn)="","",INDEX('OneCause_Paste'!$A$285:$AZ$285,1,OC_Txn)))</f>
        <v/>
      </c>
      <c r="M285">
        <f>IF(OC_Pay=0,"",IF(INDEX('OneCause_Paste'!$A$285:$AZ$285,1,OC_Pay)="","",INDEX('OneCause_Paste'!$A$285:$AZ$285,1,OC_Pay)))</f>
        <v/>
      </c>
      <c r="N285">
        <f>IF(I285="","",IF(ISNUMBER(I285),INT(I285),IFERROR(INT(DATEVALUE(I285)),IFERROR(INT(VALUE(I285)),"bad"))))</f>
        <v/>
      </c>
      <c r="O285">
        <f>IF(J285="","",IF(ISNUMBER(J285),ROUND(J285,2),IFERROR(ROUND(VALUE(SUBSTITUTE(SUBSTITUTE(SUBSTITUTE(J285,"$",""),",","")," ","")),2),"bad")))</f>
        <v/>
      </c>
      <c r="P285">
        <f>IF(TRIM(K285)="","",IFERROR(MATCH(LOWER(TRIM(K285)),'Students'!$AH$2:$AH$701,0),IFERROR(MATCH(LOWER(TRIM(K285)),'Students'!$AF$2:$AF$701,0),IFERROR(MATCH(LOWER(TRIM(K285)),'Students'!$AG$2:$AG$701,0),""))))</f>
        <v/>
      </c>
      <c r="R285">
        <f>IF(P285="","",INDEX('Students'!$AD$2:$AD$701,P285))</f>
        <v/>
      </c>
      <c r="S285">
        <f>IF(H285="OK",O285,0)</f>
        <v/>
      </c>
      <c r="T285">
        <f>IF(H285="OK",N285,"")</f>
        <v/>
      </c>
      <c r="U285">
        <f>IF(OC_Donor=0,"",IF(INDEX('OneCause_Paste'!$A$285:$AZ$285,1,OC_Donor)="","",INDEX('OneCause_Paste'!$A$285:$AZ$285,1,OC_Donor)))</f>
        <v/>
      </c>
    </row>
    <row r="286">
      <c r="A286" s="62">
        <f>IF(H286="","",IF(ISNUMBER(N286),N286,I286))</f>
        <v/>
      </c>
      <c r="B286">
        <f>IF(H286="","",U286)</f>
        <v/>
      </c>
      <c r="C286">
        <f>IF(H286="","",IF(P286="",K286,INDEX('Students'!$A$2:$A$701,P286)))</f>
        <v/>
      </c>
      <c r="D286">
        <f>IF(OR(H286="",P286=""),"",INDEX('Students'!$B$2:$B$701,P286))</f>
        <v/>
      </c>
      <c r="E286">
        <f>IF(OR(H286="",P286=""),"",INDEX('Students'!$C$2:$C$701,P286))</f>
        <v/>
      </c>
      <c r="F286" s="48">
        <f>IF(H286="","",IF(ISNUMBER(O286),O286,J286))</f>
        <v/>
      </c>
      <c r="G286">
        <f>IF(H286="","","OneCause")</f>
        <v/>
      </c>
      <c r="H286">
        <f>IF(AND(I286="",J286="",K286=""),"",IF(NOT(ISNUMBER(O286)),"Bad amount",IF(O286&lt;0,"Refund (not counted)",IF(O286=0,"Zero amount",IF(NOT(ISNUMBER(N286)),"Bad date",IF(P286="","NAME NOT ON ROSTER",IF(L286="","OK",IF(MATCH(L286,$L$2:$L$3001,0)&lt;ROW()-1,"Duplicate (ignored)","OK"))))))))</f>
        <v/>
      </c>
      <c r="I286">
        <f>IF(OC_Date=0,"",IF(INDEX('OneCause_Paste'!$A$286:$AZ$286,1,OC_Date)="","",INDEX('OneCause_Paste'!$A$286:$AZ$286,1,OC_Date)))</f>
        <v/>
      </c>
      <c r="J286">
        <f>IF(OC_Amt=0,"",IF(INDEX('OneCause_Paste'!$A$286:$AZ$286,1,OC_Amt)="","",INDEX('OneCause_Paste'!$A$286:$AZ$286,1,OC_Amt)))</f>
        <v/>
      </c>
      <c r="K286">
        <f>IF(OC_Name=0,"",IF(INDEX('OneCause_Paste'!$A$286:$AZ$286,1,OC_Name)="","",INDEX('OneCause_Paste'!$A$286:$AZ$286,1,OC_Name)))</f>
        <v/>
      </c>
      <c r="L286">
        <f>IF(OC_Txn=0,"",IF(INDEX('OneCause_Paste'!$A$286:$AZ$286,1,OC_Txn)="","",INDEX('OneCause_Paste'!$A$286:$AZ$286,1,OC_Txn)))</f>
        <v/>
      </c>
      <c r="M286">
        <f>IF(OC_Pay=0,"",IF(INDEX('OneCause_Paste'!$A$286:$AZ$286,1,OC_Pay)="","",INDEX('OneCause_Paste'!$A$286:$AZ$286,1,OC_Pay)))</f>
        <v/>
      </c>
      <c r="N286">
        <f>IF(I286="","",IF(ISNUMBER(I286),INT(I286),IFERROR(INT(DATEVALUE(I286)),IFERROR(INT(VALUE(I286)),"bad"))))</f>
        <v/>
      </c>
      <c r="O286">
        <f>IF(J286="","",IF(ISNUMBER(J286),ROUND(J286,2),IFERROR(ROUND(VALUE(SUBSTITUTE(SUBSTITUTE(SUBSTITUTE(J286,"$",""),",","")," ","")),2),"bad")))</f>
        <v/>
      </c>
      <c r="P286">
        <f>IF(TRIM(K286)="","",IFERROR(MATCH(LOWER(TRIM(K286)),'Students'!$AH$2:$AH$701,0),IFERROR(MATCH(LOWER(TRIM(K286)),'Students'!$AF$2:$AF$701,0),IFERROR(MATCH(LOWER(TRIM(K286)),'Students'!$AG$2:$AG$701,0),""))))</f>
        <v/>
      </c>
      <c r="R286">
        <f>IF(P286="","",INDEX('Students'!$AD$2:$AD$701,P286))</f>
        <v/>
      </c>
      <c r="S286">
        <f>IF(H286="OK",O286,0)</f>
        <v/>
      </c>
      <c r="T286">
        <f>IF(H286="OK",N286,"")</f>
        <v/>
      </c>
      <c r="U286">
        <f>IF(OC_Donor=0,"",IF(INDEX('OneCause_Paste'!$A$286:$AZ$286,1,OC_Donor)="","",INDEX('OneCause_Paste'!$A$286:$AZ$286,1,OC_Donor)))</f>
        <v/>
      </c>
    </row>
    <row r="287">
      <c r="A287" s="62">
        <f>IF(H287="","",IF(ISNUMBER(N287),N287,I287))</f>
        <v/>
      </c>
      <c r="B287">
        <f>IF(H287="","",U287)</f>
        <v/>
      </c>
      <c r="C287">
        <f>IF(H287="","",IF(P287="",K287,INDEX('Students'!$A$2:$A$701,P287)))</f>
        <v/>
      </c>
      <c r="D287">
        <f>IF(OR(H287="",P287=""),"",INDEX('Students'!$B$2:$B$701,P287))</f>
        <v/>
      </c>
      <c r="E287">
        <f>IF(OR(H287="",P287=""),"",INDEX('Students'!$C$2:$C$701,P287))</f>
        <v/>
      </c>
      <c r="F287" s="48">
        <f>IF(H287="","",IF(ISNUMBER(O287),O287,J287))</f>
        <v/>
      </c>
      <c r="G287">
        <f>IF(H287="","","OneCause")</f>
        <v/>
      </c>
      <c r="H287">
        <f>IF(AND(I287="",J287="",K287=""),"",IF(NOT(ISNUMBER(O287)),"Bad amount",IF(O287&lt;0,"Refund (not counted)",IF(O287=0,"Zero amount",IF(NOT(ISNUMBER(N287)),"Bad date",IF(P287="","NAME NOT ON ROSTER",IF(L287="","OK",IF(MATCH(L287,$L$2:$L$3001,0)&lt;ROW()-1,"Duplicate (ignored)","OK"))))))))</f>
        <v/>
      </c>
      <c r="I287">
        <f>IF(OC_Date=0,"",IF(INDEX('OneCause_Paste'!$A$287:$AZ$287,1,OC_Date)="","",INDEX('OneCause_Paste'!$A$287:$AZ$287,1,OC_Date)))</f>
        <v/>
      </c>
      <c r="J287">
        <f>IF(OC_Amt=0,"",IF(INDEX('OneCause_Paste'!$A$287:$AZ$287,1,OC_Amt)="","",INDEX('OneCause_Paste'!$A$287:$AZ$287,1,OC_Amt)))</f>
        <v/>
      </c>
      <c r="K287">
        <f>IF(OC_Name=0,"",IF(INDEX('OneCause_Paste'!$A$287:$AZ$287,1,OC_Name)="","",INDEX('OneCause_Paste'!$A$287:$AZ$287,1,OC_Name)))</f>
        <v/>
      </c>
      <c r="L287">
        <f>IF(OC_Txn=0,"",IF(INDEX('OneCause_Paste'!$A$287:$AZ$287,1,OC_Txn)="","",INDEX('OneCause_Paste'!$A$287:$AZ$287,1,OC_Txn)))</f>
        <v/>
      </c>
      <c r="M287">
        <f>IF(OC_Pay=0,"",IF(INDEX('OneCause_Paste'!$A$287:$AZ$287,1,OC_Pay)="","",INDEX('OneCause_Paste'!$A$287:$AZ$287,1,OC_Pay)))</f>
        <v/>
      </c>
      <c r="N287">
        <f>IF(I287="","",IF(ISNUMBER(I287),INT(I287),IFERROR(INT(DATEVALUE(I287)),IFERROR(INT(VALUE(I287)),"bad"))))</f>
        <v/>
      </c>
      <c r="O287">
        <f>IF(J287="","",IF(ISNUMBER(J287),ROUND(J287,2),IFERROR(ROUND(VALUE(SUBSTITUTE(SUBSTITUTE(SUBSTITUTE(J287,"$",""),",","")," ","")),2),"bad")))</f>
        <v/>
      </c>
      <c r="P287">
        <f>IF(TRIM(K287)="","",IFERROR(MATCH(LOWER(TRIM(K287)),'Students'!$AH$2:$AH$701,0),IFERROR(MATCH(LOWER(TRIM(K287)),'Students'!$AF$2:$AF$701,0),IFERROR(MATCH(LOWER(TRIM(K287)),'Students'!$AG$2:$AG$701,0),""))))</f>
        <v/>
      </c>
      <c r="R287">
        <f>IF(P287="","",INDEX('Students'!$AD$2:$AD$701,P287))</f>
        <v/>
      </c>
      <c r="S287">
        <f>IF(H287="OK",O287,0)</f>
        <v/>
      </c>
      <c r="T287">
        <f>IF(H287="OK",N287,"")</f>
        <v/>
      </c>
      <c r="U287">
        <f>IF(OC_Donor=0,"",IF(INDEX('OneCause_Paste'!$A$287:$AZ$287,1,OC_Donor)="","",INDEX('OneCause_Paste'!$A$287:$AZ$287,1,OC_Donor)))</f>
        <v/>
      </c>
    </row>
    <row r="288">
      <c r="A288" s="62">
        <f>IF(H288="","",IF(ISNUMBER(N288),N288,I288))</f>
        <v/>
      </c>
      <c r="B288">
        <f>IF(H288="","",U288)</f>
        <v/>
      </c>
      <c r="C288">
        <f>IF(H288="","",IF(P288="",K288,INDEX('Students'!$A$2:$A$701,P288)))</f>
        <v/>
      </c>
      <c r="D288">
        <f>IF(OR(H288="",P288=""),"",INDEX('Students'!$B$2:$B$701,P288))</f>
        <v/>
      </c>
      <c r="E288">
        <f>IF(OR(H288="",P288=""),"",INDEX('Students'!$C$2:$C$701,P288))</f>
        <v/>
      </c>
      <c r="F288" s="48">
        <f>IF(H288="","",IF(ISNUMBER(O288),O288,J288))</f>
        <v/>
      </c>
      <c r="G288">
        <f>IF(H288="","","OneCause")</f>
        <v/>
      </c>
      <c r="H288">
        <f>IF(AND(I288="",J288="",K288=""),"",IF(NOT(ISNUMBER(O288)),"Bad amount",IF(O288&lt;0,"Refund (not counted)",IF(O288=0,"Zero amount",IF(NOT(ISNUMBER(N288)),"Bad date",IF(P288="","NAME NOT ON ROSTER",IF(L288="","OK",IF(MATCH(L288,$L$2:$L$3001,0)&lt;ROW()-1,"Duplicate (ignored)","OK"))))))))</f>
        <v/>
      </c>
      <c r="I288">
        <f>IF(OC_Date=0,"",IF(INDEX('OneCause_Paste'!$A$288:$AZ$288,1,OC_Date)="","",INDEX('OneCause_Paste'!$A$288:$AZ$288,1,OC_Date)))</f>
        <v/>
      </c>
      <c r="J288">
        <f>IF(OC_Amt=0,"",IF(INDEX('OneCause_Paste'!$A$288:$AZ$288,1,OC_Amt)="","",INDEX('OneCause_Paste'!$A$288:$AZ$288,1,OC_Amt)))</f>
        <v/>
      </c>
      <c r="K288">
        <f>IF(OC_Name=0,"",IF(INDEX('OneCause_Paste'!$A$288:$AZ$288,1,OC_Name)="","",INDEX('OneCause_Paste'!$A$288:$AZ$288,1,OC_Name)))</f>
        <v/>
      </c>
      <c r="L288">
        <f>IF(OC_Txn=0,"",IF(INDEX('OneCause_Paste'!$A$288:$AZ$288,1,OC_Txn)="","",INDEX('OneCause_Paste'!$A$288:$AZ$288,1,OC_Txn)))</f>
        <v/>
      </c>
      <c r="M288">
        <f>IF(OC_Pay=0,"",IF(INDEX('OneCause_Paste'!$A$288:$AZ$288,1,OC_Pay)="","",INDEX('OneCause_Paste'!$A$288:$AZ$288,1,OC_Pay)))</f>
        <v/>
      </c>
      <c r="N288">
        <f>IF(I288="","",IF(ISNUMBER(I288),INT(I288),IFERROR(INT(DATEVALUE(I288)),IFERROR(INT(VALUE(I288)),"bad"))))</f>
        <v/>
      </c>
      <c r="O288">
        <f>IF(J288="","",IF(ISNUMBER(J288),ROUND(J288,2),IFERROR(ROUND(VALUE(SUBSTITUTE(SUBSTITUTE(SUBSTITUTE(J288,"$",""),",","")," ","")),2),"bad")))</f>
        <v/>
      </c>
      <c r="P288">
        <f>IF(TRIM(K288)="","",IFERROR(MATCH(LOWER(TRIM(K288)),'Students'!$AH$2:$AH$701,0),IFERROR(MATCH(LOWER(TRIM(K288)),'Students'!$AF$2:$AF$701,0),IFERROR(MATCH(LOWER(TRIM(K288)),'Students'!$AG$2:$AG$701,0),""))))</f>
        <v/>
      </c>
      <c r="R288">
        <f>IF(P288="","",INDEX('Students'!$AD$2:$AD$701,P288))</f>
        <v/>
      </c>
      <c r="S288">
        <f>IF(H288="OK",O288,0)</f>
        <v/>
      </c>
      <c r="T288">
        <f>IF(H288="OK",N288,"")</f>
        <v/>
      </c>
      <c r="U288">
        <f>IF(OC_Donor=0,"",IF(INDEX('OneCause_Paste'!$A$288:$AZ$288,1,OC_Donor)="","",INDEX('OneCause_Paste'!$A$288:$AZ$288,1,OC_Donor)))</f>
        <v/>
      </c>
    </row>
    <row r="289">
      <c r="A289" s="62">
        <f>IF(H289="","",IF(ISNUMBER(N289),N289,I289))</f>
        <v/>
      </c>
      <c r="B289">
        <f>IF(H289="","",U289)</f>
        <v/>
      </c>
      <c r="C289">
        <f>IF(H289="","",IF(P289="",K289,INDEX('Students'!$A$2:$A$701,P289)))</f>
        <v/>
      </c>
      <c r="D289">
        <f>IF(OR(H289="",P289=""),"",INDEX('Students'!$B$2:$B$701,P289))</f>
        <v/>
      </c>
      <c r="E289">
        <f>IF(OR(H289="",P289=""),"",INDEX('Students'!$C$2:$C$701,P289))</f>
        <v/>
      </c>
      <c r="F289" s="48">
        <f>IF(H289="","",IF(ISNUMBER(O289),O289,J289))</f>
        <v/>
      </c>
      <c r="G289">
        <f>IF(H289="","","OneCause")</f>
        <v/>
      </c>
      <c r="H289">
        <f>IF(AND(I289="",J289="",K289=""),"",IF(NOT(ISNUMBER(O289)),"Bad amount",IF(O289&lt;0,"Refund (not counted)",IF(O289=0,"Zero amount",IF(NOT(ISNUMBER(N289)),"Bad date",IF(P289="","NAME NOT ON ROSTER",IF(L289="","OK",IF(MATCH(L289,$L$2:$L$3001,0)&lt;ROW()-1,"Duplicate (ignored)","OK"))))))))</f>
        <v/>
      </c>
      <c r="I289">
        <f>IF(OC_Date=0,"",IF(INDEX('OneCause_Paste'!$A$289:$AZ$289,1,OC_Date)="","",INDEX('OneCause_Paste'!$A$289:$AZ$289,1,OC_Date)))</f>
        <v/>
      </c>
      <c r="J289">
        <f>IF(OC_Amt=0,"",IF(INDEX('OneCause_Paste'!$A$289:$AZ$289,1,OC_Amt)="","",INDEX('OneCause_Paste'!$A$289:$AZ$289,1,OC_Amt)))</f>
        <v/>
      </c>
      <c r="K289">
        <f>IF(OC_Name=0,"",IF(INDEX('OneCause_Paste'!$A$289:$AZ$289,1,OC_Name)="","",INDEX('OneCause_Paste'!$A$289:$AZ$289,1,OC_Name)))</f>
        <v/>
      </c>
      <c r="L289">
        <f>IF(OC_Txn=0,"",IF(INDEX('OneCause_Paste'!$A$289:$AZ$289,1,OC_Txn)="","",INDEX('OneCause_Paste'!$A$289:$AZ$289,1,OC_Txn)))</f>
        <v/>
      </c>
      <c r="M289">
        <f>IF(OC_Pay=0,"",IF(INDEX('OneCause_Paste'!$A$289:$AZ$289,1,OC_Pay)="","",INDEX('OneCause_Paste'!$A$289:$AZ$289,1,OC_Pay)))</f>
        <v/>
      </c>
      <c r="N289">
        <f>IF(I289="","",IF(ISNUMBER(I289),INT(I289),IFERROR(INT(DATEVALUE(I289)),IFERROR(INT(VALUE(I289)),"bad"))))</f>
        <v/>
      </c>
      <c r="O289">
        <f>IF(J289="","",IF(ISNUMBER(J289),ROUND(J289,2),IFERROR(ROUND(VALUE(SUBSTITUTE(SUBSTITUTE(SUBSTITUTE(J289,"$",""),",","")," ","")),2),"bad")))</f>
        <v/>
      </c>
      <c r="P289">
        <f>IF(TRIM(K289)="","",IFERROR(MATCH(LOWER(TRIM(K289)),'Students'!$AH$2:$AH$701,0),IFERROR(MATCH(LOWER(TRIM(K289)),'Students'!$AF$2:$AF$701,0),IFERROR(MATCH(LOWER(TRIM(K289)),'Students'!$AG$2:$AG$701,0),""))))</f>
        <v/>
      </c>
      <c r="R289">
        <f>IF(P289="","",INDEX('Students'!$AD$2:$AD$701,P289))</f>
        <v/>
      </c>
      <c r="S289">
        <f>IF(H289="OK",O289,0)</f>
        <v/>
      </c>
      <c r="T289">
        <f>IF(H289="OK",N289,"")</f>
        <v/>
      </c>
      <c r="U289">
        <f>IF(OC_Donor=0,"",IF(INDEX('OneCause_Paste'!$A$289:$AZ$289,1,OC_Donor)="","",INDEX('OneCause_Paste'!$A$289:$AZ$289,1,OC_Donor)))</f>
        <v/>
      </c>
    </row>
    <row r="290">
      <c r="A290" s="62">
        <f>IF(H290="","",IF(ISNUMBER(N290),N290,I290))</f>
        <v/>
      </c>
      <c r="B290">
        <f>IF(H290="","",U290)</f>
        <v/>
      </c>
      <c r="C290">
        <f>IF(H290="","",IF(P290="",K290,INDEX('Students'!$A$2:$A$701,P290)))</f>
        <v/>
      </c>
      <c r="D290">
        <f>IF(OR(H290="",P290=""),"",INDEX('Students'!$B$2:$B$701,P290))</f>
        <v/>
      </c>
      <c r="E290">
        <f>IF(OR(H290="",P290=""),"",INDEX('Students'!$C$2:$C$701,P290))</f>
        <v/>
      </c>
      <c r="F290" s="48">
        <f>IF(H290="","",IF(ISNUMBER(O290),O290,J290))</f>
        <v/>
      </c>
      <c r="G290">
        <f>IF(H290="","","OneCause")</f>
        <v/>
      </c>
      <c r="H290">
        <f>IF(AND(I290="",J290="",K290=""),"",IF(NOT(ISNUMBER(O290)),"Bad amount",IF(O290&lt;0,"Refund (not counted)",IF(O290=0,"Zero amount",IF(NOT(ISNUMBER(N290)),"Bad date",IF(P290="","NAME NOT ON ROSTER",IF(L290="","OK",IF(MATCH(L290,$L$2:$L$3001,0)&lt;ROW()-1,"Duplicate (ignored)","OK"))))))))</f>
        <v/>
      </c>
      <c r="I290">
        <f>IF(OC_Date=0,"",IF(INDEX('OneCause_Paste'!$A$290:$AZ$290,1,OC_Date)="","",INDEX('OneCause_Paste'!$A$290:$AZ$290,1,OC_Date)))</f>
        <v/>
      </c>
      <c r="J290">
        <f>IF(OC_Amt=0,"",IF(INDEX('OneCause_Paste'!$A$290:$AZ$290,1,OC_Amt)="","",INDEX('OneCause_Paste'!$A$290:$AZ$290,1,OC_Amt)))</f>
        <v/>
      </c>
      <c r="K290">
        <f>IF(OC_Name=0,"",IF(INDEX('OneCause_Paste'!$A$290:$AZ$290,1,OC_Name)="","",INDEX('OneCause_Paste'!$A$290:$AZ$290,1,OC_Name)))</f>
        <v/>
      </c>
      <c r="L290">
        <f>IF(OC_Txn=0,"",IF(INDEX('OneCause_Paste'!$A$290:$AZ$290,1,OC_Txn)="","",INDEX('OneCause_Paste'!$A$290:$AZ$290,1,OC_Txn)))</f>
        <v/>
      </c>
      <c r="M290">
        <f>IF(OC_Pay=0,"",IF(INDEX('OneCause_Paste'!$A$290:$AZ$290,1,OC_Pay)="","",INDEX('OneCause_Paste'!$A$290:$AZ$290,1,OC_Pay)))</f>
        <v/>
      </c>
      <c r="N290">
        <f>IF(I290="","",IF(ISNUMBER(I290),INT(I290),IFERROR(INT(DATEVALUE(I290)),IFERROR(INT(VALUE(I290)),"bad"))))</f>
        <v/>
      </c>
      <c r="O290">
        <f>IF(J290="","",IF(ISNUMBER(J290),ROUND(J290,2),IFERROR(ROUND(VALUE(SUBSTITUTE(SUBSTITUTE(SUBSTITUTE(J290,"$",""),",","")," ","")),2),"bad")))</f>
        <v/>
      </c>
      <c r="P290">
        <f>IF(TRIM(K290)="","",IFERROR(MATCH(LOWER(TRIM(K290)),'Students'!$AH$2:$AH$701,0),IFERROR(MATCH(LOWER(TRIM(K290)),'Students'!$AF$2:$AF$701,0),IFERROR(MATCH(LOWER(TRIM(K290)),'Students'!$AG$2:$AG$701,0),""))))</f>
        <v/>
      </c>
      <c r="R290">
        <f>IF(P290="","",INDEX('Students'!$AD$2:$AD$701,P290))</f>
        <v/>
      </c>
      <c r="S290">
        <f>IF(H290="OK",O290,0)</f>
        <v/>
      </c>
      <c r="T290">
        <f>IF(H290="OK",N290,"")</f>
        <v/>
      </c>
      <c r="U290">
        <f>IF(OC_Donor=0,"",IF(INDEX('OneCause_Paste'!$A$290:$AZ$290,1,OC_Donor)="","",INDEX('OneCause_Paste'!$A$290:$AZ$290,1,OC_Donor)))</f>
        <v/>
      </c>
    </row>
    <row r="291">
      <c r="A291" s="62">
        <f>IF(H291="","",IF(ISNUMBER(N291),N291,I291))</f>
        <v/>
      </c>
      <c r="B291">
        <f>IF(H291="","",U291)</f>
        <v/>
      </c>
      <c r="C291">
        <f>IF(H291="","",IF(P291="",K291,INDEX('Students'!$A$2:$A$701,P291)))</f>
        <v/>
      </c>
      <c r="D291">
        <f>IF(OR(H291="",P291=""),"",INDEX('Students'!$B$2:$B$701,P291))</f>
        <v/>
      </c>
      <c r="E291">
        <f>IF(OR(H291="",P291=""),"",INDEX('Students'!$C$2:$C$701,P291))</f>
        <v/>
      </c>
      <c r="F291" s="48">
        <f>IF(H291="","",IF(ISNUMBER(O291),O291,J291))</f>
        <v/>
      </c>
      <c r="G291">
        <f>IF(H291="","","OneCause")</f>
        <v/>
      </c>
      <c r="H291">
        <f>IF(AND(I291="",J291="",K291=""),"",IF(NOT(ISNUMBER(O291)),"Bad amount",IF(O291&lt;0,"Refund (not counted)",IF(O291=0,"Zero amount",IF(NOT(ISNUMBER(N291)),"Bad date",IF(P291="","NAME NOT ON ROSTER",IF(L291="","OK",IF(MATCH(L291,$L$2:$L$3001,0)&lt;ROW()-1,"Duplicate (ignored)","OK"))))))))</f>
        <v/>
      </c>
      <c r="I291">
        <f>IF(OC_Date=0,"",IF(INDEX('OneCause_Paste'!$A$291:$AZ$291,1,OC_Date)="","",INDEX('OneCause_Paste'!$A$291:$AZ$291,1,OC_Date)))</f>
        <v/>
      </c>
      <c r="J291">
        <f>IF(OC_Amt=0,"",IF(INDEX('OneCause_Paste'!$A$291:$AZ$291,1,OC_Amt)="","",INDEX('OneCause_Paste'!$A$291:$AZ$291,1,OC_Amt)))</f>
        <v/>
      </c>
      <c r="K291">
        <f>IF(OC_Name=0,"",IF(INDEX('OneCause_Paste'!$A$291:$AZ$291,1,OC_Name)="","",INDEX('OneCause_Paste'!$A$291:$AZ$291,1,OC_Name)))</f>
        <v/>
      </c>
      <c r="L291">
        <f>IF(OC_Txn=0,"",IF(INDEX('OneCause_Paste'!$A$291:$AZ$291,1,OC_Txn)="","",INDEX('OneCause_Paste'!$A$291:$AZ$291,1,OC_Txn)))</f>
        <v/>
      </c>
      <c r="M291">
        <f>IF(OC_Pay=0,"",IF(INDEX('OneCause_Paste'!$A$291:$AZ$291,1,OC_Pay)="","",INDEX('OneCause_Paste'!$A$291:$AZ$291,1,OC_Pay)))</f>
        <v/>
      </c>
      <c r="N291">
        <f>IF(I291="","",IF(ISNUMBER(I291),INT(I291),IFERROR(INT(DATEVALUE(I291)),IFERROR(INT(VALUE(I291)),"bad"))))</f>
        <v/>
      </c>
      <c r="O291">
        <f>IF(J291="","",IF(ISNUMBER(J291),ROUND(J291,2),IFERROR(ROUND(VALUE(SUBSTITUTE(SUBSTITUTE(SUBSTITUTE(J291,"$",""),",","")," ","")),2),"bad")))</f>
        <v/>
      </c>
      <c r="P291">
        <f>IF(TRIM(K291)="","",IFERROR(MATCH(LOWER(TRIM(K291)),'Students'!$AH$2:$AH$701,0),IFERROR(MATCH(LOWER(TRIM(K291)),'Students'!$AF$2:$AF$701,0),IFERROR(MATCH(LOWER(TRIM(K291)),'Students'!$AG$2:$AG$701,0),""))))</f>
        <v/>
      </c>
      <c r="R291">
        <f>IF(P291="","",INDEX('Students'!$AD$2:$AD$701,P291))</f>
        <v/>
      </c>
      <c r="S291">
        <f>IF(H291="OK",O291,0)</f>
        <v/>
      </c>
      <c r="T291">
        <f>IF(H291="OK",N291,"")</f>
        <v/>
      </c>
      <c r="U291">
        <f>IF(OC_Donor=0,"",IF(INDEX('OneCause_Paste'!$A$291:$AZ$291,1,OC_Donor)="","",INDEX('OneCause_Paste'!$A$291:$AZ$291,1,OC_Donor)))</f>
        <v/>
      </c>
    </row>
    <row r="292">
      <c r="A292" s="62">
        <f>IF(H292="","",IF(ISNUMBER(N292),N292,I292))</f>
        <v/>
      </c>
      <c r="B292">
        <f>IF(H292="","",U292)</f>
        <v/>
      </c>
      <c r="C292">
        <f>IF(H292="","",IF(P292="",K292,INDEX('Students'!$A$2:$A$701,P292)))</f>
        <v/>
      </c>
      <c r="D292">
        <f>IF(OR(H292="",P292=""),"",INDEX('Students'!$B$2:$B$701,P292))</f>
        <v/>
      </c>
      <c r="E292">
        <f>IF(OR(H292="",P292=""),"",INDEX('Students'!$C$2:$C$701,P292))</f>
        <v/>
      </c>
      <c r="F292" s="48">
        <f>IF(H292="","",IF(ISNUMBER(O292),O292,J292))</f>
        <v/>
      </c>
      <c r="G292">
        <f>IF(H292="","","OneCause")</f>
        <v/>
      </c>
      <c r="H292">
        <f>IF(AND(I292="",J292="",K292=""),"",IF(NOT(ISNUMBER(O292)),"Bad amount",IF(O292&lt;0,"Refund (not counted)",IF(O292=0,"Zero amount",IF(NOT(ISNUMBER(N292)),"Bad date",IF(P292="","NAME NOT ON ROSTER",IF(L292="","OK",IF(MATCH(L292,$L$2:$L$3001,0)&lt;ROW()-1,"Duplicate (ignored)","OK"))))))))</f>
        <v/>
      </c>
      <c r="I292">
        <f>IF(OC_Date=0,"",IF(INDEX('OneCause_Paste'!$A$292:$AZ$292,1,OC_Date)="","",INDEX('OneCause_Paste'!$A$292:$AZ$292,1,OC_Date)))</f>
        <v/>
      </c>
      <c r="J292">
        <f>IF(OC_Amt=0,"",IF(INDEX('OneCause_Paste'!$A$292:$AZ$292,1,OC_Amt)="","",INDEX('OneCause_Paste'!$A$292:$AZ$292,1,OC_Amt)))</f>
        <v/>
      </c>
      <c r="K292">
        <f>IF(OC_Name=0,"",IF(INDEX('OneCause_Paste'!$A$292:$AZ$292,1,OC_Name)="","",INDEX('OneCause_Paste'!$A$292:$AZ$292,1,OC_Name)))</f>
        <v/>
      </c>
      <c r="L292">
        <f>IF(OC_Txn=0,"",IF(INDEX('OneCause_Paste'!$A$292:$AZ$292,1,OC_Txn)="","",INDEX('OneCause_Paste'!$A$292:$AZ$292,1,OC_Txn)))</f>
        <v/>
      </c>
      <c r="M292">
        <f>IF(OC_Pay=0,"",IF(INDEX('OneCause_Paste'!$A$292:$AZ$292,1,OC_Pay)="","",INDEX('OneCause_Paste'!$A$292:$AZ$292,1,OC_Pay)))</f>
        <v/>
      </c>
      <c r="N292">
        <f>IF(I292="","",IF(ISNUMBER(I292),INT(I292),IFERROR(INT(DATEVALUE(I292)),IFERROR(INT(VALUE(I292)),"bad"))))</f>
        <v/>
      </c>
      <c r="O292">
        <f>IF(J292="","",IF(ISNUMBER(J292),ROUND(J292,2),IFERROR(ROUND(VALUE(SUBSTITUTE(SUBSTITUTE(SUBSTITUTE(J292,"$",""),",","")," ","")),2),"bad")))</f>
        <v/>
      </c>
      <c r="P292">
        <f>IF(TRIM(K292)="","",IFERROR(MATCH(LOWER(TRIM(K292)),'Students'!$AH$2:$AH$701,0),IFERROR(MATCH(LOWER(TRIM(K292)),'Students'!$AF$2:$AF$701,0),IFERROR(MATCH(LOWER(TRIM(K292)),'Students'!$AG$2:$AG$701,0),""))))</f>
        <v/>
      </c>
      <c r="R292">
        <f>IF(P292="","",INDEX('Students'!$AD$2:$AD$701,P292))</f>
        <v/>
      </c>
      <c r="S292">
        <f>IF(H292="OK",O292,0)</f>
        <v/>
      </c>
      <c r="T292">
        <f>IF(H292="OK",N292,"")</f>
        <v/>
      </c>
      <c r="U292">
        <f>IF(OC_Donor=0,"",IF(INDEX('OneCause_Paste'!$A$292:$AZ$292,1,OC_Donor)="","",INDEX('OneCause_Paste'!$A$292:$AZ$292,1,OC_Donor)))</f>
        <v/>
      </c>
    </row>
    <row r="293">
      <c r="A293" s="62">
        <f>IF(H293="","",IF(ISNUMBER(N293),N293,I293))</f>
        <v/>
      </c>
      <c r="B293">
        <f>IF(H293="","",U293)</f>
        <v/>
      </c>
      <c r="C293">
        <f>IF(H293="","",IF(P293="",K293,INDEX('Students'!$A$2:$A$701,P293)))</f>
        <v/>
      </c>
      <c r="D293">
        <f>IF(OR(H293="",P293=""),"",INDEX('Students'!$B$2:$B$701,P293))</f>
        <v/>
      </c>
      <c r="E293">
        <f>IF(OR(H293="",P293=""),"",INDEX('Students'!$C$2:$C$701,P293))</f>
        <v/>
      </c>
      <c r="F293" s="48">
        <f>IF(H293="","",IF(ISNUMBER(O293),O293,J293))</f>
        <v/>
      </c>
      <c r="G293">
        <f>IF(H293="","","OneCause")</f>
        <v/>
      </c>
      <c r="H293">
        <f>IF(AND(I293="",J293="",K293=""),"",IF(NOT(ISNUMBER(O293)),"Bad amount",IF(O293&lt;0,"Refund (not counted)",IF(O293=0,"Zero amount",IF(NOT(ISNUMBER(N293)),"Bad date",IF(P293="","NAME NOT ON ROSTER",IF(L293="","OK",IF(MATCH(L293,$L$2:$L$3001,0)&lt;ROW()-1,"Duplicate (ignored)","OK"))))))))</f>
        <v/>
      </c>
      <c r="I293">
        <f>IF(OC_Date=0,"",IF(INDEX('OneCause_Paste'!$A$293:$AZ$293,1,OC_Date)="","",INDEX('OneCause_Paste'!$A$293:$AZ$293,1,OC_Date)))</f>
        <v/>
      </c>
      <c r="J293">
        <f>IF(OC_Amt=0,"",IF(INDEX('OneCause_Paste'!$A$293:$AZ$293,1,OC_Amt)="","",INDEX('OneCause_Paste'!$A$293:$AZ$293,1,OC_Amt)))</f>
        <v/>
      </c>
      <c r="K293">
        <f>IF(OC_Name=0,"",IF(INDEX('OneCause_Paste'!$A$293:$AZ$293,1,OC_Name)="","",INDEX('OneCause_Paste'!$A$293:$AZ$293,1,OC_Name)))</f>
        <v/>
      </c>
      <c r="L293">
        <f>IF(OC_Txn=0,"",IF(INDEX('OneCause_Paste'!$A$293:$AZ$293,1,OC_Txn)="","",INDEX('OneCause_Paste'!$A$293:$AZ$293,1,OC_Txn)))</f>
        <v/>
      </c>
      <c r="M293">
        <f>IF(OC_Pay=0,"",IF(INDEX('OneCause_Paste'!$A$293:$AZ$293,1,OC_Pay)="","",INDEX('OneCause_Paste'!$A$293:$AZ$293,1,OC_Pay)))</f>
        <v/>
      </c>
      <c r="N293">
        <f>IF(I293="","",IF(ISNUMBER(I293),INT(I293),IFERROR(INT(DATEVALUE(I293)),IFERROR(INT(VALUE(I293)),"bad"))))</f>
        <v/>
      </c>
      <c r="O293">
        <f>IF(J293="","",IF(ISNUMBER(J293),ROUND(J293,2),IFERROR(ROUND(VALUE(SUBSTITUTE(SUBSTITUTE(SUBSTITUTE(J293,"$",""),",","")," ","")),2),"bad")))</f>
        <v/>
      </c>
      <c r="P293">
        <f>IF(TRIM(K293)="","",IFERROR(MATCH(LOWER(TRIM(K293)),'Students'!$AH$2:$AH$701,0),IFERROR(MATCH(LOWER(TRIM(K293)),'Students'!$AF$2:$AF$701,0),IFERROR(MATCH(LOWER(TRIM(K293)),'Students'!$AG$2:$AG$701,0),""))))</f>
        <v/>
      </c>
      <c r="R293">
        <f>IF(P293="","",INDEX('Students'!$AD$2:$AD$701,P293))</f>
        <v/>
      </c>
      <c r="S293">
        <f>IF(H293="OK",O293,0)</f>
        <v/>
      </c>
      <c r="T293">
        <f>IF(H293="OK",N293,"")</f>
        <v/>
      </c>
      <c r="U293">
        <f>IF(OC_Donor=0,"",IF(INDEX('OneCause_Paste'!$A$293:$AZ$293,1,OC_Donor)="","",INDEX('OneCause_Paste'!$A$293:$AZ$293,1,OC_Donor)))</f>
        <v/>
      </c>
    </row>
    <row r="294">
      <c r="A294" s="62">
        <f>IF(H294="","",IF(ISNUMBER(N294),N294,I294))</f>
        <v/>
      </c>
      <c r="B294">
        <f>IF(H294="","",U294)</f>
        <v/>
      </c>
      <c r="C294">
        <f>IF(H294="","",IF(P294="",K294,INDEX('Students'!$A$2:$A$701,P294)))</f>
        <v/>
      </c>
      <c r="D294">
        <f>IF(OR(H294="",P294=""),"",INDEX('Students'!$B$2:$B$701,P294))</f>
        <v/>
      </c>
      <c r="E294">
        <f>IF(OR(H294="",P294=""),"",INDEX('Students'!$C$2:$C$701,P294))</f>
        <v/>
      </c>
      <c r="F294" s="48">
        <f>IF(H294="","",IF(ISNUMBER(O294),O294,J294))</f>
        <v/>
      </c>
      <c r="G294">
        <f>IF(H294="","","OneCause")</f>
        <v/>
      </c>
      <c r="H294">
        <f>IF(AND(I294="",J294="",K294=""),"",IF(NOT(ISNUMBER(O294)),"Bad amount",IF(O294&lt;0,"Refund (not counted)",IF(O294=0,"Zero amount",IF(NOT(ISNUMBER(N294)),"Bad date",IF(P294="","NAME NOT ON ROSTER",IF(L294="","OK",IF(MATCH(L294,$L$2:$L$3001,0)&lt;ROW()-1,"Duplicate (ignored)","OK"))))))))</f>
        <v/>
      </c>
      <c r="I294">
        <f>IF(OC_Date=0,"",IF(INDEX('OneCause_Paste'!$A$294:$AZ$294,1,OC_Date)="","",INDEX('OneCause_Paste'!$A$294:$AZ$294,1,OC_Date)))</f>
        <v/>
      </c>
      <c r="J294">
        <f>IF(OC_Amt=0,"",IF(INDEX('OneCause_Paste'!$A$294:$AZ$294,1,OC_Amt)="","",INDEX('OneCause_Paste'!$A$294:$AZ$294,1,OC_Amt)))</f>
        <v/>
      </c>
      <c r="K294">
        <f>IF(OC_Name=0,"",IF(INDEX('OneCause_Paste'!$A$294:$AZ$294,1,OC_Name)="","",INDEX('OneCause_Paste'!$A$294:$AZ$294,1,OC_Name)))</f>
        <v/>
      </c>
      <c r="L294">
        <f>IF(OC_Txn=0,"",IF(INDEX('OneCause_Paste'!$A$294:$AZ$294,1,OC_Txn)="","",INDEX('OneCause_Paste'!$A$294:$AZ$294,1,OC_Txn)))</f>
        <v/>
      </c>
      <c r="M294">
        <f>IF(OC_Pay=0,"",IF(INDEX('OneCause_Paste'!$A$294:$AZ$294,1,OC_Pay)="","",INDEX('OneCause_Paste'!$A$294:$AZ$294,1,OC_Pay)))</f>
        <v/>
      </c>
      <c r="N294">
        <f>IF(I294="","",IF(ISNUMBER(I294),INT(I294),IFERROR(INT(DATEVALUE(I294)),IFERROR(INT(VALUE(I294)),"bad"))))</f>
        <v/>
      </c>
      <c r="O294">
        <f>IF(J294="","",IF(ISNUMBER(J294),ROUND(J294,2),IFERROR(ROUND(VALUE(SUBSTITUTE(SUBSTITUTE(SUBSTITUTE(J294,"$",""),",","")," ","")),2),"bad")))</f>
        <v/>
      </c>
      <c r="P294">
        <f>IF(TRIM(K294)="","",IFERROR(MATCH(LOWER(TRIM(K294)),'Students'!$AH$2:$AH$701,0),IFERROR(MATCH(LOWER(TRIM(K294)),'Students'!$AF$2:$AF$701,0),IFERROR(MATCH(LOWER(TRIM(K294)),'Students'!$AG$2:$AG$701,0),""))))</f>
        <v/>
      </c>
      <c r="R294">
        <f>IF(P294="","",INDEX('Students'!$AD$2:$AD$701,P294))</f>
        <v/>
      </c>
      <c r="S294">
        <f>IF(H294="OK",O294,0)</f>
        <v/>
      </c>
      <c r="T294">
        <f>IF(H294="OK",N294,"")</f>
        <v/>
      </c>
      <c r="U294">
        <f>IF(OC_Donor=0,"",IF(INDEX('OneCause_Paste'!$A$294:$AZ$294,1,OC_Donor)="","",INDEX('OneCause_Paste'!$A$294:$AZ$294,1,OC_Donor)))</f>
        <v/>
      </c>
    </row>
    <row r="295">
      <c r="A295" s="62">
        <f>IF(H295="","",IF(ISNUMBER(N295),N295,I295))</f>
        <v/>
      </c>
      <c r="B295">
        <f>IF(H295="","",U295)</f>
        <v/>
      </c>
      <c r="C295">
        <f>IF(H295="","",IF(P295="",K295,INDEX('Students'!$A$2:$A$701,P295)))</f>
        <v/>
      </c>
      <c r="D295">
        <f>IF(OR(H295="",P295=""),"",INDEX('Students'!$B$2:$B$701,P295))</f>
        <v/>
      </c>
      <c r="E295">
        <f>IF(OR(H295="",P295=""),"",INDEX('Students'!$C$2:$C$701,P295))</f>
        <v/>
      </c>
      <c r="F295" s="48">
        <f>IF(H295="","",IF(ISNUMBER(O295),O295,J295))</f>
        <v/>
      </c>
      <c r="G295">
        <f>IF(H295="","","OneCause")</f>
        <v/>
      </c>
      <c r="H295">
        <f>IF(AND(I295="",J295="",K295=""),"",IF(NOT(ISNUMBER(O295)),"Bad amount",IF(O295&lt;0,"Refund (not counted)",IF(O295=0,"Zero amount",IF(NOT(ISNUMBER(N295)),"Bad date",IF(P295="","NAME NOT ON ROSTER",IF(L295="","OK",IF(MATCH(L295,$L$2:$L$3001,0)&lt;ROW()-1,"Duplicate (ignored)","OK"))))))))</f>
        <v/>
      </c>
      <c r="I295">
        <f>IF(OC_Date=0,"",IF(INDEX('OneCause_Paste'!$A$295:$AZ$295,1,OC_Date)="","",INDEX('OneCause_Paste'!$A$295:$AZ$295,1,OC_Date)))</f>
        <v/>
      </c>
      <c r="J295">
        <f>IF(OC_Amt=0,"",IF(INDEX('OneCause_Paste'!$A$295:$AZ$295,1,OC_Amt)="","",INDEX('OneCause_Paste'!$A$295:$AZ$295,1,OC_Amt)))</f>
        <v/>
      </c>
      <c r="K295">
        <f>IF(OC_Name=0,"",IF(INDEX('OneCause_Paste'!$A$295:$AZ$295,1,OC_Name)="","",INDEX('OneCause_Paste'!$A$295:$AZ$295,1,OC_Name)))</f>
        <v/>
      </c>
      <c r="L295">
        <f>IF(OC_Txn=0,"",IF(INDEX('OneCause_Paste'!$A$295:$AZ$295,1,OC_Txn)="","",INDEX('OneCause_Paste'!$A$295:$AZ$295,1,OC_Txn)))</f>
        <v/>
      </c>
      <c r="M295">
        <f>IF(OC_Pay=0,"",IF(INDEX('OneCause_Paste'!$A$295:$AZ$295,1,OC_Pay)="","",INDEX('OneCause_Paste'!$A$295:$AZ$295,1,OC_Pay)))</f>
        <v/>
      </c>
      <c r="N295">
        <f>IF(I295="","",IF(ISNUMBER(I295),INT(I295),IFERROR(INT(DATEVALUE(I295)),IFERROR(INT(VALUE(I295)),"bad"))))</f>
        <v/>
      </c>
      <c r="O295">
        <f>IF(J295="","",IF(ISNUMBER(J295),ROUND(J295,2),IFERROR(ROUND(VALUE(SUBSTITUTE(SUBSTITUTE(SUBSTITUTE(J295,"$",""),",","")," ","")),2),"bad")))</f>
        <v/>
      </c>
      <c r="P295">
        <f>IF(TRIM(K295)="","",IFERROR(MATCH(LOWER(TRIM(K295)),'Students'!$AH$2:$AH$701,0),IFERROR(MATCH(LOWER(TRIM(K295)),'Students'!$AF$2:$AF$701,0),IFERROR(MATCH(LOWER(TRIM(K295)),'Students'!$AG$2:$AG$701,0),""))))</f>
        <v/>
      </c>
      <c r="R295">
        <f>IF(P295="","",INDEX('Students'!$AD$2:$AD$701,P295))</f>
        <v/>
      </c>
      <c r="S295">
        <f>IF(H295="OK",O295,0)</f>
        <v/>
      </c>
      <c r="T295">
        <f>IF(H295="OK",N295,"")</f>
        <v/>
      </c>
      <c r="U295">
        <f>IF(OC_Donor=0,"",IF(INDEX('OneCause_Paste'!$A$295:$AZ$295,1,OC_Donor)="","",INDEX('OneCause_Paste'!$A$295:$AZ$295,1,OC_Donor)))</f>
        <v/>
      </c>
    </row>
    <row r="296">
      <c r="A296" s="62">
        <f>IF(H296="","",IF(ISNUMBER(N296),N296,I296))</f>
        <v/>
      </c>
      <c r="B296">
        <f>IF(H296="","",U296)</f>
        <v/>
      </c>
      <c r="C296">
        <f>IF(H296="","",IF(P296="",K296,INDEX('Students'!$A$2:$A$701,P296)))</f>
        <v/>
      </c>
      <c r="D296">
        <f>IF(OR(H296="",P296=""),"",INDEX('Students'!$B$2:$B$701,P296))</f>
        <v/>
      </c>
      <c r="E296">
        <f>IF(OR(H296="",P296=""),"",INDEX('Students'!$C$2:$C$701,P296))</f>
        <v/>
      </c>
      <c r="F296" s="48">
        <f>IF(H296="","",IF(ISNUMBER(O296),O296,J296))</f>
        <v/>
      </c>
      <c r="G296">
        <f>IF(H296="","","OneCause")</f>
        <v/>
      </c>
      <c r="H296">
        <f>IF(AND(I296="",J296="",K296=""),"",IF(NOT(ISNUMBER(O296)),"Bad amount",IF(O296&lt;0,"Refund (not counted)",IF(O296=0,"Zero amount",IF(NOT(ISNUMBER(N296)),"Bad date",IF(P296="","NAME NOT ON ROSTER",IF(L296="","OK",IF(MATCH(L296,$L$2:$L$3001,0)&lt;ROW()-1,"Duplicate (ignored)","OK"))))))))</f>
        <v/>
      </c>
      <c r="I296">
        <f>IF(OC_Date=0,"",IF(INDEX('OneCause_Paste'!$A$296:$AZ$296,1,OC_Date)="","",INDEX('OneCause_Paste'!$A$296:$AZ$296,1,OC_Date)))</f>
        <v/>
      </c>
      <c r="J296">
        <f>IF(OC_Amt=0,"",IF(INDEX('OneCause_Paste'!$A$296:$AZ$296,1,OC_Amt)="","",INDEX('OneCause_Paste'!$A$296:$AZ$296,1,OC_Amt)))</f>
        <v/>
      </c>
      <c r="K296">
        <f>IF(OC_Name=0,"",IF(INDEX('OneCause_Paste'!$A$296:$AZ$296,1,OC_Name)="","",INDEX('OneCause_Paste'!$A$296:$AZ$296,1,OC_Name)))</f>
        <v/>
      </c>
      <c r="L296">
        <f>IF(OC_Txn=0,"",IF(INDEX('OneCause_Paste'!$A$296:$AZ$296,1,OC_Txn)="","",INDEX('OneCause_Paste'!$A$296:$AZ$296,1,OC_Txn)))</f>
        <v/>
      </c>
      <c r="M296">
        <f>IF(OC_Pay=0,"",IF(INDEX('OneCause_Paste'!$A$296:$AZ$296,1,OC_Pay)="","",INDEX('OneCause_Paste'!$A$296:$AZ$296,1,OC_Pay)))</f>
        <v/>
      </c>
      <c r="N296">
        <f>IF(I296="","",IF(ISNUMBER(I296),INT(I296),IFERROR(INT(DATEVALUE(I296)),IFERROR(INT(VALUE(I296)),"bad"))))</f>
        <v/>
      </c>
      <c r="O296">
        <f>IF(J296="","",IF(ISNUMBER(J296),ROUND(J296,2),IFERROR(ROUND(VALUE(SUBSTITUTE(SUBSTITUTE(SUBSTITUTE(J296,"$",""),",","")," ","")),2),"bad")))</f>
        <v/>
      </c>
      <c r="P296">
        <f>IF(TRIM(K296)="","",IFERROR(MATCH(LOWER(TRIM(K296)),'Students'!$AH$2:$AH$701,0),IFERROR(MATCH(LOWER(TRIM(K296)),'Students'!$AF$2:$AF$701,0),IFERROR(MATCH(LOWER(TRIM(K296)),'Students'!$AG$2:$AG$701,0),""))))</f>
        <v/>
      </c>
      <c r="R296">
        <f>IF(P296="","",INDEX('Students'!$AD$2:$AD$701,P296))</f>
        <v/>
      </c>
      <c r="S296">
        <f>IF(H296="OK",O296,0)</f>
        <v/>
      </c>
      <c r="T296">
        <f>IF(H296="OK",N296,"")</f>
        <v/>
      </c>
      <c r="U296">
        <f>IF(OC_Donor=0,"",IF(INDEX('OneCause_Paste'!$A$296:$AZ$296,1,OC_Donor)="","",INDEX('OneCause_Paste'!$A$296:$AZ$296,1,OC_Donor)))</f>
        <v/>
      </c>
    </row>
    <row r="297">
      <c r="A297" s="62">
        <f>IF(H297="","",IF(ISNUMBER(N297),N297,I297))</f>
        <v/>
      </c>
      <c r="B297">
        <f>IF(H297="","",U297)</f>
        <v/>
      </c>
      <c r="C297">
        <f>IF(H297="","",IF(P297="",K297,INDEX('Students'!$A$2:$A$701,P297)))</f>
        <v/>
      </c>
      <c r="D297">
        <f>IF(OR(H297="",P297=""),"",INDEX('Students'!$B$2:$B$701,P297))</f>
        <v/>
      </c>
      <c r="E297">
        <f>IF(OR(H297="",P297=""),"",INDEX('Students'!$C$2:$C$701,P297))</f>
        <v/>
      </c>
      <c r="F297" s="48">
        <f>IF(H297="","",IF(ISNUMBER(O297),O297,J297))</f>
        <v/>
      </c>
      <c r="G297">
        <f>IF(H297="","","OneCause")</f>
        <v/>
      </c>
      <c r="H297">
        <f>IF(AND(I297="",J297="",K297=""),"",IF(NOT(ISNUMBER(O297)),"Bad amount",IF(O297&lt;0,"Refund (not counted)",IF(O297=0,"Zero amount",IF(NOT(ISNUMBER(N297)),"Bad date",IF(P297="","NAME NOT ON ROSTER",IF(L297="","OK",IF(MATCH(L297,$L$2:$L$3001,0)&lt;ROW()-1,"Duplicate (ignored)","OK"))))))))</f>
        <v/>
      </c>
      <c r="I297">
        <f>IF(OC_Date=0,"",IF(INDEX('OneCause_Paste'!$A$297:$AZ$297,1,OC_Date)="","",INDEX('OneCause_Paste'!$A$297:$AZ$297,1,OC_Date)))</f>
        <v/>
      </c>
      <c r="J297">
        <f>IF(OC_Amt=0,"",IF(INDEX('OneCause_Paste'!$A$297:$AZ$297,1,OC_Amt)="","",INDEX('OneCause_Paste'!$A$297:$AZ$297,1,OC_Amt)))</f>
        <v/>
      </c>
      <c r="K297">
        <f>IF(OC_Name=0,"",IF(INDEX('OneCause_Paste'!$A$297:$AZ$297,1,OC_Name)="","",INDEX('OneCause_Paste'!$A$297:$AZ$297,1,OC_Name)))</f>
        <v/>
      </c>
      <c r="L297">
        <f>IF(OC_Txn=0,"",IF(INDEX('OneCause_Paste'!$A$297:$AZ$297,1,OC_Txn)="","",INDEX('OneCause_Paste'!$A$297:$AZ$297,1,OC_Txn)))</f>
        <v/>
      </c>
      <c r="M297">
        <f>IF(OC_Pay=0,"",IF(INDEX('OneCause_Paste'!$A$297:$AZ$297,1,OC_Pay)="","",INDEX('OneCause_Paste'!$A$297:$AZ$297,1,OC_Pay)))</f>
        <v/>
      </c>
      <c r="N297">
        <f>IF(I297="","",IF(ISNUMBER(I297),INT(I297),IFERROR(INT(DATEVALUE(I297)),IFERROR(INT(VALUE(I297)),"bad"))))</f>
        <v/>
      </c>
      <c r="O297">
        <f>IF(J297="","",IF(ISNUMBER(J297),ROUND(J297,2),IFERROR(ROUND(VALUE(SUBSTITUTE(SUBSTITUTE(SUBSTITUTE(J297,"$",""),",","")," ","")),2),"bad")))</f>
        <v/>
      </c>
      <c r="P297">
        <f>IF(TRIM(K297)="","",IFERROR(MATCH(LOWER(TRIM(K297)),'Students'!$AH$2:$AH$701,0),IFERROR(MATCH(LOWER(TRIM(K297)),'Students'!$AF$2:$AF$701,0),IFERROR(MATCH(LOWER(TRIM(K297)),'Students'!$AG$2:$AG$701,0),""))))</f>
        <v/>
      </c>
      <c r="R297">
        <f>IF(P297="","",INDEX('Students'!$AD$2:$AD$701,P297))</f>
        <v/>
      </c>
      <c r="S297">
        <f>IF(H297="OK",O297,0)</f>
        <v/>
      </c>
      <c r="T297">
        <f>IF(H297="OK",N297,"")</f>
        <v/>
      </c>
      <c r="U297">
        <f>IF(OC_Donor=0,"",IF(INDEX('OneCause_Paste'!$A$297:$AZ$297,1,OC_Donor)="","",INDEX('OneCause_Paste'!$A$297:$AZ$297,1,OC_Donor)))</f>
        <v/>
      </c>
    </row>
    <row r="298">
      <c r="A298" s="62">
        <f>IF(H298="","",IF(ISNUMBER(N298),N298,I298))</f>
        <v/>
      </c>
      <c r="B298">
        <f>IF(H298="","",U298)</f>
        <v/>
      </c>
      <c r="C298">
        <f>IF(H298="","",IF(P298="",K298,INDEX('Students'!$A$2:$A$701,P298)))</f>
        <v/>
      </c>
      <c r="D298">
        <f>IF(OR(H298="",P298=""),"",INDEX('Students'!$B$2:$B$701,P298))</f>
        <v/>
      </c>
      <c r="E298">
        <f>IF(OR(H298="",P298=""),"",INDEX('Students'!$C$2:$C$701,P298))</f>
        <v/>
      </c>
      <c r="F298" s="48">
        <f>IF(H298="","",IF(ISNUMBER(O298),O298,J298))</f>
        <v/>
      </c>
      <c r="G298">
        <f>IF(H298="","","OneCause")</f>
        <v/>
      </c>
      <c r="H298">
        <f>IF(AND(I298="",J298="",K298=""),"",IF(NOT(ISNUMBER(O298)),"Bad amount",IF(O298&lt;0,"Refund (not counted)",IF(O298=0,"Zero amount",IF(NOT(ISNUMBER(N298)),"Bad date",IF(P298="","NAME NOT ON ROSTER",IF(L298="","OK",IF(MATCH(L298,$L$2:$L$3001,0)&lt;ROW()-1,"Duplicate (ignored)","OK"))))))))</f>
        <v/>
      </c>
      <c r="I298">
        <f>IF(OC_Date=0,"",IF(INDEX('OneCause_Paste'!$A$298:$AZ$298,1,OC_Date)="","",INDEX('OneCause_Paste'!$A$298:$AZ$298,1,OC_Date)))</f>
        <v/>
      </c>
      <c r="J298">
        <f>IF(OC_Amt=0,"",IF(INDEX('OneCause_Paste'!$A$298:$AZ$298,1,OC_Amt)="","",INDEX('OneCause_Paste'!$A$298:$AZ$298,1,OC_Amt)))</f>
        <v/>
      </c>
      <c r="K298">
        <f>IF(OC_Name=0,"",IF(INDEX('OneCause_Paste'!$A$298:$AZ$298,1,OC_Name)="","",INDEX('OneCause_Paste'!$A$298:$AZ$298,1,OC_Name)))</f>
        <v/>
      </c>
      <c r="L298">
        <f>IF(OC_Txn=0,"",IF(INDEX('OneCause_Paste'!$A$298:$AZ$298,1,OC_Txn)="","",INDEX('OneCause_Paste'!$A$298:$AZ$298,1,OC_Txn)))</f>
        <v/>
      </c>
      <c r="M298">
        <f>IF(OC_Pay=0,"",IF(INDEX('OneCause_Paste'!$A$298:$AZ$298,1,OC_Pay)="","",INDEX('OneCause_Paste'!$A$298:$AZ$298,1,OC_Pay)))</f>
        <v/>
      </c>
      <c r="N298">
        <f>IF(I298="","",IF(ISNUMBER(I298),INT(I298),IFERROR(INT(DATEVALUE(I298)),IFERROR(INT(VALUE(I298)),"bad"))))</f>
        <v/>
      </c>
      <c r="O298">
        <f>IF(J298="","",IF(ISNUMBER(J298),ROUND(J298,2),IFERROR(ROUND(VALUE(SUBSTITUTE(SUBSTITUTE(SUBSTITUTE(J298,"$",""),",","")," ","")),2),"bad")))</f>
        <v/>
      </c>
      <c r="P298">
        <f>IF(TRIM(K298)="","",IFERROR(MATCH(LOWER(TRIM(K298)),'Students'!$AH$2:$AH$701,0),IFERROR(MATCH(LOWER(TRIM(K298)),'Students'!$AF$2:$AF$701,0),IFERROR(MATCH(LOWER(TRIM(K298)),'Students'!$AG$2:$AG$701,0),""))))</f>
        <v/>
      </c>
      <c r="R298">
        <f>IF(P298="","",INDEX('Students'!$AD$2:$AD$701,P298))</f>
        <v/>
      </c>
      <c r="S298">
        <f>IF(H298="OK",O298,0)</f>
        <v/>
      </c>
      <c r="T298">
        <f>IF(H298="OK",N298,"")</f>
        <v/>
      </c>
      <c r="U298">
        <f>IF(OC_Donor=0,"",IF(INDEX('OneCause_Paste'!$A$298:$AZ$298,1,OC_Donor)="","",INDEX('OneCause_Paste'!$A$298:$AZ$298,1,OC_Donor)))</f>
        <v/>
      </c>
    </row>
    <row r="299">
      <c r="A299" s="62">
        <f>IF(H299="","",IF(ISNUMBER(N299),N299,I299))</f>
        <v/>
      </c>
      <c r="B299">
        <f>IF(H299="","",U299)</f>
        <v/>
      </c>
      <c r="C299">
        <f>IF(H299="","",IF(P299="",K299,INDEX('Students'!$A$2:$A$701,P299)))</f>
        <v/>
      </c>
      <c r="D299">
        <f>IF(OR(H299="",P299=""),"",INDEX('Students'!$B$2:$B$701,P299))</f>
        <v/>
      </c>
      <c r="E299">
        <f>IF(OR(H299="",P299=""),"",INDEX('Students'!$C$2:$C$701,P299))</f>
        <v/>
      </c>
      <c r="F299" s="48">
        <f>IF(H299="","",IF(ISNUMBER(O299),O299,J299))</f>
        <v/>
      </c>
      <c r="G299">
        <f>IF(H299="","","OneCause")</f>
        <v/>
      </c>
      <c r="H299">
        <f>IF(AND(I299="",J299="",K299=""),"",IF(NOT(ISNUMBER(O299)),"Bad amount",IF(O299&lt;0,"Refund (not counted)",IF(O299=0,"Zero amount",IF(NOT(ISNUMBER(N299)),"Bad date",IF(P299="","NAME NOT ON ROSTER",IF(L299="","OK",IF(MATCH(L299,$L$2:$L$3001,0)&lt;ROW()-1,"Duplicate (ignored)","OK"))))))))</f>
        <v/>
      </c>
      <c r="I299">
        <f>IF(OC_Date=0,"",IF(INDEX('OneCause_Paste'!$A$299:$AZ$299,1,OC_Date)="","",INDEX('OneCause_Paste'!$A$299:$AZ$299,1,OC_Date)))</f>
        <v/>
      </c>
      <c r="J299">
        <f>IF(OC_Amt=0,"",IF(INDEX('OneCause_Paste'!$A$299:$AZ$299,1,OC_Amt)="","",INDEX('OneCause_Paste'!$A$299:$AZ$299,1,OC_Amt)))</f>
        <v/>
      </c>
      <c r="K299">
        <f>IF(OC_Name=0,"",IF(INDEX('OneCause_Paste'!$A$299:$AZ$299,1,OC_Name)="","",INDEX('OneCause_Paste'!$A$299:$AZ$299,1,OC_Name)))</f>
        <v/>
      </c>
      <c r="L299">
        <f>IF(OC_Txn=0,"",IF(INDEX('OneCause_Paste'!$A$299:$AZ$299,1,OC_Txn)="","",INDEX('OneCause_Paste'!$A$299:$AZ$299,1,OC_Txn)))</f>
        <v/>
      </c>
      <c r="M299">
        <f>IF(OC_Pay=0,"",IF(INDEX('OneCause_Paste'!$A$299:$AZ$299,1,OC_Pay)="","",INDEX('OneCause_Paste'!$A$299:$AZ$299,1,OC_Pay)))</f>
        <v/>
      </c>
      <c r="N299">
        <f>IF(I299="","",IF(ISNUMBER(I299),INT(I299),IFERROR(INT(DATEVALUE(I299)),IFERROR(INT(VALUE(I299)),"bad"))))</f>
        <v/>
      </c>
      <c r="O299">
        <f>IF(J299="","",IF(ISNUMBER(J299),ROUND(J299,2),IFERROR(ROUND(VALUE(SUBSTITUTE(SUBSTITUTE(SUBSTITUTE(J299,"$",""),",","")," ","")),2),"bad")))</f>
        <v/>
      </c>
      <c r="P299">
        <f>IF(TRIM(K299)="","",IFERROR(MATCH(LOWER(TRIM(K299)),'Students'!$AH$2:$AH$701,0),IFERROR(MATCH(LOWER(TRIM(K299)),'Students'!$AF$2:$AF$701,0),IFERROR(MATCH(LOWER(TRIM(K299)),'Students'!$AG$2:$AG$701,0),""))))</f>
        <v/>
      </c>
      <c r="R299">
        <f>IF(P299="","",INDEX('Students'!$AD$2:$AD$701,P299))</f>
        <v/>
      </c>
      <c r="S299">
        <f>IF(H299="OK",O299,0)</f>
        <v/>
      </c>
      <c r="T299">
        <f>IF(H299="OK",N299,"")</f>
        <v/>
      </c>
      <c r="U299">
        <f>IF(OC_Donor=0,"",IF(INDEX('OneCause_Paste'!$A$299:$AZ$299,1,OC_Donor)="","",INDEX('OneCause_Paste'!$A$299:$AZ$299,1,OC_Donor)))</f>
        <v/>
      </c>
    </row>
    <row r="300">
      <c r="A300" s="62">
        <f>IF(H300="","",IF(ISNUMBER(N300),N300,I300))</f>
        <v/>
      </c>
      <c r="B300">
        <f>IF(H300="","",U300)</f>
        <v/>
      </c>
      <c r="C300">
        <f>IF(H300="","",IF(P300="",K300,INDEX('Students'!$A$2:$A$701,P300)))</f>
        <v/>
      </c>
      <c r="D300">
        <f>IF(OR(H300="",P300=""),"",INDEX('Students'!$B$2:$B$701,P300))</f>
        <v/>
      </c>
      <c r="E300">
        <f>IF(OR(H300="",P300=""),"",INDEX('Students'!$C$2:$C$701,P300))</f>
        <v/>
      </c>
      <c r="F300" s="48">
        <f>IF(H300="","",IF(ISNUMBER(O300),O300,J300))</f>
        <v/>
      </c>
      <c r="G300">
        <f>IF(H300="","","OneCause")</f>
        <v/>
      </c>
      <c r="H300">
        <f>IF(AND(I300="",J300="",K300=""),"",IF(NOT(ISNUMBER(O300)),"Bad amount",IF(O300&lt;0,"Refund (not counted)",IF(O300=0,"Zero amount",IF(NOT(ISNUMBER(N300)),"Bad date",IF(P300="","NAME NOT ON ROSTER",IF(L300="","OK",IF(MATCH(L300,$L$2:$L$3001,0)&lt;ROW()-1,"Duplicate (ignored)","OK"))))))))</f>
        <v/>
      </c>
      <c r="I300">
        <f>IF(OC_Date=0,"",IF(INDEX('OneCause_Paste'!$A$300:$AZ$300,1,OC_Date)="","",INDEX('OneCause_Paste'!$A$300:$AZ$300,1,OC_Date)))</f>
        <v/>
      </c>
      <c r="J300">
        <f>IF(OC_Amt=0,"",IF(INDEX('OneCause_Paste'!$A$300:$AZ$300,1,OC_Amt)="","",INDEX('OneCause_Paste'!$A$300:$AZ$300,1,OC_Amt)))</f>
        <v/>
      </c>
      <c r="K300">
        <f>IF(OC_Name=0,"",IF(INDEX('OneCause_Paste'!$A$300:$AZ$300,1,OC_Name)="","",INDEX('OneCause_Paste'!$A$300:$AZ$300,1,OC_Name)))</f>
        <v/>
      </c>
      <c r="L300">
        <f>IF(OC_Txn=0,"",IF(INDEX('OneCause_Paste'!$A$300:$AZ$300,1,OC_Txn)="","",INDEX('OneCause_Paste'!$A$300:$AZ$300,1,OC_Txn)))</f>
        <v/>
      </c>
      <c r="M300">
        <f>IF(OC_Pay=0,"",IF(INDEX('OneCause_Paste'!$A$300:$AZ$300,1,OC_Pay)="","",INDEX('OneCause_Paste'!$A$300:$AZ$300,1,OC_Pay)))</f>
        <v/>
      </c>
      <c r="N300">
        <f>IF(I300="","",IF(ISNUMBER(I300),INT(I300),IFERROR(INT(DATEVALUE(I300)),IFERROR(INT(VALUE(I300)),"bad"))))</f>
        <v/>
      </c>
      <c r="O300">
        <f>IF(J300="","",IF(ISNUMBER(J300),ROUND(J300,2),IFERROR(ROUND(VALUE(SUBSTITUTE(SUBSTITUTE(SUBSTITUTE(J300,"$",""),",","")," ","")),2),"bad")))</f>
        <v/>
      </c>
      <c r="P300">
        <f>IF(TRIM(K300)="","",IFERROR(MATCH(LOWER(TRIM(K300)),'Students'!$AH$2:$AH$701,0),IFERROR(MATCH(LOWER(TRIM(K300)),'Students'!$AF$2:$AF$701,0),IFERROR(MATCH(LOWER(TRIM(K300)),'Students'!$AG$2:$AG$701,0),""))))</f>
        <v/>
      </c>
      <c r="R300">
        <f>IF(P300="","",INDEX('Students'!$AD$2:$AD$701,P300))</f>
        <v/>
      </c>
      <c r="S300">
        <f>IF(H300="OK",O300,0)</f>
        <v/>
      </c>
      <c r="T300">
        <f>IF(H300="OK",N300,"")</f>
        <v/>
      </c>
      <c r="U300">
        <f>IF(OC_Donor=0,"",IF(INDEX('OneCause_Paste'!$A$300:$AZ$300,1,OC_Donor)="","",INDEX('OneCause_Paste'!$A$300:$AZ$300,1,OC_Donor)))</f>
        <v/>
      </c>
    </row>
    <row r="301">
      <c r="A301" s="62">
        <f>IF(H301="","",IF(ISNUMBER(N301),N301,I301))</f>
        <v/>
      </c>
      <c r="B301">
        <f>IF(H301="","",U301)</f>
        <v/>
      </c>
      <c r="C301">
        <f>IF(H301="","",IF(P301="",K301,INDEX('Students'!$A$2:$A$701,P301)))</f>
        <v/>
      </c>
      <c r="D301">
        <f>IF(OR(H301="",P301=""),"",INDEX('Students'!$B$2:$B$701,P301))</f>
        <v/>
      </c>
      <c r="E301">
        <f>IF(OR(H301="",P301=""),"",INDEX('Students'!$C$2:$C$701,P301))</f>
        <v/>
      </c>
      <c r="F301" s="48">
        <f>IF(H301="","",IF(ISNUMBER(O301),O301,J301))</f>
        <v/>
      </c>
      <c r="G301">
        <f>IF(H301="","","OneCause")</f>
        <v/>
      </c>
      <c r="H301">
        <f>IF(AND(I301="",J301="",K301=""),"",IF(NOT(ISNUMBER(O301)),"Bad amount",IF(O301&lt;0,"Refund (not counted)",IF(O301=0,"Zero amount",IF(NOT(ISNUMBER(N301)),"Bad date",IF(P301="","NAME NOT ON ROSTER",IF(L301="","OK",IF(MATCH(L301,$L$2:$L$3001,0)&lt;ROW()-1,"Duplicate (ignored)","OK"))))))))</f>
        <v/>
      </c>
      <c r="I301">
        <f>IF(OC_Date=0,"",IF(INDEX('OneCause_Paste'!$A$301:$AZ$301,1,OC_Date)="","",INDEX('OneCause_Paste'!$A$301:$AZ$301,1,OC_Date)))</f>
        <v/>
      </c>
      <c r="J301">
        <f>IF(OC_Amt=0,"",IF(INDEX('OneCause_Paste'!$A$301:$AZ$301,1,OC_Amt)="","",INDEX('OneCause_Paste'!$A$301:$AZ$301,1,OC_Amt)))</f>
        <v/>
      </c>
      <c r="K301">
        <f>IF(OC_Name=0,"",IF(INDEX('OneCause_Paste'!$A$301:$AZ$301,1,OC_Name)="","",INDEX('OneCause_Paste'!$A$301:$AZ$301,1,OC_Name)))</f>
        <v/>
      </c>
      <c r="L301">
        <f>IF(OC_Txn=0,"",IF(INDEX('OneCause_Paste'!$A$301:$AZ$301,1,OC_Txn)="","",INDEX('OneCause_Paste'!$A$301:$AZ$301,1,OC_Txn)))</f>
        <v/>
      </c>
      <c r="M301">
        <f>IF(OC_Pay=0,"",IF(INDEX('OneCause_Paste'!$A$301:$AZ$301,1,OC_Pay)="","",INDEX('OneCause_Paste'!$A$301:$AZ$301,1,OC_Pay)))</f>
        <v/>
      </c>
      <c r="N301">
        <f>IF(I301="","",IF(ISNUMBER(I301),INT(I301),IFERROR(INT(DATEVALUE(I301)),IFERROR(INT(VALUE(I301)),"bad"))))</f>
        <v/>
      </c>
      <c r="O301">
        <f>IF(J301="","",IF(ISNUMBER(J301),ROUND(J301,2),IFERROR(ROUND(VALUE(SUBSTITUTE(SUBSTITUTE(SUBSTITUTE(J301,"$",""),",","")," ","")),2),"bad")))</f>
        <v/>
      </c>
      <c r="P301">
        <f>IF(TRIM(K301)="","",IFERROR(MATCH(LOWER(TRIM(K301)),'Students'!$AH$2:$AH$701,0),IFERROR(MATCH(LOWER(TRIM(K301)),'Students'!$AF$2:$AF$701,0),IFERROR(MATCH(LOWER(TRIM(K301)),'Students'!$AG$2:$AG$701,0),""))))</f>
        <v/>
      </c>
      <c r="R301">
        <f>IF(P301="","",INDEX('Students'!$AD$2:$AD$701,P301))</f>
        <v/>
      </c>
      <c r="S301">
        <f>IF(H301="OK",O301,0)</f>
        <v/>
      </c>
      <c r="T301">
        <f>IF(H301="OK",N301,"")</f>
        <v/>
      </c>
      <c r="U301">
        <f>IF(OC_Donor=0,"",IF(INDEX('OneCause_Paste'!$A$301:$AZ$301,1,OC_Donor)="","",INDEX('OneCause_Paste'!$A$301:$AZ$301,1,OC_Donor)))</f>
        <v/>
      </c>
    </row>
    <row r="302">
      <c r="A302" s="62">
        <f>IF(H302="","",IF(ISNUMBER(N302),N302,I302))</f>
        <v/>
      </c>
      <c r="B302">
        <f>IF(H302="","",U302)</f>
        <v/>
      </c>
      <c r="C302">
        <f>IF(H302="","",IF(P302="",K302,INDEX('Students'!$A$2:$A$701,P302)))</f>
        <v/>
      </c>
      <c r="D302">
        <f>IF(OR(H302="",P302=""),"",INDEX('Students'!$B$2:$B$701,P302))</f>
        <v/>
      </c>
      <c r="E302">
        <f>IF(OR(H302="",P302=""),"",INDEX('Students'!$C$2:$C$701,P302))</f>
        <v/>
      </c>
      <c r="F302" s="48">
        <f>IF(H302="","",IF(ISNUMBER(O302),O302,J302))</f>
        <v/>
      </c>
      <c r="G302">
        <f>IF(H302="","","OneCause")</f>
        <v/>
      </c>
      <c r="H302">
        <f>IF(AND(I302="",J302="",K302=""),"",IF(NOT(ISNUMBER(O302)),"Bad amount",IF(O302&lt;0,"Refund (not counted)",IF(O302=0,"Zero amount",IF(NOT(ISNUMBER(N302)),"Bad date",IF(P302="","NAME NOT ON ROSTER",IF(L302="","OK",IF(MATCH(L302,$L$2:$L$3001,0)&lt;ROW()-1,"Duplicate (ignored)","OK"))))))))</f>
        <v/>
      </c>
      <c r="I302">
        <f>IF(OC_Date=0,"",IF(INDEX('OneCause_Paste'!$A$302:$AZ$302,1,OC_Date)="","",INDEX('OneCause_Paste'!$A$302:$AZ$302,1,OC_Date)))</f>
        <v/>
      </c>
      <c r="J302">
        <f>IF(OC_Amt=0,"",IF(INDEX('OneCause_Paste'!$A$302:$AZ$302,1,OC_Amt)="","",INDEX('OneCause_Paste'!$A$302:$AZ$302,1,OC_Amt)))</f>
        <v/>
      </c>
      <c r="K302">
        <f>IF(OC_Name=0,"",IF(INDEX('OneCause_Paste'!$A$302:$AZ$302,1,OC_Name)="","",INDEX('OneCause_Paste'!$A$302:$AZ$302,1,OC_Name)))</f>
        <v/>
      </c>
      <c r="L302">
        <f>IF(OC_Txn=0,"",IF(INDEX('OneCause_Paste'!$A$302:$AZ$302,1,OC_Txn)="","",INDEX('OneCause_Paste'!$A$302:$AZ$302,1,OC_Txn)))</f>
        <v/>
      </c>
      <c r="M302">
        <f>IF(OC_Pay=0,"",IF(INDEX('OneCause_Paste'!$A$302:$AZ$302,1,OC_Pay)="","",INDEX('OneCause_Paste'!$A$302:$AZ$302,1,OC_Pay)))</f>
        <v/>
      </c>
      <c r="N302">
        <f>IF(I302="","",IF(ISNUMBER(I302),INT(I302),IFERROR(INT(DATEVALUE(I302)),IFERROR(INT(VALUE(I302)),"bad"))))</f>
        <v/>
      </c>
      <c r="O302">
        <f>IF(J302="","",IF(ISNUMBER(J302),ROUND(J302,2),IFERROR(ROUND(VALUE(SUBSTITUTE(SUBSTITUTE(SUBSTITUTE(J302,"$",""),",","")," ","")),2),"bad")))</f>
        <v/>
      </c>
      <c r="P302">
        <f>IF(TRIM(K302)="","",IFERROR(MATCH(LOWER(TRIM(K302)),'Students'!$AH$2:$AH$701,0),IFERROR(MATCH(LOWER(TRIM(K302)),'Students'!$AF$2:$AF$701,0),IFERROR(MATCH(LOWER(TRIM(K302)),'Students'!$AG$2:$AG$701,0),""))))</f>
        <v/>
      </c>
      <c r="R302">
        <f>IF(P302="","",INDEX('Students'!$AD$2:$AD$701,P302))</f>
        <v/>
      </c>
      <c r="S302">
        <f>IF(H302="OK",O302,0)</f>
        <v/>
      </c>
      <c r="T302">
        <f>IF(H302="OK",N302,"")</f>
        <v/>
      </c>
      <c r="U302">
        <f>IF(OC_Donor=0,"",IF(INDEX('OneCause_Paste'!$A$302:$AZ$302,1,OC_Donor)="","",INDEX('OneCause_Paste'!$A$302:$AZ$302,1,OC_Donor)))</f>
        <v/>
      </c>
    </row>
    <row r="303">
      <c r="A303" s="62">
        <f>IF(H303="","",IF(ISNUMBER(N303),N303,I303))</f>
        <v/>
      </c>
      <c r="B303">
        <f>IF(H303="","",U303)</f>
        <v/>
      </c>
      <c r="C303">
        <f>IF(H303="","",IF(P303="",K303,INDEX('Students'!$A$2:$A$701,P303)))</f>
        <v/>
      </c>
      <c r="D303">
        <f>IF(OR(H303="",P303=""),"",INDEX('Students'!$B$2:$B$701,P303))</f>
        <v/>
      </c>
      <c r="E303">
        <f>IF(OR(H303="",P303=""),"",INDEX('Students'!$C$2:$C$701,P303))</f>
        <v/>
      </c>
      <c r="F303" s="48">
        <f>IF(H303="","",IF(ISNUMBER(O303),O303,J303))</f>
        <v/>
      </c>
      <c r="G303">
        <f>IF(H303="","","OneCause")</f>
        <v/>
      </c>
      <c r="H303">
        <f>IF(AND(I303="",J303="",K303=""),"",IF(NOT(ISNUMBER(O303)),"Bad amount",IF(O303&lt;0,"Refund (not counted)",IF(O303=0,"Zero amount",IF(NOT(ISNUMBER(N303)),"Bad date",IF(P303="","NAME NOT ON ROSTER",IF(L303="","OK",IF(MATCH(L303,$L$2:$L$3001,0)&lt;ROW()-1,"Duplicate (ignored)","OK"))))))))</f>
        <v/>
      </c>
      <c r="I303">
        <f>IF(OC_Date=0,"",IF(INDEX('OneCause_Paste'!$A$303:$AZ$303,1,OC_Date)="","",INDEX('OneCause_Paste'!$A$303:$AZ$303,1,OC_Date)))</f>
        <v/>
      </c>
      <c r="J303">
        <f>IF(OC_Amt=0,"",IF(INDEX('OneCause_Paste'!$A$303:$AZ$303,1,OC_Amt)="","",INDEX('OneCause_Paste'!$A$303:$AZ$303,1,OC_Amt)))</f>
        <v/>
      </c>
      <c r="K303">
        <f>IF(OC_Name=0,"",IF(INDEX('OneCause_Paste'!$A$303:$AZ$303,1,OC_Name)="","",INDEX('OneCause_Paste'!$A$303:$AZ$303,1,OC_Name)))</f>
        <v/>
      </c>
      <c r="L303">
        <f>IF(OC_Txn=0,"",IF(INDEX('OneCause_Paste'!$A$303:$AZ$303,1,OC_Txn)="","",INDEX('OneCause_Paste'!$A$303:$AZ$303,1,OC_Txn)))</f>
        <v/>
      </c>
      <c r="M303">
        <f>IF(OC_Pay=0,"",IF(INDEX('OneCause_Paste'!$A$303:$AZ$303,1,OC_Pay)="","",INDEX('OneCause_Paste'!$A$303:$AZ$303,1,OC_Pay)))</f>
        <v/>
      </c>
      <c r="N303">
        <f>IF(I303="","",IF(ISNUMBER(I303),INT(I303),IFERROR(INT(DATEVALUE(I303)),IFERROR(INT(VALUE(I303)),"bad"))))</f>
        <v/>
      </c>
      <c r="O303">
        <f>IF(J303="","",IF(ISNUMBER(J303),ROUND(J303,2),IFERROR(ROUND(VALUE(SUBSTITUTE(SUBSTITUTE(SUBSTITUTE(J303,"$",""),",","")," ","")),2),"bad")))</f>
        <v/>
      </c>
      <c r="P303">
        <f>IF(TRIM(K303)="","",IFERROR(MATCH(LOWER(TRIM(K303)),'Students'!$AH$2:$AH$701,0),IFERROR(MATCH(LOWER(TRIM(K303)),'Students'!$AF$2:$AF$701,0),IFERROR(MATCH(LOWER(TRIM(K303)),'Students'!$AG$2:$AG$701,0),""))))</f>
        <v/>
      </c>
      <c r="R303">
        <f>IF(P303="","",INDEX('Students'!$AD$2:$AD$701,P303))</f>
        <v/>
      </c>
      <c r="S303">
        <f>IF(H303="OK",O303,0)</f>
        <v/>
      </c>
      <c r="T303">
        <f>IF(H303="OK",N303,"")</f>
        <v/>
      </c>
      <c r="U303">
        <f>IF(OC_Donor=0,"",IF(INDEX('OneCause_Paste'!$A$303:$AZ$303,1,OC_Donor)="","",INDEX('OneCause_Paste'!$A$303:$AZ$303,1,OC_Donor)))</f>
        <v/>
      </c>
    </row>
    <row r="304">
      <c r="A304" s="62">
        <f>IF(H304="","",IF(ISNUMBER(N304),N304,I304))</f>
        <v/>
      </c>
      <c r="B304">
        <f>IF(H304="","",U304)</f>
        <v/>
      </c>
      <c r="C304">
        <f>IF(H304="","",IF(P304="",K304,INDEX('Students'!$A$2:$A$701,P304)))</f>
        <v/>
      </c>
      <c r="D304">
        <f>IF(OR(H304="",P304=""),"",INDEX('Students'!$B$2:$B$701,P304))</f>
        <v/>
      </c>
      <c r="E304">
        <f>IF(OR(H304="",P304=""),"",INDEX('Students'!$C$2:$C$701,P304))</f>
        <v/>
      </c>
      <c r="F304" s="48">
        <f>IF(H304="","",IF(ISNUMBER(O304),O304,J304))</f>
        <v/>
      </c>
      <c r="G304">
        <f>IF(H304="","","OneCause")</f>
        <v/>
      </c>
      <c r="H304">
        <f>IF(AND(I304="",J304="",K304=""),"",IF(NOT(ISNUMBER(O304)),"Bad amount",IF(O304&lt;0,"Refund (not counted)",IF(O304=0,"Zero amount",IF(NOT(ISNUMBER(N304)),"Bad date",IF(P304="","NAME NOT ON ROSTER",IF(L304="","OK",IF(MATCH(L304,$L$2:$L$3001,0)&lt;ROW()-1,"Duplicate (ignored)","OK"))))))))</f>
        <v/>
      </c>
      <c r="I304">
        <f>IF(OC_Date=0,"",IF(INDEX('OneCause_Paste'!$A$304:$AZ$304,1,OC_Date)="","",INDEX('OneCause_Paste'!$A$304:$AZ$304,1,OC_Date)))</f>
        <v/>
      </c>
      <c r="J304">
        <f>IF(OC_Amt=0,"",IF(INDEX('OneCause_Paste'!$A$304:$AZ$304,1,OC_Amt)="","",INDEX('OneCause_Paste'!$A$304:$AZ$304,1,OC_Amt)))</f>
        <v/>
      </c>
      <c r="K304">
        <f>IF(OC_Name=0,"",IF(INDEX('OneCause_Paste'!$A$304:$AZ$304,1,OC_Name)="","",INDEX('OneCause_Paste'!$A$304:$AZ$304,1,OC_Name)))</f>
        <v/>
      </c>
      <c r="L304">
        <f>IF(OC_Txn=0,"",IF(INDEX('OneCause_Paste'!$A$304:$AZ$304,1,OC_Txn)="","",INDEX('OneCause_Paste'!$A$304:$AZ$304,1,OC_Txn)))</f>
        <v/>
      </c>
      <c r="M304">
        <f>IF(OC_Pay=0,"",IF(INDEX('OneCause_Paste'!$A$304:$AZ$304,1,OC_Pay)="","",INDEX('OneCause_Paste'!$A$304:$AZ$304,1,OC_Pay)))</f>
        <v/>
      </c>
      <c r="N304">
        <f>IF(I304="","",IF(ISNUMBER(I304),INT(I304),IFERROR(INT(DATEVALUE(I304)),IFERROR(INT(VALUE(I304)),"bad"))))</f>
        <v/>
      </c>
      <c r="O304">
        <f>IF(J304="","",IF(ISNUMBER(J304),ROUND(J304,2),IFERROR(ROUND(VALUE(SUBSTITUTE(SUBSTITUTE(SUBSTITUTE(J304,"$",""),",","")," ","")),2),"bad")))</f>
        <v/>
      </c>
      <c r="P304">
        <f>IF(TRIM(K304)="","",IFERROR(MATCH(LOWER(TRIM(K304)),'Students'!$AH$2:$AH$701,0),IFERROR(MATCH(LOWER(TRIM(K304)),'Students'!$AF$2:$AF$701,0),IFERROR(MATCH(LOWER(TRIM(K304)),'Students'!$AG$2:$AG$701,0),""))))</f>
        <v/>
      </c>
      <c r="R304">
        <f>IF(P304="","",INDEX('Students'!$AD$2:$AD$701,P304))</f>
        <v/>
      </c>
      <c r="S304">
        <f>IF(H304="OK",O304,0)</f>
        <v/>
      </c>
      <c r="T304">
        <f>IF(H304="OK",N304,"")</f>
        <v/>
      </c>
      <c r="U304">
        <f>IF(OC_Donor=0,"",IF(INDEX('OneCause_Paste'!$A$304:$AZ$304,1,OC_Donor)="","",INDEX('OneCause_Paste'!$A$304:$AZ$304,1,OC_Donor)))</f>
        <v/>
      </c>
    </row>
    <row r="305">
      <c r="A305" s="62">
        <f>IF(H305="","",IF(ISNUMBER(N305),N305,I305))</f>
        <v/>
      </c>
      <c r="B305">
        <f>IF(H305="","",U305)</f>
        <v/>
      </c>
      <c r="C305">
        <f>IF(H305="","",IF(P305="",K305,INDEX('Students'!$A$2:$A$701,P305)))</f>
        <v/>
      </c>
      <c r="D305">
        <f>IF(OR(H305="",P305=""),"",INDEX('Students'!$B$2:$B$701,P305))</f>
        <v/>
      </c>
      <c r="E305">
        <f>IF(OR(H305="",P305=""),"",INDEX('Students'!$C$2:$C$701,P305))</f>
        <v/>
      </c>
      <c r="F305" s="48">
        <f>IF(H305="","",IF(ISNUMBER(O305),O305,J305))</f>
        <v/>
      </c>
      <c r="G305">
        <f>IF(H305="","","OneCause")</f>
        <v/>
      </c>
      <c r="H305">
        <f>IF(AND(I305="",J305="",K305=""),"",IF(NOT(ISNUMBER(O305)),"Bad amount",IF(O305&lt;0,"Refund (not counted)",IF(O305=0,"Zero amount",IF(NOT(ISNUMBER(N305)),"Bad date",IF(P305="","NAME NOT ON ROSTER",IF(L305="","OK",IF(MATCH(L305,$L$2:$L$3001,0)&lt;ROW()-1,"Duplicate (ignored)","OK"))))))))</f>
        <v/>
      </c>
      <c r="I305">
        <f>IF(OC_Date=0,"",IF(INDEX('OneCause_Paste'!$A$305:$AZ$305,1,OC_Date)="","",INDEX('OneCause_Paste'!$A$305:$AZ$305,1,OC_Date)))</f>
        <v/>
      </c>
      <c r="J305">
        <f>IF(OC_Amt=0,"",IF(INDEX('OneCause_Paste'!$A$305:$AZ$305,1,OC_Amt)="","",INDEX('OneCause_Paste'!$A$305:$AZ$305,1,OC_Amt)))</f>
        <v/>
      </c>
      <c r="K305">
        <f>IF(OC_Name=0,"",IF(INDEX('OneCause_Paste'!$A$305:$AZ$305,1,OC_Name)="","",INDEX('OneCause_Paste'!$A$305:$AZ$305,1,OC_Name)))</f>
        <v/>
      </c>
      <c r="L305">
        <f>IF(OC_Txn=0,"",IF(INDEX('OneCause_Paste'!$A$305:$AZ$305,1,OC_Txn)="","",INDEX('OneCause_Paste'!$A$305:$AZ$305,1,OC_Txn)))</f>
        <v/>
      </c>
      <c r="M305">
        <f>IF(OC_Pay=0,"",IF(INDEX('OneCause_Paste'!$A$305:$AZ$305,1,OC_Pay)="","",INDEX('OneCause_Paste'!$A$305:$AZ$305,1,OC_Pay)))</f>
        <v/>
      </c>
      <c r="N305">
        <f>IF(I305="","",IF(ISNUMBER(I305),INT(I305),IFERROR(INT(DATEVALUE(I305)),IFERROR(INT(VALUE(I305)),"bad"))))</f>
        <v/>
      </c>
      <c r="O305">
        <f>IF(J305="","",IF(ISNUMBER(J305),ROUND(J305,2),IFERROR(ROUND(VALUE(SUBSTITUTE(SUBSTITUTE(SUBSTITUTE(J305,"$",""),",","")," ","")),2),"bad")))</f>
        <v/>
      </c>
      <c r="P305">
        <f>IF(TRIM(K305)="","",IFERROR(MATCH(LOWER(TRIM(K305)),'Students'!$AH$2:$AH$701,0),IFERROR(MATCH(LOWER(TRIM(K305)),'Students'!$AF$2:$AF$701,0),IFERROR(MATCH(LOWER(TRIM(K305)),'Students'!$AG$2:$AG$701,0),""))))</f>
        <v/>
      </c>
      <c r="R305">
        <f>IF(P305="","",INDEX('Students'!$AD$2:$AD$701,P305))</f>
        <v/>
      </c>
      <c r="S305">
        <f>IF(H305="OK",O305,0)</f>
        <v/>
      </c>
      <c r="T305">
        <f>IF(H305="OK",N305,"")</f>
        <v/>
      </c>
      <c r="U305">
        <f>IF(OC_Donor=0,"",IF(INDEX('OneCause_Paste'!$A$305:$AZ$305,1,OC_Donor)="","",INDEX('OneCause_Paste'!$A$305:$AZ$305,1,OC_Donor)))</f>
        <v/>
      </c>
    </row>
    <row r="306">
      <c r="A306" s="62">
        <f>IF(H306="","",IF(ISNUMBER(N306),N306,I306))</f>
        <v/>
      </c>
      <c r="B306">
        <f>IF(H306="","",U306)</f>
        <v/>
      </c>
      <c r="C306">
        <f>IF(H306="","",IF(P306="",K306,INDEX('Students'!$A$2:$A$701,P306)))</f>
        <v/>
      </c>
      <c r="D306">
        <f>IF(OR(H306="",P306=""),"",INDEX('Students'!$B$2:$B$701,P306))</f>
        <v/>
      </c>
      <c r="E306">
        <f>IF(OR(H306="",P306=""),"",INDEX('Students'!$C$2:$C$701,P306))</f>
        <v/>
      </c>
      <c r="F306" s="48">
        <f>IF(H306="","",IF(ISNUMBER(O306),O306,J306))</f>
        <v/>
      </c>
      <c r="G306">
        <f>IF(H306="","","OneCause")</f>
        <v/>
      </c>
      <c r="H306">
        <f>IF(AND(I306="",J306="",K306=""),"",IF(NOT(ISNUMBER(O306)),"Bad amount",IF(O306&lt;0,"Refund (not counted)",IF(O306=0,"Zero amount",IF(NOT(ISNUMBER(N306)),"Bad date",IF(P306="","NAME NOT ON ROSTER",IF(L306="","OK",IF(MATCH(L306,$L$2:$L$3001,0)&lt;ROW()-1,"Duplicate (ignored)","OK"))))))))</f>
        <v/>
      </c>
      <c r="I306">
        <f>IF(OC_Date=0,"",IF(INDEX('OneCause_Paste'!$A$306:$AZ$306,1,OC_Date)="","",INDEX('OneCause_Paste'!$A$306:$AZ$306,1,OC_Date)))</f>
        <v/>
      </c>
      <c r="J306">
        <f>IF(OC_Amt=0,"",IF(INDEX('OneCause_Paste'!$A$306:$AZ$306,1,OC_Amt)="","",INDEX('OneCause_Paste'!$A$306:$AZ$306,1,OC_Amt)))</f>
        <v/>
      </c>
      <c r="K306">
        <f>IF(OC_Name=0,"",IF(INDEX('OneCause_Paste'!$A$306:$AZ$306,1,OC_Name)="","",INDEX('OneCause_Paste'!$A$306:$AZ$306,1,OC_Name)))</f>
        <v/>
      </c>
      <c r="L306">
        <f>IF(OC_Txn=0,"",IF(INDEX('OneCause_Paste'!$A$306:$AZ$306,1,OC_Txn)="","",INDEX('OneCause_Paste'!$A$306:$AZ$306,1,OC_Txn)))</f>
        <v/>
      </c>
      <c r="M306">
        <f>IF(OC_Pay=0,"",IF(INDEX('OneCause_Paste'!$A$306:$AZ$306,1,OC_Pay)="","",INDEX('OneCause_Paste'!$A$306:$AZ$306,1,OC_Pay)))</f>
        <v/>
      </c>
      <c r="N306">
        <f>IF(I306="","",IF(ISNUMBER(I306),INT(I306),IFERROR(INT(DATEVALUE(I306)),IFERROR(INT(VALUE(I306)),"bad"))))</f>
        <v/>
      </c>
      <c r="O306">
        <f>IF(J306="","",IF(ISNUMBER(J306),ROUND(J306,2),IFERROR(ROUND(VALUE(SUBSTITUTE(SUBSTITUTE(SUBSTITUTE(J306,"$",""),",","")," ","")),2),"bad")))</f>
        <v/>
      </c>
      <c r="P306">
        <f>IF(TRIM(K306)="","",IFERROR(MATCH(LOWER(TRIM(K306)),'Students'!$AH$2:$AH$701,0),IFERROR(MATCH(LOWER(TRIM(K306)),'Students'!$AF$2:$AF$701,0),IFERROR(MATCH(LOWER(TRIM(K306)),'Students'!$AG$2:$AG$701,0),""))))</f>
        <v/>
      </c>
      <c r="R306">
        <f>IF(P306="","",INDEX('Students'!$AD$2:$AD$701,P306))</f>
        <v/>
      </c>
      <c r="S306">
        <f>IF(H306="OK",O306,0)</f>
        <v/>
      </c>
      <c r="T306">
        <f>IF(H306="OK",N306,"")</f>
        <v/>
      </c>
      <c r="U306">
        <f>IF(OC_Donor=0,"",IF(INDEX('OneCause_Paste'!$A$306:$AZ$306,1,OC_Donor)="","",INDEX('OneCause_Paste'!$A$306:$AZ$306,1,OC_Donor)))</f>
        <v/>
      </c>
    </row>
    <row r="307">
      <c r="A307" s="62">
        <f>IF(H307="","",IF(ISNUMBER(N307),N307,I307))</f>
        <v/>
      </c>
      <c r="B307">
        <f>IF(H307="","",U307)</f>
        <v/>
      </c>
      <c r="C307">
        <f>IF(H307="","",IF(P307="",K307,INDEX('Students'!$A$2:$A$701,P307)))</f>
        <v/>
      </c>
      <c r="D307">
        <f>IF(OR(H307="",P307=""),"",INDEX('Students'!$B$2:$B$701,P307))</f>
        <v/>
      </c>
      <c r="E307">
        <f>IF(OR(H307="",P307=""),"",INDEX('Students'!$C$2:$C$701,P307))</f>
        <v/>
      </c>
      <c r="F307" s="48">
        <f>IF(H307="","",IF(ISNUMBER(O307),O307,J307))</f>
        <v/>
      </c>
      <c r="G307">
        <f>IF(H307="","","OneCause")</f>
        <v/>
      </c>
      <c r="H307">
        <f>IF(AND(I307="",J307="",K307=""),"",IF(NOT(ISNUMBER(O307)),"Bad amount",IF(O307&lt;0,"Refund (not counted)",IF(O307=0,"Zero amount",IF(NOT(ISNUMBER(N307)),"Bad date",IF(P307="","NAME NOT ON ROSTER",IF(L307="","OK",IF(MATCH(L307,$L$2:$L$3001,0)&lt;ROW()-1,"Duplicate (ignored)","OK"))))))))</f>
        <v/>
      </c>
      <c r="I307">
        <f>IF(OC_Date=0,"",IF(INDEX('OneCause_Paste'!$A$307:$AZ$307,1,OC_Date)="","",INDEX('OneCause_Paste'!$A$307:$AZ$307,1,OC_Date)))</f>
        <v/>
      </c>
      <c r="J307">
        <f>IF(OC_Amt=0,"",IF(INDEX('OneCause_Paste'!$A$307:$AZ$307,1,OC_Amt)="","",INDEX('OneCause_Paste'!$A$307:$AZ$307,1,OC_Amt)))</f>
        <v/>
      </c>
      <c r="K307">
        <f>IF(OC_Name=0,"",IF(INDEX('OneCause_Paste'!$A$307:$AZ$307,1,OC_Name)="","",INDEX('OneCause_Paste'!$A$307:$AZ$307,1,OC_Name)))</f>
        <v/>
      </c>
      <c r="L307">
        <f>IF(OC_Txn=0,"",IF(INDEX('OneCause_Paste'!$A$307:$AZ$307,1,OC_Txn)="","",INDEX('OneCause_Paste'!$A$307:$AZ$307,1,OC_Txn)))</f>
        <v/>
      </c>
      <c r="M307">
        <f>IF(OC_Pay=0,"",IF(INDEX('OneCause_Paste'!$A$307:$AZ$307,1,OC_Pay)="","",INDEX('OneCause_Paste'!$A$307:$AZ$307,1,OC_Pay)))</f>
        <v/>
      </c>
      <c r="N307">
        <f>IF(I307="","",IF(ISNUMBER(I307),INT(I307),IFERROR(INT(DATEVALUE(I307)),IFERROR(INT(VALUE(I307)),"bad"))))</f>
        <v/>
      </c>
      <c r="O307">
        <f>IF(J307="","",IF(ISNUMBER(J307),ROUND(J307,2),IFERROR(ROUND(VALUE(SUBSTITUTE(SUBSTITUTE(SUBSTITUTE(J307,"$",""),",","")," ","")),2),"bad")))</f>
        <v/>
      </c>
      <c r="P307">
        <f>IF(TRIM(K307)="","",IFERROR(MATCH(LOWER(TRIM(K307)),'Students'!$AH$2:$AH$701,0),IFERROR(MATCH(LOWER(TRIM(K307)),'Students'!$AF$2:$AF$701,0),IFERROR(MATCH(LOWER(TRIM(K307)),'Students'!$AG$2:$AG$701,0),""))))</f>
        <v/>
      </c>
      <c r="R307">
        <f>IF(P307="","",INDEX('Students'!$AD$2:$AD$701,P307))</f>
        <v/>
      </c>
      <c r="S307">
        <f>IF(H307="OK",O307,0)</f>
        <v/>
      </c>
      <c r="T307">
        <f>IF(H307="OK",N307,"")</f>
        <v/>
      </c>
      <c r="U307">
        <f>IF(OC_Donor=0,"",IF(INDEX('OneCause_Paste'!$A$307:$AZ$307,1,OC_Donor)="","",INDEX('OneCause_Paste'!$A$307:$AZ$307,1,OC_Donor)))</f>
        <v/>
      </c>
    </row>
    <row r="308">
      <c r="A308" s="62">
        <f>IF(H308="","",IF(ISNUMBER(N308),N308,I308))</f>
        <v/>
      </c>
      <c r="B308">
        <f>IF(H308="","",U308)</f>
        <v/>
      </c>
      <c r="C308">
        <f>IF(H308="","",IF(P308="",K308,INDEX('Students'!$A$2:$A$701,P308)))</f>
        <v/>
      </c>
      <c r="D308">
        <f>IF(OR(H308="",P308=""),"",INDEX('Students'!$B$2:$B$701,P308))</f>
        <v/>
      </c>
      <c r="E308">
        <f>IF(OR(H308="",P308=""),"",INDEX('Students'!$C$2:$C$701,P308))</f>
        <v/>
      </c>
      <c r="F308" s="48">
        <f>IF(H308="","",IF(ISNUMBER(O308),O308,J308))</f>
        <v/>
      </c>
      <c r="G308">
        <f>IF(H308="","","OneCause")</f>
        <v/>
      </c>
      <c r="H308">
        <f>IF(AND(I308="",J308="",K308=""),"",IF(NOT(ISNUMBER(O308)),"Bad amount",IF(O308&lt;0,"Refund (not counted)",IF(O308=0,"Zero amount",IF(NOT(ISNUMBER(N308)),"Bad date",IF(P308="","NAME NOT ON ROSTER",IF(L308="","OK",IF(MATCH(L308,$L$2:$L$3001,0)&lt;ROW()-1,"Duplicate (ignored)","OK"))))))))</f>
        <v/>
      </c>
      <c r="I308">
        <f>IF(OC_Date=0,"",IF(INDEX('OneCause_Paste'!$A$308:$AZ$308,1,OC_Date)="","",INDEX('OneCause_Paste'!$A$308:$AZ$308,1,OC_Date)))</f>
        <v/>
      </c>
      <c r="J308">
        <f>IF(OC_Amt=0,"",IF(INDEX('OneCause_Paste'!$A$308:$AZ$308,1,OC_Amt)="","",INDEX('OneCause_Paste'!$A$308:$AZ$308,1,OC_Amt)))</f>
        <v/>
      </c>
      <c r="K308">
        <f>IF(OC_Name=0,"",IF(INDEX('OneCause_Paste'!$A$308:$AZ$308,1,OC_Name)="","",INDEX('OneCause_Paste'!$A$308:$AZ$308,1,OC_Name)))</f>
        <v/>
      </c>
      <c r="L308">
        <f>IF(OC_Txn=0,"",IF(INDEX('OneCause_Paste'!$A$308:$AZ$308,1,OC_Txn)="","",INDEX('OneCause_Paste'!$A$308:$AZ$308,1,OC_Txn)))</f>
        <v/>
      </c>
      <c r="M308">
        <f>IF(OC_Pay=0,"",IF(INDEX('OneCause_Paste'!$A$308:$AZ$308,1,OC_Pay)="","",INDEX('OneCause_Paste'!$A$308:$AZ$308,1,OC_Pay)))</f>
        <v/>
      </c>
      <c r="N308">
        <f>IF(I308="","",IF(ISNUMBER(I308),INT(I308),IFERROR(INT(DATEVALUE(I308)),IFERROR(INT(VALUE(I308)),"bad"))))</f>
        <v/>
      </c>
      <c r="O308">
        <f>IF(J308="","",IF(ISNUMBER(J308),ROUND(J308,2),IFERROR(ROUND(VALUE(SUBSTITUTE(SUBSTITUTE(SUBSTITUTE(J308,"$",""),",","")," ","")),2),"bad")))</f>
        <v/>
      </c>
      <c r="P308">
        <f>IF(TRIM(K308)="","",IFERROR(MATCH(LOWER(TRIM(K308)),'Students'!$AH$2:$AH$701,0),IFERROR(MATCH(LOWER(TRIM(K308)),'Students'!$AF$2:$AF$701,0),IFERROR(MATCH(LOWER(TRIM(K308)),'Students'!$AG$2:$AG$701,0),""))))</f>
        <v/>
      </c>
      <c r="R308">
        <f>IF(P308="","",INDEX('Students'!$AD$2:$AD$701,P308))</f>
        <v/>
      </c>
      <c r="S308">
        <f>IF(H308="OK",O308,0)</f>
        <v/>
      </c>
      <c r="T308">
        <f>IF(H308="OK",N308,"")</f>
        <v/>
      </c>
      <c r="U308">
        <f>IF(OC_Donor=0,"",IF(INDEX('OneCause_Paste'!$A$308:$AZ$308,1,OC_Donor)="","",INDEX('OneCause_Paste'!$A$308:$AZ$308,1,OC_Donor)))</f>
        <v/>
      </c>
    </row>
    <row r="309">
      <c r="A309" s="62">
        <f>IF(H309="","",IF(ISNUMBER(N309),N309,I309))</f>
        <v/>
      </c>
      <c r="B309">
        <f>IF(H309="","",U309)</f>
        <v/>
      </c>
      <c r="C309">
        <f>IF(H309="","",IF(P309="",K309,INDEX('Students'!$A$2:$A$701,P309)))</f>
        <v/>
      </c>
      <c r="D309">
        <f>IF(OR(H309="",P309=""),"",INDEX('Students'!$B$2:$B$701,P309))</f>
        <v/>
      </c>
      <c r="E309">
        <f>IF(OR(H309="",P309=""),"",INDEX('Students'!$C$2:$C$701,P309))</f>
        <v/>
      </c>
      <c r="F309" s="48">
        <f>IF(H309="","",IF(ISNUMBER(O309),O309,J309))</f>
        <v/>
      </c>
      <c r="G309">
        <f>IF(H309="","","OneCause")</f>
        <v/>
      </c>
      <c r="H309">
        <f>IF(AND(I309="",J309="",K309=""),"",IF(NOT(ISNUMBER(O309)),"Bad amount",IF(O309&lt;0,"Refund (not counted)",IF(O309=0,"Zero amount",IF(NOT(ISNUMBER(N309)),"Bad date",IF(P309="","NAME NOT ON ROSTER",IF(L309="","OK",IF(MATCH(L309,$L$2:$L$3001,0)&lt;ROW()-1,"Duplicate (ignored)","OK"))))))))</f>
        <v/>
      </c>
      <c r="I309">
        <f>IF(OC_Date=0,"",IF(INDEX('OneCause_Paste'!$A$309:$AZ$309,1,OC_Date)="","",INDEX('OneCause_Paste'!$A$309:$AZ$309,1,OC_Date)))</f>
        <v/>
      </c>
      <c r="J309">
        <f>IF(OC_Amt=0,"",IF(INDEX('OneCause_Paste'!$A$309:$AZ$309,1,OC_Amt)="","",INDEX('OneCause_Paste'!$A$309:$AZ$309,1,OC_Amt)))</f>
        <v/>
      </c>
      <c r="K309">
        <f>IF(OC_Name=0,"",IF(INDEX('OneCause_Paste'!$A$309:$AZ$309,1,OC_Name)="","",INDEX('OneCause_Paste'!$A$309:$AZ$309,1,OC_Name)))</f>
        <v/>
      </c>
      <c r="L309">
        <f>IF(OC_Txn=0,"",IF(INDEX('OneCause_Paste'!$A$309:$AZ$309,1,OC_Txn)="","",INDEX('OneCause_Paste'!$A$309:$AZ$309,1,OC_Txn)))</f>
        <v/>
      </c>
      <c r="M309">
        <f>IF(OC_Pay=0,"",IF(INDEX('OneCause_Paste'!$A$309:$AZ$309,1,OC_Pay)="","",INDEX('OneCause_Paste'!$A$309:$AZ$309,1,OC_Pay)))</f>
        <v/>
      </c>
      <c r="N309">
        <f>IF(I309="","",IF(ISNUMBER(I309),INT(I309),IFERROR(INT(DATEVALUE(I309)),IFERROR(INT(VALUE(I309)),"bad"))))</f>
        <v/>
      </c>
      <c r="O309">
        <f>IF(J309="","",IF(ISNUMBER(J309),ROUND(J309,2),IFERROR(ROUND(VALUE(SUBSTITUTE(SUBSTITUTE(SUBSTITUTE(J309,"$",""),",","")," ","")),2),"bad")))</f>
        <v/>
      </c>
      <c r="P309">
        <f>IF(TRIM(K309)="","",IFERROR(MATCH(LOWER(TRIM(K309)),'Students'!$AH$2:$AH$701,0),IFERROR(MATCH(LOWER(TRIM(K309)),'Students'!$AF$2:$AF$701,0),IFERROR(MATCH(LOWER(TRIM(K309)),'Students'!$AG$2:$AG$701,0),""))))</f>
        <v/>
      </c>
      <c r="R309">
        <f>IF(P309="","",INDEX('Students'!$AD$2:$AD$701,P309))</f>
        <v/>
      </c>
      <c r="S309">
        <f>IF(H309="OK",O309,0)</f>
        <v/>
      </c>
      <c r="T309">
        <f>IF(H309="OK",N309,"")</f>
        <v/>
      </c>
      <c r="U309">
        <f>IF(OC_Donor=0,"",IF(INDEX('OneCause_Paste'!$A$309:$AZ$309,1,OC_Donor)="","",INDEX('OneCause_Paste'!$A$309:$AZ$309,1,OC_Donor)))</f>
        <v/>
      </c>
    </row>
    <row r="310">
      <c r="A310" s="62">
        <f>IF(H310="","",IF(ISNUMBER(N310),N310,I310))</f>
        <v/>
      </c>
      <c r="B310">
        <f>IF(H310="","",U310)</f>
        <v/>
      </c>
      <c r="C310">
        <f>IF(H310="","",IF(P310="",K310,INDEX('Students'!$A$2:$A$701,P310)))</f>
        <v/>
      </c>
      <c r="D310">
        <f>IF(OR(H310="",P310=""),"",INDEX('Students'!$B$2:$B$701,P310))</f>
        <v/>
      </c>
      <c r="E310">
        <f>IF(OR(H310="",P310=""),"",INDEX('Students'!$C$2:$C$701,P310))</f>
        <v/>
      </c>
      <c r="F310" s="48">
        <f>IF(H310="","",IF(ISNUMBER(O310),O310,J310))</f>
        <v/>
      </c>
      <c r="G310">
        <f>IF(H310="","","OneCause")</f>
        <v/>
      </c>
      <c r="H310">
        <f>IF(AND(I310="",J310="",K310=""),"",IF(NOT(ISNUMBER(O310)),"Bad amount",IF(O310&lt;0,"Refund (not counted)",IF(O310=0,"Zero amount",IF(NOT(ISNUMBER(N310)),"Bad date",IF(P310="","NAME NOT ON ROSTER",IF(L310="","OK",IF(MATCH(L310,$L$2:$L$3001,0)&lt;ROW()-1,"Duplicate (ignored)","OK"))))))))</f>
        <v/>
      </c>
      <c r="I310">
        <f>IF(OC_Date=0,"",IF(INDEX('OneCause_Paste'!$A$310:$AZ$310,1,OC_Date)="","",INDEX('OneCause_Paste'!$A$310:$AZ$310,1,OC_Date)))</f>
        <v/>
      </c>
      <c r="J310">
        <f>IF(OC_Amt=0,"",IF(INDEX('OneCause_Paste'!$A$310:$AZ$310,1,OC_Amt)="","",INDEX('OneCause_Paste'!$A$310:$AZ$310,1,OC_Amt)))</f>
        <v/>
      </c>
      <c r="K310">
        <f>IF(OC_Name=0,"",IF(INDEX('OneCause_Paste'!$A$310:$AZ$310,1,OC_Name)="","",INDEX('OneCause_Paste'!$A$310:$AZ$310,1,OC_Name)))</f>
        <v/>
      </c>
      <c r="L310">
        <f>IF(OC_Txn=0,"",IF(INDEX('OneCause_Paste'!$A$310:$AZ$310,1,OC_Txn)="","",INDEX('OneCause_Paste'!$A$310:$AZ$310,1,OC_Txn)))</f>
        <v/>
      </c>
      <c r="M310">
        <f>IF(OC_Pay=0,"",IF(INDEX('OneCause_Paste'!$A$310:$AZ$310,1,OC_Pay)="","",INDEX('OneCause_Paste'!$A$310:$AZ$310,1,OC_Pay)))</f>
        <v/>
      </c>
      <c r="N310">
        <f>IF(I310="","",IF(ISNUMBER(I310),INT(I310),IFERROR(INT(DATEVALUE(I310)),IFERROR(INT(VALUE(I310)),"bad"))))</f>
        <v/>
      </c>
      <c r="O310">
        <f>IF(J310="","",IF(ISNUMBER(J310),ROUND(J310,2),IFERROR(ROUND(VALUE(SUBSTITUTE(SUBSTITUTE(SUBSTITUTE(J310,"$",""),",","")," ","")),2),"bad")))</f>
        <v/>
      </c>
      <c r="P310">
        <f>IF(TRIM(K310)="","",IFERROR(MATCH(LOWER(TRIM(K310)),'Students'!$AH$2:$AH$701,0),IFERROR(MATCH(LOWER(TRIM(K310)),'Students'!$AF$2:$AF$701,0),IFERROR(MATCH(LOWER(TRIM(K310)),'Students'!$AG$2:$AG$701,0),""))))</f>
        <v/>
      </c>
      <c r="R310">
        <f>IF(P310="","",INDEX('Students'!$AD$2:$AD$701,P310))</f>
        <v/>
      </c>
      <c r="S310">
        <f>IF(H310="OK",O310,0)</f>
        <v/>
      </c>
      <c r="T310">
        <f>IF(H310="OK",N310,"")</f>
        <v/>
      </c>
      <c r="U310">
        <f>IF(OC_Donor=0,"",IF(INDEX('OneCause_Paste'!$A$310:$AZ$310,1,OC_Donor)="","",INDEX('OneCause_Paste'!$A$310:$AZ$310,1,OC_Donor)))</f>
        <v/>
      </c>
    </row>
    <row r="311">
      <c r="A311" s="62">
        <f>IF(H311="","",IF(ISNUMBER(N311),N311,I311))</f>
        <v/>
      </c>
      <c r="B311">
        <f>IF(H311="","",U311)</f>
        <v/>
      </c>
      <c r="C311">
        <f>IF(H311="","",IF(P311="",K311,INDEX('Students'!$A$2:$A$701,P311)))</f>
        <v/>
      </c>
      <c r="D311">
        <f>IF(OR(H311="",P311=""),"",INDEX('Students'!$B$2:$B$701,P311))</f>
        <v/>
      </c>
      <c r="E311">
        <f>IF(OR(H311="",P311=""),"",INDEX('Students'!$C$2:$C$701,P311))</f>
        <v/>
      </c>
      <c r="F311" s="48">
        <f>IF(H311="","",IF(ISNUMBER(O311),O311,J311))</f>
        <v/>
      </c>
      <c r="G311">
        <f>IF(H311="","","OneCause")</f>
        <v/>
      </c>
      <c r="H311">
        <f>IF(AND(I311="",J311="",K311=""),"",IF(NOT(ISNUMBER(O311)),"Bad amount",IF(O311&lt;0,"Refund (not counted)",IF(O311=0,"Zero amount",IF(NOT(ISNUMBER(N311)),"Bad date",IF(P311="","NAME NOT ON ROSTER",IF(L311="","OK",IF(MATCH(L311,$L$2:$L$3001,0)&lt;ROW()-1,"Duplicate (ignored)","OK"))))))))</f>
        <v/>
      </c>
      <c r="I311">
        <f>IF(OC_Date=0,"",IF(INDEX('OneCause_Paste'!$A$311:$AZ$311,1,OC_Date)="","",INDEX('OneCause_Paste'!$A$311:$AZ$311,1,OC_Date)))</f>
        <v/>
      </c>
      <c r="J311">
        <f>IF(OC_Amt=0,"",IF(INDEX('OneCause_Paste'!$A$311:$AZ$311,1,OC_Amt)="","",INDEX('OneCause_Paste'!$A$311:$AZ$311,1,OC_Amt)))</f>
        <v/>
      </c>
      <c r="K311">
        <f>IF(OC_Name=0,"",IF(INDEX('OneCause_Paste'!$A$311:$AZ$311,1,OC_Name)="","",INDEX('OneCause_Paste'!$A$311:$AZ$311,1,OC_Name)))</f>
        <v/>
      </c>
      <c r="L311">
        <f>IF(OC_Txn=0,"",IF(INDEX('OneCause_Paste'!$A$311:$AZ$311,1,OC_Txn)="","",INDEX('OneCause_Paste'!$A$311:$AZ$311,1,OC_Txn)))</f>
        <v/>
      </c>
      <c r="M311">
        <f>IF(OC_Pay=0,"",IF(INDEX('OneCause_Paste'!$A$311:$AZ$311,1,OC_Pay)="","",INDEX('OneCause_Paste'!$A$311:$AZ$311,1,OC_Pay)))</f>
        <v/>
      </c>
      <c r="N311">
        <f>IF(I311="","",IF(ISNUMBER(I311),INT(I311),IFERROR(INT(DATEVALUE(I311)),IFERROR(INT(VALUE(I311)),"bad"))))</f>
        <v/>
      </c>
      <c r="O311">
        <f>IF(J311="","",IF(ISNUMBER(J311),ROUND(J311,2),IFERROR(ROUND(VALUE(SUBSTITUTE(SUBSTITUTE(SUBSTITUTE(J311,"$",""),",","")," ","")),2),"bad")))</f>
        <v/>
      </c>
      <c r="P311">
        <f>IF(TRIM(K311)="","",IFERROR(MATCH(LOWER(TRIM(K311)),'Students'!$AH$2:$AH$701,0),IFERROR(MATCH(LOWER(TRIM(K311)),'Students'!$AF$2:$AF$701,0),IFERROR(MATCH(LOWER(TRIM(K311)),'Students'!$AG$2:$AG$701,0),""))))</f>
        <v/>
      </c>
      <c r="R311">
        <f>IF(P311="","",INDEX('Students'!$AD$2:$AD$701,P311))</f>
        <v/>
      </c>
      <c r="S311">
        <f>IF(H311="OK",O311,0)</f>
        <v/>
      </c>
      <c r="T311">
        <f>IF(H311="OK",N311,"")</f>
        <v/>
      </c>
      <c r="U311">
        <f>IF(OC_Donor=0,"",IF(INDEX('OneCause_Paste'!$A$311:$AZ$311,1,OC_Donor)="","",INDEX('OneCause_Paste'!$A$311:$AZ$311,1,OC_Donor)))</f>
        <v/>
      </c>
    </row>
    <row r="312">
      <c r="A312" s="62">
        <f>IF(H312="","",IF(ISNUMBER(N312),N312,I312))</f>
        <v/>
      </c>
      <c r="B312">
        <f>IF(H312="","",U312)</f>
        <v/>
      </c>
      <c r="C312">
        <f>IF(H312="","",IF(P312="",K312,INDEX('Students'!$A$2:$A$701,P312)))</f>
        <v/>
      </c>
      <c r="D312">
        <f>IF(OR(H312="",P312=""),"",INDEX('Students'!$B$2:$B$701,P312))</f>
        <v/>
      </c>
      <c r="E312">
        <f>IF(OR(H312="",P312=""),"",INDEX('Students'!$C$2:$C$701,P312))</f>
        <v/>
      </c>
      <c r="F312" s="48">
        <f>IF(H312="","",IF(ISNUMBER(O312),O312,J312))</f>
        <v/>
      </c>
      <c r="G312">
        <f>IF(H312="","","OneCause")</f>
        <v/>
      </c>
      <c r="H312">
        <f>IF(AND(I312="",J312="",K312=""),"",IF(NOT(ISNUMBER(O312)),"Bad amount",IF(O312&lt;0,"Refund (not counted)",IF(O312=0,"Zero amount",IF(NOT(ISNUMBER(N312)),"Bad date",IF(P312="","NAME NOT ON ROSTER",IF(L312="","OK",IF(MATCH(L312,$L$2:$L$3001,0)&lt;ROW()-1,"Duplicate (ignored)","OK"))))))))</f>
        <v/>
      </c>
      <c r="I312">
        <f>IF(OC_Date=0,"",IF(INDEX('OneCause_Paste'!$A$312:$AZ$312,1,OC_Date)="","",INDEX('OneCause_Paste'!$A$312:$AZ$312,1,OC_Date)))</f>
        <v/>
      </c>
      <c r="J312">
        <f>IF(OC_Amt=0,"",IF(INDEX('OneCause_Paste'!$A$312:$AZ$312,1,OC_Amt)="","",INDEX('OneCause_Paste'!$A$312:$AZ$312,1,OC_Amt)))</f>
        <v/>
      </c>
      <c r="K312">
        <f>IF(OC_Name=0,"",IF(INDEX('OneCause_Paste'!$A$312:$AZ$312,1,OC_Name)="","",INDEX('OneCause_Paste'!$A$312:$AZ$312,1,OC_Name)))</f>
        <v/>
      </c>
      <c r="L312">
        <f>IF(OC_Txn=0,"",IF(INDEX('OneCause_Paste'!$A$312:$AZ$312,1,OC_Txn)="","",INDEX('OneCause_Paste'!$A$312:$AZ$312,1,OC_Txn)))</f>
        <v/>
      </c>
      <c r="M312">
        <f>IF(OC_Pay=0,"",IF(INDEX('OneCause_Paste'!$A$312:$AZ$312,1,OC_Pay)="","",INDEX('OneCause_Paste'!$A$312:$AZ$312,1,OC_Pay)))</f>
        <v/>
      </c>
      <c r="N312">
        <f>IF(I312="","",IF(ISNUMBER(I312),INT(I312),IFERROR(INT(DATEVALUE(I312)),IFERROR(INT(VALUE(I312)),"bad"))))</f>
        <v/>
      </c>
      <c r="O312">
        <f>IF(J312="","",IF(ISNUMBER(J312),ROUND(J312,2),IFERROR(ROUND(VALUE(SUBSTITUTE(SUBSTITUTE(SUBSTITUTE(J312,"$",""),",","")," ","")),2),"bad")))</f>
        <v/>
      </c>
      <c r="P312">
        <f>IF(TRIM(K312)="","",IFERROR(MATCH(LOWER(TRIM(K312)),'Students'!$AH$2:$AH$701,0),IFERROR(MATCH(LOWER(TRIM(K312)),'Students'!$AF$2:$AF$701,0),IFERROR(MATCH(LOWER(TRIM(K312)),'Students'!$AG$2:$AG$701,0),""))))</f>
        <v/>
      </c>
      <c r="R312">
        <f>IF(P312="","",INDEX('Students'!$AD$2:$AD$701,P312))</f>
        <v/>
      </c>
      <c r="S312">
        <f>IF(H312="OK",O312,0)</f>
        <v/>
      </c>
      <c r="T312">
        <f>IF(H312="OK",N312,"")</f>
        <v/>
      </c>
      <c r="U312">
        <f>IF(OC_Donor=0,"",IF(INDEX('OneCause_Paste'!$A$312:$AZ$312,1,OC_Donor)="","",INDEX('OneCause_Paste'!$A$312:$AZ$312,1,OC_Donor)))</f>
        <v/>
      </c>
    </row>
    <row r="313">
      <c r="A313" s="62">
        <f>IF(H313="","",IF(ISNUMBER(N313),N313,I313))</f>
        <v/>
      </c>
      <c r="B313">
        <f>IF(H313="","",U313)</f>
        <v/>
      </c>
      <c r="C313">
        <f>IF(H313="","",IF(P313="",K313,INDEX('Students'!$A$2:$A$701,P313)))</f>
        <v/>
      </c>
      <c r="D313">
        <f>IF(OR(H313="",P313=""),"",INDEX('Students'!$B$2:$B$701,P313))</f>
        <v/>
      </c>
      <c r="E313">
        <f>IF(OR(H313="",P313=""),"",INDEX('Students'!$C$2:$C$701,P313))</f>
        <v/>
      </c>
      <c r="F313" s="48">
        <f>IF(H313="","",IF(ISNUMBER(O313),O313,J313))</f>
        <v/>
      </c>
      <c r="G313">
        <f>IF(H313="","","OneCause")</f>
        <v/>
      </c>
      <c r="H313">
        <f>IF(AND(I313="",J313="",K313=""),"",IF(NOT(ISNUMBER(O313)),"Bad amount",IF(O313&lt;0,"Refund (not counted)",IF(O313=0,"Zero amount",IF(NOT(ISNUMBER(N313)),"Bad date",IF(P313="","NAME NOT ON ROSTER",IF(L313="","OK",IF(MATCH(L313,$L$2:$L$3001,0)&lt;ROW()-1,"Duplicate (ignored)","OK"))))))))</f>
        <v/>
      </c>
      <c r="I313">
        <f>IF(OC_Date=0,"",IF(INDEX('OneCause_Paste'!$A$313:$AZ$313,1,OC_Date)="","",INDEX('OneCause_Paste'!$A$313:$AZ$313,1,OC_Date)))</f>
        <v/>
      </c>
      <c r="J313">
        <f>IF(OC_Amt=0,"",IF(INDEX('OneCause_Paste'!$A$313:$AZ$313,1,OC_Amt)="","",INDEX('OneCause_Paste'!$A$313:$AZ$313,1,OC_Amt)))</f>
        <v/>
      </c>
      <c r="K313">
        <f>IF(OC_Name=0,"",IF(INDEX('OneCause_Paste'!$A$313:$AZ$313,1,OC_Name)="","",INDEX('OneCause_Paste'!$A$313:$AZ$313,1,OC_Name)))</f>
        <v/>
      </c>
      <c r="L313">
        <f>IF(OC_Txn=0,"",IF(INDEX('OneCause_Paste'!$A$313:$AZ$313,1,OC_Txn)="","",INDEX('OneCause_Paste'!$A$313:$AZ$313,1,OC_Txn)))</f>
        <v/>
      </c>
      <c r="M313">
        <f>IF(OC_Pay=0,"",IF(INDEX('OneCause_Paste'!$A$313:$AZ$313,1,OC_Pay)="","",INDEX('OneCause_Paste'!$A$313:$AZ$313,1,OC_Pay)))</f>
        <v/>
      </c>
      <c r="N313">
        <f>IF(I313="","",IF(ISNUMBER(I313),INT(I313),IFERROR(INT(DATEVALUE(I313)),IFERROR(INT(VALUE(I313)),"bad"))))</f>
        <v/>
      </c>
      <c r="O313">
        <f>IF(J313="","",IF(ISNUMBER(J313),ROUND(J313,2),IFERROR(ROUND(VALUE(SUBSTITUTE(SUBSTITUTE(SUBSTITUTE(J313,"$",""),",","")," ","")),2),"bad")))</f>
        <v/>
      </c>
      <c r="P313">
        <f>IF(TRIM(K313)="","",IFERROR(MATCH(LOWER(TRIM(K313)),'Students'!$AH$2:$AH$701,0),IFERROR(MATCH(LOWER(TRIM(K313)),'Students'!$AF$2:$AF$701,0),IFERROR(MATCH(LOWER(TRIM(K313)),'Students'!$AG$2:$AG$701,0),""))))</f>
        <v/>
      </c>
      <c r="R313">
        <f>IF(P313="","",INDEX('Students'!$AD$2:$AD$701,P313))</f>
        <v/>
      </c>
      <c r="S313">
        <f>IF(H313="OK",O313,0)</f>
        <v/>
      </c>
      <c r="T313">
        <f>IF(H313="OK",N313,"")</f>
        <v/>
      </c>
      <c r="U313">
        <f>IF(OC_Donor=0,"",IF(INDEX('OneCause_Paste'!$A$313:$AZ$313,1,OC_Donor)="","",INDEX('OneCause_Paste'!$A$313:$AZ$313,1,OC_Donor)))</f>
        <v/>
      </c>
    </row>
    <row r="314">
      <c r="A314" s="62">
        <f>IF(H314="","",IF(ISNUMBER(N314),N314,I314))</f>
        <v/>
      </c>
      <c r="B314">
        <f>IF(H314="","",U314)</f>
        <v/>
      </c>
      <c r="C314">
        <f>IF(H314="","",IF(P314="",K314,INDEX('Students'!$A$2:$A$701,P314)))</f>
        <v/>
      </c>
      <c r="D314">
        <f>IF(OR(H314="",P314=""),"",INDEX('Students'!$B$2:$B$701,P314))</f>
        <v/>
      </c>
      <c r="E314">
        <f>IF(OR(H314="",P314=""),"",INDEX('Students'!$C$2:$C$701,P314))</f>
        <v/>
      </c>
      <c r="F314" s="48">
        <f>IF(H314="","",IF(ISNUMBER(O314),O314,J314))</f>
        <v/>
      </c>
      <c r="G314">
        <f>IF(H314="","","OneCause")</f>
        <v/>
      </c>
      <c r="H314">
        <f>IF(AND(I314="",J314="",K314=""),"",IF(NOT(ISNUMBER(O314)),"Bad amount",IF(O314&lt;0,"Refund (not counted)",IF(O314=0,"Zero amount",IF(NOT(ISNUMBER(N314)),"Bad date",IF(P314="","NAME NOT ON ROSTER",IF(L314="","OK",IF(MATCH(L314,$L$2:$L$3001,0)&lt;ROW()-1,"Duplicate (ignored)","OK"))))))))</f>
        <v/>
      </c>
      <c r="I314">
        <f>IF(OC_Date=0,"",IF(INDEX('OneCause_Paste'!$A$314:$AZ$314,1,OC_Date)="","",INDEX('OneCause_Paste'!$A$314:$AZ$314,1,OC_Date)))</f>
        <v/>
      </c>
      <c r="J314">
        <f>IF(OC_Amt=0,"",IF(INDEX('OneCause_Paste'!$A$314:$AZ$314,1,OC_Amt)="","",INDEX('OneCause_Paste'!$A$314:$AZ$314,1,OC_Amt)))</f>
        <v/>
      </c>
      <c r="K314">
        <f>IF(OC_Name=0,"",IF(INDEX('OneCause_Paste'!$A$314:$AZ$314,1,OC_Name)="","",INDEX('OneCause_Paste'!$A$314:$AZ$314,1,OC_Name)))</f>
        <v/>
      </c>
      <c r="L314">
        <f>IF(OC_Txn=0,"",IF(INDEX('OneCause_Paste'!$A$314:$AZ$314,1,OC_Txn)="","",INDEX('OneCause_Paste'!$A$314:$AZ$314,1,OC_Txn)))</f>
        <v/>
      </c>
      <c r="M314">
        <f>IF(OC_Pay=0,"",IF(INDEX('OneCause_Paste'!$A$314:$AZ$314,1,OC_Pay)="","",INDEX('OneCause_Paste'!$A$314:$AZ$314,1,OC_Pay)))</f>
        <v/>
      </c>
      <c r="N314">
        <f>IF(I314="","",IF(ISNUMBER(I314),INT(I314),IFERROR(INT(DATEVALUE(I314)),IFERROR(INT(VALUE(I314)),"bad"))))</f>
        <v/>
      </c>
      <c r="O314">
        <f>IF(J314="","",IF(ISNUMBER(J314),ROUND(J314,2),IFERROR(ROUND(VALUE(SUBSTITUTE(SUBSTITUTE(SUBSTITUTE(J314,"$",""),",","")," ","")),2),"bad")))</f>
        <v/>
      </c>
      <c r="P314">
        <f>IF(TRIM(K314)="","",IFERROR(MATCH(LOWER(TRIM(K314)),'Students'!$AH$2:$AH$701,0),IFERROR(MATCH(LOWER(TRIM(K314)),'Students'!$AF$2:$AF$701,0),IFERROR(MATCH(LOWER(TRIM(K314)),'Students'!$AG$2:$AG$701,0),""))))</f>
        <v/>
      </c>
      <c r="R314">
        <f>IF(P314="","",INDEX('Students'!$AD$2:$AD$701,P314))</f>
        <v/>
      </c>
      <c r="S314">
        <f>IF(H314="OK",O314,0)</f>
        <v/>
      </c>
      <c r="T314">
        <f>IF(H314="OK",N314,"")</f>
        <v/>
      </c>
      <c r="U314">
        <f>IF(OC_Donor=0,"",IF(INDEX('OneCause_Paste'!$A$314:$AZ$314,1,OC_Donor)="","",INDEX('OneCause_Paste'!$A$314:$AZ$314,1,OC_Donor)))</f>
        <v/>
      </c>
    </row>
    <row r="315">
      <c r="A315" s="62">
        <f>IF(H315="","",IF(ISNUMBER(N315),N315,I315))</f>
        <v/>
      </c>
      <c r="B315">
        <f>IF(H315="","",U315)</f>
        <v/>
      </c>
      <c r="C315">
        <f>IF(H315="","",IF(P315="",K315,INDEX('Students'!$A$2:$A$701,P315)))</f>
        <v/>
      </c>
      <c r="D315">
        <f>IF(OR(H315="",P315=""),"",INDEX('Students'!$B$2:$B$701,P315))</f>
        <v/>
      </c>
      <c r="E315">
        <f>IF(OR(H315="",P315=""),"",INDEX('Students'!$C$2:$C$701,P315))</f>
        <v/>
      </c>
      <c r="F315" s="48">
        <f>IF(H315="","",IF(ISNUMBER(O315),O315,J315))</f>
        <v/>
      </c>
      <c r="G315">
        <f>IF(H315="","","OneCause")</f>
        <v/>
      </c>
      <c r="H315">
        <f>IF(AND(I315="",J315="",K315=""),"",IF(NOT(ISNUMBER(O315)),"Bad amount",IF(O315&lt;0,"Refund (not counted)",IF(O315=0,"Zero amount",IF(NOT(ISNUMBER(N315)),"Bad date",IF(P315="","NAME NOT ON ROSTER",IF(L315="","OK",IF(MATCH(L315,$L$2:$L$3001,0)&lt;ROW()-1,"Duplicate (ignored)","OK"))))))))</f>
        <v/>
      </c>
      <c r="I315">
        <f>IF(OC_Date=0,"",IF(INDEX('OneCause_Paste'!$A$315:$AZ$315,1,OC_Date)="","",INDEX('OneCause_Paste'!$A$315:$AZ$315,1,OC_Date)))</f>
        <v/>
      </c>
      <c r="J315">
        <f>IF(OC_Amt=0,"",IF(INDEX('OneCause_Paste'!$A$315:$AZ$315,1,OC_Amt)="","",INDEX('OneCause_Paste'!$A$315:$AZ$315,1,OC_Amt)))</f>
        <v/>
      </c>
      <c r="K315">
        <f>IF(OC_Name=0,"",IF(INDEX('OneCause_Paste'!$A$315:$AZ$315,1,OC_Name)="","",INDEX('OneCause_Paste'!$A$315:$AZ$315,1,OC_Name)))</f>
        <v/>
      </c>
      <c r="L315">
        <f>IF(OC_Txn=0,"",IF(INDEX('OneCause_Paste'!$A$315:$AZ$315,1,OC_Txn)="","",INDEX('OneCause_Paste'!$A$315:$AZ$315,1,OC_Txn)))</f>
        <v/>
      </c>
      <c r="M315">
        <f>IF(OC_Pay=0,"",IF(INDEX('OneCause_Paste'!$A$315:$AZ$315,1,OC_Pay)="","",INDEX('OneCause_Paste'!$A$315:$AZ$315,1,OC_Pay)))</f>
        <v/>
      </c>
      <c r="N315">
        <f>IF(I315="","",IF(ISNUMBER(I315),INT(I315),IFERROR(INT(DATEVALUE(I315)),IFERROR(INT(VALUE(I315)),"bad"))))</f>
        <v/>
      </c>
      <c r="O315">
        <f>IF(J315="","",IF(ISNUMBER(J315),ROUND(J315,2),IFERROR(ROUND(VALUE(SUBSTITUTE(SUBSTITUTE(SUBSTITUTE(J315,"$",""),",","")," ","")),2),"bad")))</f>
        <v/>
      </c>
      <c r="P315">
        <f>IF(TRIM(K315)="","",IFERROR(MATCH(LOWER(TRIM(K315)),'Students'!$AH$2:$AH$701,0),IFERROR(MATCH(LOWER(TRIM(K315)),'Students'!$AF$2:$AF$701,0),IFERROR(MATCH(LOWER(TRIM(K315)),'Students'!$AG$2:$AG$701,0),""))))</f>
        <v/>
      </c>
      <c r="R315">
        <f>IF(P315="","",INDEX('Students'!$AD$2:$AD$701,P315))</f>
        <v/>
      </c>
      <c r="S315">
        <f>IF(H315="OK",O315,0)</f>
        <v/>
      </c>
      <c r="T315">
        <f>IF(H315="OK",N315,"")</f>
        <v/>
      </c>
      <c r="U315">
        <f>IF(OC_Donor=0,"",IF(INDEX('OneCause_Paste'!$A$315:$AZ$315,1,OC_Donor)="","",INDEX('OneCause_Paste'!$A$315:$AZ$315,1,OC_Donor)))</f>
        <v/>
      </c>
    </row>
    <row r="316">
      <c r="A316" s="62">
        <f>IF(H316="","",IF(ISNUMBER(N316),N316,I316))</f>
        <v/>
      </c>
      <c r="B316">
        <f>IF(H316="","",U316)</f>
        <v/>
      </c>
      <c r="C316">
        <f>IF(H316="","",IF(P316="",K316,INDEX('Students'!$A$2:$A$701,P316)))</f>
        <v/>
      </c>
      <c r="D316">
        <f>IF(OR(H316="",P316=""),"",INDEX('Students'!$B$2:$B$701,P316))</f>
        <v/>
      </c>
      <c r="E316">
        <f>IF(OR(H316="",P316=""),"",INDEX('Students'!$C$2:$C$701,P316))</f>
        <v/>
      </c>
      <c r="F316" s="48">
        <f>IF(H316="","",IF(ISNUMBER(O316),O316,J316))</f>
        <v/>
      </c>
      <c r="G316">
        <f>IF(H316="","","OneCause")</f>
        <v/>
      </c>
      <c r="H316">
        <f>IF(AND(I316="",J316="",K316=""),"",IF(NOT(ISNUMBER(O316)),"Bad amount",IF(O316&lt;0,"Refund (not counted)",IF(O316=0,"Zero amount",IF(NOT(ISNUMBER(N316)),"Bad date",IF(P316="","NAME NOT ON ROSTER",IF(L316="","OK",IF(MATCH(L316,$L$2:$L$3001,0)&lt;ROW()-1,"Duplicate (ignored)","OK"))))))))</f>
        <v/>
      </c>
      <c r="I316">
        <f>IF(OC_Date=0,"",IF(INDEX('OneCause_Paste'!$A$316:$AZ$316,1,OC_Date)="","",INDEX('OneCause_Paste'!$A$316:$AZ$316,1,OC_Date)))</f>
        <v/>
      </c>
      <c r="J316">
        <f>IF(OC_Amt=0,"",IF(INDEX('OneCause_Paste'!$A$316:$AZ$316,1,OC_Amt)="","",INDEX('OneCause_Paste'!$A$316:$AZ$316,1,OC_Amt)))</f>
        <v/>
      </c>
      <c r="K316">
        <f>IF(OC_Name=0,"",IF(INDEX('OneCause_Paste'!$A$316:$AZ$316,1,OC_Name)="","",INDEX('OneCause_Paste'!$A$316:$AZ$316,1,OC_Name)))</f>
        <v/>
      </c>
      <c r="L316">
        <f>IF(OC_Txn=0,"",IF(INDEX('OneCause_Paste'!$A$316:$AZ$316,1,OC_Txn)="","",INDEX('OneCause_Paste'!$A$316:$AZ$316,1,OC_Txn)))</f>
        <v/>
      </c>
      <c r="M316">
        <f>IF(OC_Pay=0,"",IF(INDEX('OneCause_Paste'!$A$316:$AZ$316,1,OC_Pay)="","",INDEX('OneCause_Paste'!$A$316:$AZ$316,1,OC_Pay)))</f>
        <v/>
      </c>
      <c r="N316">
        <f>IF(I316="","",IF(ISNUMBER(I316),INT(I316),IFERROR(INT(DATEVALUE(I316)),IFERROR(INT(VALUE(I316)),"bad"))))</f>
        <v/>
      </c>
      <c r="O316">
        <f>IF(J316="","",IF(ISNUMBER(J316),ROUND(J316,2),IFERROR(ROUND(VALUE(SUBSTITUTE(SUBSTITUTE(SUBSTITUTE(J316,"$",""),",","")," ","")),2),"bad")))</f>
        <v/>
      </c>
      <c r="P316">
        <f>IF(TRIM(K316)="","",IFERROR(MATCH(LOWER(TRIM(K316)),'Students'!$AH$2:$AH$701,0),IFERROR(MATCH(LOWER(TRIM(K316)),'Students'!$AF$2:$AF$701,0),IFERROR(MATCH(LOWER(TRIM(K316)),'Students'!$AG$2:$AG$701,0),""))))</f>
        <v/>
      </c>
      <c r="R316">
        <f>IF(P316="","",INDEX('Students'!$AD$2:$AD$701,P316))</f>
        <v/>
      </c>
      <c r="S316">
        <f>IF(H316="OK",O316,0)</f>
        <v/>
      </c>
      <c r="T316">
        <f>IF(H316="OK",N316,"")</f>
        <v/>
      </c>
      <c r="U316">
        <f>IF(OC_Donor=0,"",IF(INDEX('OneCause_Paste'!$A$316:$AZ$316,1,OC_Donor)="","",INDEX('OneCause_Paste'!$A$316:$AZ$316,1,OC_Donor)))</f>
        <v/>
      </c>
    </row>
    <row r="317">
      <c r="A317" s="62">
        <f>IF(H317="","",IF(ISNUMBER(N317),N317,I317))</f>
        <v/>
      </c>
      <c r="B317">
        <f>IF(H317="","",U317)</f>
        <v/>
      </c>
      <c r="C317">
        <f>IF(H317="","",IF(P317="",K317,INDEX('Students'!$A$2:$A$701,P317)))</f>
        <v/>
      </c>
      <c r="D317">
        <f>IF(OR(H317="",P317=""),"",INDEX('Students'!$B$2:$B$701,P317))</f>
        <v/>
      </c>
      <c r="E317">
        <f>IF(OR(H317="",P317=""),"",INDEX('Students'!$C$2:$C$701,P317))</f>
        <v/>
      </c>
      <c r="F317" s="48">
        <f>IF(H317="","",IF(ISNUMBER(O317),O317,J317))</f>
        <v/>
      </c>
      <c r="G317">
        <f>IF(H317="","","OneCause")</f>
        <v/>
      </c>
      <c r="H317">
        <f>IF(AND(I317="",J317="",K317=""),"",IF(NOT(ISNUMBER(O317)),"Bad amount",IF(O317&lt;0,"Refund (not counted)",IF(O317=0,"Zero amount",IF(NOT(ISNUMBER(N317)),"Bad date",IF(P317="","NAME NOT ON ROSTER",IF(L317="","OK",IF(MATCH(L317,$L$2:$L$3001,0)&lt;ROW()-1,"Duplicate (ignored)","OK"))))))))</f>
        <v/>
      </c>
      <c r="I317">
        <f>IF(OC_Date=0,"",IF(INDEX('OneCause_Paste'!$A$317:$AZ$317,1,OC_Date)="","",INDEX('OneCause_Paste'!$A$317:$AZ$317,1,OC_Date)))</f>
        <v/>
      </c>
      <c r="J317">
        <f>IF(OC_Amt=0,"",IF(INDEX('OneCause_Paste'!$A$317:$AZ$317,1,OC_Amt)="","",INDEX('OneCause_Paste'!$A$317:$AZ$317,1,OC_Amt)))</f>
        <v/>
      </c>
      <c r="K317">
        <f>IF(OC_Name=0,"",IF(INDEX('OneCause_Paste'!$A$317:$AZ$317,1,OC_Name)="","",INDEX('OneCause_Paste'!$A$317:$AZ$317,1,OC_Name)))</f>
        <v/>
      </c>
      <c r="L317">
        <f>IF(OC_Txn=0,"",IF(INDEX('OneCause_Paste'!$A$317:$AZ$317,1,OC_Txn)="","",INDEX('OneCause_Paste'!$A$317:$AZ$317,1,OC_Txn)))</f>
        <v/>
      </c>
      <c r="M317">
        <f>IF(OC_Pay=0,"",IF(INDEX('OneCause_Paste'!$A$317:$AZ$317,1,OC_Pay)="","",INDEX('OneCause_Paste'!$A$317:$AZ$317,1,OC_Pay)))</f>
        <v/>
      </c>
      <c r="N317">
        <f>IF(I317="","",IF(ISNUMBER(I317),INT(I317),IFERROR(INT(DATEVALUE(I317)),IFERROR(INT(VALUE(I317)),"bad"))))</f>
        <v/>
      </c>
      <c r="O317">
        <f>IF(J317="","",IF(ISNUMBER(J317),ROUND(J317,2),IFERROR(ROUND(VALUE(SUBSTITUTE(SUBSTITUTE(SUBSTITUTE(J317,"$",""),",","")," ","")),2),"bad")))</f>
        <v/>
      </c>
      <c r="P317">
        <f>IF(TRIM(K317)="","",IFERROR(MATCH(LOWER(TRIM(K317)),'Students'!$AH$2:$AH$701,0),IFERROR(MATCH(LOWER(TRIM(K317)),'Students'!$AF$2:$AF$701,0),IFERROR(MATCH(LOWER(TRIM(K317)),'Students'!$AG$2:$AG$701,0),""))))</f>
        <v/>
      </c>
      <c r="R317">
        <f>IF(P317="","",INDEX('Students'!$AD$2:$AD$701,P317))</f>
        <v/>
      </c>
      <c r="S317">
        <f>IF(H317="OK",O317,0)</f>
        <v/>
      </c>
      <c r="T317">
        <f>IF(H317="OK",N317,"")</f>
        <v/>
      </c>
      <c r="U317">
        <f>IF(OC_Donor=0,"",IF(INDEX('OneCause_Paste'!$A$317:$AZ$317,1,OC_Donor)="","",INDEX('OneCause_Paste'!$A$317:$AZ$317,1,OC_Donor)))</f>
        <v/>
      </c>
    </row>
    <row r="318">
      <c r="A318" s="62">
        <f>IF(H318="","",IF(ISNUMBER(N318),N318,I318))</f>
        <v/>
      </c>
      <c r="B318">
        <f>IF(H318="","",U318)</f>
        <v/>
      </c>
      <c r="C318">
        <f>IF(H318="","",IF(P318="",K318,INDEX('Students'!$A$2:$A$701,P318)))</f>
        <v/>
      </c>
      <c r="D318">
        <f>IF(OR(H318="",P318=""),"",INDEX('Students'!$B$2:$B$701,P318))</f>
        <v/>
      </c>
      <c r="E318">
        <f>IF(OR(H318="",P318=""),"",INDEX('Students'!$C$2:$C$701,P318))</f>
        <v/>
      </c>
      <c r="F318" s="48">
        <f>IF(H318="","",IF(ISNUMBER(O318),O318,J318))</f>
        <v/>
      </c>
      <c r="G318">
        <f>IF(H318="","","OneCause")</f>
        <v/>
      </c>
      <c r="H318">
        <f>IF(AND(I318="",J318="",K318=""),"",IF(NOT(ISNUMBER(O318)),"Bad amount",IF(O318&lt;0,"Refund (not counted)",IF(O318=0,"Zero amount",IF(NOT(ISNUMBER(N318)),"Bad date",IF(P318="","NAME NOT ON ROSTER",IF(L318="","OK",IF(MATCH(L318,$L$2:$L$3001,0)&lt;ROW()-1,"Duplicate (ignored)","OK"))))))))</f>
        <v/>
      </c>
      <c r="I318">
        <f>IF(OC_Date=0,"",IF(INDEX('OneCause_Paste'!$A$318:$AZ$318,1,OC_Date)="","",INDEX('OneCause_Paste'!$A$318:$AZ$318,1,OC_Date)))</f>
        <v/>
      </c>
      <c r="J318">
        <f>IF(OC_Amt=0,"",IF(INDEX('OneCause_Paste'!$A$318:$AZ$318,1,OC_Amt)="","",INDEX('OneCause_Paste'!$A$318:$AZ$318,1,OC_Amt)))</f>
        <v/>
      </c>
      <c r="K318">
        <f>IF(OC_Name=0,"",IF(INDEX('OneCause_Paste'!$A$318:$AZ$318,1,OC_Name)="","",INDEX('OneCause_Paste'!$A$318:$AZ$318,1,OC_Name)))</f>
        <v/>
      </c>
      <c r="L318">
        <f>IF(OC_Txn=0,"",IF(INDEX('OneCause_Paste'!$A$318:$AZ$318,1,OC_Txn)="","",INDEX('OneCause_Paste'!$A$318:$AZ$318,1,OC_Txn)))</f>
        <v/>
      </c>
      <c r="M318">
        <f>IF(OC_Pay=0,"",IF(INDEX('OneCause_Paste'!$A$318:$AZ$318,1,OC_Pay)="","",INDEX('OneCause_Paste'!$A$318:$AZ$318,1,OC_Pay)))</f>
        <v/>
      </c>
      <c r="N318">
        <f>IF(I318="","",IF(ISNUMBER(I318),INT(I318),IFERROR(INT(DATEVALUE(I318)),IFERROR(INT(VALUE(I318)),"bad"))))</f>
        <v/>
      </c>
      <c r="O318">
        <f>IF(J318="","",IF(ISNUMBER(J318),ROUND(J318,2),IFERROR(ROUND(VALUE(SUBSTITUTE(SUBSTITUTE(SUBSTITUTE(J318,"$",""),",","")," ","")),2),"bad")))</f>
        <v/>
      </c>
      <c r="P318">
        <f>IF(TRIM(K318)="","",IFERROR(MATCH(LOWER(TRIM(K318)),'Students'!$AH$2:$AH$701,0),IFERROR(MATCH(LOWER(TRIM(K318)),'Students'!$AF$2:$AF$701,0),IFERROR(MATCH(LOWER(TRIM(K318)),'Students'!$AG$2:$AG$701,0),""))))</f>
        <v/>
      </c>
      <c r="R318">
        <f>IF(P318="","",INDEX('Students'!$AD$2:$AD$701,P318))</f>
        <v/>
      </c>
      <c r="S318">
        <f>IF(H318="OK",O318,0)</f>
        <v/>
      </c>
      <c r="T318">
        <f>IF(H318="OK",N318,"")</f>
        <v/>
      </c>
      <c r="U318">
        <f>IF(OC_Donor=0,"",IF(INDEX('OneCause_Paste'!$A$318:$AZ$318,1,OC_Donor)="","",INDEX('OneCause_Paste'!$A$318:$AZ$318,1,OC_Donor)))</f>
        <v/>
      </c>
    </row>
    <row r="319">
      <c r="A319" s="62">
        <f>IF(H319="","",IF(ISNUMBER(N319),N319,I319))</f>
        <v/>
      </c>
      <c r="B319">
        <f>IF(H319="","",U319)</f>
        <v/>
      </c>
      <c r="C319">
        <f>IF(H319="","",IF(P319="",K319,INDEX('Students'!$A$2:$A$701,P319)))</f>
        <v/>
      </c>
      <c r="D319">
        <f>IF(OR(H319="",P319=""),"",INDEX('Students'!$B$2:$B$701,P319))</f>
        <v/>
      </c>
      <c r="E319">
        <f>IF(OR(H319="",P319=""),"",INDEX('Students'!$C$2:$C$701,P319))</f>
        <v/>
      </c>
      <c r="F319" s="48">
        <f>IF(H319="","",IF(ISNUMBER(O319),O319,J319))</f>
        <v/>
      </c>
      <c r="G319">
        <f>IF(H319="","","OneCause")</f>
        <v/>
      </c>
      <c r="H319">
        <f>IF(AND(I319="",J319="",K319=""),"",IF(NOT(ISNUMBER(O319)),"Bad amount",IF(O319&lt;0,"Refund (not counted)",IF(O319=0,"Zero amount",IF(NOT(ISNUMBER(N319)),"Bad date",IF(P319="","NAME NOT ON ROSTER",IF(L319="","OK",IF(MATCH(L319,$L$2:$L$3001,0)&lt;ROW()-1,"Duplicate (ignored)","OK"))))))))</f>
        <v/>
      </c>
      <c r="I319">
        <f>IF(OC_Date=0,"",IF(INDEX('OneCause_Paste'!$A$319:$AZ$319,1,OC_Date)="","",INDEX('OneCause_Paste'!$A$319:$AZ$319,1,OC_Date)))</f>
        <v/>
      </c>
      <c r="J319">
        <f>IF(OC_Amt=0,"",IF(INDEX('OneCause_Paste'!$A$319:$AZ$319,1,OC_Amt)="","",INDEX('OneCause_Paste'!$A$319:$AZ$319,1,OC_Amt)))</f>
        <v/>
      </c>
      <c r="K319">
        <f>IF(OC_Name=0,"",IF(INDEX('OneCause_Paste'!$A$319:$AZ$319,1,OC_Name)="","",INDEX('OneCause_Paste'!$A$319:$AZ$319,1,OC_Name)))</f>
        <v/>
      </c>
      <c r="L319">
        <f>IF(OC_Txn=0,"",IF(INDEX('OneCause_Paste'!$A$319:$AZ$319,1,OC_Txn)="","",INDEX('OneCause_Paste'!$A$319:$AZ$319,1,OC_Txn)))</f>
        <v/>
      </c>
      <c r="M319">
        <f>IF(OC_Pay=0,"",IF(INDEX('OneCause_Paste'!$A$319:$AZ$319,1,OC_Pay)="","",INDEX('OneCause_Paste'!$A$319:$AZ$319,1,OC_Pay)))</f>
        <v/>
      </c>
      <c r="N319">
        <f>IF(I319="","",IF(ISNUMBER(I319),INT(I319),IFERROR(INT(DATEVALUE(I319)),IFERROR(INT(VALUE(I319)),"bad"))))</f>
        <v/>
      </c>
      <c r="O319">
        <f>IF(J319="","",IF(ISNUMBER(J319),ROUND(J319,2),IFERROR(ROUND(VALUE(SUBSTITUTE(SUBSTITUTE(SUBSTITUTE(J319,"$",""),",","")," ","")),2),"bad")))</f>
        <v/>
      </c>
      <c r="P319">
        <f>IF(TRIM(K319)="","",IFERROR(MATCH(LOWER(TRIM(K319)),'Students'!$AH$2:$AH$701,0),IFERROR(MATCH(LOWER(TRIM(K319)),'Students'!$AF$2:$AF$701,0),IFERROR(MATCH(LOWER(TRIM(K319)),'Students'!$AG$2:$AG$701,0),""))))</f>
        <v/>
      </c>
      <c r="R319">
        <f>IF(P319="","",INDEX('Students'!$AD$2:$AD$701,P319))</f>
        <v/>
      </c>
      <c r="S319">
        <f>IF(H319="OK",O319,0)</f>
        <v/>
      </c>
      <c r="T319">
        <f>IF(H319="OK",N319,"")</f>
        <v/>
      </c>
      <c r="U319">
        <f>IF(OC_Donor=0,"",IF(INDEX('OneCause_Paste'!$A$319:$AZ$319,1,OC_Donor)="","",INDEX('OneCause_Paste'!$A$319:$AZ$319,1,OC_Donor)))</f>
        <v/>
      </c>
    </row>
    <row r="320">
      <c r="A320" s="62">
        <f>IF(H320="","",IF(ISNUMBER(N320),N320,I320))</f>
        <v/>
      </c>
      <c r="B320">
        <f>IF(H320="","",U320)</f>
        <v/>
      </c>
      <c r="C320">
        <f>IF(H320="","",IF(P320="",K320,INDEX('Students'!$A$2:$A$701,P320)))</f>
        <v/>
      </c>
      <c r="D320">
        <f>IF(OR(H320="",P320=""),"",INDEX('Students'!$B$2:$B$701,P320))</f>
        <v/>
      </c>
      <c r="E320">
        <f>IF(OR(H320="",P320=""),"",INDEX('Students'!$C$2:$C$701,P320))</f>
        <v/>
      </c>
      <c r="F320" s="48">
        <f>IF(H320="","",IF(ISNUMBER(O320),O320,J320))</f>
        <v/>
      </c>
      <c r="G320">
        <f>IF(H320="","","OneCause")</f>
        <v/>
      </c>
      <c r="H320">
        <f>IF(AND(I320="",J320="",K320=""),"",IF(NOT(ISNUMBER(O320)),"Bad amount",IF(O320&lt;0,"Refund (not counted)",IF(O320=0,"Zero amount",IF(NOT(ISNUMBER(N320)),"Bad date",IF(P320="","NAME NOT ON ROSTER",IF(L320="","OK",IF(MATCH(L320,$L$2:$L$3001,0)&lt;ROW()-1,"Duplicate (ignored)","OK"))))))))</f>
        <v/>
      </c>
      <c r="I320">
        <f>IF(OC_Date=0,"",IF(INDEX('OneCause_Paste'!$A$320:$AZ$320,1,OC_Date)="","",INDEX('OneCause_Paste'!$A$320:$AZ$320,1,OC_Date)))</f>
        <v/>
      </c>
      <c r="J320">
        <f>IF(OC_Amt=0,"",IF(INDEX('OneCause_Paste'!$A$320:$AZ$320,1,OC_Amt)="","",INDEX('OneCause_Paste'!$A$320:$AZ$320,1,OC_Amt)))</f>
        <v/>
      </c>
      <c r="K320">
        <f>IF(OC_Name=0,"",IF(INDEX('OneCause_Paste'!$A$320:$AZ$320,1,OC_Name)="","",INDEX('OneCause_Paste'!$A$320:$AZ$320,1,OC_Name)))</f>
        <v/>
      </c>
      <c r="L320">
        <f>IF(OC_Txn=0,"",IF(INDEX('OneCause_Paste'!$A$320:$AZ$320,1,OC_Txn)="","",INDEX('OneCause_Paste'!$A$320:$AZ$320,1,OC_Txn)))</f>
        <v/>
      </c>
      <c r="M320">
        <f>IF(OC_Pay=0,"",IF(INDEX('OneCause_Paste'!$A$320:$AZ$320,1,OC_Pay)="","",INDEX('OneCause_Paste'!$A$320:$AZ$320,1,OC_Pay)))</f>
        <v/>
      </c>
      <c r="N320">
        <f>IF(I320="","",IF(ISNUMBER(I320),INT(I320),IFERROR(INT(DATEVALUE(I320)),IFERROR(INT(VALUE(I320)),"bad"))))</f>
        <v/>
      </c>
      <c r="O320">
        <f>IF(J320="","",IF(ISNUMBER(J320),ROUND(J320,2),IFERROR(ROUND(VALUE(SUBSTITUTE(SUBSTITUTE(SUBSTITUTE(J320,"$",""),",","")," ","")),2),"bad")))</f>
        <v/>
      </c>
      <c r="P320">
        <f>IF(TRIM(K320)="","",IFERROR(MATCH(LOWER(TRIM(K320)),'Students'!$AH$2:$AH$701,0),IFERROR(MATCH(LOWER(TRIM(K320)),'Students'!$AF$2:$AF$701,0),IFERROR(MATCH(LOWER(TRIM(K320)),'Students'!$AG$2:$AG$701,0),""))))</f>
        <v/>
      </c>
      <c r="R320">
        <f>IF(P320="","",INDEX('Students'!$AD$2:$AD$701,P320))</f>
        <v/>
      </c>
      <c r="S320">
        <f>IF(H320="OK",O320,0)</f>
        <v/>
      </c>
      <c r="T320">
        <f>IF(H320="OK",N320,"")</f>
        <v/>
      </c>
      <c r="U320">
        <f>IF(OC_Donor=0,"",IF(INDEX('OneCause_Paste'!$A$320:$AZ$320,1,OC_Donor)="","",INDEX('OneCause_Paste'!$A$320:$AZ$320,1,OC_Donor)))</f>
        <v/>
      </c>
    </row>
    <row r="321">
      <c r="A321" s="62">
        <f>IF(H321="","",IF(ISNUMBER(N321),N321,I321))</f>
        <v/>
      </c>
      <c r="B321">
        <f>IF(H321="","",U321)</f>
        <v/>
      </c>
      <c r="C321">
        <f>IF(H321="","",IF(P321="",K321,INDEX('Students'!$A$2:$A$701,P321)))</f>
        <v/>
      </c>
      <c r="D321">
        <f>IF(OR(H321="",P321=""),"",INDEX('Students'!$B$2:$B$701,P321))</f>
        <v/>
      </c>
      <c r="E321">
        <f>IF(OR(H321="",P321=""),"",INDEX('Students'!$C$2:$C$701,P321))</f>
        <v/>
      </c>
      <c r="F321" s="48">
        <f>IF(H321="","",IF(ISNUMBER(O321),O321,J321))</f>
        <v/>
      </c>
      <c r="G321">
        <f>IF(H321="","","OneCause")</f>
        <v/>
      </c>
      <c r="H321">
        <f>IF(AND(I321="",J321="",K321=""),"",IF(NOT(ISNUMBER(O321)),"Bad amount",IF(O321&lt;0,"Refund (not counted)",IF(O321=0,"Zero amount",IF(NOT(ISNUMBER(N321)),"Bad date",IF(P321="","NAME NOT ON ROSTER",IF(L321="","OK",IF(MATCH(L321,$L$2:$L$3001,0)&lt;ROW()-1,"Duplicate (ignored)","OK"))))))))</f>
        <v/>
      </c>
      <c r="I321">
        <f>IF(OC_Date=0,"",IF(INDEX('OneCause_Paste'!$A$321:$AZ$321,1,OC_Date)="","",INDEX('OneCause_Paste'!$A$321:$AZ$321,1,OC_Date)))</f>
        <v/>
      </c>
      <c r="J321">
        <f>IF(OC_Amt=0,"",IF(INDEX('OneCause_Paste'!$A$321:$AZ$321,1,OC_Amt)="","",INDEX('OneCause_Paste'!$A$321:$AZ$321,1,OC_Amt)))</f>
        <v/>
      </c>
      <c r="K321">
        <f>IF(OC_Name=0,"",IF(INDEX('OneCause_Paste'!$A$321:$AZ$321,1,OC_Name)="","",INDEX('OneCause_Paste'!$A$321:$AZ$321,1,OC_Name)))</f>
        <v/>
      </c>
      <c r="L321">
        <f>IF(OC_Txn=0,"",IF(INDEX('OneCause_Paste'!$A$321:$AZ$321,1,OC_Txn)="","",INDEX('OneCause_Paste'!$A$321:$AZ$321,1,OC_Txn)))</f>
        <v/>
      </c>
      <c r="M321">
        <f>IF(OC_Pay=0,"",IF(INDEX('OneCause_Paste'!$A$321:$AZ$321,1,OC_Pay)="","",INDEX('OneCause_Paste'!$A$321:$AZ$321,1,OC_Pay)))</f>
        <v/>
      </c>
      <c r="N321">
        <f>IF(I321="","",IF(ISNUMBER(I321),INT(I321),IFERROR(INT(DATEVALUE(I321)),IFERROR(INT(VALUE(I321)),"bad"))))</f>
        <v/>
      </c>
      <c r="O321">
        <f>IF(J321="","",IF(ISNUMBER(J321),ROUND(J321,2),IFERROR(ROUND(VALUE(SUBSTITUTE(SUBSTITUTE(SUBSTITUTE(J321,"$",""),",","")," ","")),2),"bad")))</f>
        <v/>
      </c>
      <c r="P321">
        <f>IF(TRIM(K321)="","",IFERROR(MATCH(LOWER(TRIM(K321)),'Students'!$AH$2:$AH$701,0),IFERROR(MATCH(LOWER(TRIM(K321)),'Students'!$AF$2:$AF$701,0),IFERROR(MATCH(LOWER(TRIM(K321)),'Students'!$AG$2:$AG$701,0),""))))</f>
        <v/>
      </c>
      <c r="R321">
        <f>IF(P321="","",INDEX('Students'!$AD$2:$AD$701,P321))</f>
        <v/>
      </c>
      <c r="S321">
        <f>IF(H321="OK",O321,0)</f>
        <v/>
      </c>
      <c r="T321">
        <f>IF(H321="OK",N321,"")</f>
        <v/>
      </c>
      <c r="U321">
        <f>IF(OC_Donor=0,"",IF(INDEX('OneCause_Paste'!$A$321:$AZ$321,1,OC_Donor)="","",INDEX('OneCause_Paste'!$A$321:$AZ$321,1,OC_Donor)))</f>
        <v/>
      </c>
    </row>
    <row r="322">
      <c r="A322" s="62">
        <f>IF(H322="","",IF(ISNUMBER(N322),N322,I322))</f>
        <v/>
      </c>
      <c r="B322">
        <f>IF(H322="","",U322)</f>
        <v/>
      </c>
      <c r="C322">
        <f>IF(H322="","",IF(P322="",K322,INDEX('Students'!$A$2:$A$701,P322)))</f>
        <v/>
      </c>
      <c r="D322">
        <f>IF(OR(H322="",P322=""),"",INDEX('Students'!$B$2:$B$701,P322))</f>
        <v/>
      </c>
      <c r="E322">
        <f>IF(OR(H322="",P322=""),"",INDEX('Students'!$C$2:$C$701,P322))</f>
        <v/>
      </c>
      <c r="F322" s="48">
        <f>IF(H322="","",IF(ISNUMBER(O322),O322,J322))</f>
        <v/>
      </c>
      <c r="G322">
        <f>IF(H322="","","OneCause")</f>
        <v/>
      </c>
      <c r="H322">
        <f>IF(AND(I322="",J322="",K322=""),"",IF(NOT(ISNUMBER(O322)),"Bad amount",IF(O322&lt;0,"Refund (not counted)",IF(O322=0,"Zero amount",IF(NOT(ISNUMBER(N322)),"Bad date",IF(P322="","NAME NOT ON ROSTER",IF(L322="","OK",IF(MATCH(L322,$L$2:$L$3001,0)&lt;ROW()-1,"Duplicate (ignored)","OK"))))))))</f>
        <v/>
      </c>
      <c r="I322">
        <f>IF(OC_Date=0,"",IF(INDEX('OneCause_Paste'!$A$322:$AZ$322,1,OC_Date)="","",INDEX('OneCause_Paste'!$A$322:$AZ$322,1,OC_Date)))</f>
        <v/>
      </c>
      <c r="J322">
        <f>IF(OC_Amt=0,"",IF(INDEX('OneCause_Paste'!$A$322:$AZ$322,1,OC_Amt)="","",INDEX('OneCause_Paste'!$A$322:$AZ$322,1,OC_Amt)))</f>
        <v/>
      </c>
      <c r="K322">
        <f>IF(OC_Name=0,"",IF(INDEX('OneCause_Paste'!$A$322:$AZ$322,1,OC_Name)="","",INDEX('OneCause_Paste'!$A$322:$AZ$322,1,OC_Name)))</f>
        <v/>
      </c>
      <c r="L322">
        <f>IF(OC_Txn=0,"",IF(INDEX('OneCause_Paste'!$A$322:$AZ$322,1,OC_Txn)="","",INDEX('OneCause_Paste'!$A$322:$AZ$322,1,OC_Txn)))</f>
        <v/>
      </c>
      <c r="M322">
        <f>IF(OC_Pay=0,"",IF(INDEX('OneCause_Paste'!$A$322:$AZ$322,1,OC_Pay)="","",INDEX('OneCause_Paste'!$A$322:$AZ$322,1,OC_Pay)))</f>
        <v/>
      </c>
      <c r="N322">
        <f>IF(I322="","",IF(ISNUMBER(I322),INT(I322),IFERROR(INT(DATEVALUE(I322)),IFERROR(INT(VALUE(I322)),"bad"))))</f>
        <v/>
      </c>
      <c r="O322">
        <f>IF(J322="","",IF(ISNUMBER(J322),ROUND(J322,2),IFERROR(ROUND(VALUE(SUBSTITUTE(SUBSTITUTE(SUBSTITUTE(J322,"$",""),",","")," ","")),2),"bad")))</f>
        <v/>
      </c>
      <c r="P322">
        <f>IF(TRIM(K322)="","",IFERROR(MATCH(LOWER(TRIM(K322)),'Students'!$AH$2:$AH$701,0),IFERROR(MATCH(LOWER(TRIM(K322)),'Students'!$AF$2:$AF$701,0),IFERROR(MATCH(LOWER(TRIM(K322)),'Students'!$AG$2:$AG$701,0),""))))</f>
        <v/>
      </c>
      <c r="R322">
        <f>IF(P322="","",INDEX('Students'!$AD$2:$AD$701,P322))</f>
        <v/>
      </c>
      <c r="S322">
        <f>IF(H322="OK",O322,0)</f>
        <v/>
      </c>
      <c r="T322">
        <f>IF(H322="OK",N322,"")</f>
        <v/>
      </c>
      <c r="U322">
        <f>IF(OC_Donor=0,"",IF(INDEX('OneCause_Paste'!$A$322:$AZ$322,1,OC_Donor)="","",INDEX('OneCause_Paste'!$A$322:$AZ$322,1,OC_Donor)))</f>
        <v/>
      </c>
    </row>
    <row r="323">
      <c r="A323" s="62">
        <f>IF(H323="","",IF(ISNUMBER(N323),N323,I323))</f>
        <v/>
      </c>
      <c r="B323">
        <f>IF(H323="","",U323)</f>
        <v/>
      </c>
      <c r="C323">
        <f>IF(H323="","",IF(P323="",K323,INDEX('Students'!$A$2:$A$701,P323)))</f>
        <v/>
      </c>
      <c r="D323">
        <f>IF(OR(H323="",P323=""),"",INDEX('Students'!$B$2:$B$701,P323))</f>
        <v/>
      </c>
      <c r="E323">
        <f>IF(OR(H323="",P323=""),"",INDEX('Students'!$C$2:$C$701,P323))</f>
        <v/>
      </c>
      <c r="F323" s="48">
        <f>IF(H323="","",IF(ISNUMBER(O323),O323,J323))</f>
        <v/>
      </c>
      <c r="G323">
        <f>IF(H323="","","OneCause")</f>
        <v/>
      </c>
      <c r="H323">
        <f>IF(AND(I323="",J323="",K323=""),"",IF(NOT(ISNUMBER(O323)),"Bad amount",IF(O323&lt;0,"Refund (not counted)",IF(O323=0,"Zero amount",IF(NOT(ISNUMBER(N323)),"Bad date",IF(P323="","NAME NOT ON ROSTER",IF(L323="","OK",IF(MATCH(L323,$L$2:$L$3001,0)&lt;ROW()-1,"Duplicate (ignored)","OK"))))))))</f>
        <v/>
      </c>
      <c r="I323">
        <f>IF(OC_Date=0,"",IF(INDEX('OneCause_Paste'!$A$323:$AZ$323,1,OC_Date)="","",INDEX('OneCause_Paste'!$A$323:$AZ$323,1,OC_Date)))</f>
        <v/>
      </c>
      <c r="J323">
        <f>IF(OC_Amt=0,"",IF(INDEX('OneCause_Paste'!$A$323:$AZ$323,1,OC_Amt)="","",INDEX('OneCause_Paste'!$A$323:$AZ$323,1,OC_Amt)))</f>
        <v/>
      </c>
      <c r="K323">
        <f>IF(OC_Name=0,"",IF(INDEX('OneCause_Paste'!$A$323:$AZ$323,1,OC_Name)="","",INDEX('OneCause_Paste'!$A$323:$AZ$323,1,OC_Name)))</f>
        <v/>
      </c>
      <c r="L323">
        <f>IF(OC_Txn=0,"",IF(INDEX('OneCause_Paste'!$A$323:$AZ$323,1,OC_Txn)="","",INDEX('OneCause_Paste'!$A$323:$AZ$323,1,OC_Txn)))</f>
        <v/>
      </c>
      <c r="M323">
        <f>IF(OC_Pay=0,"",IF(INDEX('OneCause_Paste'!$A$323:$AZ$323,1,OC_Pay)="","",INDEX('OneCause_Paste'!$A$323:$AZ$323,1,OC_Pay)))</f>
        <v/>
      </c>
      <c r="N323">
        <f>IF(I323="","",IF(ISNUMBER(I323),INT(I323),IFERROR(INT(DATEVALUE(I323)),IFERROR(INT(VALUE(I323)),"bad"))))</f>
        <v/>
      </c>
      <c r="O323">
        <f>IF(J323="","",IF(ISNUMBER(J323),ROUND(J323,2),IFERROR(ROUND(VALUE(SUBSTITUTE(SUBSTITUTE(SUBSTITUTE(J323,"$",""),",","")," ","")),2),"bad")))</f>
        <v/>
      </c>
      <c r="P323">
        <f>IF(TRIM(K323)="","",IFERROR(MATCH(LOWER(TRIM(K323)),'Students'!$AH$2:$AH$701,0),IFERROR(MATCH(LOWER(TRIM(K323)),'Students'!$AF$2:$AF$701,0),IFERROR(MATCH(LOWER(TRIM(K323)),'Students'!$AG$2:$AG$701,0),""))))</f>
        <v/>
      </c>
      <c r="R323">
        <f>IF(P323="","",INDEX('Students'!$AD$2:$AD$701,P323))</f>
        <v/>
      </c>
      <c r="S323">
        <f>IF(H323="OK",O323,0)</f>
        <v/>
      </c>
      <c r="T323">
        <f>IF(H323="OK",N323,"")</f>
        <v/>
      </c>
      <c r="U323">
        <f>IF(OC_Donor=0,"",IF(INDEX('OneCause_Paste'!$A$323:$AZ$323,1,OC_Donor)="","",INDEX('OneCause_Paste'!$A$323:$AZ$323,1,OC_Donor)))</f>
        <v/>
      </c>
    </row>
    <row r="324">
      <c r="A324" s="62">
        <f>IF(H324="","",IF(ISNUMBER(N324),N324,I324))</f>
        <v/>
      </c>
      <c r="B324">
        <f>IF(H324="","",U324)</f>
        <v/>
      </c>
      <c r="C324">
        <f>IF(H324="","",IF(P324="",K324,INDEX('Students'!$A$2:$A$701,P324)))</f>
        <v/>
      </c>
      <c r="D324">
        <f>IF(OR(H324="",P324=""),"",INDEX('Students'!$B$2:$B$701,P324))</f>
        <v/>
      </c>
      <c r="E324">
        <f>IF(OR(H324="",P324=""),"",INDEX('Students'!$C$2:$C$701,P324))</f>
        <v/>
      </c>
      <c r="F324" s="48">
        <f>IF(H324="","",IF(ISNUMBER(O324),O324,J324))</f>
        <v/>
      </c>
      <c r="G324">
        <f>IF(H324="","","OneCause")</f>
        <v/>
      </c>
      <c r="H324">
        <f>IF(AND(I324="",J324="",K324=""),"",IF(NOT(ISNUMBER(O324)),"Bad amount",IF(O324&lt;0,"Refund (not counted)",IF(O324=0,"Zero amount",IF(NOT(ISNUMBER(N324)),"Bad date",IF(P324="","NAME NOT ON ROSTER",IF(L324="","OK",IF(MATCH(L324,$L$2:$L$3001,0)&lt;ROW()-1,"Duplicate (ignored)","OK"))))))))</f>
        <v/>
      </c>
      <c r="I324">
        <f>IF(OC_Date=0,"",IF(INDEX('OneCause_Paste'!$A$324:$AZ$324,1,OC_Date)="","",INDEX('OneCause_Paste'!$A$324:$AZ$324,1,OC_Date)))</f>
        <v/>
      </c>
      <c r="J324">
        <f>IF(OC_Amt=0,"",IF(INDEX('OneCause_Paste'!$A$324:$AZ$324,1,OC_Amt)="","",INDEX('OneCause_Paste'!$A$324:$AZ$324,1,OC_Amt)))</f>
        <v/>
      </c>
      <c r="K324">
        <f>IF(OC_Name=0,"",IF(INDEX('OneCause_Paste'!$A$324:$AZ$324,1,OC_Name)="","",INDEX('OneCause_Paste'!$A$324:$AZ$324,1,OC_Name)))</f>
        <v/>
      </c>
      <c r="L324">
        <f>IF(OC_Txn=0,"",IF(INDEX('OneCause_Paste'!$A$324:$AZ$324,1,OC_Txn)="","",INDEX('OneCause_Paste'!$A$324:$AZ$324,1,OC_Txn)))</f>
        <v/>
      </c>
      <c r="M324">
        <f>IF(OC_Pay=0,"",IF(INDEX('OneCause_Paste'!$A$324:$AZ$324,1,OC_Pay)="","",INDEX('OneCause_Paste'!$A$324:$AZ$324,1,OC_Pay)))</f>
        <v/>
      </c>
      <c r="N324">
        <f>IF(I324="","",IF(ISNUMBER(I324),INT(I324),IFERROR(INT(DATEVALUE(I324)),IFERROR(INT(VALUE(I324)),"bad"))))</f>
        <v/>
      </c>
      <c r="O324">
        <f>IF(J324="","",IF(ISNUMBER(J324),ROUND(J324,2),IFERROR(ROUND(VALUE(SUBSTITUTE(SUBSTITUTE(SUBSTITUTE(J324,"$",""),",","")," ","")),2),"bad")))</f>
        <v/>
      </c>
      <c r="P324">
        <f>IF(TRIM(K324)="","",IFERROR(MATCH(LOWER(TRIM(K324)),'Students'!$AH$2:$AH$701,0),IFERROR(MATCH(LOWER(TRIM(K324)),'Students'!$AF$2:$AF$701,0),IFERROR(MATCH(LOWER(TRIM(K324)),'Students'!$AG$2:$AG$701,0),""))))</f>
        <v/>
      </c>
      <c r="R324">
        <f>IF(P324="","",INDEX('Students'!$AD$2:$AD$701,P324))</f>
        <v/>
      </c>
      <c r="S324">
        <f>IF(H324="OK",O324,0)</f>
        <v/>
      </c>
      <c r="T324">
        <f>IF(H324="OK",N324,"")</f>
        <v/>
      </c>
      <c r="U324">
        <f>IF(OC_Donor=0,"",IF(INDEX('OneCause_Paste'!$A$324:$AZ$324,1,OC_Donor)="","",INDEX('OneCause_Paste'!$A$324:$AZ$324,1,OC_Donor)))</f>
        <v/>
      </c>
    </row>
    <row r="325">
      <c r="A325" s="62">
        <f>IF(H325="","",IF(ISNUMBER(N325),N325,I325))</f>
        <v/>
      </c>
      <c r="B325">
        <f>IF(H325="","",U325)</f>
        <v/>
      </c>
      <c r="C325">
        <f>IF(H325="","",IF(P325="",K325,INDEX('Students'!$A$2:$A$701,P325)))</f>
        <v/>
      </c>
      <c r="D325">
        <f>IF(OR(H325="",P325=""),"",INDEX('Students'!$B$2:$B$701,P325))</f>
        <v/>
      </c>
      <c r="E325">
        <f>IF(OR(H325="",P325=""),"",INDEX('Students'!$C$2:$C$701,P325))</f>
        <v/>
      </c>
      <c r="F325" s="48">
        <f>IF(H325="","",IF(ISNUMBER(O325),O325,J325))</f>
        <v/>
      </c>
      <c r="G325">
        <f>IF(H325="","","OneCause")</f>
        <v/>
      </c>
      <c r="H325">
        <f>IF(AND(I325="",J325="",K325=""),"",IF(NOT(ISNUMBER(O325)),"Bad amount",IF(O325&lt;0,"Refund (not counted)",IF(O325=0,"Zero amount",IF(NOT(ISNUMBER(N325)),"Bad date",IF(P325="","NAME NOT ON ROSTER",IF(L325="","OK",IF(MATCH(L325,$L$2:$L$3001,0)&lt;ROW()-1,"Duplicate (ignored)","OK"))))))))</f>
        <v/>
      </c>
      <c r="I325">
        <f>IF(OC_Date=0,"",IF(INDEX('OneCause_Paste'!$A$325:$AZ$325,1,OC_Date)="","",INDEX('OneCause_Paste'!$A$325:$AZ$325,1,OC_Date)))</f>
        <v/>
      </c>
      <c r="J325">
        <f>IF(OC_Amt=0,"",IF(INDEX('OneCause_Paste'!$A$325:$AZ$325,1,OC_Amt)="","",INDEX('OneCause_Paste'!$A$325:$AZ$325,1,OC_Amt)))</f>
        <v/>
      </c>
      <c r="K325">
        <f>IF(OC_Name=0,"",IF(INDEX('OneCause_Paste'!$A$325:$AZ$325,1,OC_Name)="","",INDEX('OneCause_Paste'!$A$325:$AZ$325,1,OC_Name)))</f>
        <v/>
      </c>
      <c r="L325">
        <f>IF(OC_Txn=0,"",IF(INDEX('OneCause_Paste'!$A$325:$AZ$325,1,OC_Txn)="","",INDEX('OneCause_Paste'!$A$325:$AZ$325,1,OC_Txn)))</f>
        <v/>
      </c>
      <c r="M325">
        <f>IF(OC_Pay=0,"",IF(INDEX('OneCause_Paste'!$A$325:$AZ$325,1,OC_Pay)="","",INDEX('OneCause_Paste'!$A$325:$AZ$325,1,OC_Pay)))</f>
        <v/>
      </c>
      <c r="N325">
        <f>IF(I325="","",IF(ISNUMBER(I325),INT(I325),IFERROR(INT(DATEVALUE(I325)),IFERROR(INT(VALUE(I325)),"bad"))))</f>
        <v/>
      </c>
      <c r="O325">
        <f>IF(J325="","",IF(ISNUMBER(J325),ROUND(J325,2),IFERROR(ROUND(VALUE(SUBSTITUTE(SUBSTITUTE(SUBSTITUTE(J325,"$",""),",","")," ","")),2),"bad")))</f>
        <v/>
      </c>
      <c r="P325">
        <f>IF(TRIM(K325)="","",IFERROR(MATCH(LOWER(TRIM(K325)),'Students'!$AH$2:$AH$701,0),IFERROR(MATCH(LOWER(TRIM(K325)),'Students'!$AF$2:$AF$701,0),IFERROR(MATCH(LOWER(TRIM(K325)),'Students'!$AG$2:$AG$701,0),""))))</f>
        <v/>
      </c>
      <c r="R325">
        <f>IF(P325="","",INDEX('Students'!$AD$2:$AD$701,P325))</f>
        <v/>
      </c>
      <c r="S325">
        <f>IF(H325="OK",O325,0)</f>
        <v/>
      </c>
      <c r="T325">
        <f>IF(H325="OK",N325,"")</f>
        <v/>
      </c>
      <c r="U325">
        <f>IF(OC_Donor=0,"",IF(INDEX('OneCause_Paste'!$A$325:$AZ$325,1,OC_Donor)="","",INDEX('OneCause_Paste'!$A$325:$AZ$325,1,OC_Donor)))</f>
        <v/>
      </c>
    </row>
    <row r="326">
      <c r="A326" s="62">
        <f>IF(H326="","",IF(ISNUMBER(N326),N326,I326))</f>
        <v/>
      </c>
      <c r="B326">
        <f>IF(H326="","",U326)</f>
        <v/>
      </c>
      <c r="C326">
        <f>IF(H326="","",IF(P326="",K326,INDEX('Students'!$A$2:$A$701,P326)))</f>
        <v/>
      </c>
      <c r="D326">
        <f>IF(OR(H326="",P326=""),"",INDEX('Students'!$B$2:$B$701,P326))</f>
        <v/>
      </c>
      <c r="E326">
        <f>IF(OR(H326="",P326=""),"",INDEX('Students'!$C$2:$C$701,P326))</f>
        <v/>
      </c>
      <c r="F326" s="48">
        <f>IF(H326="","",IF(ISNUMBER(O326),O326,J326))</f>
        <v/>
      </c>
      <c r="G326">
        <f>IF(H326="","","OneCause")</f>
        <v/>
      </c>
      <c r="H326">
        <f>IF(AND(I326="",J326="",K326=""),"",IF(NOT(ISNUMBER(O326)),"Bad amount",IF(O326&lt;0,"Refund (not counted)",IF(O326=0,"Zero amount",IF(NOT(ISNUMBER(N326)),"Bad date",IF(P326="","NAME NOT ON ROSTER",IF(L326="","OK",IF(MATCH(L326,$L$2:$L$3001,0)&lt;ROW()-1,"Duplicate (ignored)","OK"))))))))</f>
        <v/>
      </c>
      <c r="I326">
        <f>IF(OC_Date=0,"",IF(INDEX('OneCause_Paste'!$A$326:$AZ$326,1,OC_Date)="","",INDEX('OneCause_Paste'!$A$326:$AZ$326,1,OC_Date)))</f>
        <v/>
      </c>
      <c r="J326">
        <f>IF(OC_Amt=0,"",IF(INDEX('OneCause_Paste'!$A$326:$AZ$326,1,OC_Amt)="","",INDEX('OneCause_Paste'!$A$326:$AZ$326,1,OC_Amt)))</f>
        <v/>
      </c>
      <c r="K326">
        <f>IF(OC_Name=0,"",IF(INDEX('OneCause_Paste'!$A$326:$AZ$326,1,OC_Name)="","",INDEX('OneCause_Paste'!$A$326:$AZ$326,1,OC_Name)))</f>
        <v/>
      </c>
      <c r="L326">
        <f>IF(OC_Txn=0,"",IF(INDEX('OneCause_Paste'!$A$326:$AZ$326,1,OC_Txn)="","",INDEX('OneCause_Paste'!$A$326:$AZ$326,1,OC_Txn)))</f>
        <v/>
      </c>
      <c r="M326">
        <f>IF(OC_Pay=0,"",IF(INDEX('OneCause_Paste'!$A$326:$AZ$326,1,OC_Pay)="","",INDEX('OneCause_Paste'!$A$326:$AZ$326,1,OC_Pay)))</f>
        <v/>
      </c>
      <c r="N326">
        <f>IF(I326="","",IF(ISNUMBER(I326),INT(I326),IFERROR(INT(DATEVALUE(I326)),IFERROR(INT(VALUE(I326)),"bad"))))</f>
        <v/>
      </c>
      <c r="O326">
        <f>IF(J326="","",IF(ISNUMBER(J326),ROUND(J326,2),IFERROR(ROUND(VALUE(SUBSTITUTE(SUBSTITUTE(SUBSTITUTE(J326,"$",""),",","")," ","")),2),"bad")))</f>
        <v/>
      </c>
      <c r="P326">
        <f>IF(TRIM(K326)="","",IFERROR(MATCH(LOWER(TRIM(K326)),'Students'!$AH$2:$AH$701,0),IFERROR(MATCH(LOWER(TRIM(K326)),'Students'!$AF$2:$AF$701,0),IFERROR(MATCH(LOWER(TRIM(K326)),'Students'!$AG$2:$AG$701,0),""))))</f>
        <v/>
      </c>
      <c r="R326">
        <f>IF(P326="","",INDEX('Students'!$AD$2:$AD$701,P326))</f>
        <v/>
      </c>
      <c r="S326">
        <f>IF(H326="OK",O326,0)</f>
        <v/>
      </c>
      <c r="T326">
        <f>IF(H326="OK",N326,"")</f>
        <v/>
      </c>
      <c r="U326">
        <f>IF(OC_Donor=0,"",IF(INDEX('OneCause_Paste'!$A$326:$AZ$326,1,OC_Donor)="","",INDEX('OneCause_Paste'!$A$326:$AZ$326,1,OC_Donor)))</f>
        <v/>
      </c>
    </row>
    <row r="327">
      <c r="A327" s="62">
        <f>IF(H327="","",IF(ISNUMBER(N327),N327,I327))</f>
        <v/>
      </c>
      <c r="B327">
        <f>IF(H327="","",U327)</f>
        <v/>
      </c>
      <c r="C327">
        <f>IF(H327="","",IF(P327="",K327,INDEX('Students'!$A$2:$A$701,P327)))</f>
        <v/>
      </c>
      <c r="D327">
        <f>IF(OR(H327="",P327=""),"",INDEX('Students'!$B$2:$B$701,P327))</f>
        <v/>
      </c>
      <c r="E327">
        <f>IF(OR(H327="",P327=""),"",INDEX('Students'!$C$2:$C$701,P327))</f>
        <v/>
      </c>
      <c r="F327" s="48">
        <f>IF(H327="","",IF(ISNUMBER(O327),O327,J327))</f>
        <v/>
      </c>
      <c r="G327">
        <f>IF(H327="","","OneCause")</f>
        <v/>
      </c>
      <c r="H327">
        <f>IF(AND(I327="",J327="",K327=""),"",IF(NOT(ISNUMBER(O327)),"Bad amount",IF(O327&lt;0,"Refund (not counted)",IF(O327=0,"Zero amount",IF(NOT(ISNUMBER(N327)),"Bad date",IF(P327="","NAME NOT ON ROSTER",IF(L327="","OK",IF(MATCH(L327,$L$2:$L$3001,0)&lt;ROW()-1,"Duplicate (ignored)","OK"))))))))</f>
        <v/>
      </c>
      <c r="I327">
        <f>IF(OC_Date=0,"",IF(INDEX('OneCause_Paste'!$A$327:$AZ$327,1,OC_Date)="","",INDEX('OneCause_Paste'!$A$327:$AZ$327,1,OC_Date)))</f>
        <v/>
      </c>
      <c r="J327">
        <f>IF(OC_Amt=0,"",IF(INDEX('OneCause_Paste'!$A$327:$AZ$327,1,OC_Amt)="","",INDEX('OneCause_Paste'!$A$327:$AZ$327,1,OC_Amt)))</f>
        <v/>
      </c>
      <c r="K327">
        <f>IF(OC_Name=0,"",IF(INDEX('OneCause_Paste'!$A$327:$AZ$327,1,OC_Name)="","",INDEX('OneCause_Paste'!$A$327:$AZ$327,1,OC_Name)))</f>
        <v/>
      </c>
      <c r="L327">
        <f>IF(OC_Txn=0,"",IF(INDEX('OneCause_Paste'!$A$327:$AZ$327,1,OC_Txn)="","",INDEX('OneCause_Paste'!$A$327:$AZ$327,1,OC_Txn)))</f>
        <v/>
      </c>
      <c r="M327">
        <f>IF(OC_Pay=0,"",IF(INDEX('OneCause_Paste'!$A$327:$AZ$327,1,OC_Pay)="","",INDEX('OneCause_Paste'!$A$327:$AZ$327,1,OC_Pay)))</f>
        <v/>
      </c>
      <c r="N327">
        <f>IF(I327="","",IF(ISNUMBER(I327),INT(I327),IFERROR(INT(DATEVALUE(I327)),IFERROR(INT(VALUE(I327)),"bad"))))</f>
        <v/>
      </c>
      <c r="O327">
        <f>IF(J327="","",IF(ISNUMBER(J327),ROUND(J327,2),IFERROR(ROUND(VALUE(SUBSTITUTE(SUBSTITUTE(SUBSTITUTE(J327,"$",""),",","")," ","")),2),"bad")))</f>
        <v/>
      </c>
      <c r="P327">
        <f>IF(TRIM(K327)="","",IFERROR(MATCH(LOWER(TRIM(K327)),'Students'!$AH$2:$AH$701,0),IFERROR(MATCH(LOWER(TRIM(K327)),'Students'!$AF$2:$AF$701,0),IFERROR(MATCH(LOWER(TRIM(K327)),'Students'!$AG$2:$AG$701,0),""))))</f>
        <v/>
      </c>
      <c r="R327">
        <f>IF(P327="","",INDEX('Students'!$AD$2:$AD$701,P327))</f>
        <v/>
      </c>
      <c r="S327">
        <f>IF(H327="OK",O327,0)</f>
        <v/>
      </c>
      <c r="T327">
        <f>IF(H327="OK",N327,"")</f>
        <v/>
      </c>
      <c r="U327">
        <f>IF(OC_Donor=0,"",IF(INDEX('OneCause_Paste'!$A$327:$AZ$327,1,OC_Donor)="","",INDEX('OneCause_Paste'!$A$327:$AZ$327,1,OC_Donor)))</f>
        <v/>
      </c>
    </row>
    <row r="328">
      <c r="A328" s="62">
        <f>IF(H328="","",IF(ISNUMBER(N328),N328,I328))</f>
        <v/>
      </c>
      <c r="B328">
        <f>IF(H328="","",U328)</f>
        <v/>
      </c>
      <c r="C328">
        <f>IF(H328="","",IF(P328="",K328,INDEX('Students'!$A$2:$A$701,P328)))</f>
        <v/>
      </c>
      <c r="D328">
        <f>IF(OR(H328="",P328=""),"",INDEX('Students'!$B$2:$B$701,P328))</f>
        <v/>
      </c>
      <c r="E328">
        <f>IF(OR(H328="",P328=""),"",INDEX('Students'!$C$2:$C$701,P328))</f>
        <v/>
      </c>
      <c r="F328" s="48">
        <f>IF(H328="","",IF(ISNUMBER(O328),O328,J328))</f>
        <v/>
      </c>
      <c r="G328">
        <f>IF(H328="","","OneCause")</f>
        <v/>
      </c>
      <c r="H328">
        <f>IF(AND(I328="",J328="",K328=""),"",IF(NOT(ISNUMBER(O328)),"Bad amount",IF(O328&lt;0,"Refund (not counted)",IF(O328=0,"Zero amount",IF(NOT(ISNUMBER(N328)),"Bad date",IF(P328="","NAME NOT ON ROSTER",IF(L328="","OK",IF(MATCH(L328,$L$2:$L$3001,0)&lt;ROW()-1,"Duplicate (ignored)","OK"))))))))</f>
        <v/>
      </c>
      <c r="I328">
        <f>IF(OC_Date=0,"",IF(INDEX('OneCause_Paste'!$A$328:$AZ$328,1,OC_Date)="","",INDEX('OneCause_Paste'!$A$328:$AZ$328,1,OC_Date)))</f>
        <v/>
      </c>
      <c r="J328">
        <f>IF(OC_Amt=0,"",IF(INDEX('OneCause_Paste'!$A$328:$AZ$328,1,OC_Amt)="","",INDEX('OneCause_Paste'!$A$328:$AZ$328,1,OC_Amt)))</f>
        <v/>
      </c>
      <c r="K328">
        <f>IF(OC_Name=0,"",IF(INDEX('OneCause_Paste'!$A$328:$AZ$328,1,OC_Name)="","",INDEX('OneCause_Paste'!$A$328:$AZ$328,1,OC_Name)))</f>
        <v/>
      </c>
      <c r="L328">
        <f>IF(OC_Txn=0,"",IF(INDEX('OneCause_Paste'!$A$328:$AZ$328,1,OC_Txn)="","",INDEX('OneCause_Paste'!$A$328:$AZ$328,1,OC_Txn)))</f>
        <v/>
      </c>
      <c r="M328">
        <f>IF(OC_Pay=0,"",IF(INDEX('OneCause_Paste'!$A$328:$AZ$328,1,OC_Pay)="","",INDEX('OneCause_Paste'!$A$328:$AZ$328,1,OC_Pay)))</f>
        <v/>
      </c>
      <c r="N328">
        <f>IF(I328="","",IF(ISNUMBER(I328),INT(I328),IFERROR(INT(DATEVALUE(I328)),IFERROR(INT(VALUE(I328)),"bad"))))</f>
        <v/>
      </c>
      <c r="O328">
        <f>IF(J328="","",IF(ISNUMBER(J328),ROUND(J328,2),IFERROR(ROUND(VALUE(SUBSTITUTE(SUBSTITUTE(SUBSTITUTE(J328,"$",""),",","")," ","")),2),"bad")))</f>
        <v/>
      </c>
      <c r="P328">
        <f>IF(TRIM(K328)="","",IFERROR(MATCH(LOWER(TRIM(K328)),'Students'!$AH$2:$AH$701,0),IFERROR(MATCH(LOWER(TRIM(K328)),'Students'!$AF$2:$AF$701,0),IFERROR(MATCH(LOWER(TRIM(K328)),'Students'!$AG$2:$AG$701,0),""))))</f>
        <v/>
      </c>
      <c r="R328">
        <f>IF(P328="","",INDEX('Students'!$AD$2:$AD$701,P328))</f>
        <v/>
      </c>
      <c r="S328">
        <f>IF(H328="OK",O328,0)</f>
        <v/>
      </c>
      <c r="T328">
        <f>IF(H328="OK",N328,"")</f>
        <v/>
      </c>
      <c r="U328">
        <f>IF(OC_Donor=0,"",IF(INDEX('OneCause_Paste'!$A$328:$AZ$328,1,OC_Donor)="","",INDEX('OneCause_Paste'!$A$328:$AZ$328,1,OC_Donor)))</f>
        <v/>
      </c>
    </row>
    <row r="329">
      <c r="A329" s="62">
        <f>IF(H329="","",IF(ISNUMBER(N329),N329,I329))</f>
        <v/>
      </c>
      <c r="B329">
        <f>IF(H329="","",U329)</f>
        <v/>
      </c>
      <c r="C329">
        <f>IF(H329="","",IF(P329="",K329,INDEX('Students'!$A$2:$A$701,P329)))</f>
        <v/>
      </c>
      <c r="D329">
        <f>IF(OR(H329="",P329=""),"",INDEX('Students'!$B$2:$B$701,P329))</f>
        <v/>
      </c>
      <c r="E329">
        <f>IF(OR(H329="",P329=""),"",INDEX('Students'!$C$2:$C$701,P329))</f>
        <v/>
      </c>
      <c r="F329" s="48">
        <f>IF(H329="","",IF(ISNUMBER(O329),O329,J329))</f>
        <v/>
      </c>
      <c r="G329">
        <f>IF(H329="","","OneCause")</f>
        <v/>
      </c>
      <c r="H329">
        <f>IF(AND(I329="",J329="",K329=""),"",IF(NOT(ISNUMBER(O329)),"Bad amount",IF(O329&lt;0,"Refund (not counted)",IF(O329=0,"Zero amount",IF(NOT(ISNUMBER(N329)),"Bad date",IF(P329="","NAME NOT ON ROSTER",IF(L329="","OK",IF(MATCH(L329,$L$2:$L$3001,0)&lt;ROW()-1,"Duplicate (ignored)","OK"))))))))</f>
        <v/>
      </c>
      <c r="I329">
        <f>IF(OC_Date=0,"",IF(INDEX('OneCause_Paste'!$A$329:$AZ$329,1,OC_Date)="","",INDEX('OneCause_Paste'!$A$329:$AZ$329,1,OC_Date)))</f>
        <v/>
      </c>
      <c r="J329">
        <f>IF(OC_Amt=0,"",IF(INDEX('OneCause_Paste'!$A$329:$AZ$329,1,OC_Amt)="","",INDEX('OneCause_Paste'!$A$329:$AZ$329,1,OC_Amt)))</f>
        <v/>
      </c>
      <c r="K329">
        <f>IF(OC_Name=0,"",IF(INDEX('OneCause_Paste'!$A$329:$AZ$329,1,OC_Name)="","",INDEX('OneCause_Paste'!$A$329:$AZ$329,1,OC_Name)))</f>
        <v/>
      </c>
      <c r="L329">
        <f>IF(OC_Txn=0,"",IF(INDEX('OneCause_Paste'!$A$329:$AZ$329,1,OC_Txn)="","",INDEX('OneCause_Paste'!$A$329:$AZ$329,1,OC_Txn)))</f>
        <v/>
      </c>
      <c r="M329">
        <f>IF(OC_Pay=0,"",IF(INDEX('OneCause_Paste'!$A$329:$AZ$329,1,OC_Pay)="","",INDEX('OneCause_Paste'!$A$329:$AZ$329,1,OC_Pay)))</f>
        <v/>
      </c>
      <c r="N329">
        <f>IF(I329="","",IF(ISNUMBER(I329),INT(I329),IFERROR(INT(DATEVALUE(I329)),IFERROR(INT(VALUE(I329)),"bad"))))</f>
        <v/>
      </c>
      <c r="O329">
        <f>IF(J329="","",IF(ISNUMBER(J329),ROUND(J329,2),IFERROR(ROUND(VALUE(SUBSTITUTE(SUBSTITUTE(SUBSTITUTE(J329,"$",""),",","")," ","")),2),"bad")))</f>
        <v/>
      </c>
      <c r="P329">
        <f>IF(TRIM(K329)="","",IFERROR(MATCH(LOWER(TRIM(K329)),'Students'!$AH$2:$AH$701,0),IFERROR(MATCH(LOWER(TRIM(K329)),'Students'!$AF$2:$AF$701,0),IFERROR(MATCH(LOWER(TRIM(K329)),'Students'!$AG$2:$AG$701,0),""))))</f>
        <v/>
      </c>
      <c r="R329">
        <f>IF(P329="","",INDEX('Students'!$AD$2:$AD$701,P329))</f>
        <v/>
      </c>
      <c r="S329">
        <f>IF(H329="OK",O329,0)</f>
        <v/>
      </c>
      <c r="T329">
        <f>IF(H329="OK",N329,"")</f>
        <v/>
      </c>
      <c r="U329">
        <f>IF(OC_Donor=0,"",IF(INDEX('OneCause_Paste'!$A$329:$AZ$329,1,OC_Donor)="","",INDEX('OneCause_Paste'!$A$329:$AZ$329,1,OC_Donor)))</f>
        <v/>
      </c>
    </row>
    <row r="330">
      <c r="A330" s="62">
        <f>IF(H330="","",IF(ISNUMBER(N330),N330,I330))</f>
        <v/>
      </c>
      <c r="B330">
        <f>IF(H330="","",U330)</f>
        <v/>
      </c>
      <c r="C330">
        <f>IF(H330="","",IF(P330="",K330,INDEX('Students'!$A$2:$A$701,P330)))</f>
        <v/>
      </c>
      <c r="D330">
        <f>IF(OR(H330="",P330=""),"",INDEX('Students'!$B$2:$B$701,P330))</f>
        <v/>
      </c>
      <c r="E330">
        <f>IF(OR(H330="",P330=""),"",INDEX('Students'!$C$2:$C$701,P330))</f>
        <v/>
      </c>
      <c r="F330" s="48">
        <f>IF(H330="","",IF(ISNUMBER(O330),O330,J330))</f>
        <v/>
      </c>
      <c r="G330">
        <f>IF(H330="","","OneCause")</f>
        <v/>
      </c>
      <c r="H330">
        <f>IF(AND(I330="",J330="",K330=""),"",IF(NOT(ISNUMBER(O330)),"Bad amount",IF(O330&lt;0,"Refund (not counted)",IF(O330=0,"Zero amount",IF(NOT(ISNUMBER(N330)),"Bad date",IF(P330="","NAME NOT ON ROSTER",IF(L330="","OK",IF(MATCH(L330,$L$2:$L$3001,0)&lt;ROW()-1,"Duplicate (ignored)","OK"))))))))</f>
        <v/>
      </c>
      <c r="I330">
        <f>IF(OC_Date=0,"",IF(INDEX('OneCause_Paste'!$A$330:$AZ$330,1,OC_Date)="","",INDEX('OneCause_Paste'!$A$330:$AZ$330,1,OC_Date)))</f>
        <v/>
      </c>
      <c r="J330">
        <f>IF(OC_Amt=0,"",IF(INDEX('OneCause_Paste'!$A$330:$AZ$330,1,OC_Amt)="","",INDEX('OneCause_Paste'!$A$330:$AZ$330,1,OC_Amt)))</f>
        <v/>
      </c>
      <c r="K330">
        <f>IF(OC_Name=0,"",IF(INDEX('OneCause_Paste'!$A$330:$AZ$330,1,OC_Name)="","",INDEX('OneCause_Paste'!$A$330:$AZ$330,1,OC_Name)))</f>
        <v/>
      </c>
      <c r="L330">
        <f>IF(OC_Txn=0,"",IF(INDEX('OneCause_Paste'!$A$330:$AZ$330,1,OC_Txn)="","",INDEX('OneCause_Paste'!$A$330:$AZ$330,1,OC_Txn)))</f>
        <v/>
      </c>
      <c r="M330">
        <f>IF(OC_Pay=0,"",IF(INDEX('OneCause_Paste'!$A$330:$AZ$330,1,OC_Pay)="","",INDEX('OneCause_Paste'!$A$330:$AZ$330,1,OC_Pay)))</f>
        <v/>
      </c>
      <c r="N330">
        <f>IF(I330="","",IF(ISNUMBER(I330),INT(I330),IFERROR(INT(DATEVALUE(I330)),IFERROR(INT(VALUE(I330)),"bad"))))</f>
        <v/>
      </c>
      <c r="O330">
        <f>IF(J330="","",IF(ISNUMBER(J330),ROUND(J330,2),IFERROR(ROUND(VALUE(SUBSTITUTE(SUBSTITUTE(SUBSTITUTE(J330,"$",""),",","")," ","")),2),"bad")))</f>
        <v/>
      </c>
      <c r="P330">
        <f>IF(TRIM(K330)="","",IFERROR(MATCH(LOWER(TRIM(K330)),'Students'!$AH$2:$AH$701,0),IFERROR(MATCH(LOWER(TRIM(K330)),'Students'!$AF$2:$AF$701,0),IFERROR(MATCH(LOWER(TRIM(K330)),'Students'!$AG$2:$AG$701,0),""))))</f>
        <v/>
      </c>
      <c r="R330">
        <f>IF(P330="","",INDEX('Students'!$AD$2:$AD$701,P330))</f>
        <v/>
      </c>
      <c r="S330">
        <f>IF(H330="OK",O330,0)</f>
        <v/>
      </c>
      <c r="T330">
        <f>IF(H330="OK",N330,"")</f>
        <v/>
      </c>
      <c r="U330">
        <f>IF(OC_Donor=0,"",IF(INDEX('OneCause_Paste'!$A$330:$AZ$330,1,OC_Donor)="","",INDEX('OneCause_Paste'!$A$330:$AZ$330,1,OC_Donor)))</f>
        <v/>
      </c>
    </row>
    <row r="331">
      <c r="A331" s="62">
        <f>IF(H331="","",IF(ISNUMBER(N331),N331,I331))</f>
        <v/>
      </c>
      <c r="B331">
        <f>IF(H331="","",U331)</f>
        <v/>
      </c>
      <c r="C331">
        <f>IF(H331="","",IF(P331="",K331,INDEX('Students'!$A$2:$A$701,P331)))</f>
        <v/>
      </c>
      <c r="D331">
        <f>IF(OR(H331="",P331=""),"",INDEX('Students'!$B$2:$B$701,P331))</f>
        <v/>
      </c>
      <c r="E331">
        <f>IF(OR(H331="",P331=""),"",INDEX('Students'!$C$2:$C$701,P331))</f>
        <v/>
      </c>
      <c r="F331" s="48">
        <f>IF(H331="","",IF(ISNUMBER(O331),O331,J331))</f>
        <v/>
      </c>
      <c r="G331">
        <f>IF(H331="","","OneCause")</f>
        <v/>
      </c>
      <c r="H331">
        <f>IF(AND(I331="",J331="",K331=""),"",IF(NOT(ISNUMBER(O331)),"Bad amount",IF(O331&lt;0,"Refund (not counted)",IF(O331=0,"Zero amount",IF(NOT(ISNUMBER(N331)),"Bad date",IF(P331="","NAME NOT ON ROSTER",IF(L331="","OK",IF(MATCH(L331,$L$2:$L$3001,0)&lt;ROW()-1,"Duplicate (ignored)","OK"))))))))</f>
        <v/>
      </c>
      <c r="I331">
        <f>IF(OC_Date=0,"",IF(INDEX('OneCause_Paste'!$A$331:$AZ$331,1,OC_Date)="","",INDEX('OneCause_Paste'!$A$331:$AZ$331,1,OC_Date)))</f>
        <v/>
      </c>
      <c r="J331">
        <f>IF(OC_Amt=0,"",IF(INDEX('OneCause_Paste'!$A$331:$AZ$331,1,OC_Amt)="","",INDEX('OneCause_Paste'!$A$331:$AZ$331,1,OC_Amt)))</f>
        <v/>
      </c>
      <c r="K331">
        <f>IF(OC_Name=0,"",IF(INDEX('OneCause_Paste'!$A$331:$AZ$331,1,OC_Name)="","",INDEX('OneCause_Paste'!$A$331:$AZ$331,1,OC_Name)))</f>
        <v/>
      </c>
      <c r="L331">
        <f>IF(OC_Txn=0,"",IF(INDEX('OneCause_Paste'!$A$331:$AZ$331,1,OC_Txn)="","",INDEX('OneCause_Paste'!$A$331:$AZ$331,1,OC_Txn)))</f>
        <v/>
      </c>
      <c r="M331">
        <f>IF(OC_Pay=0,"",IF(INDEX('OneCause_Paste'!$A$331:$AZ$331,1,OC_Pay)="","",INDEX('OneCause_Paste'!$A$331:$AZ$331,1,OC_Pay)))</f>
        <v/>
      </c>
      <c r="N331">
        <f>IF(I331="","",IF(ISNUMBER(I331),INT(I331),IFERROR(INT(DATEVALUE(I331)),IFERROR(INT(VALUE(I331)),"bad"))))</f>
        <v/>
      </c>
      <c r="O331">
        <f>IF(J331="","",IF(ISNUMBER(J331),ROUND(J331,2),IFERROR(ROUND(VALUE(SUBSTITUTE(SUBSTITUTE(SUBSTITUTE(J331,"$",""),",","")," ","")),2),"bad")))</f>
        <v/>
      </c>
      <c r="P331">
        <f>IF(TRIM(K331)="","",IFERROR(MATCH(LOWER(TRIM(K331)),'Students'!$AH$2:$AH$701,0),IFERROR(MATCH(LOWER(TRIM(K331)),'Students'!$AF$2:$AF$701,0),IFERROR(MATCH(LOWER(TRIM(K331)),'Students'!$AG$2:$AG$701,0),""))))</f>
        <v/>
      </c>
      <c r="R331">
        <f>IF(P331="","",INDEX('Students'!$AD$2:$AD$701,P331))</f>
        <v/>
      </c>
      <c r="S331">
        <f>IF(H331="OK",O331,0)</f>
        <v/>
      </c>
      <c r="T331">
        <f>IF(H331="OK",N331,"")</f>
        <v/>
      </c>
      <c r="U331">
        <f>IF(OC_Donor=0,"",IF(INDEX('OneCause_Paste'!$A$331:$AZ$331,1,OC_Donor)="","",INDEX('OneCause_Paste'!$A$331:$AZ$331,1,OC_Donor)))</f>
        <v/>
      </c>
    </row>
    <row r="332">
      <c r="A332" s="62">
        <f>IF(H332="","",IF(ISNUMBER(N332),N332,I332))</f>
        <v/>
      </c>
      <c r="B332">
        <f>IF(H332="","",U332)</f>
        <v/>
      </c>
      <c r="C332">
        <f>IF(H332="","",IF(P332="",K332,INDEX('Students'!$A$2:$A$701,P332)))</f>
        <v/>
      </c>
      <c r="D332">
        <f>IF(OR(H332="",P332=""),"",INDEX('Students'!$B$2:$B$701,P332))</f>
        <v/>
      </c>
      <c r="E332">
        <f>IF(OR(H332="",P332=""),"",INDEX('Students'!$C$2:$C$701,P332))</f>
        <v/>
      </c>
      <c r="F332" s="48">
        <f>IF(H332="","",IF(ISNUMBER(O332),O332,J332))</f>
        <v/>
      </c>
      <c r="G332">
        <f>IF(H332="","","OneCause")</f>
        <v/>
      </c>
      <c r="H332">
        <f>IF(AND(I332="",J332="",K332=""),"",IF(NOT(ISNUMBER(O332)),"Bad amount",IF(O332&lt;0,"Refund (not counted)",IF(O332=0,"Zero amount",IF(NOT(ISNUMBER(N332)),"Bad date",IF(P332="","NAME NOT ON ROSTER",IF(L332="","OK",IF(MATCH(L332,$L$2:$L$3001,0)&lt;ROW()-1,"Duplicate (ignored)","OK"))))))))</f>
        <v/>
      </c>
      <c r="I332">
        <f>IF(OC_Date=0,"",IF(INDEX('OneCause_Paste'!$A$332:$AZ$332,1,OC_Date)="","",INDEX('OneCause_Paste'!$A$332:$AZ$332,1,OC_Date)))</f>
        <v/>
      </c>
      <c r="J332">
        <f>IF(OC_Amt=0,"",IF(INDEX('OneCause_Paste'!$A$332:$AZ$332,1,OC_Amt)="","",INDEX('OneCause_Paste'!$A$332:$AZ$332,1,OC_Amt)))</f>
        <v/>
      </c>
      <c r="K332">
        <f>IF(OC_Name=0,"",IF(INDEX('OneCause_Paste'!$A$332:$AZ$332,1,OC_Name)="","",INDEX('OneCause_Paste'!$A$332:$AZ$332,1,OC_Name)))</f>
        <v/>
      </c>
      <c r="L332">
        <f>IF(OC_Txn=0,"",IF(INDEX('OneCause_Paste'!$A$332:$AZ$332,1,OC_Txn)="","",INDEX('OneCause_Paste'!$A$332:$AZ$332,1,OC_Txn)))</f>
        <v/>
      </c>
      <c r="M332">
        <f>IF(OC_Pay=0,"",IF(INDEX('OneCause_Paste'!$A$332:$AZ$332,1,OC_Pay)="","",INDEX('OneCause_Paste'!$A$332:$AZ$332,1,OC_Pay)))</f>
        <v/>
      </c>
      <c r="N332">
        <f>IF(I332="","",IF(ISNUMBER(I332),INT(I332),IFERROR(INT(DATEVALUE(I332)),IFERROR(INT(VALUE(I332)),"bad"))))</f>
        <v/>
      </c>
      <c r="O332">
        <f>IF(J332="","",IF(ISNUMBER(J332),ROUND(J332,2),IFERROR(ROUND(VALUE(SUBSTITUTE(SUBSTITUTE(SUBSTITUTE(J332,"$",""),",","")," ","")),2),"bad")))</f>
        <v/>
      </c>
      <c r="P332">
        <f>IF(TRIM(K332)="","",IFERROR(MATCH(LOWER(TRIM(K332)),'Students'!$AH$2:$AH$701,0),IFERROR(MATCH(LOWER(TRIM(K332)),'Students'!$AF$2:$AF$701,0),IFERROR(MATCH(LOWER(TRIM(K332)),'Students'!$AG$2:$AG$701,0),""))))</f>
        <v/>
      </c>
      <c r="R332">
        <f>IF(P332="","",INDEX('Students'!$AD$2:$AD$701,P332))</f>
        <v/>
      </c>
      <c r="S332">
        <f>IF(H332="OK",O332,0)</f>
        <v/>
      </c>
      <c r="T332">
        <f>IF(H332="OK",N332,"")</f>
        <v/>
      </c>
      <c r="U332">
        <f>IF(OC_Donor=0,"",IF(INDEX('OneCause_Paste'!$A$332:$AZ$332,1,OC_Donor)="","",INDEX('OneCause_Paste'!$A$332:$AZ$332,1,OC_Donor)))</f>
        <v/>
      </c>
    </row>
    <row r="333">
      <c r="A333" s="62">
        <f>IF(H333="","",IF(ISNUMBER(N333),N333,I333))</f>
        <v/>
      </c>
      <c r="B333">
        <f>IF(H333="","",U333)</f>
        <v/>
      </c>
      <c r="C333">
        <f>IF(H333="","",IF(P333="",K333,INDEX('Students'!$A$2:$A$701,P333)))</f>
        <v/>
      </c>
      <c r="D333">
        <f>IF(OR(H333="",P333=""),"",INDEX('Students'!$B$2:$B$701,P333))</f>
        <v/>
      </c>
      <c r="E333">
        <f>IF(OR(H333="",P333=""),"",INDEX('Students'!$C$2:$C$701,P333))</f>
        <v/>
      </c>
      <c r="F333" s="48">
        <f>IF(H333="","",IF(ISNUMBER(O333),O333,J333))</f>
        <v/>
      </c>
      <c r="G333">
        <f>IF(H333="","","OneCause")</f>
        <v/>
      </c>
      <c r="H333">
        <f>IF(AND(I333="",J333="",K333=""),"",IF(NOT(ISNUMBER(O333)),"Bad amount",IF(O333&lt;0,"Refund (not counted)",IF(O333=0,"Zero amount",IF(NOT(ISNUMBER(N333)),"Bad date",IF(P333="","NAME NOT ON ROSTER",IF(L333="","OK",IF(MATCH(L333,$L$2:$L$3001,0)&lt;ROW()-1,"Duplicate (ignored)","OK"))))))))</f>
        <v/>
      </c>
      <c r="I333">
        <f>IF(OC_Date=0,"",IF(INDEX('OneCause_Paste'!$A$333:$AZ$333,1,OC_Date)="","",INDEX('OneCause_Paste'!$A$333:$AZ$333,1,OC_Date)))</f>
        <v/>
      </c>
      <c r="J333">
        <f>IF(OC_Amt=0,"",IF(INDEX('OneCause_Paste'!$A$333:$AZ$333,1,OC_Amt)="","",INDEX('OneCause_Paste'!$A$333:$AZ$333,1,OC_Amt)))</f>
        <v/>
      </c>
      <c r="K333">
        <f>IF(OC_Name=0,"",IF(INDEX('OneCause_Paste'!$A$333:$AZ$333,1,OC_Name)="","",INDEX('OneCause_Paste'!$A$333:$AZ$333,1,OC_Name)))</f>
        <v/>
      </c>
      <c r="L333">
        <f>IF(OC_Txn=0,"",IF(INDEX('OneCause_Paste'!$A$333:$AZ$333,1,OC_Txn)="","",INDEX('OneCause_Paste'!$A$333:$AZ$333,1,OC_Txn)))</f>
        <v/>
      </c>
      <c r="M333">
        <f>IF(OC_Pay=0,"",IF(INDEX('OneCause_Paste'!$A$333:$AZ$333,1,OC_Pay)="","",INDEX('OneCause_Paste'!$A$333:$AZ$333,1,OC_Pay)))</f>
        <v/>
      </c>
      <c r="N333">
        <f>IF(I333="","",IF(ISNUMBER(I333),INT(I333),IFERROR(INT(DATEVALUE(I333)),IFERROR(INT(VALUE(I333)),"bad"))))</f>
        <v/>
      </c>
      <c r="O333">
        <f>IF(J333="","",IF(ISNUMBER(J333),ROUND(J333,2),IFERROR(ROUND(VALUE(SUBSTITUTE(SUBSTITUTE(SUBSTITUTE(J333,"$",""),",","")," ","")),2),"bad")))</f>
        <v/>
      </c>
      <c r="P333">
        <f>IF(TRIM(K333)="","",IFERROR(MATCH(LOWER(TRIM(K333)),'Students'!$AH$2:$AH$701,0),IFERROR(MATCH(LOWER(TRIM(K333)),'Students'!$AF$2:$AF$701,0),IFERROR(MATCH(LOWER(TRIM(K333)),'Students'!$AG$2:$AG$701,0),""))))</f>
        <v/>
      </c>
      <c r="R333">
        <f>IF(P333="","",INDEX('Students'!$AD$2:$AD$701,P333))</f>
        <v/>
      </c>
      <c r="S333">
        <f>IF(H333="OK",O333,0)</f>
        <v/>
      </c>
      <c r="T333">
        <f>IF(H333="OK",N333,"")</f>
        <v/>
      </c>
      <c r="U333">
        <f>IF(OC_Donor=0,"",IF(INDEX('OneCause_Paste'!$A$333:$AZ$333,1,OC_Donor)="","",INDEX('OneCause_Paste'!$A$333:$AZ$333,1,OC_Donor)))</f>
        <v/>
      </c>
    </row>
    <row r="334">
      <c r="A334" s="62">
        <f>IF(H334="","",IF(ISNUMBER(N334),N334,I334))</f>
        <v/>
      </c>
      <c r="B334">
        <f>IF(H334="","",U334)</f>
        <v/>
      </c>
      <c r="C334">
        <f>IF(H334="","",IF(P334="",K334,INDEX('Students'!$A$2:$A$701,P334)))</f>
        <v/>
      </c>
      <c r="D334">
        <f>IF(OR(H334="",P334=""),"",INDEX('Students'!$B$2:$B$701,P334))</f>
        <v/>
      </c>
      <c r="E334">
        <f>IF(OR(H334="",P334=""),"",INDEX('Students'!$C$2:$C$701,P334))</f>
        <v/>
      </c>
      <c r="F334" s="48">
        <f>IF(H334="","",IF(ISNUMBER(O334),O334,J334))</f>
        <v/>
      </c>
      <c r="G334">
        <f>IF(H334="","","OneCause")</f>
        <v/>
      </c>
      <c r="H334">
        <f>IF(AND(I334="",J334="",K334=""),"",IF(NOT(ISNUMBER(O334)),"Bad amount",IF(O334&lt;0,"Refund (not counted)",IF(O334=0,"Zero amount",IF(NOT(ISNUMBER(N334)),"Bad date",IF(P334="","NAME NOT ON ROSTER",IF(L334="","OK",IF(MATCH(L334,$L$2:$L$3001,0)&lt;ROW()-1,"Duplicate (ignored)","OK"))))))))</f>
        <v/>
      </c>
      <c r="I334">
        <f>IF(OC_Date=0,"",IF(INDEX('OneCause_Paste'!$A$334:$AZ$334,1,OC_Date)="","",INDEX('OneCause_Paste'!$A$334:$AZ$334,1,OC_Date)))</f>
        <v/>
      </c>
      <c r="J334">
        <f>IF(OC_Amt=0,"",IF(INDEX('OneCause_Paste'!$A$334:$AZ$334,1,OC_Amt)="","",INDEX('OneCause_Paste'!$A$334:$AZ$334,1,OC_Amt)))</f>
        <v/>
      </c>
      <c r="K334">
        <f>IF(OC_Name=0,"",IF(INDEX('OneCause_Paste'!$A$334:$AZ$334,1,OC_Name)="","",INDEX('OneCause_Paste'!$A$334:$AZ$334,1,OC_Name)))</f>
        <v/>
      </c>
      <c r="L334">
        <f>IF(OC_Txn=0,"",IF(INDEX('OneCause_Paste'!$A$334:$AZ$334,1,OC_Txn)="","",INDEX('OneCause_Paste'!$A$334:$AZ$334,1,OC_Txn)))</f>
        <v/>
      </c>
      <c r="M334">
        <f>IF(OC_Pay=0,"",IF(INDEX('OneCause_Paste'!$A$334:$AZ$334,1,OC_Pay)="","",INDEX('OneCause_Paste'!$A$334:$AZ$334,1,OC_Pay)))</f>
        <v/>
      </c>
      <c r="N334">
        <f>IF(I334="","",IF(ISNUMBER(I334),INT(I334),IFERROR(INT(DATEVALUE(I334)),IFERROR(INT(VALUE(I334)),"bad"))))</f>
        <v/>
      </c>
      <c r="O334">
        <f>IF(J334="","",IF(ISNUMBER(J334),ROUND(J334,2),IFERROR(ROUND(VALUE(SUBSTITUTE(SUBSTITUTE(SUBSTITUTE(J334,"$",""),",","")," ","")),2),"bad")))</f>
        <v/>
      </c>
      <c r="P334">
        <f>IF(TRIM(K334)="","",IFERROR(MATCH(LOWER(TRIM(K334)),'Students'!$AH$2:$AH$701,0),IFERROR(MATCH(LOWER(TRIM(K334)),'Students'!$AF$2:$AF$701,0),IFERROR(MATCH(LOWER(TRIM(K334)),'Students'!$AG$2:$AG$701,0),""))))</f>
        <v/>
      </c>
      <c r="R334">
        <f>IF(P334="","",INDEX('Students'!$AD$2:$AD$701,P334))</f>
        <v/>
      </c>
      <c r="S334">
        <f>IF(H334="OK",O334,0)</f>
        <v/>
      </c>
      <c r="T334">
        <f>IF(H334="OK",N334,"")</f>
        <v/>
      </c>
      <c r="U334">
        <f>IF(OC_Donor=0,"",IF(INDEX('OneCause_Paste'!$A$334:$AZ$334,1,OC_Donor)="","",INDEX('OneCause_Paste'!$A$334:$AZ$334,1,OC_Donor)))</f>
        <v/>
      </c>
    </row>
    <row r="335">
      <c r="A335" s="62">
        <f>IF(H335="","",IF(ISNUMBER(N335),N335,I335))</f>
        <v/>
      </c>
      <c r="B335">
        <f>IF(H335="","",U335)</f>
        <v/>
      </c>
      <c r="C335">
        <f>IF(H335="","",IF(P335="",K335,INDEX('Students'!$A$2:$A$701,P335)))</f>
        <v/>
      </c>
      <c r="D335">
        <f>IF(OR(H335="",P335=""),"",INDEX('Students'!$B$2:$B$701,P335))</f>
        <v/>
      </c>
      <c r="E335">
        <f>IF(OR(H335="",P335=""),"",INDEX('Students'!$C$2:$C$701,P335))</f>
        <v/>
      </c>
      <c r="F335" s="48">
        <f>IF(H335="","",IF(ISNUMBER(O335),O335,J335))</f>
        <v/>
      </c>
      <c r="G335">
        <f>IF(H335="","","OneCause")</f>
        <v/>
      </c>
      <c r="H335">
        <f>IF(AND(I335="",J335="",K335=""),"",IF(NOT(ISNUMBER(O335)),"Bad amount",IF(O335&lt;0,"Refund (not counted)",IF(O335=0,"Zero amount",IF(NOT(ISNUMBER(N335)),"Bad date",IF(P335="","NAME NOT ON ROSTER",IF(L335="","OK",IF(MATCH(L335,$L$2:$L$3001,0)&lt;ROW()-1,"Duplicate (ignored)","OK"))))))))</f>
        <v/>
      </c>
      <c r="I335">
        <f>IF(OC_Date=0,"",IF(INDEX('OneCause_Paste'!$A$335:$AZ$335,1,OC_Date)="","",INDEX('OneCause_Paste'!$A$335:$AZ$335,1,OC_Date)))</f>
        <v/>
      </c>
      <c r="J335">
        <f>IF(OC_Amt=0,"",IF(INDEX('OneCause_Paste'!$A$335:$AZ$335,1,OC_Amt)="","",INDEX('OneCause_Paste'!$A$335:$AZ$335,1,OC_Amt)))</f>
        <v/>
      </c>
      <c r="K335">
        <f>IF(OC_Name=0,"",IF(INDEX('OneCause_Paste'!$A$335:$AZ$335,1,OC_Name)="","",INDEX('OneCause_Paste'!$A$335:$AZ$335,1,OC_Name)))</f>
        <v/>
      </c>
      <c r="L335">
        <f>IF(OC_Txn=0,"",IF(INDEX('OneCause_Paste'!$A$335:$AZ$335,1,OC_Txn)="","",INDEX('OneCause_Paste'!$A$335:$AZ$335,1,OC_Txn)))</f>
        <v/>
      </c>
      <c r="M335">
        <f>IF(OC_Pay=0,"",IF(INDEX('OneCause_Paste'!$A$335:$AZ$335,1,OC_Pay)="","",INDEX('OneCause_Paste'!$A$335:$AZ$335,1,OC_Pay)))</f>
        <v/>
      </c>
      <c r="N335">
        <f>IF(I335="","",IF(ISNUMBER(I335),INT(I335),IFERROR(INT(DATEVALUE(I335)),IFERROR(INT(VALUE(I335)),"bad"))))</f>
        <v/>
      </c>
      <c r="O335">
        <f>IF(J335="","",IF(ISNUMBER(J335),ROUND(J335,2),IFERROR(ROUND(VALUE(SUBSTITUTE(SUBSTITUTE(SUBSTITUTE(J335,"$",""),",","")," ","")),2),"bad")))</f>
        <v/>
      </c>
      <c r="P335">
        <f>IF(TRIM(K335)="","",IFERROR(MATCH(LOWER(TRIM(K335)),'Students'!$AH$2:$AH$701,0),IFERROR(MATCH(LOWER(TRIM(K335)),'Students'!$AF$2:$AF$701,0),IFERROR(MATCH(LOWER(TRIM(K335)),'Students'!$AG$2:$AG$701,0),""))))</f>
        <v/>
      </c>
      <c r="R335">
        <f>IF(P335="","",INDEX('Students'!$AD$2:$AD$701,P335))</f>
        <v/>
      </c>
      <c r="S335">
        <f>IF(H335="OK",O335,0)</f>
        <v/>
      </c>
      <c r="T335">
        <f>IF(H335="OK",N335,"")</f>
        <v/>
      </c>
      <c r="U335">
        <f>IF(OC_Donor=0,"",IF(INDEX('OneCause_Paste'!$A$335:$AZ$335,1,OC_Donor)="","",INDEX('OneCause_Paste'!$A$335:$AZ$335,1,OC_Donor)))</f>
        <v/>
      </c>
    </row>
    <row r="336">
      <c r="A336" s="62">
        <f>IF(H336="","",IF(ISNUMBER(N336),N336,I336))</f>
        <v/>
      </c>
      <c r="B336">
        <f>IF(H336="","",U336)</f>
        <v/>
      </c>
      <c r="C336">
        <f>IF(H336="","",IF(P336="",K336,INDEX('Students'!$A$2:$A$701,P336)))</f>
        <v/>
      </c>
      <c r="D336">
        <f>IF(OR(H336="",P336=""),"",INDEX('Students'!$B$2:$B$701,P336))</f>
        <v/>
      </c>
      <c r="E336">
        <f>IF(OR(H336="",P336=""),"",INDEX('Students'!$C$2:$C$701,P336))</f>
        <v/>
      </c>
      <c r="F336" s="48">
        <f>IF(H336="","",IF(ISNUMBER(O336),O336,J336))</f>
        <v/>
      </c>
      <c r="G336">
        <f>IF(H336="","","OneCause")</f>
        <v/>
      </c>
      <c r="H336">
        <f>IF(AND(I336="",J336="",K336=""),"",IF(NOT(ISNUMBER(O336)),"Bad amount",IF(O336&lt;0,"Refund (not counted)",IF(O336=0,"Zero amount",IF(NOT(ISNUMBER(N336)),"Bad date",IF(P336="","NAME NOT ON ROSTER",IF(L336="","OK",IF(MATCH(L336,$L$2:$L$3001,0)&lt;ROW()-1,"Duplicate (ignored)","OK"))))))))</f>
        <v/>
      </c>
      <c r="I336">
        <f>IF(OC_Date=0,"",IF(INDEX('OneCause_Paste'!$A$336:$AZ$336,1,OC_Date)="","",INDEX('OneCause_Paste'!$A$336:$AZ$336,1,OC_Date)))</f>
        <v/>
      </c>
      <c r="J336">
        <f>IF(OC_Amt=0,"",IF(INDEX('OneCause_Paste'!$A$336:$AZ$336,1,OC_Amt)="","",INDEX('OneCause_Paste'!$A$336:$AZ$336,1,OC_Amt)))</f>
        <v/>
      </c>
      <c r="K336">
        <f>IF(OC_Name=0,"",IF(INDEX('OneCause_Paste'!$A$336:$AZ$336,1,OC_Name)="","",INDEX('OneCause_Paste'!$A$336:$AZ$336,1,OC_Name)))</f>
        <v/>
      </c>
      <c r="L336">
        <f>IF(OC_Txn=0,"",IF(INDEX('OneCause_Paste'!$A$336:$AZ$336,1,OC_Txn)="","",INDEX('OneCause_Paste'!$A$336:$AZ$336,1,OC_Txn)))</f>
        <v/>
      </c>
      <c r="M336">
        <f>IF(OC_Pay=0,"",IF(INDEX('OneCause_Paste'!$A$336:$AZ$336,1,OC_Pay)="","",INDEX('OneCause_Paste'!$A$336:$AZ$336,1,OC_Pay)))</f>
        <v/>
      </c>
      <c r="N336">
        <f>IF(I336="","",IF(ISNUMBER(I336),INT(I336),IFERROR(INT(DATEVALUE(I336)),IFERROR(INT(VALUE(I336)),"bad"))))</f>
        <v/>
      </c>
      <c r="O336">
        <f>IF(J336="","",IF(ISNUMBER(J336),ROUND(J336,2),IFERROR(ROUND(VALUE(SUBSTITUTE(SUBSTITUTE(SUBSTITUTE(J336,"$",""),",","")," ","")),2),"bad")))</f>
        <v/>
      </c>
      <c r="P336">
        <f>IF(TRIM(K336)="","",IFERROR(MATCH(LOWER(TRIM(K336)),'Students'!$AH$2:$AH$701,0),IFERROR(MATCH(LOWER(TRIM(K336)),'Students'!$AF$2:$AF$701,0),IFERROR(MATCH(LOWER(TRIM(K336)),'Students'!$AG$2:$AG$701,0),""))))</f>
        <v/>
      </c>
      <c r="R336">
        <f>IF(P336="","",INDEX('Students'!$AD$2:$AD$701,P336))</f>
        <v/>
      </c>
      <c r="S336">
        <f>IF(H336="OK",O336,0)</f>
        <v/>
      </c>
      <c r="T336">
        <f>IF(H336="OK",N336,"")</f>
        <v/>
      </c>
      <c r="U336">
        <f>IF(OC_Donor=0,"",IF(INDEX('OneCause_Paste'!$A$336:$AZ$336,1,OC_Donor)="","",INDEX('OneCause_Paste'!$A$336:$AZ$336,1,OC_Donor)))</f>
        <v/>
      </c>
    </row>
    <row r="337">
      <c r="A337" s="62">
        <f>IF(H337="","",IF(ISNUMBER(N337),N337,I337))</f>
        <v/>
      </c>
      <c r="B337">
        <f>IF(H337="","",U337)</f>
        <v/>
      </c>
      <c r="C337">
        <f>IF(H337="","",IF(P337="",K337,INDEX('Students'!$A$2:$A$701,P337)))</f>
        <v/>
      </c>
      <c r="D337">
        <f>IF(OR(H337="",P337=""),"",INDEX('Students'!$B$2:$B$701,P337))</f>
        <v/>
      </c>
      <c r="E337">
        <f>IF(OR(H337="",P337=""),"",INDEX('Students'!$C$2:$C$701,P337))</f>
        <v/>
      </c>
      <c r="F337" s="48">
        <f>IF(H337="","",IF(ISNUMBER(O337),O337,J337))</f>
        <v/>
      </c>
      <c r="G337">
        <f>IF(H337="","","OneCause")</f>
        <v/>
      </c>
      <c r="H337">
        <f>IF(AND(I337="",J337="",K337=""),"",IF(NOT(ISNUMBER(O337)),"Bad amount",IF(O337&lt;0,"Refund (not counted)",IF(O337=0,"Zero amount",IF(NOT(ISNUMBER(N337)),"Bad date",IF(P337="","NAME NOT ON ROSTER",IF(L337="","OK",IF(MATCH(L337,$L$2:$L$3001,0)&lt;ROW()-1,"Duplicate (ignored)","OK"))))))))</f>
        <v/>
      </c>
      <c r="I337">
        <f>IF(OC_Date=0,"",IF(INDEX('OneCause_Paste'!$A$337:$AZ$337,1,OC_Date)="","",INDEX('OneCause_Paste'!$A$337:$AZ$337,1,OC_Date)))</f>
        <v/>
      </c>
      <c r="J337">
        <f>IF(OC_Amt=0,"",IF(INDEX('OneCause_Paste'!$A$337:$AZ$337,1,OC_Amt)="","",INDEX('OneCause_Paste'!$A$337:$AZ$337,1,OC_Amt)))</f>
        <v/>
      </c>
      <c r="K337">
        <f>IF(OC_Name=0,"",IF(INDEX('OneCause_Paste'!$A$337:$AZ$337,1,OC_Name)="","",INDEX('OneCause_Paste'!$A$337:$AZ$337,1,OC_Name)))</f>
        <v/>
      </c>
      <c r="L337">
        <f>IF(OC_Txn=0,"",IF(INDEX('OneCause_Paste'!$A$337:$AZ$337,1,OC_Txn)="","",INDEX('OneCause_Paste'!$A$337:$AZ$337,1,OC_Txn)))</f>
        <v/>
      </c>
      <c r="M337">
        <f>IF(OC_Pay=0,"",IF(INDEX('OneCause_Paste'!$A$337:$AZ$337,1,OC_Pay)="","",INDEX('OneCause_Paste'!$A$337:$AZ$337,1,OC_Pay)))</f>
        <v/>
      </c>
      <c r="N337">
        <f>IF(I337="","",IF(ISNUMBER(I337),INT(I337),IFERROR(INT(DATEVALUE(I337)),IFERROR(INT(VALUE(I337)),"bad"))))</f>
        <v/>
      </c>
      <c r="O337">
        <f>IF(J337="","",IF(ISNUMBER(J337),ROUND(J337,2),IFERROR(ROUND(VALUE(SUBSTITUTE(SUBSTITUTE(SUBSTITUTE(J337,"$",""),",","")," ","")),2),"bad")))</f>
        <v/>
      </c>
      <c r="P337">
        <f>IF(TRIM(K337)="","",IFERROR(MATCH(LOWER(TRIM(K337)),'Students'!$AH$2:$AH$701,0),IFERROR(MATCH(LOWER(TRIM(K337)),'Students'!$AF$2:$AF$701,0),IFERROR(MATCH(LOWER(TRIM(K337)),'Students'!$AG$2:$AG$701,0),""))))</f>
        <v/>
      </c>
      <c r="R337">
        <f>IF(P337="","",INDEX('Students'!$AD$2:$AD$701,P337))</f>
        <v/>
      </c>
      <c r="S337">
        <f>IF(H337="OK",O337,0)</f>
        <v/>
      </c>
      <c r="T337">
        <f>IF(H337="OK",N337,"")</f>
        <v/>
      </c>
      <c r="U337">
        <f>IF(OC_Donor=0,"",IF(INDEX('OneCause_Paste'!$A$337:$AZ$337,1,OC_Donor)="","",INDEX('OneCause_Paste'!$A$337:$AZ$337,1,OC_Donor)))</f>
        <v/>
      </c>
    </row>
    <row r="338">
      <c r="A338" s="62">
        <f>IF(H338="","",IF(ISNUMBER(N338),N338,I338))</f>
        <v/>
      </c>
      <c r="B338">
        <f>IF(H338="","",U338)</f>
        <v/>
      </c>
      <c r="C338">
        <f>IF(H338="","",IF(P338="",K338,INDEX('Students'!$A$2:$A$701,P338)))</f>
        <v/>
      </c>
      <c r="D338">
        <f>IF(OR(H338="",P338=""),"",INDEX('Students'!$B$2:$B$701,P338))</f>
        <v/>
      </c>
      <c r="E338">
        <f>IF(OR(H338="",P338=""),"",INDEX('Students'!$C$2:$C$701,P338))</f>
        <v/>
      </c>
      <c r="F338" s="48">
        <f>IF(H338="","",IF(ISNUMBER(O338),O338,J338))</f>
        <v/>
      </c>
      <c r="G338">
        <f>IF(H338="","","OneCause")</f>
        <v/>
      </c>
      <c r="H338">
        <f>IF(AND(I338="",J338="",K338=""),"",IF(NOT(ISNUMBER(O338)),"Bad amount",IF(O338&lt;0,"Refund (not counted)",IF(O338=0,"Zero amount",IF(NOT(ISNUMBER(N338)),"Bad date",IF(P338="","NAME NOT ON ROSTER",IF(L338="","OK",IF(MATCH(L338,$L$2:$L$3001,0)&lt;ROW()-1,"Duplicate (ignored)","OK"))))))))</f>
        <v/>
      </c>
      <c r="I338">
        <f>IF(OC_Date=0,"",IF(INDEX('OneCause_Paste'!$A$338:$AZ$338,1,OC_Date)="","",INDEX('OneCause_Paste'!$A$338:$AZ$338,1,OC_Date)))</f>
        <v/>
      </c>
      <c r="J338">
        <f>IF(OC_Amt=0,"",IF(INDEX('OneCause_Paste'!$A$338:$AZ$338,1,OC_Amt)="","",INDEX('OneCause_Paste'!$A$338:$AZ$338,1,OC_Amt)))</f>
        <v/>
      </c>
      <c r="K338">
        <f>IF(OC_Name=0,"",IF(INDEX('OneCause_Paste'!$A$338:$AZ$338,1,OC_Name)="","",INDEX('OneCause_Paste'!$A$338:$AZ$338,1,OC_Name)))</f>
        <v/>
      </c>
      <c r="L338">
        <f>IF(OC_Txn=0,"",IF(INDEX('OneCause_Paste'!$A$338:$AZ$338,1,OC_Txn)="","",INDEX('OneCause_Paste'!$A$338:$AZ$338,1,OC_Txn)))</f>
        <v/>
      </c>
      <c r="M338">
        <f>IF(OC_Pay=0,"",IF(INDEX('OneCause_Paste'!$A$338:$AZ$338,1,OC_Pay)="","",INDEX('OneCause_Paste'!$A$338:$AZ$338,1,OC_Pay)))</f>
        <v/>
      </c>
      <c r="N338">
        <f>IF(I338="","",IF(ISNUMBER(I338),INT(I338),IFERROR(INT(DATEVALUE(I338)),IFERROR(INT(VALUE(I338)),"bad"))))</f>
        <v/>
      </c>
      <c r="O338">
        <f>IF(J338="","",IF(ISNUMBER(J338),ROUND(J338,2),IFERROR(ROUND(VALUE(SUBSTITUTE(SUBSTITUTE(SUBSTITUTE(J338,"$",""),",","")," ","")),2),"bad")))</f>
        <v/>
      </c>
      <c r="P338">
        <f>IF(TRIM(K338)="","",IFERROR(MATCH(LOWER(TRIM(K338)),'Students'!$AH$2:$AH$701,0),IFERROR(MATCH(LOWER(TRIM(K338)),'Students'!$AF$2:$AF$701,0),IFERROR(MATCH(LOWER(TRIM(K338)),'Students'!$AG$2:$AG$701,0),""))))</f>
        <v/>
      </c>
      <c r="R338">
        <f>IF(P338="","",INDEX('Students'!$AD$2:$AD$701,P338))</f>
        <v/>
      </c>
      <c r="S338">
        <f>IF(H338="OK",O338,0)</f>
        <v/>
      </c>
      <c r="T338">
        <f>IF(H338="OK",N338,"")</f>
        <v/>
      </c>
      <c r="U338">
        <f>IF(OC_Donor=0,"",IF(INDEX('OneCause_Paste'!$A$338:$AZ$338,1,OC_Donor)="","",INDEX('OneCause_Paste'!$A$338:$AZ$338,1,OC_Donor)))</f>
        <v/>
      </c>
    </row>
    <row r="339">
      <c r="A339" s="62">
        <f>IF(H339="","",IF(ISNUMBER(N339),N339,I339))</f>
        <v/>
      </c>
      <c r="B339">
        <f>IF(H339="","",U339)</f>
        <v/>
      </c>
      <c r="C339">
        <f>IF(H339="","",IF(P339="",K339,INDEX('Students'!$A$2:$A$701,P339)))</f>
        <v/>
      </c>
      <c r="D339">
        <f>IF(OR(H339="",P339=""),"",INDEX('Students'!$B$2:$B$701,P339))</f>
        <v/>
      </c>
      <c r="E339">
        <f>IF(OR(H339="",P339=""),"",INDEX('Students'!$C$2:$C$701,P339))</f>
        <v/>
      </c>
      <c r="F339" s="48">
        <f>IF(H339="","",IF(ISNUMBER(O339),O339,J339))</f>
        <v/>
      </c>
      <c r="G339">
        <f>IF(H339="","","OneCause")</f>
        <v/>
      </c>
      <c r="H339">
        <f>IF(AND(I339="",J339="",K339=""),"",IF(NOT(ISNUMBER(O339)),"Bad amount",IF(O339&lt;0,"Refund (not counted)",IF(O339=0,"Zero amount",IF(NOT(ISNUMBER(N339)),"Bad date",IF(P339="","NAME NOT ON ROSTER",IF(L339="","OK",IF(MATCH(L339,$L$2:$L$3001,0)&lt;ROW()-1,"Duplicate (ignored)","OK"))))))))</f>
        <v/>
      </c>
      <c r="I339">
        <f>IF(OC_Date=0,"",IF(INDEX('OneCause_Paste'!$A$339:$AZ$339,1,OC_Date)="","",INDEX('OneCause_Paste'!$A$339:$AZ$339,1,OC_Date)))</f>
        <v/>
      </c>
      <c r="J339">
        <f>IF(OC_Amt=0,"",IF(INDEX('OneCause_Paste'!$A$339:$AZ$339,1,OC_Amt)="","",INDEX('OneCause_Paste'!$A$339:$AZ$339,1,OC_Amt)))</f>
        <v/>
      </c>
      <c r="K339">
        <f>IF(OC_Name=0,"",IF(INDEX('OneCause_Paste'!$A$339:$AZ$339,1,OC_Name)="","",INDEX('OneCause_Paste'!$A$339:$AZ$339,1,OC_Name)))</f>
        <v/>
      </c>
      <c r="L339">
        <f>IF(OC_Txn=0,"",IF(INDEX('OneCause_Paste'!$A$339:$AZ$339,1,OC_Txn)="","",INDEX('OneCause_Paste'!$A$339:$AZ$339,1,OC_Txn)))</f>
        <v/>
      </c>
      <c r="M339">
        <f>IF(OC_Pay=0,"",IF(INDEX('OneCause_Paste'!$A$339:$AZ$339,1,OC_Pay)="","",INDEX('OneCause_Paste'!$A$339:$AZ$339,1,OC_Pay)))</f>
        <v/>
      </c>
      <c r="N339">
        <f>IF(I339="","",IF(ISNUMBER(I339),INT(I339),IFERROR(INT(DATEVALUE(I339)),IFERROR(INT(VALUE(I339)),"bad"))))</f>
        <v/>
      </c>
      <c r="O339">
        <f>IF(J339="","",IF(ISNUMBER(J339),ROUND(J339,2),IFERROR(ROUND(VALUE(SUBSTITUTE(SUBSTITUTE(SUBSTITUTE(J339,"$",""),",","")," ","")),2),"bad")))</f>
        <v/>
      </c>
      <c r="P339">
        <f>IF(TRIM(K339)="","",IFERROR(MATCH(LOWER(TRIM(K339)),'Students'!$AH$2:$AH$701,0),IFERROR(MATCH(LOWER(TRIM(K339)),'Students'!$AF$2:$AF$701,0),IFERROR(MATCH(LOWER(TRIM(K339)),'Students'!$AG$2:$AG$701,0),""))))</f>
        <v/>
      </c>
      <c r="R339">
        <f>IF(P339="","",INDEX('Students'!$AD$2:$AD$701,P339))</f>
        <v/>
      </c>
      <c r="S339">
        <f>IF(H339="OK",O339,0)</f>
        <v/>
      </c>
      <c r="T339">
        <f>IF(H339="OK",N339,"")</f>
        <v/>
      </c>
      <c r="U339">
        <f>IF(OC_Donor=0,"",IF(INDEX('OneCause_Paste'!$A$339:$AZ$339,1,OC_Donor)="","",INDEX('OneCause_Paste'!$A$339:$AZ$339,1,OC_Donor)))</f>
        <v/>
      </c>
    </row>
    <row r="340">
      <c r="A340" s="62">
        <f>IF(H340="","",IF(ISNUMBER(N340),N340,I340))</f>
        <v/>
      </c>
      <c r="B340">
        <f>IF(H340="","",U340)</f>
        <v/>
      </c>
      <c r="C340">
        <f>IF(H340="","",IF(P340="",K340,INDEX('Students'!$A$2:$A$701,P340)))</f>
        <v/>
      </c>
      <c r="D340">
        <f>IF(OR(H340="",P340=""),"",INDEX('Students'!$B$2:$B$701,P340))</f>
        <v/>
      </c>
      <c r="E340">
        <f>IF(OR(H340="",P340=""),"",INDEX('Students'!$C$2:$C$701,P340))</f>
        <v/>
      </c>
      <c r="F340" s="48">
        <f>IF(H340="","",IF(ISNUMBER(O340),O340,J340))</f>
        <v/>
      </c>
      <c r="G340">
        <f>IF(H340="","","OneCause")</f>
        <v/>
      </c>
      <c r="H340">
        <f>IF(AND(I340="",J340="",K340=""),"",IF(NOT(ISNUMBER(O340)),"Bad amount",IF(O340&lt;0,"Refund (not counted)",IF(O340=0,"Zero amount",IF(NOT(ISNUMBER(N340)),"Bad date",IF(P340="","NAME NOT ON ROSTER",IF(L340="","OK",IF(MATCH(L340,$L$2:$L$3001,0)&lt;ROW()-1,"Duplicate (ignored)","OK"))))))))</f>
        <v/>
      </c>
      <c r="I340">
        <f>IF(OC_Date=0,"",IF(INDEX('OneCause_Paste'!$A$340:$AZ$340,1,OC_Date)="","",INDEX('OneCause_Paste'!$A$340:$AZ$340,1,OC_Date)))</f>
        <v/>
      </c>
      <c r="J340">
        <f>IF(OC_Amt=0,"",IF(INDEX('OneCause_Paste'!$A$340:$AZ$340,1,OC_Amt)="","",INDEX('OneCause_Paste'!$A$340:$AZ$340,1,OC_Amt)))</f>
        <v/>
      </c>
      <c r="K340">
        <f>IF(OC_Name=0,"",IF(INDEX('OneCause_Paste'!$A$340:$AZ$340,1,OC_Name)="","",INDEX('OneCause_Paste'!$A$340:$AZ$340,1,OC_Name)))</f>
        <v/>
      </c>
      <c r="L340">
        <f>IF(OC_Txn=0,"",IF(INDEX('OneCause_Paste'!$A$340:$AZ$340,1,OC_Txn)="","",INDEX('OneCause_Paste'!$A$340:$AZ$340,1,OC_Txn)))</f>
        <v/>
      </c>
      <c r="M340">
        <f>IF(OC_Pay=0,"",IF(INDEX('OneCause_Paste'!$A$340:$AZ$340,1,OC_Pay)="","",INDEX('OneCause_Paste'!$A$340:$AZ$340,1,OC_Pay)))</f>
        <v/>
      </c>
      <c r="N340">
        <f>IF(I340="","",IF(ISNUMBER(I340),INT(I340),IFERROR(INT(DATEVALUE(I340)),IFERROR(INT(VALUE(I340)),"bad"))))</f>
        <v/>
      </c>
      <c r="O340">
        <f>IF(J340="","",IF(ISNUMBER(J340),ROUND(J340,2),IFERROR(ROUND(VALUE(SUBSTITUTE(SUBSTITUTE(SUBSTITUTE(J340,"$",""),",","")," ","")),2),"bad")))</f>
        <v/>
      </c>
      <c r="P340">
        <f>IF(TRIM(K340)="","",IFERROR(MATCH(LOWER(TRIM(K340)),'Students'!$AH$2:$AH$701,0),IFERROR(MATCH(LOWER(TRIM(K340)),'Students'!$AF$2:$AF$701,0),IFERROR(MATCH(LOWER(TRIM(K340)),'Students'!$AG$2:$AG$701,0),""))))</f>
        <v/>
      </c>
      <c r="R340">
        <f>IF(P340="","",INDEX('Students'!$AD$2:$AD$701,P340))</f>
        <v/>
      </c>
      <c r="S340">
        <f>IF(H340="OK",O340,0)</f>
        <v/>
      </c>
      <c r="T340">
        <f>IF(H340="OK",N340,"")</f>
        <v/>
      </c>
      <c r="U340">
        <f>IF(OC_Donor=0,"",IF(INDEX('OneCause_Paste'!$A$340:$AZ$340,1,OC_Donor)="","",INDEX('OneCause_Paste'!$A$340:$AZ$340,1,OC_Donor)))</f>
        <v/>
      </c>
    </row>
    <row r="341">
      <c r="A341" s="62">
        <f>IF(H341="","",IF(ISNUMBER(N341),N341,I341))</f>
        <v/>
      </c>
      <c r="B341">
        <f>IF(H341="","",U341)</f>
        <v/>
      </c>
      <c r="C341">
        <f>IF(H341="","",IF(P341="",K341,INDEX('Students'!$A$2:$A$701,P341)))</f>
        <v/>
      </c>
      <c r="D341">
        <f>IF(OR(H341="",P341=""),"",INDEX('Students'!$B$2:$B$701,P341))</f>
        <v/>
      </c>
      <c r="E341">
        <f>IF(OR(H341="",P341=""),"",INDEX('Students'!$C$2:$C$701,P341))</f>
        <v/>
      </c>
      <c r="F341" s="48">
        <f>IF(H341="","",IF(ISNUMBER(O341),O341,J341))</f>
        <v/>
      </c>
      <c r="G341">
        <f>IF(H341="","","OneCause")</f>
        <v/>
      </c>
      <c r="H341">
        <f>IF(AND(I341="",J341="",K341=""),"",IF(NOT(ISNUMBER(O341)),"Bad amount",IF(O341&lt;0,"Refund (not counted)",IF(O341=0,"Zero amount",IF(NOT(ISNUMBER(N341)),"Bad date",IF(P341="","NAME NOT ON ROSTER",IF(L341="","OK",IF(MATCH(L341,$L$2:$L$3001,0)&lt;ROW()-1,"Duplicate (ignored)","OK"))))))))</f>
        <v/>
      </c>
      <c r="I341">
        <f>IF(OC_Date=0,"",IF(INDEX('OneCause_Paste'!$A$341:$AZ$341,1,OC_Date)="","",INDEX('OneCause_Paste'!$A$341:$AZ$341,1,OC_Date)))</f>
        <v/>
      </c>
      <c r="J341">
        <f>IF(OC_Amt=0,"",IF(INDEX('OneCause_Paste'!$A$341:$AZ$341,1,OC_Amt)="","",INDEX('OneCause_Paste'!$A$341:$AZ$341,1,OC_Amt)))</f>
        <v/>
      </c>
      <c r="K341">
        <f>IF(OC_Name=0,"",IF(INDEX('OneCause_Paste'!$A$341:$AZ$341,1,OC_Name)="","",INDEX('OneCause_Paste'!$A$341:$AZ$341,1,OC_Name)))</f>
        <v/>
      </c>
      <c r="L341">
        <f>IF(OC_Txn=0,"",IF(INDEX('OneCause_Paste'!$A$341:$AZ$341,1,OC_Txn)="","",INDEX('OneCause_Paste'!$A$341:$AZ$341,1,OC_Txn)))</f>
        <v/>
      </c>
      <c r="M341">
        <f>IF(OC_Pay=0,"",IF(INDEX('OneCause_Paste'!$A$341:$AZ$341,1,OC_Pay)="","",INDEX('OneCause_Paste'!$A$341:$AZ$341,1,OC_Pay)))</f>
        <v/>
      </c>
      <c r="N341">
        <f>IF(I341="","",IF(ISNUMBER(I341),INT(I341),IFERROR(INT(DATEVALUE(I341)),IFERROR(INT(VALUE(I341)),"bad"))))</f>
        <v/>
      </c>
      <c r="O341">
        <f>IF(J341="","",IF(ISNUMBER(J341),ROUND(J341,2),IFERROR(ROUND(VALUE(SUBSTITUTE(SUBSTITUTE(SUBSTITUTE(J341,"$",""),",","")," ","")),2),"bad")))</f>
        <v/>
      </c>
      <c r="P341">
        <f>IF(TRIM(K341)="","",IFERROR(MATCH(LOWER(TRIM(K341)),'Students'!$AH$2:$AH$701,0),IFERROR(MATCH(LOWER(TRIM(K341)),'Students'!$AF$2:$AF$701,0),IFERROR(MATCH(LOWER(TRIM(K341)),'Students'!$AG$2:$AG$701,0),""))))</f>
        <v/>
      </c>
      <c r="R341">
        <f>IF(P341="","",INDEX('Students'!$AD$2:$AD$701,P341))</f>
        <v/>
      </c>
      <c r="S341">
        <f>IF(H341="OK",O341,0)</f>
        <v/>
      </c>
      <c r="T341">
        <f>IF(H341="OK",N341,"")</f>
        <v/>
      </c>
      <c r="U341">
        <f>IF(OC_Donor=0,"",IF(INDEX('OneCause_Paste'!$A$341:$AZ$341,1,OC_Donor)="","",INDEX('OneCause_Paste'!$A$341:$AZ$341,1,OC_Donor)))</f>
        <v/>
      </c>
    </row>
    <row r="342">
      <c r="A342" s="62">
        <f>IF(H342="","",IF(ISNUMBER(N342),N342,I342))</f>
        <v/>
      </c>
      <c r="B342">
        <f>IF(H342="","",U342)</f>
        <v/>
      </c>
      <c r="C342">
        <f>IF(H342="","",IF(P342="",K342,INDEX('Students'!$A$2:$A$701,P342)))</f>
        <v/>
      </c>
      <c r="D342">
        <f>IF(OR(H342="",P342=""),"",INDEX('Students'!$B$2:$B$701,P342))</f>
        <v/>
      </c>
      <c r="E342">
        <f>IF(OR(H342="",P342=""),"",INDEX('Students'!$C$2:$C$701,P342))</f>
        <v/>
      </c>
      <c r="F342" s="48">
        <f>IF(H342="","",IF(ISNUMBER(O342),O342,J342))</f>
        <v/>
      </c>
      <c r="G342">
        <f>IF(H342="","","OneCause")</f>
        <v/>
      </c>
      <c r="H342">
        <f>IF(AND(I342="",J342="",K342=""),"",IF(NOT(ISNUMBER(O342)),"Bad amount",IF(O342&lt;0,"Refund (not counted)",IF(O342=0,"Zero amount",IF(NOT(ISNUMBER(N342)),"Bad date",IF(P342="","NAME NOT ON ROSTER",IF(L342="","OK",IF(MATCH(L342,$L$2:$L$3001,0)&lt;ROW()-1,"Duplicate (ignored)","OK"))))))))</f>
        <v/>
      </c>
      <c r="I342">
        <f>IF(OC_Date=0,"",IF(INDEX('OneCause_Paste'!$A$342:$AZ$342,1,OC_Date)="","",INDEX('OneCause_Paste'!$A$342:$AZ$342,1,OC_Date)))</f>
        <v/>
      </c>
      <c r="J342">
        <f>IF(OC_Amt=0,"",IF(INDEX('OneCause_Paste'!$A$342:$AZ$342,1,OC_Amt)="","",INDEX('OneCause_Paste'!$A$342:$AZ$342,1,OC_Amt)))</f>
        <v/>
      </c>
      <c r="K342">
        <f>IF(OC_Name=0,"",IF(INDEX('OneCause_Paste'!$A$342:$AZ$342,1,OC_Name)="","",INDEX('OneCause_Paste'!$A$342:$AZ$342,1,OC_Name)))</f>
        <v/>
      </c>
      <c r="L342">
        <f>IF(OC_Txn=0,"",IF(INDEX('OneCause_Paste'!$A$342:$AZ$342,1,OC_Txn)="","",INDEX('OneCause_Paste'!$A$342:$AZ$342,1,OC_Txn)))</f>
        <v/>
      </c>
      <c r="M342">
        <f>IF(OC_Pay=0,"",IF(INDEX('OneCause_Paste'!$A$342:$AZ$342,1,OC_Pay)="","",INDEX('OneCause_Paste'!$A$342:$AZ$342,1,OC_Pay)))</f>
        <v/>
      </c>
      <c r="N342">
        <f>IF(I342="","",IF(ISNUMBER(I342),INT(I342),IFERROR(INT(DATEVALUE(I342)),IFERROR(INT(VALUE(I342)),"bad"))))</f>
        <v/>
      </c>
      <c r="O342">
        <f>IF(J342="","",IF(ISNUMBER(J342),ROUND(J342,2),IFERROR(ROUND(VALUE(SUBSTITUTE(SUBSTITUTE(SUBSTITUTE(J342,"$",""),",","")," ","")),2),"bad")))</f>
        <v/>
      </c>
      <c r="P342">
        <f>IF(TRIM(K342)="","",IFERROR(MATCH(LOWER(TRIM(K342)),'Students'!$AH$2:$AH$701,0),IFERROR(MATCH(LOWER(TRIM(K342)),'Students'!$AF$2:$AF$701,0),IFERROR(MATCH(LOWER(TRIM(K342)),'Students'!$AG$2:$AG$701,0),""))))</f>
        <v/>
      </c>
      <c r="R342">
        <f>IF(P342="","",INDEX('Students'!$AD$2:$AD$701,P342))</f>
        <v/>
      </c>
      <c r="S342">
        <f>IF(H342="OK",O342,0)</f>
        <v/>
      </c>
      <c r="T342">
        <f>IF(H342="OK",N342,"")</f>
        <v/>
      </c>
      <c r="U342">
        <f>IF(OC_Donor=0,"",IF(INDEX('OneCause_Paste'!$A$342:$AZ$342,1,OC_Donor)="","",INDEX('OneCause_Paste'!$A$342:$AZ$342,1,OC_Donor)))</f>
        <v/>
      </c>
    </row>
    <row r="343">
      <c r="A343" s="62">
        <f>IF(H343="","",IF(ISNUMBER(N343),N343,I343))</f>
        <v/>
      </c>
      <c r="B343">
        <f>IF(H343="","",U343)</f>
        <v/>
      </c>
      <c r="C343">
        <f>IF(H343="","",IF(P343="",K343,INDEX('Students'!$A$2:$A$701,P343)))</f>
        <v/>
      </c>
      <c r="D343">
        <f>IF(OR(H343="",P343=""),"",INDEX('Students'!$B$2:$B$701,P343))</f>
        <v/>
      </c>
      <c r="E343">
        <f>IF(OR(H343="",P343=""),"",INDEX('Students'!$C$2:$C$701,P343))</f>
        <v/>
      </c>
      <c r="F343" s="48">
        <f>IF(H343="","",IF(ISNUMBER(O343),O343,J343))</f>
        <v/>
      </c>
      <c r="G343">
        <f>IF(H343="","","OneCause")</f>
        <v/>
      </c>
      <c r="H343">
        <f>IF(AND(I343="",J343="",K343=""),"",IF(NOT(ISNUMBER(O343)),"Bad amount",IF(O343&lt;0,"Refund (not counted)",IF(O343=0,"Zero amount",IF(NOT(ISNUMBER(N343)),"Bad date",IF(P343="","NAME NOT ON ROSTER",IF(L343="","OK",IF(MATCH(L343,$L$2:$L$3001,0)&lt;ROW()-1,"Duplicate (ignored)","OK"))))))))</f>
        <v/>
      </c>
      <c r="I343">
        <f>IF(OC_Date=0,"",IF(INDEX('OneCause_Paste'!$A$343:$AZ$343,1,OC_Date)="","",INDEX('OneCause_Paste'!$A$343:$AZ$343,1,OC_Date)))</f>
        <v/>
      </c>
      <c r="J343">
        <f>IF(OC_Amt=0,"",IF(INDEX('OneCause_Paste'!$A$343:$AZ$343,1,OC_Amt)="","",INDEX('OneCause_Paste'!$A$343:$AZ$343,1,OC_Amt)))</f>
        <v/>
      </c>
      <c r="K343">
        <f>IF(OC_Name=0,"",IF(INDEX('OneCause_Paste'!$A$343:$AZ$343,1,OC_Name)="","",INDEX('OneCause_Paste'!$A$343:$AZ$343,1,OC_Name)))</f>
        <v/>
      </c>
      <c r="L343">
        <f>IF(OC_Txn=0,"",IF(INDEX('OneCause_Paste'!$A$343:$AZ$343,1,OC_Txn)="","",INDEX('OneCause_Paste'!$A$343:$AZ$343,1,OC_Txn)))</f>
        <v/>
      </c>
      <c r="M343">
        <f>IF(OC_Pay=0,"",IF(INDEX('OneCause_Paste'!$A$343:$AZ$343,1,OC_Pay)="","",INDEX('OneCause_Paste'!$A$343:$AZ$343,1,OC_Pay)))</f>
        <v/>
      </c>
      <c r="N343">
        <f>IF(I343="","",IF(ISNUMBER(I343),INT(I343),IFERROR(INT(DATEVALUE(I343)),IFERROR(INT(VALUE(I343)),"bad"))))</f>
        <v/>
      </c>
      <c r="O343">
        <f>IF(J343="","",IF(ISNUMBER(J343),ROUND(J343,2),IFERROR(ROUND(VALUE(SUBSTITUTE(SUBSTITUTE(SUBSTITUTE(J343,"$",""),",","")," ","")),2),"bad")))</f>
        <v/>
      </c>
      <c r="P343">
        <f>IF(TRIM(K343)="","",IFERROR(MATCH(LOWER(TRIM(K343)),'Students'!$AH$2:$AH$701,0),IFERROR(MATCH(LOWER(TRIM(K343)),'Students'!$AF$2:$AF$701,0),IFERROR(MATCH(LOWER(TRIM(K343)),'Students'!$AG$2:$AG$701,0),""))))</f>
        <v/>
      </c>
      <c r="R343">
        <f>IF(P343="","",INDEX('Students'!$AD$2:$AD$701,P343))</f>
        <v/>
      </c>
      <c r="S343">
        <f>IF(H343="OK",O343,0)</f>
        <v/>
      </c>
      <c r="T343">
        <f>IF(H343="OK",N343,"")</f>
        <v/>
      </c>
      <c r="U343">
        <f>IF(OC_Donor=0,"",IF(INDEX('OneCause_Paste'!$A$343:$AZ$343,1,OC_Donor)="","",INDEX('OneCause_Paste'!$A$343:$AZ$343,1,OC_Donor)))</f>
        <v/>
      </c>
    </row>
    <row r="344">
      <c r="A344" s="62">
        <f>IF(H344="","",IF(ISNUMBER(N344),N344,I344))</f>
        <v/>
      </c>
      <c r="B344">
        <f>IF(H344="","",U344)</f>
        <v/>
      </c>
      <c r="C344">
        <f>IF(H344="","",IF(P344="",K344,INDEX('Students'!$A$2:$A$701,P344)))</f>
        <v/>
      </c>
      <c r="D344">
        <f>IF(OR(H344="",P344=""),"",INDEX('Students'!$B$2:$B$701,P344))</f>
        <v/>
      </c>
      <c r="E344">
        <f>IF(OR(H344="",P344=""),"",INDEX('Students'!$C$2:$C$701,P344))</f>
        <v/>
      </c>
      <c r="F344" s="48">
        <f>IF(H344="","",IF(ISNUMBER(O344),O344,J344))</f>
        <v/>
      </c>
      <c r="G344">
        <f>IF(H344="","","OneCause")</f>
        <v/>
      </c>
      <c r="H344">
        <f>IF(AND(I344="",J344="",K344=""),"",IF(NOT(ISNUMBER(O344)),"Bad amount",IF(O344&lt;0,"Refund (not counted)",IF(O344=0,"Zero amount",IF(NOT(ISNUMBER(N344)),"Bad date",IF(P344="","NAME NOT ON ROSTER",IF(L344="","OK",IF(MATCH(L344,$L$2:$L$3001,0)&lt;ROW()-1,"Duplicate (ignored)","OK"))))))))</f>
        <v/>
      </c>
      <c r="I344">
        <f>IF(OC_Date=0,"",IF(INDEX('OneCause_Paste'!$A$344:$AZ$344,1,OC_Date)="","",INDEX('OneCause_Paste'!$A$344:$AZ$344,1,OC_Date)))</f>
        <v/>
      </c>
      <c r="J344">
        <f>IF(OC_Amt=0,"",IF(INDEX('OneCause_Paste'!$A$344:$AZ$344,1,OC_Amt)="","",INDEX('OneCause_Paste'!$A$344:$AZ$344,1,OC_Amt)))</f>
        <v/>
      </c>
      <c r="K344">
        <f>IF(OC_Name=0,"",IF(INDEX('OneCause_Paste'!$A$344:$AZ$344,1,OC_Name)="","",INDEX('OneCause_Paste'!$A$344:$AZ$344,1,OC_Name)))</f>
        <v/>
      </c>
      <c r="L344">
        <f>IF(OC_Txn=0,"",IF(INDEX('OneCause_Paste'!$A$344:$AZ$344,1,OC_Txn)="","",INDEX('OneCause_Paste'!$A$344:$AZ$344,1,OC_Txn)))</f>
        <v/>
      </c>
      <c r="M344">
        <f>IF(OC_Pay=0,"",IF(INDEX('OneCause_Paste'!$A$344:$AZ$344,1,OC_Pay)="","",INDEX('OneCause_Paste'!$A$344:$AZ$344,1,OC_Pay)))</f>
        <v/>
      </c>
      <c r="N344">
        <f>IF(I344="","",IF(ISNUMBER(I344),INT(I344),IFERROR(INT(DATEVALUE(I344)),IFERROR(INT(VALUE(I344)),"bad"))))</f>
        <v/>
      </c>
      <c r="O344">
        <f>IF(J344="","",IF(ISNUMBER(J344),ROUND(J344,2),IFERROR(ROUND(VALUE(SUBSTITUTE(SUBSTITUTE(SUBSTITUTE(J344,"$",""),",","")," ","")),2),"bad")))</f>
        <v/>
      </c>
      <c r="P344">
        <f>IF(TRIM(K344)="","",IFERROR(MATCH(LOWER(TRIM(K344)),'Students'!$AH$2:$AH$701,0),IFERROR(MATCH(LOWER(TRIM(K344)),'Students'!$AF$2:$AF$701,0),IFERROR(MATCH(LOWER(TRIM(K344)),'Students'!$AG$2:$AG$701,0),""))))</f>
        <v/>
      </c>
      <c r="R344">
        <f>IF(P344="","",INDEX('Students'!$AD$2:$AD$701,P344))</f>
        <v/>
      </c>
      <c r="S344">
        <f>IF(H344="OK",O344,0)</f>
        <v/>
      </c>
      <c r="T344">
        <f>IF(H344="OK",N344,"")</f>
        <v/>
      </c>
      <c r="U344">
        <f>IF(OC_Donor=0,"",IF(INDEX('OneCause_Paste'!$A$344:$AZ$344,1,OC_Donor)="","",INDEX('OneCause_Paste'!$A$344:$AZ$344,1,OC_Donor)))</f>
        <v/>
      </c>
    </row>
    <row r="345">
      <c r="A345" s="62">
        <f>IF(H345="","",IF(ISNUMBER(N345),N345,I345))</f>
        <v/>
      </c>
      <c r="B345">
        <f>IF(H345="","",U345)</f>
        <v/>
      </c>
      <c r="C345">
        <f>IF(H345="","",IF(P345="",K345,INDEX('Students'!$A$2:$A$701,P345)))</f>
        <v/>
      </c>
      <c r="D345">
        <f>IF(OR(H345="",P345=""),"",INDEX('Students'!$B$2:$B$701,P345))</f>
        <v/>
      </c>
      <c r="E345">
        <f>IF(OR(H345="",P345=""),"",INDEX('Students'!$C$2:$C$701,P345))</f>
        <v/>
      </c>
      <c r="F345" s="48">
        <f>IF(H345="","",IF(ISNUMBER(O345),O345,J345))</f>
        <v/>
      </c>
      <c r="G345">
        <f>IF(H345="","","OneCause")</f>
        <v/>
      </c>
      <c r="H345">
        <f>IF(AND(I345="",J345="",K345=""),"",IF(NOT(ISNUMBER(O345)),"Bad amount",IF(O345&lt;0,"Refund (not counted)",IF(O345=0,"Zero amount",IF(NOT(ISNUMBER(N345)),"Bad date",IF(P345="","NAME NOT ON ROSTER",IF(L345="","OK",IF(MATCH(L345,$L$2:$L$3001,0)&lt;ROW()-1,"Duplicate (ignored)","OK"))))))))</f>
        <v/>
      </c>
      <c r="I345">
        <f>IF(OC_Date=0,"",IF(INDEX('OneCause_Paste'!$A$345:$AZ$345,1,OC_Date)="","",INDEX('OneCause_Paste'!$A$345:$AZ$345,1,OC_Date)))</f>
        <v/>
      </c>
      <c r="J345">
        <f>IF(OC_Amt=0,"",IF(INDEX('OneCause_Paste'!$A$345:$AZ$345,1,OC_Amt)="","",INDEX('OneCause_Paste'!$A$345:$AZ$345,1,OC_Amt)))</f>
        <v/>
      </c>
      <c r="K345">
        <f>IF(OC_Name=0,"",IF(INDEX('OneCause_Paste'!$A$345:$AZ$345,1,OC_Name)="","",INDEX('OneCause_Paste'!$A$345:$AZ$345,1,OC_Name)))</f>
        <v/>
      </c>
      <c r="L345">
        <f>IF(OC_Txn=0,"",IF(INDEX('OneCause_Paste'!$A$345:$AZ$345,1,OC_Txn)="","",INDEX('OneCause_Paste'!$A$345:$AZ$345,1,OC_Txn)))</f>
        <v/>
      </c>
      <c r="M345">
        <f>IF(OC_Pay=0,"",IF(INDEX('OneCause_Paste'!$A$345:$AZ$345,1,OC_Pay)="","",INDEX('OneCause_Paste'!$A$345:$AZ$345,1,OC_Pay)))</f>
        <v/>
      </c>
      <c r="N345">
        <f>IF(I345="","",IF(ISNUMBER(I345),INT(I345),IFERROR(INT(DATEVALUE(I345)),IFERROR(INT(VALUE(I345)),"bad"))))</f>
        <v/>
      </c>
      <c r="O345">
        <f>IF(J345="","",IF(ISNUMBER(J345),ROUND(J345,2),IFERROR(ROUND(VALUE(SUBSTITUTE(SUBSTITUTE(SUBSTITUTE(J345,"$",""),",","")," ","")),2),"bad")))</f>
        <v/>
      </c>
      <c r="P345">
        <f>IF(TRIM(K345)="","",IFERROR(MATCH(LOWER(TRIM(K345)),'Students'!$AH$2:$AH$701,0),IFERROR(MATCH(LOWER(TRIM(K345)),'Students'!$AF$2:$AF$701,0),IFERROR(MATCH(LOWER(TRIM(K345)),'Students'!$AG$2:$AG$701,0),""))))</f>
        <v/>
      </c>
      <c r="R345">
        <f>IF(P345="","",INDEX('Students'!$AD$2:$AD$701,P345))</f>
        <v/>
      </c>
      <c r="S345">
        <f>IF(H345="OK",O345,0)</f>
        <v/>
      </c>
      <c r="T345">
        <f>IF(H345="OK",N345,"")</f>
        <v/>
      </c>
      <c r="U345">
        <f>IF(OC_Donor=0,"",IF(INDEX('OneCause_Paste'!$A$345:$AZ$345,1,OC_Donor)="","",INDEX('OneCause_Paste'!$A$345:$AZ$345,1,OC_Donor)))</f>
        <v/>
      </c>
    </row>
    <row r="346">
      <c r="A346" s="62">
        <f>IF(H346="","",IF(ISNUMBER(N346),N346,I346))</f>
        <v/>
      </c>
      <c r="B346">
        <f>IF(H346="","",U346)</f>
        <v/>
      </c>
      <c r="C346">
        <f>IF(H346="","",IF(P346="",K346,INDEX('Students'!$A$2:$A$701,P346)))</f>
        <v/>
      </c>
      <c r="D346">
        <f>IF(OR(H346="",P346=""),"",INDEX('Students'!$B$2:$B$701,P346))</f>
        <v/>
      </c>
      <c r="E346">
        <f>IF(OR(H346="",P346=""),"",INDEX('Students'!$C$2:$C$701,P346))</f>
        <v/>
      </c>
      <c r="F346" s="48">
        <f>IF(H346="","",IF(ISNUMBER(O346),O346,J346))</f>
        <v/>
      </c>
      <c r="G346">
        <f>IF(H346="","","OneCause")</f>
        <v/>
      </c>
      <c r="H346">
        <f>IF(AND(I346="",J346="",K346=""),"",IF(NOT(ISNUMBER(O346)),"Bad amount",IF(O346&lt;0,"Refund (not counted)",IF(O346=0,"Zero amount",IF(NOT(ISNUMBER(N346)),"Bad date",IF(P346="","NAME NOT ON ROSTER",IF(L346="","OK",IF(MATCH(L346,$L$2:$L$3001,0)&lt;ROW()-1,"Duplicate (ignored)","OK"))))))))</f>
        <v/>
      </c>
      <c r="I346">
        <f>IF(OC_Date=0,"",IF(INDEX('OneCause_Paste'!$A$346:$AZ$346,1,OC_Date)="","",INDEX('OneCause_Paste'!$A$346:$AZ$346,1,OC_Date)))</f>
        <v/>
      </c>
      <c r="J346">
        <f>IF(OC_Amt=0,"",IF(INDEX('OneCause_Paste'!$A$346:$AZ$346,1,OC_Amt)="","",INDEX('OneCause_Paste'!$A$346:$AZ$346,1,OC_Amt)))</f>
        <v/>
      </c>
      <c r="K346">
        <f>IF(OC_Name=0,"",IF(INDEX('OneCause_Paste'!$A$346:$AZ$346,1,OC_Name)="","",INDEX('OneCause_Paste'!$A$346:$AZ$346,1,OC_Name)))</f>
        <v/>
      </c>
      <c r="L346">
        <f>IF(OC_Txn=0,"",IF(INDEX('OneCause_Paste'!$A$346:$AZ$346,1,OC_Txn)="","",INDEX('OneCause_Paste'!$A$346:$AZ$346,1,OC_Txn)))</f>
        <v/>
      </c>
      <c r="M346">
        <f>IF(OC_Pay=0,"",IF(INDEX('OneCause_Paste'!$A$346:$AZ$346,1,OC_Pay)="","",INDEX('OneCause_Paste'!$A$346:$AZ$346,1,OC_Pay)))</f>
        <v/>
      </c>
      <c r="N346">
        <f>IF(I346="","",IF(ISNUMBER(I346),INT(I346),IFERROR(INT(DATEVALUE(I346)),IFERROR(INT(VALUE(I346)),"bad"))))</f>
        <v/>
      </c>
      <c r="O346">
        <f>IF(J346="","",IF(ISNUMBER(J346),ROUND(J346,2),IFERROR(ROUND(VALUE(SUBSTITUTE(SUBSTITUTE(SUBSTITUTE(J346,"$",""),",","")," ","")),2),"bad")))</f>
        <v/>
      </c>
      <c r="P346">
        <f>IF(TRIM(K346)="","",IFERROR(MATCH(LOWER(TRIM(K346)),'Students'!$AH$2:$AH$701,0),IFERROR(MATCH(LOWER(TRIM(K346)),'Students'!$AF$2:$AF$701,0),IFERROR(MATCH(LOWER(TRIM(K346)),'Students'!$AG$2:$AG$701,0),""))))</f>
        <v/>
      </c>
      <c r="R346">
        <f>IF(P346="","",INDEX('Students'!$AD$2:$AD$701,P346))</f>
        <v/>
      </c>
      <c r="S346">
        <f>IF(H346="OK",O346,0)</f>
        <v/>
      </c>
      <c r="T346">
        <f>IF(H346="OK",N346,"")</f>
        <v/>
      </c>
      <c r="U346">
        <f>IF(OC_Donor=0,"",IF(INDEX('OneCause_Paste'!$A$346:$AZ$346,1,OC_Donor)="","",INDEX('OneCause_Paste'!$A$346:$AZ$346,1,OC_Donor)))</f>
        <v/>
      </c>
    </row>
    <row r="347">
      <c r="A347" s="62">
        <f>IF(H347="","",IF(ISNUMBER(N347),N347,I347))</f>
        <v/>
      </c>
      <c r="B347">
        <f>IF(H347="","",U347)</f>
        <v/>
      </c>
      <c r="C347">
        <f>IF(H347="","",IF(P347="",K347,INDEX('Students'!$A$2:$A$701,P347)))</f>
        <v/>
      </c>
      <c r="D347">
        <f>IF(OR(H347="",P347=""),"",INDEX('Students'!$B$2:$B$701,P347))</f>
        <v/>
      </c>
      <c r="E347">
        <f>IF(OR(H347="",P347=""),"",INDEX('Students'!$C$2:$C$701,P347))</f>
        <v/>
      </c>
      <c r="F347" s="48">
        <f>IF(H347="","",IF(ISNUMBER(O347),O347,J347))</f>
        <v/>
      </c>
      <c r="G347">
        <f>IF(H347="","","OneCause")</f>
        <v/>
      </c>
      <c r="H347">
        <f>IF(AND(I347="",J347="",K347=""),"",IF(NOT(ISNUMBER(O347)),"Bad amount",IF(O347&lt;0,"Refund (not counted)",IF(O347=0,"Zero amount",IF(NOT(ISNUMBER(N347)),"Bad date",IF(P347="","NAME NOT ON ROSTER",IF(L347="","OK",IF(MATCH(L347,$L$2:$L$3001,0)&lt;ROW()-1,"Duplicate (ignored)","OK"))))))))</f>
        <v/>
      </c>
      <c r="I347">
        <f>IF(OC_Date=0,"",IF(INDEX('OneCause_Paste'!$A$347:$AZ$347,1,OC_Date)="","",INDEX('OneCause_Paste'!$A$347:$AZ$347,1,OC_Date)))</f>
        <v/>
      </c>
      <c r="J347">
        <f>IF(OC_Amt=0,"",IF(INDEX('OneCause_Paste'!$A$347:$AZ$347,1,OC_Amt)="","",INDEX('OneCause_Paste'!$A$347:$AZ$347,1,OC_Amt)))</f>
        <v/>
      </c>
      <c r="K347">
        <f>IF(OC_Name=0,"",IF(INDEX('OneCause_Paste'!$A$347:$AZ$347,1,OC_Name)="","",INDEX('OneCause_Paste'!$A$347:$AZ$347,1,OC_Name)))</f>
        <v/>
      </c>
      <c r="L347">
        <f>IF(OC_Txn=0,"",IF(INDEX('OneCause_Paste'!$A$347:$AZ$347,1,OC_Txn)="","",INDEX('OneCause_Paste'!$A$347:$AZ$347,1,OC_Txn)))</f>
        <v/>
      </c>
      <c r="M347">
        <f>IF(OC_Pay=0,"",IF(INDEX('OneCause_Paste'!$A$347:$AZ$347,1,OC_Pay)="","",INDEX('OneCause_Paste'!$A$347:$AZ$347,1,OC_Pay)))</f>
        <v/>
      </c>
      <c r="N347">
        <f>IF(I347="","",IF(ISNUMBER(I347),INT(I347),IFERROR(INT(DATEVALUE(I347)),IFERROR(INT(VALUE(I347)),"bad"))))</f>
        <v/>
      </c>
      <c r="O347">
        <f>IF(J347="","",IF(ISNUMBER(J347),ROUND(J347,2),IFERROR(ROUND(VALUE(SUBSTITUTE(SUBSTITUTE(SUBSTITUTE(J347,"$",""),",","")," ","")),2),"bad")))</f>
        <v/>
      </c>
      <c r="P347">
        <f>IF(TRIM(K347)="","",IFERROR(MATCH(LOWER(TRIM(K347)),'Students'!$AH$2:$AH$701,0),IFERROR(MATCH(LOWER(TRIM(K347)),'Students'!$AF$2:$AF$701,0),IFERROR(MATCH(LOWER(TRIM(K347)),'Students'!$AG$2:$AG$701,0),""))))</f>
        <v/>
      </c>
      <c r="R347">
        <f>IF(P347="","",INDEX('Students'!$AD$2:$AD$701,P347))</f>
        <v/>
      </c>
      <c r="S347">
        <f>IF(H347="OK",O347,0)</f>
        <v/>
      </c>
      <c r="T347">
        <f>IF(H347="OK",N347,"")</f>
        <v/>
      </c>
      <c r="U347">
        <f>IF(OC_Donor=0,"",IF(INDEX('OneCause_Paste'!$A$347:$AZ$347,1,OC_Donor)="","",INDEX('OneCause_Paste'!$A$347:$AZ$347,1,OC_Donor)))</f>
        <v/>
      </c>
    </row>
    <row r="348">
      <c r="A348" s="62">
        <f>IF(H348="","",IF(ISNUMBER(N348),N348,I348))</f>
        <v/>
      </c>
      <c r="B348">
        <f>IF(H348="","",U348)</f>
        <v/>
      </c>
      <c r="C348">
        <f>IF(H348="","",IF(P348="",K348,INDEX('Students'!$A$2:$A$701,P348)))</f>
        <v/>
      </c>
      <c r="D348">
        <f>IF(OR(H348="",P348=""),"",INDEX('Students'!$B$2:$B$701,P348))</f>
        <v/>
      </c>
      <c r="E348">
        <f>IF(OR(H348="",P348=""),"",INDEX('Students'!$C$2:$C$701,P348))</f>
        <v/>
      </c>
      <c r="F348" s="48">
        <f>IF(H348="","",IF(ISNUMBER(O348),O348,J348))</f>
        <v/>
      </c>
      <c r="G348">
        <f>IF(H348="","","OneCause")</f>
        <v/>
      </c>
      <c r="H348">
        <f>IF(AND(I348="",J348="",K348=""),"",IF(NOT(ISNUMBER(O348)),"Bad amount",IF(O348&lt;0,"Refund (not counted)",IF(O348=0,"Zero amount",IF(NOT(ISNUMBER(N348)),"Bad date",IF(P348="","NAME NOT ON ROSTER",IF(L348="","OK",IF(MATCH(L348,$L$2:$L$3001,0)&lt;ROW()-1,"Duplicate (ignored)","OK"))))))))</f>
        <v/>
      </c>
      <c r="I348">
        <f>IF(OC_Date=0,"",IF(INDEX('OneCause_Paste'!$A$348:$AZ$348,1,OC_Date)="","",INDEX('OneCause_Paste'!$A$348:$AZ$348,1,OC_Date)))</f>
        <v/>
      </c>
      <c r="J348">
        <f>IF(OC_Amt=0,"",IF(INDEX('OneCause_Paste'!$A$348:$AZ$348,1,OC_Amt)="","",INDEX('OneCause_Paste'!$A$348:$AZ$348,1,OC_Amt)))</f>
        <v/>
      </c>
      <c r="K348">
        <f>IF(OC_Name=0,"",IF(INDEX('OneCause_Paste'!$A$348:$AZ$348,1,OC_Name)="","",INDEX('OneCause_Paste'!$A$348:$AZ$348,1,OC_Name)))</f>
        <v/>
      </c>
      <c r="L348">
        <f>IF(OC_Txn=0,"",IF(INDEX('OneCause_Paste'!$A$348:$AZ$348,1,OC_Txn)="","",INDEX('OneCause_Paste'!$A$348:$AZ$348,1,OC_Txn)))</f>
        <v/>
      </c>
      <c r="M348">
        <f>IF(OC_Pay=0,"",IF(INDEX('OneCause_Paste'!$A$348:$AZ$348,1,OC_Pay)="","",INDEX('OneCause_Paste'!$A$348:$AZ$348,1,OC_Pay)))</f>
        <v/>
      </c>
      <c r="N348">
        <f>IF(I348="","",IF(ISNUMBER(I348),INT(I348),IFERROR(INT(DATEVALUE(I348)),IFERROR(INT(VALUE(I348)),"bad"))))</f>
        <v/>
      </c>
      <c r="O348">
        <f>IF(J348="","",IF(ISNUMBER(J348),ROUND(J348,2),IFERROR(ROUND(VALUE(SUBSTITUTE(SUBSTITUTE(SUBSTITUTE(J348,"$",""),",","")," ","")),2),"bad")))</f>
        <v/>
      </c>
      <c r="P348">
        <f>IF(TRIM(K348)="","",IFERROR(MATCH(LOWER(TRIM(K348)),'Students'!$AH$2:$AH$701,0),IFERROR(MATCH(LOWER(TRIM(K348)),'Students'!$AF$2:$AF$701,0),IFERROR(MATCH(LOWER(TRIM(K348)),'Students'!$AG$2:$AG$701,0),""))))</f>
        <v/>
      </c>
      <c r="R348">
        <f>IF(P348="","",INDEX('Students'!$AD$2:$AD$701,P348))</f>
        <v/>
      </c>
      <c r="S348">
        <f>IF(H348="OK",O348,0)</f>
        <v/>
      </c>
      <c r="T348">
        <f>IF(H348="OK",N348,"")</f>
        <v/>
      </c>
      <c r="U348">
        <f>IF(OC_Donor=0,"",IF(INDEX('OneCause_Paste'!$A$348:$AZ$348,1,OC_Donor)="","",INDEX('OneCause_Paste'!$A$348:$AZ$348,1,OC_Donor)))</f>
        <v/>
      </c>
    </row>
    <row r="349">
      <c r="A349" s="62">
        <f>IF(H349="","",IF(ISNUMBER(N349),N349,I349))</f>
        <v/>
      </c>
      <c r="B349">
        <f>IF(H349="","",U349)</f>
        <v/>
      </c>
      <c r="C349">
        <f>IF(H349="","",IF(P349="",K349,INDEX('Students'!$A$2:$A$701,P349)))</f>
        <v/>
      </c>
      <c r="D349">
        <f>IF(OR(H349="",P349=""),"",INDEX('Students'!$B$2:$B$701,P349))</f>
        <v/>
      </c>
      <c r="E349">
        <f>IF(OR(H349="",P349=""),"",INDEX('Students'!$C$2:$C$701,P349))</f>
        <v/>
      </c>
      <c r="F349" s="48">
        <f>IF(H349="","",IF(ISNUMBER(O349),O349,J349))</f>
        <v/>
      </c>
      <c r="G349">
        <f>IF(H349="","","OneCause")</f>
        <v/>
      </c>
      <c r="H349">
        <f>IF(AND(I349="",J349="",K349=""),"",IF(NOT(ISNUMBER(O349)),"Bad amount",IF(O349&lt;0,"Refund (not counted)",IF(O349=0,"Zero amount",IF(NOT(ISNUMBER(N349)),"Bad date",IF(P349="","NAME NOT ON ROSTER",IF(L349="","OK",IF(MATCH(L349,$L$2:$L$3001,0)&lt;ROW()-1,"Duplicate (ignored)","OK"))))))))</f>
        <v/>
      </c>
      <c r="I349">
        <f>IF(OC_Date=0,"",IF(INDEX('OneCause_Paste'!$A$349:$AZ$349,1,OC_Date)="","",INDEX('OneCause_Paste'!$A$349:$AZ$349,1,OC_Date)))</f>
        <v/>
      </c>
      <c r="J349">
        <f>IF(OC_Amt=0,"",IF(INDEX('OneCause_Paste'!$A$349:$AZ$349,1,OC_Amt)="","",INDEX('OneCause_Paste'!$A$349:$AZ$349,1,OC_Amt)))</f>
        <v/>
      </c>
      <c r="K349">
        <f>IF(OC_Name=0,"",IF(INDEX('OneCause_Paste'!$A$349:$AZ$349,1,OC_Name)="","",INDEX('OneCause_Paste'!$A$349:$AZ$349,1,OC_Name)))</f>
        <v/>
      </c>
      <c r="L349">
        <f>IF(OC_Txn=0,"",IF(INDEX('OneCause_Paste'!$A$349:$AZ$349,1,OC_Txn)="","",INDEX('OneCause_Paste'!$A$349:$AZ$349,1,OC_Txn)))</f>
        <v/>
      </c>
      <c r="M349">
        <f>IF(OC_Pay=0,"",IF(INDEX('OneCause_Paste'!$A$349:$AZ$349,1,OC_Pay)="","",INDEX('OneCause_Paste'!$A$349:$AZ$349,1,OC_Pay)))</f>
        <v/>
      </c>
      <c r="N349">
        <f>IF(I349="","",IF(ISNUMBER(I349),INT(I349),IFERROR(INT(DATEVALUE(I349)),IFERROR(INT(VALUE(I349)),"bad"))))</f>
        <v/>
      </c>
      <c r="O349">
        <f>IF(J349="","",IF(ISNUMBER(J349),ROUND(J349,2),IFERROR(ROUND(VALUE(SUBSTITUTE(SUBSTITUTE(SUBSTITUTE(J349,"$",""),",","")," ","")),2),"bad")))</f>
        <v/>
      </c>
      <c r="P349">
        <f>IF(TRIM(K349)="","",IFERROR(MATCH(LOWER(TRIM(K349)),'Students'!$AH$2:$AH$701,0),IFERROR(MATCH(LOWER(TRIM(K349)),'Students'!$AF$2:$AF$701,0),IFERROR(MATCH(LOWER(TRIM(K349)),'Students'!$AG$2:$AG$701,0),""))))</f>
        <v/>
      </c>
      <c r="R349">
        <f>IF(P349="","",INDEX('Students'!$AD$2:$AD$701,P349))</f>
        <v/>
      </c>
      <c r="S349">
        <f>IF(H349="OK",O349,0)</f>
        <v/>
      </c>
      <c r="T349">
        <f>IF(H349="OK",N349,"")</f>
        <v/>
      </c>
      <c r="U349">
        <f>IF(OC_Donor=0,"",IF(INDEX('OneCause_Paste'!$A$349:$AZ$349,1,OC_Donor)="","",INDEX('OneCause_Paste'!$A$349:$AZ$349,1,OC_Donor)))</f>
        <v/>
      </c>
    </row>
    <row r="350">
      <c r="A350" s="62">
        <f>IF(H350="","",IF(ISNUMBER(N350),N350,I350))</f>
        <v/>
      </c>
      <c r="B350">
        <f>IF(H350="","",U350)</f>
        <v/>
      </c>
      <c r="C350">
        <f>IF(H350="","",IF(P350="",K350,INDEX('Students'!$A$2:$A$701,P350)))</f>
        <v/>
      </c>
      <c r="D350">
        <f>IF(OR(H350="",P350=""),"",INDEX('Students'!$B$2:$B$701,P350))</f>
        <v/>
      </c>
      <c r="E350">
        <f>IF(OR(H350="",P350=""),"",INDEX('Students'!$C$2:$C$701,P350))</f>
        <v/>
      </c>
      <c r="F350" s="48">
        <f>IF(H350="","",IF(ISNUMBER(O350),O350,J350))</f>
        <v/>
      </c>
      <c r="G350">
        <f>IF(H350="","","OneCause")</f>
        <v/>
      </c>
      <c r="H350">
        <f>IF(AND(I350="",J350="",K350=""),"",IF(NOT(ISNUMBER(O350)),"Bad amount",IF(O350&lt;0,"Refund (not counted)",IF(O350=0,"Zero amount",IF(NOT(ISNUMBER(N350)),"Bad date",IF(P350="","NAME NOT ON ROSTER",IF(L350="","OK",IF(MATCH(L350,$L$2:$L$3001,0)&lt;ROW()-1,"Duplicate (ignored)","OK"))))))))</f>
        <v/>
      </c>
      <c r="I350">
        <f>IF(OC_Date=0,"",IF(INDEX('OneCause_Paste'!$A$350:$AZ$350,1,OC_Date)="","",INDEX('OneCause_Paste'!$A$350:$AZ$350,1,OC_Date)))</f>
        <v/>
      </c>
      <c r="J350">
        <f>IF(OC_Amt=0,"",IF(INDEX('OneCause_Paste'!$A$350:$AZ$350,1,OC_Amt)="","",INDEX('OneCause_Paste'!$A$350:$AZ$350,1,OC_Amt)))</f>
        <v/>
      </c>
      <c r="K350">
        <f>IF(OC_Name=0,"",IF(INDEX('OneCause_Paste'!$A$350:$AZ$350,1,OC_Name)="","",INDEX('OneCause_Paste'!$A$350:$AZ$350,1,OC_Name)))</f>
        <v/>
      </c>
      <c r="L350">
        <f>IF(OC_Txn=0,"",IF(INDEX('OneCause_Paste'!$A$350:$AZ$350,1,OC_Txn)="","",INDEX('OneCause_Paste'!$A$350:$AZ$350,1,OC_Txn)))</f>
        <v/>
      </c>
      <c r="M350">
        <f>IF(OC_Pay=0,"",IF(INDEX('OneCause_Paste'!$A$350:$AZ$350,1,OC_Pay)="","",INDEX('OneCause_Paste'!$A$350:$AZ$350,1,OC_Pay)))</f>
        <v/>
      </c>
      <c r="N350">
        <f>IF(I350="","",IF(ISNUMBER(I350),INT(I350),IFERROR(INT(DATEVALUE(I350)),IFERROR(INT(VALUE(I350)),"bad"))))</f>
        <v/>
      </c>
      <c r="O350">
        <f>IF(J350="","",IF(ISNUMBER(J350),ROUND(J350,2),IFERROR(ROUND(VALUE(SUBSTITUTE(SUBSTITUTE(SUBSTITUTE(J350,"$",""),",","")," ","")),2),"bad")))</f>
        <v/>
      </c>
      <c r="P350">
        <f>IF(TRIM(K350)="","",IFERROR(MATCH(LOWER(TRIM(K350)),'Students'!$AH$2:$AH$701,0),IFERROR(MATCH(LOWER(TRIM(K350)),'Students'!$AF$2:$AF$701,0),IFERROR(MATCH(LOWER(TRIM(K350)),'Students'!$AG$2:$AG$701,0),""))))</f>
        <v/>
      </c>
      <c r="R350">
        <f>IF(P350="","",INDEX('Students'!$AD$2:$AD$701,P350))</f>
        <v/>
      </c>
      <c r="S350">
        <f>IF(H350="OK",O350,0)</f>
        <v/>
      </c>
      <c r="T350">
        <f>IF(H350="OK",N350,"")</f>
        <v/>
      </c>
      <c r="U350">
        <f>IF(OC_Donor=0,"",IF(INDEX('OneCause_Paste'!$A$350:$AZ$350,1,OC_Donor)="","",INDEX('OneCause_Paste'!$A$350:$AZ$350,1,OC_Donor)))</f>
        <v/>
      </c>
    </row>
    <row r="351">
      <c r="A351" s="62">
        <f>IF(H351="","",IF(ISNUMBER(N351),N351,I351))</f>
        <v/>
      </c>
      <c r="B351">
        <f>IF(H351="","",U351)</f>
        <v/>
      </c>
      <c r="C351">
        <f>IF(H351="","",IF(P351="",K351,INDEX('Students'!$A$2:$A$701,P351)))</f>
        <v/>
      </c>
      <c r="D351">
        <f>IF(OR(H351="",P351=""),"",INDEX('Students'!$B$2:$B$701,P351))</f>
        <v/>
      </c>
      <c r="E351">
        <f>IF(OR(H351="",P351=""),"",INDEX('Students'!$C$2:$C$701,P351))</f>
        <v/>
      </c>
      <c r="F351" s="48">
        <f>IF(H351="","",IF(ISNUMBER(O351),O351,J351))</f>
        <v/>
      </c>
      <c r="G351">
        <f>IF(H351="","","OneCause")</f>
        <v/>
      </c>
      <c r="H351">
        <f>IF(AND(I351="",J351="",K351=""),"",IF(NOT(ISNUMBER(O351)),"Bad amount",IF(O351&lt;0,"Refund (not counted)",IF(O351=0,"Zero amount",IF(NOT(ISNUMBER(N351)),"Bad date",IF(P351="","NAME NOT ON ROSTER",IF(L351="","OK",IF(MATCH(L351,$L$2:$L$3001,0)&lt;ROW()-1,"Duplicate (ignored)","OK"))))))))</f>
        <v/>
      </c>
      <c r="I351">
        <f>IF(OC_Date=0,"",IF(INDEX('OneCause_Paste'!$A$351:$AZ$351,1,OC_Date)="","",INDEX('OneCause_Paste'!$A$351:$AZ$351,1,OC_Date)))</f>
        <v/>
      </c>
      <c r="J351">
        <f>IF(OC_Amt=0,"",IF(INDEX('OneCause_Paste'!$A$351:$AZ$351,1,OC_Amt)="","",INDEX('OneCause_Paste'!$A$351:$AZ$351,1,OC_Amt)))</f>
        <v/>
      </c>
      <c r="K351">
        <f>IF(OC_Name=0,"",IF(INDEX('OneCause_Paste'!$A$351:$AZ$351,1,OC_Name)="","",INDEX('OneCause_Paste'!$A$351:$AZ$351,1,OC_Name)))</f>
        <v/>
      </c>
      <c r="L351">
        <f>IF(OC_Txn=0,"",IF(INDEX('OneCause_Paste'!$A$351:$AZ$351,1,OC_Txn)="","",INDEX('OneCause_Paste'!$A$351:$AZ$351,1,OC_Txn)))</f>
        <v/>
      </c>
      <c r="M351">
        <f>IF(OC_Pay=0,"",IF(INDEX('OneCause_Paste'!$A$351:$AZ$351,1,OC_Pay)="","",INDEX('OneCause_Paste'!$A$351:$AZ$351,1,OC_Pay)))</f>
        <v/>
      </c>
      <c r="N351">
        <f>IF(I351="","",IF(ISNUMBER(I351),INT(I351),IFERROR(INT(DATEVALUE(I351)),IFERROR(INT(VALUE(I351)),"bad"))))</f>
        <v/>
      </c>
      <c r="O351">
        <f>IF(J351="","",IF(ISNUMBER(J351),ROUND(J351,2),IFERROR(ROUND(VALUE(SUBSTITUTE(SUBSTITUTE(SUBSTITUTE(J351,"$",""),",","")," ","")),2),"bad")))</f>
        <v/>
      </c>
      <c r="P351">
        <f>IF(TRIM(K351)="","",IFERROR(MATCH(LOWER(TRIM(K351)),'Students'!$AH$2:$AH$701,0),IFERROR(MATCH(LOWER(TRIM(K351)),'Students'!$AF$2:$AF$701,0),IFERROR(MATCH(LOWER(TRIM(K351)),'Students'!$AG$2:$AG$701,0),""))))</f>
        <v/>
      </c>
      <c r="R351">
        <f>IF(P351="","",INDEX('Students'!$AD$2:$AD$701,P351))</f>
        <v/>
      </c>
      <c r="S351">
        <f>IF(H351="OK",O351,0)</f>
        <v/>
      </c>
      <c r="T351">
        <f>IF(H351="OK",N351,"")</f>
        <v/>
      </c>
      <c r="U351">
        <f>IF(OC_Donor=0,"",IF(INDEX('OneCause_Paste'!$A$351:$AZ$351,1,OC_Donor)="","",INDEX('OneCause_Paste'!$A$351:$AZ$351,1,OC_Donor)))</f>
        <v/>
      </c>
    </row>
    <row r="352">
      <c r="A352" s="62">
        <f>IF(H352="","",IF(ISNUMBER(N352),N352,I352))</f>
        <v/>
      </c>
      <c r="B352">
        <f>IF(H352="","",U352)</f>
        <v/>
      </c>
      <c r="C352">
        <f>IF(H352="","",IF(P352="",K352,INDEX('Students'!$A$2:$A$701,P352)))</f>
        <v/>
      </c>
      <c r="D352">
        <f>IF(OR(H352="",P352=""),"",INDEX('Students'!$B$2:$B$701,P352))</f>
        <v/>
      </c>
      <c r="E352">
        <f>IF(OR(H352="",P352=""),"",INDEX('Students'!$C$2:$C$701,P352))</f>
        <v/>
      </c>
      <c r="F352" s="48">
        <f>IF(H352="","",IF(ISNUMBER(O352),O352,J352))</f>
        <v/>
      </c>
      <c r="G352">
        <f>IF(H352="","","OneCause")</f>
        <v/>
      </c>
      <c r="H352">
        <f>IF(AND(I352="",J352="",K352=""),"",IF(NOT(ISNUMBER(O352)),"Bad amount",IF(O352&lt;0,"Refund (not counted)",IF(O352=0,"Zero amount",IF(NOT(ISNUMBER(N352)),"Bad date",IF(P352="","NAME NOT ON ROSTER",IF(L352="","OK",IF(MATCH(L352,$L$2:$L$3001,0)&lt;ROW()-1,"Duplicate (ignored)","OK"))))))))</f>
        <v/>
      </c>
      <c r="I352">
        <f>IF(OC_Date=0,"",IF(INDEX('OneCause_Paste'!$A$352:$AZ$352,1,OC_Date)="","",INDEX('OneCause_Paste'!$A$352:$AZ$352,1,OC_Date)))</f>
        <v/>
      </c>
      <c r="J352">
        <f>IF(OC_Amt=0,"",IF(INDEX('OneCause_Paste'!$A$352:$AZ$352,1,OC_Amt)="","",INDEX('OneCause_Paste'!$A$352:$AZ$352,1,OC_Amt)))</f>
        <v/>
      </c>
      <c r="K352">
        <f>IF(OC_Name=0,"",IF(INDEX('OneCause_Paste'!$A$352:$AZ$352,1,OC_Name)="","",INDEX('OneCause_Paste'!$A$352:$AZ$352,1,OC_Name)))</f>
        <v/>
      </c>
      <c r="L352">
        <f>IF(OC_Txn=0,"",IF(INDEX('OneCause_Paste'!$A$352:$AZ$352,1,OC_Txn)="","",INDEX('OneCause_Paste'!$A$352:$AZ$352,1,OC_Txn)))</f>
        <v/>
      </c>
      <c r="M352">
        <f>IF(OC_Pay=0,"",IF(INDEX('OneCause_Paste'!$A$352:$AZ$352,1,OC_Pay)="","",INDEX('OneCause_Paste'!$A$352:$AZ$352,1,OC_Pay)))</f>
        <v/>
      </c>
      <c r="N352">
        <f>IF(I352="","",IF(ISNUMBER(I352),INT(I352),IFERROR(INT(DATEVALUE(I352)),IFERROR(INT(VALUE(I352)),"bad"))))</f>
        <v/>
      </c>
      <c r="O352">
        <f>IF(J352="","",IF(ISNUMBER(J352),ROUND(J352,2),IFERROR(ROUND(VALUE(SUBSTITUTE(SUBSTITUTE(SUBSTITUTE(J352,"$",""),",","")," ","")),2),"bad")))</f>
        <v/>
      </c>
      <c r="P352">
        <f>IF(TRIM(K352)="","",IFERROR(MATCH(LOWER(TRIM(K352)),'Students'!$AH$2:$AH$701,0),IFERROR(MATCH(LOWER(TRIM(K352)),'Students'!$AF$2:$AF$701,0),IFERROR(MATCH(LOWER(TRIM(K352)),'Students'!$AG$2:$AG$701,0),""))))</f>
        <v/>
      </c>
      <c r="R352">
        <f>IF(P352="","",INDEX('Students'!$AD$2:$AD$701,P352))</f>
        <v/>
      </c>
      <c r="S352">
        <f>IF(H352="OK",O352,0)</f>
        <v/>
      </c>
      <c r="T352">
        <f>IF(H352="OK",N352,"")</f>
        <v/>
      </c>
      <c r="U352">
        <f>IF(OC_Donor=0,"",IF(INDEX('OneCause_Paste'!$A$352:$AZ$352,1,OC_Donor)="","",INDEX('OneCause_Paste'!$A$352:$AZ$352,1,OC_Donor)))</f>
        <v/>
      </c>
    </row>
    <row r="353">
      <c r="A353" s="62">
        <f>IF(H353="","",IF(ISNUMBER(N353),N353,I353))</f>
        <v/>
      </c>
      <c r="B353">
        <f>IF(H353="","",U353)</f>
        <v/>
      </c>
      <c r="C353">
        <f>IF(H353="","",IF(P353="",K353,INDEX('Students'!$A$2:$A$701,P353)))</f>
        <v/>
      </c>
      <c r="D353">
        <f>IF(OR(H353="",P353=""),"",INDEX('Students'!$B$2:$B$701,P353))</f>
        <v/>
      </c>
      <c r="E353">
        <f>IF(OR(H353="",P353=""),"",INDEX('Students'!$C$2:$C$701,P353))</f>
        <v/>
      </c>
      <c r="F353" s="48">
        <f>IF(H353="","",IF(ISNUMBER(O353),O353,J353))</f>
        <v/>
      </c>
      <c r="G353">
        <f>IF(H353="","","OneCause")</f>
        <v/>
      </c>
      <c r="H353">
        <f>IF(AND(I353="",J353="",K353=""),"",IF(NOT(ISNUMBER(O353)),"Bad amount",IF(O353&lt;0,"Refund (not counted)",IF(O353=0,"Zero amount",IF(NOT(ISNUMBER(N353)),"Bad date",IF(P353="","NAME NOT ON ROSTER",IF(L353="","OK",IF(MATCH(L353,$L$2:$L$3001,0)&lt;ROW()-1,"Duplicate (ignored)","OK"))))))))</f>
        <v/>
      </c>
      <c r="I353">
        <f>IF(OC_Date=0,"",IF(INDEX('OneCause_Paste'!$A$353:$AZ$353,1,OC_Date)="","",INDEX('OneCause_Paste'!$A$353:$AZ$353,1,OC_Date)))</f>
        <v/>
      </c>
      <c r="J353">
        <f>IF(OC_Amt=0,"",IF(INDEX('OneCause_Paste'!$A$353:$AZ$353,1,OC_Amt)="","",INDEX('OneCause_Paste'!$A$353:$AZ$353,1,OC_Amt)))</f>
        <v/>
      </c>
      <c r="K353">
        <f>IF(OC_Name=0,"",IF(INDEX('OneCause_Paste'!$A$353:$AZ$353,1,OC_Name)="","",INDEX('OneCause_Paste'!$A$353:$AZ$353,1,OC_Name)))</f>
        <v/>
      </c>
      <c r="L353">
        <f>IF(OC_Txn=0,"",IF(INDEX('OneCause_Paste'!$A$353:$AZ$353,1,OC_Txn)="","",INDEX('OneCause_Paste'!$A$353:$AZ$353,1,OC_Txn)))</f>
        <v/>
      </c>
      <c r="M353">
        <f>IF(OC_Pay=0,"",IF(INDEX('OneCause_Paste'!$A$353:$AZ$353,1,OC_Pay)="","",INDEX('OneCause_Paste'!$A$353:$AZ$353,1,OC_Pay)))</f>
        <v/>
      </c>
      <c r="N353">
        <f>IF(I353="","",IF(ISNUMBER(I353),INT(I353),IFERROR(INT(DATEVALUE(I353)),IFERROR(INT(VALUE(I353)),"bad"))))</f>
        <v/>
      </c>
      <c r="O353">
        <f>IF(J353="","",IF(ISNUMBER(J353),ROUND(J353,2),IFERROR(ROUND(VALUE(SUBSTITUTE(SUBSTITUTE(SUBSTITUTE(J353,"$",""),",","")," ","")),2),"bad")))</f>
        <v/>
      </c>
      <c r="P353">
        <f>IF(TRIM(K353)="","",IFERROR(MATCH(LOWER(TRIM(K353)),'Students'!$AH$2:$AH$701,0),IFERROR(MATCH(LOWER(TRIM(K353)),'Students'!$AF$2:$AF$701,0),IFERROR(MATCH(LOWER(TRIM(K353)),'Students'!$AG$2:$AG$701,0),""))))</f>
        <v/>
      </c>
      <c r="R353">
        <f>IF(P353="","",INDEX('Students'!$AD$2:$AD$701,P353))</f>
        <v/>
      </c>
      <c r="S353">
        <f>IF(H353="OK",O353,0)</f>
        <v/>
      </c>
      <c r="T353">
        <f>IF(H353="OK",N353,"")</f>
        <v/>
      </c>
      <c r="U353">
        <f>IF(OC_Donor=0,"",IF(INDEX('OneCause_Paste'!$A$353:$AZ$353,1,OC_Donor)="","",INDEX('OneCause_Paste'!$A$353:$AZ$353,1,OC_Donor)))</f>
        <v/>
      </c>
    </row>
    <row r="354">
      <c r="A354" s="62">
        <f>IF(H354="","",IF(ISNUMBER(N354),N354,I354))</f>
        <v/>
      </c>
      <c r="B354">
        <f>IF(H354="","",U354)</f>
        <v/>
      </c>
      <c r="C354">
        <f>IF(H354="","",IF(P354="",K354,INDEX('Students'!$A$2:$A$701,P354)))</f>
        <v/>
      </c>
      <c r="D354">
        <f>IF(OR(H354="",P354=""),"",INDEX('Students'!$B$2:$B$701,P354))</f>
        <v/>
      </c>
      <c r="E354">
        <f>IF(OR(H354="",P354=""),"",INDEX('Students'!$C$2:$C$701,P354))</f>
        <v/>
      </c>
      <c r="F354" s="48">
        <f>IF(H354="","",IF(ISNUMBER(O354),O354,J354))</f>
        <v/>
      </c>
      <c r="G354">
        <f>IF(H354="","","OneCause")</f>
        <v/>
      </c>
      <c r="H354">
        <f>IF(AND(I354="",J354="",K354=""),"",IF(NOT(ISNUMBER(O354)),"Bad amount",IF(O354&lt;0,"Refund (not counted)",IF(O354=0,"Zero amount",IF(NOT(ISNUMBER(N354)),"Bad date",IF(P354="","NAME NOT ON ROSTER",IF(L354="","OK",IF(MATCH(L354,$L$2:$L$3001,0)&lt;ROW()-1,"Duplicate (ignored)","OK"))))))))</f>
        <v/>
      </c>
      <c r="I354">
        <f>IF(OC_Date=0,"",IF(INDEX('OneCause_Paste'!$A$354:$AZ$354,1,OC_Date)="","",INDEX('OneCause_Paste'!$A$354:$AZ$354,1,OC_Date)))</f>
        <v/>
      </c>
      <c r="J354">
        <f>IF(OC_Amt=0,"",IF(INDEX('OneCause_Paste'!$A$354:$AZ$354,1,OC_Amt)="","",INDEX('OneCause_Paste'!$A$354:$AZ$354,1,OC_Amt)))</f>
        <v/>
      </c>
      <c r="K354">
        <f>IF(OC_Name=0,"",IF(INDEX('OneCause_Paste'!$A$354:$AZ$354,1,OC_Name)="","",INDEX('OneCause_Paste'!$A$354:$AZ$354,1,OC_Name)))</f>
        <v/>
      </c>
      <c r="L354">
        <f>IF(OC_Txn=0,"",IF(INDEX('OneCause_Paste'!$A$354:$AZ$354,1,OC_Txn)="","",INDEX('OneCause_Paste'!$A$354:$AZ$354,1,OC_Txn)))</f>
        <v/>
      </c>
      <c r="M354">
        <f>IF(OC_Pay=0,"",IF(INDEX('OneCause_Paste'!$A$354:$AZ$354,1,OC_Pay)="","",INDEX('OneCause_Paste'!$A$354:$AZ$354,1,OC_Pay)))</f>
        <v/>
      </c>
      <c r="N354">
        <f>IF(I354="","",IF(ISNUMBER(I354),INT(I354),IFERROR(INT(DATEVALUE(I354)),IFERROR(INT(VALUE(I354)),"bad"))))</f>
        <v/>
      </c>
      <c r="O354">
        <f>IF(J354="","",IF(ISNUMBER(J354),ROUND(J354,2),IFERROR(ROUND(VALUE(SUBSTITUTE(SUBSTITUTE(SUBSTITUTE(J354,"$",""),",","")," ","")),2),"bad")))</f>
        <v/>
      </c>
      <c r="P354">
        <f>IF(TRIM(K354)="","",IFERROR(MATCH(LOWER(TRIM(K354)),'Students'!$AH$2:$AH$701,0),IFERROR(MATCH(LOWER(TRIM(K354)),'Students'!$AF$2:$AF$701,0),IFERROR(MATCH(LOWER(TRIM(K354)),'Students'!$AG$2:$AG$701,0),""))))</f>
        <v/>
      </c>
      <c r="R354">
        <f>IF(P354="","",INDEX('Students'!$AD$2:$AD$701,P354))</f>
        <v/>
      </c>
      <c r="S354">
        <f>IF(H354="OK",O354,0)</f>
        <v/>
      </c>
      <c r="T354">
        <f>IF(H354="OK",N354,"")</f>
        <v/>
      </c>
      <c r="U354">
        <f>IF(OC_Donor=0,"",IF(INDEX('OneCause_Paste'!$A$354:$AZ$354,1,OC_Donor)="","",INDEX('OneCause_Paste'!$A$354:$AZ$354,1,OC_Donor)))</f>
        <v/>
      </c>
    </row>
    <row r="355">
      <c r="A355" s="62">
        <f>IF(H355="","",IF(ISNUMBER(N355),N355,I355))</f>
        <v/>
      </c>
      <c r="B355">
        <f>IF(H355="","",U355)</f>
        <v/>
      </c>
      <c r="C355">
        <f>IF(H355="","",IF(P355="",K355,INDEX('Students'!$A$2:$A$701,P355)))</f>
        <v/>
      </c>
      <c r="D355">
        <f>IF(OR(H355="",P355=""),"",INDEX('Students'!$B$2:$B$701,P355))</f>
        <v/>
      </c>
      <c r="E355">
        <f>IF(OR(H355="",P355=""),"",INDEX('Students'!$C$2:$C$701,P355))</f>
        <v/>
      </c>
      <c r="F355" s="48">
        <f>IF(H355="","",IF(ISNUMBER(O355),O355,J355))</f>
        <v/>
      </c>
      <c r="G355">
        <f>IF(H355="","","OneCause")</f>
        <v/>
      </c>
      <c r="H355">
        <f>IF(AND(I355="",J355="",K355=""),"",IF(NOT(ISNUMBER(O355)),"Bad amount",IF(O355&lt;0,"Refund (not counted)",IF(O355=0,"Zero amount",IF(NOT(ISNUMBER(N355)),"Bad date",IF(P355="","NAME NOT ON ROSTER",IF(L355="","OK",IF(MATCH(L355,$L$2:$L$3001,0)&lt;ROW()-1,"Duplicate (ignored)","OK"))))))))</f>
        <v/>
      </c>
      <c r="I355">
        <f>IF(OC_Date=0,"",IF(INDEX('OneCause_Paste'!$A$355:$AZ$355,1,OC_Date)="","",INDEX('OneCause_Paste'!$A$355:$AZ$355,1,OC_Date)))</f>
        <v/>
      </c>
      <c r="J355">
        <f>IF(OC_Amt=0,"",IF(INDEX('OneCause_Paste'!$A$355:$AZ$355,1,OC_Amt)="","",INDEX('OneCause_Paste'!$A$355:$AZ$355,1,OC_Amt)))</f>
        <v/>
      </c>
      <c r="K355">
        <f>IF(OC_Name=0,"",IF(INDEX('OneCause_Paste'!$A$355:$AZ$355,1,OC_Name)="","",INDEX('OneCause_Paste'!$A$355:$AZ$355,1,OC_Name)))</f>
        <v/>
      </c>
      <c r="L355">
        <f>IF(OC_Txn=0,"",IF(INDEX('OneCause_Paste'!$A$355:$AZ$355,1,OC_Txn)="","",INDEX('OneCause_Paste'!$A$355:$AZ$355,1,OC_Txn)))</f>
        <v/>
      </c>
      <c r="M355">
        <f>IF(OC_Pay=0,"",IF(INDEX('OneCause_Paste'!$A$355:$AZ$355,1,OC_Pay)="","",INDEX('OneCause_Paste'!$A$355:$AZ$355,1,OC_Pay)))</f>
        <v/>
      </c>
      <c r="N355">
        <f>IF(I355="","",IF(ISNUMBER(I355),INT(I355),IFERROR(INT(DATEVALUE(I355)),IFERROR(INT(VALUE(I355)),"bad"))))</f>
        <v/>
      </c>
      <c r="O355">
        <f>IF(J355="","",IF(ISNUMBER(J355),ROUND(J355,2),IFERROR(ROUND(VALUE(SUBSTITUTE(SUBSTITUTE(SUBSTITUTE(J355,"$",""),",","")," ","")),2),"bad")))</f>
        <v/>
      </c>
      <c r="P355">
        <f>IF(TRIM(K355)="","",IFERROR(MATCH(LOWER(TRIM(K355)),'Students'!$AH$2:$AH$701,0),IFERROR(MATCH(LOWER(TRIM(K355)),'Students'!$AF$2:$AF$701,0),IFERROR(MATCH(LOWER(TRIM(K355)),'Students'!$AG$2:$AG$701,0),""))))</f>
        <v/>
      </c>
      <c r="R355">
        <f>IF(P355="","",INDEX('Students'!$AD$2:$AD$701,P355))</f>
        <v/>
      </c>
      <c r="S355">
        <f>IF(H355="OK",O355,0)</f>
        <v/>
      </c>
      <c r="T355">
        <f>IF(H355="OK",N355,"")</f>
        <v/>
      </c>
      <c r="U355">
        <f>IF(OC_Donor=0,"",IF(INDEX('OneCause_Paste'!$A$355:$AZ$355,1,OC_Donor)="","",INDEX('OneCause_Paste'!$A$355:$AZ$355,1,OC_Donor)))</f>
        <v/>
      </c>
    </row>
    <row r="356">
      <c r="A356" s="62">
        <f>IF(H356="","",IF(ISNUMBER(N356),N356,I356))</f>
        <v/>
      </c>
      <c r="B356">
        <f>IF(H356="","",U356)</f>
        <v/>
      </c>
      <c r="C356">
        <f>IF(H356="","",IF(P356="",K356,INDEX('Students'!$A$2:$A$701,P356)))</f>
        <v/>
      </c>
      <c r="D356">
        <f>IF(OR(H356="",P356=""),"",INDEX('Students'!$B$2:$B$701,P356))</f>
        <v/>
      </c>
      <c r="E356">
        <f>IF(OR(H356="",P356=""),"",INDEX('Students'!$C$2:$C$701,P356))</f>
        <v/>
      </c>
      <c r="F356" s="48">
        <f>IF(H356="","",IF(ISNUMBER(O356),O356,J356))</f>
        <v/>
      </c>
      <c r="G356">
        <f>IF(H356="","","OneCause")</f>
        <v/>
      </c>
      <c r="H356">
        <f>IF(AND(I356="",J356="",K356=""),"",IF(NOT(ISNUMBER(O356)),"Bad amount",IF(O356&lt;0,"Refund (not counted)",IF(O356=0,"Zero amount",IF(NOT(ISNUMBER(N356)),"Bad date",IF(P356="","NAME NOT ON ROSTER",IF(L356="","OK",IF(MATCH(L356,$L$2:$L$3001,0)&lt;ROW()-1,"Duplicate (ignored)","OK"))))))))</f>
        <v/>
      </c>
      <c r="I356">
        <f>IF(OC_Date=0,"",IF(INDEX('OneCause_Paste'!$A$356:$AZ$356,1,OC_Date)="","",INDEX('OneCause_Paste'!$A$356:$AZ$356,1,OC_Date)))</f>
        <v/>
      </c>
      <c r="J356">
        <f>IF(OC_Amt=0,"",IF(INDEX('OneCause_Paste'!$A$356:$AZ$356,1,OC_Amt)="","",INDEX('OneCause_Paste'!$A$356:$AZ$356,1,OC_Amt)))</f>
        <v/>
      </c>
      <c r="K356">
        <f>IF(OC_Name=0,"",IF(INDEX('OneCause_Paste'!$A$356:$AZ$356,1,OC_Name)="","",INDEX('OneCause_Paste'!$A$356:$AZ$356,1,OC_Name)))</f>
        <v/>
      </c>
      <c r="L356">
        <f>IF(OC_Txn=0,"",IF(INDEX('OneCause_Paste'!$A$356:$AZ$356,1,OC_Txn)="","",INDEX('OneCause_Paste'!$A$356:$AZ$356,1,OC_Txn)))</f>
        <v/>
      </c>
      <c r="M356">
        <f>IF(OC_Pay=0,"",IF(INDEX('OneCause_Paste'!$A$356:$AZ$356,1,OC_Pay)="","",INDEX('OneCause_Paste'!$A$356:$AZ$356,1,OC_Pay)))</f>
        <v/>
      </c>
      <c r="N356">
        <f>IF(I356="","",IF(ISNUMBER(I356),INT(I356),IFERROR(INT(DATEVALUE(I356)),IFERROR(INT(VALUE(I356)),"bad"))))</f>
        <v/>
      </c>
      <c r="O356">
        <f>IF(J356="","",IF(ISNUMBER(J356),ROUND(J356,2),IFERROR(ROUND(VALUE(SUBSTITUTE(SUBSTITUTE(SUBSTITUTE(J356,"$",""),",","")," ","")),2),"bad")))</f>
        <v/>
      </c>
      <c r="P356">
        <f>IF(TRIM(K356)="","",IFERROR(MATCH(LOWER(TRIM(K356)),'Students'!$AH$2:$AH$701,0),IFERROR(MATCH(LOWER(TRIM(K356)),'Students'!$AF$2:$AF$701,0),IFERROR(MATCH(LOWER(TRIM(K356)),'Students'!$AG$2:$AG$701,0),""))))</f>
        <v/>
      </c>
      <c r="R356">
        <f>IF(P356="","",INDEX('Students'!$AD$2:$AD$701,P356))</f>
        <v/>
      </c>
      <c r="S356">
        <f>IF(H356="OK",O356,0)</f>
        <v/>
      </c>
      <c r="T356">
        <f>IF(H356="OK",N356,"")</f>
        <v/>
      </c>
      <c r="U356">
        <f>IF(OC_Donor=0,"",IF(INDEX('OneCause_Paste'!$A$356:$AZ$356,1,OC_Donor)="","",INDEX('OneCause_Paste'!$A$356:$AZ$356,1,OC_Donor)))</f>
        <v/>
      </c>
    </row>
    <row r="357">
      <c r="A357" s="62">
        <f>IF(H357="","",IF(ISNUMBER(N357),N357,I357))</f>
        <v/>
      </c>
      <c r="B357">
        <f>IF(H357="","",U357)</f>
        <v/>
      </c>
      <c r="C357">
        <f>IF(H357="","",IF(P357="",K357,INDEX('Students'!$A$2:$A$701,P357)))</f>
        <v/>
      </c>
      <c r="D357">
        <f>IF(OR(H357="",P357=""),"",INDEX('Students'!$B$2:$B$701,P357))</f>
        <v/>
      </c>
      <c r="E357">
        <f>IF(OR(H357="",P357=""),"",INDEX('Students'!$C$2:$C$701,P357))</f>
        <v/>
      </c>
      <c r="F357" s="48">
        <f>IF(H357="","",IF(ISNUMBER(O357),O357,J357))</f>
        <v/>
      </c>
      <c r="G357">
        <f>IF(H357="","","OneCause")</f>
        <v/>
      </c>
      <c r="H357">
        <f>IF(AND(I357="",J357="",K357=""),"",IF(NOT(ISNUMBER(O357)),"Bad amount",IF(O357&lt;0,"Refund (not counted)",IF(O357=0,"Zero amount",IF(NOT(ISNUMBER(N357)),"Bad date",IF(P357="","NAME NOT ON ROSTER",IF(L357="","OK",IF(MATCH(L357,$L$2:$L$3001,0)&lt;ROW()-1,"Duplicate (ignored)","OK"))))))))</f>
        <v/>
      </c>
      <c r="I357">
        <f>IF(OC_Date=0,"",IF(INDEX('OneCause_Paste'!$A$357:$AZ$357,1,OC_Date)="","",INDEX('OneCause_Paste'!$A$357:$AZ$357,1,OC_Date)))</f>
        <v/>
      </c>
      <c r="J357">
        <f>IF(OC_Amt=0,"",IF(INDEX('OneCause_Paste'!$A$357:$AZ$357,1,OC_Amt)="","",INDEX('OneCause_Paste'!$A$357:$AZ$357,1,OC_Amt)))</f>
        <v/>
      </c>
      <c r="K357">
        <f>IF(OC_Name=0,"",IF(INDEX('OneCause_Paste'!$A$357:$AZ$357,1,OC_Name)="","",INDEX('OneCause_Paste'!$A$357:$AZ$357,1,OC_Name)))</f>
        <v/>
      </c>
      <c r="L357">
        <f>IF(OC_Txn=0,"",IF(INDEX('OneCause_Paste'!$A$357:$AZ$357,1,OC_Txn)="","",INDEX('OneCause_Paste'!$A$357:$AZ$357,1,OC_Txn)))</f>
        <v/>
      </c>
      <c r="M357">
        <f>IF(OC_Pay=0,"",IF(INDEX('OneCause_Paste'!$A$357:$AZ$357,1,OC_Pay)="","",INDEX('OneCause_Paste'!$A$357:$AZ$357,1,OC_Pay)))</f>
        <v/>
      </c>
      <c r="N357">
        <f>IF(I357="","",IF(ISNUMBER(I357),INT(I357),IFERROR(INT(DATEVALUE(I357)),IFERROR(INT(VALUE(I357)),"bad"))))</f>
        <v/>
      </c>
      <c r="O357">
        <f>IF(J357="","",IF(ISNUMBER(J357),ROUND(J357,2),IFERROR(ROUND(VALUE(SUBSTITUTE(SUBSTITUTE(SUBSTITUTE(J357,"$",""),",","")," ","")),2),"bad")))</f>
        <v/>
      </c>
      <c r="P357">
        <f>IF(TRIM(K357)="","",IFERROR(MATCH(LOWER(TRIM(K357)),'Students'!$AH$2:$AH$701,0),IFERROR(MATCH(LOWER(TRIM(K357)),'Students'!$AF$2:$AF$701,0),IFERROR(MATCH(LOWER(TRIM(K357)),'Students'!$AG$2:$AG$701,0),""))))</f>
        <v/>
      </c>
      <c r="R357">
        <f>IF(P357="","",INDEX('Students'!$AD$2:$AD$701,P357))</f>
        <v/>
      </c>
      <c r="S357">
        <f>IF(H357="OK",O357,0)</f>
        <v/>
      </c>
      <c r="T357">
        <f>IF(H357="OK",N357,"")</f>
        <v/>
      </c>
      <c r="U357">
        <f>IF(OC_Donor=0,"",IF(INDEX('OneCause_Paste'!$A$357:$AZ$357,1,OC_Donor)="","",INDEX('OneCause_Paste'!$A$357:$AZ$357,1,OC_Donor)))</f>
        <v/>
      </c>
    </row>
    <row r="358">
      <c r="A358" s="62">
        <f>IF(H358="","",IF(ISNUMBER(N358),N358,I358))</f>
        <v/>
      </c>
      <c r="B358">
        <f>IF(H358="","",U358)</f>
        <v/>
      </c>
      <c r="C358">
        <f>IF(H358="","",IF(P358="",K358,INDEX('Students'!$A$2:$A$701,P358)))</f>
        <v/>
      </c>
      <c r="D358">
        <f>IF(OR(H358="",P358=""),"",INDEX('Students'!$B$2:$B$701,P358))</f>
        <v/>
      </c>
      <c r="E358">
        <f>IF(OR(H358="",P358=""),"",INDEX('Students'!$C$2:$C$701,P358))</f>
        <v/>
      </c>
      <c r="F358" s="48">
        <f>IF(H358="","",IF(ISNUMBER(O358),O358,J358))</f>
        <v/>
      </c>
      <c r="G358">
        <f>IF(H358="","","OneCause")</f>
        <v/>
      </c>
      <c r="H358">
        <f>IF(AND(I358="",J358="",K358=""),"",IF(NOT(ISNUMBER(O358)),"Bad amount",IF(O358&lt;0,"Refund (not counted)",IF(O358=0,"Zero amount",IF(NOT(ISNUMBER(N358)),"Bad date",IF(P358="","NAME NOT ON ROSTER",IF(L358="","OK",IF(MATCH(L358,$L$2:$L$3001,0)&lt;ROW()-1,"Duplicate (ignored)","OK"))))))))</f>
        <v/>
      </c>
      <c r="I358">
        <f>IF(OC_Date=0,"",IF(INDEX('OneCause_Paste'!$A$358:$AZ$358,1,OC_Date)="","",INDEX('OneCause_Paste'!$A$358:$AZ$358,1,OC_Date)))</f>
        <v/>
      </c>
      <c r="J358">
        <f>IF(OC_Amt=0,"",IF(INDEX('OneCause_Paste'!$A$358:$AZ$358,1,OC_Amt)="","",INDEX('OneCause_Paste'!$A$358:$AZ$358,1,OC_Amt)))</f>
        <v/>
      </c>
      <c r="K358">
        <f>IF(OC_Name=0,"",IF(INDEX('OneCause_Paste'!$A$358:$AZ$358,1,OC_Name)="","",INDEX('OneCause_Paste'!$A$358:$AZ$358,1,OC_Name)))</f>
        <v/>
      </c>
      <c r="L358">
        <f>IF(OC_Txn=0,"",IF(INDEX('OneCause_Paste'!$A$358:$AZ$358,1,OC_Txn)="","",INDEX('OneCause_Paste'!$A$358:$AZ$358,1,OC_Txn)))</f>
        <v/>
      </c>
      <c r="M358">
        <f>IF(OC_Pay=0,"",IF(INDEX('OneCause_Paste'!$A$358:$AZ$358,1,OC_Pay)="","",INDEX('OneCause_Paste'!$A$358:$AZ$358,1,OC_Pay)))</f>
        <v/>
      </c>
      <c r="N358">
        <f>IF(I358="","",IF(ISNUMBER(I358),INT(I358),IFERROR(INT(DATEVALUE(I358)),IFERROR(INT(VALUE(I358)),"bad"))))</f>
        <v/>
      </c>
      <c r="O358">
        <f>IF(J358="","",IF(ISNUMBER(J358),ROUND(J358,2),IFERROR(ROUND(VALUE(SUBSTITUTE(SUBSTITUTE(SUBSTITUTE(J358,"$",""),",","")," ","")),2),"bad")))</f>
        <v/>
      </c>
      <c r="P358">
        <f>IF(TRIM(K358)="","",IFERROR(MATCH(LOWER(TRIM(K358)),'Students'!$AH$2:$AH$701,0),IFERROR(MATCH(LOWER(TRIM(K358)),'Students'!$AF$2:$AF$701,0),IFERROR(MATCH(LOWER(TRIM(K358)),'Students'!$AG$2:$AG$701,0),""))))</f>
        <v/>
      </c>
      <c r="R358">
        <f>IF(P358="","",INDEX('Students'!$AD$2:$AD$701,P358))</f>
        <v/>
      </c>
      <c r="S358">
        <f>IF(H358="OK",O358,0)</f>
        <v/>
      </c>
      <c r="T358">
        <f>IF(H358="OK",N358,"")</f>
        <v/>
      </c>
      <c r="U358">
        <f>IF(OC_Donor=0,"",IF(INDEX('OneCause_Paste'!$A$358:$AZ$358,1,OC_Donor)="","",INDEX('OneCause_Paste'!$A$358:$AZ$358,1,OC_Donor)))</f>
        <v/>
      </c>
    </row>
    <row r="359">
      <c r="A359" s="62">
        <f>IF(H359="","",IF(ISNUMBER(N359),N359,I359))</f>
        <v/>
      </c>
      <c r="B359">
        <f>IF(H359="","",U359)</f>
        <v/>
      </c>
      <c r="C359">
        <f>IF(H359="","",IF(P359="",K359,INDEX('Students'!$A$2:$A$701,P359)))</f>
        <v/>
      </c>
      <c r="D359">
        <f>IF(OR(H359="",P359=""),"",INDEX('Students'!$B$2:$B$701,P359))</f>
        <v/>
      </c>
      <c r="E359">
        <f>IF(OR(H359="",P359=""),"",INDEX('Students'!$C$2:$C$701,P359))</f>
        <v/>
      </c>
      <c r="F359" s="48">
        <f>IF(H359="","",IF(ISNUMBER(O359),O359,J359))</f>
        <v/>
      </c>
      <c r="G359">
        <f>IF(H359="","","OneCause")</f>
        <v/>
      </c>
      <c r="H359">
        <f>IF(AND(I359="",J359="",K359=""),"",IF(NOT(ISNUMBER(O359)),"Bad amount",IF(O359&lt;0,"Refund (not counted)",IF(O359=0,"Zero amount",IF(NOT(ISNUMBER(N359)),"Bad date",IF(P359="","NAME NOT ON ROSTER",IF(L359="","OK",IF(MATCH(L359,$L$2:$L$3001,0)&lt;ROW()-1,"Duplicate (ignored)","OK"))))))))</f>
        <v/>
      </c>
      <c r="I359">
        <f>IF(OC_Date=0,"",IF(INDEX('OneCause_Paste'!$A$359:$AZ$359,1,OC_Date)="","",INDEX('OneCause_Paste'!$A$359:$AZ$359,1,OC_Date)))</f>
        <v/>
      </c>
      <c r="J359">
        <f>IF(OC_Amt=0,"",IF(INDEX('OneCause_Paste'!$A$359:$AZ$359,1,OC_Amt)="","",INDEX('OneCause_Paste'!$A$359:$AZ$359,1,OC_Amt)))</f>
        <v/>
      </c>
      <c r="K359">
        <f>IF(OC_Name=0,"",IF(INDEX('OneCause_Paste'!$A$359:$AZ$359,1,OC_Name)="","",INDEX('OneCause_Paste'!$A$359:$AZ$359,1,OC_Name)))</f>
        <v/>
      </c>
      <c r="L359">
        <f>IF(OC_Txn=0,"",IF(INDEX('OneCause_Paste'!$A$359:$AZ$359,1,OC_Txn)="","",INDEX('OneCause_Paste'!$A$359:$AZ$359,1,OC_Txn)))</f>
        <v/>
      </c>
      <c r="M359">
        <f>IF(OC_Pay=0,"",IF(INDEX('OneCause_Paste'!$A$359:$AZ$359,1,OC_Pay)="","",INDEX('OneCause_Paste'!$A$359:$AZ$359,1,OC_Pay)))</f>
        <v/>
      </c>
      <c r="N359">
        <f>IF(I359="","",IF(ISNUMBER(I359),INT(I359),IFERROR(INT(DATEVALUE(I359)),IFERROR(INT(VALUE(I359)),"bad"))))</f>
        <v/>
      </c>
      <c r="O359">
        <f>IF(J359="","",IF(ISNUMBER(J359),ROUND(J359,2),IFERROR(ROUND(VALUE(SUBSTITUTE(SUBSTITUTE(SUBSTITUTE(J359,"$",""),",","")," ","")),2),"bad")))</f>
        <v/>
      </c>
      <c r="P359">
        <f>IF(TRIM(K359)="","",IFERROR(MATCH(LOWER(TRIM(K359)),'Students'!$AH$2:$AH$701,0),IFERROR(MATCH(LOWER(TRIM(K359)),'Students'!$AF$2:$AF$701,0),IFERROR(MATCH(LOWER(TRIM(K359)),'Students'!$AG$2:$AG$701,0),""))))</f>
        <v/>
      </c>
      <c r="R359">
        <f>IF(P359="","",INDEX('Students'!$AD$2:$AD$701,P359))</f>
        <v/>
      </c>
      <c r="S359">
        <f>IF(H359="OK",O359,0)</f>
        <v/>
      </c>
      <c r="T359">
        <f>IF(H359="OK",N359,"")</f>
        <v/>
      </c>
      <c r="U359">
        <f>IF(OC_Donor=0,"",IF(INDEX('OneCause_Paste'!$A$359:$AZ$359,1,OC_Donor)="","",INDEX('OneCause_Paste'!$A$359:$AZ$359,1,OC_Donor)))</f>
        <v/>
      </c>
    </row>
    <row r="360">
      <c r="A360" s="62">
        <f>IF(H360="","",IF(ISNUMBER(N360),N360,I360))</f>
        <v/>
      </c>
      <c r="B360">
        <f>IF(H360="","",U360)</f>
        <v/>
      </c>
      <c r="C360">
        <f>IF(H360="","",IF(P360="",K360,INDEX('Students'!$A$2:$A$701,P360)))</f>
        <v/>
      </c>
      <c r="D360">
        <f>IF(OR(H360="",P360=""),"",INDEX('Students'!$B$2:$B$701,P360))</f>
        <v/>
      </c>
      <c r="E360">
        <f>IF(OR(H360="",P360=""),"",INDEX('Students'!$C$2:$C$701,P360))</f>
        <v/>
      </c>
      <c r="F360" s="48">
        <f>IF(H360="","",IF(ISNUMBER(O360),O360,J360))</f>
        <v/>
      </c>
      <c r="G360">
        <f>IF(H360="","","OneCause")</f>
        <v/>
      </c>
      <c r="H360">
        <f>IF(AND(I360="",J360="",K360=""),"",IF(NOT(ISNUMBER(O360)),"Bad amount",IF(O360&lt;0,"Refund (not counted)",IF(O360=0,"Zero amount",IF(NOT(ISNUMBER(N360)),"Bad date",IF(P360="","NAME NOT ON ROSTER",IF(L360="","OK",IF(MATCH(L360,$L$2:$L$3001,0)&lt;ROW()-1,"Duplicate (ignored)","OK"))))))))</f>
        <v/>
      </c>
      <c r="I360">
        <f>IF(OC_Date=0,"",IF(INDEX('OneCause_Paste'!$A$360:$AZ$360,1,OC_Date)="","",INDEX('OneCause_Paste'!$A$360:$AZ$360,1,OC_Date)))</f>
        <v/>
      </c>
      <c r="J360">
        <f>IF(OC_Amt=0,"",IF(INDEX('OneCause_Paste'!$A$360:$AZ$360,1,OC_Amt)="","",INDEX('OneCause_Paste'!$A$360:$AZ$360,1,OC_Amt)))</f>
        <v/>
      </c>
      <c r="K360">
        <f>IF(OC_Name=0,"",IF(INDEX('OneCause_Paste'!$A$360:$AZ$360,1,OC_Name)="","",INDEX('OneCause_Paste'!$A$360:$AZ$360,1,OC_Name)))</f>
        <v/>
      </c>
      <c r="L360">
        <f>IF(OC_Txn=0,"",IF(INDEX('OneCause_Paste'!$A$360:$AZ$360,1,OC_Txn)="","",INDEX('OneCause_Paste'!$A$360:$AZ$360,1,OC_Txn)))</f>
        <v/>
      </c>
      <c r="M360">
        <f>IF(OC_Pay=0,"",IF(INDEX('OneCause_Paste'!$A$360:$AZ$360,1,OC_Pay)="","",INDEX('OneCause_Paste'!$A$360:$AZ$360,1,OC_Pay)))</f>
        <v/>
      </c>
      <c r="N360">
        <f>IF(I360="","",IF(ISNUMBER(I360),INT(I360),IFERROR(INT(DATEVALUE(I360)),IFERROR(INT(VALUE(I360)),"bad"))))</f>
        <v/>
      </c>
      <c r="O360">
        <f>IF(J360="","",IF(ISNUMBER(J360),ROUND(J360,2),IFERROR(ROUND(VALUE(SUBSTITUTE(SUBSTITUTE(SUBSTITUTE(J360,"$",""),",","")," ","")),2),"bad")))</f>
        <v/>
      </c>
      <c r="P360">
        <f>IF(TRIM(K360)="","",IFERROR(MATCH(LOWER(TRIM(K360)),'Students'!$AH$2:$AH$701,0),IFERROR(MATCH(LOWER(TRIM(K360)),'Students'!$AF$2:$AF$701,0),IFERROR(MATCH(LOWER(TRIM(K360)),'Students'!$AG$2:$AG$701,0),""))))</f>
        <v/>
      </c>
      <c r="R360">
        <f>IF(P360="","",INDEX('Students'!$AD$2:$AD$701,P360))</f>
        <v/>
      </c>
      <c r="S360">
        <f>IF(H360="OK",O360,0)</f>
        <v/>
      </c>
      <c r="T360">
        <f>IF(H360="OK",N360,"")</f>
        <v/>
      </c>
      <c r="U360">
        <f>IF(OC_Donor=0,"",IF(INDEX('OneCause_Paste'!$A$360:$AZ$360,1,OC_Donor)="","",INDEX('OneCause_Paste'!$A$360:$AZ$360,1,OC_Donor)))</f>
        <v/>
      </c>
    </row>
    <row r="361">
      <c r="A361" s="62">
        <f>IF(H361="","",IF(ISNUMBER(N361),N361,I361))</f>
        <v/>
      </c>
      <c r="B361">
        <f>IF(H361="","",U361)</f>
        <v/>
      </c>
      <c r="C361">
        <f>IF(H361="","",IF(P361="",K361,INDEX('Students'!$A$2:$A$701,P361)))</f>
        <v/>
      </c>
      <c r="D361">
        <f>IF(OR(H361="",P361=""),"",INDEX('Students'!$B$2:$B$701,P361))</f>
        <v/>
      </c>
      <c r="E361">
        <f>IF(OR(H361="",P361=""),"",INDEX('Students'!$C$2:$C$701,P361))</f>
        <v/>
      </c>
      <c r="F361" s="48">
        <f>IF(H361="","",IF(ISNUMBER(O361),O361,J361))</f>
        <v/>
      </c>
      <c r="G361">
        <f>IF(H361="","","OneCause")</f>
        <v/>
      </c>
      <c r="H361">
        <f>IF(AND(I361="",J361="",K361=""),"",IF(NOT(ISNUMBER(O361)),"Bad amount",IF(O361&lt;0,"Refund (not counted)",IF(O361=0,"Zero amount",IF(NOT(ISNUMBER(N361)),"Bad date",IF(P361="","NAME NOT ON ROSTER",IF(L361="","OK",IF(MATCH(L361,$L$2:$L$3001,0)&lt;ROW()-1,"Duplicate (ignored)","OK"))))))))</f>
        <v/>
      </c>
      <c r="I361">
        <f>IF(OC_Date=0,"",IF(INDEX('OneCause_Paste'!$A$361:$AZ$361,1,OC_Date)="","",INDEX('OneCause_Paste'!$A$361:$AZ$361,1,OC_Date)))</f>
        <v/>
      </c>
      <c r="J361">
        <f>IF(OC_Amt=0,"",IF(INDEX('OneCause_Paste'!$A$361:$AZ$361,1,OC_Amt)="","",INDEX('OneCause_Paste'!$A$361:$AZ$361,1,OC_Amt)))</f>
        <v/>
      </c>
      <c r="K361">
        <f>IF(OC_Name=0,"",IF(INDEX('OneCause_Paste'!$A$361:$AZ$361,1,OC_Name)="","",INDEX('OneCause_Paste'!$A$361:$AZ$361,1,OC_Name)))</f>
        <v/>
      </c>
      <c r="L361">
        <f>IF(OC_Txn=0,"",IF(INDEX('OneCause_Paste'!$A$361:$AZ$361,1,OC_Txn)="","",INDEX('OneCause_Paste'!$A$361:$AZ$361,1,OC_Txn)))</f>
        <v/>
      </c>
      <c r="M361">
        <f>IF(OC_Pay=0,"",IF(INDEX('OneCause_Paste'!$A$361:$AZ$361,1,OC_Pay)="","",INDEX('OneCause_Paste'!$A$361:$AZ$361,1,OC_Pay)))</f>
        <v/>
      </c>
      <c r="N361">
        <f>IF(I361="","",IF(ISNUMBER(I361),INT(I361),IFERROR(INT(DATEVALUE(I361)),IFERROR(INT(VALUE(I361)),"bad"))))</f>
        <v/>
      </c>
      <c r="O361">
        <f>IF(J361="","",IF(ISNUMBER(J361),ROUND(J361,2),IFERROR(ROUND(VALUE(SUBSTITUTE(SUBSTITUTE(SUBSTITUTE(J361,"$",""),",","")," ","")),2),"bad")))</f>
        <v/>
      </c>
      <c r="P361">
        <f>IF(TRIM(K361)="","",IFERROR(MATCH(LOWER(TRIM(K361)),'Students'!$AH$2:$AH$701,0),IFERROR(MATCH(LOWER(TRIM(K361)),'Students'!$AF$2:$AF$701,0),IFERROR(MATCH(LOWER(TRIM(K361)),'Students'!$AG$2:$AG$701,0),""))))</f>
        <v/>
      </c>
      <c r="R361">
        <f>IF(P361="","",INDEX('Students'!$AD$2:$AD$701,P361))</f>
        <v/>
      </c>
      <c r="S361">
        <f>IF(H361="OK",O361,0)</f>
        <v/>
      </c>
      <c r="T361">
        <f>IF(H361="OK",N361,"")</f>
        <v/>
      </c>
      <c r="U361">
        <f>IF(OC_Donor=0,"",IF(INDEX('OneCause_Paste'!$A$361:$AZ$361,1,OC_Donor)="","",INDEX('OneCause_Paste'!$A$361:$AZ$361,1,OC_Donor)))</f>
        <v/>
      </c>
    </row>
    <row r="362">
      <c r="A362" s="62">
        <f>IF(H362="","",IF(ISNUMBER(N362),N362,I362))</f>
        <v/>
      </c>
      <c r="B362">
        <f>IF(H362="","",U362)</f>
        <v/>
      </c>
      <c r="C362">
        <f>IF(H362="","",IF(P362="",K362,INDEX('Students'!$A$2:$A$701,P362)))</f>
        <v/>
      </c>
      <c r="D362">
        <f>IF(OR(H362="",P362=""),"",INDEX('Students'!$B$2:$B$701,P362))</f>
        <v/>
      </c>
      <c r="E362">
        <f>IF(OR(H362="",P362=""),"",INDEX('Students'!$C$2:$C$701,P362))</f>
        <v/>
      </c>
      <c r="F362" s="48">
        <f>IF(H362="","",IF(ISNUMBER(O362),O362,J362))</f>
        <v/>
      </c>
      <c r="G362">
        <f>IF(H362="","","OneCause")</f>
        <v/>
      </c>
      <c r="H362">
        <f>IF(AND(I362="",J362="",K362=""),"",IF(NOT(ISNUMBER(O362)),"Bad amount",IF(O362&lt;0,"Refund (not counted)",IF(O362=0,"Zero amount",IF(NOT(ISNUMBER(N362)),"Bad date",IF(P362="","NAME NOT ON ROSTER",IF(L362="","OK",IF(MATCH(L362,$L$2:$L$3001,0)&lt;ROW()-1,"Duplicate (ignored)","OK"))))))))</f>
        <v/>
      </c>
      <c r="I362">
        <f>IF(OC_Date=0,"",IF(INDEX('OneCause_Paste'!$A$362:$AZ$362,1,OC_Date)="","",INDEX('OneCause_Paste'!$A$362:$AZ$362,1,OC_Date)))</f>
        <v/>
      </c>
      <c r="J362">
        <f>IF(OC_Amt=0,"",IF(INDEX('OneCause_Paste'!$A$362:$AZ$362,1,OC_Amt)="","",INDEX('OneCause_Paste'!$A$362:$AZ$362,1,OC_Amt)))</f>
        <v/>
      </c>
      <c r="K362">
        <f>IF(OC_Name=0,"",IF(INDEX('OneCause_Paste'!$A$362:$AZ$362,1,OC_Name)="","",INDEX('OneCause_Paste'!$A$362:$AZ$362,1,OC_Name)))</f>
        <v/>
      </c>
      <c r="L362">
        <f>IF(OC_Txn=0,"",IF(INDEX('OneCause_Paste'!$A$362:$AZ$362,1,OC_Txn)="","",INDEX('OneCause_Paste'!$A$362:$AZ$362,1,OC_Txn)))</f>
        <v/>
      </c>
      <c r="M362">
        <f>IF(OC_Pay=0,"",IF(INDEX('OneCause_Paste'!$A$362:$AZ$362,1,OC_Pay)="","",INDEX('OneCause_Paste'!$A$362:$AZ$362,1,OC_Pay)))</f>
        <v/>
      </c>
      <c r="N362">
        <f>IF(I362="","",IF(ISNUMBER(I362),INT(I362),IFERROR(INT(DATEVALUE(I362)),IFERROR(INT(VALUE(I362)),"bad"))))</f>
        <v/>
      </c>
      <c r="O362">
        <f>IF(J362="","",IF(ISNUMBER(J362),ROUND(J362,2),IFERROR(ROUND(VALUE(SUBSTITUTE(SUBSTITUTE(SUBSTITUTE(J362,"$",""),",","")," ","")),2),"bad")))</f>
        <v/>
      </c>
      <c r="P362">
        <f>IF(TRIM(K362)="","",IFERROR(MATCH(LOWER(TRIM(K362)),'Students'!$AH$2:$AH$701,0),IFERROR(MATCH(LOWER(TRIM(K362)),'Students'!$AF$2:$AF$701,0),IFERROR(MATCH(LOWER(TRIM(K362)),'Students'!$AG$2:$AG$701,0),""))))</f>
        <v/>
      </c>
      <c r="R362">
        <f>IF(P362="","",INDEX('Students'!$AD$2:$AD$701,P362))</f>
        <v/>
      </c>
      <c r="S362">
        <f>IF(H362="OK",O362,0)</f>
        <v/>
      </c>
      <c r="T362">
        <f>IF(H362="OK",N362,"")</f>
        <v/>
      </c>
      <c r="U362">
        <f>IF(OC_Donor=0,"",IF(INDEX('OneCause_Paste'!$A$362:$AZ$362,1,OC_Donor)="","",INDEX('OneCause_Paste'!$A$362:$AZ$362,1,OC_Donor)))</f>
        <v/>
      </c>
    </row>
    <row r="363">
      <c r="A363" s="62">
        <f>IF(H363="","",IF(ISNUMBER(N363),N363,I363))</f>
        <v/>
      </c>
      <c r="B363">
        <f>IF(H363="","",U363)</f>
        <v/>
      </c>
      <c r="C363">
        <f>IF(H363="","",IF(P363="",K363,INDEX('Students'!$A$2:$A$701,P363)))</f>
        <v/>
      </c>
      <c r="D363">
        <f>IF(OR(H363="",P363=""),"",INDEX('Students'!$B$2:$B$701,P363))</f>
        <v/>
      </c>
      <c r="E363">
        <f>IF(OR(H363="",P363=""),"",INDEX('Students'!$C$2:$C$701,P363))</f>
        <v/>
      </c>
      <c r="F363" s="48">
        <f>IF(H363="","",IF(ISNUMBER(O363),O363,J363))</f>
        <v/>
      </c>
      <c r="G363">
        <f>IF(H363="","","OneCause")</f>
        <v/>
      </c>
      <c r="H363">
        <f>IF(AND(I363="",J363="",K363=""),"",IF(NOT(ISNUMBER(O363)),"Bad amount",IF(O363&lt;0,"Refund (not counted)",IF(O363=0,"Zero amount",IF(NOT(ISNUMBER(N363)),"Bad date",IF(P363="","NAME NOT ON ROSTER",IF(L363="","OK",IF(MATCH(L363,$L$2:$L$3001,0)&lt;ROW()-1,"Duplicate (ignored)","OK"))))))))</f>
        <v/>
      </c>
      <c r="I363">
        <f>IF(OC_Date=0,"",IF(INDEX('OneCause_Paste'!$A$363:$AZ$363,1,OC_Date)="","",INDEX('OneCause_Paste'!$A$363:$AZ$363,1,OC_Date)))</f>
        <v/>
      </c>
      <c r="J363">
        <f>IF(OC_Amt=0,"",IF(INDEX('OneCause_Paste'!$A$363:$AZ$363,1,OC_Amt)="","",INDEX('OneCause_Paste'!$A$363:$AZ$363,1,OC_Amt)))</f>
        <v/>
      </c>
      <c r="K363">
        <f>IF(OC_Name=0,"",IF(INDEX('OneCause_Paste'!$A$363:$AZ$363,1,OC_Name)="","",INDEX('OneCause_Paste'!$A$363:$AZ$363,1,OC_Name)))</f>
        <v/>
      </c>
      <c r="L363">
        <f>IF(OC_Txn=0,"",IF(INDEX('OneCause_Paste'!$A$363:$AZ$363,1,OC_Txn)="","",INDEX('OneCause_Paste'!$A$363:$AZ$363,1,OC_Txn)))</f>
        <v/>
      </c>
      <c r="M363">
        <f>IF(OC_Pay=0,"",IF(INDEX('OneCause_Paste'!$A$363:$AZ$363,1,OC_Pay)="","",INDEX('OneCause_Paste'!$A$363:$AZ$363,1,OC_Pay)))</f>
        <v/>
      </c>
      <c r="N363">
        <f>IF(I363="","",IF(ISNUMBER(I363),INT(I363),IFERROR(INT(DATEVALUE(I363)),IFERROR(INT(VALUE(I363)),"bad"))))</f>
        <v/>
      </c>
      <c r="O363">
        <f>IF(J363="","",IF(ISNUMBER(J363),ROUND(J363,2),IFERROR(ROUND(VALUE(SUBSTITUTE(SUBSTITUTE(SUBSTITUTE(J363,"$",""),",","")," ","")),2),"bad")))</f>
        <v/>
      </c>
      <c r="P363">
        <f>IF(TRIM(K363)="","",IFERROR(MATCH(LOWER(TRIM(K363)),'Students'!$AH$2:$AH$701,0),IFERROR(MATCH(LOWER(TRIM(K363)),'Students'!$AF$2:$AF$701,0),IFERROR(MATCH(LOWER(TRIM(K363)),'Students'!$AG$2:$AG$701,0),""))))</f>
        <v/>
      </c>
      <c r="R363">
        <f>IF(P363="","",INDEX('Students'!$AD$2:$AD$701,P363))</f>
        <v/>
      </c>
      <c r="S363">
        <f>IF(H363="OK",O363,0)</f>
        <v/>
      </c>
      <c r="T363">
        <f>IF(H363="OK",N363,"")</f>
        <v/>
      </c>
      <c r="U363">
        <f>IF(OC_Donor=0,"",IF(INDEX('OneCause_Paste'!$A$363:$AZ$363,1,OC_Donor)="","",INDEX('OneCause_Paste'!$A$363:$AZ$363,1,OC_Donor)))</f>
        <v/>
      </c>
    </row>
    <row r="364">
      <c r="A364" s="62">
        <f>IF(H364="","",IF(ISNUMBER(N364),N364,I364))</f>
        <v/>
      </c>
      <c r="B364">
        <f>IF(H364="","",U364)</f>
        <v/>
      </c>
      <c r="C364">
        <f>IF(H364="","",IF(P364="",K364,INDEX('Students'!$A$2:$A$701,P364)))</f>
        <v/>
      </c>
      <c r="D364">
        <f>IF(OR(H364="",P364=""),"",INDEX('Students'!$B$2:$B$701,P364))</f>
        <v/>
      </c>
      <c r="E364">
        <f>IF(OR(H364="",P364=""),"",INDEX('Students'!$C$2:$C$701,P364))</f>
        <v/>
      </c>
      <c r="F364" s="48">
        <f>IF(H364="","",IF(ISNUMBER(O364),O364,J364))</f>
        <v/>
      </c>
      <c r="G364">
        <f>IF(H364="","","OneCause")</f>
        <v/>
      </c>
      <c r="H364">
        <f>IF(AND(I364="",J364="",K364=""),"",IF(NOT(ISNUMBER(O364)),"Bad amount",IF(O364&lt;0,"Refund (not counted)",IF(O364=0,"Zero amount",IF(NOT(ISNUMBER(N364)),"Bad date",IF(P364="","NAME NOT ON ROSTER",IF(L364="","OK",IF(MATCH(L364,$L$2:$L$3001,0)&lt;ROW()-1,"Duplicate (ignored)","OK"))))))))</f>
        <v/>
      </c>
      <c r="I364">
        <f>IF(OC_Date=0,"",IF(INDEX('OneCause_Paste'!$A$364:$AZ$364,1,OC_Date)="","",INDEX('OneCause_Paste'!$A$364:$AZ$364,1,OC_Date)))</f>
        <v/>
      </c>
      <c r="J364">
        <f>IF(OC_Amt=0,"",IF(INDEX('OneCause_Paste'!$A$364:$AZ$364,1,OC_Amt)="","",INDEX('OneCause_Paste'!$A$364:$AZ$364,1,OC_Amt)))</f>
        <v/>
      </c>
      <c r="K364">
        <f>IF(OC_Name=0,"",IF(INDEX('OneCause_Paste'!$A$364:$AZ$364,1,OC_Name)="","",INDEX('OneCause_Paste'!$A$364:$AZ$364,1,OC_Name)))</f>
        <v/>
      </c>
      <c r="L364">
        <f>IF(OC_Txn=0,"",IF(INDEX('OneCause_Paste'!$A$364:$AZ$364,1,OC_Txn)="","",INDEX('OneCause_Paste'!$A$364:$AZ$364,1,OC_Txn)))</f>
        <v/>
      </c>
      <c r="M364">
        <f>IF(OC_Pay=0,"",IF(INDEX('OneCause_Paste'!$A$364:$AZ$364,1,OC_Pay)="","",INDEX('OneCause_Paste'!$A$364:$AZ$364,1,OC_Pay)))</f>
        <v/>
      </c>
      <c r="N364">
        <f>IF(I364="","",IF(ISNUMBER(I364),INT(I364),IFERROR(INT(DATEVALUE(I364)),IFERROR(INT(VALUE(I364)),"bad"))))</f>
        <v/>
      </c>
      <c r="O364">
        <f>IF(J364="","",IF(ISNUMBER(J364),ROUND(J364,2),IFERROR(ROUND(VALUE(SUBSTITUTE(SUBSTITUTE(SUBSTITUTE(J364,"$",""),",","")," ","")),2),"bad")))</f>
        <v/>
      </c>
      <c r="P364">
        <f>IF(TRIM(K364)="","",IFERROR(MATCH(LOWER(TRIM(K364)),'Students'!$AH$2:$AH$701,0),IFERROR(MATCH(LOWER(TRIM(K364)),'Students'!$AF$2:$AF$701,0),IFERROR(MATCH(LOWER(TRIM(K364)),'Students'!$AG$2:$AG$701,0),""))))</f>
        <v/>
      </c>
      <c r="R364">
        <f>IF(P364="","",INDEX('Students'!$AD$2:$AD$701,P364))</f>
        <v/>
      </c>
      <c r="S364">
        <f>IF(H364="OK",O364,0)</f>
        <v/>
      </c>
      <c r="T364">
        <f>IF(H364="OK",N364,"")</f>
        <v/>
      </c>
      <c r="U364">
        <f>IF(OC_Donor=0,"",IF(INDEX('OneCause_Paste'!$A$364:$AZ$364,1,OC_Donor)="","",INDEX('OneCause_Paste'!$A$364:$AZ$364,1,OC_Donor)))</f>
        <v/>
      </c>
    </row>
    <row r="365">
      <c r="A365" s="62">
        <f>IF(H365="","",IF(ISNUMBER(N365),N365,I365))</f>
        <v/>
      </c>
      <c r="B365">
        <f>IF(H365="","",U365)</f>
        <v/>
      </c>
      <c r="C365">
        <f>IF(H365="","",IF(P365="",K365,INDEX('Students'!$A$2:$A$701,P365)))</f>
        <v/>
      </c>
      <c r="D365">
        <f>IF(OR(H365="",P365=""),"",INDEX('Students'!$B$2:$B$701,P365))</f>
        <v/>
      </c>
      <c r="E365">
        <f>IF(OR(H365="",P365=""),"",INDEX('Students'!$C$2:$C$701,P365))</f>
        <v/>
      </c>
      <c r="F365" s="48">
        <f>IF(H365="","",IF(ISNUMBER(O365),O365,J365))</f>
        <v/>
      </c>
      <c r="G365">
        <f>IF(H365="","","OneCause")</f>
        <v/>
      </c>
      <c r="H365">
        <f>IF(AND(I365="",J365="",K365=""),"",IF(NOT(ISNUMBER(O365)),"Bad amount",IF(O365&lt;0,"Refund (not counted)",IF(O365=0,"Zero amount",IF(NOT(ISNUMBER(N365)),"Bad date",IF(P365="","NAME NOT ON ROSTER",IF(L365="","OK",IF(MATCH(L365,$L$2:$L$3001,0)&lt;ROW()-1,"Duplicate (ignored)","OK"))))))))</f>
        <v/>
      </c>
      <c r="I365">
        <f>IF(OC_Date=0,"",IF(INDEX('OneCause_Paste'!$A$365:$AZ$365,1,OC_Date)="","",INDEX('OneCause_Paste'!$A$365:$AZ$365,1,OC_Date)))</f>
        <v/>
      </c>
      <c r="J365">
        <f>IF(OC_Amt=0,"",IF(INDEX('OneCause_Paste'!$A$365:$AZ$365,1,OC_Amt)="","",INDEX('OneCause_Paste'!$A$365:$AZ$365,1,OC_Amt)))</f>
        <v/>
      </c>
      <c r="K365">
        <f>IF(OC_Name=0,"",IF(INDEX('OneCause_Paste'!$A$365:$AZ$365,1,OC_Name)="","",INDEX('OneCause_Paste'!$A$365:$AZ$365,1,OC_Name)))</f>
        <v/>
      </c>
      <c r="L365">
        <f>IF(OC_Txn=0,"",IF(INDEX('OneCause_Paste'!$A$365:$AZ$365,1,OC_Txn)="","",INDEX('OneCause_Paste'!$A$365:$AZ$365,1,OC_Txn)))</f>
        <v/>
      </c>
      <c r="M365">
        <f>IF(OC_Pay=0,"",IF(INDEX('OneCause_Paste'!$A$365:$AZ$365,1,OC_Pay)="","",INDEX('OneCause_Paste'!$A$365:$AZ$365,1,OC_Pay)))</f>
        <v/>
      </c>
      <c r="N365">
        <f>IF(I365="","",IF(ISNUMBER(I365),INT(I365),IFERROR(INT(DATEVALUE(I365)),IFERROR(INT(VALUE(I365)),"bad"))))</f>
        <v/>
      </c>
      <c r="O365">
        <f>IF(J365="","",IF(ISNUMBER(J365),ROUND(J365,2),IFERROR(ROUND(VALUE(SUBSTITUTE(SUBSTITUTE(SUBSTITUTE(J365,"$",""),",","")," ","")),2),"bad")))</f>
        <v/>
      </c>
      <c r="P365">
        <f>IF(TRIM(K365)="","",IFERROR(MATCH(LOWER(TRIM(K365)),'Students'!$AH$2:$AH$701,0),IFERROR(MATCH(LOWER(TRIM(K365)),'Students'!$AF$2:$AF$701,0),IFERROR(MATCH(LOWER(TRIM(K365)),'Students'!$AG$2:$AG$701,0),""))))</f>
        <v/>
      </c>
      <c r="R365">
        <f>IF(P365="","",INDEX('Students'!$AD$2:$AD$701,P365))</f>
        <v/>
      </c>
      <c r="S365">
        <f>IF(H365="OK",O365,0)</f>
        <v/>
      </c>
      <c r="T365">
        <f>IF(H365="OK",N365,"")</f>
        <v/>
      </c>
      <c r="U365">
        <f>IF(OC_Donor=0,"",IF(INDEX('OneCause_Paste'!$A$365:$AZ$365,1,OC_Donor)="","",INDEX('OneCause_Paste'!$A$365:$AZ$365,1,OC_Donor)))</f>
        <v/>
      </c>
    </row>
    <row r="366">
      <c r="A366" s="62">
        <f>IF(H366="","",IF(ISNUMBER(N366),N366,I366))</f>
        <v/>
      </c>
      <c r="B366">
        <f>IF(H366="","",U366)</f>
        <v/>
      </c>
      <c r="C366">
        <f>IF(H366="","",IF(P366="",K366,INDEX('Students'!$A$2:$A$701,P366)))</f>
        <v/>
      </c>
      <c r="D366">
        <f>IF(OR(H366="",P366=""),"",INDEX('Students'!$B$2:$B$701,P366))</f>
        <v/>
      </c>
      <c r="E366">
        <f>IF(OR(H366="",P366=""),"",INDEX('Students'!$C$2:$C$701,P366))</f>
        <v/>
      </c>
      <c r="F366" s="48">
        <f>IF(H366="","",IF(ISNUMBER(O366),O366,J366))</f>
        <v/>
      </c>
      <c r="G366">
        <f>IF(H366="","","OneCause")</f>
        <v/>
      </c>
      <c r="H366">
        <f>IF(AND(I366="",J366="",K366=""),"",IF(NOT(ISNUMBER(O366)),"Bad amount",IF(O366&lt;0,"Refund (not counted)",IF(O366=0,"Zero amount",IF(NOT(ISNUMBER(N366)),"Bad date",IF(P366="","NAME NOT ON ROSTER",IF(L366="","OK",IF(MATCH(L366,$L$2:$L$3001,0)&lt;ROW()-1,"Duplicate (ignored)","OK"))))))))</f>
        <v/>
      </c>
      <c r="I366">
        <f>IF(OC_Date=0,"",IF(INDEX('OneCause_Paste'!$A$366:$AZ$366,1,OC_Date)="","",INDEX('OneCause_Paste'!$A$366:$AZ$366,1,OC_Date)))</f>
        <v/>
      </c>
      <c r="J366">
        <f>IF(OC_Amt=0,"",IF(INDEX('OneCause_Paste'!$A$366:$AZ$366,1,OC_Amt)="","",INDEX('OneCause_Paste'!$A$366:$AZ$366,1,OC_Amt)))</f>
        <v/>
      </c>
      <c r="K366">
        <f>IF(OC_Name=0,"",IF(INDEX('OneCause_Paste'!$A$366:$AZ$366,1,OC_Name)="","",INDEX('OneCause_Paste'!$A$366:$AZ$366,1,OC_Name)))</f>
        <v/>
      </c>
      <c r="L366">
        <f>IF(OC_Txn=0,"",IF(INDEX('OneCause_Paste'!$A$366:$AZ$366,1,OC_Txn)="","",INDEX('OneCause_Paste'!$A$366:$AZ$366,1,OC_Txn)))</f>
        <v/>
      </c>
      <c r="M366">
        <f>IF(OC_Pay=0,"",IF(INDEX('OneCause_Paste'!$A$366:$AZ$366,1,OC_Pay)="","",INDEX('OneCause_Paste'!$A$366:$AZ$366,1,OC_Pay)))</f>
        <v/>
      </c>
      <c r="N366">
        <f>IF(I366="","",IF(ISNUMBER(I366),INT(I366),IFERROR(INT(DATEVALUE(I366)),IFERROR(INT(VALUE(I366)),"bad"))))</f>
        <v/>
      </c>
      <c r="O366">
        <f>IF(J366="","",IF(ISNUMBER(J366),ROUND(J366,2),IFERROR(ROUND(VALUE(SUBSTITUTE(SUBSTITUTE(SUBSTITUTE(J366,"$",""),",","")," ","")),2),"bad")))</f>
        <v/>
      </c>
      <c r="P366">
        <f>IF(TRIM(K366)="","",IFERROR(MATCH(LOWER(TRIM(K366)),'Students'!$AH$2:$AH$701,0),IFERROR(MATCH(LOWER(TRIM(K366)),'Students'!$AF$2:$AF$701,0),IFERROR(MATCH(LOWER(TRIM(K366)),'Students'!$AG$2:$AG$701,0),""))))</f>
        <v/>
      </c>
      <c r="R366">
        <f>IF(P366="","",INDEX('Students'!$AD$2:$AD$701,P366))</f>
        <v/>
      </c>
      <c r="S366">
        <f>IF(H366="OK",O366,0)</f>
        <v/>
      </c>
      <c r="T366">
        <f>IF(H366="OK",N366,"")</f>
        <v/>
      </c>
      <c r="U366">
        <f>IF(OC_Donor=0,"",IF(INDEX('OneCause_Paste'!$A$366:$AZ$366,1,OC_Donor)="","",INDEX('OneCause_Paste'!$A$366:$AZ$366,1,OC_Donor)))</f>
        <v/>
      </c>
    </row>
    <row r="367">
      <c r="A367" s="62">
        <f>IF(H367="","",IF(ISNUMBER(N367),N367,I367))</f>
        <v/>
      </c>
      <c r="B367">
        <f>IF(H367="","",U367)</f>
        <v/>
      </c>
      <c r="C367">
        <f>IF(H367="","",IF(P367="",K367,INDEX('Students'!$A$2:$A$701,P367)))</f>
        <v/>
      </c>
      <c r="D367">
        <f>IF(OR(H367="",P367=""),"",INDEX('Students'!$B$2:$B$701,P367))</f>
        <v/>
      </c>
      <c r="E367">
        <f>IF(OR(H367="",P367=""),"",INDEX('Students'!$C$2:$C$701,P367))</f>
        <v/>
      </c>
      <c r="F367" s="48">
        <f>IF(H367="","",IF(ISNUMBER(O367),O367,J367))</f>
        <v/>
      </c>
      <c r="G367">
        <f>IF(H367="","","OneCause")</f>
        <v/>
      </c>
      <c r="H367">
        <f>IF(AND(I367="",J367="",K367=""),"",IF(NOT(ISNUMBER(O367)),"Bad amount",IF(O367&lt;0,"Refund (not counted)",IF(O367=0,"Zero amount",IF(NOT(ISNUMBER(N367)),"Bad date",IF(P367="","NAME NOT ON ROSTER",IF(L367="","OK",IF(MATCH(L367,$L$2:$L$3001,0)&lt;ROW()-1,"Duplicate (ignored)","OK"))))))))</f>
        <v/>
      </c>
      <c r="I367">
        <f>IF(OC_Date=0,"",IF(INDEX('OneCause_Paste'!$A$367:$AZ$367,1,OC_Date)="","",INDEX('OneCause_Paste'!$A$367:$AZ$367,1,OC_Date)))</f>
        <v/>
      </c>
      <c r="J367">
        <f>IF(OC_Amt=0,"",IF(INDEX('OneCause_Paste'!$A$367:$AZ$367,1,OC_Amt)="","",INDEX('OneCause_Paste'!$A$367:$AZ$367,1,OC_Amt)))</f>
        <v/>
      </c>
      <c r="K367">
        <f>IF(OC_Name=0,"",IF(INDEX('OneCause_Paste'!$A$367:$AZ$367,1,OC_Name)="","",INDEX('OneCause_Paste'!$A$367:$AZ$367,1,OC_Name)))</f>
        <v/>
      </c>
      <c r="L367">
        <f>IF(OC_Txn=0,"",IF(INDEX('OneCause_Paste'!$A$367:$AZ$367,1,OC_Txn)="","",INDEX('OneCause_Paste'!$A$367:$AZ$367,1,OC_Txn)))</f>
        <v/>
      </c>
      <c r="M367">
        <f>IF(OC_Pay=0,"",IF(INDEX('OneCause_Paste'!$A$367:$AZ$367,1,OC_Pay)="","",INDEX('OneCause_Paste'!$A$367:$AZ$367,1,OC_Pay)))</f>
        <v/>
      </c>
      <c r="N367">
        <f>IF(I367="","",IF(ISNUMBER(I367),INT(I367),IFERROR(INT(DATEVALUE(I367)),IFERROR(INT(VALUE(I367)),"bad"))))</f>
        <v/>
      </c>
      <c r="O367">
        <f>IF(J367="","",IF(ISNUMBER(J367),ROUND(J367,2),IFERROR(ROUND(VALUE(SUBSTITUTE(SUBSTITUTE(SUBSTITUTE(J367,"$",""),",","")," ","")),2),"bad")))</f>
        <v/>
      </c>
      <c r="P367">
        <f>IF(TRIM(K367)="","",IFERROR(MATCH(LOWER(TRIM(K367)),'Students'!$AH$2:$AH$701,0),IFERROR(MATCH(LOWER(TRIM(K367)),'Students'!$AF$2:$AF$701,0),IFERROR(MATCH(LOWER(TRIM(K367)),'Students'!$AG$2:$AG$701,0),""))))</f>
        <v/>
      </c>
      <c r="R367">
        <f>IF(P367="","",INDEX('Students'!$AD$2:$AD$701,P367))</f>
        <v/>
      </c>
      <c r="S367">
        <f>IF(H367="OK",O367,0)</f>
        <v/>
      </c>
      <c r="T367">
        <f>IF(H367="OK",N367,"")</f>
        <v/>
      </c>
      <c r="U367">
        <f>IF(OC_Donor=0,"",IF(INDEX('OneCause_Paste'!$A$367:$AZ$367,1,OC_Donor)="","",INDEX('OneCause_Paste'!$A$367:$AZ$367,1,OC_Donor)))</f>
        <v/>
      </c>
    </row>
    <row r="368">
      <c r="A368" s="62">
        <f>IF(H368="","",IF(ISNUMBER(N368),N368,I368))</f>
        <v/>
      </c>
      <c r="B368">
        <f>IF(H368="","",U368)</f>
        <v/>
      </c>
      <c r="C368">
        <f>IF(H368="","",IF(P368="",K368,INDEX('Students'!$A$2:$A$701,P368)))</f>
        <v/>
      </c>
      <c r="D368">
        <f>IF(OR(H368="",P368=""),"",INDEX('Students'!$B$2:$B$701,P368))</f>
        <v/>
      </c>
      <c r="E368">
        <f>IF(OR(H368="",P368=""),"",INDEX('Students'!$C$2:$C$701,P368))</f>
        <v/>
      </c>
      <c r="F368" s="48">
        <f>IF(H368="","",IF(ISNUMBER(O368),O368,J368))</f>
        <v/>
      </c>
      <c r="G368">
        <f>IF(H368="","","OneCause")</f>
        <v/>
      </c>
      <c r="H368">
        <f>IF(AND(I368="",J368="",K368=""),"",IF(NOT(ISNUMBER(O368)),"Bad amount",IF(O368&lt;0,"Refund (not counted)",IF(O368=0,"Zero amount",IF(NOT(ISNUMBER(N368)),"Bad date",IF(P368="","NAME NOT ON ROSTER",IF(L368="","OK",IF(MATCH(L368,$L$2:$L$3001,0)&lt;ROW()-1,"Duplicate (ignored)","OK"))))))))</f>
        <v/>
      </c>
      <c r="I368">
        <f>IF(OC_Date=0,"",IF(INDEX('OneCause_Paste'!$A$368:$AZ$368,1,OC_Date)="","",INDEX('OneCause_Paste'!$A$368:$AZ$368,1,OC_Date)))</f>
        <v/>
      </c>
      <c r="J368">
        <f>IF(OC_Amt=0,"",IF(INDEX('OneCause_Paste'!$A$368:$AZ$368,1,OC_Amt)="","",INDEX('OneCause_Paste'!$A$368:$AZ$368,1,OC_Amt)))</f>
        <v/>
      </c>
      <c r="K368">
        <f>IF(OC_Name=0,"",IF(INDEX('OneCause_Paste'!$A$368:$AZ$368,1,OC_Name)="","",INDEX('OneCause_Paste'!$A$368:$AZ$368,1,OC_Name)))</f>
        <v/>
      </c>
      <c r="L368">
        <f>IF(OC_Txn=0,"",IF(INDEX('OneCause_Paste'!$A$368:$AZ$368,1,OC_Txn)="","",INDEX('OneCause_Paste'!$A$368:$AZ$368,1,OC_Txn)))</f>
        <v/>
      </c>
      <c r="M368">
        <f>IF(OC_Pay=0,"",IF(INDEX('OneCause_Paste'!$A$368:$AZ$368,1,OC_Pay)="","",INDEX('OneCause_Paste'!$A$368:$AZ$368,1,OC_Pay)))</f>
        <v/>
      </c>
      <c r="N368">
        <f>IF(I368="","",IF(ISNUMBER(I368),INT(I368),IFERROR(INT(DATEVALUE(I368)),IFERROR(INT(VALUE(I368)),"bad"))))</f>
        <v/>
      </c>
      <c r="O368">
        <f>IF(J368="","",IF(ISNUMBER(J368),ROUND(J368,2),IFERROR(ROUND(VALUE(SUBSTITUTE(SUBSTITUTE(SUBSTITUTE(J368,"$",""),",","")," ","")),2),"bad")))</f>
        <v/>
      </c>
      <c r="P368">
        <f>IF(TRIM(K368)="","",IFERROR(MATCH(LOWER(TRIM(K368)),'Students'!$AH$2:$AH$701,0),IFERROR(MATCH(LOWER(TRIM(K368)),'Students'!$AF$2:$AF$701,0),IFERROR(MATCH(LOWER(TRIM(K368)),'Students'!$AG$2:$AG$701,0),""))))</f>
        <v/>
      </c>
      <c r="R368">
        <f>IF(P368="","",INDEX('Students'!$AD$2:$AD$701,P368))</f>
        <v/>
      </c>
      <c r="S368">
        <f>IF(H368="OK",O368,0)</f>
        <v/>
      </c>
      <c r="T368">
        <f>IF(H368="OK",N368,"")</f>
        <v/>
      </c>
      <c r="U368">
        <f>IF(OC_Donor=0,"",IF(INDEX('OneCause_Paste'!$A$368:$AZ$368,1,OC_Donor)="","",INDEX('OneCause_Paste'!$A$368:$AZ$368,1,OC_Donor)))</f>
        <v/>
      </c>
    </row>
    <row r="369">
      <c r="A369" s="62">
        <f>IF(H369="","",IF(ISNUMBER(N369),N369,I369))</f>
        <v/>
      </c>
      <c r="B369">
        <f>IF(H369="","",U369)</f>
        <v/>
      </c>
      <c r="C369">
        <f>IF(H369="","",IF(P369="",K369,INDEX('Students'!$A$2:$A$701,P369)))</f>
        <v/>
      </c>
      <c r="D369">
        <f>IF(OR(H369="",P369=""),"",INDEX('Students'!$B$2:$B$701,P369))</f>
        <v/>
      </c>
      <c r="E369">
        <f>IF(OR(H369="",P369=""),"",INDEX('Students'!$C$2:$C$701,P369))</f>
        <v/>
      </c>
      <c r="F369" s="48">
        <f>IF(H369="","",IF(ISNUMBER(O369),O369,J369))</f>
        <v/>
      </c>
      <c r="G369">
        <f>IF(H369="","","OneCause")</f>
        <v/>
      </c>
      <c r="H369">
        <f>IF(AND(I369="",J369="",K369=""),"",IF(NOT(ISNUMBER(O369)),"Bad amount",IF(O369&lt;0,"Refund (not counted)",IF(O369=0,"Zero amount",IF(NOT(ISNUMBER(N369)),"Bad date",IF(P369="","NAME NOT ON ROSTER",IF(L369="","OK",IF(MATCH(L369,$L$2:$L$3001,0)&lt;ROW()-1,"Duplicate (ignored)","OK"))))))))</f>
        <v/>
      </c>
      <c r="I369">
        <f>IF(OC_Date=0,"",IF(INDEX('OneCause_Paste'!$A$369:$AZ$369,1,OC_Date)="","",INDEX('OneCause_Paste'!$A$369:$AZ$369,1,OC_Date)))</f>
        <v/>
      </c>
      <c r="J369">
        <f>IF(OC_Amt=0,"",IF(INDEX('OneCause_Paste'!$A$369:$AZ$369,1,OC_Amt)="","",INDEX('OneCause_Paste'!$A$369:$AZ$369,1,OC_Amt)))</f>
        <v/>
      </c>
      <c r="K369">
        <f>IF(OC_Name=0,"",IF(INDEX('OneCause_Paste'!$A$369:$AZ$369,1,OC_Name)="","",INDEX('OneCause_Paste'!$A$369:$AZ$369,1,OC_Name)))</f>
        <v/>
      </c>
      <c r="L369">
        <f>IF(OC_Txn=0,"",IF(INDEX('OneCause_Paste'!$A$369:$AZ$369,1,OC_Txn)="","",INDEX('OneCause_Paste'!$A$369:$AZ$369,1,OC_Txn)))</f>
        <v/>
      </c>
      <c r="M369">
        <f>IF(OC_Pay=0,"",IF(INDEX('OneCause_Paste'!$A$369:$AZ$369,1,OC_Pay)="","",INDEX('OneCause_Paste'!$A$369:$AZ$369,1,OC_Pay)))</f>
        <v/>
      </c>
      <c r="N369">
        <f>IF(I369="","",IF(ISNUMBER(I369),INT(I369),IFERROR(INT(DATEVALUE(I369)),IFERROR(INT(VALUE(I369)),"bad"))))</f>
        <v/>
      </c>
      <c r="O369">
        <f>IF(J369="","",IF(ISNUMBER(J369),ROUND(J369,2),IFERROR(ROUND(VALUE(SUBSTITUTE(SUBSTITUTE(SUBSTITUTE(J369,"$",""),",","")," ","")),2),"bad")))</f>
        <v/>
      </c>
      <c r="P369">
        <f>IF(TRIM(K369)="","",IFERROR(MATCH(LOWER(TRIM(K369)),'Students'!$AH$2:$AH$701,0),IFERROR(MATCH(LOWER(TRIM(K369)),'Students'!$AF$2:$AF$701,0),IFERROR(MATCH(LOWER(TRIM(K369)),'Students'!$AG$2:$AG$701,0),""))))</f>
        <v/>
      </c>
      <c r="R369">
        <f>IF(P369="","",INDEX('Students'!$AD$2:$AD$701,P369))</f>
        <v/>
      </c>
      <c r="S369">
        <f>IF(H369="OK",O369,0)</f>
        <v/>
      </c>
      <c r="T369">
        <f>IF(H369="OK",N369,"")</f>
        <v/>
      </c>
      <c r="U369">
        <f>IF(OC_Donor=0,"",IF(INDEX('OneCause_Paste'!$A$369:$AZ$369,1,OC_Donor)="","",INDEX('OneCause_Paste'!$A$369:$AZ$369,1,OC_Donor)))</f>
        <v/>
      </c>
    </row>
    <row r="370">
      <c r="A370" s="62">
        <f>IF(H370="","",IF(ISNUMBER(N370),N370,I370))</f>
        <v/>
      </c>
      <c r="B370">
        <f>IF(H370="","",U370)</f>
        <v/>
      </c>
      <c r="C370">
        <f>IF(H370="","",IF(P370="",K370,INDEX('Students'!$A$2:$A$701,P370)))</f>
        <v/>
      </c>
      <c r="D370">
        <f>IF(OR(H370="",P370=""),"",INDEX('Students'!$B$2:$B$701,P370))</f>
        <v/>
      </c>
      <c r="E370">
        <f>IF(OR(H370="",P370=""),"",INDEX('Students'!$C$2:$C$701,P370))</f>
        <v/>
      </c>
      <c r="F370" s="48">
        <f>IF(H370="","",IF(ISNUMBER(O370),O370,J370))</f>
        <v/>
      </c>
      <c r="G370">
        <f>IF(H370="","","OneCause")</f>
        <v/>
      </c>
      <c r="H370">
        <f>IF(AND(I370="",J370="",K370=""),"",IF(NOT(ISNUMBER(O370)),"Bad amount",IF(O370&lt;0,"Refund (not counted)",IF(O370=0,"Zero amount",IF(NOT(ISNUMBER(N370)),"Bad date",IF(P370="","NAME NOT ON ROSTER",IF(L370="","OK",IF(MATCH(L370,$L$2:$L$3001,0)&lt;ROW()-1,"Duplicate (ignored)","OK"))))))))</f>
        <v/>
      </c>
      <c r="I370">
        <f>IF(OC_Date=0,"",IF(INDEX('OneCause_Paste'!$A$370:$AZ$370,1,OC_Date)="","",INDEX('OneCause_Paste'!$A$370:$AZ$370,1,OC_Date)))</f>
        <v/>
      </c>
      <c r="J370">
        <f>IF(OC_Amt=0,"",IF(INDEX('OneCause_Paste'!$A$370:$AZ$370,1,OC_Amt)="","",INDEX('OneCause_Paste'!$A$370:$AZ$370,1,OC_Amt)))</f>
        <v/>
      </c>
      <c r="K370">
        <f>IF(OC_Name=0,"",IF(INDEX('OneCause_Paste'!$A$370:$AZ$370,1,OC_Name)="","",INDEX('OneCause_Paste'!$A$370:$AZ$370,1,OC_Name)))</f>
        <v/>
      </c>
      <c r="L370">
        <f>IF(OC_Txn=0,"",IF(INDEX('OneCause_Paste'!$A$370:$AZ$370,1,OC_Txn)="","",INDEX('OneCause_Paste'!$A$370:$AZ$370,1,OC_Txn)))</f>
        <v/>
      </c>
      <c r="M370">
        <f>IF(OC_Pay=0,"",IF(INDEX('OneCause_Paste'!$A$370:$AZ$370,1,OC_Pay)="","",INDEX('OneCause_Paste'!$A$370:$AZ$370,1,OC_Pay)))</f>
        <v/>
      </c>
      <c r="N370">
        <f>IF(I370="","",IF(ISNUMBER(I370),INT(I370),IFERROR(INT(DATEVALUE(I370)),IFERROR(INT(VALUE(I370)),"bad"))))</f>
        <v/>
      </c>
      <c r="O370">
        <f>IF(J370="","",IF(ISNUMBER(J370),ROUND(J370,2),IFERROR(ROUND(VALUE(SUBSTITUTE(SUBSTITUTE(SUBSTITUTE(J370,"$",""),",","")," ","")),2),"bad")))</f>
        <v/>
      </c>
      <c r="P370">
        <f>IF(TRIM(K370)="","",IFERROR(MATCH(LOWER(TRIM(K370)),'Students'!$AH$2:$AH$701,0),IFERROR(MATCH(LOWER(TRIM(K370)),'Students'!$AF$2:$AF$701,0),IFERROR(MATCH(LOWER(TRIM(K370)),'Students'!$AG$2:$AG$701,0),""))))</f>
        <v/>
      </c>
      <c r="R370">
        <f>IF(P370="","",INDEX('Students'!$AD$2:$AD$701,P370))</f>
        <v/>
      </c>
      <c r="S370">
        <f>IF(H370="OK",O370,0)</f>
        <v/>
      </c>
      <c r="T370">
        <f>IF(H370="OK",N370,"")</f>
        <v/>
      </c>
      <c r="U370">
        <f>IF(OC_Donor=0,"",IF(INDEX('OneCause_Paste'!$A$370:$AZ$370,1,OC_Donor)="","",INDEX('OneCause_Paste'!$A$370:$AZ$370,1,OC_Donor)))</f>
        <v/>
      </c>
    </row>
    <row r="371">
      <c r="A371" s="62">
        <f>IF(H371="","",IF(ISNUMBER(N371),N371,I371))</f>
        <v/>
      </c>
      <c r="B371">
        <f>IF(H371="","",U371)</f>
        <v/>
      </c>
      <c r="C371">
        <f>IF(H371="","",IF(P371="",K371,INDEX('Students'!$A$2:$A$701,P371)))</f>
        <v/>
      </c>
      <c r="D371">
        <f>IF(OR(H371="",P371=""),"",INDEX('Students'!$B$2:$B$701,P371))</f>
        <v/>
      </c>
      <c r="E371">
        <f>IF(OR(H371="",P371=""),"",INDEX('Students'!$C$2:$C$701,P371))</f>
        <v/>
      </c>
      <c r="F371" s="48">
        <f>IF(H371="","",IF(ISNUMBER(O371),O371,J371))</f>
        <v/>
      </c>
      <c r="G371">
        <f>IF(H371="","","OneCause")</f>
        <v/>
      </c>
      <c r="H371">
        <f>IF(AND(I371="",J371="",K371=""),"",IF(NOT(ISNUMBER(O371)),"Bad amount",IF(O371&lt;0,"Refund (not counted)",IF(O371=0,"Zero amount",IF(NOT(ISNUMBER(N371)),"Bad date",IF(P371="","NAME NOT ON ROSTER",IF(L371="","OK",IF(MATCH(L371,$L$2:$L$3001,0)&lt;ROW()-1,"Duplicate (ignored)","OK"))))))))</f>
        <v/>
      </c>
      <c r="I371">
        <f>IF(OC_Date=0,"",IF(INDEX('OneCause_Paste'!$A$371:$AZ$371,1,OC_Date)="","",INDEX('OneCause_Paste'!$A$371:$AZ$371,1,OC_Date)))</f>
        <v/>
      </c>
      <c r="J371">
        <f>IF(OC_Amt=0,"",IF(INDEX('OneCause_Paste'!$A$371:$AZ$371,1,OC_Amt)="","",INDEX('OneCause_Paste'!$A$371:$AZ$371,1,OC_Amt)))</f>
        <v/>
      </c>
      <c r="K371">
        <f>IF(OC_Name=0,"",IF(INDEX('OneCause_Paste'!$A$371:$AZ$371,1,OC_Name)="","",INDEX('OneCause_Paste'!$A$371:$AZ$371,1,OC_Name)))</f>
        <v/>
      </c>
      <c r="L371">
        <f>IF(OC_Txn=0,"",IF(INDEX('OneCause_Paste'!$A$371:$AZ$371,1,OC_Txn)="","",INDEX('OneCause_Paste'!$A$371:$AZ$371,1,OC_Txn)))</f>
        <v/>
      </c>
      <c r="M371">
        <f>IF(OC_Pay=0,"",IF(INDEX('OneCause_Paste'!$A$371:$AZ$371,1,OC_Pay)="","",INDEX('OneCause_Paste'!$A$371:$AZ$371,1,OC_Pay)))</f>
        <v/>
      </c>
      <c r="N371">
        <f>IF(I371="","",IF(ISNUMBER(I371),INT(I371),IFERROR(INT(DATEVALUE(I371)),IFERROR(INT(VALUE(I371)),"bad"))))</f>
        <v/>
      </c>
      <c r="O371">
        <f>IF(J371="","",IF(ISNUMBER(J371),ROUND(J371,2),IFERROR(ROUND(VALUE(SUBSTITUTE(SUBSTITUTE(SUBSTITUTE(J371,"$",""),",","")," ","")),2),"bad")))</f>
        <v/>
      </c>
      <c r="P371">
        <f>IF(TRIM(K371)="","",IFERROR(MATCH(LOWER(TRIM(K371)),'Students'!$AH$2:$AH$701,0),IFERROR(MATCH(LOWER(TRIM(K371)),'Students'!$AF$2:$AF$701,0),IFERROR(MATCH(LOWER(TRIM(K371)),'Students'!$AG$2:$AG$701,0),""))))</f>
        <v/>
      </c>
      <c r="R371">
        <f>IF(P371="","",INDEX('Students'!$AD$2:$AD$701,P371))</f>
        <v/>
      </c>
      <c r="S371">
        <f>IF(H371="OK",O371,0)</f>
        <v/>
      </c>
      <c r="T371">
        <f>IF(H371="OK",N371,"")</f>
        <v/>
      </c>
      <c r="U371">
        <f>IF(OC_Donor=0,"",IF(INDEX('OneCause_Paste'!$A$371:$AZ$371,1,OC_Donor)="","",INDEX('OneCause_Paste'!$A$371:$AZ$371,1,OC_Donor)))</f>
        <v/>
      </c>
    </row>
    <row r="372">
      <c r="A372" s="62">
        <f>IF(H372="","",IF(ISNUMBER(N372),N372,I372))</f>
        <v/>
      </c>
      <c r="B372">
        <f>IF(H372="","",U372)</f>
        <v/>
      </c>
      <c r="C372">
        <f>IF(H372="","",IF(P372="",K372,INDEX('Students'!$A$2:$A$701,P372)))</f>
        <v/>
      </c>
      <c r="D372">
        <f>IF(OR(H372="",P372=""),"",INDEX('Students'!$B$2:$B$701,P372))</f>
        <v/>
      </c>
      <c r="E372">
        <f>IF(OR(H372="",P372=""),"",INDEX('Students'!$C$2:$C$701,P372))</f>
        <v/>
      </c>
      <c r="F372" s="48">
        <f>IF(H372="","",IF(ISNUMBER(O372),O372,J372))</f>
        <v/>
      </c>
      <c r="G372">
        <f>IF(H372="","","OneCause")</f>
        <v/>
      </c>
      <c r="H372">
        <f>IF(AND(I372="",J372="",K372=""),"",IF(NOT(ISNUMBER(O372)),"Bad amount",IF(O372&lt;0,"Refund (not counted)",IF(O372=0,"Zero amount",IF(NOT(ISNUMBER(N372)),"Bad date",IF(P372="","NAME NOT ON ROSTER",IF(L372="","OK",IF(MATCH(L372,$L$2:$L$3001,0)&lt;ROW()-1,"Duplicate (ignored)","OK"))))))))</f>
        <v/>
      </c>
      <c r="I372">
        <f>IF(OC_Date=0,"",IF(INDEX('OneCause_Paste'!$A$372:$AZ$372,1,OC_Date)="","",INDEX('OneCause_Paste'!$A$372:$AZ$372,1,OC_Date)))</f>
        <v/>
      </c>
      <c r="J372">
        <f>IF(OC_Amt=0,"",IF(INDEX('OneCause_Paste'!$A$372:$AZ$372,1,OC_Amt)="","",INDEX('OneCause_Paste'!$A$372:$AZ$372,1,OC_Amt)))</f>
        <v/>
      </c>
      <c r="K372">
        <f>IF(OC_Name=0,"",IF(INDEX('OneCause_Paste'!$A$372:$AZ$372,1,OC_Name)="","",INDEX('OneCause_Paste'!$A$372:$AZ$372,1,OC_Name)))</f>
        <v/>
      </c>
      <c r="L372">
        <f>IF(OC_Txn=0,"",IF(INDEX('OneCause_Paste'!$A$372:$AZ$372,1,OC_Txn)="","",INDEX('OneCause_Paste'!$A$372:$AZ$372,1,OC_Txn)))</f>
        <v/>
      </c>
      <c r="M372">
        <f>IF(OC_Pay=0,"",IF(INDEX('OneCause_Paste'!$A$372:$AZ$372,1,OC_Pay)="","",INDEX('OneCause_Paste'!$A$372:$AZ$372,1,OC_Pay)))</f>
        <v/>
      </c>
      <c r="N372">
        <f>IF(I372="","",IF(ISNUMBER(I372),INT(I372),IFERROR(INT(DATEVALUE(I372)),IFERROR(INT(VALUE(I372)),"bad"))))</f>
        <v/>
      </c>
      <c r="O372">
        <f>IF(J372="","",IF(ISNUMBER(J372),ROUND(J372,2),IFERROR(ROUND(VALUE(SUBSTITUTE(SUBSTITUTE(SUBSTITUTE(J372,"$",""),",","")," ","")),2),"bad")))</f>
        <v/>
      </c>
      <c r="P372">
        <f>IF(TRIM(K372)="","",IFERROR(MATCH(LOWER(TRIM(K372)),'Students'!$AH$2:$AH$701,0),IFERROR(MATCH(LOWER(TRIM(K372)),'Students'!$AF$2:$AF$701,0),IFERROR(MATCH(LOWER(TRIM(K372)),'Students'!$AG$2:$AG$701,0),""))))</f>
        <v/>
      </c>
      <c r="R372">
        <f>IF(P372="","",INDEX('Students'!$AD$2:$AD$701,P372))</f>
        <v/>
      </c>
      <c r="S372">
        <f>IF(H372="OK",O372,0)</f>
        <v/>
      </c>
      <c r="T372">
        <f>IF(H372="OK",N372,"")</f>
        <v/>
      </c>
      <c r="U372">
        <f>IF(OC_Donor=0,"",IF(INDEX('OneCause_Paste'!$A$372:$AZ$372,1,OC_Donor)="","",INDEX('OneCause_Paste'!$A$372:$AZ$372,1,OC_Donor)))</f>
        <v/>
      </c>
    </row>
    <row r="373">
      <c r="A373" s="62">
        <f>IF(H373="","",IF(ISNUMBER(N373),N373,I373))</f>
        <v/>
      </c>
      <c r="B373">
        <f>IF(H373="","",U373)</f>
        <v/>
      </c>
      <c r="C373">
        <f>IF(H373="","",IF(P373="",K373,INDEX('Students'!$A$2:$A$701,P373)))</f>
        <v/>
      </c>
      <c r="D373">
        <f>IF(OR(H373="",P373=""),"",INDEX('Students'!$B$2:$B$701,P373))</f>
        <v/>
      </c>
      <c r="E373">
        <f>IF(OR(H373="",P373=""),"",INDEX('Students'!$C$2:$C$701,P373))</f>
        <v/>
      </c>
      <c r="F373" s="48">
        <f>IF(H373="","",IF(ISNUMBER(O373),O373,J373))</f>
        <v/>
      </c>
      <c r="G373">
        <f>IF(H373="","","OneCause")</f>
        <v/>
      </c>
      <c r="H373">
        <f>IF(AND(I373="",J373="",K373=""),"",IF(NOT(ISNUMBER(O373)),"Bad amount",IF(O373&lt;0,"Refund (not counted)",IF(O373=0,"Zero amount",IF(NOT(ISNUMBER(N373)),"Bad date",IF(P373="","NAME NOT ON ROSTER",IF(L373="","OK",IF(MATCH(L373,$L$2:$L$3001,0)&lt;ROW()-1,"Duplicate (ignored)","OK"))))))))</f>
        <v/>
      </c>
      <c r="I373">
        <f>IF(OC_Date=0,"",IF(INDEX('OneCause_Paste'!$A$373:$AZ$373,1,OC_Date)="","",INDEX('OneCause_Paste'!$A$373:$AZ$373,1,OC_Date)))</f>
        <v/>
      </c>
      <c r="J373">
        <f>IF(OC_Amt=0,"",IF(INDEX('OneCause_Paste'!$A$373:$AZ$373,1,OC_Amt)="","",INDEX('OneCause_Paste'!$A$373:$AZ$373,1,OC_Amt)))</f>
        <v/>
      </c>
      <c r="K373">
        <f>IF(OC_Name=0,"",IF(INDEX('OneCause_Paste'!$A$373:$AZ$373,1,OC_Name)="","",INDEX('OneCause_Paste'!$A$373:$AZ$373,1,OC_Name)))</f>
        <v/>
      </c>
      <c r="L373">
        <f>IF(OC_Txn=0,"",IF(INDEX('OneCause_Paste'!$A$373:$AZ$373,1,OC_Txn)="","",INDEX('OneCause_Paste'!$A$373:$AZ$373,1,OC_Txn)))</f>
        <v/>
      </c>
      <c r="M373">
        <f>IF(OC_Pay=0,"",IF(INDEX('OneCause_Paste'!$A$373:$AZ$373,1,OC_Pay)="","",INDEX('OneCause_Paste'!$A$373:$AZ$373,1,OC_Pay)))</f>
        <v/>
      </c>
      <c r="N373">
        <f>IF(I373="","",IF(ISNUMBER(I373),INT(I373),IFERROR(INT(DATEVALUE(I373)),IFERROR(INT(VALUE(I373)),"bad"))))</f>
        <v/>
      </c>
      <c r="O373">
        <f>IF(J373="","",IF(ISNUMBER(J373),ROUND(J373,2),IFERROR(ROUND(VALUE(SUBSTITUTE(SUBSTITUTE(SUBSTITUTE(J373,"$",""),",","")," ","")),2),"bad")))</f>
        <v/>
      </c>
      <c r="P373">
        <f>IF(TRIM(K373)="","",IFERROR(MATCH(LOWER(TRIM(K373)),'Students'!$AH$2:$AH$701,0),IFERROR(MATCH(LOWER(TRIM(K373)),'Students'!$AF$2:$AF$701,0),IFERROR(MATCH(LOWER(TRIM(K373)),'Students'!$AG$2:$AG$701,0),""))))</f>
        <v/>
      </c>
      <c r="R373">
        <f>IF(P373="","",INDEX('Students'!$AD$2:$AD$701,P373))</f>
        <v/>
      </c>
      <c r="S373">
        <f>IF(H373="OK",O373,0)</f>
        <v/>
      </c>
      <c r="T373">
        <f>IF(H373="OK",N373,"")</f>
        <v/>
      </c>
      <c r="U373">
        <f>IF(OC_Donor=0,"",IF(INDEX('OneCause_Paste'!$A$373:$AZ$373,1,OC_Donor)="","",INDEX('OneCause_Paste'!$A$373:$AZ$373,1,OC_Donor)))</f>
        <v/>
      </c>
    </row>
    <row r="374">
      <c r="A374" s="62">
        <f>IF(H374="","",IF(ISNUMBER(N374),N374,I374))</f>
        <v/>
      </c>
      <c r="B374">
        <f>IF(H374="","",U374)</f>
        <v/>
      </c>
      <c r="C374">
        <f>IF(H374="","",IF(P374="",K374,INDEX('Students'!$A$2:$A$701,P374)))</f>
        <v/>
      </c>
      <c r="D374">
        <f>IF(OR(H374="",P374=""),"",INDEX('Students'!$B$2:$B$701,P374))</f>
        <v/>
      </c>
      <c r="E374">
        <f>IF(OR(H374="",P374=""),"",INDEX('Students'!$C$2:$C$701,P374))</f>
        <v/>
      </c>
      <c r="F374" s="48">
        <f>IF(H374="","",IF(ISNUMBER(O374),O374,J374))</f>
        <v/>
      </c>
      <c r="G374">
        <f>IF(H374="","","OneCause")</f>
        <v/>
      </c>
      <c r="H374">
        <f>IF(AND(I374="",J374="",K374=""),"",IF(NOT(ISNUMBER(O374)),"Bad amount",IF(O374&lt;0,"Refund (not counted)",IF(O374=0,"Zero amount",IF(NOT(ISNUMBER(N374)),"Bad date",IF(P374="","NAME NOT ON ROSTER",IF(L374="","OK",IF(MATCH(L374,$L$2:$L$3001,0)&lt;ROW()-1,"Duplicate (ignored)","OK"))))))))</f>
        <v/>
      </c>
      <c r="I374">
        <f>IF(OC_Date=0,"",IF(INDEX('OneCause_Paste'!$A$374:$AZ$374,1,OC_Date)="","",INDEX('OneCause_Paste'!$A$374:$AZ$374,1,OC_Date)))</f>
        <v/>
      </c>
      <c r="J374">
        <f>IF(OC_Amt=0,"",IF(INDEX('OneCause_Paste'!$A$374:$AZ$374,1,OC_Amt)="","",INDEX('OneCause_Paste'!$A$374:$AZ$374,1,OC_Amt)))</f>
        <v/>
      </c>
      <c r="K374">
        <f>IF(OC_Name=0,"",IF(INDEX('OneCause_Paste'!$A$374:$AZ$374,1,OC_Name)="","",INDEX('OneCause_Paste'!$A$374:$AZ$374,1,OC_Name)))</f>
        <v/>
      </c>
      <c r="L374">
        <f>IF(OC_Txn=0,"",IF(INDEX('OneCause_Paste'!$A$374:$AZ$374,1,OC_Txn)="","",INDEX('OneCause_Paste'!$A$374:$AZ$374,1,OC_Txn)))</f>
        <v/>
      </c>
      <c r="M374">
        <f>IF(OC_Pay=0,"",IF(INDEX('OneCause_Paste'!$A$374:$AZ$374,1,OC_Pay)="","",INDEX('OneCause_Paste'!$A$374:$AZ$374,1,OC_Pay)))</f>
        <v/>
      </c>
      <c r="N374">
        <f>IF(I374="","",IF(ISNUMBER(I374),INT(I374),IFERROR(INT(DATEVALUE(I374)),IFERROR(INT(VALUE(I374)),"bad"))))</f>
        <v/>
      </c>
      <c r="O374">
        <f>IF(J374="","",IF(ISNUMBER(J374),ROUND(J374,2),IFERROR(ROUND(VALUE(SUBSTITUTE(SUBSTITUTE(SUBSTITUTE(J374,"$",""),",","")," ","")),2),"bad")))</f>
        <v/>
      </c>
      <c r="P374">
        <f>IF(TRIM(K374)="","",IFERROR(MATCH(LOWER(TRIM(K374)),'Students'!$AH$2:$AH$701,0),IFERROR(MATCH(LOWER(TRIM(K374)),'Students'!$AF$2:$AF$701,0),IFERROR(MATCH(LOWER(TRIM(K374)),'Students'!$AG$2:$AG$701,0),""))))</f>
        <v/>
      </c>
      <c r="R374">
        <f>IF(P374="","",INDEX('Students'!$AD$2:$AD$701,P374))</f>
        <v/>
      </c>
      <c r="S374">
        <f>IF(H374="OK",O374,0)</f>
        <v/>
      </c>
      <c r="T374">
        <f>IF(H374="OK",N374,"")</f>
        <v/>
      </c>
      <c r="U374">
        <f>IF(OC_Donor=0,"",IF(INDEX('OneCause_Paste'!$A$374:$AZ$374,1,OC_Donor)="","",INDEX('OneCause_Paste'!$A$374:$AZ$374,1,OC_Donor)))</f>
        <v/>
      </c>
    </row>
    <row r="375">
      <c r="A375" s="62">
        <f>IF(H375="","",IF(ISNUMBER(N375),N375,I375))</f>
        <v/>
      </c>
      <c r="B375">
        <f>IF(H375="","",U375)</f>
        <v/>
      </c>
      <c r="C375">
        <f>IF(H375="","",IF(P375="",K375,INDEX('Students'!$A$2:$A$701,P375)))</f>
        <v/>
      </c>
      <c r="D375">
        <f>IF(OR(H375="",P375=""),"",INDEX('Students'!$B$2:$B$701,P375))</f>
        <v/>
      </c>
      <c r="E375">
        <f>IF(OR(H375="",P375=""),"",INDEX('Students'!$C$2:$C$701,P375))</f>
        <v/>
      </c>
      <c r="F375" s="48">
        <f>IF(H375="","",IF(ISNUMBER(O375),O375,J375))</f>
        <v/>
      </c>
      <c r="G375">
        <f>IF(H375="","","OneCause")</f>
        <v/>
      </c>
      <c r="H375">
        <f>IF(AND(I375="",J375="",K375=""),"",IF(NOT(ISNUMBER(O375)),"Bad amount",IF(O375&lt;0,"Refund (not counted)",IF(O375=0,"Zero amount",IF(NOT(ISNUMBER(N375)),"Bad date",IF(P375="","NAME NOT ON ROSTER",IF(L375="","OK",IF(MATCH(L375,$L$2:$L$3001,0)&lt;ROW()-1,"Duplicate (ignored)","OK"))))))))</f>
        <v/>
      </c>
      <c r="I375">
        <f>IF(OC_Date=0,"",IF(INDEX('OneCause_Paste'!$A$375:$AZ$375,1,OC_Date)="","",INDEX('OneCause_Paste'!$A$375:$AZ$375,1,OC_Date)))</f>
        <v/>
      </c>
      <c r="J375">
        <f>IF(OC_Amt=0,"",IF(INDEX('OneCause_Paste'!$A$375:$AZ$375,1,OC_Amt)="","",INDEX('OneCause_Paste'!$A$375:$AZ$375,1,OC_Amt)))</f>
        <v/>
      </c>
      <c r="K375">
        <f>IF(OC_Name=0,"",IF(INDEX('OneCause_Paste'!$A$375:$AZ$375,1,OC_Name)="","",INDEX('OneCause_Paste'!$A$375:$AZ$375,1,OC_Name)))</f>
        <v/>
      </c>
      <c r="L375">
        <f>IF(OC_Txn=0,"",IF(INDEX('OneCause_Paste'!$A$375:$AZ$375,1,OC_Txn)="","",INDEX('OneCause_Paste'!$A$375:$AZ$375,1,OC_Txn)))</f>
        <v/>
      </c>
      <c r="M375">
        <f>IF(OC_Pay=0,"",IF(INDEX('OneCause_Paste'!$A$375:$AZ$375,1,OC_Pay)="","",INDEX('OneCause_Paste'!$A$375:$AZ$375,1,OC_Pay)))</f>
        <v/>
      </c>
      <c r="N375">
        <f>IF(I375="","",IF(ISNUMBER(I375),INT(I375),IFERROR(INT(DATEVALUE(I375)),IFERROR(INT(VALUE(I375)),"bad"))))</f>
        <v/>
      </c>
      <c r="O375">
        <f>IF(J375="","",IF(ISNUMBER(J375),ROUND(J375,2),IFERROR(ROUND(VALUE(SUBSTITUTE(SUBSTITUTE(SUBSTITUTE(J375,"$",""),",","")," ","")),2),"bad")))</f>
        <v/>
      </c>
      <c r="P375">
        <f>IF(TRIM(K375)="","",IFERROR(MATCH(LOWER(TRIM(K375)),'Students'!$AH$2:$AH$701,0),IFERROR(MATCH(LOWER(TRIM(K375)),'Students'!$AF$2:$AF$701,0),IFERROR(MATCH(LOWER(TRIM(K375)),'Students'!$AG$2:$AG$701,0),""))))</f>
        <v/>
      </c>
      <c r="R375">
        <f>IF(P375="","",INDEX('Students'!$AD$2:$AD$701,P375))</f>
        <v/>
      </c>
      <c r="S375">
        <f>IF(H375="OK",O375,0)</f>
        <v/>
      </c>
      <c r="T375">
        <f>IF(H375="OK",N375,"")</f>
        <v/>
      </c>
      <c r="U375">
        <f>IF(OC_Donor=0,"",IF(INDEX('OneCause_Paste'!$A$375:$AZ$375,1,OC_Donor)="","",INDEX('OneCause_Paste'!$A$375:$AZ$375,1,OC_Donor)))</f>
        <v/>
      </c>
    </row>
    <row r="376">
      <c r="A376" s="62">
        <f>IF(H376="","",IF(ISNUMBER(N376),N376,I376))</f>
        <v/>
      </c>
      <c r="B376">
        <f>IF(H376="","",U376)</f>
        <v/>
      </c>
      <c r="C376">
        <f>IF(H376="","",IF(P376="",K376,INDEX('Students'!$A$2:$A$701,P376)))</f>
        <v/>
      </c>
      <c r="D376">
        <f>IF(OR(H376="",P376=""),"",INDEX('Students'!$B$2:$B$701,P376))</f>
        <v/>
      </c>
      <c r="E376">
        <f>IF(OR(H376="",P376=""),"",INDEX('Students'!$C$2:$C$701,P376))</f>
        <v/>
      </c>
      <c r="F376" s="48">
        <f>IF(H376="","",IF(ISNUMBER(O376),O376,J376))</f>
        <v/>
      </c>
      <c r="G376">
        <f>IF(H376="","","OneCause")</f>
        <v/>
      </c>
      <c r="H376">
        <f>IF(AND(I376="",J376="",K376=""),"",IF(NOT(ISNUMBER(O376)),"Bad amount",IF(O376&lt;0,"Refund (not counted)",IF(O376=0,"Zero amount",IF(NOT(ISNUMBER(N376)),"Bad date",IF(P376="","NAME NOT ON ROSTER",IF(L376="","OK",IF(MATCH(L376,$L$2:$L$3001,0)&lt;ROW()-1,"Duplicate (ignored)","OK"))))))))</f>
        <v/>
      </c>
      <c r="I376">
        <f>IF(OC_Date=0,"",IF(INDEX('OneCause_Paste'!$A$376:$AZ$376,1,OC_Date)="","",INDEX('OneCause_Paste'!$A$376:$AZ$376,1,OC_Date)))</f>
        <v/>
      </c>
      <c r="J376">
        <f>IF(OC_Amt=0,"",IF(INDEX('OneCause_Paste'!$A$376:$AZ$376,1,OC_Amt)="","",INDEX('OneCause_Paste'!$A$376:$AZ$376,1,OC_Amt)))</f>
        <v/>
      </c>
      <c r="K376">
        <f>IF(OC_Name=0,"",IF(INDEX('OneCause_Paste'!$A$376:$AZ$376,1,OC_Name)="","",INDEX('OneCause_Paste'!$A$376:$AZ$376,1,OC_Name)))</f>
        <v/>
      </c>
      <c r="L376">
        <f>IF(OC_Txn=0,"",IF(INDEX('OneCause_Paste'!$A$376:$AZ$376,1,OC_Txn)="","",INDEX('OneCause_Paste'!$A$376:$AZ$376,1,OC_Txn)))</f>
        <v/>
      </c>
      <c r="M376">
        <f>IF(OC_Pay=0,"",IF(INDEX('OneCause_Paste'!$A$376:$AZ$376,1,OC_Pay)="","",INDEX('OneCause_Paste'!$A$376:$AZ$376,1,OC_Pay)))</f>
        <v/>
      </c>
      <c r="N376">
        <f>IF(I376="","",IF(ISNUMBER(I376),INT(I376),IFERROR(INT(DATEVALUE(I376)),IFERROR(INT(VALUE(I376)),"bad"))))</f>
        <v/>
      </c>
      <c r="O376">
        <f>IF(J376="","",IF(ISNUMBER(J376),ROUND(J376,2),IFERROR(ROUND(VALUE(SUBSTITUTE(SUBSTITUTE(SUBSTITUTE(J376,"$",""),",","")," ","")),2),"bad")))</f>
        <v/>
      </c>
      <c r="P376">
        <f>IF(TRIM(K376)="","",IFERROR(MATCH(LOWER(TRIM(K376)),'Students'!$AH$2:$AH$701,0),IFERROR(MATCH(LOWER(TRIM(K376)),'Students'!$AF$2:$AF$701,0),IFERROR(MATCH(LOWER(TRIM(K376)),'Students'!$AG$2:$AG$701,0),""))))</f>
        <v/>
      </c>
      <c r="R376">
        <f>IF(P376="","",INDEX('Students'!$AD$2:$AD$701,P376))</f>
        <v/>
      </c>
      <c r="S376">
        <f>IF(H376="OK",O376,0)</f>
        <v/>
      </c>
      <c r="T376">
        <f>IF(H376="OK",N376,"")</f>
        <v/>
      </c>
      <c r="U376">
        <f>IF(OC_Donor=0,"",IF(INDEX('OneCause_Paste'!$A$376:$AZ$376,1,OC_Donor)="","",INDEX('OneCause_Paste'!$A$376:$AZ$376,1,OC_Donor)))</f>
        <v/>
      </c>
    </row>
    <row r="377">
      <c r="A377" s="62">
        <f>IF(H377="","",IF(ISNUMBER(N377),N377,I377))</f>
        <v/>
      </c>
      <c r="B377">
        <f>IF(H377="","",U377)</f>
        <v/>
      </c>
      <c r="C377">
        <f>IF(H377="","",IF(P377="",K377,INDEX('Students'!$A$2:$A$701,P377)))</f>
        <v/>
      </c>
      <c r="D377">
        <f>IF(OR(H377="",P377=""),"",INDEX('Students'!$B$2:$B$701,P377))</f>
        <v/>
      </c>
      <c r="E377">
        <f>IF(OR(H377="",P377=""),"",INDEX('Students'!$C$2:$C$701,P377))</f>
        <v/>
      </c>
      <c r="F377" s="48">
        <f>IF(H377="","",IF(ISNUMBER(O377),O377,J377))</f>
        <v/>
      </c>
      <c r="G377">
        <f>IF(H377="","","OneCause")</f>
        <v/>
      </c>
      <c r="H377">
        <f>IF(AND(I377="",J377="",K377=""),"",IF(NOT(ISNUMBER(O377)),"Bad amount",IF(O377&lt;0,"Refund (not counted)",IF(O377=0,"Zero amount",IF(NOT(ISNUMBER(N377)),"Bad date",IF(P377="","NAME NOT ON ROSTER",IF(L377="","OK",IF(MATCH(L377,$L$2:$L$3001,0)&lt;ROW()-1,"Duplicate (ignored)","OK"))))))))</f>
        <v/>
      </c>
      <c r="I377">
        <f>IF(OC_Date=0,"",IF(INDEX('OneCause_Paste'!$A$377:$AZ$377,1,OC_Date)="","",INDEX('OneCause_Paste'!$A$377:$AZ$377,1,OC_Date)))</f>
        <v/>
      </c>
      <c r="J377">
        <f>IF(OC_Amt=0,"",IF(INDEX('OneCause_Paste'!$A$377:$AZ$377,1,OC_Amt)="","",INDEX('OneCause_Paste'!$A$377:$AZ$377,1,OC_Amt)))</f>
        <v/>
      </c>
      <c r="K377">
        <f>IF(OC_Name=0,"",IF(INDEX('OneCause_Paste'!$A$377:$AZ$377,1,OC_Name)="","",INDEX('OneCause_Paste'!$A$377:$AZ$377,1,OC_Name)))</f>
        <v/>
      </c>
      <c r="L377">
        <f>IF(OC_Txn=0,"",IF(INDEX('OneCause_Paste'!$A$377:$AZ$377,1,OC_Txn)="","",INDEX('OneCause_Paste'!$A$377:$AZ$377,1,OC_Txn)))</f>
        <v/>
      </c>
      <c r="M377">
        <f>IF(OC_Pay=0,"",IF(INDEX('OneCause_Paste'!$A$377:$AZ$377,1,OC_Pay)="","",INDEX('OneCause_Paste'!$A$377:$AZ$377,1,OC_Pay)))</f>
        <v/>
      </c>
      <c r="N377">
        <f>IF(I377="","",IF(ISNUMBER(I377),INT(I377),IFERROR(INT(DATEVALUE(I377)),IFERROR(INT(VALUE(I377)),"bad"))))</f>
        <v/>
      </c>
      <c r="O377">
        <f>IF(J377="","",IF(ISNUMBER(J377),ROUND(J377,2),IFERROR(ROUND(VALUE(SUBSTITUTE(SUBSTITUTE(SUBSTITUTE(J377,"$",""),",","")," ","")),2),"bad")))</f>
        <v/>
      </c>
      <c r="P377">
        <f>IF(TRIM(K377)="","",IFERROR(MATCH(LOWER(TRIM(K377)),'Students'!$AH$2:$AH$701,0),IFERROR(MATCH(LOWER(TRIM(K377)),'Students'!$AF$2:$AF$701,0),IFERROR(MATCH(LOWER(TRIM(K377)),'Students'!$AG$2:$AG$701,0),""))))</f>
        <v/>
      </c>
      <c r="R377">
        <f>IF(P377="","",INDEX('Students'!$AD$2:$AD$701,P377))</f>
        <v/>
      </c>
      <c r="S377">
        <f>IF(H377="OK",O377,0)</f>
        <v/>
      </c>
      <c r="T377">
        <f>IF(H377="OK",N377,"")</f>
        <v/>
      </c>
      <c r="U377">
        <f>IF(OC_Donor=0,"",IF(INDEX('OneCause_Paste'!$A$377:$AZ$377,1,OC_Donor)="","",INDEX('OneCause_Paste'!$A$377:$AZ$377,1,OC_Donor)))</f>
        <v/>
      </c>
    </row>
    <row r="378">
      <c r="A378" s="62">
        <f>IF(H378="","",IF(ISNUMBER(N378),N378,I378))</f>
        <v/>
      </c>
      <c r="B378">
        <f>IF(H378="","",U378)</f>
        <v/>
      </c>
      <c r="C378">
        <f>IF(H378="","",IF(P378="",K378,INDEX('Students'!$A$2:$A$701,P378)))</f>
        <v/>
      </c>
      <c r="D378">
        <f>IF(OR(H378="",P378=""),"",INDEX('Students'!$B$2:$B$701,P378))</f>
        <v/>
      </c>
      <c r="E378">
        <f>IF(OR(H378="",P378=""),"",INDEX('Students'!$C$2:$C$701,P378))</f>
        <v/>
      </c>
      <c r="F378" s="48">
        <f>IF(H378="","",IF(ISNUMBER(O378),O378,J378))</f>
        <v/>
      </c>
      <c r="G378">
        <f>IF(H378="","","OneCause")</f>
        <v/>
      </c>
      <c r="H378">
        <f>IF(AND(I378="",J378="",K378=""),"",IF(NOT(ISNUMBER(O378)),"Bad amount",IF(O378&lt;0,"Refund (not counted)",IF(O378=0,"Zero amount",IF(NOT(ISNUMBER(N378)),"Bad date",IF(P378="","NAME NOT ON ROSTER",IF(L378="","OK",IF(MATCH(L378,$L$2:$L$3001,0)&lt;ROW()-1,"Duplicate (ignored)","OK"))))))))</f>
        <v/>
      </c>
      <c r="I378">
        <f>IF(OC_Date=0,"",IF(INDEX('OneCause_Paste'!$A$378:$AZ$378,1,OC_Date)="","",INDEX('OneCause_Paste'!$A$378:$AZ$378,1,OC_Date)))</f>
        <v/>
      </c>
      <c r="J378">
        <f>IF(OC_Amt=0,"",IF(INDEX('OneCause_Paste'!$A$378:$AZ$378,1,OC_Amt)="","",INDEX('OneCause_Paste'!$A$378:$AZ$378,1,OC_Amt)))</f>
        <v/>
      </c>
      <c r="K378">
        <f>IF(OC_Name=0,"",IF(INDEX('OneCause_Paste'!$A$378:$AZ$378,1,OC_Name)="","",INDEX('OneCause_Paste'!$A$378:$AZ$378,1,OC_Name)))</f>
        <v/>
      </c>
      <c r="L378">
        <f>IF(OC_Txn=0,"",IF(INDEX('OneCause_Paste'!$A$378:$AZ$378,1,OC_Txn)="","",INDEX('OneCause_Paste'!$A$378:$AZ$378,1,OC_Txn)))</f>
        <v/>
      </c>
      <c r="M378">
        <f>IF(OC_Pay=0,"",IF(INDEX('OneCause_Paste'!$A$378:$AZ$378,1,OC_Pay)="","",INDEX('OneCause_Paste'!$A$378:$AZ$378,1,OC_Pay)))</f>
        <v/>
      </c>
      <c r="N378">
        <f>IF(I378="","",IF(ISNUMBER(I378),INT(I378),IFERROR(INT(DATEVALUE(I378)),IFERROR(INT(VALUE(I378)),"bad"))))</f>
        <v/>
      </c>
      <c r="O378">
        <f>IF(J378="","",IF(ISNUMBER(J378),ROUND(J378,2),IFERROR(ROUND(VALUE(SUBSTITUTE(SUBSTITUTE(SUBSTITUTE(J378,"$",""),",","")," ","")),2),"bad")))</f>
        <v/>
      </c>
      <c r="P378">
        <f>IF(TRIM(K378)="","",IFERROR(MATCH(LOWER(TRIM(K378)),'Students'!$AH$2:$AH$701,0),IFERROR(MATCH(LOWER(TRIM(K378)),'Students'!$AF$2:$AF$701,0),IFERROR(MATCH(LOWER(TRIM(K378)),'Students'!$AG$2:$AG$701,0),""))))</f>
        <v/>
      </c>
      <c r="R378">
        <f>IF(P378="","",INDEX('Students'!$AD$2:$AD$701,P378))</f>
        <v/>
      </c>
      <c r="S378">
        <f>IF(H378="OK",O378,0)</f>
        <v/>
      </c>
      <c r="T378">
        <f>IF(H378="OK",N378,"")</f>
        <v/>
      </c>
      <c r="U378">
        <f>IF(OC_Donor=0,"",IF(INDEX('OneCause_Paste'!$A$378:$AZ$378,1,OC_Donor)="","",INDEX('OneCause_Paste'!$A$378:$AZ$378,1,OC_Donor)))</f>
        <v/>
      </c>
    </row>
    <row r="379">
      <c r="A379" s="62">
        <f>IF(H379="","",IF(ISNUMBER(N379),N379,I379))</f>
        <v/>
      </c>
      <c r="B379">
        <f>IF(H379="","",U379)</f>
        <v/>
      </c>
      <c r="C379">
        <f>IF(H379="","",IF(P379="",K379,INDEX('Students'!$A$2:$A$701,P379)))</f>
        <v/>
      </c>
      <c r="D379">
        <f>IF(OR(H379="",P379=""),"",INDEX('Students'!$B$2:$B$701,P379))</f>
        <v/>
      </c>
      <c r="E379">
        <f>IF(OR(H379="",P379=""),"",INDEX('Students'!$C$2:$C$701,P379))</f>
        <v/>
      </c>
      <c r="F379" s="48">
        <f>IF(H379="","",IF(ISNUMBER(O379),O379,J379))</f>
        <v/>
      </c>
      <c r="G379">
        <f>IF(H379="","","OneCause")</f>
        <v/>
      </c>
      <c r="H379">
        <f>IF(AND(I379="",J379="",K379=""),"",IF(NOT(ISNUMBER(O379)),"Bad amount",IF(O379&lt;0,"Refund (not counted)",IF(O379=0,"Zero amount",IF(NOT(ISNUMBER(N379)),"Bad date",IF(P379="","NAME NOT ON ROSTER",IF(L379="","OK",IF(MATCH(L379,$L$2:$L$3001,0)&lt;ROW()-1,"Duplicate (ignored)","OK"))))))))</f>
        <v/>
      </c>
      <c r="I379">
        <f>IF(OC_Date=0,"",IF(INDEX('OneCause_Paste'!$A$379:$AZ$379,1,OC_Date)="","",INDEX('OneCause_Paste'!$A$379:$AZ$379,1,OC_Date)))</f>
        <v/>
      </c>
      <c r="J379">
        <f>IF(OC_Amt=0,"",IF(INDEX('OneCause_Paste'!$A$379:$AZ$379,1,OC_Amt)="","",INDEX('OneCause_Paste'!$A$379:$AZ$379,1,OC_Amt)))</f>
        <v/>
      </c>
      <c r="K379">
        <f>IF(OC_Name=0,"",IF(INDEX('OneCause_Paste'!$A$379:$AZ$379,1,OC_Name)="","",INDEX('OneCause_Paste'!$A$379:$AZ$379,1,OC_Name)))</f>
        <v/>
      </c>
      <c r="L379">
        <f>IF(OC_Txn=0,"",IF(INDEX('OneCause_Paste'!$A$379:$AZ$379,1,OC_Txn)="","",INDEX('OneCause_Paste'!$A$379:$AZ$379,1,OC_Txn)))</f>
        <v/>
      </c>
      <c r="M379">
        <f>IF(OC_Pay=0,"",IF(INDEX('OneCause_Paste'!$A$379:$AZ$379,1,OC_Pay)="","",INDEX('OneCause_Paste'!$A$379:$AZ$379,1,OC_Pay)))</f>
        <v/>
      </c>
      <c r="N379">
        <f>IF(I379="","",IF(ISNUMBER(I379),INT(I379),IFERROR(INT(DATEVALUE(I379)),IFERROR(INT(VALUE(I379)),"bad"))))</f>
        <v/>
      </c>
      <c r="O379">
        <f>IF(J379="","",IF(ISNUMBER(J379),ROUND(J379,2),IFERROR(ROUND(VALUE(SUBSTITUTE(SUBSTITUTE(SUBSTITUTE(J379,"$",""),",","")," ","")),2),"bad")))</f>
        <v/>
      </c>
      <c r="P379">
        <f>IF(TRIM(K379)="","",IFERROR(MATCH(LOWER(TRIM(K379)),'Students'!$AH$2:$AH$701,0),IFERROR(MATCH(LOWER(TRIM(K379)),'Students'!$AF$2:$AF$701,0),IFERROR(MATCH(LOWER(TRIM(K379)),'Students'!$AG$2:$AG$701,0),""))))</f>
        <v/>
      </c>
      <c r="R379">
        <f>IF(P379="","",INDEX('Students'!$AD$2:$AD$701,P379))</f>
        <v/>
      </c>
      <c r="S379">
        <f>IF(H379="OK",O379,0)</f>
        <v/>
      </c>
      <c r="T379">
        <f>IF(H379="OK",N379,"")</f>
        <v/>
      </c>
      <c r="U379">
        <f>IF(OC_Donor=0,"",IF(INDEX('OneCause_Paste'!$A$379:$AZ$379,1,OC_Donor)="","",INDEX('OneCause_Paste'!$A$379:$AZ$379,1,OC_Donor)))</f>
        <v/>
      </c>
    </row>
    <row r="380">
      <c r="A380" s="62">
        <f>IF(H380="","",IF(ISNUMBER(N380),N380,I380))</f>
        <v/>
      </c>
      <c r="B380">
        <f>IF(H380="","",U380)</f>
        <v/>
      </c>
      <c r="C380">
        <f>IF(H380="","",IF(P380="",K380,INDEX('Students'!$A$2:$A$701,P380)))</f>
        <v/>
      </c>
      <c r="D380">
        <f>IF(OR(H380="",P380=""),"",INDEX('Students'!$B$2:$B$701,P380))</f>
        <v/>
      </c>
      <c r="E380">
        <f>IF(OR(H380="",P380=""),"",INDEX('Students'!$C$2:$C$701,P380))</f>
        <v/>
      </c>
      <c r="F380" s="48">
        <f>IF(H380="","",IF(ISNUMBER(O380),O380,J380))</f>
        <v/>
      </c>
      <c r="G380">
        <f>IF(H380="","","OneCause")</f>
        <v/>
      </c>
      <c r="H380">
        <f>IF(AND(I380="",J380="",K380=""),"",IF(NOT(ISNUMBER(O380)),"Bad amount",IF(O380&lt;0,"Refund (not counted)",IF(O380=0,"Zero amount",IF(NOT(ISNUMBER(N380)),"Bad date",IF(P380="","NAME NOT ON ROSTER",IF(L380="","OK",IF(MATCH(L380,$L$2:$L$3001,0)&lt;ROW()-1,"Duplicate (ignored)","OK"))))))))</f>
        <v/>
      </c>
      <c r="I380">
        <f>IF(OC_Date=0,"",IF(INDEX('OneCause_Paste'!$A$380:$AZ$380,1,OC_Date)="","",INDEX('OneCause_Paste'!$A$380:$AZ$380,1,OC_Date)))</f>
        <v/>
      </c>
      <c r="J380">
        <f>IF(OC_Amt=0,"",IF(INDEX('OneCause_Paste'!$A$380:$AZ$380,1,OC_Amt)="","",INDEX('OneCause_Paste'!$A$380:$AZ$380,1,OC_Amt)))</f>
        <v/>
      </c>
      <c r="K380">
        <f>IF(OC_Name=0,"",IF(INDEX('OneCause_Paste'!$A$380:$AZ$380,1,OC_Name)="","",INDEX('OneCause_Paste'!$A$380:$AZ$380,1,OC_Name)))</f>
        <v/>
      </c>
      <c r="L380">
        <f>IF(OC_Txn=0,"",IF(INDEX('OneCause_Paste'!$A$380:$AZ$380,1,OC_Txn)="","",INDEX('OneCause_Paste'!$A$380:$AZ$380,1,OC_Txn)))</f>
        <v/>
      </c>
      <c r="M380">
        <f>IF(OC_Pay=0,"",IF(INDEX('OneCause_Paste'!$A$380:$AZ$380,1,OC_Pay)="","",INDEX('OneCause_Paste'!$A$380:$AZ$380,1,OC_Pay)))</f>
        <v/>
      </c>
      <c r="N380">
        <f>IF(I380="","",IF(ISNUMBER(I380),INT(I380),IFERROR(INT(DATEVALUE(I380)),IFERROR(INT(VALUE(I380)),"bad"))))</f>
        <v/>
      </c>
      <c r="O380">
        <f>IF(J380="","",IF(ISNUMBER(J380),ROUND(J380,2),IFERROR(ROUND(VALUE(SUBSTITUTE(SUBSTITUTE(SUBSTITUTE(J380,"$",""),",","")," ","")),2),"bad")))</f>
        <v/>
      </c>
      <c r="P380">
        <f>IF(TRIM(K380)="","",IFERROR(MATCH(LOWER(TRIM(K380)),'Students'!$AH$2:$AH$701,0),IFERROR(MATCH(LOWER(TRIM(K380)),'Students'!$AF$2:$AF$701,0),IFERROR(MATCH(LOWER(TRIM(K380)),'Students'!$AG$2:$AG$701,0),""))))</f>
        <v/>
      </c>
      <c r="R380">
        <f>IF(P380="","",INDEX('Students'!$AD$2:$AD$701,P380))</f>
        <v/>
      </c>
      <c r="S380">
        <f>IF(H380="OK",O380,0)</f>
        <v/>
      </c>
      <c r="T380">
        <f>IF(H380="OK",N380,"")</f>
        <v/>
      </c>
      <c r="U380">
        <f>IF(OC_Donor=0,"",IF(INDEX('OneCause_Paste'!$A$380:$AZ$380,1,OC_Donor)="","",INDEX('OneCause_Paste'!$A$380:$AZ$380,1,OC_Donor)))</f>
        <v/>
      </c>
    </row>
    <row r="381">
      <c r="A381" s="62">
        <f>IF(H381="","",IF(ISNUMBER(N381),N381,I381))</f>
        <v/>
      </c>
      <c r="B381">
        <f>IF(H381="","",U381)</f>
        <v/>
      </c>
      <c r="C381">
        <f>IF(H381="","",IF(P381="",K381,INDEX('Students'!$A$2:$A$701,P381)))</f>
        <v/>
      </c>
      <c r="D381">
        <f>IF(OR(H381="",P381=""),"",INDEX('Students'!$B$2:$B$701,P381))</f>
        <v/>
      </c>
      <c r="E381">
        <f>IF(OR(H381="",P381=""),"",INDEX('Students'!$C$2:$C$701,P381))</f>
        <v/>
      </c>
      <c r="F381" s="48">
        <f>IF(H381="","",IF(ISNUMBER(O381),O381,J381))</f>
        <v/>
      </c>
      <c r="G381">
        <f>IF(H381="","","OneCause")</f>
        <v/>
      </c>
      <c r="H381">
        <f>IF(AND(I381="",J381="",K381=""),"",IF(NOT(ISNUMBER(O381)),"Bad amount",IF(O381&lt;0,"Refund (not counted)",IF(O381=0,"Zero amount",IF(NOT(ISNUMBER(N381)),"Bad date",IF(P381="","NAME NOT ON ROSTER",IF(L381="","OK",IF(MATCH(L381,$L$2:$L$3001,0)&lt;ROW()-1,"Duplicate (ignored)","OK"))))))))</f>
        <v/>
      </c>
      <c r="I381">
        <f>IF(OC_Date=0,"",IF(INDEX('OneCause_Paste'!$A$381:$AZ$381,1,OC_Date)="","",INDEX('OneCause_Paste'!$A$381:$AZ$381,1,OC_Date)))</f>
        <v/>
      </c>
      <c r="J381">
        <f>IF(OC_Amt=0,"",IF(INDEX('OneCause_Paste'!$A$381:$AZ$381,1,OC_Amt)="","",INDEX('OneCause_Paste'!$A$381:$AZ$381,1,OC_Amt)))</f>
        <v/>
      </c>
      <c r="K381">
        <f>IF(OC_Name=0,"",IF(INDEX('OneCause_Paste'!$A$381:$AZ$381,1,OC_Name)="","",INDEX('OneCause_Paste'!$A$381:$AZ$381,1,OC_Name)))</f>
        <v/>
      </c>
      <c r="L381">
        <f>IF(OC_Txn=0,"",IF(INDEX('OneCause_Paste'!$A$381:$AZ$381,1,OC_Txn)="","",INDEX('OneCause_Paste'!$A$381:$AZ$381,1,OC_Txn)))</f>
        <v/>
      </c>
      <c r="M381">
        <f>IF(OC_Pay=0,"",IF(INDEX('OneCause_Paste'!$A$381:$AZ$381,1,OC_Pay)="","",INDEX('OneCause_Paste'!$A$381:$AZ$381,1,OC_Pay)))</f>
        <v/>
      </c>
      <c r="N381">
        <f>IF(I381="","",IF(ISNUMBER(I381),INT(I381),IFERROR(INT(DATEVALUE(I381)),IFERROR(INT(VALUE(I381)),"bad"))))</f>
        <v/>
      </c>
      <c r="O381">
        <f>IF(J381="","",IF(ISNUMBER(J381),ROUND(J381,2),IFERROR(ROUND(VALUE(SUBSTITUTE(SUBSTITUTE(SUBSTITUTE(J381,"$",""),",","")," ","")),2),"bad")))</f>
        <v/>
      </c>
      <c r="P381">
        <f>IF(TRIM(K381)="","",IFERROR(MATCH(LOWER(TRIM(K381)),'Students'!$AH$2:$AH$701,0),IFERROR(MATCH(LOWER(TRIM(K381)),'Students'!$AF$2:$AF$701,0),IFERROR(MATCH(LOWER(TRIM(K381)),'Students'!$AG$2:$AG$701,0),""))))</f>
        <v/>
      </c>
      <c r="R381">
        <f>IF(P381="","",INDEX('Students'!$AD$2:$AD$701,P381))</f>
        <v/>
      </c>
      <c r="S381">
        <f>IF(H381="OK",O381,0)</f>
        <v/>
      </c>
      <c r="T381">
        <f>IF(H381="OK",N381,"")</f>
        <v/>
      </c>
      <c r="U381">
        <f>IF(OC_Donor=0,"",IF(INDEX('OneCause_Paste'!$A$381:$AZ$381,1,OC_Donor)="","",INDEX('OneCause_Paste'!$A$381:$AZ$381,1,OC_Donor)))</f>
        <v/>
      </c>
    </row>
    <row r="382">
      <c r="A382" s="62">
        <f>IF(H382="","",IF(ISNUMBER(N382),N382,I382))</f>
        <v/>
      </c>
      <c r="B382">
        <f>IF(H382="","",U382)</f>
        <v/>
      </c>
      <c r="C382">
        <f>IF(H382="","",IF(P382="",K382,INDEX('Students'!$A$2:$A$701,P382)))</f>
        <v/>
      </c>
      <c r="D382">
        <f>IF(OR(H382="",P382=""),"",INDEX('Students'!$B$2:$B$701,P382))</f>
        <v/>
      </c>
      <c r="E382">
        <f>IF(OR(H382="",P382=""),"",INDEX('Students'!$C$2:$C$701,P382))</f>
        <v/>
      </c>
      <c r="F382" s="48">
        <f>IF(H382="","",IF(ISNUMBER(O382),O382,J382))</f>
        <v/>
      </c>
      <c r="G382">
        <f>IF(H382="","","OneCause")</f>
        <v/>
      </c>
      <c r="H382">
        <f>IF(AND(I382="",J382="",K382=""),"",IF(NOT(ISNUMBER(O382)),"Bad amount",IF(O382&lt;0,"Refund (not counted)",IF(O382=0,"Zero amount",IF(NOT(ISNUMBER(N382)),"Bad date",IF(P382="","NAME NOT ON ROSTER",IF(L382="","OK",IF(MATCH(L382,$L$2:$L$3001,0)&lt;ROW()-1,"Duplicate (ignored)","OK"))))))))</f>
        <v/>
      </c>
      <c r="I382">
        <f>IF(OC_Date=0,"",IF(INDEX('OneCause_Paste'!$A$382:$AZ$382,1,OC_Date)="","",INDEX('OneCause_Paste'!$A$382:$AZ$382,1,OC_Date)))</f>
        <v/>
      </c>
      <c r="J382">
        <f>IF(OC_Amt=0,"",IF(INDEX('OneCause_Paste'!$A$382:$AZ$382,1,OC_Amt)="","",INDEX('OneCause_Paste'!$A$382:$AZ$382,1,OC_Amt)))</f>
        <v/>
      </c>
      <c r="K382">
        <f>IF(OC_Name=0,"",IF(INDEX('OneCause_Paste'!$A$382:$AZ$382,1,OC_Name)="","",INDEX('OneCause_Paste'!$A$382:$AZ$382,1,OC_Name)))</f>
        <v/>
      </c>
      <c r="L382">
        <f>IF(OC_Txn=0,"",IF(INDEX('OneCause_Paste'!$A$382:$AZ$382,1,OC_Txn)="","",INDEX('OneCause_Paste'!$A$382:$AZ$382,1,OC_Txn)))</f>
        <v/>
      </c>
      <c r="M382">
        <f>IF(OC_Pay=0,"",IF(INDEX('OneCause_Paste'!$A$382:$AZ$382,1,OC_Pay)="","",INDEX('OneCause_Paste'!$A$382:$AZ$382,1,OC_Pay)))</f>
        <v/>
      </c>
      <c r="N382">
        <f>IF(I382="","",IF(ISNUMBER(I382),INT(I382),IFERROR(INT(DATEVALUE(I382)),IFERROR(INT(VALUE(I382)),"bad"))))</f>
        <v/>
      </c>
      <c r="O382">
        <f>IF(J382="","",IF(ISNUMBER(J382),ROUND(J382,2),IFERROR(ROUND(VALUE(SUBSTITUTE(SUBSTITUTE(SUBSTITUTE(J382,"$",""),",","")," ","")),2),"bad")))</f>
        <v/>
      </c>
      <c r="P382">
        <f>IF(TRIM(K382)="","",IFERROR(MATCH(LOWER(TRIM(K382)),'Students'!$AH$2:$AH$701,0),IFERROR(MATCH(LOWER(TRIM(K382)),'Students'!$AF$2:$AF$701,0),IFERROR(MATCH(LOWER(TRIM(K382)),'Students'!$AG$2:$AG$701,0),""))))</f>
        <v/>
      </c>
      <c r="R382">
        <f>IF(P382="","",INDEX('Students'!$AD$2:$AD$701,P382))</f>
        <v/>
      </c>
      <c r="S382">
        <f>IF(H382="OK",O382,0)</f>
        <v/>
      </c>
      <c r="T382">
        <f>IF(H382="OK",N382,"")</f>
        <v/>
      </c>
      <c r="U382">
        <f>IF(OC_Donor=0,"",IF(INDEX('OneCause_Paste'!$A$382:$AZ$382,1,OC_Donor)="","",INDEX('OneCause_Paste'!$A$382:$AZ$382,1,OC_Donor)))</f>
        <v/>
      </c>
    </row>
    <row r="383">
      <c r="A383" s="62">
        <f>IF(H383="","",IF(ISNUMBER(N383),N383,I383))</f>
        <v/>
      </c>
      <c r="B383">
        <f>IF(H383="","",U383)</f>
        <v/>
      </c>
      <c r="C383">
        <f>IF(H383="","",IF(P383="",K383,INDEX('Students'!$A$2:$A$701,P383)))</f>
        <v/>
      </c>
      <c r="D383">
        <f>IF(OR(H383="",P383=""),"",INDEX('Students'!$B$2:$B$701,P383))</f>
        <v/>
      </c>
      <c r="E383">
        <f>IF(OR(H383="",P383=""),"",INDEX('Students'!$C$2:$C$701,P383))</f>
        <v/>
      </c>
      <c r="F383" s="48">
        <f>IF(H383="","",IF(ISNUMBER(O383),O383,J383))</f>
        <v/>
      </c>
      <c r="G383">
        <f>IF(H383="","","OneCause")</f>
        <v/>
      </c>
      <c r="H383">
        <f>IF(AND(I383="",J383="",K383=""),"",IF(NOT(ISNUMBER(O383)),"Bad amount",IF(O383&lt;0,"Refund (not counted)",IF(O383=0,"Zero amount",IF(NOT(ISNUMBER(N383)),"Bad date",IF(P383="","NAME NOT ON ROSTER",IF(L383="","OK",IF(MATCH(L383,$L$2:$L$3001,0)&lt;ROW()-1,"Duplicate (ignored)","OK"))))))))</f>
        <v/>
      </c>
      <c r="I383">
        <f>IF(OC_Date=0,"",IF(INDEX('OneCause_Paste'!$A$383:$AZ$383,1,OC_Date)="","",INDEX('OneCause_Paste'!$A$383:$AZ$383,1,OC_Date)))</f>
        <v/>
      </c>
      <c r="J383">
        <f>IF(OC_Amt=0,"",IF(INDEX('OneCause_Paste'!$A$383:$AZ$383,1,OC_Amt)="","",INDEX('OneCause_Paste'!$A$383:$AZ$383,1,OC_Amt)))</f>
        <v/>
      </c>
      <c r="K383">
        <f>IF(OC_Name=0,"",IF(INDEX('OneCause_Paste'!$A$383:$AZ$383,1,OC_Name)="","",INDEX('OneCause_Paste'!$A$383:$AZ$383,1,OC_Name)))</f>
        <v/>
      </c>
      <c r="L383">
        <f>IF(OC_Txn=0,"",IF(INDEX('OneCause_Paste'!$A$383:$AZ$383,1,OC_Txn)="","",INDEX('OneCause_Paste'!$A$383:$AZ$383,1,OC_Txn)))</f>
        <v/>
      </c>
      <c r="M383">
        <f>IF(OC_Pay=0,"",IF(INDEX('OneCause_Paste'!$A$383:$AZ$383,1,OC_Pay)="","",INDEX('OneCause_Paste'!$A$383:$AZ$383,1,OC_Pay)))</f>
        <v/>
      </c>
      <c r="N383">
        <f>IF(I383="","",IF(ISNUMBER(I383),INT(I383),IFERROR(INT(DATEVALUE(I383)),IFERROR(INT(VALUE(I383)),"bad"))))</f>
        <v/>
      </c>
      <c r="O383">
        <f>IF(J383="","",IF(ISNUMBER(J383),ROUND(J383,2),IFERROR(ROUND(VALUE(SUBSTITUTE(SUBSTITUTE(SUBSTITUTE(J383,"$",""),",","")," ","")),2),"bad")))</f>
        <v/>
      </c>
      <c r="P383">
        <f>IF(TRIM(K383)="","",IFERROR(MATCH(LOWER(TRIM(K383)),'Students'!$AH$2:$AH$701,0),IFERROR(MATCH(LOWER(TRIM(K383)),'Students'!$AF$2:$AF$701,0),IFERROR(MATCH(LOWER(TRIM(K383)),'Students'!$AG$2:$AG$701,0),""))))</f>
        <v/>
      </c>
      <c r="R383">
        <f>IF(P383="","",INDEX('Students'!$AD$2:$AD$701,P383))</f>
        <v/>
      </c>
      <c r="S383">
        <f>IF(H383="OK",O383,0)</f>
        <v/>
      </c>
      <c r="T383">
        <f>IF(H383="OK",N383,"")</f>
        <v/>
      </c>
      <c r="U383">
        <f>IF(OC_Donor=0,"",IF(INDEX('OneCause_Paste'!$A$383:$AZ$383,1,OC_Donor)="","",INDEX('OneCause_Paste'!$A$383:$AZ$383,1,OC_Donor)))</f>
        <v/>
      </c>
    </row>
    <row r="384">
      <c r="A384" s="62">
        <f>IF(H384="","",IF(ISNUMBER(N384),N384,I384))</f>
        <v/>
      </c>
      <c r="B384">
        <f>IF(H384="","",U384)</f>
        <v/>
      </c>
      <c r="C384">
        <f>IF(H384="","",IF(P384="",K384,INDEX('Students'!$A$2:$A$701,P384)))</f>
        <v/>
      </c>
      <c r="D384">
        <f>IF(OR(H384="",P384=""),"",INDEX('Students'!$B$2:$B$701,P384))</f>
        <v/>
      </c>
      <c r="E384">
        <f>IF(OR(H384="",P384=""),"",INDEX('Students'!$C$2:$C$701,P384))</f>
        <v/>
      </c>
      <c r="F384" s="48">
        <f>IF(H384="","",IF(ISNUMBER(O384),O384,J384))</f>
        <v/>
      </c>
      <c r="G384">
        <f>IF(H384="","","OneCause")</f>
        <v/>
      </c>
      <c r="H384">
        <f>IF(AND(I384="",J384="",K384=""),"",IF(NOT(ISNUMBER(O384)),"Bad amount",IF(O384&lt;0,"Refund (not counted)",IF(O384=0,"Zero amount",IF(NOT(ISNUMBER(N384)),"Bad date",IF(P384="","NAME NOT ON ROSTER",IF(L384="","OK",IF(MATCH(L384,$L$2:$L$3001,0)&lt;ROW()-1,"Duplicate (ignored)","OK"))))))))</f>
        <v/>
      </c>
      <c r="I384">
        <f>IF(OC_Date=0,"",IF(INDEX('OneCause_Paste'!$A$384:$AZ$384,1,OC_Date)="","",INDEX('OneCause_Paste'!$A$384:$AZ$384,1,OC_Date)))</f>
        <v/>
      </c>
      <c r="J384">
        <f>IF(OC_Amt=0,"",IF(INDEX('OneCause_Paste'!$A$384:$AZ$384,1,OC_Amt)="","",INDEX('OneCause_Paste'!$A$384:$AZ$384,1,OC_Amt)))</f>
        <v/>
      </c>
      <c r="K384">
        <f>IF(OC_Name=0,"",IF(INDEX('OneCause_Paste'!$A$384:$AZ$384,1,OC_Name)="","",INDEX('OneCause_Paste'!$A$384:$AZ$384,1,OC_Name)))</f>
        <v/>
      </c>
      <c r="L384">
        <f>IF(OC_Txn=0,"",IF(INDEX('OneCause_Paste'!$A$384:$AZ$384,1,OC_Txn)="","",INDEX('OneCause_Paste'!$A$384:$AZ$384,1,OC_Txn)))</f>
        <v/>
      </c>
      <c r="M384">
        <f>IF(OC_Pay=0,"",IF(INDEX('OneCause_Paste'!$A$384:$AZ$384,1,OC_Pay)="","",INDEX('OneCause_Paste'!$A$384:$AZ$384,1,OC_Pay)))</f>
        <v/>
      </c>
      <c r="N384">
        <f>IF(I384="","",IF(ISNUMBER(I384),INT(I384),IFERROR(INT(DATEVALUE(I384)),IFERROR(INT(VALUE(I384)),"bad"))))</f>
        <v/>
      </c>
      <c r="O384">
        <f>IF(J384="","",IF(ISNUMBER(J384),ROUND(J384,2),IFERROR(ROUND(VALUE(SUBSTITUTE(SUBSTITUTE(SUBSTITUTE(J384,"$",""),",","")," ","")),2),"bad")))</f>
        <v/>
      </c>
      <c r="P384">
        <f>IF(TRIM(K384)="","",IFERROR(MATCH(LOWER(TRIM(K384)),'Students'!$AH$2:$AH$701,0),IFERROR(MATCH(LOWER(TRIM(K384)),'Students'!$AF$2:$AF$701,0),IFERROR(MATCH(LOWER(TRIM(K384)),'Students'!$AG$2:$AG$701,0),""))))</f>
        <v/>
      </c>
      <c r="R384">
        <f>IF(P384="","",INDEX('Students'!$AD$2:$AD$701,P384))</f>
        <v/>
      </c>
      <c r="S384">
        <f>IF(H384="OK",O384,0)</f>
        <v/>
      </c>
      <c r="T384">
        <f>IF(H384="OK",N384,"")</f>
        <v/>
      </c>
      <c r="U384">
        <f>IF(OC_Donor=0,"",IF(INDEX('OneCause_Paste'!$A$384:$AZ$384,1,OC_Donor)="","",INDEX('OneCause_Paste'!$A$384:$AZ$384,1,OC_Donor)))</f>
        <v/>
      </c>
    </row>
    <row r="385">
      <c r="A385" s="62">
        <f>IF(H385="","",IF(ISNUMBER(N385),N385,I385))</f>
        <v/>
      </c>
      <c r="B385">
        <f>IF(H385="","",U385)</f>
        <v/>
      </c>
      <c r="C385">
        <f>IF(H385="","",IF(P385="",K385,INDEX('Students'!$A$2:$A$701,P385)))</f>
        <v/>
      </c>
      <c r="D385">
        <f>IF(OR(H385="",P385=""),"",INDEX('Students'!$B$2:$B$701,P385))</f>
        <v/>
      </c>
      <c r="E385">
        <f>IF(OR(H385="",P385=""),"",INDEX('Students'!$C$2:$C$701,P385))</f>
        <v/>
      </c>
      <c r="F385" s="48">
        <f>IF(H385="","",IF(ISNUMBER(O385),O385,J385))</f>
        <v/>
      </c>
      <c r="G385">
        <f>IF(H385="","","OneCause")</f>
        <v/>
      </c>
      <c r="H385">
        <f>IF(AND(I385="",J385="",K385=""),"",IF(NOT(ISNUMBER(O385)),"Bad amount",IF(O385&lt;0,"Refund (not counted)",IF(O385=0,"Zero amount",IF(NOT(ISNUMBER(N385)),"Bad date",IF(P385="","NAME NOT ON ROSTER",IF(L385="","OK",IF(MATCH(L385,$L$2:$L$3001,0)&lt;ROW()-1,"Duplicate (ignored)","OK"))))))))</f>
        <v/>
      </c>
      <c r="I385">
        <f>IF(OC_Date=0,"",IF(INDEX('OneCause_Paste'!$A$385:$AZ$385,1,OC_Date)="","",INDEX('OneCause_Paste'!$A$385:$AZ$385,1,OC_Date)))</f>
        <v/>
      </c>
      <c r="J385">
        <f>IF(OC_Amt=0,"",IF(INDEX('OneCause_Paste'!$A$385:$AZ$385,1,OC_Amt)="","",INDEX('OneCause_Paste'!$A$385:$AZ$385,1,OC_Amt)))</f>
        <v/>
      </c>
      <c r="K385">
        <f>IF(OC_Name=0,"",IF(INDEX('OneCause_Paste'!$A$385:$AZ$385,1,OC_Name)="","",INDEX('OneCause_Paste'!$A$385:$AZ$385,1,OC_Name)))</f>
        <v/>
      </c>
      <c r="L385">
        <f>IF(OC_Txn=0,"",IF(INDEX('OneCause_Paste'!$A$385:$AZ$385,1,OC_Txn)="","",INDEX('OneCause_Paste'!$A$385:$AZ$385,1,OC_Txn)))</f>
        <v/>
      </c>
      <c r="M385">
        <f>IF(OC_Pay=0,"",IF(INDEX('OneCause_Paste'!$A$385:$AZ$385,1,OC_Pay)="","",INDEX('OneCause_Paste'!$A$385:$AZ$385,1,OC_Pay)))</f>
        <v/>
      </c>
      <c r="N385">
        <f>IF(I385="","",IF(ISNUMBER(I385),INT(I385),IFERROR(INT(DATEVALUE(I385)),IFERROR(INT(VALUE(I385)),"bad"))))</f>
        <v/>
      </c>
      <c r="O385">
        <f>IF(J385="","",IF(ISNUMBER(J385),ROUND(J385,2),IFERROR(ROUND(VALUE(SUBSTITUTE(SUBSTITUTE(SUBSTITUTE(J385,"$",""),",","")," ","")),2),"bad")))</f>
        <v/>
      </c>
      <c r="P385">
        <f>IF(TRIM(K385)="","",IFERROR(MATCH(LOWER(TRIM(K385)),'Students'!$AH$2:$AH$701,0),IFERROR(MATCH(LOWER(TRIM(K385)),'Students'!$AF$2:$AF$701,0),IFERROR(MATCH(LOWER(TRIM(K385)),'Students'!$AG$2:$AG$701,0),""))))</f>
        <v/>
      </c>
      <c r="R385">
        <f>IF(P385="","",INDEX('Students'!$AD$2:$AD$701,P385))</f>
        <v/>
      </c>
      <c r="S385">
        <f>IF(H385="OK",O385,0)</f>
        <v/>
      </c>
      <c r="T385">
        <f>IF(H385="OK",N385,"")</f>
        <v/>
      </c>
      <c r="U385">
        <f>IF(OC_Donor=0,"",IF(INDEX('OneCause_Paste'!$A$385:$AZ$385,1,OC_Donor)="","",INDEX('OneCause_Paste'!$A$385:$AZ$385,1,OC_Donor)))</f>
        <v/>
      </c>
    </row>
    <row r="386">
      <c r="A386" s="62">
        <f>IF(H386="","",IF(ISNUMBER(N386),N386,I386))</f>
        <v/>
      </c>
      <c r="B386">
        <f>IF(H386="","",U386)</f>
        <v/>
      </c>
      <c r="C386">
        <f>IF(H386="","",IF(P386="",K386,INDEX('Students'!$A$2:$A$701,P386)))</f>
        <v/>
      </c>
      <c r="D386">
        <f>IF(OR(H386="",P386=""),"",INDEX('Students'!$B$2:$B$701,P386))</f>
        <v/>
      </c>
      <c r="E386">
        <f>IF(OR(H386="",P386=""),"",INDEX('Students'!$C$2:$C$701,P386))</f>
        <v/>
      </c>
      <c r="F386" s="48">
        <f>IF(H386="","",IF(ISNUMBER(O386),O386,J386))</f>
        <v/>
      </c>
      <c r="G386">
        <f>IF(H386="","","OneCause")</f>
        <v/>
      </c>
      <c r="H386">
        <f>IF(AND(I386="",J386="",K386=""),"",IF(NOT(ISNUMBER(O386)),"Bad amount",IF(O386&lt;0,"Refund (not counted)",IF(O386=0,"Zero amount",IF(NOT(ISNUMBER(N386)),"Bad date",IF(P386="","NAME NOT ON ROSTER",IF(L386="","OK",IF(MATCH(L386,$L$2:$L$3001,0)&lt;ROW()-1,"Duplicate (ignored)","OK"))))))))</f>
        <v/>
      </c>
      <c r="I386">
        <f>IF(OC_Date=0,"",IF(INDEX('OneCause_Paste'!$A$386:$AZ$386,1,OC_Date)="","",INDEX('OneCause_Paste'!$A$386:$AZ$386,1,OC_Date)))</f>
        <v/>
      </c>
      <c r="J386">
        <f>IF(OC_Amt=0,"",IF(INDEX('OneCause_Paste'!$A$386:$AZ$386,1,OC_Amt)="","",INDEX('OneCause_Paste'!$A$386:$AZ$386,1,OC_Amt)))</f>
        <v/>
      </c>
      <c r="K386">
        <f>IF(OC_Name=0,"",IF(INDEX('OneCause_Paste'!$A$386:$AZ$386,1,OC_Name)="","",INDEX('OneCause_Paste'!$A$386:$AZ$386,1,OC_Name)))</f>
        <v/>
      </c>
      <c r="L386">
        <f>IF(OC_Txn=0,"",IF(INDEX('OneCause_Paste'!$A$386:$AZ$386,1,OC_Txn)="","",INDEX('OneCause_Paste'!$A$386:$AZ$386,1,OC_Txn)))</f>
        <v/>
      </c>
      <c r="M386">
        <f>IF(OC_Pay=0,"",IF(INDEX('OneCause_Paste'!$A$386:$AZ$386,1,OC_Pay)="","",INDEX('OneCause_Paste'!$A$386:$AZ$386,1,OC_Pay)))</f>
        <v/>
      </c>
      <c r="N386">
        <f>IF(I386="","",IF(ISNUMBER(I386),INT(I386),IFERROR(INT(DATEVALUE(I386)),IFERROR(INT(VALUE(I386)),"bad"))))</f>
        <v/>
      </c>
      <c r="O386">
        <f>IF(J386="","",IF(ISNUMBER(J386),ROUND(J386,2),IFERROR(ROUND(VALUE(SUBSTITUTE(SUBSTITUTE(SUBSTITUTE(J386,"$",""),",","")," ","")),2),"bad")))</f>
        <v/>
      </c>
      <c r="P386">
        <f>IF(TRIM(K386)="","",IFERROR(MATCH(LOWER(TRIM(K386)),'Students'!$AH$2:$AH$701,0),IFERROR(MATCH(LOWER(TRIM(K386)),'Students'!$AF$2:$AF$701,0),IFERROR(MATCH(LOWER(TRIM(K386)),'Students'!$AG$2:$AG$701,0),""))))</f>
        <v/>
      </c>
      <c r="R386">
        <f>IF(P386="","",INDEX('Students'!$AD$2:$AD$701,P386))</f>
        <v/>
      </c>
      <c r="S386">
        <f>IF(H386="OK",O386,0)</f>
        <v/>
      </c>
      <c r="T386">
        <f>IF(H386="OK",N386,"")</f>
        <v/>
      </c>
      <c r="U386">
        <f>IF(OC_Donor=0,"",IF(INDEX('OneCause_Paste'!$A$386:$AZ$386,1,OC_Donor)="","",INDEX('OneCause_Paste'!$A$386:$AZ$386,1,OC_Donor)))</f>
        <v/>
      </c>
    </row>
    <row r="387">
      <c r="A387" s="62">
        <f>IF(H387="","",IF(ISNUMBER(N387),N387,I387))</f>
        <v/>
      </c>
      <c r="B387">
        <f>IF(H387="","",U387)</f>
        <v/>
      </c>
      <c r="C387">
        <f>IF(H387="","",IF(P387="",K387,INDEX('Students'!$A$2:$A$701,P387)))</f>
        <v/>
      </c>
      <c r="D387">
        <f>IF(OR(H387="",P387=""),"",INDEX('Students'!$B$2:$B$701,P387))</f>
        <v/>
      </c>
      <c r="E387">
        <f>IF(OR(H387="",P387=""),"",INDEX('Students'!$C$2:$C$701,P387))</f>
        <v/>
      </c>
      <c r="F387" s="48">
        <f>IF(H387="","",IF(ISNUMBER(O387),O387,J387))</f>
        <v/>
      </c>
      <c r="G387">
        <f>IF(H387="","","OneCause")</f>
        <v/>
      </c>
      <c r="H387">
        <f>IF(AND(I387="",J387="",K387=""),"",IF(NOT(ISNUMBER(O387)),"Bad amount",IF(O387&lt;0,"Refund (not counted)",IF(O387=0,"Zero amount",IF(NOT(ISNUMBER(N387)),"Bad date",IF(P387="","NAME NOT ON ROSTER",IF(L387="","OK",IF(MATCH(L387,$L$2:$L$3001,0)&lt;ROW()-1,"Duplicate (ignored)","OK"))))))))</f>
        <v/>
      </c>
      <c r="I387">
        <f>IF(OC_Date=0,"",IF(INDEX('OneCause_Paste'!$A$387:$AZ$387,1,OC_Date)="","",INDEX('OneCause_Paste'!$A$387:$AZ$387,1,OC_Date)))</f>
        <v/>
      </c>
      <c r="J387">
        <f>IF(OC_Amt=0,"",IF(INDEX('OneCause_Paste'!$A$387:$AZ$387,1,OC_Amt)="","",INDEX('OneCause_Paste'!$A$387:$AZ$387,1,OC_Amt)))</f>
        <v/>
      </c>
      <c r="K387">
        <f>IF(OC_Name=0,"",IF(INDEX('OneCause_Paste'!$A$387:$AZ$387,1,OC_Name)="","",INDEX('OneCause_Paste'!$A$387:$AZ$387,1,OC_Name)))</f>
        <v/>
      </c>
      <c r="L387">
        <f>IF(OC_Txn=0,"",IF(INDEX('OneCause_Paste'!$A$387:$AZ$387,1,OC_Txn)="","",INDEX('OneCause_Paste'!$A$387:$AZ$387,1,OC_Txn)))</f>
        <v/>
      </c>
      <c r="M387">
        <f>IF(OC_Pay=0,"",IF(INDEX('OneCause_Paste'!$A$387:$AZ$387,1,OC_Pay)="","",INDEX('OneCause_Paste'!$A$387:$AZ$387,1,OC_Pay)))</f>
        <v/>
      </c>
      <c r="N387">
        <f>IF(I387="","",IF(ISNUMBER(I387),INT(I387),IFERROR(INT(DATEVALUE(I387)),IFERROR(INT(VALUE(I387)),"bad"))))</f>
        <v/>
      </c>
      <c r="O387">
        <f>IF(J387="","",IF(ISNUMBER(J387),ROUND(J387,2),IFERROR(ROUND(VALUE(SUBSTITUTE(SUBSTITUTE(SUBSTITUTE(J387,"$",""),",","")," ","")),2),"bad")))</f>
        <v/>
      </c>
      <c r="P387">
        <f>IF(TRIM(K387)="","",IFERROR(MATCH(LOWER(TRIM(K387)),'Students'!$AH$2:$AH$701,0),IFERROR(MATCH(LOWER(TRIM(K387)),'Students'!$AF$2:$AF$701,0),IFERROR(MATCH(LOWER(TRIM(K387)),'Students'!$AG$2:$AG$701,0),""))))</f>
        <v/>
      </c>
      <c r="R387">
        <f>IF(P387="","",INDEX('Students'!$AD$2:$AD$701,P387))</f>
        <v/>
      </c>
      <c r="S387">
        <f>IF(H387="OK",O387,0)</f>
        <v/>
      </c>
      <c r="T387">
        <f>IF(H387="OK",N387,"")</f>
        <v/>
      </c>
      <c r="U387">
        <f>IF(OC_Donor=0,"",IF(INDEX('OneCause_Paste'!$A$387:$AZ$387,1,OC_Donor)="","",INDEX('OneCause_Paste'!$A$387:$AZ$387,1,OC_Donor)))</f>
        <v/>
      </c>
    </row>
    <row r="388">
      <c r="A388" s="62">
        <f>IF(H388="","",IF(ISNUMBER(N388),N388,I388))</f>
        <v/>
      </c>
      <c r="B388">
        <f>IF(H388="","",U388)</f>
        <v/>
      </c>
      <c r="C388">
        <f>IF(H388="","",IF(P388="",K388,INDEX('Students'!$A$2:$A$701,P388)))</f>
        <v/>
      </c>
      <c r="D388">
        <f>IF(OR(H388="",P388=""),"",INDEX('Students'!$B$2:$B$701,P388))</f>
        <v/>
      </c>
      <c r="E388">
        <f>IF(OR(H388="",P388=""),"",INDEX('Students'!$C$2:$C$701,P388))</f>
        <v/>
      </c>
      <c r="F388" s="48">
        <f>IF(H388="","",IF(ISNUMBER(O388),O388,J388))</f>
        <v/>
      </c>
      <c r="G388">
        <f>IF(H388="","","OneCause")</f>
        <v/>
      </c>
      <c r="H388">
        <f>IF(AND(I388="",J388="",K388=""),"",IF(NOT(ISNUMBER(O388)),"Bad amount",IF(O388&lt;0,"Refund (not counted)",IF(O388=0,"Zero amount",IF(NOT(ISNUMBER(N388)),"Bad date",IF(P388="","NAME NOT ON ROSTER",IF(L388="","OK",IF(MATCH(L388,$L$2:$L$3001,0)&lt;ROW()-1,"Duplicate (ignored)","OK"))))))))</f>
        <v/>
      </c>
      <c r="I388">
        <f>IF(OC_Date=0,"",IF(INDEX('OneCause_Paste'!$A$388:$AZ$388,1,OC_Date)="","",INDEX('OneCause_Paste'!$A$388:$AZ$388,1,OC_Date)))</f>
        <v/>
      </c>
      <c r="J388">
        <f>IF(OC_Amt=0,"",IF(INDEX('OneCause_Paste'!$A$388:$AZ$388,1,OC_Amt)="","",INDEX('OneCause_Paste'!$A$388:$AZ$388,1,OC_Amt)))</f>
        <v/>
      </c>
      <c r="K388">
        <f>IF(OC_Name=0,"",IF(INDEX('OneCause_Paste'!$A$388:$AZ$388,1,OC_Name)="","",INDEX('OneCause_Paste'!$A$388:$AZ$388,1,OC_Name)))</f>
        <v/>
      </c>
      <c r="L388">
        <f>IF(OC_Txn=0,"",IF(INDEX('OneCause_Paste'!$A$388:$AZ$388,1,OC_Txn)="","",INDEX('OneCause_Paste'!$A$388:$AZ$388,1,OC_Txn)))</f>
        <v/>
      </c>
      <c r="M388">
        <f>IF(OC_Pay=0,"",IF(INDEX('OneCause_Paste'!$A$388:$AZ$388,1,OC_Pay)="","",INDEX('OneCause_Paste'!$A$388:$AZ$388,1,OC_Pay)))</f>
        <v/>
      </c>
      <c r="N388">
        <f>IF(I388="","",IF(ISNUMBER(I388),INT(I388),IFERROR(INT(DATEVALUE(I388)),IFERROR(INT(VALUE(I388)),"bad"))))</f>
        <v/>
      </c>
      <c r="O388">
        <f>IF(J388="","",IF(ISNUMBER(J388),ROUND(J388,2),IFERROR(ROUND(VALUE(SUBSTITUTE(SUBSTITUTE(SUBSTITUTE(J388,"$",""),",","")," ","")),2),"bad")))</f>
        <v/>
      </c>
      <c r="P388">
        <f>IF(TRIM(K388)="","",IFERROR(MATCH(LOWER(TRIM(K388)),'Students'!$AH$2:$AH$701,0),IFERROR(MATCH(LOWER(TRIM(K388)),'Students'!$AF$2:$AF$701,0),IFERROR(MATCH(LOWER(TRIM(K388)),'Students'!$AG$2:$AG$701,0),""))))</f>
        <v/>
      </c>
      <c r="R388">
        <f>IF(P388="","",INDEX('Students'!$AD$2:$AD$701,P388))</f>
        <v/>
      </c>
      <c r="S388">
        <f>IF(H388="OK",O388,0)</f>
        <v/>
      </c>
      <c r="T388">
        <f>IF(H388="OK",N388,"")</f>
        <v/>
      </c>
      <c r="U388">
        <f>IF(OC_Donor=0,"",IF(INDEX('OneCause_Paste'!$A$388:$AZ$388,1,OC_Donor)="","",INDEX('OneCause_Paste'!$A$388:$AZ$388,1,OC_Donor)))</f>
        <v/>
      </c>
    </row>
    <row r="389">
      <c r="A389" s="62">
        <f>IF(H389="","",IF(ISNUMBER(N389),N389,I389))</f>
        <v/>
      </c>
      <c r="B389">
        <f>IF(H389="","",U389)</f>
        <v/>
      </c>
      <c r="C389">
        <f>IF(H389="","",IF(P389="",K389,INDEX('Students'!$A$2:$A$701,P389)))</f>
        <v/>
      </c>
      <c r="D389">
        <f>IF(OR(H389="",P389=""),"",INDEX('Students'!$B$2:$B$701,P389))</f>
        <v/>
      </c>
      <c r="E389">
        <f>IF(OR(H389="",P389=""),"",INDEX('Students'!$C$2:$C$701,P389))</f>
        <v/>
      </c>
      <c r="F389" s="48">
        <f>IF(H389="","",IF(ISNUMBER(O389),O389,J389))</f>
        <v/>
      </c>
      <c r="G389">
        <f>IF(H389="","","OneCause")</f>
        <v/>
      </c>
      <c r="H389">
        <f>IF(AND(I389="",J389="",K389=""),"",IF(NOT(ISNUMBER(O389)),"Bad amount",IF(O389&lt;0,"Refund (not counted)",IF(O389=0,"Zero amount",IF(NOT(ISNUMBER(N389)),"Bad date",IF(P389="","NAME NOT ON ROSTER",IF(L389="","OK",IF(MATCH(L389,$L$2:$L$3001,0)&lt;ROW()-1,"Duplicate (ignored)","OK"))))))))</f>
        <v/>
      </c>
      <c r="I389">
        <f>IF(OC_Date=0,"",IF(INDEX('OneCause_Paste'!$A$389:$AZ$389,1,OC_Date)="","",INDEX('OneCause_Paste'!$A$389:$AZ$389,1,OC_Date)))</f>
        <v/>
      </c>
      <c r="J389">
        <f>IF(OC_Amt=0,"",IF(INDEX('OneCause_Paste'!$A$389:$AZ$389,1,OC_Amt)="","",INDEX('OneCause_Paste'!$A$389:$AZ$389,1,OC_Amt)))</f>
        <v/>
      </c>
      <c r="K389">
        <f>IF(OC_Name=0,"",IF(INDEX('OneCause_Paste'!$A$389:$AZ$389,1,OC_Name)="","",INDEX('OneCause_Paste'!$A$389:$AZ$389,1,OC_Name)))</f>
        <v/>
      </c>
      <c r="L389">
        <f>IF(OC_Txn=0,"",IF(INDEX('OneCause_Paste'!$A$389:$AZ$389,1,OC_Txn)="","",INDEX('OneCause_Paste'!$A$389:$AZ$389,1,OC_Txn)))</f>
        <v/>
      </c>
      <c r="M389">
        <f>IF(OC_Pay=0,"",IF(INDEX('OneCause_Paste'!$A$389:$AZ$389,1,OC_Pay)="","",INDEX('OneCause_Paste'!$A$389:$AZ$389,1,OC_Pay)))</f>
        <v/>
      </c>
      <c r="N389">
        <f>IF(I389="","",IF(ISNUMBER(I389),INT(I389),IFERROR(INT(DATEVALUE(I389)),IFERROR(INT(VALUE(I389)),"bad"))))</f>
        <v/>
      </c>
      <c r="O389">
        <f>IF(J389="","",IF(ISNUMBER(J389),ROUND(J389,2),IFERROR(ROUND(VALUE(SUBSTITUTE(SUBSTITUTE(SUBSTITUTE(J389,"$",""),",","")," ","")),2),"bad")))</f>
        <v/>
      </c>
      <c r="P389">
        <f>IF(TRIM(K389)="","",IFERROR(MATCH(LOWER(TRIM(K389)),'Students'!$AH$2:$AH$701,0),IFERROR(MATCH(LOWER(TRIM(K389)),'Students'!$AF$2:$AF$701,0),IFERROR(MATCH(LOWER(TRIM(K389)),'Students'!$AG$2:$AG$701,0),""))))</f>
        <v/>
      </c>
      <c r="R389">
        <f>IF(P389="","",INDEX('Students'!$AD$2:$AD$701,P389))</f>
        <v/>
      </c>
      <c r="S389">
        <f>IF(H389="OK",O389,0)</f>
        <v/>
      </c>
      <c r="T389">
        <f>IF(H389="OK",N389,"")</f>
        <v/>
      </c>
      <c r="U389">
        <f>IF(OC_Donor=0,"",IF(INDEX('OneCause_Paste'!$A$389:$AZ$389,1,OC_Donor)="","",INDEX('OneCause_Paste'!$A$389:$AZ$389,1,OC_Donor)))</f>
        <v/>
      </c>
    </row>
    <row r="390">
      <c r="A390" s="62">
        <f>IF(H390="","",IF(ISNUMBER(N390),N390,I390))</f>
        <v/>
      </c>
      <c r="B390">
        <f>IF(H390="","",U390)</f>
        <v/>
      </c>
      <c r="C390">
        <f>IF(H390="","",IF(P390="",K390,INDEX('Students'!$A$2:$A$701,P390)))</f>
        <v/>
      </c>
      <c r="D390">
        <f>IF(OR(H390="",P390=""),"",INDEX('Students'!$B$2:$B$701,P390))</f>
        <v/>
      </c>
      <c r="E390">
        <f>IF(OR(H390="",P390=""),"",INDEX('Students'!$C$2:$C$701,P390))</f>
        <v/>
      </c>
      <c r="F390" s="48">
        <f>IF(H390="","",IF(ISNUMBER(O390),O390,J390))</f>
        <v/>
      </c>
      <c r="G390">
        <f>IF(H390="","","OneCause")</f>
        <v/>
      </c>
      <c r="H390">
        <f>IF(AND(I390="",J390="",K390=""),"",IF(NOT(ISNUMBER(O390)),"Bad amount",IF(O390&lt;0,"Refund (not counted)",IF(O390=0,"Zero amount",IF(NOT(ISNUMBER(N390)),"Bad date",IF(P390="","NAME NOT ON ROSTER",IF(L390="","OK",IF(MATCH(L390,$L$2:$L$3001,0)&lt;ROW()-1,"Duplicate (ignored)","OK"))))))))</f>
        <v/>
      </c>
      <c r="I390">
        <f>IF(OC_Date=0,"",IF(INDEX('OneCause_Paste'!$A$390:$AZ$390,1,OC_Date)="","",INDEX('OneCause_Paste'!$A$390:$AZ$390,1,OC_Date)))</f>
        <v/>
      </c>
      <c r="J390">
        <f>IF(OC_Amt=0,"",IF(INDEX('OneCause_Paste'!$A$390:$AZ$390,1,OC_Amt)="","",INDEX('OneCause_Paste'!$A$390:$AZ$390,1,OC_Amt)))</f>
        <v/>
      </c>
      <c r="K390">
        <f>IF(OC_Name=0,"",IF(INDEX('OneCause_Paste'!$A$390:$AZ$390,1,OC_Name)="","",INDEX('OneCause_Paste'!$A$390:$AZ$390,1,OC_Name)))</f>
        <v/>
      </c>
      <c r="L390">
        <f>IF(OC_Txn=0,"",IF(INDEX('OneCause_Paste'!$A$390:$AZ$390,1,OC_Txn)="","",INDEX('OneCause_Paste'!$A$390:$AZ$390,1,OC_Txn)))</f>
        <v/>
      </c>
      <c r="M390">
        <f>IF(OC_Pay=0,"",IF(INDEX('OneCause_Paste'!$A$390:$AZ$390,1,OC_Pay)="","",INDEX('OneCause_Paste'!$A$390:$AZ$390,1,OC_Pay)))</f>
        <v/>
      </c>
      <c r="N390">
        <f>IF(I390="","",IF(ISNUMBER(I390),INT(I390),IFERROR(INT(DATEVALUE(I390)),IFERROR(INT(VALUE(I390)),"bad"))))</f>
        <v/>
      </c>
      <c r="O390">
        <f>IF(J390="","",IF(ISNUMBER(J390),ROUND(J390,2),IFERROR(ROUND(VALUE(SUBSTITUTE(SUBSTITUTE(SUBSTITUTE(J390,"$",""),",","")," ","")),2),"bad")))</f>
        <v/>
      </c>
      <c r="P390">
        <f>IF(TRIM(K390)="","",IFERROR(MATCH(LOWER(TRIM(K390)),'Students'!$AH$2:$AH$701,0),IFERROR(MATCH(LOWER(TRIM(K390)),'Students'!$AF$2:$AF$701,0),IFERROR(MATCH(LOWER(TRIM(K390)),'Students'!$AG$2:$AG$701,0),""))))</f>
        <v/>
      </c>
      <c r="R390">
        <f>IF(P390="","",INDEX('Students'!$AD$2:$AD$701,P390))</f>
        <v/>
      </c>
      <c r="S390">
        <f>IF(H390="OK",O390,0)</f>
        <v/>
      </c>
      <c r="T390">
        <f>IF(H390="OK",N390,"")</f>
        <v/>
      </c>
      <c r="U390">
        <f>IF(OC_Donor=0,"",IF(INDEX('OneCause_Paste'!$A$390:$AZ$390,1,OC_Donor)="","",INDEX('OneCause_Paste'!$A$390:$AZ$390,1,OC_Donor)))</f>
        <v/>
      </c>
    </row>
    <row r="391">
      <c r="A391" s="62">
        <f>IF(H391="","",IF(ISNUMBER(N391),N391,I391))</f>
        <v/>
      </c>
      <c r="B391">
        <f>IF(H391="","",U391)</f>
        <v/>
      </c>
      <c r="C391">
        <f>IF(H391="","",IF(P391="",K391,INDEX('Students'!$A$2:$A$701,P391)))</f>
        <v/>
      </c>
      <c r="D391">
        <f>IF(OR(H391="",P391=""),"",INDEX('Students'!$B$2:$B$701,P391))</f>
        <v/>
      </c>
      <c r="E391">
        <f>IF(OR(H391="",P391=""),"",INDEX('Students'!$C$2:$C$701,P391))</f>
        <v/>
      </c>
      <c r="F391" s="48">
        <f>IF(H391="","",IF(ISNUMBER(O391),O391,J391))</f>
        <v/>
      </c>
      <c r="G391">
        <f>IF(H391="","","OneCause")</f>
        <v/>
      </c>
      <c r="H391">
        <f>IF(AND(I391="",J391="",K391=""),"",IF(NOT(ISNUMBER(O391)),"Bad amount",IF(O391&lt;0,"Refund (not counted)",IF(O391=0,"Zero amount",IF(NOT(ISNUMBER(N391)),"Bad date",IF(P391="","NAME NOT ON ROSTER",IF(L391="","OK",IF(MATCH(L391,$L$2:$L$3001,0)&lt;ROW()-1,"Duplicate (ignored)","OK"))))))))</f>
        <v/>
      </c>
      <c r="I391">
        <f>IF(OC_Date=0,"",IF(INDEX('OneCause_Paste'!$A$391:$AZ$391,1,OC_Date)="","",INDEX('OneCause_Paste'!$A$391:$AZ$391,1,OC_Date)))</f>
        <v/>
      </c>
      <c r="J391">
        <f>IF(OC_Amt=0,"",IF(INDEX('OneCause_Paste'!$A$391:$AZ$391,1,OC_Amt)="","",INDEX('OneCause_Paste'!$A$391:$AZ$391,1,OC_Amt)))</f>
        <v/>
      </c>
      <c r="K391">
        <f>IF(OC_Name=0,"",IF(INDEX('OneCause_Paste'!$A$391:$AZ$391,1,OC_Name)="","",INDEX('OneCause_Paste'!$A$391:$AZ$391,1,OC_Name)))</f>
        <v/>
      </c>
      <c r="L391">
        <f>IF(OC_Txn=0,"",IF(INDEX('OneCause_Paste'!$A$391:$AZ$391,1,OC_Txn)="","",INDEX('OneCause_Paste'!$A$391:$AZ$391,1,OC_Txn)))</f>
        <v/>
      </c>
      <c r="M391">
        <f>IF(OC_Pay=0,"",IF(INDEX('OneCause_Paste'!$A$391:$AZ$391,1,OC_Pay)="","",INDEX('OneCause_Paste'!$A$391:$AZ$391,1,OC_Pay)))</f>
        <v/>
      </c>
      <c r="N391">
        <f>IF(I391="","",IF(ISNUMBER(I391),INT(I391),IFERROR(INT(DATEVALUE(I391)),IFERROR(INT(VALUE(I391)),"bad"))))</f>
        <v/>
      </c>
      <c r="O391">
        <f>IF(J391="","",IF(ISNUMBER(J391),ROUND(J391,2),IFERROR(ROUND(VALUE(SUBSTITUTE(SUBSTITUTE(SUBSTITUTE(J391,"$",""),",","")," ","")),2),"bad")))</f>
        <v/>
      </c>
      <c r="P391">
        <f>IF(TRIM(K391)="","",IFERROR(MATCH(LOWER(TRIM(K391)),'Students'!$AH$2:$AH$701,0),IFERROR(MATCH(LOWER(TRIM(K391)),'Students'!$AF$2:$AF$701,0),IFERROR(MATCH(LOWER(TRIM(K391)),'Students'!$AG$2:$AG$701,0),""))))</f>
        <v/>
      </c>
      <c r="R391">
        <f>IF(P391="","",INDEX('Students'!$AD$2:$AD$701,P391))</f>
        <v/>
      </c>
      <c r="S391">
        <f>IF(H391="OK",O391,0)</f>
        <v/>
      </c>
      <c r="T391">
        <f>IF(H391="OK",N391,"")</f>
        <v/>
      </c>
      <c r="U391">
        <f>IF(OC_Donor=0,"",IF(INDEX('OneCause_Paste'!$A$391:$AZ$391,1,OC_Donor)="","",INDEX('OneCause_Paste'!$A$391:$AZ$391,1,OC_Donor)))</f>
        <v/>
      </c>
    </row>
    <row r="392">
      <c r="A392" s="62">
        <f>IF(H392="","",IF(ISNUMBER(N392),N392,I392))</f>
        <v/>
      </c>
      <c r="B392">
        <f>IF(H392="","",U392)</f>
        <v/>
      </c>
      <c r="C392">
        <f>IF(H392="","",IF(P392="",K392,INDEX('Students'!$A$2:$A$701,P392)))</f>
        <v/>
      </c>
      <c r="D392">
        <f>IF(OR(H392="",P392=""),"",INDEX('Students'!$B$2:$B$701,P392))</f>
        <v/>
      </c>
      <c r="E392">
        <f>IF(OR(H392="",P392=""),"",INDEX('Students'!$C$2:$C$701,P392))</f>
        <v/>
      </c>
      <c r="F392" s="48">
        <f>IF(H392="","",IF(ISNUMBER(O392),O392,J392))</f>
        <v/>
      </c>
      <c r="G392">
        <f>IF(H392="","","OneCause")</f>
        <v/>
      </c>
      <c r="H392">
        <f>IF(AND(I392="",J392="",K392=""),"",IF(NOT(ISNUMBER(O392)),"Bad amount",IF(O392&lt;0,"Refund (not counted)",IF(O392=0,"Zero amount",IF(NOT(ISNUMBER(N392)),"Bad date",IF(P392="","NAME NOT ON ROSTER",IF(L392="","OK",IF(MATCH(L392,$L$2:$L$3001,0)&lt;ROW()-1,"Duplicate (ignored)","OK"))))))))</f>
        <v/>
      </c>
      <c r="I392">
        <f>IF(OC_Date=0,"",IF(INDEX('OneCause_Paste'!$A$392:$AZ$392,1,OC_Date)="","",INDEX('OneCause_Paste'!$A$392:$AZ$392,1,OC_Date)))</f>
        <v/>
      </c>
      <c r="J392">
        <f>IF(OC_Amt=0,"",IF(INDEX('OneCause_Paste'!$A$392:$AZ$392,1,OC_Amt)="","",INDEX('OneCause_Paste'!$A$392:$AZ$392,1,OC_Amt)))</f>
        <v/>
      </c>
      <c r="K392">
        <f>IF(OC_Name=0,"",IF(INDEX('OneCause_Paste'!$A$392:$AZ$392,1,OC_Name)="","",INDEX('OneCause_Paste'!$A$392:$AZ$392,1,OC_Name)))</f>
        <v/>
      </c>
      <c r="L392">
        <f>IF(OC_Txn=0,"",IF(INDEX('OneCause_Paste'!$A$392:$AZ$392,1,OC_Txn)="","",INDEX('OneCause_Paste'!$A$392:$AZ$392,1,OC_Txn)))</f>
        <v/>
      </c>
      <c r="M392">
        <f>IF(OC_Pay=0,"",IF(INDEX('OneCause_Paste'!$A$392:$AZ$392,1,OC_Pay)="","",INDEX('OneCause_Paste'!$A$392:$AZ$392,1,OC_Pay)))</f>
        <v/>
      </c>
      <c r="N392">
        <f>IF(I392="","",IF(ISNUMBER(I392),INT(I392),IFERROR(INT(DATEVALUE(I392)),IFERROR(INT(VALUE(I392)),"bad"))))</f>
        <v/>
      </c>
      <c r="O392">
        <f>IF(J392="","",IF(ISNUMBER(J392),ROUND(J392,2),IFERROR(ROUND(VALUE(SUBSTITUTE(SUBSTITUTE(SUBSTITUTE(J392,"$",""),",","")," ","")),2),"bad")))</f>
        <v/>
      </c>
      <c r="P392">
        <f>IF(TRIM(K392)="","",IFERROR(MATCH(LOWER(TRIM(K392)),'Students'!$AH$2:$AH$701,0),IFERROR(MATCH(LOWER(TRIM(K392)),'Students'!$AF$2:$AF$701,0),IFERROR(MATCH(LOWER(TRIM(K392)),'Students'!$AG$2:$AG$701,0),""))))</f>
        <v/>
      </c>
      <c r="R392">
        <f>IF(P392="","",INDEX('Students'!$AD$2:$AD$701,P392))</f>
        <v/>
      </c>
      <c r="S392">
        <f>IF(H392="OK",O392,0)</f>
        <v/>
      </c>
      <c r="T392">
        <f>IF(H392="OK",N392,"")</f>
        <v/>
      </c>
      <c r="U392">
        <f>IF(OC_Donor=0,"",IF(INDEX('OneCause_Paste'!$A$392:$AZ$392,1,OC_Donor)="","",INDEX('OneCause_Paste'!$A$392:$AZ$392,1,OC_Donor)))</f>
        <v/>
      </c>
    </row>
    <row r="393">
      <c r="A393" s="62">
        <f>IF(H393="","",IF(ISNUMBER(N393),N393,I393))</f>
        <v/>
      </c>
      <c r="B393">
        <f>IF(H393="","",U393)</f>
        <v/>
      </c>
      <c r="C393">
        <f>IF(H393="","",IF(P393="",K393,INDEX('Students'!$A$2:$A$701,P393)))</f>
        <v/>
      </c>
      <c r="D393">
        <f>IF(OR(H393="",P393=""),"",INDEX('Students'!$B$2:$B$701,P393))</f>
        <v/>
      </c>
      <c r="E393">
        <f>IF(OR(H393="",P393=""),"",INDEX('Students'!$C$2:$C$701,P393))</f>
        <v/>
      </c>
      <c r="F393" s="48">
        <f>IF(H393="","",IF(ISNUMBER(O393),O393,J393))</f>
        <v/>
      </c>
      <c r="G393">
        <f>IF(H393="","","OneCause")</f>
        <v/>
      </c>
      <c r="H393">
        <f>IF(AND(I393="",J393="",K393=""),"",IF(NOT(ISNUMBER(O393)),"Bad amount",IF(O393&lt;0,"Refund (not counted)",IF(O393=0,"Zero amount",IF(NOT(ISNUMBER(N393)),"Bad date",IF(P393="","NAME NOT ON ROSTER",IF(L393="","OK",IF(MATCH(L393,$L$2:$L$3001,0)&lt;ROW()-1,"Duplicate (ignored)","OK"))))))))</f>
        <v/>
      </c>
      <c r="I393">
        <f>IF(OC_Date=0,"",IF(INDEX('OneCause_Paste'!$A$393:$AZ$393,1,OC_Date)="","",INDEX('OneCause_Paste'!$A$393:$AZ$393,1,OC_Date)))</f>
        <v/>
      </c>
      <c r="J393">
        <f>IF(OC_Amt=0,"",IF(INDEX('OneCause_Paste'!$A$393:$AZ$393,1,OC_Amt)="","",INDEX('OneCause_Paste'!$A$393:$AZ$393,1,OC_Amt)))</f>
        <v/>
      </c>
      <c r="K393">
        <f>IF(OC_Name=0,"",IF(INDEX('OneCause_Paste'!$A$393:$AZ$393,1,OC_Name)="","",INDEX('OneCause_Paste'!$A$393:$AZ$393,1,OC_Name)))</f>
        <v/>
      </c>
      <c r="L393">
        <f>IF(OC_Txn=0,"",IF(INDEX('OneCause_Paste'!$A$393:$AZ$393,1,OC_Txn)="","",INDEX('OneCause_Paste'!$A$393:$AZ$393,1,OC_Txn)))</f>
        <v/>
      </c>
      <c r="M393">
        <f>IF(OC_Pay=0,"",IF(INDEX('OneCause_Paste'!$A$393:$AZ$393,1,OC_Pay)="","",INDEX('OneCause_Paste'!$A$393:$AZ$393,1,OC_Pay)))</f>
        <v/>
      </c>
      <c r="N393">
        <f>IF(I393="","",IF(ISNUMBER(I393),INT(I393),IFERROR(INT(DATEVALUE(I393)),IFERROR(INT(VALUE(I393)),"bad"))))</f>
        <v/>
      </c>
      <c r="O393">
        <f>IF(J393="","",IF(ISNUMBER(J393),ROUND(J393,2),IFERROR(ROUND(VALUE(SUBSTITUTE(SUBSTITUTE(SUBSTITUTE(J393,"$",""),",","")," ","")),2),"bad")))</f>
        <v/>
      </c>
      <c r="P393">
        <f>IF(TRIM(K393)="","",IFERROR(MATCH(LOWER(TRIM(K393)),'Students'!$AH$2:$AH$701,0),IFERROR(MATCH(LOWER(TRIM(K393)),'Students'!$AF$2:$AF$701,0),IFERROR(MATCH(LOWER(TRIM(K393)),'Students'!$AG$2:$AG$701,0),""))))</f>
        <v/>
      </c>
      <c r="R393">
        <f>IF(P393="","",INDEX('Students'!$AD$2:$AD$701,P393))</f>
        <v/>
      </c>
      <c r="S393">
        <f>IF(H393="OK",O393,0)</f>
        <v/>
      </c>
      <c r="T393">
        <f>IF(H393="OK",N393,"")</f>
        <v/>
      </c>
      <c r="U393">
        <f>IF(OC_Donor=0,"",IF(INDEX('OneCause_Paste'!$A$393:$AZ$393,1,OC_Donor)="","",INDEX('OneCause_Paste'!$A$393:$AZ$393,1,OC_Donor)))</f>
        <v/>
      </c>
    </row>
    <row r="394">
      <c r="A394" s="62">
        <f>IF(H394="","",IF(ISNUMBER(N394),N394,I394))</f>
        <v/>
      </c>
      <c r="B394">
        <f>IF(H394="","",U394)</f>
        <v/>
      </c>
      <c r="C394">
        <f>IF(H394="","",IF(P394="",K394,INDEX('Students'!$A$2:$A$701,P394)))</f>
        <v/>
      </c>
      <c r="D394">
        <f>IF(OR(H394="",P394=""),"",INDEX('Students'!$B$2:$B$701,P394))</f>
        <v/>
      </c>
      <c r="E394">
        <f>IF(OR(H394="",P394=""),"",INDEX('Students'!$C$2:$C$701,P394))</f>
        <v/>
      </c>
      <c r="F394" s="48">
        <f>IF(H394="","",IF(ISNUMBER(O394),O394,J394))</f>
        <v/>
      </c>
      <c r="G394">
        <f>IF(H394="","","OneCause")</f>
        <v/>
      </c>
      <c r="H394">
        <f>IF(AND(I394="",J394="",K394=""),"",IF(NOT(ISNUMBER(O394)),"Bad amount",IF(O394&lt;0,"Refund (not counted)",IF(O394=0,"Zero amount",IF(NOT(ISNUMBER(N394)),"Bad date",IF(P394="","NAME NOT ON ROSTER",IF(L394="","OK",IF(MATCH(L394,$L$2:$L$3001,0)&lt;ROW()-1,"Duplicate (ignored)","OK"))))))))</f>
        <v/>
      </c>
      <c r="I394">
        <f>IF(OC_Date=0,"",IF(INDEX('OneCause_Paste'!$A$394:$AZ$394,1,OC_Date)="","",INDEX('OneCause_Paste'!$A$394:$AZ$394,1,OC_Date)))</f>
        <v/>
      </c>
      <c r="J394">
        <f>IF(OC_Amt=0,"",IF(INDEX('OneCause_Paste'!$A$394:$AZ$394,1,OC_Amt)="","",INDEX('OneCause_Paste'!$A$394:$AZ$394,1,OC_Amt)))</f>
        <v/>
      </c>
      <c r="K394">
        <f>IF(OC_Name=0,"",IF(INDEX('OneCause_Paste'!$A$394:$AZ$394,1,OC_Name)="","",INDEX('OneCause_Paste'!$A$394:$AZ$394,1,OC_Name)))</f>
        <v/>
      </c>
      <c r="L394">
        <f>IF(OC_Txn=0,"",IF(INDEX('OneCause_Paste'!$A$394:$AZ$394,1,OC_Txn)="","",INDEX('OneCause_Paste'!$A$394:$AZ$394,1,OC_Txn)))</f>
        <v/>
      </c>
      <c r="M394">
        <f>IF(OC_Pay=0,"",IF(INDEX('OneCause_Paste'!$A$394:$AZ$394,1,OC_Pay)="","",INDEX('OneCause_Paste'!$A$394:$AZ$394,1,OC_Pay)))</f>
        <v/>
      </c>
      <c r="N394">
        <f>IF(I394="","",IF(ISNUMBER(I394),INT(I394),IFERROR(INT(DATEVALUE(I394)),IFERROR(INT(VALUE(I394)),"bad"))))</f>
        <v/>
      </c>
      <c r="O394">
        <f>IF(J394="","",IF(ISNUMBER(J394),ROUND(J394,2),IFERROR(ROUND(VALUE(SUBSTITUTE(SUBSTITUTE(SUBSTITUTE(J394,"$",""),",","")," ","")),2),"bad")))</f>
        <v/>
      </c>
      <c r="P394">
        <f>IF(TRIM(K394)="","",IFERROR(MATCH(LOWER(TRIM(K394)),'Students'!$AH$2:$AH$701,0),IFERROR(MATCH(LOWER(TRIM(K394)),'Students'!$AF$2:$AF$701,0),IFERROR(MATCH(LOWER(TRIM(K394)),'Students'!$AG$2:$AG$701,0),""))))</f>
        <v/>
      </c>
      <c r="R394">
        <f>IF(P394="","",INDEX('Students'!$AD$2:$AD$701,P394))</f>
        <v/>
      </c>
      <c r="S394">
        <f>IF(H394="OK",O394,0)</f>
        <v/>
      </c>
      <c r="T394">
        <f>IF(H394="OK",N394,"")</f>
        <v/>
      </c>
      <c r="U394">
        <f>IF(OC_Donor=0,"",IF(INDEX('OneCause_Paste'!$A$394:$AZ$394,1,OC_Donor)="","",INDEX('OneCause_Paste'!$A$394:$AZ$394,1,OC_Donor)))</f>
        <v/>
      </c>
    </row>
    <row r="395">
      <c r="A395" s="62">
        <f>IF(H395="","",IF(ISNUMBER(N395),N395,I395))</f>
        <v/>
      </c>
      <c r="B395">
        <f>IF(H395="","",U395)</f>
        <v/>
      </c>
      <c r="C395">
        <f>IF(H395="","",IF(P395="",K395,INDEX('Students'!$A$2:$A$701,P395)))</f>
        <v/>
      </c>
      <c r="D395">
        <f>IF(OR(H395="",P395=""),"",INDEX('Students'!$B$2:$B$701,P395))</f>
        <v/>
      </c>
      <c r="E395">
        <f>IF(OR(H395="",P395=""),"",INDEX('Students'!$C$2:$C$701,P395))</f>
        <v/>
      </c>
      <c r="F395" s="48">
        <f>IF(H395="","",IF(ISNUMBER(O395),O395,J395))</f>
        <v/>
      </c>
      <c r="G395">
        <f>IF(H395="","","OneCause")</f>
        <v/>
      </c>
      <c r="H395">
        <f>IF(AND(I395="",J395="",K395=""),"",IF(NOT(ISNUMBER(O395)),"Bad amount",IF(O395&lt;0,"Refund (not counted)",IF(O395=0,"Zero amount",IF(NOT(ISNUMBER(N395)),"Bad date",IF(P395="","NAME NOT ON ROSTER",IF(L395="","OK",IF(MATCH(L395,$L$2:$L$3001,0)&lt;ROW()-1,"Duplicate (ignored)","OK"))))))))</f>
        <v/>
      </c>
      <c r="I395">
        <f>IF(OC_Date=0,"",IF(INDEX('OneCause_Paste'!$A$395:$AZ$395,1,OC_Date)="","",INDEX('OneCause_Paste'!$A$395:$AZ$395,1,OC_Date)))</f>
        <v/>
      </c>
      <c r="J395">
        <f>IF(OC_Amt=0,"",IF(INDEX('OneCause_Paste'!$A$395:$AZ$395,1,OC_Amt)="","",INDEX('OneCause_Paste'!$A$395:$AZ$395,1,OC_Amt)))</f>
        <v/>
      </c>
      <c r="K395">
        <f>IF(OC_Name=0,"",IF(INDEX('OneCause_Paste'!$A$395:$AZ$395,1,OC_Name)="","",INDEX('OneCause_Paste'!$A$395:$AZ$395,1,OC_Name)))</f>
        <v/>
      </c>
      <c r="L395">
        <f>IF(OC_Txn=0,"",IF(INDEX('OneCause_Paste'!$A$395:$AZ$395,1,OC_Txn)="","",INDEX('OneCause_Paste'!$A$395:$AZ$395,1,OC_Txn)))</f>
        <v/>
      </c>
      <c r="M395">
        <f>IF(OC_Pay=0,"",IF(INDEX('OneCause_Paste'!$A$395:$AZ$395,1,OC_Pay)="","",INDEX('OneCause_Paste'!$A$395:$AZ$395,1,OC_Pay)))</f>
        <v/>
      </c>
      <c r="N395">
        <f>IF(I395="","",IF(ISNUMBER(I395),INT(I395),IFERROR(INT(DATEVALUE(I395)),IFERROR(INT(VALUE(I395)),"bad"))))</f>
        <v/>
      </c>
      <c r="O395">
        <f>IF(J395="","",IF(ISNUMBER(J395),ROUND(J395,2),IFERROR(ROUND(VALUE(SUBSTITUTE(SUBSTITUTE(SUBSTITUTE(J395,"$",""),",","")," ","")),2),"bad")))</f>
        <v/>
      </c>
      <c r="P395">
        <f>IF(TRIM(K395)="","",IFERROR(MATCH(LOWER(TRIM(K395)),'Students'!$AH$2:$AH$701,0),IFERROR(MATCH(LOWER(TRIM(K395)),'Students'!$AF$2:$AF$701,0),IFERROR(MATCH(LOWER(TRIM(K395)),'Students'!$AG$2:$AG$701,0),""))))</f>
        <v/>
      </c>
      <c r="R395">
        <f>IF(P395="","",INDEX('Students'!$AD$2:$AD$701,P395))</f>
        <v/>
      </c>
      <c r="S395">
        <f>IF(H395="OK",O395,0)</f>
        <v/>
      </c>
      <c r="T395">
        <f>IF(H395="OK",N395,"")</f>
        <v/>
      </c>
      <c r="U395">
        <f>IF(OC_Donor=0,"",IF(INDEX('OneCause_Paste'!$A$395:$AZ$395,1,OC_Donor)="","",INDEX('OneCause_Paste'!$A$395:$AZ$395,1,OC_Donor)))</f>
        <v/>
      </c>
    </row>
    <row r="396">
      <c r="A396" s="62">
        <f>IF(H396="","",IF(ISNUMBER(N396),N396,I396))</f>
        <v/>
      </c>
      <c r="B396">
        <f>IF(H396="","",U396)</f>
        <v/>
      </c>
      <c r="C396">
        <f>IF(H396="","",IF(P396="",K396,INDEX('Students'!$A$2:$A$701,P396)))</f>
        <v/>
      </c>
      <c r="D396">
        <f>IF(OR(H396="",P396=""),"",INDEX('Students'!$B$2:$B$701,P396))</f>
        <v/>
      </c>
      <c r="E396">
        <f>IF(OR(H396="",P396=""),"",INDEX('Students'!$C$2:$C$701,P396))</f>
        <v/>
      </c>
      <c r="F396" s="48">
        <f>IF(H396="","",IF(ISNUMBER(O396),O396,J396))</f>
        <v/>
      </c>
      <c r="G396">
        <f>IF(H396="","","OneCause")</f>
        <v/>
      </c>
      <c r="H396">
        <f>IF(AND(I396="",J396="",K396=""),"",IF(NOT(ISNUMBER(O396)),"Bad amount",IF(O396&lt;0,"Refund (not counted)",IF(O396=0,"Zero amount",IF(NOT(ISNUMBER(N396)),"Bad date",IF(P396="","NAME NOT ON ROSTER",IF(L396="","OK",IF(MATCH(L396,$L$2:$L$3001,0)&lt;ROW()-1,"Duplicate (ignored)","OK"))))))))</f>
        <v/>
      </c>
      <c r="I396">
        <f>IF(OC_Date=0,"",IF(INDEX('OneCause_Paste'!$A$396:$AZ$396,1,OC_Date)="","",INDEX('OneCause_Paste'!$A$396:$AZ$396,1,OC_Date)))</f>
        <v/>
      </c>
      <c r="J396">
        <f>IF(OC_Amt=0,"",IF(INDEX('OneCause_Paste'!$A$396:$AZ$396,1,OC_Amt)="","",INDEX('OneCause_Paste'!$A$396:$AZ$396,1,OC_Amt)))</f>
        <v/>
      </c>
      <c r="K396">
        <f>IF(OC_Name=0,"",IF(INDEX('OneCause_Paste'!$A$396:$AZ$396,1,OC_Name)="","",INDEX('OneCause_Paste'!$A$396:$AZ$396,1,OC_Name)))</f>
        <v/>
      </c>
      <c r="L396">
        <f>IF(OC_Txn=0,"",IF(INDEX('OneCause_Paste'!$A$396:$AZ$396,1,OC_Txn)="","",INDEX('OneCause_Paste'!$A$396:$AZ$396,1,OC_Txn)))</f>
        <v/>
      </c>
      <c r="M396">
        <f>IF(OC_Pay=0,"",IF(INDEX('OneCause_Paste'!$A$396:$AZ$396,1,OC_Pay)="","",INDEX('OneCause_Paste'!$A$396:$AZ$396,1,OC_Pay)))</f>
        <v/>
      </c>
      <c r="N396">
        <f>IF(I396="","",IF(ISNUMBER(I396),INT(I396),IFERROR(INT(DATEVALUE(I396)),IFERROR(INT(VALUE(I396)),"bad"))))</f>
        <v/>
      </c>
      <c r="O396">
        <f>IF(J396="","",IF(ISNUMBER(J396),ROUND(J396,2),IFERROR(ROUND(VALUE(SUBSTITUTE(SUBSTITUTE(SUBSTITUTE(J396,"$",""),",","")," ","")),2),"bad")))</f>
        <v/>
      </c>
      <c r="P396">
        <f>IF(TRIM(K396)="","",IFERROR(MATCH(LOWER(TRIM(K396)),'Students'!$AH$2:$AH$701,0),IFERROR(MATCH(LOWER(TRIM(K396)),'Students'!$AF$2:$AF$701,0),IFERROR(MATCH(LOWER(TRIM(K396)),'Students'!$AG$2:$AG$701,0),""))))</f>
        <v/>
      </c>
      <c r="R396">
        <f>IF(P396="","",INDEX('Students'!$AD$2:$AD$701,P396))</f>
        <v/>
      </c>
      <c r="S396">
        <f>IF(H396="OK",O396,0)</f>
        <v/>
      </c>
      <c r="T396">
        <f>IF(H396="OK",N396,"")</f>
        <v/>
      </c>
      <c r="U396">
        <f>IF(OC_Donor=0,"",IF(INDEX('OneCause_Paste'!$A$396:$AZ$396,1,OC_Donor)="","",INDEX('OneCause_Paste'!$A$396:$AZ$396,1,OC_Donor)))</f>
        <v/>
      </c>
    </row>
    <row r="397">
      <c r="A397" s="62">
        <f>IF(H397="","",IF(ISNUMBER(N397),N397,I397))</f>
        <v/>
      </c>
      <c r="B397">
        <f>IF(H397="","",U397)</f>
        <v/>
      </c>
      <c r="C397">
        <f>IF(H397="","",IF(P397="",K397,INDEX('Students'!$A$2:$A$701,P397)))</f>
        <v/>
      </c>
      <c r="D397">
        <f>IF(OR(H397="",P397=""),"",INDEX('Students'!$B$2:$B$701,P397))</f>
        <v/>
      </c>
      <c r="E397">
        <f>IF(OR(H397="",P397=""),"",INDEX('Students'!$C$2:$C$701,P397))</f>
        <v/>
      </c>
      <c r="F397" s="48">
        <f>IF(H397="","",IF(ISNUMBER(O397),O397,J397))</f>
        <v/>
      </c>
      <c r="G397">
        <f>IF(H397="","","OneCause")</f>
        <v/>
      </c>
      <c r="H397">
        <f>IF(AND(I397="",J397="",K397=""),"",IF(NOT(ISNUMBER(O397)),"Bad amount",IF(O397&lt;0,"Refund (not counted)",IF(O397=0,"Zero amount",IF(NOT(ISNUMBER(N397)),"Bad date",IF(P397="","NAME NOT ON ROSTER",IF(L397="","OK",IF(MATCH(L397,$L$2:$L$3001,0)&lt;ROW()-1,"Duplicate (ignored)","OK"))))))))</f>
        <v/>
      </c>
      <c r="I397">
        <f>IF(OC_Date=0,"",IF(INDEX('OneCause_Paste'!$A$397:$AZ$397,1,OC_Date)="","",INDEX('OneCause_Paste'!$A$397:$AZ$397,1,OC_Date)))</f>
        <v/>
      </c>
      <c r="J397">
        <f>IF(OC_Amt=0,"",IF(INDEX('OneCause_Paste'!$A$397:$AZ$397,1,OC_Amt)="","",INDEX('OneCause_Paste'!$A$397:$AZ$397,1,OC_Amt)))</f>
        <v/>
      </c>
      <c r="K397">
        <f>IF(OC_Name=0,"",IF(INDEX('OneCause_Paste'!$A$397:$AZ$397,1,OC_Name)="","",INDEX('OneCause_Paste'!$A$397:$AZ$397,1,OC_Name)))</f>
        <v/>
      </c>
      <c r="L397">
        <f>IF(OC_Txn=0,"",IF(INDEX('OneCause_Paste'!$A$397:$AZ$397,1,OC_Txn)="","",INDEX('OneCause_Paste'!$A$397:$AZ$397,1,OC_Txn)))</f>
        <v/>
      </c>
      <c r="M397">
        <f>IF(OC_Pay=0,"",IF(INDEX('OneCause_Paste'!$A$397:$AZ$397,1,OC_Pay)="","",INDEX('OneCause_Paste'!$A$397:$AZ$397,1,OC_Pay)))</f>
        <v/>
      </c>
      <c r="N397">
        <f>IF(I397="","",IF(ISNUMBER(I397),INT(I397),IFERROR(INT(DATEVALUE(I397)),IFERROR(INT(VALUE(I397)),"bad"))))</f>
        <v/>
      </c>
      <c r="O397">
        <f>IF(J397="","",IF(ISNUMBER(J397),ROUND(J397,2),IFERROR(ROUND(VALUE(SUBSTITUTE(SUBSTITUTE(SUBSTITUTE(J397,"$",""),",","")," ","")),2),"bad")))</f>
        <v/>
      </c>
      <c r="P397">
        <f>IF(TRIM(K397)="","",IFERROR(MATCH(LOWER(TRIM(K397)),'Students'!$AH$2:$AH$701,0),IFERROR(MATCH(LOWER(TRIM(K397)),'Students'!$AF$2:$AF$701,0),IFERROR(MATCH(LOWER(TRIM(K397)),'Students'!$AG$2:$AG$701,0),""))))</f>
        <v/>
      </c>
      <c r="R397">
        <f>IF(P397="","",INDEX('Students'!$AD$2:$AD$701,P397))</f>
        <v/>
      </c>
      <c r="S397">
        <f>IF(H397="OK",O397,0)</f>
        <v/>
      </c>
      <c r="T397">
        <f>IF(H397="OK",N397,"")</f>
        <v/>
      </c>
      <c r="U397">
        <f>IF(OC_Donor=0,"",IF(INDEX('OneCause_Paste'!$A$397:$AZ$397,1,OC_Donor)="","",INDEX('OneCause_Paste'!$A$397:$AZ$397,1,OC_Donor)))</f>
        <v/>
      </c>
    </row>
    <row r="398">
      <c r="A398" s="62">
        <f>IF(H398="","",IF(ISNUMBER(N398),N398,I398))</f>
        <v/>
      </c>
      <c r="B398">
        <f>IF(H398="","",U398)</f>
        <v/>
      </c>
      <c r="C398">
        <f>IF(H398="","",IF(P398="",K398,INDEX('Students'!$A$2:$A$701,P398)))</f>
        <v/>
      </c>
      <c r="D398">
        <f>IF(OR(H398="",P398=""),"",INDEX('Students'!$B$2:$B$701,P398))</f>
        <v/>
      </c>
      <c r="E398">
        <f>IF(OR(H398="",P398=""),"",INDEX('Students'!$C$2:$C$701,P398))</f>
        <v/>
      </c>
      <c r="F398" s="48">
        <f>IF(H398="","",IF(ISNUMBER(O398),O398,J398))</f>
        <v/>
      </c>
      <c r="G398">
        <f>IF(H398="","","OneCause")</f>
        <v/>
      </c>
      <c r="H398">
        <f>IF(AND(I398="",J398="",K398=""),"",IF(NOT(ISNUMBER(O398)),"Bad amount",IF(O398&lt;0,"Refund (not counted)",IF(O398=0,"Zero amount",IF(NOT(ISNUMBER(N398)),"Bad date",IF(P398="","NAME NOT ON ROSTER",IF(L398="","OK",IF(MATCH(L398,$L$2:$L$3001,0)&lt;ROW()-1,"Duplicate (ignored)","OK"))))))))</f>
        <v/>
      </c>
      <c r="I398">
        <f>IF(OC_Date=0,"",IF(INDEX('OneCause_Paste'!$A$398:$AZ$398,1,OC_Date)="","",INDEX('OneCause_Paste'!$A$398:$AZ$398,1,OC_Date)))</f>
        <v/>
      </c>
      <c r="J398">
        <f>IF(OC_Amt=0,"",IF(INDEX('OneCause_Paste'!$A$398:$AZ$398,1,OC_Amt)="","",INDEX('OneCause_Paste'!$A$398:$AZ$398,1,OC_Amt)))</f>
        <v/>
      </c>
      <c r="K398">
        <f>IF(OC_Name=0,"",IF(INDEX('OneCause_Paste'!$A$398:$AZ$398,1,OC_Name)="","",INDEX('OneCause_Paste'!$A$398:$AZ$398,1,OC_Name)))</f>
        <v/>
      </c>
      <c r="L398">
        <f>IF(OC_Txn=0,"",IF(INDEX('OneCause_Paste'!$A$398:$AZ$398,1,OC_Txn)="","",INDEX('OneCause_Paste'!$A$398:$AZ$398,1,OC_Txn)))</f>
        <v/>
      </c>
      <c r="M398">
        <f>IF(OC_Pay=0,"",IF(INDEX('OneCause_Paste'!$A$398:$AZ$398,1,OC_Pay)="","",INDEX('OneCause_Paste'!$A$398:$AZ$398,1,OC_Pay)))</f>
        <v/>
      </c>
      <c r="N398">
        <f>IF(I398="","",IF(ISNUMBER(I398),INT(I398),IFERROR(INT(DATEVALUE(I398)),IFERROR(INT(VALUE(I398)),"bad"))))</f>
        <v/>
      </c>
      <c r="O398">
        <f>IF(J398="","",IF(ISNUMBER(J398),ROUND(J398,2),IFERROR(ROUND(VALUE(SUBSTITUTE(SUBSTITUTE(SUBSTITUTE(J398,"$",""),",","")," ","")),2),"bad")))</f>
        <v/>
      </c>
      <c r="P398">
        <f>IF(TRIM(K398)="","",IFERROR(MATCH(LOWER(TRIM(K398)),'Students'!$AH$2:$AH$701,0),IFERROR(MATCH(LOWER(TRIM(K398)),'Students'!$AF$2:$AF$701,0),IFERROR(MATCH(LOWER(TRIM(K398)),'Students'!$AG$2:$AG$701,0),""))))</f>
        <v/>
      </c>
      <c r="R398">
        <f>IF(P398="","",INDEX('Students'!$AD$2:$AD$701,P398))</f>
        <v/>
      </c>
      <c r="S398">
        <f>IF(H398="OK",O398,0)</f>
        <v/>
      </c>
      <c r="T398">
        <f>IF(H398="OK",N398,"")</f>
        <v/>
      </c>
      <c r="U398">
        <f>IF(OC_Donor=0,"",IF(INDEX('OneCause_Paste'!$A$398:$AZ$398,1,OC_Donor)="","",INDEX('OneCause_Paste'!$A$398:$AZ$398,1,OC_Donor)))</f>
        <v/>
      </c>
    </row>
    <row r="399">
      <c r="A399" s="62">
        <f>IF(H399="","",IF(ISNUMBER(N399),N399,I399))</f>
        <v/>
      </c>
      <c r="B399">
        <f>IF(H399="","",U399)</f>
        <v/>
      </c>
      <c r="C399">
        <f>IF(H399="","",IF(P399="",K399,INDEX('Students'!$A$2:$A$701,P399)))</f>
        <v/>
      </c>
      <c r="D399">
        <f>IF(OR(H399="",P399=""),"",INDEX('Students'!$B$2:$B$701,P399))</f>
        <v/>
      </c>
      <c r="E399">
        <f>IF(OR(H399="",P399=""),"",INDEX('Students'!$C$2:$C$701,P399))</f>
        <v/>
      </c>
      <c r="F399" s="48">
        <f>IF(H399="","",IF(ISNUMBER(O399),O399,J399))</f>
        <v/>
      </c>
      <c r="G399">
        <f>IF(H399="","","OneCause")</f>
        <v/>
      </c>
      <c r="H399">
        <f>IF(AND(I399="",J399="",K399=""),"",IF(NOT(ISNUMBER(O399)),"Bad amount",IF(O399&lt;0,"Refund (not counted)",IF(O399=0,"Zero amount",IF(NOT(ISNUMBER(N399)),"Bad date",IF(P399="","NAME NOT ON ROSTER",IF(L399="","OK",IF(MATCH(L399,$L$2:$L$3001,0)&lt;ROW()-1,"Duplicate (ignored)","OK"))))))))</f>
        <v/>
      </c>
      <c r="I399">
        <f>IF(OC_Date=0,"",IF(INDEX('OneCause_Paste'!$A$399:$AZ$399,1,OC_Date)="","",INDEX('OneCause_Paste'!$A$399:$AZ$399,1,OC_Date)))</f>
        <v/>
      </c>
      <c r="J399">
        <f>IF(OC_Amt=0,"",IF(INDEX('OneCause_Paste'!$A$399:$AZ$399,1,OC_Amt)="","",INDEX('OneCause_Paste'!$A$399:$AZ$399,1,OC_Amt)))</f>
        <v/>
      </c>
      <c r="K399">
        <f>IF(OC_Name=0,"",IF(INDEX('OneCause_Paste'!$A$399:$AZ$399,1,OC_Name)="","",INDEX('OneCause_Paste'!$A$399:$AZ$399,1,OC_Name)))</f>
        <v/>
      </c>
      <c r="L399">
        <f>IF(OC_Txn=0,"",IF(INDEX('OneCause_Paste'!$A$399:$AZ$399,1,OC_Txn)="","",INDEX('OneCause_Paste'!$A$399:$AZ$399,1,OC_Txn)))</f>
        <v/>
      </c>
      <c r="M399">
        <f>IF(OC_Pay=0,"",IF(INDEX('OneCause_Paste'!$A$399:$AZ$399,1,OC_Pay)="","",INDEX('OneCause_Paste'!$A$399:$AZ$399,1,OC_Pay)))</f>
        <v/>
      </c>
      <c r="N399">
        <f>IF(I399="","",IF(ISNUMBER(I399),INT(I399),IFERROR(INT(DATEVALUE(I399)),IFERROR(INT(VALUE(I399)),"bad"))))</f>
        <v/>
      </c>
      <c r="O399">
        <f>IF(J399="","",IF(ISNUMBER(J399),ROUND(J399,2),IFERROR(ROUND(VALUE(SUBSTITUTE(SUBSTITUTE(SUBSTITUTE(J399,"$",""),",","")," ","")),2),"bad")))</f>
        <v/>
      </c>
      <c r="P399">
        <f>IF(TRIM(K399)="","",IFERROR(MATCH(LOWER(TRIM(K399)),'Students'!$AH$2:$AH$701,0),IFERROR(MATCH(LOWER(TRIM(K399)),'Students'!$AF$2:$AF$701,0),IFERROR(MATCH(LOWER(TRIM(K399)),'Students'!$AG$2:$AG$701,0),""))))</f>
        <v/>
      </c>
      <c r="R399">
        <f>IF(P399="","",INDEX('Students'!$AD$2:$AD$701,P399))</f>
        <v/>
      </c>
      <c r="S399">
        <f>IF(H399="OK",O399,0)</f>
        <v/>
      </c>
      <c r="T399">
        <f>IF(H399="OK",N399,"")</f>
        <v/>
      </c>
      <c r="U399">
        <f>IF(OC_Donor=0,"",IF(INDEX('OneCause_Paste'!$A$399:$AZ$399,1,OC_Donor)="","",INDEX('OneCause_Paste'!$A$399:$AZ$399,1,OC_Donor)))</f>
        <v/>
      </c>
    </row>
    <row r="400">
      <c r="A400" s="62">
        <f>IF(H400="","",IF(ISNUMBER(N400),N400,I400))</f>
        <v/>
      </c>
      <c r="B400">
        <f>IF(H400="","",U400)</f>
        <v/>
      </c>
      <c r="C400">
        <f>IF(H400="","",IF(P400="",K400,INDEX('Students'!$A$2:$A$701,P400)))</f>
        <v/>
      </c>
      <c r="D400">
        <f>IF(OR(H400="",P400=""),"",INDEX('Students'!$B$2:$B$701,P400))</f>
        <v/>
      </c>
      <c r="E400">
        <f>IF(OR(H400="",P400=""),"",INDEX('Students'!$C$2:$C$701,P400))</f>
        <v/>
      </c>
      <c r="F400" s="48">
        <f>IF(H400="","",IF(ISNUMBER(O400),O400,J400))</f>
        <v/>
      </c>
      <c r="G400">
        <f>IF(H400="","","OneCause")</f>
        <v/>
      </c>
      <c r="H400">
        <f>IF(AND(I400="",J400="",K400=""),"",IF(NOT(ISNUMBER(O400)),"Bad amount",IF(O400&lt;0,"Refund (not counted)",IF(O400=0,"Zero amount",IF(NOT(ISNUMBER(N400)),"Bad date",IF(P400="","NAME NOT ON ROSTER",IF(L400="","OK",IF(MATCH(L400,$L$2:$L$3001,0)&lt;ROW()-1,"Duplicate (ignored)","OK"))))))))</f>
        <v/>
      </c>
      <c r="I400">
        <f>IF(OC_Date=0,"",IF(INDEX('OneCause_Paste'!$A$400:$AZ$400,1,OC_Date)="","",INDEX('OneCause_Paste'!$A$400:$AZ$400,1,OC_Date)))</f>
        <v/>
      </c>
      <c r="J400">
        <f>IF(OC_Amt=0,"",IF(INDEX('OneCause_Paste'!$A$400:$AZ$400,1,OC_Amt)="","",INDEX('OneCause_Paste'!$A$400:$AZ$400,1,OC_Amt)))</f>
        <v/>
      </c>
      <c r="K400">
        <f>IF(OC_Name=0,"",IF(INDEX('OneCause_Paste'!$A$400:$AZ$400,1,OC_Name)="","",INDEX('OneCause_Paste'!$A$400:$AZ$400,1,OC_Name)))</f>
        <v/>
      </c>
      <c r="L400">
        <f>IF(OC_Txn=0,"",IF(INDEX('OneCause_Paste'!$A$400:$AZ$400,1,OC_Txn)="","",INDEX('OneCause_Paste'!$A$400:$AZ$400,1,OC_Txn)))</f>
        <v/>
      </c>
      <c r="M400">
        <f>IF(OC_Pay=0,"",IF(INDEX('OneCause_Paste'!$A$400:$AZ$400,1,OC_Pay)="","",INDEX('OneCause_Paste'!$A$400:$AZ$400,1,OC_Pay)))</f>
        <v/>
      </c>
      <c r="N400">
        <f>IF(I400="","",IF(ISNUMBER(I400),INT(I400),IFERROR(INT(DATEVALUE(I400)),IFERROR(INT(VALUE(I400)),"bad"))))</f>
        <v/>
      </c>
      <c r="O400">
        <f>IF(J400="","",IF(ISNUMBER(J400),ROUND(J400,2),IFERROR(ROUND(VALUE(SUBSTITUTE(SUBSTITUTE(SUBSTITUTE(J400,"$",""),",","")," ","")),2),"bad")))</f>
        <v/>
      </c>
      <c r="P400">
        <f>IF(TRIM(K400)="","",IFERROR(MATCH(LOWER(TRIM(K400)),'Students'!$AH$2:$AH$701,0),IFERROR(MATCH(LOWER(TRIM(K400)),'Students'!$AF$2:$AF$701,0),IFERROR(MATCH(LOWER(TRIM(K400)),'Students'!$AG$2:$AG$701,0),""))))</f>
        <v/>
      </c>
      <c r="R400">
        <f>IF(P400="","",INDEX('Students'!$AD$2:$AD$701,P400))</f>
        <v/>
      </c>
      <c r="S400">
        <f>IF(H400="OK",O400,0)</f>
        <v/>
      </c>
      <c r="T400">
        <f>IF(H400="OK",N400,"")</f>
        <v/>
      </c>
      <c r="U400">
        <f>IF(OC_Donor=0,"",IF(INDEX('OneCause_Paste'!$A$400:$AZ$400,1,OC_Donor)="","",INDEX('OneCause_Paste'!$A$400:$AZ$400,1,OC_Donor)))</f>
        <v/>
      </c>
    </row>
    <row r="401">
      <c r="A401" s="62">
        <f>IF(H401="","",IF(ISNUMBER(N401),N401,I401))</f>
        <v/>
      </c>
      <c r="B401">
        <f>IF(H401="","",U401)</f>
        <v/>
      </c>
      <c r="C401">
        <f>IF(H401="","",IF(P401="",K401,INDEX('Students'!$A$2:$A$701,P401)))</f>
        <v/>
      </c>
      <c r="D401">
        <f>IF(OR(H401="",P401=""),"",INDEX('Students'!$B$2:$B$701,P401))</f>
        <v/>
      </c>
      <c r="E401">
        <f>IF(OR(H401="",P401=""),"",INDEX('Students'!$C$2:$C$701,P401))</f>
        <v/>
      </c>
      <c r="F401" s="48">
        <f>IF(H401="","",IF(ISNUMBER(O401),O401,J401))</f>
        <v/>
      </c>
      <c r="G401">
        <f>IF(H401="","","OneCause")</f>
        <v/>
      </c>
      <c r="H401">
        <f>IF(AND(I401="",J401="",K401=""),"",IF(NOT(ISNUMBER(O401)),"Bad amount",IF(O401&lt;0,"Refund (not counted)",IF(O401=0,"Zero amount",IF(NOT(ISNUMBER(N401)),"Bad date",IF(P401="","NAME NOT ON ROSTER",IF(L401="","OK",IF(MATCH(L401,$L$2:$L$3001,0)&lt;ROW()-1,"Duplicate (ignored)","OK"))))))))</f>
        <v/>
      </c>
      <c r="I401">
        <f>IF(OC_Date=0,"",IF(INDEX('OneCause_Paste'!$A$401:$AZ$401,1,OC_Date)="","",INDEX('OneCause_Paste'!$A$401:$AZ$401,1,OC_Date)))</f>
        <v/>
      </c>
      <c r="J401">
        <f>IF(OC_Amt=0,"",IF(INDEX('OneCause_Paste'!$A$401:$AZ$401,1,OC_Amt)="","",INDEX('OneCause_Paste'!$A$401:$AZ$401,1,OC_Amt)))</f>
        <v/>
      </c>
      <c r="K401">
        <f>IF(OC_Name=0,"",IF(INDEX('OneCause_Paste'!$A$401:$AZ$401,1,OC_Name)="","",INDEX('OneCause_Paste'!$A$401:$AZ$401,1,OC_Name)))</f>
        <v/>
      </c>
      <c r="L401">
        <f>IF(OC_Txn=0,"",IF(INDEX('OneCause_Paste'!$A$401:$AZ$401,1,OC_Txn)="","",INDEX('OneCause_Paste'!$A$401:$AZ$401,1,OC_Txn)))</f>
        <v/>
      </c>
      <c r="M401">
        <f>IF(OC_Pay=0,"",IF(INDEX('OneCause_Paste'!$A$401:$AZ$401,1,OC_Pay)="","",INDEX('OneCause_Paste'!$A$401:$AZ$401,1,OC_Pay)))</f>
        <v/>
      </c>
      <c r="N401">
        <f>IF(I401="","",IF(ISNUMBER(I401),INT(I401),IFERROR(INT(DATEVALUE(I401)),IFERROR(INT(VALUE(I401)),"bad"))))</f>
        <v/>
      </c>
      <c r="O401">
        <f>IF(J401="","",IF(ISNUMBER(J401),ROUND(J401,2),IFERROR(ROUND(VALUE(SUBSTITUTE(SUBSTITUTE(SUBSTITUTE(J401,"$",""),",","")," ","")),2),"bad")))</f>
        <v/>
      </c>
      <c r="P401">
        <f>IF(TRIM(K401)="","",IFERROR(MATCH(LOWER(TRIM(K401)),'Students'!$AH$2:$AH$701,0),IFERROR(MATCH(LOWER(TRIM(K401)),'Students'!$AF$2:$AF$701,0),IFERROR(MATCH(LOWER(TRIM(K401)),'Students'!$AG$2:$AG$701,0),""))))</f>
        <v/>
      </c>
      <c r="R401">
        <f>IF(P401="","",INDEX('Students'!$AD$2:$AD$701,P401))</f>
        <v/>
      </c>
      <c r="S401">
        <f>IF(H401="OK",O401,0)</f>
        <v/>
      </c>
      <c r="T401">
        <f>IF(H401="OK",N401,"")</f>
        <v/>
      </c>
      <c r="U401">
        <f>IF(OC_Donor=0,"",IF(INDEX('OneCause_Paste'!$A$401:$AZ$401,1,OC_Donor)="","",INDEX('OneCause_Paste'!$A$401:$AZ$401,1,OC_Donor)))</f>
        <v/>
      </c>
    </row>
    <row r="402">
      <c r="A402" s="62">
        <f>IF(H402="","",IF(ISNUMBER(N402),N402,I402))</f>
        <v/>
      </c>
      <c r="B402">
        <f>IF(H402="","",U402)</f>
        <v/>
      </c>
      <c r="C402">
        <f>IF(H402="","",IF(P402="",K402,INDEX('Students'!$A$2:$A$701,P402)))</f>
        <v/>
      </c>
      <c r="D402">
        <f>IF(OR(H402="",P402=""),"",INDEX('Students'!$B$2:$B$701,P402))</f>
        <v/>
      </c>
      <c r="E402">
        <f>IF(OR(H402="",P402=""),"",INDEX('Students'!$C$2:$C$701,P402))</f>
        <v/>
      </c>
      <c r="F402" s="48">
        <f>IF(H402="","",IF(ISNUMBER(O402),O402,J402))</f>
        <v/>
      </c>
      <c r="G402">
        <f>IF(H402="","","OneCause")</f>
        <v/>
      </c>
      <c r="H402">
        <f>IF(AND(I402="",J402="",K402=""),"",IF(NOT(ISNUMBER(O402)),"Bad amount",IF(O402&lt;0,"Refund (not counted)",IF(O402=0,"Zero amount",IF(NOT(ISNUMBER(N402)),"Bad date",IF(P402="","NAME NOT ON ROSTER",IF(L402="","OK",IF(MATCH(L402,$L$2:$L$3001,0)&lt;ROW()-1,"Duplicate (ignored)","OK"))))))))</f>
        <v/>
      </c>
      <c r="I402">
        <f>IF(OC_Date=0,"",IF(INDEX('OneCause_Paste'!$A$402:$AZ$402,1,OC_Date)="","",INDEX('OneCause_Paste'!$A$402:$AZ$402,1,OC_Date)))</f>
        <v/>
      </c>
      <c r="J402">
        <f>IF(OC_Amt=0,"",IF(INDEX('OneCause_Paste'!$A$402:$AZ$402,1,OC_Amt)="","",INDEX('OneCause_Paste'!$A$402:$AZ$402,1,OC_Amt)))</f>
        <v/>
      </c>
      <c r="K402">
        <f>IF(OC_Name=0,"",IF(INDEX('OneCause_Paste'!$A$402:$AZ$402,1,OC_Name)="","",INDEX('OneCause_Paste'!$A$402:$AZ$402,1,OC_Name)))</f>
        <v/>
      </c>
      <c r="L402">
        <f>IF(OC_Txn=0,"",IF(INDEX('OneCause_Paste'!$A$402:$AZ$402,1,OC_Txn)="","",INDEX('OneCause_Paste'!$A$402:$AZ$402,1,OC_Txn)))</f>
        <v/>
      </c>
      <c r="M402">
        <f>IF(OC_Pay=0,"",IF(INDEX('OneCause_Paste'!$A$402:$AZ$402,1,OC_Pay)="","",INDEX('OneCause_Paste'!$A$402:$AZ$402,1,OC_Pay)))</f>
        <v/>
      </c>
      <c r="N402">
        <f>IF(I402="","",IF(ISNUMBER(I402),INT(I402),IFERROR(INT(DATEVALUE(I402)),IFERROR(INT(VALUE(I402)),"bad"))))</f>
        <v/>
      </c>
      <c r="O402">
        <f>IF(J402="","",IF(ISNUMBER(J402),ROUND(J402,2),IFERROR(ROUND(VALUE(SUBSTITUTE(SUBSTITUTE(SUBSTITUTE(J402,"$",""),",","")," ","")),2),"bad")))</f>
        <v/>
      </c>
      <c r="P402">
        <f>IF(TRIM(K402)="","",IFERROR(MATCH(LOWER(TRIM(K402)),'Students'!$AH$2:$AH$701,0),IFERROR(MATCH(LOWER(TRIM(K402)),'Students'!$AF$2:$AF$701,0),IFERROR(MATCH(LOWER(TRIM(K402)),'Students'!$AG$2:$AG$701,0),""))))</f>
        <v/>
      </c>
      <c r="R402">
        <f>IF(P402="","",INDEX('Students'!$AD$2:$AD$701,P402))</f>
        <v/>
      </c>
      <c r="S402">
        <f>IF(H402="OK",O402,0)</f>
        <v/>
      </c>
      <c r="T402">
        <f>IF(H402="OK",N402,"")</f>
        <v/>
      </c>
      <c r="U402">
        <f>IF(OC_Donor=0,"",IF(INDEX('OneCause_Paste'!$A$402:$AZ$402,1,OC_Donor)="","",INDEX('OneCause_Paste'!$A$402:$AZ$402,1,OC_Donor)))</f>
        <v/>
      </c>
    </row>
    <row r="403">
      <c r="A403" s="62">
        <f>IF(H403="","",IF(ISNUMBER(N403),N403,I403))</f>
        <v/>
      </c>
      <c r="B403">
        <f>IF(H403="","",U403)</f>
        <v/>
      </c>
      <c r="C403">
        <f>IF(H403="","",IF(P403="",K403,INDEX('Students'!$A$2:$A$701,P403)))</f>
        <v/>
      </c>
      <c r="D403">
        <f>IF(OR(H403="",P403=""),"",INDEX('Students'!$B$2:$B$701,P403))</f>
        <v/>
      </c>
      <c r="E403">
        <f>IF(OR(H403="",P403=""),"",INDEX('Students'!$C$2:$C$701,P403))</f>
        <v/>
      </c>
      <c r="F403" s="48">
        <f>IF(H403="","",IF(ISNUMBER(O403),O403,J403))</f>
        <v/>
      </c>
      <c r="G403">
        <f>IF(H403="","","OneCause")</f>
        <v/>
      </c>
      <c r="H403">
        <f>IF(AND(I403="",J403="",K403=""),"",IF(NOT(ISNUMBER(O403)),"Bad amount",IF(O403&lt;0,"Refund (not counted)",IF(O403=0,"Zero amount",IF(NOT(ISNUMBER(N403)),"Bad date",IF(P403="","NAME NOT ON ROSTER",IF(L403="","OK",IF(MATCH(L403,$L$2:$L$3001,0)&lt;ROW()-1,"Duplicate (ignored)","OK"))))))))</f>
        <v/>
      </c>
      <c r="I403">
        <f>IF(OC_Date=0,"",IF(INDEX('OneCause_Paste'!$A$403:$AZ$403,1,OC_Date)="","",INDEX('OneCause_Paste'!$A$403:$AZ$403,1,OC_Date)))</f>
        <v/>
      </c>
      <c r="J403">
        <f>IF(OC_Amt=0,"",IF(INDEX('OneCause_Paste'!$A$403:$AZ$403,1,OC_Amt)="","",INDEX('OneCause_Paste'!$A$403:$AZ$403,1,OC_Amt)))</f>
        <v/>
      </c>
      <c r="K403">
        <f>IF(OC_Name=0,"",IF(INDEX('OneCause_Paste'!$A$403:$AZ$403,1,OC_Name)="","",INDEX('OneCause_Paste'!$A$403:$AZ$403,1,OC_Name)))</f>
        <v/>
      </c>
      <c r="L403">
        <f>IF(OC_Txn=0,"",IF(INDEX('OneCause_Paste'!$A$403:$AZ$403,1,OC_Txn)="","",INDEX('OneCause_Paste'!$A$403:$AZ$403,1,OC_Txn)))</f>
        <v/>
      </c>
      <c r="M403">
        <f>IF(OC_Pay=0,"",IF(INDEX('OneCause_Paste'!$A$403:$AZ$403,1,OC_Pay)="","",INDEX('OneCause_Paste'!$A$403:$AZ$403,1,OC_Pay)))</f>
        <v/>
      </c>
      <c r="N403">
        <f>IF(I403="","",IF(ISNUMBER(I403),INT(I403),IFERROR(INT(DATEVALUE(I403)),IFERROR(INT(VALUE(I403)),"bad"))))</f>
        <v/>
      </c>
      <c r="O403">
        <f>IF(J403="","",IF(ISNUMBER(J403),ROUND(J403,2),IFERROR(ROUND(VALUE(SUBSTITUTE(SUBSTITUTE(SUBSTITUTE(J403,"$",""),",","")," ","")),2),"bad")))</f>
        <v/>
      </c>
      <c r="P403">
        <f>IF(TRIM(K403)="","",IFERROR(MATCH(LOWER(TRIM(K403)),'Students'!$AH$2:$AH$701,0),IFERROR(MATCH(LOWER(TRIM(K403)),'Students'!$AF$2:$AF$701,0),IFERROR(MATCH(LOWER(TRIM(K403)),'Students'!$AG$2:$AG$701,0),""))))</f>
        <v/>
      </c>
      <c r="R403">
        <f>IF(P403="","",INDEX('Students'!$AD$2:$AD$701,P403))</f>
        <v/>
      </c>
      <c r="S403">
        <f>IF(H403="OK",O403,0)</f>
        <v/>
      </c>
      <c r="T403">
        <f>IF(H403="OK",N403,"")</f>
        <v/>
      </c>
      <c r="U403">
        <f>IF(OC_Donor=0,"",IF(INDEX('OneCause_Paste'!$A$403:$AZ$403,1,OC_Donor)="","",INDEX('OneCause_Paste'!$A$403:$AZ$403,1,OC_Donor)))</f>
        <v/>
      </c>
    </row>
    <row r="404">
      <c r="A404" s="62">
        <f>IF(H404="","",IF(ISNUMBER(N404),N404,I404))</f>
        <v/>
      </c>
      <c r="B404">
        <f>IF(H404="","",U404)</f>
        <v/>
      </c>
      <c r="C404">
        <f>IF(H404="","",IF(P404="",K404,INDEX('Students'!$A$2:$A$701,P404)))</f>
        <v/>
      </c>
      <c r="D404">
        <f>IF(OR(H404="",P404=""),"",INDEX('Students'!$B$2:$B$701,P404))</f>
        <v/>
      </c>
      <c r="E404">
        <f>IF(OR(H404="",P404=""),"",INDEX('Students'!$C$2:$C$701,P404))</f>
        <v/>
      </c>
      <c r="F404" s="48">
        <f>IF(H404="","",IF(ISNUMBER(O404),O404,J404))</f>
        <v/>
      </c>
      <c r="G404">
        <f>IF(H404="","","OneCause")</f>
        <v/>
      </c>
      <c r="H404">
        <f>IF(AND(I404="",J404="",K404=""),"",IF(NOT(ISNUMBER(O404)),"Bad amount",IF(O404&lt;0,"Refund (not counted)",IF(O404=0,"Zero amount",IF(NOT(ISNUMBER(N404)),"Bad date",IF(P404="","NAME NOT ON ROSTER",IF(L404="","OK",IF(MATCH(L404,$L$2:$L$3001,0)&lt;ROW()-1,"Duplicate (ignored)","OK"))))))))</f>
        <v/>
      </c>
      <c r="I404">
        <f>IF(OC_Date=0,"",IF(INDEX('OneCause_Paste'!$A$404:$AZ$404,1,OC_Date)="","",INDEX('OneCause_Paste'!$A$404:$AZ$404,1,OC_Date)))</f>
        <v/>
      </c>
      <c r="J404">
        <f>IF(OC_Amt=0,"",IF(INDEX('OneCause_Paste'!$A$404:$AZ$404,1,OC_Amt)="","",INDEX('OneCause_Paste'!$A$404:$AZ$404,1,OC_Amt)))</f>
        <v/>
      </c>
      <c r="K404">
        <f>IF(OC_Name=0,"",IF(INDEX('OneCause_Paste'!$A$404:$AZ$404,1,OC_Name)="","",INDEX('OneCause_Paste'!$A$404:$AZ$404,1,OC_Name)))</f>
        <v/>
      </c>
      <c r="L404">
        <f>IF(OC_Txn=0,"",IF(INDEX('OneCause_Paste'!$A$404:$AZ$404,1,OC_Txn)="","",INDEX('OneCause_Paste'!$A$404:$AZ$404,1,OC_Txn)))</f>
        <v/>
      </c>
      <c r="M404">
        <f>IF(OC_Pay=0,"",IF(INDEX('OneCause_Paste'!$A$404:$AZ$404,1,OC_Pay)="","",INDEX('OneCause_Paste'!$A$404:$AZ$404,1,OC_Pay)))</f>
        <v/>
      </c>
      <c r="N404">
        <f>IF(I404="","",IF(ISNUMBER(I404),INT(I404),IFERROR(INT(DATEVALUE(I404)),IFERROR(INT(VALUE(I404)),"bad"))))</f>
        <v/>
      </c>
      <c r="O404">
        <f>IF(J404="","",IF(ISNUMBER(J404),ROUND(J404,2),IFERROR(ROUND(VALUE(SUBSTITUTE(SUBSTITUTE(SUBSTITUTE(J404,"$",""),",","")," ","")),2),"bad")))</f>
        <v/>
      </c>
      <c r="P404">
        <f>IF(TRIM(K404)="","",IFERROR(MATCH(LOWER(TRIM(K404)),'Students'!$AH$2:$AH$701,0),IFERROR(MATCH(LOWER(TRIM(K404)),'Students'!$AF$2:$AF$701,0),IFERROR(MATCH(LOWER(TRIM(K404)),'Students'!$AG$2:$AG$701,0),""))))</f>
        <v/>
      </c>
      <c r="R404">
        <f>IF(P404="","",INDEX('Students'!$AD$2:$AD$701,P404))</f>
        <v/>
      </c>
      <c r="S404">
        <f>IF(H404="OK",O404,0)</f>
        <v/>
      </c>
      <c r="T404">
        <f>IF(H404="OK",N404,"")</f>
        <v/>
      </c>
      <c r="U404">
        <f>IF(OC_Donor=0,"",IF(INDEX('OneCause_Paste'!$A$404:$AZ$404,1,OC_Donor)="","",INDEX('OneCause_Paste'!$A$404:$AZ$404,1,OC_Donor)))</f>
        <v/>
      </c>
    </row>
    <row r="405">
      <c r="A405" s="62">
        <f>IF(H405="","",IF(ISNUMBER(N405),N405,I405))</f>
        <v/>
      </c>
      <c r="B405">
        <f>IF(H405="","",U405)</f>
        <v/>
      </c>
      <c r="C405">
        <f>IF(H405="","",IF(P405="",K405,INDEX('Students'!$A$2:$A$701,P405)))</f>
        <v/>
      </c>
      <c r="D405">
        <f>IF(OR(H405="",P405=""),"",INDEX('Students'!$B$2:$B$701,P405))</f>
        <v/>
      </c>
      <c r="E405">
        <f>IF(OR(H405="",P405=""),"",INDEX('Students'!$C$2:$C$701,P405))</f>
        <v/>
      </c>
      <c r="F405" s="48">
        <f>IF(H405="","",IF(ISNUMBER(O405),O405,J405))</f>
        <v/>
      </c>
      <c r="G405">
        <f>IF(H405="","","OneCause")</f>
        <v/>
      </c>
      <c r="H405">
        <f>IF(AND(I405="",J405="",K405=""),"",IF(NOT(ISNUMBER(O405)),"Bad amount",IF(O405&lt;0,"Refund (not counted)",IF(O405=0,"Zero amount",IF(NOT(ISNUMBER(N405)),"Bad date",IF(P405="","NAME NOT ON ROSTER",IF(L405="","OK",IF(MATCH(L405,$L$2:$L$3001,0)&lt;ROW()-1,"Duplicate (ignored)","OK"))))))))</f>
        <v/>
      </c>
      <c r="I405">
        <f>IF(OC_Date=0,"",IF(INDEX('OneCause_Paste'!$A$405:$AZ$405,1,OC_Date)="","",INDEX('OneCause_Paste'!$A$405:$AZ$405,1,OC_Date)))</f>
        <v/>
      </c>
      <c r="J405">
        <f>IF(OC_Amt=0,"",IF(INDEX('OneCause_Paste'!$A$405:$AZ$405,1,OC_Amt)="","",INDEX('OneCause_Paste'!$A$405:$AZ$405,1,OC_Amt)))</f>
        <v/>
      </c>
      <c r="K405">
        <f>IF(OC_Name=0,"",IF(INDEX('OneCause_Paste'!$A$405:$AZ$405,1,OC_Name)="","",INDEX('OneCause_Paste'!$A$405:$AZ$405,1,OC_Name)))</f>
        <v/>
      </c>
      <c r="L405">
        <f>IF(OC_Txn=0,"",IF(INDEX('OneCause_Paste'!$A$405:$AZ$405,1,OC_Txn)="","",INDEX('OneCause_Paste'!$A$405:$AZ$405,1,OC_Txn)))</f>
        <v/>
      </c>
      <c r="M405">
        <f>IF(OC_Pay=0,"",IF(INDEX('OneCause_Paste'!$A$405:$AZ$405,1,OC_Pay)="","",INDEX('OneCause_Paste'!$A$405:$AZ$405,1,OC_Pay)))</f>
        <v/>
      </c>
      <c r="N405">
        <f>IF(I405="","",IF(ISNUMBER(I405),INT(I405),IFERROR(INT(DATEVALUE(I405)),IFERROR(INT(VALUE(I405)),"bad"))))</f>
        <v/>
      </c>
      <c r="O405">
        <f>IF(J405="","",IF(ISNUMBER(J405),ROUND(J405,2),IFERROR(ROUND(VALUE(SUBSTITUTE(SUBSTITUTE(SUBSTITUTE(J405,"$",""),",","")," ","")),2),"bad")))</f>
        <v/>
      </c>
      <c r="P405">
        <f>IF(TRIM(K405)="","",IFERROR(MATCH(LOWER(TRIM(K405)),'Students'!$AH$2:$AH$701,0),IFERROR(MATCH(LOWER(TRIM(K405)),'Students'!$AF$2:$AF$701,0),IFERROR(MATCH(LOWER(TRIM(K405)),'Students'!$AG$2:$AG$701,0),""))))</f>
        <v/>
      </c>
      <c r="R405">
        <f>IF(P405="","",INDEX('Students'!$AD$2:$AD$701,P405))</f>
        <v/>
      </c>
      <c r="S405">
        <f>IF(H405="OK",O405,0)</f>
        <v/>
      </c>
      <c r="T405">
        <f>IF(H405="OK",N405,"")</f>
        <v/>
      </c>
      <c r="U405">
        <f>IF(OC_Donor=0,"",IF(INDEX('OneCause_Paste'!$A$405:$AZ$405,1,OC_Donor)="","",INDEX('OneCause_Paste'!$A$405:$AZ$405,1,OC_Donor)))</f>
        <v/>
      </c>
    </row>
    <row r="406">
      <c r="A406" s="62">
        <f>IF(H406="","",IF(ISNUMBER(N406),N406,I406))</f>
        <v/>
      </c>
      <c r="B406">
        <f>IF(H406="","",U406)</f>
        <v/>
      </c>
      <c r="C406">
        <f>IF(H406="","",IF(P406="",K406,INDEX('Students'!$A$2:$A$701,P406)))</f>
        <v/>
      </c>
      <c r="D406">
        <f>IF(OR(H406="",P406=""),"",INDEX('Students'!$B$2:$B$701,P406))</f>
        <v/>
      </c>
      <c r="E406">
        <f>IF(OR(H406="",P406=""),"",INDEX('Students'!$C$2:$C$701,P406))</f>
        <v/>
      </c>
      <c r="F406" s="48">
        <f>IF(H406="","",IF(ISNUMBER(O406),O406,J406))</f>
        <v/>
      </c>
      <c r="G406">
        <f>IF(H406="","","OneCause")</f>
        <v/>
      </c>
      <c r="H406">
        <f>IF(AND(I406="",J406="",K406=""),"",IF(NOT(ISNUMBER(O406)),"Bad amount",IF(O406&lt;0,"Refund (not counted)",IF(O406=0,"Zero amount",IF(NOT(ISNUMBER(N406)),"Bad date",IF(P406="","NAME NOT ON ROSTER",IF(L406="","OK",IF(MATCH(L406,$L$2:$L$3001,0)&lt;ROW()-1,"Duplicate (ignored)","OK"))))))))</f>
        <v/>
      </c>
      <c r="I406">
        <f>IF(OC_Date=0,"",IF(INDEX('OneCause_Paste'!$A$406:$AZ$406,1,OC_Date)="","",INDEX('OneCause_Paste'!$A$406:$AZ$406,1,OC_Date)))</f>
        <v/>
      </c>
      <c r="J406">
        <f>IF(OC_Amt=0,"",IF(INDEX('OneCause_Paste'!$A$406:$AZ$406,1,OC_Amt)="","",INDEX('OneCause_Paste'!$A$406:$AZ$406,1,OC_Amt)))</f>
        <v/>
      </c>
      <c r="K406">
        <f>IF(OC_Name=0,"",IF(INDEX('OneCause_Paste'!$A$406:$AZ$406,1,OC_Name)="","",INDEX('OneCause_Paste'!$A$406:$AZ$406,1,OC_Name)))</f>
        <v/>
      </c>
      <c r="L406">
        <f>IF(OC_Txn=0,"",IF(INDEX('OneCause_Paste'!$A$406:$AZ$406,1,OC_Txn)="","",INDEX('OneCause_Paste'!$A$406:$AZ$406,1,OC_Txn)))</f>
        <v/>
      </c>
      <c r="M406">
        <f>IF(OC_Pay=0,"",IF(INDEX('OneCause_Paste'!$A$406:$AZ$406,1,OC_Pay)="","",INDEX('OneCause_Paste'!$A$406:$AZ$406,1,OC_Pay)))</f>
        <v/>
      </c>
      <c r="N406">
        <f>IF(I406="","",IF(ISNUMBER(I406),INT(I406),IFERROR(INT(DATEVALUE(I406)),IFERROR(INT(VALUE(I406)),"bad"))))</f>
        <v/>
      </c>
      <c r="O406">
        <f>IF(J406="","",IF(ISNUMBER(J406),ROUND(J406,2),IFERROR(ROUND(VALUE(SUBSTITUTE(SUBSTITUTE(SUBSTITUTE(J406,"$",""),",","")," ","")),2),"bad")))</f>
        <v/>
      </c>
      <c r="P406">
        <f>IF(TRIM(K406)="","",IFERROR(MATCH(LOWER(TRIM(K406)),'Students'!$AH$2:$AH$701,0),IFERROR(MATCH(LOWER(TRIM(K406)),'Students'!$AF$2:$AF$701,0),IFERROR(MATCH(LOWER(TRIM(K406)),'Students'!$AG$2:$AG$701,0),""))))</f>
        <v/>
      </c>
      <c r="R406">
        <f>IF(P406="","",INDEX('Students'!$AD$2:$AD$701,P406))</f>
        <v/>
      </c>
      <c r="S406">
        <f>IF(H406="OK",O406,0)</f>
        <v/>
      </c>
      <c r="T406">
        <f>IF(H406="OK",N406,"")</f>
        <v/>
      </c>
      <c r="U406">
        <f>IF(OC_Donor=0,"",IF(INDEX('OneCause_Paste'!$A$406:$AZ$406,1,OC_Donor)="","",INDEX('OneCause_Paste'!$A$406:$AZ$406,1,OC_Donor)))</f>
        <v/>
      </c>
    </row>
    <row r="407">
      <c r="A407" s="62">
        <f>IF(H407="","",IF(ISNUMBER(N407),N407,I407))</f>
        <v/>
      </c>
      <c r="B407">
        <f>IF(H407="","",U407)</f>
        <v/>
      </c>
      <c r="C407">
        <f>IF(H407="","",IF(P407="",K407,INDEX('Students'!$A$2:$A$701,P407)))</f>
        <v/>
      </c>
      <c r="D407">
        <f>IF(OR(H407="",P407=""),"",INDEX('Students'!$B$2:$B$701,P407))</f>
        <v/>
      </c>
      <c r="E407">
        <f>IF(OR(H407="",P407=""),"",INDEX('Students'!$C$2:$C$701,P407))</f>
        <v/>
      </c>
      <c r="F407" s="48">
        <f>IF(H407="","",IF(ISNUMBER(O407),O407,J407))</f>
        <v/>
      </c>
      <c r="G407">
        <f>IF(H407="","","OneCause")</f>
        <v/>
      </c>
      <c r="H407">
        <f>IF(AND(I407="",J407="",K407=""),"",IF(NOT(ISNUMBER(O407)),"Bad amount",IF(O407&lt;0,"Refund (not counted)",IF(O407=0,"Zero amount",IF(NOT(ISNUMBER(N407)),"Bad date",IF(P407="","NAME NOT ON ROSTER",IF(L407="","OK",IF(MATCH(L407,$L$2:$L$3001,0)&lt;ROW()-1,"Duplicate (ignored)","OK"))))))))</f>
        <v/>
      </c>
      <c r="I407">
        <f>IF(OC_Date=0,"",IF(INDEX('OneCause_Paste'!$A$407:$AZ$407,1,OC_Date)="","",INDEX('OneCause_Paste'!$A$407:$AZ$407,1,OC_Date)))</f>
        <v/>
      </c>
      <c r="J407">
        <f>IF(OC_Amt=0,"",IF(INDEX('OneCause_Paste'!$A$407:$AZ$407,1,OC_Amt)="","",INDEX('OneCause_Paste'!$A$407:$AZ$407,1,OC_Amt)))</f>
        <v/>
      </c>
      <c r="K407">
        <f>IF(OC_Name=0,"",IF(INDEX('OneCause_Paste'!$A$407:$AZ$407,1,OC_Name)="","",INDEX('OneCause_Paste'!$A$407:$AZ$407,1,OC_Name)))</f>
        <v/>
      </c>
      <c r="L407">
        <f>IF(OC_Txn=0,"",IF(INDEX('OneCause_Paste'!$A$407:$AZ$407,1,OC_Txn)="","",INDEX('OneCause_Paste'!$A$407:$AZ$407,1,OC_Txn)))</f>
        <v/>
      </c>
      <c r="M407">
        <f>IF(OC_Pay=0,"",IF(INDEX('OneCause_Paste'!$A$407:$AZ$407,1,OC_Pay)="","",INDEX('OneCause_Paste'!$A$407:$AZ$407,1,OC_Pay)))</f>
        <v/>
      </c>
      <c r="N407">
        <f>IF(I407="","",IF(ISNUMBER(I407),INT(I407),IFERROR(INT(DATEVALUE(I407)),IFERROR(INT(VALUE(I407)),"bad"))))</f>
        <v/>
      </c>
      <c r="O407">
        <f>IF(J407="","",IF(ISNUMBER(J407),ROUND(J407,2),IFERROR(ROUND(VALUE(SUBSTITUTE(SUBSTITUTE(SUBSTITUTE(J407,"$",""),",","")," ","")),2),"bad")))</f>
        <v/>
      </c>
      <c r="P407">
        <f>IF(TRIM(K407)="","",IFERROR(MATCH(LOWER(TRIM(K407)),'Students'!$AH$2:$AH$701,0),IFERROR(MATCH(LOWER(TRIM(K407)),'Students'!$AF$2:$AF$701,0),IFERROR(MATCH(LOWER(TRIM(K407)),'Students'!$AG$2:$AG$701,0),""))))</f>
        <v/>
      </c>
      <c r="R407">
        <f>IF(P407="","",INDEX('Students'!$AD$2:$AD$701,P407))</f>
        <v/>
      </c>
      <c r="S407">
        <f>IF(H407="OK",O407,0)</f>
        <v/>
      </c>
      <c r="T407">
        <f>IF(H407="OK",N407,"")</f>
        <v/>
      </c>
      <c r="U407">
        <f>IF(OC_Donor=0,"",IF(INDEX('OneCause_Paste'!$A$407:$AZ$407,1,OC_Donor)="","",INDEX('OneCause_Paste'!$A$407:$AZ$407,1,OC_Donor)))</f>
        <v/>
      </c>
    </row>
    <row r="408">
      <c r="A408" s="62">
        <f>IF(H408="","",IF(ISNUMBER(N408),N408,I408))</f>
        <v/>
      </c>
      <c r="B408">
        <f>IF(H408="","",U408)</f>
        <v/>
      </c>
      <c r="C408">
        <f>IF(H408="","",IF(P408="",K408,INDEX('Students'!$A$2:$A$701,P408)))</f>
        <v/>
      </c>
      <c r="D408">
        <f>IF(OR(H408="",P408=""),"",INDEX('Students'!$B$2:$B$701,P408))</f>
        <v/>
      </c>
      <c r="E408">
        <f>IF(OR(H408="",P408=""),"",INDEX('Students'!$C$2:$C$701,P408))</f>
        <v/>
      </c>
      <c r="F408" s="48">
        <f>IF(H408="","",IF(ISNUMBER(O408),O408,J408))</f>
        <v/>
      </c>
      <c r="G408">
        <f>IF(H408="","","OneCause")</f>
        <v/>
      </c>
      <c r="H408">
        <f>IF(AND(I408="",J408="",K408=""),"",IF(NOT(ISNUMBER(O408)),"Bad amount",IF(O408&lt;0,"Refund (not counted)",IF(O408=0,"Zero amount",IF(NOT(ISNUMBER(N408)),"Bad date",IF(P408="","NAME NOT ON ROSTER",IF(L408="","OK",IF(MATCH(L408,$L$2:$L$3001,0)&lt;ROW()-1,"Duplicate (ignored)","OK"))))))))</f>
        <v/>
      </c>
      <c r="I408">
        <f>IF(OC_Date=0,"",IF(INDEX('OneCause_Paste'!$A$408:$AZ$408,1,OC_Date)="","",INDEX('OneCause_Paste'!$A$408:$AZ$408,1,OC_Date)))</f>
        <v/>
      </c>
      <c r="J408">
        <f>IF(OC_Amt=0,"",IF(INDEX('OneCause_Paste'!$A$408:$AZ$408,1,OC_Amt)="","",INDEX('OneCause_Paste'!$A$408:$AZ$408,1,OC_Amt)))</f>
        <v/>
      </c>
      <c r="K408">
        <f>IF(OC_Name=0,"",IF(INDEX('OneCause_Paste'!$A$408:$AZ$408,1,OC_Name)="","",INDEX('OneCause_Paste'!$A$408:$AZ$408,1,OC_Name)))</f>
        <v/>
      </c>
      <c r="L408">
        <f>IF(OC_Txn=0,"",IF(INDEX('OneCause_Paste'!$A$408:$AZ$408,1,OC_Txn)="","",INDEX('OneCause_Paste'!$A$408:$AZ$408,1,OC_Txn)))</f>
        <v/>
      </c>
      <c r="M408">
        <f>IF(OC_Pay=0,"",IF(INDEX('OneCause_Paste'!$A$408:$AZ$408,1,OC_Pay)="","",INDEX('OneCause_Paste'!$A$408:$AZ$408,1,OC_Pay)))</f>
        <v/>
      </c>
      <c r="N408">
        <f>IF(I408="","",IF(ISNUMBER(I408),INT(I408),IFERROR(INT(DATEVALUE(I408)),IFERROR(INT(VALUE(I408)),"bad"))))</f>
        <v/>
      </c>
      <c r="O408">
        <f>IF(J408="","",IF(ISNUMBER(J408),ROUND(J408,2),IFERROR(ROUND(VALUE(SUBSTITUTE(SUBSTITUTE(SUBSTITUTE(J408,"$",""),",","")," ","")),2),"bad")))</f>
        <v/>
      </c>
      <c r="P408">
        <f>IF(TRIM(K408)="","",IFERROR(MATCH(LOWER(TRIM(K408)),'Students'!$AH$2:$AH$701,0),IFERROR(MATCH(LOWER(TRIM(K408)),'Students'!$AF$2:$AF$701,0),IFERROR(MATCH(LOWER(TRIM(K408)),'Students'!$AG$2:$AG$701,0),""))))</f>
        <v/>
      </c>
      <c r="R408">
        <f>IF(P408="","",INDEX('Students'!$AD$2:$AD$701,P408))</f>
        <v/>
      </c>
      <c r="S408">
        <f>IF(H408="OK",O408,0)</f>
        <v/>
      </c>
      <c r="T408">
        <f>IF(H408="OK",N408,"")</f>
        <v/>
      </c>
      <c r="U408">
        <f>IF(OC_Donor=0,"",IF(INDEX('OneCause_Paste'!$A$408:$AZ$408,1,OC_Donor)="","",INDEX('OneCause_Paste'!$A$408:$AZ$408,1,OC_Donor)))</f>
        <v/>
      </c>
    </row>
    <row r="409">
      <c r="A409" s="62">
        <f>IF(H409="","",IF(ISNUMBER(N409),N409,I409))</f>
        <v/>
      </c>
      <c r="B409">
        <f>IF(H409="","",U409)</f>
        <v/>
      </c>
      <c r="C409">
        <f>IF(H409="","",IF(P409="",K409,INDEX('Students'!$A$2:$A$701,P409)))</f>
        <v/>
      </c>
      <c r="D409">
        <f>IF(OR(H409="",P409=""),"",INDEX('Students'!$B$2:$B$701,P409))</f>
        <v/>
      </c>
      <c r="E409">
        <f>IF(OR(H409="",P409=""),"",INDEX('Students'!$C$2:$C$701,P409))</f>
        <v/>
      </c>
      <c r="F409" s="48">
        <f>IF(H409="","",IF(ISNUMBER(O409),O409,J409))</f>
        <v/>
      </c>
      <c r="G409">
        <f>IF(H409="","","OneCause")</f>
        <v/>
      </c>
      <c r="H409">
        <f>IF(AND(I409="",J409="",K409=""),"",IF(NOT(ISNUMBER(O409)),"Bad amount",IF(O409&lt;0,"Refund (not counted)",IF(O409=0,"Zero amount",IF(NOT(ISNUMBER(N409)),"Bad date",IF(P409="","NAME NOT ON ROSTER",IF(L409="","OK",IF(MATCH(L409,$L$2:$L$3001,0)&lt;ROW()-1,"Duplicate (ignored)","OK"))))))))</f>
        <v/>
      </c>
      <c r="I409">
        <f>IF(OC_Date=0,"",IF(INDEX('OneCause_Paste'!$A$409:$AZ$409,1,OC_Date)="","",INDEX('OneCause_Paste'!$A$409:$AZ$409,1,OC_Date)))</f>
        <v/>
      </c>
      <c r="J409">
        <f>IF(OC_Amt=0,"",IF(INDEX('OneCause_Paste'!$A$409:$AZ$409,1,OC_Amt)="","",INDEX('OneCause_Paste'!$A$409:$AZ$409,1,OC_Amt)))</f>
        <v/>
      </c>
      <c r="K409">
        <f>IF(OC_Name=0,"",IF(INDEX('OneCause_Paste'!$A$409:$AZ$409,1,OC_Name)="","",INDEX('OneCause_Paste'!$A$409:$AZ$409,1,OC_Name)))</f>
        <v/>
      </c>
      <c r="L409">
        <f>IF(OC_Txn=0,"",IF(INDEX('OneCause_Paste'!$A$409:$AZ$409,1,OC_Txn)="","",INDEX('OneCause_Paste'!$A$409:$AZ$409,1,OC_Txn)))</f>
        <v/>
      </c>
      <c r="M409">
        <f>IF(OC_Pay=0,"",IF(INDEX('OneCause_Paste'!$A$409:$AZ$409,1,OC_Pay)="","",INDEX('OneCause_Paste'!$A$409:$AZ$409,1,OC_Pay)))</f>
        <v/>
      </c>
      <c r="N409">
        <f>IF(I409="","",IF(ISNUMBER(I409),INT(I409),IFERROR(INT(DATEVALUE(I409)),IFERROR(INT(VALUE(I409)),"bad"))))</f>
        <v/>
      </c>
      <c r="O409">
        <f>IF(J409="","",IF(ISNUMBER(J409),ROUND(J409,2),IFERROR(ROUND(VALUE(SUBSTITUTE(SUBSTITUTE(SUBSTITUTE(J409,"$",""),",","")," ","")),2),"bad")))</f>
        <v/>
      </c>
      <c r="P409">
        <f>IF(TRIM(K409)="","",IFERROR(MATCH(LOWER(TRIM(K409)),'Students'!$AH$2:$AH$701,0),IFERROR(MATCH(LOWER(TRIM(K409)),'Students'!$AF$2:$AF$701,0),IFERROR(MATCH(LOWER(TRIM(K409)),'Students'!$AG$2:$AG$701,0),""))))</f>
        <v/>
      </c>
      <c r="R409">
        <f>IF(P409="","",INDEX('Students'!$AD$2:$AD$701,P409))</f>
        <v/>
      </c>
      <c r="S409">
        <f>IF(H409="OK",O409,0)</f>
        <v/>
      </c>
      <c r="T409">
        <f>IF(H409="OK",N409,"")</f>
        <v/>
      </c>
      <c r="U409">
        <f>IF(OC_Donor=0,"",IF(INDEX('OneCause_Paste'!$A$409:$AZ$409,1,OC_Donor)="","",INDEX('OneCause_Paste'!$A$409:$AZ$409,1,OC_Donor)))</f>
        <v/>
      </c>
    </row>
    <row r="410">
      <c r="A410" s="62">
        <f>IF(H410="","",IF(ISNUMBER(N410),N410,I410))</f>
        <v/>
      </c>
      <c r="B410">
        <f>IF(H410="","",U410)</f>
        <v/>
      </c>
      <c r="C410">
        <f>IF(H410="","",IF(P410="",K410,INDEX('Students'!$A$2:$A$701,P410)))</f>
        <v/>
      </c>
      <c r="D410">
        <f>IF(OR(H410="",P410=""),"",INDEX('Students'!$B$2:$B$701,P410))</f>
        <v/>
      </c>
      <c r="E410">
        <f>IF(OR(H410="",P410=""),"",INDEX('Students'!$C$2:$C$701,P410))</f>
        <v/>
      </c>
      <c r="F410" s="48">
        <f>IF(H410="","",IF(ISNUMBER(O410),O410,J410))</f>
        <v/>
      </c>
      <c r="G410">
        <f>IF(H410="","","OneCause")</f>
        <v/>
      </c>
      <c r="H410">
        <f>IF(AND(I410="",J410="",K410=""),"",IF(NOT(ISNUMBER(O410)),"Bad amount",IF(O410&lt;0,"Refund (not counted)",IF(O410=0,"Zero amount",IF(NOT(ISNUMBER(N410)),"Bad date",IF(P410="","NAME NOT ON ROSTER",IF(L410="","OK",IF(MATCH(L410,$L$2:$L$3001,0)&lt;ROW()-1,"Duplicate (ignored)","OK"))))))))</f>
        <v/>
      </c>
      <c r="I410">
        <f>IF(OC_Date=0,"",IF(INDEX('OneCause_Paste'!$A$410:$AZ$410,1,OC_Date)="","",INDEX('OneCause_Paste'!$A$410:$AZ$410,1,OC_Date)))</f>
        <v/>
      </c>
      <c r="J410">
        <f>IF(OC_Amt=0,"",IF(INDEX('OneCause_Paste'!$A$410:$AZ$410,1,OC_Amt)="","",INDEX('OneCause_Paste'!$A$410:$AZ$410,1,OC_Amt)))</f>
        <v/>
      </c>
      <c r="K410">
        <f>IF(OC_Name=0,"",IF(INDEX('OneCause_Paste'!$A$410:$AZ$410,1,OC_Name)="","",INDEX('OneCause_Paste'!$A$410:$AZ$410,1,OC_Name)))</f>
        <v/>
      </c>
      <c r="L410">
        <f>IF(OC_Txn=0,"",IF(INDEX('OneCause_Paste'!$A$410:$AZ$410,1,OC_Txn)="","",INDEX('OneCause_Paste'!$A$410:$AZ$410,1,OC_Txn)))</f>
        <v/>
      </c>
      <c r="M410">
        <f>IF(OC_Pay=0,"",IF(INDEX('OneCause_Paste'!$A$410:$AZ$410,1,OC_Pay)="","",INDEX('OneCause_Paste'!$A$410:$AZ$410,1,OC_Pay)))</f>
        <v/>
      </c>
      <c r="N410">
        <f>IF(I410="","",IF(ISNUMBER(I410),INT(I410),IFERROR(INT(DATEVALUE(I410)),IFERROR(INT(VALUE(I410)),"bad"))))</f>
        <v/>
      </c>
      <c r="O410">
        <f>IF(J410="","",IF(ISNUMBER(J410),ROUND(J410,2),IFERROR(ROUND(VALUE(SUBSTITUTE(SUBSTITUTE(SUBSTITUTE(J410,"$",""),",","")," ","")),2),"bad")))</f>
        <v/>
      </c>
      <c r="P410">
        <f>IF(TRIM(K410)="","",IFERROR(MATCH(LOWER(TRIM(K410)),'Students'!$AH$2:$AH$701,0),IFERROR(MATCH(LOWER(TRIM(K410)),'Students'!$AF$2:$AF$701,0),IFERROR(MATCH(LOWER(TRIM(K410)),'Students'!$AG$2:$AG$701,0),""))))</f>
        <v/>
      </c>
      <c r="R410">
        <f>IF(P410="","",INDEX('Students'!$AD$2:$AD$701,P410))</f>
        <v/>
      </c>
      <c r="S410">
        <f>IF(H410="OK",O410,0)</f>
        <v/>
      </c>
      <c r="T410">
        <f>IF(H410="OK",N410,"")</f>
        <v/>
      </c>
      <c r="U410">
        <f>IF(OC_Donor=0,"",IF(INDEX('OneCause_Paste'!$A$410:$AZ$410,1,OC_Donor)="","",INDEX('OneCause_Paste'!$A$410:$AZ$410,1,OC_Donor)))</f>
        <v/>
      </c>
    </row>
    <row r="411">
      <c r="A411" s="62">
        <f>IF(H411="","",IF(ISNUMBER(N411),N411,I411))</f>
        <v/>
      </c>
      <c r="B411">
        <f>IF(H411="","",U411)</f>
        <v/>
      </c>
      <c r="C411">
        <f>IF(H411="","",IF(P411="",K411,INDEX('Students'!$A$2:$A$701,P411)))</f>
        <v/>
      </c>
      <c r="D411">
        <f>IF(OR(H411="",P411=""),"",INDEX('Students'!$B$2:$B$701,P411))</f>
        <v/>
      </c>
      <c r="E411">
        <f>IF(OR(H411="",P411=""),"",INDEX('Students'!$C$2:$C$701,P411))</f>
        <v/>
      </c>
      <c r="F411" s="48">
        <f>IF(H411="","",IF(ISNUMBER(O411),O411,J411))</f>
        <v/>
      </c>
      <c r="G411">
        <f>IF(H411="","","OneCause")</f>
        <v/>
      </c>
      <c r="H411">
        <f>IF(AND(I411="",J411="",K411=""),"",IF(NOT(ISNUMBER(O411)),"Bad amount",IF(O411&lt;0,"Refund (not counted)",IF(O411=0,"Zero amount",IF(NOT(ISNUMBER(N411)),"Bad date",IF(P411="","NAME NOT ON ROSTER",IF(L411="","OK",IF(MATCH(L411,$L$2:$L$3001,0)&lt;ROW()-1,"Duplicate (ignored)","OK"))))))))</f>
        <v/>
      </c>
      <c r="I411">
        <f>IF(OC_Date=0,"",IF(INDEX('OneCause_Paste'!$A$411:$AZ$411,1,OC_Date)="","",INDEX('OneCause_Paste'!$A$411:$AZ$411,1,OC_Date)))</f>
        <v/>
      </c>
      <c r="J411">
        <f>IF(OC_Amt=0,"",IF(INDEX('OneCause_Paste'!$A$411:$AZ$411,1,OC_Amt)="","",INDEX('OneCause_Paste'!$A$411:$AZ$411,1,OC_Amt)))</f>
        <v/>
      </c>
      <c r="K411">
        <f>IF(OC_Name=0,"",IF(INDEX('OneCause_Paste'!$A$411:$AZ$411,1,OC_Name)="","",INDEX('OneCause_Paste'!$A$411:$AZ$411,1,OC_Name)))</f>
        <v/>
      </c>
      <c r="L411">
        <f>IF(OC_Txn=0,"",IF(INDEX('OneCause_Paste'!$A$411:$AZ$411,1,OC_Txn)="","",INDEX('OneCause_Paste'!$A$411:$AZ$411,1,OC_Txn)))</f>
        <v/>
      </c>
      <c r="M411">
        <f>IF(OC_Pay=0,"",IF(INDEX('OneCause_Paste'!$A$411:$AZ$411,1,OC_Pay)="","",INDEX('OneCause_Paste'!$A$411:$AZ$411,1,OC_Pay)))</f>
        <v/>
      </c>
      <c r="N411">
        <f>IF(I411="","",IF(ISNUMBER(I411),INT(I411),IFERROR(INT(DATEVALUE(I411)),IFERROR(INT(VALUE(I411)),"bad"))))</f>
        <v/>
      </c>
      <c r="O411">
        <f>IF(J411="","",IF(ISNUMBER(J411),ROUND(J411,2),IFERROR(ROUND(VALUE(SUBSTITUTE(SUBSTITUTE(SUBSTITUTE(J411,"$",""),",","")," ","")),2),"bad")))</f>
        <v/>
      </c>
      <c r="P411">
        <f>IF(TRIM(K411)="","",IFERROR(MATCH(LOWER(TRIM(K411)),'Students'!$AH$2:$AH$701,0),IFERROR(MATCH(LOWER(TRIM(K411)),'Students'!$AF$2:$AF$701,0),IFERROR(MATCH(LOWER(TRIM(K411)),'Students'!$AG$2:$AG$701,0),""))))</f>
        <v/>
      </c>
      <c r="R411">
        <f>IF(P411="","",INDEX('Students'!$AD$2:$AD$701,P411))</f>
        <v/>
      </c>
      <c r="S411">
        <f>IF(H411="OK",O411,0)</f>
        <v/>
      </c>
      <c r="T411">
        <f>IF(H411="OK",N411,"")</f>
        <v/>
      </c>
      <c r="U411">
        <f>IF(OC_Donor=0,"",IF(INDEX('OneCause_Paste'!$A$411:$AZ$411,1,OC_Donor)="","",INDEX('OneCause_Paste'!$A$411:$AZ$411,1,OC_Donor)))</f>
        <v/>
      </c>
    </row>
    <row r="412">
      <c r="A412" s="62">
        <f>IF(H412="","",IF(ISNUMBER(N412),N412,I412))</f>
        <v/>
      </c>
      <c r="B412">
        <f>IF(H412="","",U412)</f>
        <v/>
      </c>
      <c r="C412">
        <f>IF(H412="","",IF(P412="",K412,INDEX('Students'!$A$2:$A$701,P412)))</f>
        <v/>
      </c>
      <c r="D412">
        <f>IF(OR(H412="",P412=""),"",INDEX('Students'!$B$2:$B$701,P412))</f>
        <v/>
      </c>
      <c r="E412">
        <f>IF(OR(H412="",P412=""),"",INDEX('Students'!$C$2:$C$701,P412))</f>
        <v/>
      </c>
      <c r="F412" s="48">
        <f>IF(H412="","",IF(ISNUMBER(O412),O412,J412))</f>
        <v/>
      </c>
      <c r="G412">
        <f>IF(H412="","","OneCause")</f>
        <v/>
      </c>
      <c r="H412">
        <f>IF(AND(I412="",J412="",K412=""),"",IF(NOT(ISNUMBER(O412)),"Bad amount",IF(O412&lt;0,"Refund (not counted)",IF(O412=0,"Zero amount",IF(NOT(ISNUMBER(N412)),"Bad date",IF(P412="","NAME NOT ON ROSTER",IF(L412="","OK",IF(MATCH(L412,$L$2:$L$3001,0)&lt;ROW()-1,"Duplicate (ignored)","OK"))))))))</f>
        <v/>
      </c>
      <c r="I412">
        <f>IF(OC_Date=0,"",IF(INDEX('OneCause_Paste'!$A$412:$AZ$412,1,OC_Date)="","",INDEX('OneCause_Paste'!$A$412:$AZ$412,1,OC_Date)))</f>
        <v/>
      </c>
      <c r="J412">
        <f>IF(OC_Amt=0,"",IF(INDEX('OneCause_Paste'!$A$412:$AZ$412,1,OC_Amt)="","",INDEX('OneCause_Paste'!$A$412:$AZ$412,1,OC_Amt)))</f>
        <v/>
      </c>
      <c r="K412">
        <f>IF(OC_Name=0,"",IF(INDEX('OneCause_Paste'!$A$412:$AZ$412,1,OC_Name)="","",INDEX('OneCause_Paste'!$A$412:$AZ$412,1,OC_Name)))</f>
        <v/>
      </c>
      <c r="L412">
        <f>IF(OC_Txn=0,"",IF(INDEX('OneCause_Paste'!$A$412:$AZ$412,1,OC_Txn)="","",INDEX('OneCause_Paste'!$A$412:$AZ$412,1,OC_Txn)))</f>
        <v/>
      </c>
      <c r="M412">
        <f>IF(OC_Pay=0,"",IF(INDEX('OneCause_Paste'!$A$412:$AZ$412,1,OC_Pay)="","",INDEX('OneCause_Paste'!$A$412:$AZ$412,1,OC_Pay)))</f>
        <v/>
      </c>
      <c r="N412">
        <f>IF(I412="","",IF(ISNUMBER(I412),INT(I412),IFERROR(INT(DATEVALUE(I412)),IFERROR(INT(VALUE(I412)),"bad"))))</f>
        <v/>
      </c>
      <c r="O412">
        <f>IF(J412="","",IF(ISNUMBER(J412),ROUND(J412,2),IFERROR(ROUND(VALUE(SUBSTITUTE(SUBSTITUTE(SUBSTITUTE(J412,"$",""),",","")," ","")),2),"bad")))</f>
        <v/>
      </c>
      <c r="P412">
        <f>IF(TRIM(K412)="","",IFERROR(MATCH(LOWER(TRIM(K412)),'Students'!$AH$2:$AH$701,0),IFERROR(MATCH(LOWER(TRIM(K412)),'Students'!$AF$2:$AF$701,0),IFERROR(MATCH(LOWER(TRIM(K412)),'Students'!$AG$2:$AG$701,0),""))))</f>
        <v/>
      </c>
      <c r="R412">
        <f>IF(P412="","",INDEX('Students'!$AD$2:$AD$701,P412))</f>
        <v/>
      </c>
      <c r="S412">
        <f>IF(H412="OK",O412,0)</f>
        <v/>
      </c>
      <c r="T412">
        <f>IF(H412="OK",N412,"")</f>
        <v/>
      </c>
      <c r="U412">
        <f>IF(OC_Donor=0,"",IF(INDEX('OneCause_Paste'!$A$412:$AZ$412,1,OC_Donor)="","",INDEX('OneCause_Paste'!$A$412:$AZ$412,1,OC_Donor)))</f>
        <v/>
      </c>
    </row>
    <row r="413">
      <c r="A413" s="62">
        <f>IF(H413="","",IF(ISNUMBER(N413),N413,I413))</f>
        <v/>
      </c>
      <c r="B413">
        <f>IF(H413="","",U413)</f>
        <v/>
      </c>
      <c r="C413">
        <f>IF(H413="","",IF(P413="",K413,INDEX('Students'!$A$2:$A$701,P413)))</f>
        <v/>
      </c>
      <c r="D413">
        <f>IF(OR(H413="",P413=""),"",INDEX('Students'!$B$2:$B$701,P413))</f>
        <v/>
      </c>
      <c r="E413">
        <f>IF(OR(H413="",P413=""),"",INDEX('Students'!$C$2:$C$701,P413))</f>
        <v/>
      </c>
      <c r="F413" s="48">
        <f>IF(H413="","",IF(ISNUMBER(O413),O413,J413))</f>
        <v/>
      </c>
      <c r="G413">
        <f>IF(H413="","","OneCause")</f>
        <v/>
      </c>
      <c r="H413">
        <f>IF(AND(I413="",J413="",K413=""),"",IF(NOT(ISNUMBER(O413)),"Bad amount",IF(O413&lt;0,"Refund (not counted)",IF(O413=0,"Zero amount",IF(NOT(ISNUMBER(N413)),"Bad date",IF(P413="","NAME NOT ON ROSTER",IF(L413="","OK",IF(MATCH(L413,$L$2:$L$3001,0)&lt;ROW()-1,"Duplicate (ignored)","OK"))))))))</f>
        <v/>
      </c>
      <c r="I413">
        <f>IF(OC_Date=0,"",IF(INDEX('OneCause_Paste'!$A$413:$AZ$413,1,OC_Date)="","",INDEX('OneCause_Paste'!$A$413:$AZ$413,1,OC_Date)))</f>
        <v/>
      </c>
      <c r="J413">
        <f>IF(OC_Amt=0,"",IF(INDEX('OneCause_Paste'!$A$413:$AZ$413,1,OC_Amt)="","",INDEX('OneCause_Paste'!$A$413:$AZ$413,1,OC_Amt)))</f>
        <v/>
      </c>
      <c r="K413">
        <f>IF(OC_Name=0,"",IF(INDEX('OneCause_Paste'!$A$413:$AZ$413,1,OC_Name)="","",INDEX('OneCause_Paste'!$A$413:$AZ$413,1,OC_Name)))</f>
        <v/>
      </c>
      <c r="L413">
        <f>IF(OC_Txn=0,"",IF(INDEX('OneCause_Paste'!$A$413:$AZ$413,1,OC_Txn)="","",INDEX('OneCause_Paste'!$A$413:$AZ$413,1,OC_Txn)))</f>
        <v/>
      </c>
      <c r="M413">
        <f>IF(OC_Pay=0,"",IF(INDEX('OneCause_Paste'!$A$413:$AZ$413,1,OC_Pay)="","",INDEX('OneCause_Paste'!$A$413:$AZ$413,1,OC_Pay)))</f>
        <v/>
      </c>
      <c r="N413">
        <f>IF(I413="","",IF(ISNUMBER(I413),INT(I413),IFERROR(INT(DATEVALUE(I413)),IFERROR(INT(VALUE(I413)),"bad"))))</f>
        <v/>
      </c>
      <c r="O413">
        <f>IF(J413="","",IF(ISNUMBER(J413),ROUND(J413,2),IFERROR(ROUND(VALUE(SUBSTITUTE(SUBSTITUTE(SUBSTITUTE(J413,"$",""),",","")," ","")),2),"bad")))</f>
        <v/>
      </c>
      <c r="P413">
        <f>IF(TRIM(K413)="","",IFERROR(MATCH(LOWER(TRIM(K413)),'Students'!$AH$2:$AH$701,0),IFERROR(MATCH(LOWER(TRIM(K413)),'Students'!$AF$2:$AF$701,0),IFERROR(MATCH(LOWER(TRIM(K413)),'Students'!$AG$2:$AG$701,0),""))))</f>
        <v/>
      </c>
      <c r="R413">
        <f>IF(P413="","",INDEX('Students'!$AD$2:$AD$701,P413))</f>
        <v/>
      </c>
      <c r="S413">
        <f>IF(H413="OK",O413,0)</f>
        <v/>
      </c>
      <c r="T413">
        <f>IF(H413="OK",N413,"")</f>
        <v/>
      </c>
      <c r="U413">
        <f>IF(OC_Donor=0,"",IF(INDEX('OneCause_Paste'!$A$413:$AZ$413,1,OC_Donor)="","",INDEX('OneCause_Paste'!$A$413:$AZ$413,1,OC_Donor)))</f>
        <v/>
      </c>
    </row>
    <row r="414">
      <c r="A414" s="62">
        <f>IF(H414="","",IF(ISNUMBER(N414),N414,I414))</f>
        <v/>
      </c>
      <c r="B414">
        <f>IF(H414="","",U414)</f>
        <v/>
      </c>
      <c r="C414">
        <f>IF(H414="","",IF(P414="",K414,INDEX('Students'!$A$2:$A$701,P414)))</f>
        <v/>
      </c>
      <c r="D414">
        <f>IF(OR(H414="",P414=""),"",INDEX('Students'!$B$2:$B$701,P414))</f>
        <v/>
      </c>
      <c r="E414">
        <f>IF(OR(H414="",P414=""),"",INDEX('Students'!$C$2:$C$701,P414))</f>
        <v/>
      </c>
      <c r="F414" s="48">
        <f>IF(H414="","",IF(ISNUMBER(O414),O414,J414))</f>
        <v/>
      </c>
      <c r="G414">
        <f>IF(H414="","","OneCause")</f>
        <v/>
      </c>
      <c r="H414">
        <f>IF(AND(I414="",J414="",K414=""),"",IF(NOT(ISNUMBER(O414)),"Bad amount",IF(O414&lt;0,"Refund (not counted)",IF(O414=0,"Zero amount",IF(NOT(ISNUMBER(N414)),"Bad date",IF(P414="","NAME NOT ON ROSTER",IF(L414="","OK",IF(MATCH(L414,$L$2:$L$3001,0)&lt;ROW()-1,"Duplicate (ignored)","OK"))))))))</f>
        <v/>
      </c>
      <c r="I414">
        <f>IF(OC_Date=0,"",IF(INDEX('OneCause_Paste'!$A$414:$AZ$414,1,OC_Date)="","",INDEX('OneCause_Paste'!$A$414:$AZ$414,1,OC_Date)))</f>
        <v/>
      </c>
      <c r="J414">
        <f>IF(OC_Amt=0,"",IF(INDEX('OneCause_Paste'!$A$414:$AZ$414,1,OC_Amt)="","",INDEX('OneCause_Paste'!$A$414:$AZ$414,1,OC_Amt)))</f>
        <v/>
      </c>
      <c r="K414">
        <f>IF(OC_Name=0,"",IF(INDEX('OneCause_Paste'!$A$414:$AZ$414,1,OC_Name)="","",INDEX('OneCause_Paste'!$A$414:$AZ$414,1,OC_Name)))</f>
        <v/>
      </c>
      <c r="L414">
        <f>IF(OC_Txn=0,"",IF(INDEX('OneCause_Paste'!$A$414:$AZ$414,1,OC_Txn)="","",INDEX('OneCause_Paste'!$A$414:$AZ$414,1,OC_Txn)))</f>
        <v/>
      </c>
      <c r="M414">
        <f>IF(OC_Pay=0,"",IF(INDEX('OneCause_Paste'!$A$414:$AZ$414,1,OC_Pay)="","",INDEX('OneCause_Paste'!$A$414:$AZ$414,1,OC_Pay)))</f>
        <v/>
      </c>
      <c r="N414">
        <f>IF(I414="","",IF(ISNUMBER(I414),INT(I414),IFERROR(INT(DATEVALUE(I414)),IFERROR(INT(VALUE(I414)),"bad"))))</f>
        <v/>
      </c>
      <c r="O414">
        <f>IF(J414="","",IF(ISNUMBER(J414),ROUND(J414,2),IFERROR(ROUND(VALUE(SUBSTITUTE(SUBSTITUTE(SUBSTITUTE(J414,"$",""),",","")," ","")),2),"bad")))</f>
        <v/>
      </c>
      <c r="P414">
        <f>IF(TRIM(K414)="","",IFERROR(MATCH(LOWER(TRIM(K414)),'Students'!$AH$2:$AH$701,0),IFERROR(MATCH(LOWER(TRIM(K414)),'Students'!$AF$2:$AF$701,0),IFERROR(MATCH(LOWER(TRIM(K414)),'Students'!$AG$2:$AG$701,0),""))))</f>
        <v/>
      </c>
      <c r="R414">
        <f>IF(P414="","",INDEX('Students'!$AD$2:$AD$701,P414))</f>
        <v/>
      </c>
      <c r="S414">
        <f>IF(H414="OK",O414,0)</f>
        <v/>
      </c>
      <c r="T414">
        <f>IF(H414="OK",N414,"")</f>
        <v/>
      </c>
      <c r="U414">
        <f>IF(OC_Donor=0,"",IF(INDEX('OneCause_Paste'!$A$414:$AZ$414,1,OC_Donor)="","",INDEX('OneCause_Paste'!$A$414:$AZ$414,1,OC_Donor)))</f>
        <v/>
      </c>
    </row>
    <row r="415">
      <c r="A415" s="62">
        <f>IF(H415="","",IF(ISNUMBER(N415),N415,I415))</f>
        <v/>
      </c>
      <c r="B415">
        <f>IF(H415="","",U415)</f>
        <v/>
      </c>
      <c r="C415">
        <f>IF(H415="","",IF(P415="",K415,INDEX('Students'!$A$2:$A$701,P415)))</f>
        <v/>
      </c>
      <c r="D415">
        <f>IF(OR(H415="",P415=""),"",INDEX('Students'!$B$2:$B$701,P415))</f>
        <v/>
      </c>
      <c r="E415">
        <f>IF(OR(H415="",P415=""),"",INDEX('Students'!$C$2:$C$701,P415))</f>
        <v/>
      </c>
      <c r="F415" s="48">
        <f>IF(H415="","",IF(ISNUMBER(O415),O415,J415))</f>
        <v/>
      </c>
      <c r="G415">
        <f>IF(H415="","","OneCause")</f>
        <v/>
      </c>
      <c r="H415">
        <f>IF(AND(I415="",J415="",K415=""),"",IF(NOT(ISNUMBER(O415)),"Bad amount",IF(O415&lt;0,"Refund (not counted)",IF(O415=0,"Zero amount",IF(NOT(ISNUMBER(N415)),"Bad date",IF(P415="","NAME NOT ON ROSTER",IF(L415="","OK",IF(MATCH(L415,$L$2:$L$3001,0)&lt;ROW()-1,"Duplicate (ignored)","OK"))))))))</f>
        <v/>
      </c>
      <c r="I415">
        <f>IF(OC_Date=0,"",IF(INDEX('OneCause_Paste'!$A$415:$AZ$415,1,OC_Date)="","",INDEX('OneCause_Paste'!$A$415:$AZ$415,1,OC_Date)))</f>
        <v/>
      </c>
      <c r="J415">
        <f>IF(OC_Amt=0,"",IF(INDEX('OneCause_Paste'!$A$415:$AZ$415,1,OC_Amt)="","",INDEX('OneCause_Paste'!$A$415:$AZ$415,1,OC_Amt)))</f>
        <v/>
      </c>
      <c r="K415">
        <f>IF(OC_Name=0,"",IF(INDEX('OneCause_Paste'!$A$415:$AZ$415,1,OC_Name)="","",INDEX('OneCause_Paste'!$A$415:$AZ$415,1,OC_Name)))</f>
        <v/>
      </c>
      <c r="L415">
        <f>IF(OC_Txn=0,"",IF(INDEX('OneCause_Paste'!$A$415:$AZ$415,1,OC_Txn)="","",INDEX('OneCause_Paste'!$A$415:$AZ$415,1,OC_Txn)))</f>
        <v/>
      </c>
      <c r="M415">
        <f>IF(OC_Pay=0,"",IF(INDEX('OneCause_Paste'!$A$415:$AZ$415,1,OC_Pay)="","",INDEX('OneCause_Paste'!$A$415:$AZ$415,1,OC_Pay)))</f>
        <v/>
      </c>
      <c r="N415">
        <f>IF(I415="","",IF(ISNUMBER(I415),INT(I415),IFERROR(INT(DATEVALUE(I415)),IFERROR(INT(VALUE(I415)),"bad"))))</f>
        <v/>
      </c>
      <c r="O415">
        <f>IF(J415="","",IF(ISNUMBER(J415),ROUND(J415,2),IFERROR(ROUND(VALUE(SUBSTITUTE(SUBSTITUTE(SUBSTITUTE(J415,"$",""),",","")," ","")),2),"bad")))</f>
        <v/>
      </c>
      <c r="P415">
        <f>IF(TRIM(K415)="","",IFERROR(MATCH(LOWER(TRIM(K415)),'Students'!$AH$2:$AH$701,0),IFERROR(MATCH(LOWER(TRIM(K415)),'Students'!$AF$2:$AF$701,0),IFERROR(MATCH(LOWER(TRIM(K415)),'Students'!$AG$2:$AG$701,0),""))))</f>
        <v/>
      </c>
      <c r="R415">
        <f>IF(P415="","",INDEX('Students'!$AD$2:$AD$701,P415))</f>
        <v/>
      </c>
      <c r="S415">
        <f>IF(H415="OK",O415,0)</f>
        <v/>
      </c>
      <c r="T415">
        <f>IF(H415="OK",N415,"")</f>
        <v/>
      </c>
      <c r="U415">
        <f>IF(OC_Donor=0,"",IF(INDEX('OneCause_Paste'!$A$415:$AZ$415,1,OC_Donor)="","",INDEX('OneCause_Paste'!$A$415:$AZ$415,1,OC_Donor)))</f>
        <v/>
      </c>
    </row>
    <row r="416">
      <c r="A416" s="62">
        <f>IF(H416="","",IF(ISNUMBER(N416),N416,I416))</f>
        <v/>
      </c>
      <c r="B416">
        <f>IF(H416="","",U416)</f>
        <v/>
      </c>
      <c r="C416">
        <f>IF(H416="","",IF(P416="",K416,INDEX('Students'!$A$2:$A$701,P416)))</f>
        <v/>
      </c>
      <c r="D416">
        <f>IF(OR(H416="",P416=""),"",INDEX('Students'!$B$2:$B$701,P416))</f>
        <v/>
      </c>
      <c r="E416">
        <f>IF(OR(H416="",P416=""),"",INDEX('Students'!$C$2:$C$701,P416))</f>
        <v/>
      </c>
      <c r="F416" s="48">
        <f>IF(H416="","",IF(ISNUMBER(O416),O416,J416))</f>
        <v/>
      </c>
      <c r="G416">
        <f>IF(H416="","","OneCause")</f>
        <v/>
      </c>
      <c r="H416">
        <f>IF(AND(I416="",J416="",K416=""),"",IF(NOT(ISNUMBER(O416)),"Bad amount",IF(O416&lt;0,"Refund (not counted)",IF(O416=0,"Zero amount",IF(NOT(ISNUMBER(N416)),"Bad date",IF(P416="","NAME NOT ON ROSTER",IF(L416="","OK",IF(MATCH(L416,$L$2:$L$3001,0)&lt;ROW()-1,"Duplicate (ignored)","OK"))))))))</f>
        <v/>
      </c>
      <c r="I416">
        <f>IF(OC_Date=0,"",IF(INDEX('OneCause_Paste'!$A$416:$AZ$416,1,OC_Date)="","",INDEX('OneCause_Paste'!$A$416:$AZ$416,1,OC_Date)))</f>
        <v/>
      </c>
      <c r="J416">
        <f>IF(OC_Amt=0,"",IF(INDEX('OneCause_Paste'!$A$416:$AZ$416,1,OC_Amt)="","",INDEX('OneCause_Paste'!$A$416:$AZ$416,1,OC_Amt)))</f>
        <v/>
      </c>
      <c r="K416">
        <f>IF(OC_Name=0,"",IF(INDEX('OneCause_Paste'!$A$416:$AZ$416,1,OC_Name)="","",INDEX('OneCause_Paste'!$A$416:$AZ$416,1,OC_Name)))</f>
        <v/>
      </c>
      <c r="L416">
        <f>IF(OC_Txn=0,"",IF(INDEX('OneCause_Paste'!$A$416:$AZ$416,1,OC_Txn)="","",INDEX('OneCause_Paste'!$A$416:$AZ$416,1,OC_Txn)))</f>
        <v/>
      </c>
      <c r="M416">
        <f>IF(OC_Pay=0,"",IF(INDEX('OneCause_Paste'!$A$416:$AZ$416,1,OC_Pay)="","",INDEX('OneCause_Paste'!$A$416:$AZ$416,1,OC_Pay)))</f>
        <v/>
      </c>
      <c r="N416">
        <f>IF(I416="","",IF(ISNUMBER(I416),INT(I416),IFERROR(INT(DATEVALUE(I416)),IFERROR(INT(VALUE(I416)),"bad"))))</f>
        <v/>
      </c>
      <c r="O416">
        <f>IF(J416="","",IF(ISNUMBER(J416),ROUND(J416,2),IFERROR(ROUND(VALUE(SUBSTITUTE(SUBSTITUTE(SUBSTITUTE(J416,"$",""),",","")," ","")),2),"bad")))</f>
        <v/>
      </c>
      <c r="P416">
        <f>IF(TRIM(K416)="","",IFERROR(MATCH(LOWER(TRIM(K416)),'Students'!$AH$2:$AH$701,0),IFERROR(MATCH(LOWER(TRIM(K416)),'Students'!$AF$2:$AF$701,0),IFERROR(MATCH(LOWER(TRIM(K416)),'Students'!$AG$2:$AG$701,0),""))))</f>
        <v/>
      </c>
      <c r="R416">
        <f>IF(P416="","",INDEX('Students'!$AD$2:$AD$701,P416))</f>
        <v/>
      </c>
      <c r="S416">
        <f>IF(H416="OK",O416,0)</f>
        <v/>
      </c>
      <c r="T416">
        <f>IF(H416="OK",N416,"")</f>
        <v/>
      </c>
      <c r="U416">
        <f>IF(OC_Donor=0,"",IF(INDEX('OneCause_Paste'!$A$416:$AZ$416,1,OC_Donor)="","",INDEX('OneCause_Paste'!$A$416:$AZ$416,1,OC_Donor)))</f>
        <v/>
      </c>
    </row>
    <row r="417">
      <c r="A417" s="62">
        <f>IF(H417="","",IF(ISNUMBER(N417),N417,I417))</f>
        <v/>
      </c>
      <c r="B417">
        <f>IF(H417="","",U417)</f>
        <v/>
      </c>
      <c r="C417">
        <f>IF(H417="","",IF(P417="",K417,INDEX('Students'!$A$2:$A$701,P417)))</f>
        <v/>
      </c>
      <c r="D417">
        <f>IF(OR(H417="",P417=""),"",INDEX('Students'!$B$2:$B$701,P417))</f>
        <v/>
      </c>
      <c r="E417">
        <f>IF(OR(H417="",P417=""),"",INDEX('Students'!$C$2:$C$701,P417))</f>
        <v/>
      </c>
      <c r="F417" s="48">
        <f>IF(H417="","",IF(ISNUMBER(O417),O417,J417))</f>
        <v/>
      </c>
      <c r="G417">
        <f>IF(H417="","","OneCause")</f>
        <v/>
      </c>
      <c r="H417">
        <f>IF(AND(I417="",J417="",K417=""),"",IF(NOT(ISNUMBER(O417)),"Bad amount",IF(O417&lt;0,"Refund (not counted)",IF(O417=0,"Zero amount",IF(NOT(ISNUMBER(N417)),"Bad date",IF(P417="","NAME NOT ON ROSTER",IF(L417="","OK",IF(MATCH(L417,$L$2:$L$3001,0)&lt;ROW()-1,"Duplicate (ignored)","OK"))))))))</f>
        <v/>
      </c>
      <c r="I417">
        <f>IF(OC_Date=0,"",IF(INDEX('OneCause_Paste'!$A$417:$AZ$417,1,OC_Date)="","",INDEX('OneCause_Paste'!$A$417:$AZ$417,1,OC_Date)))</f>
        <v/>
      </c>
      <c r="J417">
        <f>IF(OC_Amt=0,"",IF(INDEX('OneCause_Paste'!$A$417:$AZ$417,1,OC_Amt)="","",INDEX('OneCause_Paste'!$A$417:$AZ$417,1,OC_Amt)))</f>
        <v/>
      </c>
      <c r="K417">
        <f>IF(OC_Name=0,"",IF(INDEX('OneCause_Paste'!$A$417:$AZ$417,1,OC_Name)="","",INDEX('OneCause_Paste'!$A$417:$AZ$417,1,OC_Name)))</f>
        <v/>
      </c>
      <c r="L417">
        <f>IF(OC_Txn=0,"",IF(INDEX('OneCause_Paste'!$A$417:$AZ$417,1,OC_Txn)="","",INDEX('OneCause_Paste'!$A$417:$AZ$417,1,OC_Txn)))</f>
        <v/>
      </c>
      <c r="M417">
        <f>IF(OC_Pay=0,"",IF(INDEX('OneCause_Paste'!$A$417:$AZ$417,1,OC_Pay)="","",INDEX('OneCause_Paste'!$A$417:$AZ$417,1,OC_Pay)))</f>
        <v/>
      </c>
      <c r="N417">
        <f>IF(I417="","",IF(ISNUMBER(I417),INT(I417),IFERROR(INT(DATEVALUE(I417)),IFERROR(INT(VALUE(I417)),"bad"))))</f>
        <v/>
      </c>
      <c r="O417">
        <f>IF(J417="","",IF(ISNUMBER(J417),ROUND(J417,2),IFERROR(ROUND(VALUE(SUBSTITUTE(SUBSTITUTE(SUBSTITUTE(J417,"$",""),",","")," ","")),2),"bad")))</f>
        <v/>
      </c>
      <c r="P417">
        <f>IF(TRIM(K417)="","",IFERROR(MATCH(LOWER(TRIM(K417)),'Students'!$AH$2:$AH$701,0),IFERROR(MATCH(LOWER(TRIM(K417)),'Students'!$AF$2:$AF$701,0),IFERROR(MATCH(LOWER(TRIM(K417)),'Students'!$AG$2:$AG$701,0),""))))</f>
        <v/>
      </c>
      <c r="R417">
        <f>IF(P417="","",INDEX('Students'!$AD$2:$AD$701,P417))</f>
        <v/>
      </c>
      <c r="S417">
        <f>IF(H417="OK",O417,0)</f>
        <v/>
      </c>
      <c r="T417">
        <f>IF(H417="OK",N417,"")</f>
        <v/>
      </c>
      <c r="U417">
        <f>IF(OC_Donor=0,"",IF(INDEX('OneCause_Paste'!$A$417:$AZ$417,1,OC_Donor)="","",INDEX('OneCause_Paste'!$A$417:$AZ$417,1,OC_Donor)))</f>
        <v/>
      </c>
    </row>
    <row r="418">
      <c r="A418" s="62">
        <f>IF(H418="","",IF(ISNUMBER(N418),N418,I418))</f>
        <v/>
      </c>
      <c r="B418">
        <f>IF(H418="","",U418)</f>
        <v/>
      </c>
      <c r="C418">
        <f>IF(H418="","",IF(P418="",K418,INDEX('Students'!$A$2:$A$701,P418)))</f>
        <v/>
      </c>
      <c r="D418">
        <f>IF(OR(H418="",P418=""),"",INDEX('Students'!$B$2:$B$701,P418))</f>
        <v/>
      </c>
      <c r="E418">
        <f>IF(OR(H418="",P418=""),"",INDEX('Students'!$C$2:$C$701,P418))</f>
        <v/>
      </c>
      <c r="F418" s="48">
        <f>IF(H418="","",IF(ISNUMBER(O418),O418,J418))</f>
        <v/>
      </c>
      <c r="G418">
        <f>IF(H418="","","OneCause")</f>
        <v/>
      </c>
      <c r="H418">
        <f>IF(AND(I418="",J418="",K418=""),"",IF(NOT(ISNUMBER(O418)),"Bad amount",IF(O418&lt;0,"Refund (not counted)",IF(O418=0,"Zero amount",IF(NOT(ISNUMBER(N418)),"Bad date",IF(P418="","NAME NOT ON ROSTER",IF(L418="","OK",IF(MATCH(L418,$L$2:$L$3001,0)&lt;ROW()-1,"Duplicate (ignored)","OK"))))))))</f>
        <v/>
      </c>
      <c r="I418">
        <f>IF(OC_Date=0,"",IF(INDEX('OneCause_Paste'!$A$418:$AZ$418,1,OC_Date)="","",INDEX('OneCause_Paste'!$A$418:$AZ$418,1,OC_Date)))</f>
        <v/>
      </c>
      <c r="J418">
        <f>IF(OC_Amt=0,"",IF(INDEX('OneCause_Paste'!$A$418:$AZ$418,1,OC_Amt)="","",INDEX('OneCause_Paste'!$A$418:$AZ$418,1,OC_Amt)))</f>
        <v/>
      </c>
      <c r="K418">
        <f>IF(OC_Name=0,"",IF(INDEX('OneCause_Paste'!$A$418:$AZ$418,1,OC_Name)="","",INDEX('OneCause_Paste'!$A$418:$AZ$418,1,OC_Name)))</f>
        <v/>
      </c>
      <c r="L418">
        <f>IF(OC_Txn=0,"",IF(INDEX('OneCause_Paste'!$A$418:$AZ$418,1,OC_Txn)="","",INDEX('OneCause_Paste'!$A$418:$AZ$418,1,OC_Txn)))</f>
        <v/>
      </c>
      <c r="M418">
        <f>IF(OC_Pay=0,"",IF(INDEX('OneCause_Paste'!$A$418:$AZ$418,1,OC_Pay)="","",INDEX('OneCause_Paste'!$A$418:$AZ$418,1,OC_Pay)))</f>
        <v/>
      </c>
      <c r="N418">
        <f>IF(I418="","",IF(ISNUMBER(I418),INT(I418),IFERROR(INT(DATEVALUE(I418)),IFERROR(INT(VALUE(I418)),"bad"))))</f>
        <v/>
      </c>
      <c r="O418">
        <f>IF(J418="","",IF(ISNUMBER(J418),ROUND(J418,2),IFERROR(ROUND(VALUE(SUBSTITUTE(SUBSTITUTE(SUBSTITUTE(J418,"$",""),",","")," ","")),2),"bad")))</f>
        <v/>
      </c>
      <c r="P418">
        <f>IF(TRIM(K418)="","",IFERROR(MATCH(LOWER(TRIM(K418)),'Students'!$AH$2:$AH$701,0),IFERROR(MATCH(LOWER(TRIM(K418)),'Students'!$AF$2:$AF$701,0),IFERROR(MATCH(LOWER(TRIM(K418)),'Students'!$AG$2:$AG$701,0),""))))</f>
        <v/>
      </c>
      <c r="R418">
        <f>IF(P418="","",INDEX('Students'!$AD$2:$AD$701,P418))</f>
        <v/>
      </c>
      <c r="S418">
        <f>IF(H418="OK",O418,0)</f>
        <v/>
      </c>
      <c r="T418">
        <f>IF(H418="OK",N418,"")</f>
        <v/>
      </c>
      <c r="U418">
        <f>IF(OC_Donor=0,"",IF(INDEX('OneCause_Paste'!$A$418:$AZ$418,1,OC_Donor)="","",INDEX('OneCause_Paste'!$A$418:$AZ$418,1,OC_Donor)))</f>
        <v/>
      </c>
    </row>
    <row r="419">
      <c r="A419" s="62">
        <f>IF(H419="","",IF(ISNUMBER(N419),N419,I419))</f>
        <v/>
      </c>
      <c r="B419">
        <f>IF(H419="","",U419)</f>
        <v/>
      </c>
      <c r="C419">
        <f>IF(H419="","",IF(P419="",K419,INDEX('Students'!$A$2:$A$701,P419)))</f>
        <v/>
      </c>
      <c r="D419">
        <f>IF(OR(H419="",P419=""),"",INDEX('Students'!$B$2:$B$701,P419))</f>
        <v/>
      </c>
      <c r="E419">
        <f>IF(OR(H419="",P419=""),"",INDEX('Students'!$C$2:$C$701,P419))</f>
        <v/>
      </c>
      <c r="F419" s="48">
        <f>IF(H419="","",IF(ISNUMBER(O419),O419,J419))</f>
        <v/>
      </c>
      <c r="G419">
        <f>IF(H419="","","OneCause")</f>
        <v/>
      </c>
      <c r="H419">
        <f>IF(AND(I419="",J419="",K419=""),"",IF(NOT(ISNUMBER(O419)),"Bad amount",IF(O419&lt;0,"Refund (not counted)",IF(O419=0,"Zero amount",IF(NOT(ISNUMBER(N419)),"Bad date",IF(P419="","NAME NOT ON ROSTER",IF(L419="","OK",IF(MATCH(L419,$L$2:$L$3001,0)&lt;ROW()-1,"Duplicate (ignored)","OK"))))))))</f>
        <v/>
      </c>
      <c r="I419">
        <f>IF(OC_Date=0,"",IF(INDEX('OneCause_Paste'!$A$419:$AZ$419,1,OC_Date)="","",INDEX('OneCause_Paste'!$A$419:$AZ$419,1,OC_Date)))</f>
        <v/>
      </c>
      <c r="J419">
        <f>IF(OC_Amt=0,"",IF(INDEX('OneCause_Paste'!$A$419:$AZ$419,1,OC_Amt)="","",INDEX('OneCause_Paste'!$A$419:$AZ$419,1,OC_Amt)))</f>
        <v/>
      </c>
      <c r="K419">
        <f>IF(OC_Name=0,"",IF(INDEX('OneCause_Paste'!$A$419:$AZ$419,1,OC_Name)="","",INDEX('OneCause_Paste'!$A$419:$AZ$419,1,OC_Name)))</f>
        <v/>
      </c>
      <c r="L419">
        <f>IF(OC_Txn=0,"",IF(INDEX('OneCause_Paste'!$A$419:$AZ$419,1,OC_Txn)="","",INDEX('OneCause_Paste'!$A$419:$AZ$419,1,OC_Txn)))</f>
        <v/>
      </c>
      <c r="M419">
        <f>IF(OC_Pay=0,"",IF(INDEX('OneCause_Paste'!$A$419:$AZ$419,1,OC_Pay)="","",INDEX('OneCause_Paste'!$A$419:$AZ$419,1,OC_Pay)))</f>
        <v/>
      </c>
      <c r="N419">
        <f>IF(I419="","",IF(ISNUMBER(I419),INT(I419),IFERROR(INT(DATEVALUE(I419)),IFERROR(INT(VALUE(I419)),"bad"))))</f>
        <v/>
      </c>
      <c r="O419">
        <f>IF(J419="","",IF(ISNUMBER(J419),ROUND(J419,2),IFERROR(ROUND(VALUE(SUBSTITUTE(SUBSTITUTE(SUBSTITUTE(J419,"$",""),",","")," ","")),2),"bad")))</f>
        <v/>
      </c>
      <c r="P419">
        <f>IF(TRIM(K419)="","",IFERROR(MATCH(LOWER(TRIM(K419)),'Students'!$AH$2:$AH$701,0),IFERROR(MATCH(LOWER(TRIM(K419)),'Students'!$AF$2:$AF$701,0),IFERROR(MATCH(LOWER(TRIM(K419)),'Students'!$AG$2:$AG$701,0),""))))</f>
        <v/>
      </c>
      <c r="R419">
        <f>IF(P419="","",INDEX('Students'!$AD$2:$AD$701,P419))</f>
        <v/>
      </c>
      <c r="S419">
        <f>IF(H419="OK",O419,0)</f>
        <v/>
      </c>
      <c r="T419">
        <f>IF(H419="OK",N419,"")</f>
        <v/>
      </c>
      <c r="U419">
        <f>IF(OC_Donor=0,"",IF(INDEX('OneCause_Paste'!$A$419:$AZ$419,1,OC_Donor)="","",INDEX('OneCause_Paste'!$A$419:$AZ$419,1,OC_Donor)))</f>
        <v/>
      </c>
    </row>
    <row r="420">
      <c r="A420" s="62">
        <f>IF(H420="","",IF(ISNUMBER(N420),N420,I420))</f>
        <v/>
      </c>
      <c r="B420">
        <f>IF(H420="","",U420)</f>
        <v/>
      </c>
      <c r="C420">
        <f>IF(H420="","",IF(P420="",K420,INDEX('Students'!$A$2:$A$701,P420)))</f>
        <v/>
      </c>
      <c r="D420">
        <f>IF(OR(H420="",P420=""),"",INDEX('Students'!$B$2:$B$701,P420))</f>
        <v/>
      </c>
      <c r="E420">
        <f>IF(OR(H420="",P420=""),"",INDEX('Students'!$C$2:$C$701,P420))</f>
        <v/>
      </c>
      <c r="F420" s="48">
        <f>IF(H420="","",IF(ISNUMBER(O420),O420,J420))</f>
        <v/>
      </c>
      <c r="G420">
        <f>IF(H420="","","OneCause")</f>
        <v/>
      </c>
      <c r="H420">
        <f>IF(AND(I420="",J420="",K420=""),"",IF(NOT(ISNUMBER(O420)),"Bad amount",IF(O420&lt;0,"Refund (not counted)",IF(O420=0,"Zero amount",IF(NOT(ISNUMBER(N420)),"Bad date",IF(P420="","NAME NOT ON ROSTER",IF(L420="","OK",IF(MATCH(L420,$L$2:$L$3001,0)&lt;ROW()-1,"Duplicate (ignored)","OK"))))))))</f>
        <v/>
      </c>
      <c r="I420">
        <f>IF(OC_Date=0,"",IF(INDEX('OneCause_Paste'!$A$420:$AZ$420,1,OC_Date)="","",INDEX('OneCause_Paste'!$A$420:$AZ$420,1,OC_Date)))</f>
        <v/>
      </c>
      <c r="J420">
        <f>IF(OC_Amt=0,"",IF(INDEX('OneCause_Paste'!$A$420:$AZ$420,1,OC_Amt)="","",INDEX('OneCause_Paste'!$A$420:$AZ$420,1,OC_Amt)))</f>
        <v/>
      </c>
      <c r="K420">
        <f>IF(OC_Name=0,"",IF(INDEX('OneCause_Paste'!$A$420:$AZ$420,1,OC_Name)="","",INDEX('OneCause_Paste'!$A$420:$AZ$420,1,OC_Name)))</f>
        <v/>
      </c>
      <c r="L420">
        <f>IF(OC_Txn=0,"",IF(INDEX('OneCause_Paste'!$A$420:$AZ$420,1,OC_Txn)="","",INDEX('OneCause_Paste'!$A$420:$AZ$420,1,OC_Txn)))</f>
        <v/>
      </c>
      <c r="M420">
        <f>IF(OC_Pay=0,"",IF(INDEX('OneCause_Paste'!$A$420:$AZ$420,1,OC_Pay)="","",INDEX('OneCause_Paste'!$A$420:$AZ$420,1,OC_Pay)))</f>
        <v/>
      </c>
      <c r="N420">
        <f>IF(I420="","",IF(ISNUMBER(I420),INT(I420),IFERROR(INT(DATEVALUE(I420)),IFERROR(INT(VALUE(I420)),"bad"))))</f>
        <v/>
      </c>
      <c r="O420">
        <f>IF(J420="","",IF(ISNUMBER(J420),ROUND(J420,2),IFERROR(ROUND(VALUE(SUBSTITUTE(SUBSTITUTE(SUBSTITUTE(J420,"$",""),",","")," ","")),2),"bad")))</f>
        <v/>
      </c>
      <c r="P420">
        <f>IF(TRIM(K420)="","",IFERROR(MATCH(LOWER(TRIM(K420)),'Students'!$AH$2:$AH$701,0),IFERROR(MATCH(LOWER(TRIM(K420)),'Students'!$AF$2:$AF$701,0),IFERROR(MATCH(LOWER(TRIM(K420)),'Students'!$AG$2:$AG$701,0),""))))</f>
        <v/>
      </c>
      <c r="R420">
        <f>IF(P420="","",INDEX('Students'!$AD$2:$AD$701,P420))</f>
        <v/>
      </c>
      <c r="S420">
        <f>IF(H420="OK",O420,0)</f>
        <v/>
      </c>
      <c r="T420">
        <f>IF(H420="OK",N420,"")</f>
        <v/>
      </c>
      <c r="U420">
        <f>IF(OC_Donor=0,"",IF(INDEX('OneCause_Paste'!$A$420:$AZ$420,1,OC_Donor)="","",INDEX('OneCause_Paste'!$A$420:$AZ$420,1,OC_Donor)))</f>
        <v/>
      </c>
    </row>
    <row r="421">
      <c r="A421" s="62">
        <f>IF(H421="","",IF(ISNUMBER(N421),N421,I421))</f>
        <v/>
      </c>
      <c r="B421">
        <f>IF(H421="","",U421)</f>
        <v/>
      </c>
      <c r="C421">
        <f>IF(H421="","",IF(P421="",K421,INDEX('Students'!$A$2:$A$701,P421)))</f>
        <v/>
      </c>
      <c r="D421">
        <f>IF(OR(H421="",P421=""),"",INDEX('Students'!$B$2:$B$701,P421))</f>
        <v/>
      </c>
      <c r="E421">
        <f>IF(OR(H421="",P421=""),"",INDEX('Students'!$C$2:$C$701,P421))</f>
        <v/>
      </c>
      <c r="F421" s="48">
        <f>IF(H421="","",IF(ISNUMBER(O421),O421,J421))</f>
        <v/>
      </c>
      <c r="G421">
        <f>IF(H421="","","OneCause")</f>
        <v/>
      </c>
      <c r="H421">
        <f>IF(AND(I421="",J421="",K421=""),"",IF(NOT(ISNUMBER(O421)),"Bad amount",IF(O421&lt;0,"Refund (not counted)",IF(O421=0,"Zero amount",IF(NOT(ISNUMBER(N421)),"Bad date",IF(P421="","NAME NOT ON ROSTER",IF(L421="","OK",IF(MATCH(L421,$L$2:$L$3001,0)&lt;ROW()-1,"Duplicate (ignored)","OK"))))))))</f>
        <v/>
      </c>
      <c r="I421">
        <f>IF(OC_Date=0,"",IF(INDEX('OneCause_Paste'!$A$421:$AZ$421,1,OC_Date)="","",INDEX('OneCause_Paste'!$A$421:$AZ$421,1,OC_Date)))</f>
        <v/>
      </c>
      <c r="J421">
        <f>IF(OC_Amt=0,"",IF(INDEX('OneCause_Paste'!$A$421:$AZ$421,1,OC_Amt)="","",INDEX('OneCause_Paste'!$A$421:$AZ$421,1,OC_Amt)))</f>
        <v/>
      </c>
      <c r="K421">
        <f>IF(OC_Name=0,"",IF(INDEX('OneCause_Paste'!$A$421:$AZ$421,1,OC_Name)="","",INDEX('OneCause_Paste'!$A$421:$AZ$421,1,OC_Name)))</f>
        <v/>
      </c>
      <c r="L421">
        <f>IF(OC_Txn=0,"",IF(INDEX('OneCause_Paste'!$A$421:$AZ$421,1,OC_Txn)="","",INDEX('OneCause_Paste'!$A$421:$AZ$421,1,OC_Txn)))</f>
        <v/>
      </c>
      <c r="M421">
        <f>IF(OC_Pay=0,"",IF(INDEX('OneCause_Paste'!$A$421:$AZ$421,1,OC_Pay)="","",INDEX('OneCause_Paste'!$A$421:$AZ$421,1,OC_Pay)))</f>
        <v/>
      </c>
      <c r="N421">
        <f>IF(I421="","",IF(ISNUMBER(I421),INT(I421),IFERROR(INT(DATEVALUE(I421)),IFERROR(INT(VALUE(I421)),"bad"))))</f>
        <v/>
      </c>
      <c r="O421">
        <f>IF(J421="","",IF(ISNUMBER(J421),ROUND(J421,2),IFERROR(ROUND(VALUE(SUBSTITUTE(SUBSTITUTE(SUBSTITUTE(J421,"$",""),",","")," ","")),2),"bad")))</f>
        <v/>
      </c>
      <c r="P421">
        <f>IF(TRIM(K421)="","",IFERROR(MATCH(LOWER(TRIM(K421)),'Students'!$AH$2:$AH$701,0),IFERROR(MATCH(LOWER(TRIM(K421)),'Students'!$AF$2:$AF$701,0),IFERROR(MATCH(LOWER(TRIM(K421)),'Students'!$AG$2:$AG$701,0),""))))</f>
        <v/>
      </c>
      <c r="R421">
        <f>IF(P421="","",INDEX('Students'!$AD$2:$AD$701,P421))</f>
        <v/>
      </c>
      <c r="S421">
        <f>IF(H421="OK",O421,0)</f>
        <v/>
      </c>
      <c r="T421">
        <f>IF(H421="OK",N421,"")</f>
        <v/>
      </c>
      <c r="U421">
        <f>IF(OC_Donor=0,"",IF(INDEX('OneCause_Paste'!$A$421:$AZ$421,1,OC_Donor)="","",INDEX('OneCause_Paste'!$A$421:$AZ$421,1,OC_Donor)))</f>
        <v/>
      </c>
    </row>
    <row r="422">
      <c r="A422" s="62">
        <f>IF(H422="","",IF(ISNUMBER(N422),N422,I422))</f>
        <v/>
      </c>
      <c r="B422">
        <f>IF(H422="","",U422)</f>
        <v/>
      </c>
      <c r="C422">
        <f>IF(H422="","",IF(P422="",K422,INDEX('Students'!$A$2:$A$701,P422)))</f>
        <v/>
      </c>
      <c r="D422">
        <f>IF(OR(H422="",P422=""),"",INDEX('Students'!$B$2:$B$701,P422))</f>
        <v/>
      </c>
      <c r="E422">
        <f>IF(OR(H422="",P422=""),"",INDEX('Students'!$C$2:$C$701,P422))</f>
        <v/>
      </c>
      <c r="F422" s="48">
        <f>IF(H422="","",IF(ISNUMBER(O422),O422,J422))</f>
        <v/>
      </c>
      <c r="G422">
        <f>IF(H422="","","OneCause")</f>
        <v/>
      </c>
      <c r="H422">
        <f>IF(AND(I422="",J422="",K422=""),"",IF(NOT(ISNUMBER(O422)),"Bad amount",IF(O422&lt;0,"Refund (not counted)",IF(O422=0,"Zero amount",IF(NOT(ISNUMBER(N422)),"Bad date",IF(P422="","NAME NOT ON ROSTER",IF(L422="","OK",IF(MATCH(L422,$L$2:$L$3001,0)&lt;ROW()-1,"Duplicate (ignored)","OK"))))))))</f>
        <v/>
      </c>
      <c r="I422">
        <f>IF(OC_Date=0,"",IF(INDEX('OneCause_Paste'!$A$422:$AZ$422,1,OC_Date)="","",INDEX('OneCause_Paste'!$A$422:$AZ$422,1,OC_Date)))</f>
        <v/>
      </c>
      <c r="J422">
        <f>IF(OC_Amt=0,"",IF(INDEX('OneCause_Paste'!$A$422:$AZ$422,1,OC_Amt)="","",INDEX('OneCause_Paste'!$A$422:$AZ$422,1,OC_Amt)))</f>
        <v/>
      </c>
      <c r="K422">
        <f>IF(OC_Name=0,"",IF(INDEX('OneCause_Paste'!$A$422:$AZ$422,1,OC_Name)="","",INDEX('OneCause_Paste'!$A$422:$AZ$422,1,OC_Name)))</f>
        <v/>
      </c>
      <c r="L422">
        <f>IF(OC_Txn=0,"",IF(INDEX('OneCause_Paste'!$A$422:$AZ$422,1,OC_Txn)="","",INDEX('OneCause_Paste'!$A$422:$AZ$422,1,OC_Txn)))</f>
        <v/>
      </c>
      <c r="M422">
        <f>IF(OC_Pay=0,"",IF(INDEX('OneCause_Paste'!$A$422:$AZ$422,1,OC_Pay)="","",INDEX('OneCause_Paste'!$A$422:$AZ$422,1,OC_Pay)))</f>
        <v/>
      </c>
      <c r="N422">
        <f>IF(I422="","",IF(ISNUMBER(I422),INT(I422),IFERROR(INT(DATEVALUE(I422)),IFERROR(INT(VALUE(I422)),"bad"))))</f>
        <v/>
      </c>
      <c r="O422">
        <f>IF(J422="","",IF(ISNUMBER(J422),ROUND(J422,2),IFERROR(ROUND(VALUE(SUBSTITUTE(SUBSTITUTE(SUBSTITUTE(J422,"$",""),",","")," ","")),2),"bad")))</f>
        <v/>
      </c>
      <c r="P422">
        <f>IF(TRIM(K422)="","",IFERROR(MATCH(LOWER(TRIM(K422)),'Students'!$AH$2:$AH$701,0),IFERROR(MATCH(LOWER(TRIM(K422)),'Students'!$AF$2:$AF$701,0),IFERROR(MATCH(LOWER(TRIM(K422)),'Students'!$AG$2:$AG$701,0),""))))</f>
        <v/>
      </c>
      <c r="R422">
        <f>IF(P422="","",INDEX('Students'!$AD$2:$AD$701,P422))</f>
        <v/>
      </c>
      <c r="S422">
        <f>IF(H422="OK",O422,0)</f>
        <v/>
      </c>
      <c r="T422">
        <f>IF(H422="OK",N422,"")</f>
        <v/>
      </c>
      <c r="U422">
        <f>IF(OC_Donor=0,"",IF(INDEX('OneCause_Paste'!$A$422:$AZ$422,1,OC_Donor)="","",INDEX('OneCause_Paste'!$A$422:$AZ$422,1,OC_Donor)))</f>
        <v/>
      </c>
    </row>
    <row r="423">
      <c r="A423" s="62">
        <f>IF(H423="","",IF(ISNUMBER(N423),N423,I423))</f>
        <v/>
      </c>
      <c r="B423">
        <f>IF(H423="","",U423)</f>
        <v/>
      </c>
      <c r="C423">
        <f>IF(H423="","",IF(P423="",K423,INDEX('Students'!$A$2:$A$701,P423)))</f>
        <v/>
      </c>
      <c r="D423">
        <f>IF(OR(H423="",P423=""),"",INDEX('Students'!$B$2:$B$701,P423))</f>
        <v/>
      </c>
      <c r="E423">
        <f>IF(OR(H423="",P423=""),"",INDEX('Students'!$C$2:$C$701,P423))</f>
        <v/>
      </c>
      <c r="F423" s="48">
        <f>IF(H423="","",IF(ISNUMBER(O423),O423,J423))</f>
        <v/>
      </c>
      <c r="G423">
        <f>IF(H423="","","OneCause")</f>
        <v/>
      </c>
      <c r="H423">
        <f>IF(AND(I423="",J423="",K423=""),"",IF(NOT(ISNUMBER(O423)),"Bad amount",IF(O423&lt;0,"Refund (not counted)",IF(O423=0,"Zero amount",IF(NOT(ISNUMBER(N423)),"Bad date",IF(P423="","NAME NOT ON ROSTER",IF(L423="","OK",IF(MATCH(L423,$L$2:$L$3001,0)&lt;ROW()-1,"Duplicate (ignored)","OK"))))))))</f>
        <v/>
      </c>
      <c r="I423">
        <f>IF(OC_Date=0,"",IF(INDEX('OneCause_Paste'!$A$423:$AZ$423,1,OC_Date)="","",INDEX('OneCause_Paste'!$A$423:$AZ$423,1,OC_Date)))</f>
        <v/>
      </c>
      <c r="J423">
        <f>IF(OC_Amt=0,"",IF(INDEX('OneCause_Paste'!$A$423:$AZ$423,1,OC_Amt)="","",INDEX('OneCause_Paste'!$A$423:$AZ$423,1,OC_Amt)))</f>
        <v/>
      </c>
      <c r="K423">
        <f>IF(OC_Name=0,"",IF(INDEX('OneCause_Paste'!$A$423:$AZ$423,1,OC_Name)="","",INDEX('OneCause_Paste'!$A$423:$AZ$423,1,OC_Name)))</f>
        <v/>
      </c>
      <c r="L423">
        <f>IF(OC_Txn=0,"",IF(INDEX('OneCause_Paste'!$A$423:$AZ$423,1,OC_Txn)="","",INDEX('OneCause_Paste'!$A$423:$AZ$423,1,OC_Txn)))</f>
        <v/>
      </c>
      <c r="M423">
        <f>IF(OC_Pay=0,"",IF(INDEX('OneCause_Paste'!$A$423:$AZ$423,1,OC_Pay)="","",INDEX('OneCause_Paste'!$A$423:$AZ$423,1,OC_Pay)))</f>
        <v/>
      </c>
      <c r="N423">
        <f>IF(I423="","",IF(ISNUMBER(I423),INT(I423),IFERROR(INT(DATEVALUE(I423)),IFERROR(INT(VALUE(I423)),"bad"))))</f>
        <v/>
      </c>
      <c r="O423">
        <f>IF(J423="","",IF(ISNUMBER(J423),ROUND(J423,2),IFERROR(ROUND(VALUE(SUBSTITUTE(SUBSTITUTE(SUBSTITUTE(J423,"$",""),",","")," ","")),2),"bad")))</f>
        <v/>
      </c>
      <c r="P423">
        <f>IF(TRIM(K423)="","",IFERROR(MATCH(LOWER(TRIM(K423)),'Students'!$AH$2:$AH$701,0),IFERROR(MATCH(LOWER(TRIM(K423)),'Students'!$AF$2:$AF$701,0),IFERROR(MATCH(LOWER(TRIM(K423)),'Students'!$AG$2:$AG$701,0),""))))</f>
        <v/>
      </c>
      <c r="R423">
        <f>IF(P423="","",INDEX('Students'!$AD$2:$AD$701,P423))</f>
        <v/>
      </c>
      <c r="S423">
        <f>IF(H423="OK",O423,0)</f>
        <v/>
      </c>
      <c r="T423">
        <f>IF(H423="OK",N423,"")</f>
        <v/>
      </c>
      <c r="U423">
        <f>IF(OC_Donor=0,"",IF(INDEX('OneCause_Paste'!$A$423:$AZ$423,1,OC_Donor)="","",INDEX('OneCause_Paste'!$A$423:$AZ$423,1,OC_Donor)))</f>
        <v/>
      </c>
    </row>
    <row r="424">
      <c r="A424" s="62">
        <f>IF(H424="","",IF(ISNUMBER(N424),N424,I424))</f>
        <v/>
      </c>
      <c r="B424">
        <f>IF(H424="","",U424)</f>
        <v/>
      </c>
      <c r="C424">
        <f>IF(H424="","",IF(P424="",K424,INDEX('Students'!$A$2:$A$701,P424)))</f>
        <v/>
      </c>
      <c r="D424">
        <f>IF(OR(H424="",P424=""),"",INDEX('Students'!$B$2:$B$701,P424))</f>
        <v/>
      </c>
      <c r="E424">
        <f>IF(OR(H424="",P424=""),"",INDEX('Students'!$C$2:$C$701,P424))</f>
        <v/>
      </c>
      <c r="F424" s="48">
        <f>IF(H424="","",IF(ISNUMBER(O424),O424,J424))</f>
        <v/>
      </c>
      <c r="G424">
        <f>IF(H424="","","OneCause")</f>
        <v/>
      </c>
      <c r="H424">
        <f>IF(AND(I424="",J424="",K424=""),"",IF(NOT(ISNUMBER(O424)),"Bad amount",IF(O424&lt;0,"Refund (not counted)",IF(O424=0,"Zero amount",IF(NOT(ISNUMBER(N424)),"Bad date",IF(P424="","NAME NOT ON ROSTER",IF(L424="","OK",IF(MATCH(L424,$L$2:$L$3001,0)&lt;ROW()-1,"Duplicate (ignored)","OK"))))))))</f>
        <v/>
      </c>
      <c r="I424">
        <f>IF(OC_Date=0,"",IF(INDEX('OneCause_Paste'!$A$424:$AZ$424,1,OC_Date)="","",INDEX('OneCause_Paste'!$A$424:$AZ$424,1,OC_Date)))</f>
        <v/>
      </c>
      <c r="J424">
        <f>IF(OC_Amt=0,"",IF(INDEX('OneCause_Paste'!$A$424:$AZ$424,1,OC_Amt)="","",INDEX('OneCause_Paste'!$A$424:$AZ$424,1,OC_Amt)))</f>
        <v/>
      </c>
      <c r="K424">
        <f>IF(OC_Name=0,"",IF(INDEX('OneCause_Paste'!$A$424:$AZ$424,1,OC_Name)="","",INDEX('OneCause_Paste'!$A$424:$AZ$424,1,OC_Name)))</f>
        <v/>
      </c>
      <c r="L424">
        <f>IF(OC_Txn=0,"",IF(INDEX('OneCause_Paste'!$A$424:$AZ$424,1,OC_Txn)="","",INDEX('OneCause_Paste'!$A$424:$AZ$424,1,OC_Txn)))</f>
        <v/>
      </c>
      <c r="M424">
        <f>IF(OC_Pay=0,"",IF(INDEX('OneCause_Paste'!$A$424:$AZ$424,1,OC_Pay)="","",INDEX('OneCause_Paste'!$A$424:$AZ$424,1,OC_Pay)))</f>
        <v/>
      </c>
      <c r="N424">
        <f>IF(I424="","",IF(ISNUMBER(I424),INT(I424),IFERROR(INT(DATEVALUE(I424)),IFERROR(INT(VALUE(I424)),"bad"))))</f>
        <v/>
      </c>
      <c r="O424">
        <f>IF(J424="","",IF(ISNUMBER(J424),ROUND(J424,2),IFERROR(ROUND(VALUE(SUBSTITUTE(SUBSTITUTE(SUBSTITUTE(J424,"$",""),",","")," ","")),2),"bad")))</f>
        <v/>
      </c>
      <c r="P424">
        <f>IF(TRIM(K424)="","",IFERROR(MATCH(LOWER(TRIM(K424)),'Students'!$AH$2:$AH$701,0),IFERROR(MATCH(LOWER(TRIM(K424)),'Students'!$AF$2:$AF$701,0),IFERROR(MATCH(LOWER(TRIM(K424)),'Students'!$AG$2:$AG$701,0),""))))</f>
        <v/>
      </c>
      <c r="R424">
        <f>IF(P424="","",INDEX('Students'!$AD$2:$AD$701,P424))</f>
        <v/>
      </c>
      <c r="S424">
        <f>IF(H424="OK",O424,0)</f>
        <v/>
      </c>
      <c r="T424">
        <f>IF(H424="OK",N424,"")</f>
        <v/>
      </c>
      <c r="U424">
        <f>IF(OC_Donor=0,"",IF(INDEX('OneCause_Paste'!$A$424:$AZ$424,1,OC_Donor)="","",INDEX('OneCause_Paste'!$A$424:$AZ$424,1,OC_Donor)))</f>
        <v/>
      </c>
    </row>
    <row r="425">
      <c r="A425" s="62">
        <f>IF(H425="","",IF(ISNUMBER(N425),N425,I425))</f>
        <v/>
      </c>
      <c r="B425">
        <f>IF(H425="","",U425)</f>
        <v/>
      </c>
      <c r="C425">
        <f>IF(H425="","",IF(P425="",K425,INDEX('Students'!$A$2:$A$701,P425)))</f>
        <v/>
      </c>
      <c r="D425">
        <f>IF(OR(H425="",P425=""),"",INDEX('Students'!$B$2:$B$701,P425))</f>
        <v/>
      </c>
      <c r="E425">
        <f>IF(OR(H425="",P425=""),"",INDEX('Students'!$C$2:$C$701,P425))</f>
        <v/>
      </c>
      <c r="F425" s="48">
        <f>IF(H425="","",IF(ISNUMBER(O425),O425,J425))</f>
        <v/>
      </c>
      <c r="G425">
        <f>IF(H425="","","OneCause")</f>
        <v/>
      </c>
      <c r="H425">
        <f>IF(AND(I425="",J425="",K425=""),"",IF(NOT(ISNUMBER(O425)),"Bad amount",IF(O425&lt;0,"Refund (not counted)",IF(O425=0,"Zero amount",IF(NOT(ISNUMBER(N425)),"Bad date",IF(P425="","NAME NOT ON ROSTER",IF(L425="","OK",IF(MATCH(L425,$L$2:$L$3001,0)&lt;ROW()-1,"Duplicate (ignored)","OK"))))))))</f>
        <v/>
      </c>
      <c r="I425">
        <f>IF(OC_Date=0,"",IF(INDEX('OneCause_Paste'!$A$425:$AZ$425,1,OC_Date)="","",INDEX('OneCause_Paste'!$A$425:$AZ$425,1,OC_Date)))</f>
        <v/>
      </c>
      <c r="J425">
        <f>IF(OC_Amt=0,"",IF(INDEX('OneCause_Paste'!$A$425:$AZ$425,1,OC_Amt)="","",INDEX('OneCause_Paste'!$A$425:$AZ$425,1,OC_Amt)))</f>
        <v/>
      </c>
      <c r="K425">
        <f>IF(OC_Name=0,"",IF(INDEX('OneCause_Paste'!$A$425:$AZ$425,1,OC_Name)="","",INDEX('OneCause_Paste'!$A$425:$AZ$425,1,OC_Name)))</f>
        <v/>
      </c>
      <c r="L425">
        <f>IF(OC_Txn=0,"",IF(INDEX('OneCause_Paste'!$A$425:$AZ$425,1,OC_Txn)="","",INDEX('OneCause_Paste'!$A$425:$AZ$425,1,OC_Txn)))</f>
        <v/>
      </c>
      <c r="M425">
        <f>IF(OC_Pay=0,"",IF(INDEX('OneCause_Paste'!$A$425:$AZ$425,1,OC_Pay)="","",INDEX('OneCause_Paste'!$A$425:$AZ$425,1,OC_Pay)))</f>
        <v/>
      </c>
      <c r="N425">
        <f>IF(I425="","",IF(ISNUMBER(I425),INT(I425),IFERROR(INT(DATEVALUE(I425)),IFERROR(INT(VALUE(I425)),"bad"))))</f>
        <v/>
      </c>
      <c r="O425">
        <f>IF(J425="","",IF(ISNUMBER(J425),ROUND(J425,2),IFERROR(ROUND(VALUE(SUBSTITUTE(SUBSTITUTE(SUBSTITUTE(J425,"$",""),",","")," ","")),2),"bad")))</f>
        <v/>
      </c>
      <c r="P425">
        <f>IF(TRIM(K425)="","",IFERROR(MATCH(LOWER(TRIM(K425)),'Students'!$AH$2:$AH$701,0),IFERROR(MATCH(LOWER(TRIM(K425)),'Students'!$AF$2:$AF$701,0),IFERROR(MATCH(LOWER(TRIM(K425)),'Students'!$AG$2:$AG$701,0),""))))</f>
        <v/>
      </c>
      <c r="R425">
        <f>IF(P425="","",INDEX('Students'!$AD$2:$AD$701,P425))</f>
        <v/>
      </c>
      <c r="S425">
        <f>IF(H425="OK",O425,0)</f>
        <v/>
      </c>
      <c r="T425">
        <f>IF(H425="OK",N425,"")</f>
        <v/>
      </c>
      <c r="U425">
        <f>IF(OC_Donor=0,"",IF(INDEX('OneCause_Paste'!$A$425:$AZ$425,1,OC_Donor)="","",INDEX('OneCause_Paste'!$A$425:$AZ$425,1,OC_Donor)))</f>
        <v/>
      </c>
    </row>
    <row r="426">
      <c r="A426" s="62">
        <f>IF(H426="","",IF(ISNUMBER(N426),N426,I426))</f>
        <v/>
      </c>
      <c r="B426">
        <f>IF(H426="","",U426)</f>
        <v/>
      </c>
      <c r="C426">
        <f>IF(H426="","",IF(P426="",K426,INDEX('Students'!$A$2:$A$701,P426)))</f>
        <v/>
      </c>
      <c r="D426">
        <f>IF(OR(H426="",P426=""),"",INDEX('Students'!$B$2:$B$701,P426))</f>
        <v/>
      </c>
      <c r="E426">
        <f>IF(OR(H426="",P426=""),"",INDEX('Students'!$C$2:$C$701,P426))</f>
        <v/>
      </c>
      <c r="F426" s="48">
        <f>IF(H426="","",IF(ISNUMBER(O426),O426,J426))</f>
        <v/>
      </c>
      <c r="G426">
        <f>IF(H426="","","OneCause")</f>
        <v/>
      </c>
      <c r="H426">
        <f>IF(AND(I426="",J426="",K426=""),"",IF(NOT(ISNUMBER(O426)),"Bad amount",IF(O426&lt;0,"Refund (not counted)",IF(O426=0,"Zero amount",IF(NOT(ISNUMBER(N426)),"Bad date",IF(P426="","NAME NOT ON ROSTER",IF(L426="","OK",IF(MATCH(L426,$L$2:$L$3001,0)&lt;ROW()-1,"Duplicate (ignored)","OK"))))))))</f>
        <v/>
      </c>
      <c r="I426">
        <f>IF(OC_Date=0,"",IF(INDEX('OneCause_Paste'!$A$426:$AZ$426,1,OC_Date)="","",INDEX('OneCause_Paste'!$A$426:$AZ$426,1,OC_Date)))</f>
        <v/>
      </c>
      <c r="J426">
        <f>IF(OC_Amt=0,"",IF(INDEX('OneCause_Paste'!$A$426:$AZ$426,1,OC_Amt)="","",INDEX('OneCause_Paste'!$A$426:$AZ$426,1,OC_Amt)))</f>
        <v/>
      </c>
      <c r="K426">
        <f>IF(OC_Name=0,"",IF(INDEX('OneCause_Paste'!$A$426:$AZ$426,1,OC_Name)="","",INDEX('OneCause_Paste'!$A$426:$AZ$426,1,OC_Name)))</f>
        <v/>
      </c>
      <c r="L426">
        <f>IF(OC_Txn=0,"",IF(INDEX('OneCause_Paste'!$A$426:$AZ$426,1,OC_Txn)="","",INDEX('OneCause_Paste'!$A$426:$AZ$426,1,OC_Txn)))</f>
        <v/>
      </c>
      <c r="M426">
        <f>IF(OC_Pay=0,"",IF(INDEX('OneCause_Paste'!$A$426:$AZ$426,1,OC_Pay)="","",INDEX('OneCause_Paste'!$A$426:$AZ$426,1,OC_Pay)))</f>
        <v/>
      </c>
      <c r="N426">
        <f>IF(I426="","",IF(ISNUMBER(I426),INT(I426),IFERROR(INT(DATEVALUE(I426)),IFERROR(INT(VALUE(I426)),"bad"))))</f>
        <v/>
      </c>
      <c r="O426">
        <f>IF(J426="","",IF(ISNUMBER(J426),ROUND(J426,2),IFERROR(ROUND(VALUE(SUBSTITUTE(SUBSTITUTE(SUBSTITUTE(J426,"$",""),",","")," ","")),2),"bad")))</f>
        <v/>
      </c>
      <c r="P426">
        <f>IF(TRIM(K426)="","",IFERROR(MATCH(LOWER(TRIM(K426)),'Students'!$AH$2:$AH$701,0),IFERROR(MATCH(LOWER(TRIM(K426)),'Students'!$AF$2:$AF$701,0),IFERROR(MATCH(LOWER(TRIM(K426)),'Students'!$AG$2:$AG$701,0),""))))</f>
        <v/>
      </c>
      <c r="R426">
        <f>IF(P426="","",INDEX('Students'!$AD$2:$AD$701,P426))</f>
        <v/>
      </c>
      <c r="S426">
        <f>IF(H426="OK",O426,0)</f>
        <v/>
      </c>
      <c r="T426">
        <f>IF(H426="OK",N426,"")</f>
        <v/>
      </c>
      <c r="U426">
        <f>IF(OC_Donor=0,"",IF(INDEX('OneCause_Paste'!$A$426:$AZ$426,1,OC_Donor)="","",INDEX('OneCause_Paste'!$A$426:$AZ$426,1,OC_Donor)))</f>
        <v/>
      </c>
    </row>
    <row r="427">
      <c r="A427" s="62">
        <f>IF(H427="","",IF(ISNUMBER(N427),N427,I427))</f>
        <v/>
      </c>
      <c r="B427">
        <f>IF(H427="","",U427)</f>
        <v/>
      </c>
      <c r="C427">
        <f>IF(H427="","",IF(P427="",K427,INDEX('Students'!$A$2:$A$701,P427)))</f>
        <v/>
      </c>
      <c r="D427">
        <f>IF(OR(H427="",P427=""),"",INDEX('Students'!$B$2:$B$701,P427))</f>
        <v/>
      </c>
      <c r="E427">
        <f>IF(OR(H427="",P427=""),"",INDEX('Students'!$C$2:$C$701,P427))</f>
        <v/>
      </c>
      <c r="F427" s="48">
        <f>IF(H427="","",IF(ISNUMBER(O427),O427,J427))</f>
        <v/>
      </c>
      <c r="G427">
        <f>IF(H427="","","OneCause")</f>
        <v/>
      </c>
      <c r="H427">
        <f>IF(AND(I427="",J427="",K427=""),"",IF(NOT(ISNUMBER(O427)),"Bad amount",IF(O427&lt;0,"Refund (not counted)",IF(O427=0,"Zero amount",IF(NOT(ISNUMBER(N427)),"Bad date",IF(P427="","NAME NOT ON ROSTER",IF(L427="","OK",IF(MATCH(L427,$L$2:$L$3001,0)&lt;ROW()-1,"Duplicate (ignored)","OK"))))))))</f>
        <v/>
      </c>
      <c r="I427">
        <f>IF(OC_Date=0,"",IF(INDEX('OneCause_Paste'!$A$427:$AZ$427,1,OC_Date)="","",INDEX('OneCause_Paste'!$A$427:$AZ$427,1,OC_Date)))</f>
        <v/>
      </c>
      <c r="J427">
        <f>IF(OC_Amt=0,"",IF(INDEX('OneCause_Paste'!$A$427:$AZ$427,1,OC_Amt)="","",INDEX('OneCause_Paste'!$A$427:$AZ$427,1,OC_Amt)))</f>
        <v/>
      </c>
      <c r="K427">
        <f>IF(OC_Name=0,"",IF(INDEX('OneCause_Paste'!$A$427:$AZ$427,1,OC_Name)="","",INDEX('OneCause_Paste'!$A$427:$AZ$427,1,OC_Name)))</f>
        <v/>
      </c>
      <c r="L427">
        <f>IF(OC_Txn=0,"",IF(INDEX('OneCause_Paste'!$A$427:$AZ$427,1,OC_Txn)="","",INDEX('OneCause_Paste'!$A$427:$AZ$427,1,OC_Txn)))</f>
        <v/>
      </c>
      <c r="M427">
        <f>IF(OC_Pay=0,"",IF(INDEX('OneCause_Paste'!$A$427:$AZ$427,1,OC_Pay)="","",INDEX('OneCause_Paste'!$A$427:$AZ$427,1,OC_Pay)))</f>
        <v/>
      </c>
      <c r="N427">
        <f>IF(I427="","",IF(ISNUMBER(I427),INT(I427),IFERROR(INT(DATEVALUE(I427)),IFERROR(INT(VALUE(I427)),"bad"))))</f>
        <v/>
      </c>
      <c r="O427">
        <f>IF(J427="","",IF(ISNUMBER(J427),ROUND(J427,2),IFERROR(ROUND(VALUE(SUBSTITUTE(SUBSTITUTE(SUBSTITUTE(J427,"$",""),",","")," ","")),2),"bad")))</f>
        <v/>
      </c>
      <c r="P427">
        <f>IF(TRIM(K427)="","",IFERROR(MATCH(LOWER(TRIM(K427)),'Students'!$AH$2:$AH$701,0),IFERROR(MATCH(LOWER(TRIM(K427)),'Students'!$AF$2:$AF$701,0),IFERROR(MATCH(LOWER(TRIM(K427)),'Students'!$AG$2:$AG$701,0),""))))</f>
        <v/>
      </c>
      <c r="R427">
        <f>IF(P427="","",INDEX('Students'!$AD$2:$AD$701,P427))</f>
        <v/>
      </c>
      <c r="S427">
        <f>IF(H427="OK",O427,0)</f>
        <v/>
      </c>
      <c r="T427">
        <f>IF(H427="OK",N427,"")</f>
        <v/>
      </c>
      <c r="U427">
        <f>IF(OC_Donor=0,"",IF(INDEX('OneCause_Paste'!$A$427:$AZ$427,1,OC_Donor)="","",INDEX('OneCause_Paste'!$A$427:$AZ$427,1,OC_Donor)))</f>
        <v/>
      </c>
    </row>
    <row r="428">
      <c r="A428" s="62">
        <f>IF(H428="","",IF(ISNUMBER(N428),N428,I428))</f>
        <v/>
      </c>
      <c r="B428">
        <f>IF(H428="","",U428)</f>
        <v/>
      </c>
      <c r="C428">
        <f>IF(H428="","",IF(P428="",K428,INDEX('Students'!$A$2:$A$701,P428)))</f>
        <v/>
      </c>
      <c r="D428">
        <f>IF(OR(H428="",P428=""),"",INDEX('Students'!$B$2:$B$701,P428))</f>
        <v/>
      </c>
      <c r="E428">
        <f>IF(OR(H428="",P428=""),"",INDEX('Students'!$C$2:$C$701,P428))</f>
        <v/>
      </c>
      <c r="F428" s="48">
        <f>IF(H428="","",IF(ISNUMBER(O428),O428,J428))</f>
        <v/>
      </c>
      <c r="G428">
        <f>IF(H428="","","OneCause")</f>
        <v/>
      </c>
      <c r="H428">
        <f>IF(AND(I428="",J428="",K428=""),"",IF(NOT(ISNUMBER(O428)),"Bad amount",IF(O428&lt;0,"Refund (not counted)",IF(O428=0,"Zero amount",IF(NOT(ISNUMBER(N428)),"Bad date",IF(P428="","NAME NOT ON ROSTER",IF(L428="","OK",IF(MATCH(L428,$L$2:$L$3001,0)&lt;ROW()-1,"Duplicate (ignored)","OK"))))))))</f>
        <v/>
      </c>
      <c r="I428">
        <f>IF(OC_Date=0,"",IF(INDEX('OneCause_Paste'!$A$428:$AZ$428,1,OC_Date)="","",INDEX('OneCause_Paste'!$A$428:$AZ$428,1,OC_Date)))</f>
        <v/>
      </c>
      <c r="J428">
        <f>IF(OC_Amt=0,"",IF(INDEX('OneCause_Paste'!$A$428:$AZ$428,1,OC_Amt)="","",INDEX('OneCause_Paste'!$A$428:$AZ$428,1,OC_Amt)))</f>
        <v/>
      </c>
      <c r="K428">
        <f>IF(OC_Name=0,"",IF(INDEX('OneCause_Paste'!$A$428:$AZ$428,1,OC_Name)="","",INDEX('OneCause_Paste'!$A$428:$AZ$428,1,OC_Name)))</f>
        <v/>
      </c>
      <c r="L428">
        <f>IF(OC_Txn=0,"",IF(INDEX('OneCause_Paste'!$A$428:$AZ$428,1,OC_Txn)="","",INDEX('OneCause_Paste'!$A$428:$AZ$428,1,OC_Txn)))</f>
        <v/>
      </c>
      <c r="M428">
        <f>IF(OC_Pay=0,"",IF(INDEX('OneCause_Paste'!$A$428:$AZ$428,1,OC_Pay)="","",INDEX('OneCause_Paste'!$A$428:$AZ$428,1,OC_Pay)))</f>
        <v/>
      </c>
      <c r="N428">
        <f>IF(I428="","",IF(ISNUMBER(I428),INT(I428),IFERROR(INT(DATEVALUE(I428)),IFERROR(INT(VALUE(I428)),"bad"))))</f>
        <v/>
      </c>
      <c r="O428">
        <f>IF(J428="","",IF(ISNUMBER(J428),ROUND(J428,2),IFERROR(ROUND(VALUE(SUBSTITUTE(SUBSTITUTE(SUBSTITUTE(J428,"$",""),",","")," ","")),2),"bad")))</f>
        <v/>
      </c>
      <c r="P428">
        <f>IF(TRIM(K428)="","",IFERROR(MATCH(LOWER(TRIM(K428)),'Students'!$AH$2:$AH$701,0),IFERROR(MATCH(LOWER(TRIM(K428)),'Students'!$AF$2:$AF$701,0),IFERROR(MATCH(LOWER(TRIM(K428)),'Students'!$AG$2:$AG$701,0),""))))</f>
        <v/>
      </c>
      <c r="R428">
        <f>IF(P428="","",INDEX('Students'!$AD$2:$AD$701,P428))</f>
        <v/>
      </c>
      <c r="S428">
        <f>IF(H428="OK",O428,0)</f>
        <v/>
      </c>
      <c r="T428">
        <f>IF(H428="OK",N428,"")</f>
        <v/>
      </c>
      <c r="U428">
        <f>IF(OC_Donor=0,"",IF(INDEX('OneCause_Paste'!$A$428:$AZ$428,1,OC_Donor)="","",INDEX('OneCause_Paste'!$A$428:$AZ$428,1,OC_Donor)))</f>
        <v/>
      </c>
    </row>
    <row r="429">
      <c r="A429" s="62">
        <f>IF(H429="","",IF(ISNUMBER(N429),N429,I429))</f>
        <v/>
      </c>
      <c r="B429">
        <f>IF(H429="","",U429)</f>
        <v/>
      </c>
      <c r="C429">
        <f>IF(H429="","",IF(P429="",K429,INDEX('Students'!$A$2:$A$701,P429)))</f>
        <v/>
      </c>
      <c r="D429">
        <f>IF(OR(H429="",P429=""),"",INDEX('Students'!$B$2:$B$701,P429))</f>
        <v/>
      </c>
      <c r="E429">
        <f>IF(OR(H429="",P429=""),"",INDEX('Students'!$C$2:$C$701,P429))</f>
        <v/>
      </c>
      <c r="F429" s="48">
        <f>IF(H429="","",IF(ISNUMBER(O429),O429,J429))</f>
        <v/>
      </c>
      <c r="G429">
        <f>IF(H429="","","OneCause")</f>
        <v/>
      </c>
      <c r="H429">
        <f>IF(AND(I429="",J429="",K429=""),"",IF(NOT(ISNUMBER(O429)),"Bad amount",IF(O429&lt;0,"Refund (not counted)",IF(O429=0,"Zero amount",IF(NOT(ISNUMBER(N429)),"Bad date",IF(P429="","NAME NOT ON ROSTER",IF(L429="","OK",IF(MATCH(L429,$L$2:$L$3001,0)&lt;ROW()-1,"Duplicate (ignored)","OK"))))))))</f>
        <v/>
      </c>
      <c r="I429">
        <f>IF(OC_Date=0,"",IF(INDEX('OneCause_Paste'!$A$429:$AZ$429,1,OC_Date)="","",INDEX('OneCause_Paste'!$A$429:$AZ$429,1,OC_Date)))</f>
        <v/>
      </c>
      <c r="J429">
        <f>IF(OC_Amt=0,"",IF(INDEX('OneCause_Paste'!$A$429:$AZ$429,1,OC_Amt)="","",INDEX('OneCause_Paste'!$A$429:$AZ$429,1,OC_Amt)))</f>
        <v/>
      </c>
      <c r="K429">
        <f>IF(OC_Name=0,"",IF(INDEX('OneCause_Paste'!$A$429:$AZ$429,1,OC_Name)="","",INDEX('OneCause_Paste'!$A$429:$AZ$429,1,OC_Name)))</f>
        <v/>
      </c>
      <c r="L429">
        <f>IF(OC_Txn=0,"",IF(INDEX('OneCause_Paste'!$A$429:$AZ$429,1,OC_Txn)="","",INDEX('OneCause_Paste'!$A$429:$AZ$429,1,OC_Txn)))</f>
        <v/>
      </c>
      <c r="M429">
        <f>IF(OC_Pay=0,"",IF(INDEX('OneCause_Paste'!$A$429:$AZ$429,1,OC_Pay)="","",INDEX('OneCause_Paste'!$A$429:$AZ$429,1,OC_Pay)))</f>
        <v/>
      </c>
      <c r="N429">
        <f>IF(I429="","",IF(ISNUMBER(I429),INT(I429),IFERROR(INT(DATEVALUE(I429)),IFERROR(INT(VALUE(I429)),"bad"))))</f>
        <v/>
      </c>
      <c r="O429">
        <f>IF(J429="","",IF(ISNUMBER(J429),ROUND(J429,2),IFERROR(ROUND(VALUE(SUBSTITUTE(SUBSTITUTE(SUBSTITUTE(J429,"$",""),",","")," ","")),2),"bad")))</f>
        <v/>
      </c>
      <c r="P429">
        <f>IF(TRIM(K429)="","",IFERROR(MATCH(LOWER(TRIM(K429)),'Students'!$AH$2:$AH$701,0),IFERROR(MATCH(LOWER(TRIM(K429)),'Students'!$AF$2:$AF$701,0),IFERROR(MATCH(LOWER(TRIM(K429)),'Students'!$AG$2:$AG$701,0),""))))</f>
        <v/>
      </c>
      <c r="R429">
        <f>IF(P429="","",INDEX('Students'!$AD$2:$AD$701,P429))</f>
        <v/>
      </c>
      <c r="S429">
        <f>IF(H429="OK",O429,0)</f>
        <v/>
      </c>
      <c r="T429">
        <f>IF(H429="OK",N429,"")</f>
        <v/>
      </c>
      <c r="U429">
        <f>IF(OC_Donor=0,"",IF(INDEX('OneCause_Paste'!$A$429:$AZ$429,1,OC_Donor)="","",INDEX('OneCause_Paste'!$A$429:$AZ$429,1,OC_Donor)))</f>
        <v/>
      </c>
    </row>
    <row r="430">
      <c r="A430" s="62">
        <f>IF(H430="","",IF(ISNUMBER(N430),N430,I430))</f>
        <v/>
      </c>
      <c r="B430">
        <f>IF(H430="","",U430)</f>
        <v/>
      </c>
      <c r="C430">
        <f>IF(H430="","",IF(P430="",K430,INDEX('Students'!$A$2:$A$701,P430)))</f>
        <v/>
      </c>
      <c r="D430">
        <f>IF(OR(H430="",P430=""),"",INDEX('Students'!$B$2:$B$701,P430))</f>
        <v/>
      </c>
      <c r="E430">
        <f>IF(OR(H430="",P430=""),"",INDEX('Students'!$C$2:$C$701,P430))</f>
        <v/>
      </c>
      <c r="F430" s="48">
        <f>IF(H430="","",IF(ISNUMBER(O430),O430,J430))</f>
        <v/>
      </c>
      <c r="G430">
        <f>IF(H430="","","OneCause")</f>
        <v/>
      </c>
      <c r="H430">
        <f>IF(AND(I430="",J430="",K430=""),"",IF(NOT(ISNUMBER(O430)),"Bad amount",IF(O430&lt;0,"Refund (not counted)",IF(O430=0,"Zero amount",IF(NOT(ISNUMBER(N430)),"Bad date",IF(P430="","NAME NOT ON ROSTER",IF(L430="","OK",IF(MATCH(L430,$L$2:$L$3001,0)&lt;ROW()-1,"Duplicate (ignored)","OK"))))))))</f>
        <v/>
      </c>
      <c r="I430">
        <f>IF(OC_Date=0,"",IF(INDEX('OneCause_Paste'!$A$430:$AZ$430,1,OC_Date)="","",INDEX('OneCause_Paste'!$A$430:$AZ$430,1,OC_Date)))</f>
        <v/>
      </c>
      <c r="J430">
        <f>IF(OC_Amt=0,"",IF(INDEX('OneCause_Paste'!$A$430:$AZ$430,1,OC_Amt)="","",INDEX('OneCause_Paste'!$A$430:$AZ$430,1,OC_Amt)))</f>
        <v/>
      </c>
      <c r="K430">
        <f>IF(OC_Name=0,"",IF(INDEX('OneCause_Paste'!$A$430:$AZ$430,1,OC_Name)="","",INDEX('OneCause_Paste'!$A$430:$AZ$430,1,OC_Name)))</f>
        <v/>
      </c>
      <c r="L430">
        <f>IF(OC_Txn=0,"",IF(INDEX('OneCause_Paste'!$A$430:$AZ$430,1,OC_Txn)="","",INDEX('OneCause_Paste'!$A$430:$AZ$430,1,OC_Txn)))</f>
        <v/>
      </c>
      <c r="M430">
        <f>IF(OC_Pay=0,"",IF(INDEX('OneCause_Paste'!$A$430:$AZ$430,1,OC_Pay)="","",INDEX('OneCause_Paste'!$A$430:$AZ$430,1,OC_Pay)))</f>
        <v/>
      </c>
      <c r="N430">
        <f>IF(I430="","",IF(ISNUMBER(I430),INT(I430),IFERROR(INT(DATEVALUE(I430)),IFERROR(INT(VALUE(I430)),"bad"))))</f>
        <v/>
      </c>
      <c r="O430">
        <f>IF(J430="","",IF(ISNUMBER(J430),ROUND(J430,2),IFERROR(ROUND(VALUE(SUBSTITUTE(SUBSTITUTE(SUBSTITUTE(J430,"$",""),",","")," ","")),2),"bad")))</f>
        <v/>
      </c>
      <c r="P430">
        <f>IF(TRIM(K430)="","",IFERROR(MATCH(LOWER(TRIM(K430)),'Students'!$AH$2:$AH$701,0),IFERROR(MATCH(LOWER(TRIM(K430)),'Students'!$AF$2:$AF$701,0),IFERROR(MATCH(LOWER(TRIM(K430)),'Students'!$AG$2:$AG$701,0),""))))</f>
        <v/>
      </c>
      <c r="R430">
        <f>IF(P430="","",INDEX('Students'!$AD$2:$AD$701,P430))</f>
        <v/>
      </c>
      <c r="S430">
        <f>IF(H430="OK",O430,0)</f>
        <v/>
      </c>
      <c r="T430">
        <f>IF(H430="OK",N430,"")</f>
        <v/>
      </c>
      <c r="U430">
        <f>IF(OC_Donor=0,"",IF(INDEX('OneCause_Paste'!$A$430:$AZ$430,1,OC_Donor)="","",INDEX('OneCause_Paste'!$A$430:$AZ$430,1,OC_Donor)))</f>
        <v/>
      </c>
    </row>
    <row r="431">
      <c r="A431" s="62">
        <f>IF(H431="","",IF(ISNUMBER(N431),N431,I431))</f>
        <v/>
      </c>
      <c r="B431">
        <f>IF(H431="","",U431)</f>
        <v/>
      </c>
      <c r="C431">
        <f>IF(H431="","",IF(P431="",K431,INDEX('Students'!$A$2:$A$701,P431)))</f>
        <v/>
      </c>
      <c r="D431">
        <f>IF(OR(H431="",P431=""),"",INDEX('Students'!$B$2:$B$701,P431))</f>
        <v/>
      </c>
      <c r="E431">
        <f>IF(OR(H431="",P431=""),"",INDEX('Students'!$C$2:$C$701,P431))</f>
        <v/>
      </c>
      <c r="F431" s="48">
        <f>IF(H431="","",IF(ISNUMBER(O431),O431,J431))</f>
        <v/>
      </c>
      <c r="G431">
        <f>IF(H431="","","OneCause")</f>
        <v/>
      </c>
      <c r="H431">
        <f>IF(AND(I431="",J431="",K431=""),"",IF(NOT(ISNUMBER(O431)),"Bad amount",IF(O431&lt;0,"Refund (not counted)",IF(O431=0,"Zero amount",IF(NOT(ISNUMBER(N431)),"Bad date",IF(P431="","NAME NOT ON ROSTER",IF(L431="","OK",IF(MATCH(L431,$L$2:$L$3001,0)&lt;ROW()-1,"Duplicate (ignored)","OK"))))))))</f>
        <v/>
      </c>
      <c r="I431">
        <f>IF(OC_Date=0,"",IF(INDEX('OneCause_Paste'!$A$431:$AZ$431,1,OC_Date)="","",INDEX('OneCause_Paste'!$A$431:$AZ$431,1,OC_Date)))</f>
        <v/>
      </c>
      <c r="J431">
        <f>IF(OC_Amt=0,"",IF(INDEX('OneCause_Paste'!$A$431:$AZ$431,1,OC_Amt)="","",INDEX('OneCause_Paste'!$A$431:$AZ$431,1,OC_Amt)))</f>
        <v/>
      </c>
      <c r="K431">
        <f>IF(OC_Name=0,"",IF(INDEX('OneCause_Paste'!$A$431:$AZ$431,1,OC_Name)="","",INDEX('OneCause_Paste'!$A$431:$AZ$431,1,OC_Name)))</f>
        <v/>
      </c>
      <c r="L431">
        <f>IF(OC_Txn=0,"",IF(INDEX('OneCause_Paste'!$A$431:$AZ$431,1,OC_Txn)="","",INDEX('OneCause_Paste'!$A$431:$AZ$431,1,OC_Txn)))</f>
        <v/>
      </c>
      <c r="M431">
        <f>IF(OC_Pay=0,"",IF(INDEX('OneCause_Paste'!$A$431:$AZ$431,1,OC_Pay)="","",INDEX('OneCause_Paste'!$A$431:$AZ$431,1,OC_Pay)))</f>
        <v/>
      </c>
      <c r="N431">
        <f>IF(I431="","",IF(ISNUMBER(I431),INT(I431),IFERROR(INT(DATEVALUE(I431)),IFERROR(INT(VALUE(I431)),"bad"))))</f>
        <v/>
      </c>
      <c r="O431">
        <f>IF(J431="","",IF(ISNUMBER(J431),ROUND(J431,2),IFERROR(ROUND(VALUE(SUBSTITUTE(SUBSTITUTE(SUBSTITUTE(J431,"$",""),",","")," ","")),2),"bad")))</f>
        <v/>
      </c>
      <c r="P431">
        <f>IF(TRIM(K431)="","",IFERROR(MATCH(LOWER(TRIM(K431)),'Students'!$AH$2:$AH$701,0),IFERROR(MATCH(LOWER(TRIM(K431)),'Students'!$AF$2:$AF$701,0),IFERROR(MATCH(LOWER(TRIM(K431)),'Students'!$AG$2:$AG$701,0),""))))</f>
        <v/>
      </c>
      <c r="R431">
        <f>IF(P431="","",INDEX('Students'!$AD$2:$AD$701,P431))</f>
        <v/>
      </c>
      <c r="S431">
        <f>IF(H431="OK",O431,0)</f>
        <v/>
      </c>
      <c r="T431">
        <f>IF(H431="OK",N431,"")</f>
        <v/>
      </c>
      <c r="U431">
        <f>IF(OC_Donor=0,"",IF(INDEX('OneCause_Paste'!$A$431:$AZ$431,1,OC_Donor)="","",INDEX('OneCause_Paste'!$A$431:$AZ$431,1,OC_Donor)))</f>
        <v/>
      </c>
    </row>
    <row r="432">
      <c r="A432" s="62">
        <f>IF(H432="","",IF(ISNUMBER(N432),N432,I432))</f>
        <v/>
      </c>
      <c r="B432">
        <f>IF(H432="","",U432)</f>
        <v/>
      </c>
      <c r="C432">
        <f>IF(H432="","",IF(P432="",K432,INDEX('Students'!$A$2:$A$701,P432)))</f>
        <v/>
      </c>
      <c r="D432">
        <f>IF(OR(H432="",P432=""),"",INDEX('Students'!$B$2:$B$701,P432))</f>
        <v/>
      </c>
      <c r="E432">
        <f>IF(OR(H432="",P432=""),"",INDEX('Students'!$C$2:$C$701,P432))</f>
        <v/>
      </c>
      <c r="F432" s="48">
        <f>IF(H432="","",IF(ISNUMBER(O432),O432,J432))</f>
        <v/>
      </c>
      <c r="G432">
        <f>IF(H432="","","OneCause")</f>
        <v/>
      </c>
      <c r="H432">
        <f>IF(AND(I432="",J432="",K432=""),"",IF(NOT(ISNUMBER(O432)),"Bad amount",IF(O432&lt;0,"Refund (not counted)",IF(O432=0,"Zero amount",IF(NOT(ISNUMBER(N432)),"Bad date",IF(P432="","NAME NOT ON ROSTER",IF(L432="","OK",IF(MATCH(L432,$L$2:$L$3001,0)&lt;ROW()-1,"Duplicate (ignored)","OK"))))))))</f>
        <v/>
      </c>
      <c r="I432">
        <f>IF(OC_Date=0,"",IF(INDEX('OneCause_Paste'!$A$432:$AZ$432,1,OC_Date)="","",INDEX('OneCause_Paste'!$A$432:$AZ$432,1,OC_Date)))</f>
        <v/>
      </c>
      <c r="J432">
        <f>IF(OC_Amt=0,"",IF(INDEX('OneCause_Paste'!$A$432:$AZ$432,1,OC_Amt)="","",INDEX('OneCause_Paste'!$A$432:$AZ$432,1,OC_Amt)))</f>
        <v/>
      </c>
      <c r="K432">
        <f>IF(OC_Name=0,"",IF(INDEX('OneCause_Paste'!$A$432:$AZ$432,1,OC_Name)="","",INDEX('OneCause_Paste'!$A$432:$AZ$432,1,OC_Name)))</f>
        <v/>
      </c>
      <c r="L432">
        <f>IF(OC_Txn=0,"",IF(INDEX('OneCause_Paste'!$A$432:$AZ$432,1,OC_Txn)="","",INDEX('OneCause_Paste'!$A$432:$AZ$432,1,OC_Txn)))</f>
        <v/>
      </c>
      <c r="M432">
        <f>IF(OC_Pay=0,"",IF(INDEX('OneCause_Paste'!$A$432:$AZ$432,1,OC_Pay)="","",INDEX('OneCause_Paste'!$A$432:$AZ$432,1,OC_Pay)))</f>
        <v/>
      </c>
      <c r="N432">
        <f>IF(I432="","",IF(ISNUMBER(I432),INT(I432),IFERROR(INT(DATEVALUE(I432)),IFERROR(INT(VALUE(I432)),"bad"))))</f>
        <v/>
      </c>
      <c r="O432">
        <f>IF(J432="","",IF(ISNUMBER(J432),ROUND(J432,2),IFERROR(ROUND(VALUE(SUBSTITUTE(SUBSTITUTE(SUBSTITUTE(J432,"$",""),",","")," ","")),2),"bad")))</f>
        <v/>
      </c>
      <c r="P432">
        <f>IF(TRIM(K432)="","",IFERROR(MATCH(LOWER(TRIM(K432)),'Students'!$AH$2:$AH$701,0),IFERROR(MATCH(LOWER(TRIM(K432)),'Students'!$AF$2:$AF$701,0),IFERROR(MATCH(LOWER(TRIM(K432)),'Students'!$AG$2:$AG$701,0),""))))</f>
        <v/>
      </c>
      <c r="R432">
        <f>IF(P432="","",INDEX('Students'!$AD$2:$AD$701,P432))</f>
        <v/>
      </c>
      <c r="S432">
        <f>IF(H432="OK",O432,0)</f>
        <v/>
      </c>
      <c r="T432">
        <f>IF(H432="OK",N432,"")</f>
        <v/>
      </c>
      <c r="U432">
        <f>IF(OC_Donor=0,"",IF(INDEX('OneCause_Paste'!$A$432:$AZ$432,1,OC_Donor)="","",INDEX('OneCause_Paste'!$A$432:$AZ$432,1,OC_Donor)))</f>
        <v/>
      </c>
    </row>
    <row r="433">
      <c r="A433" s="62">
        <f>IF(H433="","",IF(ISNUMBER(N433),N433,I433))</f>
        <v/>
      </c>
      <c r="B433">
        <f>IF(H433="","",U433)</f>
        <v/>
      </c>
      <c r="C433">
        <f>IF(H433="","",IF(P433="",K433,INDEX('Students'!$A$2:$A$701,P433)))</f>
        <v/>
      </c>
      <c r="D433">
        <f>IF(OR(H433="",P433=""),"",INDEX('Students'!$B$2:$B$701,P433))</f>
        <v/>
      </c>
      <c r="E433">
        <f>IF(OR(H433="",P433=""),"",INDEX('Students'!$C$2:$C$701,P433))</f>
        <v/>
      </c>
      <c r="F433" s="48">
        <f>IF(H433="","",IF(ISNUMBER(O433),O433,J433))</f>
        <v/>
      </c>
      <c r="G433">
        <f>IF(H433="","","OneCause")</f>
        <v/>
      </c>
      <c r="H433">
        <f>IF(AND(I433="",J433="",K433=""),"",IF(NOT(ISNUMBER(O433)),"Bad amount",IF(O433&lt;0,"Refund (not counted)",IF(O433=0,"Zero amount",IF(NOT(ISNUMBER(N433)),"Bad date",IF(P433="","NAME NOT ON ROSTER",IF(L433="","OK",IF(MATCH(L433,$L$2:$L$3001,0)&lt;ROW()-1,"Duplicate (ignored)","OK"))))))))</f>
        <v/>
      </c>
      <c r="I433">
        <f>IF(OC_Date=0,"",IF(INDEX('OneCause_Paste'!$A$433:$AZ$433,1,OC_Date)="","",INDEX('OneCause_Paste'!$A$433:$AZ$433,1,OC_Date)))</f>
        <v/>
      </c>
      <c r="J433">
        <f>IF(OC_Amt=0,"",IF(INDEX('OneCause_Paste'!$A$433:$AZ$433,1,OC_Amt)="","",INDEX('OneCause_Paste'!$A$433:$AZ$433,1,OC_Amt)))</f>
        <v/>
      </c>
      <c r="K433">
        <f>IF(OC_Name=0,"",IF(INDEX('OneCause_Paste'!$A$433:$AZ$433,1,OC_Name)="","",INDEX('OneCause_Paste'!$A$433:$AZ$433,1,OC_Name)))</f>
        <v/>
      </c>
      <c r="L433">
        <f>IF(OC_Txn=0,"",IF(INDEX('OneCause_Paste'!$A$433:$AZ$433,1,OC_Txn)="","",INDEX('OneCause_Paste'!$A$433:$AZ$433,1,OC_Txn)))</f>
        <v/>
      </c>
      <c r="M433">
        <f>IF(OC_Pay=0,"",IF(INDEX('OneCause_Paste'!$A$433:$AZ$433,1,OC_Pay)="","",INDEX('OneCause_Paste'!$A$433:$AZ$433,1,OC_Pay)))</f>
        <v/>
      </c>
      <c r="N433">
        <f>IF(I433="","",IF(ISNUMBER(I433),INT(I433),IFERROR(INT(DATEVALUE(I433)),IFERROR(INT(VALUE(I433)),"bad"))))</f>
        <v/>
      </c>
      <c r="O433">
        <f>IF(J433="","",IF(ISNUMBER(J433),ROUND(J433,2),IFERROR(ROUND(VALUE(SUBSTITUTE(SUBSTITUTE(SUBSTITUTE(J433,"$",""),",","")," ","")),2),"bad")))</f>
        <v/>
      </c>
      <c r="P433">
        <f>IF(TRIM(K433)="","",IFERROR(MATCH(LOWER(TRIM(K433)),'Students'!$AH$2:$AH$701,0),IFERROR(MATCH(LOWER(TRIM(K433)),'Students'!$AF$2:$AF$701,0),IFERROR(MATCH(LOWER(TRIM(K433)),'Students'!$AG$2:$AG$701,0),""))))</f>
        <v/>
      </c>
      <c r="R433">
        <f>IF(P433="","",INDEX('Students'!$AD$2:$AD$701,P433))</f>
        <v/>
      </c>
      <c r="S433">
        <f>IF(H433="OK",O433,0)</f>
        <v/>
      </c>
      <c r="T433">
        <f>IF(H433="OK",N433,"")</f>
        <v/>
      </c>
      <c r="U433">
        <f>IF(OC_Donor=0,"",IF(INDEX('OneCause_Paste'!$A$433:$AZ$433,1,OC_Donor)="","",INDEX('OneCause_Paste'!$A$433:$AZ$433,1,OC_Donor)))</f>
        <v/>
      </c>
    </row>
    <row r="434">
      <c r="A434" s="62">
        <f>IF(H434="","",IF(ISNUMBER(N434),N434,I434))</f>
        <v/>
      </c>
      <c r="B434">
        <f>IF(H434="","",U434)</f>
        <v/>
      </c>
      <c r="C434">
        <f>IF(H434="","",IF(P434="",K434,INDEX('Students'!$A$2:$A$701,P434)))</f>
        <v/>
      </c>
      <c r="D434">
        <f>IF(OR(H434="",P434=""),"",INDEX('Students'!$B$2:$B$701,P434))</f>
        <v/>
      </c>
      <c r="E434">
        <f>IF(OR(H434="",P434=""),"",INDEX('Students'!$C$2:$C$701,P434))</f>
        <v/>
      </c>
      <c r="F434" s="48">
        <f>IF(H434="","",IF(ISNUMBER(O434),O434,J434))</f>
        <v/>
      </c>
      <c r="G434">
        <f>IF(H434="","","OneCause")</f>
        <v/>
      </c>
      <c r="H434">
        <f>IF(AND(I434="",J434="",K434=""),"",IF(NOT(ISNUMBER(O434)),"Bad amount",IF(O434&lt;0,"Refund (not counted)",IF(O434=0,"Zero amount",IF(NOT(ISNUMBER(N434)),"Bad date",IF(P434="","NAME NOT ON ROSTER",IF(L434="","OK",IF(MATCH(L434,$L$2:$L$3001,0)&lt;ROW()-1,"Duplicate (ignored)","OK"))))))))</f>
        <v/>
      </c>
      <c r="I434">
        <f>IF(OC_Date=0,"",IF(INDEX('OneCause_Paste'!$A$434:$AZ$434,1,OC_Date)="","",INDEX('OneCause_Paste'!$A$434:$AZ$434,1,OC_Date)))</f>
        <v/>
      </c>
      <c r="J434">
        <f>IF(OC_Amt=0,"",IF(INDEX('OneCause_Paste'!$A$434:$AZ$434,1,OC_Amt)="","",INDEX('OneCause_Paste'!$A$434:$AZ$434,1,OC_Amt)))</f>
        <v/>
      </c>
      <c r="K434">
        <f>IF(OC_Name=0,"",IF(INDEX('OneCause_Paste'!$A$434:$AZ$434,1,OC_Name)="","",INDEX('OneCause_Paste'!$A$434:$AZ$434,1,OC_Name)))</f>
        <v/>
      </c>
      <c r="L434">
        <f>IF(OC_Txn=0,"",IF(INDEX('OneCause_Paste'!$A$434:$AZ$434,1,OC_Txn)="","",INDEX('OneCause_Paste'!$A$434:$AZ$434,1,OC_Txn)))</f>
        <v/>
      </c>
      <c r="M434">
        <f>IF(OC_Pay=0,"",IF(INDEX('OneCause_Paste'!$A$434:$AZ$434,1,OC_Pay)="","",INDEX('OneCause_Paste'!$A$434:$AZ$434,1,OC_Pay)))</f>
        <v/>
      </c>
      <c r="N434">
        <f>IF(I434="","",IF(ISNUMBER(I434),INT(I434),IFERROR(INT(DATEVALUE(I434)),IFERROR(INT(VALUE(I434)),"bad"))))</f>
        <v/>
      </c>
      <c r="O434">
        <f>IF(J434="","",IF(ISNUMBER(J434),ROUND(J434,2),IFERROR(ROUND(VALUE(SUBSTITUTE(SUBSTITUTE(SUBSTITUTE(J434,"$",""),",","")," ","")),2),"bad")))</f>
        <v/>
      </c>
      <c r="P434">
        <f>IF(TRIM(K434)="","",IFERROR(MATCH(LOWER(TRIM(K434)),'Students'!$AH$2:$AH$701,0),IFERROR(MATCH(LOWER(TRIM(K434)),'Students'!$AF$2:$AF$701,0),IFERROR(MATCH(LOWER(TRIM(K434)),'Students'!$AG$2:$AG$701,0),""))))</f>
        <v/>
      </c>
      <c r="R434">
        <f>IF(P434="","",INDEX('Students'!$AD$2:$AD$701,P434))</f>
        <v/>
      </c>
      <c r="S434">
        <f>IF(H434="OK",O434,0)</f>
        <v/>
      </c>
      <c r="T434">
        <f>IF(H434="OK",N434,"")</f>
        <v/>
      </c>
      <c r="U434">
        <f>IF(OC_Donor=0,"",IF(INDEX('OneCause_Paste'!$A$434:$AZ$434,1,OC_Donor)="","",INDEX('OneCause_Paste'!$A$434:$AZ$434,1,OC_Donor)))</f>
        <v/>
      </c>
    </row>
    <row r="435">
      <c r="A435" s="62">
        <f>IF(H435="","",IF(ISNUMBER(N435),N435,I435))</f>
        <v/>
      </c>
      <c r="B435">
        <f>IF(H435="","",U435)</f>
        <v/>
      </c>
      <c r="C435">
        <f>IF(H435="","",IF(P435="",K435,INDEX('Students'!$A$2:$A$701,P435)))</f>
        <v/>
      </c>
      <c r="D435">
        <f>IF(OR(H435="",P435=""),"",INDEX('Students'!$B$2:$B$701,P435))</f>
        <v/>
      </c>
      <c r="E435">
        <f>IF(OR(H435="",P435=""),"",INDEX('Students'!$C$2:$C$701,P435))</f>
        <v/>
      </c>
      <c r="F435" s="48">
        <f>IF(H435="","",IF(ISNUMBER(O435),O435,J435))</f>
        <v/>
      </c>
      <c r="G435">
        <f>IF(H435="","","OneCause")</f>
        <v/>
      </c>
      <c r="H435">
        <f>IF(AND(I435="",J435="",K435=""),"",IF(NOT(ISNUMBER(O435)),"Bad amount",IF(O435&lt;0,"Refund (not counted)",IF(O435=0,"Zero amount",IF(NOT(ISNUMBER(N435)),"Bad date",IF(P435="","NAME NOT ON ROSTER",IF(L435="","OK",IF(MATCH(L435,$L$2:$L$3001,0)&lt;ROW()-1,"Duplicate (ignored)","OK"))))))))</f>
        <v/>
      </c>
      <c r="I435">
        <f>IF(OC_Date=0,"",IF(INDEX('OneCause_Paste'!$A$435:$AZ$435,1,OC_Date)="","",INDEX('OneCause_Paste'!$A$435:$AZ$435,1,OC_Date)))</f>
        <v/>
      </c>
      <c r="J435">
        <f>IF(OC_Amt=0,"",IF(INDEX('OneCause_Paste'!$A$435:$AZ$435,1,OC_Amt)="","",INDEX('OneCause_Paste'!$A$435:$AZ$435,1,OC_Amt)))</f>
        <v/>
      </c>
      <c r="K435">
        <f>IF(OC_Name=0,"",IF(INDEX('OneCause_Paste'!$A$435:$AZ$435,1,OC_Name)="","",INDEX('OneCause_Paste'!$A$435:$AZ$435,1,OC_Name)))</f>
        <v/>
      </c>
      <c r="L435">
        <f>IF(OC_Txn=0,"",IF(INDEX('OneCause_Paste'!$A$435:$AZ$435,1,OC_Txn)="","",INDEX('OneCause_Paste'!$A$435:$AZ$435,1,OC_Txn)))</f>
        <v/>
      </c>
      <c r="M435">
        <f>IF(OC_Pay=0,"",IF(INDEX('OneCause_Paste'!$A$435:$AZ$435,1,OC_Pay)="","",INDEX('OneCause_Paste'!$A$435:$AZ$435,1,OC_Pay)))</f>
        <v/>
      </c>
      <c r="N435">
        <f>IF(I435="","",IF(ISNUMBER(I435),INT(I435),IFERROR(INT(DATEVALUE(I435)),IFERROR(INT(VALUE(I435)),"bad"))))</f>
        <v/>
      </c>
      <c r="O435">
        <f>IF(J435="","",IF(ISNUMBER(J435),ROUND(J435,2),IFERROR(ROUND(VALUE(SUBSTITUTE(SUBSTITUTE(SUBSTITUTE(J435,"$",""),",","")," ","")),2),"bad")))</f>
        <v/>
      </c>
      <c r="P435">
        <f>IF(TRIM(K435)="","",IFERROR(MATCH(LOWER(TRIM(K435)),'Students'!$AH$2:$AH$701,0),IFERROR(MATCH(LOWER(TRIM(K435)),'Students'!$AF$2:$AF$701,0),IFERROR(MATCH(LOWER(TRIM(K435)),'Students'!$AG$2:$AG$701,0),""))))</f>
        <v/>
      </c>
      <c r="R435">
        <f>IF(P435="","",INDEX('Students'!$AD$2:$AD$701,P435))</f>
        <v/>
      </c>
      <c r="S435">
        <f>IF(H435="OK",O435,0)</f>
        <v/>
      </c>
      <c r="T435">
        <f>IF(H435="OK",N435,"")</f>
        <v/>
      </c>
      <c r="U435">
        <f>IF(OC_Donor=0,"",IF(INDEX('OneCause_Paste'!$A$435:$AZ$435,1,OC_Donor)="","",INDEX('OneCause_Paste'!$A$435:$AZ$435,1,OC_Donor)))</f>
        <v/>
      </c>
    </row>
    <row r="436">
      <c r="A436" s="62">
        <f>IF(H436="","",IF(ISNUMBER(N436),N436,I436))</f>
        <v/>
      </c>
      <c r="B436">
        <f>IF(H436="","",U436)</f>
        <v/>
      </c>
      <c r="C436">
        <f>IF(H436="","",IF(P436="",K436,INDEX('Students'!$A$2:$A$701,P436)))</f>
        <v/>
      </c>
      <c r="D436">
        <f>IF(OR(H436="",P436=""),"",INDEX('Students'!$B$2:$B$701,P436))</f>
        <v/>
      </c>
      <c r="E436">
        <f>IF(OR(H436="",P436=""),"",INDEX('Students'!$C$2:$C$701,P436))</f>
        <v/>
      </c>
      <c r="F436" s="48">
        <f>IF(H436="","",IF(ISNUMBER(O436),O436,J436))</f>
        <v/>
      </c>
      <c r="G436">
        <f>IF(H436="","","OneCause")</f>
        <v/>
      </c>
      <c r="H436">
        <f>IF(AND(I436="",J436="",K436=""),"",IF(NOT(ISNUMBER(O436)),"Bad amount",IF(O436&lt;0,"Refund (not counted)",IF(O436=0,"Zero amount",IF(NOT(ISNUMBER(N436)),"Bad date",IF(P436="","NAME NOT ON ROSTER",IF(L436="","OK",IF(MATCH(L436,$L$2:$L$3001,0)&lt;ROW()-1,"Duplicate (ignored)","OK"))))))))</f>
        <v/>
      </c>
      <c r="I436">
        <f>IF(OC_Date=0,"",IF(INDEX('OneCause_Paste'!$A$436:$AZ$436,1,OC_Date)="","",INDEX('OneCause_Paste'!$A$436:$AZ$436,1,OC_Date)))</f>
        <v/>
      </c>
      <c r="J436">
        <f>IF(OC_Amt=0,"",IF(INDEX('OneCause_Paste'!$A$436:$AZ$436,1,OC_Amt)="","",INDEX('OneCause_Paste'!$A$436:$AZ$436,1,OC_Amt)))</f>
        <v/>
      </c>
      <c r="K436">
        <f>IF(OC_Name=0,"",IF(INDEX('OneCause_Paste'!$A$436:$AZ$436,1,OC_Name)="","",INDEX('OneCause_Paste'!$A$436:$AZ$436,1,OC_Name)))</f>
        <v/>
      </c>
      <c r="L436">
        <f>IF(OC_Txn=0,"",IF(INDEX('OneCause_Paste'!$A$436:$AZ$436,1,OC_Txn)="","",INDEX('OneCause_Paste'!$A$436:$AZ$436,1,OC_Txn)))</f>
        <v/>
      </c>
      <c r="M436">
        <f>IF(OC_Pay=0,"",IF(INDEX('OneCause_Paste'!$A$436:$AZ$436,1,OC_Pay)="","",INDEX('OneCause_Paste'!$A$436:$AZ$436,1,OC_Pay)))</f>
        <v/>
      </c>
      <c r="N436">
        <f>IF(I436="","",IF(ISNUMBER(I436),INT(I436),IFERROR(INT(DATEVALUE(I436)),IFERROR(INT(VALUE(I436)),"bad"))))</f>
        <v/>
      </c>
      <c r="O436">
        <f>IF(J436="","",IF(ISNUMBER(J436),ROUND(J436,2),IFERROR(ROUND(VALUE(SUBSTITUTE(SUBSTITUTE(SUBSTITUTE(J436,"$",""),",","")," ","")),2),"bad")))</f>
        <v/>
      </c>
      <c r="P436">
        <f>IF(TRIM(K436)="","",IFERROR(MATCH(LOWER(TRIM(K436)),'Students'!$AH$2:$AH$701,0),IFERROR(MATCH(LOWER(TRIM(K436)),'Students'!$AF$2:$AF$701,0),IFERROR(MATCH(LOWER(TRIM(K436)),'Students'!$AG$2:$AG$701,0),""))))</f>
        <v/>
      </c>
      <c r="R436">
        <f>IF(P436="","",INDEX('Students'!$AD$2:$AD$701,P436))</f>
        <v/>
      </c>
      <c r="S436">
        <f>IF(H436="OK",O436,0)</f>
        <v/>
      </c>
      <c r="T436">
        <f>IF(H436="OK",N436,"")</f>
        <v/>
      </c>
      <c r="U436">
        <f>IF(OC_Donor=0,"",IF(INDEX('OneCause_Paste'!$A$436:$AZ$436,1,OC_Donor)="","",INDEX('OneCause_Paste'!$A$436:$AZ$436,1,OC_Donor)))</f>
        <v/>
      </c>
    </row>
    <row r="437">
      <c r="A437" s="62">
        <f>IF(H437="","",IF(ISNUMBER(N437),N437,I437))</f>
        <v/>
      </c>
      <c r="B437">
        <f>IF(H437="","",U437)</f>
        <v/>
      </c>
      <c r="C437">
        <f>IF(H437="","",IF(P437="",K437,INDEX('Students'!$A$2:$A$701,P437)))</f>
        <v/>
      </c>
      <c r="D437">
        <f>IF(OR(H437="",P437=""),"",INDEX('Students'!$B$2:$B$701,P437))</f>
        <v/>
      </c>
      <c r="E437">
        <f>IF(OR(H437="",P437=""),"",INDEX('Students'!$C$2:$C$701,P437))</f>
        <v/>
      </c>
      <c r="F437" s="48">
        <f>IF(H437="","",IF(ISNUMBER(O437),O437,J437))</f>
        <v/>
      </c>
      <c r="G437">
        <f>IF(H437="","","OneCause")</f>
        <v/>
      </c>
      <c r="H437">
        <f>IF(AND(I437="",J437="",K437=""),"",IF(NOT(ISNUMBER(O437)),"Bad amount",IF(O437&lt;0,"Refund (not counted)",IF(O437=0,"Zero amount",IF(NOT(ISNUMBER(N437)),"Bad date",IF(P437="","NAME NOT ON ROSTER",IF(L437="","OK",IF(MATCH(L437,$L$2:$L$3001,0)&lt;ROW()-1,"Duplicate (ignored)","OK"))))))))</f>
        <v/>
      </c>
      <c r="I437">
        <f>IF(OC_Date=0,"",IF(INDEX('OneCause_Paste'!$A$437:$AZ$437,1,OC_Date)="","",INDEX('OneCause_Paste'!$A$437:$AZ$437,1,OC_Date)))</f>
        <v/>
      </c>
      <c r="J437">
        <f>IF(OC_Amt=0,"",IF(INDEX('OneCause_Paste'!$A$437:$AZ$437,1,OC_Amt)="","",INDEX('OneCause_Paste'!$A$437:$AZ$437,1,OC_Amt)))</f>
        <v/>
      </c>
      <c r="K437">
        <f>IF(OC_Name=0,"",IF(INDEX('OneCause_Paste'!$A$437:$AZ$437,1,OC_Name)="","",INDEX('OneCause_Paste'!$A$437:$AZ$437,1,OC_Name)))</f>
        <v/>
      </c>
      <c r="L437">
        <f>IF(OC_Txn=0,"",IF(INDEX('OneCause_Paste'!$A$437:$AZ$437,1,OC_Txn)="","",INDEX('OneCause_Paste'!$A$437:$AZ$437,1,OC_Txn)))</f>
        <v/>
      </c>
      <c r="M437">
        <f>IF(OC_Pay=0,"",IF(INDEX('OneCause_Paste'!$A$437:$AZ$437,1,OC_Pay)="","",INDEX('OneCause_Paste'!$A$437:$AZ$437,1,OC_Pay)))</f>
        <v/>
      </c>
      <c r="N437">
        <f>IF(I437="","",IF(ISNUMBER(I437),INT(I437),IFERROR(INT(DATEVALUE(I437)),IFERROR(INT(VALUE(I437)),"bad"))))</f>
        <v/>
      </c>
      <c r="O437">
        <f>IF(J437="","",IF(ISNUMBER(J437),ROUND(J437,2),IFERROR(ROUND(VALUE(SUBSTITUTE(SUBSTITUTE(SUBSTITUTE(J437,"$",""),",","")," ","")),2),"bad")))</f>
        <v/>
      </c>
      <c r="P437">
        <f>IF(TRIM(K437)="","",IFERROR(MATCH(LOWER(TRIM(K437)),'Students'!$AH$2:$AH$701,0),IFERROR(MATCH(LOWER(TRIM(K437)),'Students'!$AF$2:$AF$701,0),IFERROR(MATCH(LOWER(TRIM(K437)),'Students'!$AG$2:$AG$701,0),""))))</f>
        <v/>
      </c>
      <c r="R437">
        <f>IF(P437="","",INDEX('Students'!$AD$2:$AD$701,P437))</f>
        <v/>
      </c>
      <c r="S437">
        <f>IF(H437="OK",O437,0)</f>
        <v/>
      </c>
      <c r="T437">
        <f>IF(H437="OK",N437,"")</f>
        <v/>
      </c>
      <c r="U437">
        <f>IF(OC_Donor=0,"",IF(INDEX('OneCause_Paste'!$A$437:$AZ$437,1,OC_Donor)="","",INDEX('OneCause_Paste'!$A$437:$AZ$437,1,OC_Donor)))</f>
        <v/>
      </c>
    </row>
    <row r="438">
      <c r="A438" s="62">
        <f>IF(H438="","",IF(ISNUMBER(N438),N438,I438))</f>
        <v/>
      </c>
      <c r="B438">
        <f>IF(H438="","",U438)</f>
        <v/>
      </c>
      <c r="C438">
        <f>IF(H438="","",IF(P438="",K438,INDEX('Students'!$A$2:$A$701,P438)))</f>
        <v/>
      </c>
      <c r="D438">
        <f>IF(OR(H438="",P438=""),"",INDEX('Students'!$B$2:$B$701,P438))</f>
        <v/>
      </c>
      <c r="E438">
        <f>IF(OR(H438="",P438=""),"",INDEX('Students'!$C$2:$C$701,P438))</f>
        <v/>
      </c>
      <c r="F438" s="48">
        <f>IF(H438="","",IF(ISNUMBER(O438),O438,J438))</f>
        <v/>
      </c>
      <c r="G438">
        <f>IF(H438="","","OneCause")</f>
        <v/>
      </c>
      <c r="H438">
        <f>IF(AND(I438="",J438="",K438=""),"",IF(NOT(ISNUMBER(O438)),"Bad amount",IF(O438&lt;0,"Refund (not counted)",IF(O438=0,"Zero amount",IF(NOT(ISNUMBER(N438)),"Bad date",IF(P438="","NAME NOT ON ROSTER",IF(L438="","OK",IF(MATCH(L438,$L$2:$L$3001,0)&lt;ROW()-1,"Duplicate (ignored)","OK"))))))))</f>
        <v/>
      </c>
      <c r="I438">
        <f>IF(OC_Date=0,"",IF(INDEX('OneCause_Paste'!$A$438:$AZ$438,1,OC_Date)="","",INDEX('OneCause_Paste'!$A$438:$AZ$438,1,OC_Date)))</f>
        <v/>
      </c>
      <c r="J438">
        <f>IF(OC_Amt=0,"",IF(INDEX('OneCause_Paste'!$A$438:$AZ$438,1,OC_Amt)="","",INDEX('OneCause_Paste'!$A$438:$AZ$438,1,OC_Amt)))</f>
        <v/>
      </c>
      <c r="K438">
        <f>IF(OC_Name=0,"",IF(INDEX('OneCause_Paste'!$A$438:$AZ$438,1,OC_Name)="","",INDEX('OneCause_Paste'!$A$438:$AZ$438,1,OC_Name)))</f>
        <v/>
      </c>
      <c r="L438">
        <f>IF(OC_Txn=0,"",IF(INDEX('OneCause_Paste'!$A$438:$AZ$438,1,OC_Txn)="","",INDEX('OneCause_Paste'!$A$438:$AZ$438,1,OC_Txn)))</f>
        <v/>
      </c>
      <c r="M438">
        <f>IF(OC_Pay=0,"",IF(INDEX('OneCause_Paste'!$A$438:$AZ$438,1,OC_Pay)="","",INDEX('OneCause_Paste'!$A$438:$AZ$438,1,OC_Pay)))</f>
        <v/>
      </c>
      <c r="N438">
        <f>IF(I438="","",IF(ISNUMBER(I438),INT(I438),IFERROR(INT(DATEVALUE(I438)),IFERROR(INT(VALUE(I438)),"bad"))))</f>
        <v/>
      </c>
      <c r="O438">
        <f>IF(J438="","",IF(ISNUMBER(J438),ROUND(J438,2),IFERROR(ROUND(VALUE(SUBSTITUTE(SUBSTITUTE(SUBSTITUTE(J438,"$",""),",","")," ","")),2),"bad")))</f>
        <v/>
      </c>
      <c r="P438">
        <f>IF(TRIM(K438)="","",IFERROR(MATCH(LOWER(TRIM(K438)),'Students'!$AH$2:$AH$701,0),IFERROR(MATCH(LOWER(TRIM(K438)),'Students'!$AF$2:$AF$701,0),IFERROR(MATCH(LOWER(TRIM(K438)),'Students'!$AG$2:$AG$701,0),""))))</f>
        <v/>
      </c>
      <c r="R438">
        <f>IF(P438="","",INDEX('Students'!$AD$2:$AD$701,P438))</f>
        <v/>
      </c>
      <c r="S438">
        <f>IF(H438="OK",O438,0)</f>
        <v/>
      </c>
      <c r="T438">
        <f>IF(H438="OK",N438,"")</f>
        <v/>
      </c>
      <c r="U438">
        <f>IF(OC_Donor=0,"",IF(INDEX('OneCause_Paste'!$A$438:$AZ$438,1,OC_Donor)="","",INDEX('OneCause_Paste'!$A$438:$AZ$438,1,OC_Donor)))</f>
        <v/>
      </c>
    </row>
    <row r="439">
      <c r="A439" s="62">
        <f>IF(H439="","",IF(ISNUMBER(N439),N439,I439))</f>
        <v/>
      </c>
      <c r="B439">
        <f>IF(H439="","",U439)</f>
        <v/>
      </c>
      <c r="C439">
        <f>IF(H439="","",IF(P439="",K439,INDEX('Students'!$A$2:$A$701,P439)))</f>
        <v/>
      </c>
      <c r="D439">
        <f>IF(OR(H439="",P439=""),"",INDEX('Students'!$B$2:$B$701,P439))</f>
        <v/>
      </c>
      <c r="E439">
        <f>IF(OR(H439="",P439=""),"",INDEX('Students'!$C$2:$C$701,P439))</f>
        <v/>
      </c>
      <c r="F439" s="48">
        <f>IF(H439="","",IF(ISNUMBER(O439),O439,J439))</f>
        <v/>
      </c>
      <c r="G439">
        <f>IF(H439="","","OneCause")</f>
        <v/>
      </c>
      <c r="H439">
        <f>IF(AND(I439="",J439="",K439=""),"",IF(NOT(ISNUMBER(O439)),"Bad amount",IF(O439&lt;0,"Refund (not counted)",IF(O439=0,"Zero amount",IF(NOT(ISNUMBER(N439)),"Bad date",IF(P439="","NAME NOT ON ROSTER",IF(L439="","OK",IF(MATCH(L439,$L$2:$L$3001,0)&lt;ROW()-1,"Duplicate (ignored)","OK"))))))))</f>
        <v/>
      </c>
      <c r="I439">
        <f>IF(OC_Date=0,"",IF(INDEX('OneCause_Paste'!$A$439:$AZ$439,1,OC_Date)="","",INDEX('OneCause_Paste'!$A$439:$AZ$439,1,OC_Date)))</f>
        <v/>
      </c>
      <c r="J439">
        <f>IF(OC_Amt=0,"",IF(INDEX('OneCause_Paste'!$A$439:$AZ$439,1,OC_Amt)="","",INDEX('OneCause_Paste'!$A$439:$AZ$439,1,OC_Amt)))</f>
        <v/>
      </c>
      <c r="K439">
        <f>IF(OC_Name=0,"",IF(INDEX('OneCause_Paste'!$A$439:$AZ$439,1,OC_Name)="","",INDEX('OneCause_Paste'!$A$439:$AZ$439,1,OC_Name)))</f>
        <v/>
      </c>
      <c r="L439">
        <f>IF(OC_Txn=0,"",IF(INDEX('OneCause_Paste'!$A$439:$AZ$439,1,OC_Txn)="","",INDEX('OneCause_Paste'!$A$439:$AZ$439,1,OC_Txn)))</f>
        <v/>
      </c>
      <c r="M439">
        <f>IF(OC_Pay=0,"",IF(INDEX('OneCause_Paste'!$A$439:$AZ$439,1,OC_Pay)="","",INDEX('OneCause_Paste'!$A$439:$AZ$439,1,OC_Pay)))</f>
        <v/>
      </c>
      <c r="N439">
        <f>IF(I439="","",IF(ISNUMBER(I439),INT(I439),IFERROR(INT(DATEVALUE(I439)),IFERROR(INT(VALUE(I439)),"bad"))))</f>
        <v/>
      </c>
      <c r="O439">
        <f>IF(J439="","",IF(ISNUMBER(J439),ROUND(J439,2),IFERROR(ROUND(VALUE(SUBSTITUTE(SUBSTITUTE(SUBSTITUTE(J439,"$",""),",","")," ","")),2),"bad")))</f>
        <v/>
      </c>
      <c r="P439">
        <f>IF(TRIM(K439)="","",IFERROR(MATCH(LOWER(TRIM(K439)),'Students'!$AH$2:$AH$701,0),IFERROR(MATCH(LOWER(TRIM(K439)),'Students'!$AF$2:$AF$701,0),IFERROR(MATCH(LOWER(TRIM(K439)),'Students'!$AG$2:$AG$701,0),""))))</f>
        <v/>
      </c>
      <c r="R439">
        <f>IF(P439="","",INDEX('Students'!$AD$2:$AD$701,P439))</f>
        <v/>
      </c>
      <c r="S439">
        <f>IF(H439="OK",O439,0)</f>
        <v/>
      </c>
      <c r="T439">
        <f>IF(H439="OK",N439,"")</f>
        <v/>
      </c>
      <c r="U439">
        <f>IF(OC_Donor=0,"",IF(INDEX('OneCause_Paste'!$A$439:$AZ$439,1,OC_Donor)="","",INDEX('OneCause_Paste'!$A$439:$AZ$439,1,OC_Donor)))</f>
        <v/>
      </c>
    </row>
    <row r="440">
      <c r="A440" s="62">
        <f>IF(H440="","",IF(ISNUMBER(N440),N440,I440))</f>
        <v/>
      </c>
      <c r="B440">
        <f>IF(H440="","",U440)</f>
        <v/>
      </c>
      <c r="C440">
        <f>IF(H440="","",IF(P440="",K440,INDEX('Students'!$A$2:$A$701,P440)))</f>
        <v/>
      </c>
      <c r="D440">
        <f>IF(OR(H440="",P440=""),"",INDEX('Students'!$B$2:$B$701,P440))</f>
        <v/>
      </c>
      <c r="E440">
        <f>IF(OR(H440="",P440=""),"",INDEX('Students'!$C$2:$C$701,P440))</f>
        <v/>
      </c>
      <c r="F440" s="48">
        <f>IF(H440="","",IF(ISNUMBER(O440),O440,J440))</f>
        <v/>
      </c>
      <c r="G440">
        <f>IF(H440="","","OneCause")</f>
        <v/>
      </c>
      <c r="H440">
        <f>IF(AND(I440="",J440="",K440=""),"",IF(NOT(ISNUMBER(O440)),"Bad amount",IF(O440&lt;0,"Refund (not counted)",IF(O440=0,"Zero amount",IF(NOT(ISNUMBER(N440)),"Bad date",IF(P440="","NAME NOT ON ROSTER",IF(L440="","OK",IF(MATCH(L440,$L$2:$L$3001,0)&lt;ROW()-1,"Duplicate (ignored)","OK"))))))))</f>
        <v/>
      </c>
      <c r="I440">
        <f>IF(OC_Date=0,"",IF(INDEX('OneCause_Paste'!$A$440:$AZ$440,1,OC_Date)="","",INDEX('OneCause_Paste'!$A$440:$AZ$440,1,OC_Date)))</f>
        <v/>
      </c>
      <c r="J440">
        <f>IF(OC_Amt=0,"",IF(INDEX('OneCause_Paste'!$A$440:$AZ$440,1,OC_Amt)="","",INDEX('OneCause_Paste'!$A$440:$AZ$440,1,OC_Amt)))</f>
        <v/>
      </c>
      <c r="K440">
        <f>IF(OC_Name=0,"",IF(INDEX('OneCause_Paste'!$A$440:$AZ$440,1,OC_Name)="","",INDEX('OneCause_Paste'!$A$440:$AZ$440,1,OC_Name)))</f>
        <v/>
      </c>
      <c r="L440">
        <f>IF(OC_Txn=0,"",IF(INDEX('OneCause_Paste'!$A$440:$AZ$440,1,OC_Txn)="","",INDEX('OneCause_Paste'!$A$440:$AZ$440,1,OC_Txn)))</f>
        <v/>
      </c>
      <c r="M440">
        <f>IF(OC_Pay=0,"",IF(INDEX('OneCause_Paste'!$A$440:$AZ$440,1,OC_Pay)="","",INDEX('OneCause_Paste'!$A$440:$AZ$440,1,OC_Pay)))</f>
        <v/>
      </c>
      <c r="N440">
        <f>IF(I440="","",IF(ISNUMBER(I440),INT(I440),IFERROR(INT(DATEVALUE(I440)),IFERROR(INT(VALUE(I440)),"bad"))))</f>
        <v/>
      </c>
      <c r="O440">
        <f>IF(J440="","",IF(ISNUMBER(J440),ROUND(J440,2),IFERROR(ROUND(VALUE(SUBSTITUTE(SUBSTITUTE(SUBSTITUTE(J440,"$",""),",","")," ","")),2),"bad")))</f>
        <v/>
      </c>
      <c r="P440">
        <f>IF(TRIM(K440)="","",IFERROR(MATCH(LOWER(TRIM(K440)),'Students'!$AH$2:$AH$701,0),IFERROR(MATCH(LOWER(TRIM(K440)),'Students'!$AF$2:$AF$701,0),IFERROR(MATCH(LOWER(TRIM(K440)),'Students'!$AG$2:$AG$701,0),""))))</f>
        <v/>
      </c>
      <c r="R440">
        <f>IF(P440="","",INDEX('Students'!$AD$2:$AD$701,P440))</f>
        <v/>
      </c>
      <c r="S440">
        <f>IF(H440="OK",O440,0)</f>
        <v/>
      </c>
      <c r="T440">
        <f>IF(H440="OK",N440,"")</f>
        <v/>
      </c>
      <c r="U440">
        <f>IF(OC_Donor=0,"",IF(INDEX('OneCause_Paste'!$A$440:$AZ$440,1,OC_Donor)="","",INDEX('OneCause_Paste'!$A$440:$AZ$440,1,OC_Donor)))</f>
        <v/>
      </c>
    </row>
    <row r="441">
      <c r="A441" s="62">
        <f>IF(H441="","",IF(ISNUMBER(N441),N441,I441))</f>
        <v/>
      </c>
      <c r="B441">
        <f>IF(H441="","",U441)</f>
        <v/>
      </c>
      <c r="C441">
        <f>IF(H441="","",IF(P441="",K441,INDEX('Students'!$A$2:$A$701,P441)))</f>
        <v/>
      </c>
      <c r="D441">
        <f>IF(OR(H441="",P441=""),"",INDEX('Students'!$B$2:$B$701,P441))</f>
        <v/>
      </c>
      <c r="E441">
        <f>IF(OR(H441="",P441=""),"",INDEX('Students'!$C$2:$C$701,P441))</f>
        <v/>
      </c>
      <c r="F441" s="48">
        <f>IF(H441="","",IF(ISNUMBER(O441),O441,J441))</f>
        <v/>
      </c>
      <c r="G441">
        <f>IF(H441="","","OneCause")</f>
        <v/>
      </c>
      <c r="H441">
        <f>IF(AND(I441="",J441="",K441=""),"",IF(NOT(ISNUMBER(O441)),"Bad amount",IF(O441&lt;0,"Refund (not counted)",IF(O441=0,"Zero amount",IF(NOT(ISNUMBER(N441)),"Bad date",IF(P441="","NAME NOT ON ROSTER",IF(L441="","OK",IF(MATCH(L441,$L$2:$L$3001,0)&lt;ROW()-1,"Duplicate (ignored)","OK"))))))))</f>
        <v/>
      </c>
      <c r="I441">
        <f>IF(OC_Date=0,"",IF(INDEX('OneCause_Paste'!$A$441:$AZ$441,1,OC_Date)="","",INDEX('OneCause_Paste'!$A$441:$AZ$441,1,OC_Date)))</f>
        <v/>
      </c>
      <c r="J441">
        <f>IF(OC_Amt=0,"",IF(INDEX('OneCause_Paste'!$A$441:$AZ$441,1,OC_Amt)="","",INDEX('OneCause_Paste'!$A$441:$AZ$441,1,OC_Amt)))</f>
        <v/>
      </c>
      <c r="K441">
        <f>IF(OC_Name=0,"",IF(INDEX('OneCause_Paste'!$A$441:$AZ$441,1,OC_Name)="","",INDEX('OneCause_Paste'!$A$441:$AZ$441,1,OC_Name)))</f>
        <v/>
      </c>
      <c r="L441">
        <f>IF(OC_Txn=0,"",IF(INDEX('OneCause_Paste'!$A$441:$AZ$441,1,OC_Txn)="","",INDEX('OneCause_Paste'!$A$441:$AZ$441,1,OC_Txn)))</f>
        <v/>
      </c>
      <c r="M441">
        <f>IF(OC_Pay=0,"",IF(INDEX('OneCause_Paste'!$A$441:$AZ$441,1,OC_Pay)="","",INDEX('OneCause_Paste'!$A$441:$AZ$441,1,OC_Pay)))</f>
        <v/>
      </c>
      <c r="N441">
        <f>IF(I441="","",IF(ISNUMBER(I441),INT(I441),IFERROR(INT(DATEVALUE(I441)),IFERROR(INT(VALUE(I441)),"bad"))))</f>
        <v/>
      </c>
      <c r="O441">
        <f>IF(J441="","",IF(ISNUMBER(J441),ROUND(J441,2),IFERROR(ROUND(VALUE(SUBSTITUTE(SUBSTITUTE(SUBSTITUTE(J441,"$",""),",","")," ","")),2),"bad")))</f>
        <v/>
      </c>
      <c r="P441">
        <f>IF(TRIM(K441)="","",IFERROR(MATCH(LOWER(TRIM(K441)),'Students'!$AH$2:$AH$701,0),IFERROR(MATCH(LOWER(TRIM(K441)),'Students'!$AF$2:$AF$701,0),IFERROR(MATCH(LOWER(TRIM(K441)),'Students'!$AG$2:$AG$701,0),""))))</f>
        <v/>
      </c>
      <c r="R441">
        <f>IF(P441="","",INDEX('Students'!$AD$2:$AD$701,P441))</f>
        <v/>
      </c>
      <c r="S441">
        <f>IF(H441="OK",O441,0)</f>
        <v/>
      </c>
      <c r="T441">
        <f>IF(H441="OK",N441,"")</f>
        <v/>
      </c>
      <c r="U441">
        <f>IF(OC_Donor=0,"",IF(INDEX('OneCause_Paste'!$A$441:$AZ$441,1,OC_Donor)="","",INDEX('OneCause_Paste'!$A$441:$AZ$441,1,OC_Donor)))</f>
        <v/>
      </c>
    </row>
    <row r="442">
      <c r="A442" s="62">
        <f>IF(H442="","",IF(ISNUMBER(N442),N442,I442))</f>
        <v/>
      </c>
      <c r="B442">
        <f>IF(H442="","",U442)</f>
        <v/>
      </c>
      <c r="C442">
        <f>IF(H442="","",IF(P442="",K442,INDEX('Students'!$A$2:$A$701,P442)))</f>
        <v/>
      </c>
      <c r="D442">
        <f>IF(OR(H442="",P442=""),"",INDEX('Students'!$B$2:$B$701,P442))</f>
        <v/>
      </c>
      <c r="E442">
        <f>IF(OR(H442="",P442=""),"",INDEX('Students'!$C$2:$C$701,P442))</f>
        <v/>
      </c>
      <c r="F442" s="48">
        <f>IF(H442="","",IF(ISNUMBER(O442),O442,J442))</f>
        <v/>
      </c>
      <c r="G442">
        <f>IF(H442="","","OneCause")</f>
        <v/>
      </c>
      <c r="H442">
        <f>IF(AND(I442="",J442="",K442=""),"",IF(NOT(ISNUMBER(O442)),"Bad amount",IF(O442&lt;0,"Refund (not counted)",IF(O442=0,"Zero amount",IF(NOT(ISNUMBER(N442)),"Bad date",IF(P442="","NAME NOT ON ROSTER",IF(L442="","OK",IF(MATCH(L442,$L$2:$L$3001,0)&lt;ROW()-1,"Duplicate (ignored)","OK"))))))))</f>
        <v/>
      </c>
      <c r="I442">
        <f>IF(OC_Date=0,"",IF(INDEX('OneCause_Paste'!$A$442:$AZ$442,1,OC_Date)="","",INDEX('OneCause_Paste'!$A$442:$AZ$442,1,OC_Date)))</f>
        <v/>
      </c>
      <c r="J442">
        <f>IF(OC_Amt=0,"",IF(INDEX('OneCause_Paste'!$A$442:$AZ$442,1,OC_Amt)="","",INDEX('OneCause_Paste'!$A$442:$AZ$442,1,OC_Amt)))</f>
        <v/>
      </c>
      <c r="K442">
        <f>IF(OC_Name=0,"",IF(INDEX('OneCause_Paste'!$A$442:$AZ$442,1,OC_Name)="","",INDEX('OneCause_Paste'!$A$442:$AZ$442,1,OC_Name)))</f>
        <v/>
      </c>
      <c r="L442">
        <f>IF(OC_Txn=0,"",IF(INDEX('OneCause_Paste'!$A$442:$AZ$442,1,OC_Txn)="","",INDEX('OneCause_Paste'!$A$442:$AZ$442,1,OC_Txn)))</f>
        <v/>
      </c>
      <c r="M442">
        <f>IF(OC_Pay=0,"",IF(INDEX('OneCause_Paste'!$A$442:$AZ$442,1,OC_Pay)="","",INDEX('OneCause_Paste'!$A$442:$AZ$442,1,OC_Pay)))</f>
        <v/>
      </c>
      <c r="N442">
        <f>IF(I442="","",IF(ISNUMBER(I442),INT(I442),IFERROR(INT(DATEVALUE(I442)),IFERROR(INT(VALUE(I442)),"bad"))))</f>
        <v/>
      </c>
      <c r="O442">
        <f>IF(J442="","",IF(ISNUMBER(J442),ROUND(J442,2),IFERROR(ROUND(VALUE(SUBSTITUTE(SUBSTITUTE(SUBSTITUTE(J442,"$",""),",","")," ","")),2),"bad")))</f>
        <v/>
      </c>
      <c r="P442">
        <f>IF(TRIM(K442)="","",IFERROR(MATCH(LOWER(TRIM(K442)),'Students'!$AH$2:$AH$701,0),IFERROR(MATCH(LOWER(TRIM(K442)),'Students'!$AF$2:$AF$701,0),IFERROR(MATCH(LOWER(TRIM(K442)),'Students'!$AG$2:$AG$701,0),""))))</f>
        <v/>
      </c>
      <c r="R442">
        <f>IF(P442="","",INDEX('Students'!$AD$2:$AD$701,P442))</f>
        <v/>
      </c>
      <c r="S442">
        <f>IF(H442="OK",O442,0)</f>
        <v/>
      </c>
      <c r="T442">
        <f>IF(H442="OK",N442,"")</f>
        <v/>
      </c>
      <c r="U442">
        <f>IF(OC_Donor=0,"",IF(INDEX('OneCause_Paste'!$A$442:$AZ$442,1,OC_Donor)="","",INDEX('OneCause_Paste'!$A$442:$AZ$442,1,OC_Donor)))</f>
        <v/>
      </c>
    </row>
    <row r="443">
      <c r="A443" s="62">
        <f>IF(H443="","",IF(ISNUMBER(N443),N443,I443))</f>
        <v/>
      </c>
      <c r="B443">
        <f>IF(H443="","",U443)</f>
        <v/>
      </c>
      <c r="C443">
        <f>IF(H443="","",IF(P443="",K443,INDEX('Students'!$A$2:$A$701,P443)))</f>
        <v/>
      </c>
      <c r="D443">
        <f>IF(OR(H443="",P443=""),"",INDEX('Students'!$B$2:$B$701,P443))</f>
        <v/>
      </c>
      <c r="E443">
        <f>IF(OR(H443="",P443=""),"",INDEX('Students'!$C$2:$C$701,P443))</f>
        <v/>
      </c>
      <c r="F443" s="48">
        <f>IF(H443="","",IF(ISNUMBER(O443),O443,J443))</f>
        <v/>
      </c>
      <c r="G443">
        <f>IF(H443="","","OneCause")</f>
        <v/>
      </c>
      <c r="H443">
        <f>IF(AND(I443="",J443="",K443=""),"",IF(NOT(ISNUMBER(O443)),"Bad amount",IF(O443&lt;0,"Refund (not counted)",IF(O443=0,"Zero amount",IF(NOT(ISNUMBER(N443)),"Bad date",IF(P443="","NAME NOT ON ROSTER",IF(L443="","OK",IF(MATCH(L443,$L$2:$L$3001,0)&lt;ROW()-1,"Duplicate (ignored)","OK"))))))))</f>
        <v/>
      </c>
      <c r="I443">
        <f>IF(OC_Date=0,"",IF(INDEX('OneCause_Paste'!$A$443:$AZ$443,1,OC_Date)="","",INDEX('OneCause_Paste'!$A$443:$AZ$443,1,OC_Date)))</f>
        <v/>
      </c>
      <c r="J443">
        <f>IF(OC_Amt=0,"",IF(INDEX('OneCause_Paste'!$A$443:$AZ$443,1,OC_Amt)="","",INDEX('OneCause_Paste'!$A$443:$AZ$443,1,OC_Amt)))</f>
        <v/>
      </c>
      <c r="K443">
        <f>IF(OC_Name=0,"",IF(INDEX('OneCause_Paste'!$A$443:$AZ$443,1,OC_Name)="","",INDEX('OneCause_Paste'!$A$443:$AZ$443,1,OC_Name)))</f>
        <v/>
      </c>
      <c r="L443">
        <f>IF(OC_Txn=0,"",IF(INDEX('OneCause_Paste'!$A$443:$AZ$443,1,OC_Txn)="","",INDEX('OneCause_Paste'!$A$443:$AZ$443,1,OC_Txn)))</f>
        <v/>
      </c>
      <c r="M443">
        <f>IF(OC_Pay=0,"",IF(INDEX('OneCause_Paste'!$A$443:$AZ$443,1,OC_Pay)="","",INDEX('OneCause_Paste'!$A$443:$AZ$443,1,OC_Pay)))</f>
        <v/>
      </c>
      <c r="N443">
        <f>IF(I443="","",IF(ISNUMBER(I443),INT(I443),IFERROR(INT(DATEVALUE(I443)),IFERROR(INT(VALUE(I443)),"bad"))))</f>
        <v/>
      </c>
      <c r="O443">
        <f>IF(J443="","",IF(ISNUMBER(J443),ROUND(J443,2),IFERROR(ROUND(VALUE(SUBSTITUTE(SUBSTITUTE(SUBSTITUTE(J443,"$",""),",","")," ","")),2),"bad")))</f>
        <v/>
      </c>
      <c r="P443">
        <f>IF(TRIM(K443)="","",IFERROR(MATCH(LOWER(TRIM(K443)),'Students'!$AH$2:$AH$701,0),IFERROR(MATCH(LOWER(TRIM(K443)),'Students'!$AF$2:$AF$701,0),IFERROR(MATCH(LOWER(TRIM(K443)),'Students'!$AG$2:$AG$701,0),""))))</f>
        <v/>
      </c>
      <c r="R443">
        <f>IF(P443="","",INDEX('Students'!$AD$2:$AD$701,P443))</f>
        <v/>
      </c>
      <c r="S443">
        <f>IF(H443="OK",O443,0)</f>
        <v/>
      </c>
      <c r="T443">
        <f>IF(H443="OK",N443,"")</f>
        <v/>
      </c>
      <c r="U443">
        <f>IF(OC_Donor=0,"",IF(INDEX('OneCause_Paste'!$A$443:$AZ$443,1,OC_Donor)="","",INDEX('OneCause_Paste'!$A$443:$AZ$443,1,OC_Donor)))</f>
        <v/>
      </c>
    </row>
    <row r="444">
      <c r="A444" s="62">
        <f>IF(H444="","",IF(ISNUMBER(N444),N444,I444))</f>
        <v/>
      </c>
      <c r="B444">
        <f>IF(H444="","",U444)</f>
        <v/>
      </c>
      <c r="C444">
        <f>IF(H444="","",IF(P444="",K444,INDEX('Students'!$A$2:$A$701,P444)))</f>
        <v/>
      </c>
      <c r="D444">
        <f>IF(OR(H444="",P444=""),"",INDEX('Students'!$B$2:$B$701,P444))</f>
        <v/>
      </c>
      <c r="E444">
        <f>IF(OR(H444="",P444=""),"",INDEX('Students'!$C$2:$C$701,P444))</f>
        <v/>
      </c>
      <c r="F444" s="48">
        <f>IF(H444="","",IF(ISNUMBER(O444),O444,J444))</f>
        <v/>
      </c>
      <c r="G444">
        <f>IF(H444="","","OneCause")</f>
        <v/>
      </c>
      <c r="H444">
        <f>IF(AND(I444="",J444="",K444=""),"",IF(NOT(ISNUMBER(O444)),"Bad amount",IF(O444&lt;0,"Refund (not counted)",IF(O444=0,"Zero amount",IF(NOT(ISNUMBER(N444)),"Bad date",IF(P444="","NAME NOT ON ROSTER",IF(L444="","OK",IF(MATCH(L444,$L$2:$L$3001,0)&lt;ROW()-1,"Duplicate (ignored)","OK"))))))))</f>
        <v/>
      </c>
      <c r="I444">
        <f>IF(OC_Date=0,"",IF(INDEX('OneCause_Paste'!$A$444:$AZ$444,1,OC_Date)="","",INDEX('OneCause_Paste'!$A$444:$AZ$444,1,OC_Date)))</f>
        <v/>
      </c>
      <c r="J444">
        <f>IF(OC_Amt=0,"",IF(INDEX('OneCause_Paste'!$A$444:$AZ$444,1,OC_Amt)="","",INDEX('OneCause_Paste'!$A$444:$AZ$444,1,OC_Amt)))</f>
        <v/>
      </c>
      <c r="K444">
        <f>IF(OC_Name=0,"",IF(INDEX('OneCause_Paste'!$A$444:$AZ$444,1,OC_Name)="","",INDEX('OneCause_Paste'!$A$444:$AZ$444,1,OC_Name)))</f>
        <v/>
      </c>
      <c r="L444">
        <f>IF(OC_Txn=0,"",IF(INDEX('OneCause_Paste'!$A$444:$AZ$444,1,OC_Txn)="","",INDEX('OneCause_Paste'!$A$444:$AZ$444,1,OC_Txn)))</f>
        <v/>
      </c>
      <c r="M444">
        <f>IF(OC_Pay=0,"",IF(INDEX('OneCause_Paste'!$A$444:$AZ$444,1,OC_Pay)="","",INDEX('OneCause_Paste'!$A$444:$AZ$444,1,OC_Pay)))</f>
        <v/>
      </c>
      <c r="N444">
        <f>IF(I444="","",IF(ISNUMBER(I444),INT(I444),IFERROR(INT(DATEVALUE(I444)),IFERROR(INT(VALUE(I444)),"bad"))))</f>
        <v/>
      </c>
      <c r="O444">
        <f>IF(J444="","",IF(ISNUMBER(J444),ROUND(J444,2),IFERROR(ROUND(VALUE(SUBSTITUTE(SUBSTITUTE(SUBSTITUTE(J444,"$",""),",","")," ","")),2),"bad")))</f>
        <v/>
      </c>
      <c r="P444">
        <f>IF(TRIM(K444)="","",IFERROR(MATCH(LOWER(TRIM(K444)),'Students'!$AH$2:$AH$701,0),IFERROR(MATCH(LOWER(TRIM(K444)),'Students'!$AF$2:$AF$701,0),IFERROR(MATCH(LOWER(TRIM(K444)),'Students'!$AG$2:$AG$701,0),""))))</f>
        <v/>
      </c>
      <c r="R444">
        <f>IF(P444="","",INDEX('Students'!$AD$2:$AD$701,P444))</f>
        <v/>
      </c>
      <c r="S444">
        <f>IF(H444="OK",O444,0)</f>
        <v/>
      </c>
      <c r="T444">
        <f>IF(H444="OK",N444,"")</f>
        <v/>
      </c>
      <c r="U444">
        <f>IF(OC_Donor=0,"",IF(INDEX('OneCause_Paste'!$A$444:$AZ$444,1,OC_Donor)="","",INDEX('OneCause_Paste'!$A$444:$AZ$444,1,OC_Donor)))</f>
        <v/>
      </c>
    </row>
    <row r="445">
      <c r="A445" s="62">
        <f>IF(H445="","",IF(ISNUMBER(N445),N445,I445))</f>
        <v/>
      </c>
      <c r="B445">
        <f>IF(H445="","",U445)</f>
        <v/>
      </c>
      <c r="C445">
        <f>IF(H445="","",IF(P445="",K445,INDEX('Students'!$A$2:$A$701,P445)))</f>
        <v/>
      </c>
      <c r="D445">
        <f>IF(OR(H445="",P445=""),"",INDEX('Students'!$B$2:$B$701,P445))</f>
        <v/>
      </c>
      <c r="E445">
        <f>IF(OR(H445="",P445=""),"",INDEX('Students'!$C$2:$C$701,P445))</f>
        <v/>
      </c>
      <c r="F445" s="48">
        <f>IF(H445="","",IF(ISNUMBER(O445),O445,J445))</f>
        <v/>
      </c>
      <c r="G445">
        <f>IF(H445="","","OneCause")</f>
        <v/>
      </c>
      <c r="H445">
        <f>IF(AND(I445="",J445="",K445=""),"",IF(NOT(ISNUMBER(O445)),"Bad amount",IF(O445&lt;0,"Refund (not counted)",IF(O445=0,"Zero amount",IF(NOT(ISNUMBER(N445)),"Bad date",IF(P445="","NAME NOT ON ROSTER",IF(L445="","OK",IF(MATCH(L445,$L$2:$L$3001,0)&lt;ROW()-1,"Duplicate (ignored)","OK"))))))))</f>
        <v/>
      </c>
      <c r="I445">
        <f>IF(OC_Date=0,"",IF(INDEX('OneCause_Paste'!$A$445:$AZ$445,1,OC_Date)="","",INDEX('OneCause_Paste'!$A$445:$AZ$445,1,OC_Date)))</f>
        <v/>
      </c>
      <c r="J445">
        <f>IF(OC_Amt=0,"",IF(INDEX('OneCause_Paste'!$A$445:$AZ$445,1,OC_Amt)="","",INDEX('OneCause_Paste'!$A$445:$AZ$445,1,OC_Amt)))</f>
        <v/>
      </c>
      <c r="K445">
        <f>IF(OC_Name=0,"",IF(INDEX('OneCause_Paste'!$A$445:$AZ$445,1,OC_Name)="","",INDEX('OneCause_Paste'!$A$445:$AZ$445,1,OC_Name)))</f>
        <v/>
      </c>
      <c r="L445">
        <f>IF(OC_Txn=0,"",IF(INDEX('OneCause_Paste'!$A$445:$AZ$445,1,OC_Txn)="","",INDEX('OneCause_Paste'!$A$445:$AZ$445,1,OC_Txn)))</f>
        <v/>
      </c>
      <c r="M445">
        <f>IF(OC_Pay=0,"",IF(INDEX('OneCause_Paste'!$A$445:$AZ$445,1,OC_Pay)="","",INDEX('OneCause_Paste'!$A$445:$AZ$445,1,OC_Pay)))</f>
        <v/>
      </c>
      <c r="N445">
        <f>IF(I445="","",IF(ISNUMBER(I445),INT(I445),IFERROR(INT(DATEVALUE(I445)),IFERROR(INT(VALUE(I445)),"bad"))))</f>
        <v/>
      </c>
      <c r="O445">
        <f>IF(J445="","",IF(ISNUMBER(J445),ROUND(J445,2),IFERROR(ROUND(VALUE(SUBSTITUTE(SUBSTITUTE(SUBSTITUTE(J445,"$",""),",","")," ","")),2),"bad")))</f>
        <v/>
      </c>
      <c r="P445">
        <f>IF(TRIM(K445)="","",IFERROR(MATCH(LOWER(TRIM(K445)),'Students'!$AH$2:$AH$701,0),IFERROR(MATCH(LOWER(TRIM(K445)),'Students'!$AF$2:$AF$701,0),IFERROR(MATCH(LOWER(TRIM(K445)),'Students'!$AG$2:$AG$701,0),""))))</f>
        <v/>
      </c>
      <c r="R445">
        <f>IF(P445="","",INDEX('Students'!$AD$2:$AD$701,P445))</f>
        <v/>
      </c>
      <c r="S445">
        <f>IF(H445="OK",O445,0)</f>
        <v/>
      </c>
      <c r="T445">
        <f>IF(H445="OK",N445,"")</f>
        <v/>
      </c>
      <c r="U445">
        <f>IF(OC_Donor=0,"",IF(INDEX('OneCause_Paste'!$A$445:$AZ$445,1,OC_Donor)="","",INDEX('OneCause_Paste'!$A$445:$AZ$445,1,OC_Donor)))</f>
        <v/>
      </c>
    </row>
    <row r="446">
      <c r="A446" s="62">
        <f>IF(H446="","",IF(ISNUMBER(N446),N446,I446))</f>
        <v/>
      </c>
      <c r="B446">
        <f>IF(H446="","",U446)</f>
        <v/>
      </c>
      <c r="C446">
        <f>IF(H446="","",IF(P446="",K446,INDEX('Students'!$A$2:$A$701,P446)))</f>
        <v/>
      </c>
      <c r="D446">
        <f>IF(OR(H446="",P446=""),"",INDEX('Students'!$B$2:$B$701,P446))</f>
        <v/>
      </c>
      <c r="E446">
        <f>IF(OR(H446="",P446=""),"",INDEX('Students'!$C$2:$C$701,P446))</f>
        <v/>
      </c>
      <c r="F446" s="48">
        <f>IF(H446="","",IF(ISNUMBER(O446),O446,J446))</f>
        <v/>
      </c>
      <c r="G446">
        <f>IF(H446="","","OneCause")</f>
        <v/>
      </c>
      <c r="H446">
        <f>IF(AND(I446="",J446="",K446=""),"",IF(NOT(ISNUMBER(O446)),"Bad amount",IF(O446&lt;0,"Refund (not counted)",IF(O446=0,"Zero amount",IF(NOT(ISNUMBER(N446)),"Bad date",IF(P446="","NAME NOT ON ROSTER",IF(L446="","OK",IF(MATCH(L446,$L$2:$L$3001,0)&lt;ROW()-1,"Duplicate (ignored)","OK"))))))))</f>
        <v/>
      </c>
      <c r="I446">
        <f>IF(OC_Date=0,"",IF(INDEX('OneCause_Paste'!$A$446:$AZ$446,1,OC_Date)="","",INDEX('OneCause_Paste'!$A$446:$AZ$446,1,OC_Date)))</f>
        <v/>
      </c>
      <c r="J446">
        <f>IF(OC_Amt=0,"",IF(INDEX('OneCause_Paste'!$A$446:$AZ$446,1,OC_Amt)="","",INDEX('OneCause_Paste'!$A$446:$AZ$446,1,OC_Amt)))</f>
        <v/>
      </c>
      <c r="K446">
        <f>IF(OC_Name=0,"",IF(INDEX('OneCause_Paste'!$A$446:$AZ$446,1,OC_Name)="","",INDEX('OneCause_Paste'!$A$446:$AZ$446,1,OC_Name)))</f>
        <v/>
      </c>
      <c r="L446">
        <f>IF(OC_Txn=0,"",IF(INDEX('OneCause_Paste'!$A$446:$AZ$446,1,OC_Txn)="","",INDEX('OneCause_Paste'!$A$446:$AZ$446,1,OC_Txn)))</f>
        <v/>
      </c>
      <c r="M446">
        <f>IF(OC_Pay=0,"",IF(INDEX('OneCause_Paste'!$A$446:$AZ$446,1,OC_Pay)="","",INDEX('OneCause_Paste'!$A$446:$AZ$446,1,OC_Pay)))</f>
        <v/>
      </c>
      <c r="N446">
        <f>IF(I446="","",IF(ISNUMBER(I446),INT(I446),IFERROR(INT(DATEVALUE(I446)),IFERROR(INT(VALUE(I446)),"bad"))))</f>
        <v/>
      </c>
      <c r="O446">
        <f>IF(J446="","",IF(ISNUMBER(J446),ROUND(J446,2),IFERROR(ROUND(VALUE(SUBSTITUTE(SUBSTITUTE(SUBSTITUTE(J446,"$",""),",","")," ","")),2),"bad")))</f>
        <v/>
      </c>
      <c r="P446">
        <f>IF(TRIM(K446)="","",IFERROR(MATCH(LOWER(TRIM(K446)),'Students'!$AH$2:$AH$701,0),IFERROR(MATCH(LOWER(TRIM(K446)),'Students'!$AF$2:$AF$701,0),IFERROR(MATCH(LOWER(TRIM(K446)),'Students'!$AG$2:$AG$701,0),""))))</f>
        <v/>
      </c>
      <c r="R446">
        <f>IF(P446="","",INDEX('Students'!$AD$2:$AD$701,P446))</f>
        <v/>
      </c>
      <c r="S446">
        <f>IF(H446="OK",O446,0)</f>
        <v/>
      </c>
      <c r="T446">
        <f>IF(H446="OK",N446,"")</f>
        <v/>
      </c>
      <c r="U446">
        <f>IF(OC_Donor=0,"",IF(INDEX('OneCause_Paste'!$A$446:$AZ$446,1,OC_Donor)="","",INDEX('OneCause_Paste'!$A$446:$AZ$446,1,OC_Donor)))</f>
        <v/>
      </c>
    </row>
    <row r="447">
      <c r="A447" s="62">
        <f>IF(H447="","",IF(ISNUMBER(N447),N447,I447))</f>
        <v/>
      </c>
      <c r="B447">
        <f>IF(H447="","",U447)</f>
        <v/>
      </c>
      <c r="C447">
        <f>IF(H447="","",IF(P447="",K447,INDEX('Students'!$A$2:$A$701,P447)))</f>
        <v/>
      </c>
      <c r="D447">
        <f>IF(OR(H447="",P447=""),"",INDEX('Students'!$B$2:$B$701,P447))</f>
        <v/>
      </c>
      <c r="E447">
        <f>IF(OR(H447="",P447=""),"",INDEX('Students'!$C$2:$C$701,P447))</f>
        <v/>
      </c>
      <c r="F447" s="48">
        <f>IF(H447="","",IF(ISNUMBER(O447),O447,J447))</f>
        <v/>
      </c>
      <c r="G447">
        <f>IF(H447="","","OneCause")</f>
        <v/>
      </c>
      <c r="H447">
        <f>IF(AND(I447="",J447="",K447=""),"",IF(NOT(ISNUMBER(O447)),"Bad amount",IF(O447&lt;0,"Refund (not counted)",IF(O447=0,"Zero amount",IF(NOT(ISNUMBER(N447)),"Bad date",IF(P447="","NAME NOT ON ROSTER",IF(L447="","OK",IF(MATCH(L447,$L$2:$L$3001,0)&lt;ROW()-1,"Duplicate (ignored)","OK"))))))))</f>
        <v/>
      </c>
      <c r="I447">
        <f>IF(OC_Date=0,"",IF(INDEX('OneCause_Paste'!$A$447:$AZ$447,1,OC_Date)="","",INDEX('OneCause_Paste'!$A$447:$AZ$447,1,OC_Date)))</f>
        <v/>
      </c>
      <c r="J447">
        <f>IF(OC_Amt=0,"",IF(INDEX('OneCause_Paste'!$A$447:$AZ$447,1,OC_Amt)="","",INDEX('OneCause_Paste'!$A$447:$AZ$447,1,OC_Amt)))</f>
        <v/>
      </c>
      <c r="K447">
        <f>IF(OC_Name=0,"",IF(INDEX('OneCause_Paste'!$A$447:$AZ$447,1,OC_Name)="","",INDEX('OneCause_Paste'!$A$447:$AZ$447,1,OC_Name)))</f>
        <v/>
      </c>
      <c r="L447">
        <f>IF(OC_Txn=0,"",IF(INDEX('OneCause_Paste'!$A$447:$AZ$447,1,OC_Txn)="","",INDEX('OneCause_Paste'!$A$447:$AZ$447,1,OC_Txn)))</f>
        <v/>
      </c>
      <c r="M447">
        <f>IF(OC_Pay=0,"",IF(INDEX('OneCause_Paste'!$A$447:$AZ$447,1,OC_Pay)="","",INDEX('OneCause_Paste'!$A$447:$AZ$447,1,OC_Pay)))</f>
        <v/>
      </c>
      <c r="N447">
        <f>IF(I447="","",IF(ISNUMBER(I447),INT(I447),IFERROR(INT(DATEVALUE(I447)),IFERROR(INT(VALUE(I447)),"bad"))))</f>
        <v/>
      </c>
      <c r="O447">
        <f>IF(J447="","",IF(ISNUMBER(J447),ROUND(J447,2),IFERROR(ROUND(VALUE(SUBSTITUTE(SUBSTITUTE(SUBSTITUTE(J447,"$",""),",","")," ","")),2),"bad")))</f>
        <v/>
      </c>
      <c r="P447">
        <f>IF(TRIM(K447)="","",IFERROR(MATCH(LOWER(TRIM(K447)),'Students'!$AH$2:$AH$701,0),IFERROR(MATCH(LOWER(TRIM(K447)),'Students'!$AF$2:$AF$701,0),IFERROR(MATCH(LOWER(TRIM(K447)),'Students'!$AG$2:$AG$701,0),""))))</f>
        <v/>
      </c>
      <c r="R447">
        <f>IF(P447="","",INDEX('Students'!$AD$2:$AD$701,P447))</f>
        <v/>
      </c>
      <c r="S447">
        <f>IF(H447="OK",O447,0)</f>
        <v/>
      </c>
      <c r="T447">
        <f>IF(H447="OK",N447,"")</f>
        <v/>
      </c>
      <c r="U447">
        <f>IF(OC_Donor=0,"",IF(INDEX('OneCause_Paste'!$A$447:$AZ$447,1,OC_Donor)="","",INDEX('OneCause_Paste'!$A$447:$AZ$447,1,OC_Donor)))</f>
        <v/>
      </c>
    </row>
    <row r="448">
      <c r="A448" s="62">
        <f>IF(H448="","",IF(ISNUMBER(N448),N448,I448))</f>
        <v/>
      </c>
      <c r="B448">
        <f>IF(H448="","",U448)</f>
        <v/>
      </c>
      <c r="C448">
        <f>IF(H448="","",IF(P448="",K448,INDEX('Students'!$A$2:$A$701,P448)))</f>
        <v/>
      </c>
      <c r="D448">
        <f>IF(OR(H448="",P448=""),"",INDEX('Students'!$B$2:$B$701,P448))</f>
        <v/>
      </c>
      <c r="E448">
        <f>IF(OR(H448="",P448=""),"",INDEX('Students'!$C$2:$C$701,P448))</f>
        <v/>
      </c>
      <c r="F448" s="48">
        <f>IF(H448="","",IF(ISNUMBER(O448),O448,J448))</f>
        <v/>
      </c>
      <c r="G448">
        <f>IF(H448="","","OneCause")</f>
        <v/>
      </c>
      <c r="H448">
        <f>IF(AND(I448="",J448="",K448=""),"",IF(NOT(ISNUMBER(O448)),"Bad amount",IF(O448&lt;0,"Refund (not counted)",IF(O448=0,"Zero amount",IF(NOT(ISNUMBER(N448)),"Bad date",IF(P448="","NAME NOT ON ROSTER",IF(L448="","OK",IF(MATCH(L448,$L$2:$L$3001,0)&lt;ROW()-1,"Duplicate (ignored)","OK"))))))))</f>
        <v/>
      </c>
      <c r="I448">
        <f>IF(OC_Date=0,"",IF(INDEX('OneCause_Paste'!$A$448:$AZ$448,1,OC_Date)="","",INDEX('OneCause_Paste'!$A$448:$AZ$448,1,OC_Date)))</f>
        <v/>
      </c>
      <c r="J448">
        <f>IF(OC_Amt=0,"",IF(INDEX('OneCause_Paste'!$A$448:$AZ$448,1,OC_Amt)="","",INDEX('OneCause_Paste'!$A$448:$AZ$448,1,OC_Amt)))</f>
        <v/>
      </c>
      <c r="K448">
        <f>IF(OC_Name=0,"",IF(INDEX('OneCause_Paste'!$A$448:$AZ$448,1,OC_Name)="","",INDEX('OneCause_Paste'!$A$448:$AZ$448,1,OC_Name)))</f>
        <v/>
      </c>
      <c r="L448">
        <f>IF(OC_Txn=0,"",IF(INDEX('OneCause_Paste'!$A$448:$AZ$448,1,OC_Txn)="","",INDEX('OneCause_Paste'!$A$448:$AZ$448,1,OC_Txn)))</f>
        <v/>
      </c>
      <c r="M448">
        <f>IF(OC_Pay=0,"",IF(INDEX('OneCause_Paste'!$A$448:$AZ$448,1,OC_Pay)="","",INDEX('OneCause_Paste'!$A$448:$AZ$448,1,OC_Pay)))</f>
        <v/>
      </c>
      <c r="N448">
        <f>IF(I448="","",IF(ISNUMBER(I448),INT(I448),IFERROR(INT(DATEVALUE(I448)),IFERROR(INT(VALUE(I448)),"bad"))))</f>
        <v/>
      </c>
      <c r="O448">
        <f>IF(J448="","",IF(ISNUMBER(J448),ROUND(J448,2),IFERROR(ROUND(VALUE(SUBSTITUTE(SUBSTITUTE(SUBSTITUTE(J448,"$",""),",","")," ","")),2),"bad")))</f>
        <v/>
      </c>
      <c r="P448">
        <f>IF(TRIM(K448)="","",IFERROR(MATCH(LOWER(TRIM(K448)),'Students'!$AH$2:$AH$701,0),IFERROR(MATCH(LOWER(TRIM(K448)),'Students'!$AF$2:$AF$701,0),IFERROR(MATCH(LOWER(TRIM(K448)),'Students'!$AG$2:$AG$701,0),""))))</f>
        <v/>
      </c>
      <c r="R448">
        <f>IF(P448="","",INDEX('Students'!$AD$2:$AD$701,P448))</f>
        <v/>
      </c>
      <c r="S448">
        <f>IF(H448="OK",O448,0)</f>
        <v/>
      </c>
      <c r="T448">
        <f>IF(H448="OK",N448,"")</f>
        <v/>
      </c>
      <c r="U448">
        <f>IF(OC_Donor=0,"",IF(INDEX('OneCause_Paste'!$A$448:$AZ$448,1,OC_Donor)="","",INDEX('OneCause_Paste'!$A$448:$AZ$448,1,OC_Donor)))</f>
        <v/>
      </c>
    </row>
    <row r="449">
      <c r="A449" s="62">
        <f>IF(H449="","",IF(ISNUMBER(N449),N449,I449))</f>
        <v/>
      </c>
      <c r="B449">
        <f>IF(H449="","",U449)</f>
        <v/>
      </c>
      <c r="C449">
        <f>IF(H449="","",IF(P449="",K449,INDEX('Students'!$A$2:$A$701,P449)))</f>
        <v/>
      </c>
      <c r="D449">
        <f>IF(OR(H449="",P449=""),"",INDEX('Students'!$B$2:$B$701,P449))</f>
        <v/>
      </c>
      <c r="E449">
        <f>IF(OR(H449="",P449=""),"",INDEX('Students'!$C$2:$C$701,P449))</f>
        <v/>
      </c>
      <c r="F449" s="48">
        <f>IF(H449="","",IF(ISNUMBER(O449),O449,J449))</f>
        <v/>
      </c>
      <c r="G449">
        <f>IF(H449="","","OneCause")</f>
        <v/>
      </c>
      <c r="H449">
        <f>IF(AND(I449="",J449="",K449=""),"",IF(NOT(ISNUMBER(O449)),"Bad amount",IF(O449&lt;0,"Refund (not counted)",IF(O449=0,"Zero amount",IF(NOT(ISNUMBER(N449)),"Bad date",IF(P449="","NAME NOT ON ROSTER",IF(L449="","OK",IF(MATCH(L449,$L$2:$L$3001,0)&lt;ROW()-1,"Duplicate (ignored)","OK"))))))))</f>
        <v/>
      </c>
      <c r="I449">
        <f>IF(OC_Date=0,"",IF(INDEX('OneCause_Paste'!$A$449:$AZ$449,1,OC_Date)="","",INDEX('OneCause_Paste'!$A$449:$AZ$449,1,OC_Date)))</f>
        <v/>
      </c>
      <c r="J449">
        <f>IF(OC_Amt=0,"",IF(INDEX('OneCause_Paste'!$A$449:$AZ$449,1,OC_Amt)="","",INDEX('OneCause_Paste'!$A$449:$AZ$449,1,OC_Amt)))</f>
        <v/>
      </c>
      <c r="K449">
        <f>IF(OC_Name=0,"",IF(INDEX('OneCause_Paste'!$A$449:$AZ$449,1,OC_Name)="","",INDEX('OneCause_Paste'!$A$449:$AZ$449,1,OC_Name)))</f>
        <v/>
      </c>
      <c r="L449">
        <f>IF(OC_Txn=0,"",IF(INDEX('OneCause_Paste'!$A$449:$AZ$449,1,OC_Txn)="","",INDEX('OneCause_Paste'!$A$449:$AZ$449,1,OC_Txn)))</f>
        <v/>
      </c>
      <c r="M449">
        <f>IF(OC_Pay=0,"",IF(INDEX('OneCause_Paste'!$A$449:$AZ$449,1,OC_Pay)="","",INDEX('OneCause_Paste'!$A$449:$AZ$449,1,OC_Pay)))</f>
        <v/>
      </c>
      <c r="N449">
        <f>IF(I449="","",IF(ISNUMBER(I449),INT(I449),IFERROR(INT(DATEVALUE(I449)),IFERROR(INT(VALUE(I449)),"bad"))))</f>
        <v/>
      </c>
      <c r="O449">
        <f>IF(J449="","",IF(ISNUMBER(J449),ROUND(J449,2),IFERROR(ROUND(VALUE(SUBSTITUTE(SUBSTITUTE(SUBSTITUTE(J449,"$",""),",","")," ","")),2),"bad")))</f>
        <v/>
      </c>
      <c r="P449">
        <f>IF(TRIM(K449)="","",IFERROR(MATCH(LOWER(TRIM(K449)),'Students'!$AH$2:$AH$701,0),IFERROR(MATCH(LOWER(TRIM(K449)),'Students'!$AF$2:$AF$701,0),IFERROR(MATCH(LOWER(TRIM(K449)),'Students'!$AG$2:$AG$701,0),""))))</f>
        <v/>
      </c>
      <c r="R449">
        <f>IF(P449="","",INDEX('Students'!$AD$2:$AD$701,P449))</f>
        <v/>
      </c>
      <c r="S449">
        <f>IF(H449="OK",O449,0)</f>
        <v/>
      </c>
      <c r="T449">
        <f>IF(H449="OK",N449,"")</f>
        <v/>
      </c>
      <c r="U449">
        <f>IF(OC_Donor=0,"",IF(INDEX('OneCause_Paste'!$A$449:$AZ$449,1,OC_Donor)="","",INDEX('OneCause_Paste'!$A$449:$AZ$449,1,OC_Donor)))</f>
        <v/>
      </c>
    </row>
    <row r="450">
      <c r="A450" s="62">
        <f>IF(H450="","",IF(ISNUMBER(N450),N450,I450))</f>
        <v/>
      </c>
      <c r="B450">
        <f>IF(H450="","",U450)</f>
        <v/>
      </c>
      <c r="C450">
        <f>IF(H450="","",IF(P450="",K450,INDEX('Students'!$A$2:$A$701,P450)))</f>
        <v/>
      </c>
      <c r="D450">
        <f>IF(OR(H450="",P450=""),"",INDEX('Students'!$B$2:$B$701,P450))</f>
        <v/>
      </c>
      <c r="E450">
        <f>IF(OR(H450="",P450=""),"",INDEX('Students'!$C$2:$C$701,P450))</f>
        <v/>
      </c>
      <c r="F450" s="48">
        <f>IF(H450="","",IF(ISNUMBER(O450),O450,J450))</f>
        <v/>
      </c>
      <c r="G450">
        <f>IF(H450="","","OneCause")</f>
        <v/>
      </c>
      <c r="H450">
        <f>IF(AND(I450="",J450="",K450=""),"",IF(NOT(ISNUMBER(O450)),"Bad amount",IF(O450&lt;0,"Refund (not counted)",IF(O450=0,"Zero amount",IF(NOT(ISNUMBER(N450)),"Bad date",IF(P450="","NAME NOT ON ROSTER",IF(L450="","OK",IF(MATCH(L450,$L$2:$L$3001,0)&lt;ROW()-1,"Duplicate (ignored)","OK"))))))))</f>
        <v/>
      </c>
      <c r="I450">
        <f>IF(OC_Date=0,"",IF(INDEX('OneCause_Paste'!$A$450:$AZ$450,1,OC_Date)="","",INDEX('OneCause_Paste'!$A$450:$AZ$450,1,OC_Date)))</f>
        <v/>
      </c>
      <c r="J450">
        <f>IF(OC_Amt=0,"",IF(INDEX('OneCause_Paste'!$A$450:$AZ$450,1,OC_Amt)="","",INDEX('OneCause_Paste'!$A$450:$AZ$450,1,OC_Amt)))</f>
        <v/>
      </c>
      <c r="K450">
        <f>IF(OC_Name=0,"",IF(INDEX('OneCause_Paste'!$A$450:$AZ$450,1,OC_Name)="","",INDEX('OneCause_Paste'!$A$450:$AZ$450,1,OC_Name)))</f>
        <v/>
      </c>
      <c r="L450">
        <f>IF(OC_Txn=0,"",IF(INDEX('OneCause_Paste'!$A$450:$AZ$450,1,OC_Txn)="","",INDEX('OneCause_Paste'!$A$450:$AZ$450,1,OC_Txn)))</f>
        <v/>
      </c>
      <c r="M450">
        <f>IF(OC_Pay=0,"",IF(INDEX('OneCause_Paste'!$A$450:$AZ$450,1,OC_Pay)="","",INDEX('OneCause_Paste'!$A$450:$AZ$450,1,OC_Pay)))</f>
        <v/>
      </c>
      <c r="N450">
        <f>IF(I450="","",IF(ISNUMBER(I450),INT(I450),IFERROR(INT(DATEVALUE(I450)),IFERROR(INT(VALUE(I450)),"bad"))))</f>
        <v/>
      </c>
      <c r="O450">
        <f>IF(J450="","",IF(ISNUMBER(J450),ROUND(J450,2),IFERROR(ROUND(VALUE(SUBSTITUTE(SUBSTITUTE(SUBSTITUTE(J450,"$",""),",","")," ","")),2),"bad")))</f>
        <v/>
      </c>
      <c r="P450">
        <f>IF(TRIM(K450)="","",IFERROR(MATCH(LOWER(TRIM(K450)),'Students'!$AH$2:$AH$701,0),IFERROR(MATCH(LOWER(TRIM(K450)),'Students'!$AF$2:$AF$701,0),IFERROR(MATCH(LOWER(TRIM(K450)),'Students'!$AG$2:$AG$701,0),""))))</f>
        <v/>
      </c>
      <c r="R450">
        <f>IF(P450="","",INDEX('Students'!$AD$2:$AD$701,P450))</f>
        <v/>
      </c>
      <c r="S450">
        <f>IF(H450="OK",O450,0)</f>
        <v/>
      </c>
      <c r="T450">
        <f>IF(H450="OK",N450,"")</f>
        <v/>
      </c>
      <c r="U450">
        <f>IF(OC_Donor=0,"",IF(INDEX('OneCause_Paste'!$A$450:$AZ$450,1,OC_Donor)="","",INDEX('OneCause_Paste'!$A$450:$AZ$450,1,OC_Donor)))</f>
        <v/>
      </c>
    </row>
    <row r="451">
      <c r="A451" s="62">
        <f>IF(H451="","",IF(ISNUMBER(N451),N451,I451))</f>
        <v/>
      </c>
      <c r="B451">
        <f>IF(H451="","",U451)</f>
        <v/>
      </c>
      <c r="C451">
        <f>IF(H451="","",IF(P451="",K451,INDEX('Students'!$A$2:$A$701,P451)))</f>
        <v/>
      </c>
      <c r="D451">
        <f>IF(OR(H451="",P451=""),"",INDEX('Students'!$B$2:$B$701,P451))</f>
        <v/>
      </c>
      <c r="E451">
        <f>IF(OR(H451="",P451=""),"",INDEX('Students'!$C$2:$C$701,P451))</f>
        <v/>
      </c>
      <c r="F451" s="48">
        <f>IF(H451="","",IF(ISNUMBER(O451),O451,J451))</f>
        <v/>
      </c>
      <c r="G451">
        <f>IF(H451="","","OneCause")</f>
        <v/>
      </c>
      <c r="H451">
        <f>IF(AND(I451="",J451="",K451=""),"",IF(NOT(ISNUMBER(O451)),"Bad amount",IF(O451&lt;0,"Refund (not counted)",IF(O451=0,"Zero amount",IF(NOT(ISNUMBER(N451)),"Bad date",IF(P451="","NAME NOT ON ROSTER",IF(L451="","OK",IF(MATCH(L451,$L$2:$L$3001,0)&lt;ROW()-1,"Duplicate (ignored)","OK"))))))))</f>
        <v/>
      </c>
      <c r="I451">
        <f>IF(OC_Date=0,"",IF(INDEX('OneCause_Paste'!$A$451:$AZ$451,1,OC_Date)="","",INDEX('OneCause_Paste'!$A$451:$AZ$451,1,OC_Date)))</f>
        <v/>
      </c>
      <c r="J451">
        <f>IF(OC_Amt=0,"",IF(INDEX('OneCause_Paste'!$A$451:$AZ$451,1,OC_Amt)="","",INDEX('OneCause_Paste'!$A$451:$AZ$451,1,OC_Amt)))</f>
        <v/>
      </c>
      <c r="K451">
        <f>IF(OC_Name=0,"",IF(INDEX('OneCause_Paste'!$A$451:$AZ$451,1,OC_Name)="","",INDEX('OneCause_Paste'!$A$451:$AZ$451,1,OC_Name)))</f>
        <v/>
      </c>
      <c r="L451">
        <f>IF(OC_Txn=0,"",IF(INDEX('OneCause_Paste'!$A$451:$AZ$451,1,OC_Txn)="","",INDEX('OneCause_Paste'!$A$451:$AZ$451,1,OC_Txn)))</f>
        <v/>
      </c>
      <c r="M451">
        <f>IF(OC_Pay=0,"",IF(INDEX('OneCause_Paste'!$A$451:$AZ$451,1,OC_Pay)="","",INDEX('OneCause_Paste'!$A$451:$AZ$451,1,OC_Pay)))</f>
        <v/>
      </c>
      <c r="N451">
        <f>IF(I451="","",IF(ISNUMBER(I451),INT(I451),IFERROR(INT(DATEVALUE(I451)),IFERROR(INT(VALUE(I451)),"bad"))))</f>
        <v/>
      </c>
      <c r="O451">
        <f>IF(J451="","",IF(ISNUMBER(J451),ROUND(J451,2),IFERROR(ROUND(VALUE(SUBSTITUTE(SUBSTITUTE(SUBSTITUTE(J451,"$",""),",","")," ","")),2),"bad")))</f>
        <v/>
      </c>
      <c r="P451">
        <f>IF(TRIM(K451)="","",IFERROR(MATCH(LOWER(TRIM(K451)),'Students'!$AH$2:$AH$701,0),IFERROR(MATCH(LOWER(TRIM(K451)),'Students'!$AF$2:$AF$701,0),IFERROR(MATCH(LOWER(TRIM(K451)),'Students'!$AG$2:$AG$701,0),""))))</f>
        <v/>
      </c>
      <c r="R451">
        <f>IF(P451="","",INDEX('Students'!$AD$2:$AD$701,P451))</f>
        <v/>
      </c>
      <c r="S451">
        <f>IF(H451="OK",O451,0)</f>
        <v/>
      </c>
      <c r="T451">
        <f>IF(H451="OK",N451,"")</f>
        <v/>
      </c>
      <c r="U451">
        <f>IF(OC_Donor=0,"",IF(INDEX('OneCause_Paste'!$A$451:$AZ$451,1,OC_Donor)="","",INDEX('OneCause_Paste'!$A$451:$AZ$451,1,OC_Donor)))</f>
        <v/>
      </c>
    </row>
    <row r="452">
      <c r="A452" s="62">
        <f>IF(H452="","",IF(ISNUMBER(N452),N452,I452))</f>
        <v/>
      </c>
      <c r="B452">
        <f>IF(H452="","",U452)</f>
        <v/>
      </c>
      <c r="C452">
        <f>IF(H452="","",IF(P452="",K452,INDEX('Students'!$A$2:$A$701,P452)))</f>
        <v/>
      </c>
      <c r="D452">
        <f>IF(OR(H452="",P452=""),"",INDEX('Students'!$B$2:$B$701,P452))</f>
        <v/>
      </c>
      <c r="E452">
        <f>IF(OR(H452="",P452=""),"",INDEX('Students'!$C$2:$C$701,P452))</f>
        <v/>
      </c>
      <c r="F452" s="48">
        <f>IF(H452="","",IF(ISNUMBER(O452),O452,J452))</f>
        <v/>
      </c>
      <c r="G452">
        <f>IF(H452="","","OneCause")</f>
        <v/>
      </c>
      <c r="H452">
        <f>IF(AND(I452="",J452="",K452=""),"",IF(NOT(ISNUMBER(O452)),"Bad amount",IF(O452&lt;0,"Refund (not counted)",IF(O452=0,"Zero amount",IF(NOT(ISNUMBER(N452)),"Bad date",IF(P452="","NAME NOT ON ROSTER",IF(L452="","OK",IF(MATCH(L452,$L$2:$L$3001,0)&lt;ROW()-1,"Duplicate (ignored)","OK"))))))))</f>
        <v/>
      </c>
      <c r="I452">
        <f>IF(OC_Date=0,"",IF(INDEX('OneCause_Paste'!$A$452:$AZ$452,1,OC_Date)="","",INDEX('OneCause_Paste'!$A$452:$AZ$452,1,OC_Date)))</f>
        <v/>
      </c>
      <c r="J452">
        <f>IF(OC_Amt=0,"",IF(INDEX('OneCause_Paste'!$A$452:$AZ$452,1,OC_Amt)="","",INDEX('OneCause_Paste'!$A$452:$AZ$452,1,OC_Amt)))</f>
        <v/>
      </c>
      <c r="K452">
        <f>IF(OC_Name=0,"",IF(INDEX('OneCause_Paste'!$A$452:$AZ$452,1,OC_Name)="","",INDEX('OneCause_Paste'!$A$452:$AZ$452,1,OC_Name)))</f>
        <v/>
      </c>
      <c r="L452">
        <f>IF(OC_Txn=0,"",IF(INDEX('OneCause_Paste'!$A$452:$AZ$452,1,OC_Txn)="","",INDEX('OneCause_Paste'!$A$452:$AZ$452,1,OC_Txn)))</f>
        <v/>
      </c>
      <c r="M452">
        <f>IF(OC_Pay=0,"",IF(INDEX('OneCause_Paste'!$A$452:$AZ$452,1,OC_Pay)="","",INDEX('OneCause_Paste'!$A$452:$AZ$452,1,OC_Pay)))</f>
        <v/>
      </c>
      <c r="N452">
        <f>IF(I452="","",IF(ISNUMBER(I452),INT(I452),IFERROR(INT(DATEVALUE(I452)),IFERROR(INT(VALUE(I452)),"bad"))))</f>
        <v/>
      </c>
      <c r="O452">
        <f>IF(J452="","",IF(ISNUMBER(J452),ROUND(J452,2),IFERROR(ROUND(VALUE(SUBSTITUTE(SUBSTITUTE(SUBSTITUTE(J452,"$",""),",","")," ","")),2),"bad")))</f>
        <v/>
      </c>
      <c r="P452">
        <f>IF(TRIM(K452)="","",IFERROR(MATCH(LOWER(TRIM(K452)),'Students'!$AH$2:$AH$701,0),IFERROR(MATCH(LOWER(TRIM(K452)),'Students'!$AF$2:$AF$701,0),IFERROR(MATCH(LOWER(TRIM(K452)),'Students'!$AG$2:$AG$701,0),""))))</f>
        <v/>
      </c>
      <c r="R452">
        <f>IF(P452="","",INDEX('Students'!$AD$2:$AD$701,P452))</f>
        <v/>
      </c>
      <c r="S452">
        <f>IF(H452="OK",O452,0)</f>
        <v/>
      </c>
      <c r="T452">
        <f>IF(H452="OK",N452,"")</f>
        <v/>
      </c>
      <c r="U452">
        <f>IF(OC_Donor=0,"",IF(INDEX('OneCause_Paste'!$A$452:$AZ$452,1,OC_Donor)="","",INDEX('OneCause_Paste'!$A$452:$AZ$452,1,OC_Donor)))</f>
        <v/>
      </c>
    </row>
    <row r="453">
      <c r="A453" s="62">
        <f>IF(H453="","",IF(ISNUMBER(N453),N453,I453))</f>
        <v/>
      </c>
      <c r="B453">
        <f>IF(H453="","",U453)</f>
        <v/>
      </c>
      <c r="C453">
        <f>IF(H453="","",IF(P453="",K453,INDEX('Students'!$A$2:$A$701,P453)))</f>
        <v/>
      </c>
      <c r="D453">
        <f>IF(OR(H453="",P453=""),"",INDEX('Students'!$B$2:$B$701,P453))</f>
        <v/>
      </c>
      <c r="E453">
        <f>IF(OR(H453="",P453=""),"",INDEX('Students'!$C$2:$C$701,P453))</f>
        <v/>
      </c>
      <c r="F453" s="48">
        <f>IF(H453="","",IF(ISNUMBER(O453),O453,J453))</f>
        <v/>
      </c>
      <c r="G453">
        <f>IF(H453="","","OneCause")</f>
        <v/>
      </c>
      <c r="H453">
        <f>IF(AND(I453="",J453="",K453=""),"",IF(NOT(ISNUMBER(O453)),"Bad amount",IF(O453&lt;0,"Refund (not counted)",IF(O453=0,"Zero amount",IF(NOT(ISNUMBER(N453)),"Bad date",IF(P453="","NAME NOT ON ROSTER",IF(L453="","OK",IF(MATCH(L453,$L$2:$L$3001,0)&lt;ROW()-1,"Duplicate (ignored)","OK"))))))))</f>
        <v/>
      </c>
      <c r="I453">
        <f>IF(OC_Date=0,"",IF(INDEX('OneCause_Paste'!$A$453:$AZ$453,1,OC_Date)="","",INDEX('OneCause_Paste'!$A$453:$AZ$453,1,OC_Date)))</f>
        <v/>
      </c>
      <c r="J453">
        <f>IF(OC_Amt=0,"",IF(INDEX('OneCause_Paste'!$A$453:$AZ$453,1,OC_Amt)="","",INDEX('OneCause_Paste'!$A$453:$AZ$453,1,OC_Amt)))</f>
        <v/>
      </c>
      <c r="K453">
        <f>IF(OC_Name=0,"",IF(INDEX('OneCause_Paste'!$A$453:$AZ$453,1,OC_Name)="","",INDEX('OneCause_Paste'!$A$453:$AZ$453,1,OC_Name)))</f>
        <v/>
      </c>
      <c r="L453">
        <f>IF(OC_Txn=0,"",IF(INDEX('OneCause_Paste'!$A$453:$AZ$453,1,OC_Txn)="","",INDEX('OneCause_Paste'!$A$453:$AZ$453,1,OC_Txn)))</f>
        <v/>
      </c>
      <c r="M453">
        <f>IF(OC_Pay=0,"",IF(INDEX('OneCause_Paste'!$A$453:$AZ$453,1,OC_Pay)="","",INDEX('OneCause_Paste'!$A$453:$AZ$453,1,OC_Pay)))</f>
        <v/>
      </c>
      <c r="N453">
        <f>IF(I453="","",IF(ISNUMBER(I453),INT(I453),IFERROR(INT(DATEVALUE(I453)),IFERROR(INT(VALUE(I453)),"bad"))))</f>
        <v/>
      </c>
      <c r="O453">
        <f>IF(J453="","",IF(ISNUMBER(J453),ROUND(J453,2),IFERROR(ROUND(VALUE(SUBSTITUTE(SUBSTITUTE(SUBSTITUTE(J453,"$",""),",","")," ","")),2),"bad")))</f>
        <v/>
      </c>
      <c r="P453">
        <f>IF(TRIM(K453)="","",IFERROR(MATCH(LOWER(TRIM(K453)),'Students'!$AH$2:$AH$701,0),IFERROR(MATCH(LOWER(TRIM(K453)),'Students'!$AF$2:$AF$701,0),IFERROR(MATCH(LOWER(TRIM(K453)),'Students'!$AG$2:$AG$701,0),""))))</f>
        <v/>
      </c>
      <c r="R453">
        <f>IF(P453="","",INDEX('Students'!$AD$2:$AD$701,P453))</f>
        <v/>
      </c>
      <c r="S453">
        <f>IF(H453="OK",O453,0)</f>
        <v/>
      </c>
      <c r="T453">
        <f>IF(H453="OK",N453,"")</f>
        <v/>
      </c>
      <c r="U453">
        <f>IF(OC_Donor=0,"",IF(INDEX('OneCause_Paste'!$A$453:$AZ$453,1,OC_Donor)="","",INDEX('OneCause_Paste'!$A$453:$AZ$453,1,OC_Donor)))</f>
        <v/>
      </c>
    </row>
    <row r="454">
      <c r="A454" s="62">
        <f>IF(H454="","",IF(ISNUMBER(N454),N454,I454))</f>
        <v/>
      </c>
      <c r="B454">
        <f>IF(H454="","",U454)</f>
        <v/>
      </c>
      <c r="C454">
        <f>IF(H454="","",IF(P454="",K454,INDEX('Students'!$A$2:$A$701,P454)))</f>
        <v/>
      </c>
      <c r="D454">
        <f>IF(OR(H454="",P454=""),"",INDEX('Students'!$B$2:$B$701,P454))</f>
        <v/>
      </c>
      <c r="E454">
        <f>IF(OR(H454="",P454=""),"",INDEX('Students'!$C$2:$C$701,P454))</f>
        <v/>
      </c>
      <c r="F454" s="48">
        <f>IF(H454="","",IF(ISNUMBER(O454),O454,J454))</f>
        <v/>
      </c>
      <c r="G454">
        <f>IF(H454="","","OneCause")</f>
        <v/>
      </c>
      <c r="H454">
        <f>IF(AND(I454="",J454="",K454=""),"",IF(NOT(ISNUMBER(O454)),"Bad amount",IF(O454&lt;0,"Refund (not counted)",IF(O454=0,"Zero amount",IF(NOT(ISNUMBER(N454)),"Bad date",IF(P454="","NAME NOT ON ROSTER",IF(L454="","OK",IF(MATCH(L454,$L$2:$L$3001,0)&lt;ROW()-1,"Duplicate (ignored)","OK"))))))))</f>
        <v/>
      </c>
      <c r="I454">
        <f>IF(OC_Date=0,"",IF(INDEX('OneCause_Paste'!$A$454:$AZ$454,1,OC_Date)="","",INDEX('OneCause_Paste'!$A$454:$AZ$454,1,OC_Date)))</f>
        <v/>
      </c>
      <c r="J454">
        <f>IF(OC_Amt=0,"",IF(INDEX('OneCause_Paste'!$A$454:$AZ$454,1,OC_Amt)="","",INDEX('OneCause_Paste'!$A$454:$AZ$454,1,OC_Amt)))</f>
        <v/>
      </c>
      <c r="K454">
        <f>IF(OC_Name=0,"",IF(INDEX('OneCause_Paste'!$A$454:$AZ$454,1,OC_Name)="","",INDEX('OneCause_Paste'!$A$454:$AZ$454,1,OC_Name)))</f>
        <v/>
      </c>
      <c r="L454">
        <f>IF(OC_Txn=0,"",IF(INDEX('OneCause_Paste'!$A$454:$AZ$454,1,OC_Txn)="","",INDEX('OneCause_Paste'!$A$454:$AZ$454,1,OC_Txn)))</f>
        <v/>
      </c>
      <c r="M454">
        <f>IF(OC_Pay=0,"",IF(INDEX('OneCause_Paste'!$A$454:$AZ$454,1,OC_Pay)="","",INDEX('OneCause_Paste'!$A$454:$AZ$454,1,OC_Pay)))</f>
        <v/>
      </c>
      <c r="N454">
        <f>IF(I454="","",IF(ISNUMBER(I454),INT(I454),IFERROR(INT(DATEVALUE(I454)),IFERROR(INT(VALUE(I454)),"bad"))))</f>
        <v/>
      </c>
      <c r="O454">
        <f>IF(J454="","",IF(ISNUMBER(J454),ROUND(J454,2),IFERROR(ROUND(VALUE(SUBSTITUTE(SUBSTITUTE(SUBSTITUTE(J454,"$",""),",","")," ","")),2),"bad")))</f>
        <v/>
      </c>
      <c r="P454">
        <f>IF(TRIM(K454)="","",IFERROR(MATCH(LOWER(TRIM(K454)),'Students'!$AH$2:$AH$701,0),IFERROR(MATCH(LOWER(TRIM(K454)),'Students'!$AF$2:$AF$701,0),IFERROR(MATCH(LOWER(TRIM(K454)),'Students'!$AG$2:$AG$701,0),""))))</f>
        <v/>
      </c>
      <c r="R454">
        <f>IF(P454="","",INDEX('Students'!$AD$2:$AD$701,P454))</f>
        <v/>
      </c>
      <c r="S454">
        <f>IF(H454="OK",O454,0)</f>
        <v/>
      </c>
      <c r="T454">
        <f>IF(H454="OK",N454,"")</f>
        <v/>
      </c>
      <c r="U454">
        <f>IF(OC_Donor=0,"",IF(INDEX('OneCause_Paste'!$A$454:$AZ$454,1,OC_Donor)="","",INDEX('OneCause_Paste'!$A$454:$AZ$454,1,OC_Donor)))</f>
        <v/>
      </c>
    </row>
    <row r="455">
      <c r="A455" s="62">
        <f>IF(H455="","",IF(ISNUMBER(N455),N455,I455))</f>
        <v/>
      </c>
      <c r="B455">
        <f>IF(H455="","",U455)</f>
        <v/>
      </c>
      <c r="C455">
        <f>IF(H455="","",IF(P455="",K455,INDEX('Students'!$A$2:$A$701,P455)))</f>
        <v/>
      </c>
      <c r="D455">
        <f>IF(OR(H455="",P455=""),"",INDEX('Students'!$B$2:$B$701,P455))</f>
        <v/>
      </c>
      <c r="E455">
        <f>IF(OR(H455="",P455=""),"",INDEX('Students'!$C$2:$C$701,P455))</f>
        <v/>
      </c>
      <c r="F455" s="48">
        <f>IF(H455="","",IF(ISNUMBER(O455),O455,J455))</f>
        <v/>
      </c>
      <c r="G455">
        <f>IF(H455="","","OneCause")</f>
        <v/>
      </c>
      <c r="H455">
        <f>IF(AND(I455="",J455="",K455=""),"",IF(NOT(ISNUMBER(O455)),"Bad amount",IF(O455&lt;0,"Refund (not counted)",IF(O455=0,"Zero amount",IF(NOT(ISNUMBER(N455)),"Bad date",IF(P455="","NAME NOT ON ROSTER",IF(L455="","OK",IF(MATCH(L455,$L$2:$L$3001,0)&lt;ROW()-1,"Duplicate (ignored)","OK"))))))))</f>
        <v/>
      </c>
      <c r="I455">
        <f>IF(OC_Date=0,"",IF(INDEX('OneCause_Paste'!$A$455:$AZ$455,1,OC_Date)="","",INDEX('OneCause_Paste'!$A$455:$AZ$455,1,OC_Date)))</f>
        <v/>
      </c>
      <c r="J455">
        <f>IF(OC_Amt=0,"",IF(INDEX('OneCause_Paste'!$A$455:$AZ$455,1,OC_Amt)="","",INDEX('OneCause_Paste'!$A$455:$AZ$455,1,OC_Amt)))</f>
        <v/>
      </c>
      <c r="K455">
        <f>IF(OC_Name=0,"",IF(INDEX('OneCause_Paste'!$A$455:$AZ$455,1,OC_Name)="","",INDEX('OneCause_Paste'!$A$455:$AZ$455,1,OC_Name)))</f>
        <v/>
      </c>
      <c r="L455">
        <f>IF(OC_Txn=0,"",IF(INDEX('OneCause_Paste'!$A$455:$AZ$455,1,OC_Txn)="","",INDEX('OneCause_Paste'!$A$455:$AZ$455,1,OC_Txn)))</f>
        <v/>
      </c>
      <c r="M455">
        <f>IF(OC_Pay=0,"",IF(INDEX('OneCause_Paste'!$A$455:$AZ$455,1,OC_Pay)="","",INDEX('OneCause_Paste'!$A$455:$AZ$455,1,OC_Pay)))</f>
        <v/>
      </c>
      <c r="N455">
        <f>IF(I455="","",IF(ISNUMBER(I455),INT(I455),IFERROR(INT(DATEVALUE(I455)),IFERROR(INT(VALUE(I455)),"bad"))))</f>
        <v/>
      </c>
      <c r="O455">
        <f>IF(J455="","",IF(ISNUMBER(J455),ROUND(J455,2),IFERROR(ROUND(VALUE(SUBSTITUTE(SUBSTITUTE(SUBSTITUTE(J455,"$",""),",","")," ","")),2),"bad")))</f>
        <v/>
      </c>
      <c r="P455">
        <f>IF(TRIM(K455)="","",IFERROR(MATCH(LOWER(TRIM(K455)),'Students'!$AH$2:$AH$701,0),IFERROR(MATCH(LOWER(TRIM(K455)),'Students'!$AF$2:$AF$701,0),IFERROR(MATCH(LOWER(TRIM(K455)),'Students'!$AG$2:$AG$701,0),""))))</f>
        <v/>
      </c>
      <c r="R455">
        <f>IF(P455="","",INDEX('Students'!$AD$2:$AD$701,P455))</f>
        <v/>
      </c>
      <c r="S455">
        <f>IF(H455="OK",O455,0)</f>
        <v/>
      </c>
      <c r="T455">
        <f>IF(H455="OK",N455,"")</f>
        <v/>
      </c>
      <c r="U455">
        <f>IF(OC_Donor=0,"",IF(INDEX('OneCause_Paste'!$A$455:$AZ$455,1,OC_Donor)="","",INDEX('OneCause_Paste'!$A$455:$AZ$455,1,OC_Donor)))</f>
        <v/>
      </c>
    </row>
    <row r="456">
      <c r="A456" s="62">
        <f>IF(H456="","",IF(ISNUMBER(N456),N456,I456))</f>
        <v/>
      </c>
      <c r="B456">
        <f>IF(H456="","",U456)</f>
        <v/>
      </c>
      <c r="C456">
        <f>IF(H456="","",IF(P456="",K456,INDEX('Students'!$A$2:$A$701,P456)))</f>
        <v/>
      </c>
      <c r="D456">
        <f>IF(OR(H456="",P456=""),"",INDEX('Students'!$B$2:$B$701,P456))</f>
        <v/>
      </c>
      <c r="E456">
        <f>IF(OR(H456="",P456=""),"",INDEX('Students'!$C$2:$C$701,P456))</f>
        <v/>
      </c>
      <c r="F456" s="48">
        <f>IF(H456="","",IF(ISNUMBER(O456),O456,J456))</f>
        <v/>
      </c>
      <c r="G456">
        <f>IF(H456="","","OneCause")</f>
        <v/>
      </c>
      <c r="H456">
        <f>IF(AND(I456="",J456="",K456=""),"",IF(NOT(ISNUMBER(O456)),"Bad amount",IF(O456&lt;0,"Refund (not counted)",IF(O456=0,"Zero amount",IF(NOT(ISNUMBER(N456)),"Bad date",IF(P456="","NAME NOT ON ROSTER",IF(L456="","OK",IF(MATCH(L456,$L$2:$L$3001,0)&lt;ROW()-1,"Duplicate (ignored)","OK"))))))))</f>
        <v/>
      </c>
      <c r="I456">
        <f>IF(OC_Date=0,"",IF(INDEX('OneCause_Paste'!$A$456:$AZ$456,1,OC_Date)="","",INDEX('OneCause_Paste'!$A$456:$AZ$456,1,OC_Date)))</f>
        <v/>
      </c>
      <c r="J456">
        <f>IF(OC_Amt=0,"",IF(INDEX('OneCause_Paste'!$A$456:$AZ$456,1,OC_Amt)="","",INDEX('OneCause_Paste'!$A$456:$AZ$456,1,OC_Amt)))</f>
        <v/>
      </c>
      <c r="K456">
        <f>IF(OC_Name=0,"",IF(INDEX('OneCause_Paste'!$A$456:$AZ$456,1,OC_Name)="","",INDEX('OneCause_Paste'!$A$456:$AZ$456,1,OC_Name)))</f>
        <v/>
      </c>
      <c r="L456">
        <f>IF(OC_Txn=0,"",IF(INDEX('OneCause_Paste'!$A$456:$AZ$456,1,OC_Txn)="","",INDEX('OneCause_Paste'!$A$456:$AZ$456,1,OC_Txn)))</f>
        <v/>
      </c>
      <c r="M456">
        <f>IF(OC_Pay=0,"",IF(INDEX('OneCause_Paste'!$A$456:$AZ$456,1,OC_Pay)="","",INDEX('OneCause_Paste'!$A$456:$AZ$456,1,OC_Pay)))</f>
        <v/>
      </c>
      <c r="N456">
        <f>IF(I456="","",IF(ISNUMBER(I456),INT(I456),IFERROR(INT(DATEVALUE(I456)),IFERROR(INT(VALUE(I456)),"bad"))))</f>
        <v/>
      </c>
      <c r="O456">
        <f>IF(J456="","",IF(ISNUMBER(J456),ROUND(J456,2),IFERROR(ROUND(VALUE(SUBSTITUTE(SUBSTITUTE(SUBSTITUTE(J456,"$",""),",","")," ","")),2),"bad")))</f>
        <v/>
      </c>
      <c r="P456">
        <f>IF(TRIM(K456)="","",IFERROR(MATCH(LOWER(TRIM(K456)),'Students'!$AH$2:$AH$701,0),IFERROR(MATCH(LOWER(TRIM(K456)),'Students'!$AF$2:$AF$701,0),IFERROR(MATCH(LOWER(TRIM(K456)),'Students'!$AG$2:$AG$701,0),""))))</f>
        <v/>
      </c>
      <c r="R456">
        <f>IF(P456="","",INDEX('Students'!$AD$2:$AD$701,P456))</f>
        <v/>
      </c>
      <c r="S456">
        <f>IF(H456="OK",O456,0)</f>
        <v/>
      </c>
      <c r="T456">
        <f>IF(H456="OK",N456,"")</f>
        <v/>
      </c>
      <c r="U456">
        <f>IF(OC_Donor=0,"",IF(INDEX('OneCause_Paste'!$A$456:$AZ$456,1,OC_Donor)="","",INDEX('OneCause_Paste'!$A$456:$AZ$456,1,OC_Donor)))</f>
        <v/>
      </c>
    </row>
    <row r="457">
      <c r="A457" s="62">
        <f>IF(H457="","",IF(ISNUMBER(N457),N457,I457))</f>
        <v/>
      </c>
      <c r="B457">
        <f>IF(H457="","",U457)</f>
        <v/>
      </c>
      <c r="C457">
        <f>IF(H457="","",IF(P457="",K457,INDEX('Students'!$A$2:$A$701,P457)))</f>
        <v/>
      </c>
      <c r="D457">
        <f>IF(OR(H457="",P457=""),"",INDEX('Students'!$B$2:$B$701,P457))</f>
        <v/>
      </c>
      <c r="E457">
        <f>IF(OR(H457="",P457=""),"",INDEX('Students'!$C$2:$C$701,P457))</f>
        <v/>
      </c>
      <c r="F457" s="48">
        <f>IF(H457="","",IF(ISNUMBER(O457),O457,J457))</f>
        <v/>
      </c>
      <c r="G457">
        <f>IF(H457="","","OneCause")</f>
        <v/>
      </c>
      <c r="H457">
        <f>IF(AND(I457="",J457="",K457=""),"",IF(NOT(ISNUMBER(O457)),"Bad amount",IF(O457&lt;0,"Refund (not counted)",IF(O457=0,"Zero amount",IF(NOT(ISNUMBER(N457)),"Bad date",IF(P457="","NAME NOT ON ROSTER",IF(L457="","OK",IF(MATCH(L457,$L$2:$L$3001,0)&lt;ROW()-1,"Duplicate (ignored)","OK"))))))))</f>
        <v/>
      </c>
      <c r="I457">
        <f>IF(OC_Date=0,"",IF(INDEX('OneCause_Paste'!$A$457:$AZ$457,1,OC_Date)="","",INDEX('OneCause_Paste'!$A$457:$AZ$457,1,OC_Date)))</f>
        <v/>
      </c>
      <c r="J457">
        <f>IF(OC_Amt=0,"",IF(INDEX('OneCause_Paste'!$A$457:$AZ$457,1,OC_Amt)="","",INDEX('OneCause_Paste'!$A$457:$AZ$457,1,OC_Amt)))</f>
        <v/>
      </c>
      <c r="K457">
        <f>IF(OC_Name=0,"",IF(INDEX('OneCause_Paste'!$A$457:$AZ$457,1,OC_Name)="","",INDEX('OneCause_Paste'!$A$457:$AZ$457,1,OC_Name)))</f>
        <v/>
      </c>
      <c r="L457">
        <f>IF(OC_Txn=0,"",IF(INDEX('OneCause_Paste'!$A$457:$AZ$457,1,OC_Txn)="","",INDEX('OneCause_Paste'!$A$457:$AZ$457,1,OC_Txn)))</f>
        <v/>
      </c>
      <c r="M457">
        <f>IF(OC_Pay=0,"",IF(INDEX('OneCause_Paste'!$A$457:$AZ$457,1,OC_Pay)="","",INDEX('OneCause_Paste'!$A$457:$AZ$457,1,OC_Pay)))</f>
        <v/>
      </c>
      <c r="N457">
        <f>IF(I457="","",IF(ISNUMBER(I457),INT(I457),IFERROR(INT(DATEVALUE(I457)),IFERROR(INT(VALUE(I457)),"bad"))))</f>
        <v/>
      </c>
      <c r="O457">
        <f>IF(J457="","",IF(ISNUMBER(J457),ROUND(J457,2),IFERROR(ROUND(VALUE(SUBSTITUTE(SUBSTITUTE(SUBSTITUTE(J457,"$",""),",","")," ","")),2),"bad")))</f>
        <v/>
      </c>
      <c r="P457">
        <f>IF(TRIM(K457)="","",IFERROR(MATCH(LOWER(TRIM(K457)),'Students'!$AH$2:$AH$701,0),IFERROR(MATCH(LOWER(TRIM(K457)),'Students'!$AF$2:$AF$701,0),IFERROR(MATCH(LOWER(TRIM(K457)),'Students'!$AG$2:$AG$701,0),""))))</f>
        <v/>
      </c>
      <c r="R457">
        <f>IF(P457="","",INDEX('Students'!$AD$2:$AD$701,P457))</f>
        <v/>
      </c>
      <c r="S457">
        <f>IF(H457="OK",O457,0)</f>
        <v/>
      </c>
      <c r="T457">
        <f>IF(H457="OK",N457,"")</f>
        <v/>
      </c>
      <c r="U457">
        <f>IF(OC_Donor=0,"",IF(INDEX('OneCause_Paste'!$A$457:$AZ$457,1,OC_Donor)="","",INDEX('OneCause_Paste'!$A$457:$AZ$457,1,OC_Donor)))</f>
        <v/>
      </c>
    </row>
    <row r="458">
      <c r="A458" s="62">
        <f>IF(H458="","",IF(ISNUMBER(N458),N458,I458))</f>
        <v/>
      </c>
      <c r="B458">
        <f>IF(H458="","",U458)</f>
        <v/>
      </c>
      <c r="C458">
        <f>IF(H458="","",IF(P458="",K458,INDEX('Students'!$A$2:$A$701,P458)))</f>
        <v/>
      </c>
      <c r="D458">
        <f>IF(OR(H458="",P458=""),"",INDEX('Students'!$B$2:$B$701,P458))</f>
        <v/>
      </c>
      <c r="E458">
        <f>IF(OR(H458="",P458=""),"",INDEX('Students'!$C$2:$C$701,P458))</f>
        <v/>
      </c>
      <c r="F458" s="48">
        <f>IF(H458="","",IF(ISNUMBER(O458),O458,J458))</f>
        <v/>
      </c>
      <c r="G458">
        <f>IF(H458="","","OneCause")</f>
        <v/>
      </c>
      <c r="H458">
        <f>IF(AND(I458="",J458="",K458=""),"",IF(NOT(ISNUMBER(O458)),"Bad amount",IF(O458&lt;0,"Refund (not counted)",IF(O458=0,"Zero amount",IF(NOT(ISNUMBER(N458)),"Bad date",IF(P458="","NAME NOT ON ROSTER",IF(L458="","OK",IF(MATCH(L458,$L$2:$L$3001,0)&lt;ROW()-1,"Duplicate (ignored)","OK"))))))))</f>
        <v/>
      </c>
      <c r="I458">
        <f>IF(OC_Date=0,"",IF(INDEX('OneCause_Paste'!$A$458:$AZ$458,1,OC_Date)="","",INDEX('OneCause_Paste'!$A$458:$AZ$458,1,OC_Date)))</f>
        <v/>
      </c>
      <c r="J458">
        <f>IF(OC_Amt=0,"",IF(INDEX('OneCause_Paste'!$A$458:$AZ$458,1,OC_Amt)="","",INDEX('OneCause_Paste'!$A$458:$AZ$458,1,OC_Amt)))</f>
        <v/>
      </c>
      <c r="K458">
        <f>IF(OC_Name=0,"",IF(INDEX('OneCause_Paste'!$A$458:$AZ$458,1,OC_Name)="","",INDEX('OneCause_Paste'!$A$458:$AZ$458,1,OC_Name)))</f>
        <v/>
      </c>
      <c r="L458">
        <f>IF(OC_Txn=0,"",IF(INDEX('OneCause_Paste'!$A$458:$AZ$458,1,OC_Txn)="","",INDEX('OneCause_Paste'!$A$458:$AZ$458,1,OC_Txn)))</f>
        <v/>
      </c>
      <c r="M458">
        <f>IF(OC_Pay=0,"",IF(INDEX('OneCause_Paste'!$A$458:$AZ$458,1,OC_Pay)="","",INDEX('OneCause_Paste'!$A$458:$AZ$458,1,OC_Pay)))</f>
        <v/>
      </c>
      <c r="N458">
        <f>IF(I458="","",IF(ISNUMBER(I458),INT(I458),IFERROR(INT(DATEVALUE(I458)),IFERROR(INT(VALUE(I458)),"bad"))))</f>
        <v/>
      </c>
      <c r="O458">
        <f>IF(J458="","",IF(ISNUMBER(J458),ROUND(J458,2),IFERROR(ROUND(VALUE(SUBSTITUTE(SUBSTITUTE(SUBSTITUTE(J458,"$",""),",","")," ","")),2),"bad")))</f>
        <v/>
      </c>
      <c r="P458">
        <f>IF(TRIM(K458)="","",IFERROR(MATCH(LOWER(TRIM(K458)),'Students'!$AH$2:$AH$701,0),IFERROR(MATCH(LOWER(TRIM(K458)),'Students'!$AF$2:$AF$701,0),IFERROR(MATCH(LOWER(TRIM(K458)),'Students'!$AG$2:$AG$701,0),""))))</f>
        <v/>
      </c>
      <c r="R458">
        <f>IF(P458="","",INDEX('Students'!$AD$2:$AD$701,P458))</f>
        <v/>
      </c>
      <c r="S458">
        <f>IF(H458="OK",O458,0)</f>
        <v/>
      </c>
      <c r="T458">
        <f>IF(H458="OK",N458,"")</f>
        <v/>
      </c>
      <c r="U458">
        <f>IF(OC_Donor=0,"",IF(INDEX('OneCause_Paste'!$A$458:$AZ$458,1,OC_Donor)="","",INDEX('OneCause_Paste'!$A$458:$AZ$458,1,OC_Donor)))</f>
        <v/>
      </c>
    </row>
    <row r="459">
      <c r="A459" s="62">
        <f>IF(H459="","",IF(ISNUMBER(N459),N459,I459))</f>
        <v/>
      </c>
      <c r="B459">
        <f>IF(H459="","",U459)</f>
        <v/>
      </c>
      <c r="C459">
        <f>IF(H459="","",IF(P459="",K459,INDEX('Students'!$A$2:$A$701,P459)))</f>
        <v/>
      </c>
      <c r="D459">
        <f>IF(OR(H459="",P459=""),"",INDEX('Students'!$B$2:$B$701,P459))</f>
        <v/>
      </c>
      <c r="E459">
        <f>IF(OR(H459="",P459=""),"",INDEX('Students'!$C$2:$C$701,P459))</f>
        <v/>
      </c>
      <c r="F459" s="48">
        <f>IF(H459="","",IF(ISNUMBER(O459),O459,J459))</f>
        <v/>
      </c>
      <c r="G459">
        <f>IF(H459="","","OneCause")</f>
        <v/>
      </c>
      <c r="H459">
        <f>IF(AND(I459="",J459="",K459=""),"",IF(NOT(ISNUMBER(O459)),"Bad amount",IF(O459&lt;0,"Refund (not counted)",IF(O459=0,"Zero amount",IF(NOT(ISNUMBER(N459)),"Bad date",IF(P459="","NAME NOT ON ROSTER",IF(L459="","OK",IF(MATCH(L459,$L$2:$L$3001,0)&lt;ROW()-1,"Duplicate (ignored)","OK"))))))))</f>
        <v/>
      </c>
      <c r="I459">
        <f>IF(OC_Date=0,"",IF(INDEX('OneCause_Paste'!$A$459:$AZ$459,1,OC_Date)="","",INDEX('OneCause_Paste'!$A$459:$AZ$459,1,OC_Date)))</f>
        <v/>
      </c>
      <c r="J459">
        <f>IF(OC_Amt=0,"",IF(INDEX('OneCause_Paste'!$A$459:$AZ$459,1,OC_Amt)="","",INDEX('OneCause_Paste'!$A$459:$AZ$459,1,OC_Amt)))</f>
        <v/>
      </c>
      <c r="K459">
        <f>IF(OC_Name=0,"",IF(INDEX('OneCause_Paste'!$A$459:$AZ$459,1,OC_Name)="","",INDEX('OneCause_Paste'!$A$459:$AZ$459,1,OC_Name)))</f>
        <v/>
      </c>
      <c r="L459">
        <f>IF(OC_Txn=0,"",IF(INDEX('OneCause_Paste'!$A$459:$AZ$459,1,OC_Txn)="","",INDEX('OneCause_Paste'!$A$459:$AZ$459,1,OC_Txn)))</f>
        <v/>
      </c>
      <c r="M459">
        <f>IF(OC_Pay=0,"",IF(INDEX('OneCause_Paste'!$A$459:$AZ$459,1,OC_Pay)="","",INDEX('OneCause_Paste'!$A$459:$AZ$459,1,OC_Pay)))</f>
        <v/>
      </c>
      <c r="N459">
        <f>IF(I459="","",IF(ISNUMBER(I459),INT(I459),IFERROR(INT(DATEVALUE(I459)),IFERROR(INT(VALUE(I459)),"bad"))))</f>
        <v/>
      </c>
      <c r="O459">
        <f>IF(J459="","",IF(ISNUMBER(J459),ROUND(J459,2),IFERROR(ROUND(VALUE(SUBSTITUTE(SUBSTITUTE(SUBSTITUTE(J459,"$",""),",","")," ","")),2),"bad")))</f>
        <v/>
      </c>
      <c r="P459">
        <f>IF(TRIM(K459)="","",IFERROR(MATCH(LOWER(TRIM(K459)),'Students'!$AH$2:$AH$701,0),IFERROR(MATCH(LOWER(TRIM(K459)),'Students'!$AF$2:$AF$701,0),IFERROR(MATCH(LOWER(TRIM(K459)),'Students'!$AG$2:$AG$701,0),""))))</f>
        <v/>
      </c>
      <c r="R459">
        <f>IF(P459="","",INDEX('Students'!$AD$2:$AD$701,P459))</f>
        <v/>
      </c>
      <c r="S459">
        <f>IF(H459="OK",O459,0)</f>
        <v/>
      </c>
      <c r="T459">
        <f>IF(H459="OK",N459,"")</f>
        <v/>
      </c>
      <c r="U459">
        <f>IF(OC_Donor=0,"",IF(INDEX('OneCause_Paste'!$A$459:$AZ$459,1,OC_Donor)="","",INDEX('OneCause_Paste'!$A$459:$AZ$459,1,OC_Donor)))</f>
        <v/>
      </c>
    </row>
    <row r="460">
      <c r="A460" s="62">
        <f>IF(H460="","",IF(ISNUMBER(N460),N460,I460))</f>
        <v/>
      </c>
      <c r="B460">
        <f>IF(H460="","",U460)</f>
        <v/>
      </c>
      <c r="C460">
        <f>IF(H460="","",IF(P460="",K460,INDEX('Students'!$A$2:$A$701,P460)))</f>
        <v/>
      </c>
      <c r="D460">
        <f>IF(OR(H460="",P460=""),"",INDEX('Students'!$B$2:$B$701,P460))</f>
        <v/>
      </c>
      <c r="E460">
        <f>IF(OR(H460="",P460=""),"",INDEX('Students'!$C$2:$C$701,P460))</f>
        <v/>
      </c>
      <c r="F460" s="48">
        <f>IF(H460="","",IF(ISNUMBER(O460),O460,J460))</f>
        <v/>
      </c>
      <c r="G460">
        <f>IF(H460="","","OneCause")</f>
        <v/>
      </c>
      <c r="H460">
        <f>IF(AND(I460="",J460="",K460=""),"",IF(NOT(ISNUMBER(O460)),"Bad amount",IF(O460&lt;0,"Refund (not counted)",IF(O460=0,"Zero amount",IF(NOT(ISNUMBER(N460)),"Bad date",IF(P460="","NAME NOT ON ROSTER",IF(L460="","OK",IF(MATCH(L460,$L$2:$L$3001,0)&lt;ROW()-1,"Duplicate (ignored)","OK"))))))))</f>
        <v/>
      </c>
      <c r="I460">
        <f>IF(OC_Date=0,"",IF(INDEX('OneCause_Paste'!$A$460:$AZ$460,1,OC_Date)="","",INDEX('OneCause_Paste'!$A$460:$AZ$460,1,OC_Date)))</f>
        <v/>
      </c>
      <c r="J460">
        <f>IF(OC_Amt=0,"",IF(INDEX('OneCause_Paste'!$A$460:$AZ$460,1,OC_Amt)="","",INDEX('OneCause_Paste'!$A$460:$AZ$460,1,OC_Amt)))</f>
        <v/>
      </c>
      <c r="K460">
        <f>IF(OC_Name=0,"",IF(INDEX('OneCause_Paste'!$A$460:$AZ$460,1,OC_Name)="","",INDEX('OneCause_Paste'!$A$460:$AZ$460,1,OC_Name)))</f>
        <v/>
      </c>
      <c r="L460">
        <f>IF(OC_Txn=0,"",IF(INDEX('OneCause_Paste'!$A$460:$AZ$460,1,OC_Txn)="","",INDEX('OneCause_Paste'!$A$460:$AZ$460,1,OC_Txn)))</f>
        <v/>
      </c>
      <c r="M460">
        <f>IF(OC_Pay=0,"",IF(INDEX('OneCause_Paste'!$A$460:$AZ$460,1,OC_Pay)="","",INDEX('OneCause_Paste'!$A$460:$AZ$460,1,OC_Pay)))</f>
        <v/>
      </c>
      <c r="N460">
        <f>IF(I460="","",IF(ISNUMBER(I460),INT(I460),IFERROR(INT(DATEVALUE(I460)),IFERROR(INT(VALUE(I460)),"bad"))))</f>
        <v/>
      </c>
      <c r="O460">
        <f>IF(J460="","",IF(ISNUMBER(J460),ROUND(J460,2),IFERROR(ROUND(VALUE(SUBSTITUTE(SUBSTITUTE(SUBSTITUTE(J460,"$",""),",","")," ","")),2),"bad")))</f>
        <v/>
      </c>
      <c r="P460">
        <f>IF(TRIM(K460)="","",IFERROR(MATCH(LOWER(TRIM(K460)),'Students'!$AH$2:$AH$701,0),IFERROR(MATCH(LOWER(TRIM(K460)),'Students'!$AF$2:$AF$701,0),IFERROR(MATCH(LOWER(TRIM(K460)),'Students'!$AG$2:$AG$701,0),""))))</f>
        <v/>
      </c>
      <c r="R460">
        <f>IF(P460="","",INDEX('Students'!$AD$2:$AD$701,P460))</f>
        <v/>
      </c>
      <c r="S460">
        <f>IF(H460="OK",O460,0)</f>
        <v/>
      </c>
      <c r="T460">
        <f>IF(H460="OK",N460,"")</f>
        <v/>
      </c>
      <c r="U460">
        <f>IF(OC_Donor=0,"",IF(INDEX('OneCause_Paste'!$A$460:$AZ$460,1,OC_Donor)="","",INDEX('OneCause_Paste'!$A$460:$AZ$460,1,OC_Donor)))</f>
        <v/>
      </c>
    </row>
    <row r="461">
      <c r="A461" s="62">
        <f>IF(H461="","",IF(ISNUMBER(N461),N461,I461))</f>
        <v/>
      </c>
      <c r="B461">
        <f>IF(H461="","",U461)</f>
        <v/>
      </c>
      <c r="C461">
        <f>IF(H461="","",IF(P461="",K461,INDEX('Students'!$A$2:$A$701,P461)))</f>
        <v/>
      </c>
      <c r="D461">
        <f>IF(OR(H461="",P461=""),"",INDEX('Students'!$B$2:$B$701,P461))</f>
        <v/>
      </c>
      <c r="E461">
        <f>IF(OR(H461="",P461=""),"",INDEX('Students'!$C$2:$C$701,P461))</f>
        <v/>
      </c>
      <c r="F461" s="48">
        <f>IF(H461="","",IF(ISNUMBER(O461),O461,J461))</f>
        <v/>
      </c>
      <c r="G461">
        <f>IF(H461="","","OneCause")</f>
        <v/>
      </c>
      <c r="H461">
        <f>IF(AND(I461="",J461="",K461=""),"",IF(NOT(ISNUMBER(O461)),"Bad amount",IF(O461&lt;0,"Refund (not counted)",IF(O461=0,"Zero amount",IF(NOT(ISNUMBER(N461)),"Bad date",IF(P461="","NAME NOT ON ROSTER",IF(L461="","OK",IF(MATCH(L461,$L$2:$L$3001,0)&lt;ROW()-1,"Duplicate (ignored)","OK"))))))))</f>
        <v/>
      </c>
      <c r="I461">
        <f>IF(OC_Date=0,"",IF(INDEX('OneCause_Paste'!$A$461:$AZ$461,1,OC_Date)="","",INDEX('OneCause_Paste'!$A$461:$AZ$461,1,OC_Date)))</f>
        <v/>
      </c>
      <c r="J461">
        <f>IF(OC_Amt=0,"",IF(INDEX('OneCause_Paste'!$A$461:$AZ$461,1,OC_Amt)="","",INDEX('OneCause_Paste'!$A$461:$AZ$461,1,OC_Amt)))</f>
        <v/>
      </c>
      <c r="K461">
        <f>IF(OC_Name=0,"",IF(INDEX('OneCause_Paste'!$A$461:$AZ$461,1,OC_Name)="","",INDEX('OneCause_Paste'!$A$461:$AZ$461,1,OC_Name)))</f>
        <v/>
      </c>
      <c r="L461">
        <f>IF(OC_Txn=0,"",IF(INDEX('OneCause_Paste'!$A$461:$AZ$461,1,OC_Txn)="","",INDEX('OneCause_Paste'!$A$461:$AZ$461,1,OC_Txn)))</f>
        <v/>
      </c>
      <c r="M461">
        <f>IF(OC_Pay=0,"",IF(INDEX('OneCause_Paste'!$A$461:$AZ$461,1,OC_Pay)="","",INDEX('OneCause_Paste'!$A$461:$AZ$461,1,OC_Pay)))</f>
        <v/>
      </c>
      <c r="N461">
        <f>IF(I461="","",IF(ISNUMBER(I461),INT(I461),IFERROR(INT(DATEVALUE(I461)),IFERROR(INT(VALUE(I461)),"bad"))))</f>
        <v/>
      </c>
      <c r="O461">
        <f>IF(J461="","",IF(ISNUMBER(J461),ROUND(J461,2),IFERROR(ROUND(VALUE(SUBSTITUTE(SUBSTITUTE(SUBSTITUTE(J461,"$",""),",","")," ","")),2),"bad")))</f>
        <v/>
      </c>
      <c r="P461">
        <f>IF(TRIM(K461)="","",IFERROR(MATCH(LOWER(TRIM(K461)),'Students'!$AH$2:$AH$701,0),IFERROR(MATCH(LOWER(TRIM(K461)),'Students'!$AF$2:$AF$701,0),IFERROR(MATCH(LOWER(TRIM(K461)),'Students'!$AG$2:$AG$701,0),""))))</f>
        <v/>
      </c>
      <c r="R461">
        <f>IF(P461="","",INDEX('Students'!$AD$2:$AD$701,P461))</f>
        <v/>
      </c>
      <c r="S461">
        <f>IF(H461="OK",O461,0)</f>
        <v/>
      </c>
      <c r="T461">
        <f>IF(H461="OK",N461,"")</f>
        <v/>
      </c>
      <c r="U461">
        <f>IF(OC_Donor=0,"",IF(INDEX('OneCause_Paste'!$A$461:$AZ$461,1,OC_Donor)="","",INDEX('OneCause_Paste'!$A$461:$AZ$461,1,OC_Donor)))</f>
        <v/>
      </c>
    </row>
    <row r="462">
      <c r="A462" s="62">
        <f>IF(H462="","",IF(ISNUMBER(N462),N462,I462))</f>
        <v/>
      </c>
      <c r="B462">
        <f>IF(H462="","",U462)</f>
        <v/>
      </c>
      <c r="C462">
        <f>IF(H462="","",IF(P462="",K462,INDEX('Students'!$A$2:$A$701,P462)))</f>
        <v/>
      </c>
      <c r="D462">
        <f>IF(OR(H462="",P462=""),"",INDEX('Students'!$B$2:$B$701,P462))</f>
        <v/>
      </c>
      <c r="E462">
        <f>IF(OR(H462="",P462=""),"",INDEX('Students'!$C$2:$C$701,P462))</f>
        <v/>
      </c>
      <c r="F462" s="48">
        <f>IF(H462="","",IF(ISNUMBER(O462),O462,J462))</f>
        <v/>
      </c>
      <c r="G462">
        <f>IF(H462="","","OneCause")</f>
        <v/>
      </c>
      <c r="H462">
        <f>IF(AND(I462="",J462="",K462=""),"",IF(NOT(ISNUMBER(O462)),"Bad amount",IF(O462&lt;0,"Refund (not counted)",IF(O462=0,"Zero amount",IF(NOT(ISNUMBER(N462)),"Bad date",IF(P462="","NAME NOT ON ROSTER",IF(L462="","OK",IF(MATCH(L462,$L$2:$L$3001,0)&lt;ROW()-1,"Duplicate (ignored)","OK"))))))))</f>
        <v/>
      </c>
      <c r="I462">
        <f>IF(OC_Date=0,"",IF(INDEX('OneCause_Paste'!$A$462:$AZ$462,1,OC_Date)="","",INDEX('OneCause_Paste'!$A$462:$AZ$462,1,OC_Date)))</f>
        <v/>
      </c>
      <c r="J462">
        <f>IF(OC_Amt=0,"",IF(INDEX('OneCause_Paste'!$A$462:$AZ$462,1,OC_Amt)="","",INDEX('OneCause_Paste'!$A$462:$AZ$462,1,OC_Amt)))</f>
        <v/>
      </c>
      <c r="K462">
        <f>IF(OC_Name=0,"",IF(INDEX('OneCause_Paste'!$A$462:$AZ$462,1,OC_Name)="","",INDEX('OneCause_Paste'!$A$462:$AZ$462,1,OC_Name)))</f>
        <v/>
      </c>
      <c r="L462">
        <f>IF(OC_Txn=0,"",IF(INDEX('OneCause_Paste'!$A$462:$AZ$462,1,OC_Txn)="","",INDEX('OneCause_Paste'!$A$462:$AZ$462,1,OC_Txn)))</f>
        <v/>
      </c>
      <c r="M462">
        <f>IF(OC_Pay=0,"",IF(INDEX('OneCause_Paste'!$A$462:$AZ$462,1,OC_Pay)="","",INDEX('OneCause_Paste'!$A$462:$AZ$462,1,OC_Pay)))</f>
        <v/>
      </c>
      <c r="N462">
        <f>IF(I462="","",IF(ISNUMBER(I462),INT(I462),IFERROR(INT(DATEVALUE(I462)),IFERROR(INT(VALUE(I462)),"bad"))))</f>
        <v/>
      </c>
      <c r="O462">
        <f>IF(J462="","",IF(ISNUMBER(J462),ROUND(J462,2),IFERROR(ROUND(VALUE(SUBSTITUTE(SUBSTITUTE(SUBSTITUTE(J462,"$",""),",","")," ","")),2),"bad")))</f>
        <v/>
      </c>
      <c r="P462">
        <f>IF(TRIM(K462)="","",IFERROR(MATCH(LOWER(TRIM(K462)),'Students'!$AH$2:$AH$701,0),IFERROR(MATCH(LOWER(TRIM(K462)),'Students'!$AF$2:$AF$701,0),IFERROR(MATCH(LOWER(TRIM(K462)),'Students'!$AG$2:$AG$701,0),""))))</f>
        <v/>
      </c>
      <c r="R462">
        <f>IF(P462="","",INDEX('Students'!$AD$2:$AD$701,P462))</f>
        <v/>
      </c>
      <c r="S462">
        <f>IF(H462="OK",O462,0)</f>
        <v/>
      </c>
      <c r="T462">
        <f>IF(H462="OK",N462,"")</f>
        <v/>
      </c>
      <c r="U462">
        <f>IF(OC_Donor=0,"",IF(INDEX('OneCause_Paste'!$A$462:$AZ$462,1,OC_Donor)="","",INDEX('OneCause_Paste'!$A$462:$AZ$462,1,OC_Donor)))</f>
        <v/>
      </c>
    </row>
    <row r="463">
      <c r="A463" s="62">
        <f>IF(H463="","",IF(ISNUMBER(N463),N463,I463))</f>
        <v/>
      </c>
      <c r="B463">
        <f>IF(H463="","",U463)</f>
        <v/>
      </c>
      <c r="C463">
        <f>IF(H463="","",IF(P463="",K463,INDEX('Students'!$A$2:$A$701,P463)))</f>
        <v/>
      </c>
      <c r="D463">
        <f>IF(OR(H463="",P463=""),"",INDEX('Students'!$B$2:$B$701,P463))</f>
        <v/>
      </c>
      <c r="E463">
        <f>IF(OR(H463="",P463=""),"",INDEX('Students'!$C$2:$C$701,P463))</f>
        <v/>
      </c>
      <c r="F463" s="48">
        <f>IF(H463="","",IF(ISNUMBER(O463),O463,J463))</f>
        <v/>
      </c>
      <c r="G463">
        <f>IF(H463="","","OneCause")</f>
        <v/>
      </c>
      <c r="H463">
        <f>IF(AND(I463="",J463="",K463=""),"",IF(NOT(ISNUMBER(O463)),"Bad amount",IF(O463&lt;0,"Refund (not counted)",IF(O463=0,"Zero amount",IF(NOT(ISNUMBER(N463)),"Bad date",IF(P463="","NAME NOT ON ROSTER",IF(L463="","OK",IF(MATCH(L463,$L$2:$L$3001,0)&lt;ROW()-1,"Duplicate (ignored)","OK"))))))))</f>
        <v/>
      </c>
      <c r="I463">
        <f>IF(OC_Date=0,"",IF(INDEX('OneCause_Paste'!$A$463:$AZ$463,1,OC_Date)="","",INDEX('OneCause_Paste'!$A$463:$AZ$463,1,OC_Date)))</f>
        <v/>
      </c>
      <c r="J463">
        <f>IF(OC_Amt=0,"",IF(INDEX('OneCause_Paste'!$A$463:$AZ$463,1,OC_Amt)="","",INDEX('OneCause_Paste'!$A$463:$AZ$463,1,OC_Amt)))</f>
        <v/>
      </c>
      <c r="K463">
        <f>IF(OC_Name=0,"",IF(INDEX('OneCause_Paste'!$A$463:$AZ$463,1,OC_Name)="","",INDEX('OneCause_Paste'!$A$463:$AZ$463,1,OC_Name)))</f>
        <v/>
      </c>
      <c r="L463">
        <f>IF(OC_Txn=0,"",IF(INDEX('OneCause_Paste'!$A$463:$AZ$463,1,OC_Txn)="","",INDEX('OneCause_Paste'!$A$463:$AZ$463,1,OC_Txn)))</f>
        <v/>
      </c>
      <c r="M463">
        <f>IF(OC_Pay=0,"",IF(INDEX('OneCause_Paste'!$A$463:$AZ$463,1,OC_Pay)="","",INDEX('OneCause_Paste'!$A$463:$AZ$463,1,OC_Pay)))</f>
        <v/>
      </c>
      <c r="N463">
        <f>IF(I463="","",IF(ISNUMBER(I463),INT(I463),IFERROR(INT(DATEVALUE(I463)),IFERROR(INT(VALUE(I463)),"bad"))))</f>
        <v/>
      </c>
      <c r="O463">
        <f>IF(J463="","",IF(ISNUMBER(J463),ROUND(J463,2),IFERROR(ROUND(VALUE(SUBSTITUTE(SUBSTITUTE(SUBSTITUTE(J463,"$",""),",","")," ","")),2),"bad")))</f>
        <v/>
      </c>
      <c r="P463">
        <f>IF(TRIM(K463)="","",IFERROR(MATCH(LOWER(TRIM(K463)),'Students'!$AH$2:$AH$701,0),IFERROR(MATCH(LOWER(TRIM(K463)),'Students'!$AF$2:$AF$701,0),IFERROR(MATCH(LOWER(TRIM(K463)),'Students'!$AG$2:$AG$701,0),""))))</f>
        <v/>
      </c>
      <c r="R463">
        <f>IF(P463="","",INDEX('Students'!$AD$2:$AD$701,P463))</f>
        <v/>
      </c>
      <c r="S463">
        <f>IF(H463="OK",O463,0)</f>
        <v/>
      </c>
      <c r="T463">
        <f>IF(H463="OK",N463,"")</f>
        <v/>
      </c>
      <c r="U463">
        <f>IF(OC_Donor=0,"",IF(INDEX('OneCause_Paste'!$A$463:$AZ$463,1,OC_Donor)="","",INDEX('OneCause_Paste'!$A$463:$AZ$463,1,OC_Donor)))</f>
        <v/>
      </c>
    </row>
    <row r="464">
      <c r="A464" s="62">
        <f>IF(H464="","",IF(ISNUMBER(N464),N464,I464))</f>
        <v/>
      </c>
      <c r="B464">
        <f>IF(H464="","",U464)</f>
        <v/>
      </c>
      <c r="C464">
        <f>IF(H464="","",IF(P464="",K464,INDEX('Students'!$A$2:$A$701,P464)))</f>
        <v/>
      </c>
      <c r="D464">
        <f>IF(OR(H464="",P464=""),"",INDEX('Students'!$B$2:$B$701,P464))</f>
        <v/>
      </c>
      <c r="E464">
        <f>IF(OR(H464="",P464=""),"",INDEX('Students'!$C$2:$C$701,P464))</f>
        <v/>
      </c>
      <c r="F464" s="48">
        <f>IF(H464="","",IF(ISNUMBER(O464),O464,J464))</f>
        <v/>
      </c>
      <c r="G464">
        <f>IF(H464="","","OneCause")</f>
        <v/>
      </c>
      <c r="H464">
        <f>IF(AND(I464="",J464="",K464=""),"",IF(NOT(ISNUMBER(O464)),"Bad amount",IF(O464&lt;0,"Refund (not counted)",IF(O464=0,"Zero amount",IF(NOT(ISNUMBER(N464)),"Bad date",IF(P464="","NAME NOT ON ROSTER",IF(L464="","OK",IF(MATCH(L464,$L$2:$L$3001,0)&lt;ROW()-1,"Duplicate (ignored)","OK"))))))))</f>
        <v/>
      </c>
      <c r="I464">
        <f>IF(OC_Date=0,"",IF(INDEX('OneCause_Paste'!$A$464:$AZ$464,1,OC_Date)="","",INDEX('OneCause_Paste'!$A$464:$AZ$464,1,OC_Date)))</f>
        <v/>
      </c>
      <c r="J464">
        <f>IF(OC_Amt=0,"",IF(INDEX('OneCause_Paste'!$A$464:$AZ$464,1,OC_Amt)="","",INDEX('OneCause_Paste'!$A$464:$AZ$464,1,OC_Amt)))</f>
        <v/>
      </c>
      <c r="K464">
        <f>IF(OC_Name=0,"",IF(INDEX('OneCause_Paste'!$A$464:$AZ$464,1,OC_Name)="","",INDEX('OneCause_Paste'!$A$464:$AZ$464,1,OC_Name)))</f>
        <v/>
      </c>
      <c r="L464">
        <f>IF(OC_Txn=0,"",IF(INDEX('OneCause_Paste'!$A$464:$AZ$464,1,OC_Txn)="","",INDEX('OneCause_Paste'!$A$464:$AZ$464,1,OC_Txn)))</f>
        <v/>
      </c>
      <c r="M464">
        <f>IF(OC_Pay=0,"",IF(INDEX('OneCause_Paste'!$A$464:$AZ$464,1,OC_Pay)="","",INDEX('OneCause_Paste'!$A$464:$AZ$464,1,OC_Pay)))</f>
        <v/>
      </c>
      <c r="N464">
        <f>IF(I464="","",IF(ISNUMBER(I464),INT(I464),IFERROR(INT(DATEVALUE(I464)),IFERROR(INT(VALUE(I464)),"bad"))))</f>
        <v/>
      </c>
      <c r="O464">
        <f>IF(J464="","",IF(ISNUMBER(J464),ROUND(J464,2),IFERROR(ROUND(VALUE(SUBSTITUTE(SUBSTITUTE(SUBSTITUTE(J464,"$",""),",","")," ","")),2),"bad")))</f>
        <v/>
      </c>
      <c r="P464">
        <f>IF(TRIM(K464)="","",IFERROR(MATCH(LOWER(TRIM(K464)),'Students'!$AH$2:$AH$701,0),IFERROR(MATCH(LOWER(TRIM(K464)),'Students'!$AF$2:$AF$701,0),IFERROR(MATCH(LOWER(TRIM(K464)),'Students'!$AG$2:$AG$701,0),""))))</f>
        <v/>
      </c>
      <c r="R464">
        <f>IF(P464="","",INDEX('Students'!$AD$2:$AD$701,P464))</f>
        <v/>
      </c>
      <c r="S464">
        <f>IF(H464="OK",O464,0)</f>
        <v/>
      </c>
      <c r="T464">
        <f>IF(H464="OK",N464,"")</f>
        <v/>
      </c>
      <c r="U464">
        <f>IF(OC_Donor=0,"",IF(INDEX('OneCause_Paste'!$A$464:$AZ$464,1,OC_Donor)="","",INDEX('OneCause_Paste'!$A$464:$AZ$464,1,OC_Donor)))</f>
        <v/>
      </c>
    </row>
    <row r="465">
      <c r="A465" s="62">
        <f>IF(H465="","",IF(ISNUMBER(N465),N465,I465))</f>
        <v/>
      </c>
      <c r="B465">
        <f>IF(H465="","",U465)</f>
        <v/>
      </c>
      <c r="C465">
        <f>IF(H465="","",IF(P465="",K465,INDEX('Students'!$A$2:$A$701,P465)))</f>
        <v/>
      </c>
      <c r="D465">
        <f>IF(OR(H465="",P465=""),"",INDEX('Students'!$B$2:$B$701,P465))</f>
        <v/>
      </c>
      <c r="E465">
        <f>IF(OR(H465="",P465=""),"",INDEX('Students'!$C$2:$C$701,P465))</f>
        <v/>
      </c>
      <c r="F465" s="48">
        <f>IF(H465="","",IF(ISNUMBER(O465),O465,J465))</f>
        <v/>
      </c>
      <c r="G465">
        <f>IF(H465="","","OneCause")</f>
        <v/>
      </c>
      <c r="H465">
        <f>IF(AND(I465="",J465="",K465=""),"",IF(NOT(ISNUMBER(O465)),"Bad amount",IF(O465&lt;0,"Refund (not counted)",IF(O465=0,"Zero amount",IF(NOT(ISNUMBER(N465)),"Bad date",IF(P465="","NAME NOT ON ROSTER",IF(L465="","OK",IF(MATCH(L465,$L$2:$L$3001,0)&lt;ROW()-1,"Duplicate (ignored)","OK"))))))))</f>
        <v/>
      </c>
      <c r="I465">
        <f>IF(OC_Date=0,"",IF(INDEX('OneCause_Paste'!$A$465:$AZ$465,1,OC_Date)="","",INDEX('OneCause_Paste'!$A$465:$AZ$465,1,OC_Date)))</f>
        <v/>
      </c>
      <c r="J465">
        <f>IF(OC_Amt=0,"",IF(INDEX('OneCause_Paste'!$A$465:$AZ$465,1,OC_Amt)="","",INDEX('OneCause_Paste'!$A$465:$AZ$465,1,OC_Amt)))</f>
        <v/>
      </c>
      <c r="K465">
        <f>IF(OC_Name=0,"",IF(INDEX('OneCause_Paste'!$A$465:$AZ$465,1,OC_Name)="","",INDEX('OneCause_Paste'!$A$465:$AZ$465,1,OC_Name)))</f>
        <v/>
      </c>
      <c r="L465">
        <f>IF(OC_Txn=0,"",IF(INDEX('OneCause_Paste'!$A$465:$AZ$465,1,OC_Txn)="","",INDEX('OneCause_Paste'!$A$465:$AZ$465,1,OC_Txn)))</f>
        <v/>
      </c>
      <c r="M465">
        <f>IF(OC_Pay=0,"",IF(INDEX('OneCause_Paste'!$A$465:$AZ$465,1,OC_Pay)="","",INDEX('OneCause_Paste'!$A$465:$AZ$465,1,OC_Pay)))</f>
        <v/>
      </c>
      <c r="N465">
        <f>IF(I465="","",IF(ISNUMBER(I465),INT(I465),IFERROR(INT(DATEVALUE(I465)),IFERROR(INT(VALUE(I465)),"bad"))))</f>
        <v/>
      </c>
      <c r="O465">
        <f>IF(J465="","",IF(ISNUMBER(J465),ROUND(J465,2),IFERROR(ROUND(VALUE(SUBSTITUTE(SUBSTITUTE(SUBSTITUTE(J465,"$",""),",","")," ","")),2),"bad")))</f>
        <v/>
      </c>
      <c r="P465">
        <f>IF(TRIM(K465)="","",IFERROR(MATCH(LOWER(TRIM(K465)),'Students'!$AH$2:$AH$701,0),IFERROR(MATCH(LOWER(TRIM(K465)),'Students'!$AF$2:$AF$701,0),IFERROR(MATCH(LOWER(TRIM(K465)),'Students'!$AG$2:$AG$701,0),""))))</f>
        <v/>
      </c>
      <c r="R465">
        <f>IF(P465="","",INDEX('Students'!$AD$2:$AD$701,P465))</f>
        <v/>
      </c>
      <c r="S465">
        <f>IF(H465="OK",O465,0)</f>
        <v/>
      </c>
      <c r="T465">
        <f>IF(H465="OK",N465,"")</f>
        <v/>
      </c>
      <c r="U465">
        <f>IF(OC_Donor=0,"",IF(INDEX('OneCause_Paste'!$A$465:$AZ$465,1,OC_Donor)="","",INDEX('OneCause_Paste'!$A$465:$AZ$465,1,OC_Donor)))</f>
        <v/>
      </c>
    </row>
    <row r="466">
      <c r="A466" s="62">
        <f>IF(H466="","",IF(ISNUMBER(N466),N466,I466))</f>
        <v/>
      </c>
      <c r="B466">
        <f>IF(H466="","",U466)</f>
        <v/>
      </c>
      <c r="C466">
        <f>IF(H466="","",IF(P466="",K466,INDEX('Students'!$A$2:$A$701,P466)))</f>
        <v/>
      </c>
      <c r="D466">
        <f>IF(OR(H466="",P466=""),"",INDEX('Students'!$B$2:$B$701,P466))</f>
        <v/>
      </c>
      <c r="E466">
        <f>IF(OR(H466="",P466=""),"",INDEX('Students'!$C$2:$C$701,P466))</f>
        <v/>
      </c>
      <c r="F466" s="48">
        <f>IF(H466="","",IF(ISNUMBER(O466),O466,J466))</f>
        <v/>
      </c>
      <c r="G466">
        <f>IF(H466="","","OneCause")</f>
        <v/>
      </c>
      <c r="H466">
        <f>IF(AND(I466="",J466="",K466=""),"",IF(NOT(ISNUMBER(O466)),"Bad amount",IF(O466&lt;0,"Refund (not counted)",IF(O466=0,"Zero amount",IF(NOT(ISNUMBER(N466)),"Bad date",IF(P466="","NAME NOT ON ROSTER",IF(L466="","OK",IF(MATCH(L466,$L$2:$L$3001,0)&lt;ROW()-1,"Duplicate (ignored)","OK"))))))))</f>
        <v/>
      </c>
      <c r="I466">
        <f>IF(OC_Date=0,"",IF(INDEX('OneCause_Paste'!$A$466:$AZ$466,1,OC_Date)="","",INDEX('OneCause_Paste'!$A$466:$AZ$466,1,OC_Date)))</f>
        <v/>
      </c>
      <c r="J466">
        <f>IF(OC_Amt=0,"",IF(INDEX('OneCause_Paste'!$A$466:$AZ$466,1,OC_Amt)="","",INDEX('OneCause_Paste'!$A$466:$AZ$466,1,OC_Amt)))</f>
        <v/>
      </c>
      <c r="K466">
        <f>IF(OC_Name=0,"",IF(INDEX('OneCause_Paste'!$A$466:$AZ$466,1,OC_Name)="","",INDEX('OneCause_Paste'!$A$466:$AZ$466,1,OC_Name)))</f>
        <v/>
      </c>
      <c r="L466">
        <f>IF(OC_Txn=0,"",IF(INDEX('OneCause_Paste'!$A$466:$AZ$466,1,OC_Txn)="","",INDEX('OneCause_Paste'!$A$466:$AZ$466,1,OC_Txn)))</f>
        <v/>
      </c>
      <c r="M466">
        <f>IF(OC_Pay=0,"",IF(INDEX('OneCause_Paste'!$A$466:$AZ$466,1,OC_Pay)="","",INDEX('OneCause_Paste'!$A$466:$AZ$466,1,OC_Pay)))</f>
        <v/>
      </c>
      <c r="N466">
        <f>IF(I466="","",IF(ISNUMBER(I466),INT(I466),IFERROR(INT(DATEVALUE(I466)),IFERROR(INT(VALUE(I466)),"bad"))))</f>
        <v/>
      </c>
      <c r="O466">
        <f>IF(J466="","",IF(ISNUMBER(J466),ROUND(J466,2),IFERROR(ROUND(VALUE(SUBSTITUTE(SUBSTITUTE(SUBSTITUTE(J466,"$",""),",","")," ","")),2),"bad")))</f>
        <v/>
      </c>
      <c r="P466">
        <f>IF(TRIM(K466)="","",IFERROR(MATCH(LOWER(TRIM(K466)),'Students'!$AH$2:$AH$701,0),IFERROR(MATCH(LOWER(TRIM(K466)),'Students'!$AF$2:$AF$701,0),IFERROR(MATCH(LOWER(TRIM(K466)),'Students'!$AG$2:$AG$701,0),""))))</f>
        <v/>
      </c>
      <c r="R466">
        <f>IF(P466="","",INDEX('Students'!$AD$2:$AD$701,P466))</f>
        <v/>
      </c>
      <c r="S466">
        <f>IF(H466="OK",O466,0)</f>
        <v/>
      </c>
      <c r="T466">
        <f>IF(H466="OK",N466,"")</f>
        <v/>
      </c>
      <c r="U466">
        <f>IF(OC_Donor=0,"",IF(INDEX('OneCause_Paste'!$A$466:$AZ$466,1,OC_Donor)="","",INDEX('OneCause_Paste'!$A$466:$AZ$466,1,OC_Donor)))</f>
        <v/>
      </c>
    </row>
    <row r="467">
      <c r="A467" s="62">
        <f>IF(H467="","",IF(ISNUMBER(N467),N467,I467))</f>
        <v/>
      </c>
      <c r="B467">
        <f>IF(H467="","",U467)</f>
        <v/>
      </c>
      <c r="C467">
        <f>IF(H467="","",IF(P467="",K467,INDEX('Students'!$A$2:$A$701,P467)))</f>
        <v/>
      </c>
      <c r="D467">
        <f>IF(OR(H467="",P467=""),"",INDEX('Students'!$B$2:$B$701,P467))</f>
        <v/>
      </c>
      <c r="E467">
        <f>IF(OR(H467="",P467=""),"",INDEX('Students'!$C$2:$C$701,P467))</f>
        <v/>
      </c>
      <c r="F467" s="48">
        <f>IF(H467="","",IF(ISNUMBER(O467),O467,J467))</f>
        <v/>
      </c>
      <c r="G467">
        <f>IF(H467="","","OneCause")</f>
        <v/>
      </c>
      <c r="H467">
        <f>IF(AND(I467="",J467="",K467=""),"",IF(NOT(ISNUMBER(O467)),"Bad amount",IF(O467&lt;0,"Refund (not counted)",IF(O467=0,"Zero amount",IF(NOT(ISNUMBER(N467)),"Bad date",IF(P467="","NAME NOT ON ROSTER",IF(L467="","OK",IF(MATCH(L467,$L$2:$L$3001,0)&lt;ROW()-1,"Duplicate (ignored)","OK"))))))))</f>
        <v/>
      </c>
      <c r="I467">
        <f>IF(OC_Date=0,"",IF(INDEX('OneCause_Paste'!$A$467:$AZ$467,1,OC_Date)="","",INDEX('OneCause_Paste'!$A$467:$AZ$467,1,OC_Date)))</f>
        <v/>
      </c>
      <c r="J467">
        <f>IF(OC_Amt=0,"",IF(INDEX('OneCause_Paste'!$A$467:$AZ$467,1,OC_Amt)="","",INDEX('OneCause_Paste'!$A$467:$AZ$467,1,OC_Amt)))</f>
        <v/>
      </c>
      <c r="K467">
        <f>IF(OC_Name=0,"",IF(INDEX('OneCause_Paste'!$A$467:$AZ$467,1,OC_Name)="","",INDEX('OneCause_Paste'!$A$467:$AZ$467,1,OC_Name)))</f>
        <v/>
      </c>
      <c r="L467">
        <f>IF(OC_Txn=0,"",IF(INDEX('OneCause_Paste'!$A$467:$AZ$467,1,OC_Txn)="","",INDEX('OneCause_Paste'!$A$467:$AZ$467,1,OC_Txn)))</f>
        <v/>
      </c>
      <c r="M467">
        <f>IF(OC_Pay=0,"",IF(INDEX('OneCause_Paste'!$A$467:$AZ$467,1,OC_Pay)="","",INDEX('OneCause_Paste'!$A$467:$AZ$467,1,OC_Pay)))</f>
        <v/>
      </c>
      <c r="N467">
        <f>IF(I467="","",IF(ISNUMBER(I467),INT(I467),IFERROR(INT(DATEVALUE(I467)),IFERROR(INT(VALUE(I467)),"bad"))))</f>
        <v/>
      </c>
      <c r="O467">
        <f>IF(J467="","",IF(ISNUMBER(J467),ROUND(J467,2),IFERROR(ROUND(VALUE(SUBSTITUTE(SUBSTITUTE(SUBSTITUTE(J467,"$",""),",","")," ","")),2),"bad")))</f>
        <v/>
      </c>
      <c r="P467">
        <f>IF(TRIM(K467)="","",IFERROR(MATCH(LOWER(TRIM(K467)),'Students'!$AH$2:$AH$701,0),IFERROR(MATCH(LOWER(TRIM(K467)),'Students'!$AF$2:$AF$701,0),IFERROR(MATCH(LOWER(TRIM(K467)),'Students'!$AG$2:$AG$701,0),""))))</f>
        <v/>
      </c>
      <c r="R467">
        <f>IF(P467="","",INDEX('Students'!$AD$2:$AD$701,P467))</f>
        <v/>
      </c>
      <c r="S467">
        <f>IF(H467="OK",O467,0)</f>
        <v/>
      </c>
      <c r="T467">
        <f>IF(H467="OK",N467,"")</f>
        <v/>
      </c>
      <c r="U467">
        <f>IF(OC_Donor=0,"",IF(INDEX('OneCause_Paste'!$A$467:$AZ$467,1,OC_Donor)="","",INDEX('OneCause_Paste'!$A$467:$AZ$467,1,OC_Donor)))</f>
        <v/>
      </c>
    </row>
    <row r="468">
      <c r="A468" s="62">
        <f>IF(H468="","",IF(ISNUMBER(N468),N468,I468))</f>
        <v/>
      </c>
      <c r="B468">
        <f>IF(H468="","",U468)</f>
        <v/>
      </c>
      <c r="C468">
        <f>IF(H468="","",IF(P468="",K468,INDEX('Students'!$A$2:$A$701,P468)))</f>
        <v/>
      </c>
      <c r="D468">
        <f>IF(OR(H468="",P468=""),"",INDEX('Students'!$B$2:$B$701,P468))</f>
        <v/>
      </c>
      <c r="E468">
        <f>IF(OR(H468="",P468=""),"",INDEX('Students'!$C$2:$C$701,P468))</f>
        <v/>
      </c>
      <c r="F468" s="48">
        <f>IF(H468="","",IF(ISNUMBER(O468),O468,J468))</f>
        <v/>
      </c>
      <c r="G468">
        <f>IF(H468="","","OneCause")</f>
        <v/>
      </c>
      <c r="H468">
        <f>IF(AND(I468="",J468="",K468=""),"",IF(NOT(ISNUMBER(O468)),"Bad amount",IF(O468&lt;0,"Refund (not counted)",IF(O468=0,"Zero amount",IF(NOT(ISNUMBER(N468)),"Bad date",IF(P468="","NAME NOT ON ROSTER",IF(L468="","OK",IF(MATCH(L468,$L$2:$L$3001,0)&lt;ROW()-1,"Duplicate (ignored)","OK"))))))))</f>
        <v/>
      </c>
      <c r="I468">
        <f>IF(OC_Date=0,"",IF(INDEX('OneCause_Paste'!$A$468:$AZ$468,1,OC_Date)="","",INDEX('OneCause_Paste'!$A$468:$AZ$468,1,OC_Date)))</f>
        <v/>
      </c>
      <c r="J468">
        <f>IF(OC_Amt=0,"",IF(INDEX('OneCause_Paste'!$A$468:$AZ$468,1,OC_Amt)="","",INDEX('OneCause_Paste'!$A$468:$AZ$468,1,OC_Amt)))</f>
        <v/>
      </c>
      <c r="K468">
        <f>IF(OC_Name=0,"",IF(INDEX('OneCause_Paste'!$A$468:$AZ$468,1,OC_Name)="","",INDEX('OneCause_Paste'!$A$468:$AZ$468,1,OC_Name)))</f>
        <v/>
      </c>
      <c r="L468">
        <f>IF(OC_Txn=0,"",IF(INDEX('OneCause_Paste'!$A$468:$AZ$468,1,OC_Txn)="","",INDEX('OneCause_Paste'!$A$468:$AZ$468,1,OC_Txn)))</f>
        <v/>
      </c>
      <c r="M468">
        <f>IF(OC_Pay=0,"",IF(INDEX('OneCause_Paste'!$A$468:$AZ$468,1,OC_Pay)="","",INDEX('OneCause_Paste'!$A$468:$AZ$468,1,OC_Pay)))</f>
        <v/>
      </c>
      <c r="N468">
        <f>IF(I468="","",IF(ISNUMBER(I468),INT(I468),IFERROR(INT(DATEVALUE(I468)),IFERROR(INT(VALUE(I468)),"bad"))))</f>
        <v/>
      </c>
      <c r="O468">
        <f>IF(J468="","",IF(ISNUMBER(J468),ROUND(J468,2),IFERROR(ROUND(VALUE(SUBSTITUTE(SUBSTITUTE(SUBSTITUTE(J468,"$",""),",","")," ","")),2),"bad")))</f>
        <v/>
      </c>
      <c r="P468">
        <f>IF(TRIM(K468)="","",IFERROR(MATCH(LOWER(TRIM(K468)),'Students'!$AH$2:$AH$701,0),IFERROR(MATCH(LOWER(TRIM(K468)),'Students'!$AF$2:$AF$701,0),IFERROR(MATCH(LOWER(TRIM(K468)),'Students'!$AG$2:$AG$701,0),""))))</f>
        <v/>
      </c>
      <c r="R468">
        <f>IF(P468="","",INDEX('Students'!$AD$2:$AD$701,P468))</f>
        <v/>
      </c>
      <c r="S468">
        <f>IF(H468="OK",O468,0)</f>
        <v/>
      </c>
      <c r="T468">
        <f>IF(H468="OK",N468,"")</f>
        <v/>
      </c>
      <c r="U468">
        <f>IF(OC_Donor=0,"",IF(INDEX('OneCause_Paste'!$A$468:$AZ$468,1,OC_Donor)="","",INDEX('OneCause_Paste'!$A$468:$AZ$468,1,OC_Donor)))</f>
        <v/>
      </c>
    </row>
    <row r="469">
      <c r="A469" s="62">
        <f>IF(H469="","",IF(ISNUMBER(N469),N469,I469))</f>
        <v/>
      </c>
      <c r="B469">
        <f>IF(H469="","",U469)</f>
        <v/>
      </c>
      <c r="C469">
        <f>IF(H469="","",IF(P469="",K469,INDEX('Students'!$A$2:$A$701,P469)))</f>
        <v/>
      </c>
      <c r="D469">
        <f>IF(OR(H469="",P469=""),"",INDEX('Students'!$B$2:$B$701,P469))</f>
        <v/>
      </c>
      <c r="E469">
        <f>IF(OR(H469="",P469=""),"",INDEX('Students'!$C$2:$C$701,P469))</f>
        <v/>
      </c>
      <c r="F469" s="48">
        <f>IF(H469="","",IF(ISNUMBER(O469),O469,J469))</f>
        <v/>
      </c>
      <c r="G469">
        <f>IF(H469="","","OneCause")</f>
        <v/>
      </c>
      <c r="H469">
        <f>IF(AND(I469="",J469="",K469=""),"",IF(NOT(ISNUMBER(O469)),"Bad amount",IF(O469&lt;0,"Refund (not counted)",IF(O469=0,"Zero amount",IF(NOT(ISNUMBER(N469)),"Bad date",IF(P469="","NAME NOT ON ROSTER",IF(L469="","OK",IF(MATCH(L469,$L$2:$L$3001,0)&lt;ROW()-1,"Duplicate (ignored)","OK"))))))))</f>
        <v/>
      </c>
      <c r="I469">
        <f>IF(OC_Date=0,"",IF(INDEX('OneCause_Paste'!$A$469:$AZ$469,1,OC_Date)="","",INDEX('OneCause_Paste'!$A$469:$AZ$469,1,OC_Date)))</f>
        <v/>
      </c>
      <c r="J469">
        <f>IF(OC_Amt=0,"",IF(INDEX('OneCause_Paste'!$A$469:$AZ$469,1,OC_Amt)="","",INDEX('OneCause_Paste'!$A$469:$AZ$469,1,OC_Amt)))</f>
        <v/>
      </c>
      <c r="K469">
        <f>IF(OC_Name=0,"",IF(INDEX('OneCause_Paste'!$A$469:$AZ$469,1,OC_Name)="","",INDEX('OneCause_Paste'!$A$469:$AZ$469,1,OC_Name)))</f>
        <v/>
      </c>
      <c r="L469">
        <f>IF(OC_Txn=0,"",IF(INDEX('OneCause_Paste'!$A$469:$AZ$469,1,OC_Txn)="","",INDEX('OneCause_Paste'!$A$469:$AZ$469,1,OC_Txn)))</f>
        <v/>
      </c>
      <c r="M469">
        <f>IF(OC_Pay=0,"",IF(INDEX('OneCause_Paste'!$A$469:$AZ$469,1,OC_Pay)="","",INDEX('OneCause_Paste'!$A$469:$AZ$469,1,OC_Pay)))</f>
        <v/>
      </c>
      <c r="N469">
        <f>IF(I469="","",IF(ISNUMBER(I469),INT(I469),IFERROR(INT(DATEVALUE(I469)),IFERROR(INT(VALUE(I469)),"bad"))))</f>
        <v/>
      </c>
      <c r="O469">
        <f>IF(J469="","",IF(ISNUMBER(J469),ROUND(J469,2),IFERROR(ROUND(VALUE(SUBSTITUTE(SUBSTITUTE(SUBSTITUTE(J469,"$",""),",","")," ","")),2),"bad")))</f>
        <v/>
      </c>
      <c r="P469">
        <f>IF(TRIM(K469)="","",IFERROR(MATCH(LOWER(TRIM(K469)),'Students'!$AH$2:$AH$701,0),IFERROR(MATCH(LOWER(TRIM(K469)),'Students'!$AF$2:$AF$701,0),IFERROR(MATCH(LOWER(TRIM(K469)),'Students'!$AG$2:$AG$701,0),""))))</f>
        <v/>
      </c>
      <c r="R469">
        <f>IF(P469="","",INDEX('Students'!$AD$2:$AD$701,P469))</f>
        <v/>
      </c>
      <c r="S469">
        <f>IF(H469="OK",O469,0)</f>
        <v/>
      </c>
      <c r="T469">
        <f>IF(H469="OK",N469,"")</f>
        <v/>
      </c>
      <c r="U469">
        <f>IF(OC_Donor=0,"",IF(INDEX('OneCause_Paste'!$A$469:$AZ$469,1,OC_Donor)="","",INDEX('OneCause_Paste'!$A$469:$AZ$469,1,OC_Donor)))</f>
        <v/>
      </c>
    </row>
    <row r="470">
      <c r="A470" s="62">
        <f>IF(H470="","",IF(ISNUMBER(N470),N470,I470))</f>
        <v/>
      </c>
      <c r="B470">
        <f>IF(H470="","",U470)</f>
        <v/>
      </c>
      <c r="C470">
        <f>IF(H470="","",IF(P470="",K470,INDEX('Students'!$A$2:$A$701,P470)))</f>
        <v/>
      </c>
      <c r="D470">
        <f>IF(OR(H470="",P470=""),"",INDEX('Students'!$B$2:$B$701,P470))</f>
        <v/>
      </c>
      <c r="E470">
        <f>IF(OR(H470="",P470=""),"",INDEX('Students'!$C$2:$C$701,P470))</f>
        <v/>
      </c>
      <c r="F470" s="48">
        <f>IF(H470="","",IF(ISNUMBER(O470),O470,J470))</f>
        <v/>
      </c>
      <c r="G470">
        <f>IF(H470="","","OneCause")</f>
        <v/>
      </c>
      <c r="H470">
        <f>IF(AND(I470="",J470="",K470=""),"",IF(NOT(ISNUMBER(O470)),"Bad amount",IF(O470&lt;0,"Refund (not counted)",IF(O470=0,"Zero amount",IF(NOT(ISNUMBER(N470)),"Bad date",IF(P470="","NAME NOT ON ROSTER",IF(L470="","OK",IF(MATCH(L470,$L$2:$L$3001,0)&lt;ROW()-1,"Duplicate (ignored)","OK"))))))))</f>
        <v/>
      </c>
      <c r="I470">
        <f>IF(OC_Date=0,"",IF(INDEX('OneCause_Paste'!$A$470:$AZ$470,1,OC_Date)="","",INDEX('OneCause_Paste'!$A$470:$AZ$470,1,OC_Date)))</f>
        <v/>
      </c>
      <c r="J470">
        <f>IF(OC_Amt=0,"",IF(INDEX('OneCause_Paste'!$A$470:$AZ$470,1,OC_Amt)="","",INDEX('OneCause_Paste'!$A$470:$AZ$470,1,OC_Amt)))</f>
        <v/>
      </c>
      <c r="K470">
        <f>IF(OC_Name=0,"",IF(INDEX('OneCause_Paste'!$A$470:$AZ$470,1,OC_Name)="","",INDEX('OneCause_Paste'!$A$470:$AZ$470,1,OC_Name)))</f>
        <v/>
      </c>
      <c r="L470">
        <f>IF(OC_Txn=0,"",IF(INDEX('OneCause_Paste'!$A$470:$AZ$470,1,OC_Txn)="","",INDEX('OneCause_Paste'!$A$470:$AZ$470,1,OC_Txn)))</f>
        <v/>
      </c>
      <c r="M470">
        <f>IF(OC_Pay=0,"",IF(INDEX('OneCause_Paste'!$A$470:$AZ$470,1,OC_Pay)="","",INDEX('OneCause_Paste'!$A$470:$AZ$470,1,OC_Pay)))</f>
        <v/>
      </c>
      <c r="N470">
        <f>IF(I470="","",IF(ISNUMBER(I470),INT(I470),IFERROR(INT(DATEVALUE(I470)),IFERROR(INT(VALUE(I470)),"bad"))))</f>
        <v/>
      </c>
      <c r="O470">
        <f>IF(J470="","",IF(ISNUMBER(J470),ROUND(J470,2),IFERROR(ROUND(VALUE(SUBSTITUTE(SUBSTITUTE(SUBSTITUTE(J470,"$",""),",","")," ","")),2),"bad")))</f>
        <v/>
      </c>
      <c r="P470">
        <f>IF(TRIM(K470)="","",IFERROR(MATCH(LOWER(TRIM(K470)),'Students'!$AH$2:$AH$701,0),IFERROR(MATCH(LOWER(TRIM(K470)),'Students'!$AF$2:$AF$701,0),IFERROR(MATCH(LOWER(TRIM(K470)),'Students'!$AG$2:$AG$701,0),""))))</f>
        <v/>
      </c>
      <c r="R470">
        <f>IF(P470="","",INDEX('Students'!$AD$2:$AD$701,P470))</f>
        <v/>
      </c>
      <c r="S470">
        <f>IF(H470="OK",O470,0)</f>
        <v/>
      </c>
      <c r="T470">
        <f>IF(H470="OK",N470,"")</f>
        <v/>
      </c>
      <c r="U470">
        <f>IF(OC_Donor=0,"",IF(INDEX('OneCause_Paste'!$A$470:$AZ$470,1,OC_Donor)="","",INDEX('OneCause_Paste'!$A$470:$AZ$470,1,OC_Donor)))</f>
        <v/>
      </c>
    </row>
    <row r="471">
      <c r="A471" s="62">
        <f>IF(H471="","",IF(ISNUMBER(N471),N471,I471))</f>
        <v/>
      </c>
      <c r="B471">
        <f>IF(H471="","",U471)</f>
        <v/>
      </c>
      <c r="C471">
        <f>IF(H471="","",IF(P471="",K471,INDEX('Students'!$A$2:$A$701,P471)))</f>
        <v/>
      </c>
      <c r="D471">
        <f>IF(OR(H471="",P471=""),"",INDEX('Students'!$B$2:$B$701,P471))</f>
        <v/>
      </c>
      <c r="E471">
        <f>IF(OR(H471="",P471=""),"",INDEX('Students'!$C$2:$C$701,P471))</f>
        <v/>
      </c>
      <c r="F471" s="48">
        <f>IF(H471="","",IF(ISNUMBER(O471),O471,J471))</f>
        <v/>
      </c>
      <c r="G471">
        <f>IF(H471="","","OneCause")</f>
        <v/>
      </c>
      <c r="H471">
        <f>IF(AND(I471="",J471="",K471=""),"",IF(NOT(ISNUMBER(O471)),"Bad amount",IF(O471&lt;0,"Refund (not counted)",IF(O471=0,"Zero amount",IF(NOT(ISNUMBER(N471)),"Bad date",IF(P471="","NAME NOT ON ROSTER",IF(L471="","OK",IF(MATCH(L471,$L$2:$L$3001,0)&lt;ROW()-1,"Duplicate (ignored)","OK"))))))))</f>
        <v/>
      </c>
      <c r="I471">
        <f>IF(OC_Date=0,"",IF(INDEX('OneCause_Paste'!$A$471:$AZ$471,1,OC_Date)="","",INDEX('OneCause_Paste'!$A$471:$AZ$471,1,OC_Date)))</f>
        <v/>
      </c>
      <c r="J471">
        <f>IF(OC_Amt=0,"",IF(INDEX('OneCause_Paste'!$A$471:$AZ$471,1,OC_Amt)="","",INDEX('OneCause_Paste'!$A$471:$AZ$471,1,OC_Amt)))</f>
        <v/>
      </c>
      <c r="K471">
        <f>IF(OC_Name=0,"",IF(INDEX('OneCause_Paste'!$A$471:$AZ$471,1,OC_Name)="","",INDEX('OneCause_Paste'!$A$471:$AZ$471,1,OC_Name)))</f>
        <v/>
      </c>
      <c r="L471">
        <f>IF(OC_Txn=0,"",IF(INDEX('OneCause_Paste'!$A$471:$AZ$471,1,OC_Txn)="","",INDEX('OneCause_Paste'!$A$471:$AZ$471,1,OC_Txn)))</f>
        <v/>
      </c>
      <c r="M471">
        <f>IF(OC_Pay=0,"",IF(INDEX('OneCause_Paste'!$A$471:$AZ$471,1,OC_Pay)="","",INDEX('OneCause_Paste'!$A$471:$AZ$471,1,OC_Pay)))</f>
        <v/>
      </c>
      <c r="N471">
        <f>IF(I471="","",IF(ISNUMBER(I471),INT(I471),IFERROR(INT(DATEVALUE(I471)),IFERROR(INT(VALUE(I471)),"bad"))))</f>
        <v/>
      </c>
      <c r="O471">
        <f>IF(J471="","",IF(ISNUMBER(J471),ROUND(J471,2),IFERROR(ROUND(VALUE(SUBSTITUTE(SUBSTITUTE(SUBSTITUTE(J471,"$",""),",","")," ","")),2),"bad")))</f>
        <v/>
      </c>
      <c r="P471">
        <f>IF(TRIM(K471)="","",IFERROR(MATCH(LOWER(TRIM(K471)),'Students'!$AH$2:$AH$701,0),IFERROR(MATCH(LOWER(TRIM(K471)),'Students'!$AF$2:$AF$701,0),IFERROR(MATCH(LOWER(TRIM(K471)),'Students'!$AG$2:$AG$701,0),""))))</f>
        <v/>
      </c>
      <c r="R471">
        <f>IF(P471="","",INDEX('Students'!$AD$2:$AD$701,P471))</f>
        <v/>
      </c>
      <c r="S471">
        <f>IF(H471="OK",O471,0)</f>
        <v/>
      </c>
      <c r="T471">
        <f>IF(H471="OK",N471,"")</f>
        <v/>
      </c>
      <c r="U471">
        <f>IF(OC_Donor=0,"",IF(INDEX('OneCause_Paste'!$A$471:$AZ$471,1,OC_Donor)="","",INDEX('OneCause_Paste'!$A$471:$AZ$471,1,OC_Donor)))</f>
        <v/>
      </c>
    </row>
    <row r="472">
      <c r="A472" s="62">
        <f>IF(H472="","",IF(ISNUMBER(N472),N472,I472))</f>
        <v/>
      </c>
      <c r="B472">
        <f>IF(H472="","",U472)</f>
        <v/>
      </c>
      <c r="C472">
        <f>IF(H472="","",IF(P472="",K472,INDEX('Students'!$A$2:$A$701,P472)))</f>
        <v/>
      </c>
      <c r="D472">
        <f>IF(OR(H472="",P472=""),"",INDEX('Students'!$B$2:$B$701,P472))</f>
        <v/>
      </c>
      <c r="E472">
        <f>IF(OR(H472="",P472=""),"",INDEX('Students'!$C$2:$C$701,P472))</f>
        <v/>
      </c>
      <c r="F472" s="48">
        <f>IF(H472="","",IF(ISNUMBER(O472),O472,J472))</f>
        <v/>
      </c>
      <c r="G472">
        <f>IF(H472="","","OneCause")</f>
        <v/>
      </c>
      <c r="H472">
        <f>IF(AND(I472="",J472="",K472=""),"",IF(NOT(ISNUMBER(O472)),"Bad amount",IF(O472&lt;0,"Refund (not counted)",IF(O472=0,"Zero amount",IF(NOT(ISNUMBER(N472)),"Bad date",IF(P472="","NAME NOT ON ROSTER",IF(L472="","OK",IF(MATCH(L472,$L$2:$L$3001,0)&lt;ROW()-1,"Duplicate (ignored)","OK"))))))))</f>
        <v/>
      </c>
      <c r="I472">
        <f>IF(OC_Date=0,"",IF(INDEX('OneCause_Paste'!$A$472:$AZ$472,1,OC_Date)="","",INDEX('OneCause_Paste'!$A$472:$AZ$472,1,OC_Date)))</f>
        <v/>
      </c>
      <c r="J472">
        <f>IF(OC_Amt=0,"",IF(INDEX('OneCause_Paste'!$A$472:$AZ$472,1,OC_Amt)="","",INDEX('OneCause_Paste'!$A$472:$AZ$472,1,OC_Amt)))</f>
        <v/>
      </c>
      <c r="K472">
        <f>IF(OC_Name=0,"",IF(INDEX('OneCause_Paste'!$A$472:$AZ$472,1,OC_Name)="","",INDEX('OneCause_Paste'!$A$472:$AZ$472,1,OC_Name)))</f>
        <v/>
      </c>
      <c r="L472">
        <f>IF(OC_Txn=0,"",IF(INDEX('OneCause_Paste'!$A$472:$AZ$472,1,OC_Txn)="","",INDEX('OneCause_Paste'!$A$472:$AZ$472,1,OC_Txn)))</f>
        <v/>
      </c>
      <c r="M472">
        <f>IF(OC_Pay=0,"",IF(INDEX('OneCause_Paste'!$A$472:$AZ$472,1,OC_Pay)="","",INDEX('OneCause_Paste'!$A$472:$AZ$472,1,OC_Pay)))</f>
        <v/>
      </c>
      <c r="N472">
        <f>IF(I472="","",IF(ISNUMBER(I472),INT(I472),IFERROR(INT(DATEVALUE(I472)),IFERROR(INT(VALUE(I472)),"bad"))))</f>
        <v/>
      </c>
      <c r="O472">
        <f>IF(J472="","",IF(ISNUMBER(J472),ROUND(J472,2),IFERROR(ROUND(VALUE(SUBSTITUTE(SUBSTITUTE(SUBSTITUTE(J472,"$",""),",","")," ","")),2),"bad")))</f>
        <v/>
      </c>
      <c r="P472">
        <f>IF(TRIM(K472)="","",IFERROR(MATCH(LOWER(TRIM(K472)),'Students'!$AH$2:$AH$701,0),IFERROR(MATCH(LOWER(TRIM(K472)),'Students'!$AF$2:$AF$701,0),IFERROR(MATCH(LOWER(TRIM(K472)),'Students'!$AG$2:$AG$701,0),""))))</f>
        <v/>
      </c>
      <c r="R472">
        <f>IF(P472="","",INDEX('Students'!$AD$2:$AD$701,P472))</f>
        <v/>
      </c>
      <c r="S472">
        <f>IF(H472="OK",O472,0)</f>
        <v/>
      </c>
      <c r="T472">
        <f>IF(H472="OK",N472,"")</f>
        <v/>
      </c>
      <c r="U472">
        <f>IF(OC_Donor=0,"",IF(INDEX('OneCause_Paste'!$A$472:$AZ$472,1,OC_Donor)="","",INDEX('OneCause_Paste'!$A$472:$AZ$472,1,OC_Donor)))</f>
        <v/>
      </c>
    </row>
    <row r="473">
      <c r="A473" s="62">
        <f>IF(H473="","",IF(ISNUMBER(N473),N473,I473))</f>
        <v/>
      </c>
      <c r="B473">
        <f>IF(H473="","",U473)</f>
        <v/>
      </c>
      <c r="C473">
        <f>IF(H473="","",IF(P473="",K473,INDEX('Students'!$A$2:$A$701,P473)))</f>
        <v/>
      </c>
      <c r="D473">
        <f>IF(OR(H473="",P473=""),"",INDEX('Students'!$B$2:$B$701,P473))</f>
        <v/>
      </c>
      <c r="E473">
        <f>IF(OR(H473="",P473=""),"",INDEX('Students'!$C$2:$C$701,P473))</f>
        <v/>
      </c>
      <c r="F473" s="48">
        <f>IF(H473="","",IF(ISNUMBER(O473),O473,J473))</f>
        <v/>
      </c>
      <c r="G473">
        <f>IF(H473="","","OneCause")</f>
        <v/>
      </c>
      <c r="H473">
        <f>IF(AND(I473="",J473="",K473=""),"",IF(NOT(ISNUMBER(O473)),"Bad amount",IF(O473&lt;0,"Refund (not counted)",IF(O473=0,"Zero amount",IF(NOT(ISNUMBER(N473)),"Bad date",IF(P473="","NAME NOT ON ROSTER",IF(L473="","OK",IF(MATCH(L473,$L$2:$L$3001,0)&lt;ROW()-1,"Duplicate (ignored)","OK"))))))))</f>
        <v/>
      </c>
      <c r="I473">
        <f>IF(OC_Date=0,"",IF(INDEX('OneCause_Paste'!$A$473:$AZ$473,1,OC_Date)="","",INDEX('OneCause_Paste'!$A$473:$AZ$473,1,OC_Date)))</f>
        <v/>
      </c>
      <c r="J473">
        <f>IF(OC_Amt=0,"",IF(INDEX('OneCause_Paste'!$A$473:$AZ$473,1,OC_Amt)="","",INDEX('OneCause_Paste'!$A$473:$AZ$473,1,OC_Amt)))</f>
        <v/>
      </c>
      <c r="K473">
        <f>IF(OC_Name=0,"",IF(INDEX('OneCause_Paste'!$A$473:$AZ$473,1,OC_Name)="","",INDEX('OneCause_Paste'!$A$473:$AZ$473,1,OC_Name)))</f>
        <v/>
      </c>
      <c r="L473">
        <f>IF(OC_Txn=0,"",IF(INDEX('OneCause_Paste'!$A$473:$AZ$473,1,OC_Txn)="","",INDEX('OneCause_Paste'!$A$473:$AZ$473,1,OC_Txn)))</f>
        <v/>
      </c>
      <c r="M473">
        <f>IF(OC_Pay=0,"",IF(INDEX('OneCause_Paste'!$A$473:$AZ$473,1,OC_Pay)="","",INDEX('OneCause_Paste'!$A$473:$AZ$473,1,OC_Pay)))</f>
        <v/>
      </c>
      <c r="N473">
        <f>IF(I473="","",IF(ISNUMBER(I473),INT(I473),IFERROR(INT(DATEVALUE(I473)),IFERROR(INT(VALUE(I473)),"bad"))))</f>
        <v/>
      </c>
      <c r="O473">
        <f>IF(J473="","",IF(ISNUMBER(J473),ROUND(J473,2),IFERROR(ROUND(VALUE(SUBSTITUTE(SUBSTITUTE(SUBSTITUTE(J473,"$",""),",","")," ","")),2),"bad")))</f>
        <v/>
      </c>
      <c r="P473">
        <f>IF(TRIM(K473)="","",IFERROR(MATCH(LOWER(TRIM(K473)),'Students'!$AH$2:$AH$701,0),IFERROR(MATCH(LOWER(TRIM(K473)),'Students'!$AF$2:$AF$701,0),IFERROR(MATCH(LOWER(TRIM(K473)),'Students'!$AG$2:$AG$701,0),""))))</f>
        <v/>
      </c>
      <c r="R473">
        <f>IF(P473="","",INDEX('Students'!$AD$2:$AD$701,P473))</f>
        <v/>
      </c>
      <c r="S473">
        <f>IF(H473="OK",O473,0)</f>
        <v/>
      </c>
      <c r="T473">
        <f>IF(H473="OK",N473,"")</f>
        <v/>
      </c>
      <c r="U473">
        <f>IF(OC_Donor=0,"",IF(INDEX('OneCause_Paste'!$A$473:$AZ$473,1,OC_Donor)="","",INDEX('OneCause_Paste'!$A$473:$AZ$473,1,OC_Donor)))</f>
        <v/>
      </c>
    </row>
    <row r="474">
      <c r="A474" s="62">
        <f>IF(H474="","",IF(ISNUMBER(N474),N474,I474))</f>
        <v/>
      </c>
      <c r="B474">
        <f>IF(H474="","",U474)</f>
        <v/>
      </c>
      <c r="C474">
        <f>IF(H474="","",IF(P474="",K474,INDEX('Students'!$A$2:$A$701,P474)))</f>
        <v/>
      </c>
      <c r="D474">
        <f>IF(OR(H474="",P474=""),"",INDEX('Students'!$B$2:$B$701,P474))</f>
        <v/>
      </c>
      <c r="E474">
        <f>IF(OR(H474="",P474=""),"",INDEX('Students'!$C$2:$C$701,P474))</f>
        <v/>
      </c>
      <c r="F474" s="48">
        <f>IF(H474="","",IF(ISNUMBER(O474),O474,J474))</f>
        <v/>
      </c>
      <c r="G474">
        <f>IF(H474="","","OneCause")</f>
        <v/>
      </c>
      <c r="H474">
        <f>IF(AND(I474="",J474="",K474=""),"",IF(NOT(ISNUMBER(O474)),"Bad amount",IF(O474&lt;0,"Refund (not counted)",IF(O474=0,"Zero amount",IF(NOT(ISNUMBER(N474)),"Bad date",IF(P474="","NAME NOT ON ROSTER",IF(L474="","OK",IF(MATCH(L474,$L$2:$L$3001,0)&lt;ROW()-1,"Duplicate (ignored)","OK"))))))))</f>
        <v/>
      </c>
      <c r="I474">
        <f>IF(OC_Date=0,"",IF(INDEX('OneCause_Paste'!$A$474:$AZ$474,1,OC_Date)="","",INDEX('OneCause_Paste'!$A$474:$AZ$474,1,OC_Date)))</f>
        <v/>
      </c>
      <c r="J474">
        <f>IF(OC_Amt=0,"",IF(INDEX('OneCause_Paste'!$A$474:$AZ$474,1,OC_Amt)="","",INDEX('OneCause_Paste'!$A$474:$AZ$474,1,OC_Amt)))</f>
        <v/>
      </c>
      <c r="K474">
        <f>IF(OC_Name=0,"",IF(INDEX('OneCause_Paste'!$A$474:$AZ$474,1,OC_Name)="","",INDEX('OneCause_Paste'!$A$474:$AZ$474,1,OC_Name)))</f>
        <v/>
      </c>
      <c r="L474">
        <f>IF(OC_Txn=0,"",IF(INDEX('OneCause_Paste'!$A$474:$AZ$474,1,OC_Txn)="","",INDEX('OneCause_Paste'!$A$474:$AZ$474,1,OC_Txn)))</f>
        <v/>
      </c>
      <c r="M474">
        <f>IF(OC_Pay=0,"",IF(INDEX('OneCause_Paste'!$A$474:$AZ$474,1,OC_Pay)="","",INDEX('OneCause_Paste'!$A$474:$AZ$474,1,OC_Pay)))</f>
        <v/>
      </c>
      <c r="N474">
        <f>IF(I474="","",IF(ISNUMBER(I474),INT(I474),IFERROR(INT(DATEVALUE(I474)),IFERROR(INT(VALUE(I474)),"bad"))))</f>
        <v/>
      </c>
      <c r="O474">
        <f>IF(J474="","",IF(ISNUMBER(J474),ROUND(J474,2),IFERROR(ROUND(VALUE(SUBSTITUTE(SUBSTITUTE(SUBSTITUTE(J474,"$",""),",","")," ","")),2),"bad")))</f>
        <v/>
      </c>
      <c r="P474">
        <f>IF(TRIM(K474)="","",IFERROR(MATCH(LOWER(TRIM(K474)),'Students'!$AH$2:$AH$701,0),IFERROR(MATCH(LOWER(TRIM(K474)),'Students'!$AF$2:$AF$701,0),IFERROR(MATCH(LOWER(TRIM(K474)),'Students'!$AG$2:$AG$701,0),""))))</f>
        <v/>
      </c>
      <c r="R474">
        <f>IF(P474="","",INDEX('Students'!$AD$2:$AD$701,P474))</f>
        <v/>
      </c>
      <c r="S474">
        <f>IF(H474="OK",O474,0)</f>
        <v/>
      </c>
      <c r="T474">
        <f>IF(H474="OK",N474,"")</f>
        <v/>
      </c>
      <c r="U474">
        <f>IF(OC_Donor=0,"",IF(INDEX('OneCause_Paste'!$A$474:$AZ$474,1,OC_Donor)="","",INDEX('OneCause_Paste'!$A$474:$AZ$474,1,OC_Donor)))</f>
        <v/>
      </c>
    </row>
    <row r="475">
      <c r="A475" s="62">
        <f>IF(H475="","",IF(ISNUMBER(N475),N475,I475))</f>
        <v/>
      </c>
      <c r="B475">
        <f>IF(H475="","",U475)</f>
        <v/>
      </c>
      <c r="C475">
        <f>IF(H475="","",IF(P475="",K475,INDEX('Students'!$A$2:$A$701,P475)))</f>
        <v/>
      </c>
      <c r="D475">
        <f>IF(OR(H475="",P475=""),"",INDEX('Students'!$B$2:$B$701,P475))</f>
        <v/>
      </c>
      <c r="E475">
        <f>IF(OR(H475="",P475=""),"",INDEX('Students'!$C$2:$C$701,P475))</f>
        <v/>
      </c>
      <c r="F475" s="48">
        <f>IF(H475="","",IF(ISNUMBER(O475),O475,J475))</f>
        <v/>
      </c>
      <c r="G475">
        <f>IF(H475="","","OneCause")</f>
        <v/>
      </c>
      <c r="H475">
        <f>IF(AND(I475="",J475="",K475=""),"",IF(NOT(ISNUMBER(O475)),"Bad amount",IF(O475&lt;0,"Refund (not counted)",IF(O475=0,"Zero amount",IF(NOT(ISNUMBER(N475)),"Bad date",IF(P475="","NAME NOT ON ROSTER",IF(L475="","OK",IF(MATCH(L475,$L$2:$L$3001,0)&lt;ROW()-1,"Duplicate (ignored)","OK"))))))))</f>
        <v/>
      </c>
      <c r="I475">
        <f>IF(OC_Date=0,"",IF(INDEX('OneCause_Paste'!$A$475:$AZ$475,1,OC_Date)="","",INDEX('OneCause_Paste'!$A$475:$AZ$475,1,OC_Date)))</f>
        <v/>
      </c>
      <c r="J475">
        <f>IF(OC_Amt=0,"",IF(INDEX('OneCause_Paste'!$A$475:$AZ$475,1,OC_Amt)="","",INDEX('OneCause_Paste'!$A$475:$AZ$475,1,OC_Amt)))</f>
        <v/>
      </c>
      <c r="K475">
        <f>IF(OC_Name=0,"",IF(INDEX('OneCause_Paste'!$A$475:$AZ$475,1,OC_Name)="","",INDEX('OneCause_Paste'!$A$475:$AZ$475,1,OC_Name)))</f>
        <v/>
      </c>
      <c r="L475">
        <f>IF(OC_Txn=0,"",IF(INDEX('OneCause_Paste'!$A$475:$AZ$475,1,OC_Txn)="","",INDEX('OneCause_Paste'!$A$475:$AZ$475,1,OC_Txn)))</f>
        <v/>
      </c>
      <c r="M475">
        <f>IF(OC_Pay=0,"",IF(INDEX('OneCause_Paste'!$A$475:$AZ$475,1,OC_Pay)="","",INDEX('OneCause_Paste'!$A$475:$AZ$475,1,OC_Pay)))</f>
        <v/>
      </c>
      <c r="N475">
        <f>IF(I475="","",IF(ISNUMBER(I475),INT(I475),IFERROR(INT(DATEVALUE(I475)),IFERROR(INT(VALUE(I475)),"bad"))))</f>
        <v/>
      </c>
      <c r="O475">
        <f>IF(J475="","",IF(ISNUMBER(J475),ROUND(J475,2),IFERROR(ROUND(VALUE(SUBSTITUTE(SUBSTITUTE(SUBSTITUTE(J475,"$",""),",","")," ","")),2),"bad")))</f>
        <v/>
      </c>
      <c r="P475">
        <f>IF(TRIM(K475)="","",IFERROR(MATCH(LOWER(TRIM(K475)),'Students'!$AH$2:$AH$701,0),IFERROR(MATCH(LOWER(TRIM(K475)),'Students'!$AF$2:$AF$701,0),IFERROR(MATCH(LOWER(TRIM(K475)),'Students'!$AG$2:$AG$701,0),""))))</f>
        <v/>
      </c>
      <c r="R475">
        <f>IF(P475="","",INDEX('Students'!$AD$2:$AD$701,P475))</f>
        <v/>
      </c>
      <c r="S475">
        <f>IF(H475="OK",O475,0)</f>
        <v/>
      </c>
      <c r="T475">
        <f>IF(H475="OK",N475,"")</f>
        <v/>
      </c>
      <c r="U475">
        <f>IF(OC_Donor=0,"",IF(INDEX('OneCause_Paste'!$A$475:$AZ$475,1,OC_Donor)="","",INDEX('OneCause_Paste'!$A$475:$AZ$475,1,OC_Donor)))</f>
        <v/>
      </c>
    </row>
    <row r="476">
      <c r="A476" s="62">
        <f>IF(H476="","",IF(ISNUMBER(N476),N476,I476))</f>
        <v/>
      </c>
      <c r="B476">
        <f>IF(H476="","",U476)</f>
        <v/>
      </c>
      <c r="C476">
        <f>IF(H476="","",IF(P476="",K476,INDEX('Students'!$A$2:$A$701,P476)))</f>
        <v/>
      </c>
      <c r="D476">
        <f>IF(OR(H476="",P476=""),"",INDEX('Students'!$B$2:$B$701,P476))</f>
        <v/>
      </c>
      <c r="E476">
        <f>IF(OR(H476="",P476=""),"",INDEX('Students'!$C$2:$C$701,P476))</f>
        <v/>
      </c>
      <c r="F476" s="48">
        <f>IF(H476="","",IF(ISNUMBER(O476),O476,J476))</f>
        <v/>
      </c>
      <c r="G476">
        <f>IF(H476="","","OneCause")</f>
        <v/>
      </c>
      <c r="H476">
        <f>IF(AND(I476="",J476="",K476=""),"",IF(NOT(ISNUMBER(O476)),"Bad amount",IF(O476&lt;0,"Refund (not counted)",IF(O476=0,"Zero amount",IF(NOT(ISNUMBER(N476)),"Bad date",IF(P476="","NAME NOT ON ROSTER",IF(L476="","OK",IF(MATCH(L476,$L$2:$L$3001,0)&lt;ROW()-1,"Duplicate (ignored)","OK"))))))))</f>
        <v/>
      </c>
      <c r="I476">
        <f>IF(OC_Date=0,"",IF(INDEX('OneCause_Paste'!$A$476:$AZ$476,1,OC_Date)="","",INDEX('OneCause_Paste'!$A$476:$AZ$476,1,OC_Date)))</f>
        <v/>
      </c>
      <c r="J476">
        <f>IF(OC_Amt=0,"",IF(INDEX('OneCause_Paste'!$A$476:$AZ$476,1,OC_Amt)="","",INDEX('OneCause_Paste'!$A$476:$AZ$476,1,OC_Amt)))</f>
        <v/>
      </c>
      <c r="K476">
        <f>IF(OC_Name=0,"",IF(INDEX('OneCause_Paste'!$A$476:$AZ$476,1,OC_Name)="","",INDEX('OneCause_Paste'!$A$476:$AZ$476,1,OC_Name)))</f>
        <v/>
      </c>
      <c r="L476">
        <f>IF(OC_Txn=0,"",IF(INDEX('OneCause_Paste'!$A$476:$AZ$476,1,OC_Txn)="","",INDEX('OneCause_Paste'!$A$476:$AZ$476,1,OC_Txn)))</f>
        <v/>
      </c>
      <c r="M476">
        <f>IF(OC_Pay=0,"",IF(INDEX('OneCause_Paste'!$A$476:$AZ$476,1,OC_Pay)="","",INDEX('OneCause_Paste'!$A$476:$AZ$476,1,OC_Pay)))</f>
        <v/>
      </c>
      <c r="N476">
        <f>IF(I476="","",IF(ISNUMBER(I476),INT(I476),IFERROR(INT(DATEVALUE(I476)),IFERROR(INT(VALUE(I476)),"bad"))))</f>
        <v/>
      </c>
      <c r="O476">
        <f>IF(J476="","",IF(ISNUMBER(J476),ROUND(J476,2),IFERROR(ROUND(VALUE(SUBSTITUTE(SUBSTITUTE(SUBSTITUTE(J476,"$",""),",","")," ","")),2),"bad")))</f>
        <v/>
      </c>
      <c r="P476">
        <f>IF(TRIM(K476)="","",IFERROR(MATCH(LOWER(TRIM(K476)),'Students'!$AH$2:$AH$701,0),IFERROR(MATCH(LOWER(TRIM(K476)),'Students'!$AF$2:$AF$701,0),IFERROR(MATCH(LOWER(TRIM(K476)),'Students'!$AG$2:$AG$701,0),""))))</f>
        <v/>
      </c>
      <c r="R476">
        <f>IF(P476="","",INDEX('Students'!$AD$2:$AD$701,P476))</f>
        <v/>
      </c>
      <c r="S476">
        <f>IF(H476="OK",O476,0)</f>
        <v/>
      </c>
      <c r="T476">
        <f>IF(H476="OK",N476,"")</f>
        <v/>
      </c>
      <c r="U476">
        <f>IF(OC_Donor=0,"",IF(INDEX('OneCause_Paste'!$A$476:$AZ$476,1,OC_Donor)="","",INDEX('OneCause_Paste'!$A$476:$AZ$476,1,OC_Donor)))</f>
        <v/>
      </c>
    </row>
    <row r="477">
      <c r="A477" s="62">
        <f>IF(H477="","",IF(ISNUMBER(N477),N477,I477))</f>
        <v/>
      </c>
      <c r="B477">
        <f>IF(H477="","",U477)</f>
        <v/>
      </c>
      <c r="C477">
        <f>IF(H477="","",IF(P477="",K477,INDEX('Students'!$A$2:$A$701,P477)))</f>
        <v/>
      </c>
      <c r="D477">
        <f>IF(OR(H477="",P477=""),"",INDEX('Students'!$B$2:$B$701,P477))</f>
        <v/>
      </c>
      <c r="E477">
        <f>IF(OR(H477="",P477=""),"",INDEX('Students'!$C$2:$C$701,P477))</f>
        <v/>
      </c>
      <c r="F477" s="48">
        <f>IF(H477="","",IF(ISNUMBER(O477),O477,J477))</f>
        <v/>
      </c>
      <c r="G477">
        <f>IF(H477="","","OneCause")</f>
        <v/>
      </c>
      <c r="H477">
        <f>IF(AND(I477="",J477="",K477=""),"",IF(NOT(ISNUMBER(O477)),"Bad amount",IF(O477&lt;0,"Refund (not counted)",IF(O477=0,"Zero amount",IF(NOT(ISNUMBER(N477)),"Bad date",IF(P477="","NAME NOT ON ROSTER",IF(L477="","OK",IF(MATCH(L477,$L$2:$L$3001,0)&lt;ROW()-1,"Duplicate (ignored)","OK"))))))))</f>
        <v/>
      </c>
      <c r="I477">
        <f>IF(OC_Date=0,"",IF(INDEX('OneCause_Paste'!$A$477:$AZ$477,1,OC_Date)="","",INDEX('OneCause_Paste'!$A$477:$AZ$477,1,OC_Date)))</f>
        <v/>
      </c>
      <c r="J477">
        <f>IF(OC_Amt=0,"",IF(INDEX('OneCause_Paste'!$A$477:$AZ$477,1,OC_Amt)="","",INDEX('OneCause_Paste'!$A$477:$AZ$477,1,OC_Amt)))</f>
        <v/>
      </c>
      <c r="K477">
        <f>IF(OC_Name=0,"",IF(INDEX('OneCause_Paste'!$A$477:$AZ$477,1,OC_Name)="","",INDEX('OneCause_Paste'!$A$477:$AZ$477,1,OC_Name)))</f>
        <v/>
      </c>
      <c r="L477">
        <f>IF(OC_Txn=0,"",IF(INDEX('OneCause_Paste'!$A$477:$AZ$477,1,OC_Txn)="","",INDEX('OneCause_Paste'!$A$477:$AZ$477,1,OC_Txn)))</f>
        <v/>
      </c>
      <c r="M477">
        <f>IF(OC_Pay=0,"",IF(INDEX('OneCause_Paste'!$A$477:$AZ$477,1,OC_Pay)="","",INDEX('OneCause_Paste'!$A$477:$AZ$477,1,OC_Pay)))</f>
        <v/>
      </c>
      <c r="N477">
        <f>IF(I477="","",IF(ISNUMBER(I477),INT(I477),IFERROR(INT(DATEVALUE(I477)),IFERROR(INT(VALUE(I477)),"bad"))))</f>
        <v/>
      </c>
      <c r="O477">
        <f>IF(J477="","",IF(ISNUMBER(J477),ROUND(J477,2),IFERROR(ROUND(VALUE(SUBSTITUTE(SUBSTITUTE(SUBSTITUTE(J477,"$",""),",","")," ","")),2),"bad")))</f>
        <v/>
      </c>
      <c r="P477">
        <f>IF(TRIM(K477)="","",IFERROR(MATCH(LOWER(TRIM(K477)),'Students'!$AH$2:$AH$701,0),IFERROR(MATCH(LOWER(TRIM(K477)),'Students'!$AF$2:$AF$701,0),IFERROR(MATCH(LOWER(TRIM(K477)),'Students'!$AG$2:$AG$701,0),""))))</f>
        <v/>
      </c>
      <c r="R477">
        <f>IF(P477="","",INDEX('Students'!$AD$2:$AD$701,P477))</f>
        <v/>
      </c>
      <c r="S477">
        <f>IF(H477="OK",O477,0)</f>
        <v/>
      </c>
      <c r="T477">
        <f>IF(H477="OK",N477,"")</f>
        <v/>
      </c>
      <c r="U477">
        <f>IF(OC_Donor=0,"",IF(INDEX('OneCause_Paste'!$A$477:$AZ$477,1,OC_Donor)="","",INDEX('OneCause_Paste'!$A$477:$AZ$477,1,OC_Donor)))</f>
        <v/>
      </c>
    </row>
    <row r="478">
      <c r="A478" s="62">
        <f>IF(H478="","",IF(ISNUMBER(N478),N478,I478))</f>
        <v/>
      </c>
      <c r="B478">
        <f>IF(H478="","",U478)</f>
        <v/>
      </c>
      <c r="C478">
        <f>IF(H478="","",IF(P478="",K478,INDEX('Students'!$A$2:$A$701,P478)))</f>
        <v/>
      </c>
      <c r="D478">
        <f>IF(OR(H478="",P478=""),"",INDEX('Students'!$B$2:$B$701,P478))</f>
        <v/>
      </c>
      <c r="E478">
        <f>IF(OR(H478="",P478=""),"",INDEX('Students'!$C$2:$C$701,P478))</f>
        <v/>
      </c>
      <c r="F478" s="48">
        <f>IF(H478="","",IF(ISNUMBER(O478),O478,J478))</f>
        <v/>
      </c>
      <c r="G478">
        <f>IF(H478="","","OneCause")</f>
        <v/>
      </c>
      <c r="H478">
        <f>IF(AND(I478="",J478="",K478=""),"",IF(NOT(ISNUMBER(O478)),"Bad amount",IF(O478&lt;0,"Refund (not counted)",IF(O478=0,"Zero amount",IF(NOT(ISNUMBER(N478)),"Bad date",IF(P478="","NAME NOT ON ROSTER",IF(L478="","OK",IF(MATCH(L478,$L$2:$L$3001,0)&lt;ROW()-1,"Duplicate (ignored)","OK"))))))))</f>
        <v/>
      </c>
      <c r="I478">
        <f>IF(OC_Date=0,"",IF(INDEX('OneCause_Paste'!$A$478:$AZ$478,1,OC_Date)="","",INDEX('OneCause_Paste'!$A$478:$AZ$478,1,OC_Date)))</f>
        <v/>
      </c>
      <c r="J478">
        <f>IF(OC_Amt=0,"",IF(INDEX('OneCause_Paste'!$A$478:$AZ$478,1,OC_Amt)="","",INDEX('OneCause_Paste'!$A$478:$AZ$478,1,OC_Amt)))</f>
        <v/>
      </c>
      <c r="K478">
        <f>IF(OC_Name=0,"",IF(INDEX('OneCause_Paste'!$A$478:$AZ$478,1,OC_Name)="","",INDEX('OneCause_Paste'!$A$478:$AZ$478,1,OC_Name)))</f>
        <v/>
      </c>
      <c r="L478">
        <f>IF(OC_Txn=0,"",IF(INDEX('OneCause_Paste'!$A$478:$AZ$478,1,OC_Txn)="","",INDEX('OneCause_Paste'!$A$478:$AZ$478,1,OC_Txn)))</f>
        <v/>
      </c>
      <c r="M478">
        <f>IF(OC_Pay=0,"",IF(INDEX('OneCause_Paste'!$A$478:$AZ$478,1,OC_Pay)="","",INDEX('OneCause_Paste'!$A$478:$AZ$478,1,OC_Pay)))</f>
        <v/>
      </c>
      <c r="N478">
        <f>IF(I478="","",IF(ISNUMBER(I478),INT(I478),IFERROR(INT(DATEVALUE(I478)),IFERROR(INT(VALUE(I478)),"bad"))))</f>
        <v/>
      </c>
      <c r="O478">
        <f>IF(J478="","",IF(ISNUMBER(J478),ROUND(J478,2),IFERROR(ROUND(VALUE(SUBSTITUTE(SUBSTITUTE(SUBSTITUTE(J478,"$",""),",","")," ","")),2),"bad")))</f>
        <v/>
      </c>
      <c r="P478">
        <f>IF(TRIM(K478)="","",IFERROR(MATCH(LOWER(TRIM(K478)),'Students'!$AH$2:$AH$701,0),IFERROR(MATCH(LOWER(TRIM(K478)),'Students'!$AF$2:$AF$701,0),IFERROR(MATCH(LOWER(TRIM(K478)),'Students'!$AG$2:$AG$701,0),""))))</f>
        <v/>
      </c>
      <c r="R478">
        <f>IF(P478="","",INDEX('Students'!$AD$2:$AD$701,P478))</f>
        <v/>
      </c>
      <c r="S478">
        <f>IF(H478="OK",O478,0)</f>
        <v/>
      </c>
      <c r="T478">
        <f>IF(H478="OK",N478,"")</f>
        <v/>
      </c>
      <c r="U478">
        <f>IF(OC_Donor=0,"",IF(INDEX('OneCause_Paste'!$A$478:$AZ$478,1,OC_Donor)="","",INDEX('OneCause_Paste'!$A$478:$AZ$478,1,OC_Donor)))</f>
        <v/>
      </c>
    </row>
    <row r="479">
      <c r="A479" s="62">
        <f>IF(H479="","",IF(ISNUMBER(N479),N479,I479))</f>
        <v/>
      </c>
      <c r="B479">
        <f>IF(H479="","",U479)</f>
        <v/>
      </c>
      <c r="C479">
        <f>IF(H479="","",IF(P479="",K479,INDEX('Students'!$A$2:$A$701,P479)))</f>
        <v/>
      </c>
      <c r="D479">
        <f>IF(OR(H479="",P479=""),"",INDEX('Students'!$B$2:$B$701,P479))</f>
        <v/>
      </c>
      <c r="E479">
        <f>IF(OR(H479="",P479=""),"",INDEX('Students'!$C$2:$C$701,P479))</f>
        <v/>
      </c>
      <c r="F479" s="48">
        <f>IF(H479="","",IF(ISNUMBER(O479),O479,J479))</f>
        <v/>
      </c>
      <c r="G479">
        <f>IF(H479="","","OneCause")</f>
        <v/>
      </c>
      <c r="H479">
        <f>IF(AND(I479="",J479="",K479=""),"",IF(NOT(ISNUMBER(O479)),"Bad amount",IF(O479&lt;0,"Refund (not counted)",IF(O479=0,"Zero amount",IF(NOT(ISNUMBER(N479)),"Bad date",IF(P479="","NAME NOT ON ROSTER",IF(L479="","OK",IF(MATCH(L479,$L$2:$L$3001,0)&lt;ROW()-1,"Duplicate (ignored)","OK"))))))))</f>
        <v/>
      </c>
      <c r="I479">
        <f>IF(OC_Date=0,"",IF(INDEX('OneCause_Paste'!$A$479:$AZ$479,1,OC_Date)="","",INDEX('OneCause_Paste'!$A$479:$AZ$479,1,OC_Date)))</f>
        <v/>
      </c>
      <c r="J479">
        <f>IF(OC_Amt=0,"",IF(INDEX('OneCause_Paste'!$A$479:$AZ$479,1,OC_Amt)="","",INDEX('OneCause_Paste'!$A$479:$AZ$479,1,OC_Amt)))</f>
        <v/>
      </c>
      <c r="K479">
        <f>IF(OC_Name=0,"",IF(INDEX('OneCause_Paste'!$A$479:$AZ$479,1,OC_Name)="","",INDEX('OneCause_Paste'!$A$479:$AZ$479,1,OC_Name)))</f>
        <v/>
      </c>
      <c r="L479">
        <f>IF(OC_Txn=0,"",IF(INDEX('OneCause_Paste'!$A$479:$AZ$479,1,OC_Txn)="","",INDEX('OneCause_Paste'!$A$479:$AZ$479,1,OC_Txn)))</f>
        <v/>
      </c>
      <c r="M479">
        <f>IF(OC_Pay=0,"",IF(INDEX('OneCause_Paste'!$A$479:$AZ$479,1,OC_Pay)="","",INDEX('OneCause_Paste'!$A$479:$AZ$479,1,OC_Pay)))</f>
        <v/>
      </c>
      <c r="N479">
        <f>IF(I479="","",IF(ISNUMBER(I479),INT(I479),IFERROR(INT(DATEVALUE(I479)),IFERROR(INT(VALUE(I479)),"bad"))))</f>
        <v/>
      </c>
      <c r="O479">
        <f>IF(J479="","",IF(ISNUMBER(J479),ROUND(J479,2),IFERROR(ROUND(VALUE(SUBSTITUTE(SUBSTITUTE(SUBSTITUTE(J479,"$",""),",","")," ","")),2),"bad")))</f>
        <v/>
      </c>
      <c r="P479">
        <f>IF(TRIM(K479)="","",IFERROR(MATCH(LOWER(TRIM(K479)),'Students'!$AH$2:$AH$701,0),IFERROR(MATCH(LOWER(TRIM(K479)),'Students'!$AF$2:$AF$701,0),IFERROR(MATCH(LOWER(TRIM(K479)),'Students'!$AG$2:$AG$701,0),""))))</f>
        <v/>
      </c>
      <c r="R479">
        <f>IF(P479="","",INDEX('Students'!$AD$2:$AD$701,P479))</f>
        <v/>
      </c>
      <c r="S479">
        <f>IF(H479="OK",O479,0)</f>
        <v/>
      </c>
      <c r="T479">
        <f>IF(H479="OK",N479,"")</f>
        <v/>
      </c>
      <c r="U479">
        <f>IF(OC_Donor=0,"",IF(INDEX('OneCause_Paste'!$A$479:$AZ$479,1,OC_Donor)="","",INDEX('OneCause_Paste'!$A$479:$AZ$479,1,OC_Donor)))</f>
        <v/>
      </c>
    </row>
    <row r="480">
      <c r="A480" s="62">
        <f>IF(H480="","",IF(ISNUMBER(N480),N480,I480))</f>
        <v/>
      </c>
      <c r="B480">
        <f>IF(H480="","",U480)</f>
        <v/>
      </c>
      <c r="C480">
        <f>IF(H480="","",IF(P480="",K480,INDEX('Students'!$A$2:$A$701,P480)))</f>
        <v/>
      </c>
      <c r="D480">
        <f>IF(OR(H480="",P480=""),"",INDEX('Students'!$B$2:$B$701,P480))</f>
        <v/>
      </c>
      <c r="E480">
        <f>IF(OR(H480="",P480=""),"",INDEX('Students'!$C$2:$C$701,P480))</f>
        <v/>
      </c>
      <c r="F480" s="48">
        <f>IF(H480="","",IF(ISNUMBER(O480),O480,J480))</f>
        <v/>
      </c>
      <c r="G480">
        <f>IF(H480="","","OneCause")</f>
        <v/>
      </c>
      <c r="H480">
        <f>IF(AND(I480="",J480="",K480=""),"",IF(NOT(ISNUMBER(O480)),"Bad amount",IF(O480&lt;0,"Refund (not counted)",IF(O480=0,"Zero amount",IF(NOT(ISNUMBER(N480)),"Bad date",IF(P480="","NAME NOT ON ROSTER",IF(L480="","OK",IF(MATCH(L480,$L$2:$L$3001,0)&lt;ROW()-1,"Duplicate (ignored)","OK"))))))))</f>
        <v/>
      </c>
      <c r="I480">
        <f>IF(OC_Date=0,"",IF(INDEX('OneCause_Paste'!$A$480:$AZ$480,1,OC_Date)="","",INDEX('OneCause_Paste'!$A$480:$AZ$480,1,OC_Date)))</f>
        <v/>
      </c>
      <c r="J480">
        <f>IF(OC_Amt=0,"",IF(INDEX('OneCause_Paste'!$A$480:$AZ$480,1,OC_Amt)="","",INDEX('OneCause_Paste'!$A$480:$AZ$480,1,OC_Amt)))</f>
        <v/>
      </c>
      <c r="K480">
        <f>IF(OC_Name=0,"",IF(INDEX('OneCause_Paste'!$A$480:$AZ$480,1,OC_Name)="","",INDEX('OneCause_Paste'!$A$480:$AZ$480,1,OC_Name)))</f>
        <v/>
      </c>
      <c r="L480">
        <f>IF(OC_Txn=0,"",IF(INDEX('OneCause_Paste'!$A$480:$AZ$480,1,OC_Txn)="","",INDEX('OneCause_Paste'!$A$480:$AZ$480,1,OC_Txn)))</f>
        <v/>
      </c>
      <c r="M480">
        <f>IF(OC_Pay=0,"",IF(INDEX('OneCause_Paste'!$A$480:$AZ$480,1,OC_Pay)="","",INDEX('OneCause_Paste'!$A$480:$AZ$480,1,OC_Pay)))</f>
        <v/>
      </c>
      <c r="N480">
        <f>IF(I480="","",IF(ISNUMBER(I480),INT(I480),IFERROR(INT(DATEVALUE(I480)),IFERROR(INT(VALUE(I480)),"bad"))))</f>
        <v/>
      </c>
      <c r="O480">
        <f>IF(J480="","",IF(ISNUMBER(J480),ROUND(J480,2),IFERROR(ROUND(VALUE(SUBSTITUTE(SUBSTITUTE(SUBSTITUTE(J480,"$",""),",","")," ","")),2),"bad")))</f>
        <v/>
      </c>
      <c r="P480">
        <f>IF(TRIM(K480)="","",IFERROR(MATCH(LOWER(TRIM(K480)),'Students'!$AH$2:$AH$701,0),IFERROR(MATCH(LOWER(TRIM(K480)),'Students'!$AF$2:$AF$701,0),IFERROR(MATCH(LOWER(TRIM(K480)),'Students'!$AG$2:$AG$701,0),""))))</f>
        <v/>
      </c>
      <c r="R480">
        <f>IF(P480="","",INDEX('Students'!$AD$2:$AD$701,P480))</f>
        <v/>
      </c>
      <c r="S480">
        <f>IF(H480="OK",O480,0)</f>
        <v/>
      </c>
      <c r="T480">
        <f>IF(H480="OK",N480,"")</f>
        <v/>
      </c>
      <c r="U480">
        <f>IF(OC_Donor=0,"",IF(INDEX('OneCause_Paste'!$A$480:$AZ$480,1,OC_Donor)="","",INDEX('OneCause_Paste'!$A$480:$AZ$480,1,OC_Donor)))</f>
        <v/>
      </c>
    </row>
    <row r="481">
      <c r="A481" s="62">
        <f>IF(H481="","",IF(ISNUMBER(N481),N481,I481))</f>
        <v/>
      </c>
      <c r="B481">
        <f>IF(H481="","",U481)</f>
        <v/>
      </c>
      <c r="C481">
        <f>IF(H481="","",IF(P481="",K481,INDEX('Students'!$A$2:$A$701,P481)))</f>
        <v/>
      </c>
      <c r="D481">
        <f>IF(OR(H481="",P481=""),"",INDEX('Students'!$B$2:$B$701,P481))</f>
        <v/>
      </c>
      <c r="E481">
        <f>IF(OR(H481="",P481=""),"",INDEX('Students'!$C$2:$C$701,P481))</f>
        <v/>
      </c>
      <c r="F481" s="48">
        <f>IF(H481="","",IF(ISNUMBER(O481),O481,J481))</f>
        <v/>
      </c>
      <c r="G481">
        <f>IF(H481="","","OneCause")</f>
        <v/>
      </c>
      <c r="H481">
        <f>IF(AND(I481="",J481="",K481=""),"",IF(NOT(ISNUMBER(O481)),"Bad amount",IF(O481&lt;0,"Refund (not counted)",IF(O481=0,"Zero amount",IF(NOT(ISNUMBER(N481)),"Bad date",IF(P481="","NAME NOT ON ROSTER",IF(L481="","OK",IF(MATCH(L481,$L$2:$L$3001,0)&lt;ROW()-1,"Duplicate (ignored)","OK"))))))))</f>
        <v/>
      </c>
      <c r="I481">
        <f>IF(OC_Date=0,"",IF(INDEX('OneCause_Paste'!$A$481:$AZ$481,1,OC_Date)="","",INDEX('OneCause_Paste'!$A$481:$AZ$481,1,OC_Date)))</f>
        <v/>
      </c>
      <c r="J481">
        <f>IF(OC_Amt=0,"",IF(INDEX('OneCause_Paste'!$A$481:$AZ$481,1,OC_Amt)="","",INDEX('OneCause_Paste'!$A$481:$AZ$481,1,OC_Amt)))</f>
        <v/>
      </c>
      <c r="K481">
        <f>IF(OC_Name=0,"",IF(INDEX('OneCause_Paste'!$A$481:$AZ$481,1,OC_Name)="","",INDEX('OneCause_Paste'!$A$481:$AZ$481,1,OC_Name)))</f>
        <v/>
      </c>
      <c r="L481">
        <f>IF(OC_Txn=0,"",IF(INDEX('OneCause_Paste'!$A$481:$AZ$481,1,OC_Txn)="","",INDEX('OneCause_Paste'!$A$481:$AZ$481,1,OC_Txn)))</f>
        <v/>
      </c>
      <c r="M481">
        <f>IF(OC_Pay=0,"",IF(INDEX('OneCause_Paste'!$A$481:$AZ$481,1,OC_Pay)="","",INDEX('OneCause_Paste'!$A$481:$AZ$481,1,OC_Pay)))</f>
        <v/>
      </c>
      <c r="N481">
        <f>IF(I481="","",IF(ISNUMBER(I481),INT(I481),IFERROR(INT(DATEVALUE(I481)),IFERROR(INT(VALUE(I481)),"bad"))))</f>
        <v/>
      </c>
      <c r="O481">
        <f>IF(J481="","",IF(ISNUMBER(J481),ROUND(J481,2),IFERROR(ROUND(VALUE(SUBSTITUTE(SUBSTITUTE(SUBSTITUTE(J481,"$",""),",","")," ","")),2),"bad")))</f>
        <v/>
      </c>
      <c r="P481">
        <f>IF(TRIM(K481)="","",IFERROR(MATCH(LOWER(TRIM(K481)),'Students'!$AH$2:$AH$701,0),IFERROR(MATCH(LOWER(TRIM(K481)),'Students'!$AF$2:$AF$701,0),IFERROR(MATCH(LOWER(TRIM(K481)),'Students'!$AG$2:$AG$701,0),""))))</f>
        <v/>
      </c>
      <c r="R481">
        <f>IF(P481="","",INDEX('Students'!$AD$2:$AD$701,P481))</f>
        <v/>
      </c>
      <c r="S481">
        <f>IF(H481="OK",O481,0)</f>
        <v/>
      </c>
      <c r="T481">
        <f>IF(H481="OK",N481,"")</f>
        <v/>
      </c>
      <c r="U481">
        <f>IF(OC_Donor=0,"",IF(INDEX('OneCause_Paste'!$A$481:$AZ$481,1,OC_Donor)="","",INDEX('OneCause_Paste'!$A$481:$AZ$481,1,OC_Donor)))</f>
        <v/>
      </c>
    </row>
    <row r="482">
      <c r="A482" s="62">
        <f>IF(H482="","",IF(ISNUMBER(N482),N482,I482))</f>
        <v/>
      </c>
      <c r="B482">
        <f>IF(H482="","",U482)</f>
        <v/>
      </c>
      <c r="C482">
        <f>IF(H482="","",IF(P482="",K482,INDEX('Students'!$A$2:$A$701,P482)))</f>
        <v/>
      </c>
      <c r="D482">
        <f>IF(OR(H482="",P482=""),"",INDEX('Students'!$B$2:$B$701,P482))</f>
        <v/>
      </c>
      <c r="E482">
        <f>IF(OR(H482="",P482=""),"",INDEX('Students'!$C$2:$C$701,P482))</f>
        <v/>
      </c>
      <c r="F482" s="48">
        <f>IF(H482="","",IF(ISNUMBER(O482),O482,J482))</f>
        <v/>
      </c>
      <c r="G482">
        <f>IF(H482="","","OneCause")</f>
        <v/>
      </c>
      <c r="H482">
        <f>IF(AND(I482="",J482="",K482=""),"",IF(NOT(ISNUMBER(O482)),"Bad amount",IF(O482&lt;0,"Refund (not counted)",IF(O482=0,"Zero amount",IF(NOT(ISNUMBER(N482)),"Bad date",IF(P482="","NAME NOT ON ROSTER",IF(L482="","OK",IF(MATCH(L482,$L$2:$L$3001,0)&lt;ROW()-1,"Duplicate (ignored)","OK"))))))))</f>
        <v/>
      </c>
      <c r="I482">
        <f>IF(OC_Date=0,"",IF(INDEX('OneCause_Paste'!$A$482:$AZ$482,1,OC_Date)="","",INDEX('OneCause_Paste'!$A$482:$AZ$482,1,OC_Date)))</f>
        <v/>
      </c>
      <c r="J482">
        <f>IF(OC_Amt=0,"",IF(INDEX('OneCause_Paste'!$A$482:$AZ$482,1,OC_Amt)="","",INDEX('OneCause_Paste'!$A$482:$AZ$482,1,OC_Amt)))</f>
        <v/>
      </c>
      <c r="K482">
        <f>IF(OC_Name=0,"",IF(INDEX('OneCause_Paste'!$A$482:$AZ$482,1,OC_Name)="","",INDEX('OneCause_Paste'!$A$482:$AZ$482,1,OC_Name)))</f>
        <v/>
      </c>
      <c r="L482">
        <f>IF(OC_Txn=0,"",IF(INDEX('OneCause_Paste'!$A$482:$AZ$482,1,OC_Txn)="","",INDEX('OneCause_Paste'!$A$482:$AZ$482,1,OC_Txn)))</f>
        <v/>
      </c>
      <c r="M482">
        <f>IF(OC_Pay=0,"",IF(INDEX('OneCause_Paste'!$A$482:$AZ$482,1,OC_Pay)="","",INDEX('OneCause_Paste'!$A$482:$AZ$482,1,OC_Pay)))</f>
        <v/>
      </c>
      <c r="N482">
        <f>IF(I482="","",IF(ISNUMBER(I482),INT(I482),IFERROR(INT(DATEVALUE(I482)),IFERROR(INT(VALUE(I482)),"bad"))))</f>
        <v/>
      </c>
      <c r="O482">
        <f>IF(J482="","",IF(ISNUMBER(J482),ROUND(J482,2),IFERROR(ROUND(VALUE(SUBSTITUTE(SUBSTITUTE(SUBSTITUTE(J482,"$",""),",","")," ","")),2),"bad")))</f>
        <v/>
      </c>
      <c r="P482">
        <f>IF(TRIM(K482)="","",IFERROR(MATCH(LOWER(TRIM(K482)),'Students'!$AH$2:$AH$701,0),IFERROR(MATCH(LOWER(TRIM(K482)),'Students'!$AF$2:$AF$701,0),IFERROR(MATCH(LOWER(TRIM(K482)),'Students'!$AG$2:$AG$701,0),""))))</f>
        <v/>
      </c>
      <c r="R482">
        <f>IF(P482="","",INDEX('Students'!$AD$2:$AD$701,P482))</f>
        <v/>
      </c>
      <c r="S482">
        <f>IF(H482="OK",O482,0)</f>
        <v/>
      </c>
      <c r="T482">
        <f>IF(H482="OK",N482,"")</f>
        <v/>
      </c>
      <c r="U482">
        <f>IF(OC_Donor=0,"",IF(INDEX('OneCause_Paste'!$A$482:$AZ$482,1,OC_Donor)="","",INDEX('OneCause_Paste'!$A$482:$AZ$482,1,OC_Donor)))</f>
        <v/>
      </c>
    </row>
    <row r="483">
      <c r="A483" s="62">
        <f>IF(H483="","",IF(ISNUMBER(N483),N483,I483))</f>
        <v/>
      </c>
      <c r="B483">
        <f>IF(H483="","",U483)</f>
        <v/>
      </c>
      <c r="C483">
        <f>IF(H483="","",IF(P483="",K483,INDEX('Students'!$A$2:$A$701,P483)))</f>
        <v/>
      </c>
      <c r="D483">
        <f>IF(OR(H483="",P483=""),"",INDEX('Students'!$B$2:$B$701,P483))</f>
        <v/>
      </c>
      <c r="E483">
        <f>IF(OR(H483="",P483=""),"",INDEX('Students'!$C$2:$C$701,P483))</f>
        <v/>
      </c>
      <c r="F483" s="48">
        <f>IF(H483="","",IF(ISNUMBER(O483),O483,J483))</f>
        <v/>
      </c>
      <c r="G483">
        <f>IF(H483="","","OneCause")</f>
        <v/>
      </c>
      <c r="H483">
        <f>IF(AND(I483="",J483="",K483=""),"",IF(NOT(ISNUMBER(O483)),"Bad amount",IF(O483&lt;0,"Refund (not counted)",IF(O483=0,"Zero amount",IF(NOT(ISNUMBER(N483)),"Bad date",IF(P483="","NAME NOT ON ROSTER",IF(L483="","OK",IF(MATCH(L483,$L$2:$L$3001,0)&lt;ROW()-1,"Duplicate (ignored)","OK"))))))))</f>
        <v/>
      </c>
      <c r="I483">
        <f>IF(OC_Date=0,"",IF(INDEX('OneCause_Paste'!$A$483:$AZ$483,1,OC_Date)="","",INDEX('OneCause_Paste'!$A$483:$AZ$483,1,OC_Date)))</f>
        <v/>
      </c>
      <c r="J483">
        <f>IF(OC_Amt=0,"",IF(INDEX('OneCause_Paste'!$A$483:$AZ$483,1,OC_Amt)="","",INDEX('OneCause_Paste'!$A$483:$AZ$483,1,OC_Amt)))</f>
        <v/>
      </c>
      <c r="K483">
        <f>IF(OC_Name=0,"",IF(INDEX('OneCause_Paste'!$A$483:$AZ$483,1,OC_Name)="","",INDEX('OneCause_Paste'!$A$483:$AZ$483,1,OC_Name)))</f>
        <v/>
      </c>
      <c r="L483">
        <f>IF(OC_Txn=0,"",IF(INDEX('OneCause_Paste'!$A$483:$AZ$483,1,OC_Txn)="","",INDEX('OneCause_Paste'!$A$483:$AZ$483,1,OC_Txn)))</f>
        <v/>
      </c>
      <c r="M483">
        <f>IF(OC_Pay=0,"",IF(INDEX('OneCause_Paste'!$A$483:$AZ$483,1,OC_Pay)="","",INDEX('OneCause_Paste'!$A$483:$AZ$483,1,OC_Pay)))</f>
        <v/>
      </c>
      <c r="N483">
        <f>IF(I483="","",IF(ISNUMBER(I483),INT(I483),IFERROR(INT(DATEVALUE(I483)),IFERROR(INT(VALUE(I483)),"bad"))))</f>
        <v/>
      </c>
      <c r="O483">
        <f>IF(J483="","",IF(ISNUMBER(J483),ROUND(J483,2),IFERROR(ROUND(VALUE(SUBSTITUTE(SUBSTITUTE(SUBSTITUTE(J483,"$",""),",","")," ","")),2),"bad")))</f>
        <v/>
      </c>
      <c r="P483">
        <f>IF(TRIM(K483)="","",IFERROR(MATCH(LOWER(TRIM(K483)),'Students'!$AH$2:$AH$701,0),IFERROR(MATCH(LOWER(TRIM(K483)),'Students'!$AF$2:$AF$701,0),IFERROR(MATCH(LOWER(TRIM(K483)),'Students'!$AG$2:$AG$701,0),""))))</f>
        <v/>
      </c>
      <c r="R483">
        <f>IF(P483="","",INDEX('Students'!$AD$2:$AD$701,P483))</f>
        <v/>
      </c>
      <c r="S483">
        <f>IF(H483="OK",O483,0)</f>
        <v/>
      </c>
      <c r="T483">
        <f>IF(H483="OK",N483,"")</f>
        <v/>
      </c>
      <c r="U483">
        <f>IF(OC_Donor=0,"",IF(INDEX('OneCause_Paste'!$A$483:$AZ$483,1,OC_Donor)="","",INDEX('OneCause_Paste'!$A$483:$AZ$483,1,OC_Donor)))</f>
        <v/>
      </c>
    </row>
    <row r="484">
      <c r="A484" s="62">
        <f>IF(H484="","",IF(ISNUMBER(N484),N484,I484))</f>
        <v/>
      </c>
      <c r="B484">
        <f>IF(H484="","",U484)</f>
        <v/>
      </c>
      <c r="C484">
        <f>IF(H484="","",IF(P484="",K484,INDEX('Students'!$A$2:$A$701,P484)))</f>
        <v/>
      </c>
      <c r="D484">
        <f>IF(OR(H484="",P484=""),"",INDEX('Students'!$B$2:$B$701,P484))</f>
        <v/>
      </c>
      <c r="E484">
        <f>IF(OR(H484="",P484=""),"",INDEX('Students'!$C$2:$C$701,P484))</f>
        <v/>
      </c>
      <c r="F484" s="48">
        <f>IF(H484="","",IF(ISNUMBER(O484),O484,J484))</f>
        <v/>
      </c>
      <c r="G484">
        <f>IF(H484="","","OneCause")</f>
        <v/>
      </c>
      <c r="H484">
        <f>IF(AND(I484="",J484="",K484=""),"",IF(NOT(ISNUMBER(O484)),"Bad amount",IF(O484&lt;0,"Refund (not counted)",IF(O484=0,"Zero amount",IF(NOT(ISNUMBER(N484)),"Bad date",IF(P484="","NAME NOT ON ROSTER",IF(L484="","OK",IF(MATCH(L484,$L$2:$L$3001,0)&lt;ROW()-1,"Duplicate (ignored)","OK"))))))))</f>
        <v/>
      </c>
      <c r="I484">
        <f>IF(OC_Date=0,"",IF(INDEX('OneCause_Paste'!$A$484:$AZ$484,1,OC_Date)="","",INDEX('OneCause_Paste'!$A$484:$AZ$484,1,OC_Date)))</f>
        <v/>
      </c>
      <c r="J484">
        <f>IF(OC_Amt=0,"",IF(INDEX('OneCause_Paste'!$A$484:$AZ$484,1,OC_Amt)="","",INDEX('OneCause_Paste'!$A$484:$AZ$484,1,OC_Amt)))</f>
        <v/>
      </c>
      <c r="K484">
        <f>IF(OC_Name=0,"",IF(INDEX('OneCause_Paste'!$A$484:$AZ$484,1,OC_Name)="","",INDEX('OneCause_Paste'!$A$484:$AZ$484,1,OC_Name)))</f>
        <v/>
      </c>
      <c r="L484">
        <f>IF(OC_Txn=0,"",IF(INDEX('OneCause_Paste'!$A$484:$AZ$484,1,OC_Txn)="","",INDEX('OneCause_Paste'!$A$484:$AZ$484,1,OC_Txn)))</f>
        <v/>
      </c>
      <c r="M484">
        <f>IF(OC_Pay=0,"",IF(INDEX('OneCause_Paste'!$A$484:$AZ$484,1,OC_Pay)="","",INDEX('OneCause_Paste'!$A$484:$AZ$484,1,OC_Pay)))</f>
        <v/>
      </c>
      <c r="N484">
        <f>IF(I484="","",IF(ISNUMBER(I484),INT(I484),IFERROR(INT(DATEVALUE(I484)),IFERROR(INT(VALUE(I484)),"bad"))))</f>
        <v/>
      </c>
      <c r="O484">
        <f>IF(J484="","",IF(ISNUMBER(J484),ROUND(J484,2),IFERROR(ROUND(VALUE(SUBSTITUTE(SUBSTITUTE(SUBSTITUTE(J484,"$",""),",","")," ","")),2),"bad")))</f>
        <v/>
      </c>
      <c r="P484">
        <f>IF(TRIM(K484)="","",IFERROR(MATCH(LOWER(TRIM(K484)),'Students'!$AH$2:$AH$701,0),IFERROR(MATCH(LOWER(TRIM(K484)),'Students'!$AF$2:$AF$701,0),IFERROR(MATCH(LOWER(TRIM(K484)),'Students'!$AG$2:$AG$701,0),""))))</f>
        <v/>
      </c>
      <c r="R484">
        <f>IF(P484="","",INDEX('Students'!$AD$2:$AD$701,P484))</f>
        <v/>
      </c>
      <c r="S484">
        <f>IF(H484="OK",O484,0)</f>
        <v/>
      </c>
      <c r="T484">
        <f>IF(H484="OK",N484,"")</f>
        <v/>
      </c>
      <c r="U484">
        <f>IF(OC_Donor=0,"",IF(INDEX('OneCause_Paste'!$A$484:$AZ$484,1,OC_Donor)="","",INDEX('OneCause_Paste'!$A$484:$AZ$484,1,OC_Donor)))</f>
        <v/>
      </c>
    </row>
    <row r="485">
      <c r="A485" s="62">
        <f>IF(H485="","",IF(ISNUMBER(N485),N485,I485))</f>
        <v/>
      </c>
      <c r="B485">
        <f>IF(H485="","",U485)</f>
        <v/>
      </c>
      <c r="C485">
        <f>IF(H485="","",IF(P485="",K485,INDEX('Students'!$A$2:$A$701,P485)))</f>
        <v/>
      </c>
      <c r="D485">
        <f>IF(OR(H485="",P485=""),"",INDEX('Students'!$B$2:$B$701,P485))</f>
        <v/>
      </c>
      <c r="E485">
        <f>IF(OR(H485="",P485=""),"",INDEX('Students'!$C$2:$C$701,P485))</f>
        <v/>
      </c>
      <c r="F485" s="48">
        <f>IF(H485="","",IF(ISNUMBER(O485),O485,J485))</f>
        <v/>
      </c>
      <c r="G485">
        <f>IF(H485="","","OneCause")</f>
        <v/>
      </c>
      <c r="H485">
        <f>IF(AND(I485="",J485="",K485=""),"",IF(NOT(ISNUMBER(O485)),"Bad amount",IF(O485&lt;0,"Refund (not counted)",IF(O485=0,"Zero amount",IF(NOT(ISNUMBER(N485)),"Bad date",IF(P485="","NAME NOT ON ROSTER",IF(L485="","OK",IF(MATCH(L485,$L$2:$L$3001,0)&lt;ROW()-1,"Duplicate (ignored)","OK"))))))))</f>
        <v/>
      </c>
      <c r="I485">
        <f>IF(OC_Date=0,"",IF(INDEX('OneCause_Paste'!$A$485:$AZ$485,1,OC_Date)="","",INDEX('OneCause_Paste'!$A$485:$AZ$485,1,OC_Date)))</f>
        <v/>
      </c>
      <c r="J485">
        <f>IF(OC_Amt=0,"",IF(INDEX('OneCause_Paste'!$A$485:$AZ$485,1,OC_Amt)="","",INDEX('OneCause_Paste'!$A$485:$AZ$485,1,OC_Amt)))</f>
        <v/>
      </c>
      <c r="K485">
        <f>IF(OC_Name=0,"",IF(INDEX('OneCause_Paste'!$A$485:$AZ$485,1,OC_Name)="","",INDEX('OneCause_Paste'!$A$485:$AZ$485,1,OC_Name)))</f>
        <v/>
      </c>
      <c r="L485">
        <f>IF(OC_Txn=0,"",IF(INDEX('OneCause_Paste'!$A$485:$AZ$485,1,OC_Txn)="","",INDEX('OneCause_Paste'!$A$485:$AZ$485,1,OC_Txn)))</f>
        <v/>
      </c>
      <c r="M485">
        <f>IF(OC_Pay=0,"",IF(INDEX('OneCause_Paste'!$A$485:$AZ$485,1,OC_Pay)="","",INDEX('OneCause_Paste'!$A$485:$AZ$485,1,OC_Pay)))</f>
        <v/>
      </c>
      <c r="N485">
        <f>IF(I485="","",IF(ISNUMBER(I485),INT(I485),IFERROR(INT(DATEVALUE(I485)),IFERROR(INT(VALUE(I485)),"bad"))))</f>
        <v/>
      </c>
      <c r="O485">
        <f>IF(J485="","",IF(ISNUMBER(J485),ROUND(J485,2),IFERROR(ROUND(VALUE(SUBSTITUTE(SUBSTITUTE(SUBSTITUTE(J485,"$",""),",","")," ","")),2),"bad")))</f>
        <v/>
      </c>
      <c r="P485">
        <f>IF(TRIM(K485)="","",IFERROR(MATCH(LOWER(TRIM(K485)),'Students'!$AH$2:$AH$701,0),IFERROR(MATCH(LOWER(TRIM(K485)),'Students'!$AF$2:$AF$701,0),IFERROR(MATCH(LOWER(TRIM(K485)),'Students'!$AG$2:$AG$701,0),""))))</f>
        <v/>
      </c>
      <c r="R485">
        <f>IF(P485="","",INDEX('Students'!$AD$2:$AD$701,P485))</f>
        <v/>
      </c>
      <c r="S485">
        <f>IF(H485="OK",O485,0)</f>
        <v/>
      </c>
      <c r="T485">
        <f>IF(H485="OK",N485,"")</f>
        <v/>
      </c>
      <c r="U485">
        <f>IF(OC_Donor=0,"",IF(INDEX('OneCause_Paste'!$A$485:$AZ$485,1,OC_Donor)="","",INDEX('OneCause_Paste'!$A$485:$AZ$485,1,OC_Donor)))</f>
        <v/>
      </c>
    </row>
    <row r="486">
      <c r="A486" s="62">
        <f>IF(H486="","",IF(ISNUMBER(N486),N486,I486))</f>
        <v/>
      </c>
      <c r="B486">
        <f>IF(H486="","",U486)</f>
        <v/>
      </c>
      <c r="C486">
        <f>IF(H486="","",IF(P486="",K486,INDEX('Students'!$A$2:$A$701,P486)))</f>
        <v/>
      </c>
      <c r="D486">
        <f>IF(OR(H486="",P486=""),"",INDEX('Students'!$B$2:$B$701,P486))</f>
        <v/>
      </c>
      <c r="E486">
        <f>IF(OR(H486="",P486=""),"",INDEX('Students'!$C$2:$C$701,P486))</f>
        <v/>
      </c>
      <c r="F486" s="48">
        <f>IF(H486="","",IF(ISNUMBER(O486),O486,J486))</f>
        <v/>
      </c>
      <c r="G486">
        <f>IF(H486="","","OneCause")</f>
        <v/>
      </c>
      <c r="H486">
        <f>IF(AND(I486="",J486="",K486=""),"",IF(NOT(ISNUMBER(O486)),"Bad amount",IF(O486&lt;0,"Refund (not counted)",IF(O486=0,"Zero amount",IF(NOT(ISNUMBER(N486)),"Bad date",IF(P486="","NAME NOT ON ROSTER",IF(L486="","OK",IF(MATCH(L486,$L$2:$L$3001,0)&lt;ROW()-1,"Duplicate (ignored)","OK"))))))))</f>
        <v/>
      </c>
      <c r="I486">
        <f>IF(OC_Date=0,"",IF(INDEX('OneCause_Paste'!$A$486:$AZ$486,1,OC_Date)="","",INDEX('OneCause_Paste'!$A$486:$AZ$486,1,OC_Date)))</f>
        <v/>
      </c>
      <c r="J486">
        <f>IF(OC_Amt=0,"",IF(INDEX('OneCause_Paste'!$A$486:$AZ$486,1,OC_Amt)="","",INDEX('OneCause_Paste'!$A$486:$AZ$486,1,OC_Amt)))</f>
        <v/>
      </c>
      <c r="K486">
        <f>IF(OC_Name=0,"",IF(INDEX('OneCause_Paste'!$A$486:$AZ$486,1,OC_Name)="","",INDEX('OneCause_Paste'!$A$486:$AZ$486,1,OC_Name)))</f>
        <v/>
      </c>
      <c r="L486">
        <f>IF(OC_Txn=0,"",IF(INDEX('OneCause_Paste'!$A$486:$AZ$486,1,OC_Txn)="","",INDEX('OneCause_Paste'!$A$486:$AZ$486,1,OC_Txn)))</f>
        <v/>
      </c>
      <c r="M486">
        <f>IF(OC_Pay=0,"",IF(INDEX('OneCause_Paste'!$A$486:$AZ$486,1,OC_Pay)="","",INDEX('OneCause_Paste'!$A$486:$AZ$486,1,OC_Pay)))</f>
        <v/>
      </c>
      <c r="N486">
        <f>IF(I486="","",IF(ISNUMBER(I486),INT(I486),IFERROR(INT(DATEVALUE(I486)),IFERROR(INT(VALUE(I486)),"bad"))))</f>
        <v/>
      </c>
      <c r="O486">
        <f>IF(J486="","",IF(ISNUMBER(J486),ROUND(J486,2),IFERROR(ROUND(VALUE(SUBSTITUTE(SUBSTITUTE(SUBSTITUTE(J486,"$",""),",","")," ","")),2),"bad")))</f>
        <v/>
      </c>
      <c r="P486">
        <f>IF(TRIM(K486)="","",IFERROR(MATCH(LOWER(TRIM(K486)),'Students'!$AH$2:$AH$701,0),IFERROR(MATCH(LOWER(TRIM(K486)),'Students'!$AF$2:$AF$701,0),IFERROR(MATCH(LOWER(TRIM(K486)),'Students'!$AG$2:$AG$701,0),""))))</f>
        <v/>
      </c>
      <c r="R486">
        <f>IF(P486="","",INDEX('Students'!$AD$2:$AD$701,P486))</f>
        <v/>
      </c>
      <c r="S486">
        <f>IF(H486="OK",O486,0)</f>
        <v/>
      </c>
      <c r="T486">
        <f>IF(H486="OK",N486,"")</f>
        <v/>
      </c>
      <c r="U486">
        <f>IF(OC_Donor=0,"",IF(INDEX('OneCause_Paste'!$A$486:$AZ$486,1,OC_Donor)="","",INDEX('OneCause_Paste'!$A$486:$AZ$486,1,OC_Donor)))</f>
        <v/>
      </c>
    </row>
    <row r="487">
      <c r="A487" s="62">
        <f>IF(H487="","",IF(ISNUMBER(N487),N487,I487))</f>
        <v/>
      </c>
      <c r="B487">
        <f>IF(H487="","",U487)</f>
        <v/>
      </c>
      <c r="C487">
        <f>IF(H487="","",IF(P487="",K487,INDEX('Students'!$A$2:$A$701,P487)))</f>
        <v/>
      </c>
      <c r="D487">
        <f>IF(OR(H487="",P487=""),"",INDEX('Students'!$B$2:$B$701,P487))</f>
        <v/>
      </c>
      <c r="E487">
        <f>IF(OR(H487="",P487=""),"",INDEX('Students'!$C$2:$C$701,P487))</f>
        <v/>
      </c>
      <c r="F487" s="48">
        <f>IF(H487="","",IF(ISNUMBER(O487),O487,J487))</f>
        <v/>
      </c>
      <c r="G487">
        <f>IF(H487="","","OneCause")</f>
        <v/>
      </c>
      <c r="H487">
        <f>IF(AND(I487="",J487="",K487=""),"",IF(NOT(ISNUMBER(O487)),"Bad amount",IF(O487&lt;0,"Refund (not counted)",IF(O487=0,"Zero amount",IF(NOT(ISNUMBER(N487)),"Bad date",IF(P487="","NAME NOT ON ROSTER",IF(L487="","OK",IF(MATCH(L487,$L$2:$L$3001,0)&lt;ROW()-1,"Duplicate (ignored)","OK"))))))))</f>
        <v/>
      </c>
      <c r="I487">
        <f>IF(OC_Date=0,"",IF(INDEX('OneCause_Paste'!$A$487:$AZ$487,1,OC_Date)="","",INDEX('OneCause_Paste'!$A$487:$AZ$487,1,OC_Date)))</f>
        <v/>
      </c>
      <c r="J487">
        <f>IF(OC_Amt=0,"",IF(INDEX('OneCause_Paste'!$A$487:$AZ$487,1,OC_Amt)="","",INDEX('OneCause_Paste'!$A$487:$AZ$487,1,OC_Amt)))</f>
        <v/>
      </c>
      <c r="K487">
        <f>IF(OC_Name=0,"",IF(INDEX('OneCause_Paste'!$A$487:$AZ$487,1,OC_Name)="","",INDEX('OneCause_Paste'!$A$487:$AZ$487,1,OC_Name)))</f>
        <v/>
      </c>
      <c r="L487">
        <f>IF(OC_Txn=0,"",IF(INDEX('OneCause_Paste'!$A$487:$AZ$487,1,OC_Txn)="","",INDEX('OneCause_Paste'!$A$487:$AZ$487,1,OC_Txn)))</f>
        <v/>
      </c>
      <c r="M487">
        <f>IF(OC_Pay=0,"",IF(INDEX('OneCause_Paste'!$A$487:$AZ$487,1,OC_Pay)="","",INDEX('OneCause_Paste'!$A$487:$AZ$487,1,OC_Pay)))</f>
        <v/>
      </c>
      <c r="N487">
        <f>IF(I487="","",IF(ISNUMBER(I487),INT(I487),IFERROR(INT(DATEVALUE(I487)),IFERROR(INT(VALUE(I487)),"bad"))))</f>
        <v/>
      </c>
      <c r="O487">
        <f>IF(J487="","",IF(ISNUMBER(J487),ROUND(J487,2),IFERROR(ROUND(VALUE(SUBSTITUTE(SUBSTITUTE(SUBSTITUTE(J487,"$",""),",","")," ","")),2),"bad")))</f>
        <v/>
      </c>
      <c r="P487">
        <f>IF(TRIM(K487)="","",IFERROR(MATCH(LOWER(TRIM(K487)),'Students'!$AH$2:$AH$701,0),IFERROR(MATCH(LOWER(TRIM(K487)),'Students'!$AF$2:$AF$701,0),IFERROR(MATCH(LOWER(TRIM(K487)),'Students'!$AG$2:$AG$701,0),""))))</f>
        <v/>
      </c>
      <c r="R487">
        <f>IF(P487="","",INDEX('Students'!$AD$2:$AD$701,P487))</f>
        <v/>
      </c>
      <c r="S487">
        <f>IF(H487="OK",O487,0)</f>
        <v/>
      </c>
      <c r="T487">
        <f>IF(H487="OK",N487,"")</f>
        <v/>
      </c>
      <c r="U487">
        <f>IF(OC_Donor=0,"",IF(INDEX('OneCause_Paste'!$A$487:$AZ$487,1,OC_Donor)="","",INDEX('OneCause_Paste'!$A$487:$AZ$487,1,OC_Donor)))</f>
        <v/>
      </c>
    </row>
    <row r="488">
      <c r="A488" s="62">
        <f>IF(H488="","",IF(ISNUMBER(N488),N488,I488))</f>
        <v/>
      </c>
      <c r="B488">
        <f>IF(H488="","",U488)</f>
        <v/>
      </c>
      <c r="C488">
        <f>IF(H488="","",IF(P488="",K488,INDEX('Students'!$A$2:$A$701,P488)))</f>
        <v/>
      </c>
      <c r="D488">
        <f>IF(OR(H488="",P488=""),"",INDEX('Students'!$B$2:$B$701,P488))</f>
        <v/>
      </c>
      <c r="E488">
        <f>IF(OR(H488="",P488=""),"",INDEX('Students'!$C$2:$C$701,P488))</f>
        <v/>
      </c>
      <c r="F488" s="48">
        <f>IF(H488="","",IF(ISNUMBER(O488),O488,J488))</f>
        <v/>
      </c>
      <c r="G488">
        <f>IF(H488="","","OneCause")</f>
        <v/>
      </c>
      <c r="H488">
        <f>IF(AND(I488="",J488="",K488=""),"",IF(NOT(ISNUMBER(O488)),"Bad amount",IF(O488&lt;0,"Refund (not counted)",IF(O488=0,"Zero amount",IF(NOT(ISNUMBER(N488)),"Bad date",IF(P488="","NAME NOT ON ROSTER",IF(L488="","OK",IF(MATCH(L488,$L$2:$L$3001,0)&lt;ROW()-1,"Duplicate (ignored)","OK"))))))))</f>
        <v/>
      </c>
      <c r="I488">
        <f>IF(OC_Date=0,"",IF(INDEX('OneCause_Paste'!$A$488:$AZ$488,1,OC_Date)="","",INDEX('OneCause_Paste'!$A$488:$AZ$488,1,OC_Date)))</f>
        <v/>
      </c>
      <c r="J488">
        <f>IF(OC_Amt=0,"",IF(INDEX('OneCause_Paste'!$A$488:$AZ$488,1,OC_Amt)="","",INDEX('OneCause_Paste'!$A$488:$AZ$488,1,OC_Amt)))</f>
        <v/>
      </c>
      <c r="K488">
        <f>IF(OC_Name=0,"",IF(INDEX('OneCause_Paste'!$A$488:$AZ$488,1,OC_Name)="","",INDEX('OneCause_Paste'!$A$488:$AZ$488,1,OC_Name)))</f>
        <v/>
      </c>
      <c r="L488">
        <f>IF(OC_Txn=0,"",IF(INDEX('OneCause_Paste'!$A$488:$AZ$488,1,OC_Txn)="","",INDEX('OneCause_Paste'!$A$488:$AZ$488,1,OC_Txn)))</f>
        <v/>
      </c>
      <c r="M488">
        <f>IF(OC_Pay=0,"",IF(INDEX('OneCause_Paste'!$A$488:$AZ$488,1,OC_Pay)="","",INDEX('OneCause_Paste'!$A$488:$AZ$488,1,OC_Pay)))</f>
        <v/>
      </c>
      <c r="N488">
        <f>IF(I488="","",IF(ISNUMBER(I488),INT(I488),IFERROR(INT(DATEVALUE(I488)),IFERROR(INT(VALUE(I488)),"bad"))))</f>
        <v/>
      </c>
      <c r="O488">
        <f>IF(J488="","",IF(ISNUMBER(J488),ROUND(J488,2),IFERROR(ROUND(VALUE(SUBSTITUTE(SUBSTITUTE(SUBSTITUTE(J488,"$",""),",","")," ","")),2),"bad")))</f>
        <v/>
      </c>
      <c r="P488">
        <f>IF(TRIM(K488)="","",IFERROR(MATCH(LOWER(TRIM(K488)),'Students'!$AH$2:$AH$701,0),IFERROR(MATCH(LOWER(TRIM(K488)),'Students'!$AF$2:$AF$701,0),IFERROR(MATCH(LOWER(TRIM(K488)),'Students'!$AG$2:$AG$701,0),""))))</f>
        <v/>
      </c>
      <c r="R488">
        <f>IF(P488="","",INDEX('Students'!$AD$2:$AD$701,P488))</f>
        <v/>
      </c>
      <c r="S488">
        <f>IF(H488="OK",O488,0)</f>
        <v/>
      </c>
      <c r="T488">
        <f>IF(H488="OK",N488,"")</f>
        <v/>
      </c>
      <c r="U488">
        <f>IF(OC_Donor=0,"",IF(INDEX('OneCause_Paste'!$A$488:$AZ$488,1,OC_Donor)="","",INDEX('OneCause_Paste'!$A$488:$AZ$488,1,OC_Donor)))</f>
        <v/>
      </c>
    </row>
    <row r="489">
      <c r="A489" s="62">
        <f>IF(H489="","",IF(ISNUMBER(N489),N489,I489))</f>
        <v/>
      </c>
      <c r="B489">
        <f>IF(H489="","",U489)</f>
        <v/>
      </c>
      <c r="C489">
        <f>IF(H489="","",IF(P489="",K489,INDEX('Students'!$A$2:$A$701,P489)))</f>
        <v/>
      </c>
      <c r="D489">
        <f>IF(OR(H489="",P489=""),"",INDEX('Students'!$B$2:$B$701,P489))</f>
        <v/>
      </c>
      <c r="E489">
        <f>IF(OR(H489="",P489=""),"",INDEX('Students'!$C$2:$C$701,P489))</f>
        <v/>
      </c>
      <c r="F489" s="48">
        <f>IF(H489="","",IF(ISNUMBER(O489),O489,J489))</f>
        <v/>
      </c>
      <c r="G489">
        <f>IF(H489="","","OneCause")</f>
        <v/>
      </c>
      <c r="H489">
        <f>IF(AND(I489="",J489="",K489=""),"",IF(NOT(ISNUMBER(O489)),"Bad amount",IF(O489&lt;0,"Refund (not counted)",IF(O489=0,"Zero amount",IF(NOT(ISNUMBER(N489)),"Bad date",IF(P489="","NAME NOT ON ROSTER",IF(L489="","OK",IF(MATCH(L489,$L$2:$L$3001,0)&lt;ROW()-1,"Duplicate (ignored)","OK"))))))))</f>
        <v/>
      </c>
      <c r="I489">
        <f>IF(OC_Date=0,"",IF(INDEX('OneCause_Paste'!$A$489:$AZ$489,1,OC_Date)="","",INDEX('OneCause_Paste'!$A$489:$AZ$489,1,OC_Date)))</f>
        <v/>
      </c>
      <c r="J489">
        <f>IF(OC_Amt=0,"",IF(INDEX('OneCause_Paste'!$A$489:$AZ$489,1,OC_Amt)="","",INDEX('OneCause_Paste'!$A$489:$AZ$489,1,OC_Amt)))</f>
        <v/>
      </c>
      <c r="K489">
        <f>IF(OC_Name=0,"",IF(INDEX('OneCause_Paste'!$A$489:$AZ$489,1,OC_Name)="","",INDEX('OneCause_Paste'!$A$489:$AZ$489,1,OC_Name)))</f>
        <v/>
      </c>
      <c r="L489">
        <f>IF(OC_Txn=0,"",IF(INDEX('OneCause_Paste'!$A$489:$AZ$489,1,OC_Txn)="","",INDEX('OneCause_Paste'!$A$489:$AZ$489,1,OC_Txn)))</f>
        <v/>
      </c>
      <c r="M489">
        <f>IF(OC_Pay=0,"",IF(INDEX('OneCause_Paste'!$A$489:$AZ$489,1,OC_Pay)="","",INDEX('OneCause_Paste'!$A$489:$AZ$489,1,OC_Pay)))</f>
        <v/>
      </c>
      <c r="N489">
        <f>IF(I489="","",IF(ISNUMBER(I489),INT(I489),IFERROR(INT(DATEVALUE(I489)),IFERROR(INT(VALUE(I489)),"bad"))))</f>
        <v/>
      </c>
      <c r="O489">
        <f>IF(J489="","",IF(ISNUMBER(J489),ROUND(J489,2),IFERROR(ROUND(VALUE(SUBSTITUTE(SUBSTITUTE(SUBSTITUTE(J489,"$",""),",","")," ","")),2),"bad")))</f>
        <v/>
      </c>
      <c r="P489">
        <f>IF(TRIM(K489)="","",IFERROR(MATCH(LOWER(TRIM(K489)),'Students'!$AH$2:$AH$701,0),IFERROR(MATCH(LOWER(TRIM(K489)),'Students'!$AF$2:$AF$701,0),IFERROR(MATCH(LOWER(TRIM(K489)),'Students'!$AG$2:$AG$701,0),""))))</f>
        <v/>
      </c>
      <c r="R489">
        <f>IF(P489="","",INDEX('Students'!$AD$2:$AD$701,P489))</f>
        <v/>
      </c>
      <c r="S489">
        <f>IF(H489="OK",O489,0)</f>
        <v/>
      </c>
      <c r="T489">
        <f>IF(H489="OK",N489,"")</f>
        <v/>
      </c>
      <c r="U489">
        <f>IF(OC_Donor=0,"",IF(INDEX('OneCause_Paste'!$A$489:$AZ$489,1,OC_Donor)="","",INDEX('OneCause_Paste'!$A$489:$AZ$489,1,OC_Donor)))</f>
        <v/>
      </c>
    </row>
    <row r="490">
      <c r="A490" s="62">
        <f>IF(H490="","",IF(ISNUMBER(N490),N490,I490))</f>
        <v/>
      </c>
      <c r="B490">
        <f>IF(H490="","",U490)</f>
        <v/>
      </c>
      <c r="C490">
        <f>IF(H490="","",IF(P490="",K490,INDEX('Students'!$A$2:$A$701,P490)))</f>
        <v/>
      </c>
      <c r="D490">
        <f>IF(OR(H490="",P490=""),"",INDEX('Students'!$B$2:$B$701,P490))</f>
        <v/>
      </c>
      <c r="E490">
        <f>IF(OR(H490="",P490=""),"",INDEX('Students'!$C$2:$C$701,P490))</f>
        <v/>
      </c>
      <c r="F490" s="48">
        <f>IF(H490="","",IF(ISNUMBER(O490),O490,J490))</f>
        <v/>
      </c>
      <c r="G490">
        <f>IF(H490="","","OneCause")</f>
        <v/>
      </c>
      <c r="H490">
        <f>IF(AND(I490="",J490="",K490=""),"",IF(NOT(ISNUMBER(O490)),"Bad amount",IF(O490&lt;0,"Refund (not counted)",IF(O490=0,"Zero amount",IF(NOT(ISNUMBER(N490)),"Bad date",IF(P490="","NAME NOT ON ROSTER",IF(L490="","OK",IF(MATCH(L490,$L$2:$L$3001,0)&lt;ROW()-1,"Duplicate (ignored)","OK"))))))))</f>
        <v/>
      </c>
      <c r="I490">
        <f>IF(OC_Date=0,"",IF(INDEX('OneCause_Paste'!$A$490:$AZ$490,1,OC_Date)="","",INDEX('OneCause_Paste'!$A$490:$AZ$490,1,OC_Date)))</f>
        <v/>
      </c>
      <c r="J490">
        <f>IF(OC_Amt=0,"",IF(INDEX('OneCause_Paste'!$A$490:$AZ$490,1,OC_Amt)="","",INDEX('OneCause_Paste'!$A$490:$AZ$490,1,OC_Amt)))</f>
        <v/>
      </c>
      <c r="K490">
        <f>IF(OC_Name=0,"",IF(INDEX('OneCause_Paste'!$A$490:$AZ$490,1,OC_Name)="","",INDEX('OneCause_Paste'!$A$490:$AZ$490,1,OC_Name)))</f>
        <v/>
      </c>
      <c r="L490">
        <f>IF(OC_Txn=0,"",IF(INDEX('OneCause_Paste'!$A$490:$AZ$490,1,OC_Txn)="","",INDEX('OneCause_Paste'!$A$490:$AZ$490,1,OC_Txn)))</f>
        <v/>
      </c>
      <c r="M490">
        <f>IF(OC_Pay=0,"",IF(INDEX('OneCause_Paste'!$A$490:$AZ$490,1,OC_Pay)="","",INDEX('OneCause_Paste'!$A$490:$AZ$490,1,OC_Pay)))</f>
        <v/>
      </c>
      <c r="N490">
        <f>IF(I490="","",IF(ISNUMBER(I490),INT(I490),IFERROR(INT(DATEVALUE(I490)),IFERROR(INT(VALUE(I490)),"bad"))))</f>
        <v/>
      </c>
      <c r="O490">
        <f>IF(J490="","",IF(ISNUMBER(J490),ROUND(J490,2),IFERROR(ROUND(VALUE(SUBSTITUTE(SUBSTITUTE(SUBSTITUTE(J490,"$",""),",","")," ","")),2),"bad")))</f>
        <v/>
      </c>
      <c r="P490">
        <f>IF(TRIM(K490)="","",IFERROR(MATCH(LOWER(TRIM(K490)),'Students'!$AH$2:$AH$701,0),IFERROR(MATCH(LOWER(TRIM(K490)),'Students'!$AF$2:$AF$701,0),IFERROR(MATCH(LOWER(TRIM(K490)),'Students'!$AG$2:$AG$701,0),""))))</f>
        <v/>
      </c>
      <c r="R490">
        <f>IF(P490="","",INDEX('Students'!$AD$2:$AD$701,P490))</f>
        <v/>
      </c>
      <c r="S490">
        <f>IF(H490="OK",O490,0)</f>
        <v/>
      </c>
      <c r="T490">
        <f>IF(H490="OK",N490,"")</f>
        <v/>
      </c>
      <c r="U490">
        <f>IF(OC_Donor=0,"",IF(INDEX('OneCause_Paste'!$A$490:$AZ$490,1,OC_Donor)="","",INDEX('OneCause_Paste'!$A$490:$AZ$490,1,OC_Donor)))</f>
        <v/>
      </c>
    </row>
    <row r="491">
      <c r="A491" s="62">
        <f>IF(H491="","",IF(ISNUMBER(N491),N491,I491))</f>
        <v/>
      </c>
      <c r="B491">
        <f>IF(H491="","",U491)</f>
        <v/>
      </c>
      <c r="C491">
        <f>IF(H491="","",IF(P491="",K491,INDEX('Students'!$A$2:$A$701,P491)))</f>
        <v/>
      </c>
      <c r="D491">
        <f>IF(OR(H491="",P491=""),"",INDEX('Students'!$B$2:$B$701,P491))</f>
        <v/>
      </c>
      <c r="E491">
        <f>IF(OR(H491="",P491=""),"",INDEX('Students'!$C$2:$C$701,P491))</f>
        <v/>
      </c>
      <c r="F491" s="48">
        <f>IF(H491="","",IF(ISNUMBER(O491),O491,J491))</f>
        <v/>
      </c>
      <c r="G491">
        <f>IF(H491="","","OneCause")</f>
        <v/>
      </c>
      <c r="H491">
        <f>IF(AND(I491="",J491="",K491=""),"",IF(NOT(ISNUMBER(O491)),"Bad amount",IF(O491&lt;0,"Refund (not counted)",IF(O491=0,"Zero amount",IF(NOT(ISNUMBER(N491)),"Bad date",IF(P491="","NAME NOT ON ROSTER",IF(L491="","OK",IF(MATCH(L491,$L$2:$L$3001,0)&lt;ROW()-1,"Duplicate (ignored)","OK"))))))))</f>
        <v/>
      </c>
      <c r="I491">
        <f>IF(OC_Date=0,"",IF(INDEX('OneCause_Paste'!$A$491:$AZ$491,1,OC_Date)="","",INDEX('OneCause_Paste'!$A$491:$AZ$491,1,OC_Date)))</f>
        <v/>
      </c>
      <c r="J491">
        <f>IF(OC_Amt=0,"",IF(INDEX('OneCause_Paste'!$A$491:$AZ$491,1,OC_Amt)="","",INDEX('OneCause_Paste'!$A$491:$AZ$491,1,OC_Amt)))</f>
        <v/>
      </c>
      <c r="K491">
        <f>IF(OC_Name=0,"",IF(INDEX('OneCause_Paste'!$A$491:$AZ$491,1,OC_Name)="","",INDEX('OneCause_Paste'!$A$491:$AZ$491,1,OC_Name)))</f>
        <v/>
      </c>
      <c r="L491">
        <f>IF(OC_Txn=0,"",IF(INDEX('OneCause_Paste'!$A$491:$AZ$491,1,OC_Txn)="","",INDEX('OneCause_Paste'!$A$491:$AZ$491,1,OC_Txn)))</f>
        <v/>
      </c>
      <c r="M491">
        <f>IF(OC_Pay=0,"",IF(INDEX('OneCause_Paste'!$A$491:$AZ$491,1,OC_Pay)="","",INDEX('OneCause_Paste'!$A$491:$AZ$491,1,OC_Pay)))</f>
        <v/>
      </c>
      <c r="N491">
        <f>IF(I491="","",IF(ISNUMBER(I491),INT(I491),IFERROR(INT(DATEVALUE(I491)),IFERROR(INT(VALUE(I491)),"bad"))))</f>
        <v/>
      </c>
      <c r="O491">
        <f>IF(J491="","",IF(ISNUMBER(J491),ROUND(J491,2),IFERROR(ROUND(VALUE(SUBSTITUTE(SUBSTITUTE(SUBSTITUTE(J491,"$",""),",","")," ","")),2),"bad")))</f>
        <v/>
      </c>
      <c r="P491">
        <f>IF(TRIM(K491)="","",IFERROR(MATCH(LOWER(TRIM(K491)),'Students'!$AH$2:$AH$701,0),IFERROR(MATCH(LOWER(TRIM(K491)),'Students'!$AF$2:$AF$701,0),IFERROR(MATCH(LOWER(TRIM(K491)),'Students'!$AG$2:$AG$701,0),""))))</f>
        <v/>
      </c>
      <c r="R491">
        <f>IF(P491="","",INDEX('Students'!$AD$2:$AD$701,P491))</f>
        <v/>
      </c>
      <c r="S491">
        <f>IF(H491="OK",O491,0)</f>
        <v/>
      </c>
      <c r="T491">
        <f>IF(H491="OK",N491,"")</f>
        <v/>
      </c>
      <c r="U491">
        <f>IF(OC_Donor=0,"",IF(INDEX('OneCause_Paste'!$A$491:$AZ$491,1,OC_Donor)="","",INDEX('OneCause_Paste'!$A$491:$AZ$491,1,OC_Donor)))</f>
        <v/>
      </c>
    </row>
    <row r="492">
      <c r="A492" s="62">
        <f>IF(H492="","",IF(ISNUMBER(N492),N492,I492))</f>
        <v/>
      </c>
      <c r="B492">
        <f>IF(H492="","",U492)</f>
        <v/>
      </c>
      <c r="C492">
        <f>IF(H492="","",IF(P492="",K492,INDEX('Students'!$A$2:$A$701,P492)))</f>
        <v/>
      </c>
      <c r="D492">
        <f>IF(OR(H492="",P492=""),"",INDEX('Students'!$B$2:$B$701,P492))</f>
        <v/>
      </c>
      <c r="E492">
        <f>IF(OR(H492="",P492=""),"",INDEX('Students'!$C$2:$C$701,P492))</f>
        <v/>
      </c>
      <c r="F492" s="48">
        <f>IF(H492="","",IF(ISNUMBER(O492),O492,J492))</f>
        <v/>
      </c>
      <c r="G492">
        <f>IF(H492="","","OneCause")</f>
        <v/>
      </c>
      <c r="H492">
        <f>IF(AND(I492="",J492="",K492=""),"",IF(NOT(ISNUMBER(O492)),"Bad amount",IF(O492&lt;0,"Refund (not counted)",IF(O492=0,"Zero amount",IF(NOT(ISNUMBER(N492)),"Bad date",IF(P492="","NAME NOT ON ROSTER",IF(L492="","OK",IF(MATCH(L492,$L$2:$L$3001,0)&lt;ROW()-1,"Duplicate (ignored)","OK"))))))))</f>
        <v/>
      </c>
      <c r="I492">
        <f>IF(OC_Date=0,"",IF(INDEX('OneCause_Paste'!$A$492:$AZ$492,1,OC_Date)="","",INDEX('OneCause_Paste'!$A$492:$AZ$492,1,OC_Date)))</f>
        <v/>
      </c>
      <c r="J492">
        <f>IF(OC_Amt=0,"",IF(INDEX('OneCause_Paste'!$A$492:$AZ$492,1,OC_Amt)="","",INDEX('OneCause_Paste'!$A$492:$AZ$492,1,OC_Amt)))</f>
        <v/>
      </c>
      <c r="K492">
        <f>IF(OC_Name=0,"",IF(INDEX('OneCause_Paste'!$A$492:$AZ$492,1,OC_Name)="","",INDEX('OneCause_Paste'!$A$492:$AZ$492,1,OC_Name)))</f>
        <v/>
      </c>
      <c r="L492">
        <f>IF(OC_Txn=0,"",IF(INDEX('OneCause_Paste'!$A$492:$AZ$492,1,OC_Txn)="","",INDEX('OneCause_Paste'!$A$492:$AZ$492,1,OC_Txn)))</f>
        <v/>
      </c>
      <c r="M492">
        <f>IF(OC_Pay=0,"",IF(INDEX('OneCause_Paste'!$A$492:$AZ$492,1,OC_Pay)="","",INDEX('OneCause_Paste'!$A$492:$AZ$492,1,OC_Pay)))</f>
        <v/>
      </c>
      <c r="N492">
        <f>IF(I492="","",IF(ISNUMBER(I492),INT(I492),IFERROR(INT(DATEVALUE(I492)),IFERROR(INT(VALUE(I492)),"bad"))))</f>
        <v/>
      </c>
      <c r="O492">
        <f>IF(J492="","",IF(ISNUMBER(J492),ROUND(J492,2),IFERROR(ROUND(VALUE(SUBSTITUTE(SUBSTITUTE(SUBSTITUTE(J492,"$",""),",","")," ","")),2),"bad")))</f>
        <v/>
      </c>
      <c r="P492">
        <f>IF(TRIM(K492)="","",IFERROR(MATCH(LOWER(TRIM(K492)),'Students'!$AH$2:$AH$701,0),IFERROR(MATCH(LOWER(TRIM(K492)),'Students'!$AF$2:$AF$701,0),IFERROR(MATCH(LOWER(TRIM(K492)),'Students'!$AG$2:$AG$701,0),""))))</f>
        <v/>
      </c>
      <c r="R492">
        <f>IF(P492="","",INDEX('Students'!$AD$2:$AD$701,P492))</f>
        <v/>
      </c>
      <c r="S492">
        <f>IF(H492="OK",O492,0)</f>
        <v/>
      </c>
      <c r="T492">
        <f>IF(H492="OK",N492,"")</f>
        <v/>
      </c>
      <c r="U492">
        <f>IF(OC_Donor=0,"",IF(INDEX('OneCause_Paste'!$A$492:$AZ$492,1,OC_Donor)="","",INDEX('OneCause_Paste'!$A$492:$AZ$492,1,OC_Donor)))</f>
        <v/>
      </c>
    </row>
    <row r="493">
      <c r="A493" s="62">
        <f>IF(H493="","",IF(ISNUMBER(N493),N493,I493))</f>
        <v/>
      </c>
      <c r="B493">
        <f>IF(H493="","",U493)</f>
        <v/>
      </c>
      <c r="C493">
        <f>IF(H493="","",IF(P493="",K493,INDEX('Students'!$A$2:$A$701,P493)))</f>
        <v/>
      </c>
      <c r="D493">
        <f>IF(OR(H493="",P493=""),"",INDEX('Students'!$B$2:$B$701,P493))</f>
        <v/>
      </c>
      <c r="E493">
        <f>IF(OR(H493="",P493=""),"",INDEX('Students'!$C$2:$C$701,P493))</f>
        <v/>
      </c>
      <c r="F493" s="48">
        <f>IF(H493="","",IF(ISNUMBER(O493),O493,J493))</f>
        <v/>
      </c>
      <c r="G493">
        <f>IF(H493="","","OneCause")</f>
        <v/>
      </c>
      <c r="H493">
        <f>IF(AND(I493="",J493="",K493=""),"",IF(NOT(ISNUMBER(O493)),"Bad amount",IF(O493&lt;0,"Refund (not counted)",IF(O493=0,"Zero amount",IF(NOT(ISNUMBER(N493)),"Bad date",IF(P493="","NAME NOT ON ROSTER",IF(L493="","OK",IF(MATCH(L493,$L$2:$L$3001,0)&lt;ROW()-1,"Duplicate (ignored)","OK"))))))))</f>
        <v/>
      </c>
      <c r="I493">
        <f>IF(OC_Date=0,"",IF(INDEX('OneCause_Paste'!$A$493:$AZ$493,1,OC_Date)="","",INDEX('OneCause_Paste'!$A$493:$AZ$493,1,OC_Date)))</f>
        <v/>
      </c>
      <c r="J493">
        <f>IF(OC_Amt=0,"",IF(INDEX('OneCause_Paste'!$A$493:$AZ$493,1,OC_Amt)="","",INDEX('OneCause_Paste'!$A$493:$AZ$493,1,OC_Amt)))</f>
        <v/>
      </c>
      <c r="K493">
        <f>IF(OC_Name=0,"",IF(INDEX('OneCause_Paste'!$A$493:$AZ$493,1,OC_Name)="","",INDEX('OneCause_Paste'!$A$493:$AZ$493,1,OC_Name)))</f>
        <v/>
      </c>
      <c r="L493">
        <f>IF(OC_Txn=0,"",IF(INDEX('OneCause_Paste'!$A$493:$AZ$493,1,OC_Txn)="","",INDEX('OneCause_Paste'!$A$493:$AZ$493,1,OC_Txn)))</f>
        <v/>
      </c>
      <c r="M493">
        <f>IF(OC_Pay=0,"",IF(INDEX('OneCause_Paste'!$A$493:$AZ$493,1,OC_Pay)="","",INDEX('OneCause_Paste'!$A$493:$AZ$493,1,OC_Pay)))</f>
        <v/>
      </c>
      <c r="N493">
        <f>IF(I493="","",IF(ISNUMBER(I493),INT(I493),IFERROR(INT(DATEVALUE(I493)),IFERROR(INT(VALUE(I493)),"bad"))))</f>
        <v/>
      </c>
      <c r="O493">
        <f>IF(J493="","",IF(ISNUMBER(J493),ROUND(J493,2),IFERROR(ROUND(VALUE(SUBSTITUTE(SUBSTITUTE(SUBSTITUTE(J493,"$",""),",","")," ","")),2),"bad")))</f>
        <v/>
      </c>
      <c r="P493">
        <f>IF(TRIM(K493)="","",IFERROR(MATCH(LOWER(TRIM(K493)),'Students'!$AH$2:$AH$701,0),IFERROR(MATCH(LOWER(TRIM(K493)),'Students'!$AF$2:$AF$701,0),IFERROR(MATCH(LOWER(TRIM(K493)),'Students'!$AG$2:$AG$701,0),""))))</f>
        <v/>
      </c>
      <c r="R493">
        <f>IF(P493="","",INDEX('Students'!$AD$2:$AD$701,P493))</f>
        <v/>
      </c>
      <c r="S493">
        <f>IF(H493="OK",O493,0)</f>
        <v/>
      </c>
      <c r="T493">
        <f>IF(H493="OK",N493,"")</f>
        <v/>
      </c>
      <c r="U493">
        <f>IF(OC_Donor=0,"",IF(INDEX('OneCause_Paste'!$A$493:$AZ$493,1,OC_Donor)="","",INDEX('OneCause_Paste'!$A$493:$AZ$493,1,OC_Donor)))</f>
        <v/>
      </c>
    </row>
    <row r="494">
      <c r="A494" s="62">
        <f>IF(H494="","",IF(ISNUMBER(N494),N494,I494))</f>
        <v/>
      </c>
      <c r="B494">
        <f>IF(H494="","",U494)</f>
        <v/>
      </c>
      <c r="C494">
        <f>IF(H494="","",IF(P494="",K494,INDEX('Students'!$A$2:$A$701,P494)))</f>
        <v/>
      </c>
      <c r="D494">
        <f>IF(OR(H494="",P494=""),"",INDEX('Students'!$B$2:$B$701,P494))</f>
        <v/>
      </c>
      <c r="E494">
        <f>IF(OR(H494="",P494=""),"",INDEX('Students'!$C$2:$C$701,P494))</f>
        <v/>
      </c>
      <c r="F494" s="48">
        <f>IF(H494="","",IF(ISNUMBER(O494),O494,J494))</f>
        <v/>
      </c>
      <c r="G494">
        <f>IF(H494="","","OneCause")</f>
        <v/>
      </c>
      <c r="H494">
        <f>IF(AND(I494="",J494="",K494=""),"",IF(NOT(ISNUMBER(O494)),"Bad amount",IF(O494&lt;0,"Refund (not counted)",IF(O494=0,"Zero amount",IF(NOT(ISNUMBER(N494)),"Bad date",IF(P494="","NAME NOT ON ROSTER",IF(L494="","OK",IF(MATCH(L494,$L$2:$L$3001,0)&lt;ROW()-1,"Duplicate (ignored)","OK"))))))))</f>
        <v/>
      </c>
      <c r="I494">
        <f>IF(OC_Date=0,"",IF(INDEX('OneCause_Paste'!$A$494:$AZ$494,1,OC_Date)="","",INDEX('OneCause_Paste'!$A$494:$AZ$494,1,OC_Date)))</f>
        <v/>
      </c>
      <c r="J494">
        <f>IF(OC_Amt=0,"",IF(INDEX('OneCause_Paste'!$A$494:$AZ$494,1,OC_Amt)="","",INDEX('OneCause_Paste'!$A$494:$AZ$494,1,OC_Amt)))</f>
        <v/>
      </c>
      <c r="K494">
        <f>IF(OC_Name=0,"",IF(INDEX('OneCause_Paste'!$A$494:$AZ$494,1,OC_Name)="","",INDEX('OneCause_Paste'!$A$494:$AZ$494,1,OC_Name)))</f>
        <v/>
      </c>
      <c r="L494">
        <f>IF(OC_Txn=0,"",IF(INDEX('OneCause_Paste'!$A$494:$AZ$494,1,OC_Txn)="","",INDEX('OneCause_Paste'!$A$494:$AZ$494,1,OC_Txn)))</f>
        <v/>
      </c>
      <c r="M494">
        <f>IF(OC_Pay=0,"",IF(INDEX('OneCause_Paste'!$A$494:$AZ$494,1,OC_Pay)="","",INDEX('OneCause_Paste'!$A$494:$AZ$494,1,OC_Pay)))</f>
        <v/>
      </c>
      <c r="N494">
        <f>IF(I494="","",IF(ISNUMBER(I494),INT(I494),IFERROR(INT(DATEVALUE(I494)),IFERROR(INT(VALUE(I494)),"bad"))))</f>
        <v/>
      </c>
      <c r="O494">
        <f>IF(J494="","",IF(ISNUMBER(J494),ROUND(J494,2),IFERROR(ROUND(VALUE(SUBSTITUTE(SUBSTITUTE(SUBSTITUTE(J494,"$",""),",","")," ","")),2),"bad")))</f>
        <v/>
      </c>
      <c r="P494">
        <f>IF(TRIM(K494)="","",IFERROR(MATCH(LOWER(TRIM(K494)),'Students'!$AH$2:$AH$701,0),IFERROR(MATCH(LOWER(TRIM(K494)),'Students'!$AF$2:$AF$701,0),IFERROR(MATCH(LOWER(TRIM(K494)),'Students'!$AG$2:$AG$701,0),""))))</f>
        <v/>
      </c>
      <c r="R494">
        <f>IF(P494="","",INDEX('Students'!$AD$2:$AD$701,P494))</f>
        <v/>
      </c>
      <c r="S494">
        <f>IF(H494="OK",O494,0)</f>
        <v/>
      </c>
      <c r="T494">
        <f>IF(H494="OK",N494,"")</f>
        <v/>
      </c>
      <c r="U494">
        <f>IF(OC_Donor=0,"",IF(INDEX('OneCause_Paste'!$A$494:$AZ$494,1,OC_Donor)="","",INDEX('OneCause_Paste'!$A$494:$AZ$494,1,OC_Donor)))</f>
        <v/>
      </c>
    </row>
    <row r="495">
      <c r="A495" s="62">
        <f>IF(H495="","",IF(ISNUMBER(N495),N495,I495))</f>
        <v/>
      </c>
      <c r="B495">
        <f>IF(H495="","",U495)</f>
        <v/>
      </c>
      <c r="C495">
        <f>IF(H495="","",IF(P495="",K495,INDEX('Students'!$A$2:$A$701,P495)))</f>
        <v/>
      </c>
      <c r="D495">
        <f>IF(OR(H495="",P495=""),"",INDEX('Students'!$B$2:$B$701,P495))</f>
        <v/>
      </c>
      <c r="E495">
        <f>IF(OR(H495="",P495=""),"",INDEX('Students'!$C$2:$C$701,P495))</f>
        <v/>
      </c>
      <c r="F495" s="48">
        <f>IF(H495="","",IF(ISNUMBER(O495),O495,J495))</f>
        <v/>
      </c>
      <c r="G495">
        <f>IF(H495="","","OneCause")</f>
        <v/>
      </c>
      <c r="H495">
        <f>IF(AND(I495="",J495="",K495=""),"",IF(NOT(ISNUMBER(O495)),"Bad amount",IF(O495&lt;0,"Refund (not counted)",IF(O495=0,"Zero amount",IF(NOT(ISNUMBER(N495)),"Bad date",IF(P495="","NAME NOT ON ROSTER",IF(L495="","OK",IF(MATCH(L495,$L$2:$L$3001,0)&lt;ROW()-1,"Duplicate (ignored)","OK"))))))))</f>
        <v/>
      </c>
      <c r="I495">
        <f>IF(OC_Date=0,"",IF(INDEX('OneCause_Paste'!$A$495:$AZ$495,1,OC_Date)="","",INDEX('OneCause_Paste'!$A$495:$AZ$495,1,OC_Date)))</f>
        <v/>
      </c>
      <c r="J495">
        <f>IF(OC_Amt=0,"",IF(INDEX('OneCause_Paste'!$A$495:$AZ$495,1,OC_Amt)="","",INDEX('OneCause_Paste'!$A$495:$AZ$495,1,OC_Amt)))</f>
        <v/>
      </c>
      <c r="K495">
        <f>IF(OC_Name=0,"",IF(INDEX('OneCause_Paste'!$A$495:$AZ$495,1,OC_Name)="","",INDEX('OneCause_Paste'!$A$495:$AZ$495,1,OC_Name)))</f>
        <v/>
      </c>
      <c r="L495">
        <f>IF(OC_Txn=0,"",IF(INDEX('OneCause_Paste'!$A$495:$AZ$495,1,OC_Txn)="","",INDEX('OneCause_Paste'!$A$495:$AZ$495,1,OC_Txn)))</f>
        <v/>
      </c>
      <c r="M495">
        <f>IF(OC_Pay=0,"",IF(INDEX('OneCause_Paste'!$A$495:$AZ$495,1,OC_Pay)="","",INDEX('OneCause_Paste'!$A$495:$AZ$495,1,OC_Pay)))</f>
        <v/>
      </c>
      <c r="N495">
        <f>IF(I495="","",IF(ISNUMBER(I495),INT(I495),IFERROR(INT(DATEVALUE(I495)),IFERROR(INT(VALUE(I495)),"bad"))))</f>
        <v/>
      </c>
      <c r="O495">
        <f>IF(J495="","",IF(ISNUMBER(J495),ROUND(J495,2),IFERROR(ROUND(VALUE(SUBSTITUTE(SUBSTITUTE(SUBSTITUTE(J495,"$",""),",","")," ","")),2),"bad")))</f>
        <v/>
      </c>
      <c r="P495">
        <f>IF(TRIM(K495)="","",IFERROR(MATCH(LOWER(TRIM(K495)),'Students'!$AH$2:$AH$701,0),IFERROR(MATCH(LOWER(TRIM(K495)),'Students'!$AF$2:$AF$701,0),IFERROR(MATCH(LOWER(TRIM(K495)),'Students'!$AG$2:$AG$701,0),""))))</f>
        <v/>
      </c>
      <c r="R495">
        <f>IF(P495="","",INDEX('Students'!$AD$2:$AD$701,P495))</f>
        <v/>
      </c>
      <c r="S495">
        <f>IF(H495="OK",O495,0)</f>
        <v/>
      </c>
      <c r="T495">
        <f>IF(H495="OK",N495,"")</f>
        <v/>
      </c>
      <c r="U495">
        <f>IF(OC_Donor=0,"",IF(INDEX('OneCause_Paste'!$A$495:$AZ$495,1,OC_Donor)="","",INDEX('OneCause_Paste'!$A$495:$AZ$495,1,OC_Donor)))</f>
        <v/>
      </c>
    </row>
    <row r="496">
      <c r="A496" s="62">
        <f>IF(H496="","",IF(ISNUMBER(N496),N496,I496))</f>
        <v/>
      </c>
      <c r="B496">
        <f>IF(H496="","",U496)</f>
        <v/>
      </c>
      <c r="C496">
        <f>IF(H496="","",IF(P496="",K496,INDEX('Students'!$A$2:$A$701,P496)))</f>
        <v/>
      </c>
      <c r="D496">
        <f>IF(OR(H496="",P496=""),"",INDEX('Students'!$B$2:$B$701,P496))</f>
        <v/>
      </c>
      <c r="E496">
        <f>IF(OR(H496="",P496=""),"",INDEX('Students'!$C$2:$C$701,P496))</f>
        <v/>
      </c>
      <c r="F496" s="48">
        <f>IF(H496="","",IF(ISNUMBER(O496),O496,J496))</f>
        <v/>
      </c>
      <c r="G496">
        <f>IF(H496="","","OneCause")</f>
        <v/>
      </c>
      <c r="H496">
        <f>IF(AND(I496="",J496="",K496=""),"",IF(NOT(ISNUMBER(O496)),"Bad amount",IF(O496&lt;0,"Refund (not counted)",IF(O496=0,"Zero amount",IF(NOT(ISNUMBER(N496)),"Bad date",IF(P496="","NAME NOT ON ROSTER",IF(L496="","OK",IF(MATCH(L496,$L$2:$L$3001,0)&lt;ROW()-1,"Duplicate (ignored)","OK"))))))))</f>
        <v/>
      </c>
      <c r="I496">
        <f>IF(OC_Date=0,"",IF(INDEX('OneCause_Paste'!$A$496:$AZ$496,1,OC_Date)="","",INDEX('OneCause_Paste'!$A$496:$AZ$496,1,OC_Date)))</f>
        <v/>
      </c>
      <c r="J496">
        <f>IF(OC_Amt=0,"",IF(INDEX('OneCause_Paste'!$A$496:$AZ$496,1,OC_Amt)="","",INDEX('OneCause_Paste'!$A$496:$AZ$496,1,OC_Amt)))</f>
        <v/>
      </c>
      <c r="K496">
        <f>IF(OC_Name=0,"",IF(INDEX('OneCause_Paste'!$A$496:$AZ$496,1,OC_Name)="","",INDEX('OneCause_Paste'!$A$496:$AZ$496,1,OC_Name)))</f>
        <v/>
      </c>
      <c r="L496">
        <f>IF(OC_Txn=0,"",IF(INDEX('OneCause_Paste'!$A$496:$AZ$496,1,OC_Txn)="","",INDEX('OneCause_Paste'!$A$496:$AZ$496,1,OC_Txn)))</f>
        <v/>
      </c>
      <c r="M496">
        <f>IF(OC_Pay=0,"",IF(INDEX('OneCause_Paste'!$A$496:$AZ$496,1,OC_Pay)="","",INDEX('OneCause_Paste'!$A$496:$AZ$496,1,OC_Pay)))</f>
        <v/>
      </c>
      <c r="N496">
        <f>IF(I496="","",IF(ISNUMBER(I496),INT(I496),IFERROR(INT(DATEVALUE(I496)),IFERROR(INT(VALUE(I496)),"bad"))))</f>
        <v/>
      </c>
      <c r="O496">
        <f>IF(J496="","",IF(ISNUMBER(J496),ROUND(J496,2),IFERROR(ROUND(VALUE(SUBSTITUTE(SUBSTITUTE(SUBSTITUTE(J496,"$",""),",","")," ","")),2),"bad")))</f>
        <v/>
      </c>
      <c r="P496">
        <f>IF(TRIM(K496)="","",IFERROR(MATCH(LOWER(TRIM(K496)),'Students'!$AH$2:$AH$701,0),IFERROR(MATCH(LOWER(TRIM(K496)),'Students'!$AF$2:$AF$701,0),IFERROR(MATCH(LOWER(TRIM(K496)),'Students'!$AG$2:$AG$701,0),""))))</f>
        <v/>
      </c>
      <c r="R496">
        <f>IF(P496="","",INDEX('Students'!$AD$2:$AD$701,P496))</f>
        <v/>
      </c>
      <c r="S496">
        <f>IF(H496="OK",O496,0)</f>
        <v/>
      </c>
      <c r="T496">
        <f>IF(H496="OK",N496,"")</f>
        <v/>
      </c>
      <c r="U496">
        <f>IF(OC_Donor=0,"",IF(INDEX('OneCause_Paste'!$A$496:$AZ$496,1,OC_Donor)="","",INDEX('OneCause_Paste'!$A$496:$AZ$496,1,OC_Donor)))</f>
        <v/>
      </c>
    </row>
    <row r="497">
      <c r="A497" s="62">
        <f>IF(H497="","",IF(ISNUMBER(N497),N497,I497))</f>
        <v/>
      </c>
      <c r="B497">
        <f>IF(H497="","",U497)</f>
        <v/>
      </c>
      <c r="C497">
        <f>IF(H497="","",IF(P497="",K497,INDEX('Students'!$A$2:$A$701,P497)))</f>
        <v/>
      </c>
      <c r="D497">
        <f>IF(OR(H497="",P497=""),"",INDEX('Students'!$B$2:$B$701,P497))</f>
        <v/>
      </c>
      <c r="E497">
        <f>IF(OR(H497="",P497=""),"",INDEX('Students'!$C$2:$C$701,P497))</f>
        <v/>
      </c>
      <c r="F497" s="48">
        <f>IF(H497="","",IF(ISNUMBER(O497),O497,J497))</f>
        <v/>
      </c>
      <c r="G497">
        <f>IF(H497="","","OneCause")</f>
        <v/>
      </c>
      <c r="H497">
        <f>IF(AND(I497="",J497="",K497=""),"",IF(NOT(ISNUMBER(O497)),"Bad amount",IF(O497&lt;0,"Refund (not counted)",IF(O497=0,"Zero amount",IF(NOT(ISNUMBER(N497)),"Bad date",IF(P497="","NAME NOT ON ROSTER",IF(L497="","OK",IF(MATCH(L497,$L$2:$L$3001,0)&lt;ROW()-1,"Duplicate (ignored)","OK"))))))))</f>
        <v/>
      </c>
      <c r="I497">
        <f>IF(OC_Date=0,"",IF(INDEX('OneCause_Paste'!$A$497:$AZ$497,1,OC_Date)="","",INDEX('OneCause_Paste'!$A$497:$AZ$497,1,OC_Date)))</f>
        <v/>
      </c>
      <c r="J497">
        <f>IF(OC_Amt=0,"",IF(INDEX('OneCause_Paste'!$A$497:$AZ$497,1,OC_Amt)="","",INDEX('OneCause_Paste'!$A$497:$AZ$497,1,OC_Amt)))</f>
        <v/>
      </c>
      <c r="K497">
        <f>IF(OC_Name=0,"",IF(INDEX('OneCause_Paste'!$A$497:$AZ$497,1,OC_Name)="","",INDEX('OneCause_Paste'!$A$497:$AZ$497,1,OC_Name)))</f>
        <v/>
      </c>
      <c r="L497">
        <f>IF(OC_Txn=0,"",IF(INDEX('OneCause_Paste'!$A$497:$AZ$497,1,OC_Txn)="","",INDEX('OneCause_Paste'!$A$497:$AZ$497,1,OC_Txn)))</f>
        <v/>
      </c>
      <c r="M497">
        <f>IF(OC_Pay=0,"",IF(INDEX('OneCause_Paste'!$A$497:$AZ$497,1,OC_Pay)="","",INDEX('OneCause_Paste'!$A$497:$AZ$497,1,OC_Pay)))</f>
        <v/>
      </c>
      <c r="N497">
        <f>IF(I497="","",IF(ISNUMBER(I497),INT(I497),IFERROR(INT(DATEVALUE(I497)),IFERROR(INT(VALUE(I497)),"bad"))))</f>
        <v/>
      </c>
      <c r="O497">
        <f>IF(J497="","",IF(ISNUMBER(J497),ROUND(J497,2),IFERROR(ROUND(VALUE(SUBSTITUTE(SUBSTITUTE(SUBSTITUTE(J497,"$",""),",","")," ","")),2),"bad")))</f>
        <v/>
      </c>
      <c r="P497">
        <f>IF(TRIM(K497)="","",IFERROR(MATCH(LOWER(TRIM(K497)),'Students'!$AH$2:$AH$701,0),IFERROR(MATCH(LOWER(TRIM(K497)),'Students'!$AF$2:$AF$701,0),IFERROR(MATCH(LOWER(TRIM(K497)),'Students'!$AG$2:$AG$701,0),""))))</f>
        <v/>
      </c>
      <c r="R497">
        <f>IF(P497="","",INDEX('Students'!$AD$2:$AD$701,P497))</f>
        <v/>
      </c>
      <c r="S497">
        <f>IF(H497="OK",O497,0)</f>
        <v/>
      </c>
      <c r="T497">
        <f>IF(H497="OK",N497,"")</f>
        <v/>
      </c>
      <c r="U497">
        <f>IF(OC_Donor=0,"",IF(INDEX('OneCause_Paste'!$A$497:$AZ$497,1,OC_Donor)="","",INDEX('OneCause_Paste'!$A$497:$AZ$497,1,OC_Donor)))</f>
        <v/>
      </c>
    </row>
    <row r="498">
      <c r="A498" s="62">
        <f>IF(H498="","",IF(ISNUMBER(N498),N498,I498))</f>
        <v/>
      </c>
      <c r="B498">
        <f>IF(H498="","",U498)</f>
        <v/>
      </c>
      <c r="C498">
        <f>IF(H498="","",IF(P498="",K498,INDEX('Students'!$A$2:$A$701,P498)))</f>
        <v/>
      </c>
      <c r="D498">
        <f>IF(OR(H498="",P498=""),"",INDEX('Students'!$B$2:$B$701,P498))</f>
        <v/>
      </c>
      <c r="E498">
        <f>IF(OR(H498="",P498=""),"",INDEX('Students'!$C$2:$C$701,P498))</f>
        <v/>
      </c>
      <c r="F498" s="48">
        <f>IF(H498="","",IF(ISNUMBER(O498),O498,J498))</f>
        <v/>
      </c>
      <c r="G498">
        <f>IF(H498="","","OneCause")</f>
        <v/>
      </c>
      <c r="H498">
        <f>IF(AND(I498="",J498="",K498=""),"",IF(NOT(ISNUMBER(O498)),"Bad amount",IF(O498&lt;0,"Refund (not counted)",IF(O498=0,"Zero amount",IF(NOT(ISNUMBER(N498)),"Bad date",IF(P498="","NAME NOT ON ROSTER",IF(L498="","OK",IF(MATCH(L498,$L$2:$L$3001,0)&lt;ROW()-1,"Duplicate (ignored)","OK"))))))))</f>
        <v/>
      </c>
      <c r="I498">
        <f>IF(OC_Date=0,"",IF(INDEX('OneCause_Paste'!$A$498:$AZ$498,1,OC_Date)="","",INDEX('OneCause_Paste'!$A$498:$AZ$498,1,OC_Date)))</f>
        <v/>
      </c>
      <c r="J498">
        <f>IF(OC_Amt=0,"",IF(INDEX('OneCause_Paste'!$A$498:$AZ$498,1,OC_Amt)="","",INDEX('OneCause_Paste'!$A$498:$AZ$498,1,OC_Amt)))</f>
        <v/>
      </c>
      <c r="K498">
        <f>IF(OC_Name=0,"",IF(INDEX('OneCause_Paste'!$A$498:$AZ$498,1,OC_Name)="","",INDEX('OneCause_Paste'!$A$498:$AZ$498,1,OC_Name)))</f>
        <v/>
      </c>
      <c r="L498">
        <f>IF(OC_Txn=0,"",IF(INDEX('OneCause_Paste'!$A$498:$AZ$498,1,OC_Txn)="","",INDEX('OneCause_Paste'!$A$498:$AZ$498,1,OC_Txn)))</f>
        <v/>
      </c>
      <c r="M498">
        <f>IF(OC_Pay=0,"",IF(INDEX('OneCause_Paste'!$A$498:$AZ$498,1,OC_Pay)="","",INDEX('OneCause_Paste'!$A$498:$AZ$498,1,OC_Pay)))</f>
        <v/>
      </c>
      <c r="N498">
        <f>IF(I498="","",IF(ISNUMBER(I498),INT(I498),IFERROR(INT(DATEVALUE(I498)),IFERROR(INT(VALUE(I498)),"bad"))))</f>
        <v/>
      </c>
      <c r="O498">
        <f>IF(J498="","",IF(ISNUMBER(J498),ROUND(J498,2),IFERROR(ROUND(VALUE(SUBSTITUTE(SUBSTITUTE(SUBSTITUTE(J498,"$",""),",","")," ","")),2),"bad")))</f>
        <v/>
      </c>
      <c r="P498">
        <f>IF(TRIM(K498)="","",IFERROR(MATCH(LOWER(TRIM(K498)),'Students'!$AH$2:$AH$701,0),IFERROR(MATCH(LOWER(TRIM(K498)),'Students'!$AF$2:$AF$701,0),IFERROR(MATCH(LOWER(TRIM(K498)),'Students'!$AG$2:$AG$701,0),""))))</f>
        <v/>
      </c>
      <c r="R498">
        <f>IF(P498="","",INDEX('Students'!$AD$2:$AD$701,P498))</f>
        <v/>
      </c>
      <c r="S498">
        <f>IF(H498="OK",O498,0)</f>
        <v/>
      </c>
      <c r="T498">
        <f>IF(H498="OK",N498,"")</f>
        <v/>
      </c>
      <c r="U498">
        <f>IF(OC_Donor=0,"",IF(INDEX('OneCause_Paste'!$A$498:$AZ$498,1,OC_Donor)="","",INDEX('OneCause_Paste'!$A$498:$AZ$498,1,OC_Donor)))</f>
        <v/>
      </c>
    </row>
    <row r="499">
      <c r="A499" s="62">
        <f>IF(H499="","",IF(ISNUMBER(N499),N499,I499))</f>
        <v/>
      </c>
      <c r="B499">
        <f>IF(H499="","",U499)</f>
        <v/>
      </c>
      <c r="C499">
        <f>IF(H499="","",IF(P499="",K499,INDEX('Students'!$A$2:$A$701,P499)))</f>
        <v/>
      </c>
      <c r="D499">
        <f>IF(OR(H499="",P499=""),"",INDEX('Students'!$B$2:$B$701,P499))</f>
        <v/>
      </c>
      <c r="E499">
        <f>IF(OR(H499="",P499=""),"",INDEX('Students'!$C$2:$C$701,P499))</f>
        <v/>
      </c>
      <c r="F499" s="48">
        <f>IF(H499="","",IF(ISNUMBER(O499),O499,J499))</f>
        <v/>
      </c>
      <c r="G499">
        <f>IF(H499="","","OneCause")</f>
        <v/>
      </c>
      <c r="H499">
        <f>IF(AND(I499="",J499="",K499=""),"",IF(NOT(ISNUMBER(O499)),"Bad amount",IF(O499&lt;0,"Refund (not counted)",IF(O499=0,"Zero amount",IF(NOT(ISNUMBER(N499)),"Bad date",IF(P499="","NAME NOT ON ROSTER",IF(L499="","OK",IF(MATCH(L499,$L$2:$L$3001,0)&lt;ROW()-1,"Duplicate (ignored)","OK"))))))))</f>
        <v/>
      </c>
      <c r="I499">
        <f>IF(OC_Date=0,"",IF(INDEX('OneCause_Paste'!$A$499:$AZ$499,1,OC_Date)="","",INDEX('OneCause_Paste'!$A$499:$AZ$499,1,OC_Date)))</f>
        <v/>
      </c>
      <c r="J499">
        <f>IF(OC_Amt=0,"",IF(INDEX('OneCause_Paste'!$A$499:$AZ$499,1,OC_Amt)="","",INDEX('OneCause_Paste'!$A$499:$AZ$499,1,OC_Amt)))</f>
        <v/>
      </c>
      <c r="K499">
        <f>IF(OC_Name=0,"",IF(INDEX('OneCause_Paste'!$A$499:$AZ$499,1,OC_Name)="","",INDEX('OneCause_Paste'!$A$499:$AZ$499,1,OC_Name)))</f>
        <v/>
      </c>
      <c r="L499">
        <f>IF(OC_Txn=0,"",IF(INDEX('OneCause_Paste'!$A$499:$AZ$499,1,OC_Txn)="","",INDEX('OneCause_Paste'!$A$499:$AZ$499,1,OC_Txn)))</f>
        <v/>
      </c>
      <c r="M499">
        <f>IF(OC_Pay=0,"",IF(INDEX('OneCause_Paste'!$A$499:$AZ$499,1,OC_Pay)="","",INDEX('OneCause_Paste'!$A$499:$AZ$499,1,OC_Pay)))</f>
        <v/>
      </c>
      <c r="N499">
        <f>IF(I499="","",IF(ISNUMBER(I499),INT(I499),IFERROR(INT(DATEVALUE(I499)),IFERROR(INT(VALUE(I499)),"bad"))))</f>
        <v/>
      </c>
      <c r="O499">
        <f>IF(J499="","",IF(ISNUMBER(J499),ROUND(J499,2),IFERROR(ROUND(VALUE(SUBSTITUTE(SUBSTITUTE(SUBSTITUTE(J499,"$",""),",","")," ","")),2),"bad")))</f>
        <v/>
      </c>
      <c r="P499">
        <f>IF(TRIM(K499)="","",IFERROR(MATCH(LOWER(TRIM(K499)),'Students'!$AH$2:$AH$701,0),IFERROR(MATCH(LOWER(TRIM(K499)),'Students'!$AF$2:$AF$701,0),IFERROR(MATCH(LOWER(TRIM(K499)),'Students'!$AG$2:$AG$701,0),""))))</f>
        <v/>
      </c>
      <c r="R499">
        <f>IF(P499="","",INDEX('Students'!$AD$2:$AD$701,P499))</f>
        <v/>
      </c>
      <c r="S499">
        <f>IF(H499="OK",O499,0)</f>
        <v/>
      </c>
      <c r="T499">
        <f>IF(H499="OK",N499,"")</f>
        <v/>
      </c>
      <c r="U499">
        <f>IF(OC_Donor=0,"",IF(INDEX('OneCause_Paste'!$A$499:$AZ$499,1,OC_Donor)="","",INDEX('OneCause_Paste'!$A$499:$AZ$499,1,OC_Donor)))</f>
        <v/>
      </c>
    </row>
    <row r="500">
      <c r="A500" s="62">
        <f>IF(H500="","",IF(ISNUMBER(N500),N500,I500))</f>
        <v/>
      </c>
      <c r="B500">
        <f>IF(H500="","",U500)</f>
        <v/>
      </c>
      <c r="C500">
        <f>IF(H500="","",IF(P500="",K500,INDEX('Students'!$A$2:$A$701,P500)))</f>
        <v/>
      </c>
      <c r="D500">
        <f>IF(OR(H500="",P500=""),"",INDEX('Students'!$B$2:$B$701,P500))</f>
        <v/>
      </c>
      <c r="E500">
        <f>IF(OR(H500="",P500=""),"",INDEX('Students'!$C$2:$C$701,P500))</f>
        <v/>
      </c>
      <c r="F500" s="48">
        <f>IF(H500="","",IF(ISNUMBER(O500),O500,J500))</f>
        <v/>
      </c>
      <c r="G500">
        <f>IF(H500="","","OneCause")</f>
        <v/>
      </c>
      <c r="H500">
        <f>IF(AND(I500="",J500="",K500=""),"",IF(NOT(ISNUMBER(O500)),"Bad amount",IF(O500&lt;0,"Refund (not counted)",IF(O500=0,"Zero amount",IF(NOT(ISNUMBER(N500)),"Bad date",IF(P500="","NAME NOT ON ROSTER",IF(L500="","OK",IF(MATCH(L500,$L$2:$L$3001,0)&lt;ROW()-1,"Duplicate (ignored)","OK"))))))))</f>
        <v/>
      </c>
      <c r="I500">
        <f>IF(OC_Date=0,"",IF(INDEX('OneCause_Paste'!$A$500:$AZ$500,1,OC_Date)="","",INDEX('OneCause_Paste'!$A$500:$AZ$500,1,OC_Date)))</f>
        <v/>
      </c>
      <c r="J500">
        <f>IF(OC_Amt=0,"",IF(INDEX('OneCause_Paste'!$A$500:$AZ$500,1,OC_Amt)="","",INDEX('OneCause_Paste'!$A$500:$AZ$500,1,OC_Amt)))</f>
        <v/>
      </c>
      <c r="K500">
        <f>IF(OC_Name=0,"",IF(INDEX('OneCause_Paste'!$A$500:$AZ$500,1,OC_Name)="","",INDEX('OneCause_Paste'!$A$500:$AZ$500,1,OC_Name)))</f>
        <v/>
      </c>
      <c r="L500">
        <f>IF(OC_Txn=0,"",IF(INDEX('OneCause_Paste'!$A$500:$AZ$500,1,OC_Txn)="","",INDEX('OneCause_Paste'!$A$500:$AZ$500,1,OC_Txn)))</f>
        <v/>
      </c>
      <c r="M500">
        <f>IF(OC_Pay=0,"",IF(INDEX('OneCause_Paste'!$A$500:$AZ$500,1,OC_Pay)="","",INDEX('OneCause_Paste'!$A$500:$AZ$500,1,OC_Pay)))</f>
        <v/>
      </c>
      <c r="N500">
        <f>IF(I500="","",IF(ISNUMBER(I500),INT(I500),IFERROR(INT(DATEVALUE(I500)),IFERROR(INT(VALUE(I500)),"bad"))))</f>
        <v/>
      </c>
      <c r="O500">
        <f>IF(J500="","",IF(ISNUMBER(J500),ROUND(J500,2),IFERROR(ROUND(VALUE(SUBSTITUTE(SUBSTITUTE(SUBSTITUTE(J500,"$",""),",","")," ","")),2),"bad")))</f>
        <v/>
      </c>
      <c r="P500">
        <f>IF(TRIM(K500)="","",IFERROR(MATCH(LOWER(TRIM(K500)),'Students'!$AH$2:$AH$701,0),IFERROR(MATCH(LOWER(TRIM(K500)),'Students'!$AF$2:$AF$701,0),IFERROR(MATCH(LOWER(TRIM(K500)),'Students'!$AG$2:$AG$701,0),""))))</f>
        <v/>
      </c>
      <c r="R500">
        <f>IF(P500="","",INDEX('Students'!$AD$2:$AD$701,P500))</f>
        <v/>
      </c>
      <c r="S500">
        <f>IF(H500="OK",O500,0)</f>
        <v/>
      </c>
      <c r="T500">
        <f>IF(H500="OK",N500,"")</f>
        <v/>
      </c>
      <c r="U500">
        <f>IF(OC_Donor=0,"",IF(INDEX('OneCause_Paste'!$A$500:$AZ$500,1,OC_Donor)="","",INDEX('OneCause_Paste'!$A$500:$AZ$500,1,OC_Donor)))</f>
        <v/>
      </c>
    </row>
    <row r="501">
      <c r="A501" s="62">
        <f>IF(H501="","",IF(ISNUMBER(N501),N501,I501))</f>
        <v/>
      </c>
      <c r="B501">
        <f>IF(H501="","",U501)</f>
        <v/>
      </c>
      <c r="C501">
        <f>IF(H501="","",IF(P501="",K501,INDEX('Students'!$A$2:$A$701,P501)))</f>
        <v/>
      </c>
      <c r="D501">
        <f>IF(OR(H501="",P501=""),"",INDEX('Students'!$B$2:$B$701,P501))</f>
        <v/>
      </c>
      <c r="E501">
        <f>IF(OR(H501="",P501=""),"",INDEX('Students'!$C$2:$C$701,P501))</f>
        <v/>
      </c>
      <c r="F501" s="48">
        <f>IF(H501="","",IF(ISNUMBER(O501),O501,J501))</f>
        <v/>
      </c>
      <c r="G501">
        <f>IF(H501="","","OneCause")</f>
        <v/>
      </c>
      <c r="H501">
        <f>IF(AND(I501="",J501="",K501=""),"",IF(NOT(ISNUMBER(O501)),"Bad amount",IF(O501&lt;0,"Refund (not counted)",IF(O501=0,"Zero amount",IF(NOT(ISNUMBER(N501)),"Bad date",IF(P501="","NAME NOT ON ROSTER",IF(L501="","OK",IF(MATCH(L501,$L$2:$L$3001,0)&lt;ROW()-1,"Duplicate (ignored)","OK"))))))))</f>
        <v/>
      </c>
      <c r="I501">
        <f>IF(OC_Date=0,"",IF(INDEX('OneCause_Paste'!$A$501:$AZ$501,1,OC_Date)="","",INDEX('OneCause_Paste'!$A$501:$AZ$501,1,OC_Date)))</f>
        <v/>
      </c>
      <c r="J501">
        <f>IF(OC_Amt=0,"",IF(INDEX('OneCause_Paste'!$A$501:$AZ$501,1,OC_Amt)="","",INDEX('OneCause_Paste'!$A$501:$AZ$501,1,OC_Amt)))</f>
        <v/>
      </c>
      <c r="K501">
        <f>IF(OC_Name=0,"",IF(INDEX('OneCause_Paste'!$A$501:$AZ$501,1,OC_Name)="","",INDEX('OneCause_Paste'!$A$501:$AZ$501,1,OC_Name)))</f>
        <v/>
      </c>
      <c r="L501">
        <f>IF(OC_Txn=0,"",IF(INDEX('OneCause_Paste'!$A$501:$AZ$501,1,OC_Txn)="","",INDEX('OneCause_Paste'!$A$501:$AZ$501,1,OC_Txn)))</f>
        <v/>
      </c>
      <c r="M501">
        <f>IF(OC_Pay=0,"",IF(INDEX('OneCause_Paste'!$A$501:$AZ$501,1,OC_Pay)="","",INDEX('OneCause_Paste'!$A$501:$AZ$501,1,OC_Pay)))</f>
        <v/>
      </c>
      <c r="N501">
        <f>IF(I501="","",IF(ISNUMBER(I501),INT(I501),IFERROR(INT(DATEVALUE(I501)),IFERROR(INT(VALUE(I501)),"bad"))))</f>
        <v/>
      </c>
      <c r="O501">
        <f>IF(J501="","",IF(ISNUMBER(J501),ROUND(J501,2),IFERROR(ROUND(VALUE(SUBSTITUTE(SUBSTITUTE(SUBSTITUTE(J501,"$",""),",","")," ","")),2),"bad")))</f>
        <v/>
      </c>
      <c r="P501">
        <f>IF(TRIM(K501)="","",IFERROR(MATCH(LOWER(TRIM(K501)),'Students'!$AH$2:$AH$701,0),IFERROR(MATCH(LOWER(TRIM(K501)),'Students'!$AF$2:$AF$701,0),IFERROR(MATCH(LOWER(TRIM(K501)),'Students'!$AG$2:$AG$701,0),""))))</f>
        <v/>
      </c>
      <c r="R501">
        <f>IF(P501="","",INDEX('Students'!$AD$2:$AD$701,P501))</f>
        <v/>
      </c>
      <c r="S501">
        <f>IF(H501="OK",O501,0)</f>
        <v/>
      </c>
      <c r="T501">
        <f>IF(H501="OK",N501,"")</f>
        <v/>
      </c>
      <c r="U501">
        <f>IF(OC_Donor=0,"",IF(INDEX('OneCause_Paste'!$A$501:$AZ$501,1,OC_Donor)="","",INDEX('OneCause_Paste'!$A$501:$AZ$501,1,OC_Donor)))</f>
        <v/>
      </c>
    </row>
    <row r="502">
      <c r="A502" s="62">
        <f>IF(H502="","",IF(ISNUMBER(N502),N502,I502))</f>
        <v/>
      </c>
      <c r="B502">
        <f>IF(H502="","",U502)</f>
        <v/>
      </c>
      <c r="C502">
        <f>IF(H502="","",IF(P502="",K502,INDEX('Students'!$A$2:$A$701,P502)))</f>
        <v/>
      </c>
      <c r="D502">
        <f>IF(OR(H502="",P502=""),"",INDEX('Students'!$B$2:$B$701,P502))</f>
        <v/>
      </c>
      <c r="E502">
        <f>IF(OR(H502="",P502=""),"",INDEX('Students'!$C$2:$C$701,P502))</f>
        <v/>
      </c>
      <c r="F502" s="48">
        <f>IF(H502="","",IF(ISNUMBER(O502),O502,J502))</f>
        <v/>
      </c>
      <c r="G502">
        <f>IF(H502="","","OneCause")</f>
        <v/>
      </c>
      <c r="H502">
        <f>IF(AND(I502="",J502="",K502=""),"",IF(NOT(ISNUMBER(O502)),"Bad amount",IF(O502&lt;0,"Refund (not counted)",IF(O502=0,"Zero amount",IF(NOT(ISNUMBER(N502)),"Bad date",IF(P502="","NAME NOT ON ROSTER",IF(L502="","OK",IF(MATCH(L502,$L$2:$L$3001,0)&lt;ROW()-1,"Duplicate (ignored)","OK"))))))))</f>
        <v/>
      </c>
      <c r="I502">
        <f>IF(OC_Date=0,"",IF(INDEX('OneCause_Paste'!$A$502:$AZ$502,1,OC_Date)="","",INDEX('OneCause_Paste'!$A$502:$AZ$502,1,OC_Date)))</f>
        <v/>
      </c>
      <c r="J502">
        <f>IF(OC_Amt=0,"",IF(INDEX('OneCause_Paste'!$A$502:$AZ$502,1,OC_Amt)="","",INDEX('OneCause_Paste'!$A$502:$AZ$502,1,OC_Amt)))</f>
        <v/>
      </c>
      <c r="K502">
        <f>IF(OC_Name=0,"",IF(INDEX('OneCause_Paste'!$A$502:$AZ$502,1,OC_Name)="","",INDEX('OneCause_Paste'!$A$502:$AZ$502,1,OC_Name)))</f>
        <v/>
      </c>
      <c r="L502">
        <f>IF(OC_Txn=0,"",IF(INDEX('OneCause_Paste'!$A$502:$AZ$502,1,OC_Txn)="","",INDEX('OneCause_Paste'!$A$502:$AZ$502,1,OC_Txn)))</f>
        <v/>
      </c>
      <c r="M502">
        <f>IF(OC_Pay=0,"",IF(INDEX('OneCause_Paste'!$A$502:$AZ$502,1,OC_Pay)="","",INDEX('OneCause_Paste'!$A$502:$AZ$502,1,OC_Pay)))</f>
        <v/>
      </c>
      <c r="N502">
        <f>IF(I502="","",IF(ISNUMBER(I502),INT(I502),IFERROR(INT(DATEVALUE(I502)),IFERROR(INT(VALUE(I502)),"bad"))))</f>
        <v/>
      </c>
      <c r="O502">
        <f>IF(J502="","",IF(ISNUMBER(J502),ROUND(J502,2),IFERROR(ROUND(VALUE(SUBSTITUTE(SUBSTITUTE(SUBSTITUTE(J502,"$",""),",","")," ","")),2),"bad")))</f>
        <v/>
      </c>
      <c r="P502">
        <f>IF(TRIM(K502)="","",IFERROR(MATCH(LOWER(TRIM(K502)),'Students'!$AH$2:$AH$701,0),IFERROR(MATCH(LOWER(TRIM(K502)),'Students'!$AF$2:$AF$701,0),IFERROR(MATCH(LOWER(TRIM(K502)),'Students'!$AG$2:$AG$701,0),""))))</f>
        <v/>
      </c>
      <c r="R502">
        <f>IF(P502="","",INDEX('Students'!$AD$2:$AD$701,P502))</f>
        <v/>
      </c>
      <c r="S502">
        <f>IF(H502="OK",O502,0)</f>
        <v/>
      </c>
      <c r="T502">
        <f>IF(H502="OK",N502,"")</f>
        <v/>
      </c>
      <c r="U502">
        <f>IF(OC_Donor=0,"",IF(INDEX('OneCause_Paste'!$A$502:$AZ$502,1,OC_Donor)="","",INDEX('OneCause_Paste'!$A$502:$AZ$502,1,OC_Donor)))</f>
        <v/>
      </c>
    </row>
    <row r="503">
      <c r="A503" s="62">
        <f>IF(H503="","",IF(ISNUMBER(N503),N503,I503))</f>
        <v/>
      </c>
      <c r="B503">
        <f>IF(H503="","",U503)</f>
        <v/>
      </c>
      <c r="C503">
        <f>IF(H503="","",IF(P503="",K503,INDEX('Students'!$A$2:$A$701,P503)))</f>
        <v/>
      </c>
      <c r="D503">
        <f>IF(OR(H503="",P503=""),"",INDEX('Students'!$B$2:$B$701,P503))</f>
        <v/>
      </c>
      <c r="E503">
        <f>IF(OR(H503="",P503=""),"",INDEX('Students'!$C$2:$C$701,P503))</f>
        <v/>
      </c>
      <c r="F503" s="48">
        <f>IF(H503="","",IF(ISNUMBER(O503),O503,J503))</f>
        <v/>
      </c>
      <c r="G503">
        <f>IF(H503="","","OneCause")</f>
        <v/>
      </c>
      <c r="H503">
        <f>IF(AND(I503="",J503="",K503=""),"",IF(NOT(ISNUMBER(O503)),"Bad amount",IF(O503&lt;0,"Refund (not counted)",IF(O503=0,"Zero amount",IF(NOT(ISNUMBER(N503)),"Bad date",IF(P503="","NAME NOT ON ROSTER",IF(L503="","OK",IF(MATCH(L503,$L$2:$L$3001,0)&lt;ROW()-1,"Duplicate (ignored)","OK"))))))))</f>
        <v/>
      </c>
      <c r="I503">
        <f>IF(OC_Date=0,"",IF(INDEX('OneCause_Paste'!$A$503:$AZ$503,1,OC_Date)="","",INDEX('OneCause_Paste'!$A$503:$AZ$503,1,OC_Date)))</f>
        <v/>
      </c>
      <c r="J503">
        <f>IF(OC_Amt=0,"",IF(INDEX('OneCause_Paste'!$A$503:$AZ$503,1,OC_Amt)="","",INDEX('OneCause_Paste'!$A$503:$AZ$503,1,OC_Amt)))</f>
        <v/>
      </c>
      <c r="K503">
        <f>IF(OC_Name=0,"",IF(INDEX('OneCause_Paste'!$A$503:$AZ$503,1,OC_Name)="","",INDEX('OneCause_Paste'!$A$503:$AZ$503,1,OC_Name)))</f>
        <v/>
      </c>
      <c r="L503">
        <f>IF(OC_Txn=0,"",IF(INDEX('OneCause_Paste'!$A$503:$AZ$503,1,OC_Txn)="","",INDEX('OneCause_Paste'!$A$503:$AZ$503,1,OC_Txn)))</f>
        <v/>
      </c>
      <c r="M503">
        <f>IF(OC_Pay=0,"",IF(INDEX('OneCause_Paste'!$A$503:$AZ$503,1,OC_Pay)="","",INDEX('OneCause_Paste'!$A$503:$AZ$503,1,OC_Pay)))</f>
        <v/>
      </c>
      <c r="N503">
        <f>IF(I503="","",IF(ISNUMBER(I503),INT(I503),IFERROR(INT(DATEVALUE(I503)),IFERROR(INT(VALUE(I503)),"bad"))))</f>
        <v/>
      </c>
      <c r="O503">
        <f>IF(J503="","",IF(ISNUMBER(J503),ROUND(J503,2),IFERROR(ROUND(VALUE(SUBSTITUTE(SUBSTITUTE(SUBSTITUTE(J503,"$",""),",","")," ","")),2),"bad")))</f>
        <v/>
      </c>
      <c r="P503">
        <f>IF(TRIM(K503)="","",IFERROR(MATCH(LOWER(TRIM(K503)),'Students'!$AH$2:$AH$701,0),IFERROR(MATCH(LOWER(TRIM(K503)),'Students'!$AF$2:$AF$701,0),IFERROR(MATCH(LOWER(TRIM(K503)),'Students'!$AG$2:$AG$701,0),""))))</f>
        <v/>
      </c>
      <c r="R503">
        <f>IF(P503="","",INDEX('Students'!$AD$2:$AD$701,P503))</f>
        <v/>
      </c>
      <c r="S503">
        <f>IF(H503="OK",O503,0)</f>
        <v/>
      </c>
      <c r="T503">
        <f>IF(H503="OK",N503,"")</f>
        <v/>
      </c>
      <c r="U503">
        <f>IF(OC_Donor=0,"",IF(INDEX('OneCause_Paste'!$A$503:$AZ$503,1,OC_Donor)="","",INDEX('OneCause_Paste'!$A$503:$AZ$503,1,OC_Donor)))</f>
        <v/>
      </c>
    </row>
    <row r="504">
      <c r="A504" s="62">
        <f>IF(H504="","",IF(ISNUMBER(N504),N504,I504))</f>
        <v/>
      </c>
      <c r="B504">
        <f>IF(H504="","",U504)</f>
        <v/>
      </c>
      <c r="C504">
        <f>IF(H504="","",IF(P504="",K504,INDEX('Students'!$A$2:$A$701,P504)))</f>
        <v/>
      </c>
      <c r="D504">
        <f>IF(OR(H504="",P504=""),"",INDEX('Students'!$B$2:$B$701,P504))</f>
        <v/>
      </c>
      <c r="E504">
        <f>IF(OR(H504="",P504=""),"",INDEX('Students'!$C$2:$C$701,P504))</f>
        <v/>
      </c>
      <c r="F504" s="48">
        <f>IF(H504="","",IF(ISNUMBER(O504),O504,J504))</f>
        <v/>
      </c>
      <c r="G504">
        <f>IF(H504="","","OneCause")</f>
        <v/>
      </c>
      <c r="H504">
        <f>IF(AND(I504="",J504="",K504=""),"",IF(NOT(ISNUMBER(O504)),"Bad amount",IF(O504&lt;0,"Refund (not counted)",IF(O504=0,"Zero amount",IF(NOT(ISNUMBER(N504)),"Bad date",IF(P504="","NAME NOT ON ROSTER",IF(L504="","OK",IF(MATCH(L504,$L$2:$L$3001,0)&lt;ROW()-1,"Duplicate (ignored)","OK"))))))))</f>
        <v/>
      </c>
      <c r="I504">
        <f>IF(OC_Date=0,"",IF(INDEX('OneCause_Paste'!$A$504:$AZ$504,1,OC_Date)="","",INDEX('OneCause_Paste'!$A$504:$AZ$504,1,OC_Date)))</f>
        <v/>
      </c>
      <c r="J504">
        <f>IF(OC_Amt=0,"",IF(INDEX('OneCause_Paste'!$A$504:$AZ$504,1,OC_Amt)="","",INDEX('OneCause_Paste'!$A$504:$AZ$504,1,OC_Amt)))</f>
        <v/>
      </c>
      <c r="K504">
        <f>IF(OC_Name=0,"",IF(INDEX('OneCause_Paste'!$A$504:$AZ$504,1,OC_Name)="","",INDEX('OneCause_Paste'!$A$504:$AZ$504,1,OC_Name)))</f>
        <v/>
      </c>
      <c r="L504">
        <f>IF(OC_Txn=0,"",IF(INDEX('OneCause_Paste'!$A$504:$AZ$504,1,OC_Txn)="","",INDEX('OneCause_Paste'!$A$504:$AZ$504,1,OC_Txn)))</f>
        <v/>
      </c>
      <c r="M504">
        <f>IF(OC_Pay=0,"",IF(INDEX('OneCause_Paste'!$A$504:$AZ$504,1,OC_Pay)="","",INDEX('OneCause_Paste'!$A$504:$AZ$504,1,OC_Pay)))</f>
        <v/>
      </c>
      <c r="N504">
        <f>IF(I504="","",IF(ISNUMBER(I504),INT(I504),IFERROR(INT(DATEVALUE(I504)),IFERROR(INT(VALUE(I504)),"bad"))))</f>
        <v/>
      </c>
      <c r="O504">
        <f>IF(J504="","",IF(ISNUMBER(J504),ROUND(J504,2),IFERROR(ROUND(VALUE(SUBSTITUTE(SUBSTITUTE(SUBSTITUTE(J504,"$",""),",","")," ","")),2),"bad")))</f>
        <v/>
      </c>
      <c r="P504">
        <f>IF(TRIM(K504)="","",IFERROR(MATCH(LOWER(TRIM(K504)),'Students'!$AH$2:$AH$701,0),IFERROR(MATCH(LOWER(TRIM(K504)),'Students'!$AF$2:$AF$701,0),IFERROR(MATCH(LOWER(TRIM(K504)),'Students'!$AG$2:$AG$701,0),""))))</f>
        <v/>
      </c>
      <c r="R504">
        <f>IF(P504="","",INDEX('Students'!$AD$2:$AD$701,P504))</f>
        <v/>
      </c>
      <c r="S504">
        <f>IF(H504="OK",O504,0)</f>
        <v/>
      </c>
      <c r="T504">
        <f>IF(H504="OK",N504,"")</f>
        <v/>
      </c>
      <c r="U504">
        <f>IF(OC_Donor=0,"",IF(INDEX('OneCause_Paste'!$A$504:$AZ$504,1,OC_Donor)="","",INDEX('OneCause_Paste'!$A$504:$AZ$504,1,OC_Donor)))</f>
        <v/>
      </c>
    </row>
    <row r="505">
      <c r="A505" s="62">
        <f>IF(H505="","",IF(ISNUMBER(N505),N505,I505))</f>
        <v/>
      </c>
      <c r="B505">
        <f>IF(H505="","",U505)</f>
        <v/>
      </c>
      <c r="C505">
        <f>IF(H505="","",IF(P505="",K505,INDEX('Students'!$A$2:$A$701,P505)))</f>
        <v/>
      </c>
      <c r="D505">
        <f>IF(OR(H505="",P505=""),"",INDEX('Students'!$B$2:$B$701,P505))</f>
        <v/>
      </c>
      <c r="E505">
        <f>IF(OR(H505="",P505=""),"",INDEX('Students'!$C$2:$C$701,P505))</f>
        <v/>
      </c>
      <c r="F505" s="48">
        <f>IF(H505="","",IF(ISNUMBER(O505),O505,J505))</f>
        <v/>
      </c>
      <c r="G505">
        <f>IF(H505="","","OneCause")</f>
        <v/>
      </c>
      <c r="H505">
        <f>IF(AND(I505="",J505="",K505=""),"",IF(NOT(ISNUMBER(O505)),"Bad amount",IF(O505&lt;0,"Refund (not counted)",IF(O505=0,"Zero amount",IF(NOT(ISNUMBER(N505)),"Bad date",IF(P505="","NAME NOT ON ROSTER",IF(L505="","OK",IF(MATCH(L505,$L$2:$L$3001,0)&lt;ROW()-1,"Duplicate (ignored)","OK"))))))))</f>
        <v/>
      </c>
      <c r="I505">
        <f>IF(OC_Date=0,"",IF(INDEX('OneCause_Paste'!$A$505:$AZ$505,1,OC_Date)="","",INDEX('OneCause_Paste'!$A$505:$AZ$505,1,OC_Date)))</f>
        <v/>
      </c>
      <c r="J505">
        <f>IF(OC_Amt=0,"",IF(INDEX('OneCause_Paste'!$A$505:$AZ$505,1,OC_Amt)="","",INDEX('OneCause_Paste'!$A$505:$AZ$505,1,OC_Amt)))</f>
        <v/>
      </c>
      <c r="K505">
        <f>IF(OC_Name=0,"",IF(INDEX('OneCause_Paste'!$A$505:$AZ$505,1,OC_Name)="","",INDEX('OneCause_Paste'!$A$505:$AZ$505,1,OC_Name)))</f>
        <v/>
      </c>
      <c r="L505">
        <f>IF(OC_Txn=0,"",IF(INDEX('OneCause_Paste'!$A$505:$AZ$505,1,OC_Txn)="","",INDEX('OneCause_Paste'!$A$505:$AZ$505,1,OC_Txn)))</f>
        <v/>
      </c>
      <c r="M505">
        <f>IF(OC_Pay=0,"",IF(INDEX('OneCause_Paste'!$A$505:$AZ$505,1,OC_Pay)="","",INDEX('OneCause_Paste'!$A$505:$AZ$505,1,OC_Pay)))</f>
        <v/>
      </c>
      <c r="N505">
        <f>IF(I505="","",IF(ISNUMBER(I505),INT(I505),IFERROR(INT(DATEVALUE(I505)),IFERROR(INT(VALUE(I505)),"bad"))))</f>
        <v/>
      </c>
      <c r="O505">
        <f>IF(J505="","",IF(ISNUMBER(J505),ROUND(J505,2),IFERROR(ROUND(VALUE(SUBSTITUTE(SUBSTITUTE(SUBSTITUTE(J505,"$",""),",","")," ","")),2),"bad")))</f>
        <v/>
      </c>
      <c r="P505">
        <f>IF(TRIM(K505)="","",IFERROR(MATCH(LOWER(TRIM(K505)),'Students'!$AH$2:$AH$701,0),IFERROR(MATCH(LOWER(TRIM(K505)),'Students'!$AF$2:$AF$701,0),IFERROR(MATCH(LOWER(TRIM(K505)),'Students'!$AG$2:$AG$701,0),""))))</f>
        <v/>
      </c>
      <c r="R505">
        <f>IF(P505="","",INDEX('Students'!$AD$2:$AD$701,P505))</f>
        <v/>
      </c>
      <c r="S505">
        <f>IF(H505="OK",O505,0)</f>
        <v/>
      </c>
      <c r="T505">
        <f>IF(H505="OK",N505,"")</f>
        <v/>
      </c>
      <c r="U505">
        <f>IF(OC_Donor=0,"",IF(INDEX('OneCause_Paste'!$A$505:$AZ$505,1,OC_Donor)="","",INDEX('OneCause_Paste'!$A$505:$AZ$505,1,OC_Donor)))</f>
        <v/>
      </c>
    </row>
    <row r="506">
      <c r="A506" s="62">
        <f>IF(H506="","",IF(ISNUMBER(N506),N506,I506))</f>
        <v/>
      </c>
      <c r="B506">
        <f>IF(H506="","",U506)</f>
        <v/>
      </c>
      <c r="C506">
        <f>IF(H506="","",IF(P506="",K506,INDEX('Students'!$A$2:$A$701,P506)))</f>
        <v/>
      </c>
      <c r="D506">
        <f>IF(OR(H506="",P506=""),"",INDEX('Students'!$B$2:$B$701,P506))</f>
        <v/>
      </c>
      <c r="E506">
        <f>IF(OR(H506="",P506=""),"",INDEX('Students'!$C$2:$C$701,P506))</f>
        <v/>
      </c>
      <c r="F506" s="48">
        <f>IF(H506="","",IF(ISNUMBER(O506),O506,J506))</f>
        <v/>
      </c>
      <c r="G506">
        <f>IF(H506="","","OneCause")</f>
        <v/>
      </c>
      <c r="H506">
        <f>IF(AND(I506="",J506="",K506=""),"",IF(NOT(ISNUMBER(O506)),"Bad amount",IF(O506&lt;0,"Refund (not counted)",IF(O506=0,"Zero amount",IF(NOT(ISNUMBER(N506)),"Bad date",IF(P506="","NAME NOT ON ROSTER",IF(L506="","OK",IF(MATCH(L506,$L$2:$L$3001,0)&lt;ROW()-1,"Duplicate (ignored)","OK"))))))))</f>
        <v/>
      </c>
      <c r="I506">
        <f>IF(OC_Date=0,"",IF(INDEX('OneCause_Paste'!$A$506:$AZ$506,1,OC_Date)="","",INDEX('OneCause_Paste'!$A$506:$AZ$506,1,OC_Date)))</f>
        <v/>
      </c>
      <c r="J506">
        <f>IF(OC_Amt=0,"",IF(INDEX('OneCause_Paste'!$A$506:$AZ$506,1,OC_Amt)="","",INDEX('OneCause_Paste'!$A$506:$AZ$506,1,OC_Amt)))</f>
        <v/>
      </c>
      <c r="K506">
        <f>IF(OC_Name=0,"",IF(INDEX('OneCause_Paste'!$A$506:$AZ$506,1,OC_Name)="","",INDEX('OneCause_Paste'!$A$506:$AZ$506,1,OC_Name)))</f>
        <v/>
      </c>
      <c r="L506">
        <f>IF(OC_Txn=0,"",IF(INDEX('OneCause_Paste'!$A$506:$AZ$506,1,OC_Txn)="","",INDEX('OneCause_Paste'!$A$506:$AZ$506,1,OC_Txn)))</f>
        <v/>
      </c>
      <c r="M506">
        <f>IF(OC_Pay=0,"",IF(INDEX('OneCause_Paste'!$A$506:$AZ$506,1,OC_Pay)="","",INDEX('OneCause_Paste'!$A$506:$AZ$506,1,OC_Pay)))</f>
        <v/>
      </c>
      <c r="N506">
        <f>IF(I506="","",IF(ISNUMBER(I506),INT(I506),IFERROR(INT(DATEVALUE(I506)),IFERROR(INT(VALUE(I506)),"bad"))))</f>
        <v/>
      </c>
      <c r="O506">
        <f>IF(J506="","",IF(ISNUMBER(J506),ROUND(J506,2),IFERROR(ROUND(VALUE(SUBSTITUTE(SUBSTITUTE(SUBSTITUTE(J506,"$",""),",","")," ","")),2),"bad")))</f>
        <v/>
      </c>
      <c r="P506">
        <f>IF(TRIM(K506)="","",IFERROR(MATCH(LOWER(TRIM(K506)),'Students'!$AH$2:$AH$701,0),IFERROR(MATCH(LOWER(TRIM(K506)),'Students'!$AF$2:$AF$701,0),IFERROR(MATCH(LOWER(TRIM(K506)),'Students'!$AG$2:$AG$701,0),""))))</f>
        <v/>
      </c>
      <c r="R506">
        <f>IF(P506="","",INDEX('Students'!$AD$2:$AD$701,P506))</f>
        <v/>
      </c>
      <c r="S506">
        <f>IF(H506="OK",O506,0)</f>
        <v/>
      </c>
      <c r="T506">
        <f>IF(H506="OK",N506,"")</f>
        <v/>
      </c>
      <c r="U506">
        <f>IF(OC_Donor=0,"",IF(INDEX('OneCause_Paste'!$A$506:$AZ$506,1,OC_Donor)="","",INDEX('OneCause_Paste'!$A$506:$AZ$506,1,OC_Donor)))</f>
        <v/>
      </c>
    </row>
    <row r="507">
      <c r="A507" s="62">
        <f>IF(H507="","",IF(ISNUMBER(N507),N507,I507))</f>
        <v/>
      </c>
      <c r="B507">
        <f>IF(H507="","",U507)</f>
        <v/>
      </c>
      <c r="C507">
        <f>IF(H507="","",IF(P507="",K507,INDEX('Students'!$A$2:$A$701,P507)))</f>
        <v/>
      </c>
      <c r="D507">
        <f>IF(OR(H507="",P507=""),"",INDEX('Students'!$B$2:$B$701,P507))</f>
        <v/>
      </c>
      <c r="E507">
        <f>IF(OR(H507="",P507=""),"",INDEX('Students'!$C$2:$C$701,P507))</f>
        <v/>
      </c>
      <c r="F507" s="48">
        <f>IF(H507="","",IF(ISNUMBER(O507),O507,J507))</f>
        <v/>
      </c>
      <c r="G507">
        <f>IF(H507="","","OneCause")</f>
        <v/>
      </c>
      <c r="H507">
        <f>IF(AND(I507="",J507="",K507=""),"",IF(NOT(ISNUMBER(O507)),"Bad amount",IF(O507&lt;0,"Refund (not counted)",IF(O507=0,"Zero amount",IF(NOT(ISNUMBER(N507)),"Bad date",IF(P507="","NAME NOT ON ROSTER",IF(L507="","OK",IF(MATCH(L507,$L$2:$L$3001,0)&lt;ROW()-1,"Duplicate (ignored)","OK"))))))))</f>
        <v/>
      </c>
      <c r="I507">
        <f>IF(OC_Date=0,"",IF(INDEX('OneCause_Paste'!$A$507:$AZ$507,1,OC_Date)="","",INDEX('OneCause_Paste'!$A$507:$AZ$507,1,OC_Date)))</f>
        <v/>
      </c>
      <c r="J507">
        <f>IF(OC_Amt=0,"",IF(INDEX('OneCause_Paste'!$A$507:$AZ$507,1,OC_Amt)="","",INDEX('OneCause_Paste'!$A$507:$AZ$507,1,OC_Amt)))</f>
        <v/>
      </c>
      <c r="K507">
        <f>IF(OC_Name=0,"",IF(INDEX('OneCause_Paste'!$A$507:$AZ$507,1,OC_Name)="","",INDEX('OneCause_Paste'!$A$507:$AZ$507,1,OC_Name)))</f>
        <v/>
      </c>
      <c r="L507">
        <f>IF(OC_Txn=0,"",IF(INDEX('OneCause_Paste'!$A$507:$AZ$507,1,OC_Txn)="","",INDEX('OneCause_Paste'!$A$507:$AZ$507,1,OC_Txn)))</f>
        <v/>
      </c>
      <c r="M507">
        <f>IF(OC_Pay=0,"",IF(INDEX('OneCause_Paste'!$A$507:$AZ$507,1,OC_Pay)="","",INDEX('OneCause_Paste'!$A$507:$AZ$507,1,OC_Pay)))</f>
        <v/>
      </c>
      <c r="N507">
        <f>IF(I507="","",IF(ISNUMBER(I507),INT(I507),IFERROR(INT(DATEVALUE(I507)),IFERROR(INT(VALUE(I507)),"bad"))))</f>
        <v/>
      </c>
      <c r="O507">
        <f>IF(J507="","",IF(ISNUMBER(J507),ROUND(J507,2),IFERROR(ROUND(VALUE(SUBSTITUTE(SUBSTITUTE(SUBSTITUTE(J507,"$",""),",","")," ","")),2),"bad")))</f>
        <v/>
      </c>
      <c r="P507">
        <f>IF(TRIM(K507)="","",IFERROR(MATCH(LOWER(TRIM(K507)),'Students'!$AH$2:$AH$701,0),IFERROR(MATCH(LOWER(TRIM(K507)),'Students'!$AF$2:$AF$701,0),IFERROR(MATCH(LOWER(TRIM(K507)),'Students'!$AG$2:$AG$701,0),""))))</f>
        <v/>
      </c>
      <c r="R507">
        <f>IF(P507="","",INDEX('Students'!$AD$2:$AD$701,P507))</f>
        <v/>
      </c>
      <c r="S507">
        <f>IF(H507="OK",O507,0)</f>
        <v/>
      </c>
      <c r="T507">
        <f>IF(H507="OK",N507,"")</f>
        <v/>
      </c>
      <c r="U507">
        <f>IF(OC_Donor=0,"",IF(INDEX('OneCause_Paste'!$A$507:$AZ$507,1,OC_Donor)="","",INDEX('OneCause_Paste'!$A$507:$AZ$507,1,OC_Donor)))</f>
        <v/>
      </c>
    </row>
    <row r="508">
      <c r="A508" s="62">
        <f>IF(H508="","",IF(ISNUMBER(N508),N508,I508))</f>
        <v/>
      </c>
      <c r="B508">
        <f>IF(H508="","",U508)</f>
        <v/>
      </c>
      <c r="C508">
        <f>IF(H508="","",IF(P508="",K508,INDEX('Students'!$A$2:$A$701,P508)))</f>
        <v/>
      </c>
      <c r="D508">
        <f>IF(OR(H508="",P508=""),"",INDEX('Students'!$B$2:$B$701,P508))</f>
        <v/>
      </c>
      <c r="E508">
        <f>IF(OR(H508="",P508=""),"",INDEX('Students'!$C$2:$C$701,P508))</f>
        <v/>
      </c>
      <c r="F508" s="48">
        <f>IF(H508="","",IF(ISNUMBER(O508),O508,J508))</f>
        <v/>
      </c>
      <c r="G508">
        <f>IF(H508="","","OneCause")</f>
        <v/>
      </c>
      <c r="H508">
        <f>IF(AND(I508="",J508="",K508=""),"",IF(NOT(ISNUMBER(O508)),"Bad amount",IF(O508&lt;0,"Refund (not counted)",IF(O508=0,"Zero amount",IF(NOT(ISNUMBER(N508)),"Bad date",IF(P508="","NAME NOT ON ROSTER",IF(L508="","OK",IF(MATCH(L508,$L$2:$L$3001,0)&lt;ROW()-1,"Duplicate (ignored)","OK"))))))))</f>
        <v/>
      </c>
      <c r="I508">
        <f>IF(OC_Date=0,"",IF(INDEX('OneCause_Paste'!$A$508:$AZ$508,1,OC_Date)="","",INDEX('OneCause_Paste'!$A$508:$AZ$508,1,OC_Date)))</f>
        <v/>
      </c>
      <c r="J508">
        <f>IF(OC_Amt=0,"",IF(INDEX('OneCause_Paste'!$A$508:$AZ$508,1,OC_Amt)="","",INDEX('OneCause_Paste'!$A$508:$AZ$508,1,OC_Amt)))</f>
        <v/>
      </c>
      <c r="K508">
        <f>IF(OC_Name=0,"",IF(INDEX('OneCause_Paste'!$A$508:$AZ$508,1,OC_Name)="","",INDEX('OneCause_Paste'!$A$508:$AZ$508,1,OC_Name)))</f>
        <v/>
      </c>
      <c r="L508">
        <f>IF(OC_Txn=0,"",IF(INDEX('OneCause_Paste'!$A$508:$AZ$508,1,OC_Txn)="","",INDEX('OneCause_Paste'!$A$508:$AZ$508,1,OC_Txn)))</f>
        <v/>
      </c>
      <c r="M508">
        <f>IF(OC_Pay=0,"",IF(INDEX('OneCause_Paste'!$A$508:$AZ$508,1,OC_Pay)="","",INDEX('OneCause_Paste'!$A$508:$AZ$508,1,OC_Pay)))</f>
        <v/>
      </c>
      <c r="N508">
        <f>IF(I508="","",IF(ISNUMBER(I508),INT(I508),IFERROR(INT(DATEVALUE(I508)),IFERROR(INT(VALUE(I508)),"bad"))))</f>
        <v/>
      </c>
      <c r="O508">
        <f>IF(J508="","",IF(ISNUMBER(J508),ROUND(J508,2),IFERROR(ROUND(VALUE(SUBSTITUTE(SUBSTITUTE(SUBSTITUTE(J508,"$",""),",","")," ","")),2),"bad")))</f>
        <v/>
      </c>
      <c r="P508">
        <f>IF(TRIM(K508)="","",IFERROR(MATCH(LOWER(TRIM(K508)),'Students'!$AH$2:$AH$701,0),IFERROR(MATCH(LOWER(TRIM(K508)),'Students'!$AF$2:$AF$701,0),IFERROR(MATCH(LOWER(TRIM(K508)),'Students'!$AG$2:$AG$701,0),""))))</f>
        <v/>
      </c>
      <c r="R508">
        <f>IF(P508="","",INDEX('Students'!$AD$2:$AD$701,P508))</f>
        <v/>
      </c>
      <c r="S508">
        <f>IF(H508="OK",O508,0)</f>
        <v/>
      </c>
      <c r="T508">
        <f>IF(H508="OK",N508,"")</f>
        <v/>
      </c>
      <c r="U508">
        <f>IF(OC_Donor=0,"",IF(INDEX('OneCause_Paste'!$A$508:$AZ$508,1,OC_Donor)="","",INDEX('OneCause_Paste'!$A$508:$AZ$508,1,OC_Donor)))</f>
        <v/>
      </c>
    </row>
    <row r="509">
      <c r="A509" s="62">
        <f>IF(H509="","",IF(ISNUMBER(N509),N509,I509))</f>
        <v/>
      </c>
      <c r="B509">
        <f>IF(H509="","",U509)</f>
        <v/>
      </c>
      <c r="C509">
        <f>IF(H509="","",IF(P509="",K509,INDEX('Students'!$A$2:$A$701,P509)))</f>
        <v/>
      </c>
      <c r="D509">
        <f>IF(OR(H509="",P509=""),"",INDEX('Students'!$B$2:$B$701,P509))</f>
        <v/>
      </c>
      <c r="E509">
        <f>IF(OR(H509="",P509=""),"",INDEX('Students'!$C$2:$C$701,P509))</f>
        <v/>
      </c>
      <c r="F509" s="48">
        <f>IF(H509="","",IF(ISNUMBER(O509),O509,J509))</f>
        <v/>
      </c>
      <c r="G509">
        <f>IF(H509="","","OneCause")</f>
        <v/>
      </c>
      <c r="H509">
        <f>IF(AND(I509="",J509="",K509=""),"",IF(NOT(ISNUMBER(O509)),"Bad amount",IF(O509&lt;0,"Refund (not counted)",IF(O509=0,"Zero amount",IF(NOT(ISNUMBER(N509)),"Bad date",IF(P509="","NAME NOT ON ROSTER",IF(L509="","OK",IF(MATCH(L509,$L$2:$L$3001,0)&lt;ROW()-1,"Duplicate (ignored)","OK"))))))))</f>
        <v/>
      </c>
      <c r="I509">
        <f>IF(OC_Date=0,"",IF(INDEX('OneCause_Paste'!$A$509:$AZ$509,1,OC_Date)="","",INDEX('OneCause_Paste'!$A$509:$AZ$509,1,OC_Date)))</f>
        <v/>
      </c>
      <c r="J509">
        <f>IF(OC_Amt=0,"",IF(INDEX('OneCause_Paste'!$A$509:$AZ$509,1,OC_Amt)="","",INDEX('OneCause_Paste'!$A$509:$AZ$509,1,OC_Amt)))</f>
        <v/>
      </c>
      <c r="K509">
        <f>IF(OC_Name=0,"",IF(INDEX('OneCause_Paste'!$A$509:$AZ$509,1,OC_Name)="","",INDEX('OneCause_Paste'!$A$509:$AZ$509,1,OC_Name)))</f>
        <v/>
      </c>
      <c r="L509">
        <f>IF(OC_Txn=0,"",IF(INDEX('OneCause_Paste'!$A$509:$AZ$509,1,OC_Txn)="","",INDEX('OneCause_Paste'!$A$509:$AZ$509,1,OC_Txn)))</f>
        <v/>
      </c>
      <c r="M509">
        <f>IF(OC_Pay=0,"",IF(INDEX('OneCause_Paste'!$A$509:$AZ$509,1,OC_Pay)="","",INDEX('OneCause_Paste'!$A$509:$AZ$509,1,OC_Pay)))</f>
        <v/>
      </c>
      <c r="N509">
        <f>IF(I509="","",IF(ISNUMBER(I509),INT(I509),IFERROR(INT(DATEVALUE(I509)),IFERROR(INT(VALUE(I509)),"bad"))))</f>
        <v/>
      </c>
      <c r="O509">
        <f>IF(J509="","",IF(ISNUMBER(J509),ROUND(J509,2),IFERROR(ROUND(VALUE(SUBSTITUTE(SUBSTITUTE(SUBSTITUTE(J509,"$",""),",","")," ","")),2),"bad")))</f>
        <v/>
      </c>
      <c r="P509">
        <f>IF(TRIM(K509)="","",IFERROR(MATCH(LOWER(TRIM(K509)),'Students'!$AH$2:$AH$701,0),IFERROR(MATCH(LOWER(TRIM(K509)),'Students'!$AF$2:$AF$701,0),IFERROR(MATCH(LOWER(TRIM(K509)),'Students'!$AG$2:$AG$701,0),""))))</f>
        <v/>
      </c>
      <c r="R509">
        <f>IF(P509="","",INDEX('Students'!$AD$2:$AD$701,P509))</f>
        <v/>
      </c>
      <c r="S509">
        <f>IF(H509="OK",O509,0)</f>
        <v/>
      </c>
      <c r="T509">
        <f>IF(H509="OK",N509,"")</f>
        <v/>
      </c>
      <c r="U509">
        <f>IF(OC_Donor=0,"",IF(INDEX('OneCause_Paste'!$A$509:$AZ$509,1,OC_Donor)="","",INDEX('OneCause_Paste'!$A$509:$AZ$509,1,OC_Donor)))</f>
        <v/>
      </c>
    </row>
    <row r="510">
      <c r="A510" s="62">
        <f>IF(H510="","",IF(ISNUMBER(N510),N510,I510))</f>
        <v/>
      </c>
      <c r="B510">
        <f>IF(H510="","",U510)</f>
        <v/>
      </c>
      <c r="C510">
        <f>IF(H510="","",IF(P510="",K510,INDEX('Students'!$A$2:$A$701,P510)))</f>
        <v/>
      </c>
      <c r="D510">
        <f>IF(OR(H510="",P510=""),"",INDEX('Students'!$B$2:$B$701,P510))</f>
        <v/>
      </c>
      <c r="E510">
        <f>IF(OR(H510="",P510=""),"",INDEX('Students'!$C$2:$C$701,P510))</f>
        <v/>
      </c>
      <c r="F510" s="48">
        <f>IF(H510="","",IF(ISNUMBER(O510),O510,J510))</f>
        <v/>
      </c>
      <c r="G510">
        <f>IF(H510="","","OneCause")</f>
        <v/>
      </c>
      <c r="H510">
        <f>IF(AND(I510="",J510="",K510=""),"",IF(NOT(ISNUMBER(O510)),"Bad amount",IF(O510&lt;0,"Refund (not counted)",IF(O510=0,"Zero amount",IF(NOT(ISNUMBER(N510)),"Bad date",IF(P510="","NAME NOT ON ROSTER",IF(L510="","OK",IF(MATCH(L510,$L$2:$L$3001,0)&lt;ROW()-1,"Duplicate (ignored)","OK"))))))))</f>
        <v/>
      </c>
      <c r="I510">
        <f>IF(OC_Date=0,"",IF(INDEX('OneCause_Paste'!$A$510:$AZ$510,1,OC_Date)="","",INDEX('OneCause_Paste'!$A$510:$AZ$510,1,OC_Date)))</f>
        <v/>
      </c>
      <c r="J510">
        <f>IF(OC_Amt=0,"",IF(INDEX('OneCause_Paste'!$A$510:$AZ$510,1,OC_Amt)="","",INDEX('OneCause_Paste'!$A$510:$AZ$510,1,OC_Amt)))</f>
        <v/>
      </c>
      <c r="K510">
        <f>IF(OC_Name=0,"",IF(INDEX('OneCause_Paste'!$A$510:$AZ$510,1,OC_Name)="","",INDEX('OneCause_Paste'!$A$510:$AZ$510,1,OC_Name)))</f>
        <v/>
      </c>
      <c r="L510">
        <f>IF(OC_Txn=0,"",IF(INDEX('OneCause_Paste'!$A$510:$AZ$510,1,OC_Txn)="","",INDEX('OneCause_Paste'!$A$510:$AZ$510,1,OC_Txn)))</f>
        <v/>
      </c>
      <c r="M510">
        <f>IF(OC_Pay=0,"",IF(INDEX('OneCause_Paste'!$A$510:$AZ$510,1,OC_Pay)="","",INDEX('OneCause_Paste'!$A$510:$AZ$510,1,OC_Pay)))</f>
        <v/>
      </c>
      <c r="N510">
        <f>IF(I510="","",IF(ISNUMBER(I510),INT(I510),IFERROR(INT(DATEVALUE(I510)),IFERROR(INT(VALUE(I510)),"bad"))))</f>
        <v/>
      </c>
      <c r="O510">
        <f>IF(J510="","",IF(ISNUMBER(J510),ROUND(J510,2),IFERROR(ROUND(VALUE(SUBSTITUTE(SUBSTITUTE(SUBSTITUTE(J510,"$",""),",","")," ","")),2),"bad")))</f>
        <v/>
      </c>
      <c r="P510">
        <f>IF(TRIM(K510)="","",IFERROR(MATCH(LOWER(TRIM(K510)),'Students'!$AH$2:$AH$701,0),IFERROR(MATCH(LOWER(TRIM(K510)),'Students'!$AF$2:$AF$701,0),IFERROR(MATCH(LOWER(TRIM(K510)),'Students'!$AG$2:$AG$701,0),""))))</f>
        <v/>
      </c>
      <c r="R510">
        <f>IF(P510="","",INDEX('Students'!$AD$2:$AD$701,P510))</f>
        <v/>
      </c>
      <c r="S510">
        <f>IF(H510="OK",O510,0)</f>
        <v/>
      </c>
      <c r="T510">
        <f>IF(H510="OK",N510,"")</f>
        <v/>
      </c>
      <c r="U510">
        <f>IF(OC_Donor=0,"",IF(INDEX('OneCause_Paste'!$A$510:$AZ$510,1,OC_Donor)="","",INDEX('OneCause_Paste'!$A$510:$AZ$510,1,OC_Donor)))</f>
        <v/>
      </c>
    </row>
    <row r="511">
      <c r="A511" s="62">
        <f>IF(H511="","",IF(ISNUMBER(N511),N511,I511))</f>
        <v/>
      </c>
      <c r="B511">
        <f>IF(H511="","",U511)</f>
        <v/>
      </c>
      <c r="C511">
        <f>IF(H511="","",IF(P511="",K511,INDEX('Students'!$A$2:$A$701,P511)))</f>
        <v/>
      </c>
      <c r="D511">
        <f>IF(OR(H511="",P511=""),"",INDEX('Students'!$B$2:$B$701,P511))</f>
        <v/>
      </c>
      <c r="E511">
        <f>IF(OR(H511="",P511=""),"",INDEX('Students'!$C$2:$C$701,P511))</f>
        <v/>
      </c>
      <c r="F511" s="48">
        <f>IF(H511="","",IF(ISNUMBER(O511),O511,J511))</f>
        <v/>
      </c>
      <c r="G511">
        <f>IF(H511="","","OneCause")</f>
        <v/>
      </c>
      <c r="H511">
        <f>IF(AND(I511="",J511="",K511=""),"",IF(NOT(ISNUMBER(O511)),"Bad amount",IF(O511&lt;0,"Refund (not counted)",IF(O511=0,"Zero amount",IF(NOT(ISNUMBER(N511)),"Bad date",IF(P511="","NAME NOT ON ROSTER",IF(L511="","OK",IF(MATCH(L511,$L$2:$L$3001,0)&lt;ROW()-1,"Duplicate (ignored)","OK"))))))))</f>
        <v/>
      </c>
      <c r="I511">
        <f>IF(OC_Date=0,"",IF(INDEX('OneCause_Paste'!$A$511:$AZ$511,1,OC_Date)="","",INDEX('OneCause_Paste'!$A$511:$AZ$511,1,OC_Date)))</f>
        <v/>
      </c>
      <c r="J511">
        <f>IF(OC_Amt=0,"",IF(INDEX('OneCause_Paste'!$A$511:$AZ$511,1,OC_Amt)="","",INDEX('OneCause_Paste'!$A$511:$AZ$511,1,OC_Amt)))</f>
        <v/>
      </c>
      <c r="K511">
        <f>IF(OC_Name=0,"",IF(INDEX('OneCause_Paste'!$A$511:$AZ$511,1,OC_Name)="","",INDEX('OneCause_Paste'!$A$511:$AZ$511,1,OC_Name)))</f>
        <v/>
      </c>
      <c r="L511">
        <f>IF(OC_Txn=0,"",IF(INDEX('OneCause_Paste'!$A$511:$AZ$511,1,OC_Txn)="","",INDEX('OneCause_Paste'!$A$511:$AZ$511,1,OC_Txn)))</f>
        <v/>
      </c>
      <c r="M511">
        <f>IF(OC_Pay=0,"",IF(INDEX('OneCause_Paste'!$A$511:$AZ$511,1,OC_Pay)="","",INDEX('OneCause_Paste'!$A$511:$AZ$511,1,OC_Pay)))</f>
        <v/>
      </c>
      <c r="N511">
        <f>IF(I511="","",IF(ISNUMBER(I511),INT(I511),IFERROR(INT(DATEVALUE(I511)),IFERROR(INT(VALUE(I511)),"bad"))))</f>
        <v/>
      </c>
      <c r="O511">
        <f>IF(J511="","",IF(ISNUMBER(J511),ROUND(J511,2),IFERROR(ROUND(VALUE(SUBSTITUTE(SUBSTITUTE(SUBSTITUTE(J511,"$",""),",","")," ","")),2),"bad")))</f>
        <v/>
      </c>
      <c r="P511">
        <f>IF(TRIM(K511)="","",IFERROR(MATCH(LOWER(TRIM(K511)),'Students'!$AH$2:$AH$701,0),IFERROR(MATCH(LOWER(TRIM(K511)),'Students'!$AF$2:$AF$701,0),IFERROR(MATCH(LOWER(TRIM(K511)),'Students'!$AG$2:$AG$701,0),""))))</f>
        <v/>
      </c>
      <c r="R511">
        <f>IF(P511="","",INDEX('Students'!$AD$2:$AD$701,P511))</f>
        <v/>
      </c>
      <c r="S511">
        <f>IF(H511="OK",O511,0)</f>
        <v/>
      </c>
      <c r="T511">
        <f>IF(H511="OK",N511,"")</f>
        <v/>
      </c>
      <c r="U511">
        <f>IF(OC_Donor=0,"",IF(INDEX('OneCause_Paste'!$A$511:$AZ$511,1,OC_Donor)="","",INDEX('OneCause_Paste'!$A$511:$AZ$511,1,OC_Donor)))</f>
        <v/>
      </c>
    </row>
    <row r="512">
      <c r="A512" s="62">
        <f>IF(H512="","",IF(ISNUMBER(N512),N512,I512))</f>
        <v/>
      </c>
      <c r="B512">
        <f>IF(H512="","",U512)</f>
        <v/>
      </c>
      <c r="C512">
        <f>IF(H512="","",IF(P512="",K512,INDEX('Students'!$A$2:$A$701,P512)))</f>
        <v/>
      </c>
      <c r="D512">
        <f>IF(OR(H512="",P512=""),"",INDEX('Students'!$B$2:$B$701,P512))</f>
        <v/>
      </c>
      <c r="E512">
        <f>IF(OR(H512="",P512=""),"",INDEX('Students'!$C$2:$C$701,P512))</f>
        <v/>
      </c>
      <c r="F512" s="48">
        <f>IF(H512="","",IF(ISNUMBER(O512),O512,J512))</f>
        <v/>
      </c>
      <c r="G512">
        <f>IF(H512="","","OneCause")</f>
        <v/>
      </c>
      <c r="H512">
        <f>IF(AND(I512="",J512="",K512=""),"",IF(NOT(ISNUMBER(O512)),"Bad amount",IF(O512&lt;0,"Refund (not counted)",IF(O512=0,"Zero amount",IF(NOT(ISNUMBER(N512)),"Bad date",IF(P512="","NAME NOT ON ROSTER",IF(L512="","OK",IF(MATCH(L512,$L$2:$L$3001,0)&lt;ROW()-1,"Duplicate (ignored)","OK"))))))))</f>
        <v/>
      </c>
      <c r="I512">
        <f>IF(OC_Date=0,"",IF(INDEX('OneCause_Paste'!$A$512:$AZ$512,1,OC_Date)="","",INDEX('OneCause_Paste'!$A$512:$AZ$512,1,OC_Date)))</f>
        <v/>
      </c>
      <c r="J512">
        <f>IF(OC_Amt=0,"",IF(INDEX('OneCause_Paste'!$A$512:$AZ$512,1,OC_Amt)="","",INDEX('OneCause_Paste'!$A$512:$AZ$512,1,OC_Amt)))</f>
        <v/>
      </c>
      <c r="K512">
        <f>IF(OC_Name=0,"",IF(INDEX('OneCause_Paste'!$A$512:$AZ$512,1,OC_Name)="","",INDEX('OneCause_Paste'!$A$512:$AZ$512,1,OC_Name)))</f>
        <v/>
      </c>
      <c r="L512">
        <f>IF(OC_Txn=0,"",IF(INDEX('OneCause_Paste'!$A$512:$AZ$512,1,OC_Txn)="","",INDEX('OneCause_Paste'!$A$512:$AZ$512,1,OC_Txn)))</f>
        <v/>
      </c>
      <c r="M512">
        <f>IF(OC_Pay=0,"",IF(INDEX('OneCause_Paste'!$A$512:$AZ$512,1,OC_Pay)="","",INDEX('OneCause_Paste'!$A$512:$AZ$512,1,OC_Pay)))</f>
        <v/>
      </c>
      <c r="N512">
        <f>IF(I512="","",IF(ISNUMBER(I512),INT(I512),IFERROR(INT(DATEVALUE(I512)),IFERROR(INT(VALUE(I512)),"bad"))))</f>
        <v/>
      </c>
      <c r="O512">
        <f>IF(J512="","",IF(ISNUMBER(J512),ROUND(J512,2),IFERROR(ROUND(VALUE(SUBSTITUTE(SUBSTITUTE(SUBSTITUTE(J512,"$",""),",","")," ","")),2),"bad")))</f>
        <v/>
      </c>
      <c r="P512">
        <f>IF(TRIM(K512)="","",IFERROR(MATCH(LOWER(TRIM(K512)),'Students'!$AH$2:$AH$701,0),IFERROR(MATCH(LOWER(TRIM(K512)),'Students'!$AF$2:$AF$701,0),IFERROR(MATCH(LOWER(TRIM(K512)),'Students'!$AG$2:$AG$701,0),""))))</f>
        <v/>
      </c>
      <c r="R512">
        <f>IF(P512="","",INDEX('Students'!$AD$2:$AD$701,P512))</f>
        <v/>
      </c>
      <c r="S512">
        <f>IF(H512="OK",O512,0)</f>
        <v/>
      </c>
      <c r="T512">
        <f>IF(H512="OK",N512,"")</f>
        <v/>
      </c>
      <c r="U512">
        <f>IF(OC_Donor=0,"",IF(INDEX('OneCause_Paste'!$A$512:$AZ$512,1,OC_Donor)="","",INDEX('OneCause_Paste'!$A$512:$AZ$512,1,OC_Donor)))</f>
        <v/>
      </c>
    </row>
    <row r="513">
      <c r="A513" s="62">
        <f>IF(H513="","",IF(ISNUMBER(N513),N513,I513))</f>
        <v/>
      </c>
      <c r="B513">
        <f>IF(H513="","",U513)</f>
        <v/>
      </c>
      <c r="C513">
        <f>IF(H513="","",IF(P513="",K513,INDEX('Students'!$A$2:$A$701,P513)))</f>
        <v/>
      </c>
      <c r="D513">
        <f>IF(OR(H513="",P513=""),"",INDEX('Students'!$B$2:$B$701,P513))</f>
        <v/>
      </c>
      <c r="E513">
        <f>IF(OR(H513="",P513=""),"",INDEX('Students'!$C$2:$C$701,P513))</f>
        <v/>
      </c>
      <c r="F513" s="48">
        <f>IF(H513="","",IF(ISNUMBER(O513),O513,J513))</f>
        <v/>
      </c>
      <c r="G513">
        <f>IF(H513="","","OneCause")</f>
        <v/>
      </c>
      <c r="H513">
        <f>IF(AND(I513="",J513="",K513=""),"",IF(NOT(ISNUMBER(O513)),"Bad amount",IF(O513&lt;0,"Refund (not counted)",IF(O513=0,"Zero amount",IF(NOT(ISNUMBER(N513)),"Bad date",IF(P513="","NAME NOT ON ROSTER",IF(L513="","OK",IF(MATCH(L513,$L$2:$L$3001,0)&lt;ROW()-1,"Duplicate (ignored)","OK"))))))))</f>
        <v/>
      </c>
      <c r="I513">
        <f>IF(OC_Date=0,"",IF(INDEX('OneCause_Paste'!$A$513:$AZ$513,1,OC_Date)="","",INDEX('OneCause_Paste'!$A$513:$AZ$513,1,OC_Date)))</f>
        <v/>
      </c>
      <c r="J513">
        <f>IF(OC_Amt=0,"",IF(INDEX('OneCause_Paste'!$A$513:$AZ$513,1,OC_Amt)="","",INDEX('OneCause_Paste'!$A$513:$AZ$513,1,OC_Amt)))</f>
        <v/>
      </c>
      <c r="K513">
        <f>IF(OC_Name=0,"",IF(INDEX('OneCause_Paste'!$A$513:$AZ$513,1,OC_Name)="","",INDEX('OneCause_Paste'!$A$513:$AZ$513,1,OC_Name)))</f>
        <v/>
      </c>
      <c r="L513">
        <f>IF(OC_Txn=0,"",IF(INDEX('OneCause_Paste'!$A$513:$AZ$513,1,OC_Txn)="","",INDEX('OneCause_Paste'!$A$513:$AZ$513,1,OC_Txn)))</f>
        <v/>
      </c>
      <c r="M513">
        <f>IF(OC_Pay=0,"",IF(INDEX('OneCause_Paste'!$A$513:$AZ$513,1,OC_Pay)="","",INDEX('OneCause_Paste'!$A$513:$AZ$513,1,OC_Pay)))</f>
        <v/>
      </c>
      <c r="N513">
        <f>IF(I513="","",IF(ISNUMBER(I513),INT(I513),IFERROR(INT(DATEVALUE(I513)),IFERROR(INT(VALUE(I513)),"bad"))))</f>
        <v/>
      </c>
      <c r="O513">
        <f>IF(J513="","",IF(ISNUMBER(J513),ROUND(J513,2),IFERROR(ROUND(VALUE(SUBSTITUTE(SUBSTITUTE(SUBSTITUTE(J513,"$",""),",","")," ","")),2),"bad")))</f>
        <v/>
      </c>
      <c r="P513">
        <f>IF(TRIM(K513)="","",IFERROR(MATCH(LOWER(TRIM(K513)),'Students'!$AH$2:$AH$701,0),IFERROR(MATCH(LOWER(TRIM(K513)),'Students'!$AF$2:$AF$701,0),IFERROR(MATCH(LOWER(TRIM(K513)),'Students'!$AG$2:$AG$701,0),""))))</f>
        <v/>
      </c>
      <c r="R513">
        <f>IF(P513="","",INDEX('Students'!$AD$2:$AD$701,P513))</f>
        <v/>
      </c>
      <c r="S513">
        <f>IF(H513="OK",O513,0)</f>
        <v/>
      </c>
      <c r="T513">
        <f>IF(H513="OK",N513,"")</f>
        <v/>
      </c>
      <c r="U513">
        <f>IF(OC_Donor=0,"",IF(INDEX('OneCause_Paste'!$A$513:$AZ$513,1,OC_Donor)="","",INDEX('OneCause_Paste'!$A$513:$AZ$513,1,OC_Donor)))</f>
        <v/>
      </c>
    </row>
    <row r="514">
      <c r="A514" s="62">
        <f>IF(H514="","",IF(ISNUMBER(N514),N514,I514))</f>
        <v/>
      </c>
      <c r="B514">
        <f>IF(H514="","",U514)</f>
        <v/>
      </c>
      <c r="C514">
        <f>IF(H514="","",IF(P514="",K514,INDEX('Students'!$A$2:$A$701,P514)))</f>
        <v/>
      </c>
      <c r="D514">
        <f>IF(OR(H514="",P514=""),"",INDEX('Students'!$B$2:$B$701,P514))</f>
        <v/>
      </c>
      <c r="E514">
        <f>IF(OR(H514="",P514=""),"",INDEX('Students'!$C$2:$C$701,P514))</f>
        <v/>
      </c>
      <c r="F514" s="48">
        <f>IF(H514="","",IF(ISNUMBER(O514),O514,J514))</f>
        <v/>
      </c>
      <c r="G514">
        <f>IF(H514="","","OneCause")</f>
        <v/>
      </c>
      <c r="H514">
        <f>IF(AND(I514="",J514="",K514=""),"",IF(NOT(ISNUMBER(O514)),"Bad amount",IF(O514&lt;0,"Refund (not counted)",IF(O514=0,"Zero amount",IF(NOT(ISNUMBER(N514)),"Bad date",IF(P514="","NAME NOT ON ROSTER",IF(L514="","OK",IF(MATCH(L514,$L$2:$L$3001,0)&lt;ROW()-1,"Duplicate (ignored)","OK"))))))))</f>
        <v/>
      </c>
      <c r="I514">
        <f>IF(OC_Date=0,"",IF(INDEX('OneCause_Paste'!$A$514:$AZ$514,1,OC_Date)="","",INDEX('OneCause_Paste'!$A$514:$AZ$514,1,OC_Date)))</f>
        <v/>
      </c>
      <c r="J514">
        <f>IF(OC_Amt=0,"",IF(INDEX('OneCause_Paste'!$A$514:$AZ$514,1,OC_Amt)="","",INDEX('OneCause_Paste'!$A$514:$AZ$514,1,OC_Amt)))</f>
        <v/>
      </c>
      <c r="K514">
        <f>IF(OC_Name=0,"",IF(INDEX('OneCause_Paste'!$A$514:$AZ$514,1,OC_Name)="","",INDEX('OneCause_Paste'!$A$514:$AZ$514,1,OC_Name)))</f>
        <v/>
      </c>
      <c r="L514">
        <f>IF(OC_Txn=0,"",IF(INDEX('OneCause_Paste'!$A$514:$AZ$514,1,OC_Txn)="","",INDEX('OneCause_Paste'!$A$514:$AZ$514,1,OC_Txn)))</f>
        <v/>
      </c>
      <c r="M514">
        <f>IF(OC_Pay=0,"",IF(INDEX('OneCause_Paste'!$A$514:$AZ$514,1,OC_Pay)="","",INDEX('OneCause_Paste'!$A$514:$AZ$514,1,OC_Pay)))</f>
        <v/>
      </c>
      <c r="N514">
        <f>IF(I514="","",IF(ISNUMBER(I514),INT(I514),IFERROR(INT(DATEVALUE(I514)),IFERROR(INT(VALUE(I514)),"bad"))))</f>
        <v/>
      </c>
      <c r="O514">
        <f>IF(J514="","",IF(ISNUMBER(J514),ROUND(J514,2),IFERROR(ROUND(VALUE(SUBSTITUTE(SUBSTITUTE(SUBSTITUTE(J514,"$",""),",","")," ","")),2),"bad")))</f>
        <v/>
      </c>
      <c r="P514">
        <f>IF(TRIM(K514)="","",IFERROR(MATCH(LOWER(TRIM(K514)),'Students'!$AH$2:$AH$701,0),IFERROR(MATCH(LOWER(TRIM(K514)),'Students'!$AF$2:$AF$701,0),IFERROR(MATCH(LOWER(TRIM(K514)),'Students'!$AG$2:$AG$701,0),""))))</f>
        <v/>
      </c>
      <c r="R514">
        <f>IF(P514="","",INDEX('Students'!$AD$2:$AD$701,P514))</f>
        <v/>
      </c>
      <c r="S514">
        <f>IF(H514="OK",O514,0)</f>
        <v/>
      </c>
      <c r="T514">
        <f>IF(H514="OK",N514,"")</f>
        <v/>
      </c>
      <c r="U514">
        <f>IF(OC_Donor=0,"",IF(INDEX('OneCause_Paste'!$A$514:$AZ$514,1,OC_Donor)="","",INDEX('OneCause_Paste'!$A$514:$AZ$514,1,OC_Donor)))</f>
        <v/>
      </c>
    </row>
    <row r="515">
      <c r="A515" s="62">
        <f>IF(H515="","",IF(ISNUMBER(N515),N515,I515))</f>
        <v/>
      </c>
      <c r="B515">
        <f>IF(H515="","",U515)</f>
        <v/>
      </c>
      <c r="C515">
        <f>IF(H515="","",IF(P515="",K515,INDEX('Students'!$A$2:$A$701,P515)))</f>
        <v/>
      </c>
      <c r="D515">
        <f>IF(OR(H515="",P515=""),"",INDEX('Students'!$B$2:$B$701,P515))</f>
        <v/>
      </c>
      <c r="E515">
        <f>IF(OR(H515="",P515=""),"",INDEX('Students'!$C$2:$C$701,P515))</f>
        <v/>
      </c>
      <c r="F515" s="48">
        <f>IF(H515="","",IF(ISNUMBER(O515),O515,J515))</f>
        <v/>
      </c>
      <c r="G515">
        <f>IF(H515="","","OneCause")</f>
        <v/>
      </c>
      <c r="H515">
        <f>IF(AND(I515="",J515="",K515=""),"",IF(NOT(ISNUMBER(O515)),"Bad amount",IF(O515&lt;0,"Refund (not counted)",IF(O515=0,"Zero amount",IF(NOT(ISNUMBER(N515)),"Bad date",IF(P515="","NAME NOT ON ROSTER",IF(L515="","OK",IF(MATCH(L515,$L$2:$L$3001,0)&lt;ROW()-1,"Duplicate (ignored)","OK"))))))))</f>
        <v/>
      </c>
      <c r="I515">
        <f>IF(OC_Date=0,"",IF(INDEX('OneCause_Paste'!$A$515:$AZ$515,1,OC_Date)="","",INDEX('OneCause_Paste'!$A$515:$AZ$515,1,OC_Date)))</f>
        <v/>
      </c>
      <c r="J515">
        <f>IF(OC_Amt=0,"",IF(INDEX('OneCause_Paste'!$A$515:$AZ$515,1,OC_Amt)="","",INDEX('OneCause_Paste'!$A$515:$AZ$515,1,OC_Amt)))</f>
        <v/>
      </c>
      <c r="K515">
        <f>IF(OC_Name=0,"",IF(INDEX('OneCause_Paste'!$A$515:$AZ$515,1,OC_Name)="","",INDEX('OneCause_Paste'!$A$515:$AZ$515,1,OC_Name)))</f>
        <v/>
      </c>
      <c r="L515">
        <f>IF(OC_Txn=0,"",IF(INDEX('OneCause_Paste'!$A$515:$AZ$515,1,OC_Txn)="","",INDEX('OneCause_Paste'!$A$515:$AZ$515,1,OC_Txn)))</f>
        <v/>
      </c>
      <c r="M515">
        <f>IF(OC_Pay=0,"",IF(INDEX('OneCause_Paste'!$A$515:$AZ$515,1,OC_Pay)="","",INDEX('OneCause_Paste'!$A$515:$AZ$515,1,OC_Pay)))</f>
        <v/>
      </c>
      <c r="N515">
        <f>IF(I515="","",IF(ISNUMBER(I515),INT(I515),IFERROR(INT(DATEVALUE(I515)),IFERROR(INT(VALUE(I515)),"bad"))))</f>
        <v/>
      </c>
      <c r="O515">
        <f>IF(J515="","",IF(ISNUMBER(J515),ROUND(J515,2),IFERROR(ROUND(VALUE(SUBSTITUTE(SUBSTITUTE(SUBSTITUTE(J515,"$",""),",","")," ","")),2),"bad")))</f>
        <v/>
      </c>
      <c r="P515">
        <f>IF(TRIM(K515)="","",IFERROR(MATCH(LOWER(TRIM(K515)),'Students'!$AH$2:$AH$701,0),IFERROR(MATCH(LOWER(TRIM(K515)),'Students'!$AF$2:$AF$701,0),IFERROR(MATCH(LOWER(TRIM(K515)),'Students'!$AG$2:$AG$701,0),""))))</f>
        <v/>
      </c>
      <c r="R515">
        <f>IF(P515="","",INDEX('Students'!$AD$2:$AD$701,P515))</f>
        <v/>
      </c>
      <c r="S515">
        <f>IF(H515="OK",O515,0)</f>
        <v/>
      </c>
      <c r="T515">
        <f>IF(H515="OK",N515,"")</f>
        <v/>
      </c>
      <c r="U515">
        <f>IF(OC_Donor=0,"",IF(INDEX('OneCause_Paste'!$A$515:$AZ$515,1,OC_Donor)="","",INDEX('OneCause_Paste'!$A$515:$AZ$515,1,OC_Donor)))</f>
        <v/>
      </c>
    </row>
    <row r="516">
      <c r="A516" s="62">
        <f>IF(H516="","",IF(ISNUMBER(N516),N516,I516))</f>
        <v/>
      </c>
      <c r="B516">
        <f>IF(H516="","",U516)</f>
        <v/>
      </c>
      <c r="C516">
        <f>IF(H516="","",IF(P516="",K516,INDEX('Students'!$A$2:$A$701,P516)))</f>
        <v/>
      </c>
      <c r="D516">
        <f>IF(OR(H516="",P516=""),"",INDEX('Students'!$B$2:$B$701,P516))</f>
        <v/>
      </c>
      <c r="E516">
        <f>IF(OR(H516="",P516=""),"",INDEX('Students'!$C$2:$C$701,P516))</f>
        <v/>
      </c>
      <c r="F516" s="48">
        <f>IF(H516="","",IF(ISNUMBER(O516),O516,J516))</f>
        <v/>
      </c>
      <c r="G516">
        <f>IF(H516="","","OneCause")</f>
        <v/>
      </c>
      <c r="H516">
        <f>IF(AND(I516="",J516="",K516=""),"",IF(NOT(ISNUMBER(O516)),"Bad amount",IF(O516&lt;0,"Refund (not counted)",IF(O516=0,"Zero amount",IF(NOT(ISNUMBER(N516)),"Bad date",IF(P516="","NAME NOT ON ROSTER",IF(L516="","OK",IF(MATCH(L516,$L$2:$L$3001,0)&lt;ROW()-1,"Duplicate (ignored)","OK"))))))))</f>
        <v/>
      </c>
      <c r="I516">
        <f>IF(OC_Date=0,"",IF(INDEX('OneCause_Paste'!$A$516:$AZ$516,1,OC_Date)="","",INDEX('OneCause_Paste'!$A$516:$AZ$516,1,OC_Date)))</f>
        <v/>
      </c>
      <c r="J516">
        <f>IF(OC_Amt=0,"",IF(INDEX('OneCause_Paste'!$A$516:$AZ$516,1,OC_Amt)="","",INDEX('OneCause_Paste'!$A$516:$AZ$516,1,OC_Amt)))</f>
        <v/>
      </c>
      <c r="K516">
        <f>IF(OC_Name=0,"",IF(INDEX('OneCause_Paste'!$A$516:$AZ$516,1,OC_Name)="","",INDEX('OneCause_Paste'!$A$516:$AZ$516,1,OC_Name)))</f>
        <v/>
      </c>
      <c r="L516">
        <f>IF(OC_Txn=0,"",IF(INDEX('OneCause_Paste'!$A$516:$AZ$516,1,OC_Txn)="","",INDEX('OneCause_Paste'!$A$516:$AZ$516,1,OC_Txn)))</f>
        <v/>
      </c>
      <c r="M516">
        <f>IF(OC_Pay=0,"",IF(INDEX('OneCause_Paste'!$A$516:$AZ$516,1,OC_Pay)="","",INDEX('OneCause_Paste'!$A$516:$AZ$516,1,OC_Pay)))</f>
        <v/>
      </c>
      <c r="N516">
        <f>IF(I516="","",IF(ISNUMBER(I516),INT(I516),IFERROR(INT(DATEVALUE(I516)),IFERROR(INT(VALUE(I516)),"bad"))))</f>
        <v/>
      </c>
      <c r="O516">
        <f>IF(J516="","",IF(ISNUMBER(J516),ROUND(J516,2),IFERROR(ROUND(VALUE(SUBSTITUTE(SUBSTITUTE(SUBSTITUTE(J516,"$",""),",","")," ","")),2),"bad")))</f>
        <v/>
      </c>
      <c r="P516">
        <f>IF(TRIM(K516)="","",IFERROR(MATCH(LOWER(TRIM(K516)),'Students'!$AH$2:$AH$701,0),IFERROR(MATCH(LOWER(TRIM(K516)),'Students'!$AF$2:$AF$701,0),IFERROR(MATCH(LOWER(TRIM(K516)),'Students'!$AG$2:$AG$701,0),""))))</f>
        <v/>
      </c>
      <c r="R516">
        <f>IF(P516="","",INDEX('Students'!$AD$2:$AD$701,P516))</f>
        <v/>
      </c>
      <c r="S516">
        <f>IF(H516="OK",O516,0)</f>
        <v/>
      </c>
      <c r="T516">
        <f>IF(H516="OK",N516,"")</f>
        <v/>
      </c>
      <c r="U516">
        <f>IF(OC_Donor=0,"",IF(INDEX('OneCause_Paste'!$A$516:$AZ$516,1,OC_Donor)="","",INDEX('OneCause_Paste'!$A$516:$AZ$516,1,OC_Donor)))</f>
        <v/>
      </c>
    </row>
    <row r="517">
      <c r="A517" s="62">
        <f>IF(H517="","",IF(ISNUMBER(N517),N517,I517))</f>
        <v/>
      </c>
      <c r="B517">
        <f>IF(H517="","",U517)</f>
        <v/>
      </c>
      <c r="C517">
        <f>IF(H517="","",IF(P517="",K517,INDEX('Students'!$A$2:$A$701,P517)))</f>
        <v/>
      </c>
      <c r="D517">
        <f>IF(OR(H517="",P517=""),"",INDEX('Students'!$B$2:$B$701,P517))</f>
        <v/>
      </c>
      <c r="E517">
        <f>IF(OR(H517="",P517=""),"",INDEX('Students'!$C$2:$C$701,P517))</f>
        <v/>
      </c>
      <c r="F517" s="48">
        <f>IF(H517="","",IF(ISNUMBER(O517),O517,J517))</f>
        <v/>
      </c>
      <c r="G517">
        <f>IF(H517="","","OneCause")</f>
        <v/>
      </c>
      <c r="H517">
        <f>IF(AND(I517="",J517="",K517=""),"",IF(NOT(ISNUMBER(O517)),"Bad amount",IF(O517&lt;0,"Refund (not counted)",IF(O517=0,"Zero amount",IF(NOT(ISNUMBER(N517)),"Bad date",IF(P517="","NAME NOT ON ROSTER",IF(L517="","OK",IF(MATCH(L517,$L$2:$L$3001,0)&lt;ROW()-1,"Duplicate (ignored)","OK"))))))))</f>
        <v/>
      </c>
      <c r="I517">
        <f>IF(OC_Date=0,"",IF(INDEX('OneCause_Paste'!$A$517:$AZ$517,1,OC_Date)="","",INDEX('OneCause_Paste'!$A$517:$AZ$517,1,OC_Date)))</f>
        <v/>
      </c>
      <c r="J517">
        <f>IF(OC_Amt=0,"",IF(INDEX('OneCause_Paste'!$A$517:$AZ$517,1,OC_Amt)="","",INDEX('OneCause_Paste'!$A$517:$AZ$517,1,OC_Amt)))</f>
        <v/>
      </c>
      <c r="K517">
        <f>IF(OC_Name=0,"",IF(INDEX('OneCause_Paste'!$A$517:$AZ$517,1,OC_Name)="","",INDEX('OneCause_Paste'!$A$517:$AZ$517,1,OC_Name)))</f>
        <v/>
      </c>
      <c r="L517">
        <f>IF(OC_Txn=0,"",IF(INDEX('OneCause_Paste'!$A$517:$AZ$517,1,OC_Txn)="","",INDEX('OneCause_Paste'!$A$517:$AZ$517,1,OC_Txn)))</f>
        <v/>
      </c>
      <c r="M517">
        <f>IF(OC_Pay=0,"",IF(INDEX('OneCause_Paste'!$A$517:$AZ$517,1,OC_Pay)="","",INDEX('OneCause_Paste'!$A$517:$AZ$517,1,OC_Pay)))</f>
        <v/>
      </c>
      <c r="N517">
        <f>IF(I517="","",IF(ISNUMBER(I517),INT(I517),IFERROR(INT(DATEVALUE(I517)),IFERROR(INT(VALUE(I517)),"bad"))))</f>
        <v/>
      </c>
      <c r="O517">
        <f>IF(J517="","",IF(ISNUMBER(J517),ROUND(J517,2),IFERROR(ROUND(VALUE(SUBSTITUTE(SUBSTITUTE(SUBSTITUTE(J517,"$",""),",","")," ","")),2),"bad")))</f>
        <v/>
      </c>
      <c r="P517">
        <f>IF(TRIM(K517)="","",IFERROR(MATCH(LOWER(TRIM(K517)),'Students'!$AH$2:$AH$701,0),IFERROR(MATCH(LOWER(TRIM(K517)),'Students'!$AF$2:$AF$701,0),IFERROR(MATCH(LOWER(TRIM(K517)),'Students'!$AG$2:$AG$701,0),""))))</f>
        <v/>
      </c>
      <c r="R517">
        <f>IF(P517="","",INDEX('Students'!$AD$2:$AD$701,P517))</f>
        <v/>
      </c>
      <c r="S517">
        <f>IF(H517="OK",O517,0)</f>
        <v/>
      </c>
      <c r="T517">
        <f>IF(H517="OK",N517,"")</f>
        <v/>
      </c>
      <c r="U517">
        <f>IF(OC_Donor=0,"",IF(INDEX('OneCause_Paste'!$A$517:$AZ$517,1,OC_Donor)="","",INDEX('OneCause_Paste'!$A$517:$AZ$517,1,OC_Donor)))</f>
        <v/>
      </c>
    </row>
    <row r="518">
      <c r="A518" s="62">
        <f>IF(H518="","",IF(ISNUMBER(N518),N518,I518))</f>
        <v/>
      </c>
      <c r="B518">
        <f>IF(H518="","",U518)</f>
        <v/>
      </c>
      <c r="C518">
        <f>IF(H518="","",IF(P518="",K518,INDEX('Students'!$A$2:$A$701,P518)))</f>
        <v/>
      </c>
      <c r="D518">
        <f>IF(OR(H518="",P518=""),"",INDEX('Students'!$B$2:$B$701,P518))</f>
        <v/>
      </c>
      <c r="E518">
        <f>IF(OR(H518="",P518=""),"",INDEX('Students'!$C$2:$C$701,P518))</f>
        <v/>
      </c>
      <c r="F518" s="48">
        <f>IF(H518="","",IF(ISNUMBER(O518),O518,J518))</f>
        <v/>
      </c>
      <c r="G518">
        <f>IF(H518="","","OneCause")</f>
        <v/>
      </c>
      <c r="H518">
        <f>IF(AND(I518="",J518="",K518=""),"",IF(NOT(ISNUMBER(O518)),"Bad amount",IF(O518&lt;0,"Refund (not counted)",IF(O518=0,"Zero amount",IF(NOT(ISNUMBER(N518)),"Bad date",IF(P518="","NAME NOT ON ROSTER",IF(L518="","OK",IF(MATCH(L518,$L$2:$L$3001,0)&lt;ROW()-1,"Duplicate (ignored)","OK"))))))))</f>
        <v/>
      </c>
      <c r="I518">
        <f>IF(OC_Date=0,"",IF(INDEX('OneCause_Paste'!$A$518:$AZ$518,1,OC_Date)="","",INDEX('OneCause_Paste'!$A$518:$AZ$518,1,OC_Date)))</f>
        <v/>
      </c>
      <c r="J518">
        <f>IF(OC_Amt=0,"",IF(INDEX('OneCause_Paste'!$A$518:$AZ$518,1,OC_Amt)="","",INDEX('OneCause_Paste'!$A$518:$AZ$518,1,OC_Amt)))</f>
        <v/>
      </c>
      <c r="K518">
        <f>IF(OC_Name=0,"",IF(INDEX('OneCause_Paste'!$A$518:$AZ$518,1,OC_Name)="","",INDEX('OneCause_Paste'!$A$518:$AZ$518,1,OC_Name)))</f>
        <v/>
      </c>
      <c r="L518">
        <f>IF(OC_Txn=0,"",IF(INDEX('OneCause_Paste'!$A$518:$AZ$518,1,OC_Txn)="","",INDEX('OneCause_Paste'!$A$518:$AZ$518,1,OC_Txn)))</f>
        <v/>
      </c>
      <c r="M518">
        <f>IF(OC_Pay=0,"",IF(INDEX('OneCause_Paste'!$A$518:$AZ$518,1,OC_Pay)="","",INDEX('OneCause_Paste'!$A$518:$AZ$518,1,OC_Pay)))</f>
        <v/>
      </c>
      <c r="N518">
        <f>IF(I518="","",IF(ISNUMBER(I518),INT(I518),IFERROR(INT(DATEVALUE(I518)),IFERROR(INT(VALUE(I518)),"bad"))))</f>
        <v/>
      </c>
      <c r="O518">
        <f>IF(J518="","",IF(ISNUMBER(J518),ROUND(J518,2),IFERROR(ROUND(VALUE(SUBSTITUTE(SUBSTITUTE(SUBSTITUTE(J518,"$",""),",","")," ","")),2),"bad")))</f>
        <v/>
      </c>
      <c r="P518">
        <f>IF(TRIM(K518)="","",IFERROR(MATCH(LOWER(TRIM(K518)),'Students'!$AH$2:$AH$701,0),IFERROR(MATCH(LOWER(TRIM(K518)),'Students'!$AF$2:$AF$701,0),IFERROR(MATCH(LOWER(TRIM(K518)),'Students'!$AG$2:$AG$701,0),""))))</f>
        <v/>
      </c>
      <c r="R518">
        <f>IF(P518="","",INDEX('Students'!$AD$2:$AD$701,P518))</f>
        <v/>
      </c>
      <c r="S518">
        <f>IF(H518="OK",O518,0)</f>
        <v/>
      </c>
      <c r="T518">
        <f>IF(H518="OK",N518,"")</f>
        <v/>
      </c>
      <c r="U518">
        <f>IF(OC_Donor=0,"",IF(INDEX('OneCause_Paste'!$A$518:$AZ$518,1,OC_Donor)="","",INDEX('OneCause_Paste'!$A$518:$AZ$518,1,OC_Donor)))</f>
        <v/>
      </c>
    </row>
    <row r="519">
      <c r="A519" s="62">
        <f>IF(H519="","",IF(ISNUMBER(N519),N519,I519))</f>
        <v/>
      </c>
      <c r="B519">
        <f>IF(H519="","",U519)</f>
        <v/>
      </c>
      <c r="C519">
        <f>IF(H519="","",IF(P519="",K519,INDEX('Students'!$A$2:$A$701,P519)))</f>
        <v/>
      </c>
      <c r="D519">
        <f>IF(OR(H519="",P519=""),"",INDEX('Students'!$B$2:$B$701,P519))</f>
        <v/>
      </c>
      <c r="E519">
        <f>IF(OR(H519="",P519=""),"",INDEX('Students'!$C$2:$C$701,P519))</f>
        <v/>
      </c>
      <c r="F519" s="48">
        <f>IF(H519="","",IF(ISNUMBER(O519),O519,J519))</f>
        <v/>
      </c>
      <c r="G519">
        <f>IF(H519="","","OneCause")</f>
        <v/>
      </c>
      <c r="H519">
        <f>IF(AND(I519="",J519="",K519=""),"",IF(NOT(ISNUMBER(O519)),"Bad amount",IF(O519&lt;0,"Refund (not counted)",IF(O519=0,"Zero amount",IF(NOT(ISNUMBER(N519)),"Bad date",IF(P519="","NAME NOT ON ROSTER",IF(L519="","OK",IF(MATCH(L519,$L$2:$L$3001,0)&lt;ROW()-1,"Duplicate (ignored)","OK"))))))))</f>
        <v/>
      </c>
      <c r="I519">
        <f>IF(OC_Date=0,"",IF(INDEX('OneCause_Paste'!$A$519:$AZ$519,1,OC_Date)="","",INDEX('OneCause_Paste'!$A$519:$AZ$519,1,OC_Date)))</f>
        <v/>
      </c>
      <c r="J519">
        <f>IF(OC_Amt=0,"",IF(INDEX('OneCause_Paste'!$A$519:$AZ$519,1,OC_Amt)="","",INDEX('OneCause_Paste'!$A$519:$AZ$519,1,OC_Amt)))</f>
        <v/>
      </c>
      <c r="K519">
        <f>IF(OC_Name=0,"",IF(INDEX('OneCause_Paste'!$A$519:$AZ$519,1,OC_Name)="","",INDEX('OneCause_Paste'!$A$519:$AZ$519,1,OC_Name)))</f>
        <v/>
      </c>
      <c r="L519">
        <f>IF(OC_Txn=0,"",IF(INDEX('OneCause_Paste'!$A$519:$AZ$519,1,OC_Txn)="","",INDEX('OneCause_Paste'!$A$519:$AZ$519,1,OC_Txn)))</f>
        <v/>
      </c>
      <c r="M519">
        <f>IF(OC_Pay=0,"",IF(INDEX('OneCause_Paste'!$A$519:$AZ$519,1,OC_Pay)="","",INDEX('OneCause_Paste'!$A$519:$AZ$519,1,OC_Pay)))</f>
        <v/>
      </c>
      <c r="N519">
        <f>IF(I519="","",IF(ISNUMBER(I519),INT(I519),IFERROR(INT(DATEVALUE(I519)),IFERROR(INT(VALUE(I519)),"bad"))))</f>
        <v/>
      </c>
      <c r="O519">
        <f>IF(J519="","",IF(ISNUMBER(J519),ROUND(J519,2),IFERROR(ROUND(VALUE(SUBSTITUTE(SUBSTITUTE(SUBSTITUTE(J519,"$",""),",","")," ","")),2),"bad")))</f>
        <v/>
      </c>
      <c r="P519">
        <f>IF(TRIM(K519)="","",IFERROR(MATCH(LOWER(TRIM(K519)),'Students'!$AH$2:$AH$701,0),IFERROR(MATCH(LOWER(TRIM(K519)),'Students'!$AF$2:$AF$701,0),IFERROR(MATCH(LOWER(TRIM(K519)),'Students'!$AG$2:$AG$701,0),""))))</f>
        <v/>
      </c>
      <c r="R519">
        <f>IF(P519="","",INDEX('Students'!$AD$2:$AD$701,P519))</f>
        <v/>
      </c>
      <c r="S519">
        <f>IF(H519="OK",O519,0)</f>
        <v/>
      </c>
      <c r="T519">
        <f>IF(H519="OK",N519,"")</f>
        <v/>
      </c>
      <c r="U519">
        <f>IF(OC_Donor=0,"",IF(INDEX('OneCause_Paste'!$A$519:$AZ$519,1,OC_Donor)="","",INDEX('OneCause_Paste'!$A$519:$AZ$519,1,OC_Donor)))</f>
        <v/>
      </c>
    </row>
    <row r="520">
      <c r="A520" s="62">
        <f>IF(H520="","",IF(ISNUMBER(N520),N520,I520))</f>
        <v/>
      </c>
      <c r="B520">
        <f>IF(H520="","",U520)</f>
        <v/>
      </c>
      <c r="C520">
        <f>IF(H520="","",IF(P520="",K520,INDEX('Students'!$A$2:$A$701,P520)))</f>
        <v/>
      </c>
      <c r="D520">
        <f>IF(OR(H520="",P520=""),"",INDEX('Students'!$B$2:$B$701,P520))</f>
        <v/>
      </c>
      <c r="E520">
        <f>IF(OR(H520="",P520=""),"",INDEX('Students'!$C$2:$C$701,P520))</f>
        <v/>
      </c>
      <c r="F520" s="48">
        <f>IF(H520="","",IF(ISNUMBER(O520),O520,J520))</f>
        <v/>
      </c>
      <c r="G520">
        <f>IF(H520="","","OneCause")</f>
        <v/>
      </c>
      <c r="H520">
        <f>IF(AND(I520="",J520="",K520=""),"",IF(NOT(ISNUMBER(O520)),"Bad amount",IF(O520&lt;0,"Refund (not counted)",IF(O520=0,"Zero amount",IF(NOT(ISNUMBER(N520)),"Bad date",IF(P520="","NAME NOT ON ROSTER",IF(L520="","OK",IF(MATCH(L520,$L$2:$L$3001,0)&lt;ROW()-1,"Duplicate (ignored)","OK"))))))))</f>
        <v/>
      </c>
      <c r="I520">
        <f>IF(OC_Date=0,"",IF(INDEX('OneCause_Paste'!$A$520:$AZ$520,1,OC_Date)="","",INDEX('OneCause_Paste'!$A$520:$AZ$520,1,OC_Date)))</f>
        <v/>
      </c>
      <c r="J520">
        <f>IF(OC_Amt=0,"",IF(INDEX('OneCause_Paste'!$A$520:$AZ$520,1,OC_Amt)="","",INDEX('OneCause_Paste'!$A$520:$AZ$520,1,OC_Amt)))</f>
        <v/>
      </c>
      <c r="K520">
        <f>IF(OC_Name=0,"",IF(INDEX('OneCause_Paste'!$A$520:$AZ$520,1,OC_Name)="","",INDEX('OneCause_Paste'!$A$520:$AZ$520,1,OC_Name)))</f>
        <v/>
      </c>
      <c r="L520">
        <f>IF(OC_Txn=0,"",IF(INDEX('OneCause_Paste'!$A$520:$AZ$520,1,OC_Txn)="","",INDEX('OneCause_Paste'!$A$520:$AZ$520,1,OC_Txn)))</f>
        <v/>
      </c>
      <c r="M520">
        <f>IF(OC_Pay=0,"",IF(INDEX('OneCause_Paste'!$A$520:$AZ$520,1,OC_Pay)="","",INDEX('OneCause_Paste'!$A$520:$AZ$520,1,OC_Pay)))</f>
        <v/>
      </c>
      <c r="N520">
        <f>IF(I520="","",IF(ISNUMBER(I520),INT(I520),IFERROR(INT(DATEVALUE(I520)),IFERROR(INT(VALUE(I520)),"bad"))))</f>
        <v/>
      </c>
      <c r="O520">
        <f>IF(J520="","",IF(ISNUMBER(J520),ROUND(J520,2),IFERROR(ROUND(VALUE(SUBSTITUTE(SUBSTITUTE(SUBSTITUTE(J520,"$",""),",","")," ","")),2),"bad")))</f>
        <v/>
      </c>
      <c r="P520">
        <f>IF(TRIM(K520)="","",IFERROR(MATCH(LOWER(TRIM(K520)),'Students'!$AH$2:$AH$701,0),IFERROR(MATCH(LOWER(TRIM(K520)),'Students'!$AF$2:$AF$701,0),IFERROR(MATCH(LOWER(TRIM(K520)),'Students'!$AG$2:$AG$701,0),""))))</f>
        <v/>
      </c>
      <c r="R520">
        <f>IF(P520="","",INDEX('Students'!$AD$2:$AD$701,P520))</f>
        <v/>
      </c>
      <c r="S520">
        <f>IF(H520="OK",O520,0)</f>
        <v/>
      </c>
      <c r="T520">
        <f>IF(H520="OK",N520,"")</f>
        <v/>
      </c>
      <c r="U520">
        <f>IF(OC_Donor=0,"",IF(INDEX('OneCause_Paste'!$A$520:$AZ$520,1,OC_Donor)="","",INDEX('OneCause_Paste'!$A$520:$AZ$520,1,OC_Donor)))</f>
        <v/>
      </c>
    </row>
    <row r="521">
      <c r="A521" s="62">
        <f>IF(H521="","",IF(ISNUMBER(N521),N521,I521))</f>
        <v/>
      </c>
      <c r="B521">
        <f>IF(H521="","",U521)</f>
        <v/>
      </c>
      <c r="C521">
        <f>IF(H521="","",IF(P521="",K521,INDEX('Students'!$A$2:$A$701,P521)))</f>
        <v/>
      </c>
      <c r="D521">
        <f>IF(OR(H521="",P521=""),"",INDEX('Students'!$B$2:$B$701,P521))</f>
        <v/>
      </c>
      <c r="E521">
        <f>IF(OR(H521="",P521=""),"",INDEX('Students'!$C$2:$C$701,P521))</f>
        <v/>
      </c>
      <c r="F521" s="48">
        <f>IF(H521="","",IF(ISNUMBER(O521),O521,J521))</f>
        <v/>
      </c>
      <c r="G521">
        <f>IF(H521="","","OneCause")</f>
        <v/>
      </c>
      <c r="H521">
        <f>IF(AND(I521="",J521="",K521=""),"",IF(NOT(ISNUMBER(O521)),"Bad amount",IF(O521&lt;0,"Refund (not counted)",IF(O521=0,"Zero amount",IF(NOT(ISNUMBER(N521)),"Bad date",IF(P521="","NAME NOT ON ROSTER",IF(L521="","OK",IF(MATCH(L521,$L$2:$L$3001,0)&lt;ROW()-1,"Duplicate (ignored)","OK"))))))))</f>
        <v/>
      </c>
      <c r="I521">
        <f>IF(OC_Date=0,"",IF(INDEX('OneCause_Paste'!$A$521:$AZ$521,1,OC_Date)="","",INDEX('OneCause_Paste'!$A$521:$AZ$521,1,OC_Date)))</f>
        <v/>
      </c>
      <c r="J521">
        <f>IF(OC_Amt=0,"",IF(INDEX('OneCause_Paste'!$A$521:$AZ$521,1,OC_Amt)="","",INDEX('OneCause_Paste'!$A$521:$AZ$521,1,OC_Amt)))</f>
        <v/>
      </c>
      <c r="K521">
        <f>IF(OC_Name=0,"",IF(INDEX('OneCause_Paste'!$A$521:$AZ$521,1,OC_Name)="","",INDEX('OneCause_Paste'!$A$521:$AZ$521,1,OC_Name)))</f>
        <v/>
      </c>
      <c r="L521">
        <f>IF(OC_Txn=0,"",IF(INDEX('OneCause_Paste'!$A$521:$AZ$521,1,OC_Txn)="","",INDEX('OneCause_Paste'!$A$521:$AZ$521,1,OC_Txn)))</f>
        <v/>
      </c>
      <c r="M521">
        <f>IF(OC_Pay=0,"",IF(INDEX('OneCause_Paste'!$A$521:$AZ$521,1,OC_Pay)="","",INDEX('OneCause_Paste'!$A$521:$AZ$521,1,OC_Pay)))</f>
        <v/>
      </c>
      <c r="N521">
        <f>IF(I521="","",IF(ISNUMBER(I521),INT(I521),IFERROR(INT(DATEVALUE(I521)),IFERROR(INT(VALUE(I521)),"bad"))))</f>
        <v/>
      </c>
      <c r="O521">
        <f>IF(J521="","",IF(ISNUMBER(J521),ROUND(J521,2),IFERROR(ROUND(VALUE(SUBSTITUTE(SUBSTITUTE(SUBSTITUTE(J521,"$",""),",","")," ","")),2),"bad")))</f>
        <v/>
      </c>
      <c r="P521">
        <f>IF(TRIM(K521)="","",IFERROR(MATCH(LOWER(TRIM(K521)),'Students'!$AH$2:$AH$701,0),IFERROR(MATCH(LOWER(TRIM(K521)),'Students'!$AF$2:$AF$701,0),IFERROR(MATCH(LOWER(TRIM(K521)),'Students'!$AG$2:$AG$701,0),""))))</f>
        <v/>
      </c>
      <c r="R521">
        <f>IF(P521="","",INDEX('Students'!$AD$2:$AD$701,P521))</f>
        <v/>
      </c>
      <c r="S521">
        <f>IF(H521="OK",O521,0)</f>
        <v/>
      </c>
      <c r="T521">
        <f>IF(H521="OK",N521,"")</f>
        <v/>
      </c>
      <c r="U521">
        <f>IF(OC_Donor=0,"",IF(INDEX('OneCause_Paste'!$A$521:$AZ$521,1,OC_Donor)="","",INDEX('OneCause_Paste'!$A$521:$AZ$521,1,OC_Donor)))</f>
        <v/>
      </c>
    </row>
    <row r="522">
      <c r="A522" s="62">
        <f>IF(H522="","",IF(ISNUMBER(N522),N522,I522))</f>
        <v/>
      </c>
      <c r="B522">
        <f>IF(H522="","",U522)</f>
        <v/>
      </c>
      <c r="C522">
        <f>IF(H522="","",IF(P522="",K522,INDEX('Students'!$A$2:$A$701,P522)))</f>
        <v/>
      </c>
      <c r="D522">
        <f>IF(OR(H522="",P522=""),"",INDEX('Students'!$B$2:$B$701,P522))</f>
        <v/>
      </c>
      <c r="E522">
        <f>IF(OR(H522="",P522=""),"",INDEX('Students'!$C$2:$C$701,P522))</f>
        <v/>
      </c>
      <c r="F522" s="48">
        <f>IF(H522="","",IF(ISNUMBER(O522),O522,J522))</f>
        <v/>
      </c>
      <c r="G522">
        <f>IF(H522="","","OneCause")</f>
        <v/>
      </c>
      <c r="H522">
        <f>IF(AND(I522="",J522="",K522=""),"",IF(NOT(ISNUMBER(O522)),"Bad amount",IF(O522&lt;0,"Refund (not counted)",IF(O522=0,"Zero amount",IF(NOT(ISNUMBER(N522)),"Bad date",IF(P522="","NAME NOT ON ROSTER",IF(L522="","OK",IF(MATCH(L522,$L$2:$L$3001,0)&lt;ROW()-1,"Duplicate (ignored)","OK"))))))))</f>
        <v/>
      </c>
      <c r="I522">
        <f>IF(OC_Date=0,"",IF(INDEX('OneCause_Paste'!$A$522:$AZ$522,1,OC_Date)="","",INDEX('OneCause_Paste'!$A$522:$AZ$522,1,OC_Date)))</f>
        <v/>
      </c>
      <c r="J522">
        <f>IF(OC_Amt=0,"",IF(INDEX('OneCause_Paste'!$A$522:$AZ$522,1,OC_Amt)="","",INDEX('OneCause_Paste'!$A$522:$AZ$522,1,OC_Amt)))</f>
        <v/>
      </c>
      <c r="K522">
        <f>IF(OC_Name=0,"",IF(INDEX('OneCause_Paste'!$A$522:$AZ$522,1,OC_Name)="","",INDEX('OneCause_Paste'!$A$522:$AZ$522,1,OC_Name)))</f>
        <v/>
      </c>
      <c r="L522">
        <f>IF(OC_Txn=0,"",IF(INDEX('OneCause_Paste'!$A$522:$AZ$522,1,OC_Txn)="","",INDEX('OneCause_Paste'!$A$522:$AZ$522,1,OC_Txn)))</f>
        <v/>
      </c>
      <c r="M522">
        <f>IF(OC_Pay=0,"",IF(INDEX('OneCause_Paste'!$A$522:$AZ$522,1,OC_Pay)="","",INDEX('OneCause_Paste'!$A$522:$AZ$522,1,OC_Pay)))</f>
        <v/>
      </c>
      <c r="N522">
        <f>IF(I522="","",IF(ISNUMBER(I522),INT(I522),IFERROR(INT(DATEVALUE(I522)),IFERROR(INT(VALUE(I522)),"bad"))))</f>
        <v/>
      </c>
      <c r="O522">
        <f>IF(J522="","",IF(ISNUMBER(J522),ROUND(J522,2),IFERROR(ROUND(VALUE(SUBSTITUTE(SUBSTITUTE(SUBSTITUTE(J522,"$",""),",","")," ","")),2),"bad")))</f>
        <v/>
      </c>
      <c r="P522">
        <f>IF(TRIM(K522)="","",IFERROR(MATCH(LOWER(TRIM(K522)),'Students'!$AH$2:$AH$701,0),IFERROR(MATCH(LOWER(TRIM(K522)),'Students'!$AF$2:$AF$701,0),IFERROR(MATCH(LOWER(TRIM(K522)),'Students'!$AG$2:$AG$701,0),""))))</f>
        <v/>
      </c>
      <c r="R522">
        <f>IF(P522="","",INDEX('Students'!$AD$2:$AD$701,P522))</f>
        <v/>
      </c>
      <c r="S522">
        <f>IF(H522="OK",O522,0)</f>
        <v/>
      </c>
      <c r="T522">
        <f>IF(H522="OK",N522,"")</f>
        <v/>
      </c>
      <c r="U522">
        <f>IF(OC_Donor=0,"",IF(INDEX('OneCause_Paste'!$A$522:$AZ$522,1,OC_Donor)="","",INDEX('OneCause_Paste'!$A$522:$AZ$522,1,OC_Donor)))</f>
        <v/>
      </c>
    </row>
    <row r="523">
      <c r="A523" s="62">
        <f>IF(H523="","",IF(ISNUMBER(N523),N523,I523))</f>
        <v/>
      </c>
      <c r="B523">
        <f>IF(H523="","",U523)</f>
        <v/>
      </c>
      <c r="C523">
        <f>IF(H523="","",IF(P523="",K523,INDEX('Students'!$A$2:$A$701,P523)))</f>
        <v/>
      </c>
      <c r="D523">
        <f>IF(OR(H523="",P523=""),"",INDEX('Students'!$B$2:$B$701,P523))</f>
        <v/>
      </c>
      <c r="E523">
        <f>IF(OR(H523="",P523=""),"",INDEX('Students'!$C$2:$C$701,P523))</f>
        <v/>
      </c>
      <c r="F523" s="48">
        <f>IF(H523="","",IF(ISNUMBER(O523),O523,J523))</f>
        <v/>
      </c>
      <c r="G523">
        <f>IF(H523="","","OneCause")</f>
        <v/>
      </c>
      <c r="H523">
        <f>IF(AND(I523="",J523="",K523=""),"",IF(NOT(ISNUMBER(O523)),"Bad amount",IF(O523&lt;0,"Refund (not counted)",IF(O523=0,"Zero amount",IF(NOT(ISNUMBER(N523)),"Bad date",IF(P523="","NAME NOT ON ROSTER",IF(L523="","OK",IF(MATCH(L523,$L$2:$L$3001,0)&lt;ROW()-1,"Duplicate (ignored)","OK"))))))))</f>
        <v/>
      </c>
      <c r="I523">
        <f>IF(OC_Date=0,"",IF(INDEX('OneCause_Paste'!$A$523:$AZ$523,1,OC_Date)="","",INDEX('OneCause_Paste'!$A$523:$AZ$523,1,OC_Date)))</f>
        <v/>
      </c>
      <c r="J523">
        <f>IF(OC_Amt=0,"",IF(INDEX('OneCause_Paste'!$A$523:$AZ$523,1,OC_Amt)="","",INDEX('OneCause_Paste'!$A$523:$AZ$523,1,OC_Amt)))</f>
        <v/>
      </c>
      <c r="K523">
        <f>IF(OC_Name=0,"",IF(INDEX('OneCause_Paste'!$A$523:$AZ$523,1,OC_Name)="","",INDEX('OneCause_Paste'!$A$523:$AZ$523,1,OC_Name)))</f>
        <v/>
      </c>
      <c r="L523">
        <f>IF(OC_Txn=0,"",IF(INDEX('OneCause_Paste'!$A$523:$AZ$523,1,OC_Txn)="","",INDEX('OneCause_Paste'!$A$523:$AZ$523,1,OC_Txn)))</f>
        <v/>
      </c>
      <c r="M523">
        <f>IF(OC_Pay=0,"",IF(INDEX('OneCause_Paste'!$A$523:$AZ$523,1,OC_Pay)="","",INDEX('OneCause_Paste'!$A$523:$AZ$523,1,OC_Pay)))</f>
        <v/>
      </c>
      <c r="N523">
        <f>IF(I523="","",IF(ISNUMBER(I523),INT(I523),IFERROR(INT(DATEVALUE(I523)),IFERROR(INT(VALUE(I523)),"bad"))))</f>
        <v/>
      </c>
      <c r="O523">
        <f>IF(J523="","",IF(ISNUMBER(J523),ROUND(J523,2),IFERROR(ROUND(VALUE(SUBSTITUTE(SUBSTITUTE(SUBSTITUTE(J523,"$",""),",","")," ","")),2),"bad")))</f>
        <v/>
      </c>
      <c r="P523">
        <f>IF(TRIM(K523)="","",IFERROR(MATCH(LOWER(TRIM(K523)),'Students'!$AH$2:$AH$701,0),IFERROR(MATCH(LOWER(TRIM(K523)),'Students'!$AF$2:$AF$701,0),IFERROR(MATCH(LOWER(TRIM(K523)),'Students'!$AG$2:$AG$701,0),""))))</f>
        <v/>
      </c>
      <c r="R523">
        <f>IF(P523="","",INDEX('Students'!$AD$2:$AD$701,P523))</f>
        <v/>
      </c>
      <c r="S523">
        <f>IF(H523="OK",O523,0)</f>
        <v/>
      </c>
      <c r="T523">
        <f>IF(H523="OK",N523,"")</f>
        <v/>
      </c>
      <c r="U523">
        <f>IF(OC_Donor=0,"",IF(INDEX('OneCause_Paste'!$A$523:$AZ$523,1,OC_Donor)="","",INDEX('OneCause_Paste'!$A$523:$AZ$523,1,OC_Donor)))</f>
        <v/>
      </c>
    </row>
    <row r="524">
      <c r="A524" s="62">
        <f>IF(H524="","",IF(ISNUMBER(N524),N524,I524))</f>
        <v/>
      </c>
      <c r="B524">
        <f>IF(H524="","",U524)</f>
        <v/>
      </c>
      <c r="C524">
        <f>IF(H524="","",IF(P524="",K524,INDEX('Students'!$A$2:$A$701,P524)))</f>
        <v/>
      </c>
      <c r="D524">
        <f>IF(OR(H524="",P524=""),"",INDEX('Students'!$B$2:$B$701,P524))</f>
        <v/>
      </c>
      <c r="E524">
        <f>IF(OR(H524="",P524=""),"",INDEX('Students'!$C$2:$C$701,P524))</f>
        <v/>
      </c>
      <c r="F524" s="48">
        <f>IF(H524="","",IF(ISNUMBER(O524),O524,J524))</f>
        <v/>
      </c>
      <c r="G524">
        <f>IF(H524="","","OneCause")</f>
        <v/>
      </c>
      <c r="H524">
        <f>IF(AND(I524="",J524="",K524=""),"",IF(NOT(ISNUMBER(O524)),"Bad amount",IF(O524&lt;0,"Refund (not counted)",IF(O524=0,"Zero amount",IF(NOT(ISNUMBER(N524)),"Bad date",IF(P524="","NAME NOT ON ROSTER",IF(L524="","OK",IF(MATCH(L524,$L$2:$L$3001,0)&lt;ROW()-1,"Duplicate (ignored)","OK"))))))))</f>
        <v/>
      </c>
      <c r="I524">
        <f>IF(OC_Date=0,"",IF(INDEX('OneCause_Paste'!$A$524:$AZ$524,1,OC_Date)="","",INDEX('OneCause_Paste'!$A$524:$AZ$524,1,OC_Date)))</f>
        <v/>
      </c>
      <c r="J524">
        <f>IF(OC_Amt=0,"",IF(INDEX('OneCause_Paste'!$A$524:$AZ$524,1,OC_Amt)="","",INDEX('OneCause_Paste'!$A$524:$AZ$524,1,OC_Amt)))</f>
        <v/>
      </c>
      <c r="K524">
        <f>IF(OC_Name=0,"",IF(INDEX('OneCause_Paste'!$A$524:$AZ$524,1,OC_Name)="","",INDEX('OneCause_Paste'!$A$524:$AZ$524,1,OC_Name)))</f>
        <v/>
      </c>
      <c r="L524">
        <f>IF(OC_Txn=0,"",IF(INDEX('OneCause_Paste'!$A$524:$AZ$524,1,OC_Txn)="","",INDEX('OneCause_Paste'!$A$524:$AZ$524,1,OC_Txn)))</f>
        <v/>
      </c>
      <c r="M524">
        <f>IF(OC_Pay=0,"",IF(INDEX('OneCause_Paste'!$A$524:$AZ$524,1,OC_Pay)="","",INDEX('OneCause_Paste'!$A$524:$AZ$524,1,OC_Pay)))</f>
        <v/>
      </c>
      <c r="N524">
        <f>IF(I524="","",IF(ISNUMBER(I524),INT(I524),IFERROR(INT(DATEVALUE(I524)),IFERROR(INT(VALUE(I524)),"bad"))))</f>
        <v/>
      </c>
      <c r="O524">
        <f>IF(J524="","",IF(ISNUMBER(J524),ROUND(J524,2),IFERROR(ROUND(VALUE(SUBSTITUTE(SUBSTITUTE(SUBSTITUTE(J524,"$",""),",","")," ","")),2),"bad")))</f>
        <v/>
      </c>
      <c r="P524">
        <f>IF(TRIM(K524)="","",IFERROR(MATCH(LOWER(TRIM(K524)),'Students'!$AH$2:$AH$701,0),IFERROR(MATCH(LOWER(TRIM(K524)),'Students'!$AF$2:$AF$701,0),IFERROR(MATCH(LOWER(TRIM(K524)),'Students'!$AG$2:$AG$701,0),""))))</f>
        <v/>
      </c>
      <c r="R524">
        <f>IF(P524="","",INDEX('Students'!$AD$2:$AD$701,P524))</f>
        <v/>
      </c>
      <c r="S524">
        <f>IF(H524="OK",O524,0)</f>
        <v/>
      </c>
      <c r="T524">
        <f>IF(H524="OK",N524,"")</f>
        <v/>
      </c>
      <c r="U524">
        <f>IF(OC_Donor=0,"",IF(INDEX('OneCause_Paste'!$A$524:$AZ$524,1,OC_Donor)="","",INDEX('OneCause_Paste'!$A$524:$AZ$524,1,OC_Donor)))</f>
        <v/>
      </c>
    </row>
    <row r="525">
      <c r="A525" s="62">
        <f>IF(H525="","",IF(ISNUMBER(N525),N525,I525))</f>
        <v/>
      </c>
      <c r="B525">
        <f>IF(H525="","",U525)</f>
        <v/>
      </c>
      <c r="C525">
        <f>IF(H525="","",IF(P525="",K525,INDEX('Students'!$A$2:$A$701,P525)))</f>
        <v/>
      </c>
      <c r="D525">
        <f>IF(OR(H525="",P525=""),"",INDEX('Students'!$B$2:$B$701,P525))</f>
        <v/>
      </c>
      <c r="E525">
        <f>IF(OR(H525="",P525=""),"",INDEX('Students'!$C$2:$C$701,P525))</f>
        <v/>
      </c>
      <c r="F525" s="48">
        <f>IF(H525="","",IF(ISNUMBER(O525),O525,J525))</f>
        <v/>
      </c>
      <c r="G525">
        <f>IF(H525="","","OneCause")</f>
        <v/>
      </c>
      <c r="H525">
        <f>IF(AND(I525="",J525="",K525=""),"",IF(NOT(ISNUMBER(O525)),"Bad amount",IF(O525&lt;0,"Refund (not counted)",IF(O525=0,"Zero amount",IF(NOT(ISNUMBER(N525)),"Bad date",IF(P525="","NAME NOT ON ROSTER",IF(L525="","OK",IF(MATCH(L525,$L$2:$L$3001,0)&lt;ROW()-1,"Duplicate (ignored)","OK"))))))))</f>
        <v/>
      </c>
      <c r="I525">
        <f>IF(OC_Date=0,"",IF(INDEX('OneCause_Paste'!$A$525:$AZ$525,1,OC_Date)="","",INDEX('OneCause_Paste'!$A$525:$AZ$525,1,OC_Date)))</f>
        <v/>
      </c>
      <c r="J525">
        <f>IF(OC_Amt=0,"",IF(INDEX('OneCause_Paste'!$A$525:$AZ$525,1,OC_Amt)="","",INDEX('OneCause_Paste'!$A$525:$AZ$525,1,OC_Amt)))</f>
        <v/>
      </c>
      <c r="K525">
        <f>IF(OC_Name=0,"",IF(INDEX('OneCause_Paste'!$A$525:$AZ$525,1,OC_Name)="","",INDEX('OneCause_Paste'!$A$525:$AZ$525,1,OC_Name)))</f>
        <v/>
      </c>
      <c r="L525">
        <f>IF(OC_Txn=0,"",IF(INDEX('OneCause_Paste'!$A$525:$AZ$525,1,OC_Txn)="","",INDEX('OneCause_Paste'!$A$525:$AZ$525,1,OC_Txn)))</f>
        <v/>
      </c>
      <c r="M525">
        <f>IF(OC_Pay=0,"",IF(INDEX('OneCause_Paste'!$A$525:$AZ$525,1,OC_Pay)="","",INDEX('OneCause_Paste'!$A$525:$AZ$525,1,OC_Pay)))</f>
        <v/>
      </c>
      <c r="N525">
        <f>IF(I525="","",IF(ISNUMBER(I525),INT(I525),IFERROR(INT(DATEVALUE(I525)),IFERROR(INT(VALUE(I525)),"bad"))))</f>
        <v/>
      </c>
      <c r="O525">
        <f>IF(J525="","",IF(ISNUMBER(J525),ROUND(J525,2),IFERROR(ROUND(VALUE(SUBSTITUTE(SUBSTITUTE(SUBSTITUTE(J525,"$",""),",","")," ","")),2),"bad")))</f>
        <v/>
      </c>
      <c r="P525">
        <f>IF(TRIM(K525)="","",IFERROR(MATCH(LOWER(TRIM(K525)),'Students'!$AH$2:$AH$701,0),IFERROR(MATCH(LOWER(TRIM(K525)),'Students'!$AF$2:$AF$701,0),IFERROR(MATCH(LOWER(TRIM(K525)),'Students'!$AG$2:$AG$701,0),""))))</f>
        <v/>
      </c>
      <c r="R525">
        <f>IF(P525="","",INDEX('Students'!$AD$2:$AD$701,P525))</f>
        <v/>
      </c>
      <c r="S525">
        <f>IF(H525="OK",O525,0)</f>
        <v/>
      </c>
      <c r="T525">
        <f>IF(H525="OK",N525,"")</f>
        <v/>
      </c>
      <c r="U525">
        <f>IF(OC_Donor=0,"",IF(INDEX('OneCause_Paste'!$A$525:$AZ$525,1,OC_Donor)="","",INDEX('OneCause_Paste'!$A$525:$AZ$525,1,OC_Donor)))</f>
        <v/>
      </c>
    </row>
    <row r="526">
      <c r="A526" s="62">
        <f>IF(H526="","",IF(ISNUMBER(N526),N526,I526))</f>
        <v/>
      </c>
      <c r="B526">
        <f>IF(H526="","",U526)</f>
        <v/>
      </c>
      <c r="C526">
        <f>IF(H526="","",IF(P526="",K526,INDEX('Students'!$A$2:$A$701,P526)))</f>
        <v/>
      </c>
      <c r="D526">
        <f>IF(OR(H526="",P526=""),"",INDEX('Students'!$B$2:$B$701,P526))</f>
        <v/>
      </c>
      <c r="E526">
        <f>IF(OR(H526="",P526=""),"",INDEX('Students'!$C$2:$C$701,P526))</f>
        <v/>
      </c>
      <c r="F526" s="48">
        <f>IF(H526="","",IF(ISNUMBER(O526),O526,J526))</f>
        <v/>
      </c>
      <c r="G526">
        <f>IF(H526="","","OneCause")</f>
        <v/>
      </c>
      <c r="H526">
        <f>IF(AND(I526="",J526="",K526=""),"",IF(NOT(ISNUMBER(O526)),"Bad amount",IF(O526&lt;0,"Refund (not counted)",IF(O526=0,"Zero amount",IF(NOT(ISNUMBER(N526)),"Bad date",IF(P526="","NAME NOT ON ROSTER",IF(L526="","OK",IF(MATCH(L526,$L$2:$L$3001,0)&lt;ROW()-1,"Duplicate (ignored)","OK"))))))))</f>
        <v/>
      </c>
      <c r="I526">
        <f>IF(OC_Date=0,"",IF(INDEX('OneCause_Paste'!$A$526:$AZ$526,1,OC_Date)="","",INDEX('OneCause_Paste'!$A$526:$AZ$526,1,OC_Date)))</f>
        <v/>
      </c>
      <c r="J526">
        <f>IF(OC_Amt=0,"",IF(INDEX('OneCause_Paste'!$A$526:$AZ$526,1,OC_Amt)="","",INDEX('OneCause_Paste'!$A$526:$AZ$526,1,OC_Amt)))</f>
        <v/>
      </c>
      <c r="K526">
        <f>IF(OC_Name=0,"",IF(INDEX('OneCause_Paste'!$A$526:$AZ$526,1,OC_Name)="","",INDEX('OneCause_Paste'!$A$526:$AZ$526,1,OC_Name)))</f>
        <v/>
      </c>
      <c r="L526">
        <f>IF(OC_Txn=0,"",IF(INDEX('OneCause_Paste'!$A$526:$AZ$526,1,OC_Txn)="","",INDEX('OneCause_Paste'!$A$526:$AZ$526,1,OC_Txn)))</f>
        <v/>
      </c>
      <c r="M526">
        <f>IF(OC_Pay=0,"",IF(INDEX('OneCause_Paste'!$A$526:$AZ$526,1,OC_Pay)="","",INDEX('OneCause_Paste'!$A$526:$AZ$526,1,OC_Pay)))</f>
        <v/>
      </c>
      <c r="N526">
        <f>IF(I526="","",IF(ISNUMBER(I526),INT(I526),IFERROR(INT(DATEVALUE(I526)),IFERROR(INT(VALUE(I526)),"bad"))))</f>
        <v/>
      </c>
      <c r="O526">
        <f>IF(J526="","",IF(ISNUMBER(J526),ROUND(J526,2),IFERROR(ROUND(VALUE(SUBSTITUTE(SUBSTITUTE(SUBSTITUTE(J526,"$",""),",","")," ","")),2),"bad")))</f>
        <v/>
      </c>
      <c r="P526">
        <f>IF(TRIM(K526)="","",IFERROR(MATCH(LOWER(TRIM(K526)),'Students'!$AH$2:$AH$701,0),IFERROR(MATCH(LOWER(TRIM(K526)),'Students'!$AF$2:$AF$701,0),IFERROR(MATCH(LOWER(TRIM(K526)),'Students'!$AG$2:$AG$701,0),""))))</f>
        <v/>
      </c>
      <c r="R526">
        <f>IF(P526="","",INDEX('Students'!$AD$2:$AD$701,P526))</f>
        <v/>
      </c>
      <c r="S526">
        <f>IF(H526="OK",O526,0)</f>
        <v/>
      </c>
      <c r="T526">
        <f>IF(H526="OK",N526,"")</f>
        <v/>
      </c>
      <c r="U526">
        <f>IF(OC_Donor=0,"",IF(INDEX('OneCause_Paste'!$A$526:$AZ$526,1,OC_Donor)="","",INDEX('OneCause_Paste'!$A$526:$AZ$526,1,OC_Donor)))</f>
        <v/>
      </c>
    </row>
    <row r="527">
      <c r="A527" s="62">
        <f>IF(H527="","",IF(ISNUMBER(N527),N527,I527))</f>
        <v/>
      </c>
      <c r="B527">
        <f>IF(H527="","",U527)</f>
        <v/>
      </c>
      <c r="C527">
        <f>IF(H527="","",IF(P527="",K527,INDEX('Students'!$A$2:$A$701,P527)))</f>
        <v/>
      </c>
      <c r="D527">
        <f>IF(OR(H527="",P527=""),"",INDEX('Students'!$B$2:$B$701,P527))</f>
        <v/>
      </c>
      <c r="E527">
        <f>IF(OR(H527="",P527=""),"",INDEX('Students'!$C$2:$C$701,P527))</f>
        <v/>
      </c>
      <c r="F527" s="48">
        <f>IF(H527="","",IF(ISNUMBER(O527),O527,J527))</f>
        <v/>
      </c>
      <c r="G527">
        <f>IF(H527="","","OneCause")</f>
        <v/>
      </c>
      <c r="H527">
        <f>IF(AND(I527="",J527="",K527=""),"",IF(NOT(ISNUMBER(O527)),"Bad amount",IF(O527&lt;0,"Refund (not counted)",IF(O527=0,"Zero amount",IF(NOT(ISNUMBER(N527)),"Bad date",IF(P527="","NAME NOT ON ROSTER",IF(L527="","OK",IF(MATCH(L527,$L$2:$L$3001,0)&lt;ROW()-1,"Duplicate (ignored)","OK"))))))))</f>
        <v/>
      </c>
      <c r="I527">
        <f>IF(OC_Date=0,"",IF(INDEX('OneCause_Paste'!$A$527:$AZ$527,1,OC_Date)="","",INDEX('OneCause_Paste'!$A$527:$AZ$527,1,OC_Date)))</f>
        <v/>
      </c>
      <c r="J527">
        <f>IF(OC_Amt=0,"",IF(INDEX('OneCause_Paste'!$A$527:$AZ$527,1,OC_Amt)="","",INDEX('OneCause_Paste'!$A$527:$AZ$527,1,OC_Amt)))</f>
        <v/>
      </c>
      <c r="K527">
        <f>IF(OC_Name=0,"",IF(INDEX('OneCause_Paste'!$A$527:$AZ$527,1,OC_Name)="","",INDEX('OneCause_Paste'!$A$527:$AZ$527,1,OC_Name)))</f>
        <v/>
      </c>
      <c r="L527">
        <f>IF(OC_Txn=0,"",IF(INDEX('OneCause_Paste'!$A$527:$AZ$527,1,OC_Txn)="","",INDEX('OneCause_Paste'!$A$527:$AZ$527,1,OC_Txn)))</f>
        <v/>
      </c>
      <c r="M527">
        <f>IF(OC_Pay=0,"",IF(INDEX('OneCause_Paste'!$A$527:$AZ$527,1,OC_Pay)="","",INDEX('OneCause_Paste'!$A$527:$AZ$527,1,OC_Pay)))</f>
        <v/>
      </c>
      <c r="N527">
        <f>IF(I527="","",IF(ISNUMBER(I527),INT(I527),IFERROR(INT(DATEVALUE(I527)),IFERROR(INT(VALUE(I527)),"bad"))))</f>
        <v/>
      </c>
      <c r="O527">
        <f>IF(J527="","",IF(ISNUMBER(J527),ROUND(J527,2),IFERROR(ROUND(VALUE(SUBSTITUTE(SUBSTITUTE(SUBSTITUTE(J527,"$",""),",","")," ","")),2),"bad")))</f>
        <v/>
      </c>
      <c r="P527">
        <f>IF(TRIM(K527)="","",IFERROR(MATCH(LOWER(TRIM(K527)),'Students'!$AH$2:$AH$701,0),IFERROR(MATCH(LOWER(TRIM(K527)),'Students'!$AF$2:$AF$701,0),IFERROR(MATCH(LOWER(TRIM(K527)),'Students'!$AG$2:$AG$701,0),""))))</f>
        <v/>
      </c>
      <c r="R527">
        <f>IF(P527="","",INDEX('Students'!$AD$2:$AD$701,P527))</f>
        <v/>
      </c>
      <c r="S527">
        <f>IF(H527="OK",O527,0)</f>
        <v/>
      </c>
      <c r="T527">
        <f>IF(H527="OK",N527,"")</f>
        <v/>
      </c>
      <c r="U527">
        <f>IF(OC_Donor=0,"",IF(INDEX('OneCause_Paste'!$A$527:$AZ$527,1,OC_Donor)="","",INDEX('OneCause_Paste'!$A$527:$AZ$527,1,OC_Donor)))</f>
        <v/>
      </c>
    </row>
    <row r="528">
      <c r="A528" s="62">
        <f>IF(H528="","",IF(ISNUMBER(N528),N528,I528))</f>
        <v/>
      </c>
      <c r="B528">
        <f>IF(H528="","",U528)</f>
        <v/>
      </c>
      <c r="C528">
        <f>IF(H528="","",IF(P528="",K528,INDEX('Students'!$A$2:$A$701,P528)))</f>
        <v/>
      </c>
      <c r="D528">
        <f>IF(OR(H528="",P528=""),"",INDEX('Students'!$B$2:$B$701,P528))</f>
        <v/>
      </c>
      <c r="E528">
        <f>IF(OR(H528="",P528=""),"",INDEX('Students'!$C$2:$C$701,P528))</f>
        <v/>
      </c>
      <c r="F528" s="48">
        <f>IF(H528="","",IF(ISNUMBER(O528),O528,J528))</f>
        <v/>
      </c>
      <c r="G528">
        <f>IF(H528="","","OneCause")</f>
        <v/>
      </c>
      <c r="H528">
        <f>IF(AND(I528="",J528="",K528=""),"",IF(NOT(ISNUMBER(O528)),"Bad amount",IF(O528&lt;0,"Refund (not counted)",IF(O528=0,"Zero amount",IF(NOT(ISNUMBER(N528)),"Bad date",IF(P528="","NAME NOT ON ROSTER",IF(L528="","OK",IF(MATCH(L528,$L$2:$L$3001,0)&lt;ROW()-1,"Duplicate (ignored)","OK"))))))))</f>
        <v/>
      </c>
      <c r="I528">
        <f>IF(OC_Date=0,"",IF(INDEX('OneCause_Paste'!$A$528:$AZ$528,1,OC_Date)="","",INDEX('OneCause_Paste'!$A$528:$AZ$528,1,OC_Date)))</f>
        <v/>
      </c>
      <c r="J528">
        <f>IF(OC_Amt=0,"",IF(INDEX('OneCause_Paste'!$A$528:$AZ$528,1,OC_Amt)="","",INDEX('OneCause_Paste'!$A$528:$AZ$528,1,OC_Amt)))</f>
        <v/>
      </c>
      <c r="K528">
        <f>IF(OC_Name=0,"",IF(INDEX('OneCause_Paste'!$A$528:$AZ$528,1,OC_Name)="","",INDEX('OneCause_Paste'!$A$528:$AZ$528,1,OC_Name)))</f>
        <v/>
      </c>
      <c r="L528">
        <f>IF(OC_Txn=0,"",IF(INDEX('OneCause_Paste'!$A$528:$AZ$528,1,OC_Txn)="","",INDEX('OneCause_Paste'!$A$528:$AZ$528,1,OC_Txn)))</f>
        <v/>
      </c>
      <c r="M528">
        <f>IF(OC_Pay=0,"",IF(INDEX('OneCause_Paste'!$A$528:$AZ$528,1,OC_Pay)="","",INDEX('OneCause_Paste'!$A$528:$AZ$528,1,OC_Pay)))</f>
        <v/>
      </c>
      <c r="N528">
        <f>IF(I528="","",IF(ISNUMBER(I528),INT(I528),IFERROR(INT(DATEVALUE(I528)),IFERROR(INT(VALUE(I528)),"bad"))))</f>
        <v/>
      </c>
      <c r="O528">
        <f>IF(J528="","",IF(ISNUMBER(J528),ROUND(J528,2),IFERROR(ROUND(VALUE(SUBSTITUTE(SUBSTITUTE(SUBSTITUTE(J528,"$",""),",","")," ","")),2),"bad")))</f>
        <v/>
      </c>
      <c r="P528">
        <f>IF(TRIM(K528)="","",IFERROR(MATCH(LOWER(TRIM(K528)),'Students'!$AH$2:$AH$701,0),IFERROR(MATCH(LOWER(TRIM(K528)),'Students'!$AF$2:$AF$701,0),IFERROR(MATCH(LOWER(TRIM(K528)),'Students'!$AG$2:$AG$701,0),""))))</f>
        <v/>
      </c>
      <c r="R528">
        <f>IF(P528="","",INDEX('Students'!$AD$2:$AD$701,P528))</f>
        <v/>
      </c>
      <c r="S528">
        <f>IF(H528="OK",O528,0)</f>
        <v/>
      </c>
      <c r="T528">
        <f>IF(H528="OK",N528,"")</f>
        <v/>
      </c>
      <c r="U528">
        <f>IF(OC_Donor=0,"",IF(INDEX('OneCause_Paste'!$A$528:$AZ$528,1,OC_Donor)="","",INDEX('OneCause_Paste'!$A$528:$AZ$528,1,OC_Donor)))</f>
        <v/>
      </c>
    </row>
    <row r="529">
      <c r="A529" s="62">
        <f>IF(H529="","",IF(ISNUMBER(N529),N529,I529))</f>
        <v/>
      </c>
      <c r="B529">
        <f>IF(H529="","",U529)</f>
        <v/>
      </c>
      <c r="C529">
        <f>IF(H529="","",IF(P529="",K529,INDEX('Students'!$A$2:$A$701,P529)))</f>
        <v/>
      </c>
      <c r="D529">
        <f>IF(OR(H529="",P529=""),"",INDEX('Students'!$B$2:$B$701,P529))</f>
        <v/>
      </c>
      <c r="E529">
        <f>IF(OR(H529="",P529=""),"",INDEX('Students'!$C$2:$C$701,P529))</f>
        <v/>
      </c>
      <c r="F529" s="48">
        <f>IF(H529="","",IF(ISNUMBER(O529),O529,J529))</f>
        <v/>
      </c>
      <c r="G529">
        <f>IF(H529="","","OneCause")</f>
        <v/>
      </c>
      <c r="H529">
        <f>IF(AND(I529="",J529="",K529=""),"",IF(NOT(ISNUMBER(O529)),"Bad amount",IF(O529&lt;0,"Refund (not counted)",IF(O529=0,"Zero amount",IF(NOT(ISNUMBER(N529)),"Bad date",IF(P529="","NAME NOT ON ROSTER",IF(L529="","OK",IF(MATCH(L529,$L$2:$L$3001,0)&lt;ROW()-1,"Duplicate (ignored)","OK"))))))))</f>
        <v/>
      </c>
      <c r="I529">
        <f>IF(OC_Date=0,"",IF(INDEX('OneCause_Paste'!$A$529:$AZ$529,1,OC_Date)="","",INDEX('OneCause_Paste'!$A$529:$AZ$529,1,OC_Date)))</f>
        <v/>
      </c>
      <c r="J529">
        <f>IF(OC_Amt=0,"",IF(INDEX('OneCause_Paste'!$A$529:$AZ$529,1,OC_Amt)="","",INDEX('OneCause_Paste'!$A$529:$AZ$529,1,OC_Amt)))</f>
        <v/>
      </c>
      <c r="K529">
        <f>IF(OC_Name=0,"",IF(INDEX('OneCause_Paste'!$A$529:$AZ$529,1,OC_Name)="","",INDEX('OneCause_Paste'!$A$529:$AZ$529,1,OC_Name)))</f>
        <v/>
      </c>
      <c r="L529">
        <f>IF(OC_Txn=0,"",IF(INDEX('OneCause_Paste'!$A$529:$AZ$529,1,OC_Txn)="","",INDEX('OneCause_Paste'!$A$529:$AZ$529,1,OC_Txn)))</f>
        <v/>
      </c>
      <c r="M529">
        <f>IF(OC_Pay=0,"",IF(INDEX('OneCause_Paste'!$A$529:$AZ$529,1,OC_Pay)="","",INDEX('OneCause_Paste'!$A$529:$AZ$529,1,OC_Pay)))</f>
        <v/>
      </c>
      <c r="N529">
        <f>IF(I529="","",IF(ISNUMBER(I529),INT(I529),IFERROR(INT(DATEVALUE(I529)),IFERROR(INT(VALUE(I529)),"bad"))))</f>
        <v/>
      </c>
      <c r="O529">
        <f>IF(J529="","",IF(ISNUMBER(J529),ROUND(J529,2),IFERROR(ROUND(VALUE(SUBSTITUTE(SUBSTITUTE(SUBSTITUTE(J529,"$",""),",","")," ","")),2),"bad")))</f>
        <v/>
      </c>
      <c r="P529">
        <f>IF(TRIM(K529)="","",IFERROR(MATCH(LOWER(TRIM(K529)),'Students'!$AH$2:$AH$701,0),IFERROR(MATCH(LOWER(TRIM(K529)),'Students'!$AF$2:$AF$701,0),IFERROR(MATCH(LOWER(TRIM(K529)),'Students'!$AG$2:$AG$701,0),""))))</f>
        <v/>
      </c>
      <c r="R529">
        <f>IF(P529="","",INDEX('Students'!$AD$2:$AD$701,P529))</f>
        <v/>
      </c>
      <c r="S529">
        <f>IF(H529="OK",O529,0)</f>
        <v/>
      </c>
      <c r="T529">
        <f>IF(H529="OK",N529,"")</f>
        <v/>
      </c>
      <c r="U529">
        <f>IF(OC_Donor=0,"",IF(INDEX('OneCause_Paste'!$A$529:$AZ$529,1,OC_Donor)="","",INDEX('OneCause_Paste'!$A$529:$AZ$529,1,OC_Donor)))</f>
        <v/>
      </c>
    </row>
    <row r="530">
      <c r="A530" s="62">
        <f>IF(H530="","",IF(ISNUMBER(N530),N530,I530))</f>
        <v/>
      </c>
      <c r="B530">
        <f>IF(H530="","",U530)</f>
        <v/>
      </c>
      <c r="C530">
        <f>IF(H530="","",IF(P530="",K530,INDEX('Students'!$A$2:$A$701,P530)))</f>
        <v/>
      </c>
      <c r="D530">
        <f>IF(OR(H530="",P530=""),"",INDEX('Students'!$B$2:$B$701,P530))</f>
        <v/>
      </c>
      <c r="E530">
        <f>IF(OR(H530="",P530=""),"",INDEX('Students'!$C$2:$C$701,P530))</f>
        <v/>
      </c>
      <c r="F530" s="48">
        <f>IF(H530="","",IF(ISNUMBER(O530),O530,J530))</f>
        <v/>
      </c>
      <c r="G530">
        <f>IF(H530="","","OneCause")</f>
        <v/>
      </c>
      <c r="H530">
        <f>IF(AND(I530="",J530="",K530=""),"",IF(NOT(ISNUMBER(O530)),"Bad amount",IF(O530&lt;0,"Refund (not counted)",IF(O530=0,"Zero amount",IF(NOT(ISNUMBER(N530)),"Bad date",IF(P530="","NAME NOT ON ROSTER",IF(L530="","OK",IF(MATCH(L530,$L$2:$L$3001,0)&lt;ROW()-1,"Duplicate (ignored)","OK"))))))))</f>
        <v/>
      </c>
      <c r="I530">
        <f>IF(OC_Date=0,"",IF(INDEX('OneCause_Paste'!$A$530:$AZ$530,1,OC_Date)="","",INDEX('OneCause_Paste'!$A$530:$AZ$530,1,OC_Date)))</f>
        <v/>
      </c>
      <c r="J530">
        <f>IF(OC_Amt=0,"",IF(INDEX('OneCause_Paste'!$A$530:$AZ$530,1,OC_Amt)="","",INDEX('OneCause_Paste'!$A$530:$AZ$530,1,OC_Amt)))</f>
        <v/>
      </c>
      <c r="K530">
        <f>IF(OC_Name=0,"",IF(INDEX('OneCause_Paste'!$A$530:$AZ$530,1,OC_Name)="","",INDEX('OneCause_Paste'!$A$530:$AZ$530,1,OC_Name)))</f>
        <v/>
      </c>
      <c r="L530">
        <f>IF(OC_Txn=0,"",IF(INDEX('OneCause_Paste'!$A$530:$AZ$530,1,OC_Txn)="","",INDEX('OneCause_Paste'!$A$530:$AZ$530,1,OC_Txn)))</f>
        <v/>
      </c>
      <c r="M530">
        <f>IF(OC_Pay=0,"",IF(INDEX('OneCause_Paste'!$A$530:$AZ$530,1,OC_Pay)="","",INDEX('OneCause_Paste'!$A$530:$AZ$530,1,OC_Pay)))</f>
        <v/>
      </c>
      <c r="N530">
        <f>IF(I530="","",IF(ISNUMBER(I530),INT(I530),IFERROR(INT(DATEVALUE(I530)),IFERROR(INT(VALUE(I530)),"bad"))))</f>
        <v/>
      </c>
      <c r="O530">
        <f>IF(J530="","",IF(ISNUMBER(J530),ROUND(J530,2),IFERROR(ROUND(VALUE(SUBSTITUTE(SUBSTITUTE(SUBSTITUTE(J530,"$",""),",","")," ","")),2),"bad")))</f>
        <v/>
      </c>
      <c r="P530">
        <f>IF(TRIM(K530)="","",IFERROR(MATCH(LOWER(TRIM(K530)),'Students'!$AH$2:$AH$701,0),IFERROR(MATCH(LOWER(TRIM(K530)),'Students'!$AF$2:$AF$701,0),IFERROR(MATCH(LOWER(TRIM(K530)),'Students'!$AG$2:$AG$701,0),""))))</f>
        <v/>
      </c>
      <c r="R530">
        <f>IF(P530="","",INDEX('Students'!$AD$2:$AD$701,P530))</f>
        <v/>
      </c>
      <c r="S530">
        <f>IF(H530="OK",O530,0)</f>
        <v/>
      </c>
      <c r="T530">
        <f>IF(H530="OK",N530,"")</f>
        <v/>
      </c>
      <c r="U530">
        <f>IF(OC_Donor=0,"",IF(INDEX('OneCause_Paste'!$A$530:$AZ$530,1,OC_Donor)="","",INDEX('OneCause_Paste'!$A$530:$AZ$530,1,OC_Donor)))</f>
        <v/>
      </c>
    </row>
    <row r="531">
      <c r="A531" s="62">
        <f>IF(H531="","",IF(ISNUMBER(N531),N531,I531))</f>
        <v/>
      </c>
      <c r="B531">
        <f>IF(H531="","",U531)</f>
        <v/>
      </c>
      <c r="C531">
        <f>IF(H531="","",IF(P531="",K531,INDEX('Students'!$A$2:$A$701,P531)))</f>
        <v/>
      </c>
      <c r="D531">
        <f>IF(OR(H531="",P531=""),"",INDEX('Students'!$B$2:$B$701,P531))</f>
        <v/>
      </c>
      <c r="E531">
        <f>IF(OR(H531="",P531=""),"",INDEX('Students'!$C$2:$C$701,P531))</f>
        <v/>
      </c>
      <c r="F531" s="48">
        <f>IF(H531="","",IF(ISNUMBER(O531),O531,J531))</f>
        <v/>
      </c>
      <c r="G531">
        <f>IF(H531="","","OneCause")</f>
        <v/>
      </c>
      <c r="H531">
        <f>IF(AND(I531="",J531="",K531=""),"",IF(NOT(ISNUMBER(O531)),"Bad amount",IF(O531&lt;0,"Refund (not counted)",IF(O531=0,"Zero amount",IF(NOT(ISNUMBER(N531)),"Bad date",IF(P531="","NAME NOT ON ROSTER",IF(L531="","OK",IF(MATCH(L531,$L$2:$L$3001,0)&lt;ROW()-1,"Duplicate (ignored)","OK"))))))))</f>
        <v/>
      </c>
      <c r="I531">
        <f>IF(OC_Date=0,"",IF(INDEX('OneCause_Paste'!$A$531:$AZ$531,1,OC_Date)="","",INDEX('OneCause_Paste'!$A$531:$AZ$531,1,OC_Date)))</f>
        <v/>
      </c>
      <c r="J531">
        <f>IF(OC_Amt=0,"",IF(INDEX('OneCause_Paste'!$A$531:$AZ$531,1,OC_Amt)="","",INDEX('OneCause_Paste'!$A$531:$AZ$531,1,OC_Amt)))</f>
        <v/>
      </c>
      <c r="K531">
        <f>IF(OC_Name=0,"",IF(INDEX('OneCause_Paste'!$A$531:$AZ$531,1,OC_Name)="","",INDEX('OneCause_Paste'!$A$531:$AZ$531,1,OC_Name)))</f>
        <v/>
      </c>
      <c r="L531">
        <f>IF(OC_Txn=0,"",IF(INDEX('OneCause_Paste'!$A$531:$AZ$531,1,OC_Txn)="","",INDEX('OneCause_Paste'!$A$531:$AZ$531,1,OC_Txn)))</f>
        <v/>
      </c>
      <c r="M531">
        <f>IF(OC_Pay=0,"",IF(INDEX('OneCause_Paste'!$A$531:$AZ$531,1,OC_Pay)="","",INDEX('OneCause_Paste'!$A$531:$AZ$531,1,OC_Pay)))</f>
        <v/>
      </c>
      <c r="N531">
        <f>IF(I531="","",IF(ISNUMBER(I531),INT(I531),IFERROR(INT(DATEVALUE(I531)),IFERROR(INT(VALUE(I531)),"bad"))))</f>
        <v/>
      </c>
      <c r="O531">
        <f>IF(J531="","",IF(ISNUMBER(J531),ROUND(J531,2),IFERROR(ROUND(VALUE(SUBSTITUTE(SUBSTITUTE(SUBSTITUTE(J531,"$",""),",","")," ","")),2),"bad")))</f>
        <v/>
      </c>
      <c r="P531">
        <f>IF(TRIM(K531)="","",IFERROR(MATCH(LOWER(TRIM(K531)),'Students'!$AH$2:$AH$701,0),IFERROR(MATCH(LOWER(TRIM(K531)),'Students'!$AF$2:$AF$701,0),IFERROR(MATCH(LOWER(TRIM(K531)),'Students'!$AG$2:$AG$701,0),""))))</f>
        <v/>
      </c>
      <c r="R531">
        <f>IF(P531="","",INDEX('Students'!$AD$2:$AD$701,P531))</f>
        <v/>
      </c>
      <c r="S531">
        <f>IF(H531="OK",O531,0)</f>
        <v/>
      </c>
      <c r="T531">
        <f>IF(H531="OK",N531,"")</f>
        <v/>
      </c>
      <c r="U531">
        <f>IF(OC_Donor=0,"",IF(INDEX('OneCause_Paste'!$A$531:$AZ$531,1,OC_Donor)="","",INDEX('OneCause_Paste'!$A$531:$AZ$531,1,OC_Donor)))</f>
        <v/>
      </c>
    </row>
    <row r="532">
      <c r="A532" s="62">
        <f>IF(H532="","",IF(ISNUMBER(N532),N532,I532))</f>
        <v/>
      </c>
      <c r="B532">
        <f>IF(H532="","",U532)</f>
        <v/>
      </c>
      <c r="C532">
        <f>IF(H532="","",IF(P532="",K532,INDEX('Students'!$A$2:$A$701,P532)))</f>
        <v/>
      </c>
      <c r="D532">
        <f>IF(OR(H532="",P532=""),"",INDEX('Students'!$B$2:$B$701,P532))</f>
        <v/>
      </c>
      <c r="E532">
        <f>IF(OR(H532="",P532=""),"",INDEX('Students'!$C$2:$C$701,P532))</f>
        <v/>
      </c>
      <c r="F532" s="48">
        <f>IF(H532="","",IF(ISNUMBER(O532),O532,J532))</f>
        <v/>
      </c>
      <c r="G532">
        <f>IF(H532="","","OneCause")</f>
        <v/>
      </c>
      <c r="H532">
        <f>IF(AND(I532="",J532="",K532=""),"",IF(NOT(ISNUMBER(O532)),"Bad amount",IF(O532&lt;0,"Refund (not counted)",IF(O532=0,"Zero amount",IF(NOT(ISNUMBER(N532)),"Bad date",IF(P532="","NAME NOT ON ROSTER",IF(L532="","OK",IF(MATCH(L532,$L$2:$L$3001,0)&lt;ROW()-1,"Duplicate (ignored)","OK"))))))))</f>
        <v/>
      </c>
      <c r="I532">
        <f>IF(OC_Date=0,"",IF(INDEX('OneCause_Paste'!$A$532:$AZ$532,1,OC_Date)="","",INDEX('OneCause_Paste'!$A$532:$AZ$532,1,OC_Date)))</f>
        <v/>
      </c>
      <c r="J532">
        <f>IF(OC_Amt=0,"",IF(INDEX('OneCause_Paste'!$A$532:$AZ$532,1,OC_Amt)="","",INDEX('OneCause_Paste'!$A$532:$AZ$532,1,OC_Amt)))</f>
        <v/>
      </c>
      <c r="K532">
        <f>IF(OC_Name=0,"",IF(INDEX('OneCause_Paste'!$A$532:$AZ$532,1,OC_Name)="","",INDEX('OneCause_Paste'!$A$532:$AZ$532,1,OC_Name)))</f>
        <v/>
      </c>
      <c r="L532">
        <f>IF(OC_Txn=0,"",IF(INDEX('OneCause_Paste'!$A$532:$AZ$532,1,OC_Txn)="","",INDEX('OneCause_Paste'!$A$532:$AZ$532,1,OC_Txn)))</f>
        <v/>
      </c>
      <c r="M532">
        <f>IF(OC_Pay=0,"",IF(INDEX('OneCause_Paste'!$A$532:$AZ$532,1,OC_Pay)="","",INDEX('OneCause_Paste'!$A$532:$AZ$532,1,OC_Pay)))</f>
        <v/>
      </c>
      <c r="N532">
        <f>IF(I532="","",IF(ISNUMBER(I532),INT(I532),IFERROR(INT(DATEVALUE(I532)),IFERROR(INT(VALUE(I532)),"bad"))))</f>
        <v/>
      </c>
      <c r="O532">
        <f>IF(J532="","",IF(ISNUMBER(J532),ROUND(J532,2),IFERROR(ROUND(VALUE(SUBSTITUTE(SUBSTITUTE(SUBSTITUTE(J532,"$",""),",","")," ","")),2),"bad")))</f>
        <v/>
      </c>
      <c r="P532">
        <f>IF(TRIM(K532)="","",IFERROR(MATCH(LOWER(TRIM(K532)),'Students'!$AH$2:$AH$701,0),IFERROR(MATCH(LOWER(TRIM(K532)),'Students'!$AF$2:$AF$701,0),IFERROR(MATCH(LOWER(TRIM(K532)),'Students'!$AG$2:$AG$701,0),""))))</f>
        <v/>
      </c>
      <c r="R532">
        <f>IF(P532="","",INDEX('Students'!$AD$2:$AD$701,P532))</f>
        <v/>
      </c>
      <c r="S532">
        <f>IF(H532="OK",O532,0)</f>
        <v/>
      </c>
      <c r="T532">
        <f>IF(H532="OK",N532,"")</f>
        <v/>
      </c>
      <c r="U532">
        <f>IF(OC_Donor=0,"",IF(INDEX('OneCause_Paste'!$A$532:$AZ$532,1,OC_Donor)="","",INDEX('OneCause_Paste'!$A$532:$AZ$532,1,OC_Donor)))</f>
        <v/>
      </c>
    </row>
    <row r="533">
      <c r="A533" s="62">
        <f>IF(H533="","",IF(ISNUMBER(N533),N533,I533))</f>
        <v/>
      </c>
      <c r="B533">
        <f>IF(H533="","",U533)</f>
        <v/>
      </c>
      <c r="C533">
        <f>IF(H533="","",IF(P533="",K533,INDEX('Students'!$A$2:$A$701,P533)))</f>
        <v/>
      </c>
      <c r="D533">
        <f>IF(OR(H533="",P533=""),"",INDEX('Students'!$B$2:$B$701,P533))</f>
        <v/>
      </c>
      <c r="E533">
        <f>IF(OR(H533="",P533=""),"",INDEX('Students'!$C$2:$C$701,P533))</f>
        <v/>
      </c>
      <c r="F533" s="48">
        <f>IF(H533="","",IF(ISNUMBER(O533),O533,J533))</f>
        <v/>
      </c>
      <c r="G533">
        <f>IF(H533="","","OneCause")</f>
        <v/>
      </c>
      <c r="H533">
        <f>IF(AND(I533="",J533="",K533=""),"",IF(NOT(ISNUMBER(O533)),"Bad amount",IF(O533&lt;0,"Refund (not counted)",IF(O533=0,"Zero amount",IF(NOT(ISNUMBER(N533)),"Bad date",IF(P533="","NAME NOT ON ROSTER",IF(L533="","OK",IF(MATCH(L533,$L$2:$L$3001,0)&lt;ROW()-1,"Duplicate (ignored)","OK"))))))))</f>
        <v/>
      </c>
      <c r="I533">
        <f>IF(OC_Date=0,"",IF(INDEX('OneCause_Paste'!$A$533:$AZ$533,1,OC_Date)="","",INDEX('OneCause_Paste'!$A$533:$AZ$533,1,OC_Date)))</f>
        <v/>
      </c>
      <c r="J533">
        <f>IF(OC_Amt=0,"",IF(INDEX('OneCause_Paste'!$A$533:$AZ$533,1,OC_Amt)="","",INDEX('OneCause_Paste'!$A$533:$AZ$533,1,OC_Amt)))</f>
        <v/>
      </c>
      <c r="K533">
        <f>IF(OC_Name=0,"",IF(INDEX('OneCause_Paste'!$A$533:$AZ$533,1,OC_Name)="","",INDEX('OneCause_Paste'!$A$533:$AZ$533,1,OC_Name)))</f>
        <v/>
      </c>
      <c r="L533">
        <f>IF(OC_Txn=0,"",IF(INDEX('OneCause_Paste'!$A$533:$AZ$533,1,OC_Txn)="","",INDEX('OneCause_Paste'!$A$533:$AZ$533,1,OC_Txn)))</f>
        <v/>
      </c>
      <c r="M533">
        <f>IF(OC_Pay=0,"",IF(INDEX('OneCause_Paste'!$A$533:$AZ$533,1,OC_Pay)="","",INDEX('OneCause_Paste'!$A$533:$AZ$533,1,OC_Pay)))</f>
        <v/>
      </c>
      <c r="N533">
        <f>IF(I533="","",IF(ISNUMBER(I533),INT(I533),IFERROR(INT(DATEVALUE(I533)),IFERROR(INT(VALUE(I533)),"bad"))))</f>
        <v/>
      </c>
      <c r="O533">
        <f>IF(J533="","",IF(ISNUMBER(J533),ROUND(J533,2),IFERROR(ROUND(VALUE(SUBSTITUTE(SUBSTITUTE(SUBSTITUTE(J533,"$",""),",","")," ","")),2),"bad")))</f>
        <v/>
      </c>
      <c r="P533">
        <f>IF(TRIM(K533)="","",IFERROR(MATCH(LOWER(TRIM(K533)),'Students'!$AH$2:$AH$701,0),IFERROR(MATCH(LOWER(TRIM(K533)),'Students'!$AF$2:$AF$701,0),IFERROR(MATCH(LOWER(TRIM(K533)),'Students'!$AG$2:$AG$701,0),""))))</f>
        <v/>
      </c>
      <c r="R533">
        <f>IF(P533="","",INDEX('Students'!$AD$2:$AD$701,P533))</f>
        <v/>
      </c>
      <c r="S533">
        <f>IF(H533="OK",O533,0)</f>
        <v/>
      </c>
      <c r="T533">
        <f>IF(H533="OK",N533,"")</f>
        <v/>
      </c>
      <c r="U533">
        <f>IF(OC_Donor=0,"",IF(INDEX('OneCause_Paste'!$A$533:$AZ$533,1,OC_Donor)="","",INDEX('OneCause_Paste'!$A$533:$AZ$533,1,OC_Donor)))</f>
        <v/>
      </c>
    </row>
    <row r="534">
      <c r="A534" s="62">
        <f>IF(H534="","",IF(ISNUMBER(N534),N534,I534))</f>
        <v/>
      </c>
      <c r="B534">
        <f>IF(H534="","",U534)</f>
        <v/>
      </c>
      <c r="C534">
        <f>IF(H534="","",IF(P534="",K534,INDEX('Students'!$A$2:$A$701,P534)))</f>
        <v/>
      </c>
      <c r="D534">
        <f>IF(OR(H534="",P534=""),"",INDEX('Students'!$B$2:$B$701,P534))</f>
        <v/>
      </c>
      <c r="E534">
        <f>IF(OR(H534="",P534=""),"",INDEX('Students'!$C$2:$C$701,P534))</f>
        <v/>
      </c>
      <c r="F534" s="48">
        <f>IF(H534="","",IF(ISNUMBER(O534),O534,J534))</f>
        <v/>
      </c>
      <c r="G534">
        <f>IF(H534="","","OneCause")</f>
        <v/>
      </c>
      <c r="H534">
        <f>IF(AND(I534="",J534="",K534=""),"",IF(NOT(ISNUMBER(O534)),"Bad amount",IF(O534&lt;0,"Refund (not counted)",IF(O534=0,"Zero amount",IF(NOT(ISNUMBER(N534)),"Bad date",IF(P534="","NAME NOT ON ROSTER",IF(L534="","OK",IF(MATCH(L534,$L$2:$L$3001,0)&lt;ROW()-1,"Duplicate (ignored)","OK"))))))))</f>
        <v/>
      </c>
      <c r="I534">
        <f>IF(OC_Date=0,"",IF(INDEX('OneCause_Paste'!$A$534:$AZ$534,1,OC_Date)="","",INDEX('OneCause_Paste'!$A$534:$AZ$534,1,OC_Date)))</f>
        <v/>
      </c>
      <c r="J534">
        <f>IF(OC_Amt=0,"",IF(INDEX('OneCause_Paste'!$A$534:$AZ$534,1,OC_Amt)="","",INDEX('OneCause_Paste'!$A$534:$AZ$534,1,OC_Amt)))</f>
        <v/>
      </c>
      <c r="K534">
        <f>IF(OC_Name=0,"",IF(INDEX('OneCause_Paste'!$A$534:$AZ$534,1,OC_Name)="","",INDEX('OneCause_Paste'!$A$534:$AZ$534,1,OC_Name)))</f>
        <v/>
      </c>
      <c r="L534">
        <f>IF(OC_Txn=0,"",IF(INDEX('OneCause_Paste'!$A$534:$AZ$534,1,OC_Txn)="","",INDEX('OneCause_Paste'!$A$534:$AZ$534,1,OC_Txn)))</f>
        <v/>
      </c>
      <c r="M534">
        <f>IF(OC_Pay=0,"",IF(INDEX('OneCause_Paste'!$A$534:$AZ$534,1,OC_Pay)="","",INDEX('OneCause_Paste'!$A$534:$AZ$534,1,OC_Pay)))</f>
        <v/>
      </c>
      <c r="N534">
        <f>IF(I534="","",IF(ISNUMBER(I534),INT(I534),IFERROR(INT(DATEVALUE(I534)),IFERROR(INT(VALUE(I534)),"bad"))))</f>
        <v/>
      </c>
      <c r="O534">
        <f>IF(J534="","",IF(ISNUMBER(J534),ROUND(J534,2),IFERROR(ROUND(VALUE(SUBSTITUTE(SUBSTITUTE(SUBSTITUTE(J534,"$",""),",","")," ","")),2),"bad")))</f>
        <v/>
      </c>
      <c r="P534">
        <f>IF(TRIM(K534)="","",IFERROR(MATCH(LOWER(TRIM(K534)),'Students'!$AH$2:$AH$701,0),IFERROR(MATCH(LOWER(TRIM(K534)),'Students'!$AF$2:$AF$701,0),IFERROR(MATCH(LOWER(TRIM(K534)),'Students'!$AG$2:$AG$701,0),""))))</f>
        <v/>
      </c>
      <c r="R534">
        <f>IF(P534="","",INDEX('Students'!$AD$2:$AD$701,P534))</f>
        <v/>
      </c>
      <c r="S534">
        <f>IF(H534="OK",O534,0)</f>
        <v/>
      </c>
      <c r="T534">
        <f>IF(H534="OK",N534,"")</f>
        <v/>
      </c>
      <c r="U534">
        <f>IF(OC_Donor=0,"",IF(INDEX('OneCause_Paste'!$A$534:$AZ$534,1,OC_Donor)="","",INDEX('OneCause_Paste'!$A$534:$AZ$534,1,OC_Donor)))</f>
        <v/>
      </c>
    </row>
    <row r="535">
      <c r="A535" s="62">
        <f>IF(H535="","",IF(ISNUMBER(N535),N535,I535))</f>
        <v/>
      </c>
      <c r="B535">
        <f>IF(H535="","",U535)</f>
        <v/>
      </c>
      <c r="C535">
        <f>IF(H535="","",IF(P535="",K535,INDEX('Students'!$A$2:$A$701,P535)))</f>
        <v/>
      </c>
      <c r="D535">
        <f>IF(OR(H535="",P535=""),"",INDEX('Students'!$B$2:$B$701,P535))</f>
        <v/>
      </c>
      <c r="E535">
        <f>IF(OR(H535="",P535=""),"",INDEX('Students'!$C$2:$C$701,P535))</f>
        <v/>
      </c>
      <c r="F535" s="48">
        <f>IF(H535="","",IF(ISNUMBER(O535),O535,J535))</f>
        <v/>
      </c>
      <c r="G535">
        <f>IF(H535="","","OneCause")</f>
        <v/>
      </c>
      <c r="H535">
        <f>IF(AND(I535="",J535="",K535=""),"",IF(NOT(ISNUMBER(O535)),"Bad amount",IF(O535&lt;0,"Refund (not counted)",IF(O535=0,"Zero amount",IF(NOT(ISNUMBER(N535)),"Bad date",IF(P535="","NAME NOT ON ROSTER",IF(L535="","OK",IF(MATCH(L535,$L$2:$L$3001,0)&lt;ROW()-1,"Duplicate (ignored)","OK"))))))))</f>
        <v/>
      </c>
      <c r="I535">
        <f>IF(OC_Date=0,"",IF(INDEX('OneCause_Paste'!$A$535:$AZ$535,1,OC_Date)="","",INDEX('OneCause_Paste'!$A$535:$AZ$535,1,OC_Date)))</f>
        <v/>
      </c>
      <c r="J535">
        <f>IF(OC_Amt=0,"",IF(INDEX('OneCause_Paste'!$A$535:$AZ$535,1,OC_Amt)="","",INDEX('OneCause_Paste'!$A$535:$AZ$535,1,OC_Amt)))</f>
        <v/>
      </c>
      <c r="K535">
        <f>IF(OC_Name=0,"",IF(INDEX('OneCause_Paste'!$A$535:$AZ$535,1,OC_Name)="","",INDEX('OneCause_Paste'!$A$535:$AZ$535,1,OC_Name)))</f>
        <v/>
      </c>
      <c r="L535">
        <f>IF(OC_Txn=0,"",IF(INDEX('OneCause_Paste'!$A$535:$AZ$535,1,OC_Txn)="","",INDEX('OneCause_Paste'!$A$535:$AZ$535,1,OC_Txn)))</f>
        <v/>
      </c>
      <c r="M535">
        <f>IF(OC_Pay=0,"",IF(INDEX('OneCause_Paste'!$A$535:$AZ$535,1,OC_Pay)="","",INDEX('OneCause_Paste'!$A$535:$AZ$535,1,OC_Pay)))</f>
        <v/>
      </c>
      <c r="N535">
        <f>IF(I535="","",IF(ISNUMBER(I535),INT(I535),IFERROR(INT(DATEVALUE(I535)),IFERROR(INT(VALUE(I535)),"bad"))))</f>
        <v/>
      </c>
      <c r="O535">
        <f>IF(J535="","",IF(ISNUMBER(J535),ROUND(J535,2),IFERROR(ROUND(VALUE(SUBSTITUTE(SUBSTITUTE(SUBSTITUTE(J535,"$",""),",","")," ","")),2),"bad")))</f>
        <v/>
      </c>
      <c r="P535">
        <f>IF(TRIM(K535)="","",IFERROR(MATCH(LOWER(TRIM(K535)),'Students'!$AH$2:$AH$701,0),IFERROR(MATCH(LOWER(TRIM(K535)),'Students'!$AF$2:$AF$701,0),IFERROR(MATCH(LOWER(TRIM(K535)),'Students'!$AG$2:$AG$701,0),""))))</f>
        <v/>
      </c>
      <c r="R535">
        <f>IF(P535="","",INDEX('Students'!$AD$2:$AD$701,P535))</f>
        <v/>
      </c>
      <c r="S535">
        <f>IF(H535="OK",O535,0)</f>
        <v/>
      </c>
      <c r="T535">
        <f>IF(H535="OK",N535,"")</f>
        <v/>
      </c>
      <c r="U535">
        <f>IF(OC_Donor=0,"",IF(INDEX('OneCause_Paste'!$A$535:$AZ$535,1,OC_Donor)="","",INDEX('OneCause_Paste'!$A$535:$AZ$535,1,OC_Donor)))</f>
        <v/>
      </c>
    </row>
    <row r="536">
      <c r="A536" s="62">
        <f>IF(H536="","",IF(ISNUMBER(N536),N536,I536))</f>
        <v/>
      </c>
      <c r="B536">
        <f>IF(H536="","",U536)</f>
        <v/>
      </c>
      <c r="C536">
        <f>IF(H536="","",IF(P536="",K536,INDEX('Students'!$A$2:$A$701,P536)))</f>
        <v/>
      </c>
      <c r="D536">
        <f>IF(OR(H536="",P536=""),"",INDEX('Students'!$B$2:$B$701,P536))</f>
        <v/>
      </c>
      <c r="E536">
        <f>IF(OR(H536="",P536=""),"",INDEX('Students'!$C$2:$C$701,P536))</f>
        <v/>
      </c>
      <c r="F536" s="48">
        <f>IF(H536="","",IF(ISNUMBER(O536),O536,J536))</f>
        <v/>
      </c>
      <c r="G536">
        <f>IF(H536="","","OneCause")</f>
        <v/>
      </c>
      <c r="H536">
        <f>IF(AND(I536="",J536="",K536=""),"",IF(NOT(ISNUMBER(O536)),"Bad amount",IF(O536&lt;0,"Refund (not counted)",IF(O536=0,"Zero amount",IF(NOT(ISNUMBER(N536)),"Bad date",IF(P536="","NAME NOT ON ROSTER",IF(L536="","OK",IF(MATCH(L536,$L$2:$L$3001,0)&lt;ROW()-1,"Duplicate (ignored)","OK"))))))))</f>
        <v/>
      </c>
      <c r="I536">
        <f>IF(OC_Date=0,"",IF(INDEX('OneCause_Paste'!$A$536:$AZ$536,1,OC_Date)="","",INDEX('OneCause_Paste'!$A$536:$AZ$536,1,OC_Date)))</f>
        <v/>
      </c>
      <c r="J536">
        <f>IF(OC_Amt=0,"",IF(INDEX('OneCause_Paste'!$A$536:$AZ$536,1,OC_Amt)="","",INDEX('OneCause_Paste'!$A$536:$AZ$536,1,OC_Amt)))</f>
        <v/>
      </c>
      <c r="K536">
        <f>IF(OC_Name=0,"",IF(INDEX('OneCause_Paste'!$A$536:$AZ$536,1,OC_Name)="","",INDEX('OneCause_Paste'!$A$536:$AZ$536,1,OC_Name)))</f>
        <v/>
      </c>
      <c r="L536">
        <f>IF(OC_Txn=0,"",IF(INDEX('OneCause_Paste'!$A$536:$AZ$536,1,OC_Txn)="","",INDEX('OneCause_Paste'!$A$536:$AZ$536,1,OC_Txn)))</f>
        <v/>
      </c>
      <c r="M536">
        <f>IF(OC_Pay=0,"",IF(INDEX('OneCause_Paste'!$A$536:$AZ$536,1,OC_Pay)="","",INDEX('OneCause_Paste'!$A$536:$AZ$536,1,OC_Pay)))</f>
        <v/>
      </c>
      <c r="N536">
        <f>IF(I536="","",IF(ISNUMBER(I536),INT(I536),IFERROR(INT(DATEVALUE(I536)),IFERROR(INT(VALUE(I536)),"bad"))))</f>
        <v/>
      </c>
      <c r="O536">
        <f>IF(J536="","",IF(ISNUMBER(J536),ROUND(J536,2),IFERROR(ROUND(VALUE(SUBSTITUTE(SUBSTITUTE(SUBSTITUTE(J536,"$",""),",","")," ","")),2),"bad")))</f>
        <v/>
      </c>
      <c r="P536">
        <f>IF(TRIM(K536)="","",IFERROR(MATCH(LOWER(TRIM(K536)),'Students'!$AH$2:$AH$701,0),IFERROR(MATCH(LOWER(TRIM(K536)),'Students'!$AF$2:$AF$701,0),IFERROR(MATCH(LOWER(TRIM(K536)),'Students'!$AG$2:$AG$701,0),""))))</f>
        <v/>
      </c>
      <c r="R536">
        <f>IF(P536="","",INDEX('Students'!$AD$2:$AD$701,P536))</f>
        <v/>
      </c>
      <c r="S536">
        <f>IF(H536="OK",O536,0)</f>
        <v/>
      </c>
      <c r="T536">
        <f>IF(H536="OK",N536,"")</f>
        <v/>
      </c>
      <c r="U536">
        <f>IF(OC_Donor=0,"",IF(INDEX('OneCause_Paste'!$A$536:$AZ$536,1,OC_Donor)="","",INDEX('OneCause_Paste'!$A$536:$AZ$536,1,OC_Donor)))</f>
        <v/>
      </c>
    </row>
    <row r="537">
      <c r="A537" s="62">
        <f>IF(H537="","",IF(ISNUMBER(N537),N537,I537))</f>
        <v/>
      </c>
      <c r="B537">
        <f>IF(H537="","",U537)</f>
        <v/>
      </c>
      <c r="C537">
        <f>IF(H537="","",IF(P537="",K537,INDEX('Students'!$A$2:$A$701,P537)))</f>
        <v/>
      </c>
      <c r="D537">
        <f>IF(OR(H537="",P537=""),"",INDEX('Students'!$B$2:$B$701,P537))</f>
        <v/>
      </c>
      <c r="E537">
        <f>IF(OR(H537="",P537=""),"",INDEX('Students'!$C$2:$C$701,P537))</f>
        <v/>
      </c>
      <c r="F537" s="48">
        <f>IF(H537="","",IF(ISNUMBER(O537),O537,J537))</f>
        <v/>
      </c>
      <c r="G537">
        <f>IF(H537="","","OneCause")</f>
        <v/>
      </c>
      <c r="H537">
        <f>IF(AND(I537="",J537="",K537=""),"",IF(NOT(ISNUMBER(O537)),"Bad amount",IF(O537&lt;0,"Refund (not counted)",IF(O537=0,"Zero amount",IF(NOT(ISNUMBER(N537)),"Bad date",IF(P537="","NAME NOT ON ROSTER",IF(L537="","OK",IF(MATCH(L537,$L$2:$L$3001,0)&lt;ROW()-1,"Duplicate (ignored)","OK"))))))))</f>
        <v/>
      </c>
      <c r="I537">
        <f>IF(OC_Date=0,"",IF(INDEX('OneCause_Paste'!$A$537:$AZ$537,1,OC_Date)="","",INDEX('OneCause_Paste'!$A$537:$AZ$537,1,OC_Date)))</f>
        <v/>
      </c>
      <c r="J537">
        <f>IF(OC_Amt=0,"",IF(INDEX('OneCause_Paste'!$A$537:$AZ$537,1,OC_Amt)="","",INDEX('OneCause_Paste'!$A$537:$AZ$537,1,OC_Amt)))</f>
        <v/>
      </c>
      <c r="K537">
        <f>IF(OC_Name=0,"",IF(INDEX('OneCause_Paste'!$A$537:$AZ$537,1,OC_Name)="","",INDEX('OneCause_Paste'!$A$537:$AZ$537,1,OC_Name)))</f>
        <v/>
      </c>
      <c r="L537">
        <f>IF(OC_Txn=0,"",IF(INDEX('OneCause_Paste'!$A$537:$AZ$537,1,OC_Txn)="","",INDEX('OneCause_Paste'!$A$537:$AZ$537,1,OC_Txn)))</f>
        <v/>
      </c>
      <c r="M537">
        <f>IF(OC_Pay=0,"",IF(INDEX('OneCause_Paste'!$A$537:$AZ$537,1,OC_Pay)="","",INDEX('OneCause_Paste'!$A$537:$AZ$537,1,OC_Pay)))</f>
        <v/>
      </c>
      <c r="N537">
        <f>IF(I537="","",IF(ISNUMBER(I537),INT(I537),IFERROR(INT(DATEVALUE(I537)),IFERROR(INT(VALUE(I537)),"bad"))))</f>
        <v/>
      </c>
      <c r="O537">
        <f>IF(J537="","",IF(ISNUMBER(J537),ROUND(J537,2),IFERROR(ROUND(VALUE(SUBSTITUTE(SUBSTITUTE(SUBSTITUTE(J537,"$",""),",","")," ","")),2),"bad")))</f>
        <v/>
      </c>
      <c r="P537">
        <f>IF(TRIM(K537)="","",IFERROR(MATCH(LOWER(TRIM(K537)),'Students'!$AH$2:$AH$701,0),IFERROR(MATCH(LOWER(TRIM(K537)),'Students'!$AF$2:$AF$701,0),IFERROR(MATCH(LOWER(TRIM(K537)),'Students'!$AG$2:$AG$701,0),""))))</f>
        <v/>
      </c>
      <c r="R537">
        <f>IF(P537="","",INDEX('Students'!$AD$2:$AD$701,P537))</f>
        <v/>
      </c>
      <c r="S537">
        <f>IF(H537="OK",O537,0)</f>
        <v/>
      </c>
      <c r="T537">
        <f>IF(H537="OK",N537,"")</f>
        <v/>
      </c>
      <c r="U537">
        <f>IF(OC_Donor=0,"",IF(INDEX('OneCause_Paste'!$A$537:$AZ$537,1,OC_Donor)="","",INDEX('OneCause_Paste'!$A$537:$AZ$537,1,OC_Donor)))</f>
        <v/>
      </c>
    </row>
    <row r="538">
      <c r="A538" s="62">
        <f>IF(H538="","",IF(ISNUMBER(N538),N538,I538))</f>
        <v/>
      </c>
      <c r="B538">
        <f>IF(H538="","",U538)</f>
        <v/>
      </c>
      <c r="C538">
        <f>IF(H538="","",IF(P538="",K538,INDEX('Students'!$A$2:$A$701,P538)))</f>
        <v/>
      </c>
      <c r="D538">
        <f>IF(OR(H538="",P538=""),"",INDEX('Students'!$B$2:$B$701,P538))</f>
        <v/>
      </c>
      <c r="E538">
        <f>IF(OR(H538="",P538=""),"",INDEX('Students'!$C$2:$C$701,P538))</f>
        <v/>
      </c>
      <c r="F538" s="48">
        <f>IF(H538="","",IF(ISNUMBER(O538),O538,J538))</f>
        <v/>
      </c>
      <c r="G538">
        <f>IF(H538="","","OneCause")</f>
        <v/>
      </c>
      <c r="H538">
        <f>IF(AND(I538="",J538="",K538=""),"",IF(NOT(ISNUMBER(O538)),"Bad amount",IF(O538&lt;0,"Refund (not counted)",IF(O538=0,"Zero amount",IF(NOT(ISNUMBER(N538)),"Bad date",IF(P538="","NAME NOT ON ROSTER",IF(L538="","OK",IF(MATCH(L538,$L$2:$L$3001,0)&lt;ROW()-1,"Duplicate (ignored)","OK"))))))))</f>
        <v/>
      </c>
      <c r="I538">
        <f>IF(OC_Date=0,"",IF(INDEX('OneCause_Paste'!$A$538:$AZ$538,1,OC_Date)="","",INDEX('OneCause_Paste'!$A$538:$AZ$538,1,OC_Date)))</f>
        <v/>
      </c>
      <c r="J538">
        <f>IF(OC_Amt=0,"",IF(INDEX('OneCause_Paste'!$A$538:$AZ$538,1,OC_Amt)="","",INDEX('OneCause_Paste'!$A$538:$AZ$538,1,OC_Amt)))</f>
        <v/>
      </c>
      <c r="K538">
        <f>IF(OC_Name=0,"",IF(INDEX('OneCause_Paste'!$A$538:$AZ$538,1,OC_Name)="","",INDEX('OneCause_Paste'!$A$538:$AZ$538,1,OC_Name)))</f>
        <v/>
      </c>
      <c r="L538">
        <f>IF(OC_Txn=0,"",IF(INDEX('OneCause_Paste'!$A$538:$AZ$538,1,OC_Txn)="","",INDEX('OneCause_Paste'!$A$538:$AZ$538,1,OC_Txn)))</f>
        <v/>
      </c>
      <c r="M538">
        <f>IF(OC_Pay=0,"",IF(INDEX('OneCause_Paste'!$A$538:$AZ$538,1,OC_Pay)="","",INDEX('OneCause_Paste'!$A$538:$AZ$538,1,OC_Pay)))</f>
        <v/>
      </c>
      <c r="N538">
        <f>IF(I538="","",IF(ISNUMBER(I538),INT(I538),IFERROR(INT(DATEVALUE(I538)),IFERROR(INT(VALUE(I538)),"bad"))))</f>
        <v/>
      </c>
      <c r="O538">
        <f>IF(J538="","",IF(ISNUMBER(J538),ROUND(J538,2),IFERROR(ROUND(VALUE(SUBSTITUTE(SUBSTITUTE(SUBSTITUTE(J538,"$",""),",","")," ","")),2),"bad")))</f>
        <v/>
      </c>
      <c r="P538">
        <f>IF(TRIM(K538)="","",IFERROR(MATCH(LOWER(TRIM(K538)),'Students'!$AH$2:$AH$701,0),IFERROR(MATCH(LOWER(TRIM(K538)),'Students'!$AF$2:$AF$701,0),IFERROR(MATCH(LOWER(TRIM(K538)),'Students'!$AG$2:$AG$701,0),""))))</f>
        <v/>
      </c>
      <c r="R538">
        <f>IF(P538="","",INDEX('Students'!$AD$2:$AD$701,P538))</f>
        <v/>
      </c>
      <c r="S538">
        <f>IF(H538="OK",O538,0)</f>
        <v/>
      </c>
      <c r="T538">
        <f>IF(H538="OK",N538,"")</f>
        <v/>
      </c>
      <c r="U538">
        <f>IF(OC_Donor=0,"",IF(INDEX('OneCause_Paste'!$A$538:$AZ$538,1,OC_Donor)="","",INDEX('OneCause_Paste'!$A$538:$AZ$538,1,OC_Donor)))</f>
        <v/>
      </c>
    </row>
    <row r="539">
      <c r="A539" s="62">
        <f>IF(H539="","",IF(ISNUMBER(N539),N539,I539))</f>
        <v/>
      </c>
      <c r="B539">
        <f>IF(H539="","",U539)</f>
        <v/>
      </c>
      <c r="C539">
        <f>IF(H539="","",IF(P539="",K539,INDEX('Students'!$A$2:$A$701,P539)))</f>
        <v/>
      </c>
      <c r="D539">
        <f>IF(OR(H539="",P539=""),"",INDEX('Students'!$B$2:$B$701,P539))</f>
        <v/>
      </c>
      <c r="E539">
        <f>IF(OR(H539="",P539=""),"",INDEX('Students'!$C$2:$C$701,P539))</f>
        <v/>
      </c>
      <c r="F539" s="48">
        <f>IF(H539="","",IF(ISNUMBER(O539),O539,J539))</f>
        <v/>
      </c>
      <c r="G539">
        <f>IF(H539="","","OneCause")</f>
        <v/>
      </c>
      <c r="H539">
        <f>IF(AND(I539="",J539="",K539=""),"",IF(NOT(ISNUMBER(O539)),"Bad amount",IF(O539&lt;0,"Refund (not counted)",IF(O539=0,"Zero amount",IF(NOT(ISNUMBER(N539)),"Bad date",IF(P539="","NAME NOT ON ROSTER",IF(L539="","OK",IF(MATCH(L539,$L$2:$L$3001,0)&lt;ROW()-1,"Duplicate (ignored)","OK"))))))))</f>
        <v/>
      </c>
      <c r="I539">
        <f>IF(OC_Date=0,"",IF(INDEX('OneCause_Paste'!$A$539:$AZ$539,1,OC_Date)="","",INDEX('OneCause_Paste'!$A$539:$AZ$539,1,OC_Date)))</f>
        <v/>
      </c>
      <c r="J539">
        <f>IF(OC_Amt=0,"",IF(INDEX('OneCause_Paste'!$A$539:$AZ$539,1,OC_Amt)="","",INDEX('OneCause_Paste'!$A$539:$AZ$539,1,OC_Amt)))</f>
        <v/>
      </c>
      <c r="K539">
        <f>IF(OC_Name=0,"",IF(INDEX('OneCause_Paste'!$A$539:$AZ$539,1,OC_Name)="","",INDEX('OneCause_Paste'!$A$539:$AZ$539,1,OC_Name)))</f>
        <v/>
      </c>
      <c r="L539">
        <f>IF(OC_Txn=0,"",IF(INDEX('OneCause_Paste'!$A$539:$AZ$539,1,OC_Txn)="","",INDEX('OneCause_Paste'!$A$539:$AZ$539,1,OC_Txn)))</f>
        <v/>
      </c>
      <c r="M539">
        <f>IF(OC_Pay=0,"",IF(INDEX('OneCause_Paste'!$A$539:$AZ$539,1,OC_Pay)="","",INDEX('OneCause_Paste'!$A$539:$AZ$539,1,OC_Pay)))</f>
        <v/>
      </c>
      <c r="N539">
        <f>IF(I539="","",IF(ISNUMBER(I539),INT(I539),IFERROR(INT(DATEVALUE(I539)),IFERROR(INT(VALUE(I539)),"bad"))))</f>
        <v/>
      </c>
      <c r="O539">
        <f>IF(J539="","",IF(ISNUMBER(J539),ROUND(J539,2),IFERROR(ROUND(VALUE(SUBSTITUTE(SUBSTITUTE(SUBSTITUTE(J539,"$",""),",","")," ","")),2),"bad")))</f>
        <v/>
      </c>
      <c r="P539">
        <f>IF(TRIM(K539)="","",IFERROR(MATCH(LOWER(TRIM(K539)),'Students'!$AH$2:$AH$701,0),IFERROR(MATCH(LOWER(TRIM(K539)),'Students'!$AF$2:$AF$701,0),IFERROR(MATCH(LOWER(TRIM(K539)),'Students'!$AG$2:$AG$701,0),""))))</f>
        <v/>
      </c>
      <c r="R539">
        <f>IF(P539="","",INDEX('Students'!$AD$2:$AD$701,P539))</f>
        <v/>
      </c>
      <c r="S539">
        <f>IF(H539="OK",O539,0)</f>
        <v/>
      </c>
      <c r="T539">
        <f>IF(H539="OK",N539,"")</f>
        <v/>
      </c>
      <c r="U539">
        <f>IF(OC_Donor=0,"",IF(INDEX('OneCause_Paste'!$A$539:$AZ$539,1,OC_Donor)="","",INDEX('OneCause_Paste'!$A$539:$AZ$539,1,OC_Donor)))</f>
        <v/>
      </c>
    </row>
    <row r="540">
      <c r="A540" s="62">
        <f>IF(H540="","",IF(ISNUMBER(N540),N540,I540))</f>
        <v/>
      </c>
      <c r="B540">
        <f>IF(H540="","",U540)</f>
        <v/>
      </c>
      <c r="C540">
        <f>IF(H540="","",IF(P540="",K540,INDEX('Students'!$A$2:$A$701,P540)))</f>
        <v/>
      </c>
      <c r="D540">
        <f>IF(OR(H540="",P540=""),"",INDEX('Students'!$B$2:$B$701,P540))</f>
        <v/>
      </c>
      <c r="E540">
        <f>IF(OR(H540="",P540=""),"",INDEX('Students'!$C$2:$C$701,P540))</f>
        <v/>
      </c>
      <c r="F540" s="48">
        <f>IF(H540="","",IF(ISNUMBER(O540),O540,J540))</f>
        <v/>
      </c>
      <c r="G540">
        <f>IF(H540="","","OneCause")</f>
        <v/>
      </c>
      <c r="H540">
        <f>IF(AND(I540="",J540="",K540=""),"",IF(NOT(ISNUMBER(O540)),"Bad amount",IF(O540&lt;0,"Refund (not counted)",IF(O540=0,"Zero amount",IF(NOT(ISNUMBER(N540)),"Bad date",IF(P540="","NAME NOT ON ROSTER",IF(L540="","OK",IF(MATCH(L540,$L$2:$L$3001,0)&lt;ROW()-1,"Duplicate (ignored)","OK"))))))))</f>
        <v/>
      </c>
      <c r="I540">
        <f>IF(OC_Date=0,"",IF(INDEX('OneCause_Paste'!$A$540:$AZ$540,1,OC_Date)="","",INDEX('OneCause_Paste'!$A$540:$AZ$540,1,OC_Date)))</f>
        <v/>
      </c>
      <c r="J540">
        <f>IF(OC_Amt=0,"",IF(INDEX('OneCause_Paste'!$A$540:$AZ$540,1,OC_Amt)="","",INDEX('OneCause_Paste'!$A$540:$AZ$540,1,OC_Amt)))</f>
        <v/>
      </c>
      <c r="K540">
        <f>IF(OC_Name=0,"",IF(INDEX('OneCause_Paste'!$A$540:$AZ$540,1,OC_Name)="","",INDEX('OneCause_Paste'!$A$540:$AZ$540,1,OC_Name)))</f>
        <v/>
      </c>
      <c r="L540">
        <f>IF(OC_Txn=0,"",IF(INDEX('OneCause_Paste'!$A$540:$AZ$540,1,OC_Txn)="","",INDEX('OneCause_Paste'!$A$540:$AZ$540,1,OC_Txn)))</f>
        <v/>
      </c>
      <c r="M540">
        <f>IF(OC_Pay=0,"",IF(INDEX('OneCause_Paste'!$A$540:$AZ$540,1,OC_Pay)="","",INDEX('OneCause_Paste'!$A$540:$AZ$540,1,OC_Pay)))</f>
        <v/>
      </c>
      <c r="N540">
        <f>IF(I540="","",IF(ISNUMBER(I540),INT(I540),IFERROR(INT(DATEVALUE(I540)),IFERROR(INT(VALUE(I540)),"bad"))))</f>
        <v/>
      </c>
      <c r="O540">
        <f>IF(J540="","",IF(ISNUMBER(J540),ROUND(J540,2),IFERROR(ROUND(VALUE(SUBSTITUTE(SUBSTITUTE(SUBSTITUTE(J540,"$",""),",","")," ","")),2),"bad")))</f>
        <v/>
      </c>
      <c r="P540">
        <f>IF(TRIM(K540)="","",IFERROR(MATCH(LOWER(TRIM(K540)),'Students'!$AH$2:$AH$701,0),IFERROR(MATCH(LOWER(TRIM(K540)),'Students'!$AF$2:$AF$701,0),IFERROR(MATCH(LOWER(TRIM(K540)),'Students'!$AG$2:$AG$701,0),""))))</f>
        <v/>
      </c>
      <c r="R540">
        <f>IF(P540="","",INDEX('Students'!$AD$2:$AD$701,P540))</f>
        <v/>
      </c>
      <c r="S540">
        <f>IF(H540="OK",O540,0)</f>
        <v/>
      </c>
      <c r="T540">
        <f>IF(H540="OK",N540,"")</f>
        <v/>
      </c>
      <c r="U540">
        <f>IF(OC_Donor=0,"",IF(INDEX('OneCause_Paste'!$A$540:$AZ$540,1,OC_Donor)="","",INDEX('OneCause_Paste'!$A$540:$AZ$540,1,OC_Donor)))</f>
        <v/>
      </c>
    </row>
    <row r="541">
      <c r="A541" s="62">
        <f>IF(H541="","",IF(ISNUMBER(N541),N541,I541))</f>
        <v/>
      </c>
      <c r="B541">
        <f>IF(H541="","",U541)</f>
        <v/>
      </c>
      <c r="C541">
        <f>IF(H541="","",IF(P541="",K541,INDEX('Students'!$A$2:$A$701,P541)))</f>
        <v/>
      </c>
      <c r="D541">
        <f>IF(OR(H541="",P541=""),"",INDEX('Students'!$B$2:$B$701,P541))</f>
        <v/>
      </c>
      <c r="E541">
        <f>IF(OR(H541="",P541=""),"",INDEX('Students'!$C$2:$C$701,P541))</f>
        <v/>
      </c>
      <c r="F541" s="48">
        <f>IF(H541="","",IF(ISNUMBER(O541),O541,J541))</f>
        <v/>
      </c>
      <c r="G541">
        <f>IF(H541="","","OneCause")</f>
        <v/>
      </c>
      <c r="H541">
        <f>IF(AND(I541="",J541="",K541=""),"",IF(NOT(ISNUMBER(O541)),"Bad amount",IF(O541&lt;0,"Refund (not counted)",IF(O541=0,"Zero amount",IF(NOT(ISNUMBER(N541)),"Bad date",IF(P541="","NAME NOT ON ROSTER",IF(L541="","OK",IF(MATCH(L541,$L$2:$L$3001,0)&lt;ROW()-1,"Duplicate (ignored)","OK"))))))))</f>
        <v/>
      </c>
      <c r="I541">
        <f>IF(OC_Date=0,"",IF(INDEX('OneCause_Paste'!$A$541:$AZ$541,1,OC_Date)="","",INDEX('OneCause_Paste'!$A$541:$AZ$541,1,OC_Date)))</f>
        <v/>
      </c>
      <c r="J541">
        <f>IF(OC_Amt=0,"",IF(INDEX('OneCause_Paste'!$A$541:$AZ$541,1,OC_Amt)="","",INDEX('OneCause_Paste'!$A$541:$AZ$541,1,OC_Amt)))</f>
        <v/>
      </c>
      <c r="K541">
        <f>IF(OC_Name=0,"",IF(INDEX('OneCause_Paste'!$A$541:$AZ$541,1,OC_Name)="","",INDEX('OneCause_Paste'!$A$541:$AZ$541,1,OC_Name)))</f>
        <v/>
      </c>
      <c r="L541">
        <f>IF(OC_Txn=0,"",IF(INDEX('OneCause_Paste'!$A$541:$AZ$541,1,OC_Txn)="","",INDEX('OneCause_Paste'!$A$541:$AZ$541,1,OC_Txn)))</f>
        <v/>
      </c>
      <c r="M541">
        <f>IF(OC_Pay=0,"",IF(INDEX('OneCause_Paste'!$A$541:$AZ$541,1,OC_Pay)="","",INDEX('OneCause_Paste'!$A$541:$AZ$541,1,OC_Pay)))</f>
        <v/>
      </c>
      <c r="N541">
        <f>IF(I541="","",IF(ISNUMBER(I541),INT(I541),IFERROR(INT(DATEVALUE(I541)),IFERROR(INT(VALUE(I541)),"bad"))))</f>
        <v/>
      </c>
      <c r="O541">
        <f>IF(J541="","",IF(ISNUMBER(J541),ROUND(J541,2),IFERROR(ROUND(VALUE(SUBSTITUTE(SUBSTITUTE(SUBSTITUTE(J541,"$",""),",","")," ","")),2),"bad")))</f>
        <v/>
      </c>
      <c r="P541">
        <f>IF(TRIM(K541)="","",IFERROR(MATCH(LOWER(TRIM(K541)),'Students'!$AH$2:$AH$701,0),IFERROR(MATCH(LOWER(TRIM(K541)),'Students'!$AF$2:$AF$701,0),IFERROR(MATCH(LOWER(TRIM(K541)),'Students'!$AG$2:$AG$701,0),""))))</f>
        <v/>
      </c>
      <c r="R541">
        <f>IF(P541="","",INDEX('Students'!$AD$2:$AD$701,P541))</f>
        <v/>
      </c>
      <c r="S541">
        <f>IF(H541="OK",O541,0)</f>
        <v/>
      </c>
      <c r="T541">
        <f>IF(H541="OK",N541,"")</f>
        <v/>
      </c>
      <c r="U541">
        <f>IF(OC_Donor=0,"",IF(INDEX('OneCause_Paste'!$A$541:$AZ$541,1,OC_Donor)="","",INDEX('OneCause_Paste'!$A$541:$AZ$541,1,OC_Donor)))</f>
        <v/>
      </c>
    </row>
    <row r="542">
      <c r="A542" s="62">
        <f>IF(H542="","",IF(ISNUMBER(N542),N542,I542))</f>
        <v/>
      </c>
      <c r="B542">
        <f>IF(H542="","",U542)</f>
        <v/>
      </c>
      <c r="C542">
        <f>IF(H542="","",IF(P542="",K542,INDEX('Students'!$A$2:$A$701,P542)))</f>
        <v/>
      </c>
      <c r="D542">
        <f>IF(OR(H542="",P542=""),"",INDEX('Students'!$B$2:$B$701,P542))</f>
        <v/>
      </c>
      <c r="E542">
        <f>IF(OR(H542="",P542=""),"",INDEX('Students'!$C$2:$C$701,P542))</f>
        <v/>
      </c>
      <c r="F542" s="48">
        <f>IF(H542="","",IF(ISNUMBER(O542),O542,J542))</f>
        <v/>
      </c>
      <c r="G542">
        <f>IF(H542="","","OneCause")</f>
        <v/>
      </c>
      <c r="H542">
        <f>IF(AND(I542="",J542="",K542=""),"",IF(NOT(ISNUMBER(O542)),"Bad amount",IF(O542&lt;0,"Refund (not counted)",IF(O542=0,"Zero amount",IF(NOT(ISNUMBER(N542)),"Bad date",IF(P542="","NAME NOT ON ROSTER",IF(L542="","OK",IF(MATCH(L542,$L$2:$L$3001,0)&lt;ROW()-1,"Duplicate (ignored)","OK"))))))))</f>
        <v/>
      </c>
      <c r="I542">
        <f>IF(OC_Date=0,"",IF(INDEX('OneCause_Paste'!$A$542:$AZ$542,1,OC_Date)="","",INDEX('OneCause_Paste'!$A$542:$AZ$542,1,OC_Date)))</f>
        <v/>
      </c>
      <c r="J542">
        <f>IF(OC_Amt=0,"",IF(INDEX('OneCause_Paste'!$A$542:$AZ$542,1,OC_Amt)="","",INDEX('OneCause_Paste'!$A$542:$AZ$542,1,OC_Amt)))</f>
        <v/>
      </c>
      <c r="K542">
        <f>IF(OC_Name=0,"",IF(INDEX('OneCause_Paste'!$A$542:$AZ$542,1,OC_Name)="","",INDEX('OneCause_Paste'!$A$542:$AZ$542,1,OC_Name)))</f>
        <v/>
      </c>
      <c r="L542">
        <f>IF(OC_Txn=0,"",IF(INDEX('OneCause_Paste'!$A$542:$AZ$542,1,OC_Txn)="","",INDEX('OneCause_Paste'!$A$542:$AZ$542,1,OC_Txn)))</f>
        <v/>
      </c>
      <c r="M542">
        <f>IF(OC_Pay=0,"",IF(INDEX('OneCause_Paste'!$A$542:$AZ$542,1,OC_Pay)="","",INDEX('OneCause_Paste'!$A$542:$AZ$542,1,OC_Pay)))</f>
        <v/>
      </c>
      <c r="N542">
        <f>IF(I542="","",IF(ISNUMBER(I542),INT(I542),IFERROR(INT(DATEVALUE(I542)),IFERROR(INT(VALUE(I542)),"bad"))))</f>
        <v/>
      </c>
      <c r="O542">
        <f>IF(J542="","",IF(ISNUMBER(J542),ROUND(J542,2),IFERROR(ROUND(VALUE(SUBSTITUTE(SUBSTITUTE(SUBSTITUTE(J542,"$",""),",","")," ","")),2),"bad")))</f>
        <v/>
      </c>
      <c r="P542">
        <f>IF(TRIM(K542)="","",IFERROR(MATCH(LOWER(TRIM(K542)),'Students'!$AH$2:$AH$701,0),IFERROR(MATCH(LOWER(TRIM(K542)),'Students'!$AF$2:$AF$701,0),IFERROR(MATCH(LOWER(TRIM(K542)),'Students'!$AG$2:$AG$701,0),""))))</f>
        <v/>
      </c>
      <c r="R542">
        <f>IF(P542="","",INDEX('Students'!$AD$2:$AD$701,P542))</f>
        <v/>
      </c>
      <c r="S542">
        <f>IF(H542="OK",O542,0)</f>
        <v/>
      </c>
      <c r="T542">
        <f>IF(H542="OK",N542,"")</f>
        <v/>
      </c>
      <c r="U542">
        <f>IF(OC_Donor=0,"",IF(INDEX('OneCause_Paste'!$A$542:$AZ$542,1,OC_Donor)="","",INDEX('OneCause_Paste'!$A$542:$AZ$542,1,OC_Donor)))</f>
        <v/>
      </c>
    </row>
    <row r="543">
      <c r="A543" s="62">
        <f>IF(H543="","",IF(ISNUMBER(N543),N543,I543))</f>
        <v/>
      </c>
      <c r="B543">
        <f>IF(H543="","",U543)</f>
        <v/>
      </c>
      <c r="C543">
        <f>IF(H543="","",IF(P543="",K543,INDEX('Students'!$A$2:$A$701,P543)))</f>
        <v/>
      </c>
      <c r="D543">
        <f>IF(OR(H543="",P543=""),"",INDEX('Students'!$B$2:$B$701,P543))</f>
        <v/>
      </c>
      <c r="E543">
        <f>IF(OR(H543="",P543=""),"",INDEX('Students'!$C$2:$C$701,P543))</f>
        <v/>
      </c>
      <c r="F543" s="48">
        <f>IF(H543="","",IF(ISNUMBER(O543),O543,J543))</f>
        <v/>
      </c>
      <c r="G543">
        <f>IF(H543="","","OneCause")</f>
        <v/>
      </c>
      <c r="H543">
        <f>IF(AND(I543="",J543="",K543=""),"",IF(NOT(ISNUMBER(O543)),"Bad amount",IF(O543&lt;0,"Refund (not counted)",IF(O543=0,"Zero amount",IF(NOT(ISNUMBER(N543)),"Bad date",IF(P543="","NAME NOT ON ROSTER",IF(L543="","OK",IF(MATCH(L543,$L$2:$L$3001,0)&lt;ROW()-1,"Duplicate (ignored)","OK"))))))))</f>
        <v/>
      </c>
      <c r="I543">
        <f>IF(OC_Date=0,"",IF(INDEX('OneCause_Paste'!$A$543:$AZ$543,1,OC_Date)="","",INDEX('OneCause_Paste'!$A$543:$AZ$543,1,OC_Date)))</f>
        <v/>
      </c>
      <c r="J543">
        <f>IF(OC_Amt=0,"",IF(INDEX('OneCause_Paste'!$A$543:$AZ$543,1,OC_Amt)="","",INDEX('OneCause_Paste'!$A$543:$AZ$543,1,OC_Amt)))</f>
        <v/>
      </c>
      <c r="K543">
        <f>IF(OC_Name=0,"",IF(INDEX('OneCause_Paste'!$A$543:$AZ$543,1,OC_Name)="","",INDEX('OneCause_Paste'!$A$543:$AZ$543,1,OC_Name)))</f>
        <v/>
      </c>
      <c r="L543">
        <f>IF(OC_Txn=0,"",IF(INDEX('OneCause_Paste'!$A$543:$AZ$543,1,OC_Txn)="","",INDEX('OneCause_Paste'!$A$543:$AZ$543,1,OC_Txn)))</f>
        <v/>
      </c>
      <c r="M543">
        <f>IF(OC_Pay=0,"",IF(INDEX('OneCause_Paste'!$A$543:$AZ$543,1,OC_Pay)="","",INDEX('OneCause_Paste'!$A$543:$AZ$543,1,OC_Pay)))</f>
        <v/>
      </c>
      <c r="N543">
        <f>IF(I543="","",IF(ISNUMBER(I543),INT(I543),IFERROR(INT(DATEVALUE(I543)),IFERROR(INT(VALUE(I543)),"bad"))))</f>
        <v/>
      </c>
      <c r="O543">
        <f>IF(J543="","",IF(ISNUMBER(J543),ROUND(J543,2),IFERROR(ROUND(VALUE(SUBSTITUTE(SUBSTITUTE(SUBSTITUTE(J543,"$",""),",","")," ","")),2),"bad")))</f>
        <v/>
      </c>
      <c r="P543">
        <f>IF(TRIM(K543)="","",IFERROR(MATCH(LOWER(TRIM(K543)),'Students'!$AH$2:$AH$701,0),IFERROR(MATCH(LOWER(TRIM(K543)),'Students'!$AF$2:$AF$701,0),IFERROR(MATCH(LOWER(TRIM(K543)),'Students'!$AG$2:$AG$701,0),""))))</f>
        <v/>
      </c>
      <c r="R543">
        <f>IF(P543="","",INDEX('Students'!$AD$2:$AD$701,P543))</f>
        <v/>
      </c>
      <c r="S543">
        <f>IF(H543="OK",O543,0)</f>
        <v/>
      </c>
      <c r="T543">
        <f>IF(H543="OK",N543,"")</f>
        <v/>
      </c>
      <c r="U543">
        <f>IF(OC_Donor=0,"",IF(INDEX('OneCause_Paste'!$A$543:$AZ$543,1,OC_Donor)="","",INDEX('OneCause_Paste'!$A$543:$AZ$543,1,OC_Donor)))</f>
        <v/>
      </c>
    </row>
    <row r="544">
      <c r="A544" s="62">
        <f>IF(H544="","",IF(ISNUMBER(N544),N544,I544))</f>
        <v/>
      </c>
      <c r="B544">
        <f>IF(H544="","",U544)</f>
        <v/>
      </c>
      <c r="C544">
        <f>IF(H544="","",IF(P544="",K544,INDEX('Students'!$A$2:$A$701,P544)))</f>
        <v/>
      </c>
      <c r="D544">
        <f>IF(OR(H544="",P544=""),"",INDEX('Students'!$B$2:$B$701,P544))</f>
        <v/>
      </c>
      <c r="E544">
        <f>IF(OR(H544="",P544=""),"",INDEX('Students'!$C$2:$C$701,P544))</f>
        <v/>
      </c>
      <c r="F544" s="48">
        <f>IF(H544="","",IF(ISNUMBER(O544),O544,J544))</f>
        <v/>
      </c>
      <c r="G544">
        <f>IF(H544="","","OneCause")</f>
        <v/>
      </c>
      <c r="H544">
        <f>IF(AND(I544="",J544="",K544=""),"",IF(NOT(ISNUMBER(O544)),"Bad amount",IF(O544&lt;0,"Refund (not counted)",IF(O544=0,"Zero amount",IF(NOT(ISNUMBER(N544)),"Bad date",IF(P544="","NAME NOT ON ROSTER",IF(L544="","OK",IF(MATCH(L544,$L$2:$L$3001,0)&lt;ROW()-1,"Duplicate (ignored)","OK"))))))))</f>
        <v/>
      </c>
      <c r="I544">
        <f>IF(OC_Date=0,"",IF(INDEX('OneCause_Paste'!$A$544:$AZ$544,1,OC_Date)="","",INDEX('OneCause_Paste'!$A$544:$AZ$544,1,OC_Date)))</f>
        <v/>
      </c>
      <c r="J544">
        <f>IF(OC_Amt=0,"",IF(INDEX('OneCause_Paste'!$A$544:$AZ$544,1,OC_Amt)="","",INDEX('OneCause_Paste'!$A$544:$AZ$544,1,OC_Amt)))</f>
        <v/>
      </c>
      <c r="K544">
        <f>IF(OC_Name=0,"",IF(INDEX('OneCause_Paste'!$A$544:$AZ$544,1,OC_Name)="","",INDEX('OneCause_Paste'!$A$544:$AZ$544,1,OC_Name)))</f>
        <v/>
      </c>
      <c r="L544">
        <f>IF(OC_Txn=0,"",IF(INDEX('OneCause_Paste'!$A$544:$AZ$544,1,OC_Txn)="","",INDEX('OneCause_Paste'!$A$544:$AZ$544,1,OC_Txn)))</f>
        <v/>
      </c>
      <c r="M544">
        <f>IF(OC_Pay=0,"",IF(INDEX('OneCause_Paste'!$A$544:$AZ$544,1,OC_Pay)="","",INDEX('OneCause_Paste'!$A$544:$AZ$544,1,OC_Pay)))</f>
        <v/>
      </c>
      <c r="N544">
        <f>IF(I544="","",IF(ISNUMBER(I544),INT(I544),IFERROR(INT(DATEVALUE(I544)),IFERROR(INT(VALUE(I544)),"bad"))))</f>
        <v/>
      </c>
      <c r="O544">
        <f>IF(J544="","",IF(ISNUMBER(J544),ROUND(J544,2),IFERROR(ROUND(VALUE(SUBSTITUTE(SUBSTITUTE(SUBSTITUTE(J544,"$",""),",","")," ","")),2),"bad")))</f>
        <v/>
      </c>
      <c r="P544">
        <f>IF(TRIM(K544)="","",IFERROR(MATCH(LOWER(TRIM(K544)),'Students'!$AH$2:$AH$701,0),IFERROR(MATCH(LOWER(TRIM(K544)),'Students'!$AF$2:$AF$701,0),IFERROR(MATCH(LOWER(TRIM(K544)),'Students'!$AG$2:$AG$701,0),""))))</f>
        <v/>
      </c>
      <c r="R544">
        <f>IF(P544="","",INDEX('Students'!$AD$2:$AD$701,P544))</f>
        <v/>
      </c>
      <c r="S544">
        <f>IF(H544="OK",O544,0)</f>
        <v/>
      </c>
      <c r="T544">
        <f>IF(H544="OK",N544,"")</f>
        <v/>
      </c>
      <c r="U544">
        <f>IF(OC_Donor=0,"",IF(INDEX('OneCause_Paste'!$A$544:$AZ$544,1,OC_Donor)="","",INDEX('OneCause_Paste'!$A$544:$AZ$544,1,OC_Donor)))</f>
        <v/>
      </c>
    </row>
    <row r="545">
      <c r="A545" s="62">
        <f>IF(H545="","",IF(ISNUMBER(N545),N545,I545))</f>
        <v/>
      </c>
      <c r="B545">
        <f>IF(H545="","",U545)</f>
        <v/>
      </c>
      <c r="C545">
        <f>IF(H545="","",IF(P545="",K545,INDEX('Students'!$A$2:$A$701,P545)))</f>
        <v/>
      </c>
      <c r="D545">
        <f>IF(OR(H545="",P545=""),"",INDEX('Students'!$B$2:$B$701,P545))</f>
        <v/>
      </c>
      <c r="E545">
        <f>IF(OR(H545="",P545=""),"",INDEX('Students'!$C$2:$C$701,P545))</f>
        <v/>
      </c>
      <c r="F545" s="48">
        <f>IF(H545="","",IF(ISNUMBER(O545),O545,J545))</f>
        <v/>
      </c>
      <c r="G545">
        <f>IF(H545="","","OneCause")</f>
        <v/>
      </c>
      <c r="H545">
        <f>IF(AND(I545="",J545="",K545=""),"",IF(NOT(ISNUMBER(O545)),"Bad amount",IF(O545&lt;0,"Refund (not counted)",IF(O545=0,"Zero amount",IF(NOT(ISNUMBER(N545)),"Bad date",IF(P545="","NAME NOT ON ROSTER",IF(L545="","OK",IF(MATCH(L545,$L$2:$L$3001,0)&lt;ROW()-1,"Duplicate (ignored)","OK"))))))))</f>
        <v/>
      </c>
      <c r="I545">
        <f>IF(OC_Date=0,"",IF(INDEX('OneCause_Paste'!$A$545:$AZ$545,1,OC_Date)="","",INDEX('OneCause_Paste'!$A$545:$AZ$545,1,OC_Date)))</f>
        <v/>
      </c>
      <c r="J545">
        <f>IF(OC_Amt=0,"",IF(INDEX('OneCause_Paste'!$A$545:$AZ$545,1,OC_Amt)="","",INDEX('OneCause_Paste'!$A$545:$AZ$545,1,OC_Amt)))</f>
        <v/>
      </c>
      <c r="K545">
        <f>IF(OC_Name=0,"",IF(INDEX('OneCause_Paste'!$A$545:$AZ$545,1,OC_Name)="","",INDEX('OneCause_Paste'!$A$545:$AZ$545,1,OC_Name)))</f>
        <v/>
      </c>
      <c r="L545">
        <f>IF(OC_Txn=0,"",IF(INDEX('OneCause_Paste'!$A$545:$AZ$545,1,OC_Txn)="","",INDEX('OneCause_Paste'!$A$545:$AZ$545,1,OC_Txn)))</f>
        <v/>
      </c>
      <c r="M545">
        <f>IF(OC_Pay=0,"",IF(INDEX('OneCause_Paste'!$A$545:$AZ$545,1,OC_Pay)="","",INDEX('OneCause_Paste'!$A$545:$AZ$545,1,OC_Pay)))</f>
        <v/>
      </c>
      <c r="N545">
        <f>IF(I545="","",IF(ISNUMBER(I545),INT(I545),IFERROR(INT(DATEVALUE(I545)),IFERROR(INT(VALUE(I545)),"bad"))))</f>
        <v/>
      </c>
      <c r="O545">
        <f>IF(J545="","",IF(ISNUMBER(J545),ROUND(J545,2),IFERROR(ROUND(VALUE(SUBSTITUTE(SUBSTITUTE(SUBSTITUTE(J545,"$",""),",","")," ","")),2),"bad")))</f>
        <v/>
      </c>
      <c r="P545">
        <f>IF(TRIM(K545)="","",IFERROR(MATCH(LOWER(TRIM(K545)),'Students'!$AH$2:$AH$701,0),IFERROR(MATCH(LOWER(TRIM(K545)),'Students'!$AF$2:$AF$701,0),IFERROR(MATCH(LOWER(TRIM(K545)),'Students'!$AG$2:$AG$701,0),""))))</f>
        <v/>
      </c>
      <c r="R545">
        <f>IF(P545="","",INDEX('Students'!$AD$2:$AD$701,P545))</f>
        <v/>
      </c>
      <c r="S545">
        <f>IF(H545="OK",O545,0)</f>
        <v/>
      </c>
      <c r="T545">
        <f>IF(H545="OK",N545,"")</f>
        <v/>
      </c>
      <c r="U545">
        <f>IF(OC_Donor=0,"",IF(INDEX('OneCause_Paste'!$A$545:$AZ$545,1,OC_Donor)="","",INDEX('OneCause_Paste'!$A$545:$AZ$545,1,OC_Donor)))</f>
        <v/>
      </c>
    </row>
    <row r="546">
      <c r="A546" s="62">
        <f>IF(H546="","",IF(ISNUMBER(N546),N546,I546))</f>
        <v/>
      </c>
      <c r="B546">
        <f>IF(H546="","",U546)</f>
        <v/>
      </c>
      <c r="C546">
        <f>IF(H546="","",IF(P546="",K546,INDEX('Students'!$A$2:$A$701,P546)))</f>
        <v/>
      </c>
      <c r="D546">
        <f>IF(OR(H546="",P546=""),"",INDEX('Students'!$B$2:$B$701,P546))</f>
        <v/>
      </c>
      <c r="E546">
        <f>IF(OR(H546="",P546=""),"",INDEX('Students'!$C$2:$C$701,P546))</f>
        <v/>
      </c>
      <c r="F546" s="48">
        <f>IF(H546="","",IF(ISNUMBER(O546),O546,J546))</f>
        <v/>
      </c>
      <c r="G546">
        <f>IF(H546="","","OneCause")</f>
        <v/>
      </c>
      <c r="H546">
        <f>IF(AND(I546="",J546="",K546=""),"",IF(NOT(ISNUMBER(O546)),"Bad amount",IF(O546&lt;0,"Refund (not counted)",IF(O546=0,"Zero amount",IF(NOT(ISNUMBER(N546)),"Bad date",IF(P546="","NAME NOT ON ROSTER",IF(L546="","OK",IF(MATCH(L546,$L$2:$L$3001,0)&lt;ROW()-1,"Duplicate (ignored)","OK"))))))))</f>
        <v/>
      </c>
      <c r="I546">
        <f>IF(OC_Date=0,"",IF(INDEX('OneCause_Paste'!$A$546:$AZ$546,1,OC_Date)="","",INDEX('OneCause_Paste'!$A$546:$AZ$546,1,OC_Date)))</f>
        <v/>
      </c>
      <c r="J546">
        <f>IF(OC_Amt=0,"",IF(INDEX('OneCause_Paste'!$A$546:$AZ$546,1,OC_Amt)="","",INDEX('OneCause_Paste'!$A$546:$AZ$546,1,OC_Amt)))</f>
        <v/>
      </c>
      <c r="K546">
        <f>IF(OC_Name=0,"",IF(INDEX('OneCause_Paste'!$A$546:$AZ$546,1,OC_Name)="","",INDEX('OneCause_Paste'!$A$546:$AZ$546,1,OC_Name)))</f>
        <v/>
      </c>
      <c r="L546">
        <f>IF(OC_Txn=0,"",IF(INDEX('OneCause_Paste'!$A$546:$AZ$546,1,OC_Txn)="","",INDEX('OneCause_Paste'!$A$546:$AZ$546,1,OC_Txn)))</f>
        <v/>
      </c>
      <c r="M546">
        <f>IF(OC_Pay=0,"",IF(INDEX('OneCause_Paste'!$A$546:$AZ$546,1,OC_Pay)="","",INDEX('OneCause_Paste'!$A$546:$AZ$546,1,OC_Pay)))</f>
        <v/>
      </c>
      <c r="N546">
        <f>IF(I546="","",IF(ISNUMBER(I546),INT(I546),IFERROR(INT(DATEVALUE(I546)),IFERROR(INT(VALUE(I546)),"bad"))))</f>
        <v/>
      </c>
      <c r="O546">
        <f>IF(J546="","",IF(ISNUMBER(J546),ROUND(J546,2),IFERROR(ROUND(VALUE(SUBSTITUTE(SUBSTITUTE(SUBSTITUTE(J546,"$",""),",","")," ","")),2),"bad")))</f>
        <v/>
      </c>
      <c r="P546">
        <f>IF(TRIM(K546)="","",IFERROR(MATCH(LOWER(TRIM(K546)),'Students'!$AH$2:$AH$701,0),IFERROR(MATCH(LOWER(TRIM(K546)),'Students'!$AF$2:$AF$701,0),IFERROR(MATCH(LOWER(TRIM(K546)),'Students'!$AG$2:$AG$701,0),""))))</f>
        <v/>
      </c>
      <c r="R546">
        <f>IF(P546="","",INDEX('Students'!$AD$2:$AD$701,P546))</f>
        <v/>
      </c>
      <c r="S546">
        <f>IF(H546="OK",O546,0)</f>
        <v/>
      </c>
      <c r="T546">
        <f>IF(H546="OK",N546,"")</f>
        <v/>
      </c>
      <c r="U546">
        <f>IF(OC_Donor=0,"",IF(INDEX('OneCause_Paste'!$A$546:$AZ$546,1,OC_Donor)="","",INDEX('OneCause_Paste'!$A$546:$AZ$546,1,OC_Donor)))</f>
        <v/>
      </c>
    </row>
    <row r="547">
      <c r="A547" s="62">
        <f>IF(H547="","",IF(ISNUMBER(N547),N547,I547))</f>
        <v/>
      </c>
      <c r="B547">
        <f>IF(H547="","",U547)</f>
        <v/>
      </c>
      <c r="C547">
        <f>IF(H547="","",IF(P547="",K547,INDEX('Students'!$A$2:$A$701,P547)))</f>
        <v/>
      </c>
      <c r="D547">
        <f>IF(OR(H547="",P547=""),"",INDEX('Students'!$B$2:$B$701,P547))</f>
        <v/>
      </c>
      <c r="E547">
        <f>IF(OR(H547="",P547=""),"",INDEX('Students'!$C$2:$C$701,P547))</f>
        <v/>
      </c>
      <c r="F547" s="48">
        <f>IF(H547="","",IF(ISNUMBER(O547),O547,J547))</f>
        <v/>
      </c>
      <c r="G547">
        <f>IF(H547="","","OneCause")</f>
        <v/>
      </c>
      <c r="H547">
        <f>IF(AND(I547="",J547="",K547=""),"",IF(NOT(ISNUMBER(O547)),"Bad amount",IF(O547&lt;0,"Refund (not counted)",IF(O547=0,"Zero amount",IF(NOT(ISNUMBER(N547)),"Bad date",IF(P547="","NAME NOT ON ROSTER",IF(L547="","OK",IF(MATCH(L547,$L$2:$L$3001,0)&lt;ROW()-1,"Duplicate (ignored)","OK"))))))))</f>
        <v/>
      </c>
      <c r="I547">
        <f>IF(OC_Date=0,"",IF(INDEX('OneCause_Paste'!$A$547:$AZ$547,1,OC_Date)="","",INDEX('OneCause_Paste'!$A$547:$AZ$547,1,OC_Date)))</f>
        <v/>
      </c>
      <c r="J547">
        <f>IF(OC_Amt=0,"",IF(INDEX('OneCause_Paste'!$A$547:$AZ$547,1,OC_Amt)="","",INDEX('OneCause_Paste'!$A$547:$AZ$547,1,OC_Amt)))</f>
        <v/>
      </c>
      <c r="K547">
        <f>IF(OC_Name=0,"",IF(INDEX('OneCause_Paste'!$A$547:$AZ$547,1,OC_Name)="","",INDEX('OneCause_Paste'!$A$547:$AZ$547,1,OC_Name)))</f>
        <v/>
      </c>
      <c r="L547">
        <f>IF(OC_Txn=0,"",IF(INDEX('OneCause_Paste'!$A$547:$AZ$547,1,OC_Txn)="","",INDEX('OneCause_Paste'!$A$547:$AZ$547,1,OC_Txn)))</f>
        <v/>
      </c>
      <c r="M547">
        <f>IF(OC_Pay=0,"",IF(INDEX('OneCause_Paste'!$A$547:$AZ$547,1,OC_Pay)="","",INDEX('OneCause_Paste'!$A$547:$AZ$547,1,OC_Pay)))</f>
        <v/>
      </c>
      <c r="N547">
        <f>IF(I547="","",IF(ISNUMBER(I547),INT(I547),IFERROR(INT(DATEVALUE(I547)),IFERROR(INT(VALUE(I547)),"bad"))))</f>
        <v/>
      </c>
      <c r="O547">
        <f>IF(J547="","",IF(ISNUMBER(J547),ROUND(J547,2),IFERROR(ROUND(VALUE(SUBSTITUTE(SUBSTITUTE(SUBSTITUTE(J547,"$",""),",","")," ","")),2),"bad")))</f>
        <v/>
      </c>
      <c r="P547">
        <f>IF(TRIM(K547)="","",IFERROR(MATCH(LOWER(TRIM(K547)),'Students'!$AH$2:$AH$701,0),IFERROR(MATCH(LOWER(TRIM(K547)),'Students'!$AF$2:$AF$701,0),IFERROR(MATCH(LOWER(TRIM(K547)),'Students'!$AG$2:$AG$701,0),""))))</f>
        <v/>
      </c>
      <c r="R547">
        <f>IF(P547="","",INDEX('Students'!$AD$2:$AD$701,P547))</f>
        <v/>
      </c>
      <c r="S547">
        <f>IF(H547="OK",O547,0)</f>
        <v/>
      </c>
      <c r="T547">
        <f>IF(H547="OK",N547,"")</f>
        <v/>
      </c>
      <c r="U547">
        <f>IF(OC_Donor=0,"",IF(INDEX('OneCause_Paste'!$A$547:$AZ$547,1,OC_Donor)="","",INDEX('OneCause_Paste'!$A$547:$AZ$547,1,OC_Donor)))</f>
        <v/>
      </c>
    </row>
    <row r="548">
      <c r="A548" s="62">
        <f>IF(H548="","",IF(ISNUMBER(N548),N548,I548))</f>
        <v/>
      </c>
      <c r="B548">
        <f>IF(H548="","",U548)</f>
        <v/>
      </c>
      <c r="C548">
        <f>IF(H548="","",IF(P548="",K548,INDEX('Students'!$A$2:$A$701,P548)))</f>
        <v/>
      </c>
      <c r="D548">
        <f>IF(OR(H548="",P548=""),"",INDEX('Students'!$B$2:$B$701,P548))</f>
        <v/>
      </c>
      <c r="E548">
        <f>IF(OR(H548="",P548=""),"",INDEX('Students'!$C$2:$C$701,P548))</f>
        <v/>
      </c>
      <c r="F548" s="48">
        <f>IF(H548="","",IF(ISNUMBER(O548),O548,J548))</f>
        <v/>
      </c>
      <c r="G548">
        <f>IF(H548="","","OneCause")</f>
        <v/>
      </c>
      <c r="H548">
        <f>IF(AND(I548="",J548="",K548=""),"",IF(NOT(ISNUMBER(O548)),"Bad amount",IF(O548&lt;0,"Refund (not counted)",IF(O548=0,"Zero amount",IF(NOT(ISNUMBER(N548)),"Bad date",IF(P548="","NAME NOT ON ROSTER",IF(L548="","OK",IF(MATCH(L548,$L$2:$L$3001,0)&lt;ROW()-1,"Duplicate (ignored)","OK"))))))))</f>
        <v/>
      </c>
      <c r="I548">
        <f>IF(OC_Date=0,"",IF(INDEX('OneCause_Paste'!$A$548:$AZ$548,1,OC_Date)="","",INDEX('OneCause_Paste'!$A$548:$AZ$548,1,OC_Date)))</f>
        <v/>
      </c>
      <c r="J548">
        <f>IF(OC_Amt=0,"",IF(INDEX('OneCause_Paste'!$A$548:$AZ$548,1,OC_Amt)="","",INDEX('OneCause_Paste'!$A$548:$AZ$548,1,OC_Amt)))</f>
        <v/>
      </c>
      <c r="K548">
        <f>IF(OC_Name=0,"",IF(INDEX('OneCause_Paste'!$A$548:$AZ$548,1,OC_Name)="","",INDEX('OneCause_Paste'!$A$548:$AZ$548,1,OC_Name)))</f>
        <v/>
      </c>
      <c r="L548">
        <f>IF(OC_Txn=0,"",IF(INDEX('OneCause_Paste'!$A$548:$AZ$548,1,OC_Txn)="","",INDEX('OneCause_Paste'!$A$548:$AZ$548,1,OC_Txn)))</f>
        <v/>
      </c>
      <c r="M548">
        <f>IF(OC_Pay=0,"",IF(INDEX('OneCause_Paste'!$A$548:$AZ$548,1,OC_Pay)="","",INDEX('OneCause_Paste'!$A$548:$AZ$548,1,OC_Pay)))</f>
        <v/>
      </c>
      <c r="N548">
        <f>IF(I548="","",IF(ISNUMBER(I548),INT(I548),IFERROR(INT(DATEVALUE(I548)),IFERROR(INT(VALUE(I548)),"bad"))))</f>
        <v/>
      </c>
      <c r="O548">
        <f>IF(J548="","",IF(ISNUMBER(J548),ROUND(J548,2),IFERROR(ROUND(VALUE(SUBSTITUTE(SUBSTITUTE(SUBSTITUTE(J548,"$",""),",","")," ","")),2),"bad")))</f>
        <v/>
      </c>
      <c r="P548">
        <f>IF(TRIM(K548)="","",IFERROR(MATCH(LOWER(TRIM(K548)),'Students'!$AH$2:$AH$701,0),IFERROR(MATCH(LOWER(TRIM(K548)),'Students'!$AF$2:$AF$701,0),IFERROR(MATCH(LOWER(TRIM(K548)),'Students'!$AG$2:$AG$701,0),""))))</f>
        <v/>
      </c>
      <c r="R548">
        <f>IF(P548="","",INDEX('Students'!$AD$2:$AD$701,P548))</f>
        <v/>
      </c>
      <c r="S548">
        <f>IF(H548="OK",O548,0)</f>
        <v/>
      </c>
      <c r="T548">
        <f>IF(H548="OK",N548,"")</f>
        <v/>
      </c>
      <c r="U548">
        <f>IF(OC_Donor=0,"",IF(INDEX('OneCause_Paste'!$A$548:$AZ$548,1,OC_Donor)="","",INDEX('OneCause_Paste'!$A$548:$AZ$548,1,OC_Donor)))</f>
        <v/>
      </c>
    </row>
    <row r="549">
      <c r="A549" s="62">
        <f>IF(H549="","",IF(ISNUMBER(N549),N549,I549))</f>
        <v/>
      </c>
      <c r="B549">
        <f>IF(H549="","",U549)</f>
        <v/>
      </c>
      <c r="C549">
        <f>IF(H549="","",IF(P549="",K549,INDEX('Students'!$A$2:$A$701,P549)))</f>
        <v/>
      </c>
      <c r="D549">
        <f>IF(OR(H549="",P549=""),"",INDEX('Students'!$B$2:$B$701,P549))</f>
        <v/>
      </c>
      <c r="E549">
        <f>IF(OR(H549="",P549=""),"",INDEX('Students'!$C$2:$C$701,P549))</f>
        <v/>
      </c>
      <c r="F549" s="48">
        <f>IF(H549="","",IF(ISNUMBER(O549),O549,J549))</f>
        <v/>
      </c>
      <c r="G549">
        <f>IF(H549="","","OneCause")</f>
        <v/>
      </c>
      <c r="H549">
        <f>IF(AND(I549="",J549="",K549=""),"",IF(NOT(ISNUMBER(O549)),"Bad amount",IF(O549&lt;0,"Refund (not counted)",IF(O549=0,"Zero amount",IF(NOT(ISNUMBER(N549)),"Bad date",IF(P549="","NAME NOT ON ROSTER",IF(L549="","OK",IF(MATCH(L549,$L$2:$L$3001,0)&lt;ROW()-1,"Duplicate (ignored)","OK"))))))))</f>
        <v/>
      </c>
      <c r="I549">
        <f>IF(OC_Date=0,"",IF(INDEX('OneCause_Paste'!$A$549:$AZ$549,1,OC_Date)="","",INDEX('OneCause_Paste'!$A$549:$AZ$549,1,OC_Date)))</f>
        <v/>
      </c>
      <c r="J549">
        <f>IF(OC_Amt=0,"",IF(INDEX('OneCause_Paste'!$A$549:$AZ$549,1,OC_Amt)="","",INDEX('OneCause_Paste'!$A$549:$AZ$549,1,OC_Amt)))</f>
        <v/>
      </c>
      <c r="K549">
        <f>IF(OC_Name=0,"",IF(INDEX('OneCause_Paste'!$A$549:$AZ$549,1,OC_Name)="","",INDEX('OneCause_Paste'!$A$549:$AZ$549,1,OC_Name)))</f>
        <v/>
      </c>
      <c r="L549">
        <f>IF(OC_Txn=0,"",IF(INDEX('OneCause_Paste'!$A$549:$AZ$549,1,OC_Txn)="","",INDEX('OneCause_Paste'!$A$549:$AZ$549,1,OC_Txn)))</f>
        <v/>
      </c>
      <c r="M549">
        <f>IF(OC_Pay=0,"",IF(INDEX('OneCause_Paste'!$A$549:$AZ$549,1,OC_Pay)="","",INDEX('OneCause_Paste'!$A$549:$AZ$549,1,OC_Pay)))</f>
        <v/>
      </c>
      <c r="N549">
        <f>IF(I549="","",IF(ISNUMBER(I549),INT(I549),IFERROR(INT(DATEVALUE(I549)),IFERROR(INT(VALUE(I549)),"bad"))))</f>
        <v/>
      </c>
      <c r="O549">
        <f>IF(J549="","",IF(ISNUMBER(J549),ROUND(J549,2),IFERROR(ROUND(VALUE(SUBSTITUTE(SUBSTITUTE(SUBSTITUTE(J549,"$",""),",","")," ","")),2),"bad")))</f>
        <v/>
      </c>
      <c r="P549">
        <f>IF(TRIM(K549)="","",IFERROR(MATCH(LOWER(TRIM(K549)),'Students'!$AH$2:$AH$701,0),IFERROR(MATCH(LOWER(TRIM(K549)),'Students'!$AF$2:$AF$701,0),IFERROR(MATCH(LOWER(TRIM(K549)),'Students'!$AG$2:$AG$701,0),""))))</f>
        <v/>
      </c>
      <c r="R549">
        <f>IF(P549="","",INDEX('Students'!$AD$2:$AD$701,P549))</f>
        <v/>
      </c>
      <c r="S549">
        <f>IF(H549="OK",O549,0)</f>
        <v/>
      </c>
      <c r="T549">
        <f>IF(H549="OK",N549,"")</f>
        <v/>
      </c>
      <c r="U549">
        <f>IF(OC_Donor=0,"",IF(INDEX('OneCause_Paste'!$A$549:$AZ$549,1,OC_Donor)="","",INDEX('OneCause_Paste'!$A$549:$AZ$549,1,OC_Donor)))</f>
        <v/>
      </c>
    </row>
    <row r="550">
      <c r="A550" s="62">
        <f>IF(H550="","",IF(ISNUMBER(N550),N550,I550))</f>
        <v/>
      </c>
      <c r="B550">
        <f>IF(H550="","",U550)</f>
        <v/>
      </c>
      <c r="C550">
        <f>IF(H550="","",IF(P550="",K550,INDEX('Students'!$A$2:$A$701,P550)))</f>
        <v/>
      </c>
      <c r="D550">
        <f>IF(OR(H550="",P550=""),"",INDEX('Students'!$B$2:$B$701,P550))</f>
        <v/>
      </c>
      <c r="E550">
        <f>IF(OR(H550="",P550=""),"",INDEX('Students'!$C$2:$C$701,P550))</f>
        <v/>
      </c>
      <c r="F550" s="48">
        <f>IF(H550="","",IF(ISNUMBER(O550),O550,J550))</f>
        <v/>
      </c>
      <c r="G550">
        <f>IF(H550="","","OneCause")</f>
        <v/>
      </c>
      <c r="H550">
        <f>IF(AND(I550="",J550="",K550=""),"",IF(NOT(ISNUMBER(O550)),"Bad amount",IF(O550&lt;0,"Refund (not counted)",IF(O550=0,"Zero amount",IF(NOT(ISNUMBER(N550)),"Bad date",IF(P550="","NAME NOT ON ROSTER",IF(L550="","OK",IF(MATCH(L550,$L$2:$L$3001,0)&lt;ROW()-1,"Duplicate (ignored)","OK"))))))))</f>
        <v/>
      </c>
      <c r="I550">
        <f>IF(OC_Date=0,"",IF(INDEX('OneCause_Paste'!$A$550:$AZ$550,1,OC_Date)="","",INDEX('OneCause_Paste'!$A$550:$AZ$550,1,OC_Date)))</f>
        <v/>
      </c>
      <c r="J550">
        <f>IF(OC_Amt=0,"",IF(INDEX('OneCause_Paste'!$A$550:$AZ$550,1,OC_Amt)="","",INDEX('OneCause_Paste'!$A$550:$AZ$550,1,OC_Amt)))</f>
        <v/>
      </c>
      <c r="K550">
        <f>IF(OC_Name=0,"",IF(INDEX('OneCause_Paste'!$A$550:$AZ$550,1,OC_Name)="","",INDEX('OneCause_Paste'!$A$550:$AZ$550,1,OC_Name)))</f>
        <v/>
      </c>
      <c r="L550">
        <f>IF(OC_Txn=0,"",IF(INDEX('OneCause_Paste'!$A$550:$AZ$550,1,OC_Txn)="","",INDEX('OneCause_Paste'!$A$550:$AZ$550,1,OC_Txn)))</f>
        <v/>
      </c>
      <c r="M550">
        <f>IF(OC_Pay=0,"",IF(INDEX('OneCause_Paste'!$A$550:$AZ$550,1,OC_Pay)="","",INDEX('OneCause_Paste'!$A$550:$AZ$550,1,OC_Pay)))</f>
        <v/>
      </c>
      <c r="N550">
        <f>IF(I550="","",IF(ISNUMBER(I550),INT(I550),IFERROR(INT(DATEVALUE(I550)),IFERROR(INT(VALUE(I550)),"bad"))))</f>
        <v/>
      </c>
      <c r="O550">
        <f>IF(J550="","",IF(ISNUMBER(J550),ROUND(J550,2),IFERROR(ROUND(VALUE(SUBSTITUTE(SUBSTITUTE(SUBSTITUTE(J550,"$",""),",","")," ","")),2),"bad")))</f>
        <v/>
      </c>
      <c r="P550">
        <f>IF(TRIM(K550)="","",IFERROR(MATCH(LOWER(TRIM(K550)),'Students'!$AH$2:$AH$701,0),IFERROR(MATCH(LOWER(TRIM(K550)),'Students'!$AF$2:$AF$701,0),IFERROR(MATCH(LOWER(TRIM(K550)),'Students'!$AG$2:$AG$701,0),""))))</f>
        <v/>
      </c>
      <c r="R550">
        <f>IF(P550="","",INDEX('Students'!$AD$2:$AD$701,P550))</f>
        <v/>
      </c>
      <c r="S550">
        <f>IF(H550="OK",O550,0)</f>
        <v/>
      </c>
      <c r="T550">
        <f>IF(H550="OK",N550,"")</f>
        <v/>
      </c>
      <c r="U550">
        <f>IF(OC_Donor=0,"",IF(INDEX('OneCause_Paste'!$A$550:$AZ$550,1,OC_Donor)="","",INDEX('OneCause_Paste'!$A$550:$AZ$550,1,OC_Donor)))</f>
        <v/>
      </c>
    </row>
    <row r="551">
      <c r="A551" s="62">
        <f>IF(H551="","",IF(ISNUMBER(N551),N551,I551))</f>
        <v/>
      </c>
      <c r="B551">
        <f>IF(H551="","",U551)</f>
        <v/>
      </c>
      <c r="C551">
        <f>IF(H551="","",IF(P551="",K551,INDEX('Students'!$A$2:$A$701,P551)))</f>
        <v/>
      </c>
      <c r="D551">
        <f>IF(OR(H551="",P551=""),"",INDEX('Students'!$B$2:$B$701,P551))</f>
        <v/>
      </c>
      <c r="E551">
        <f>IF(OR(H551="",P551=""),"",INDEX('Students'!$C$2:$C$701,P551))</f>
        <v/>
      </c>
      <c r="F551" s="48">
        <f>IF(H551="","",IF(ISNUMBER(O551),O551,J551))</f>
        <v/>
      </c>
      <c r="G551">
        <f>IF(H551="","","OneCause")</f>
        <v/>
      </c>
      <c r="H551">
        <f>IF(AND(I551="",J551="",K551=""),"",IF(NOT(ISNUMBER(O551)),"Bad amount",IF(O551&lt;0,"Refund (not counted)",IF(O551=0,"Zero amount",IF(NOT(ISNUMBER(N551)),"Bad date",IF(P551="","NAME NOT ON ROSTER",IF(L551="","OK",IF(MATCH(L551,$L$2:$L$3001,0)&lt;ROW()-1,"Duplicate (ignored)","OK"))))))))</f>
        <v/>
      </c>
      <c r="I551">
        <f>IF(OC_Date=0,"",IF(INDEX('OneCause_Paste'!$A$551:$AZ$551,1,OC_Date)="","",INDEX('OneCause_Paste'!$A$551:$AZ$551,1,OC_Date)))</f>
        <v/>
      </c>
      <c r="J551">
        <f>IF(OC_Amt=0,"",IF(INDEX('OneCause_Paste'!$A$551:$AZ$551,1,OC_Amt)="","",INDEX('OneCause_Paste'!$A$551:$AZ$551,1,OC_Amt)))</f>
        <v/>
      </c>
      <c r="K551">
        <f>IF(OC_Name=0,"",IF(INDEX('OneCause_Paste'!$A$551:$AZ$551,1,OC_Name)="","",INDEX('OneCause_Paste'!$A$551:$AZ$551,1,OC_Name)))</f>
        <v/>
      </c>
      <c r="L551">
        <f>IF(OC_Txn=0,"",IF(INDEX('OneCause_Paste'!$A$551:$AZ$551,1,OC_Txn)="","",INDEX('OneCause_Paste'!$A$551:$AZ$551,1,OC_Txn)))</f>
        <v/>
      </c>
      <c r="M551">
        <f>IF(OC_Pay=0,"",IF(INDEX('OneCause_Paste'!$A$551:$AZ$551,1,OC_Pay)="","",INDEX('OneCause_Paste'!$A$551:$AZ$551,1,OC_Pay)))</f>
        <v/>
      </c>
      <c r="N551">
        <f>IF(I551="","",IF(ISNUMBER(I551),INT(I551),IFERROR(INT(DATEVALUE(I551)),IFERROR(INT(VALUE(I551)),"bad"))))</f>
        <v/>
      </c>
      <c r="O551">
        <f>IF(J551="","",IF(ISNUMBER(J551),ROUND(J551,2),IFERROR(ROUND(VALUE(SUBSTITUTE(SUBSTITUTE(SUBSTITUTE(J551,"$",""),",","")," ","")),2),"bad")))</f>
        <v/>
      </c>
      <c r="P551">
        <f>IF(TRIM(K551)="","",IFERROR(MATCH(LOWER(TRIM(K551)),'Students'!$AH$2:$AH$701,0),IFERROR(MATCH(LOWER(TRIM(K551)),'Students'!$AF$2:$AF$701,0),IFERROR(MATCH(LOWER(TRIM(K551)),'Students'!$AG$2:$AG$701,0),""))))</f>
        <v/>
      </c>
      <c r="R551">
        <f>IF(P551="","",INDEX('Students'!$AD$2:$AD$701,P551))</f>
        <v/>
      </c>
      <c r="S551">
        <f>IF(H551="OK",O551,0)</f>
        <v/>
      </c>
      <c r="T551">
        <f>IF(H551="OK",N551,"")</f>
        <v/>
      </c>
      <c r="U551">
        <f>IF(OC_Donor=0,"",IF(INDEX('OneCause_Paste'!$A$551:$AZ$551,1,OC_Donor)="","",INDEX('OneCause_Paste'!$A$551:$AZ$551,1,OC_Donor)))</f>
        <v/>
      </c>
    </row>
    <row r="552">
      <c r="A552" s="62">
        <f>IF(H552="","",IF(ISNUMBER(N552),N552,I552))</f>
        <v/>
      </c>
      <c r="B552">
        <f>IF(H552="","",U552)</f>
        <v/>
      </c>
      <c r="C552">
        <f>IF(H552="","",IF(P552="",K552,INDEX('Students'!$A$2:$A$701,P552)))</f>
        <v/>
      </c>
      <c r="D552">
        <f>IF(OR(H552="",P552=""),"",INDEX('Students'!$B$2:$B$701,P552))</f>
        <v/>
      </c>
      <c r="E552">
        <f>IF(OR(H552="",P552=""),"",INDEX('Students'!$C$2:$C$701,P552))</f>
        <v/>
      </c>
      <c r="F552" s="48">
        <f>IF(H552="","",IF(ISNUMBER(O552),O552,J552))</f>
        <v/>
      </c>
      <c r="G552">
        <f>IF(H552="","","OneCause")</f>
        <v/>
      </c>
      <c r="H552">
        <f>IF(AND(I552="",J552="",K552=""),"",IF(NOT(ISNUMBER(O552)),"Bad amount",IF(O552&lt;0,"Refund (not counted)",IF(O552=0,"Zero amount",IF(NOT(ISNUMBER(N552)),"Bad date",IF(P552="","NAME NOT ON ROSTER",IF(L552="","OK",IF(MATCH(L552,$L$2:$L$3001,0)&lt;ROW()-1,"Duplicate (ignored)","OK"))))))))</f>
        <v/>
      </c>
      <c r="I552">
        <f>IF(OC_Date=0,"",IF(INDEX('OneCause_Paste'!$A$552:$AZ$552,1,OC_Date)="","",INDEX('OneCause_Paste'!$A$552:$AZ$552,1,OC_Date)))</f>
        <v/>
      </c>
      <c r="J552">
        <f>IF(OC_Amt=0,"",IF(INDEX('OneCause_Paste'!$A$552:$AZ$552,1,OC_Amt)="","",INDEX('OneCause_Paste'!$A$552:$AZ$552,1,OC_Amt)))</f>
        <v/>
      </c>
      <c r="K552">
        <f>IF(OC_Name=0,"",IF(INDEX('OneCause_Paste'!$A$552:$AZ$552,1,OC_Name)="","",INDEX('OneCause_Paste'!$A$552:$AZ$552,1,OC_Name)))</f>
        <v/>
      </c>
      <c r="L552">
        <f>IF(OC_Txn=0,"",IF(INDEX('OneCause_Paste'!$A$552:$AZ$552,1,OC_Txn)="","",INDEX('OneCause_Paste'!$A$552:$AZ$552,1,OC_Txn)))</f>
        <v/>
      </c>
      <c r="M552">
        <f>IF(OC_Pay=0,"",IF(INDEX('OneCause_Paste'!$A$552:$AZ$552,1,OC_Pay)="","",INDEX('OneCause_Paste'!$A$552:$AZ$552,1,OC_Pay)))</f>
        <v/>
      </c>
      <c r="N552">
        <f>IF(I552="","",IF(ISNUMBER(I552),INT(I552),IFERROR(INT(DATEVALUE(I552)),IFERROR(INT(VALUE(I552)),"bad"))))</f>
        <v/>
      </c>
      <c r="O552">
        <f>IF(J552="","",IF(ISNUMBER(J552),ROUND(J552,2),IFERROR(ROUND(VALUE(SUBSTITUTE(SUBSTITUTE(SUBSTITUTE(J552,"$",""),",","")," ","")),2),"bad")))</f>
        <v/>
      </c>
      <c r="P552">
        <f>IF(TRIM(K552)="","",IFERROR(MATCH(LOWER(TRIM(K552)),'Students'!$AH$2:$AH$701,0),IFERROR(MATCH(LOWER(TRIM(K552)),'Students'!$AF$2:$AF$701,0),IFERROR(MATCH(LOWER(TRIM(K552)),'Students'!$AG$2:$AG$701,0),""))))</f>
        <v/>
      </c>
      <c r="R552">
        <f>IF(P552="","",INDEX('Students'!$AD$2:$AD$701,P552))</f>
        <v/>
      </c>
      <c r="S552">
        <f>IF(H552="OK",O552,0)</f>
        <v/>
      </c>
      <c r="T552">
        <f>IF(H552="OK",N552,"")</f>
        <v/>
      </c>
      <c r="U552">
        <f>IF(OC_Donor=0,"",IF(INDEX('OneCause_Paste'!$A$552:$AZ$552,1,OC_Donor)="","",INDEX('OneCause_Paste'!$A$552:$AZ$552,1,OC_Donor)))</f>
        <v/>
      </c>
    </row>
    <row r="553">
      <c r="A553" s="62">
        <f>IF(H553="","",IF(ISNUMBER(N553),N553,I553))</f>
        <v/>
      </c>
      <c r="B553">
        <f>IF(H553="","",U553)</f>
        <v/>
      </c>
      <c r="C553">
        <f>IF(H553="","",IF(P553="",K553,INDEX('Students'!$A$2:$A$701,P553)))</f>
        <v/>
      </c>
      <c r="D553">
        <f>IF(OR(H553="",P553=""),"",INDEX('Students'!$B$2:$B$701,P553))</f>
        <v/>
      </c>
      <c r="E553">
        <f>IF(OR(H553="",P553=""),"",INDEX('Students'!$C$2:$C$701,P553))</f>
        <v/>
      </c>
      <c r="F553" s="48">
        <f>IF(H553="","",IF(ISNUMBER(O553),O553,J553))</f>
        <v/>
      </c>
      <c r="G553">
        <f>IF(H553="","","OneCause")</f>
        <v/>
      </c>
      <c r="H553">
        <f>IF(AND(I553="",J553="",K553=""),"",IF(NOT(ISNUMBER(O553)),"Bad amount",IF(O553&lt;0,"Refund (not counted)",IF(O553=0,"Zero amount",IF(NOT(ISNUMBER(N553)),"Bad date",IF(P553="","NAME NOT ON ROSTER",IF(L553="","OK",IF(MATCH(L553,$L$2:$L$3001,0)&lt;ROW()-1,"Duplicate (ignored)","OK"))))))))</f>
        <v/>
      </c>
      <c r="I553">
        <f>IF(OC_Date=0,"",IF(INDEX('OneCause_Paste'!$A$553:$AZ$553,1,OC_Date)="","",INDEX('OneCause_Paste'!$A$553:$AZ$553,1,OC_Date)))</f>
        <v/>
      </c>
      <c r="J553">
        <f>IF(OC_Amt=0,"",IF(INDEX('OneCause_Paste'!$A$553:$AZ$553,1,OC_Amt)="","",INDEX('OneCause_Paste'!$A$553:$AZ$553,1,OC_Amt)))</f>
        <v/>
      </c>
      <c r="K553">
        <f>IF(OC_Name=0,"",IF(INDEX('OneCause_Paste'!$A$553:$AZ$553,1,OC_Name)="","",INDEX('OneCause_Paste'!$A$553:$AZ$553,1,OC_Name)))</f>
        <v/>
      </c>
      <c r="L553">
        <f>IF(OC_Txn=0,"",IF(INDEX('OneCause_Paste'!$A$553:$AZ$553,1,OC_Txn)="","",INDEX('OneCause_Paste'!$A$553:$AZ$553,1,OC_Txn)))</f>
        <v/>
      </c>
      <c r="M553">
        <f>IF(OC_Pay=0,"",IF(INDEX('OneCause_Paste'!$A$553:$AZ$553,1,OC_Pay)="","",INDEX('OneCause_Paste'!$A$553:$AZ$553,1,OC_Pay)))</f>
        <v/>
      </c>
      <c r="N553">
        <f>IF(I553="","",IF(ISNUMBER(I553),INT(I553),IFERROR(INT(DATEVALUE(I553)),IFERROR(INT(VALUE(I553)),"bad"))))</f>
        <v/>
      </c>
      <c r="O553">
        <f>IF(J553="","",IF(ISNUMBER(J553),ROUND(J553,2),IFERROR(ROUND(VALUE(SUBSTITUTE(SUBSTITUTE(SUBSTITUTE(J553,"$",""),",","")," ","")),2),"bad")))</f>
        <v/>
      </c>
      <c r="P553">
        <f>IF(TRIM(K553)="","",IFERROR(MATCH(LOWER(TRIM(K553)),'Students'!$AH$2:$AH$701,0),IFERROR(MATCH(LOWER(TRIM(K553)),'Students'!$AF$2:$AF$701,0),IFERROR(MATCH(LOWER(TRIM(K553)),'Students'!$AG$2:$AG$701,0),""))))</f>
        <v/>
      </c>
      <c r="R553">
        <f>IF(P553="","",INDEX('Students'!$AD$2:$AD$701,P553))</f>
        <v/>
      </c>
      <c r="S553">
        <f>IF(H553="OK",O553,0)</f>
        <v/>
      </c>
      <c r="T553">
        <f>IF(H553="OK",N553,"")</f>
        <v/>
      </c>
      <c r="U553">
        <f>IF(OC_Donor=0,"",IF(INDEX('OneCause_Paste'!$A$553:$AZ$553,1,OC_Donor)="","",INDEX('OneCause_Paste'!$A$553:$AZ$553,1,OC_Donor)))</f>
        <v/>
      </c>
    </row>
    <row r="554">
      <c r="A554" s="62">
        <f>IF(H554="","",IF(ISNUMBER(N554),N554,I554))</f>
        <v/>
      </c>
      <c r="B554">
        <f>IF(H554="","",U554)</f>
        <v/>
      </c>
      <c r="C554">
        <f>IF(H554="","",IF(P554="",K554,INDEX('Students'!$A$2:$A$701,P554)))</f>
        <v/>
      </c>
      <c r="D554">
        <f>IF(OR(H554="",P554=""),"",INDEX('Students'!$B$2:$B$701,P554))</f>
        <v/>
      </c>
      <c r="E554">
        <f>IF(OR(H554="",P554=""),"",INDEX('Students'!$C$2:$C$701,P554))</f>
        <v/>
      </c>
      <c r="F554" s="48">
        <f>IF(H554="","",IF(ISNUMBER(O554),O554,J554))</f>
        <v/>
      </c>
      <c r="G554">
        <f>IF(H554="","","OneCause")</f>
        <v/>
      </c>
      <c r="H554">
        <f>IF(AND(I554="",J554="",K554=""),"",IF(NOT(ISNUMBER(O554)),"Bad amount",IF(O554&lt;0,"Refund (not counted)",IF(O554=0,"Zero amount",IF(NOT(ISNUMBER(N554)),"Bad date",IF(P554="","NAME NOT ON ROSTER",IF(L554="","OK",IF(MATCH(L554,$L$2:$L$3001,0)&lt;ROW()-1,"Duplicate (ignored)","OK"))))))))</f>
        <v/>
      </c>
      <c r="I554">
        <f>IF(OC_Date=0,"",IF(INDEX('OneCause_Paste'!$A$554:$AZ$554,1,OC_Date)="","",INDEX('OneCause_Paste'!$A$554:$AZ$554,1,OC_Date)))</f>
        <v/>
      </c>
      <c r="J554">
        <f>IF(OC_Amt=0,"",IF(INDEX('OneCause_Paste'!$A$554:$AZ$554,1,OC_Amt)="","",INDEX('OneCause_Paste'!$A$554:$AZ$554,1,OC_Amt)))</f>
        <v/>
      </c>
      <c r="K554">
        <f>IF(OC_Name=0,"",IF(INDEX('OneCause_Paste'!$A$554:$AZ$554,1,OC_Name)="","",INDEX('OneCause_Paste'!$A$554:$AZ$554,1,OC_Name)))</f>
        <v/>
      </c>
      <c r="L554">
        <f>IF(OC_Txn=0,"",IF(INDEX('OneCause_Paste'!$A$554:$AZ$554,1,OC_Txn)="","",INDEX('OneCause_Paste'!$A$554:$AZ$554,1,OC_Txn)))</f>
        <v/>
      </c>
      <c r="M554">
        <f>IF(OC_Pay=0,"",IF(INDEX('OneCause_Paste'!$A$554:$AZ$554,1,OC_Pay)="","",INDEX('OneCause_Paste'!$A$554:$AZ$554,1,OC_Pay)))</f>
        <v/>
      </c>
      <c r="N554">
        <f>IF(I554="","",IF(ISNUMBER(I554),INT(I554),IFERROR(INT(DATEVALUE(I554)),IFERROR(INT(VALUE(I554)),"bad"))))</f>
        <v/>
      </c>
      <c r="O554">
        <f>IF(J554="","",IF(ISNUMBER(J554),ROUND(J554,2),IFERROR(ROUND(VALUE(SUBSTITUTE(SUBSTITUTE(SUBSTITUTE(J554,"$",""),",","")," ","")),2),"bad")))</f>
        <v/>
      </c>
      <c r="P554">
        <f>IF(TRIM(K554)="","",IFERROR(MATCH(LOWER(TRIM(K554)),'Students'!$AH$2:$AH$701,0),IFERROR(MATCH(LOWER(TRIM(K554)),'Students'!$AF$2:$AF$701,0),IFERROR(MATCH(LOWER(TRIM(K554)),'Students'!$AG$2:$AG$701,0),""))))</f>
        <v/>
      </c>
      <c r="R554">
        <f>IF(P554="","",INDEX('Students'!$AD$2:$AD$701,P554))</f>
        <v/>
      </c>
      <c r="S554">
        <f>IF(H554="OK",O554,0)</f>
        <v/>
      </c>
      <c r="T554">
        <f>IF(H554="OK",N554,"")</f>
        <v/>
      </c>
      <c r="U554">
        <f>IF(OC_Donor=0,"",IF(INDEX('OneCause_Paste'!$A$554:$AZ$554,1,OC_Donor)="","",INDEX('OneCause_Paste'!$A$554:$AZ$554,1,OC_Donor)))</f>
        <v/>
      </c>
    </row>
    <row r="555">
      <c r="A555" s="62">
        <f>IF(H555="","",IF(ISNUMBER(N555),N555,I555))</f>
        <v/>
      </c>
      <c r="B555">
        <f>IF(H555="","",U555)</f>
        <v/>
      </c>
      <c r="C555">
        <f>IF(H555="","",IF(P555="",K555,INDEX('Students'!$A$2:$A$701,P555)))</f>
        <v/>
      </c>
      <c r="D555">
        <f>IF(OR(H555="",P555=""),"",INDEX('Students'!$B$2:$B$701,P555))</f>
        <v/>
      </c>
      <c r="E555">
        <f>IF(OR(H555="",P555=""),"",INDEX('Students'!$C$2:$C$701,P555))</f>
        <v/>
      </c>
      <c r="F555" s="48">
        <f>IF(H555="","",IF(ISNUMBER(O555),O555,J555))</f>
        <v/>
      </c>
      <c r="G555">
        <f>IF(H555="","","OneCause")</f>
        <v/>
      </c>
      <c r="H555">
        <f>IF(AND(I555="",J555="",K555=""),"",IF(NOT(ISNUMBER(O555)),"Bad amount",IF(O555&lt;0,"Refund (not counted)",IF(O555=0,"Zero amount",IF(NOT(ISNUMBER(N555)),"Bad date",IF(P555="","NAME NOT ON ROSTER",IF(L555="","OK",IF(MATCH(L555,$L$2:$L$3001,0)&lt;ROW()-1,"Duplicate (ignored)","OK"))))))))</f>
        <v/>
      </c>
      <c r="I555">
        <f>IF(OC_Date=0,"",IF(INDEX('OneCause_Paste'!$A$555:$AZ$555,1,OC_Date)="","",INDEX('OneCause_Paste'!$A$555:$AZ$555,1,OC_Date)))</f>
        <v/>
      </c>
      <c r="J555">
        <f>IF(OC_Amt=0,"",IF(INDEX('OneCause_Paste'!$A$555:$AZ$555,1,OC_Amt)="","",INDEX('OneCause_Paste'!$A$555:$AZ$555,1,OC_Amt)))</f>
        <v/>
      </c>
      <c r="K555">
        <f>IF(OC_Name=0,"",IF(INDEX('OneCause_Paste'!$A$555:$AZ$555,1,OC_Name)="","",INDEX('OneCause_Paste'!$A$555:$AZ$555,1,OC_Name)))</f>
        <v/>
      </c>
      <c r="L555">
        <f>IF(OC_Txn=0,"",IF(INDEX('OneCause_Paste'!$A$555:$AZ$555,1,OC_Txn)="","",INDEX('OneCause_Paste'!$A$555:$AZ$555,1,OC_Txn)))</f>
        <v/>
      </c>
      <c r="M555">
        <f>IF(OC_Pay=0,"",IF(INDEX('OneCause_Paste'!$A$555:$AZ$555,1,OC_Pay)="","",INDEX('OneCause_Paste'!$A$555:$AZ$555,1,OC_Pay)))</f>
        <v/>
      </c>
      <c r="N555">
        <f>IF(I555="","",IF(ISNUMBER(I555),INT(I555),IFERROR(INT(DATEVALUE(I555)),IFERROR(INT(VALUE(I555)),"bad"))))</f>
        <v/>
      </c>
      <c r="O555">
        <f>IF(J555="","",IF(ISNUMBER(J555),ROUND(J555,2),IFERROR(ROUND(VALUE(SUBSTITUTE(SUBSTITUTE(SUBSTITUTE(J555,"$",""),",","")," ","")),2),"bad")))</f>
        <v/>
      </c>
      <c r="P555">
        <f>IF(TRIM(K555)="","",IFERROR(MATCH(LOWER(TRIM(K555)),'Students'!$AH$2:$AH$701,0),IFERROR(MATCH(LOWER(TRIM(K555)),'Students'!$AF$2:$AF$701,0),IFERROR(MATCH(LOWER(TRIM(K555)),'Students'!$AG$2:$AG$701,0),""))))</f>
        <v/>
      </c>
      <c r="R555">
        <f>IF(P555="","",INDEX('Students'!$AD$2:$AD$701,P555))</f>
        <v/>
      </c>
      <c r="S555">
        <f>IF(H555="OK",O555,0)</f>
        <v/>
      </c>
      <c r="T555">
        <f>IF(H555="OK",N555,"")</f>
        <v/>
      </c>
      <c r="U555">
        <f>IF(OC_Donor=0,"",IF(INDEX('OneCause_Paste'!$A$555:$AZ$555,1,OC_Donor)="","",INDEX('OneCause_Paste'!$A$555:$AZ$555,1,OC_Donor)))</f>
        <v/>
      </c>
    </row>
    <row r="556">
      <c r="A556" s="62">
        <f>IF(H556="","",IF(ISNUMBER(N556),N556,I556))</f>
        <v/>
      </c>
      <c r="B556">
        <f>IF(H556="","",U556)</f>
        <v/>
      </c>
      <c r="C556">
        <f>IF(H556="","",IF(P556="",K556,INDEX('Students'!$A$2:$A$701,P556)))</f>
        <v/>
      </c>
      <c r="D556">
        <f>IF(OR(H556="",P556=""),"",INDEX('Students'!$B$2:$B$701,P556))</f>
        <v/>
      </c>
      <c r="E556">
        <f>IF(OR(H556="",P556=""),"",INDEX('Students'!$C$2:$C$701,P556))</f>
        <v/>
      </c>
      <c r="F556" s="48">
        <f>IF(H556="","",IF(ISNUMBER(O556),O556,J556))</f>
        <v/>
      </c>
      <c r="G556">
        <f>IF(H556="","","OneCause")</f>
        <v/>
      </c>
      <c r="H556">
        <f>IF(AND(I556="",J556="",K556=""),"",IF(NOT(ISNUMBER(O556)),"Bad amount",IF(O556&lt;0,"Refund (not counted)",IF(O556=0,"Zero amount",IF(NOT(ISNUMBER(N556)),"Bad date",IF(P556="","NAME NOT ON ROSTER",IF(L556="","OK",IF(MATCH(L556,$L$2:$L$3001,0)&lt;ROW()-1,"Duplicate (ignored)","OK"))))))))</f>
        <v/>
      </c>
      <c r="I556">
        <f>IF(OC_Date=0,"",IF(INDEX('OneCause_Paste'!$A$556:$AZ$556,1,OC_Date)="","",INDEX('OneCause_Paste'!$A$556:$AZ$556,1,OC_Date)))</f>
        <v/>
      </c>
      <c r="J556">
        <f>IF(OC_Amt=0,"",IF(INDEX('OneCause_Paste'!$A$556:$AZ$556,1,OC_Amt)="","",INDEX('OneCause_Paste'!$A$556:$AZ$556,1,OC_Amt)))</f>
        <v/>
      </c>
      <c r="K556">
        <f>IF(OC_Name=0,"",IF(INDEX('OneCause_Paste'!$A$556:$AZ$556,1,OC_Name)="","",INDEX('OneCause_Paste'!$A$556:$AZ$556,1,OC_Name)))</f>
        <v/>
      </c>
      <c r="L556">
        <f>IF(OC_Txn=0,"",IF(INDEX('OneCause_Paste'!$A$556:$AZ$556,1,OC_Txn)="","",INDEX('OneCause_Paste'!$A$556:$AZ$556,1,OC_Txn)))</f>
        <v/>
      </c>
      <c r="M556">
        <f>IF(OC_Pay=0,"",IF(INDEX('OneCause_Paste'!$A$556:$AZ$556,1,OC_Pay)="","",INDEX('OneCause_Paste'!$A$556:$AZ$556,1,OC_Pay)))</f>
        <v/>
      </c>
      <c r="N556">
        <f>IF(I556="","",IF(ISNUMBER(I556),INT(I556),IFERROR(INT(DATEVALUE(I556)),IFERROR(INT(VALUE(I556)),"bad"))))</f>
        <v/>
      </c>
      <c r="O556">
        <f>IF(J556="","",IF(ISNUMBER(J556),ROUND(J556,2),IFERROR(ROUND(VALUE(SUBSTITUTE(SUBSTITUTE(SUBSTITUTE(J556,"$",""),",","")," ","")),2),"bad")))</f>
        <v/>
      </c>
      <c r="P556">
        <f>IF(TRIM(K556)="","",IFERROR(MATCH(LOWER(TRIM(K556)),'Students'!$AH$2:$AH$701,0),IFERROR(MATCH(LOWER(TRIM(K556)),'Students'!$AF$2:$AF$701,0),IFERROR(MATCH(LOWER(TRIM(K556)),'Students'!$AG$2:$AG$701,0),""))))</f>
        <v/>
      </c>
      <c r="R556">
        <f>IF(P556="","",INDEX('Students'!$AD$2:$AD$701,P556))</f>
        <v/>
      </c>
      <c r="S556">
        <f>IF(H556="OK",O556,0)</f>
        <v/>
      </c>
      <c r="T556">
        <f>IF(H556="OK",N556,"")</f>
        <v/>
      </c>
      <c r="U556">
        <f>IF(OC_Donor=0,"",IF(INDEX('OneCause_Paste'!$A$556:$AZ$556,1,OC_Donor)="","",INDEX('OneCause_Paste'!$A$556:$AZ$556,1,OC_Donor)))</f>
        <v/>
      </c>
    </row>
    <row r="557">
      <c r="A557" s="62">
        <f>IF(H557="","",IF(ISNUMBER(N557),N557,I557))</f>
        <v/>
      </c>
      <c r="B557">
        <f>IF(H557="","",U557)</f>
        <v/>
      </c>
      <c r="C557">
        <f>IF(H557="","",IF(P557="",K557,INDEX('Students'!$A$2:$A$701,P557)))</f>
        <v/>
      </c>
      <c r="D557">
        <f>IF(OR(H557="",P557=""),"",INDEX('Students'!$B$2:$B$701,P557))</f>
        <v/>
      </c>
      <c r="E557">
        <f>IF(OR(H557="",P557=""),"",INDEX('Students'!$C$2:$C$701,P557))</f>
        <v/>
      </c>
      <c r="F557" s="48">
        <f>IF(H557="","",IF(ISNUMBER(O557),O557,J557))</f>
        <v/>
      </c>
      <c r="G557">
        <f>IF(H557="","","OneCause")</f>
        <v/>
      </c>
      <c r="H557">
        <f>IF(AND(I557="",J557="",K557=""),"",IF(NOT(ISNUMBER(O557)),"Bad amount",IF(O557&lt;0,"Refund (not counted)",IF(O557=0,"Zero amount",IF(NOT(ISNUMBER(N557)),"Bad date",IF(P557="","NAME NOT ON ROSTER",IF(L557="","OK",IF(MATCH(L557,$L$2:$L$3001,0)&lt;ROW()-1,"Duplicate (ignored)","OK"))))))))</f>
        <v/>
      </c>
      <c r="I557">
        <f>IF(OC_Date=0,"",IF(INDEX('OneCause_Paste'!$A$557:$AZ$557,1,OC_Date)="","",INDEX('OneCause_Paste'!$A$557:$AZ$557,1,OC_Date)))</f>
        <v/>
      </c>
      <c r="J557">
        <f>IF(OC_Amt=0,"",IF(INDEX('OneCause_Paste'!$A$557:$AZ$557,1,OC_Amt)="","",INDEX('OneCause_Paste'!$A$557:$AZ$557,1,OC_Amt)))</f>
        <v/>
      </c>
      <c r="K557">
        <f>IF(OC_Name=0,"",IF(INDEX('OneCause_Paste'!$A$557:$AZ$557,1,OC_Name)="","",INDEX('OneCause_Paste'!$A$557:$AZ$557,1,OC_Name)))</f>
        <v/>
      </c>
      <c r="L557">
        <f>IF(OC_Txn=0,"",IF(INDEX('OneCause_Paste'!$A$557:$AZ$557,1,OC_Txn)="","",INDEX('OneCause_Paste'!$A$557:$AZ$557,1,OC_Txn)))</f>
        <v/>
      </c>
      <c r="M557">
        <f>IF(OC_Pay=0,"",IF(INDEX('OneCause_Paste'!$A$557:$AZ$557,1,OC_Pay)="","",INDEX('OneCause_Paste'!$A$557:$AZ$557,1,OC_Pay)))</f>
        <v/>
      </c>
      <c r="N557">
        <f>IF(I557="","",IF(ISNUMBER(I557),INT(I557),IFERROR(INT(DATEVALUE(I557)),IFERROR(INT(VALUE(I557)),"bad"))))</f>
        <v/>
      </c>
      <c r="O557">
        <f>IF(J557="","",IF(ISNUMBER(J557),ROUND(J557,2),IFERROR(ROUND(VALUE(SUBSTITUTE(SUBSTITUTE(SUBSTITUTE(J557,"$",""),",","")," ","")),2),"bad")))</f>
        <v/>
      </c>
      <c r="P557">
        <f>IF(TRIM(K557)="","",IFERROR(MATCH(LOWER(TRIM(K557)),'Students'!$AH$2:$AH$701,0),IFERROR(MATCH(LOWER(TRIM(K557)),'Students'!$AF$2:$AF$701,0),IFERROR(MATCH(LOWER(TRIM(K557)),'Students'!$AG$2:$AG$701,0),""))))</f>
        <v/>
      </c>
      <c r="R557">
        <f>IF(P557="","",INDEX('Students'!$AD$2:$AD$701,P557))</f>
        <v/>
      </c>
      <c r="S557">
        <f>IF(H557="OK",O557,0)</f>
        <v/>
      </c>
      <c r="T557">
        <f>IF(H557="OK",N557,"")</f>
        <v/>
      </c>
      <c r="U557">
        <f>IF(OC_Donor=0,"",IF(INDEX('OneCause_Paste'!$A$557:$AZ$557,1,OC_Donor)="","",INDEX('OneCause_Paste'!$A$557:$AZ$557,1,OC_Donor)))</f>
        <v/>
      </c>
    </row>
    <row r="558">
      <c r="A558" s="62">
        <f>IF(H558="","",IF(ISNUMBER(N558),N558,I558))</f>
        <v/>
      </c>
      <c r="B558">
        <f>IF(H558="","",U558)</f>
        <v/>
      </c>
      <c r="C558">
        <f>IF(H558="","",IF(P558="",K558,INDEX('Students'!$A$2:$A$701,P558)))</f>
        <v/>
      </c>
      <c r="D558">
        <f>IF(OR(H558="",P558=""),"",INDEX('Students'!$B$2:$B$701,P558))</f>
        <v/>
      </c>
      <c r="E558">
        <f>IF(OR(H558="",P558=""),"",INDEX('Students'!$C$2:$C$701,P558))</f>
        <v/>
      </c>
      <c r="F558" s="48">
        <f>IF(H558="","",IF(ISNUMBER(O558),O558,J558))</f>
        <v/>
      </c>
      <c r="G558">
        <f>IF(H558="","","OneCause")</f>
        <v/>
      </c>
      <c r="H558">
        <f>IF(AND(I558="",J558="",K558=""),"",IF(NOT(ISNUMBER(O558)),"Bad amount",IF(O558&lt;0,"Refund (not counted)",IF(O558=0,"Zero amount",IF(NOT(ISNUMBER(N558)),"Bad date",IF(P558="","NAME NOT ON ROSTER",IF(L558="","OK",IF(MATCH(L558,$L$2:$L$3001,0)&lt;ROW()-1,"Duplicate (ignored)","OK"))))))))</f>
        <v/>
      </c>
      <c r="I558">
        <f>IF(OC_Date=0,"",IF(INDEX('OneCause_Paste'!$A$558:$AZ$558,1,OC_Date)="","",INDEX('OneCause_Paste'!$A$558:$AZ$558,1,OC_Date)))</f>
        <v/>
      </c>
      <c r="J558">
        <f>IF(OC_Amt=0,"",IF(INDEX('OneCause_Paste'!$A$558:$AZ$558,1,OC_Amt)="","",INDEX('OneCause_Paste'!$A$558:$AZ$558,1,OC_Amt)))</f>
        <v/>
      </c>
      <c r="K558">
        <f>IF(OC_Name=0,"",IF(INDEX('OneCause_Paste'!$A$558:$AZ$558,1,OC_Name)="","",INDEX('OneCause_Paste'!$A$558:$AZ$558,1,OC_Name)))</f>
        <v/>
      </c>
      <c r="L558">
        <f>IF(OC_Txn=0,"",IF(INDEX('OneCause_Paste'!$A$558:$AZ$558,1,OC_Txn)="","",INDEX('OneCause_Paste'!$A$558:$AZ$558,1,OC_Txn)))</f>
        <v/>
      </c>
      <c r="M558">
        <f>IF(OC_Pay=0,"",IF(INDEX('OneCause_Paste'!$A$558:$AZ$558,1,OC_Pay)="","",INDEX('OneCause_Paste'!$A$558:$AZ$558,1,OC_Pay)))</f>
        <v/>
      </c>
      <c r="N558">
        <f>IF(I558="","",IF(ISNUMBER(I558),INT(I558),IFERROR(INT(DATEVALUE(I558)),IFERROR(INT(VALUE(I558)),"bad"))))</f>
        <v/>
      </c>
      <c r="O558">
        <f>IF(J558="","",IF(ISNUMBER(J558),ROUND(J558,2),IFERROR(ROUND(VALUE(SUBSTITUTE(SUBSTITUTE(SUBSTITUTE(J558,"$",""),",","")," ","")),2),"bad")))</f>
        <v/>
      </c>
      <c r="P558">
        <f>IF(TRIM(K558)="","",IFERROR(MATCH(LOWER(TRIM(K558)),'Students'!$AH$2:$AH$701,0),IFERROR(MATCH(LOWER(TRIM(K558)),'Students'!$AF$2:$AF$701,0),IFERROR(MATCH(LOWER(TRIM(K558)),'Students'!$AG$2:$AG$701,0),""))))</f>
        <v/>
      </c>
      <c r="R558">
        <f>IF(P558="","",INDEX('Students'!$AD$2:$AD$701,P558))</f>
        <v/>
      </c>
      <c r="S558">
        <f>IF(H558="OK",O558,0)</f>
        <v/>
      </c>
      <c r="T558">
        <f>IF(H558="OK",N558,"")</f>
        <v/>
      </c>
      <c r="U558">
        <f>IF(OC_Donor=0,"",IF(INDEX('OneCause_Paste'!$A$558:$AZ$558,1,OC_Donor)="","",INDEX('OneCause_Paste'!$A$558:$AZ$558,1,OC_Donor)))</f>
        <v/>
      </c>
    </row>
    <row r="559">
      <c r="A559" s="62">
        <f>IF(H559="","",IF(ISNUMBER(N559),N559,I559))</f>
        <v/>
      </c>
      <c r="B559">
        <f>IF(H559="","",U559)</f>
        <v/>
      </c>
      <c r="C559">
        <f>IF(H559="","",IF(P559="",K559,INDEX('Students'!$A$2:$A$701,P559)))</f>
        <v/>
      </c>
      <c r="D559">
        <f>IF(OR(H559="",P559=""),"",INDEX('Students'!$B$2:$B$701,P559))</f>
        <v/>
      </c>
      <c r="E559">
        <f>IF(OR(H559="",P559=""),"",INDEX('Students'!$C$2:$C$701,P559))</f>
        <v/>
      </c>
      <c r="F559" s="48">
        <f>IF(H559="","",IF(ISNUMBER(O559),O559,J559))</f>
        <v/>
      </c>
      <c r="G559">
        <f>IF(H559="","","OneCause")</f>
        <v/>
      </c>
      <c r="H559">
        <f>IF(AND(I559="",J559="",K559=""),"",IF(NOT(ISNUMBER(O559)),"Bad amount",IF(O559&lt;0,"Refund (not counted)",IF(O559=0,"Zero amount",IF(NOT(ISNUMBER(N559)),"Bad date",IF(P559="","NAME NOT ON ROSTER",IF(L559="","OK",IF(MATCH(L559,$L$2:$L$3001,0)&lt;ROW()-1,"Duplicate (ignored)","OK"))))))))</f>
        <v/>
      </c>
      <c r="I559">
        <f>IF(OC_Date=0,"",IF(INDEX('OneCause_Paste'!$A$559:$AZ$559,1,OC_Date)="","",INDEX('OneCause_Paste'!$A$559:$AZ$559,1,OC_Date)))</f>
        <v/>
      </c>
      <c r="J559">
        <f>IF(OC_Amt=0,"",IF(INDEX('OneCause_Paste'!$A$559:$AZ$559,1,OC_Amt)="","",INDEX('OneCause_Paste'!$A$559:$AZ$559,1,OC_Amt)))</f>
        <v/>
      </c>
      <c r="K559">
        <f>IF(OC_Name=0,"",IF(INDEX('OneCause_Paste'!$A$559:$AZ$559,1,OC_Name)="","",INDEX('OneCause_Paste'!$A$559:$AZ$559,1,OC_Name)))</f>
        <v/>
      </c>
      <c r="L559">
        <f>IF(OC_Txn=0,"",IF(INDEX('OneCause_Paste'!$A$559:$AZ$559,1,OC_Txn)="","",INDEX('OneCause_Paste'!$A$559:$AZ$559,1,OC_Txn)))</f>
        <v/>
      </c>
      <c r="M559">
        <f>IF(OC_Pay=0,"",IF(INDEX('OneCause_Paste'!$A$559:$AZ$559,1,OC_Pay)="","",INDEX('OneCause_Paste'!$A$559:$AZ$559,1,OC_Pay)))</f>
        <v/>
      </c>
      <c r="N559">
        <f>IF(I559="","",IF(ISNUMBER(I559),INT(I559),IFERROR(INT(DATEVALUE(I559)),IFERROR(INT(VALUE(I559)),"bad"))))</f>
        <v/>
      </c>
      <c r="O559">
        <f>IF(J559="","",IF(ISNUMBER(J559),ROUND(J559,2),IFERROR(ROUND(VALUE(SUBSTITUTE(SUBSTITUTE(SUBSTITUTE(J559,"$",""),",","")," ","")),2),"bad")))</f>
        <v/>
      </c>
      <c r="P559">
        <f>IF(TRIM(K559)="","",IFERROR(MATCH(LOWER(TRIM(K559)),'Students'!$AH$2:$AH$701,0),IFERROR(MATCH(LOWER(TRIM(K559)),'Students'!$AF$2:$AF$701,0),IFERROR(MATCH(LOWER(TRIM(K559)),'Students'!$AG$2:$AG$701,0),""))))</f>
        <v/>
      </c>
      <c r="R559">
        <f>IF(P559="","",INDEX('Students'!$AD$2:$AD$701,P559))</f>
        <v/>
      </c>
      <c r="S559">
        <f>IF(H559="OK",O559,0)</f>
        <v/>
      </c>
      <c r="T559">
        <f>IF(H559="OK",N559,"")</f>
        <v/>
      </c>
      <c r="U559">
        <f>IF(OC_Donor=0,"",IF(INDEX('OneCause_Paste'!$A$559:$AZ$559,1,OC_Donor)="","",INDEX('OneCause_Paste'!$A$559:$AZ$559,1,OC_Donor)))</f>
        <v/>
      </c>
    </row>
    <row r="560">
      <c r="A560" s="62">
        <f>IF(H560="","",IF(ISNUMBER(N560),N560,I560))</f>
        <v/>
      </c>
      <c r="B560">
        <f>IF(H560="","",U560)</f>
        <v/>
      </c>
      <c r="C560">
        <f>IF(H560="","",IF(P560="",K560,INDEX('Students'!$A$2:$A$701,P560)))</f>
        <v/>
      </c>
      <c r="D560">
        <f>IF(OR(H560="",P560=""),"",INDEX('Students'!$B$2:$B$701,P560))</f>
        <v/>
      </c>
      <c r="E560">
        <f>IF(OR(H560="",P560=""),"",INDEX('Students'!$C$2:$C$701,P560))</f>
        <v/>
      </c>
      <c r="F560" s="48">
        <f>IF(H560="","",IF(ISNUMBER(O560),O560,J560))</f>
        <v/>
      </c>
      <c r="G560">
        <f>IF(H560="","","OneCause")</f>
        <v/>
      </c>
      <c r="H560">
        <f>IF(AND(I560="",J560="",K560=""),"",IF(NOT(ISNUMBER(O560)),"Bad amount",IF(O560&lt;0,"Refund (not counted)",IF(O560=0,"Zero amount",IF(NOT(ISNUMBER(N560)),"Bad date",IF(P560="","NAME NOT ON ROSTER",IF(L560="","OK",IF(MATCH(L560,$L$2:$L$3001,0)&lt;ROW()-1,"Duplicate (ignored)","OK"))))))))</f>
        <v/>
      </c>
      <c r="I560">
        <f>IF(OC_Date=0,"",IF(INDEX('OneCause_Paste'!$A$560:$AZ$560,1,OC_Date)="","",INDEX('OneCause_Paste'!$A$560:$AZ$560,1,OC_Date)))</f>
        <v/>
      </c>
      <c r="J560">
        <f>IF(OC_Amt=0,"",IF(INDEX('OneCause_Paste'!$A$560:$AZ$560,1,OC_Amt)="","",INDEX('OneCause_Paste'!$A$560:$AZ$560,1,OC_Amt)))</f>
        <v/>
      </c>
      <c r="K560">
        <f>IF(OC_Name=0,"",IF(INDEX('OneCause_Paste'!$A$560:$AZ$560,1,OC_Name)="","",INDEX('OneCause_Paste'!$A$560:$AZ$560,1,OC_Name)))</f>
        <v/>
      </c>
      <c r="L560">
        <f>IF(OC_Txn=0,"",IF(INDEX('OneCause_Paste'!$A$560:$AZ$560,1,OC_Txn)="","",INDEX('OneCause_Paste'!$A$560:$AZ$560,1,OC_Txn)))</f>
        <v/>
      </c>
      <c r="M560">
        <f>IF(OC_Pay=0,"",IF(INDEX('OneCause_Paste'!$A$560:$AZ$560,1,OC_Pay)="","",INDEX('OneCause_Paste'!$A$560:$AZ$560,1,OC_Pay)))</f>
        <v/>
      </c>
      <c r="N560">
        <f>IF(I560="","",IF(ISNUMBER(I560),INT(I560),IFERROR(INT(DATEVALUE(I560)),IFERROR(INT(VALUE(I560)),"bad"))))</f>
        <v/>
      </c>
      <c r="O560">
        <f>IF(J560="","",IF(ISNUMBER(J560),ROUND(J560,2),IFERROR(ROUND(VALUE(SUBSTITUTE(SUBSTITUTE(SUBSTITUTE(J560,"$",""),",","")," ","")),2),"bad")))</f>
        <v/>
      </c>
      <c r="P560">
        <f>IF(TRIM(K560)="","",IFERROR(MATCH(LOWER(TRIM(K560)),'Students'!$AH$2:$AH$701,0),IFERROR(MATCH(LOWER(TRIM(K560)),'Students'!$AF$2:$AF$701,0),IFERROR(MATCH(LOWER(TRIM(K560)),'Students'!$AG$2:$AG$701,0),""))))</f>
        <v/>
      </c>
      <c r="R560">
        <f>IF(P560="","",INDEX('Students'!$AD$2:$AD$701,P560))</f>
        <v/>
      </c>
      <c r="S560">
        <f>IF(H560="OK",O560,0)</f>
        <v/>
      </c>
      <c r="T560">
        <f>IF(H560="OK",N560,"")</f>
        <v/>
      </c>
      <c r="U560">
        <f>IF(OC_Donor=0,"",IF(INDEX('OneCause_Paste'!$A$560:$AZ$560,1,OC_Donor)="","",INDEX('OneCause_Paste'!$A$560:$AZ$560,1,OC_Donor)))</f>
        <v/>
      </c>
    </row>
    <row r="561">
      <c r="A561" s="62">
        <f>IF(H561="","",IF(ISNUMBER(N561),N561,I561))</f>
        <v/>
      </c>
      <c r="B561">
        <f>IF(H561="","",U561)</f>
        <v/>
      </c>
      <c r="C561">
        <f>IF(H561="","",IF(P561="",K561,INDEX('Students'!$A$2:$A$701,P561)))</f>
        <v/>
      </c>
      <c r="D561">
        <f>IF(OR(H561="",P561=""),"",INDEX('Students'!$B$2:$B$701,P561))</f>
        <v/>
      </c>
      <c r="E561">
        <f>IF(OR(H561="",P561=""),"",INDEX('Students'!$C$2:$C$701,P561))</f>
        <v/>
      </c>
      <c r="F561" s="48">
        <f>IF(H561="","",IF(ISNUMBER(O561),O561,J561))</f>
        <v/>
      </c>
      <c r="G561">
        <f>IF(H561="","","OneCause")</f>
        <v/>
      </c>
      <c r="H561">
        <f>IF(AND(I561="",J561="",K561=""),"",IF(NOT(ISNUMBER(O561)),"Bad amount",IF(O561&lt;0,"Refund (not counted)",IF(O561=0,"Zero amount",IF(NOT(ISNUMBER(N561)),"Bad date",IF(P561="","NAME NOT ON ROSTER",IF(L561="","OK",IF(MATCH(L561,$L$2:$L$3001,0)&lt;ROW()-1,"Duplicate (ignored)","OK"))))))))</f>
        <v/>
      </c>
      <c r="I561">
        <f>IF(OC_Date=0,"",IF(INDEX('OneCause_Paste'!$A$561:$AZ$561,1,OC_Date)="","",INDEX('OneCause_Paste'!$A$561:$AZ$561,1,OC_Date)))</f>
        <v/>
      </c>
      <c r="J561">
        <f>IF(OC_Amt=0,"",IF(INDEX('OneCause_Paste'!$A$561:$AZ$561,1,OC_Amt)="","",INDEX('OneCause_Paste'!$A$561:$AZ$561,1,OC_Amt)))</f>
        <v/>
      </c>
      <c r="K561">
        <f>IF(OC_Name=0,"",IF(INDEX('OneCause_Paste'!$A$561:$AZ$561,1,OC_Name)="","",INDEX('OneCause_Paste'!$A$561:$AZ$561,1,OC_Name)))</f>
        <v/>
      </c>
      <c r="L561">
        <f>IF(OC_Txn=0,"",IF(INDEX('OneCause_Paste'!$A$561:$AZ$561,1,OC_Txn)="","",INDEX('OneCause_Paste'!$A$561:$AZ$561,1,OC_Txn)))</f>
        <v/>
      </c>
      <c r="M561">
        <f>IF(OC_Pay=0,"",IF(INDEX('OneCause_Paste'!$A$561:$AZ$561,1,OC_Pay)="","",INDEX('OneCause_Paste'!$A$561:$AZ$561,1,OC_Pay)))</f>
        <v/>
      </c>
      <c r="N561">
        <f>IF(I561="","",IF(ISNUMBER(I561),INT(I561),IFERROR(INT(DATEVALUE(I561)),IFERROR(INT(VALUE(I561)),"bad"))))</f>
        <v/>
      </c>
      <c r="O561">
        <f>IF(J561="","",IF(ISNUMBER(J561),ROUND(J561,2),IFERROR(ROUND(VALUE(SUBSTITUTE(SUBSTITUTE(SUBSTITUTE(J561,"$",""),",","")," ","")),2),"bad")))</f>
        <v/>
      </c>
      <c r="P561">
        <f>IF(TRIM(K561)="","",IFERROR(MATCH(LOWER(TRIM(K561)),'Students'!$AH$2:$AH$701,0),IFERROR(MATCH(LOWER(TRIM(K561)),'Students'!$AF$2:$AF$701,0),IFERROR(MATCH(LOWER(TRIM(K561)),'Students'!$AG$2:$AG$701,0),""))))</f>
        <v/>
      </c>
      <c r="R561">
        <f>IF(P561="","",INDEX('Students'!$AD$2:$AD$701,P561))</f>
        <v/>
      </c>
      <c r="S561">
        <f>IF(H561="OK",O561,0)</f>
        <v/>
      </c>
      <c r="T561">
        <f>IF(H561="OK",N561,"")</f>
        <v/>
      </c>
      <c r="U561">
        <f>IF(OC_Donor=0,"",IF(INDEX('OneCause_Paste'!$A$561:$AZ$561,1,OC_Donor)="","",INDEX('OneCause_Paste'!$A$561:$AZ$561,1,OC_Donor)))</f>
        <v/>
      </c>
    </row>
    <row r="562">
      <c r="A562" s="62">
        <f>IF(H562="","",IF(ISNUMBER(N562),N562,I562))</f>
        <v/>
      </c>
      <c r="B562">
        <f>IF(H562="","",U562)</f>
        <v/>
      </c>
      <c r="C562">
        <f>IF(H562="","",IF(P562="",K562,INDEX('Students'!$A$2:$A$701,P562)))</f>
        <v/>
      </c>
      <c r="D562">
        <f>IF(OR(H562="",P562=""),"",INDEX('Students'!$B$2:$B$701,P562))</f>
        <v/>
      </c>
      <c r="E562">
        <f>IF(OR(H562="",P562=""),"",INDEX('Students'!$C$2:$C$701,P562))</f>
        <v/>
      </c>
      <c r="F562" s="48">
        <f>IF(H562="","",IF(ISNUMBER(O562),O562,J562))</f>
        <v/>
      </c>
      <c r="G562">
        <f>IF(H562="","","OneCause")</f>
        <v/>
      </c>
      <c r="H562">
        <f>IF(AND(I562="",J562="",K562=""),"",IF(NOT(ISNUMBER(O562)),"Bad amount",IF(O562&lt;0,"Refund (not counted)",IF(O562=0,"Zero amount",IF(NOT(ISNUMBER(N562)),"Bad date",IF(P562="","NAME NOT ON ROSTER",IF(L562="","OK",IF(MATCH(L562,$L$2:$L$3001,0)&lt;ROW()-1,"Duplicate (ignored)","OK"))))))))</f>
        <v/>
      </c>
      <c r="I562">
        <f>IF(OC_Date=0,"",IF(INDEX('OneCause_Paste'!$A$562:$AZ$562,1,OC_Date)="","",INDEX('OneCause_Paste'!$A$562:$AZ$562,1,OC_Date)))</f>
        <v/>
      </c>
      <c r="J562">
        <f>IF(OC_Amt=0,"",IF(INDEX('OneCause_Paste'!$A$562:$AZ$562,1,OC_Amt)="","",INDEX('OneCause_Paste'!$A$562:$AZ$562,1,OC_Amt)))</f>
        <v/>
      </c>
      <c r="K562">
        <f>IF(OC_Name=0,"",IF(INDEX('OneCause_Paste'!$A$562:$AZ$562,1,OC_Name)="","",INDEX('OneCause_Paste'!$A$562:$AZ$562,1,OC_Name)))</f>
        <v/>
      </c>
      <c r="L562">
        <f>IF(OC_Txn=0,"",IF(INDEX('OneCause_Paste'!$A$562:$AZ$562,1,OC_Txn)="","",INDEX('OneCause_Paste'!$A$562:$AZ$562,1,OC_Txn)))</f>
        <v/>
      </c>
      <c r="M562">
        <f>IF(OC_Pay=0,"",IF(INDEX('OneCause_Paste'!$A$562:$AZ$562,1,OC_Pay)="","",INDEX('OneCause_Paste'!$A$562:$AZ$562,1,OC_Pay)))</f>
        <v/>
      </c>
      <c r="N562">
        <f>IF(I562="","",IF(ISNUMBER(I562),INT(I562),IFERROR(INT(DATEVALUE(I562)),IFERROR(INT(VALUE(I562)),"bad"))))</f>
        <v/>
      </c>
      <c r="O562">
        <f>IF(J562="","",IF(ISNUMBER(J562),ROUND(J562,2),IFERROR(ROUND(VALUE(SUBSTITUTE(SUBSTITUTE(SUBSTITUTE(J562,"$",""),",","")," ","")),2),"bad")))</f>
        <v/>
      </c>
      <c r="P562">
        <f>IF(TRIM(K562)="","",IFERROR(MATCH(LOWER(TRIM(K562)),'Students'!$AH$2:$AH$701,0),IFERROR(MATCH(LOWER(TRIM(K562)),'Students'!$AF$2:$AF$701,0),IFERROR(MATCH(LOWER(TRIM(K562)),'Students'!$AG$2:$AG$701,0),""))))</f>
        <v/>
      </c>
      <c r="R562">
        <f>IF(P562="","",INDEX('Students'!$AD$2:$AD$701,P562))</f>
        <v/>
      </c>
      <c r="S562">
        <f>IF(H562="OK",O562,0)</f>
        <v/>
      </c>
      <c r="T562">
        <f>IF(H562="OK",N562,"")</f>
        <v/>
      </c>
      <c r="U562">
        <f>IF(OC_Donor=0,"",IF(INDEX('OneCause_Paste'!$A$562:$AZ$562,1,OC_Donor)="","",INDEX('OneCause_Paste'!$A$562:$AZ$562,1,OC_Donor)))</f>
        <v/>
      </c>
    </row>
    <row r="563">
      <c r="A563" s="62">
        <f>IF(H563="","",IF(ISNUMBER(N563),N563,I563))</f>
        <v/>
      </c>
      <c r="B563">
        <f>IF(H563="","",U563)</f>
        <v/>
      </c>
      <c r="C563">
        <f>IF(H563="","",IF(P563="",K563,INDEX('Students'!$A$2:$A$701,P563)))</f>
        <v/>
      </c>
      <c r="D563">
        <f>IF(OR(H563="",P563=""),"",INDEX('Students'!$B$2:$B$701,P563))</f>
        <v/>
      </c>
      <c r="E563">
        <f>IF(OR(H563="",P563=""),"",INDEX('Students'!$C$2:$C$701,P563))</f>
        <v/>
      </c>
      <c r="F563" s="48">
        <f>IF(H563="","",IF(ISNUMBER(O563),O563,J563))</f>
        <v/>
      </c>
      <c r="G563">
        <f>IF(H563="","","OneCause")</f>
        <v/>
      </c>
      <c r="H563">
        <f>IF(AND(I563="",J563="",K563=""),"",IF(NOT(ISNUMBER(O563)),"Bad amount",IF(O563&lt;0,"Refund (not counted)",IF(O563=0,"Zero amount",IF(NOT(ISNUMBER(N563)),"Bad date",IF(P563="","NAME NOT ON ROSTER",IF(L563="","OK",IF(MATCH(L563,$L$2:$L$3001,0)&lt;ROW()-1,"Duplicate (ignored)","OK"))))))))</f>
        <v/>
      </c>
      <c r="I563">
        <f>IF(OC_Date=0,"",IF(INDEX('OneCause_Paste'!$A$563:$AZ$563,1,OC_Date)="","",INDEX('OneCause_Paste'!$A$563:$AZ$563,1,OC_Date)))</f>
        <v/>
      </c>
      <c r="J563">
        <f>IF(OC_Amt=0,"",IF(INDEX('OneCause_Paste'!$A$563:$AZ$563,1,OC_Amt)="","",INDEX('OneCause_Paste'!$A$563:$AZ$563,1,OC_Amt)))</f>
        <v/>
      </c>
      <c r="K563">
        <f>IF(OC_Name=0,"",IF(INDEX('OneCause_Paste'!$A$563:$AZ$563,1,OC_Name)="","",INDEX('OneCause_Paste'!$A$563:$AZ$563,1,OC_Name)))</f>
        <v/>
      </c>
      <c r="L563">
        <f>IF(OC_Txn=0,"",IF(INDEX('OneCause_Paste'!$A$563:$AZ$563,1,OC_Txn)="","",INDEX('OneCause_Paste'!$A$563:$AZ$563,1,OC_Txn)))</f>
        <v/>
      </c>
      <c r="M563">
        <f>IF(OC_Pay=0,"",IF(INDEX('OneCause_Paste'!$A$563:$AZ$563,1,OC_Pay)="","",INDEX('OneCause_Paste'!$A$563:$AZ$563,1,OC_Pay)))</f>
        <v/>
      </c>
      <c r="N563">
        <f>IF(I563="","",IF(ISNUMBER(I563),INT(I563),IFERROR(INT(DATEVALUE(I563)),IFERROR(INT(VALUE(I563)),"bad"))))</f>
        <v/>
      </c>
      <c r="O563">
        <f>IF(J563="","",IF(ISNUMBER(J563),ROUND(J563,2),IFERROR(ROUND(VALUE(SUBSTITUTE(SUBSTITUTE(SUBSTITUTE(J563,"$",""),",","")," ","")),2),"bad")))</f>
        <v/>
      </c>
      <c r="P563">
        <f>IF(TRIM(K563)="","",IFERROR(MATCH(LOWER(TRIM(K563)),'Students'!$AH$2:$AH$701,0),IFERROR(MATCH(LOWER(TRIM(K563)),'Students'!$AF$2:$AF$701,0),IFERROR(MATCH(LOWER(TRIM(K563)),'Students'!$AG$2:$AG$701,0),""))))</f>
        <v/>
      </c>
      <c r="R563">
        <f>IF(P563="","",INDEX('Students'!$AD$2:$AD$701,P563))</f>
        <v/>
      </c>
      <c r="S563">
        <f>IF(H563="OK",O563,0)</f>
        <v/>
      </c>
      <c r="T563">
        <f>IF(H563="OK",N563,"")</f>
        <v/>
      </c>
      <c r="U563">
        <f>IF(OC_Donor=0,"",IF(INDEX('OneCause_Paste'!$A$563:$AZ$563,1,OC_Donor)="","",INDEX('OneCause_Paste'!$A$563:$AZ$563,1,OC_Donor)))</f>
        <v/>
      </c>
    </row>
    <row r="564">
      <c r="A564" s="62">
        <f>IF(H564="","",IF(ISNUMBER(N564),N564,I564))</f>
        <v/>
      </c>
      <c r="B564">
        <f>IF(H564="","",U564)</f>
        <v/>
      </c>
      <c r="C564">
        <f>IF(H564="","",IF(P564="",K564,INDEX('Students'!$A$2:$A$701,P564)))</f>
        <v/>
      </c>
      <c r="D564">
        <f>IF(OR(H564="",P564=""),"",INDEX('Students'!$B$2:$B$701,P564))</f>
        <v/>
      </c>
      <c r="E564">
        <f>IF(OR(H564="",P564=""),"",INDEX('Students'!$C$2:$C$701,P564))</f>
        <v/>
      </c>
      <c r="F564" s="48">
        <f>IF(H564="","",IF(ISNUMBER(O564),O564,J564))</f>
        <v/>
      </c>
      <c r="G564">
        <f>IF(H564="","","OneCause")</f>
        <v/>
      </c>
      <c r="H564">
        <f>IF(AND(I564="",J564="",K564=""),"",IF(NOT(ISNUMBER(O564)),"Bad amount",IF(O564&lt;0,"Refund (not counted)",IF(O564=0,"Zero amount",IF(NOT(ISNUMBER(N564)),"Bad date",IF(P564="","NAME NOT ON ROSTER",IF(L564="","OK",IF(MATCH(L564,$L$2:$L$3001,0)&lt;ROW()-1,"Duplicate (ignored)","OK"))))))))</f>
        <v/>
      </c>
      <c r="I564">
        <f>IF(OC_Date=0,"",IF(INDEX('OneCause_Paste'!$A$564:$AZ$564,1,OC_Date)="","",INDEX('OneCause_Paste'!$A$564:$AZ$564,1,OC_Date)))</f>
        <v/>
      </c>
      <c r="J564">
        <f>IF(OC_Amt=0,"",IF(INDEX('OneCause_Paste'!$A$564:$AZ$564,1,OC_Amt)="","",INDEX('OneCause_Paste'!$A$564:$AZ$564,1,OC_Amt)))</f>
        <v/>
      </c>
      <c r="K564">
        <f>IF(OC_Name=0,"",IF(INDEX('OneCause_Paste'!$A$564:$AZ$564,1,OC_Name)="","",INDEX('OneCause_Paste'!$A$564:$AZ$564,1,OC_Name)))</f>
        <v/>
      </c>
      <c r="L564">
        <f>IF(OC_Txn=0,"",IF(INDEX('OneCause_Paste'!$A$564:$AZ$564,1,OC_Txn)="","",INDEX('OneCause_Paste'!$A$564:$AZ$564,1,OC_Txn)))</f>
        <v/>
      </c>
      <c r="M564">
        <f>IF(OC_Pay=0,"",IF(INDEX('OneCause_Paste'!$A$564:$AZ$564,1,OC_Pay)="","",INDEX('OneCause_Paste'!$A$564:$AZ$564,1,OC_Pay)))</f>
        <v/>
      </c>
      <c r="N564">
        <f>IF(I564="","",IF(ISNUMBER(I564),INT(I564),IFERROR(INT(DATEVALUE(I564)),IFERROR(INT(VALUE(I564)),"bad"))))</f>
        <v/>
      </c>
      <c r="O564">
        <f>IF(J564="","",IF(ISNUMBER(J564),ROUND(J564,2),IFERROR(ROUND(VALUE(SUBSTITUTE(SUBSTITUTE(SUBSTITUTE(J564,"$",""),",","")," ","")),2),"bad")))</f>
        <v/>
      </c>
      <c r="P564">
        <f>IF(TRIM(K564)="","",IFERROR(MATCH(LOWER(TRIM(K564)),'Students'!$AH$2:$AH$701,0),IFERROR(MATCH(LOWER(TRIM(K564)),'Students'!$AF$2:$AF$701,0),IFERROR(MATCH(LOWER(TRIM(K564)),'Students'!$AG$2:$AG$701,0),""))))</f>
        <v/>
      </c>
      <c r="R564">
        <f>IF(P564="","",INDEX('Students'!$AD$2:$AD$701,P564))</f>
        <v/>
      </c>
      <c r="S564">
        <f>IF(H564="OK",O564,0)</f>
        <v/>
      </c>
      <c r="T564">
        <f>IF(H564="OK",N564,"")</f>
        <v/>
      </c>
      <c r="U564">
        <f>IF(OC_Donor=0,"",IF(INDEX('OneCause_Paste'!$A$564:$AZ$564,1,OC_Donor)="","",INDEX('OneCause_Paste'!$A$564:$AZ$564,1,OC_Donor)))</f>
        <v/>
      </c>
    </row>
    <row r="565">
      <c r="A565" s="62">
        <f>IF(H565="","",IF(ISNUMBER(N565),N565,I565))</f>
        <v/>
      </c>
      <c r="B565">
        <f>IF(H565="","",U565)</f>
        <v/>
      </c>
      <c r="C565">
        <f>IF(H565="","",IF(P565="",K565,INDEX('Students'!$A$2:$A$701,P565)))</f>
        <v/>
      </c>
      <c r="D565">
        <f>IF(OR(H565="",P565=""),"",INDEX('Students'!$B$2:$B$701,P565))</f>
        <v/>
      </c>
      <c r="E565">
        <f>IF(OR(H565="",P565=""),"",INDEX('Students'!$C$2:$C$701,P565))</f>
        <v/>
      </c>
      <c r="F565" s="48">
        <f>IF(H565="","",IF(ISNUMBER(O565),O565,J565))</f>
        <v/>
      </c>
      <c r="G565">
        <f>IF(H565="","","OneCause")</f>
        <v/>
      </c>
      <c r="H565">
        <f>IF(AND(I565="",J565="",K565=""),"",IF(NOT(ISNUMBER(O565)),"Bad amount",IF(O565&lt;0,"Refund (not counted)",IF(O565=0,"Zero amount",IF(NOT(ISNUMBER(N565)),"Bad date",IF(P565="","NAME NOT ON ROSTER",IF(L565="","OK",IF(MATCH(L565,$L$2:$L$3001,0)&lt;ROW()-1,"Duplicate (ignored)","OK"))))))))</f>
        <v/>
      </c>
      <c r="I565">
        <f>IF(OC_Date=0,"",IF(INDEX('OneCause_Paste'!$A$565:$AZ$565,1,OC_Date)="","",INDEX('OneCause_Paste'!$A$565:$AZ$565,1,OC_Date)))</f>
        <v/>
      </c>
      <c r="J565">
        <f>IF(OC_Amt=0,"",IF(INDEX('OneCause_Paste'!$A$565:$AZ$565,1,OC_Amt)="","",INDEX('OneCause_Paste'!$A$565:$AZ$565,1,OC_Amt)))</f>
        <v/>
      </c>
      <c r="K565">
        <f>IF(OC_Name=0,"",IF(INDEX('OneCause_Paste'!$A$565:$AZ$565,1,OC_Name)="","",INDEX('OneCause_Paste'!$A$565:$AZ$565,1,OC_Name)))</f>
        <v/>
      </c>
      <c r="L565">
        <f>IF(OC_Txn=0,"",IF(INDEX('OneCause_Paste'!$A$565:$AZ$565,1,OC_Txn)="","",INDEX('OneCause_Paste'!$A$565:$AZ$565,1,OC_Txn)))</f>
        <v/>
      </c>
      <c r="M565">
        <f>IF(OC_Pay=0,"",IF(INDEX('OneCause_Paste'!$A$565:$AZ$565,1,OC_Pay)="","",INDEX('OneCause_Paste'!$A$565:$AZ$565,1,OC_Pay)))</f>
        <v/>
      </c>
      <c r="N565">
        <f>IF(I565="","",IF(ISNUMBER(I565),INT(I565),IFERROR(INT(DATEVALUE(I565)),IFERROR(INT(VALUE(I565)),"bad"))))</f>
        <v/>
      </c>
      <c r="O565">
        <f>IF(J565="","",IF(ISNUMBER(J565),ROUND(J565,2),IFERROR(ROUND(VALUE(SUBSTITUTE(SUBSTITUTE(SUBSTITUTE(J565,"$",""),",","")," ","")),2),"bad")))</f>
        <v/>
      </c>
      <c r="P565">
        <f>IF(TRIM(K565)="","",IFERROR(MATCH(LOWER(TRIM(K565)),'Students'!$AH$2:$AH$701,0),IFERROR(MATCH(LOWER(TRIM(K565)),'Students'!$AF$2:$AF$701,0),IFERROR(MATCH(LOWER(TRIM(K565)),'Students'!$AG$2:$AG$701,0),""))))</f>
        <v/>
      </c>
      <c r="R565">
        <f>IF(P565="","",INDEX('Students'!$AD$2:$AD$701,P565))</f>
        <v/>
      </c>
      <c r="S565">
        <f>IF(H565="OK",O565,0)</f>
        <v/>
      </c>
      <c r="T565">
        <f>IF(H565="OK",N565,"")</f>
        <v/>
      </c>
      <c r="U565">
        <f>IF(OC_Donor=0,"",IF(INDEX('OneCause_Paste'!$A$565:$AZ$565,1,OC_Donor)="","",INDEX('OneCause_Paste'!$A$565:$AZ$565,1,OC_Donor)))</f>
        <v/>
      </c>
    </row>
    <row r="566">
      <c r="A566" s="62">
        <f>IF(H566="","",IF(ISNUMBER(N566),N566,I566))</f>
        <v/>
      </c>
      <c r="B566">
        <f>IF(H566="","",U566)</f>
        <v/>
      </c>
      <c r="C566">
        <f>IF(H566="","",IF(P566="",K566,INDEX('Students'!$A$2:$A$701,P566)))</f>
        <v/>
      </c>
      <c r="D566">
        <f>IF(OR(H566="",P566=""),"",INDEX('Students'!$B$2:$B$701,P566))</f>
        <v/>
      </c>
      <c r="E566">
        <f>IF(OR(H566="",P566=""),"",INDEX('Students'!$C$2:$C$701,P566))</f>
        <v/>
      </c>
      <c r="F566" s="48">
        <f>IF(H566="","",IF(ISNUMBER(O566),O566,J566))</f>
        <v/>
      </c>
      <c r="G566">
        <f>IF(H566="","","OneCause")</f>
        <v/>
      </c>
      <c r="H566">
        <f>IF(AND(I566="",J566="",K566=""),"",IF(NOT(ISNUMBER(O566)),"Bad amount",IF(O566&lt;0,"Refund (not counted)",IF(O566=0,"Zero amount",IF(NOT(ISNUMBER(N566)),"Bad date",IF(P566="","NAME NOT ON ROSTER",IF(L566="","OK",IF(MATCH(L566,$L$2:$L$3001,0)&lt;ROW()-1,"Duplicate (ignored)","OK"))))))))</f>
        <v/>
      </c>
      <c r="I566">
        <f>IF(OC_Date=0,"",IF(INDEX('OneCause_Paste'!$A$566:$AZ$566,1,OC_Date)="","",INDEX('OneCause_Paste'!$A$566:$AZ$566,1,OC_Date)))</f>
        <v/>
      </c>
      <c r="J566">
        <f>IF(OC_Amt=0,"",IF(INDEX('OneCause_Paste'!$A$566:$AZ$566,1,OC_Amt)="","",INDEX('OneCause_Paste'!$A$566:$AZ$566,1,OC_Amt)))</f>
        <v/>
      </c>
      <c r="K566">
        <f>IF(OC_Name=0,"",IF(INDEX('OneCause_Paste'!$A$566:$AZ$566,1,OC_Name)="","",INDEX('OneCause_Paste'!$A$566:$AZ$566,1,OC_Name)))</f>
        <v/>
      </c>
      <c r="L566">
        <f>IF(OC_Txn=0,"",IF(INDEX('OneCause_Paste'!$A$566:$AZ$566,1,OC_Txn)="","",INDEX('OneCause_Paste'!$A$566:$AZ$566,1,OC_Txn)))</f>
        <v/>
      </c>
      <c r="M566">
        <f>IF(OC_Pay=0,"",IF(INDEX('OneCause_Paste'!$A$566:$AZ$566,1,OC_Pay)="","",INDEX('OneCause_Paste'!$A$566:$AZ$566,1,OC_Pay)))</f>
        <v/>
      </c>
      <c r="N566">
        <f>IF(I566="","",IF(ISNUMBER(I566),INT(I566),IFERROR(INT(DATEVALUE(I566)),IFERROR(INT(VALUE(I566)),"bad"))))</f>
        <v/>
      </c>
      <c r="O566">
        <f>IF(J566="","",IF(ISNUMBER(J566),ROUND(J566,2),IFERROR(ROUND(VALUE(SUBSTITUTE(SUBSTITUTE(SUBSTITUTE(J566,"$",""),",","")," ","")),2),"bad")))</f>
        <v/>
      </c>
      <c r="P566">
        <f>IF(TRIM(K566)="","",IFERROR(MATCH(LOWER(TRIM(K566)),'Students'!$AH$2:$AH$701,0),IFERROR(MATCH(LOWER(TRIM(K566)),'Students'!$AF$2:$AF$701,0),IFERROR(MATCH(LOWER(TRIM(K566)),'Students'!$AG$2:$AG$701,0),""))))</f>
        <v/>
      </c>
      <c r="R566">
        <f>IF(P566="","",INDEX('Students'!$AD$2:$AD$701,P566))</f>
        <v/>
      </c>
      <c r="S566">
        <f>IF(H566="OK",O566,0)</f>
        <v/>
      </c>
      <c r="T566">
        <f>IF(H566="OK",N566,"")</f>
        <v/>
      </c>
      <c r="U566">
        <f>IF(OC_Donor=0,"",IF(INDEX('OneCause_Paste'!$A$566:$AZ$566,1,OC_Donor)="","",INDEX('OneCause_Paste'!$A$566:$AZ$566,1,OC_Donor)))</f>
        <v/>
      </c>
    </row>
    <row r="567">
      <c r="A567" s="62">
        <f>IF(H567="","",IF(ISNUMBER(N567),N567,I567))</f>
        <v/>
      </c>
      <c r="B567">
        <f>IF(H567="","",U567)</f>
        <v/>
      </c>
      <c r="C567">
        <f>IF(H567="","",IF(P567="",K567,INDEX('Students'!$A$2:$A$701,P567)))</f>
        <v/>
      </c>
      <c r="D567">
        <f>IF(OR(H567="",P567=""),"",INDEX('Students'!$B$2:$B$701,P567))</f>
        <v/>
      </c>
      <c r="E567">
        <f>IF(OR(H567="",P567=""),"",INDEX('Students'!$C$2:$C$701,P567))</f>
        <v/>
      </c>
      <c r="F567" s="48">
        <f>IF(H567="","",IF(ISNUMBER(O567),O567,J567))</f>
        <v/>
      </c>
      <c r="G567">
        <f>IF(H567="","","OneCause")</f>
        <v/>
      </c>
      <c r="H567">
        <f>IF(AND(I567="",J567="",K567=""),"",IF(NOT(ISNUMBER(O567)),"Bad amount",IF(O567&lt;0,"Refund (not counted)",IF(O567=0,"Zero amount",IF(NOT(ISNUMBER(N567)),"Bad date",IF(P567="","NAME NOT ON ROSTER",IF(L567="","OK",IF(MATCH(L567,$L$2:$L$3001,0)&lt;ROW()-1,"Duplicate (ignored)","OK"))))))))</f>
        <v/>
      </c>
      <c r="I567">
        <f>IF(OC_Date=0,"",IF(INDEX('OneCause_Paste'!$A$567:$AZ$567,1,OC_Date)="","",INDEX('OneCause_Paste'!$A$567:$AZ$567,1,OC_Date)))</f>
        <v/>
      </c>
      <c r="J567">
        <f>IF(OC_Amt=0,"",IF(INDEX('OneCause_Paste'!$A$567:$AZ$567,1,OC_Amt)="","",INDEX('OneCause_Paste'!$A$567:$AZ$567,1,OC_Amt)))</f>
        <v/>
      </c>
      <c r="K567">
        <f>IF(OC_Name=0,"",IF(INDEX('OneCause_Paste'!$A$567:$AZ$567,1,OC_Name)="","",INDEX('OneCause_Paste'!$A$567:$AZ$567,1,OC_Name)))</f>
        <v/>
      </c>
      <c r="L567">
        <f>IF(OC_Txn=0,"",IF(INDEX('OneCause_Paste'!$A$567:$AZ$567,1,OC_Txn)="","",INDEX('OneCause_Paste'!$A$567:$AZ$567,1,OC_Txn)))</f>
        <v/>
      </c>
      <c r="M567">
        <f>IF(OC_Pay=0,"",IF(INDEX('OneCause_Paste'!$A$567:$AZ$567,1,OC_Pay)="","",INDEX('OneCause_Paste'!$A$567:$AZ$567,1,OC_Pay)))</f>
        <v/>
      </c>
      <c r="N567">
        <f>IF(I567="","",IF(ISNUMBER(I567),INT(I567),IFERROR(INT(DATEVALUE(I567)),IFERROR(INT(VALUE(I567)),"bad"))))</f>
        <v/>
      </c>
      <c r="O567">
        <f>IF(J567="","",IF(ISNUMBER(J567),ROUND(J567,2),IFERROR(ROUND(VALUE(SUBSTITUTE(SUBSTITUTE(SUBSTITUTE(J567,"$",""),",","")," ","")),2),"bad")))</f>
        <v/>
      </c>
      <c r="P567">
        <f>IF(TRIM(K567)="","",IFERROR(MATCH(LOWER(TRIM(K567)),'Students'!$AH$2:$AH$701,0),IFERROR(MATCH(LOWER(TRIM(K567)),'Students'!$AF$2:$AF$701,0),IFERROR(MATCH(LOWER(TRIM(K567)),'Students'!$AG$2:$AG$701,0),""))))</f>
        <v/>
      </c>
      <c r="R567">
        <f>IF(P567="","",INDEX('Students'!$AD$2:$AD$701,P567))</f>
        <v/>
      </c>
      <c r="S567">
        <f>IF(H567="OK",O567,0)</f>
        <v/>
      </c>
      <c r="T567">
        <f>IF(H567="OK",N567,"")</f>
        <v/>
      </c>
      <c r="U567">
        <f>IF(OC_Donor=0,"",IF(INDEX('OneCause_Paste'!$A$567:$AZ$567,1,OC_Donor)="","",INDEX('OneCause_Paste'!$A$567:$AZ$567,1,OC_Donor)))</f>
        <v/>
      </c>
    </row>
    <row r="568">
      <c r="A568" s="62">
        <f>IF(H568="","",IF(ISNUMBER(N568),N568,I568))</f>
        <v/>
      </c>
      <c r="B568">
        <f>IF(H568="","",U568)</f>
        <v/>
      </c>
      <c r="C568">
        <f>IF(H568="","",IF(P568="",K568,INDEX('Students'!$A$2:$A$701,P568)))</f>
        <v/>
      </c>
      <c r="D568">
        <f>IF(OR(H568="",P568=""),"",INDEX('Students'!$B$2:$B$701,P568))</f>
        <v/>
      </c>
      <c r="E568">
        <f>IF(OR(H568="",P568=""),"",INDEX('Students'!$C$2:$C$701,P568))</f>
        <v/>
      </c>
      <c r="F568" s="48">
        <f>IF(H568="","",IF(ISNUMBER(O568),O568,J568))</f>
        <v/>
      </c>
      <c r="G568">
        <f>IF(H568="","","OneCause")</f>
        <v/>
      </c>
      <c r="H568">
        <f>IF(AND(I568="",J568="",K568=""),"",IF(NOT(ISNUMBER(O568)),"Bad amount",IF(O568&lt;0,"Refund (not counted)",IF(O568=0,"Zero amount",IF(NOT(ISNUMBER(N568)),"Bad date",IF(P568="","NAME NOT ON ROSTER",IF(L568="","OK",IF(MATCH(L568,$L$2:$L$3001,0)&lt;ROW()-1,"Duplicate (ignored)","OK"))))))))</f>
        <v/>
      </c>
      <c r="I568">
        <f>IF(OC_Date=0,"",IF(INDEX('OneCause_Paste'!$A$568:$AZ$568,1,OC_Date)="","",INDEX('OneCause_Paste'!$A$568:$AZ$568,1,OC_Date)))</f>
        <v/>
      </c>
      <c r="J568">
        <f>IF(OC_Amt=0,"",IF(INDEX('OneCause_Paste'!$A$568:$AZ$568,1,OC_Amt)="","",INDEX('OneCause_Paste'!$A$568:$AZ$568,1,OC_Amt)))</f>
        <v/>
      </c>
      <c r="K568">
        <f>IF(OC_Name=0,"",IF(INDEX('OneCause_Paste'!$A$568:$AZ$568,1,OC_Name)="","",INDEX('OneCause_Paste'!$A$568:$AZ$568,1,OC_Name)))</f>
        <v/>
      </c>
      <c r="L568">
        <f>IF(OC_Txn=0,"",IF(INDEX('OneCause_Paste'!$A$568:$AZ$568,1,OC_Txn)="","",INDEX('OneCause_Paste'!$A$568:$AZ$568,1,OC_Txn)))</f>
        <v/>
      </c>
      <c r="M568">
        <f>IF(OC_Pay=0,"",IF(INDEX('OneCause_Paste'!$A$568:$AZ$568,1,OC_Pay)="","",INDEX('OneCause_Paste'!$A$568:$AZ$568,1,OC_Pay)))</f>
        <v/>
      </c>
      <c r="N568">
        <f>IF(I568="","",IF(ISNUMBER(I568),INT(I568),IFERROR(INT(DATEVALUE(I568)),IFERROR(INT(VALUE(I568)),"bad"))))</f>
        <v/>
      </c>
      <c r="O568">
        <f>IF(J568="","",IF(ISNUMBER(J568),ROUND(J568,2),IFERROR(ROUND(VALUE(SUBSTITUTE(SUBSTITUTE(SUBSTITUTE(J568,"$",""),",","")," ","")),2),"bad")))</f>
        <v/>
      </c>
      <c r="P568">
        <f>IF(TRIM(K568)="","",IFERROR(MATCH(LOWER(TRIM(K568)),'Students'!$AH$2:$AH$701,0),IFERROR(MATCH(LOWER(TRIM(K568)),'Students'!$AF$2:$AF$701,0),IFERROR(MATCH(LOWER(TRIM(K568)),'Students'!$AG$2:$AG$701,0),""))))</f>
        <v/>
      </c>
      <c r="R568">
        <f>IF(P568="","",INDEX('Students'!$AD$2:$AD$701,P568))</f>
        <v/>
      </c>
      <c r="S568">
        <f>IF(H568="OK",O568,0)</f>
        <v/>
      </c>
      <c r="T568">
        <f>IF(H568="OK",N568,"")</f>
        <v/>
      </c>
      <c r="U568">
        <f>IF(OC_Donor=0,"",IF(INDEX('OneCause_Paste'!$A$568:$AZ$568,1,OC_Donor)="","",INDEX('OneCause_Paste'!$A$568:$AZ$568,1,OC_Donor)))</f>
        <v/>
      </c>
    </row>
    <row r="569">
      <c r="A569" s="62">
        <f>IF(H569="","",IF(ISNUMBER(N569),N569,I569))</f>
        <v/>
      </c>
      <c r="B569">
        <f>IF(H569="","",U569)</f>
        <v/>
      </c>
      <c r="C569">
        <f>IF(H569="","",IF(P569="",K569,INDEX('Students'!$A$2:$A$701,P569)))</f>
        <v/>
      </c>
      <c r="D569">
        <f>IF(OR(H569="",P569=""),"",INDEX('Students'!$B$2:$B$701,P569))</f>
        <v/>
      </c>
      <c r="E569">
        <f>IF(OR(H569="",P569=""),"",INDEX('Students'!$C$2:$C$701,P569))</f>
        <v/>
      </c>
      <c r="F569" s="48">
        <f>IF(H569="","",IF(ISNUMBER(O569),O569,J569))</f>
        <v/>
      </c>
      <c r="G569">
        <f>IF(H569="","","OneCause")</f>
        <v/>
      </c>
      <c r="H569">
        <f>IF(AND(I569="",J569="",K569=""),"",IF(NOT(ISNUMBER(O569)),"Bad amount",IF(O569&lt;0,"Refund (not counted)",IF(O569=0,"Zero amount",IF(NOT(ISNUMBER(N569)),"Bad date",IF(P569="","NAME NOT ON ROSTER",IF(L569="","OK",IF(MATCH(L569,$L$2:$L$3001,0)&lt;ROW()-1,"Duplicate (ignored)","OK"))))))))</f>
        <v/>
      </c>
      <c r="I569">
        <f>IF(OC_Date=0,"",IF(INDEX('OneCause_Paste'!$A$569:$AZ$569,1,OC_Date)="","",INDEX('OneCause_Paste'!$A$569:$AZ$569,1,OC_Date)))</f>
        <v/>
      </c>
      <c r="J569">
        <f>IF(OC_Amt=0,"",IF(INDEX('OneCause_Paste'!$A$569:$AZ$569,1,OC_Amt)="","",INDEX('OneCause_Paste'!$A$569:$AZ$569,1,OC_Amt)))</f>
        <v/>
      </c>
      <c r="K569">
        <f>IF(OC_Name=0,"",IF(INDEX('OneCause_Paste'!$A$569:$AZ$569,1,OC_Name)="","",INDEX('OneCause_Paste'!$A$569:$AZ$569,1,OC_Name)))</f>
        <v/>
      </c>
      <c r="L569">
        <f>IF(OC_Txn=0,"",IF(INDEX('OneCause_Paste'!$A$569:$AZ$569,1,OC_Txn)="","",INDEX('OneCause_Paste'!$A$569:$AZ$569,1,OC_Txn)))</f>
        <v/>
      </c>
      <c r="M569">
        <f>IF(OC_Pay=0,"",IF(INDEX('OneCause_Paste'!$A$569:$AZ$569,1,OC_Pay)="","",INDEX('OneCause_Paste'!$A$569:$AZ$569,1,OC_Pay)))</f>
        <v/>
      </c>
      <c r="N569">
        <f>IF(I569="","",IF(ISNUMBER(I569),INT(I569),IFERROR(INT(DATEVALUE(I569)),IFERROR(INT(VALUE(I569)),"bad"))))</f>
        <v/>
      </c>
      <c r="O569">
        <f>IF(J569="","",IF(ISNUMBER(J569),ROUND(J569,2),IFERROR(ROUND(VALUE(SUBSTITUTE(SUBSTITUTE(SUBSTITUTE(J569,"$",""),",","")," ","")),2),"bad")))</f>
        <v/>
      </c>
      <c r="P569">
        <f>IF(TRIM(K569)="","",IFERROR(MATCH(LOWER(TRIM(K569)),'Students'!$AH$2:$AH$701,0),IFERROR(MATCH(LOWER(TRIM(K569)),'Students'!$AF$2:$AF$701,0),IFERROR(MATCH(LOWER(TRIM(K569)),'Students'!$AG$2:$AG$701,0),""))))</f>
        <v/>
      </c>
      <c r="R569">
        <f>IF(P569="","",INDEX('Students'!$AD$2:$AD$701,P569))</f>
        <v/>
      </c>
      <c r="S569">
        <f>IF(H569="OK",O569,0)</f>
        <v/>
      </c>
      <c r="T569">
        <f>IF(H569="OK",N569,"")</f>
        <v/>
      </c>
      <c r="U569">
        <f>IF(OC_Donor=0,"",IF(INDEX('OneCause_Paste'!$A$569:$AZ$569,1,OC_Donor)="","",INDEX('OneCause_Paste'!$A$569:$AZ$569,1,OC_Donor)))</f>
        <v/>
      </c>
    </row>
    <row r="570">
      <c r="A570" s="62">
        <f>IF(H570="","",IF(ISNUMBER(N570),N570,I570))</f>
        <v/>
      </c>
      <c r="B570">
        <f>IF(H570="","",U570)</f>
        <v/>
      </c>
      <c r="C570">
        <f>IF(H570="","",IF(P570="",K570,INDEX('Students'!$A$2:$A$701,P570)))</f>
        <v/>
      </c>
      <c r="D570">
        <f>IF(OR(H570="",P570=""),"",INDEX('Students'!$B$2:$B$701,P570))</f>
        <v/>
      </c>
      <c r="E570">
        <f>IF(OR(H570="",P570=""),"",INDEX('Students'!$C$2:$C$701,P570))</f>
        <v/>
      </c>
      <c r="F570" s="48">
        <f>IF(H570="","",IF(ISNUMBER(O570),O570,J570))</f>
        <v/>
      </c>
      <c r="G570">
        <f>IF(H570="","","OneCause")</f>
        <v/>
      </c>
      <c r="H570">
        <f>IF(AND(I570="",J570="",K570=""),"",IF(NOT(ISNUMBER(O570)),"Bad amount",IF(O570&lt;0,"Refund (not counted)",IF(O570=0,"Zero amount",IF(NOT(ISNUMBER(N570)),"Bad date",IF(P570="","NAME NOT ON ROSTER",IF(L570="","OK",IF(MATCH(L570,$L$2:$L$3001,0)&lt;ROW()-1,"Duplicate (ignored)","OK"))))))))</f>
        <v/>
      </c>
      <c r="I570">
        <f>IF(OC_Date=0,"",IF(INDEX('OneCause_Paste'!$A$570:$AZ$570,1,OC_Date)="","",INDEX('OneCause_Paste'!$A$570:$AZ$570,1,OC_Date)))</f>
        <v/>
      </c>
      <c r="J570">
        <f>IF(OC_Amt=0,"",IF(INDEX('OneCause_Paste'!$A$570:$AZ$570,1,OC_Amt)="","",INDEX('OneCause_Paste'!$A$570:$AZ$570,1,OC_Amt)))</f>
        <v/>
      </c>
      <c r="K570">
        <f>IF(OC_Name=0,"",IF(INDEX('OneCause_Paste'!$A$570:$AZ$570,1,OC_Name)="","",INDEX('OneCause_Paste'!$A$570:$AZ$570,1,OC_Name)))</f>
        <v/>
      </c>
      <c r="L570">
        <f>IF(OC_Txn=0,"",IF(INDEX('OneCause_Paste'!$A$570:$AZ$570,1,OC_Txn)="","",INDEX('OneCause_Paste'!$A$570:$AZ$570,1,OC_Txn)))</f>
        <v/>
      </c>
      <c r="M570">
        <f>IF(OC_Pay=0,"",IF(INDEX('OneCause_Paste'!$A$570:$AZ$570,1,OC_Pay)="","",INDEX('OneCause_Paste'!$A$570:$AZ$570,1,OC_Pay)))</f>
        <v/>
      </c>
      <c r="N570">
        <f>IF(I570="","",IF(ISNUMBER(I570),INT(I570),IFERROR(INT(DATEVALUE(I570)),IFERROR(INT(VALUE(I570)),"bad"))))</f>
        <v/>
      </c>
      <c r="O570">
        <f>IF(J570="","",IF(ISNUMBER(J570),ROUND(J570,2),IFERROR(ROUND(VALUE(SUBSTITUTE(SUBSTITUTE(SUBSTITUTE(J570,"$",""),",","")," ","")),2),"bad")))</f>
        <v/>
      </c>
      <c r="P570">
        <f>IF(TRIM(K570)="","",IFERROR(MATCH(LOWER(TRIM(K570)),'Students'!$AH$2:$AH$701,0),IFERROR(MATCH(LOWER(TRIM(K570)),'Students'!$AF$2:$AF$701,0),IFERROR(MATCH(LOWER(TRIM(K570)),'Students'!$AG$2:$AG$701,0),""))))</f>
        <v/>
      </c>
      <c r="R570">
        <f>IF(P570="","",INDEX('Students'!$AD$2:$AD$701,P570))</f>
        <v/>
      </c>
      <c r="S570">
        <f>IF(H570="OK",O570,0)</f>
        <v/>
      </c>
      <c r="T570">
        <f>IF(H570="OK",N570,"")</f>
        <v/>
      </c>
      <c r="U570">
        <f>IF(OC_Donor=0,"",IF(INDEX('OneCause_Paste'!$A$570:$AZ$570,1,OC_Donor)="","",INDEX('OneCause_Paste'!$A$570:$AZ$570,1,OC_Donor)))</f>
        <v/>
      </c>
    </row>
    <row r="571">
      <c r="A571" s="62">
        <f>IF(H571="","",IF(ISNUMBER(N571),N571,I571))</f>
        <v/>
      </c>
      <c r="B571">
        <f>IF(H571="","",U571)</f>
        <v/>
      </c>
      <c r="C571">
        <f>IF(H571="","",IF(P571="",K571,INDEX('Students'!$A$2:$A$701,P571)))</f>
        <v/>
      </c>
      <c r="D571">
        <f>IF(OR(H571="",P571=""),"",INDEX('Students'!$B$2:$B$701,P571))</f>
        <v/>
      </c>
      <c r="E571">
        <f>IF(OR(H571="",P571=""),"",INDEX('Students'!$C$2:$C$701,P571))</f>
        <v/>
      </c>
      <c r="F571" s="48">
        <f>IF(H571="","",IF(ISNUMBER(O571),O571,J571))</f>
        <v/>
      </c>
      <c r="G571">
        <f>IF(H571="","","OneCause")</f>
        <v/>
      </c>
      <c r="H571">
        <f>IF(AND(I571="",J571="",K571=""),"",IF(NOT(ISNUMBER(O571)),"Bad amount",IF(O571&lt;0,"Refund (not counted)",IF(O571=0,"Zero amount",IF(NOT(ISNUMBER(N571)),"Bad date",IF(P571="","NAME NOT ON ROSTER",IF(L571="","OK",IF(MATCH(L571,$L$2:$L$3001,0)&lt;ROW()-1,"Duplicate (ignored)","OK"))))))))</f>
        <v/>
      </c>
      <c r="I571">
        <f>IF(OC_Date=0,"",IF(INDEX('OneCause_Paste'!$A$571:$AZ$571,1,OC_Date)="","",INDEX('OneCause_Paste'!$A$571:$AZ$571,1,OC_Date)))</f>
        <v/>
      </c>
      <c r="J571">
        <f>IF(OC_Amt=0,"",IF(INDEX('OneCause_Paste'!$A$571:$AZ$571,1,OC_Amt)="","",INDEX('OneCause_Paste'!$A$571:$AZ$571,1,OC_Amt)))</f>
        <v/>
      </c>
      <c r="K571">
        <f>IF(OC_Name=0,"",IF(INDEX('OneCause_Paste'!$A$571:$AZ$571,1,OC_Name)="","",INDEX('OneCause_Paste'!$A$571:$AZ$571,1,OC_Name)))</f>
        <v/>
      </c>
      <c r="L571">
        <f>IF(OC_Txn=0,"",IF(INDEX('OneCause_Paste'!$A$571:$AZ$571,1,OC_Txn)="","",INDEX('OneCause_Paste'!$A$571:$AZ$571,1,OC_Txn)))</f>
        <v/>
      </c>
      <c r="M571">
        <f>IF(OC_Pay=0,"",IF(INDEX('OneCause_Paste'!$A$571:$AZ$571,1,OC_Pay)="","",INDEX('OneCause_Paste'!$A$571:$AZ$571,1,OC_Pay)))</f>
        <v/>
      </c>
      <c r="N571">
        <f>IF(I571="","",IF(ISNUMBER(I571),INT(I571),IFERROR(INT(DATEVALUE(I571)),IFERROR(INT(VALUE(I571)),"bad"))))</f>
        <v/>
      </c>
      <c r="O571">
        <f>IF(J571="","",IF(ISNUMBER(J571),ROUND(J571,2),IFERROR(ROUND(VALUE(SUBSTITUTE(SUBSTITUTE(SUBSTITUTE(J571,"$",""),",","")," ","")),2),"bad")))</f>
        <v/>
      </c>
      <c r="P571">
        <f>IF(TRIM(K571)="","",IFERROR(MATCH(LOWER(TRIM(K571)),'Students'!$AH$2:$AH$701,0),IFERROR(MATCH(LOWER(TRIM(K571)),'Students'!$AF$2:$AF$701,0),IFERROR(MATCH(LOWER(TRIM(K571)),'Students'!$AG$2:$AG$701,0),""))))</f>
        <v/>
      </c>
      <c r="R571">
        <f>IF(P571="","",INDEX('Students'!$AD$2:$AD$701,P571))</f>
        <v/>
      </c>
      <c r="S571">
        <f>IF(H571="OK",O571,0)</f>
        <v/>
      </c>
      <c r="T571">
        <f>IF(H571="OK",N571,"")</f>
        <v/>
      </c>
      <c r="U571">
        <f>IF(OC_Donor=0,"",IF(INDEX('OneCause_Paste'!$A$571:$AZ$571,1,OC_Donor)="","",INDEX('OneCause_Paste'!$A$571:$AZ$571,1,OC_Donor)))</f>
        <v/>
      </c>
    </row>
    <row r="572">
      <c r="A572" s="62">
        <f>IF(H572="","",IF(ISNUMBER(N572),N572,I572))</f>
        <v/>
      </c>
      <c r="B572">
        <f>IF(H572="","",U572)</f>
        <v/>
      </c>
      <c r="C572">
        <f>IF(H572="","",IF(P572="",K572,INDEX('Students'!$A$2:$A$701,P572)))</f>
        <v/>
      </c>
      <c r="D572">
        <f>IF(OR(H572="",P572=""),"",INDEX('Students'!$B$2:$B$701,P572))</f>
        <v/>
      </c>
      <c r="E572">
        <f>IF(OR(H572="",P572=""),"",INDEX('Students'!$C$2:$C$701,P572))</f>
        <v/>
      </c>
      <c r="F572" s="48">
        <f>IF(H572="","",IF(ISNUMBER(O572),O572,J572))</f>
        <v/>
      </c>
      <c r="G572">
        <f>IF(H572="","","OneCause")</f>
        <v/>
      </c>
      <c r="H572">
        <f>IF(AND(I572="",J572="",K572=""),"",IF(NOT(ISNUMBER(O572)),"Bad amount",IF(O572&lt;0,"Refund (not counted)",IF(O572=0,"Zero amount",IF(NOT(ISNUMBER(N572)),"Bad date",IF(P572="","NAME NOT ON ROSTER",IF(L572="","OK",IF(MATCH(L572,$L$2:$L$3001,0)&lt;ROW()-1,"Duplicate (ignored)","OK"))))))))</f>
        <v/>
      </c>
      <c r="I572">
        <f>IF(OC_Date=0,"",IF(INDEX('OneCause_Paste'!$A$572:$AZ$572,1,OC_Date)="","",INDEX('OneCause_Paste'!$A$572:$AZ$572,1,OC_Date)))</f>
        <v/>
      </c>
      <c r="J572">
        <f>IF(OC_Amt=0,"",IF(INDEX('OneCause_Paste'!$A$572:$AZ$572,1,OC_Amt)="","",INDEX('OneCause_Paste'!$A$572:$AZ$572,1,OC_Amt)))</f>
        <v/>
      </c>
      <c r="K572">
        <f>IF(OC_Name=0,"",IF(INDEX('OneCause_Paste'!$A$572:$AZ$572,1,OC_Name)="","",INDEX('OneCause_Paste'!$A$572:$AZ$572,1,OC_Name)))</f>
        <v/>
      </c>
      <c r="L572">
        <f>IF(OC_Txn=0,"",IF(INDEX('OneCause_Paste'!$A$572:$AZ$572,1,OC_Txn)="","",INDEX('OneCause_Paste'!$A$572:$AZ$572,1,OC_Txn)))</f>
        <v/>
      </c>
      <c r="M572">
        <f>IF(OC_Pay=0,"",IF(INDEX('OneCause_Paste'!$A$572:$AZ$572,1,OC_Pay)="","",INDEX('OneCause_Paste'!$A$572:$AZ$572,1,OC_Pay)))</f>
        <v/>
      </c>
      <c r="N572">
        <f>IF(I572="","",IF(ISNUMBER(I572),INT(I572),IFERROR(INT(DATEVALUE(I572)),IFERROR(INT(VALUE(I572)),"bad"))))</f>
        <v/>
      </c>
      <c r="O572">
        <f>IF(J572="","",IF(ISNUMBER(J572),ROUND(J572,2),IFERROR(ROUND(VALUE(SUBSTITUTE(SUBSTITUTE(SUBSTITUTE(J572,"$",""),",","")," ","")),2),"bad")))</f>
        <v/>
      </c>
      <c r="P572">
        <f>IF(TRIM(K572)="","",IFERROR(MATCH(LOWER(TRIM(K572)),'Students'!$AH$2:$AH$701,0),IFERROR(MATCH(LOWER(TRIM(K572)),'Students'!$AF$2:$AF$701,0),IFERROR(MATCH(LOWER(TRIM(K572)),'Students'!$AG$2:$AG$701,0),""))))</f>
        <v/>
      </c>
      <c r="R572">
        <f>IF(P572="","",INDEX('Students'!$AD$2:$AD$701,P572))</f>
        <v/>
      </c>
      <c r="S572">
        <f>IF(H572="OK",O572,0)</f>
        <v/>
      </c>
      <c r="T572">
        <f>IF(H572="OK",N572,"")</f>
        <v/>
      </c>
      <c r="U572">
        <f>IF(OC_Donor=0,"",IF(INDEX('OneCause_Paste'!$A$572:$AZ$572,1,OC_Donor)="","",INDEX('OneCause_Paste'!$A$572:$AZ$572,1,OC_Donor)))</f>
        <v/>
      </c>
    </row>
    <row r="573">
      <c r="A573" s="62">
        <f>IF(H573="","",IF(ISNUMBER(N573),N573,I573))</f>
        <v/>
      </c>
      <c r="B573">
        <f>IF(H573="","",U573)</f>
        <v/>
      </c>
      <c r="C573">
        <f>IF(H573="","",IF(P573="",K573,INDEX('Students'!$A$2:$A$701,P573)))</f>
        <v/>
      </c>
      <c r="D573">
        <f>IF(OR(H573="",P573=""),"",INDEX('Students'!$B$2:$B$701,P573))</f>
        <v/>
      </c>
      <c r="E573">
        <f>IF(OR(H573="",P573=""),"",INDEX('Students'!$C$2:$C$701,P573))</f>
        <v/>
      </c>
      <c r="F573" s="48">
        <f>IF(H573="","",IF(ISNUMBER(O573),O573,J573))</f>
        <v/>
      </c>
      <c r="G573">
        <f>IF(H573="","","OneCause")</f>
        <v/>
      </c>
      <c r="H573">
        <f>IF(AND(I573="",J573="",K573=""),"",IF(NOT(ISNUMBER(O573)),"Bad amount",IF(O573&lt;0,"Refund (not counted)",IF(O573=0,"Zero amount",IF(NOT(ISNUMBER(N573)),"Bad date",IF(P573="","NAME NOT ON ROSTER",IF(L573="","OK",IF(MATCH(L573,$L$2:$L$3001,0)&lt;ROW()-1,"Duplicate (ignored)","OK"))))))))</f>
        <v/>
      </c>
      <c r="I573">
        <f>IF(OC_Date=0,"",IF(INDEX('OneCause_Paste'!$A$573:$AZ$573,1,OC_Date)="","",INDEX('OneCause_Paste'!$A$573:$AZ$573,1,OC_Date)))</f>
        <v/>
      </c>
      <c r="J573">
        <f>IF(OC_Amt=0,"",IF(INDEX('OneCause_Paste'!$A$573:$AZ$573,1,OC_Amt)="","",INDEX('OneCause_Paste'!$A$573:$AZ$573,1,OC_Amt)))</f>
        <v/>
      </c>
      <c r="K573">
        <f>IF(OC_Name=0,"",IF(INDEX('OneCause_Paste'!$A$573:$AZ$573,1,OC_Name)="","",INDEX('OneCause_Paste'!$A$573:$AZ$573,1,OC_Name)))</f>
        <v/>
      </c>
      <c r="L573">
        <f>IF(OC_Txn=0,"",IF(INDEX('OneCause_Paste'!$A$573:$AZ$573,1,OC_Txn)="","",INDEX('OneCause_Paste'!$A$573:$AZ$573,1,OC_Txn)))</f>
        <v/>
      </c>
      <c r="M573">
        <f>IF(OC_Pay=0,"",IF(INDEX('OneCause_Paste'!$A$573:$AZ$573,1,OC_Pay)="","",INDEX('OneCause_Paste'!$A$573:$AZ$573,1,OC_Pay)))</f>
        <v/>
      </c>
      <c r="N573">
        <f>IF(I573="","",IF(ISNUMBER(I573),INT(I573),IFERROR(INT(DATEVALUE(I573)),IFERROR(INT(VALUE(I573)),"bad"))))</f>
        <v/>
      </c>
      <c r="O573">
        <f>IF(J573="","",IF(ISNUMBER(J573),ROUND(J573,2),IFERROR(ROUND(VALUE(SUBSTITUTE(SUBSTITUTE(SUBSTITUTE(J573,"$",""),",","")," ","")),2),"bad")))</f>
        <v/>
      </c>
      <c r="P573">
        <f>IF(TRIM(K573)="","",IFERROR(MATCH(LOWER(TRIM(K573)),'Students'!$AH$2:$AH$701,0),IFERROR(MATCH(LOWER(TRIM(K573)),'Students'!$AF$2:$AF$701,0),IFERROR(MATCH(LOWER(TRIM(K573)),'Students'!$AG$2:$AG$701,0),""))))</f>
        <v/>
      </c>
      <c r="R573">
        <f>IF(P573="","",INDEX('Students'!$AD$2:$AD$701,P573))</f>
        <v/>
      </c>
      <c r="S573">
        <f>IF(H573="OK",O573,0)</f>
        <v/>
      </c>
      <c r="T573">
        <f>IF(H573="OK",N573,"")</f>
        <v/>
      </c>
      <c r="U573">
        <f>IF(OC_Donor=0,"",IF(INDEX('OneCause_Paste'!$A$573:$AZ$573,1,OC_Donor)="","",INDEX('OneCause_Paste'!$A$573:$AZ$573,1,OC_Donor)))</f>
        <v/>
      </c>
    </row>
    <row r="574">
      <c r="A574" s="62">
        <f>IF(H574="","",IF(ISNUMBER(N574),N574,I574))</f>
        <v/>
      </c>
      <c r="B574">
        <f>IF(H574="","",U574)</f>
        <v/>
      </c>
      <c r="C574">
        <f>IF(H574="","",IF(P574="",K574,INDEX('Students'!$A$2:$A$701,P574)))</f>
        <v/>
      </c>
      <c r="D574">
        <f>IF(OR(H574="",P574=""),"",INDEX('Students'!$B$2:$B$701,P574))</f>
        <v/>
      </c>
      <c r="E574">
        <f>IF(OR(H574="",P574=""),"",INDEX('Students'!$C$2:$C$701,P574))</f>
        <v/>
      </c>
      <c r="F574" s="48">
        <f>IF(H574="","",IF(ISNUMBER(O574),O574,J574))</f>
        <v/>
      </c>
      <c r="G574">
        <f>IF(H574="","","OneCause")</f>
        <v/>
      </c>
      <c r="H574">
        <f>IF(AND(I574="",J574="",K574=""),"",IF(NOT(ISNUMBER(O574)),"Bad amount",IF(O574&lt;0,"Refund (not counted)",IF(O574=0,"Zero amount",IF(NOT(ISNUMBER(N574)),"Bad date",IF(P574="","NAME NOT ON ROSTER",IF(L574="","OK",IF(MATCH(L574,$L$2:$L$3001,0)&lt;ROW()-1,"Duplicate (ignored)","OK"))))))))</f>
        <v/>
      </c>
      <c r="I574">
        <f>IF(OC_Date=0,"",IF(INDEX('OneCause_Paste'!$A$574:$AZ$574,1,OC_Date)="","",INDEX('OneCause_Paste'!$A$574:$AZ$574,1,OC_Date)))</f>
        <v/>
      </c>
      <c r="J574">
        <f>IF(OC_Amt=0,"",IF(INDEX('OneCause_Paste'!$A$574:$AZ$574,1,OC_Amt)="","",INDEX('OneCause_Paste'!$A$574:$AZ$574,1,OC_Amt)))</f>
        <v/>
      </c>
      <c r="K574">
        <f>IF(OC_Name=0,"",IF(INDEX('OneCause_Paste'!$A$574:$AZ$574,1,OC_Name)="","",INDEX('OneCause_Paste'!$A$574:$AZ$574,1,OC_Name)))</f>
        <v/>
      </c>
      <c r="L574">
        <f>IF(OC_Txn=0,"",IF(INDEX('OneCause_Paste'!$A$574:$AZ$574,1,OC_Txn)="","",INDEX('OneCause_Paste'!$A$574:$AZ$574,1,OC_Txn)))</f>
        <v/>
      </c>
      <c r="M574">
        <f>IF(OC_Pay=0,"",IF(INDEX('OneCause_Paste'!$A$574:$AZ$574,1,OC_Pay)="","",INDEX('OneCause_Paste'!$A$574:$AZ$574,1,OC_Pay)))</f>
        <v/>
      </c>
      <c r="N574">
        <f>IF(I574="","",IF(ISNUMBER(I574),INT(I574),IFERROR(INT(DATEVALUE(I574)),IFERROR(INT(VALUE(I574)),"bad"))))</f>
        <v/>
      </c>
      <c r="O574">
        <f>IF(J574="","",IF(ISNUMBER(J574),ROUND(J574,2),IFERROR(ROUND(VALUE(SUBSTITUTE(SUBSTITUTE(SUBSTITUTE(J574,"$",""),",","")," ","")),2),"bad")))</f>
        <v/>
      </c>
      <c r="P574">
        <f>IF(TRIM(K574)="","",IFERROR(MATCH(LOWER(TRIM(K574)),'Students'!$AH$2:$AH$701,0),IFERROR(MATCH(LOWER(TRIM(K574)),'Students'!$AF$2:$AF$701,0),IFERROR(MATCH(LOWER(TRIM(K574)),'Students'!$AG$2:$AG$701,0),""))))</f>
        <v/>
      </c>
      <c r="R574">
        <f>IF(P574="","",INDEX('Students'!$AD$2:$AD$701,P574))</f>
        <v/>
      </c>
      <c r="S574">
        <f>IF(H574="OK",O574,0)</f>
        <v/>
      </c>
      <c r="T574">
        <f>IF(H574="OK",N574,"")</f>
        <v/>
      </c>
      <c r="U574">
        <f>IF(OC_Donor=0,"",IF(INDEX('OneCause_Paste'!$A$574:$AZ$574,1,OC_Donor)="","",INDEX('OneCause_Paste'!$A$574:$AZ$574,1,OC_Donor)))</f>
        <v/>
      </c>
    </row>
    <row r="575">
      <c r="A575" s="62">
        <f>IF(H575="","",IF(ISNUMBER(N575),N575,I575))</f>
        <v/>
      </c>
      <c r="B575">
        <f>IF(H575="","",U575)</f>
        <v/>
      </c>
      <c r="C575">
        <f>IF(H575="","",IF(P575="",K575,INDEX('Students'!$A$2:$A$701,P575)))</f>
        <v/>
      </c>
      <c r="D575">
        <f>IF(OR(H575="",P575=""),"",INDEX('Students'!$B$2:$B$701,P575))</f>
        <v/>
      </c>
      <c r="E575">
        <f>IF(OR(H575="",P575=""),"",INDEX('Students'!$C$2:$C$701,P575))</f>
        <v/>
      </c>
      <c r="F575" s="48">
        <f>IF(H575="","",IF(ISNUMBER(O575),O575,J575))</f>
        <v/>
      </c>
      <c r="G575">
        <f>IF(H575="","","OneCause")</f>
        <v/>
      </c>
      <c r="H575">
        <f>IF(AND(I575="",J575="",K575=""),"",IF(NOT(ISNUMBER(O575)),"Bad amount",IF(O575&lt;0,"Refund (not counted)",IF(O575=0,"Zero amount",IF(NOT(ISNUMBER(N575)),"Bad date",IF(P575="","NAME NOT ON ROSTER",IF(L575="","OK",IF(MATCH(L575,$L$2:$L$3001,0)&lt;ROW()-1,"Duplicate (ignored)","OK"))))))))</f>
        <v/>
      </c>
      <c r="I575">
        <f>IF(OC_Date=0,"",IF(INDEX('OneCause_Paste'!$A$575:$AZ$575,1,OC_Date)="","",INDEX('OneCause_Paste'!$A$575:$AZ$575,1,OC_Date)))</f>
        <v/>
      </c>
      <c r="J575">
        <f>IF(OC_Amt=0,"",IF(INDEX('OneCause_Paste'!$A$575:$AZ$575,1,OC_Amt)="","",INDEX('OneCause_Paste'!$A$575:$AZ$575,1,OC_Amt)))</f>
        <v/>
      </c>
      <c r="K575">
        <f>IF(OC_Name=0,"",IF(INDEX('OneCause_Paste'!$A$575:$AZ$575,1,OC_Name)="","",INDEX('OneCause_Paste'!$A$575:$AZ$575,1,OC_Name)))</f>
        <v/>
      </c>
      <c r="L575">
        <f>IF(OC_Txn=0,"",IF(INDEX('OneCause_Paste'!$A$575:$AZ$575,1,OC_Txn)="","",INDEX('OneCause_Paste'!$A$575:$AZ$575,1,OC_Txn)))</f>
        <v/>
      </c>
      <c r="M575">
        <f>IF(OC_Pay=0,"",IF(INDEX('OneCause_Paste'!$A$575:$AZ$575,1,OC_Pay)="","",INDEX('OneCause_Paste'!$A$575:$AZ$575,1,OC_Pay)))</f>
        <v/>
      </c>
      <c r="N575">
        <f>IF(I575="","",IF(ISNUMBER(I575),INT(I575),IFERROR(INT(DATEVALUE(I575)),IFERROR(INT(VALUE(I575)),"bad"))))</f>
        <v/>
      </c>
      <c r="O575">
        <f>IF(J575="","",IF(ISNUMBER(J575),ROUND(J575,2),IFERROR(ROUND(VALUE(SUBSTITUTE(SUBSTITUTE(SUBSTITUTE(J575,"$",""),",","")," ","")),2),"bad")))</f>
        <v/>
      </c>
      <c r="P575">
        <f>IF(TRIM(K575)="","",IFERROR(MATCH(LOWER(TRIM(K575)),'Students'!$AH$2:$AH$701,0),IFERROR(MATCH(LOWER(TRIM(K575)),'Students'!$AF$2:$AF$701,0),IFERROR(MATCH(LOWER(TRIM(K575)),'Students'!$AG$2:$AG$701,0),""))))</f>
        <v/>
      </c>
      <c r="R575">
        <f>IF(P575="","",INDEX('Students'!$AD$2:$AD$701,P575))</f>
        <v/>
      </c>
      <c r="S575">
        <f>IF(H575="OK",O575,0)</f>
        <v/>
      </c>
      <c r="T575">
        <f>IF(H575="OK",N575,"")</f>
        <v/>
      </c>
      <c r="U575">
        <f>IF(OC_Donor=0,"",IF(INDEX('OneCause_Paste'!$A$575:$AZ$575,1,OC_Donor)="","",INDEX('OneCause_Paste'!$A$575:$AZ$575,1,OC_Donor)))</f>
        <v/>
      </c>
    </row>
    <row r="576">
      <c r="A576" s="62">
        <f>IF(H576="","",IF(ISNUMBER(N576),N576,I576))</f>
        <v/>
      </c>
      <c r="B576">
        <f>IF(H576="","",U576)</f>
        <v/>
      </c>
      <c r="C576">
        <f>IF(H576="","",IF(P576="",K576,INDEX('Students'!$A$2:$A$701,P576)))</f>
        <v/>
      </c>
      <c r="D576">
        <f>IF(OR(H576="",P576=""),"",INDEX('Students'!$B$2:$B$701,P576))</f>
        <v/>
      </c>
      <c r="E576">
        <f>IF(OR(H576="",P576=""),"",INDEX('Students'!$C$2:$C$701,P576))</f>
        <v/>
      </c>
      <c r="F576" s="48">
        <f>IF(H576="","",IF(ISNUMBER(O576),O576,J576))</f>
        <v/>
      </c>
      <c r="G576">
        <f>IF(H576="","","OneCause")</f>
        <v/>
      </c>
      <c r="H576">
        <f>IF(AND(I576="",J576="",K576=""),"",IF(NOT(ISNUMBER(O576)),"Bad amount",IF(O576&lt;0,"Refund (not counted)",IF(O576=0,"Zero amount",IF(NOT(ISNUMBER(N576)),"Bad date",IF(P576="","NAME NOT ON ROSTER",IF(L576="","OK",IF(MATCH(L576,$L$2:$L$3001,0)&lt;ROW()-1,"Duplicate (ignored)","OK"))))))))</f>
        <v/>
      </c>
      <c r="I576">
        <f>IF(OC_Date=0,"",IF(INDEX('OneCause_Paste'!$A$576:$AZ$576,1,OC_Date)="","",INDEX('OneCause_Paste'!$A$576:$AZ$576,1,OC_Date)))</f>
        <v/>
      </c>
      <c r="J576">
        <f>IF(OC_Amt=0,"",IF(INDEX('OneCause_Paste'!$A$576:$AZ$576,1,OC_Amt)="","",INDEX('OneCause_Paste'!$A$576:$AZ$576,1,OC_Amt)))</f>
        <v/>
      </c>
      <c r="K576">
        <f>IF(OC_Name=0,"",IF(INDEX('OneCause_Paste'!$A$576:$AZ$576,1,OC_Name)="","",INDEX('OneCause_Paste'!$A$576:$AZ$576,1,OC_Name)))</f>
        <v/>
      </c>
      <c r="L576">
        <f>IF(OC_Txn=0,"",IF(INDEX('OneCause_Paste'!$A$576:$AZ$576,1,OC_Txn)="","",INDEX('OneCause_Paste'!$A$576:$AZ$576,1,OC_Txn)))</f>
        <v/>
      </c>
      <c r="M576">
        <f>IF(OC_Pay=0,"",IF(INDEX('OneCause_Paste'!$A$576:$AZ$576,1,OC_Pay)="","",INDEX('OneCause_Paste'!$A$576:$AZ$576,1,OC_Pay)))</f>
        <v/>
      </c>
      <c r="N576">
        <f>IF(I576="","",IF(ISNUMBER(I576),INT(I576),IFERROR(INT(DATEVALUE(I576)),IFERROR(INT(VALUE(I576)),"bad"))))</f>
        <v/>
      </c>
      <c r="O576">
        <f>IF(J576="","",IF(ISNUMBER(J576),ROUND(J576,2),IFERROR(ROUND(VALUE(SUBSTITUTE(SUBSTITUTE(SUBSTITUTE(J576,"$",""),",","")," ","")),2),"bad")))</f>
        <v/>
      </c>
      <c r="P576">
        <f>IF(TRIM(K576)="","",IFERROR(MATCH(LOWER(TRIM(K576)),'Students'!$AH$2:$AH$701,0),IFERROR(MATCH(LOWER(TRIM(K576)),'Students'!$AF$2:$AF$701,0),IFERROR(MATCH(LOWER(TRIM(K576)),'Students'!$AG$2:$AG$701,0),""))))</f>
        <v/>
      </c>
      <c r="R576">
        <f>IF(P576="","",INDEX('Students'!$AD$2:$AD$701,P576))</f>
        <v/>
      </c>
      <c r="S576">
        <f>IF(H576="OK",O576,0)</f>
        <v/>
      </c>
      <c r="T576">
        <f>IF(H576="OK",N576,"")</f>
        <v/>
      </c>
      <c r="U576">
        <f>IF(OC_Donor=0,"",IF(INDEX('OneCause_Paste'!$A$576:$AZ$576,1,OC_Donor)="","",INDEX('OneCause_Paste'!$A$576:$AZ$576,1,OC_Donor)))</f>
        <v/>
      </c>
    </row>
    <row r="577">
      <c r="A577" s="62">
        <f>IF(H577="","",IF(ISNUMBER(N577),N577,I577))</f>
        <v/>
      </c>
      <c r="B577">
        <f>IF(H577="","",U577)</f>
        <v/>
      </c>
      <c r="C577">
        <f>IF(H577="","",IF(P577="",K577,INDEX('Students'!$A$2:$A$701,P577)))</f>
        <v/>
      </c>
      <c r="D577">
        <f>IF(OR(H577="",P577=""),"",INDEX('Students'!$B$2:$B$701,P577))</f>
        <v/>
      </c>
      <c r="E577">
        <f>IF(OR(H577="",P577=""),"",INDEX('Students'!$C$2:$C$701,P577))</f>
        <v/>
      </c>
      <c r="F577" s="48">
        <f>IF(H577="","",IF(ISNUMBER(O577),O577,J577))</f>
        <v/>
      </c>
      <c r="G577">
        <f>IF(H577="","","OneCause")</f>
        <v/>
      </c>
      <c r="H577">
        <f>IF(AND(I577="",J577="",K577=""),"",IF(NOT(ISNUMBER(O577)),"Bad amount",IF(O577&lt;0,"Refund (not counted)",IF(O577=0,"Zero amount",IF(NOT(ISNUMBER(N577)),"Bad date",IF(P577="","NAME NOT ON ROSTER",IF(L577="","OK",IF(MATCH(L577,$L$2:$L$3001,0)&lt;ROW()-1,"Duplicate (ignored)","OK"))))))))</f>
        <v/>
      </c>
      <c r="I577">
        <f>IF(OC_Date=0,"",IF(INDEX('OneCause_Paste'!$A$577:$AZ$577,1,OC_Date)="","",INDEX('OneCause_Paste'!$A$577:$AZ$577,1,OC_Date)))</f>
        <v/>
      </c>
      <c r="J577">
        <f>IF(OC_Amt=0,"",IF(INDEX('OneCause_Paste'!$A$577:$AZ$577,1,OC_Amt)="","",INDEX('OneCause_Paste'!$A$577:$AZ$577,1,OC_Amt)))</f>
        <v/>
      </c>
      <c r="K577">
        <f>IF(OC_Name=0,"",IF(INDEX('OneCause_Paste'!$A$577:$AZ$577,1,OC_Name)="","",INDEX('OneCause_Paste'!$A$577:$AZ$577,1,OC_Name)))</f>
        <v/>
      </c>
      <c r="L577">
        <f>IF(OC_Txn=0,"",IF(INDEX('OneCause_Paste'!$A$577:$AZ$577,1,OC_Txn)="","",INDEX('OneCause_Paste'!$A$577:$AZ$577,1,OC_Txn)))</f>
        <v/>
      </c>
      <c r="M577">
        <f>IF(OC_Pay=0,"",IF(INDEX('OneCause_Paste'!$A$577:$AZ$577,1,OC_Pay)="","",INDEX('OneCause_Paste'!$A$577:$AZ$577,1,OC_Pay)))</f>
        <v/>
      </c>
      <c r="N577">
        <f>IF(I577="","",IF(ISNUMBER(I577),INT(I577),IFERROR(INT(DATEVALUE(I577)),IFERROR(INT(VALUE(I577)),"bad"))))</f>
        <v/>
      </c>
      <c r="O577">
        <f>IF(J577="","",IF(ISNUMBER(J577),ROUND(J577,2),IFERROR(ROUND(VALUE(SUBSTITUTE(SUBSTITUTE(SUBSTITUTE(J577,"$",""),",","")," ","")),2),"bad")))</f>
        <v/>
      </c>
      <c r="P577">
        <f>IF(TRIM(K577)="","",IFERROR(MATCH(LOWER(TRIM(K577)),'Students'!$AH$2:$AH$701,0),IFERROR(MATCH(LOWER(TRIM(K577)),'Students'!$AF$2:$AF$701,0),IFERROR(MATCH(LOWER(TRIM(K577)),'Students'!$AG$2:$AG$701,0),""))))</f>
        <v/>
      </c>
      <c r="R577">
        <f>IF(P577="","",INDEX('Students'!$AD$2:$AD$701,P577))</f>
        <v/>
      </c>
      <c r="S577">
        <f>IF(H577="OK",O577,0)</f>
        <v/>
      </c>
      <c r="T577">
        <f>IF(H577="OK",N577,"")</f>
        <v/>
      </c>
      <c r="U577">
        <f>IF(OC_Donor=0,"",IF(INDEX('OneCause_Paste'!$A$577:$AZ$577,1,OC_Donor)="","",INDEX('OneCause_Paste'!$A$577:$AZ$577,1,OC_Donor)))</f>
        <v/>
      </c>
    </row>
    <row r="578">
      <c r="A578" s="62">
        <f>IF(H578="","",IF(ISNUMBER(N578),N578,I578))</f>
        <v/>
      </c>
      <c r="B578">
        <f>IF(H578="","",U578)</f>
        <v/>
      </c>
      <c r="C578">
        <f>IF(H578="","",IF(P578="",K578,INDEX('Students'!$A$2:$A$701,P578)))</f>
        <v/>
      </c>
      <c r="D578">
        <f>IF(OR(H578="",P578=""),"",INDEX('Students'!$B$2:$B$701,P578))</f>
        <v/>
      </c>
      <c r="E578">
        <f>IF(OR(H578="",P578=""),"",INDEX('Students'!$C$2:$C$701,P578))</f>
        <v/>
      </c>
      <c r="F578" s="48">
        <f>IF(H578="","",IF(ISNUMBER(O578),O578,J578))</f>
        <v/>
      </c>
      <c r="G578">
        <f>IF(H578="","","OneCause")</f>
        <v/>
      </c>
      <c r="H578">
        <f>IF(AND(I578="",J578="",K578=""),"",IF(NOT(ISNUMBER(O578)),"Bad amount",IF(O578&lt;0,"Refund (not counted)",IF(O578=0,"Zero amount",IF(NOT(ISNUMBER(N578)),"Bad date",IF(P578="","NAME NOT ON ROSTER",IF(L578="","OK",IF(MATCH(L578,$L$2:$L$3001,0)&lt;ROW()-1,"Duplicate (ignored)","OK"))))))))</f>
        <v/>
      </c>
      <c r="I578">
        <f>IF(OC_Date=0,"",IF(INDEX('OneCause_Paste'!$A$578:$AZ$578,1,OC_Date)="","",INDEX('OneCause_Paste'!$A$578:$AZ$578,1,OC_Date)))</f>
        <v/>
      </c>
      <c r="J578">
        <f>IF(OC_Amt=0,"",IF(INDEX('OneCause_Paste'!$A$578:$AZ$578,1,OC_Amt)="","",INDEX('OneCause_Paste'!$A$578:$AZ$578,1,OC_Amt)))</f>
        <v/>
      </c>
      <c r="K578">
        <f>IF(OC_Name=0,"",IF(INDEX('OneCause_Paste'!$A$578:$AZ$578,1,OC_Name)="","",INDEX('OneCause_Paste'!$A$578:$AZ$578,1,OC_Name)))</f>
        <v/>
      </c>
      <c r="L578">
        <f>IF(OC_Txn=0,"",IF(INDEX('OneCause_Paste'!$A$578:$AZ$578,1,OC_Txn)="","",INDEX('OneCause_Paste'!$A$578:$AZ$578,1,OC_Txn)))</f>
        <v/>
      </c>
      <c r="M578">
        <f>IF(OC_Pay=0,"",IF(INDEX('OneCause_Paste'!$A$578:$AZ$578,1,OC_Pay)="","",INDEX('OneCause_Paste'!$A$578:$AZ$578,1,OC_Pay)))</f>
        <v/>
      </c>
      <c r="N578">
        <f>IF(I578="","",IF(ISNUMBER(I578),INT(I578),IFERROR(INT(DATEVALUE(I578)),IFERROR(INT(VALUE(I578)),"bad"))))</f>
        <v/>
      </c>
      <c r="O578">
        <f>IF(J578="","",IF(ISNUMBER(J578),ROUND(J578,2),IFERROR(ROUND(VALUE(SUBSTITUTE(SUBSTITUTE(SUBSTITUTE(J578,"$",""),",","")," ","")),2),"bad")))</f>
        <v/>
      </c>
      <c r="P578">
        <f>IF(TRIM(K578)="","",IFERROR(MATCH(LOWER(TRIM(K578)),'Students'!$AH$2:$AH$701,0),IFERROR(MATCH(LOWER(TRIM(K578)),'Students'!$AF$2:$AF$701,0),IFERROR(MATCH(LOWER(TRIM(K578)),'Students'!$AG$2:$AG$701,0),""))))</f>
        <v/>
      </c>
      <c r="R578">
        <f>IF(P578="","",INDEX('Students'!$AD$2:$AD$701,P578))</f>
        <v/>
      </c>
      <c r="S578">
        <f>IF(H578="OK",O578,0)</f>
        <v/>
      </c>
      <c r="T578">
        <f>IF(H578="OK",N578,"")</f>
        <v/>
      </c>
      <c r="U578">
        <f>IF(OC_Donor=0,"",IF(INDEX('OneCause_Paste'!$A$578:$AZ$578,1,OC_Donor)="","",INDEX('OneCause_Paste'!$A$578:$AZ$578,1,OC_Donor)))</f>
        <v/>
      </c>
    </row>
    <row r="579">
      <c r="A579" s="62">
        <f>IF(H579="","",IF(ISNUMBER(N579),N579,I579))</f>
        <v/>
      </c>
      <c r="B579">
        <f>IF(H579="","",U579)</f>
        <v/>
      </c>
      <c r="C579">
        <f>IF(H579="","",IF(P579="",K579,INDEX('Students'!$A$2:$A$701,P579)))</f>
        <v/>
      </c>
      <c r="D579">
        <f>IF(OR(H579="",P579=""),"",INDEX('Students'!$B$2:$B$701,P579))</f>
        <v/>
      </c>
      <c r="E579">
        <f>IF(OR(H579="",P579=""),"",INDEX('Students'!$C$2:$C$701,P579))</f>
        <v/>
      </c>
      <c r="F579" s="48">
        <f>IF(H579="","",IF(ISNUMBER(O579),O579,J579))</f>
        <v/>
      </c>
      <c r="G579">
        <f>IF(H579="","","OneCause")</f>
        <v/>
      </c>
      <c r="H579">
        <f>IF(AND(I579="",J579="",K579=""),"",IF(NOT(ISNUMBER(O579)),"Bad amount",IF(O579&lt;0,"Refund (not counted)",IF(O579=0,"Zero amount",IF(NOT(ISNUMBER(N579)),"Bad date",IF(P579="","NAME NOT ON ROSTER",IF(L579="","OK",IF(MATCH(L579,$L$2:$L$3001,0)&lt;ROW()-1,"Duplicate (ignored)","OK"))))))))</f>
        <v/>
      </c>
      <c r="I579">
        <f>IF(OC_Date=0,"",IF(INDEX('OneCause_Paste'!$A$579:$AZ$579,1,OC_Date)="","",INDEX('OneCause_Paste'!$A$579:$AZ$579,1,OC_Date)))</f>
        <v/>
      </c>
      <c r="J579">
        <f>IF(OC_Amt=0,"",IF(INDEX('OneCause_Paste'!$A$579:$AZ$579,1,OC_Amt)="","",INDEX('OneCause_Paste'!$A$579:$AZ$579,1,OC_Amt)))</f>
        <v/>
      </c>
      <c r="K579">
        <f>IF(OC_Name=0,"",IF(INDEX('OneCause_Paste'!$A$579:$AZ$579,1,OC_Name)="","",INDEX('OneCause_Paste'!$A$579:$AZ$579,1,OC_Name)))</f>
        <v/>
      </c>
      <c r="L579">
        <f>IF(OC_Txn=0,"",IF(INDEX('OneCause_Paste'!$A$579:$AZ$579,1,OC_Txn)="","",INDEX('OneCause_Paste'!$A$579:$AZ$579,1,OC_Txn)))</f>
        <v/>
      </c>
      <c r="M579">
        <f>IF(OC_Pay=0,"",IF(INDEX('OneCause_Paste'!$A$579:$AZ$579,1,OC_Pay)="","",INDEX('OneCause_Paste'!$A$579:$AZ$579,1,OC_Pay)))</f>
        <v/>
      </c>
      <c r="N579">
        <f>IF(I579="","",IF(ISNUMBER(I579),INT(I579),IFERROR(INT(DATEVALUE(I579)),IFERROR(INT(VALUE(I579)),"bad"))))</f>
        <v/>
      </c>
      <c r="O579">
        <f>IF(J579="","",IF(ISNUMBER(J579),ROUND(J579,2),IFERROR(ROUND(VALUE(SUBSTITUTE(SUBSTITUTE(SUBSTITUTE(J579,"$",""),",","")," ","")),2),"bad")))</f>
        <v/>
      </c>
      <c r="P579">
        <f>IF(TRIM(K579)="","",IFERROR(MATCH(LOWER(TRIM(K579)),'Students'!$AH$2:$AH$701,0),IFERROR(MATCH(LOWER(TRIM(K579)),'Students'!$AF$2:$AF$701,0),IFERROR(MATCH(LOWER(TRIM(K579)),'Students'!$AG$2:$AG$701,0),""))))</f>
        <v/>
      </c>
      <c r="R579">
        <f>IF(P579="","",INDEX('Students'!$AD$2:$AD$701,P579))</f>
        <v/>
      </c>
      <c r="S579">
        <f>IF(H579="OK",O579,0)</f>
        <v/>
      </c>
      <c r="T579">
        <f>IF(H579="OK",N579,"")</f>
        <v/>
      </c>
      <c r="U579">
        <f>IF(OC_Donor=0,"",IF(INDEX('OneCause_Paste'!$A$579:$AZ$579,1,OC_Donor)="","",INDEX('OneCause_Paste'!$A$579:$AZ$579,1,OC_Donor)))</f>
        <v/>
      </c>
    </row>
    <row r="580">
      <c r="A580" s="62">
        <f>IF(H580="","",IF(ISNUMBER(N580),N580,I580))</f>
        <v/>
      </c>
      <c r="B580">
        <f>IF(H580="","",U580)</f>
        <v/>
      </c>
      <c r="C580">
        <f>IF(H580="","",IF(P580="",K580,INDEX('Students'!$A$2:$A$701,P580)))</f>
        <v/>
      </c>
      <c r="D580">
        <f>IF(OR(H580="",P580=""),"",INDEX('Students'!$B$2:$B$701,P580))</f>
        <v/>
      </c>
      <c r="E580">
        <f>IF(OR(H580="",P580=""),"",INDEX('Students'!$C$2:$C$701,P580))</f>
        <v/>
      </c>
      <c r="F580" s="48">
        <f>IF(H580="","",IF(ISNUMBER(O580),O580,J580))</f>
        <v/>
      </c>
      <c r="G580">
        <f>IF(H580="","","OneCause")</f>
        <v/>
      </c>
      <c r="H580">
        <f>IF(AND(I580="",J580="",K580=""),"",IF(NOT(ISNUMBER(O580)),"Bad amount",IF(O580&lt;0,"Refund (not counted)",IF(O580=0,"Zero amount",IF(NOT(ISNUMBER(N580)),"Bad date",IF(P580="","NAME NOT ON ROSTER",IF(L580="","OK",IF(MATCH(L580,$L$2:$L$3001,0)&lt;ROW()-1,"Duplicate (ignored)","OK"))))))))</f>
        <v/>
      </c>
      <c r="I580">
        <f>IF(OC_Date=0,"",IF(INDEX('OneCause_Paste'!$A$580:$AZ$580,1,OC_Date)="","",INDEX('OneCause_Paste'!$A$580:$AZ$580,1,OC_Date)))</f>
        <v/>
      </c>
      <c r="J580">
        <f>IF(OC_Amt=0,"",IF(INDEX('OneCause_Paste'!$A$580:$AZ$580,1,OC_Amt)="","",INDEX('OneCause_Paste'!$A$580:$AZ$580,1,OC_Amt)))</f>
        <v/>
      </c>
      <c r="K580">
        <f>IF(OC_Name=0,"",IF(INDEX('OneCause_Paste'!$A$580:$AZ$580,1,OC_Name)="","",INDEX('OneCause_Paste'!$A$580:$AZ$580,1,OC_Name)))</f>
        <v/>
      </c>
      <c r="L580">
        <f>IF(OC_Txn=0,"",IF(INDEX('OneCause_Paste'!$A$580:$AZ$580,1,OC_Txn)="","",INDEX('OneCause_Paste'!$A$580:$AZ$580,1,OC_Txn)))</f>
        <v/>
      </c>
      <c r="M580">
        <f>IF(OC_Pay=0,"",IF(INDEX('OneCause_Paste'!$A$580:$AZ$580,1,OC_Pay)="","",INDEX('OneCause_Paste'!$A$580:$AZ$580,1,OC_Pay)))</f>
        <v/>
      </c>
      <c r="N580">
        <f>IF(I580="","",IF(ISNUMBER(I580),INT(I580),IFERROR(INT(DATEVALUE(I580)),IFERROR(INT(VALUE(I580)),"bad"))))</f>
        <v/>
      </c>
      <c r="O580">
        <f>IF(J580="","",IF(ISNUMBER(J580),ROUND(J580,2),IFERROR(ROUND(VALUE(SUBSTITUTE(SUBSTITUTE(SUBSTITUTE(J580,"$",""),",","")," ","")),2),"bad")))</f>
        <v/>
      </c>
      <c r="P580">
        <f>IF(TRIM(K580)="","",IFERROR(MATCH(LOWER(TRIM(K580)),'Students'!$AH$2:$AH$701,0),IFERROR(MATCH(LOWER(TRIM(K580)),'Students'!$AF$2:$AF$701,0),IFERROR(MATCH(LOWER(TRIM(K580)),'Students'!$AG$2:$AG$701,0),""))))</f>
        <v/>
      </c>
      <c r="R580">
        <f>IF(P580="","",INDEX('Students'!$AD$2:$AD$701,P580))</f>
        <v/>
      </c>
      <c r="S580">
        <f>IF(H580="OK",O580,0)</f>
        <v/>
      </c>
      <c r="T580">
        <f>IF(H580="OK",N580,"")</f>
        <v/>
      </c>
      <c r="U580">
        <f>IF(OC_Donor=0,"",IF(INDEX('OneCause_Paste'!$A$580:$AZ$580,1,OC_Donor)="","",INDEX('OneCause_Paste'!$A$580:$AZ$580,1,OC_Donor)))</f>
        <v/>
      </c>
    </row>
    <row r="581">
      <c r="A581" s="62">
        <f>IF(H581="","",IF(ISNUMBER(N581),N581,I581))</f>
        <v/>
      </c>
      <c r="B581">
        <f>IF(H581="","",U581)</f>
        <v/>
      </c>
      <c r="C581">
        <f>IF(H581="","",IF(P581="",K581,INDEX('Students'!$A$2:$A$701,P581)))</f>
        <v/>
      </c>
      <c r="D581">
        <f>IF(OR(H581="",P581=""),"",INDEX('Students'!$B$2:$B$701,P581))</f>
        <v/>
      </c>
      <c r="E581">
        <f>IF(OR(H581="",P581=""),"",INDEX('Students'!$C$2:$C$701,P581))</f>
        <v/>
      </c>
      <c r="F581" s="48">
        <f>IF(H581="","",IF(ISNUMBER(O581),O581,J581))</f>
        <v/>
      </c>
      <c r="G581">
        <f>IF(H581="","","OneCause")</f>
        <v/>
      </c>
      <c r="H581">
        <f>IF(AND(I581="",J581="",K581=""),"",IF(NOT(ISNUMBER(O581)),"Bad amount",IF(O581&lt;0,"Refund (not counted)",IF(O581=0,"Zero amount",IF(NOT(ISNUMBER(N581)),"Bad date",IF(P581="","NAME NOT ON ROSTER",IF(L581="","OK",IF(MATCH(L581,$L$2:$L$3001,0)&lt;ROW()-1,"Duplicate (ignored)","OK"))))))))</f>
        <v/>
      </c>
      <c r="I581">
        <f>IF(OC_Date=0,"",IF(INDEX('OneCause_Paste'!$A$581:$AZ$581,1,OC_Date)="","",INDEX('OneCause_Paste'!$A$581:$AZ$581,1,OC_Date)))</f>
        <v/>
      </c>
      <c r="J581">
        <f>IF(OC_Amt=0,"",IF(INDEX('OneCause_Paste'!$A$581:$AZ$581,1,OC_Amt)="","",INDEX('OneCause_Paste'!$A$581:$AZ$581,1,OC_Amt)))</f>
        <v/>
      </c>
      <c r="K581">
        <f>IF(OC_Name=0,"",IF(INDEX('OneCause_Paste'!$A$581:$AZ$581,1,OC_Name)="","",INDEX('OneCause_Paste'!$A$581:$AZ$581,1,OC_Name)))</f>
        <v/>
      </c>
      <c r="L581">
        <f>IF(OC_Txn=0,"",IF(INDEX('OneCause_Paste'!$A$581:$AZ$581,1,OC_Txn)="","",INDEX('OneCause_Paste'!$A$581:$AZ$581,1,OC_Txn)))</f>
        <v/>
      </c>
      <c r="M581">
        <f>IF(OC_Pay=0,"",IF(INDEX('OneCause_Paste'!$A$581:$AZ$581,1,OC_Pay)="","",INDEX('OneCause_Paste'!$A$581:$AZ$581,1,OC_Pay)))</f>
        <v/>
      </c>
      <c r="N581">
        <f>IF(I581="","",IF(ISNUMBER(I581),INT(I581),IFERROR(INT(DATEVALUE(I581)),IFERROR(INT(VALUE(I581)),"bad"))))</f>
        <v/>
      </c>
      <c r="O581">
        <f>IF(J581="","",IF(ISNUMBER(J581),ROUND(J581,2),IFERROR(ROUND(VALUE(SUBSTITUTE(SUBSTITUTE(SUBSTITUTE(J581,"$",""),",","")," ","")),2),"bad")))</f>
        <v/>
      </c>
      <c r="P581">
        <f>IF(TRIM(K581)="","",IFERROR(MATCH(LOWER(TRIM(K581)),'Students'!$AH$2:$AH$701,0),IFERROR(MATCH(LOWER(TRIM(K581)),'Students'!$AF$2:$AF$701,0),IFERROR(MATCH(LOWER(TRIM(K581)),'Students'!$AG$2:$AG$701,0),""))))</f>
        <v/>
      </c>
      <c r="R581">
        <f>IF(P581="","",INDEX('Students'!$AD$2:$AD$701,P581))</f>
        <v/>
      </c>
      <c r="S581">
        <f>IF(H581="OK",O581,0)</f>
        <v/>
      </c>
      <c r="T581">
        <f>IF(H581="OK",N581,"")</f>
        <v/>
      </c>
      <c r="U581">
        <f>IF(OC_Donor=0,"",IF(INDEX('OneCause_Paste'!$A$581:$AZ$581,1,OC_Donor)="","",INDEX('OneCause_Paste'!$A$581:$AZ$581,1,OC_Donor)))</f>
        <v/>
      </c>
    </row>
    <row r="582">
      <c r="A582" s="62">
        <f>IF(H582="","",IF(ISNUMBER(N582),N582,I582))</f>
        <v/>
      </c>
      <c r="B582">
        <f>IF(H582="","",U582)</f>
        <v/>
      </c>
      <c r="C582">
        <f>IF(H582="","",IF(P582="",K582,INDEX('Students'!$A$2:$A$701,P582)))</f>
        <v/>
      </c>
      <c r="D582">
        <f>IF(OR(H582="",P582=""),"",INDEX('Students'!$B$2:$B$701,P582))</f>
        <v/>
      </c>
      <c r="E582">
        <f>IF(OR(H582="",P582=""),"",INDEX('Students'!$C$2:$C$701,P582))</f>
        <v/>
      </c>
      <c r="F582" s="48">
        <f>IF(H582="","",IF(ISNUMBER(O582),O582,J582))</f>
        <v/>
      </c>
      <c r="G582">
        <f>IF(H582="","","OneCause")</f>
        <v/>
      </c>
      <c r="H582">
        <f>IF(AND(I582="",J582="",K582=""),"",IF(NOT(ISNUMBER(O582)),"Bad amount",IF(O582&lt;0,"Refund (not counted)",IF(O582=0,"Zero amount",IF(NOT(ISNUMBER(N582)),"Bad date",IF(P582="","NAME NOT ON ROSTER",IF(L582="","OK",IF(MATCH(L582,$L$2:$L$3001,0)&lt;ROW()-1,"Duplicate (ignored)","OK"))))))))</f>
        <v/>
      </c>
      <c r="I582">
        <f>IF(OC_Date=0,"",IF(INDEX('OneCause_Paste'!$A$582:$AZ$582,1,OC_Date)="","",INDEX('OneCause_Paste'!$A$582:$AZ$582,1,OC_Date)))</f>
        <v/>
      </c>
      <c r="J582">
        <f>IF(OC_Amt=0,"",IF(INDEX('OneCause_Paste'!$A$582:$AZ$582,1,OC_Amt)="","",INDEX('OneCause_Paste'!$A$582:$AZ$582,1,OC_Amt)))</f>
        <v/>
      </c>
      <c r="K582">
        <f>IF(OC_Name=0,"",IF(INDEX('OneCause_Paste'!$A$582:$AZ$582,1,OC_Name)="","",INDEX('OneCause_Paste'!$A$582:$AZ$582,1,OC_Name)))</f>
        <v/>
      </c>
      <c r="L582">
        <f>IF(OC_Txn=0,"",IF(INDEX('OneCause_Paste'!$A$582:$AZ$582,1,OC_Txn)="","",INDEX('OneCause_Paste'!$A$582:$AZ$582,1,OC_Txn)))</f>
        <v/>
      </c>
      <c r="M582">
        <f>IF(OC_Pay=0,"",IF(INDEX('OneCause_Paste'!$A$582:$AZ$582,1,OC_Pay)="","",INDEX('OneCause_Paste'!$A$582:$AZ$582,1,OC_Pay)))</f>
        <v/>
      </c>
      <c r="N582">
        <f>IF(I582="","",IF(ISNUMBER(I582),INT(I582),IFERROR(INT(DATEVALUE(I582)),IFERROR(INT(VALUE(I582)),"bad"))))</f>
        <v/>
      </c>
      <c r="O582">
        <f>IF(J582="","",IF(ISNUMBER(J582),ROUND(J582,2),IFERROR(ROUND(VALUE(SUBSTITUTE(SUBSTITUTE(SUBSTITUTE(J582,"$",""),",","")," ","")),2),"bad")))</f>
        <v/>
      </c>
      <c r="P582">
        <f>IF(TRIM(K582)="","",IFERROR(MATCH(LOWER(TRIM(K582)),'Students'!$AH$2:$AH$701,0),IFERROR(MATCH(LOWER(TRIM(K582)),'Students'!$AF$2:$AF$701,0),IFERROR(MATCH(LOWER(TRIM(K582)),'Students'!$AG$2:$AG$701,0),""))))</f>
        <v/>
      </c>
      <c r="R582">
        <f>IF(P582="","",INDEX('Students'!$AD$2:$AD$701,P582))</f>
        <v/>
      </c>
      <c r="S582">
        <f>IF(H582="OK",O582,0)</f>
        <v/>
      </c>
      <c r="T582">
        <f>IF(H582="OK",N582,"")</f>
        <v/>
      </c>
      <c r="U582">
        <f>IF(OC_Donor=0,"",IF(INDEX('OneCause_Paste'!$A$582:$AZ$582,1,OC_Donor)="","",INDEX('OneCause_Paste'!$A$582:$AZ$582,1,OC_Donor)))</f>
        <v/>
      </c>
    </row>
    <row r="583">
      <c r="A583" s="62">
        <f>IF(H583="","",IF(ISNUMBER(N583),N583,I583))</f>
        <v/>
      </c>
      <c r="B583">
        <f>IF(H583="","",U583)</f>
        <v/>
      </c>
      <c r="C583">
        <f>IF(H583="","",IF(P583="",K583,INDEX('Students'!$A$2:$A$701,P583)))</f>
        <v/>
      </c>
      <c r="D583">
        <f>IF(OR(H583="",P583=""),"",INDEX('Students'!$B$2:$B$701,P583))</f>
        <v/>
      </c>
      <c r="E583">
        <f>IF(OR(H583="",P583=""),"",INDEX('Students'!$C$2:$C$701,P583))</f>
        <v/>
      </c>
      <c r="F583" s="48">
        <f>IF(H583="","",IF(ISNUMBER(O583),O583,J583))</f>
        <v/>
      </c>
      <c r="G583">
        <f>IF(H583="","","OneCause")</f>
        <v/>
      </c>
      <c r="H583">
        <f>IF(AND(I583="",J583="",K583=""),"",IF(NOT(ISNUMBER(O583)),"Bad amount",IF(O583&lt;0,"Refund (not counted)",IF(O583=0,"Zero amount",IF(NOT(ISNUMBER(N583)),"Bad date",IF(P583="","NAME NOT ON ROSTER",IF(L583="","OK",IF(MATCH(L583,$L$2:$L$3001,0)&lt;ROW()-1,"Duplicate (ignored)","OK"))))))))</f>
        <v/>
      </c>
      <c r="I583">
        <f>IF(OC_Date=0,"",IF(INDEX('OneCause_Paste'!$A$583:$AZ$583,1,OC_Date)="","",INDEX('OneCause_Paste'!$A$583:$AZ$583,1,OC_Date)))</f>
        <v/>
      </c>
      <c r="J583">
        <f>IF(OC_Amt=0,"",IF(INDEX('OneCause_Paste'!$A$583:$AZ$583,1,OC_Amt)="","",INDEX('OneCause_Paste'!$A$583:$AZ$583,1,OC_Amt)))</f>
        <v/>
      </c>
      <c r="K583">
        <f>IF(OC_Name=0,"",IF(INDEX('OneCause_Paste'!$A$583:$AZ$583,1,OC_Name)="","",INDEX('OneCause_Paste'!$A$583:$AZ$583,1,OC_Name)))</f>
        <v/>
      </c>
      <c r="L583">
        <f>IF(OC_Txn=0,"",IF(INDEX('OneCause_Paste'!$A$583:$AZ$583,1,OC_Txn)="","",INDEX('OneCause_Paste'!$A$583:$AZ$583,1,OC_Txn)))</f>
        <v/>
      </c>
      <c r="M583">
        <f>IF(OC_Pay=0,"",IF(INDEX('OneCause_Paste'!$A$583:$AZ$583,1,OC_Pay)="","",INDEX('OneCause_Paste'!$A$583:$AZ$583,1,OC_Pay)))</f>
        <v/>
      </c>
      <c r="N583">
        <f>IF(I583="","",IF(ISNUMBER(I583),INT(I583),IFERROR(INT(DATEVALUE(I583)),IFERROR(INT(VALUE(I583)),"bad"))))</f>
        <v/>
      </c>
      <c r="O583">
        <f>IF(J583="","",IF(ISNUMBER(J583),ROUND(J583,2),IFERROR(ROUND(VALUE(SUBSTITUTE(SUBSTITUTE(SUBSTITUTE(J583,"$",""),",","")," ","")),2),"bad")))</f>
        <v/>
      </c>
      <c r="P583">
        <f>IF(TRIM(K583)="","",IFERROR(MATCH(LOWER(TRIM(K583)),'Students'!$AH$2:$AH$701,0),IFERROR(MATCH(LOWER(TRIM(K583)),'Students'!$AF$2:$AF$701,0),IFERROR(MATCH(LOWER(TRIM(K583)),'Students'!$AG$2:$AG$701,0),""))))</f>
        <v/>
      </c>
      <c r="R583">
        <f>IF(P583="","",INDEX('Students'!$AD$2:$AD$701,P583))</f>
        <v/>
      </c>
      <c r="S583">
        <f>IF(H583="OK",O583,0)</f>
        <v/>
      </c>
      <c r="T583">
        <f>IF(H583="OK",N583,"")</f>
        <v/>
      </c>
      <c r="U583">
        <f>IF(OC_Donor=0,"",IF(INDEX('OneCause_Paste'!$A$583:$AZ$583,1,OC_Donor)="","",INDEX('OneCause_Paste'!$A$583:$AZ$583,1,OC_Donor)))</f>
        <v/>
      </c>
    </row>
    <row r="584">
      <c r="A584" s="62">
        <f>IF(H584="","",IF(ISNUMBER(N584),N584,I584))</f>
        <v/>
      </c>
      <c r="B584">
        <f>IF(H584="","",U584)</f>
        <v/>
      </c>
      <c r="C584">
        <f>IF(H584="","",IF(P584="",K584,INDEX('Students'!$A$2:$A$701,P584)))</f>
        <v/>
      </c>
      <c r="D584">
        <f>IF(OR(H584="",P584=""),"",INDEX('Students'!$B$2:$B$701,P584))</f>
        <v/>
      </c>
      <c r="E584">
        <f>IF(OR(H584="",P584=""),"",INDEX('Students'!$C$2:$C$701,P584))</f>
        <v/>
      </c>
      <c r="F584" s="48">
        <f>IF(H584="","",IF(ISNUMBER(O584),O584,J584))</f>
        <v/>
      </c>
      <c r="G584">
        <f>IF(H584="","","OneCause")</f>
        <v/>
      </c>
      <c r="H584">
        <f>IF(AND(I584="",J584="",K584=""),"",IF(NOT(ISNUMBER(O584)),"Bad amount",IF(O584&lt;0,"Refund (not counted)",IF(O584=0,"Zero amount",IF(NOT(ISNUMBER(N584)),"Bad date",IF(P584="","NAME NOT ON ROSTER",IF(L584="","OK",IF(MATCH(L584,$L$2:$L$3001,0)&lt;ROW()-1,"Duplicate (ignored)","OK"))))))))</f>
        <v/>
      </c>
      <c r="I584">
        <f>IF(OC_Date=0,"",IF(INDEX('OneCause_Paste'!$A$584:$AZ$584,1,OC_Date)="","",INDEX('OneCause_Paste'!$A$584:$AZ$584,1,OC_Date)))</f>
        <v/>
      </c>
      <c r="J584">
        <f>IF(OC_Amt=0,"",IF(INDEX('OneCause_Paste'!$A$584:$AZ$584,1,OC_Amt)="","",INDEX('OneCause_Paste'!$A$584:$AZ$584,1,OC_Amt)))</f>
        <v/>
      </c>
      <c r="K584">
        <f>IF(OC_Name=0,"",IF(INDEX('OneCause_Paste'!$A$584:$AZ$584,1,OC_Name)="","",INDEX('OneCause_Paste'!$A$584:$AZ$584,1,OC_Name)))</f>
        <v/>
      </c>
      <c r="L584">
        <f>IF(OC_Txn=0,"",IF(INDEX('OneCause_Paste'!$A$584:$AZ$584,1,OC_Txn)="","",INDEX('OneCause_Paste'!$A$584:$AZ$584,1,OC_Txn)))</f>
        <v/>
      </c>
      <c r="M584">
        <f>IF(OC_Pay=0,"",IF(INDEX('OneCause_Paste'!$A$584:$AZ$584,1,OC_Pay)="","",INDEX('OneCause_Paste'!$A$584:$AZ$584,1,OC_Pay)))</f>
        <v/>
      </c>
      <c r="N584">
        <f>IF(I584="","",IF(ISNUMBER(I584),INT(I584),IFERROR(INT(DATEVALUE(I584)),IFERROR(INT(VALUE(I584)),"bad"))))</f>
        <v/>
      </c>
      <c r="O584">
        <f>IF(J584="","",IF(ISNUMBER(J584),ROUND(J584,2),IFERROR(ROUND(VALUE(SUBSTITUTE(SUBSTITUTE(SUBSTITUTE(J584,"$",""),",","")," ","")),2),"bad")))</f>
        <v/>
      </c>
      <c r="P584">
        <f>IF(TRIM(K584)="","",IFERROR(MATCH(LOWER(TRIM(K584)),'Students'!$AH$2:$AH$701,0),IFERROR(MATCH(LOWER(TRIM(K584)),'Students'!$AF$2:$AF$701,0),IFERROR(MATCH(LOWER(TRIM(K584)),'Students'!$AG$2:$AG$701,0),""))))</f>
        <v/>
      </c>
      <c r="R584">
        <f>IF(P584="","",INDEX('Students'!$AD$2:$AD$701,P584))</f>
        <v/>
      </c>
      <c r="S584">
        <f>IF(H584="OK",O584,0)</f>
        <v/>
      </c>
      <c r="T584">
        <f>IF(H584="OK",N584,"")</f>
        <v/>
      </c>
      <c r="U584">
        <f>IF(OC_Donor=0,"",IF(INDEX('OneCause_Paste'!$A$584:$AZ$584,1,OC_Donor)="","",INDEX('OneCause_Paste'!$A$584:$AZ$584,1,OC_Donor)))</f>
        <v/>
      </c>
    </row>
    <row r="585">
      <c r="A585" s="62">
        <f>IF(H585="","",IF(ISNUMBER(N585),N585,I585))</f>
        <v/>
      </c>
      <c r="B585">
        <f>IF(H585="","",U585)</f>
        <v/>
      </c>
      <c r="C585">
        <f>IF(H585="","",IF(P585="",K585,INDEX('Students'!$A$2:$A$701,P585)))</f>
        <v/>
      </c>
      <c r="D585">
        <f>IF(OR(H585="",P585=""),"",INDEX('Students'!$B$2:$B$701,P585))</f>
        <v/>
      </c>
      <c r="E585">
        <f>IF(OR(H585="",P585=""),"",INDEX('Students'!$C$2:$C$701,P585))</f>
        <v/>
      </c>
      <c r="F585" s="48">
        <f>IF(H585="","",IF(ISNUMBER(O585),O585,J585))</f>
        <v/>
      </c>
      <c r="G585">
        <f>IF(H585="","","OneCause")</f>
        <v/>
      </c>
      <c r="H585">
        <f>IF(AND(I585="",J585="",K585=""),"",IF(NOT(ISNUMBER(O585)),"Bad amount",IF(O585&lt;0,"Refund (not counted)",IF(O585=0,"Zero amount",IF(NOT(ISNUMBER(N585)),"Bad date",IF(P585="","NAME NOT ON ROSTER",IF(L585="","OK",IF(MATCH(L585,$L$2:$L$3001,0)&lt;ROW()-1,"Duplicate (ignored)","OK"))))))))</f>
        <v/>
      </c>
      <c r="I585">
        <f>IF(OC_Date=0,"",IF(INDEX('OneCause_Paste'!$A$585:$AZ$585,1,OC_Date)="","",INDEX('OneCause_Paste'!$A$585:$AZ$585,1,OC_Date)))</f>
        <v/>
      </c>
      <c r="J585">
        <f>IF(OC_Amt=0,"",IF(INDEX('OneCause_Paste'!$A$585:$AZ$585,1,OC_Amt)="","",INDEX('OneCause_Paste'!$A$585:$AZ$585,1,OC_Amt)))</f>
        <v/>
      </c>
      <c r="K585">
        <f>IF(OC_Name=0,"",IF(INDEX('OneCause_Paste'!$A$585:$AZ$585,1,OC_Name)="","",INDEX('OneCause_Paste'!$A$585:$AZ$585,1,OC_Name)))</f>
        <v/>
      </c>
      <c r="L585">
        <f>IF(OC_Txn=0,"",IF(INDEX('OneCause_Paste'!$A$585:$AZ$585,1,OC_Txn)="","",INDEX('OneCause_Paste'!$A$585:$AZ$585,1,OC_Txn)))</f>
        <v/>
      </c>
      <c r="M585">
        <f>IF(OC_Pay=0,"",IF(INDEX('OneCause_Paste'!$A$585:$AZ$585,1,OC_Pay)="","",INDEX('OneCause_Paste'!$A$585:$AZ$585,1,OC_Pay)))</f>
        <v/>
      </c>
      <c r="N585">
        <f>IF(I585="","",IF(ISNUMBER(I585),INT(I585),IFERROR(INT(DATEVALUE(I585)),IFERROR(INT(VALUE(I585)),"bad"))))</f>
        <v/>
      </c>
      <c r="O585">
        <f>IF(J585="","",IF(ISNUMBER(J585),ROUND(J585,2),IFERROR(ROUND(VALUE(SUBSTITUTE(SUBSTITUTE(SUBSTITUTE(J585,"$",""),",","")," ","")),2),"bad")))</f>
        <v/>
      </c>
      <c r="P585">
        <f>IF(TRIM(K585)="","",IFERROR(MATCH(LOWER(TRIM(K585)),'Students'!$AH$2:$AH$701,0),IFERROR(MATCH(LOWER(TRIM(K585)),'Students'!$AF$2:$AF$701,0),IFERROR(MATCH(LOWER(TRIM(K585)),'Students'!$AG$2:$AG$701,0),""))))</f>
        <v/>
      </c>
      <c r="R585">
        <f>IF(P585="","",INDEX('Students'!$AD$2:$AD$701,P585))</f>
        <v/>
      </c>
      <c r="S585">
        <f>IF(H585="OK",O585,0)</f>
        <v/>
      </c>
      <c r="T585">
        <f>IF(H585="OK",N585,"")</f>
        <v/>
      </c>
      <c r="U585">
        <f>IF(OC_Donor=0,"",IF(INDEX('OneCause_Paste'!$A$585:$AZ$585,1,OC_Donor)="","",INDEX('OneCause_Paste'!$A$585:$AZ$585,1,OC_Donor)))</f>
        <v/>
      </c>
    </row>
    <row r="586">
      <c r="A586" s="62">
        <f>IF(H586="","",IF(ISNUMBER(N586),N586,I586))</f>
        <v/>
      </c>
      <c r="B586">
        <f>IF(H586="","",U586)</f>
        <v/>
      </c>
      <c r="C586">
        <f>IF(H586="","",IF(P586="",K586,INDEX('Students'!$A$2:$A$701,P586)))</f>
        <v/>
      </c>
      <c r="D586">
        <f>IF(OR(H586="",P586=""),"",INDEX('Students'!$B$2:$B$701,P586))</f>
        <v/>
      </c>
      <c r="E586">
        <f>IF(OR(H586="",P586=""),"",INDEX('Students'!$C$2:$C$701,P586))</f>
        <v/>
      </c>
      <c r="F586" s="48">
        <f>IF(H586="","",IF(ISNUMBER(O586),O586,J586))</f>
        <v/>
      </c>
      <c r="G586">
        <f>IF(H586="","","OneCause")</f>
        <v/>
      </c>
      <c r="H586">
        <f>IF(AND(I586="",J586="",K586=""),"",IF(NOT(ISNUMBER(O586)),"Bad amount",IF(O586&lt;0,"Refund (not counted)",IF(O586=0,"Zero amount",IF(NOT(ISNUMBER(N586)),"Bad date",IF(P586="","NAME NOT ON ROSTER",IF(L586="","OK",IF(MATCH(L586,$L$2:$L$3001,0)&lt;ROW()-1,"Duplicate (ignored)","OK"))))))))</f>
        <v/>
      </c>
      <c r="I586">
        <f>IF(OC_Date=0,"",IF(INDEX('OneCause_Paste'!$A$586:$AZ$586,1,OC_Date)="","",INDEX('OneCause_Paste'!$A$586:$AZ$586,1,OC_Date)))</f>
        <v/>
      </c>
      <c r="J586">
        <f>IF(OC_Amt=0,"",IF(INDEX('OneCause_Paste'!$A$586:$AZ$586,1,OC_Amt)="","",INDEX('OneCause_Paste'!$A$586:$AZ$586,1,OC_Amt)))</f>
        <v/>
      </c>
      <c r="K586">
        <f>IF(OC_Name=0,"",IF(INDEX('OneCause_Paste'!$A$586:$AZ$586,1,OC_Name)="","",INDEX('OneCause_Paste'!$A$586:$AZ$586,1,OC_Name)))</f>
        <v/>
      </c>
      <c r="L586">
        <f>IF(OC_Txn=0,"",IF(INDEX('OneCause_Paste'!$A$586:$AZ$586,1,OC_Txn)="","",INDEX('OneCause_Paste'!$A$586:$AZ$586,1,OC_Txn)))</f>
        <v/>
      </c>
      <c r="M586">
        <f>IF(OC_Pay=0,"",IF(INDEX('OneCause_Paste'!$A$586:$AZ$586,1,OC_Pay)="","",INDEX('OneCause_Paste'!$A$586:$AZ$586,1,OC_Pay)))</f>
        <v/>
      </c>
      <c r="N586">
        <f>IF(I586="","",IF(ISNUMBER(I586),INT(I586),IFERROR(INT(DATEVALUE(I586)),IFERROR(INT(VALUE(I586)),"bad"))))</f>
        <v/>
      </c>
      <c r="O586">
        <f>IF(J586="","",IF(ISNUMBER(J586),ROUND(J586,2),IFERROR(ROUND(VALUE(SUBSTITUTE(SUBSTITUTE(SUBSTITUTE(J586,"$",""),",","")," ","")),2),"bad")))</f>
        <v/>
      </c>
      <c r="P586">
        <f>IF(TRIM(K586)="","",IFERROR(MATCH(LOWER(TRIM(K586)),'Students'!$AH$2:$AH$701,0),IFERROR(MATCH(LOWER(TRIM(K586)),'Students'!$AF$2:$AF$701,0),IFERROR(MATCH(LOWER(TRIM(K586)),'Students'!$AG$2:$AG$701,0),""))))</f>
        <v/>
      </c>
      <c r="R586">
        <f>IF(P586="","",INDEX('Students'!$AD$2:$AD$701,P586))</f>
        <v/>
      </c>
      <c r="S586">
        <f>IF(H586="OK",O586,0)</f>
        <v/>
      </c>
      <c r="T586">
        <f>IF(H586="OK",N586,"")</f>
        <v/>
      </c>
      <c r="U586">
        <f>IF(OC_Donor=0,"",IF(INDEX('OneCause_Paste'!$A$586:$AZ$586,1,OC_Donor)="","",INDEX('OneCause_Paste'!$A$586:$AZ$586,1,OC_Donor)))</f>
        <v/>
      </c>
    </row>
    <row r="587">
      <c r="A587" s="62">
        <f>IF(H587="","",IF(ISNUMBER(N587),N587,I587))</f>
        <v/>
      </c>
      <c r="B587">
        <f>IF(H587="","",U587)</f>
        <v/>
      </c>
      <c r="C587">
        <f>IF(H587="","",IF(P587="",K587,INDEX('Students'!$A$2:$A$701,P587)))</f>
        <v/>
      </c>
      <c r="D587">
        <f>IF(OR(H587="",P587=""),"",INDEX('Students'!$B$2:$B$701,P587))</f>
        <v/>
      </c>
      <c r="E587">
        <f>IF(OR(H587="",P587=""),"",INDEX('Students'!$C$2:$C$701,P587))</f>
        <v/>
      </c>
      <c r="F587" s="48">
        <f>IF(H587="","",IF(ISNUMBER(O587),O587,J587))</f>
        <v/>
      </c>
      <c r="G587">
        <f>IF(H587="","","OneCause")</f>
        <v/>
      </c>
      <c r="H587">
        <f>IF(AND(I587="",J587="",K587=""),"",IF(NOT(ISNUMBER(O587)),"Bad amount",IF(O587&lt;0,"Refund (not counted)",IF(O587=0,"Zero amount",IF(NOT(ISNUMBER(N587)),"Bad date",IF(P587="","NAME NOT ON ROSTER",IF(L587="","OK",IF(MATCH(L587,$L$2:$L$3001,0)&lt;ROW()-1,"Duplicate (ignored)","OK"))))))))</f>
        <v/>
      </c>
      <c r="I587">
        <f>IF(OC_Date=0,"",IF(INDEX('OneCause_Paste'!$A$587:$AZ$587,1,OC_Date)="","",INDEX('OneCause_Paste'!$A$587:$AZ$587,1,OC_Date)))</f>
        <v/>
      </c>
      <c r="J587">
        <f>IF(OC_Amt=0,"",IF(INDEX('OneCause_Paste'!$A$587:$AZ$587,1,OC_Amt)="","",INDEX('OneCause_Paste'!$A$587:$AZ$587,1,OC_Amt)))</f>
        <v/>
      </c>
      <c r="K587">
        <f>IF(OC_Name=0,"",IF(INDEX('OneCause_Paste'!$A$587:$AZ$587,1,OC_Name)="","",INDEX('OneCause_Paste'!$A$587:$AZ$587,1,OC_Name)))</f>
        <v/>
      </c>
      <c r="L587">
        <f>IF(OC_Txn=0,"",IF(INDEX('OneCause_Paste'!$A$587:$AZ$587,1,OC_Txn)="","",INDEX('OneCause_Paste'!$A$587:$AZ$587,1,OC_Txn)))</f>
        <v/>
      </c>
      <c r="M587">
        <f>IF(OC_Pay=0,"",IF(INDEX('OneCause_Paste'!$A$587:$AZ$587,1,OC_Pay)="","",INDEX('OneCause_Paste'!$A$587:$AZ$587,1,OC_Pay)))</f>
        <v/>
      </c>
      <c r="N587">
        <f>IF(I587="","",IF(ISNUMBER(I587),INT(I587),IFERROR(INT(DATEVALUE(I587)),IFERROR(INT(VALUE(I587)),"bad"))))</f>
        <v/>
      </c>
      <c r="O587">
        <f>IF(J587="","",IF(ISNUMBER(J587),ROUND(J587,2),IFERROR(ROUND(VALUE(SUBSTITUTE(SUBSTITUTE(SUBSTITUTE(J587,"$",""),",","")," ","")),2),"bad")))</f>
        <v/>
      </c>
      <c r="P587">
        <f>IF(TRIM(K587)="","",IFERROR(MATCH(LOWER(TRIM(K587)),'Students'!$AH$2:$AH$701,0),IFERROR(MATCH(LOWER(TRIM(K587)),'Students'!$AF$2:$AF$701,0),IFERROR(MATCH(LOWER(TRIM(K587)),'Students'!$AG$2:$AG$701,0),""))))</f>
        <v/>
      </c>
      <c r="R587">
        <f>IF(P587="","",INDEX('Students'!$AD$2:$AD$701,P587))</f>
        <v/>
      </c>
      <c r="S587">
        <f>IF(H587="OK",O587,0)</f>
        <v/>
      </c>
      <c r="T587">
        <f>IF(H587="OK",N587,"")</f>
        <v/>
      </c>
      <c r="U587">
        <f>IF(OC_Donor=0,"",IF(INDEX('OneCause_Paste'!$A$587:$AZ$587,1,OC_Donor)="","",INDEX('OneCause_Paste'!$A$587:$AZ$587,1,OC_Donor)))</f>
        <v/>
      </c>
    </row>
    <row r="588">
      <c r="A588" s="62">
        <f>IF(H588="","",IF(ISNUMBER(N588),N588,I588))</f>
        <v/>
      </c>
      <c r="B588">
        <f>IF(H588="","",U588)</f>
        <v/>
      </c>
      <c r="C588">
        <f>IF(H588="","",IF(P588="",K588,INDEX('Students'!$A$2:$A$701,P588)))</f>
        <v/>
      </c>
      <c r="D588">
        <f>IF(OR(H588="",P588=""),"",INDEX('Students'!$B$2:$B$701,P588))</f>
        <v/>
      </c>
      <c r="E588">
        <f>IF(OR(H588="",P588=""),"",INDEX('Students'!$C$2:$C$701,P588))</f>
        <v/>
      </c>
      <c r="F588" s="48">
        <f>IF(H588="","",IF(ISNUMBER(O588),O588,J588))</f>
        <v/>
      </c>
      <c r="G588">
        <f>IF(H588="","","OneCause")</f>
        <v/>
      </c>
      <c r="H588">
        <f>IF(AND(I588="",J588="",K588=""),"",IF(NOT(ISNUMBER(O588)),"Bad amount",IF(O588&lt;0,"Refund (not counted)",IF(O588=0,"Zero amount",IF(NOT(ISNUMBER(N588)),"Bad date",IF(P588="","NAME NOT ON ROSTER",IF(L588="","OK",IF(MATCH(L588,$L$2:$L$3001,0)&lt;ROW()-1,"Duplicate (ignored)","OK"))))))))</f>
        <v/>
      </c>
      <c r="I588">
        <f>IF(OC_Date=0,"",IF(INDEX('OneCause_Paste'!$A$588:$AZ$588,1,OC_Date)="","",INDEX('OneCause_Paste'!$A$588:$AZ$588,1,OC_Date)))</f>
        <v/>
      </c>
      <c r="J588">
        <f>IF(OC_Amt=0,"",IF(INDEX('OneCause_Paste'!$A$588:$AZ$588,1,OC_Amt)="","",INDEX('OneCause_Paste'!$A$588:$AZ$588,1,OC_Amt)))</f>
        <v/>
      </c>
      <c r="K588">
        <f>IF(OC_Name=0,"",IF(INDEX('OneCause_Paste'!$A$588:$AZ$588,1,OC_Name)="","",INDEX('OneCause_Paste'!$A$588:$AZ$588,1,OC_Name)))</f>
        <v/>
      </c>
      <c r="L588">
        <f>IF(OC_Txn=0,"",IF(INDEX('OneCause_Paste'!$A$588:$AZ$588,1,OC_Txn)="","",INDEX('OneCause_Paste'!$A$588:$AZ$588,1,OC_Txn)))</f>
        <v/>
      </c>
      <c r="M588">
        <f>IF(OC_Pay=0,"",IF(INDEX('OneCause_Paste'!$A$588:$AZ$588,1,OC_Pay)="","",INDEX('OneCause_Paste'!$A$588:$AZ$588,1,OC_Pay)))</f>
        <v/>
      </c>
      <c r="N588">
        <f>IF(I588="","",IF(ISNUMBER(I588),INT(I588),IFERROR(INT(DATEVALUE(I588)),IFERROR(INT(VALUE(I588)),"bad"))))</f>
        <v/>
      </c>
      <c r="O588">
        <f>IF(J588="","",IF(ISNUMBER(J588),ROUND(J588,2),IFERROR(ROUND(VALUE(SUBSTITUTE(SUBSTITUTE(SUBSTITUTE(J588,"$",""),",","")," ","")),2),"bad")))</f>
        <v/>
      </c>
      <c r="P588">
        <f>IF(TRIM(K588)="","",IFERROR(MATCH(LOWER(TRIM(K588)),'Students'!$AH$2:$AH$701,0),IFERROR(MATCH(LOWER(TRIM(K588)),'Students'!$AF$2:$AF$701,0),IFERROR(MATCH(LOWER(TRIM(K588)),'Students'!$AG$2:$AG$701,0),""))))</f>
        <v/>
      </c>
      <c r="R588">
        <f>IF(P588="","",INDEX('Students'!$AD$2:$AD$701,P588))</f>
        <v/>
      </c>
      <c r="S588">
        <f>IF(H588="OK",O588,0)</f>
        <v/>
      </c>
      <c r="T588">
        <f>IF(H588="OK",N588,"")</f>
        <v/>
      </c>
      <c r="U588">
        <f>IF(OC_Donor=0,"",IF(INDEX('OneCause_Paste'!$A$588:$AZ$588,1,OC_Donor)="","",INDEX('OneCause_Paste'!$A$588:$AZ$588,1,OC_Donor)))</f>
        <v/>
      </c>
    </row>
    <row r="589">
      <c r="A589" s="62">
        <f>IF(H589="","",IF(ISNUMBER(N589),N589,I589))</f>
        <v/>
      </c>
      <c r="B589">
        <f>IF(H589="","",U589)</f>
        <v/>
      </c>
      <c r="C589">
        <f>IF(H589="","",IF(P589="",K589,INDEX('Students'!$A$2:$A$701,P589)))</f>
        <v/>
      </c>
      <c r="D589">
        <f>IF(OR(H589="",P589=""),"",INDEX('Students'!$B$2:$B$701,P589))</f>
        <v/>
      </c>
      <c r="E589">
        <f>IF(OR(H589="",P589=""),"",INDEX('Students'!$C$2:$C$701,P589))</f>
        <v/>
      </c>
      <c r="F589" s="48">
        <f>IF(H589="","",IF(ISNUMBER(O589),O589,J589))</f>
        <v/>
      </c>
      <c r="G589">
        <f>IF(H589="","","OneCause")</f>
        <v/>
      </c>
      <c r="H589">
        <f>IF(AND(I589="",J589="",K589=""),"",IF(NOT(ISNUMBER(O589)),"Bad amount",IF(O589&lt;0,"Refund (not counted)",IF(O589=0,"Zero amount",IF(NOT(ISNUMBER(N589)),"Bad date",IF(P589="","NAME NOT ON ROSTER",IF(L589="","OK",IF(MATCH(L589,$L$2:$L$3001,0)&lt;ROW()-1,"Duplicate (ignored)","OK"))))))))</f>
        <v/>
      </c>
      <c r="I589">
        <f>IF(OC_Date=0,"",IF(INDEX('OneCause_Paste'!$A$589:$AZ$589,1,OC_Date)="","",INDEX('OneCause_Paste'!$A$589:$AZ$589,1,OC_Date)))</f>
        <v/>
      </c>
      <c r="J589">
        <f>IF(OC_Amt=0,"",IF(INDEX('OneCause_Paste'!$A$589:$AZ$589,1,OC_Amt)="","",INDEX('OneCause_Paste'!$A$589:$AZ$589,1,OC_Amt)))</f>
        <v/>
      </c>
      <c r="K589">
        <f>IF(OC_Name=0,"",IF(INDEX('OneCause_Paste'!$A$589:$AZ$589,1,OC_Name)="","",INDEX('OneCause_Paste'!$A$589:$AZ$589,1,OC_Name)))</f>
        <v/>
      </c>
      <c r="L589">
        <f>IF(OC_Txn=0,"",IF(INDEX('OneCause_Paste'!$A$589:$AZ$589,1,OC_Txn)="","",INDEX('OneCause_Paste'!$A$589:$AZ$589,1,OC_Txn)))</f>
        <v/>
      </c>
      <c r="M589">
        <f>IF(OC_Pay=0,"",IF(INDEX('OneCause_Paste'!$A$589:$AZ$589,1,OC_Pay)="","",INDEX('OneCause_Paste'!$A$589:$AZ$589,1,OC_Pay)))</f>
        <v/>
      </c>
      <c r="N589">
        <f>IF(I589="","",IF(ISNUMBER(I589),INT(I589),IFERROR(INT(DATEVALUE(I589)),IFERROR(INT(VALUE(I589)),"bad"))))</f>
        <v/>
      </c>
      <c r="O589">
        <f>IF(J589="","",IF(ISNUMBER(J589),ROUND(J589,2),IFERROR(ROUND(VALUE(SUBSTITUTE(SUBSTITUTE(SUBSTITUTE(J589,"$",""),",","")," ","")),2),"bad")))</f>
        <v/>
      </c>
      <c r="P589">
        <f>IF(TRIM(K589)="","",IFERROR(MATCH(LOWER(TRIM(K589)),'Students'!$AH$2:$AH$701,0),IFERROR(MATCH(LOWER(TRIM(K589)),'Students'!$AF$2:$AF$701,0),IFERROR(MATCH(LOWER(TRIM(K589)),'Students'!$AG$2:$AG$701,0),""))))</f>
        <v/>
      </c>
      <c r="R589">
        <f>IF(P589="","",INDEX('Students'!$AD$2:$AD$701,P589))</f>
        <v/>
      </c>
      <c r="S589">
        <f>IF(H589="OK",O589,0)</f>
        <v/>
      </c>
      <c r="T589">
        <f>IF(H589="OK",N589,"")</f>
        <v/>
      </c>
      <c r="U589">
        <f>IF(OC_Donor=0,"",IF(INDEX('OneCause_Paste'!$A$589:$AZ$589,1,OC_Donor)="","",INDEX('OneCause_Paste'!$A$589:$AZ$589,1,OC_Donor)))</f>
        <v/>
      </c>
    </row>
    <row r="590">
      <c r="A590" s="62">
        <f>IF(H590="","",IF(ISNUMBER(N590),N590,I590))</f>
        <v/>
      </c>
      <c r="B590">
        <f>IF(H590="","",U590)</f>
        <v/>
      </c>
      <c r="C590">
        <f>IF(H590="","",IF(P590="",K590,INDEX('Students'!$A$2:$A$701,P590)))</f>
        <v/>
      </c>
      <c r="D590">
        <f>IF(OR(H590="",P590=""),"",INDEX('Students'!$B$2:$B$701,P590))</f>
        <v/>
      </c>
      <c r="E590">
        <f>IF(OR(H590="",P590=""),"",INDEX('Students'!$C$2:$C$701,P590))</f>
        <v/>
      </c>
      <c r="F590" s="48">
        <f>IF(H590="","",IF(ISNUMBER(O590),O590,J590))</f>
        <v/>
      </c>
      <c r="G590">
        <f>IF(H590="","","OneCause")</f>
        <v/>
      </c>
      <c r="H590">
        <f>IF(AND(I590="",J590="",K590=""),"",IF(NOT(ISNUMBER(O590)),"Bad amount",IF(O590&lt;0,"Refund (not counted)",IF(O590=0,"Zero amount",IF(NOT(ISNUMBER(N590)),"Bad date",IF(P590="","NAME NOT ON ROSTER",IF(L590="","OK",IF(MATCH(L590,$L$2:$L$3001,0)&lt;ROW()-1,"Duplicate (ignored)","OK"))))))))</f>
        <v/>
      </c>
      <c r="I590">
        <f>IF(OC_Date=0,"",IF(INDEX('OneCause_Paste'!$A$590:$AZ$590,1,OC_Date)="","",INDEX('OneCause_Paste'!$A$590:$AZ$590,1,OC_Date)))</f>
        <v/>
      </c>
      <c r="J590">
        <f>IF(OC_Amt=0,"",IF(INDEX('OneCause_Paste'!$A$590:$AZ$590,1,OC_Amt)="","",INDEX('OneCause_Paste'!$A$590:$AZ$590,1,OC_Amt)))</f>
        <v/>
      </c>
      <c r="K590">
        <f>IF(OC_Name=0,"",IF(INDEX('OneCause_Paste'!$A$590:$AZ$590,1,OC_Name)="","",INDEX('OneCause_Paste'!$A$590:$AZ$590,1,OC_Name)))</f>
        <v/>
      </c>
      <c r="L590">
        <f>IF(OC_Txn=0,"",IF(INDEX('OneCause_Paste'!$A$590:$AZ$590,1,OC_Txn)="","",INDEX('OneCause_Paste'!$A$590:$AZ$590,1,OC_Txn)))</f>
        <v/>
      </c>
      <c r="M590">
        <f>IF(OC_Pay=0,"",IF(INDEX('OneCause_Paste'!$A$590:$AZ$590,1,OC_Pay)="","",INDEX('OneCause_Paste'!$A$590:$AZ$590,1,OC_Pay)))</f>
        <v/>
      </c>
      <c r="N590">
        <f>IF(I590="","",IF(ISNUMBER(I590),INT(I590),IFERROR(INT(DATEVALUE(I590)),IFERROR(INT(VALUE(I590)),"bad"))))</f>
        <v/>
      </c>
      <c r="O590">
        <f>IF(J590="","",IF(ISNUMBER(J590),ROUND(J590,2),IFERROR(ROUND(VALUE(SUBSTITUTE(SUBSTITUTE(SUBSTITUTE(J590,"$",""),",","")," ","")),2),"bad")))</f>
        <v/>
      </c>
      <c r="P590">
        <f>IF(TRIM(K590)="","",IFERROR(MATCH(LOWER(TRIM(K590)),'Students'!$AH$2:$AH$701,0),IFERROR(MATCH(LOWER(TRIM(K590)),'Students'!$AF$2:$AF$701,0),IFERROR(MATCH(LOWER(TRIM(K590)),'Students'!$AG$2:$AG$701,0),""))))</f>
        <v/>
      </c>
      <c r="R590">
        <f>IF(P590="","",INDEX('Students'!$AD$2:$AD$701,P590))</f>
        <v/>
      </c>
      <c r="S590">
        <f>IF(H590="OK",O590,0)</f>
        <v/>
      </c>
      <c r="T590">
        <f>IF(H590="OK",N590,"")</f>
        <v/>
      </c>
      <c r="U590">
        <f>IF(OC_Donor=0,"",IF(INDEX('OneCause_Paste'!$A$590:$AZ$590,1,OC_Donor)="","",INDEX('OneCause_Paste'!$A$590:$AZ$590,1,OC_Donor)))</f>
        <v/>
      </c>
    </row>
    <row r="591">
      <c r="A591" s="62">
        <f>IF(H591="","",IF(ISNUMBER(N591),N591,I591))</f>
        <v/>
      </c>
      <c r="B591">
        <f>IF(H591="","",U591)</f>
        <v/>
      </c>
      <c r="C591">
        <f>IF(H591="","",IF(P591="",K591,INDEX('Students'!$A$2:$A$701,P591)))</f>
        <v/>
      </c>
      <c r="D591">
        <f>IF(OR(H591="",P591=""),"",INDEX('Students'!$B$2:$B$701,P591))</f>
        <v/>
      </c>
      <c r="E591">
        <f>IF(OR(H591="",P591=""),"",INDEX('Students'!$C$2:$C$701,P591))</f>
        <v/>
      </c>
      <c r="F591" s="48">
        <f>IF(H591="","",IF(ISNUMBER(O591),O591,J591))</f>
        <v/>
      </c>
      <c r="G591">
        <f>IF(H591="","","OneCause")</f>
        <v/>
      </c>
      <c r="H591">
        <f>IF(AND(I591="",J591="",K591=""),"",IF(NOT(ISNUMBER(O591)),"Bad amount",IF(O591&lt;0,"Refund (not counted)",IF(O591=0,"Zero amount",IF(NOT(ISNUMBER(N591)),"Bad date",IF(P591="","NAME NOT ON ROSTER",IF(L591="","OK",IF(MATCH(L591,$L$2:$L$3001,0)&lt;ROW()-1,"Duplicate (ignored)","OK"))))))))</f>
        <v/>
      </c>
      <c r="I591">
        <f>IF(OC_Date=0,"",IF(INDEX('OneCause_Paste'!$A$591:$AZ$591,1,OC_Date)="","",INDEX('OneCause_Paste'!$A$591:$AZ$591,1,OC_Date)))</f>
        <v/>
      </c>
      <c r="J591">
        <f>IF(OC_Amt=0,"",IF(INDEX('OneCause_Paste'!$A$591:$AZ$591,1,OC_Amt)="","",INDEX('OneCause_Paste'!$A$591:$AZ$591,1,OC_Amt)))</f>
        <v/>
      </c>
      <c r="K591">
        <f>IF(OC_Name=0,"",IF(INDEX('OneCause_Paste'!$A$591:$AZ$591,1,OC_Name)="","",INDEX('OneCause_Paste'!$A$591:$AZ$591,1,OC_Name)))</f>
        <v/>
      </c>
      <c r="L591">
        <f>IF(OC_Txn=0,"",IF(INDEX('OneCause_Paste'!$A$591:$AZ$591,1,OC_Txn)="","",INDEX('OneCause_Paste'!$A$591:$AZ$591,1,OC_Txn)))</f>
        <v/>
      </c>
      <c r="M591">
        <f>IF(OC_Pay=0,"",IF(INDEX('OneCause_Paste'!$A$591:$AZ$591,1,OC_Pay)="","",INDEX('OneCause_Paste'!$A$591:$AZ$591,1,OC_Pay)))</f>
        <v/>
      </c>
      <c r="N591">
        <f>IF(I591="","",IF(ISNUMBER(I591),INT(I591),IFERROR(INT(DATEVALUE(I591)),IFERROR(INT(VALUE(I591)),"bad"))))</f>
        <v/>
      </c>
      <c r="O591">
        <f>IF(J591="","",IF(ISNUMBER(J591),ROUND(J591,2),IFERROR(ROUND(VALUE(SUBSTITUTE(SUBSTITUTE(SUBSTITUTE(J591,"$",""),",","")," ","")),2),"bad")))</f>
        <v/>
      </c>
      <c r="P591">
        <f>IF(TRIM(K591)="","",IFERROR(MATCH(LOWER(TRIM(K591)),'Students'!$AH$2:$AH$701,0),IFERROR(MATCH(LOWER(TRIM(K591)),'Students'!$AF$2:$AF$701,0),IFERROR(MATCH(LOWER(TRIM(K591)),'Students'!$AG$2:$AG$701,0),""))))</f>
        <v/>
      </c>
      <c r="R591">
        <f>IF(P591="","",INDEX('Students'!$AD$2:$AD$701,P591))</f>
        <v/>
      </c>
      <c r="S591">
        <f>IF(H591="OK",O591,0)</f>
        <v/>
      </c>
      <c r="T591">
        <f>IF(H591="OK",N591,"")</f>
        <v/>
      </c>
      <c r="U591">
        <f>IF(OC_Donor=0,"",IF(INDEX('OneCause_Paste'!$A$591:$AZ$591,1,OC_Donor)="","",INDEX('OneCause_Paste'!$A$591:$AZ$591,1,OC_Donor)))</f>
        <v/>
      </c>
    </row>
    <row r="592">
      <c r="A592" s="62">
        <f>IF(H592="","",IF(ISNUMBER(N592),N592,I592))</f>
        <v/>
      </c>
      <c r="B592">
        <f>IF(H592="","",U592)</f>
        <v/>
      </c>
      <c r="C592">
        <f>IF(H592="","",IF(P592="",K592,INDEX('Students'!$A$2:$A$701,P592)))</f>
        <v/>
      </c>
      <c r="D592">
        <f>IF(OR(H592="",P592=""),"",INDEX('Students'!$B$2:$B$701,P592))</f>
        <v/>
      </c>
      <c r="E592">
        <f>IF(OR(H592="",P592=""),"",INDEX('Students'!$C$2:$C$701,P592))</f>
        <v/>
      </c>
      <c r="F592" s="48">
        <f>IF(H592="","",IF(ISNUMBER(O592),O592,J592))</f>
        <v/>
      </c>
      <c r="G592">
        <f>IF(H592="","","OneCause")</f>
        <v/>
      </c>
      <c r="H592">
        <f>IF(AND(I592="",J592="",K592=""),"",IF(NOT(ISNUMBER(O592)),"Bad amount",IF(O592&lt;0,"Refund (not counted)",IF(O592=0,"Zero amount",IF(NOT(ISNUMBER(N592)),"Bad date",IF(P592="","NAME NOT ON ROSTER",IF(L592="","OK",IF(MATCH(L592,$L$2:$L$3001,0)&lt;ROW()-1,"Duplicate (ignored)","OK"))))))))</f>
        <v/>
      </c>
      <c r="I592">
        <f>IF(OC_Date=0,"",IF(INDEX('OneCause_Paste'!$A$592:$AZ$592,1,OC_Date)="","",INDEX('OneCause_Paste'!$A$592:$AZ$592,1,OC_Date)))</f>
        <v/>
      </c>
      <c r="J592">
        <f>IF(OC_Amt=0,"",IF(INDEX('OneCause_Paste'!$A$592:$AZ$592,1,OC_Amt)="","",INDEX('OneCause_Paste'!$A$592:$AZ$592,1,OC_Amt)))</f>
        <v/>
      </c>
      <c r="K592">
        <f>IF(OC_Name=0,"",IF(INDEX('OneCause_Paste'!$A$592:$AZ$592,1,OC_Name)="","",INDEX('OneCause_Paste'!$A$592:$AZ$592,1,OC_Name)))</f>
        <v/>
      </c>
      <c r="L592">
        <f>IF(OC_Txn=0,"",IF(INDEX('OneCause_Paste'!$A$592:$AZ$592,1,OC_Txn)="","",INDEX('OneCause_Paste'!$A$592:$AZ$592,1,OC_Txn)))</f>
        <v/>
      </c>
      <c r="M592">
        <f>IF(OC_Pay=0,"",IF(INDEX('OneCause_Paste'!$A$592:$AZ$592,1,OC_Pay)="","",INDEX('OneCause_Paste'!$A$592:$AZ$592,1,OC_Pay)))</f>
        <v/>
      </c>
      <c r="N592">
        <f>IF(I592="","",IF(ISNUMBER(I592),INT(I592),IFERROR(INT(DATEVALUE(I592)),IFERROR(INT(VALUE(I592)),"bad"))))</f>
        <v/>
      </c>
      <c r="O592">
        <f>IF(J592="","",IF(ISNUMBER(J592),ROUND(J592,2),IFERROR(ROUND(VALUE(SUBSTITUTE(SUBSTITUTE(SUBSTITUTE(J592,"$",""),",","")," ","")),2),"bad")))</f>
        <v/>
      </c>
      <c r="P592">
        <f>IF(TRIM(K592)="","",IFERROR(MATCH(LOWER(TRIM(K592)),'Students'!$AH$2:$AH$701,0),IFERROR(MATCH(LOWER(TRIM(K592)),'Students'!$AF$2:$AF$701,0),IFERROR(MATCH(LOWER(TRIM(K592)),'Students'!$AG$2:$AG$701,0),""))))</f>
        <v/>
      </c>
      <c r="R592">
        <f>IF(P592="","",INDEX('Students'!$AD$2:$AD$701,P592))</f>
        <v/>
      </c>
      <c r="S592">
        <f>IF(H592="OK",O592,0)</f>
        <v/>
      </c>
      <c r="T592">
        <f>IF(H592="OK",N592,"")</f>
        <v/>
      </c>
      <c r="U592">
        <f>IF(OC_Donor=0,"",IF(INDEX('OneCause_Paste'!$A$592:$AZ$592,1,OC_Donor)="","",INDEX('OneCause_Paste'!$A$592:$AZ$592,1,OC_Donor)))</f>
        <v/>
      </c>
    </row>
    <row r="593">
      <c r="A593" s="62">
        <f>IF(H593="","",IF(ISNUMBER(N593),N593,I593))</f>
        <v/>
      </c>
      <c r="B593">
        <f>IF(H593="","",U593)</f>
        <v/>
      </c>
      <c r="C593">
        <f>IF(H593="","",IF(P593="",K593,INDEX('Students'!$A$2:$A$701,P593)))</f>
        <v/>
      </c>
      <c r="D593">
        <f>IF(OR(H593="",P593=""),"",INDEX('Students'!$B$2:$B$701,P593))</f>
        <v/>
      </c>
      <c r="E593">
        <f>IF(OR(H593="",P593=""),"",INDEX('Students'!$C$2:$C$701,P593))</f>
        <v/>
      </c>
      <c r="F593" s="48">
        <f>IF(H593="","",IF(ISNUMBER(O593),O593,J593))</f>
        <v/>
      </c>
      <c r="G593">
        <f>IF(H593="","","OneCause")</f>
        <v/>
      </c>
      <c r="H593">
        <f>IF(AND(I593="",J593="",K593=""),"",IF(NOT(ISNUMBER(O593)),"Bad amount",IF(O593&lt;0,"Refund (not counted)",IF(O593=0,"Zero amount",IF(NOT(ISNUMBER(N593)),"Bad date",IF(P593="","NAME NOT ON ROSTER",IF(L593="","OK",IF(MATCH(L593,$L$2:$L$3001,0)&lt;ROW()-1,"Duplicate (ignored)","OK"))))))))</f>
        <v/>
      </c>
      <c r="I593">
        <f>IF(OC_Date=0,"",IF(INDEX('OneCause_Paste'!$A$593:$AZ$593,1,OC_Date)="","",INDEX('OneCause_Paste'!$A$593:$AZ$593,1,OC_Date)))</f>
        <v/>
      </c>
      <c r="J593">
        <f>IF(OC_Amt=0,"",IF(INDEX('OneCause_Paste'!$A$593:$AZ$593,1,OC_Amt)="","",INDEX('OneCause_Paste'!$A$593:$AZ$593,1,OC_Amt)))</f>
        <v/>
      </c>
      <c r="K593">
        <f>IF(OC_Name=0,"",IF(INDEX('OneCause_Paste'!$A$593:$AZ$593,1,OC_Name)="","",INDEX('OneCause_Paste'!$A$593:$AZ$593,1,OC_Name)))</f>
        <v/>
      </c>
      <c r="L593">
        <f>IF(OC_Txn=0,"",IF(INDEX('OneCause_Paste'!$A$593:$AZ$593,1,OC_Txn)="","",INDEX('OneCause_Paste'!$A$593:$AZ$593,1,OC_Txn)))</f>
        <v/>
      </c>
      <c r="M593">
        <f>IF(OC_Pay=0,"",IF(INDEX('OneCause_Paste'!$A$593:$AZ$593,1,OC_Pay)="","",INDEX('OneCause_Paste'!$A$593:$AZ$593,1,OC_Pay)))</f>
        <v/>
      </c>
      <c r="N593">
        <f>IF(I593="","",IF(ISNUMBER(I593),INT(I593),IFERROR(INT(DATEVALUE(I593)),IFERROR(INT(VALUE(I593)),"bad"))))</f>
        <v/>
      </c>
      <c r="O593">
        <f>IF(J593="","",IF(ISNUMBER(J593),ROUND(J593,2),IFERROR(ROUND(VALUE(SUBSTITUTE(SUBSTITUTE(SUBSTITUTE(J593,"$",""),",","")," ","")),2),"bad")))</f>
        <v/>
      </c>
      <c r="P593">
        <f>IF(TRIM(K593)="","",IFERROR(MATCH(LOWER(TRIM(K593)),'Students'!$AH$2:$AH$701,0),IFERROR(MATCH(LOWER(TRIM(K593)),'Students'!$AF$2:$AF$701,0),IFERROR(MATCH(LOWER(TRIM(K593)),'Students'!$AG$2:$AG$701,0),""))))</f>
        <v/>
      </c>
      <c r="R593">
        <f>IF(P593="","",INDEX('Students'!$AD$2:$AD$701,P593))</f>
        <v/>
      </c>
      <c r="S593">
        <f>IF(H593="OK",O593,0)</f>
        <v/>
      </c>
      <c r="T593">
        <f>IF(H593="OK",N593,"")</f>
        <v/>
      </c>
      <c r="U593">
        <f>IF(OC_Donor=0,"",IF(INDEX('OneCause_Paste'!$A$593:$AZ$593,1,OC_Donor)="","",INDEX('OneCause_Paste'!$A$593:$AZ$593,1,OC_Donor)))</f>
        <v/>
      </c>
    </row>
    <row r="594">
      <c r="A594" s="62">
        <f>IF(H594="","",IF(ISNUMBER(N594),N594,I594))</f>
        <v/>
      </c>
      <c r="B594">
        <f>IF(H594="","",U594)</f>
        <v/>
      </c>
      <c r="C594">
        <f>IF(H594="","",IF(P594="",K594,INDEX('Students'!$A$2:$A$701,P594)))</f>
        <v/>
      </c>
      <c r="D594">
        <f>IF(OR(H594="",P594=""),"",INDEX('Students'!$B$2:$B$701,P594))</f>
        <v/>
      </c>
      <c r="E594">
        <f>IF(OR(H594="",P594=""),"",INDEX('Students'!$C$2:$C$701,P594))</f>
        <v/>
      </c>
      <c r="F594" s="48">
        <f>IF(H594="","",IF(ISNUMBER(O594),O594,J594))</f>
        <v/>
      </c>
      <c r="G594">
        <f>IF(H594="","","OneCause")</f>
        <v/>
      </c>
      <c r="H594">
        <f>IF(AND(I594="",J594="",K594=""),"",IF(NOT(ISNUMBER(O594)),"Bad amount",IF(O594&lt;0,"Refund (not counted)",IF(O594=0,"Zero amount",IF(NOT(ISNUMBER(N594)),"Bad date",IF(P594="","NAME NOT ON ROSTER",IF(L594="","OK",IF(MATCH(L594,$L$2:$L$3001,0)&lt;ROW()-1,"Duplicate (ignored)","OK"))))))))</f>
        <v/>
      </c>
      <c r="I594">
        <f>IF(OC_Date=0,"",IF(INDEX('OneCause_Paste'!$A$594:$AZ$594,1,OC_Date)="","",INDEX('OneCause_Paste'!$A$594:$AZ$594,1,OC_Date)))</f>
        <v/>
      </c>
      <c r="J594">
        <f>IF(OC_Amt=0,"",IF(INDEX('OneCause_Paste'!$A$594:$AZ$594,1,OC_Amt)="","",INDEX('OneCause_Paste'!$A$594:$AZ$594,1,OC_Amt)))</f>
        <v/>
      </c>
      <c r="K594">
        <f>IF(OC_Name=0,"",IF(INDEX('OneCause_Paste'!$A$594:$AZ$594,1,OC_Name)="","",INDEX('OneCause_Paste'!$A$594:$AZ$594,1,OC_Name)))</f>
        <v/>
      </c>
      <c r="L594">
        <f>IF(OC_Txn=0,"",IF(INDEX('OneCause_Paste'!$A$594:$AZ$594,1,OC_Txn)="","",INDEX('OneCause_Paste'!$A$594:$AZ$594,1,OC_Txn)))</f>
        <v/>
      </c>
      <c r="M594">
        <f>IF(OC_Pay=0,"",IF(INDEX('OneCause_Paste'!$A$594:$AZ$594,1,OC_Pay)="","",INDEX('OneCause_Paste'!$A$594:$AZ$594,1,OC_Pay)))</f>
        <v/>
      </c>
      <c r="N594">
        <f>IF(I594="","",IF(ISNUMBER(I594),INT(I594),IFERROR(INT(DATEVALUE(I594)),IFERROR(INT(VALUE(I594)),"bad"))))</f>
        <v/>
      </c>
      <c r="O594">
        <f>IF(J594="","",IF(ISNUMBER(J594),ROUND(J594,2),IFERROR(ROUND(VALUE(SUBSTITUTE(SUBSTITUTE(SUBSTITUTE(J594,"$",""),",","")," ","")),2),"bad")))</f>
        <v/>
      </c>
      <c r="P594">
        <f>IF(TRIM(K594)="","",IFERROR(MATCH(LOWER(TRIM(K594)),'Students'!$AH$2:$AH$701,0),IFERROR(MATCH(LOWER(TRIM(K594)),'Students'!$AF$2:$AF$701,0),IFERROR(MATCH(LOWER(TRIM(K594)),'Students'!$AG$2:$AG$701,0),""))))</f>
        <v/>
      </c>
      <c r="R594">
        <f>IF(P594="","",INDEX('Students'!$AD$2:$AD$701,P594))</f>
        <v/>
      </c>
      <c r="S594">
        <f>IF(H594="OK",O594,0)</f>
        <v/>
      </c>
      <c r="T594">
        <f>IF(H594="OK",N594,"")</f>
        <v/>
      </c>
      <c r="U594">
        <f>IF(OC_Donor=0,"",IF(INDEX('OneCause_Paste'!$A$594:$AZ$594,1,OC_Donor)="","",INDEX('OneCause_Paste'!$A$594:$AZ$594,1,OC_Donor)))</f>
        <v/>
      </c>
    </row>
    <row r="595">
      <c r="A595" s="62">
        <f>IF(H595="","",IF(ISNUMBER(N595),N595,I595))</f>
        <v/>
      </c>
      <c r="B595">
        <f>IF(H595="","",U595)</f>
        <v/>
      </c>
      <c r="C595">
        <f>IF(H595="","",IF(P595="",K595,INDEX('Students'!$A$2:$A$701,P595)))</f>
        <v/>
      </c>
      <c r="D595">
        <f>IF(OR(H595="",P595=""),"",INDEX('Students'!$B$2:$B$701,P595))</f>
        <v/>
      </c>
      <c r="E595">
        <f>IF(OR(H595="",P595=""),"",INDEX('Students'!$C$2:$C$701,P595))</f>
        <v/>
      </c>
      <c r="F595" s="48">
        <f>IF(H595="","",IF(ISNUMBER(O595),O595,J595))</f>
        <v/>
      </c>
      <c r="G595">
        <f>IF(H595="","","OneCause")</f>
        <v/>
      </c>
      <c r="H595">
        <f>IF(AND(I595="",J595="",K595=""),"",IF(NOT(ISNUMBER(O595)),"Bad amount",IF(O595&lt;0,"Refund (not counted)",IF(O595=0,"Zero amount",IF(NOT(ISNUMBER(N595)),"Bad date",IF(P595="","NAME NOT ON ROSTER",IF(L595="","OK",IF(MATCH(L595,$L$2:$L$3001,0)&lt;ROW()-1,"Duplicate (ignored)","OK"))))))))</f>
        <v/>
      </c>
      <c r="I595">
        <f>IF(OC_Date=0,"",IF(INDEX('OneCause_Paste'!$A$595:$AZ$595,1,OC_Date)="","",INDEX('OneCause_Paste'!$A$595:$AZ$595,1,OC_Date)))</f>
        <v/>
      </c>
      <c r="J595">
        <f>IF(OC_Amt=0,"",IF(INDEX('OneCause_Paste'!$A$595:$AZ$595,1,OC_Amt)="","",INDEX('OneCause_Paste'!$A$595:$AZ$595,1,OC_Amt)))</f>
        <v/>
      </c>
      <c r="K595">
        <f>IF(OC_Name=0,"",IF(INDEX('OneCause_Paste'!$A$595:$AZ$595,1,OC_Name)="","",INDEX('OneCause_Paste'!$A$595:$AZ$595,1,OC_Name)))</f>
        <v/>
      </c>
      <c r="L595">
        <f>IF(OC_Txn=0,"",IF(INDEX('OneCause_Paste'!$A$595:$AZ$595,1,OC_Txn)="","",INDEX('OneCause_Paste'!$A$595:$AZ$595,1,OC_Txn)))</f>
        <v/>
      </c>
      <c r="M595">
        <f>IF(OC_Pay=0,"",IF(INDEX('OneCause_Paste'!$A$595:$AZ$595,1,OC_Pay)="","",INDEX('OneCause_Paste'!$A$595:$AZ$595,1,OC_Pay)))</f>
        <v/>
      </c>
      <c r="N595">
        <f>IF(I595="","",IF(ISNUMBER(I595),INT(I595),IFERROR(INT(DATEVALUE(I595)),IFERROR(INT(VALUE(I595)),"bad"))))</f>
        <v/>
      </c>
      <c r="O595">
        <f>IF(J595="","",IF(ISNUMBER(J595),ROUND(J595,2),IFERROR(ROUND(VALUE(SUBSTITUTE(SUBSTITUTE(SUBSTITUTE(J595,"$",""),",","")," ","")),2),"bad")))</f>
        <v/>
      </c>
      <c r="P595">
        <f>IF(TRIM(K595)="","",IFERROR(MATCH(LOWER(TRIM(K595)),'Students'!$AH$2:$AH$701,0),IFERROR(MATCH(LOWER(TRIM(K595)),'Students'!$AF$2:$AF$701,0),IFERROR(MATCH(LOWER(TRIM(K595)),'Students'!$AG$2:$AG$701,0),""))))</f>
        <v/>
      </c>
      <c r="R595">
        <f>IF(P595="","",INDEX('Students'!$AD$2:$AD$701,P595))</f>
        <v/>
      </c>
      <c r="S595">
        <f>IF(H595="OK",O595,0)</f>
        <v/>
      </c>
      <c r="T595">
        <f>IF(H595="OK",N595,"")</f>
        <v/>
      </c>
      <c r="U595">
        <f>IF(OC_Donor=0,"",IF(INDEX('OneCause_Paste'!$A$595:$AZ$595,1,OC_Donor)="","",INDEX('OneCause_Paste'!$A$595:$AZ$595,1,OC_Donor)))</f>
        <v/>
      </c>
    </row>
    <row r="596">
      <c r="A596" s="62">
        <f>IF(H596="","",IF(ISNUMBER(N596),N596,I596))</f>
        <v/>
      </c>
      <c r="B596">
        <f>IF(H596="","",U596)</f>
        <v/>
      </c>
      <c r="C596">
        <f>IF(H596="","",IF(P596="",K596,INDEX('Students'!$A$2:$A$701,P596)))</f>
        <v/>
      </c>
      <c r="D596">
        <f>IF(OR(H596="",P596=""),"",INDEX('Students'!$B$2:$B$701,P596))</f>
        <v/>
      </c>
      <c r="E596">
        <f>IF(OR(H596="",P596=""),"",INDEX('Students'!$C$2:$C$701,P596))</f>
        <v/>
      </c>
      <c r="F596" s="48">
        <f>IF(H596="","",IF(ISNUMBER(O596),O596,J596))</f>
        <v/>
      </c>
      <c r="G596">
        <f>IF(H596="","","OneCause")</f>
        <v/>
      </c>
      <c r="H596">
        <f>IF(AND(I596="",J596="",K596=""),"",IF(NOT(ISNUMBER(O596)),"Bad amount",IF(O596&lt;0,"Refund (not counted)",IF(O596=0,"Zero amount",IF(NOT(ISNUMBER(N596)),"Bad date",IF(P596="","NAME NOT ON ROSTER",IF(L596="","OK",IF(MATCH(L596,$L$2:$L$3001,0)&lt;ROW()-1,"Duplicate (ignored)","OK"))))))))</f>
        <v/>
      </c>
      <c r="I596">
        <f>IF(OC_Date=0,"",IF(INDEX('OneCause_Paste'!$A$596:$AZ$596,1,OC_Date)="","",INDEX('OneCause_Paste'!$A$596:$AZ$596,1,OC_Date)))</f>
        <v/>
      </c>
      <c r="J596">
        <f>IF(OC_Amt=0,"",IF(INDEX('OneCause_Paste'!$A$596:$AZ$596,1,OC_Amt)="","",INDEX('OneCause_Paste'!$A$596:$AZ$596,1,OC_Amt)))</f>
        <v/>
      </c>
      <c r="K596">
        <f>IF(OC_Name=0,"",IF(INDEX('OneCause_Paste'!$A$596:$AZ$596,1,OC_Name)="","",INDEX('OneCause_Paste'!$A$596:$AZ$596,1,OC_Name)))</f>
        <v/>
      </c>
      <c r="L596">
        <f>IF(OC_Txn=0,"",IF(INDEX('OneCause_Paste'!$A$596:$AZ$596,1,OC_Txn)="","",INDEX('OneCause_Paste'!$A$596:$AZ$596,1,OC_Txn)))</f>
        <v/>
      </c>
      <c r="M596">
        <f>IF(OC_Pay=0,"",IF(INDEX('OneCause_Paste'!$A$596:$AZ$596,1,OC_Pay)="","",INDEX('OneCause_Paste'!$A$596:$AZ$596,1,OC_Pay)))</f>
        <v/>
      </c>
      <c r="N596">
        <f>IF(I596="","",IF(ISNUMBER(I596),INT(I596),IFERROR(INT(DATEVALUE(I596)),IFERROR(INT(VALUE(I596)),"bad"))))</f>
        <v/>
      </c>
      <c r="O596">
        <f>IF(J596="","",IF(ISNUMBER(J596),ROUND(J596,2),IFERROR(ROUND(VALUE(SUBSTITUTE(SUBSTITUTE(SUBSTITUTE(J596,"$",""),",","")," ","")),2),"bad")))</f>
        <v/>
      </c>
      <c r="P596">
        <f>IF(TRIM(K596)="","",IFERROR(MATCH(LOWER(TRIM(K596)),'Students'!$AH$2:$AH$701,0),IFERROR(MATCH(LOWER(TRIM(K596)),'Students'!$AF$2:$AF$701,0),IFERROR(MATCH(LOWER(TRIM(K596)),'Students'!$AG$2:$AG$701,0),""))))</f>
        <v/>
      </c>
      <c r="R596">
        <f>IF(P596="","",INDEX('Students'!$AD$2:$AD$701,P596))</f>
        <v/>
      </c>
      <c r="S596">
        <f>IF(H596="OK",O596,0)</f>
        <v/>
      </c>
      <c r="T596">
        <f>IF(H596="OK",N596,"")</f>
        <v/>
      </c>
      <c r="U596">
        <f>IF(OC_Donor=0,"",IF(INDEX('OneCause_Paste'!$A$596:$AZ$596,1,OC_Donor)="","",INDEX('OneCause_Paste'!$A$596:$AZ$596,1,OC_Donor)))</f>
        <v/>
      </c>
    </row>
    <row r="597">
      <c r="A597" s="62">
        <f>IF(H597="","",IF(ISNUMBER(N597),N597,I597))</f>
        <v/>
      </c>
      <c r="B597">
        <f>IF(H597="","",U597)</f>
        <v/>
      </c>
      <c r="C597">
        <f>IF(H597="","",IF(P597="",K597,INDEX('Students'!$A$2:$A$701,P597)))</f>
        <v/>
      </c>
      <c r="D597">
        <f>IF(OR(H597="",P597=""),"",INDEX('Students'!$B$2:$B$701,P597))</f>
        <v/>
      </c>
      <c r="E597">
        <f>IF(OR(H597="",P597=""),"",INDEX('Students'!$C$2:$C$701,P597))</f>
        <v/>
      </c>
      <c r="F597" s="48">
        <f>IF(H597="","",IF(ISNUMBER(O597),O597,J597))</f>
        <v/>
      </c>
      <c r="G597">
        <f>IF(H597="","","OneCause")</f>
        <v/>
      </c>
      <c r="H597">
        <f>IF(AND(I597="",J597="",K597=""),"",IF(NOT(ISNUMBER(O597)),"Bad amount",IF(O597&lt;0,"Refund (not counted)",IF(O597=0,"Zero amount",IF(NOT(ISNUMBER(N597)),"Bad date",IF(P597="","NAME NOT ON ROSTER",IF(L597="","OK",IF(MATCH(L597,$L$2:$L$3001,0)&lt;ROW()-1,"Duplicate (ignored)","OK"))))))))</f>
        <v/>
      </c>
      <c r="I597">
        <f>IF(OC_Date=0,"",IF(INDEX('OneCause_Paste'!$A$597:$AZ$597,1,OC_Date)="","",INDEX('OneCause_Paste'!$A$597:$AZ$597,1,OC_Date)))</f>
        <v/>
      </c>
      <c r="J597">
        <f>IF(OC_Amt=0,"",IF(INDEX('OneCause_Paste'!$A$597:$AZ$597,1,OC_Amt)="","",INDEX('OneCause_Paste'!$A$597:$AZ$597,1,OC_Amt)))</f>
        <v/>
      </c>
      <c r="K597">
        <f>IF(OC_Name=0,"",IF(INDEX('OneCause_Paste'!$A$597:$AZ$597,1,OC_Name)="","",INDEX('OneCause_Paste'!$A$597:$AZ$597,1,OC_Name)))</f>
        <v/>
      </c>
      <c r="L597">
        <f>IF(OC_Txn=0,"",IF(INDEX('OneCause_Paste'!$A$597:$AZ$597,1,OC_Txn)="","",INDEX('OneCause_Paste'!$A$597:$AZ$597,1,OC_Txn)))</f>
        <v/>
      </c>
      <c r="M597">
        <f>IF(OC_Pay=0,"",IF(INDEX('OneCause_Paste'!$A$597:$AZ$597,1,OC_Pay)="","",INDEX('OneCause_Paste'!$A$597:$AZ$597,1,OC_Pay)))</f>
        <v/>
      </c>
      <c r="N597">
        <f>IF(I597="","",IF(ISNUMBER(I597),INT(I597),IFERROR(INT(DATEVALUE(I597)),IFERROR(INT(VALUE(I597)),"bad"))))</f>
        <v/>
      </c>
      <c r="O597">
        <f>IF(J597="","",IF(ISNUMBER(J597),ROUND(J597,2),IFERROR(ROUND(VALUE(SUBSTITUTE(SUBSTITUTE(SUBSTITUTE(J597,"$",""),",","")," ","")),2),"bad")))</f>
        <v/>
      </c>
      <c r="P597">
        <f>IF(TRIM(K597)="","",IFERROR(MATCH(LOWER(TRIM(K597)),'Students'!$AH$2:$AH$701,0),IFERROR(MATCH(LOWER(TRIM(K597)),'Students'!$AF$2:$AF$701,0),IFERROR(MATCH(LOWER(TRIM(K597)),'Students'!$AG$2:$AG$701,0),""))))</f>
        <v/>
      </c>
      <c r="R597">
        <f>IF(P597="","",INDEX('Students'!$AD$2:$AD$701,P597))</f>
        <v/>
      </c>
      <c r="S597">
        <f>IF(H597="OK",O597,0)</f>
        <v/>
      </c>
      <c r="T597">
        <f>IF(H597="OK",N597,"")</f>
        <v/>
      </c>
      <c r="U597">
        <f>IF(OC_Donor=0,"",IF(INDEX('OneCause_Paste'!$A$597:$AZ$597,1,OC_Donor)="","",INDEX('OneCause_Paste'!$A$597:$AZ$597,1,OC_Donor)))</f>
        <v/>
      </c>
    </row>
    <row r="598">
      <c r="A598" s="62">
        <f>IF(H598="","",IF(ISNUMBER(N598),N598,I598))</f>
        <v/>
      </c>
      <c r="B598">
        <f>IF(H598="","",U598)</f>
        <v/>
      </c>
      <c r="C598">
        <f>IF(H598="","",IF(P598="",K598,INDEX('Students'!$A$2:$A$701,P598)))</f>
        <v/>
      </c>
      <c r="D598">
        <f>IF(OR(H598="",P598=""),"",INDEX('Students'!$B$2:$B$701,P598))</f>
        <v/>
      </c>
      <c r="E598">
        <f>IF(OR(H598="",P598=""),"",INDEX('Students'!$C$2:$C$701,P598))</f>
        <v/>
      </c>
      <c r="F598" s="48">
        <f>IF(H598="","",IF(ISNUMBER(O598),O598,J598))</f>
        <v/>
      </c>
      <c r="G598">
        <f>IF(H598="","","OneCause")</f>
        <v/>
      </c>
      <c r="H598">
        <f>IF(AND(I598="",J598="",K598=""),"",IF(NOT(ISNUMBER(O598)),"Bad amount",IF(O598&lt;0,"Refund (not counted)",IF(O598=0,"Zero amount",IF(NOT(ISNUMBER(N598)),"Bad date",IF(P598="","NAME NOT ON ROSTER",IF(L598="","OK",IF(MATCH(L598,$L$2:$L$3001,0)&lt;ROW()-1,"Duplicate (ignored)","OK"))))))))</f>
        <v/>
      </c>
      <c r="I598">
        <f>IF(OC_Date=0,"",IF(INDEX('OneCause_Paste'!$A$598:$AZ$598,1,OC_Date)="","",INDEX('OneCause_Paste'!$A$598:$AZ$598,1,OC_Date)))</f>
        <v/>
      </c>
      <c r="J598">
        <f>IF(OC_Amt=0,"",IF(INDEX('OneCause_Paste'!$A$598:$AZ$598,1,OC_Amt)="","",INDEX('OneCause_Paste'!$A$598:$AZ$598,1,OC_Amt)))</f>
        <v/>
      </c>
      <c r="K598">
        <f>IF(OC_Name=0,"",IF(INDEX('OneCause_Paste'!$A$598:$AZ$598,1,OC_Name)="","",INDEX('OneCause_Paste'!$A$598:$AZ$598,1,OC_Name)))</f>
        <v/>
      </c>
      <c r="L598">
        <f>IF(OC_Txn=0,"",IF(INDEX('OneCause_Paste'!$A$598:$AZ$598,1,OC_Txn)="","",INDEX('OneCause_Paste'!$A$598:$AZ$598,1,OC_Txn)))</f>
        <v/>
      </c>
      <c r="M598">
        <f>IF(OC_Pay=0,"",IF(INDEX('OneCause_Paste'!$A$598:$AZ$598,1,OC_Pay)="","",INDEX('OneCause_Paste'!$A$598:$AZ$598,1,OC_Pay)))</f>
        <v/>
      </c>
      <c r="N598">
        <f>IF(I598="","",IF(ISNUMBER(I598),INT(I598),IFERROR(INT(DATEVALUE(I598)),IFERROR(INT(VALUE(I598)),"bad"))))</f>
        <v/>
      </c>
      <c r="O598">
        <f>IF(J598="","",IF(ISNUMBER(J598),ROUND(J598,2),IFERROR(ROUND(VALUE(SUBSTITUTE(SUBSTITUTE(SUBSTITUTE(J598,"$",""),",","")," ","")),2),"bad")))</f>
        <v/>
      </c>
      <c r="P598">
        <f>IF(TRIM(K598)="","",IFERROR(MATCH(LOWER(TRIM(K598)),'Students'!$AH$2:$AH$701,0),IFERROR(MATCH(LOWER(TRIM(K598)),'Students'!$AF$2:$AF$701,0),IFERROR(MATCH(LOWER(TRIM(K598)),'Students'!$AG$2:$AG$701,0),""))))</f>
        <v/>
      </c>
      <c r="R598">
        <f>IF(P598="","",INDEX('Students'!$AD$2:$AD$701,P598))</f>
        <v/>
      </c>
      <c r="S598">
        <f>IF(H598="OK",O598,0)</f>
        <v/>
      </c>
      <c r="T598">
        <f>IF(H598="OK",N598,"")</f>
        <v/>
      </c>
      <c r="U598">
        <f>IF(OC_Donor=0,"",IF(INDEX('OneCause_Paste'!$A$598:$AZ$598,1,OC_Donor)="","",INDEX('OneCause_Paste'!$A$598:$AZ$598,1,OC_Donor)))</f>
        <v/>
      </c>
    </row>
    <row r="599">
      <c r="A599" s="62">
        <f>IF(H599="","",IF(ISNUMBER(N599),N599,I599))</f>
        <v/>
      </c>
      <c r="B599">
        <f>IF(H599="","",U599)</f>
        <v/>
      </c>
      <c r="C599">
        <f>IF(H599="","",IF(P599="",K599,INDEX('Students'!$A$2:$A$701,P599)))</f>
        <v/>
      </c>
      <c r="D599">
        <f>IF(OR(H599="",P599=""),"",INDEX('Students'!$B$2:$B$701,P599))</f>
        <v/>
      </c>
      <c r="E599">
        <f>IF(OR(H599="",P599=""),"",INDEX('Students'!$C$2:$C$701,P599))</f>
        <v/>
      </c>
      <c r="F599" s="48">
        <f>IF(H599="","",IF(ISNUMBER(O599),O599,J599))</f>
        <v/>
      </c>
      <c r="G599">
        <f>IF(H599="","","OneCause")</f>
        <v/>
      </c>
      <c r="H599">
        <f>IF(AND(I599="",J599="",K599=""),"",IF(NOT(ISNUMBER(O599)),"Bad amount",IF(O599&lt;0,"Refund (not counted)",IF(O599=0,"Zero amount",IF(NOT(ISNUMBER(N599)),"Bad date",IF(P599="","NAME NOT ON ROSTER",IF(L599="","OK",IF(MATCH(L599,$L$2:$L$3001,0)&lt;ROW()-1,"Duplicate (ignored)","OK"))))))))</f>
        <v/>
      </c>
      <c r="I599">
        <f>IF(OC_Date=0,"",IF(INDEX('OneCause_Paste'!$A$599:$AZ$599,1,OC_Date)="","",INDEX('OneCause_Paste'!$A$599:$AZ$599,1,OC_Date)))</f>
        <v/>
      </c>
      <c r="J599">
        <f>IF(OC_Amt=0,"",IF(INDEX('OneCause_Paste'!$A$599:$AZ$599,1,OC_Amt)="","",INDEX('OneCause_Paste'!$A$599:$AZ$599,1,OC_Amt)))</f>
        <v/>
      </c>
      <c r="K599">
        <f>IF(OC_Name=0,"",IF(INDEX('OneCause_Paste'!$A$599:$AZ$599,1,OC_Name)="","",INDEX('OneCause_Paste'!$A$599:$AZ$599,1,OC_Name)))</f>
        <v/>
      </c>
      <c r="L599">
        <f>IF(OC_Txn=0,"",IF(INDEX('OneCause_Paste'!$A$599:$AZ$599,1,OC_Txn)="","",INDEX('OneCause_Paste'!$A$599:$AZ$599,1,OC_Txn)))</f>
        <v/>
      </c>
      <c r="M599">
        <f>IF(OC_Pay=0,"",IF(INDEX('OneCause_Paste'!$A$599:$AZ$599,1,OC_Pay)="","",INDEX('OneCause_Paste'!$A$599:$AZ$599,1,OC_Pay)))</f>
        <v/>
      </c>
      <c r="N599">
        <f>IF(I599="","",IF(ISNUMBER(I599),INT(I599),IFERROR(INT(DATEVALUE(I599)),IFERROR(INT(VALUE(I599)),"bad"))))</f>
        <v/>
      </c>
      <c r="O599">
        <f>IF(J599="","",IF(ISNUMBER(J599),ROUND(J599,2),IFERROR(ROUND(VALUE(SUBSTITUTE(SUBSTITUTE(SUBSTITUTE(J599,"$",""),",","")," ","")),2),"bad")))</f>
        <v/>
      </c>
      <c r="P599">
        <f>IF(TRIM(K599)="","",IFERROR(MATCH(LOWER(TRIM(K599)),'Students'!$AH$2:$AH$701,0),IFERROR(MATCH(LOWER(TRIM(K599)),'Students'!$AF$2:$AF$701,0),IFERROR(MATCH(LOWER(TRIM(K599)),'Students'!$AG$2:$AG$701,0),""))))</f>
        <v/>
      </c>
      <c r="R599">
        <f>IF(P599="","",INDEX('Students'!$AD$2:$AD$701,P599))</f>
        <v/>
      </c>
      <c r="S599">
        <f>IF(H599="OK",O599,0)</f>
        <v/>
      </c>
      <c r="T599">
        <f>IF(H599="OK",N599,"")</f>
        <v/>
      </c>
      <c r="U599">
        <f>IF(OC_Donor=0,"",IF(INDEX('OneCause_Paste'!$A$599:$AZ$599,1,OC_Donor)="","",INDEX('OneCause_Paste'!$A$599:$AZ$599,1,OC_Donor)))</f>
        <v/>
      </c>
    </row>
    <row r="600">
      <c r="A600" s="62">
        <f>IF(H600="","",IF(ISNUMBER(N600),N600,I600))</f>
        <v/>
      </c>
      <c r="B600">
        <f>IF(H600="","",U600)</f>
        <v/>
      </c>
      <c r="C600">
        <f>IF(H600="","",IF(P600="",K600,INDEX('Students'!$A$2:$A$701,P600)))</f>
        <v/>
      </c>
      <c r="D600">
        <f>IF(OR(H600="",P600=""),"",INDEX('Students'!$B$2:$B$701,P600))</f>
        <v/>
      </c>
      <c r="E600">
        <f>IF(OR(H600="",P600=""),"",INDEX('Students'!$C$2:$C$701,P600))</f>
        <v/>
      </c>
      <c r="F600" s="48">
        <f>IF(H600="","",IF(ISNUMBER(O600),O600,J600))</f>
        <v/>
      </c>
      <c r="G600">
        <f>IF(H600="","","OneCause")</f>
        <v/>
      </c>
      <c r="H600">
        <f>IF(AND(I600="",J600="",K600=""),"",IF(NOT(ISNUMBER(O600)),"Bad amount",IF(O600&lt;0,"Refund (not counted)",IF(O600=0,"Zero amount",IF(NOT(ISNUMBER(N600)),"Bad date",IF(P600="","NAME NOT ON ROSTER",IF(L600="","OK",IF(MATCH(L600,$L$2:$L$3001,0)&lt;ROW()-1,"Duplicate (ignored)","OK"))))))))</f>
        <v/>
      </c>
      <c r="I600">
        <f>IF(OC_Date=0,"",IF(INDEX('OneCause_Paste'!$A$600:$AZ$600,1,OC_Date)="","",INDEX('OneCause_Paste'!$A$600:$AZ$600,1,OC_Date)))</f>
        <v/>
      </c>
      <c r="J600">
        <f>IF(OC_Amt=0,"",IF(INDEX('OneCause_Paste'!$A$600:$AZ$600,1,OC_Amt)="","",INDEX('OneCause_Paste'!$A$600:$AZ$600,1,OC_Amt)))</f>
        <v/>
      </c>
      <c r="K600">
        <f>IF(OC_Name=0,"",IF(INDEX('OneCause_Paste'!$A$600:$AZ$600,1,OC_Name)="","",INDEX('OneCause_Paste'!$A$600:$AZ$600,1,OC_Name)))</f>
        <v/>
      </c>
      <c r="L600">
        <f>IF(OC_Txn=0,"",IF(INDEX('OneCause_Paste'!$A$600:$AZ$600,1,OC_Txn)="","",INDEX('OneCause_Paste'!$A$600:$AZ$600,1,OC_Txn)))</f>
        <v/>
      </c>
      <c r="M600">
        <f>IF(OC_Pay=0,"",IF(INDEX('OneCause_Paste'!$A$600:$AZ$600,1,OC_Pay)="","",INDEX('OneCause_Paste'!$A$600:$AZ$600,1,OC_Pay)))</f>
        <v/>
      </c>
      <c r="N600">
        <f>IF(I600="","",IF(ISNUMBER(I600),INT(I600),IFERROR(INT(DATEVALUE(I600)),IFERROR(INT(VALUE(I600)),"bad"))))</f>
        <v/>
      </c>
      <c r="O600">
        <f>IF(J600="","",IF(ISNUMBER(J600),ROUND(J600,2),IFERROR(ROUND(VALUE(SUBSTITUTE(SUBSTITUTE(SUBSTITUTE(J600,"$",""),",","")," ","")),2),"bad")))</f>
        <v/>
      </c>
      <c r="P600">
        <f>IF(TRIM(K600)="","",IFERROR(MATCH(LOWER(TRIM(K600)),'Students'!$AH$2:$AH$701,0),IFERROR(MATCH(LOWER(TRIM(K600)),'Students'!$AF$2:$AF$701,0),IFERROR(MATCH(LOWER(TRIM(K600)),'Students'!$AG$2:$AG$701,0),""))))</f>
        <v/>
      </c>
      <c r="R600">
        <f>IF(P600="","",INDEX('Students'!$AD$2:$AD$701,P600))</f>
        <v/>
      </c>
      <c r="S600">
        <f>IF(H600="OK",O600,0)</f>
        <v/>
      </c>
      <c r="T600">
        <f>IF(H600="OK",N600,"")</f>
        <v/>
      </c>
      <c r="U600">
        <f>IF(OC_Donor=0,"",IF(INDEX('OneCause_Paste'!$A$600:$AZ$600,1,OC_Donor)="","",INDEX('OneCause_Paste'!$A$600:$AZ$600,1,OC_Donor)))</f>
        <v/>
      </c>
    </row>
    <row r="601">
      <c r="A601" s="62">
        <f>IF(H601="","",IF(ISNUMBER(N601),N601,I601))</f>
        <v/>
      </c>
      <c r="B601">
        <f>IF(H601="","",U601)</f>
        <v/>
      </c>
      <c r="C601">
        <f>IF(H601="","",IF(P601="",K601,INDEX('Students'!$A$2:$A$701,P601)))</f>
        <v/>
      </c>
      <c r="D601">
        <f>IF(OR(H601="",P601=""),"",INDEX('Students'!$B$2:$B$701,P601))</f>
        <v/>
      </c>
      <c r="E601">
        <f>IF(OR(H601="",P601=""),"",INDEX('Students'!$C$2:$C$701,P601))</f>
        <v/>
      </c>
      <c r="F601" s="48">
        <f>IF(H601="","",IF(ISNUMBER(O601),O601,J601))</f>
        <v/>
      </c>
      <c r="G601">
        <f>IF(H601="","","OneCause")</f>
        <v/>
      </c>
      <c r="H601">
        <f>IF(AND(I601="",J601="",K601=""),"",IF(NOT(ISNUMBER(O601)),"Bad amount",IF(O601&lt;0,"Refund (not counted)",IF(O601=0,"Zero amount",IF(NOT(ISNUMBER(N601)),"Bad date",IF(P601="","NAME NOT ON ROSTER",IF(L601="","OK",IF(MATCH(L601,$L$2:$L$3001,0)&lt;ROW()-1,"Duplicate (ignored)","OK"))))))))</f>
        <v/>
      </c>
      <c r="I601">
        <f>IF(OC_Date=0,"",IF(INDEX('OneCause_Paste'!$A$601:$AZ$601,1,OC_Date)="","",INDEX('OneCause_Paste'!$A$601:$AZ$601,1,OC_Date)))</f>
        <v/>
      </c>
      <c r="J601">
        <f>IF(OC_Amt=0,"",IF(INDEX('OneCause_Paste'!$A$601:$AZ$601,1,OC_Amt)="","",INDEX('OneCause_Paste'!$A$601:$AZ$601,1,OC_Amt)))</f>
        <v/>
      </c>
      <c r="K601">
        <f>IF(OC_Name=0,"",IF(INDEX('OneCause_Paste'!$A$601:$AZ$601,1,OC_Name)="","",INDEX('OneCause_Paste'!$A$601:$AZ$601,1,OC_Name)))</f>
        <v/>
      </c>
      <c r="L601">
        <f>IF(OC_Txn=0,"",IF(INDEX('OneCause_Paste'!$A$601:$AZ$601,1,OC_Txn)="","",INDEX('OneCause_Paste'!$A$601:$AZ$601,1,OC_Txn)))</f>
        <v/>
      </c>
      <c r="M601">
        <f>IF(OC_Pay=0,"",IF(INDEX('OneCause_Paste'!$A$601:$AZ$601,1,OC_Pay)="","",INDEX('OneCause_Paste'!$A$601:$AZ$601,1,OC_Pay)))</f>
        <v/>
      </c>
      <c r="N601">
        <f>IF(I601="","",IF(ISNUMBER(I601),INT(I601),IFERROR(INT(DATEVALUE(I601)),IFERROR(INT(VALUE(I601)),"bad"))))</f>
        <v/>
      </c>
      <c r="O601">
        <f>IF(J601="","",IF(ISNUMBER(J601),ROUND(J601,2),IFERROR(ROUND(VALUE(SUBSTITUTE(SUBSTITUTE(SUBSTITUTE(J601,"$",""),",","")," ","")),2),"bad")))</f>
        <v/>
      </c>
      <c r="P601">
        <f>IF(TRIM(K601)="","",IFERROR(MATCH(LOWER(TRIM(K601)),'Students'!$AH$2:$AH$701,0),IFERROR(MATCH(LOWER(TRIM(K601)),'Students'!$AF$2:$AF$701,0),IFERROR(MATCH(LOWER(TRIM(K601)),'Students'!$AG$2:$AG$701,0),""))))</f>
        <v/>
      </c>
      <c r="R601">
        <f>IF(P601="","",INDEX('Students'!$AD$2:$AD$701,P601))</f>
        <v/>
      </c>
      <c r="S601">
        <f>IF(H601="OK",O601,0)</f>
        <v/>
      </c>
      <c r="T601">
        <f>IF(H601="OK",N601,"")</f>
        <v/>
      </c>
      <c r="U601">
        <f>IF(OC_Donor=0,"",IF(INDEX('OneCause_Paste'!$A$601:$AZ$601,1,OC_Donor)="","",INDEX('OneCause_Paste'!$A$601:$AZ$601,1,OC_Donor)))</f>
        <v/>
      </c>
    </row>
    <row r="602">
      <c r="A602" s="62">
        <f>IF(H602="","",IF(ISNUMBER(N602),N602,I602))</f>
        <v/>
      </c>
      <c r="B602">
        <f>IF(H602="","",U602)</f>
        <v/>
      </c>
      <c r="C602">
        <f>IF(H602="","",IF(P602="",K602,INDEX('Students'!$A$2:$A$701,P602)))</f>
        <v/>
      </c>
      <c r="D602">
        <f>IF(OR(H602="",P602=""),"",INDEX('Students'!$B$2:$B$701,P602))</f>
        <v/>
      </c>
      <c r="E602">
        <f>IF(OR(H602="",P602=""),"",INDEX('Students'!$C$2:$C$701,P602))</f>
        <v/>
      </c>
      <c r="F602" s="48">
        <f>IF(H602="","",IF(ISNUMBER(O602),O602,J602))</f>
        <v/>
      </c>
      <c r="G602">
        <f>IF(H602="","","OneCause")</f>
        <v/>
      </c>
      <c r="H602">
        <f>IF(AND(I602="",J602="",K602=""),"",IF(NOT(ISNUMBER(O602)),"Bad amount",IF(O602&lt;0,"Refund (not counted)",IF(O602=0,"Zero amount",IF(NOT(ISNUMBER(N602)),"Bad date",IF(P602="","NAME NOT ON ROSTER",IF(L602="","OK",IF(MATCH(L602,$L$2:$L$3001,0)&lt;ROW()-1,"Duplicate (ignored)","OK"))))))))</f>
        <v/>
      </c>
      <c r="I602">
        <f>IF(OC_Date=0,"",IF(INDEX('OneCause_Paste'!$A$602:$AZ$602,1,OC_Date)="","",INDEX('OneCause_Paste'!$A$602:$AZ$602,1,OC_Date)))</f>
        <v/>
      </c>
      <c r="J602">
        <f>IF(OC_Amt=0,"",IF(INDEX('OneCause_Paste'!$A$602:$AZ$602,1,OC_Amt)="","",INDEX('OneCause_Paste'!$A$602:$AZ$602,1,OC_Amt)))</f>
        <v/>
      </c>
      <c r="K602">
        <f>IF(OC_Name=0,"",IF(INDEX('OneCause_Paste'!$A$602:$AZ$602,1,OC_Name)="","",INDEX('OneCause_Paste'!$A$602:$AZ$602,1,OC_Name)))</f>
        <v/>
      </c>
      <c r="L602">
        <f>IF(OC_Txn=0,"",IF(INDEX('OneCause_Paste'!$A$602:$AZ$602,1,OC_Txn)="","",INDEX('OneCause_Paste'!$A$602:$AZ$602,1,OC_Txn)))</f>
        <v/>
      </c>
      <c r="M602">
        <f>IF(OC_Pay=0,"",IF(INDEX('OneCause_Paste'!$A$602:$AZ$602,1,OC_Pay)="","",INDEX('OneCause_Paste'!$A$602:$AZ$602,1,OC_Pay)))</f>
        <v/>
      </c>
      <c r="N602">
        <f>IF(I602="","",IF(ISNUMBER(I602),INT(I602),IFERROR(INT(DATEVALUE(I602)),IFERROR(INT(VALUE(I602)),"bad"))))</f>
        <v/>
      </c>
      <c r="O602">
        <f>IF(J602="","",IF(ISNUMBER(J602),ROUND(J602,2),IFERROR(ROUND(VALUE(SUBSTITUTE(SUBSTITUTE(SUBSTITUTE(J602,"$",""),",","")," ","")),2),"bad")))</f>
        <v/>
      </c>
      <c r="P602">
        <f>IF(TRIM(K602)="","",IFERROR(MATCH(LOWER(TRIM(K602)),'Students'!$AH$2:$AH$701,0),IFERROR(MATCH(LOWER(TRIM(K602)),'Students'!$AF$2:$AF$701,0),IFERROR(MATCH(LOWER(TRIM(K602)),'Students'!$AG$2:$AG$701,0),""))))</f>
        <v/>
      </c>
      <c r="R602">
        <f>IF(P602="","",INDEX('Students'!$AD$2:$AD$701,P602))</f>
        <v/>
      </c>
      <c r="S602">
        <f>IF(H602="OK",O602,0)</f>
        <v/>
      </c>
      <c r="T602">
        <f>IF(H602="OK",N602,"")</f>
        <v/>
      </c>
      <c r="U602">
        <f>IF(OC_Donor=0,"",IF(INDEX('OneCause_Paste'!$A$602:$AZ$602,1,OC_Donor)="","",INDEX('OneCause_Paste'!$A$602:$AZ$602,1,OC_Donor)))</f>
        <v/>
      </c>
    </row>
    <row r="603">
      <c r="A603" s="62">
        <f>IF(H603="","",IF(ISNUMBER(N603),N603,I603))</f>
        <v/>
      </c>
      <c r="B603">
        <f>IF(H603="","",U603)</f>
        <v/>
      </c>
      <c r="C603">
        <f>IF(H603="","",IF(P603="",K603,INDEX('Students'!$A$2:$A$701,P603)))</f>
        <v/>
      </c>
      <c r="D603">
        <f>IF(OR(H603="",P603=""),"",INDEX('Students'!$B$2:$B$701,P603))</f>
        <v/>
      </c>
      <c r="E603">
        <f>IF(OR(H603="",P603=""),"",INDEX('Students'!$C$2:$C$701,P603))</f>
        <v/>
      </c>
      <c r="F603" s="48">
        <f>IF(H603="","",IF(ISNUMBER(O603),O603,J603))</f>
        <v/>
      </c>
      <c r="G603">
        <f>IF(H603="","","OneCause")</f>
        <v/>
      </c>
      <c r="H603">
        <f>IF(AND(I603="",J603="",K603=""),"",IF(NOT(ISNUMBER(O603)),"Bad amount",IF(O603&lt;0,"Refund (not counted)",IF(O603=0,"Zero amount",IF(NOT(ISNUMBER(N603)),"Bad date",IF(P603="","NAME NOT ON ROSTER",IF(L603="","OK",IF(MATCH(L603,$L$2:$L$3001,0)&lt;ROW()-1,"Duplicate (ignored)","OK"))))))))</f>
        <v/>
      </c>
      <c r="I603">
        <f>IF(OC_Date=0,"",IF(INDEX('OneCause_Paste'!$A$603:$AZ$603,1,OC_Date)="","",INDEX('OneCause_Paste'!$A$603:$AZ$603,1,OC_Date)))</f>
        <v/>
      </c>
      <c r="J603">
        <f>IF(OC_Amt=0,"",IF(INDEX('OneCause_Paste'!$A$603:$AZ$603,1,OC_Amt)="","",INDEX('OneCause_Paste'!$A$603:$AZ$603,1,OC_Amt)))</f>
        <v/>
      </c>
      <c r="K603">
        <f>IF(OC_Name=0,"",IF(INDEX('OneCause_Paste'!$A$603:$AZ$603,1,OC_Name)="","",INDEX('OneCause_Paste'!$A$603:$AZ$603,1,OC_Name)))</f>
        <v/>
      </c>
      <c r="L603">
        <f>IF(OC_Txn=0,"",IF(INDEX('OneCause_Paste'!$A$603:$AZ$603,1,OC_Txn)="","",INDEX('OneCause_Paste'!$A$603:$AZ$603,1,OC_Txn)))</f>
        <v/>
      </c>
      <c r="M603">
        <f>IF(OC_Pay=0,"",IF(INDEX('OneCause_Paste'!$A$603:$AZ$603,1,OC_Pay)="","",INDEX('OneCause_Paste'!$A$603:$AZ$603,1,OC_Pay)))</f>
        <v/>
      </c>
      <c r="N603">
        <f>IF(I603="","",IF(ISNUMBER(I603),INT(I603),IFERROR(INT(DATEVALUE(I603)),IFERROR(INT(VALUE(I603)),"bad"))))</f>
        <v/>
      </c>
      <c r="O603">
        <f>IF(J603="","",IF(ISNUMBER(J603),ROUND(J603,2),IFERROR(ROUND(VALUE(SUBSTITUTE(SUBSTITUTE(SUBSTITUTE(J603,"$",""),",","")," ","")),2),"bad")))</f>
        <v/>
      </c>
      <c r="P603">
        <f>IF(TRIM(K603)="","",IFERROR(MATCH(LOWER(TRIM(K603)),'Students'!$AH$2:$AH$701,0),IFERROR(MATCH(LOWER(TRIM(K603)),'Students'!$AF$2:$AF$701,0),IFERROR(MATCH(LOWER(TRIM(K603)),'Students'!$AG$2:$AG$701,0),""))))</f>
        <v/>
      </c>
      <c r="R603">
        <f>IF(P603="","",INDEX('Students'!$AD$2:$AD$701,P603))</f>
        <v/>
      </c>
      <c r="S603">
        <f>IF(H603="OK",O603,0)</f>
        <v/>
      </c>
      <c r="T603">
        <f>IF(H603="OK",N603,"")</f>
        <v/>
      </c>
      <c r="U603">
        <f>IF(OC_Donor=0,"",IF(INDEX('OneCause_Paste'!$A$603:$AZ$603,1,OC_Donor)="","",INDEX('OneCause_Paste'!$A$603:$AZ$603,1,OC_Donor)))</f>
        <v/>
      </c>
    </row>
    <row r="604">
      <c r="A604" s="62">
        <f>IF(H604="","",IF(ISNUMBER(N604),N604,I604))</f>
        <v/>
      </c>
      <c r="B604">
        <f>IF(H604="","",U604)</f>
        <v/>
      </c>
      <c r="C604">
        <f>IF(H604="","",IF(P604="",K604,INDEX('Students'!$A$2:$A$701,P604)))</f>
        <v/>
      </c>
      <c r="D604">
        <f>IF(OR(H604="",P604=""),"",INDEX('Students'!$B$2:$B$701,P604))</f>
        <v/>
      </c>
      <c r="E604">
        <f>IF(OR(H604="",P604=""),"",INDEX('Students'!$C$2:$C$701,P604))</f>
        <v/>
      </c>
      <c r="F604" s="48">
        <f>IF(H604="","",IF(ISNUMBER(O604),O604,J604))</f>
        <v/>
      </c>
      <c r="G604">
        <f>IF(H604="","","OneCause")</f>
        <v/>
      </c>
      <c r="H604">
        <f>IF(AND(I604="",J604="",K604=""),"",IF(NOT(ISNUMBER(O604)),"Bad amount",IF(O604&lt;0,"Refund (not counted)",IF(O604=0,"Zero amount",IF(NOT(ISNUMBER(N604)),"Bad date",IF(P604="","NAME NOT ON ROSTER",IF(L604="","OK",IF(MATCH(L604,$L$2:$L$3001,0)&lt;ROW()-1,"Duplicate (ignored)","OK"))))))))</f>
        <v/>
      </c>
      <c r="I604">
        <f>IF(OC_Date=0,"",IF(INDEX('OneCause_Paste'!$A$604:$AZ$604,1,OC_Date)="","",INDEX('OneCause_Paste'!$A$604:$AZ$604,1,OC_Date)))</f>
        <v/>
      </c>
      <c r="J604">
        <f>IF(OC_Amt=0,"",IF(INDEX('OneCause_Paste'!$A$604:$AZ$604,1,OC_Amt)="","",INDEX('OneCause_Paste'!$A$604:$AZ$604,1,OC_Amt)))</f>
        <v/>
      </c>
      <c r="K604">
        <f>IF(OC_Name=0,"",IF(INDEX('OneCause_Paste'!$A$604:$AZ$604,1,OC_Name)="","",INDEX('OneCause_Paste'!$A$604:$AZ$604,1,OC_Name)))</f>
        <v/>
      </c>
      <c r="L604">
        <f>IF(OC_Txn=0,"",IF(INDEX('OneCause_Paste'!$A$604:$AZ$604,1,OC_Txn)="","",INDEX('OneCause_Paste'!$A$604:$AZ$604,1,OC_Txn)))</f>
        <v/>
      </c>
      <c r="M604">
        <f>IF(OC_Pay=0,"",IF(INDEX('OneCause_Paste'!$A$604:$AZ$604,1,OC_Pay)="","",INDEX('OneCause_Paste'!$A$604:$AZ$604,1,OC_Pay)))</f>
        <v/>
      </c>
      <c r="N604">
        <f>IF(I604="","",IF(ISNUMBER(I604),INT(I604),IFERROR(INT(DATEVALUE(I604)),IFERROR(INT(VALUE(I604)),"bad"))))</f>
        <v/>
      </c>
      <c r="O604">
        <f>IF(J604="","",IF(ISNUMBER(J604),ROUND(J604,2),IFERROR(ROUND(VALUE(SUBSTITUTE(SUBSTITUTE(SUBSTITUTE(J604,"$",""),",","")," ","")),2),"bad")))</f>
        <v/>
      </c>
      <c r="P604">
        <f>IF(TRIM(K604)="","",IFERROR(MATCH(LOWER(TRIM(K604)),'Students'!$AH$2:$AH$701,0),IFERROR(MATCH(LOWER(TRIM(K604)),'Students'!$AF$2:$AF$701,0),IFERROR(MATCH(LOWER(TRIM(K604)),'Students'!$AG$2:$AG$701,0),""))))</f>
        <v/>
      </c>
      <c r="R604">
        <f>IF(P604="","",INDEX('Students'!$AD$2:$AD$701,P604))</f>
        <v/>
      </c>
      <c r="S604">
        <f>IF(H604="OK",O604,0)</f>
        <v/>
      </c>
      <c r="T604">
        <f>IF(H604="OK",N604,"")</f>
        <v/>
      </c>
      <c r="U604">
        <f>IF(OC_Donor=0,"",IF(INDEX('OneCause_Paste'!$A$604:$AZ$604,1,OC_Donor)="","",INDEX('OneCause_Paste'!$A$604:$AZ$604,1,OC_Donor)))</f>
        <v/>
      </c>
    </row>
    <row r="605">
      <c r="A605" s="62">
        <f>IF(H605="","",IF(ISNUMBER(N605),N605,I605))</f>
        <v/>
      </c>
      <c r="B605">
        <f>IF(H605="","",U605)</f>
        <v/>
      </c>
      <c r="C605">
        <f>IF(H605="","",IF(P605="",K605,INDEX('Students'!$A$2:$A$701,P605)))</f>
        <v/>
      </c>
      <c r="D605">
        <f>IF(OR(H605="",P605=""),"",INDEX('Students'!$B$2:$B$701,P605))</f>
        <v/>
      </c>
      <c r="E605">
        <f>IF(OR(H605="",P605=""),"",INDEX('Students'!$C$2:$C$701,P605))</f>
        <v/>
      </c>
      <c r="F605" s="48">
        <f>IF(H605="","",IF(ISNUMBER(O605),O605,J605))</f>
        <v/>
      </c>
      <c r="G605">
        <f>IF(H605="","","OneCause")</f>
        <v/>
      </c>
      <c r="H605">
        <f>IF(AND(I605="",J605="",K605=""),"",IF(NOT(ISNUMBER(O605)),"Bad amount",IF(O605&lt;0,"Refund (not counted)",IF(O605=0,"Zero amount",IF(NOT(ISNUMBER(N605)),"Bad date",IF(P605="","NAME NOT ON ROSTER",IF(L605="","OK",IF(MATCH(L605,$L$2:$L$3001,0)&lt;ROW()-1,"Duplicate (ignored)","OK"))))))))</f>
        <v/>
      </c>
      <c r="I605">
        <f>IF(OC_Date=0,"",IF(INDEX('OneCause_Paste'!$A$605:$AZ$605,1,OC_Date)="","",INDEX('OneCause_Paste'!$A$605:$AZ$605,1,OC_Date)))</f>
        <v/>
      </c>
      <c r="J605">
        <f>IF(OC_Amt=0,"",IF(INDEX('OneCause_Paste'!$A$605:$AZ$605,1,OC_Amt)="","",INDEX('OneCause_Paste'!$A$605:$AZ$605,1,OC_Amt)))</f>
        <v/>
      </c>
      <c r="K605">
        <f>IF(OC_Name=0,"",IF(INDEX('OneCause_Paste'!$A$605:$AZ$605,1,OC_Name)="","",INDEX('OneCause_Paste'!$A$605:$AZ$605,1,OC_Name)))</f>
        <v/>
      </c>
      <c r="L605">
        <f>IF(OC_Txn=0,"",IF(INDEX('OneCause_Paste'!$A$605:$AZ$605,1,OC_Txn)="","",INDEX('OneCause_Paste'!$A$605:$AZ$605,1,OC_Txn)))</f>
        <v/>
      </c>
      <c r="M605">
        <f>IF(OC_Pay=0,"",IF(INDEX('OneCause_Paste'!$A$605:$AZ$605,1,OC_Pay)="","",INDEX('OneCause_Paste'!$A$605:$AZ$605,1,OC_Pay)))</f>
        <v/>
      </c>
      <c r="N605">
        <f>IF(I605="","",IF(ISNUMBER(I605),INT(I605),IFERROR(INT(DATEVALUE(I605)),IFERROR(INT(VALUE(I605)),"bad"))))</f>
        <v/>
      </c>
      <c r="O605">
        <f>IF(J605="","",IF(ISNUMBER(J605),ROUND(J605,2),IFERROR(ROUND(VALUE(SUBSTITUTE(SUBSTITUTE(SUBSTITUTE(J605,"$",""),",","")," ","")),2),"bad")))</f>
        <v/>
      </c>
      <c r="P605">
        <f>IF(TRIM(K605)="","",IFERROR(MATCH(LOWER(TRIM(K605)),'Students'!$AH$2:$AH$701,0),IFERROR(MATCH(LOWER(TRIM(K605)),'Students'!$AF$2:$AF$701,0),IFERROR(MATCH(LOWER(TRIM(K605)),'Students'!$AG$2:$AG$701,0),""))))</f>
        <v/>
      </c>
      <c r="R605">
        <f>IF(P605="","",INDEX('Students'!$AD$2:$AD$701,P605))</f>
        <v/>
      </c>
      <c r="S605">
        <f>IF(H605="OK",O605,0)</f>
        <v/>
      </c>
      <c r="T605">
        <f>IF(H605="OK",N605,"")</f>
        <v/>
      </c>
      <c r="U605">
        <f>IF(OC_Donor=0,"",IF(INDEX('OneCause_Paste'!$A$605:$AZ$605,1,OC_Donor)="","",INDEX('OneCause_Paste'!$A$605:$AZ$605,1,OC_Donor)))</f>
        <v/>
      </c>
    </row>
    <row r="606">
      <c r="A606" s="62">
        <f>IF(H606="","",IF(ISNUMBER(N606),N606,I606))</f>
        <v/>
      </c>
      <c r="B606">
        <f>IF(H606="","",U606)</f>
        <v/>
      </c>
      <c r="C606">
        <f>IF(H606="","",IF(P606="",K606,INDEX('Students'!$A$2:$A$701,P606)))</f>
        <v/>
      </c>
      <c r="D606">
        <f>IF(OR(H606="",P606=""),"",INDEX('Students'!$B$2:$B$701,P606))</f>
        <v/>
      </c>
      <c r="E606">
        <f>IF(OR(H606="",P606=""),"",INDEX('Students'!$C$2:$C$701,P606))</f>
        <v/>
      </c>
      <c r="F606" s="48">
        <f>IF(H606="","",IF(ISNUMBER(O606),O606,J606))</f>
        <v/>
      </c>
      <c r="G606">
        <f>IF(H606="","","OneCause")</f>
        <v/>
      </c>
      <c r="H606">
        <f>IF(AND(I606="",J606="",K606=""),"",IF(NOT(ISNUMBER(O606)),"Bad amount",IF(O606&lt;0,"Refund (not counted)",IF(O606=0,"Zero amount",IF(NOT(ISNUMBER(N606)),"Bad date",IF(P606="","NAME NOT ON ROSTER",IF(L606="","OK",IF(MATCH(L606,$L$2:$L$3001,0)&lt;ROW()-1,"Duplicate (ignored)","OK"))))))))</f>
        <v/>
      </c>
      <c r="I606">
        <f>IF(OC_Date=0,"",IF(INDEX('OneCause_Paste'!$A$606:$AZ$606,1,OC_Date)="","",INDEX('OneCause_Paste'!$A$606:$AZ$606,1,OC_Date)))</f>
        <v/>
      </c>
      <c r="J606">
        <f>IF(OC_Amt=0,"",IF(INDEX('OneCause_Paste'!$A$606:$AZ$606,1,OC_Amt)="","",INDEX('OneCause_Paste'!$A$606:$AZ$606,1,OC_Amt)))</f>
        <v/>
      </c>
      <c r="K606">
        <f>IF(OC_Name=0,"",IF(INDEX('OneCause_Paste'!$A$606:$AZ$606,1,OC_Name)="","",INDEX('OneCause_Paste'!$A$606:$AZ$606,1,OC_Name)))</f>
        <v/>
      </c>
      <c r="L606">
        <f>IF(OC_Txn=0,"",IF(INDEX('OneCause_Paste'!$A$606:$AZ$606,1,OC_Txn)="","",INDEX('OneCause_Paste'!$A$606:$AZ$606,1,OC_Txn)))</f>
        <v/>
      </c>
      <c r="M606">
        <f>IF(OC_Pay=0,"",IF(INDEX('OneCause_Paste'!$A$606:$AZ$606,1,OC_Pay)="","",INDEX('OneCause_Paste'!$A$606:$AZ$606,1,OC_Pay)))</f>
        <v/>
      </c>
      <c r="N606">
        <f>IF(I606="","",IF(ISNUMBER(I606),INT(I606),IFERROR(INT(DATEVALUE(I606)),IFERROR(INT(VALUE(I606)),"bad"))))</f>
        <v/>
      </c>
      <c r="O606">
        <f>IF(J606="","",IF(ISNUMBER(J606),ROUND(J606,2),IFERROR(ROUND(VALUE(SUBSTITUTE(SUBSTITUTE(SUBSTITUTE(J606,"$",""),",","")," ","")),2),"bad")))</f>
        <v/>
      </c>
      <c r="P606">
        <f>IF(TRIM(K606)="","",IFERROR(MATCH(LOWER(TRIM(K606)),'Students'!$AH$2:$AH$701,0),IFERROR(MATCH(LOWER(TRIM(K606)),'Students'!$AF$2:$AF$701,0),IFERROR(MATCH(LOWER(TRIM(K606)),'Students'!$AG$2:$AG$701,0),""))))</f>
        <v/>
      </c>
      <c r="R606">
        <f>IF(P606="","",INDEX('Students'!$AD$2:$AD$701,P606))</f>
        <v/>
      </c>
      <c r="S606">
        <f>IF(H606="OK",O606,0)</f>
        <v/>
      </c>
      <c r="T606">
        <f>IF(H606="OK",N606,"")</f>
        <v/>
      </c>
      <c r="U606">
        <f>IF(OC_Donor=0,"",IF(INDEX('OneCause_Paste'!$A$606:$AZ$606,1,OC_Donor)="","",INDEX('OneCause_Paste'!$A$606:$AZ$606,1,OC_Donor)))</f>
        <v/>
      </c>
    </row>
    <row r="607">
      <c r="A607" s="62">
        <f>IF(H607="","",IF(ISNUMBER(N607),N607,I607))</f>
        <v/>
      </c>
      <c r="B607">
        <f>IF(H607="","",U607)</f>
        <v/>
      </c>
      <c r="C607">
        <f>IF(H607="","",IF(P607="",K607,INDEX('Students'!$A$2:$A$701,P607)))</f>
        <v/>
      </c>
      <c r="D607">
        <f>IF(OR(H607="",P607=""),"",INDEX('Students'!$B$2:$B$701,P607))</f>
        <v/>
      </c>
      <c r="E607">
        <f>IF(OR(H607="",P607=""),"",INDEX('Students'!$C$2:$C$701,P607))</f>
        <v/>
      </c>
      <c r="F607" s="48">
        <f>IF(H607="","",IF(ISNUMBER(O607),O607,J607))</f>
        <v/>
      </c>
      <c r="G607">
        <f>IF(H607="","","OneCause")</f>
        <v/>
      </c>
      <c r="H607">
        <f>IF(AND(I607="",J607="",K607=""),"",IF(NOT(ISNUMBER(O607)),"Bad amount",IF(O607&lt;0,"Refund (not counted)",IF(O607=0,"Zero amount",IF(NOT(ISNUMBER(N607)),"Bad date",IF(P607="","NAME NOT ON ROSTER",IF(L607="","OK",IF(MATCH(L607,$L$2:$L$3001,0)&lt;ROW()-1,"Duplicate (ignored)","OK"))))))))</f>
        <v/>
      </c>
      <c r="I607">
        <f>IF(OC_Date=0,"",IF(INDEX('OneCause_Paste'!$A$607:$AZ$607,1,OC_Date)="","",INDEX('OneCause_Paste'!$A$607:$AZ$607,1,OC_Date)))</f>
        <v/>
      </c>
      <c r="J607">
        <f>IF(OC_Amt=0,"",IF(INDEX('OneCause_Paste'!$A$607:$AZ$607,1,OC_Amt)="","",INDEX('OneCause_Paste'!$A$607:$AZ$607,1,OC_Amt)))</f>
        <v/>
      </c>
      <c r="K607">
        <f>IF(OC_Name=0,"",IF(INDEX('OneCause_Paste'!$A$607:$AZ$607,1,OC_Name)="","",INDEX('OneCause_Paste'!$A$607:$AZ$607,1,OC_Name)))</f>
        <v/>
      </c>
      <c r="L607">
        <f>IF(OC_Txn=0,"",IF(INDEX('OneCause_Paste'!$A$607:$AZ$607,1,OC_Txn)="","",INDEX('OneCause_Paste'!$A$607:$AZ$607,1,OC_Txn)))</f>
        <v/>
      </c>
      <c r="M607">
        <f>IF(OC_Pay=0,"",IF(INDEX('OneCause_Paste'!$A$607:$AZ$607,1,OC_Pay)="","",INDEX('OneCause_Paste'!$A$607:$AZ$607,1,OC_Pay)))</f>
        <v/>
      </c>
      <c r="N607">
        <f>IF(I607="","",IF(ISNUMBER(I607),INT(I607),IFERROR(INT(DATEVALUE(I607)),IFERROR(INT(VALUE(I607)),"bad"))))</f>
        <v/>
      </c>
      <c r="O607">
        <f>IF(J607="","",IF(ISNUMBER(J607),ROUND(J607,2),IFERROR(ROUND(VALUE(SUBSTITUTE(SUBSTITUTE(SUBSTITUTE(J607,"$",""),",","")," ","")),2),"bad")))</f>
        <v/>
      </c>
      <c r="P607">
        <f>IF(TRIM(K607)="","",IFERROR(MATCH(LOWER(TRIM(K607)),'Students'!$AH$2:$AH$701,0),IFERROR(MATCH(LOWER(TRIM(K607)),'Students'!$AF$2:$AF$701,0),IFERROR(MATCH(LOWER(TRIM(K607)),'Students'!$AG$2:$AG$701,0),""))))</f>
        <v/>
      </c>
      <c r="R607">
        <f>IF(P607="","",INDEX('Students'!$AD$2:$AD$701,P607))</f>
        <v/>
      </c>
      <c r="S607">
        <f>IF(H607="OK",O607,0)</f>
        <v/>
      </c>
      <c r="T607">
        <f>IF(H607="OK",N607,"")</f>
        <v/>
      </c>
      <c r="U607">
        <f>IF(OC_Donor=0,"",IF(INDEX('OneCause_Paste'!$A$607:$AZ$607,1,OC_Donor)="","",INDEX('OneCause_Paste'!$A$607:$AZ$607,1,OC_Donor)))</f>
        <v/>
      </c>
    </row>
    <row r="608">
      <c r="A608" s="62">
        <f>IF(H608="","",IF(ISNUMBER(N608),N608,I608))</f>
        <v/>
      </c>
      <c r="B608">
        <f>IF(H608="","",U608)</f>
        <v/>
      </c>
      <c r="C608">
        <f>IF(H608="","",IF(P608="",K608,INDEX('Students'!$A$2:$A$701,P608)))</f>
        <v/>
      </c>
      <c r="D608">
        <f>IF(OR(H608="",P608=""),"",INDEX('Students'!$B$2:$B$701,P608))</f>
        <v/>
      </c>
      <c r="E608">
        <f>IF(OR(H608="",P608=""),"",INDEX('Students'!$C$2:$C$701,P608))</f>
        <v/>
      </c>
      <c r="F608" s="48">
        <f>IF(H608="","",IF(ISNUMBER(O608),O608,J608))</f>
        <v/>
      </c>
      <c r="G608">
        <f>IF(H608="","","OneCause")</f>
        <v/>
      </c>
      <c r="H608">
        <f>IF(AND(I608="",J608="",K608=""),"",IF(NOT(ISNUMBER(O608)),"Bad amount",IF(O608&lt;0,"Refund (not counted)",IF(O608=0,"Zero amount",IF(NOT(ISNUMBER(N608)),"Bad date",IF(P608="","NAME NOT ON ROSTER",IF(L608="","OK",IF(MATCH(L608,$L$2:$L$3001,0)&lt;ROW()-1,"Duplicate (ignored)","OK"))))))))</f>
        <v/>
      </c>
      <c r="I608">
        <f>IF(OC_Date=0,"",IF(INDEX('OneCause_Paste'!$A$608:$AZ$608,1,OC_Date)="","",INDEX('OneCause_Paste'!$A$608:$AZ$608,1,OC_Date)))</f>
        <v/>
      </c>
      <c r="J608">
        <f>IF(OC_Amt=0,"",IF(INDEX('OneCause_Paste'!$A$608:$AZ$608,1,OC_Amt)="","",INDEX('OneCause_Paste'!$A$608:$AZ$608,1,OC_Amt)))</f>
        <v/>
      </c>
      <c r="K608">
        <f>IF(OC_Name=0,"",IF(INDEX('OneCause_Paste'!$A$608:$AZ$608,1,OC_Name)="","",INDEX('OneCause_Paste'!$A$608:$AZ$608,1,OC_Name)))</f>
        <v/>
      </c>
      <c r="L608">
        <f>IF(OC_Txn=0,"",IF(INDEX('OneCause_Paste'!$A$608:$AZ$608,1,OC_Txn)="","",INDEX('OneCause_Paste'!$A$608:$AZ$608,1,OC_Txn)))</f>
        <v/>
      </c>
      <c r="M608">
        <f>IF(OC_Pay=0,"",IF(INDEX('OneCause_Paste'!$A$608:$AZ$608,1,OC_Pay)="","",INDEX('OneCause_Paste'!$A$608:$AZ$608,1,OC_Pay)))</f>
        <v/>
      </c>
      <c r="N608">
        <f>IF(I608="","",IF(ISNUMBER(I608),INT(I608),IFERROR(INT(DATEVALUE(I608)),IFERROR(INT(VALUE(I608)),"bad"))))</f>
        <v/>
      </c>
      <c r="O608">
        <f>IF(J608="","",IF(ISNUMBER(J608),ROUND(J608,2),IFERROR(ROUND(VALUE(SUBSTITUTE(SUBSTITUTE(SUBSTITUTE(J608,"$",""),",","")," ","")),2),"bad")))</f>
        <v/>
      </c>
      <c r="P608">
        <f>IF(TRIM(K608)="","",IFERROR(MATCH(LOWER(TRIM(K608)),'Students'!$AH$2:$AH$701,0),IFERROR(MATCH(LOWER(TRIM(K608)),'Students'!$AF$2:$AF$701,0),IFERROR(MATCH(LOWER(TRIM(K608)),'Students'!$AG$2:$AG$701,0),""))))</f>
        <v/>
      </c>
      <c r="R608">
        <f>IF(P608="","",INDEX('Students'!$AD$2:$AD$701,P608))</f>
        <v/>
      </c>
      <c r="S608">
        <f>IF(H608="OK",O608,0)</f>
        <v/>
      </c>
      <c r="T608">
        <f>IF(H608="OK",N608,"")</f>
        <v/>
      </c>
      <c r="U608">
        <f>IF(OC_Donor=0,"",IF(INDEX('OneCause_Paste'!$A$608:$AZ$608,1,OC_Donor)="","",INDEX('OneCause_Paste'!$A$608:$AZ$608,1,OC_Donor)))</f>
        <v/>
      </c>
    </row>
    <row r="609">
      <c r="A609" s="62">
        <f>IF(H609="","",IF(ISNUMBER(N609),N609,I609))</f>
        <v/>
      </c>
      <c r="B609">
        <f>IF(H609="","",U609)</f>
        <v/>
      </c>
      <c r="C609">
        <f>IF(H609="","",IF(P609="",K609,INDEX('Students'!$A$2:$A$701,P609)))</f>
        <v/>
      </c>
      <c r="D609">
        <f>IF(OR(H609="",P609=""),"",INDEX('Students'!$B$2:$B$701,P609))</f>
        <v/>
      </c>
      <c r="E609">
        <f>IF(OR(H609="",P609=""),"",INDEX('Students'!$C$2:$C$701,P609))</f>
        <v/>
      </c>
      <c r="F609" s="48">
        <f>IF(H609="","",IF(ISNUMBER(O609),O609,J609))</f>
        <v/>
      </c>
      <c r="G609">
        <f>IF(H609="","","OneCause")</f>
        <v/>
      </c>
      <c r="H609">
        <f>IF(AND(I609="",J609="",K609=""),"",IF(NOT(ISNUMBER(O609)),"Bad amount",IF(O609&lt;0,"Refund (not counted)",IF(O609=0,"Zero amount",IF(NOT(ISNUMBER(N609)),"Bad date",IF(P609="","NAME NOT ON ROSTER",IF(L609="","OK",IF(MATCH(L609,$L$2:$L$3001,0)&lt;ROW()-1,"Duplicate (ignored)","OK"))))))))</f>
        <v/>
      </c>
      <c r="I609">
        <f>IF(OC_Date=0,"",IF(INDEX('OneCause_Paste'!$A$609:$AZ$609,1,OC_Date)="","",INDEX('OneCause_Paste'!$A$609:$AZ$609,1,OC_Date)))</f>
        <v/>
      </c>
      <c r="J609">
        <f>IF(OC_Amt=0,"",IF(INDEX('OneCause_Paste'!$A$609:$AZ$609,1,OC_Amt)="","",INDEX('OneCause_Paste'!$A$609:$AZ$609,1,OC_Amt)))</f>
        <v/>
      </c>
      <c r="K609">
        <f>IF(OC_Name=0,"",IF(INDEX('OneCause_Paste'!$A$609:$AZ$609,1,OC_Name)="","",INDEX('OneCause_Paste'!$A$609:$AZ$609,1,OC_Name)))</f>
        <v/>
      </c>
      <c r="L609">
        <f>IF(OC_Txn=0,"",IF(INDEX('OneCause_Paste'!$A$609:$AZ$609,1,OC_Txn)="","",INDEX('OneCause_Paste'!$A$609:$AZ$609,1,OC_Txn)))</f>
        <v/>
      </c>
      <c r="M609">
        <f>IF(OC_Pay=0,"",IF(INDEX('OneCause_Paste'!$A$609:$AZ$609,1,OC_Pay)="","",INDEX('OneCause_Paste'!$A$609:$AZ$609,1,OC_Pay)))</f>
        <v/>
      </c>
      <c r="N609">
        <f>IF(I609="","",IF(ISNUMBER(I609),INT(I609),IFERROR(INT(DATEVALUE(I609)),IFERROR(INT(VALUE(I609)),"bad"))))</f>
        <v/>
      </c>
      <c r="O609">
        <f>IF(J609="","",IF(ISNUMBER(J609),ROUND(J609,2),IFERROR(ROUND(VALUE(SUBSTITUTE(SUBSTITUTE(SUBSTITUTE(J609,"$",""),",","")," ","")),2),"bad")))</f>
        <v/>
      </c>
      <c r="P609">
        <f>IF(TRIM(K609)="","",IFERROR(MATCH(LOWER(TRIM(K609)),'Students'!$AH$2:$AH$701,0),IFERROR(MATCH(LOWER(TRIM(K609)),'Students'!$AF$2:$AF$701,0),IFERROR(MATCH(LOWER(TRIM(K609)),'Students'!$AG$2:$AG$701,0),""))))</f>
        <v/>
      </c>
      <c r="R609">
        <f>IF(P609="","",INDEX('Students'!$AD$2:$AD$701,P609))</f>
        <v/>
      </c>
      <c r="S609">
        <f>IF(H609="OK",O609,0)</f>
        <v/>
      </c>
      <c r="T609">
        <f>IF(H609="OK",N609,"")</f>
        <v/>
      </c>
      <c r="U609">
        <f>IF(OC_Donor=0,"",IF(INDEX('OneCause_Paste'!$A$609:$AZ$609,1,OC_Donor)="","",INDEX('OneCause_Paste'!$A$609:$AZ$609,1,OC_Donor)))</f>
        <v/>
      </c>
    </row>
    <row r="610">
      <c r="A610" s="62">
        <f>IF(H610="","",IF(ISNUMBER(N610),N610,I610))</f>
        <v/>
      </c>
      <c r="B610">
        <f>IF(H610="","",U610)</f>
        <v/>
      </c>
      <c r="C610">
        <f>IF(H610="","",IF(P610="",K610,INDEX('Students'!$A$2:$A$701,P610)))</f>
        <v/>
      </c>
      <c r="D610">
        <f>IF(OR(H610="",P610=""),"",INDEX('Students'!$B$2:$B$701,P610))</f>
        <v/>
      </c>
      <c r="E610">
        <f>IF(OR(H610="",P610=""),"",INDEX('Students'!$C$2:$C$701,P610))</f>
        <v/>
      </c>
      <c r="F610" s="48">
        <f>IF(H610="","",IF(ISNUMBER(O610),O610,J610))</f>
        <v/>
      </c>
      <c r="G610">
        <f>IF(H610="","","OneCause")</f>
        <v/>
      </c>
      <c r="H610">
        <f>IF(AND(I610="",J610="",K610=""),"",IF(NOT(ISNUMBER(O610)),"Bad amount",IF(O610&lt;0,"Refund (not counted)",IF(O610=0,"Zero amount",IF(NOT(ISNUMBER(N610)),"Bad date",IF(P610="","NAME NOT ON ROSTER",IF(L610="","OK",IF(MATCH(L610,$L$2:$L$3001,0)&lt;ROW()-1,"Duplicate (ignored)","OK"))))))))</f>
        <v/>
      </c>
      <c r="I610">
        <f>IF(OC_Date=0,"",IF(INDEX('OneCause_Paste'!$A$610:$AZ$610,1,OC_Date)="","",INDEX('OneCause_Paste'!$A$610:$AZ$610,1,OC_Date)))</f>
        <v/>
      </c>
      <c r="J610">
        <f>IF(OC_Amt=0,"",IF(INDEX('OneCause_Paste'!$A$610:$AZ$610,1,OC_Amt)="","",INDEX('OneCause_Paste'!$A$610:$AZ$610,1,OC_Amt)))</f>
        <v/>
      </c>
      <c r="K610">
        <f>IF(OC_Name=0,"",IF(INDEX('OneCause_Paste'!$A$610:$AZ$610,1,OC_Name)="","",INDEX('OneCause_Paste'!$A$610:$AZ$610,1,OC_Name)))</f>
        <v/>
      </c>
      <c r="L610">
        <f>IF(OC_Txn=0,"",IF(INDEX('OneCause_Paste'!$A$610:$AZ$610,1,OC_Txn)="","",INDEX('OneCause_Paste'!$A$610:$AZ$610,1,OC_Txn)))</f>
        <v/>
      </c>
      <c r="M610">
        <f>IF(OC_Pay=0,"",IF(INDEX('OneCause_Paste'!$A$610:$AZ$610,1,OC_Pay)="","",INDEX('OneCause_Paste'!$A$610:$AZ$610,1,OC_Pay)))</f>
        <v/>
      </c>
      <c r="N610">
        <f>IF(I610="","",IF(ISNUMBER(I610),INT(I610),IFERROR(INT(DATEVALUE(I610)),IFERROR(INT(VALUE(I610)),"bad"))))</f>
        <v/>
      </c>
      <c r="O610">
        <f>IF(J610="","",IF(ISNUMBER(J610),ROUND(J610,2),IFERROR(ROUND(VALUE(SUBSTITUTE(SUBSTITUTE(SUBSTITUTE(J610,"$",""),",","")," ","")),2),"bad")))</f>
        <v/>
      </c>
      <c r="P610">
        <f>IF(TRIM(K610)="","",IFERROR(MATCH(LOWER(TRIM(K610)),'Students'!$AH$2:$AH$701,0),IFERROR(MATCH(LOWER(TRIM(K610)),'Students'!$AF$2:$AF$701,0),IFERROR(MATCH(LOWER(TRIM(K610)),'Students'!$AG$2:$AG$701,0),""))))</f>
        <v/>
      </c>
      <c r="R610">
        <f>IF(P610="","",INDEX('Students'!$AD$2:$AD$701,P610))</f>
        <v/>
      </c>
      <c r="S610">
        <f>IF(H610="OK",O610,0)</f>
        <v/>
      </c>
      <c r="T610">
        <f>IF(H610="OK",N610,"")</f>
        <v/>
      </c>
      <c r="U610">
        <f>IF(OC_Donor=0,"",IF(INDEX('OneCause_Paste'!$A$610:$AZ$610,1,OC_Donor)="","",INDEX('OneCause_Paste'!$A$610:$AZ$610,1,OC_Donor)))</f>
        <v/>
      </c>
    </row>
    <row r="611">
      <c r="A611" s="62">
        <f>IF(H611="","",IF(ISNUMBER(N611),N611,I611))</f>
        <v/>
      </c>
      <c r="B611">
        <f>IF(H611="","",U611)</f>
        <v/>
      </c>
      <c r="C611">
        <f>IF(H611="","",IF(P611="",K611,INDEX('Students'!$A$2:$A$701,P611)))</f>
        <v/>
      </c>
      <c r="D611">
        <f>IF(OR(H611="",P611=""),"",INDEX('Students'!$B$2:$B$701,P611))</f>
        <v/>
      </c>
      <c r="E611">
        <f>IF(OR(H611="",P611=""),"",INDEX('Students'!$C$2:$C$701,P611))</f>
        <v/>
      </c>
      <c r="F611" s="48">
        <f>IF(H611="","",IF(ISNUMBER(O611),O611,J611))</f>
        <v/>
      </c>
      <c r="G611">
        <f>IF(H611="","","OneCause")</f>
        <v/>
      </c>
      <c r="H611">
        <f>IF(AND(I611="",J611="",K611=""),"",IF(NOT(ISNUMBER(O611)),"Bad amount",IF(O611&lt;0,"Refund (not counted)",IF(O611=0,"Zero amount",IF(NOT(ISNUMBER(N611)),"Bad date",IF(P611="","NAME NOT ON ROSTER",IF(L611="","OK",IF(MATCH(L611,$L$2:$L$3001,0)&lt;ROW()-1,"Duplicate (ignored)","OK"))))))))</f>
        <v/>
      </c>
      <c r="I611">
        <f>IF(OC_Date=0,"",IF(INDEX('OneCause_Paste'!$A$611:$AZ$611,1,OC_Date)="","",INDEX('OneCause_Paste'!$A$611:$AZ$611,1,OC_Date)))</f>
        <v/>
      </c>
      <c r="J611">
        <f>IF(OC_Amt=0,"",IF(INDEX('OneCause_Paste'!$A$611:$AZ$611,1,OC_Amt)="","",INDEX('OneCause_Paste'!$A$611:$AZ$611,1,OC_Amt)))</f>
        <v/>
      </c>
      <c r="K611">
        <f>IF(OC_Name=0,"",IF(INDEX('OneCause_Paste'!$A$611:$AZ$611,1,OC_Name)="","",INDEX('OneCause_Paste'!$A$611:$AZ$611,1,OC_Name)))</f>
        <v/>
      </c>
      <c r="L611">
        <f>IF(OC_Txn=0,"",IF(INDEX('OneCause_Paste'!$A$611:$AZ$611,1,OC_Txn)="","",INDEX('OneCause_Paste'!$A$611:$AZ$611,1,OC_Txn)))</f>
        <v/>
      </c>
      <c r="M611">
        <f>IF(OC_Pay=0,"",IF(INDEX('OneCause_Paste'!$A$611:$AZ$611,1,OC_Pay)="","",INDEX('OneCause_Paste'!$A$611:$AZ$611,1,OC_Pay)))</f>
        <v/>
      </c>
      <c r="N611">
        <f>IF(I611="","",IF(ISNUMBER(I611),INT(I611),IFERROR(INT(DATEVALUE(I611)),IFERROR(INT(VALUE(I611)),"bad"))))</f>
        <v/>
      </c>
      <c r="O611">
        <f>IF(J611="","",IF(ISNUMBER(J611),ROUND(J611,2),IFERROR(ROUND(VALUE(SUBSTITUTE(SUBSTITUTE(SUBSTITUTE(J611,"$",""),",","")," ","")),2),"bad")))</f>
        <v/>
      </c>
      <c r="P611">
        <f>IF(TRIM(K611)="","",IFERROR(MATCH(LOWER(TRIM(K611)),'Students'!$AH$2:$AH$701,0),IFERROR(MATCH(LOWER(TRIM(K611)),'Students'!$AF$2:$AF$701,0),IFERROR(MATCH(LOWER(TRIM(K611)),'Students'!$AG$2:$AG$701,0),""))))</f>
        <v/>
      </c>
      <c r="R611">
        <f>IF(P611="","",INDEX('Students'!$AD$2:$AD$701,P611))</f>
        <v/>
      </c>
      <c r="S611">
        <f>IF(H611="OK",O611,0)</f>
        <v/>
      </c>
      <c r="T611">
        <f>IF(H611="OK",N611,"")</f>
        <v/>
      </c>
      <c r="U611">
        <f>IF(OC_Donor=0,"",IF(INDEX('OneCause_Paste'!$A$611:$AZ$611,1,OC_Donor)="","",INDEX('OneCause_Paste'!$A$611:$AZ$611,1,OC_Donor)))</f>
        <v/>
      </c>
    </row>
    <row r="612">
      <c r="A612" s="62">
        <f>IF(H612="","",IF(ISNUMBER(N612),N612,I612))</f>
        <v/>
      </c>
      <c r="B612">
        <f>IF(H612="","",U612)</f>
        <v/>
      </c>
      <c r="C612">
        <f>IF(H612="","",IF(P612="",K612,INDEX('Students'!$A$2:$A$701,P612)))</f>
        <v/>
      </c>
      <c r="D612">
        <f>IF(OR(H612="",P612=""),"",INDEX('Students'!$B$2:$B$701,P612))</f>
        <v/>
      </c>
      <c r="E612">
        <f>IF(OR(H612="",P612=""),"",INDEX('Students'!$C$2:$C$701,P612))</f>
        <v/>
      </c>
      <c r="F612" s="48">
        <f>IF(H612="","",IF(ISNUMBER(O612),O612,J612))</f>
        <v/>
      </c>
      <c r="G612">
        <f>IF(H612="","","OneCause")</f>
        <v/>
      </c>
      <c r="H612">
        <f>IF(AND(I612="",J612="",K612=""),"",IF(NOT(ISNUMBER(O612)),"Bad amount",IF(O612&lt;0,"Refund (not counted)",IF(O612=0,"Zero amount",IF(NOT(ISNUMBER(N612)),"Bad date",IF(P612="","NAME NOT ON ROSTER",IF(L612="","OK",IF(MATCH(L612,$L$2:$L$3001,0)&lt;ROW()-1,"Duplicate (ignored)","OK"))))))))</f>
        <v/>
      </c>
      <c r="I612">
        <f>IF(OC_Date=0,"",IF(INDEX('OneCause_Paste'!$A$612:$AZ$612,1,OC_Date)="","",INDEX('OneCause_Paste'!$A$612:$AZ$612,1,OC_Date)))</f>
        <v/>
      </c>
      <c r="J612">
        <f>IF(OC_Amt=0,"",IF(INDEX('OneCause_Paste'!$A$612:$AZ$612,1,OC_Amt)="","",INDEX('OneCause_Paste'!$A$612:$AZ$612,1,OC_Amt)))</f>
        <v/>
      </c>
      <c r="K612">
        <f>IF(OC_Name=0,"",IF(INDEX('OneCause_Paste'!$A$612:$AZ$612,1,OC_Name)="","",INDEX('OneCause_Paste'!$A$612:$AZ$612,1,OC_Name)))</f>
        <v/>
      </c>
      <c r="L612">
        <f>IF(OC_Txn=0,"",IF(INDEX('OneCause_Paste'!$A$612:$AZ$612,1,OC_Txn)="","",INDEX('OneCause_Paste'!$A$612:$AZ$612,1,OC_Txn)))</f>
        <v/>
      </c>
      <c r="M612">
        <f>IF(OC_Pay=0,"",IF(INDEX('OneCause_Paste'!$A$612:$AZ$612,1,OC_Pay)="","",INDEX('OneCause_Paste'!$A$612:$AZ$612,1,OC_Pay)))</f>
        <v/>
      </c>
      <c r="N612">
        <f>IF(I612="","",IF(ISNUMBER(I612),INT(I612),IFERROR(INT(DATEVALUE(I612)),IFERROR(INT(VALUE(I612)),"bad"))))</f>
        <v/>
      </c>
      <c r="O612">
        <f>IF(J612="","",IF(ISNUMBER(J612),ROUND(J612,2),IFERROR(ROUND(VALUE(SUBSTITUTE(SUBSTITUTE(SUBSTITUTE(J612,"$",""),",","")," ","")),2),"bad")))</f>
        <v/>
      </c>
      <c r="P612">
        <f>IF(TRIM(K612)="","",IFERROR(MATCH(LOWER(TRIM(K612)),'Students'!$AH$2:$AH$701,0),IFERROR(MATCH(LOWER(TRIM(K612)),'Students'!$AF$2:$AF$701,0),IFERROR(MATCH(LOWER(TRIM(K612)),'Students'!$AG$2:$AG$701,0),""))))</f>
        <v/>
      </c>
      <c r="R612">
        <f>IF(P612="","",INDEX('Students'!$AD$2:$AD$701,P612))</f>
        <v/>
      </c>
      <c r="S612">
        <f>IF(H612="OK",O612,0)</f>
        <v/>
      </c>
      <c r="T612">
        <f>IF(H612="OK",N612,"")</f>
        <v/>
      </c>
      <c r="U612">
        <f>IF(OC_Donor=0,"",IF(INDEX('OneCause_Paste'!$A$612:$AZ$612,1,OC_Donor)="","",INDEX('OneCause_Paste'!$A$612:$AZ$612,1,OC_Donor)))</f>
        <v/>
      </c>
    </row>
    <row r="613">
      <c r="A613" s="62">
        <f>IF(H613="","",IF(ISNUMBER(N613),N613,I613))</f>
        <v/>
      </c>
      <c r="B613">
        <f>IF(H613="","",U613)</f>
        <v/>
      </c>
      <c r="C613">
        <f>IF(H613="","",IF(P613="",K613,INDEX('Students'!$A$2:$A$701,P613)))</f>
        <v/>
      </c>
      <c r="D613">
        <f>IF(OR(H613="",P613=""),"",INDEX('Students'!$B$2:$B$701,P613))</f>
        <v/>
      </c>
      <c r="E613">
        <f>IF(OR(H613="",P613=""),"",INDEX('Students'!$C$2:$C$701,P613))</f>
        <v/>
      </c>
      <c r="F613" s="48">
        <f>IF(H613="","",IF(ISNUMBER(O613),O613,J613))</f>
        <v/>
      </c>
      <c r="G613">
        <f>IF(H613="","","OneCause")</f>
        <v/>
      </c>
      <c r="H613">
        <f>IF(AND(I613="",J613="",K613=""),"",IF(NOT(ISNUMBER(O613)),"Bad amount",IF(O613&lt;0,"Refund (not counted)",IF(O613=0,"Zero amount",IF(NOT(ISNUMBER(N613)),"Bad date",IF(P613="","NAME NOT ON ROSTER",IF(L613="","OK",IF(MATCH(L613,$L$2:$L$3001,0)&lt;ROW()-1,"Duplicate (ignored)","OK"))))))))</f>
        <v/>
      </c>
      <c r="I613">
        <f>IF(OC_Date=0,"",IF(INDEX('OneCause_Paste'!$A$613:$AZ$613,1,OC_Date)="","",INDEX('OneCause_Paste'!$A$613:$AZ$613,1,OC_Date)))</f>
        <v/>
      </c>
      <c r="J613">
        <f>IF(OC_Amt=0,"",IF(INDEX('OneCause_Paste'!$A$613:$AZ$613,1,OC_Amt)="","",INDEX('OneCause_Paste'!$A$613:$AZ$613,1,OC_Amt)))</f>
        <v/>
      </c>
      <c r="K613">
        <f>IF(OC_Name=0,"",IF(INDEX('OneCause_Paste'!$A$613:$AZ$613,1,OC_Name)="","",INDEX('OneCause_Paste'!$A$613:$AZ$613,1,OC_Name)))</f>
        <v/>
      </c>
      <c r="L613">
        <f>IF(OC_Txn=0,"",IF(INDEX('OneCause_Paste'!$A$613:$AZ$613,1,OC_Txn)="","",INDEX('OneCause_Paste'!$A$613:$AZ$613,1,OC_Txn)))</f>
        <v/>
      </c>
      <c r="M613">
        <f>IF(OC_Pay=0,"",IF(INDEX('OneCause_Paste'!$A$613:$AZ$613,1,OC_Pay)="","",INDEX('OneCause_Paste'!$A$613:$AZ$613,1,OC_Pay)))</f>
        <v/>
      </c>
      <c r="N613">
        <f>IF(I613="","",IF(ISNUMBER(I613),INT(I613),IFERROR(INT(DATEVALUE(I613)),IFERROR(INT(VALUE(I613)),"bad"))))</f>
        <v/>
      </c>
      <c r="O613">
        <f>IF(J613="","",IF(ISNUMBER(J613),ROUND(J613,2),IFERROR(ROUND(VALUE(SUBSTITUTE(SUBSTITUTE(SUBSTITUTE(J613,"$",""),",","")," ","")),2),"bad")))</f>
        <v/>
      </c>
      <c r="P613">
        <f>IF(TRIM(K613)="","",IFERROR(MATCH(LOWER(TRIM(K613)),'Students'!$AH$2:$AH$701,0),IFERROR(MATCH(LOWER(TRIM(K613)),'Students'!$AF$2:$AF$701,0),IFERROR(MATCH(LOWER(TRIM(K613)),'Students'!$AG$2:$AG$701,0),""))))</f>
        <v/>
      </c>
      <c r="R613">
        <f>IF(P613="","",INDEX('Students'!$AD$2:$AD$701,P613))</f>
        <v/>
      </c>
      <c r="S613">
        <f>IF(H613="OK",O613,0)</f>
        <v/>
      </c>
      <c r="T613">
        <f>IF(H613="OK",N613,"")</f>
        <v/>
      </c>
      <c r="U613">
        <f>IF(OC_Donor=0,"",IF(INDEX('OneCause_Paste'!$A$613:$AZ$613,1,OC_Donor)="","",INDEX('OneCause_Paste'!$A$613:$AZ$613,1,OC_Donor)))</f>
        <v/>
      </c>
    </row>
    <row r="614">
      <c r="A614" s="62">
        <f>IF(H614="","",IF(ISNUMBER(N614),N614,I614))</f>
        <v/>
      </c>
      <c r="B614">
        <f>IF(H614="","",U614)</f>
        <v/>
      </c>
      <c r="C614">
        <f>IF(H614="","",IF(P614="",K614,INDEX('Students'!$A$2:$A$701,P614)))</f>
        <v/>
      </c>
      <c r="D614">
        <f>IF(OR(H614="",P614=""),"",INDEX('Students'!$B$2:$B$701,P614))</f>
        <v/>
      </c>
      <c r="E614">
        <f>IF(OR(H614="",P614=""),"",INDEX('Students'!$C$2:$C$701,P614))</f>
        <v/>
      </c>
      <c r="F614" s="48">
        <f>IF(H614="","",IF(ISNUMBER(O614),O614,J614))</f>
        <v/>
      </c>
      <c r="G614">
        <f>IF(H614="","","OneCause")</f>
        <v/>
      </c>
      <c r="H614">
        <f>IF(AND(I614="",J614="",K614=""),"",IF(NOT(ISNUMBER(O614)),"Bad amount",IF(O614&lt;0,"Refund (not counted)",IF(O614=0,"Zero amount",IF(NOT(ISNUMBER(N614)),"Bad date",IF(P614="","NAME NOT ON ROSTER",IF(L614="","OK",IF(MATCH(L614,$L$2:$L$3001,0)&lt;ROW()-1,"Duplicate (ignored)","OK"))))))))</f>
        <v/>
      </c>
      <c r="I614">
        <f>IF(OC_Date=0,"",IF(INDEX('OneCause_Paste'!$A$614:$AZ$614,1,OC_Date)="","",INDEX('OneCause_Paste'!$A$614:$AZ$614,1,OC_Date)))</f>
        <v/>
      </c>
      <c r="J614">
        <f>IF(OC_Amt=0,"",IF(INDEX('OneCause_Paste'!$A$614:$AZ$614,1,OC_Amt)="","",INDEX('OneCause_Paste'!$A$614:$AZ$614,1,OC_Amt)))</f>
        <v/>
      </c>
      <c r="K614">
        <f>IF(OC_Name=0,"",IF(INDEX('OneCause_Paste'!$A$614:$AZ$614,1,OC_Name)="","",INDEX('OneCause_Paste'!$A$614:$AZ$614,1,OC_Name)))</f>
        <v/>
      </c>
      <c r="L614">
        <f>IF(OC_Txn=0,"",IF(INDEX('OneCause_Paste'!$A$614:$AZ$614,1,OC_Txn)="","",INDEX('OneCause_Paste'!$A$614:$AZ$614,1,OC_Txn)))</f>
        <v/>
      </c>
      <c r="M614">
        <f>IF(OC_Pay=0,"",IF(INDEX('OneCause_Paste'!$A$614:$AZ$614,1,OC_Pay)="","",INDEX('OneCause_Paste'!$A$614:$AZ$614,1,OC_Pay)))</f>
        <v/>
      </c>
      <c r="N614">
        <f>IF(I614="","",IF(ISNUMBER(I614),INT(I614),IFERROR(INT(DATEVALUE(I614)),IFERROR(INT(VALUE(I614)),"bad"))))</f>
        <v/>
      </c>
      <c r="O614">
        <f>IF(J614="","",IF(ISNUMBER(J614),ROUND(J614,2),IFERROR(ROUND(VALUE(SUBSTITUTE(SUBSTITUTE(SUBSTITUTE(J614,"$",""),",","")," ","")),2),"bad")))</f>
        <v/>
      </c>
      <c r="P614">
        <f>IF(TRIM(K614)="","",IFERROR(MATCH(LOWER(TRIM(K614)),'Students'!$AH$2:$AH$701,0),IFERROR(MATCH(LOWER(TRIM(K614)),'Students'!$AF$2:$AF$701,0),IFERROR(MATCH(LOWER(TRIM(K614)),'Students'!$AG$2:$AG$701,0),""))))</f>
        <v/>
      </c>
      <c r="R614">
        <f>IF(P614="","",INDEX('Students'!$AD$2:$AD$701,P614))</f>
        <v/>
      </c>
      <c r="S614">
        <f>IF(H614="OK",O614,0)</f>
        <v/>
      </c>
      <c r="T614">
        <f>IF(H614="OK",N614,"")</f>
        <v/>
      </c>
      <c r="U614">
        <f>IF(OC_Donor=0,"",IF(INDEX('OneCause_Paste'!$A$614:$AZ$614,1,OC_Donor)="","",INDEX('OneCause_Paste'!$A$614:$AZ$614,1,OC_Donor)))</f>
        <v/>
      </c>
    </row>
    <row r="615">
      <c r="A615" s="62">
        <f>IF(H615="","",IF(ISNUMBER(N615),N615,I615))</f>
        <v/>
      </c>
      <c r="B615">
        <f>IF(H615="","",U615)</f>
        <v/>
      </c>
      <c r="C615">
        <f>IF(H615="","",IF(P615="",K615,INDEX('Students'!$A$2:$A$701,P615)))</f>
        <v/>
      </c>
      <c r="D615">
        <f>IF(OR(H615="",P615=""),"",INDEX('Students'!$B$2:$B$701,P615))</f>
        <v/>
      </c>
      <c r="E615">
        <f>IF(OR(H615="",P615=""),"",INDEX('Students'!$C$2:$C$701,P615))</f>
        <v/>
      </c>
      <c r="F615" s="48">
        <f>IF(H615="","",IF(ISNUMBER(O615),O615,J615))</f>
        <v/>
      </c>
      <c r="G615">
        <f>IF(H615="","","OneCause")</f>
        <v/>
      </c>
      <c r="H615">
        <f>IF(AND(I615="",J615="",K615=""),"",IF(NOT(ISNUMBER(O615)),"Bad amount",IF(O615&lt;0,"Refund (not counted)",IF(O615=0,"Zero amount",IF(NOT(ISNUMBER(N615)),"Bad date",IF(P615="","NAME NOT ON ROSTER",IF(L615="","OK",IF(MATCH(L615,$L$2:$L$3001,0)&lt;ROW()-1,"Duplicate (ignored)","OK"))))))))</f>
        <v/>
      </c>
      <c r="I615">
        <f>IF(OC_Date=0,"",IF(INDEX('OneCause_Paste'!$A$615:$AZ$615,1,OC_Date)="","",INDEX('OneCause_Paste'!$A$615:$AZ$615,1,OC_Date)))</f>
        <v/>
      </c>
      <c r="J615">
        <f>IF(OC_Amt=0,"",IF(INDEX('OneCause_Paste'!$A$615:$AZ$615,1,OC_Amt)="","",INDEX('OneCause_Paste'!$A$615:$AZ$615,1,OC_Amt)))</f>
        <v/>
      </c>
      <c r="K615">
        <f>IF(OC_Name=0,"",IF(INDEX('OneCause_Paste'!$A$615:$AZ$615,1,OC_Name)="","",INDEX('OneCause_Paste'!$A$615:$AZ$615,1,OC_Name)))</f>
        <v/>
      </c>
      <c r="L615">
        <f>IF(OC_Txn=0,"",IF(INDEX('OneCause_Paste'!$A$615:$AZ$615,1,OC_Txn)="","",INDEX('OneCause_Paste'!$A$615:$AZ$615,1,OC_Txn)))</f>
        <v/>
      </c>
      <c r="M615">
        <f>IF(OC_Pay=0,"",IF(INDEX('OneCause_Paste'!$A$615:$AZ$615,1,OC_Pay)="","",INDEX('OneCause_Paste'!$A$615:$AZ$615,1,OC_Pay)))</f>
        <v/>
      </c>
      <c r="N615">
        <f>IF(I615="","",IF(ISNUMBER(I615),INT(I615),IFERROR(INT(DATEVALUE(I615)),IFERROR(INT(VALUE(I615)),"bad"))))</f>
        <v/>
      </c>
      <c r="O615">
        <f>IF(J615="","",IF(ISNUMBER(J615),ROUND(J615,2),IFERROR(ROUND(VALUE(SUBSTITUTE(SUBSTITUTE(SUBSTITUTE(J615,"$",""),",","")," ","")),2),"bad")))</f>
        <v/>
      </c>
      <c r="P615">
        <f>IF(TRIM(K615)="","",IFERROR(MATCH(LOWER(TRIM(K615)),'Students'!$AH$2:$AH$701,0),IFERROR(MATCH(LOWER(TRIM(K615)),'Students'!$AF$2:$AF$701,0),IFERROR(MATCH(LOWER(TRIM(K615)),'Students'!$AG$2:$AG$701,0),""))))</f>
        <v/>
      </c>
      <c r="R615">
        <f>IF(P615="","",INDEX('Students'!$AD$2:$AD$701,P615))</f>
        <v/>
      </c>
      <c r="S615">
        <f>IF(H615="OK",O615,0)</f>
        <v/>
      </c>
      <c r="T615">
        <f>IF(H615="OK",N615,"")</f>
        <v/>
      </c>
      <c r="U615">
        <f>IF(OC_Donor=0,"",IF(INDEX('OneCause_Paste'!$A$615:$AZ$615,1,OC_Donor)="","",INDEX('OneCause_Paste'!$A$615:$AZ$615,1,OC_Donor)))</f>
        <v/>
      </c>
    </row>
    <row r="616">
      <c r="A616" s="62">
        <f>IF(H616="","",IF(ISNUMBER(N616),N616,I616))</f>
        <v/>
      </c>
      <c r="B616">
        <f>IF(H616="","",U616)</f>
        <v/>
      </c>
      <c r="C616">
        <f>IF(H616="","",IF(P616="",K616,INDEX('Students'!$A$2:$A$701,P616)))</f>
        <v/>
      </c>
      <c r="D616">
        <f>IF(OR(H616="",P616=""),"",INDEX('Students'!$B$2:$B$701,P616))</f>
        <v/>
      </c>
      <c r="E616">
        <f>IF(OR(H616="",P616=""),"",INDEX('Students'!$C$2:$C$701,P616))</f>
        <v/>
      </c>
      <c r="F616" s="48">
        <f>IF(H616="","",IF(ISNUMBER(O616),O616,J616))</f>
        <v/>
      </c>
      <c r="G616">
        <f>IF(H616="","","OneCause")</f>
        <v/>
      </c>
      <c r="H616">
        <f>IF(AND(I616="",J616="",K616=""),"",IF(NOT(ISNUMBER(O616)),"Bad amount",IF(O616&lt;0,"Refund (not counted)",IF(O616=0,"Zero amount",IF(NOT(ISNUMBER(N616)),"Bad date",IF(P616="","NAME NOT ON ROSTER",IF(L616="","OK",IF(MATCH(L616,$L$2:$L$3001,0)&lt;ROW()-1,"Duplicate (ignored)","OK"))))))))</f>
        <v/>
      </c>
      <c r="I616">
        <f>IF(OC_Date=0,"",IF(INDEX('OneCause_Paste'!$A$616:$AZ$616,1,OC_Date)="","",INDEX('OneCause_Paste'!$A$616:$AZ$616,1,OC_Date)))</f>
        <v/>
      </c>
      <c r="J616">
        <f>IF(OC_Amt=0,"",IF(INDEX('OneCause_Paste'!$A$616:$AZ$616,1,OC_Amt)="","",INDEX('OneCause_Paste'!$A$616:$AZ$616,1,OC_Amt)))</f>
        <v/>
      </c>
      <c r="K616">
        <f>IF(OC_Name=0,"",IF(INDEX('OneCause_Paste'!$A$616:$AZ$616,1,OC_Name)="","",INDEX('OneCause_Paste'!$A$616:$AZ$616,1,OC_Name)))</f>
        <v/>
      </c>
      <c r="L616">
        <f>IF(OC_Txn=0,"",IF(INDEX('OneCause_Paste'!$A$616:$AZ$616,1,OC_Txn)="","",INDEX('OneCause_Paste'!$A$616:$AZ$616,1,OC_Txn)))</f>
        <v/>
      </c>
      <c r="M616">
        <f>IF(OC_Pay=0,"",IF(INDEX('OneCause_Paste'!$A$616:$AZ$616,1,OC_Pay)="","",INDEX('OneCause_Paste'!$A$616:$AZ$616,1,OC_Pay)))</f>
        <v/>
      </c>
      <c r="N616">
        <f>IF(I616="","",IF(ISNUMBER(I616),INT(I616),IFERROR(INT(DATEVALUE(I616)),IFERROR(INT(VALUE(I616)),"bad"))))</f>
        <v/>
      </c>
      <c r="O616">
        <f>IF(J616="","",IF(ISNUMBER(J616),ROUND(J616,2),IFERROR(ROUND(VALUE(SUBSTITUTE(SUBSTITUTE(SUBSTITUTE(J616,"$",""),",","")," ","")),2),"bad")))</f>
        <v/>
      </c>
      <c r="P616">
        <f>IF(TRIM(K616)="","",IFERROR(MATCH(LOWER(TRIM(K616)),'Students'!$AH$2:$AH$701,0),IFERROR(MATCH(LOWER(TRIM(K616)),'Students'!$AF$2:$AF$701,0),IFERROR(MATCH(LOWER(TRIM(K616)),'Students'!$AG$2:$AG$701,0),""))))</f>
        <v/>
      </c>
      <c r="R616">
        <f>IF(P616="","",INDEX('Students'!$AD$2:$AD$701,P616))</f>
        <v/>
      </c>
      <c r="S616">
        <f>IF(H616="OK",O616,0)</f>
        <v/>
      </c>
      <c r="T616">
        <f>IF(H616="OK",N616,"")</f>
        <v/>
      </c>
      <c r="U616">
        <f>IF(OC_Donor=0,"",IF(INDEX('OneCause_Paste'!$A$616:$AZ$616,1,OC_Donor)="","",INDEX('OneCause_Paste'!$A$616:$AZ$616,1,OC_Donor)))</f>
        <v/>
      </c>
    </row>
    <row r="617">
      <c r="A617" s="62">
        <f>IF(H617="","",IF(ISNUMBER(N617),N617,I617))</f>
        <v/>
      </c>
      <c r="B617">
        <f>IF(H617="","",U617)</f>
        <v/>
      </c>
      <c r="C617">
        <f>IF(H617="","",IF(P617="",K617,INDEX('Students'!$A$2:$A$701,P617)))</f>
        <v/>
      </c>
      <c r="D617">
        <f>IF(OR(H617="",P617=""),"",INDEX('Students'!$B$2:$B$701,P617))</f>
        <v/>
      </c>
      <c r="E617">
        <f>IF(OR(H617="",P617=""),"",INDEX('Students'!$C$2:$C$701,P617))</f>
        <v/>
      </c>
      <c r="F617" s="48">
        <f>IF(H617="","",IF(ISNUMBER(O617),O617,J617))</f>
        <v/>
      </c>
      <c r="G617">
        <f>IF(H617="","","OneCause")</f>
        <v/>
      </c>
      <c r="H617">
        <f>IF(AND(I617="",J617="",K617=""),"",IF(NOT(ISNUMBER(O617)),"Bad amount",IF(O617&lt;0,"Refund (not counted)",IF(O617=0,"Zero amount",IF(NOT(ISNUMBER(N617)),"Bad date",IF(P617="","NAME NOT ON ROSTER",IF(L617="","OK",IF(MATCH(L617,$L$2:$L$3001,0)&lt;ROW()-1,"Duplicate (ignored)","OK"))))))))</f>
        <v/>
      </c>
      <c r="I617">
        <f>IF(OC_Date=0,"",IF(INDEX('OneCause_Paste'!$A$617:$AZ$617,1,OC_Date)="","",INDEX('OneCause_Paste'!$A$617:$AZ$617,1,OC_Date)))</f>
        <v/>
      </c>
      <c r="J617">
        <f>IF(OC_Amt=0,"",IF(INDEX('OneCause_Paste'!$A$617:$AZ$617,1,OC_Amt)="","",INDEX('OneCause_Paste'!$A$617:$AZ$617,1,OC_Amt)))</f>
        <v/>
      </c>
      <c r="K617">
        <f>IF(OC_Name=0,"",IF(INDEX('OneCause_Paste'!$A$617:$AZ$617,1,OC_Name)="","",INDEX('OneCause_Paste'!$A$617:$AZ$617,1,OC_Name)))</f>
        <v/>
      </c>
      <c r="L617">
        <f>IF(OC_Txn=0,"",IF(INDEX('OneCause_Paste'!$A$617:$AZ$617,1,OC_Txn)="","",INDEX('OneCause_Paste'!$A$617:$AZ$617,1,OC_Txn)))</f>
        <v/>
      </c>
      <c r="M617">
        <f>IF(OC_Pay=0,"",IF(INDEX('OneCause_Paste'!$A$617:$AZ$617,1,OC_Pay)="","",INDEX('OneCause_Paste'!$A$617:$AZ$617,1,OC_Pay)))</f>
        <v/>
      </c>
      <c r="N617">
        <f>IF(I617="","",IF(ISNUMBER(I617),INT(I617),IFERROR(INT(DATEVALUE(I617)),IFERROR(INT(VALUE(I617)),"bad"))))</f>
        <v/>
      </c>
      <c r="O617">
        <f>IF(J617="","",IF(ISNUMBER(J617),ROUND(J617,2),IFERROR(ROUND(VALUE(SUBSTITUTE(SUBSTITUTE(SUBSTITUTE(J617,"$",""),",","")," ","")),2),"bad")))</f>
        <v/>
      </c>
      <c r="P617">
        <f>IF(TRIM(K617)="","",IFERROR(MATCH(LOWER(TRIM(K617)),'Students'!$AH$2:$AH$701,0),IFERROR(MATCH(LOWER(TRIM(K617)),'Students'!$AF$2:$AF$701,0),IFERROR(MATCH(LOWER(TRIM(K617)),'Students'!$AG$2:$AG$701,0),""))))</f>
        <v/>
      </c>
      <c r="R617">
        <f>IF(P617="","",INDEX('Students'!$AD$2:$AD$701,P617))</f>
        <v/>
      </c>
      <c r="S617">
        <f>IF(H617="OK",O617,0)</f>
        <v/>
      </c>
      <c r="T617">
        <f>IF(H617="OK",N617,"")</f>
        <v/>
      </c>
      <c r="U617">
        <f>IF(OC_Donor=0,"",IF(INDEX('OneCause_Paste'!$A$617:$AZ$617,1,OC_Donor)="","",INDEX('OneCause_Paste'!$A$617:$AZ$617,1,OC_Donor)))</f>
        <v/>
      </c>
    </row>
    <row r="618">
      <c r="A618" s="62">
        <f>IF(H618="","",IF(ISNUMBER(N618),N618,I618))</f>
        <v/>
      </c>
      <c r="B618">
        <f>IF(H618="","",U618)</f>
        <v/>
      </c>
      <c r="C618">
        <f>IF(H618="","",IF(P618="",K618,INDEX('Students'!$A$2:$A$701,P618)))</f>
        <v/>
      </c>
      <c r="D618">
        <f>IF(OR(H618="",P618=""),"",INDEX('Students'!$B$2:$B$701,P618))</f>
        <v/>
      </c>
      <c r="E618">
        <f>IF(OR(H618="",P618=""),"",INDEX('Students'!$C$2:$C$701,P618))</f>
        <v/>
      </c>
      <c r="F618" s="48">
        <f>IF(H618="","",IF(ISNUMBER(O618),O618,J618))</f>
        <v/>
      </c>
      <c r="G618">
        <f>IF(H618="","","OneCause")</f>
        <v/>
      </c>
      <c r="H618">
        <f>IF(AND(I618="",J618="",K618=""),"",IF(NOT(ISNUMBER(O618)),"Bad amount",IF(O618&lt;0,"Refund (not counted)",IF(O618=0,"Zero amount",IF(NOT(ISNUMBER(N618)),"Bad date",IF(P618="","NAME NOT ON ROSTER",IF(L618="","OK",IF(MATCH(L618,$L$2:$L$3001,0)&lt;ROW()-1,"Duplicate (ignored)","OK"))))))))</f>
        <v/>
      </c>
      <c r="I618">
        <f>IF(OC_Date=0,"",IF(INDEX('OneCause_Paste'!$A$618:$AZ$618,1,OC_Date)="","",INDEX('OneCause_Paste'!$A$618:$AZ$618,1,OC_Date)))</f>
        <v/>
      </c>
      <c r="J618">
        <f>IF(OC_Amt=0,"",IF(INDEX('OneCause_Paste'!$A$618:$AZ$618,1,OC_Amt)="","",INDEX('OneCause_Paste'!$A$618:$AZ$618,1,OC_Amt)))</f>
        <v/>
      </c>
      <c r="K618">
        <f>IF(OC_Name=0,"",IF(INDEX('OneCause_Paste'!$A$618:$AZ$618,1,OC_Name)="","",INDEX('OneCause_Paste'!$A$618:$AZ$618,1,OC_Name)))</f>
        <v/>
      </c>
      <c r="L618">
        <f>IF(OC_Txn=0,"",IF(INDEX('OneCause_Paste'!$A$618:$AZ$618,1,OC_Txn)="","",INDEX('OneCause_Paste'!$A$618:$AZ$618,1,OC_Txn)))</f>
        <v/>
      </c>
      <c r="M618">
        <f>IF(OC_Pay=0,"",IF(INDEX('OneCause_Paste'!$A$618:$AZ$618,1,OC_Pay)="","",INDEX('OneCause_Paste'!$A$618:$AZ$618,1,OC_Pay)))</f>
        <v/>
      </c>
      <c r="N618">
        <f>IF(I618="","",IF(ISNUMBER(I618),INT(I618),IFERROR(INT(DATEVALUE(I618)),IFERROR(INT(VALUE(I618)),"bad"))))</f>
        <v/>
      </c>
      <c r="O618">
        <f>IF(J618="","",IF(ISNUMBER(J618),ROUND(J618,2),IFERROR(ROUND(VALUE(SUBSTITUTE(SUBSTITUTE(SUBSTITUTE(J618,"$",""),",","")," ","")),2),"bad")))</f>
        <v/>
      </c>
      <c r="P618">
        <f>IF(TRIM(K618)="","",IFERROR(MATCH(LOWER(TRIM(K618)),'Students'!$AH$2:$AH$701,0),IFERROR(MATCH(LOWER(TRIM(K618)),'Students'!$AF$2:$AF$701,0),IFERROR(MATCH(LOWER(TRIM(K618)),'Students'!$AG$2:$AG$701,0),""))))</f>
        <v/>
      </c>
      <c r="R618">
        <f>IF(P618="","",INDEX('Students'!$AD$2:$AD$701,P618))</f>
        <v/>
      </c>
      <c r="S618">
        <f>IF(H618="OK",O618,0)</f>
        <v/>
      </c>
      <c r="T618">
        <f>IF(H618="OK",N618,"")</f>
        <v/>
      </c>
      <c r="U618">
        <f>IF(OC_Donor=0,"",IF(INDEX('OneCause_Paste'!$A$618:$AZ$618,1,OC_Donor)="","",INDEX('OneCause_Paste'!$A$618:$AZ$618,1,OC_Donor)))</f>
        <v/>
      </c>
    </row>
    <row r="619">
      <c r="A619" s="62">
        <f>IF(H619="","",IF(ISNUMBER(N619),N619,I619))</f>
        <v/>
      </c>
      <c r="B619">
        <f>IF(H619="","",U619)</f>
        <v/>
      </c>
      <c r="C619">
        <f>IF(H619="","",IF(P619="",K619,INDEX('Students'!$A$2:$A$701,P619)))</f>
        <v/>
      </c>
      <c r="D619">
        <f>IF(OR(H619="",P619=""),"",INDEX('Students'!$B$2:$B$701,P619))</f>
        <v/>
      </c>
      <c r="E619">
        <f>IF(OR(H619="",P619=""),"",INDEX('Students'!$C$2:$C$701,P619))</f>
        <v/>
      </c>
      <c r="F619" s="48">
        <f>IF(H619="","",IF(ISNUMBER(O619),O619,J619))</f>
        <v/>
      </c>
      <c r="G619">
        <f>IF(H619="","","OneCause")</f>
        <v/>
      </c>
      <c r="H619">
        <f>IF(AND(I619="",J619="",K619=""),"",IF(NOT(ISNUMBER(O619)),"Bad amount",IF(O619&lt;0,"Refund (not counted)",IF(O619=0,"Zero amount",IF(NOT(ISNUMBER(N619)),"Bad date",IF(P619="","NAME NOT ON ROSTER",IF(L619="","OK",IF(MATCH(L619,$L$2:$L$3001,0)&lt;ROW()-1,"Duplicate (ignored)","OK"))))))))</f>
        <v/>
      </c>
      <c r="I619">
        <f>IF(OC_Date=0,"",IF(INDEX('OneCause_Paste'!$A$619:$AZ$619,1,OC_Date)="","",INDEX('OneCause_Paste'!$A$619:$AZ$619,1,OC_Date)))</f>
        <v/>
      </c>
      <c r="J619">
        <f>IF(OC_Amt=0,"",IF(INDEX('OneCause_Paste'!$A$619:$AZ$619,1,OC_Amt)="","",INDEX('OneCause_Paste'!$A$619:$AZ$619,1,OC_Amt)))</f>
        <v/>
      </c>
      <c r="K619">
        <f>IF(OC_Name=0,"",IF(INDEX('OneCause_Paste'!$A$619:$AZ$619,1,OC_Name)="","",INDEX('OneCause_Paste'!$A$619:$AZ$619,1,OC_Name)))</f>
        <v/>
      </c>
      <c r="L619">
        <f>IF(OC_Txn=0,"",IF(INDEX('OneCause_Paste'!$A$619:$AZ$619,1,OC_Txn)="","",INDEX('OneCause_Paste'!$A$619:$AZ$619,1,OC_Txn)))</f>
        <v/>
      </c>
      <c r="M619">
        <f>IF(OC_Pay=0,"",IF(INDEX('OneCause_Paste'!$A$619:$AZ$619,1,OC_Pay)="","",INDEX('OneCause_Paste'!$A$619:$AZ$619,1,OC_Pay)))</f>
        <v/>
      </c>
      <c r="N619">
        <f>IF(I619="","",IF(ISNUMBER(I619),INT(I619),IFERROR(INT(DATEVALUE(I619)),IFERROR(INT(VALUE(I619)),"bad"))))</f>
        <v/>
      </c>
      <c r="O619">
        <f>IF(J619="","",IF(ISNUMBER(J619),ROUND(J619,2),IFERROR(ROUND(VALUE(SUBSTITUTE(SUBSTITUTE(SUBSTITUTE(J619,"$",""),",","")," ","")),2),"bad")))</f>
        <v/>
      </c>
      <c r="P619">
        <f>IF(TRIM(K619)="","",IFERROR(MATCH(LOWER(TRIM(K619)),'Students'!$AH$2:$AH$701,0),IFERROR(MATCH(LOWER(TRIM(K619)),'Students'!$AF$2:$AF$701,0),IFERROR(MATCH(LOWER(TRIM(K619)),'Students'!$AG$2:$AG$701,0),""))))</f>
        <v/>
      </c>
      <c r="R619">
        <f>IF(P619="","",INDEX('Students'!$AD$2:$AD$701,P619))</f>
        <v/>
      </c>
      <c r="S619">
        <f>IF(H619="OK",O619,0)</f>
        <v/>
      </c>
      <c r="T619">
        <f>IF(H619="OK",N619,"")</f>
        <v/>
      </c>
      <c r="U619">
        <f>IF(OC_Donor=0,"",IF(INDEX('OneCause_Paste'!$A$619:$AZ$619,1,OC_Donor)="","",INDEX('OneCause_Paste'!$A$619:$AZ$619,1,OC_Donor)))</f>
        <v/>
      </c>
    </row>
    <row r="620">
      <c r="A620" s="62">
        <f>IF(H620="","",IF(ISNUMBER(N620),N620,I620))</f>
        <v/>
      </c>
      <c r="B620">
        <f>IF(H620="","",U620)</f>
        <v/>
      </c>
      <c r="C620">
        <f>IF(H620="","",IF(P620="",K620,INDEX('Students'!$A$2:$A$701,P620)))</f>
        <v/>
      </c>
      <c r="D620">
        <f>IF(OR(H620="",P620=""),"",INDEX('Students'!$B$2:$B$701,P620))</f>
        <v/>
      </c>
      <c r="E620">
        <f>IF(OR(H620="",P620=""),"",INDEX('Students'!$C$2:$C$701,P620))</f>
        <v/>
      </c>
      <c r="F620" s="48">
        <f>IF(H620="","",IF(ISNUMBER(O620),O620,J620))</f>
        <v/>
      </c>
      <c r="G620">
        <f>IF(H620="","","OneCause")</f>
        <v/>
      </c>
      <c r="H620">
        <f>IF(AND(I620="",J620="",K620=""),"",IF(NOT(ISNUMBER(O620)),"Bad amount",IF(O620&lt;0,"Refund (not counted)",IF(O620=0,"Zero amount",IF(NOT(ISNUMBER(N620)),"Bad date",IF(P620="","NAME NOT ON ROSTER",IF(L620="","OK",IF(MATCH(L620,$L$2:$L$3001,0)&lt;ROW()-1,"Duplicate (ignored)","OK"))))))))</f>
        <v/>
      </c>
      <c r="I620">
        <f>IF(OC_Date=0,"",IF(INDEX('OneCause_Paste'!$A$620:$AZ$620,1,OC_Date)="","",INDEX('OneCause_Paste'!$A$620:$AZ$620,1,OC_Date)))</f>
        <v/>
      </c>
      <c r="J620">
        <f>IF(OC_Amt=0,"",IF(INDEX('OneCause_Paste'!$A$620:$AZ$620,1,OC_Amt)="","",INDEX('OneCause_Paste'!$A$620:$AZ$620,1,OC_Amt)))</f>
        <v/>
      </c>
      <c r="K620">
        <f>IF(OC_Name=0,"",IF(INDEX('OneCause_Paste'!$A$620:$AZ$620,1,OC_Name)="","",INDEX('OneCause_Paste'!$A$620:$AZ$620,1,OC_Name)))</f>
        <v/>
      </c>
      <c r="L620">
        <f>IF(OC_Txn=0,"",IF(INDEX('OneCause_Paste'!$A$620:$AZ$620,1,OC_Txn)="","",INDEX('OneCause_Paste'!$A$620:$AZ$620,1,OC_Txn)))</f>
        <v/>
      </c>
      <c r="M620">
        <f>IF(OC_Pay=0,"",IF(INDEX('OneCause_Paste'!$A$620:$AZ$620,1,OC_Pay)="","",INDEX('OneCause_Paste'!$A$620:$AZ$620,1,OC_Pay)))</f>
        <v/>
      </c>
      <c r="N620">
        <f>IF(I620="","",IF(ISNUMBER(I620),INT(I620),IFERROR(INT(DATEVALUE(I620)),IFERROR(INT(VALUE(I620)),"bad"))))</f>
        <v/>
      </c>
      <c r="O620">
        <f>IF(J620="","",IF(ISNUMBER(J620),ROUND(J620,2),IFERROR(ROUND(VALUE(SUBSTITUTE(SUBSTITUTE(SUBSTITUTE(J620,"$",""),",","")," ","")),2),"bad")))</f>
        <v/>
      </c>
      <c r="P620">
        <f>IF(TRIM(K620)="","",IFERROR(MATCH(LOWER(TRIM(K620)),'Students'!$AH$2:$AH$701,0),IFERROR(MATCH(LOWER(TRIM(K620)),'Students'!$AF$2:$AF$701,0),IFERROR(MATCH(LOWER(TRIM(K620)),'Students'!$AG$2:$AG$701,0),""))))</f>
        <v/>
      </c>
      <c r="R620">
        <f>IF(P620="","",INDEX('Students'!$AD$2:$AD$701,P620))</f>
        <v/>
      </c>
      <c r="S620">
        <f>IF(H620="OK",O620,0)</f>
        <v/>
      </c>
      <c r="T620">
        <f>IF(H620="OK",N620,"")</f>
        <v/>
      </c>
      <c r="U620">
        <f>IF(OC_Donor=0,"",IF(INDEX('OneCause_Paste'!$A$620:$AZ$620,1,OC_Donor)="","",INDEX('OneCause_Paste'!$A$620:$AZ$620,1,OC_Donor)))</f>
        <v/>
      </c>
    </row>
    <row r="621">
      <c r="A621" s="62">
        <f>IF(H621="","",IF(ISNUMBER(N621),N621,I621))</f>
        <v/>
      </c>
      <c r="B621">
        <f>IF(H621="","",U621)</f>
        <v/>
      </c>
      <c r="C621">
        <f>IF(H621="","",IF(P621="",K621,INDEX('Students'!$A$2:$A$701,P621)))</f>
        <v/>
      </c>
      <c r="D621">
        <f>IF(OR(H621="",P621=""),"",INDEX('Students'!$B$2:$B$701,P621))</f>
        <v/>
      </c>
      <c r="E621">
        <f>IF(OR(H621="",P621=""),"",INDEX('Students'!$C$2:$C$701,P621))</f>
        <v/>
      </c>
      <c r="F621" s="48">
        <f>IF(H621="","",IF(ISNUMBER(O621),O621,J621))</f>
        <v/>
      </c>
      <c r="G621">
        <f>IF(H621="","","OneCause")</f>
        <v/>
      </c>
      <c r="H621">
        <f>IF(AND(I621="",J621="",K621=""),"",IF(NOT(ISNUMBER(O621)),"Bad amount",IF(O621&lt;0,"Refund (not counted)",IF(O621=0,"Zero amount",IF(NOT(ISNUMBER(N621)),"Bad date",IF(P621="","NAME NOT ON ROSTER",IF(L621="","OK",IF(MATCH(L621,$L$2:$L$3001,0)&lt;ROW()-1,"Duplicate (ignored)","OK"))))))))</f>
        <v/>
      </c>
      <c r="I621">
        <f>IF(OC_Date=0,"",IF(INDEX('OneCause_Paste'!$A$621:$AZ$621,1,OC_Date)="","",INDEX('OneCause_Paste'!$A$621:$AZ$621,1,OC_Date)))</f>
        <v/>
      </c>
      <c r="J621">
        <f>IF(OC_Amt=0,"",IF(INDEX('OneCause_Paste'!$A$621:$AZ$621,1,OC_Amt)="","",INDEX('OneCause_Paste'!$A$621:$AZ$621,1,OC_Amt)))</f>
        <v/>
      </c>
      <c r="K621">
        <f>IF(OC_Name=0,"",IF(INDEX('OneCause_Paste'!$A$621:$AZ$621,1,OC_Name)="","",INDEX('OneCause_Paste'!$A$621:$AZ$621,1,OC_Name)))</f>
        <v/>
      </c>
      <c r="L621">
        <f>IF(OC_Txn=0,"",IF(INDEX('OneCause_Paste'!$A$621:$AZ$621,1,OC_Txn)="","",INDEX('OneCause_Paste'!$A$621:$AZ$621,1,OC_Txn)))</f>
        <v/>
      </c>
      <c r="M621">
        <f>IF(OC_Pay=0,"",IF(INDEX('OneCause_Paste'!$A$621:$AZ$621,1,OC_Pay)="","",INDEX('OneCause_Paste'!$A$621:$AZ$621,1,OC_Pay)))</f>
        <v/>
      </c>
      <c r="N621">
        <f>IF(I621="","",IF(ISNUMBER(I621),INT(I621),IFERROR(INT(DATEVALUE(I621)),IFERROR(INT(VALUE(I621)),"bad"))))</f>
        <v/>
      </c>
      <c r="O621">
        <f>IF(J621="","",IF(ISNUMBER(J621),ROUND(J621,2),IFERROR(ROUND(VALUE(SUBSTITUTE(SUBSTITUTE(SUBSTITUTE(J621,"$",""),",","")," ","")),2),"bad")))</f>
        <v/>
      </c>
      <c r="P621">
        <f>IF(TRIM(K621)="","",IFERROR(MATCH(LOWER(TRIM(K621)),'Students'!$AH$2:$AH$701,0),IFERROR(MATCH(LOWER(TRIM(K621)),'Students'!$AF$2:$AF$701,0),IFERROR(MATCH(LOWER(TRIM(K621)),'Students'!$AG$2:$AG$701,0),""))))</f>
        <v/>
      </c>
      <c r="R621">
        <f>IF(P621="","",INDEX('Students'!$AD$2:$AD$701,P621))</f>
        <v/>
      </c>
      <c r="S621">
        <f>IF(H621="OK",O621,0)</f>
        <v/>
      </c>
      <c r="T621">
        <f>IF(H621="OK",N621,"")</f>
        <v/>
      </c>
      <c r="U621">
        <f>IF(OC_Donor=0,"",IF(INDEX('OneCause_Paste'!$A$621:$AZ$621,1,OC_Donor)="","",INDEX('OneCause_Paste'!$A$621:$AZ$621,1,OC_Donor)))</f>
        <v/>
      </c>
    </row>
    <row r="622">
      <c r="A622" s="62">
        <f>IF(H622="","",IF(ISNUMBER(N622),N622,I622))</f>
        <v/>
      </c>
      <c r="B622">
        <f>IF(H622="","",U622)</f>
        <v/>
      </c>
      <c r="C622">
        <f>IF(H622="","",IF(P622="",K622,INDEX('Students'!$A$2:$A$701,P622)))</f>
        <v/>
      </c>
      <c r="D622">
        <f>IF(OR(H622="",P622=""),"",INDEX('Students'!$B$2:$B$701,P622))</f>
        <v/>
      </c>
      <c r="E622">
        <f>IF(OR(H622="",P622=""),"",INDEX('Students'!$C$2:$C$701,P622))</f>
        <v/>
      </c>
      <c r="F622" s="48">
        <f>IF(H622="","",IF(ISNUMBER(O622),O622,J622))</f>
        <v/>
      </c>
      <c r="G622">
        <f>IF(H622="","","OneCause")</f>
        <v/>
      </c>
      <c r="H622">
        <f>IF(AND(I622="",J622="",K622=""),"",IF(NOT(ISNUMBER(O622)),"Bad amount",IF(O622&lt;0,"Refund (not counted)",IF(O622=0,"Zero amount",IF(NOT(ISNUMBER(N622)),"Bad date",IF(P622="","NAME NOT ON ROSTER",IF(L622="","OK",IF(MATCH(L622,$L$2:$L$3001,0)&lt;ROW()-1,"Duplicate (ignored)","OK"))))))))</f>
        <v/>
      </c>
      <c r="I622">
        <f>IF(OC_Date=0,"",IF(INDEX('OneCause_Paste'!$A$622:$AZ$622,1,OC_Date)="","",INDEX('OneCause_Paste'!$A$622:$AZ$622,1,OC_Date)))</f>
        <v/>
      </c>
      <c r="J622">
        <f>IF(OC_Amt=0,"",IF(INDEX('OneCause_Paste'!$A$622:$AZ$622,1,OC_Amt)="","",INDEX('OneCause_Paste'!$A$622:$AZ$622,1,OC_Amt)))</f>
        <v/>
      </c>
      <c r="K622">
        <f>IF(OC_Name=0,"",IF(INDEX('OneCause_Paste'!$A$622:$AZ$622,1,OC_Name)="","",INDEX('OneCause_Paste'!$A$622:$AZ$622,1,OC_Name)))</f>
        <v/>
      </c>
      <c r="L622">
        <f>IF(OC_Txn=0,"",IF(INDEX('OneCause_Paste'!$A$622:$AZ$622,1,OC_Txn)="","",INDEX('OneCause_Paste'!$A$622:$AZ$622,1,OC_Txn)))</f>
        <v/>
      </c>
      <c r="M622">
        <f>IF(OC_Pay=0,"",IF(INDEX('OneCause_Paste'!$A$622:$AZ$622,1,OC_Pay)="","",INDEX('OneCause_Paste'!$A$622:$AZ$622,1,OC_Pay)))</f>
        <v/>
      </c>
      <c r="N622">
        <f>IF(I622="","",IF(ISNUMBER(I622),INT(I622),IFERROR(INT(DATEVALUE(I622)),IFERROR(INT(VALUE(I622)),"bad"))))</f>
        <v/>
      </c>
      <c r="O622">
        <f>IF(J622="","",IF(ISNUMBER(J622),ROUND(J622,2),IFERROR(ROUND(VALUE(SUBSTITUTE(SUBSTITUTE(SUBSTITUTE(J622,"$",""),",","")," ","")),2),"bad")))</f>
        <v/>
      </c>
      <c r="P622">
        <f>IF(TRIM(K622)="","",IFERROR(MATCH(LOWER(TRIM(K622)),'Students'!$AH$2:$AH$701,0),IFERROR(MATCH(LOWER(TRIM(K622)),'Students'!$AF$2:$AF$701,0),IFERROR(MATCH(LOWER(TRIM(K622)),'Students'!$AG$2:$AG$701,0),""))))</f>
        <v/>
      </c>
      <c r="R622">
        <f>IF(P622="","",INDEX('Students'!$AD$2:$AD$701,P622))</f>
        <v/>
      </c>
      <c r="S622">
        <f>IF(H622="OK",O622,0)</f>
        <v/>
      </c>
      <c r="T622">
        <f>IF(H622="OK",N622,"")</f>
        <v/>
      </c>
      <c r="U622">
        <f>IF(OC_Donor=0,"",IF(INDEX('OneCause_Paste'!$A$622:$AZ$622,1,OC_Donor)="","",INDEX('OneCause_Paste'!$A$622:$AZ$622,1,OC_Donor)))</f>
        <v/>
      </c>
    </row>
    <row r="623">
      <c r="A623" s="62">
        <f>IF(H623="","",IF(ISNUMBER(N623),N623,I623))</f>
        <v/>
      </c>
      <c r="B623">
        <f>IF(H623="","",U623)</f>
        <v/>
      </c>
      <c r="C623">
        <f>IF(H623="","",IF(P623="",K623,INDEX('Students'!$A$2:$A$701,P623)))</f>
        <v/>
      </c>
      <c r="D623">
        <f>IF(OR(H623="",P623=""),"",INDEX('Students'!$B$2:$B$701,P623))</f>
        <v/>
      </c>
      <c r="E623">
        <f>IF(OR(H623="",P623=""),"",INDEX('Students'!$C$2:$C$701,P623))</f>
        <v/>
      </c>
      <c r="F623" s="48">
        <f>IF(H623="","",IF(ISNUMBER(O623),O623,J623))</f>
        <v/>
      </c>
      <c r="G623">
        <f>IF(H623="","","OneCause")</f>
        <v/>
      </c>
      <c r="H623">
        <f>IF(AND(I623="",J623="",K623=""),"",IF(NOT(ISNUMBER(O623)),"Bad amount",IF(O623&lt;0,"Refund (not counted)",IF(O623=0,"Zero amount",IF(NOT(ISNUMBER(N623)),"Bad date",IF(P623="","NAME NOT ON ROSTER",IF(L623="","OK",IF(MATCH(L623,$L$2:$L$3001,0)&lt;ROW()-1,"Duplicate (ignored)","OK"))))))))</f>
        <v/>
      </c>
      <c r="I623">
        <f>IF(OC_Date=0,"",IF(INDEX('OneCause_Paste'!$A$623:$AZ$623,1,OC_Date)="","",INDEX('OneCause_Paste'!$A$623:$AZ$623,1,OC_Date)))</f>
        <v/>
      </c>
      <c r="J623">
        <f>IF(OC_Amt=0,"",IF(INDEX('OneCause_Paste'!$A$623:$AZ$623,1,OC_Amt)="","",INDEX('OneCause_Paste'!$A$623:$AZ$623,1,OC_Amt)))</f>
        <v/>
      </c>
      <c r="K623">
        <f>IF(OC_Name=0,"",IF(INDEX('OneCause_Paste'!$A$623:$AZ$623,1,OC_Name)="","",INDEX('OneCause_Paste'!$A$623:$AZ$623,1,OC_Name)))</f>
        <v/>
      </c>
      <c r="L623">
        <f>IF(OC_Txn=0,"",IF(INDEX('OneCause_Paste'!$A$623:$AZ$623,1,OC_Txn)="","",INDEX('OneCause_Paste'!$A$623:$AZ$623,1,OC_Txn)))</f>
        <v/>
      </c>
      <c r="M623">
        <f>IF(OC_Pay=0,"",IF(INDEX('OneCause_Paste'!$A$623:$AZ$623,1,OC_Pay)="","",INDEX('OneCause_Paste'!$A$623:$AZ$623,1,OC_Pay)))</f>
        <v/>
      </c>
      <c r="N623">
        <f>IF(I623="","",IF(ISNUMBER(I623),INT(I623),IFERROR(INT(DATEVALUE(I623)),IFERROR(INT(VALUE(I623)),"bad"))))</f>
        <v/>
      </c>
      <c r="O623">
        <f>IF(J623="","",IF(ISNUMBER(J623),ROUND(J623,2),IFERROR(ROUND(VALUE(SUBSTITUTE(SUBSTITUTE(SUBSTITUTE(J623,"$",""),",","")," ","")),2),"bad")))</f>
        <v/>
      </c>
      <c r="P623">
        <f>IF(TRIM(K623)="","",IFERROR(MATCH(LOWER(TRIM(K623)),'Students'!$AH$2:$AH$701,0),IFERROR(MATCH(LOWER(TRIM(K623)),'Students'!$AF$2:$AF$701,0),IFERROR(MATCH(LOWER(TRIM(K623)),'Students'!$AG$2:$AG$701,0),""))))</f>
        <v/>
      </c>
      <c r="R623">
        <f>IF(P623="","",INDEX('Students'!$AD$2:$AD$701,P623))</f>
        <v/>
      </c>
      <c r="S623">
        <f>IF(H623="OK",O623,0)</f>
        <v/>
      </c>
      <c r="T623">
        <f>IF(H623="OK",N623,"")</f>
        <v/>
      </c>
      <c r="U623">
        <f>IF(OC_Donor=0,"",IF(INDEX('OneCause_Paste'!$A$623:$AZ$623,1,OC_Donor)="","",INDEX('OneCause_Paste'!$A$623:$AZ$623,1,OC_Donor)))</f>
        <v/>
      </c>
    </row>
    <row r="624">
      <c r="A624" s="62">
        <f>IF(H624="","",IF(ISNUMBER(N624),N624,I624))</f>
        <v/>
      </c>
      <c r="B624">
        <f>IF(H624="","",U624)</f>
        <v/>
      </c>
      <c r="C624">
        <f>IF(H624="","",IF(P624="",K624,INDEX('Students'!$A$2:$A$701,P624)))</f>
        <v/>
      </c>
      <c r="D624">
        <f>IF(OR(H624="",P624=""),"",INDEX('Students'!$B$2:$B$701,P624))</f>
        <v/>
      </c>
      <c r="E624">
        <f>IF(OR(H624="",P624=""),"",INDEX('Students'!$C$2:$C$701,P624))</f>
        <v/>
      </c>
      <c r="F624" s="48">
        <f>IF(H624="","",IF(ISNUMBER(O624),O624,J624))</f>
        <v/>
      </c>
      <c r="G624">
        <f>IF(H624="","","OneCause")</f>
        <v/>
      </c>
      <c r="H624">
        <f>IF(AND(I624="",J624="",K624=""),"",IF(NOT(ISNUMBER(O624)),"Bad amount",IF(O624&lt;0,"Refund (not counted)",IF(O624=0,"Zero amount",IF(NOT(ISNUMBER(N624)),"Bad date",IF(P624="","NAME NOT ON ROSTER",IF(L624="","OK",IF(MATCH(L624,$L$2:$L$3001,0)&lt;ROW()-1,"Duplicate (ignored)","OK"))))))))</f>
        <v/>
      </c>
      <c r="I624">
        <f>IF(OC_Date=0,"",IF(INDEX('OneCause_Paste'!$A$624:$AZ$624,1,OC_Date)="","",INDEX('OneCause_Paste'!$A$624:$AZ$624,1,OC_Date)))</f>
        <v/>
      </c>
      <c r="J624">
        <f>IF(OC_Amt=0,"",IF(INDEX('OneCause_Paste'!$A$624:$AZ$624,1,OC_Amt)="","",INDEX('OneCause_Paste'!$A$624:$AZ$624,1,OC_Amt)))</f>
        <v/>
      </c>
      <c r="K624">
        <f>IF(OC_Name=0,"",IF(INDEX('OneCause_Paste'!$A$624:$AZ$624,1,OC_Name)="","",INDEX('OneCause_Paste'!$A$624:$AZ$624,1,OC_Name)))</f>
        <v/>
      </c>
      <c r="L624">
        <f>IF(OC_Txn=0,"",IF(INDEX('OneCause_Paste'!$A$624:$AZ$624,1,OC_Txn)="","",INDEX('OneCause_Paste'!$A$624:$AZ$624,1,OC_Txn)))</f>
        <v/>
      </c>
      <c r="M624">
        <f>IF(OC_Pay=0,"",IF(INDEX('OneCause_Paste'!$A$624:$AZ$624,1,OC_Pay)="","",INDEX('OneCause_Paste'!$A$624:$AZ$624,1,OC_Pay)))</f>
        <v/>
      </c>
      <c r="N624">
        <f>IF(I624="","",IF(ISNUMBER(I624),INT(I624),IFERROR(INT(DATEVALUE(I624)),IFERROR(INT(VALUE(I624)),"bad"))))</f>
        <v/>
      </c>
      <c r="O624">
        <f>IF(J624="","",IF(ISNUMBER(J624),ROUND(J624,2),IFERROR(ROUND(VALUE(SUBSTITUTE(SUBSTITUTE(SUBSTITUTE(J624,"$",""),",","")," ","")),2),"bad")))</f>
        <v/>
      </c>
      <c r="P624">
        <f>IF(TRIM(K624)="","",IFERROR(MATCH(LOWER(TRIM(K624)),'Students'!$AH$2:$AH$701,0),IFERROR(MATCH(LOWER(TRIM(K624)),'Students'!$AF$2:$AF$701,0),IFERROR(MATCH(LOWER(TRIM(K624)),'Students'!$AG$2:$AG$701,0),""))))</f>
        <v/>
      </c>
      <c r="R624">
        <f>IF(P624="","",INDEX('Students'!$AD$2:$AD$701,P624))</f>
        <v/>
      </c>
      <c r="S624">
        <f>IF(H624="OK",O624,0)</f>
        <v/>
      </c>
      <c r="T624">
        <f>IF(H624="OK",N624,"")</f>
        <v/>
      </c>
      <c r="U624">
        <f>IF(OC_Donor=0,"",IF(INDEX('OneCause_Paste'!$A$624:$AZ$624,1,OC_Donor)="","",INDEX('OneCause_Paste'!$A$624:$AZ$624,1,OC_Donor)))</f>
        <v/>
      </c>
    </row>
    <row r="625">
      <c r="A625" s="62">
        <f>IF(H625="","",IF(ISNUMBER(N625),N625,I625))</f>
        <v/>
      </c>
      <c r="B625">
        <f>IF(H625="","",U625)</f>
        <v/>
      </c>
      <c r="C625">
        <f>IF(H625="","",IF(P625="",K625,INDEX('Students'!$A$2:$A$701,P625)))</f>
        <v/>
      </c>
      <c r="D625">
        <f>IF(OR(H625="",P625=""),"",INDEX('Students'!$B$2:$B$701,P625))</f>
        <v/>
      </c>
      <c r="E625">
        <f>IF(OR(H625="",P625=""),"",INDEX('Students'!$C$2:$C$701,P625))</f>
        <v/>
      </c>
      <c r="F625" s="48">
        <f>IF(H625="","",IF(ISNUMBER(O625),O625,J625))</f>
        <v/>
      </c>
      <c r="G625">
        <f>IF(H625="","","OneCause")</f>
        <v/>
      </c>
      <c r="H625">
        <f>IF(AND(I625="",J625="",K625=""),"",IF(NOT(ISNUMBER(O625)),"Bad amount",IF(O625&lt;0,"Refund (not counted)",IF(O625=0,"Zero amount",IF(NOT(ISNUMBER(N625)),"Bad date",IF(P625="","NAME NOT ON ROSTER",IF(L625="","OK",IF(MATCH(L625,$L$2:$L$3001,0)&lt;ROW()-1,"Duplicate (ignored)","OK"))))))))</f>
        <v/>
      </c>
      <c r="I625">
        <f>IF(OC_Date=0,"",IF(INDEX('OneCause_Paste'!$A$625:$AZ$625,1,OC_Date)="","",INDEX('OneCause_Paste'!$A$625:$AZ$625,1,OC_Date)))</f>
        <v/>
      </c>
      <c r="J625">
        <f>IF(OC_Amt=0,"",IF(INDEX('OneCause_Paste'!$A$625:$AZ$625,1,OC_Amt)="","",INDEX('OneCause_Paste'!$A$625:$AZ$625,1,OC_Amt)))</f>
        <v/>
      </c>
      <c r="K625">
        <f>IF(OC_Name=0,"",IF(INDEX('OneCause_Paste'!$A$625:$AZ$625,1,OC_Name)="","",INDEX('OneCause_Paste'!$A$625:$AZ$625,1,OC_Name)))</f>
        <v/>
      </c>
      <c r="L625">
        <f>IF(OC_Txn=0,"",IF(INDEX('OneCause_Paste'!$A$625:$AZ$625,1,OC_Txn)="","",INDEX('OneCause_Paste'!$A$625:$AZ$625,1,OC_Txn)))</f>
        <v/>
      </c>
      <c r="M625">
        <f>IF(OC_Pay=0,"",IF(INDEX('OneCause_Paste'!$A$625:$AZ$625,1,OC_Pay)="","",INDEX('OneCause_Paste'!$A$625:$AZ$625,1,OC_Pay)))</f>
        <v/>
      </c>
      <c r="N625">
        <f>IF(I625="","",IF(ISNUMBER(I625),INT(I625),IFERROR(INT(DATEVALUE(I625)),IFERROR(INT(VALUE(I625)),"bad"))))</f>
        <v/>
      </c>
      <c r="O625">
        <f>IF(J625="","",IF(ISNUMBER(J625),ROUND(J625,2),IFERROR(ROUND(VALUE(SUBSTITUTE(SUBSTITUTE(SUBSTITUTE(J625,"$",""),",","")," ","")),2),"bad")))</f>
        <v/>
      </c>
      <c r="P625">
        <f>IF(TRIM(K625)="","",IFERROR(MATCH(LOWER(TRIM(K625)),'Students'!$AH$2:$AH$701,0),IFERROR(MATCH(LOWER(TRIM(K625)),'Students'!$AF$2:$AF$701,0),IFERROR(MATCH(LOWER(TRIM(K625)),'Students'!$AG$2:$AG$701,0),""))))</f>
        <v/>
      </c>
      <c r="R625">
        <f>IF(P625="","",INDEX('Students'!$AD$2:$AD$701,P625))</f>
        <v/>
      </c>
      <c r="S625">
        <f>IF(H625="OK",O625,0)</f>
        <v/>
      </c>
      <c r="T625">
        <f>IF(H625="OK",N625,"")</f>
        <v/>
      </c>
      <c r="U625">
        <f>IF(OC_Donor=0,"",IF(INDEX('OneCause_Paste'!$A$625:$AZ$625,1,OC_Donor)="","",INDEX('OneCause_Paste'!$A$625:$AZ$625,1,OC_Donor)))</f>
        <v/>
      </c>
    </row>
    <row r="626">
      <c r="A626" s="62">
        <f>IF(H626="","",IF(ISNUMBER(N626),N626,I626))</f>
        <v/>
      </c>
      <c r="B626">
        <f>IF(H626="","",U626)</f>
        <v/>
      </c>
      <c r="C626">
        <f>IF(H626="","",IF(P626="",K626,INDEX('Students'!$A$2:$A$701,P626)))</f>
        <v/>
      </c>
      <c r="D626">
        <f>IF(OR(H626="",P626=""),"",INDEX('Students'!$B$2:$B$701,P626))</f>
        <v/>
      </c>
      <c r="E626">
        <f>IF(OR(H626="",P626=""),"",INDEX('Students'!$C$2:$C$701,P626))</f>
        <v/>
      </c>
      <c r="F626" s="48">
        <f>IF(H626="","",IF(ISNUMBER(O626),O626,J626))</f>
        <v/>
      </c>
      <c r="G626">
        <f>IF(H626="","","OneCause")</f>
        <v/>
      </c>
      <c r="H626">
        <f>IF(AND(I626="",J626="",K626=""),"",IF(NOT(ISNUMBER(O626)),"Bad amount",IF(O626&lt;0,"Refund (not counted)",IF(O626=0,"Zero amount",IF(NOT(ISNUMBER(N626)),"Bad date",IF(P626="","NAME NOT ON ROSTER",IF(L626="","OK",IF(MATCH(L626,$L$2:$L$3001,0)&lt;ROW()-1,"Duplicate (ignored)","OK"))))))))</f>
        <v/>
      </c>
      <c r="I626">
        <f>IF(OC_Date=0,"",IF(INDEX('OneCause_Paste'!$A$626:$AZ$626,1,OC_Date)="","",INDEX('OneCause_Paste'!$A$626:$AZ$626,1,OC_Date)))</f>
        <v/>
      </c>
      <c r="J626">
        <f>IF(OC_Amt=0,"",IF(INDEX('OneCause_Paste'!$A$626:$AZ$626,1,OC_Amt)="","",INDEX('OneCause_Paste'!$A$626:$AZ$626,1,OC_Amt)))</f>
        <v/>
      </c>
      <c r="K626">
        <f>IF(OC_Name=0,"",IF(INDEX('OneCause_Paste'!$A$626:$AZ$626,1,OC_Name)="","",INDEX('OneCause_Paste'!$A$626:$AZ$626,1,OC_Name)))</f>
        <v/>
      </c>
      <c r="L626">
        <f>IF(OC_Txn=0,"",IF(INDEX('OneCause_Paste'!$A$626:$AZ$626,1,OC_Txn)="","",INDEX('OneCause_Paste'!$A$626:$AZ$626,1,OC_Txn)))</f>
        <v/>
      </c>
      <c r="M626">
        <f>IF(OC_Pay=0,"",IF(INDEX('OneCause_Paste'!$A$626:$AZ$626,1,OC_Pay)="","",INDEX('OneCause_Paste'!$A$626:$AZ$626,1,OC_Pay)))</f>
        <v/>
      </c>
      <c r="N626">
        <f>IF(I626="","",IF(ISNUMBER(I626),INT(I626),IFERROR(INT(DATEVALUE(I626)),IFERROR(INT(VALUE(I626)),"bad"))))</f>
        <v/>
      </c>
      <c r="O626">
        <f>IF(J626="","",IF(ISNUMBER(J626),ROUND(J626,2),IFERROR(ROUND(VALUE(SUBSTITUTE(SUBSTITUTE(SUBSTITUTE(J626,"$",""),",","")," ","")),2),"bad")))</f>
        <v/>
      </c>
      <c r="P626">
        <f>IF(TRIM(K626)="","",IFERROR(MATCH(LOWER(TRIM(K626)),'Students'!$AH$2:$AH$701,0),IFERROR(MATCH(LOWER(TRIM(K626)),'Students'!$AF$2:$AF$701,0),IFERROR(MATCH(LOWER(TRIM(K626)),'Students'!$AG$2:$AG$701,0),""))))</f>
        <v/>
      </c>
      <c r="R626">
        <f>IF(P626="","",INDEX('Students'!$AD$2:$AD$701,P626))</f>
        <v/>
      </c>
      <c r="S626">
        <f>IF(H626="OK",O626,0)</f>
        <v/>
      </c>
      <c r="T626">
        <f>IF(H626="OK",N626,"")</f>
        <v/>
      </c>
      <c r="U626">
        <f>IF(OC_Donor=0,"",IF(INDEX('OneCause_Paste'!$A$626:$AZ$626,1,OC_Donor)="","",INDEX('OneCause_Paste'!$A$626:$AZ$626,1,OC_Donor)))</f>
        <v/>
      </c>
    </row>
    <row r="627">
      <c r="A627" s="62">
        <f>IF(H627="","",IF(ISNUMBER(N627),N627,I627))</f>
        <v/>
      </c>
      <c r="B627">
        <f>IF(H627="","",U627)</f>
        <v/>
      </c>
      <c r="C627">
        <f>IF(H627="","",IF(P627="",K627,INDEX('Students'!$A$2:$A$701,P627)))</f>
        <v/>
      </c>
      <c r="D627">
        <f>IF(OR(H627="",P627=""),"",INDEX('Students'!$B$2:$B$701,P627))</f>
        <v/>
      </c>
      <c r="E627">
        <f>IF(OR(H627="",P627=""),"",INDEX('Students'!$C$2:$C$701,P627))</f>
        <v/>
      </c>
      <c r="F627" s="48">
        <f>IF(H627="","",IF(ISNUMBER(O627),O627,J627))</f>
        <v/>
      </c>
      <c r="G627">
        <f>IF(H627="","","OneCause")</f>
        <v/>
      </c>
      <c r="H627">
        <f>IF(AND(I627="",J627="",K627=""),"",IF(NOT(ISNUMBER(O627)),"Bad amount",IF(O627&lt;0,"Refund (not counted)",IF(O627=0,"Zero amount",IF(NOT(ISNUMBER(N627)),"Bad date",IF(P627="","NAME NOT ON ROSTER",IF(L627="","OK",IF(MATCH(L627,$L$2:$L$3001,0)&lt;ROW()-1,"Duplicate (ignored)","OK"))))))))</f>
        <v/>
      </c>
      <c r="I627">
        <f>IF(OC_Date=0,"",IF(INDEX('OneCause_Paste'!$A$627:$AZ$627,1,OC_Date)="","",INDEX('OneCause_Paste'!$A$627:$AZ$627,1,OC_Date)))</f>
        <v/>
      </c>
      <c r="J627">
        <f>IF(OC_Amt=0,"",IF(INDEX('OneCause_Paste'!$A$627:$AZ$627,1,OC_Amt)="","",INDEX('OneCause_Paste'!$A$627:$AZ$627,1,OC_Amt)))</f>
        <v/>
      </c>
      <c r="K627">
        <f>IF(OC_Name=0,"",IF(INDEX('OneCause_Paste'!$A$627:$AZ$627,1,OC_Name)="","",INDEX('OneCause_Paste'!$A$627:$AZ$627,1,OC_Name)))</f>
        <v/>
      </c>
      <c r="L627">
        <f>IF(OC_Txn=0,"",IF(INDEX('OneCause_Paste'!$A$627:$AZ$627,1,OC_Txn)="","",INDEX('OneCause_Paste'!$A$627:$AZ$627,1,OC_Txn)))</f>
        <v/>
      </c>
      <c r="M627">
        <f>IF(OC_Pay=0,"",IF(INDEX('OneCause_Paste'!$A$627:$AZ$627,1,OC_Pay)="","",INDEX('OneCause_Paste'!$A$627:$AZ$627,1,OC_Pay)))</f>
        <v/>
      </c>
      <c r="N627">
        <f>IF(I627="","",IF(ISNUMBER(I627),INT(I627),IFERROR(INT(DATEVALUE(I627)),IFERROR(INT(VALUE(I627)),"bad"))))</f>
        <v/>
      </c>
      <c r="O627">
        <f>IF(J627="","",IF(ISNUMBER(J627),ROUND(J627,2),IFERROR(ROUND(VALUE(SUBSTITUTE(SUBSTITUTE(SUBSTITUTE(J627,"$",""),",","")," ","")),2),"bad")))</f>
        <v/>
      </c>
      <c r="P627">
        <f>IF(TRIM(K627)="","",IFERROR(MATCH(LOWER(TRIM(K627)),'Students'!$AH$2:$AH$701,0),IFERROR(MATCH(LOWER(TRIM(K627)),'Students'!$AF$2:$AF$701,0),IFERROR(MATCH(LOWER(TRIM(K627)),'Students'!$AG$2:$AG$701,0),""))))</f>
        <v/>
      </c>
      <c r="R627">
        <f>IF(P627="","",INDEX('Students'!$AD$2:$AD$701,P627))</f>
        <v/>
      </c>
      <c r="S627">
        <f>IF(H627="OK",O627,0)</f>
        <v/>
      </c>
      <c r="T627">
        <f>IF(H627="OK",N627,"")</f>
        <v/>
      </c>
      <c r="U627">
        <f>IF(OC_Donor=0,"",IF(INDEX('OneCause_Paste'!$A$627:$AZ$627,1,OC_Donor)="","",INDEX('OneCause_Paste'!$A$627:$AZ$627,1,OC_Donor)))</f>
        <v/>
      </c>
    </row>
    <row r="628">
      <c r="A628" s="62">
        <f>IF(H628="","",IF(ISNUMBER(N628),N628,I628))</f>
        <v/>
      </c>
      <c r="B628">
        <f>IF(H628="","",U628)</f>
        <v/>
      </c>
      <c r="C628">
        <f>IF(H628="","",IF(P628="",K628,INDEX('Students'!$A$2:$A$701,P628)))</f>
        <v/>
      </c>
      <c r="D628">
        <f>IF(OR(H628="",P628=""),"",INDEX('Students'!$B$2:$B$701,P628))</f>
        <v/>
      </c>
      <c r="E628">
        <f>IF(OR(H628="",P628=""),"",INDEX('Students'!$C$2:$C$701,P628))</f>
        <v/>
      </c>
      <c r="F628" s="48">
        <f>IF(H628="","",IF(ISNUMBER(O628),O628,J628))</f>
        <v/>
      </c>
      <c r="G628">
        <f>IF(H628="","","OneCause")</f>
        <v/>
      </c>
      <c r="H628">
        <f>IF(AND(I628="",J628="",K628=""),"",IF(NOT(ISNUMBER(O628)),"Bad amount",IF(O628&lt;0,"Refund (not counted)",IF(O628=0,"Zero amount",IF(NOT(ISNUMBER(N628)),"Bad date",IF(P628="","NAME NOT ON ROSTER",IF(L628="","OK",IF(MATCH(L628,$L$2:$L$3001,0)&lt;ROW()-1,"Duplicate (ignored)","OK"))))))))</f>
        <v/>
      </c>
      <c r="I628">
        <f>IF(OC_Date=0,"",IF(INDEX('OneCause_Paste'!$A$628:$AZ$628,1,OC_Date)="","",INDEX('OneCause_Paste'!$A$628:$AZ$628,1,OC_Date)))</f>
        <v/>
      </c>
      <c r="J628">
        <f>IF(OC_Amt=0,"",IF(INDEX('OneCause_Paste'!$A$628:$AZ$628,1,OC_Amt)="","",INDEX('OneCause_Paste'!$A$628:$AZ$628,1,OC_Amt)))</f>
        <v/>
      </c>
      <c r="K628">
        <f>IF(OC_Name=0,"",IF(INDEX('OneCause_Paste'!$A$628:$AZ$628,1,OC_Name)="","",INDEX('OneCause_Paste'!$A$628:$AZ$628,1,OC_Name)))</f>
        <v/>
      </c>
      <c r="L628">
        <f>IF(OC_Txn=0,"",IF(INDEX('OneCause_Paste'!$A$628:$AZ$628,1,OC_Txn)="","",INDEX('OneCause_Paste'!$A$628:$AZ$628,1,OC_Txn)))</f>
        <v/>
      </c>
      <c r="M628">
        <f>IF(OC_Pay=0,"",IF(INDEX('OneCause_Paste'!$A$628:$AZ$628,1,OC_Pay)="","",INDEX('OneCause_Paste'!$A$628:$AZ$628,1,OC_Pay)))</f>
        <v/>
      </c>
      <c r="N628">
        <f>IF(I628="","",IF(ISNUMBER(I628),INT(I628),IFERROR(INT(DATEVALUE(I628)),IFERROR(INT(VALUE(I628)),"bad"))))</f>
        <v/>
      </c>
      <c r="O628">
        <f>IF(J628="","",IF(ISNUMBER(J628),ROUND(J628,2),IFERROR(ROUND(VALUE(SUBSTITUTE(SUBSTITUTE(SUBSTITUTE(J628,"$",""),",","")," ","")),2),"bad")))</f>
        <v/>
      </c>
      <c r="P628">
        <f>IF(TRIM(K628)="","",IFERROR(MATCH(LOWER(TRIM(K628)),'Students'!$AH$2:$AH$701,0),IFERROR(MATCH(LOWER(TRIM(K628)),'Students'!$AF$2:$AF$701,0),IFERROR(MATCH(LOWER(TRIM(K628)),'Students'!$AG$2:$AG$701,0),""))))</f>
        <v/>
      </c>
      <c r="R628">
        <f>IF(P628="","",INDEX('Students'!$AD$2:$AD$701,P628))</f>
        <v/>
      </c>
      <c r="S628">
        <f>IF(H628="OK",O628,0)</f>
        <v/>
      </c>
      <c r="T628">
        <f>IF(H628="OK",N628,"")</f>
        <v/>
      </c>
      <c r="U628">
        <f>IF(OC_Donor=0,"",IF(INDEX('OneCause_Paste'!$A$628:$AZ$628,1,OC_Donor)="","",INDEX('OneCause_Paste'!$A$628:$AZ$628,1,OC_Donor)))</f>
        <v/>
      </c>
    </row>
    <row r="629">
      <c r="A629" s="62">
        <f>IF(H629="","",IF(ISNUMBER(N629),N629,I629))</f>
        <v/>
      </c>
      <c r="B629">
        <f>IF(H629="","",U629)</f>
        <v/>
      </c>
      <c r="C629">
        <f>IF(H629="","",IF(P629="",K629,INDEX('Students'!$A$2:$A$701,P629)))</f>
        <v/>
      </c>
      <c r="D629">
        <f>IF(OR(H629="",P629=""),"",INDEX('Students'!$B$2:$B$701,P629))</f>
        <v/>
      </c>
      <c r="E629">
        <f>IF(OR(H629="",P629=""),"",INDEX('Students'!$C$2:$C$701,P629))</f>
        <v/>
      </c>
      <c r="F629" s="48">
        <f>IF(H629="","",IF(ISNUMBER(O629),O629,J629))</f>
        <v/>
      </c>
      <c r="G629">
        <f>IF(H629="","","OneCause")</f>
        <v/>
      </c>
      <c r="H629">
        <f>IF(AND(I629="",J629="",K629=""),"",IF(NOT(ISNUMBER(O629)),"Bad amount",IF(O629&lt;0,"Refund (not counted)",IF(O629=0,"Zero amount",IF(NOT(ISNUMBER(N629)),"Bad date",IF(P629="","NAME NOT ON ROSTER",IF(L629="","OK",IF(MATCH(L629,$L$2:$L$3001,0)&lt;ROW()-1,"Duplicate (ignored)","OK"))))))))</f>
        <v/>
      </c>
      <c r="I629">
        <f>IF(OC_Date=0,"",IF(INDEX('OneCause_Paste'!$A$629:$AZ$629,1,OC_Date)="","",INDEX('OneCause_Paste'!$A$629:$AZ$629,1,OC_Date)))</f>
        <v/>
      </c>
      <c r="J629">
        <f>IF(OC_Amt=0,"",IF(INDEX('OneCause_Paste'!$A$629:$AZ$629,1,OC_Amt)="","",INDEX('OneCause_Paste'!$A$629:$AZ$629,1,OC_Amt)))</f>
        <v/>
      </c>
      <c r="K629">
        <f>IF(OC_Name=0,"",IF(INDEX('OneCause_Paste'!$A$629:$AZ$629,1,OC_Name)="","",INDEX('OneCause_Paste'!$A$629:$AZ$629,1,OC_Name)))</f>
        <v/>
      </c>
      <c r="L629">
        <f>IF(OC_Txn=0,"",IF(INDEX('OneCause_Paste'!$A$629:$AZ$629,1,OC_Txn)="","",INDEX('OneCause_Paste'!$A$629:$AZ$629,1,OC_Txn)))</f>
        <v/>
      </c>
      <c r="M629">
        <f>IF(OC_Pay=0,"",IF(INDEX('OneCause_Paste'!$A$629:$AZ$629,1,OC_Pay)="","",INDEX('OneCause_Paste'!$A$629:$AZ$629,1,OC_Pay)))</f>
        <v/>
      </c>
      <c r="N629">
        <f>IF(I629="","",IF(ISNUMBER(I629),INT(I629),IFERROR(INT(DATEVALUE(I629)),IFERROR(INT(VALUE(I629)),"bad"))))</f>
        <v/>
      </c>
      <c r="O629">
        <f>IF(J629="","",IF(ISNUMBER(J629),ROUND(J629,2),IFERROR(ROUND(VALUE(SUBSTITUTE(SUBSTITUTE(SUBSTITUTE(J629,"$",""),",","")," ","")),2),"bad")))</f>
        <v/>
      </c>
      <c r="P629">
        <f>IF(TRIM(K629)="","",IFERROR(MATCH(LOWER(TRIM(K629)),'Students'!$AH$2:$AH$701,0),IFERROR(MATCH(LOWER(TRIM(K629)),'Students'!$AF$2:$AF$701,0),IFERROR(MATCH(LOWER(TRIM(K629)),'Students'!$AG$2:$AG$701,0),""))))</f>
        <v/>
      </c>
      <c r="R629">
        <f>IF(P629="","",INDEX('Students'!$AD$2:$AD$701,P629))</f>
        <v/>
      </c>
      <c r="S629">
        <f>IF(H629="OK",O629,0)</f>
        <v/>
      </c>
      <c r="T629">
        <f>IF(H629="OK",N629,"")</f>
        <v/>
      </c>
      <c r="U629">
        <f>IF(OC_Donor=0,"",IF(INDEX('OneCause_Paste'!$A$629:$AZ$629,1,OC_Donor)="","",INDEX('OneCause_Paste'!$A$629:$AZ$629,1,OC_Donor)))</f>
        <v/>
      </c>
    </row>
    <row r="630">
      <c r="A630" s="62">
        <f>IF(H630="","",IF(ISNUMBER(N630),N630,I630))</f>
        <v/>
      </c>
      <c r="B630">
        <f>IF(H630="","",U630)</f>
        <v/>
      </c>
      <c r="C630">
        <f>IF(H630="","",IF(P630="",K630,INDEX('Students'!$A$2:$A$701,P630)))</f>
        <v/>
      </c>
      <c r="D630">
        <f>IF(OR(H630="",P630=""),"",INDEX('Students'!$B$2:$B$701,P630))</f>
        <v/>
      </c>
      <c r="E630">
        <f>IF(OR(H630="",P630=""),"",INDEX('Students'!$C$2:$C$701,P630))</f>
        <v/>
      </c>
      <c r="F630" s="48">
        <f>IF(H630="","",IF(ISNUMBER(O630),O630,J630))</f>
        <v/>
      </c>
      <c r="G630">
        <f>IF(H630="","","OneCause")</f>
        <v/>
      </c>
      <c r="H630">
        <f>IF(AND(I630="",J630="",K630=""),"",IF(NOT(ISNUMBER(O630)),"Bad amount",IF(O630&lt;0,"Refund (not counted)",IF(O630=0,"Zero amount",IF(NOT(ISNUMBER(N630)),"Bad date",IF(P630="","NAME NOT ON ROSTER",IF(L630="","OK",IF(MATCH(L630,$L$2:$L$3001,0)&lt;ROW()-1,"Duplicate (ignored)","OK"))))))))</f>
        <v/>
      </c>
      <c r="I630">
        <f>IF(OC_Date=0,"",IF(INDEX('OneCause_Paste'!$A$630:$AZ$630,1,OC_Date)="","",INDEX('OneCause_Paste'!$A$630:$AZ$630,1,OC_Date)))</f>
        <v/>
      </c>
      <c r="J630">
        <f>IF(OC_Amt=0,"",IF(INDEX('OneCause_Paste'!$A$630:$AZ$630,1,OC_Amt)="","",INDEX('OneCause_Paste'!$A$630:$AZ$630,1,OC_Amt)))</f>
        <v/>
      </c>
      <c r="K630">
        <f>IF(OC_Name=0,"",IF(INDEX('OneCause_Paste'!$A$630:$AZ$630,1,OC_Name)="","",INDEX('OneCause_Paste'!$A$630:$AZ$630,1,OC_Name)))</f>
        <v/>
      </c>
      <c r="L630">
        <f>IF(OC_Txn=0,"",IF(INDEX('OneCause_Paste'!$A$630:$AZ$630,1,OC_Txn)="","",INDEX('OneCause_Paste'!$A$630:$AZ$630,1,OC_Txn)))</f>
        <v/>
      </c>
      <c r="M630">
        <f>IF(OC_Pay=0,"",IF(INDEX('OneCause_Paste'!$A$630:$AZ$630,1,OC_Pay)="","",INDEX('OneCause_Paste'!$A$630:$AZ$630,1,OC_Pay)))</f>
        <v/>
      </c>
      <c r="N630">
        <f>IF(I630="","",IF(ISNUMBER(I630),INT(I630),IFERROR(INT(DATEVALUE(I630)),IFERROR(INT(VALUE(I630)),"bad"))))</f>
        <v/>
      </c>
      <c r="O630">
        <f>IF(J630="","",IF(ISNUMBER(J630),ROUND(J630,2),IFERROR(ROUND(VALUE(SUBSTITUTE(SUBSTITUTE(SUBSTITUTE(J630,"$",""),",","")," ","")),2),"bad")))</f>
        <v/>
      </c>
      <c r="P630">
        <f>IF(TRIM(K630)="","",IFERROR(MATCH(LOWER(TRIM(K630)),'Students'!$AH$2:$AH$701,0),IFERROR(MATCH(LOWER(TRIM(K630)),'Students'!$AF$2:$AF$701,0),IFERROR(MATCH(LOWER(TRIM(K630)),'Students'!$AG$2:$AG$701,0),""))))</f>
        <v/>
      </c>
      <c r="R630">
        <f>IF(P630="","",INDEX('Students'!$AD$2:$AD$701,P630))</f>
        <v/>
      </c>
      <c r="S630">
        <f>IF(H630="OK",O630,0)</f>
        <v/>
      </c>
      <c r="T630">
        <f>IF(H630="OK",N630,"")</f>
        <v/>
      </c>
      <c r="U630">
        <f>IF(OC_Donor=0,"",IF(INDEX('OneCause_Paste'!$A$630:$AZ$630,1,OC_Donor)="","",INDEX('OneCause_Paste'!$A$630:$AZ$630,1,OC_Donor)))</f>
        <v/>
      </c>
    </row>
    <row r="631">
      <c r="A631" s="62">
        <f>IF(H631="","",IF(ISNUMBER(N631),N631,I631))</f>
        <v/>
      </c>
      <c r="B631">
        <f>IF(H631="","",U631)</f>
        <v/>
      </c>
      <c r="C631">
        <f>IF(H631="","",IF(P631="",K631,INDEX('Students'!$A$2:$A$701,P631)))</f>
        <v/>
      </c>
      <c r="D631">
        <f>IF(OR(H631="",P631=""),"",INDEX('Students'!$B$2:$B$701,P631))</f>
        <v/>
      </c>
      <c r="E631">
        <f>IF(OR(H631="",P631=""),"",INDEX('Students'!$C$2:$C$701,P631))</f>
        <v/>
      </c>
      <c r="F631" s="48">
        <f>IF(H631="","",IF(ISNUMBER(O631),O631,J631))</f>
        <v/>
      </c>
      <c r="G631">
        <f>IF(H631="","","OneCause")</f>
        <v/>
      </c>
      <c r="H631">
        <f>IF(AND(I631="",J631="",K631=""),"",IF(NOT(ISNUMBER(O631)),"Bad amount",IF(O631&lt;0,"Refund (not counted)",IF(O631=0,"Zero amount",IF(NOT(ISNUMBER(N631)),"Bad date",IF(P631="","NAME NOT ON ROSTER",IF(L631="","OK",IF(MATCH(L631,$L$2:$L$3001,0)&lt;ROW()-1,"Duplicate (ignored)","OK"))))))))</f>
        <v/>
      </c>
      <c r="I631">
        <f>IF(OC_Date=0,"",IF(INDEX('OneCause_Paste'!$A$631:$AZ$631,1,OC_Date)="","",INDEX('OneCause_Paste'!$A$631:$AZ$631,1,OC_Date)))</f>
        <v/>
      </c>
      <c r="J631">
        <f>IF(OC_Amt=0,"",IF(INDEX('OneCause_Paste'!$A$631:$AZ$631,1,OC_Amt)="","",INDEX('OneCause_Paste'!$A$631:$AZ$631,1,OC_Amt)))</f>
        <v/>
      </c>
      <c r="K631">
        <f>IF(OC_Name=0,"",IF(INDEX('OneCause_Paste'!$A$631:$AZ$631,1,OC_Name)="","",INDEX('OneCause_Paste'!$A$631:$AZ$631,1,OC_Name)))</f>
        <v/>
      </c>
      <c r="L631">
        <f>IF(OC_Txn=0,"",IF(INDEX('OneCause_Paste'!$A$631:$AZ$631,1,OC_Txn)="","",INDEX('OneCause_Paste'!$A$631:$AZ$631,1,OC_Txn)))</f>
        <v/>
      </c>
      <c r="M631">
        <f>IF(OC_Pay=0,"",IF(INDEX('OneCause_Paste'!$A$631:$AZ$631,1,OC_Pay)="","",INDEX('OneCause_Paste'!$A$631:$AZ$631,1,OC_Pay)))</f>
        <v/>
      </c>
      <c r="N631">
        <f>IF(I631="","",IF(ISNUMBER(I631),INT(I631),IFERROR(INT(DATEVALUE(I631)),IFERROR(INT(VALUE(I631)),"bad"))))</f>
        <v/>
      </c>
      <c r="O631">
        <f>IF(J631="","",IF(ISNUMBER(J631),ROUND(J631,2),IFERROR(ROUND(VALUE(SUBSTITUTE(SUBSTITUTE(SUBSTITUTE(J631,"$",""),",","")," ","")),2),"bad")))</f>
        <v/>
      </c>
      <c r="P631">
        <f>IF(TRIM(K631)="","",IFERROR(MATCH(LOWER(TRIM(K631)),'Students'!$AH$2:$AH$701,0),IFERROR(MATCH(LOWER(TRIM(K631)),'Students'!$AF$2:$AF$701,0),IFERROR(MATCH(LOWER(TRIM(K631)),'Students'!$AG$2:$AG$701,0),""))))</f>
        <v/>
      </c>
      <c r="R631">
        <f>IF(P631="","",INDEX('Students'!$AD$2:$AD$701,P631))</f>
        <v/>
      </c>
      <c r="S631">
        <f>IF(H631="OK",O631,0)</f>
        <v/>
      </c>
      <c r="T631">
        <f>IF(H631="OK",N631,"")</f>
        <v/>
      </c>
      <c r="U631">
        <f>IF(OC_Donor=0,"",IF(INDEX('OneCause_Paste'!$A$631:$AZ$631,1,OC_Donor)="","",INDEX('OneCause_Paste'!$A$631:$AZ$631,1,OC_Donor)))</f>
        <v/>
      </c>
    </row>
    <row r="632">
      <c r="A632" s="62">
        <f>IF(H632="","",IF(ISNUMBER(N632),N632,I632))</f>
        <v/>
      </c>
      <c r="B632">
        <f>IF(H632="","",U632)</f>
        <v/>
      </c>
      <c r="C632">
        <f>IF(H632="","",IF(P632="",K632,INDEX('Students'!$A$2:$A$701,P632)))</f>
        <v/>
      </c>
      <c r="D632">
        <f>IF(OR(H632="",P632=""),"",INDEX('Students'!$B$2:$B$701,P632))</f>
        <v/>
      </c>
      <c r="E632">
        <f>IF(OR(H632="",P632=""),"",INDEX('Students'!$C$2:$C$701,P632))</f>
        <v/>
      </c>
      <c r="F632" s="48">
        <f>IF(H632="","",IF(ISNUMBER(O632),O632,J632))</f>
        <v/>
      </c>
      <c r="G632">
        <f>IF(H632="","","OneCause")</f>
        <v/>
      </c>
      <c r="H632">
        <f>IF(AND(I632="",J632="",K632=""),"",IF(NOT(ISNUMBER(O632)),"Bad amount",IF(O632&lt;0,"Refund (not counted)",IF(O632=0,"Zero amount",IF(NOT(ISNUMBER(N632)),"Bad date",IF(P632="","NAME NOT ON ROSTER",IF(L632="","OK",IF(MATCH(L632,$L$2:$L$3001,0)&lt;ROW()-1,"Duplicate (ignored)","OK"))))))))</f>
        <v/>
      </c>
      <c r="I632">
        <f>IF(OC_Date=0,"",IF(INDEX('OneCause_Paste'!$A$632:$AZ$632,1,OC_Date)="","",INDEX('OneCause_Paste'!$A$632:$AZ$632,1,OC_Date)))</f>
        <v/>
      </c>
      <c r="J632">
        <f>IF(OC_Amt=0,"",IF(INDEX('OneCause_Paste'!$A$632:$AZ$632,1,OC_Amt)="","",INDEX('OneCause_Paste'!$A$632:$AZ$632,1,OC_Amt)))</f>
        <v/>
      </c>
      <c r="K632">
        <f>IF(OC_Name=0,"",IF(INDEX('OneCause_Paste'!$A$632:$AZ$632,1,OC_Name)="","",INDEX('OneCause_Paste'!$A$632:$AZ$632,1,OC_Name)))</f>
        <v/>
      </c>
      <c r="L632">
        <f>IF(OC_Txn=0,"",IF(INDEX('OneCause_Paste'!$A$632:$AZ$632,1,OC_Txn)="","",INDEX('OneCause_Paste'!$A$632:$AZ$632,1,OC_Txn)))</f>
        <v/>
      </c>
      <c r="M632">
        <f>IF(OC_Pay=0,"",IF(INDEX('OneCause_Paste'!$A$632:$AZ$632,1,OC_Pay)="","",INDEX('OneCause_Paste'!$A$632:$AZ$632,1,OC_Pay)))</f>
        <v/>
      </c>
      <c r="N632">
        <f>IF(I632="","",IF(ISNUMBER(I632),INT(I632),IFERROR(INT(DATEVALUE(I632)),IFERROR(INT(VALUE(I632)),"bad"))))</f>
        <v/>
      </c>
      <c r="O632">
        <f>IF(J632="","",IF(ISNUMBER(J632),ROUND(J632,2),IFERROR(ROUND(VALUE(SUBSTITUTE(SUBSTITUTE(SUBSTITUTE(J632,"$",""),",","")," ","")),2),"bad")))</f>
        <v/>
      </c>
      <c r="P632">
        <f>IF(TRIM(K632)="","",IFERROR(MATCH(LOWER(TRIM(K632)),'Students'!$AH$2:$AH$701,0),IFERROR(MATCH(LOWER(TRIM(K632)),'Students'!$AF$2:$AF$701,0),IFERROR(MATCH(LOWER(TRIM(K632)),'Students'!$AG$2:$AG$701,0),""))))</f>
        <v/>
      </c>
      <c r="R632">
        <f>IF(P632="","",INDEX('Students'!$AD$2:$AD$701,P632))</f>
        <v/>
      </c>
      <c r="S632">
        <f>IF(H632="OK",O632,0)</f>
        <v/>
      </c>
      <c r="T632">
        <f>IF(H632="OK",N632,"")</f>
        <v/>
      </c>
      <c r="U632">
        <f>IF(OC_Donor=0,"",IF(INDEX('OneCause_Paste'!$A$632:$AZ$632,1,OC_Donor)="","",INDEX('OneCause_Paste'!$A$632:$AZ$632,1,OC_Donor)))</f>
        <v/>
      </c>
    </row>
    <row r="633">
      <c r="A633" s="62">
        <f>IF(H633="","",IF(ISNUMBER(N633),N633,I633))</f>
        <v/>
      </c>
      <c r="B633">
        <f>IF(H633="","",U633)</f>
        <v/>
      </c>
      <c r="C633">
        <f>IF(H633="","",IF(P633="",K633,INDEX('Students'!$A$2:$A$701,P633)))</f>
        <v/>
      </c>
      <c r="D633">
        <f>IF(OR(H633="",P633=""),"",INDEX('Students'!$B$2:$B$701,P633))</f>
        <v/>
      </c>
      <c r="E633">
        <f>IF(OR(H633="",P633=""),"",INDEX('Students'!$C$2:$C$701,P633))</f>
        <v/>
      </c>
      <c r="F633" s="48">
        <f>IF(H633="","",IF(ISNUMBER(O633),O633,J633))</f>
        <v/>
      </c>
      <c r="G633">
        <f>IF(H633="","","OneCause")</f>
        <v/>
      </c>
      <c r="H633">
        <f>IF(AND(I633="",J633="",K633=""),"",IF(NOT(ISNUMBER(O633)),"Bad amount",IF(O633&lt;0,"Refund (not counted)",IF(O633=0,"Zero amount",IF(NOT(ISNUMBER(N633)),"Bad date",IF(P633="","NAME NOT ON ROSTER",IF(L633="","OK",IF(MATCH(L633,$L$2:$L$3001,0)&lt;ROW()-1,"Duplicate (ignored)","OK"))))))))</f>
        <v/>
      </c>
      <c r="I633">
        <f>IF(OC_Date=0,"",IF(INDEX('OneCause_Paste'!$A$633:$AZ$633,1,OC_Date)="","",INDEX('OneCause_Paste'!$A$633:$AZ$633,1,OC_Date)))</f>
        <v/>
      </c>
      <c r="J633">
        <f>IF(OC_Amt=0,"",IF(INDEX('OneCause_Paste'!$A$633:$AZ$633,1,OC_Amt)="","",INDEX('OneCause_Paste'!$A$633:$AZ$633,1,OC_Amt)))</f>
        <v/>
      </c>
      <c r="K633">
        <f>IF(OC_Name=0,"",IF(INDEX('OneCause_Paste'!$A$633:$AZ$633,1,OC_Name)="","",INDEX('OneCause_Paste'!$A$633:$AZ$633,1,OC_Name)))</f>
        <v/>
      </c>
      <c r="L633">
        <f>IF(OC_Txn=0,"",IF(INDEX('OneCause_Paste'!$A$633:$AZ$633,1,OC_Txn)="","",INDEX('OneCause_Paste'!$A$633:$AZ$633,1,OC_Txn)))</f>
        <v/>
      </c>
      <c r="M633">
        <f>IF(OC_Pay=0,"",IF(INDEX('OneCause_Paste'!$A$633:$AZ$633,1,OC_Pay)="","",INDEX('OneCause_Paste'!$A$633:$AZ$633,1,OC_Pay)))</f>
        <v/>
      </c>
      <c r="N633">
        <f>IF(I633="","",IF(ISNUMBER(I633),INT(I633),IFERROR(INT(DATEVALUE(I633)),IFERROR(INT(VALUE(I633)),"bad"))))</f>
        <v/>
      </c>
      <c r="O633">
        <f>IF(J633="","",IF(ISNUMBER(J633),ROUND(J633,2),IFERROR(ROUND(VALUE(SUBSTITUTE(SUBSTITUTE(SUBSTITUTE(J633,"$",""),",","")," ","")),2),"bad")))</f>
        <v/>
      </c>
      <c r="P633">
        <f>IF(TRIM(K633)="","",IFERROR(MATCH(LOWER(TRIM(K633)),'Students'!$AH$2:$AH$701,0),IFERROR(MATCH(LOWER(TRIM(K633)),'Students'!$AF$2:$AF$701,0),IFERROR(MATCH(LOWER(TRIM(K633)),'Students'!$AG$2:$AG$701,0),""))))</f>
        <v/>
      </c>
      <c r="R633">
        <f>IF(P633="","",INDEX('Students'!$AD$2:$AD$701,P633))</f>
        <v/>
      </c>
      <c r="S633">
        <f>IF(H633="OK",O633,0)</f>
        <v/>
      </c>
      <c r="T633">
        <f>IF(H633="OK",N633,"")</f>
        <v/>
      </c>
      <c r="U633">
        <f>IF(OC_Donor=0,"",IF(INDEX('OneCause_Paste'!$A$633:$AZ$633,1,OC_Donor)="","",INDEX('OneCause_Paste'!$A$633:$AZ$633,1,OC_Donor)))</f>
        <v/>
      </c>
    </row>
    <row r="634">
      <c r="A634" s="62">
        <f>IF(H634="","",IF(ISNUMBER(N634),N634,I634))</f>
        <v/>
      </c>
      <c r="B634">
        <f>IF(H634="","",U634)</f>
        <v/>
      </c>
      <c r="C634">
        <f>IF(H634="","",IF(P634="",K634,INDEX('Students'!$A$2:$A$701,P634)))</f>
        <v/>
      </c>
      <c r="D634">
        <f>IF(OR(H634="",P634=""),"",INDEX('Students'!$B$2:$B$701,P634))</f>
        <v/>
      </c>
      <c r="E634">
        <f>IF(OR(H634="",P634=""),"",INDEX('Students'!$C$2:$C$701,P634))</f>
        <v/>
      </c>
      <c r="F634" s="48">
        <f>IF(H634="","",IF(ISNUMBER(O634),O634,J634))</f>
        <v/>
      </c>
      <c r="G634">
        <f>IF(H634="","","OneCause")</f>
        <v/>
      </c>
      <c r="H634">
        <f>IF(AND(I634="",J634="",K634=""),"",IF(NOT(ISNUMBER(O634)),"Bad amount",IF(O634&lt;0,"Refund (not counted)",IF(O634=0,"Zero amount",IF(NOT(ISNUMBER(N634)),"Bad date",IF(P634="","NAME NOT ON ROSTER",IF(L634="","OK",IF(MATCH(L634,$L$2:$L$3001,0)&lt;ROW()-1,"Duplicate (ignored)","OK"))))))))</f>
        <v/>
      </c>
      <c r="I634">
        <f>IF(OC_Date=0,"",IF(INDEX('OneCause_Paste'!$A$634:$AZ$634,1,OC_Date)="","",INDEX('OneCause_Paste'!$A$634:$AZ$634,1,OC_Date)))</f>
        <v/>
      </c>
      <c r="J634">
        <f>IF(OC_Amt=0,"",IF(INDEX('OneCause_Paste'!$A$634:$AZ$634,1,OC_Amt)="","",INDEX('OneCause_Paste'!$A$634:$AZ$634,1,OC_Amt)))</f>
        <v/>
      </c>
      <c r="K634">
        <f>IF(OC_Name=0,"",IF(INDEX('OneCause_Paste'!$A$634:$AZ$634,1,OC_Name)="","",INDEX('OneCause_Paste'!$A$634:$AZ$634,1,OC_Name)))</f>
        <v/>
      </c>
      <c r="L634">
        <f>IF(OC_Txn=0,"",IF(INDEX('OneCause_Paste'!$A$634:$AZ$634,1,OC_Txn)="","",INDEX('OneCause_Paste'!$A$634:$AZ$634,1,OC_Txn)))</f>
        <v/>
      </c>
      <c r="M634">
        <f>IF(OC_Pay=0,"",IF(INDEX('OneCause_Paste'!$A$634:$AZ$634,1,OC_Pay)="","",INDEX('OneCause_Paste'!$A$634:$AZ$634,1,OC_Pay)))</f>
        <v/>
      </c>
      <c r="N634">
        <f>IF(I634="","",IF(ISNUMBER(I634),INT(I634),IFERROR(INT(DATEVALUE(I634)),IFERROR(INT(VALUE(I634)),"bad"))))</f>
        <v/>
      </c>
      <c r="O634">
        <f>IF(J634="","",IF(ISNUMBER(J634),ROUND(J634,2),IFERROR(ROUND(VALUE(SUBSTITUTE(SUBSTITUTE(SUBSTITUTE(J634,"$",""),",","")," ","")),2),"bad")))</f>
        <v/>
      </c>
      <c r="P634">
        <f>IF(TRIM(K634)="","",IFERROR(MATCH(LOWER(TRIM(K634)),'Students'!$AH$2:$AH$701,0),IFERROR(MATCH(LOWER(TRIM(K634)),'Students'!$AF$2:$AF$701,0),IFERROR(MATCH(LOWER(TRIM(K634)),'Students'!$AG$2:$AG$701,0),""))))</f>
        <v/>
      </c>
      <c r="R634">
        <f>IF(P634="","",INDEX('Students'!$AD$2:$AD$701,P634))</f>
        <v/>
      </c>
      <c r="S634">
        <f>IF(H634="OK",O634,0)</f>
        <v/>
      </c>
      <c r="T634">
        <f>IF(H634="OK",N634,"")</f>
        <v/>
      </c>
      <c r="U634">
        <f>IF(OC_Donor=0,"",IF(INDEX('OneCause_Paste'!$A$634:$AZ$634,1,OC_Donor)="","",INDEX('OneCause_Paste'!$A$634:$AZ$634,1,OC_Donor)))</f>
        <v/>
      </c>
    </row>
    <row r="635">
      <c r="A635" s="62">
        <f>IF(H635="","",IF(ISNUMBER(N635),N635,I635))</f>
        <v/>
      </c>
      <c r="B635">
        <f>IF(H635="","",U635)</f>
        <v/>
      </c>
      <c r="C635">
        <f>IF(H635="","",IF(P635="",K635,INDEX('Students'!$A$2:$A$701,P635)))</f>
        <v/>
      </c>
      <c r="D635">
        <f>IF(OR(H635="",P635=""),"",INDEX('Students'!$B$2:$B$701,P635))</f>
        <v/>
      </c>
      <c r="E635">
        <f>IF(OR(H635="",P635=""),"",INDEX('Students'!$C$2:$C$701,P635))</f>
        <v/>
      </c>
      <c r="F635" s="48">
        <f>IF(H635="","",IF(ISNUMBER(O635),O635,J635))</f>
        <v/>
      </c>
      <c r="G635">
        <f>IF(H635="","","OneCause")</f>
        <v/>
      </c>
      <c r="H635">
        <f>IF(AND(I635="",J635="",K635=""),"",IF(NOT(ISNUMBER(O635)),"Bad amount",IF(O635&lt;0,"Refund (not counted)",IF(O635=0,"Zero amount",IF(NOT(ISNUMBER(N635)),"Bad date",IF(P635="","NAME NOT ON ROSTER",IF(L635="","OK",IF(MATCH(L635,$L$2:$L$3001,0)&lt;ROW()-1,"Duplicate (ignored)","OK"))))))))</f>
        <v/>
      </c>
      <c r="I635">
        <f>IF(OC_Date=0,"",IF(INDEX('OneCause_Paste'!$A$635:$AZ$635,1,OC_Date)="","",INDEX('OneCause_Paste'!$A$635:$AZ$635,1,OC_Date)))</f>
        <v/>
      </c>
      <c r="J635">
        <f>IF(OC_Amt=0,"",IF(INDEX('OneCause_Paste'!$A$635:$AZ$635,1,OC_Amt)="","",INDEX('OneCause_Paste'!$A$635:$AZ$635,1,OC_Amt)))</f>
        <v/>
      </c>
      <c r="K635">
        <f>IF(OC_Name=0,"",IF(INDEX('OneCause_Paste'!$A$635:$AZ$635,1,OC_Name)="","",INDEX('OneCause_Paste'!$A$635:$AZ$635,1,OC_Name)))</f>
        <v/>
      </c>
      <c r="L635">
        <f>IF(OC_Txn=0,"",IF(INDEX('OneCause_Paste'!$A$635:$AZ$635,1,OC_Txn)="","",INDEX('OneCause_Paste'!$A$635:$AZ$635,1,OC_Txn)))</f>
        <v/>
      </c>
      <c r="M635">
        <f>IF(OC_Pay=0,"",IF(INDEX('OneCause_Paste'!$A$635:$AZ$635,1,OC_Pay)="","",INDEX('OneCause_Paste'!$A$635:$AZ$635,1,OC_Pay)))</f>
        <v/>
      </c>
      <c r="N635">
        <f>IF(I635="","",IF(ISNUMBER(I635),INT(I635),IFERROR(INT(DATEVALUE(I635)),IFERROR(INT(VALUE(I635)),"bad"))))</f>
        <v/>
      </c>
      <c r="O635">
        <f>IF(J635="","",IF(ISNUMBER(J635),ROUND(J635,2),IFERROR(ROUND(VALUE(SUBSTITUTE(SUBSTITUTE(SUBSTITUTE(J635,"$",""),",","")," ","")),2),"bad")))</f>
        <v/>
      </c>
      <c r="P635">
        <f>IF(TRIM(K635)="","",IFERROR(MATCH(LOWER(TRIM(K635)),'Students'!$AH$2:$AH$701,0),IFERROR(MATCH(LOWER(TRIM(K635)),'Students'!$AF$2:$AF$701,0),IFERROR(MATCH(LOWER(TRIM(K635)),'Students'!$AG$2:$AG$701,0),""))))</f>
        <v/>
      </c>
      <c r="R635">
        <f>IF(P635="","",INDEX('Students'!$AD$2:$AD$701,P635))</f>
        <v/>
      </c>
      <c r="S635">
        <f>IF(H635="OK",O635,0)</f>
        <v/>
      </c>
      <c r="T635">
        <f>IF(H635="OK",N635,"")</f>
        <v/>
      </c>
      <c r="U635">
        <f>IF(OC_Donor=0,"",IF(INDEX('OneCause_Paste'!$A$635:$AZ$635,1,OC_Donor)="","",INDEX('OneCause_Paste'!$A$635:$AZ$635,1,OC_Donor)))</f>
        <v/>
      </c>
    </row>
    <row r="636">
      <c r="A636" s="62">
        <f>IF(H636="","",IF(ISNUMBER(N636),N636,I636))</f>
        <v/>
      </c>
      <c r="B636">
        <f>IF(H636="","",U636)</f>
        <v/>
      </c>
      <c r="C636">
        <f>IF(H636="","",IF(P636="",K636,INDEX('Students'!$A$2:$A$701,P636)))</f>
        <v/>
      </c>
      <c r="D636">
        <f>IF(OR(H636="",P636=""),"",INDEX('Students'!$B$2:$B$701,P636))</f>
        <v/>
      </c>
      <c r="E636">
        <f>IF(OR(H636="",P636=""),"",INDEX('Students'!$C$2:$C$701,P636))</f>
        <v/>
      </c>
      <c r="F636" s="48">
        <f>IF(H636="","",IF(ISNUMBER(O636),O636,J636))</f>
        <v/>
      </c>
      <c r="G636">
        <f>IF(H636="","","OneCause")</f>
        <v/>
      </c>
      <c r="H636">
        <f>IF(AND(I636="",J636="",K636=""),"",IF(NOT(ISNUMBER(O636)),"Bad amount",IF(O636&lt;0,"Refund (not counted)",IF(O636=0,"Zero amount",IF(NOT(ISNUMBER(N636)),"Bad date",IF(P636="","NAME NOT ON ROSTER",IF(L636="","OK",IF(MATCH(L636,$L$2:$L$3001,0)&lt;ROW()-1,"Duplicate (ignored)","OK"))))))))</f>
        <v/>
      </c>
      <c r="I636">
        <f>IF(OC_Date=0,"",IF(INDEX('OneCause_Paste'!$A$636:$AZ$636,1,OC_Date)="","",INDEX('OneCause_Paste'!$A$636:$AZ$636,1,OC_Date)))</f>
        <v/>
      </c>
      <c r="J636">
        <f>IF(OC_Amt=0,"",IF(INDEX('OneCause_Paste'!$A$636:$AZ$636,1,OC_Amt)="","",INDEX('OneCause_Paste'!$A$636:$AZ$636,1,OC_Amt)))</f>
        <v/>
      </c>
      <c r="K636">
        <f>IF(OC_Name=0,"",IF(INDEX('OneCause_Paste'!$A$636:$AZ$636,1,OC_Name)="","",INDEX('OneCause_Paste'!$A$636:$AZ$636,1,OC_Name)))</f>
        <v/>
      </c>
      <c r="L636">
        <f>IF(OC_Txn=0,"",IF(INDEX('OneCause_Paste'!$A$636:$AZ$636,1,OC_Txn)="","",INDEX('OneCause_Paste'!$A$636:$AZ$636,1,OC_Txn)))</f>
        <v/>
      </c>
      <c r="M636">
        <f>IF(OC_Pay=0,"",IF(INDEX('OneCause_Paste'!$A$636:$AZ$636,1,OC_Pay)="","",INDEX('OneCause_Paste'!$A$636:$AZ$636,1,OC_Pay)))</f>
        <v/>
      </c>
      <c r="N636">
        <f>IF(I636="","",IF(ISNUMBER(I636),INT(I636),IFERROR(INT(DATEVALUE(I636)),IFERROR(INT(VALUE(I636)),"bad"))))</f>
        <v/>
      </c>
      <c r="O636">
        <f>IF(J636="","",IF(ISNUMBER(J636),ROUND(J636,2),IFERROR(ROUND(VALUE(SUBSTITUTE(SUBSTITUTE(SUBSTITUTE(J636,"$",""),",","")," ","")),2),"bad")))</f>
        <v/>
      </c>
      <c r="P636">
        <f>IF(TRIM(K636)="","",IFERROR(MATCH(LOWER(TRIM(K636)),'Students'!$AH$2:$AH$701,0),IFERROR(MATCH(LOWER(TRIM(K636)),'Students'!$AF$2:$AF$701,0),IFERROR(MATCH(LOWER(TRIM(K636)),'Students'!$AG$2:$AG$701,0),""))))</f>
        <v/>
      </c>
      <c r="R636">
        <f>IF(P636="","",INDEX('Students'!$AD$2:$AD$701,P636))</f>
        <v/>
      </c>
      <c r="S636">
        <f>IF(H636="OK",O636,0)</f>
        <v/>
      </c>
      <c r="T636">
        <f>IF(H636="OK",N636,"")</f>
        <v/>
      </c>
      <c r="U636">
        <f>IF(OC_Donor=0,"",IF(INDEX('OneCause_Paste'!$A$636:$AZ$636,1,OC_Donor)="","",INDEX('OneCause_Paste'!$A$636:$AZ$636,1,OC_Donor)))</f>
        <v/>
      </c>
    </row>
    <row r="637">
      <c r="A637" s="62">
        <f>IF(H637="","",IF(ISNUMBER(N637),N637,I637))</f>
        <v/>
      </c>
      <c r="B637">
        <f>IF(H637="","",U637)</f>
        <v/>
      </c>
      <c r="C637">
        <f>IF(H637="","",IF(P637="",K637,INDEX('Students'!$A$2:$A$701,P637)))</f>
        <v/>
      </c>
      <c r="D637">
        <f>IF(OR(H637="",P637=""),"",INDEX('Students'!$B$2:$B$701,P637))</f>
        <v/>
      </c>
      <c r="E637">
        <f>IF(OR(H637="",P637=""),"",INDEX('Students'!$C$2:$C$701,P637))</f>
        <v/>
      </c>
      <c r="F637" s="48">
        <f>IF(H637="","",IF(ISNUMBER(O637),O637,J637))</f>
        <v/>
      </c>
      <c r="G637">
        <f>IF(H637="","","OneCause")</f>
        <v/>
      </c>
      <c r="H637">
        <f>IF(AND(I637="",J637="",K637=""),"",IF(NOT(ISNUMBER(O637)),"Bad amount",IF(O637&lt;0,"Refund (not counted)",IF(O637=0,"Zero amount",IF(NOT(ISNUMBER(N637)),"Bad date",IF(P637="","NAME NOT ON ROSTER",IF(L637="","OK",IF(MATCH(L637,$L$2:$L$3001,0)&lt;ROW()-1,"Duplicate (ignored)","OK"))))))))</f>
        <v/>
      </c>
      <c r="I637">
        <f>IF(OC_Date=0,"",IF(INDEX('OneCause_Paste'!$A$637:$AZ$637,1,OC_Date)="","",INDEX('OneCause_Paste'!$A$637:$AZ$637,1,OC_Date)))</f>
        <v/>
      </c>
      <c r="J637">
        <f>IF(OC_Amt=0,"",IF(INDEX('OneCause_Paste'!$A$637:$AZ$637,1,OC_Amt)="","",INDEX('OneCause_Paste'!$A$637:$AZ$637,1,OC_Amt)))</f>
        <v/>
      </c>
      <c r="K637">
        <f>IF(OC_Name=0,"",IF(INDEX('OneCause_Paste'!$A$637:$AZ$637,1,OC_Name)="","",INDEX('OneCause_Paste'!$A$637:$AZ$637,1,OC_Name)))</f>
        <v/>
      </c>
      <c r="L637">
        <f>IF(OC_Txn=0,"",IF(INDEX('OneCause_Paste'!$A$637:$AZ$637,1,OC_Txn)="","",INDEX('OneCause_Paste'!$A$637:$AZ$637,1,OC_Txn)))</f>
        <v/>
      </c>
      <c r="M637">
        <f>IF(OC_Pay=0,"",IF(INDEX('OneCause_Paste'!$A$637:$AZ$637,1,OC_Pay)="","",INDEX('OneCause_Paste'!$A$637:$AZ$637,1,OC_Pay)))</f>
        <v/>
      </c>
      <c r="N637">
        <f>IF(I637="","",IF(ISNUMBER(I637),INT(I637),IFERROR(INT(DATEVALUE(I637)),IFERROR(INT(VALUE(I637)),"bad"))))</f>
        <v/>
      </c>
      <c r="O637">
        <f>IF(J637="","",IF(ISNUMBER(J637),ROUND(J637,2),IFERROR(ROUND(VALUE(SUBSTITUTE(SUBSTITUTE(SUBSTITUTE(J637,"$",""),",","")," ","")),2),"bad")))</f>
        <v/>
      </c>
      <c r="P637">
        <f>IF(TRIM(K637)="","",IFERROR(MATCH(LOWER(TRIM(K637)),'Students'!$AH$2:$AH$701,0),IFERROR(MATCH(LOWER(TRIM(K637)),'Students'!$AF$2:$AF$701,0),IFERROR(MATCH(LOWER(TRIM(K637)),'Students'!$AG$2:$AG$701,0),""))))</f>
        <v/>
      </c>
      <c r="R637">
        <f>IF(P637="","",INDEX('Students'!$AD$2:$AD$701,P637))</f>
        <v/>
      </c>
      <c r="S637">
        <f>IF(H637="OK",O637,0)</f>
        <v/>
      </c>
      <c r="T637">
        <f>IF(H637="OK",N637,"")</f>
        <v/>
      </c>
      <c r="U637">
        <f>IF(OC_Donor=0,"",IF(INDEX('OneCause_Paste'!$A$637:$AZ$637,1,OC_Donor)="","",INDEX('OneCause_Paste'!$A$637:$AZ$637,1,OC_Donor)))</f>
        <v/>
      </c>
    </row>
    <row r="638">
      <c r="A638" s="62">
        <f>IF(H638="","",IF(ISNUMBER(N638),N638,I638))</f>
        <v/>
      </c>
      <c r="B638">
        <f>IF(H638="","",U638)</f>
        <v/>
      </c>
      <c r="C638">
        <f>IF(H638="","",IF(P638="",K638,INDEX('Students'!$A$2:$A$701,P638)))</f>
        <v/>
      </c>
      <c r="D638">
        <f>IF(OR(H638="",P638=""),"",INDEX('Students'!$B$2:$B$701,P638))</f>
        <v/>
      </c>
      <c r="E638">
        <f>IF(OR(H638="",P638=""),"",INDEX('Students'!$C$2:$C$701,P638))</f>
        <v/>
      </c>
      <c r="F638" s="48">
        <f>IF(H638="","",IF(ISNUMBER(O638),O638,J638))</f>
        <v/>
      </c>
      <c r="G638">
        <f>IF(H638="","","OneCause")</f>
        <v/>
      </c>
      <c r="H638">
        <f>IF(AND(I638="",J638="",K638=""),"",IF(NOT(ISNUMBER(O638)),"Bad amount",IF(O638&lt;0,"Refund (not counted)",IF(O638=0,"Zero amount",IF(NOT(ISNUMBER(N638)),"Bad date",IF(P638="","NAME NOT ON ROSTER",IF(L638="","OK",IF(MATCH(L638,$L$2:$L$3001,0)&lt;ROW()-1,"Duplicate (ignored)","OK"))))))))</f>
        <v/>
      </c>
      <c r="I638">
        <f>IF(OC_Date=0,"",IF(INDEX('OneCause_Paste'!$A$638:$AZ$638,1,OC_Date)="","",INDEX('OneCause_Paste'!$A$638:$AZ$638,1,OC_Date)))</f>
        <v/>
      </c>
      <c r="J638">
        <f>IF(OC_Amt=0,"",IF(INDEX('OneCause_Paste'!$A$638:$AZ$638,1,OC_Amt)="","",INDEX('OneCause_Paste'!$A$638:$AZ$638,1,OC_Amt)))</f>
        <v/>
      </c>
      <c r="K638">
        <f>IF(OC_Name=0,"",IF(INDEX('OneCause_Paste'!$A$638:$AZ$638,1,OC_Name)="","",INDEX('OneCause_Paste'!$A$638:$AZ$638,1,OC_Name)))</f>
        <v/>
      </c>
      <c r="L638">
        <f>IF(OC_Txn=0,"",IF(INDEX('OneCause_Paste'!$A$638:$AZ$638,1,OC_Txn)="","",INDEX('OneCause_Paste'!$A$638:$AZ$638,1,OC_Txn)))</f>
        <v/>
      </c>
      <c r="M638">
        <f>IF(OC_Pay=0,"",IF(INDEX('OneCause_Paste'!$A$638:$AZ$638,1,OC_Pay)="","",INDEX('OneCause_Paste'!$A$638:$AZ$638,1,OC_Pay)))</f>
        <v/>
      </c>
      <c r="N638">
        <f>IF(I638="","",IF(ISNUMBER(I638),INT(I638),IFERROR(INT(DATEVALUE(I638)),IFERROR(INT(VALUE(I638)),"bad"))))</f>
        <v/>
      </c>
      <c r="O638">
        <f>IF(J638="","",IF(ISNUMBER(J638),ROUND(J638,2),IFERROR(ROUND(VALUE(SUBSTITUTE(SUBSTITUTE(SUBSTITUTE(J638,"$",""),",","")," ","")),2),"bad")))</f>
        <v/>
      </c>
      <c r="P638">
        <f>IF(TRIM(K638)="","",IFERROR(MATCH(LOWER(TRIM(K638)),'Students'!$AH$2:$AH$701,0),IFERROR(MATCH(LOWER(TRIM(K638)),'Students'!$AF$2:$AF$701,0),IFERROR(MATCH(LOWER(TRIM(K638)),'Students'!$AG$2:$AG$701,0),""))))</f>
        <v/>
      </c>
      <c r="R638">
        <f>IF(P638="","",INDEX('Students'!$AD$2:$AD$701,P638))</f>
        <v/>
      </c>
      <c r="S638">
        <f>IF(H638="OK",O638,0)</f>
        <v/>
      </c>
      <c r="T638">
        <f>IF(H638="OK",N638,"")</f>
        <v/>
      </c>
      <c r="U638">
        <f>IF(OC_Donor=0,"",IF(INDEX('OneCause_Paste'!$A$638:$AZ$638,1,OC_Donor)="","",INDEX('OneCause_Paste'!$A$638:$AZ$638,1,OC_Donor)))</f>
        <v/>
      </c>
    </row>
    <row r="639">
      <c r="A639" s="62">
        <f>IF(H639="","",IF(ISNUMBER(N639),N639,I639))</f>
        <v/>
      </c>
      <c r="B639">
        <f>IF(H639="","",U639)</f>
        <v/>
      </c>
      <c r="C639">
        <f>IF(H639="","",IF(P639="",K639,INDEX('Students'!$A$2:$A$701,P639)))</f>
        <v/>
      </c>
      <c r="D639">
        <f>IF(OR(H639="",P639=""),"",INDEX('Students'!$B$2:$B$701,P639))</f>
        <v/>
      </c>
      <c r="E639">
        <f>IF(OR(H639="",P639=""),"",INDEX('Students'!$C$2:$C$701,P639))</f>
        <v/>
      </c>
      <c r="F639" s="48">
        <f>IF(H639="","",IF(ISNUMBER(O639),O639,J639))</f>
        <v/>
      </c>
      <c r="G639">
        <f>IF(H639="","","OneCause")</f>
        <v/>
      </c>
      <c r="H639">
        <f>IF(AND(I639="",J639="",K639=""),"",IF(NOT(ISNUMBER(O639)),"Bad amount",IF(O639&lt;0,"Refund (not counted)",IF(O639=0,"Zero amount",IF(NOT(ISNUMBER(N639)),"Bad date",IF(P639="","NAME NOT ON ROSTER",IF(L639="","OK",IF(MATCH(L639,$L$2:$L$3001,0)&lt;ROW()-1,"Duplicate (ignored)","OK"))))))))</f>
        <v/>
      </c>
      <c r="I639">
        <f>IF(OC_Date=0,"",IF(INDEX('OneCause_Paste'!$A$639:$AZ$639,1,OC_Date)="","",INDEX('OneCause_Paste'!$A$639:$AZ$639,1,OC_Date)))</f>
        <v/>
      </c>
      <c r="J639">
        <f>IF(OC_Amt=0,"",IF(INDEX('OneCause_Paste'!$A$639:$AZ$639,1,OC_Amt)="","",INDEX('OneCause_Paste'!$A$639:$AZ$639,1,OC_Amt)))</f>
        <v/>
      </c>
      <c r="K639">
        <f>IF(OC_Name=0,"",IF(INDEX('OneCause_Paste'!$A$639:$AZ$639,1,OC_Name)="","",INDEX('OneCause_Paste'!$A$639:$AZ$639,1,OC_Name)))</f>
        <v/>
      </c>
      <c r="L639">
        <f>IF(OC_Txn=0,"",IF(INDEX('OneCause_Paste'!$A$639:$AZ$639,1,OC_Txn)="","",INDEX('OneCause_Paste'!$A$639:$AZ$639,1,OC_Txn)))</f>
        <v/>
      </c>
      <c r="M639">
        <f>IF(OC_Pay=0,"",IF(INDEX('OneCause_Paste'!$A$639:$AZ$639,1,OC_Pay)="","",INDEX('OneCause_Paste'!$A$639:$AZ$639,1,OC_Pay)))</f>
        <v/>
      </c>
      <c r="N639">
        <f>IF(I639="","",IF(ISNUMBER(I639),INT(I639),IFERROR(INT(DATEVALUE(I639)),IFERROR(INT(VALUE(I639)),"bad"))))</f>
        <v/>
      </c>
      <c r="O639">
        <f>IF(J639="","",IF(ISNUMBER(J639),ROUND(J639,2),IFERROR(ROUND(VALUE(SUBSTITUTE(SUBSTITUTE(SUBSTITUTE(J639,"$",""),",","")," ","")),2),"bad")))</f>
        <v/>
      </c>
      <c r="P639">
        <f>IF(TRIM(K639)="","",IFERROR(MATCH(LOWER(TRIM(K639)),'Students'!$AH$2:$AH$701,0),IFERROR(MATCH(LOWER(TRIM(K639)),'Students'!$AF$2:$AF$701,0),IFERROR(MATCH(LOWER(TRIM(K639)),'Students'!$AG$2:$AG$701,0),""))))</f>
        <v/>
      </c>
      <c r="R639">
        <f>IF(P639="","",INDEX('Students'!$AD$2:$AD$701,P639))</f>
        <v/>
      </c>
      <c r="S639">
        <f>IF(H639="OK",O639,0)</f>
        <v/>
      </c>
      <c r="T639">
        <f>IF(H639="OK",N639,"")</f>
        <v/>
      </c>
      <c r="U639">
        <f>IF(OC_Donor=0,"",IF(INDEX('OneCause_Paste'!$A$639:$AZ$639,1,OC_Donor)="","",INDEX('OneCause_Paste'!$A$639:$AZ$639,1,OC_Donor)))</f>
        <v/>
      </c>
    </row>
    <row r="640">
      <c r="A640" s="62">
        <f>IF(H640="","",IF(ISNUMBER(N640),N640,I640))</f>
        <v/>
      </c>
      <c r="B640">
        <f>IF(H640="","",U640)</f>
        <v/>
      </c>
      <c r="C640">
        <f>IF(H640="","",IF(P640="",K640,INDEX('Students'!$A$2:$A$701,P640)))</f>
        <v/>
      </c>
      <c r="D640">
        <f>IF(OR(H640="",P640=""),"",INDEX('Students'!$B$2:$B$701,P640))</f>
        <v/>
      </c>
      <c r="E640">
        <f>IF(OR(H640="",P640=""),"",INDEX('Students'!$C$2:$C$701,P640))</f>
        <v/>
      </c>
      <c r="F640" s="48">
        <f>IF(H640="","",IF(ISNUMBER(O640),O640,J640))</f>
        <v/>
      </c>
      <c r="G640">
        <f>IF(H640="","","OneCause")</f>
        <v/>
      </c>
      <c r="H640">
        <f>IF(AND(I640="",J640="",K640=""),"",IF(NOT(ISNUMBER(O640)),"Bad amount",IF(O640&lt;0,"Refund (not counted)",IF(O640=0,"Zero amount",IF(NOT(ISNUMBER(N640)),"Bad date",IF(P640="","NAME NOT ON ROSTER",IF(L640="","OK",IF(MATCH(L640,$L$2:$L$3001,0)&lt;ROW()-1,"Duplicate (ignored)","OK"))))))))</f>
        <v/>
      </c>
      <c r="I640">
        <f>IF(OC_Date=0,"",IF(INDEX('OneCause_Paste'!$A$640:$AZ$640,1,OC_Date)="","",INDEX('OneCause_Paste'!$A$640:$AZ$640,1,OC_Date)))</f>
        <v/>
      </c>
      <c r="J640">
        <f>IF(OC_Amt=0,"",IF(INDEX('OneCause_Paste'!$A$640:$AZ$640,1,OC_Amt)="","",INDEX('OneCause_Paste'!$A$640:$AZ$640,1,OC_Amt)))</f>
        <v/>
      </c>
      <c r="K640">
        <f>IF(OC_Name=0,"",IF(INDEX('OneCause_Paste'!$A$640:$AZ$640,1,OC_Name)="","",INDEX('OneCause_Paste'!$A$640:$AZ$640,1,OC_Name)))</f>
        <v/>
      </c>
      <c r="L640">
        <f>IF(OC_Txn=0,"",IF(INDEX('OneCause_Paste'!$A$640:$AZ$640,1,OC_Txn)="","",INDEX('OneCause_Paste'!$A$640:$AZ$640,1,OC_Txn)))</f>
        <v/>
      </c>
      <c r="M640">
        <f>IF(OC_Pay=0,"",IF(INDEX('OneCause_Paste'!$A$640:$AZ$640,1,OC_Pay)="","",INDEX('OneCause_Paste'!$A$640:$AZ$640,1,OC_Pay)))</f>
        <v/>
      </c>
      <c r="N640">
        <f>IF(I640="","",IF(ISNUMBER(I640),INT(I640),IFERROR(INT(DATEVALUE(I640)),IFERROR(INT(VALUE(I640)),"bad"))))</f>
        <v/>
      </c>
      <c r="O640">
        <f>IF(J640="","",IF(ISNUMBER(J640),ROUND(J640,2),IFERROR(ROUND(VALUE(SUBSTITUTE(SUBSTITUTE(SUBSTITUTE(J640,"$",""),",","")," ","")),2),"bad")))</f>
        <v/>
      </c>
      <c r="P640">
        <f>IF(TRIM(K640)="","",IFERROR(MATCH(LOWER(TRIM(K640)),'Students'!$AH$2:$AH$701,0),IFERROR(MATCH(LOWER(TRIM(K640)),'Students'!$AF$2:$AF$701,0),IFERROR(MATCH(LOWER(TRIM(K640)),'Students'!$AG$2:$AG$701,0),""))))</f>
        <v/>
      </c>
      <c r="R640">
        <f>IF(P640="","",INDEX('Students'!$AD$2:$AD$701,P640))</f>
        <v/>
      </c>
      <c r="S640">
        <f>IF(H640="OK",O640,0)</f>
        <v/>
      </c>
      <c r="T640">
        <f>IF(H640="OK",N640,"")</f>
        <v/>
      </c>
      <c r="U640">
        <f>IF(OC_Donor=0,"",IF(INDEX('OneCause_Paste'!$A$640:$AZ$640,1,OC_Donor)="","",INDEX('OneCause_Paste'!$A$640:$AZ$640,1,OC_Donor)))</f>
        <v/>
      </c>
    </row>
    <row r="641">
      <c r="A641" s="62">
        <f>IF(H641="","",IF(ISNUMBER(N641),N641,I641))</f>
        <v/>
      </c>
      <c r="B641">
        <f>IF(H641="","",U641)</f>
        <v/>
      </c>
      <c r="C641">
        <f>IF(H641="","",IF(P641="",K641,INDEX('Students'!$A$2:$A$701,P641)))</f>
        <v/>
      </c>
      <c r="D641">
        <f>IF(OR(H641="",P641=""),"",INDEX('Students'!$B$2:$B$701,P641))</f>
        <v/>
      </c>
      <c r="E641">
        <f>IF(OR(H641="",P641=""),"",INDEX('Students'!$C$2:$C$701,P641))</f>
        <v/>
      </c>
      <c r="F641" s="48">
        <f>IF(H641="","",IF(ISNUMBER(O641),O641,J641))</f>
        <v/>
      </c>
      <c r="G641">
        <f>IF(H641="","","OneCause")</f>
        <v/>
      </c>
      <c r="H641">
        <f>IF(AND(I641="",J641="",K641=""),"",IF(NOT(ISNUMBER(O641)),"Bad amount",IF(O641&lt;0,"Refund (not counted)",IF(O641=0,"Zero amount",IF(NOT(ISNUMBER(N641)),"Bad date",IF(P641="","NAME NOT ON ROSTER",IF(L641="","OK",IF(MATCH(L641,$L$2:$L$3001,0)&lt;ROW()-1,"Duplicate (ignored)","OK"))))))))</f>
        <v/>
      </c>
      <c r="I641">
        <f>IF(OC_Date=0,"",IF(INDEX('OneCause_Paste'!$A$641:$AZ$641,1,OC_Date)="","",INDEX('OneCause_Paste'!$A$641:$AZ$641,1,OC_Date)))</f>
        <v/>
      </c>
      <c r="J641">
        <f>IF(OC_Amt=0,"",IF(INDEX('OneCause_Paste'!$A$641:$AZ$641,1,OC_Amt)="","",INDEX('OneCause_Paste'!$A$641:$AZ$641,1,OC_Amt)))</f>
        <v/>
      </c>
      <c r="K641">
        <f>IF(OC_Name=0,"",IF(INDEX('OneCause_Paste'!$A$641:$AZ$641,1,OC_Name)="","",INDEX('OneCause_Paste'!$A$641:$AZ$641,1,OC_Name)))</f>
        <v/>
      </c>
      <c r="L641">
        <f>IF(OC_Txn=0,"",IF(INDEX('OneCause_Paste'!$A$641:$AZ$641,1,OC_Txn)="","",INDEX('OneCause_Paste'!$A$641:$AZ$641,1,OC_Txn)))</f>
        <v/>
      </c>
      <c r="M641">
        <f>IF(OC_Pay=0,"",IF(INDEX('OneCause_Paste'!$A$641:$AZ$641,1,OC_Pay)="","",INDEX('OneCause_Paste'!$A$641:$AZ$641,1,OC_Pay)))</f>
        <v/>
      </c>
      <c r="N641">
        <f>IF(I641="","",IF(ISNUMBER(I641),INT(I641),IFERROR(INT(DATEVALUE(I641)),IFERROR(INT(VALUE(I641)),"bad"))))</f>
        <v/>
      </c>
      <c r="O641">
        <f>IF(J641="","",IF(ISNUMBER(J641),ROUND(J641,2),IFERROR(ROUND(VALUE(SUBSTITUTE(SUBSTITUTE(SUBSTITUTE(J641,"$",""),",","")," ","")),2),"bad")))</f>
        <v/>
      </c>
      <c r="P641">
        <f>IF(TRIM(K641)="","",IFERROR(MATCH(LOWER(TRIM(K641)),'Students'!$AH$2:$AH$701,0),IFERROR(MATCH(LOWER(TRIM(K641)),'Students'!$AF$2:$AF$701,0),IFERROR(MATCH(LOWER(TRIM(K641)),'Students'!$AG$2:$AG$701,0),""))))</f>
        <v/>
      </c>
      <c r="R641">
        <f>IF(P641="","",INDEX('Students'!$AD$2:$AD$701,P641))</f>
        <v/>
      </c>
      <c r="S641">
        <f>IF(H641="OK",O641,0)</f>
        <v/>
      </c>
      <c r="T641">
        <f>IF(H641="OK",N641,"")</f>
        <v/>
      </c>
      <c r="U641">
        <f>IF(OC_Donor=0,"",IF(INDEX('OneCause_Paste'!$A$641:$AZ$641,1,OC_Donor)="","",INDEX('OneCause_Paste'!$A$641:$AZ$641,1,OC_Donor)))</f>
        <v/>
      </c>
    </row>
    <row r="642">
      <c r="A642" s="62">
        <f>IF(H642="","",IF(ISNUMBER(N642),N642,I642))</f>
        <v/>
      </c>
      <c r="B642">
        <f>IF(H642="","",U642)</f>
        <v/>
      </c>
      <c r="C642">
        <f>IF(H642="","",IF(P642="",K642,INDEX('Students'!$A$2:$A$701,P642)))</f>
        <v/>
      </c>
      <c r="D642">
        <f>IF(OR(H642="",P642=""),"",INDEX('Students'!$B$2:$B$701,P642))</f>
        <v/>
      </c>
      <c r="E642">
        <f>IF(OR(H642="",P642=""),"",INDEX('Students'!$C$2:$C$701,P642))</f>
        <v/>
      </c>
      <c r="F642" s="48">
        <f>IF(H642="","",IF(ISNUMBER(O642),O642,J642))</f>
        <v/>
      </c>
      <c r="G642">
        <f>IF(H642="","","OneCause")</f>
        <v/>
      </c>
      <c r="H642">
        <f>IF(AND(I642="",J642="",K642=""),"",IF(NOT(ISNUMBER(O642)),"Bad amount",IF(O642&lt;0,"Refund (not counted)",IF(O642=0,"Zero amount",IF(NOT(ISNUMBER(N642)),"Bad date",IF(P642="","NAME NOT ON ROSTER",IF(L642="","OK",IF(MATCH(L642,$L$2:$L$3001,0)&lt;ROW()-1,"Duplicate (ignored)","OK"))))))))</f>
        <v/>
      </c>
      <c r="I642">
        <f>IF(OC_Date=0,"",IF(INDEX('OneCause_Paste'!$A$642:$AZ$642,1,OC_Date)="","",INDEX('OneCause_Paste'!$A$642:$AZ$642,1,OC_Date)))</f>
        <v/>
      </c>
      <c r="J642">
        <f>IF(OC_Amt=0,"",IF(INDEX('OneCause_Paste'!$A$642:$AZ$642,1,OC_Amt)="","",INDEX('OneCause_Paste'!$A$642:$AZ$642,1,OC_Amt)))</f>
        <v/>
      </c>
      <c r="K642">
        <f>IF(OC_Name=0,"",IF(INDEX('OneCause_Paste'!$A$642:$AZ$642,1,OC_Name)="","",INDEX('OneCause_Paste'!$A$642:$AZ$642,1,OC_Name)))</f>
        <v/>
      </c>
      <c r="L642">
        <f>IF(OC_Txn=0,"",IF(INDEX('OneCause_Paste'!$A$642:$AZ$642,1,OC_Txn)="","",INDEX('OneCause_Paste'!$A$642:$AZ$642,1,OC_Txn)))</f>
        <v/>
      </c>
      <c r="M642">
        <f>IF(OC_Pay=0,"",IF(INDEX('OneCause_Paste'!$A$642:$AZ$642,1,OC_Pay)="","",INDEX('OneCause_Paste'!$A$642:$AZ$642,1,OC_Pay)))</f>
        <v/>
      </c>
      <c r="N642">
        <f>IF(I642="","",IF(ISNUMBER(I642),INT(I642),IFERROR(INT(DATEVALUE(I642)),IFERROR(INT(VALUE(I642)),"bad"))))</f>
        <v/>
      </c>
      <c r="O642">
        <f>IF(J642="","",IF(ISNUMBER(J642),ROUND(J642,2),IFERROR(ROUND(VALUE(SUBSTITUTE(SUBSTITUTE(SUBSTITUTE(J642,"$",""),",","")," ","")),2),"bad")))</f>
        <v/>
      </c>
      <c r="P642">
        <f>IF(TRIM(K642)="","",IFERROR(MATCH(LOWER(TRIM(K642)),'Students'!$AH$2:$AH$701,0),IFERROR(MATCH(LOWER(TRIM(K642)),'Students'!$AF$2:$AF$701,0),IFERROR(MATCH(LOWER(TRIM(K642)),'Students'!$AG$2:$AG$701,0),""))))</f>
        <v/>
      </c>
      <c r="R642">
        <f>IF(P642="","",INDEX('Students'!$AD$2:$AD$701,P642))</f>
        <v/>
      </c>
      <c r="S642">
        <f>IF(H642="OK",O642,0)</f>
        <v/>
      </c>
      <c r="T642">
        <f>IF(H642="OK",N642,"")</f>
        <v/>
      </c>
      <c r="U642">
        <f>IF(OC_Donor=0,"",IF(INDEX('OneCause_Paste'!$A$642:$AZ$642,1,OC_Donor)="","",INDEX('OneCause_Paste'!$A$642:$AZ$642,1,OC_Donor)))</f>
        <v/>
      </c>
    </row>
    <row r="643">
      <c r="A643" s="62">
        <f>IF(H643="","",IF(ISNUMBER(N643),N643,I643))</f>
        <v/>
      </c>
      <c r="B643">
        <f>IF(H643="","",U643)</f>
        <v/>
      </c>
      <c r="C643">
        <f>IF(H643="","",IF(P643="",K643,INDEX('Students'!$A$2:$A$701,P643)))</f>
        <v/>
      </c>
      <c r="D643">
        <f>IF(OR(H643="",P643=""),"",INDEX('Students'!$B$2:$B$701,P643))</f>
        <v/>
      </c>
      <c r="E643">
        <f>IF(OR(H643="",P643=""),"",INDEX('Students'!$C$2:$C$701,P643))</f>
        <v/>
      </c>
      <c r="F643" s="48">
        <f>IF(H643="","",IF(ISNUMBER(O643),O643,J643))</f>
        <v/>
      </c>
      <c r="G643">
        <f>IF(H643="","","OneCause")</f>
        <v/>
      </c>
      <c r="H643">
        <f>IF(AND(I643="",J643="",K643=""),"",IF(NOT(ISNUMBER(O643)),"Bad amount",IF(O643&lt;0,"Refund (not counted)",IF(O643=0,"Zero amount",IF(NOT(ISNUMBER(N643)),"Bad date",IF(P643="","NAME NOT ON ROSTER",IF(L643="","OK",IF(MATCH(L643,$L$2:$L$3001,0)&lt;ROW()-1,"Duplicate (ignored)","OK"))))))))</f>
        <v/>
      </c>
      <c r="I643">
        <f>IF(OC_Date=0,"",IF(INDEX('OneCause_Paste'!$A$643:$AZ$643,1,OC_Date)="","",INDEX('OneCause_Paste'!$A$643:$AZ$643,1,OC_Date)))</f>
        <v/>
      </c>
      <c r="J643">
        <f>IF(OC_Amt=0,"",IF(INDEX('OneCause_Paste'!$A$643:$AZ$643,1,OC_Amt)="","",INDEX('OneCause_Paste'!$A$643:$AZ$643,1,OC_Amt)))</f>
        <v/>
      </c>
      <c r="K643">
        <f>IF(OC_Name=0,"",IF(INDEX('OneCause_Paste'!$A$643:$AZ$643,1,OC_Name)="","",INDEX('OneCause_Paste'!$A$643:$AZ$643,1,OC_Name)))</f>
        <v/>
      </c>
      <c r="L643">
        <f>IF(OC_Txn=0,"",IF(INDEX('OneCause_Paste'!$A$643:$AZ$643,1,OC_Txn)="","",INDEX('OneCause_Paste'!$A$643:$AZ$643,1,OC_Txn)))</f>
        <v/>
      </c>
      <c r="M643">
        <f>IF(OC_Pay=0,"",IF(INDEX('OneCause_Paste'!$A$643:$AZ$643,1,OC_Pay)="","",INDEX('OneCause_Paste'!$A$643:$AZ$643,1,OC_Pay)))</f>
        <v/>
      </c>
      <c r="N643">
        <f>IF(I643="","",IF(ISNUMBER(I643),INT(I643),IFERROR(INT(DATEVALUE(I643)),IFERROR(INT(VALUE(I643)),"bad"))))</f>
        <v/>
      </c>
      <c r="O643">
        <f>IF(J643="","",IF(ISNUMBER(J643),ROUND(J643,2),IFERROR(ROUND(VALUE(SUBSTITUTE(SUBSTITUTE(SUBSTITUTE(J643,"$",""),",","")," ","")),2),"bad")))</f>
        <v/>
      </c>
      <c r="P643">
        <f>IF(TRIM(K643)="","",IFERROR(MATCH(LOWER(TRIM(K643)),'Students'!$AH$2:$AH$701,0),IFERROR(MATCH(LOWER(TRIM(K643)),'Students'!$AF$2:$AF$701,0),IFERROR(MATCH(LOWER(TRIM(K643)),'Students'!$AG$2:$AG$701,0),""))))</f>
        <v/>
      </c>
      <c r="R643">
        <f>IF(P643="","",INDEX('Students'!$AD$2:$AD$701,P643))</f>
        <v/>
      </c>
      <c r="S643">
        <f>IF(H643="OK",O643,0)</f>
        <v/>
      </c>
      <c r="T643">
        <f>IF(H643="OK",N643,"")</f>
        <v/>
      </c>
      <c r="U643">
        <f>IF(OC_Donor=0,"",IF(INDEX('OneCause_Paste'!$A$643:$AZ$643,1,OC_Donor)="","",INDEX('OneCause_Paste'!$A$643:$AZ$643,1,OC_Donor)))</f>
        <v/>
      </c>
    </row>
    <row r="644">
      <c r="A644" s="62">
        <f>IF(H644="","",IF(ISNUMBER(N644),N644,I644))</f>
        <v/>
      </c>
      <c r="B644">
        <f>IF(H644="","",U644)</f>
        <v/>
      </c>
      <c r="C644">
        <f>IF(H644="","",IF(P644="",K644,INDEX('Students'!$A$2:$A$701,P644)))</f>
        <v/>
      </c>
      <c r="D644">
        <f>IF(OR(H644="",P644=""),"",INDEX('Students'!$B$2:$B$701,P644))</f>
        <v/>
      </c>
      <c r="E644">
        <f>IF(OR(H644="",P644=""),"",INDEX('Students'!$C$2:$C$701,P644))</f>
        <v/>
      </c>
      <c r="F644" s="48">
        <f>IF(H644="","",IF(ISNUMBER(O644),O644,J644))</f>
        <v/>
      </c>
      <c r="G644">
        <f>IF(H644="","","OneCause")</f>
        <v/>
      </c>
      <c r="H644">
        <f>IF(AND(I644="",J644="",K644=""),"",IF(NOT(ISNUMBER(O644)),"Bad amount",IF(O644&lt;0,"Refund (not counted)",IF(O644=0,"Zero amount",IF(NOT(ISNUMBER(N644)),"Bad date",IF(P644="","NAME NOT ON ROSTER",IF(L644="","OK",IF(MATCH(L644,$L$2:$L$3001,0)&lt;ROW()-1,"Duplicate (ignored)","OK"))))))))</f>
        <v/>
      </c>
      <c r="I644">
        <f>IF(OC_Date=0,"",IF(INDEX('OneCause_Paste'!$A$644:$AZ$644,1,OC_Date)="","",INDEX('OneCause_Paste'!$A$644:$AZ$644,1,OC_Date)))</f>
        <v/>
      </c>
      <c r="J644">
        <f>IF(OC_Amt=0,"",IF(INDEX('OneCause_Paste'!$A$644:$AZ$644,1,OC_Amt)="","",INDEX('OneCause_Paste'!$A$644:$AZ$644,1,OC_Amt)))</f>
        <v/>
      </c>
      <c r="K644">
        <f>IF(OC_Name=0,"",IF(INDEX('OneCause_Paste'!$A$644:$AZ$644,1,OC_Name)="","",INDEX('OneCause_Paste'!$A$644:$AZ$644,1,OC_Name)))</f>
        <v/>
      </c>
      <c r="L644">
        <f>IF(OC_Txn=0,"",IF(INDEX('OneCause_Paste'!$A$644:$AZ$644,1,OC_Txn)="","",INDEX('OneCause_Paste'!$A$644:$AZ$644,1,OC_Txn)))</f>
        <v/>
      </c>
      <c r="M644">
        <f>IF(OC_Pay=0,"",IF(INDEX('OneCause_Paste'!$A$644:$AZ$644,1,OC_Pay)="","",INDEX('OneCause_Paste'!$A$644:$AZ$644,1,OC_Pay)))</f>
        <v/>
      </c>
      <c r="N644">
        <f>IF(I644="","",IF(ISNUMBER(I644),INT(I644),IFERROR(INT(DATEVALUE(I644)),IFERROR(INT(VALUE(I644)),"bad"))))</f>
        <v/>
      </c>
      <c r="O644">
        <f>IF(J644="","",IF(ISNUMBER(J644),ROUND(J644,2),IFERROR(ROUND(VALUE(SUBSTITUTE(SUBSTITUTE(SUBSTITUTE(J644,"$",""),",","")," ","")),2),"bad")))</f>
        <v/>
      </c>
      <c r="P644">
        <f>IF(TRIM(K644)="","",IFERROR(MATCH(LOWER(TRIM(K644)),'Students'!$AH$2:$AH$701,0),IFERROR(MATCH(LOWER(TRIM(K644)),'Students'!$AF$2:$AF$701,0),IFERROR(MATCH(LOWER(TRIM(K644)),'Students'!$AG$2:$AG$701,0),""))))</f>
        <v/>
      </c>
      <c r="R644">
        <f>IF(P644="","",INDEX('Students'!$AD$2:$AD$701,P644))</f>
        <v/>
      </c>
      <c r="S644">
        <f>IF(H644="OK",O644,0)</f>
        <v/>
      </c>
      <c r="T644">
        <f>IF(H644="OK",N644,"")</f>
        <v/>
      </c>
      <c r="U644">
        <f>IF(OC_Donor=0,"",IF(INDEX('OneCause_Paste'!$A$644:$AZ$644,1,OC_Donor)="","",INDEX('OneCause_Paste'!$A$644:$AZ$644,1,OC_Donor)))</f>
        <v/>
      </c>
    </row>
    <row r="645">
      <c r="A645" s="62">
        <f>IF(H645="","",IF(ISNUMBER(N645),N645,I645))</f>
        <v/>
      </c>
      <c r="B645">
        <f>IF(H645="","",U645)</f>
        <v/>
      </c>
      <c r="C645">
        <f>IF(H645="","",IF(P645="",K645,INDEX('Students'!$A$2:$A$701,P645)))</f>
        <v/>
      </c>
      <c r="D645">
        <f>IF(OR(H645="",P645=""),"",INDEX('Students'!$B$2:$B$701,P645))</f>
        <v/>
      </c>
      <c r="E645">
        <f>IF(OR(H645="",P645=""),"",INDEX('Students'!$C$2:$C$701,P645))</f>
        <v/>
      </c>
      <c r="F645" s="48">
        <f>IF(H645="","",IF(ISNUMBER(O645),O645,J645))</f>
        <v/>
      </c>
      <c r="G645">
        <f>IF(H645="","","OneCause")</f>
        <v/>
      </c>
      <c r="H645">
        <f>IF(AND(I645="",J645="",K645=""),"",IF(NOT(ISNUMBER(O645)),"Bad amount",IF(O645&lt;0,"Refund (not counted)",IF(O645=0,"Zero amount",IF(NOT(ISNUMBER(N645)),"Bad date",IF(P645="","NAME NOT ON ROSTER",IF(L645="","OK",IF(MATCH(L645,$L$2:$L$3001,0)&lt;ROW()-1,"Duplicate (ignored)","OK"))))))))</f>
        <v/>
      </c>
      <c r="I645">
        <f>IF(OC_Date=0,"",IF(INDEX('OneCause_Paste'!$A$645:$AZ$645,1,OC_Date)="","",INDEX('OneCause_Paste'!$A$645:$AZ$645,1,OC_Date)))</f>
        <v/>
      </c>
      <c r="J645">
        <f>IF(OC_Amt=0,"",IF(INDEX('OneCause_Paste'!$A$645:$AZ$645,1,OC_Amt)="","",INDEX('OneCause_Paste'!$A$645:$AZ$645,1,OC_Amt)))</f>
        <v/>
      </c>
      <c r="K645">
        <f>IF(OC_Name=0,"",IF(INDEX('OneCause_Paste'!$A$645:$AZ$645,1,OC_Name)="","",INDEX('OneCause_Paste'!$A$645:$AZ$645,1,OC_Name)))</f>
        <v/>
      </c>
      <c r="L645">
        <f>IF(OC_Txn=0,"",IF(INDEX('OneCause_Paste'!$A$645:$AZ$645,1,OC_Txn)="","",INDEX('OneCause_Paste'!$A$645:$AZ$645,1,OC_Txn)))</f>
        <v/>
      </c>
      <c r="M645">
        <f>IF(OC_Pay=0,"",IF(INDEX('OneCause_Paste'!$A$645:$AZ$645,1,OC_Pay)="","",INDEX('OneCause_Paste'!$A$645:$AZ$645,1,OC_Pay)))</f>
        <v/>
      </c>
      <c r="N645">
        <f>IF(I645="","",IF(ISNUMBER(I645),INT(I645),IFERROR(INT(DATEVALUE(I645)),IFERROR(INT(VALUE(I645)),"bad"))))</f>
        <v/>
      </c>
      <c r="O645">
        <f>IF(J645="","",IF(ISNUMBER(J645),ROUND(J645,2),IFERROR(ROUND(VALUE(SUBSTITUTE(SUBSTITUTE(SUBSTITUTE(J645,"$",""),",","")," ","")),2),"bad")))</f>
        <v/>
      </c>
      <c r="P645">
        <f>IF(TRIM(K645)="","",IFERROR(MATCH(LOWER(TRIM(K645)),'Students'!$AH$2:$AH$701,0),IFERROR(MATCH(LOWER(TRIM(K645)),'Students'!$AF$2:$AF$701,0),IFERROR(MATCH(LOWER(TRIM(K645)),'Students'!$AG$2:$AG$701,0),""))))</f>
        <v/>
      </c>
      <c r="R645">
        <f>IF(P645="","",INDEX('Students'!$AD$2:$AD$701,P645))</f>
        <v/>
      </c>
      <c r="S645">
        <f>IF(H645="OK",O645,0)</f>
        <v/>
      </c>
      <c r="T645">
        <f>IF(H645="OK",N645,"")</f>
        <v/>
      </c>
      <c r="U645">
        <f>IF(OC_Donor=0,"",IF(INDEX('OneCause_Paste'!$A$645:$AZ$645,1,OC_Donor)="","",INDEX('OneCause_Paste'!$A$645:$AZ$645,1,OC_Donor)))</f>
        <v/>
      </c>
    </row>
    <row r="646">
      <c r="A646" s="62">
        <f>IF(H646="","",IF(ISNUMBER(N646),N646,I646))</f>
        <v/>
      </c>
      <c r="B646">
        <f>IF(H646="","",U646)</f>
        <v/>
      </c>
      <c r="C646">
        <f>IF(H646="","",IF(P646="",K646,INDEX('Students'!$A$2:$A$701,P646)))</f>
        <v/>
      </c>
      <c r="D646">
        <f>IF(OR(H646="",P646=""),"",INDEX('Students'!$B$2:$B$701,P646))</f>
        <v/>
      </c>
      <c r="E646">
        <f>IF(OR(H646="",P646=""),"",INDEX('Students'!$C$2:$C$701,P646))</f>
        <v/>
      </c>
      <c r="F646" s="48">
        <f>IF(H646="","",IF(ISNUMBER(O646),O646,J646))</f>
        <v/>
      </c>
      <c r="G646">
        <f>IF(H646="","","OneCause")</f>
        <v/>
      </c>
      <c r="H646">
        <f>IF(AND(I646="",J646="",K646=""),"",IF(NOT(ISNUMBER(O646)),"Bad amount",IF(O646&lt;0,"Refund (not counted)",IF(O646=0,"Zero amount",IF(NOT(ISNUMBER(N646)),"Bad date",IF(P646="","NAME NOT ON ROSTER",IF(L646="","OK",IF(MATCH(L646,$L$2:$L$3001,0)&lt;ROW()-1,"Duplicate (ignored)","OK"))))))))</f>
        <v/>
      </c>
      <c r="I646">
        <f>IF(OC_Date=0,"",IF(INDEX('OneCause_Paste'!$A$646:$AZ$646,1,OC_Date)="","",INDEX('OneCause_Paste'!$A$646:$AZ$646,1,OC_Date)))</f>
        <v/>
      </c>
      <c r="J646">
        <f>IF(OC_Amt=0,"",IF(INDEX('OneCause_Paste'!$A$646:$AZ$646,1,OC_Amt)="","",INDEX('OneCause_Paste'!$A$646:$AZ$646,1,OC_Amt)))</f>
        <v/>
      </c>
      <c r="K646">
        <f>IF(OC_Name=0,"",IF(INDEX('OneCause_Paste'!$A$646:$AZ$646,1,OC_Name)="","",INDEX('OneCause_Paste'!$A$646:$AZ$646,1,OC_Name)))</f>
        <v/>
      </c>
      <c r="L646">
        <f>IF(OC_Txn=0,"",IF(INDEX('OneCause_Paste'!$A$646:$AZ$646,1,OC_Txn)="","",INDEX('OneCause_Paste'!$A$646:$AZ$646,1,OC_Txn)))</f>
        <v/>
      </c>
      <c r="M646">
        <f>IF(OC_Pay=0,"",IF(INDEX('OneCause_Paste'!$A$646:$AZ$646,1,OC_Pay)="","",INDEX('OneCause_Paste'!$A$646:$AZ$646,1,OC_Pay)))</f>
        <v/>
      </c>
      <c r="N646">
        <f>IF(I646="","",IF(ISNUMBER(I646),INT(I646),IFERROR(INT(DATEVALUE(I646)),IFERROR(INT(VALUE(I646)),"bad"))))</f>
        <v/>
      </c>
      <c r="O646">
        <f>IF(J646="","",IF(ISNUMBER(J646),ROUND(J646,2),IFERROR(ROUND(VALUE(SUBSTITUTE(SUBSTITUTE(SUBSTITUTE(J646,"$",""),",","")," ","")),2),"bad")))</f>
        <v/>
      </c>
      <c r="P646">
        <f>IF(TRIM(K646)="","",IFERROR(MATCH(LOWER(TRIM(K646)),'Students'!$AH$2:$AH$701,0),IFERROR(MATCH(LOWER(TRIM(K646)),'Students'!$AF$2:$AF$701,0),IFERROR(MATCH(LOWER(TRIM(K646)),'Students'!$AG$2:$AG$701,0),""))))</f>
        <v/>
      </c>
      <c r="R646">
        <f>IF(P646="","",INDEX('Students'!$AD$2:$AD$701,P646))</f>
        <v/>
      </c>
      <c r="S646">
        <f>IF(H646="OK",O646,0)</f>
        <v/>
      </c>
      <c r="T646">
        <f>IF(H646="OK",N646,"")</f>
        <v/>
      </c>
      <c r="U646">
        <f>IF(OC_Donor=0,"",IF(INDEX('OneCause_Paste'!$A$646:$AZ$646,1,OC_Donor)="","",INDEX('OneCause_Paste'!$A$646:$AZ$646,1,OC_Donor)))</f>
        <v/>
      </c>
    </row>
    <row r="647">
      <c r="A647" s="62">
        <f>IF(H647="","",IF(ISNUMBER(N647),N647,I647))</f>
        <v/>
      </c>
      <c r="B647">
        <f>IF(H647="","",U647)</f>
        <v/>
      </c>
      <c r="C647">
        <f>IF(H647="","",IF(P647="",K647,INDEX('Students'!$A$2:$A$701,P647)))</f>
        <v/>
      </c>
      <c r="D647">
        <f>IF(OR(H647="",P647=""),"",INDEX('Students'!$B$2:$B$701,P647))</f>
        <v/>
      </c>
      <c r="E647">
        <f>IF(OR(H647="",P647=""),"",INDEX('Students'!$C$2:$C$701,P647))</f>
        <v/>
      </c>
      <c r="F647" s="48">
        <f>IF(H647="","",IF(ISNUMBER(O647),O647,J647))</f>
        <v/>
      </c>
      <c r="G647">
        <f>IF(H647="","","OneCause")</f>
        <v/>
      </c>
      <c r="H647">
        <f>IF(AND(I647="",J647="",K647=""),"",IF(NOT(ISNUMBER(O647)),"Bad amount",IF(O647&lt;0,"Refund (not counted)",IF(O647=0,"Zero amount",IF(NOT(ISNUMBER(N647)),"Bad date",IF(P647="","NAME NOT ON ROSTER",IF(L647="","OK",IF(MATCH(L647,$L$2:$L$3001,0)&lt;ROW()-1,"Duplicate (ignored)","OK"))))))))</f>
        <v/>
      </c>
      <c r="I647">
        <f>IF(OC_Date=0,"",IF(INDEX('OneCause_Paste'!$A$647:$AZ$647,1,OC_Date)="","",INDEX('OneCause_Paste'!$A$647:$AZ$647,1,OC_Date)))</f>
        <v/>
      </c>
      <c r="J647">
        <f>IF(OC_Amt=0,"",IF(INDEX('OneCause_Paste'!$A$647:$AZ$647,1,OC_Amt)="","",INDEX('OneCause_Paste'!$A$647:$AZ$647,1,OC_Amt)))</f>
        <v/>
      </c>
      <c r="K647">
        <f>IF(OC_Name=0,"",IF(INDEX('OneCause_Paste'!$A$647:$AZ$647,1,OC_Name)="","",INDEX('OneCause_Paste'!$A$647:$AZ$647,1,OC_Name)))</f>
        <v/>
      </c>
      <c r="L647">
        <f>IF(OC_Txn=0,"",IF(INDEX('OneCause_Paste'!$A$647:$AZ$647,1,OC_Txn)="","",INDEX('OneCause_Paste'!$A$647:$AZ$647,1,OC_Txn)))</f>
        <v/>
      </c>
      <c r="M647">
        <f>IF(OC_Pay=0,"",IF(INDEX('OneCause_Paste'!$A$647:$AZ$647,1,OC_Pay)="","",INDEX('OneCause_Paste'!$A$647:$AZ$647,1,OC_Pay)))</f>
        <v/>
      </c>
      <c r="N647">
        <f>IF(I647="","",IF(ISNUMBER(I647),INT(I647),IFERROR(INT(DATEVALUE(I647)),IFERROR(INT(VALUE(I647)),"bad"))))</f>
        <v/>
      </c>
      <c r="O647">
        <f>IF(J647="","",IF(ISNUMBER(J647),ROUND(J647,2),IFERROR(ROUND(VALUE(SUBSTITUTE(SUBSTITUTE(SUBSTITUTE(J647,"$",""),",","")," ","")),2),"bad")))</f>
        <v/>
      </c>
      <c r="P647">
        <f>IF(TRIM(K647)="","",IFERROR(MATCH(LOWER(TRIM(K647)),'Students'!$AH$2:$AH$701,0),IFERROR(MATCH(LOWER(TRIM(K647)),'Students'!$AF$2:$AF$701,0),IFERROR(MATCH(LOWER(TRIM(K647)),'Students'!$AG$2:$AG$701,0),""))))</f>
        <v/>
      </c>
      <c r="R647">
        <f>IF(P647="","",INDEX('Students'!$AD$2:$AD$701,P647))</f>
        <v/>
      </c>
      <c r="S647">
        <f>IF(H647="OK",O647,0)</f>
        <v/>
      </c>
      <c r="T647">
        <f>IF(H647="OK",N647,"")</f>
        <v/>
      </c>
      <c r="U647">
        <f>IF(OC_Donor=0,"",IF(INDEX('OneCause_Paste'!$A$647:$AZ$647,1,OC_Donor)="","",INDEX('OneCause_Paste'!$A$647:$AZ$647,1,OC_Donor)))</f>
        <v/>
      </c>
    </row>
    <row r="648">
      <c r="A648" s="62">
        <f>IF(H648="","",IF(ISNUMBER(N648),N648,I648))</f>
        <v/>
      </c>
      <c r="B648">
        <f>IF(H648="","",U648)</f>
        <v/>
      </c>
      <c r="C648">
        <f>IF(H648="","",IF(P648="",K648,INDEX('Students'!$A$2:$A$701,P648)))</f>
        <v/>
      </c>
      <c r="D648">
        <f>IF(OR(H648="",P648=""),"",INDEX('Students'!$B$2:$B$701,P648))</f>
        <v/>
      </c>
      <c r="E648">
        <f>IF(OR(H648="",P648=""),"",INDEX('Students'!$C$2:$C$701,P648))</f>
        <v/>
      </c>
      <c r="F648" s="48">
        <f>IF(H648="","",IF(ISNUMBER(O648),O648,J648))</f>
        <v/>
      </c>
      <c r="G648">
        <f>IF(H648="","","OneCause")</f>
        <v/>
      </c>
      <c r="H648">
        <f>IF(AND(I648="",J648="",K648=""),"",IF(NOT(ISNUMBER(O648)),"Bad amount",IF(O648&lt;0,"Refund (not counted)",IF(O648=0,"Zero amount",IF(NOT(ISNUMBER(N648)),"Bad date",IF(P648="","NAME NOT ON ROSTER",IF(L648="","OK",IF(MATCH(L648,$L$2:$L$3001,0)&lt;ROW()-1,"Duplicate (ignored)","OK"))))))))</f>
        <v/>
      </c>
      <c r="I648">
        <f>IF(OC_Date=0,"",IF(INDEX('OneCause_Paste'!$A$648:$AZ$648,1,OC_Date)="","",INDEX('OneCause_Paste'!$A$648:$AZ$648,1,OC_Date)))</f>
        <v/>
      </c>
      <c r="J648">
        <f>IF(OC_Amt=0,"",IF(INDEX('OneCause_Paste'!$A$648:$AZ$648,1,OC_Amt)="","",INDEX('OneCause_Paste'!$A$648:$AZ$648,1,OC_Amt)))</f>
        <v/>
      </c>
      <c r="K648">
        <f>IF(OC_Name=0,"",IF(INDEX('OneCause_Paste'!$A$648:$AZ$648,1,OC_Name)="","",INDEX('OneCause_Paste'!$A$648:$AZ$648,1,OC_Name)))</f>
        <v/>
      </c>
      <c r="L648">
        <f>IF(OC_Txn=0,"",IF(INDEX('OneCause_Paste'!$A$648:$AZ$648,1,OC_Txn)="","",INDEX('OneCause_Paste'!$A$648:$AZ$648,1,OC_Txn)))</f>
        <v/>
      </c>
      <c r="M648">
        <f>IF(OC_Pay=0,"",IF(INDEX('OneCause_Paste'!$A$648:$AZ$648,1,OC_Pay)="","",INDEX('OneCause_Paste'!$A$648:$AZ$648,1,OC_Pay)))</f>
        <v/>
      </c>
      <c r="N648">
        <f>IF(I648="","",IF(ISNUMBER(I648),INT(I648),IFERROR(INT(DATEVALUE(I648)),IFERROR(INT(VALUE(I648)),"bad"))))</f>
        <v/>
      </c>
      <c r="O648">
        <f>IF(J648="","",IF(ISNUMBER(J648),ROUND(J648,2),IFERROR(ROUND(VALUE(SUBSTITUTE(SUBSTITUTE(SUBSTITUTE(J648,"$",""),",","")," ","")),2),"bad")))</f>
        <v/>
      </c>
      <c r="P648">
        <f>IF(TRIM(K648)="","",IFERROR(MATCH(LOWER(TRIM(K648)),'Students'!$AH$2:$AH$701,0),IFERROR(MATCH(LOWER(TRIM(K648)),'Students'!$AF$2:$AF$701,0),IFERROR(MATCH(LOWER(TRIM(K648)),'Students'!$AG$2:$AG$701,0),""))))</f>
        <v/>
      </c>
      <c r="R648">
        <f>IF(P648="","",INDEX('Students'!$AD$2:$AD$701,P648))</f>
        <v/>
      </c>
      <c r="S648">
        <f>IF(H648="OK",O648,0)</f>
        <v/>
      </c>
      <c r="T648">
        <f>IF(H648="OK",N648,"")</f>
        <v/>
      </c>
      <c r="U648">
        <f>IF(OC_Donor=0,"",IF(INDEX('OneCause_Paste'!$A$648:$AZ$648,1,OC_Donor)="","",INDEX('OneCause_Paste'!$A$648:$AZ$648,1,OC_Donor)))</f>
        <v/>
      </c>
    </row>
    <row r="649">
      <c r="A649" s="62">
        <f>IF(H649="","",IF(ISNUMBER(N649),N649,I649))</f>
        <v/>
      </c>
      <c r="B649">
        <f>IF(H649="","",U649)</f>
        <v/>
      </c>
      <c r="C649">
        <f>IF(H649="","",IF(P649="",K649,INDEX('Students'!$A$2:$A$701,P649)))</f>
        <v/>
      </c>
      <c r="D649">
        <f>IF(OR(H649="",P649=""),"",INDEX('Students'!$B$2:$B$701,P649))</f>
        <v/>
      </c>
      <c r="E649">
        <f>IF(OR(H649="",P649=""),"",INDEX('Students'!$C$2:$C$701,P649))</f>
        <v/>
      </c>
      <c r="F649" s="48">
        <f>IF(H649="","",IF(ISNUMBER(O649),O649,J649))</f>
        <v/>
      </c>
      <c r="G649">
        <f>IF(H649="","","OneCause")</f>
        <v/>
      </c>
      <c r="H649">
        <f>IF(AND(I649="",J649="",K649=""),"",IF(NOT(ISNUMBER(O649)),"Bad amount",IF(O649&lt;0,"Refund (not counted)",IF(O649=0,"Zero amount",IF(NOT(ISNUMBER(N649)),"Bad date",IF(P649="","NAME NOT ON ROSTER",IF(L649="","OK",IF(MATCH(L649,$L$2:$L$3001,0)&lt;ROW()-1,"Duplicate (ignored)","OK"))))))))</f>
        <v/>
      </c>
      <c r="I649">
        <f>IF(OC_Date=0,"",IF(INDEX('OneCause_Paste'!$A$649:$AZ$649,1,OC_Date)="","",INDEX('OneCause_Paste'!$A$649:$AZ$649,1,OC_Date)))</f>
        <v/>
      </c>
      <c r="J649">
        <f>IF(OC_Amt=0,"",IF(INDEX('OneCause_Paste'!$A$649:$AZ$649,1,OC_Amt)="","",INDEX('OneCause_Paste'!$A$649:$AZ$649,1,OC_Amt)))</f>
        <v/>
      </c>
      <c r="K649">
        <f>IF(OC_Name=0,"",IF(INDEX('OneCause_Paste'!$A$649:$AZ$649,1,OC_Name)="","",INDEX('OneCause_Paste'!$A$649:$AZ$649,1,OC_Name)))</f>
        <v/>
      </c>
      <c r="L649">
        <f>IF(OC_Txn=0,"",IF(INDEX('OneCause_Paste'!$A$649:$AZ$649,1,OC_Txn)="","",INDEX('OneCause_Paste'!$A$649:$AZ$649,1,OC_Txn)))</f>
        <v/>
      </c>
      <c r="M649">
        <f>IF(OC_Pay=0,"",IF(INDEX('OneCause_Paste'!$A$649:$AZ$649,1,OC_Pay)="","",INDEX('OneCause_Paste'!$A$649:$AZ$649,1,OC_Pay)))</f>
        <v/>
      </c>
      <c r="N649">
        <f>IF(I649="","",IF(ISNUMBER(I649),INT(I649),IFERROR(INT(DATEVALUE(I649)),IFERROR(INT(VALUE(I649)),"bad"))))</f>
        <v/>
      </c>
      <c r="O649">
        <f>IF(J649="","",IF(ISNUMBER(J649),ROUND(J649,2),IFERROR(ROUND(VALUE(SUBSTITUTE(SUBSTITUTE(SUBSTITUTE(J649,"$",""),",","")," ","")),2),"bad")))</f>
        <v/>
      </c>
      <c r="P649">
        <f>IF(TRIM(K649)="","",IFERROR(MATCH(LOWER(TRIM(K649)),'Students'!$AH$2:$AH$701,0),IFERROR(MATCH(LOWER(TRIM(K649)),'Students'!$AF$2:$AF$701,0),IFERROR(MATCH(LOWER(TRIM(K649)),'Students'!$AG$2:$AG$701,0),""))))</f>
        <v/>
      </c>
      <c r="R649">
        <f>IF(P649="","",INDEX('Students'!$AD$2:$AD$701,P649))</f>
        <v/>
      </c>
      <c r="S649">
        <f>IF(H649="OK",O649,0)</f>
        <v/>
      </c>
      <c r="T649">
        <f>IF(H649="OK",N649,"")</f>
        <v/>
      </c>
      <c r="U649">
        <f>IF(OC_Donor=0,"",IF(INDEX('OneCause_Paste'!$A$649:$AZ$649,1,OC_Donor)="","",INDEX('OneCause_Paste'!$A$649:$AZ$649,1,OC_Donor)))</f>
        <v/>
      </c>
    </row>
    <row r="650">
      <c r="A650" s="62">
        <f>IF(H650="","",IF(ISNUMBER(N650),N650,I650))</f>
        <v/>
      </c>
      <c r="B650">
        <f>IF(H650="","",U650)</f>
        <v/>
      </c>
      <c r="C650">
        <f>IF(H650="","",IF(P650="",K650,INDEX('Students'!$A$2:$A$701,P650)))</f>
        <v/>
      </c>
      <c r="D650">
        <f>IF(OR(H650="",P650=""),"",INDEX('Students'!$B$2:$B$701,P650))</f>
        <v/>
      </c>
      <c r="E650">
        <f>IF(OR(H650="",P650=""),"",INDEX('Students'!$C$2:$C$701,P650))</f>
        <v/>
      </c>
      <c r="F650" s="48">
        <f>IF(H650="","",IF(ISNUMBER(O650),O650,J650))</f>
        <v/>
      </c>
      <c r="G650">
        <f>IF(H650="","","OneCause")</f>
        <v/>
      </c>
      <c r="H650">
        <f>IF(AND(I650="",J650="",K650=""),"",IF(NOT(ISNUMBER(O650)),"Bad amount",IF(O650&lt;0,"Refund (not counted)",IF(O650=0,"Zero amount",IF(NOT(ISNUMBER(N650)),"Bad date",IF(P650="","NAME NOT ON ROSTER",IF(L650="","OK",IF(MATCH(L650,$L$2:$L$3001,0)&lt;ROW()-1,"Duplicate (ignored)","OK"))))))))</f>
        <v/>
      </c>
      <c r="I650">
        <f>IF(OC_Date=0,"",IF(INDEX('OneCause_Paste'!$A$650:$AZ$650,1,OC_Date)="","",INDEX('OneCause_Paste'!$A$650:$AZ$650,1,OC_Date)))</f>
        <v/>
      </c>
      <c r="J650">
        <f>IF(OC_Amt=0,"",IF(INDEX('OneCause_Paste'!$A$650:$AZ$650,1,OC_Amt)="","",INDEX('OneCause_Paste'!$A$650:$AZ$650,1,OC_Amt)))</f>
        <v/>
      </c>
      <c r="K650">
        <f>IF(OC_Name=0,"",IF(INDEX('OneCause_Paste'!$A$650:$AZ$650,1,OC_Name)="","",INDEX('OneCause_Paste'!$A$650:$AZ$650,1,OC_Name)))</f>
        <v/>
      </c>
      <c r="L650">
        <f>IF(OC_Txn=0,"",IF(INDEX('OneCause_Paste'!$A$650:$AZ$650,1,OC_Txn)="","",INDEX('OneCause_Paste'!$A$650:$AZ$650,1,OC_Txn)))</f>
        <v/>
      </c>
      <c r="M650">
        <f>IF(OC_Pay=0,"",IF(INDEX('OneCause_Paste'!$A$650:$AZ$650,1,OC_Pay)="","",INDEX('OneCause_Paste'!$A$650:$AZ$650,1,OC_Pay)))</f>
        <v/>
      </c>
      <c r="N650">
        <f>IF(I650="","",IF(ISNUMBER(I650),INT(I650),IFERROR(INT(DATEVALUE(I650)),IFERROR(INT(VALUE(I650)),"bad"))))</f>
        <v/>
      </c>
      <c r="O650">
        <f>IF(J650="","",IF(ISNUMBER(J650),ROUND(J650,2),IFERROR(ROUND(VALUE(SUBSTITUTE(SUBSTITUTE(SUBSTITUTE(J650,"$",""),",","")," ","")),2),"bad")))</f>
        <v/>
      </c>
      <c r="P650">
        <f>IF(TRIM(K650)="","",IFERROR(MATCH(LOWER(TRIM(K650)),'Students'!$AH$2:$AH$701,0),IFERROR(MATCH(LOWER(TRIM(K650)),'Students'!$AF$2:$AF$701,0),IFERROR(MATCH(LOWER(TRIM(K650)),'Students'!$AG$2:$AG$701,0),""))))</f>
        <v/>
      </c>
      <c r="R650">
        <f>IF(P650="","",INDEX('Students'!$AD$2:$AD$701,P650))</f>
        <v/>
      </c>
      <c r="S650">
        <f>IF(H650="OK",O650,0)</f>
        <v/>
      </c>
      <c r="T650">
        <f>IF(H650="OK",N650,"")</f>
        <v/>
      </c>
      <c r="U650">
        <f>IF(OC_Donor=0,"",IF(INDEX('OneCause_Paste'!$A$650:$AZ$650,1,OC_Donor)="","",INDEX('OneCause_Paste'!$A$650:$AZ$650,1,OC_Donor)))</f>
        <v/>
      </c>
    </row>
    <row r="651">
      <c r="A651" s="62">
        <f>IF(H651="","",IF(ISNUMBER(N651),N651,I651))</f>
        <v/>
      </c>
      <c r="B651">
        <f>IF(H651="","",U651)</f>
        <v/>
      </c>
      <c r="C651">
        <f>IF(H651="","",IF(P651="",K651,INDEX('Students'!$A$2:$A$701,P651)))</f>
        <v/>
      </c>
      <c r="D651">
        <f>IF(OR(H651="",P651=""),"",INDEX('Students'!$B$2:$B$701,P651))</f>
        <v/>
      </c>
      <c r="E651">
        <f>IF(OR(H651="",P651=""),"",INDEX('Students'!$C$2:$C$701,P651))</f>
        <v/>
      </c>
      <c r="F651" s="48">
        <f>IF(H651="","",IF(ISNUMBER(O651),O651,J651))</f>
        <v/>
      </c>
      <c r="G651">
        <f>IF(H651="","","OneCause")</f>
        <v/>
      </c>
      <c r="H651">
        <f>IF(AND(I651="",J651="",K651=""),"",IF(NOT(ISNUMBER(O651)),"Bad amount",IF(O651&lt;0,"Refund (not counted)",IF(O651=0,"Zero amount",IF(NOT(ISNUMBER(N651)),"Bad date",IF(P651="","NAME NOT ON ROSTER",IF(L651="","OK",IF(MATCH(L651,$L$2:$L$3001,0)&lt;ROW()-1,"Duplicate (ignored)","OK"))))))))</f>
        <v/>
      </c>
      <c r="I651">
        <f>IF(OC_Date=0,"",IF(INDEX('OneCause_Paste'!$A$651:$AZ$651,1,OC_Date)="","",INDEX('OneCause_Paste'!$A$651:$AZ$651,1,OC_Date)))</f>
        <v/>
      </c>
      <c r="J651">
        <f>IF(OC_Amt=0,"",IF(INDEX('OneCause_Paste'!$A$651:$AZ$651,1,OC_Amt)="","",INDEX('OneCause_Paste'!$A$651:$AZ$651,1,OC_Amt)))</f>
        <v/>
      </c>
      <c r="K651">
        <f>IF(OC_Name=0,"",IF(INDEX('OneCause_Paste'!$A$651:$AZ$651,1,OC_Name)="","",INDEX('OneCause_Paste'!$A$651:$AZ$651,1,OC_Name)))</f>
        <v/>
      </c>
      <c r="L651">
        <f>IF(OC_Txn=0,"",IF(INDEX('OneCause_Paste'!$A$651:$AZ$651,1,OC_Txn)="","",INDEX('OneCause_Paste'!$A$651:$AZ$651,1,OC_Txn)))</f>
        <v/>
      </c>
      <c r="M651">
        <f>IF(OC_Pay=0,"",IF(INDEX('OneCause_Paste'!$A$651:$AZ$651,1,OC_Pay)="","",INDEX('OneCause_Paste'!$A$651:$AZ$651,1,OC_Pay)))</f>
        <v/>
      </c>
      <c r="N651">
        <f>IF(I651="","",IF(ISNUMBER(I651),INT(I651),IFERROR(INT(DATEVALUE(I651)),IFERROR(INT(VALUE(I651)),"bad"))))</f>
        <v/>
      </c>
      <c r="O651">
        <f>IF(J651="","",IF(ISNUMBER(J651),ROUND(J651,2),IFERROR(ROUND(VALUE(SUBSTITUTE(SUBSTITUTE(SUBSTITUTE(J651,"$",""),",","")," ","")),2),"bad")))</f>
        <v/>
      </c>
      <c r="P651">
        <f>IF(TRIM(K651)="","",IFERROR(MATCH(LOWER(TRIM(K651)),'Students'!$AH$2:$AH$701,0),IFERROR(MATCH(LOWER(TRIM(K651)),'Students'!$AF$2:$AF$701,0),IFERROR(MATCH(LOWER(TRIM(K651)),'Students'!$AG$2:$AG$701,0),""))))</f>
        <v/>
      </c>
      <c r="R651">
        <f>IF(P651="","",INDEX('Students'!$AD$2:$AD$701,P651))</f>
        <v/>
      </c>
      <c r="S651">
        <f>IF(H651="OK",O651,0)</f>
        <v/>
      </c>
      <c r="T651">
        <f>IF(H651="OK",N651,"")</f>
        <v/>
      </c>
      <c r="U651">
        <f>IF(OC_Donor=0,"",IF(INDEX('OneCause_Paste'!$A$651:$AZ$651,1,OC_Donor)="","",INDEX('OneCause_Paste'!$A$651:$AZ$651,1,OC_Donor)))</f>
        <v/>
      </c>
    </row>
    <row r="652">
      <c r="A652" s="62">
        <f>IF(H652="","",IF(ISNUMBER(N652),N652,I652))</f>
        <v/>
      </c>
      <c r="B652">
        <f>IF(H652="","",U652)</f>
        <v/>
      </c>
      <c r="C652">
        <f>IF(H652="","",IF(P652="",K652,INDEX('Students'!$A$2:$A$701,P652)))</f>
        <v/>
      </c>
      <c r="D652">
        <f>IF(OR(H652="",P652=""),"",INDEX('Students'!$B$2:$B$701,P652))</f>
        <v/>
      </c>
      <c r="E652">
        <f>IF(OR(H652="",P652=""),"",INDEX('Students'!$C$2:$C$701,P652))</f>
        <v/>
      </c>
      <c r="F652" s="48">
        <f>IF(H652="","",IF(ISNUMBER(O652),O652,J652))</f>
        <v/>
      </c>
      <c r="G652">
        <f>IF(H652="","","OneCause")</f>
        <v/>
      </c>
      <c r="H652">
        <f>IF(AND(I652="",J652="",K652=""),"",IF(NOT(ISNUMBER(O652)),"Bad amount",IF(O652&lt;0,"Refund (not counted)",IF(O652=0,"Zero amount",IF(NOT(ISNUMBER(N652)),"Bad date",IF(P652="","NAME NOT ON ROSTER",IF(L652="","OK",IF(MATCH(L652,$L$2:$L$3001,0)&lt;ROW()-1,"Duplicate (ignored)","OK"))))))))</f>
        <v/>
      </c>
      <c r="I652">
        <f>IF(OC_Date=0,"",IF(INDEX('OneCause_Paste'!$A$652:$AZ$652,1,OC_Date)="","",INDEX('OneCause_Paste'!$A$652:$AZ$652,1,OC_Date)))</f>
        <v/>
      </c>
      <c r="J652">
        <f>IF(OC_Amt=0,"",IF(INDEX('OneCause_Paste'!$A$652:$AZ$652,1,OC_Amt)="","",INDEX('OneCause_Paste'!$A$652:$AZ$652,1,OC_Amt)))</f>
        <v/>
      </c>
      <c r="K652">
        <f>IF(OC_Name=0,"",IF(INDEX('OneCause_Paste'!$A$652:$AZ$652,1,OC_Name)="","",INDEX('OneCause_Paste'!$A$652:$AZ$652,1,OC_Name)))</f>
        <v/>
      </c>
      <c r="L652">
        <f>IF(OC_Txn=0,"",IF(INDEX('OneCause_Paste'!$A$652:$AZ$652,1,OC_Txn)="","",INDEX('OneCause_Paste'!$A$652:$AZ$652,1,OC_Txn)))</f>
        <v/>
      </c>
      <c r="M652">
        <f>IF(OC_Pay=0,"",IF(INDEX('OneCause_Paste'!$A$652:$AZ$652,1,OC_Pay)="","",INDEX('OneCause_Paste'!$A$652:$AZ$652,1,OC_Pay)))</f>
        <v/>
      </c>
      <c r="N652">
        <f>IF(I652="","",IF(ISNUMBER(I652),INT(I652),IFERROR(INT(DATEVALUE(I652)),IFERROR(INT(VALUE(I652)),"bad"))))</f>
        <v/>
      </c>
      <c r="O652">
        <f>IF(J652="","",IF(ISNUMBER(J652),ROUND(J652,2),IFERROR(ROUND(VALUE(SUBSTITUTE(SUBSTITUTE(SUBSTITUTE(J652,"$",""),",","")," ","")),2),"bad")))</f>
        <v/>
      </c>
      <c r="P652">
        <f>IF(TRIM(K652)="","",IFERROR(MATCH(LOWER(TRIM(K652)),'Students'!$AH$2:$AH$701,0),IFERROR(MATCH(LOWER(TRIM(K652)),'Students'!$AF$2:$AF$701,0),IFERROR(MATCH(LOWER(TRIM(K652)),'Students'!$AG$2:$AG$701,0),""))))</f>
        <v/>
      </c>
      <c r="R652">
        <f>IF(P652="","",INDEX('Students'!$AD$2:$AD$701,P652))</f>
        <v/>
      </c>
      <c r="S652">
        <f>IF(H652="OK",O652,0)</f>
        <v/>
      </c>
      <c r="T652">
        <f>IF(H652="OK",N652,"")</f>
        <v/>
      </c>
      <c r="U652">
        <f>IF(OC_Donor=0,"",IF(INDEX('OneCause_Paste'!$A$652:$AZ$652,1,OC_Donor)="","",INDEX('OneCause_Paste'!$A$652:$AZ$652,1,OC_Donor)))</f>
        <v/>
      </c>
    </row>
    <row r="653">
      <c r="A653" s="62">
        <f>IF(H653="","",IF(ISNUMBER(N653),N653,I653))</f>
        <v/>
      </c>
      <c r="B653">
        <f>IF(H653="","",U653)</f>
        <v/>
      </c>
      <c r="C653">
        <f>IF(H653="","",IF(P653="",K653,INDEX('Students'!$A$2:$A$701,P653)))</f>
        <v/>
      </c>
      <c r="D653">
        <f>IF(OR(H653="",P653=""),"",INDEX('Students'!$B$2:$B$701,P653))</f>
        <v/>
      </c>
      <c r="E653">
        <f>IF(OR(H653="",P653=""),"",INDEX('Students'!$C$2:$C$701,P653))</f>
        <v/>
      </c>
      <c r="F653" s="48">
        <f>IF(H653="","",IF(ISNUMBER(O653),O653,J653))</f>
        <v/>
      </c>
      <c r="G653">
        <f>IF(H653="","","OneCause")</f>
        <v/>
      </c>
      <c r="H653">
        <f>IF(AND(I653="",J653="",K653=""),"",IF(NOT(ISNUMBER(O653)),"Bad amount",IF(O653&lt;0,"Refund (not counted)",IF(O653=0,"Zero amount",IF(NOT(ISNUMBER(N653)),"Bad date",IF(P653="","NAME NOT ON ROSTER",IF(L653="","OK",IF(MATCH(L653,$L$2:$L$3001,0)&lt;ROW()-1,"Duplicate (ignored)","OK"))))))))</f>
        <v/>
      </c>
      <c r="I653">
        <f>IF(OC_Date=0,"",IF(INDEX('OneCause_Paste'!$A$653:$AZ$653,1,OC_Date)="","",INDEX('OneCause_Paste'!$A$653:$AZ$653,1,OC_Date)))</f>
        <v/>
      </c>
      <c r="J653">
        <f>IF(OC_Amt=0,"",IF(INDEX('OneCause_Paste'!$A$653:$AZ$653,1,OC_Amt)="","",INDEX('OneCause_Paste'!$A$653:$AZ$653,1,OC_Amt)))</f>
        <v/>
      </c>
      <c r="K653">
        <f>IF(OC_Name=0,"",IF(INDEX('OneCause_Paste'!$A$653:$AZ$653,1,OC_Name)="","",INDEX('OneCause_Paste'!$A$653:$AZ$653,1,OC_Name)))</f>
        <v/>
      </c>
      <c r="L653">
        <f>IF(OC_Txn=0,"",IF(INDEX('OneCause_Paste'!$A$653:$AZ$653,1,OC_Txn)="","",INDEX('OneCause_Paste'!$A$653:$AZ$653,1,OC_Txn)))</f>
        <v/>
      </c>
      <c r="M653">
        <f>IF(OC_Pay=0,"",IF(INDEX('OneCause_Paste'!$A$653:$AZ$653,1,OC_Pay)="","",INDEX('OneCause_Paste'!$A$653:$AZ$653,1,OC_Pay)))</f>
        <v/>
      </c>
      <c r="N653">
        <f>IF(I653="","",IF(ISNUMBER(I653),INT(I653),IFERROR(INT(DATEVALUE(I653)),IFERROR(INT(VALUE(I653)),"bad"))))</f>
        <v/>
      </c>
      <c r="O653">
        <f>IF(J653="","",IF(ISNUMBER(J653),ROUND(J653,2),IFERROR(ROUND(VALUE(SUBSTITUTE(SUBSTITUTE(SUBSTITUTE(J653,"$",""),",","")," ","")),2),"bad")))</f>
        <v/>
      </c>
      <c r="P653">
        <f>IF(TRIM(K653)="","",IFERROR(MATCH(LOWER(TRIM(K653)),'Students'!$AH$2:$AH$701,0),IFERROR(MATCH(LOWER(TRIM(K653)),'Students'!$AF$2:$AF$701,0),IFERROR(MATCH(LOWER(TRIM(K653)),'Students'!$AG$2:$AG$701,0),""))))</f>
        <v/>
      </c>
      <c r="R653">
        <f>IF(P653="","",INDEX('Students'!$AD$2:$AD$701,P653))</f>
        <v/>
      </c>
      <c r="S653">
        <f>IF(H653="OK",O653,0)</f>
        <v/>
      </c>
      <c r="T653">
        <f>IF(H653="OK",N653,"")</f>
        <v/>
      </c>
      <c r="U653">
        <f>IF(OC_Donor=0,"",IF(INDEX('OneCause_Paste'!$A$653:$AZ$653,1,OC_Donor)="","",INDEX('OneCause_Paste'!$A$653:$AZ$653,1,OC_Donor)))</f>
        <v/>
      </c>
    </row>
    <row r="654">
      <c r="A654" s="62">
        <f>IF(H654="","",IF(ISNUMBER(N654),N654,I654))</f>
        <v/>
      </c>
      <c r="B654">
        <f>IF(H654="","",U654)</f>
        <v/>
      </c>
      <c r="C654">
        <f>IF(H654="","",IF(P654="",K654,INDEX('Students'!$A$2:$A$701,P654)))</f>
        <v/>
      </c>
      <c r="D654">
        <f>IF(OR(H654="",P654=""),"",INDEX('Students'!$B$2:$B$701,P654))</f>
        <v/>
      </c>
      <c r="E654">
        <f>IF(OR(H654="",P654=""),"",INDEX('Students'!$C$2:$C$701,P654))</f>
        <v/>
      </c>
      <c r="F654" s="48">
        <f>IF(H654="","",IF(ISNUMBER(O654),O654,J654))</f>
        <v/>
      </c>
      <c r="G654">
        <f>IF(H654="","","OneCause")</f>
        <v/>
      </c>
      <c r="H654">
        <f>IF(AND(I654="",J654="",K654=""),"",IF(NOT(ISNUMBER(O654)),"Bad amount",IF(O654&lt;0,"Refund (not counted)",IF(O654=0,"Zero amount",IF(NOT(ISNUMBER(N654)),"Bad date",IF(P654="","NAME NOT ON ROSTER",IF(L654="","OK",IF(MATCH(L654,$L$2:$L$3001,0)&lt;ROW()-1,"Duplicate (ignored)","OK"))))))))</f>
        <v/>
      </c>
      <c r="I654">
        <f>IF(OC_Date=0,"",IF(INDEX('OneCause_Paste'!$A$654:$AZ$654,1,OC_Date)="","",INDEX('OneCause_Paste'!$A$654:$AZ$654,1,OC_Date)))</f>
        <v/>
      </c>
      <c r="J654">
        <f>IF(OC_Amt=0,"",IF(INDEX('OneCause_Paste'!$A$654:$AZ$654,1,OC_Amt)="","",INDEX('OneCause_Paste'!$A$654:$AZ$654,1,OC_Amt)))</f>
        <v/>
      </c>
      <c r="K654">
        <f>IF(OC_Name=0,"",IF(INDEX('OneCause_Paste'!$A$654:$AZ$654,1,OC_Name)="","",INDEX('OneCause_Paste'!$A$654:$AZ$654,1,OC_Name)))</f>
        <v/>
      </c>
      <c r="L654">
        <f>IF(OC_Txn=0,"",IF(INDEX('OneCause_Paste'!$A$654:$AZ$654,1,OC_Txn)="","",INDEX('OneCause_Paste'!$A$654:$AZ$654,1,OC_Txn)))</f>
        <v/>
      </c>
      <c r="M654">
        <f>IF(OC_Pay=0,"",IF(INDEX('OneCause_Paste'!$A$654:$AZ$654,1,OC_Pay)="","",INDEX('OneCause_Paste'!$A$654:$AZ$654,1,OC_Pay)))</f>
        <v/>
      </c>
      <c r="N654">
        <f>IF(I654="","",IF(ISNUMBER(I654),INT(I654),IFERROR(INT(DATEVALUE(I654)),IFERROR(INT(VALUE(I654)),"bad"))))</f>
        <v/>
      </c>
      <c r="O654">
        <f>IF(J654="","",IF(ISNUMBER(J654),ROUND(J654,2),IFERROR(ROUND(VALUE(SUBSTITUTE(SUBSTITUTE(SUBSTITUTE(J654,"$",""),",","")," ","")),2),"bad")))</f>
        <v/>
      </c>
      <c r="P654">
        <f>IF(TRIM(K654)="","",IFERROR(MATCH(LOWER(TRIM(K654)),'Students'!$AH$2:$AH$701,0),IFERROR(MATCH(LOWER(TRIM(K654)),'Students'!$AF$2:$AF$701,0),IFERROR(MATCH(LOWER(TRIM(K654)),'Students'!$AG$2:$AG$701,0),""))))</f>
        <v/>
      </c>
      <c r="R654">
        <f>IF(P654="","",INDEX('Students'!$AD$2:$AD$701,P654))</f>
        <v/>
      </c>
      <c r="S654">
        <f>IF(H654="OK",O654,0)</f>
        <v/>
      </c>
      <c r="T654">
        <f>IF(H654="OK",N654,"")</f>
        <v/>
      </c>
      <c r="U654">
        <f>IF(OC_Donor=0,"",IF(INDEX('OneCause_Paste'!$A$654:$AZ$654,1,OC_Donor)="","",INDEX('OneCause_Paste'!$A$654:$AZ$654,1,OC_Donor)))</f>
        <v/>
      </c>
    </row>
    <row r="655">
      <c r="A655" s="62">
        <f>IF(H655="","",IF(ISNUMBER(N655),N655,I655))</f>
        <v/>
      </c>
      <c r="B655">
        <f>IF(H655="","",U655)</f>
        <v/>
      </c>
      <c r="C655">
        <f>IF(H655="","",IF(P655="",K655,INDEX('Students'!$A$2:$A$701,P655)))</f>
        <v/>
      </c>
      <c r="D655">
        <f>IF(OR(H655="",P655=""),"",INDEX('Students'!$B$2:$B$701,P655))</f>
        <v/>
      </c>
      <c r="E655">
        <f>IF(OR(H655="",P655=""),"",INDEX('Students'!$C$2:$C$701,P655))</f>
        <v/>
      </c>
      <c r="F655" s="48">
        <f>IF(H655="","",IF(ISNUMBER(O655),O655,J655))</f>
        <v/>
      </c>
      <c r="G655">
        <f>IF(H655="","","OneCause")</f>
        <v/>
      </c>
      <c r="H655">
        <f>IF(AND(I655="",J655="",K655=""),"",IF(NOT(ISNUMBER(O655)),"Bad amount",IF(O655&lt;0,"Refund (not counted)",IF(O655=0,"Zero amount",IF(NOT(ISNUMBER(N655)),"Bad date",IF(P655="","NAME NOT ON ROSTER",IF(L655="","OK",IF(MATCH(L655,$L$2:$L$3001,0)&lt;ROW()-1,"Duplicate (ignored)","OK"))))))))</f>
        <v/>
      </c>
      <c r="I655">
        <f>IF(OC_Date=0,"",IF(INDEX('OneCause_Paste'!$A$655:$AZ$655,1,OC_Date)="","",INDEX('OneCause_Paste'!$A$655:$AZ$655,1,OC_Date)))</f>
        <v/>
      </c>
      <c r="J655">
        <f>IF(OC_Amt=0,"",IF(INDEX('OneCause_Paste'!$A$655:$AZ$655,1,OC_Amt)="","",INDEX('OneCause_Paste'!$A$655:$AZ$655,1,OC_Amt)))</f>
        <v/>
      </c>
      <c r="K655">
        <f>IF(OC_Name=0,"",IF(INDEX('OneCause_Paste'!$A$655:$AZ$655,1,OC_Name)="","",INDEX('OneCause_Paste'!$A$655:$AZ$655,1,OC_Name)))</f>
        <v/>
      </c>
      <c r="L655">
        <f>IF(OC_Txn=0,"",IF(INDEX('OneCause_Paste'!$A$655:$AZ$655,1,OC_Txn)="","",INDEX('OneCause_Paste'!$A$655:$AZ$655,1,OC_Txn)))</f>
        <v/>
      </c>
      <c r="M655">
        <f>IF(OC_Pay=0,"",IF(INDEX('OneCause_Paste'!$A$655:$AZ$655,1,OC_Pay)="","",INDEX('OneCause_Paste'!$A$655:$AZ$655,1,OC_Pay)))</f>
        <v/>
      </c>
      <c r="N655">
        <f>IF(I655="","",IF(ISNUMBER(I655),INT(I655),IFERROR(INT(DATEVALUE(I655)),IFERROR(INT(VALUE(I655)),"bad"))))</f>
        <v/>
      </c>
      <c r="O655">
        <f>IF(J655="","",IF(ISNUMBER(J655),ROUND(J655,2),IFERROR(ROUND(VALUE(SUBSTITUTE(SUBSTITUTE(SUBSTITUTE(J655,"$",""),",","")," ","")),2),"bad")))</f>
        <v/>
      </c>
      <c r="P655">
        <f>IF(TRIM(K655)="","",IFERROR(MATCH(LOWER(TRIM(K655)),'Students'!$AH$2:$AH$701,0),IFERROR(MATCH(LOWER(TRIM(K655)),'Students'!$AF$2:$AF$701,0),IFERROR(MATCH(LOWER(TRIM(K655)),'Students'!$AG$2:$AG$701,0),""))))</f>
        <v/>
      </c>
      <c r="R655">
        <f>IF(P655="","",INDEX('Students'!$AD$2:$AD$701,P655))</f>
        <v/>
      </c>
      <c r="S655">
        <f>IF(H655="OK",O655,0)</f>
        <v/>
      </c>
      <c r="T655">
        <f>IF(H655="OK",N655,"")</f>
        <v/>
      </c>
      <c r="U655">
        <f>IF(OC_Donor=0,"",IF(INDEX('OneCause_Paste'!$A$655:$AZ$655,1,OC_Donor)="","",INDEX('OneCause_Paste'!$A$655:$AZ$655,1,OC_Donor)))</f>
        <v/>
      </c>
    </row>
    <row r="656">
      <c r="A656" s="62">
        <f>IF(H656="","",IF(ISNUMBER(N656),N656,I656))</f>
        <v/>
      </c>
      <c r="B656">
        <f>IF(H656="","",U656)</f>
        <v/>
      </c>
      <c r="C656">
        <f>IF(H656="","",IF(P656="",K656,INDEX('Students'!$A$2:$A$701,P656)))</f>
        <v/>
      </c>
      <c r="D656">
        <f>IF(OR(H656="",P656=""),"",INDEX('Students'!$B$2:$B$701,P656))</f>
        <v/>
      </c>
      <c r="E656">
        <f>IF(OR(H656="",P656=""),"",INDEX('Students'!$C$2:$C$701,P656))</f>
        <v/>
      </c>
      <c r="F656" s="48">
        <f>IF(H656="","",IF(ISNUMBER(O656),O656,J656))</f>
        <v/>
      </c>
      <c r="G656">
        <f>IF(H656="","","OneCause")</f>
        <v/>
      </c>
      <c r="H656">
        <f>IF(AND(I656="",J656="",K656=""),"",IF(NOT(ISNUMBER(O656)),"Bad amount",IF(O656&lt;0,"Refund (not counted)",IF(O656=0,"Zero amount",IF(NOT(ISNUMBER(N656)),"Bad date",IF(P656="","NAME NOT ON ROSTER",IF(L656="","OK",IF(MATCH(L656,$L$2:$L$3001,0)&lt;ROW()-1,"Duplicate (ignored)","OK"))))))))</f>
        <v/>
      </c>
      <c r="I656">
        <f>IF(OC_Date=0,"",IF(INDEX('OneCause_Paste'!$A$656:$AZ$656,1,OC_Date)="","",INDEX('OneCause_Paste'!$A$656:$AZ$656,1,OC_Date)))</f>
        <v/>
      </c>
      <c r="J656">
        <f>IF(OC_Amt=0,"",IF(INDEX('OneCause_Paste'!$A$656:$AZ$656,1,OC_Amt)="","",INDEX('OneCause_Paste'!$A$656:$AZ$656,1,OC_Amt)))</f>
        <v/>
      </c>
      <c r="K656">
        <f>IF(OC_Name=0,"",IF(INDEX('OneCause_Paste'!$A$656:$AZ$656,1,OC_Name)="","",INDEX('OneCause_Paste'!$A$656:$AZ$656,1,OC_Name)))</f>
        <v/>
      </c>
      <c r="L656">
        <f>IF(OC_Txn=0,"",IF(INDEX('OneCause_Paste'!$A$656:$AZ$656,1,OC_Txn)="","",INDEX('OneCause_Paste'!$A$656:$AZ$656,1,OC_Txn)))</f>
        <v/>
      </c>
      <c r="M656">
        <f>IF(OC_Pay=0,"",IF(INDEX('OneCause_Paste'!$A$656:$AZ$656,1,OC_Pay)="","",INDEX('OneCause_Paste'!$A$656:$AZ$656,1,OC_Pay)))</f>
        <v/>
      </c>
      <c r="N656">
        <f>IF(I656="","",IF(ISNUMBER(I656),INT(I656),IFERROR(INT(DATEVALUE(I656)),IFERROR(INT(VALUE(I656)),"bad"))))</f>
        <v/>
      </c>
      <c r="O656">
        <f>IF(J656="","",IF(ISNUMBER(J656),ROUND(J656,2),IFERROR(ROUND(VALUE(SUBSTITUTE(SUBSTITUTE(SUBSTITUTE(J656,"$",""),",","")," ","")),2),"bad")))</f>
        <v/>
      </c>
      <c r="P656">
        <f>IF(TRIM(K656)="","",IFERROR(MATCH(LOWER(TRIM(K656)),'Students'!$AH$2:$AH$701,0),IFERROR(MATCH(LOWER(TRIM(K656)),'Students'!$AF$2:$AF$701,0),IFERROR(MATCH(LOWER(TRIM(K656)),'Students'!$AG$2:$AG$701,0),""))))</f>
        <v/>
      </c>
      <c r="R656">
        <f>IF(P656="","",INDEX('Students'!$AD$2:$AD$701,P656))</f>
        <v/>
      </c>
      <c r="S656">
        <f>IF(H656="OK",O656,0)</f>
        <v/>
      </c>
      <c r="T656">
        <f>IF(H656="OK",N656,"")</f>
        <v/>
      </c>
      <c r="U656">
        <f>IF(OC_Donor=0,"",IF(INDEX('OneCause_Paste'!$A$656:$AZ$656,1,OC_Donor)="","",INDEX('OneCause_Paste'!$A$656:$AZ$656,1,OC_Donor)))</f>
        <v/>
      </c>
    </row>
    <row r="657">
      <c r="A657" s="62">
        <f>IF(H657="","",IF(ISNUMBER(N657),N657,I657))</f>
        <v/>
      </c>
      <c r="B657">
        <f>IF(H657="","",U657)</f>
        <v/>
      </c>
      <c r="C657">
        <f>IF(H657="","",IF(P657="",K657,INDEX('Students'!$A$2:$A$701,P657)))</f>
        <v/>
      </c>
      <c r="D657">
        <f>IF(OR(H657="",P657=""),"",INDEX('Students'!$B$2:$B$701,P657))</f>
        <v/>
      </c>
      <c r="E657">
        <f>IF(OR(H657="",P657=""),"",INDEX('Students'!$C$2:$C$701,P657))</f>
        <v/>
      </c>
      <c r="F657" s="48">
        <f>IF(H657="","",IF(ISNUMBER(O657),O657,J657))</f>
        <v/>
      </c>
      <c r="G657">
        <f>IF(H657="","","OneCause")</f>
        <v/>
      </c>
      <c r="H657">
        <f>IF(AND(I657="",J657="",K657=""),"",IF(NOT(ISNUMBER(O657)),"Bad amount",IF(O657&lt;0,"Refund (not counted)",IF(O657=0,"Zero amount",IF(NOT(ISNUMBER(N657)),"Bad date",IF(P657="","NAME NOT ON ROSTER",IF(L657="","OK",IF(MATCH(L657,$L$2:$L$3001,0)&lt;ROW()-1,"Duplicate (ignored)","OK"))))))))</f>
        <v/>
      </c>
      <c r="I657">
        <f>IF(OC_Date=0,"",IF(INDEX('OneCause_Paste'!$A$657:$AZ$657,1,OC_Date)="","",INDEX('OneCause_Paste'!$A$657:$AZ$657,1,OC_Date)))</f>
        <v/>
      </c>
      <c r="J657">
        <f>IF(OC_Amt=0,"",IF(INDEX('OneCause_Paste'!$A$657:$AZ$657,1,OC_Amt)="","",INDEX('OneCause_Paste'!$A$657:$AZ$657,1,OC_Amt)))</f>
        <v/>
      </c>
      <c r="K657">
        <f>IF(OC_Name=0,"",IF(INDEX('OneCause_Paste'!$A$657:$AZ$657,1,OC_Name)="","",INDEX('OneCause_Paste'!$A$657:$AZ$657,1,OC_Name)))</f>
        <v/>
      </c>
      <c r="L657">
        <f>IF(OC_Txn=0,"",IF(INDEX('OneCause_Paste'!$A$657:$AZ$657,1,OC_Txn)="","",INDEX('OneCause_Paste'!$A$657:$AZ$657,1,OC_Txn)))</f>
        <v/>
      </c>
      <c r="M657">
        <f>IF(OC_Pay=0,"",IF(INDEX('OneCause_Paste'!$A$657:$AZ$657,1,OC_Pay)="","",INDEX('OneCause_Paste'!$A$657:$AZ$657,1,OC_Pay)))</f>
        <v/>
      </c>
      <c r="N657">
        <f>IF(I657="","",IF(ISNUMBER(I657),INT(I657),IFERROR(INT(DATEVALUE(I657)),IFERROR(INT(VALUE(I657)),"bad"))))</f>
        <v/>
      </c>
      <c r="O657">
        <f>IF(J657="","",IF(ISNUMBER(J657),ROUND(J657,2),IFERROR(ROUND(VALUE(SUBSTITUTE(SUBSTITUTE(SUBSTITUTE(J657,"$",""),",","")," ","")),2),"bad")))</f>
        <v/>
      </c>
      <c r="P657">
        <f>IF(TRIM(K657)="","",IFERROR(MATCH(LOWER(TRIM(K657)),'Students'!$AH$2:$AH$701,0),IFERROR(MATCH(LOWER(TRIM(K657)),'Students'!$AF$2:$AF$701,0),IFERROR(MATCH(LOWER(TRIM(K657)),'Students'!$AG$2:$AG$701,0),""))))</f>
        <v/>
      </c>
      <c r="R657">
        <f>IF(P657="","",INDEX('Students'!$AD$2:$AD$701,P657))</f>
        <v/>
      </c>
      <c r="S657">
        <f>IF(H657="OK",O657,0)</f>
        <v/>
      </c>
      <c r="T657">
        <f>IF(H657="OK",N657,"")</f>
        <v/>
      </c>
      <c r="U657">
        <f>IF(OC_Donor=0,"",IF(INDEX('OneCause_Paste'!$A$657:$AZ$657,1,OC_Donor)="","",INDEX('OneCause_Paste'!$A$657:$AZ$657,1,OC_Donor)))</f>
        <v/>
      </c>
    </row>
    <row r="658">
      <c r="A658" s="62">
        <f>IF(H658="","",IF(ISNUMBER(N658),N658,I658))</f>
        <v/>
      </c>
      <c r="B658">
        <f>IF(H658="","",U658)</f>
        <v/>
      </c>
      <c r="C658">
        <f>IF(H658="","",IF(P658="",K658,INDEX('Students'!$A$2:$A$701,P658)))</f>
        <v/>
      </c>
      <c r="D658">
        <f>IF(OR(H658="",P658=""),"",INDEX('Students'!$B$2:$B$701,P658))</f>
        <v/>
      </c>
      <c r="E658">
        <f>IF(OR(H658="",P658=""),"",INDEX('Students'!$C$2:$C$701,P658))</f>
        <v/>
      </c>
      <c r="F658" s="48">
        <f>IF(H658="","",IF(ISNUMBER(O658),O658,J658))</f>
        <v/>
      </c>
      <c r="G658">
        <f>IF(H658="","","OneCause")</f>
        <v/>
      </c>
      <c r="H658">
        <f>IF(AND(I658="",J658="",K658=""),"",IF(NOT(ISNUMBER(O658)),"Bad amount",IF(O658&lt;0,"Refund (not counted)",IF(O658=0,"Zero amount",IF(NOT(ISNUMBER(N658)),"Bad date",IF(P658="","NAME NOT ON ROSTER",IF(L658="","OK",IF(MATCH(L658,$L$2:$L$3001,0)&lt;ROW()-1,"Duplicate (ignored)","OK"))))))))</f>
        <v/>
      </c>
      <c r="I658">
        <f>IF(OC_Date=0,"",IF(INDEX('OneCause_Paste'!$A$658:$AZ$658,1,OC_Date)="","",INDEX('OneCause_Paste'!$A$658:$AZ$658,1,OC_Date)))</f>
        <v/>
      </c>
      <c r="J658">
        <f>IF(OC_Amt=0,"",IF(INDEX('OneCause_Paste'!$A$658:$AZ$658,1,OC_Amt)="","",INDEX('OneCause_Paste'!$A$658:$AZ$658,1,OC_Amt)))</f>
        <v/>
      </c>
      <c r="K658">
        <f>IF(OC_Name=0,"",IF(INDEX('OneCause_Paste'!$A$658:$AZ$658,1,OC_Name)="","",INDEX('OneCause_Paste'!$A$658:$AZ$658,1,OC_Name)))</f>
        <v/>
      </c>
      <c r="L658">
        <f>IF(OC_Txn=0,"",IF(INDEX('OneCause_Paste'!$A$658:$AZ$658,1,OC_Txn)="","",INDEX('OneCause_Paste'!$A$658:$AZ$658,1,OC_Txn)))</f>
        <v/>
      </c>
      <c r="M658">
        <f>IF(OC_Pay=0,"",IF(INDEX('OneCause_Paste'!$A$658:$AZ$658,1,OC_Pay)="","",INDEX('OneCause_Paste'!$A$658:$AZ$658,1,OC_Pay)))</f>
        <v/>
      </c>
      <c r="N658">
        <f>IF(I658="","",IF(ISNUMBER(I658),INT(I658),IFERROR(INT(DATEVALUE(I658)),IFERROR(INT(VALUE(I658)),"bad"))))</f>
        <v/>
      </c>
      <c r="O658">
        <f>IF(J658="","",IF(ISNUMBER(J658),ROUND(J658,2),IFERROR(ROUND(VALUE(SUBSTITUTE(SUBSTITUTE(SUBSTITUTE(J658,"$",""),",","")," ","")),2),"bad")))</f>
        <v/>
      </c>
      <c r="P658">
        <f>IF(TRIM(K658)="","",IFERROR(MATCH(LOWER(TRIM(K658)),'Students'!$AH$2:$AH$701,0),IFERROR(MATCH(LOWER(TRIM(K658)),'Students'!$AF$2:$AF$701,0),IFERROR(MATCH(LOWER(TRIM(K658)),'Students'!$AG$2:$AG$701,0),""))))</f>
        <v/>
      </c>
      <c r="R658">
        <f>IF(P658="","",INDEX('Students'!$AD$2:$AD$701,P658))</f>
        <v/>
      </c>
      <c r="S658">
        <f>IF(H658="OK",O658,0)</f>
        <v/>
      </c>
      <c r="T658">
        <f>IF(H658="OK",N658,"")</f>
        <v/>
      </c>
      <c r="U658">
        <f>IF(OC_Donor=0,"",IF(INDEX('OneCause_Paste'!$A$658:$AZ$658,1,OC_Donor)="","",INDEX('OneCause_Paste'!$A$658:$AZ$658,1,OC_Donor)))</f>
        <v/>
      </c>
    </row>
    <row r="659">
      <c r="A659" s="62">
        <f>IF(H659="","",IF(ISNUMBER(N659),N659,I659))</f>
        <v/>
      </c>
      <c r="B659">
        <f>IF(H659="","",U659)</f>
        <v/>
      </c>
      <c r="C659">
        <f>IF(H659="","",IF(P659="",K659,INDEX('Students'!$A$2:$A$701,P659)))</f>
        <v/>
      </c>
      <c r="D659">
        <f>IF(OR(H659="",P659=""),"",INDEX('Students'!$B$2:$B$701,P659))</f>
        <v/>
      </c>
      <c r="E659">
        <f>IF(OR(H659="",P659=""),"",INDEX('Students'!$C$2:$C$701,P659))</f>
        <v/>
      </c>
      <c r="F659" s="48">
        <f>IF(H659="","",IF(ISNUMBER(O659),O659,J659))</f>
        <v/>
      </c>
      <c r="G659">
        <f>IF(H659="","","OneCause")</f>
        <v/>
      </c>
      <c r="H659">
        <f>IF(AND(I659="",J659="",K659=""),"",IF(NOT(ISNUMBER(O659)),"Bad amount",IF(O659&lt;0,"Refund (not counted)",IF(O659=0,"Zero amount",IF(NOT(ISNUMBER(N659)),"Bad date",IF(P659="","NAME NOT ON ROSTER",IF(L659="","OK",IF(MATCH(L659,$L$2:$L$3001,0)&lt;ROW()-1,"Duplicate (ignored)","OK"))))))))</f>
        <v/>
      </c>
      <c r="I659">
        <f>IF(OC_Date=0,"",IF(INDEX('OneCause_Paste'!$A$659:$AZ$659,1,OC_Date)="","",INDEX('OneCause_Paste'!$A$659:$AZ$659,1,OC_Date)))</f>
        <v/>
      </c>
      <c r="J659">
        <f>IF(OC_Amt=0,"",IF(INDEX('OneCause_Paste'!$A$659:$AZ$659,1,OC_Amt)="","",INDEX('OneCause_Paste'!$A$659:$AZ$659,1,OC_Amt)))</f>
        <v/>
      </c>
      <c r="K659">
        <f>IF(OC_Name=0,"",IF(INDEX('OneCause_Paste'!$A$659:$AZ$659,1,OC_Name)="","",INDEX('OneCause_Paste'!$A$659:$AZ$659,1,OC_Name)))</f>
        <v/>
      </c>
      <c r="L659">
        <f>IF(OC_Txn=0,"",IF(INDEX('OneCause_Paste'!$A$659:$AZ$659,1,OC_Txn)="","",INDEX('OneCause_Paste'!$A$659:$AZ$659,1,OC_Txn)))</f>
        <v/>
      </c>
      <c r="M659">
        <f>IF(OC_Pay=0,"",IF(INDEX('OneCause_Paste'!$A$659:$AZ$659,1,OC_Pay)="","",INDEX('OneCause_Paste'!$A$659:$AZ$659,1,OC_Pay)))</f>
        <v/>
      </c>
      <c r="N659">
        <f>IF(I659="","",IF(ISNUMBER(I659),INT(I659),IFERROR(INT(DATEVALUE(I659)),IFERROR(INT(VALUE(I659)),"bad"))))</f>
        <v/>
      </c>
      <c r="O659">
        <f>IF(J659="","",IF(ISNUMBER(J659),ROUND(J659,2),IFERROR(ROUND(VALUE(SUBSTITUTE(SUBSTITUTE(SUBSTITUTE(J659,"$",""),",","")," ","")),2),"bad")))</f>
        <v/>
      </c>
      <c r="P659">
        <f>IF(TRIM(K659)="","",IFERROR(MATCH(LOWER(TRIM(K659)),'Students'!$AH$2:$AH$701,0),IFERROR(MATCH(LOWER(TRIM(K659)),'Students'!$AF$2:$AF$701,0),IFERROR(MATCH(LOWER(TRIM(K659)),'Students'!$AG$2:$AG$701,0),""))))</f>
        <v/>
      </c>
      <c r="R659">
        <f>IF(P659="","",INDEX('Students'!$AD$2:$AD$701,P659))</f>
        <v/>
      </c>
      <c r="S659">
        <f>IF(H659="OK",O659,0)</f>
        <v/>
      </c>
      <c r="T659">
        <f>IF(H659="OK",N659,"")</f>
        <v/>
      </c>
      <c r="U659">
        <f>IF(OC_Donor=0,"",IF(INDEX('OneCause_Paste'!$A$659:$AZ$659,1,OC_Donor)="","",INDEX('OneCause_Paste'!$A$659:$AZ$659,1,OC_Donor)))</f>
        <v/>
      </c>
    </row>
    <row r="660">
      <c r="A660" s="62">
        <f>IF(H660="","",IF(ISNUMBER(N660),N660,I660))</f>
        <v/>
      </c>
      <c r="B660">
        <f>IF(H660="","",U660)</f>
        <v/>
      </c>
      <c r="C660">
        <f>IF(H660="","",IF(P660="",K660,INDEX('Students'!$A$2:$A$701,P660)))</f>
        <v/>
      </c>
      <c r="D660">
        <f>IF(OR(H660="",P660=""),"",INDEX('Students'!$B$2:$B$701,P660))</f>
        <v/>
      </c>
      <c r="E660">
        <f>IF(OR(H660="",P660=""),"",INDEX('Students'!$C$2:$C$701,P660))</f>
        <v/>
      </c>
      <c r="F660" s="48">
        <f>IF(H660="","",IF(ISNUMBER(O660),O660,J660))</f>
        <v/>
      </c>
      <c r="G660">
        <f>IF(H660="","","OneCause")</f>
        <v/>
      </c>
      <c r="H660">
        <f>IF(AND(I660="",J660="",K660=""),"",IF(NOT(ISNUMBER(O660)),"Bad amount",IF(O660&lt;0,"Refund (not counted)",IF(O660=0,"Zero amount",IF(NOT(ISNUMBER(N660)),"Bad date",IF(P660="","NAME NOT ON ROSTER",IF(L660="","OK",IF(MATCH(L660,$L$2:$L$3001,0)&lt;ROW()-1,"Duplicate (ignored)","OK"))))))))</f>
        <v/>
      </c>
      <c r="I660">
        <f>IF(OC_Date=0,"",IF(INDEX('OneCause_Paste'!$A$660:$AZ$660,1,OC_Date)="","",INDEX('OneCause_Paste'!$A$660:$AZ$660,1,OC_Date)))</f>
        <v/>
      </c>
      <c r="J660">
        <f>IF(OC_Amt=0,"",IF(INDEX('OneCause_Paste'!$A$660:$AZ$660,1,OC_Amt)="","",INDEX('OneCause_Paste'!$A$660:$AZ$660,1,OC_Amt)))</f>
        <v/>
      </c>
      <c r="K660">
        <f>IF(OC_Name=0,"",IF(INDEX('OneCause_Paste'!$A$660:$AZ$660,1,OC_Name)="","",INDEX('OneCause_Paste'!$A$660:$AZ$660,1,OC_Name)))</f>
        <v/>
      </c>
      <c r="L660">
        <f>IF(OC_Txn=0,"",IF(INDEX('OneCause_Paste'!$A$660:$AZ$660,1,OC_Txn)="","",INDEX('OneCause_Paste'!$A$660:$AZ$660,1,OC_Txn)))</f>
        <v/>
      </c>
      <c r="M660">
        <f>IF(OC_Pay=0,"",IF(INDEX('OneCause_Paste'!$A$660:$AZ$660,1,OC_Pay)="","",INDEX('OneCause_Paste'!$A$660:$AZ$660,1,OC_Pay)))</f>
        <v/>
      </c>
      <c r="N660">
        <f>IF(I660="","",IF(ISNUMBER(I660),INT(I660),IFERROR(INT(DATEVALUE(I660)),IFERROR(INT(VALUE(I660)),"bad"))))</f>
        <v/>
      </c>
      <c r="O660">
        <f>IF(J660="","",IF(ISNUMBER(J660),ROUND(J660,2),IFERROR(ROUND(VALUE(SUBSTITUTE(SUBSTITUTE(SUBSTITUTE(J660,"$",""),",","")," ","")),2),"bad")))</f>
        <v/>
      </c>
      <c r="P660">
        <f>IF(TRIM(K660)="","",IFERROR(MATCH(LOWER(TRIM(K660)),'Students'!$AH$2:$AH$701,0),IFERROR(MATCH(LOWER(TRIM(K660)),'Students'!$AF$2:$AF$701,0),IFERROR(MATCH(LOWER(TRIM(K660)),'Students'!$AG$2:$AG$701,0),""))))</f>
        <v/>
      </c>
      <c r="R660">
        <f>IF(P660="","",INDEX('Students'!$AD$2:$AD$701,P660))</f>
        <v/>
      </c>
      <c r="S660">
        <f>IF(H660="OK",O660,0)</f>
        <v/>
      </c>
      <c r="T660">
        <f>IF(H660="OK",N660,"")</f>
        <v/>
      </c>
      <c r="U660">
        <f>IF(OC_Donor=0,"",IF(INDEX('OneCause_Paste'!$A$660:$AZ$660,1,OC_Donor)="","",INDEX('OneCause_Paste'!$A$660:$AZ$660,1,OC_Donor)))</f>
        <v/>
      </c>
    </row>
    <row r="661">
      <c r="A661" s="62">
        <f>IF(H661="","",IF(ISNUMBER(N661),N661,I661))</f>
        <v/>
      </c>
      <c r="B661">
        <f>IF(H661="","",U661)</f>
        <v/>
      </c>
      <c r="C661">
        <f>IF(H661="","",IF(P661="",K661,INDEX('Students'!$A$2:$A$701,P661)))</f>
        <v/>
      </c>
      <c r="D661">
        <f>IF(OR(H661="",P661=""),"",INDEX('Students'!$B$2:$B$701,P661))</f>
        <v/>
      </c>
      <c r="E661">
        <f>IF(OR(H661="",P661=""),"",INDEX('Students'!$C$2:$C$701,P661))</f>
        <v/>
      </c>
      <c r="F661" s="48">
        <f>IF(H661="","",IF(ISNUMBER(O661),O661,J661))</f>
        <v/>
      </c>
      <c r="G661">
        <f>IF(H661="","","OneCause")</f>
        <v/>
      </c>
      <c r="H661">
        <f>IF(AND(I661="",J661="",K661=""),"",IF(NOT(ISNUMBER(O661)),"Bad amount",IF(O661&lt;0,"Refund (not counted)",IF(O661=0,"Zero amount",IF(NOT(ISNUMBER(N661)),"Bad date",IF(P661="","NAME NOT ON ROSTER",IF(L661="","OK",IF(MATCH(L661,$L$2:$L$3001,0)&lt;ROW()-1,"Duplicate (ignored)","OK"))))))))</f>
        <v/>
      </c>
      <c r="I661">
        <f>IF(OC_Date=0,"",IF(INDEX('OneCause_Paste'!$A$661:$AZ$661,1,OC_Date)="","",INDEX('OneCause_Paste'!$A$661:$AZ$661,1,OC_Date)))</f>
        <v/>
      </c>
      <c r="J661">
        <f>IF(OC_Amt=0,"",IF(INDEX('OneCause_Paste'!$A$661:$AZ$661,1,OC_Amt)="","",INDEX('OneCause_Paste'!$A$661:$AZ$661,1,OC_Amt)))</f>
        <v/>
      </c>
      <c r="K661">
        <f>IF(OC_Name=0,"",IF(INDEX('OneCause_Paste'!$A$661:$AZ$661,1,OC_Name)="","",INDEX('OneCause_Paste'!$A$661:$AZ$661,1,OC_Name)))</f>
        <v/>
      </c>
      <c r="L661">
        <f>IF(OC_Txn=0,"",IF(INDEX('OneCause_Paste'!$A$661:$AZ$661,1,OC_Txn)="","",INDEX('OneCause_Paste'!$A$661:$AZ$661,1,OC_Txn)))</f>
        <v/>
      </c>
      <c r="M661">
        <f>IF(OC_Pay=0,"",IF(INDEX('OneCause_Paste'!$A$661:$AZ$661,1,OC_Pay)="","",INDEX('OneCause_Paste'!$A$661:$AZ$661,1,OC_Pay)))</f>
        <v/>
      </c>
      <c r="N661">
        <f>IF(I661="","",IF(ISNUMBER(I661),INT(I661),IFERROR(INT(DATEVALUE(I661)),IFERROR(INT(VALUE(I661)),"bad"))))</f>
        <v/>
      </c>
      <c r="O661">
        <f>IF(J661="","",IF(ISNUMBER(J661),ROUND(J661,2),IFERROR(ROUND(VALUE(SUBSTITUTE(SUBSTITUTE(SUBSTITUTE(J661,"$",""),",","")," ","")),2),"bad")))</f>
        <v/>
      </c>
      <c r="P661">
        <f>IF(TRIM(K661)="","",IFERROR(MATCH(LOWER(TRIM(K661)),'Students'!$AH$2:$AH$701,0),IFERROR(MATCH(LOWER(TRIM(K661)),'Students'!$AF$2:$AF$701,0),IFERROR(MATCH(LOWER(TRIM(K661)),'Students'!$AG$2:$AG$701,0),""))))</f>
        <v/>
      </c>
      <c r="R661">
        <f>IF(P661="","",INDEX('Students'!$AD$2:$AD$701,P661))</f>
        <v/>
      </c>
      <c r="S661">
        <f>IF(H661="OK",O661,0)</f>
        <v/>
      </c>
      <c r="T661">
        <f>IF(H661="OK",N661,"")</f>
        <v/>
      </c>
      <c r="U661">
        <f>IF(OC_Donor=0,"",IF(INDEX('OneCause_Paste'!$A$661:$AZ$661,1,OC_Donor)="","",INDEX('OneCause_Paste'!$A$661:$AZ$661,1,OC_Donor)))</f>
        <v/>
      </c>
    </row>
    <row r="662">
      <c r="A662" s="62">
        <f>IF(H662="","",IF(ISNUMBER(N662),N662,I662))</f>
        <v/>
      </c>
      <c r="B662">
        <f>IF(H662="","",U662)</f>
        <v/>
      </c>
      <c r="C662">
        <f>IF(H662="","",IF(P662="",K662,INDEX('Students'!$A$2:$A$701,P662)))</f>
        <v/>
      </c>
      <c r="D662">
        <f>IF(OR(H662="",P662=""),"",INDEX('Students'!$B$2:$B$701,P662))</f>
        <v/>
      </c>
      <c r="E662">
        <f>IF(OR(H662="",P662=""),"",INDEX('Students'!$C$2:$C$701,P662))</f>
        <v/>
      </c>
      <c r="F662" s="48">
        <f>IF(H662="","",IF(ISNUMBER(O662),O662,J662))</f>
        <v/>
      </c>
      <c r="G662">
        <f>IF(H662="","","OneCause")</f>
        <v/>
      </c>
      <c r="H662">
        <f>IF(AND(I662="",J662="",K662=""),"",IF(NOT(ISNUMBER(O662)),"Bad amount",IF(O662&lt;0,"Refund (not counted)",IF(O662=0,"Zero amount",IF(NOT(ISNUMBER(N662)),"Bad date",IF(P662="","NAME NOT ON ROSTER",IF(L662="","OK",IF(MATCH(L662,$L$2:$L$3001,0)&lt;ROW()-1,"Duplicate (ignored)","OK"))))))))</f>
        <v/>
      </c>
      <c r="I662">
        <f>IF(OC_Date=0,"",IF(INDEX('OneCause_Paste'!$A$662:$AZ$662,1,OC_Date)="","",INDEX('OneCause_Paste'!$A$662:$AZ$662,1,OC_Date)))</f>
        <v/>
      </c>
      <c r="J662">
        <f>IF(OC_Amt=0,"",IF(INDEX('OneCause_Paste'!$A$662:$AZ$662,1,OC_Amt)="","",INDEX('OneCause_Paste'!$A$662:$AZ$662,1,OC_Amt)))</f>
        <v/>
      </c>
      <c r="K662">
        <f>IF(OC_Name=0,"",IF(INDEX('OneCause_Paste'!$A$662:$AZ$662,1,OC_Name)="","",INDEX('OneCause_Paste'!$A$662:$AZ$662,1,OC_Name)))</f>
        <v/>
      </c>
      <c r="L662">
        <f>IF(OC_Txn=0,"",IF(INDEX('OneCause_Paste'!$A$662:$AZ$662,1,OC_Txn)="","",INDEX('OneCause_Paste'!$A$662:$AZ$662,1,OC_Txn)))</f>
        <v/>
      </c>
      <c r="M662">
        <f>IF(OC_Pay=0,"",IF(INDEX('OneCause_Paste'!$A$662:$AZ$662,1,OC_Pay)="","",INDEX('OneCause_Paste'!$A$662:$AZ$662,1,OC_Pay)))</f>
        <v/>
      </c>
      <c r="N662">
        <f>IF(I662="","",IF(ISNUMBER(I662),INT(I662),IFERROR(INT(DATEVALUE(I662)),IFERROR(INT(VALUE(I662)),"bad"))))</f>
        <v/>
      </c>
      <c r="O662">
        <f>IF(J662="","",IF(ISNUMBER(J662),ROUND(J662,2),IFERROR(ROUND(VALUE(SUBSTITUTE(SUBSTITUTE(SUBSTITUTE(J662,"$",""),",","")," ","")),2),"bad")))</f>
        <v/>
      </c>
      <c r="P662">
        <f>IF(TRIM(K662)="","",IFERROR(MATCH(LOWER(TRIM(K662)),'Students'!$AH$2:$AH$701,0),IFERROR(MATCH(LOWER(TRIM(K662)),'Students'!$AF$2:$AF$701,0),IFERROR(MATCH(LOWER(TRIM(K662)),'Students'!$AG$2:$AG$701,0),""))))</f>
        <v/>
      </c>
      <c r="R662">
        <f>IF(P662="","",INDEX('Students'!$AD$2:$AD$701,P662))</f>
        <v/>
      </c>
      <c r="S662">
        <f>IF(H662="OK",O662,0)</f>
        <v/>
      </c>
      <c r="T662">
        <f>IF(H662="OK",N662,"")</f>
        <v/>
      </c>
      <c r="U662">
        <f>IF(OC_Donor=0,"",IF(INDEX('OneCause_Paste'!$A$662:$AZ$662,1,OC_Donor)="","",INDEX('OneCause_Paste'!$A$662:$AZ$662,1,OC_Donor)))</f>
        <v/>
      </c>
    </row>
    <row r="663">
      <c r="A663" s="62">
        <f>IF(H663="","",IF(ISNUMBER(N663),N663,I663))</f>
        <v/>
      </c>
      <c r="B663">
        <f>IF(H663="","",U663)</f>
        <v/>
      </c>
      <c r="C663">
        <f>IF(H663="","",IF(P663="",K663,INDEX('Students'!$A$2:$A$701,P663)))</f>
        <v/>
      </c>
      <c r="D663">
        <f>IF(OR(H663="",P663=""),"",INDEX('Students'!$B$2:$B$701,P663))</f>
        <v/>
      </c>
      <c r="E663">
        <f>IF(OR(H663="",P663=""),"",INDEX('Students'!$C$2:$C$701,P663))</f>
        <v/>
      </c>
      <c r="F663" s="48">
        <f>IF(H663="","",IF(ISNUMBER(O663),O663,J663))</f>
        <v/>
      </c>
      <c r="G663">
        <f>IF(H663="","","OneCause")</f>
        <v/>
      </c>
      <c r="H663">
        <f>IF(AND(I663="",J663="",K663=""),"",IF(NOT(ISNUMBER(O663)),"Bad amount",IF(O663&lt;0,"Refund (not counted)",IF(O663=0,"Zero amount",IF(NOT(ISNUMBER(N663)),"Bad date",IF(P663="","NAME NOT ON ROSTER",IF(L663="","OK",IF(MATCH(L663,$L$2:$L$3001,0)&lt;ROW()-1,"Duplicate (ignored)","OK"))))))))</f>
        <v/>
      </c>
      <c r="I663">
        <f>IF(OC_Date=0,"",IF(INDEX('OneCause_Paste'!$A$663:$AZ$663,1,OC_Date)="","",INDEX('OneCause_Paste'!$A$663:$AZ$663,1,OC_Date)))</f>
        <v/>
      </c>
      <c r="J663">
        <f>IF(OC_Amt=0,"",IF(INDEX('OneCause_Paste'!$A$663:$AZ$663,1,OC_Amt)="","",INDEX('OneCause_Paste'!$A$663:$AZ$663,1,OC_Amt)))</f>
        <v/>
      </c>
      <c r="K663">
        <f>IF(OC_Name=0,"",IF(INDEX('OneCause_Paste'!$A$663:$AZ$663,1,OC_Name)="","",INDEX('OneCause_Paste'!$A$663:$AZ$663,1,OC_Name)))</f>
        <v/>
      </c>
      <c r="L663">
        <f>IF(OC_Txn=0,"",IF(INDEX('OneCause_Paste'!$A$663:$AZ$663,1,OC_Txn)="","",INDEX('OneCause_Paste'!$A$663:$AZ$663,1,OC_Txn)))</f>
        <v/>
      </c>
      <c r="M663">
        <f>IF(OC_Pay=0,"",IF(INDEX('OneCause_Paste'!$A$663:$AZ$663,1,OC_Pay)="","",INDEX('OneCause_Paste'!$A$663:$AZ$663,1,OC_Pay)))</f>
        <v/>
      </c>
      <c r="N663">
        <f>IF(I663="","",IF(ISNUMBER(I663),INT(I663),IFERROR(INT(DATEVALUE(I663)),IFERROR(INT(VALUE(I663)),"bad"))))</f>
        <v/>
      </c>
      <c r="O663">
        <f>IF(J663="","",IF(ISNUMBER(J663),ROUND(J663,2),IFERROR(ROUND(VALUE(SUBSTITUTE(SUBSTITUTE(SUBSTITUTE(J663,"$",""),",","")," ","")),2),"bad")))</f>
        <v/>
      </c>
      <c r="P663">
        <f>IF(TRIM(K663)="","",IFERROR(MATCH(LOWER(TRIM(K663)),'Students'!$AH$2:$AH$701,0),IFERROR(MATCH(LOWER(TRIM(K663)),'Students'!$AF$2:$AF$701,0),IFERROR(MATCH(LOWER(TRIM(K663)),'Students'!$AG$2:$AG$701,0),""))))</f>
        <v/>
      </c>
      <c r="R663">
        <f>IF(P663="","",INDEX('Students'!$AD$2:$AD$701,P663))</f>
        <v/>
      </c>
      <c r="S663">
        <f>IF(H663="OK",O663,0)</f>
        <v/>
      </c>
      <c r="T663">
        <f>IF(H663="OK",N663,"")</f>
        <v/>
      </c>
      <c r="U663">
        <f>IF(OC_Donor=0,"",IF(INDEX('OneCause_Paste'!$A$663:$AZ$663,1,OC_Donor)="","",INDEX('OneCause_Paste'!$A$663:$AZ$663,1,OC_Donor)))</f>
        <v/>
      </c>
    </row>
    <row r="664">
      <c r="A664" s="62">
        <f>IF(H664="","",IF(ISNUMBER(N664),N664,I664))</f>
        <v/>
      </c>
      <c r="B664">
        <f>IF(H664="","",U664)</f>
        <v/>
      </c>
      <c r="C664">
        <f>IF(H664="","",IF(P664="",K664,INDEX('Students'!$A$2:$A$701,P664)))</f>
        <v/>
      </c>
      <c r="D664">
        <f>IF(OR(H664="",P664=""),"",INDEX('Students'!$B$2:$B$701,P664))</f>
        <v/>
      </c>
      <c r="E664">
        <f>IF(OR(H664="",P664=""),"",INDEX('Students'!$C$2:$C$701,P664))</f>
        <v/>
      </c>
      <c r="F664" s="48">
        <f>IF(H664="","",IF(ISNUMBER(O664),O664,J664))</f>
        <v/>
      </c>
      <c r="G664">
        <f>IF(H664="","","OneCause")</f>
        <v/>
      </c>
      <c r="H664">
        <f>IF(AND(I664="",J664="",K664=""),"",IF(NOT(ISNUMBER(O664)),"Bad amount",IF(O664&lt;0,"Refund (not counted)",IF(O664=0,"Zero amount",IF(NOT(ISNUMBER(N664)),"Bad date",IF(P664="","NAME NOT ON ROSTER",IF(L664="","OK",IF(MATCH(L664,$L$2:$L$3001,0)&lt;ROW()-1,"Duplicate (ignored)","OK"))))))))</f>
        <v/>
      </c>
      <c r="I664">
        <f>IF(OC_Date=0,"",IF(INDEX('OneCause_Paste'!$A$664:$AZ$664,1,OC_Date)="","",INDEX('OneCause_Paste'!$A$664:$AZ$664,1,OC_Date)))</f>
        <v/>
      </c>
      <c r="J664">
        <f>IF(OC_Amt=0,"",IF(INDEX('OneCause_Paste'!$A$664:$AZ$664,1,OC_Amt)="","",INDEX('OneCause_Paste'!$A$664:$AZ$664,1,OC_Amt)))</f>
        <v/>
      </c>
      <c r="K664">
        <f>IF(OC_Name=0,"",IF(INDEX('OneCause_Paste'!$A$664:$AZ$664,1,OC_Name)="","",INDEX('OneCause_Paste'!$A$664:$AZ$664,1,OC_Name)))</f>
        <v/>
      </c>
      <c r="L664">
        <f>IF(OC_Txn=0,"",IF(INDEX('OneCause_Paste'!$A$664:$AZ$664,1,OC_Txn)="","",INDEX('OneCause_Paste'!$A$664:$AZ$664,1,OC_Txn)))</f>
        <v/>
      </c>
      <c r="M664">
        <f>IF(OC_Pay=0,"",IF(INDEX('OneCause_Paste'!$A$664:$AZ$664,1,OC_Pay)="","",INDEX('OneCause_Paste'!$A$664:$AZ$664,1,OC_Pay)))</f>
        <v/>
      </c>
      <c r="N664">
        <f>IF(I664="","",IF(ISNUMBER(I664),INT(I664),IFERROR(INT(DATEVALUE(I664)),IFERROR(INT(VALUE(I664)),"bad"))))</f>
        <v/>
      </c>
      <c r="O664">
        <f>IF(J664="","",IF(ISNUMBER(J664),ROUND(J664,2),IFERROR(ROUND(VALUE(SUBSTITUTE(SUBSTITUTE(SUBSTITUTE(J664,"$",""),",","")," ","")),2),"bad")))</f>
        <v/>
      </c>
      <c r="P664">
        <f>IF(TRIM(K664)="","",IFERROR(MATCH(LOWER(TRIM(K664)),'Students'!$AH$2:$AH$701,0),IFERROR(MATCH(LOWER(TRIM(K664)),'Students'!$AF$2:$AF$701,0),IFERROR(MATCH(LOWER(TRIM(K664)),'Students'!$AG$2:$AG$701,0),""))))</f>
        <v/>
      </c>
      <c r="R664">
        <f>IF(P664="","",INDEX('Students'!$AD$2:$AD$701,P664))</f>
        <v/>
      </c>
      <c r="S664">
        <f>IF(H664="OK",O664,0)</f>
        <v/>
      </c>
      <c r="T664">
        <f>IF(H664="OK",N664,"")</f>
        <v/>
      </c>
      <c r="U664">
        <f>IF(OC_Donor=0,"",IF(INDEX('OneCause_Paste'!$A$664:$AZ$664,1,OC_Donor)="","",INDEX('OneCause_Paste'!$A$664:$AZ$664,1,OC_Donor)))</f>
        <v/>
      </c>
    </row>
    <row r="665">
      <c r="A665" s="62">
        <f>IF(H665="","",IF(ISNUMBER(N665),N665,I665))</f>
        <v/>
      </c>
      <c r="B665">
        <f>IF(H665="","",U665)</f>
        <v/>
      </c>
      <c r="C665">
        <f>IF(H665="","",IF(P665="",K665,INDEX('Students'!$A$2:$A$701,P665)))</f>
        <v/>
      </c>
      <c r="D665">
        <f>IF(OR(H665="",P665=""),"",INDEX('Students'!$B$2:$B$701,P665))</f>
        <v/>
      </c>
      <c r="E665">
        <f>IF(OR(H665="",P665=""),"",INDEX('Students'!$C$2:$C$701,P665))</f>
        <v/>
      </c>
      <c r="F665" s="48">
        <f>IF(H665="","",IF(ISNUMBER(O665),O665,J665))</f>
        <v/>
      </c>
      <c r="G665">
        <f>IF(H665="","","OneCause")</f>
        <v/>
      </c>
      <c r="H665">
        <f>IF(AND(I665="",J665="",K665=""),"",IF(NOT(ISNUMBER(O665)),"Bad amount",IF(O665&lt;0,"Refund (not counted)",IF(O665=0,"Zero amount",IF(NOT(ISNUMBER(N665)),"Bad date",IF(P665="","NAME NOT ON ROSTER",IF(L665="","OK",IF(MATCH(L665,$L$2:$L$3001,0)&lt;ROW()-1,"Duplicate (ignored)","OK"))))))))</f>
        <v/>
      </c>
      <c r="I665">
        <f>IF(OC_Date=0,"",IF(INDEX('OneCause_Paste'!$A$665:$AZ$665,1,OC_Date)="","",INDEX('OneCause_Paste'!$A$665:$AZ$665,1,OC_Date)))</f>
        <v/>
      </c>
      <c r="J665">
        <f>IF(OC_Amt=0,"",IF(INDEX('OneCause_Paste'!$A$665:$AZ$665,1,OC_Amt)="","",INDEX('OneCause_Paste'!$A$665:$AZ$665,1,OC_Amt)))</f>
        <v/>
      </c>
      <c r="K665">
        <f>IF(OC_Name=0,"",IF(INDEX('OneCause_Paste'!$A$665:$AZ$665,1,OC_Name)="","",INDEX('OneCause_Paste'!$A$665:$AZ$665,1,OC_Name)))</f>
        <v/>
      </c>
      <c r="L665">
        <f>IF(OC_Txn=0,"",IF(INDEX('OneCause_Paste'!$A$665:$AZ$665,1,OC_Txn)="","",INDEX('OneCause_Paste'!$A$665:$AZ$665,1,OC_Txn)))</f>
        <v/>
      </c>
      <c r="M665">
        <f>IF(OC_Pay=0,"",IF(INDEX('OneCause_Paste'!$A$665:$AZ$665,1,OC_Pay)="","",INDEX('OneCause_Paste'!$A$665:$AZ$665,1,OC_Pay)))</f>
        <v/>
      </c>
      <c r="N665">
        <f>IF(I665="","",IF(ISNUMBER(I665),INT(I665),IFERROR(INT(DATEVALUE(I665)),IFERROR(INT(VALUE(I665)),"bad"))))</f>
        <v/>
      </c>
      <c r="O665">
        <f>IF(J665="","",IF(ISNUMBER(J665),ROUND(J665,2),IFERROR(ROUND(VALUE(SUBSTITUTE(SUBSTITUTE(SUBSTITUTE(J665,"$",""),",","")," ","")),2),"bad")))</f>
        <v/>
      </c>
      <c r="P665">
        <f>IF(TRIM(K665)="","",IFERROR(MATCH(LOWER(TRIM(K665)),'Students'!$AH$2:$AH$701,0),IFERROR(MATCH(LOWER(TRIM(K665)),'Students'!$AF$2:$AF$701,0),IFERROR(MATCH(LOWER(TRIM(K665)),'Students'!$AG$2:$AG$701,0),""))))</f>
        <v/>
      </c>
      <c r="R665">
        <f>IF(P665="","",INDEX('Students'!$AD$2:$AD$701,P665))</f>
        <v/>
      </c>
      <c r="S665">
        <f>IF(H665="OK",O665,0)</f>
        <v/>
      </c>
      <c r="T665">
        <f>IF(H665="OK",N665,"")</f>
        <v/>
      </c>
      <c r="U665">
        <f>IF(OC_Donor=0,"",IF(INDEX('OneCause_Paste'!$A$665:$AZ$665,1,OC_Donor)="","",INDEX('OneCause_Paste'!$A$665:$AZ$665,1,OC_Donor)))</f>
        <v/>
      </c>
    </row>
    <row r="666">
      <c r="A666" s="62">
        <f>IF(H666="","",IF(ISNUMBER(N666),N666,I666))</f>
        <v/>
      </c>
      <c r="B666">
        <f>IF(H666="","",U666)</f>
        <v/>
      </c>
      <c r="C666">
        <f>IF(H666="","",IF(P666="",K666,INDEX('Students'!$A$2:$A$701,P666)))</f>
        <v/>
      </c>
      <c r="D666">
        <f>IF(OR(H666="",P666=""),"",INDEX('Students'!$B$2:$B$701,P666))</f>
        <v/>
      </c>
      <c r="E666">
        <f>IF(OR(H666="",P666=""),"",INDEX('Students'!$C$2:$C$701,P666))</f>
        <v/>
      </c>
      <c r="F666" s="48">
        <f>IF(H666="","",IF(ISNUMBER(O666),O666,J666))</f>
        <v/>
      </c>
      <c r="G666">
        <f>IF(H666="","","OneCause")</f>
        <v/>
      </c>
      <c r="H666">
        <f>IF(AND(I666="",J666="",K666=""),"",IF(NOT(ISNUMBER(O666)),"Bad amount",IF(O666&lt;0,"Refund (not counted)",IF(O666=0,"Zero amount",IF(NOT(ISNUMBER(N666)),"Bad date",IF(P666="","NAME NOT ON ROSTER",IF(L666="","OK",IF(MATCH(L666,$L$2:$L$3001,0)&lt;ROW()-1,"Duplicate (ignored)","OK"))))))))</f>
        <v/>
      </c>
      <c r="I666">
        <f>IF(OC_Date=0,"",IF(INDEX('OneCause_Paste'!$A$666:$AZ$666,1,OC_Date)="","",INDEX('OneCause_Paste'!$A$666:$AZ$666,1,OC_Date)))</f>
        <v/>
      </c>
      <c r="J666">
        <f>IF(OC_Amt=0,"",IF(INDEX('OneCause_Paste'!$A$666:$AZ$666,1,OC_Amt)="","",INDEX('OneCause_Paste'!$A$666:$AZ$666,1,OC_Amt)))</f>
        <v/>
      </c>
      <c r="K666">
        <f>IF(OC_Name=0,"",IF(INDEX('OneCause_Paste'!$A$666:$AZ$666,1,OC_Name)="","",INDEX('OneCause_Paste'!$A$666:$AZ$666,1,OC_Name)))</f>
        <v/>
      </c>
      <c r="L666">
        <f>IF(OC_Txn=0,"",IF(INDEX('OneCause_Paste'!$A$666:$AZ$666,1,OC_Txn)="","",INDEX('OneCause_Paste'!$A$666:$AZ$666,1,OC_Txn)))</f>
        <v/>
      </c>
      <c r="M666">
        <f>IF(OC_Pay=0,"",IF(INDEX('OneCause_Paste'!$A$666:$AZ$666,1,OC_Pay)="","",INDEX('OneCause_Paste'!$A$666:$AZ$666,1,OC_Pay)))</f>
        <v/>
      </c>
      <c r="N666">
        <f>IF(I666="","",IF(ISNUMBER(I666),INT(I666),IFERROR(INT(DATEVALUE(I666)),IFERROR(INT(VALUE(I666)),"bad"))))</f>
        <v/>
      </c>
      <c r="O666">
        <f>IF(J666="","",IF(ISNUMBER(J666),ROUND(J666,2),IFERROR(ROUND(VALUE(SUBSTITUTE(SUBSTITUTE(SUBSTITUTE(J666,"$",""),",","")," ","")),2),"bad")))</f>
        <v/>
      </c>
      <c r="P666">
        <f>IF(TRIM(K666)="","",IFERROR(MATCH(LOWER(TRIM(K666)),'Students'!$AH$2:$AH$701,0),IFERROR(MATCH(LOWER(TRIM(K666)),'Students'!$AF$2:$AF$701,0),IFERROR(MATCH(LOWER(TRIM(K666)),'Students'!$AG$2:$AG$701,0),""))))</f>
        <v/>
      </c>
      <c r="R666">
        <f>IF(P666="","",INDEX('Students'!$AD$2:$AD$701,P666))</f>
        <v/>
      </c>
      <c r="S666">
        <f>IF(H666="OK",O666,0)</f>
        <v/>
      </c>
      <c r="T666">
        <f>IF(H666="OK",N666,"")</f>
        <v/>
      </c>
      <c r="U666">
        <f>IF(OC_Donor=0,"",IF(INDEX('OneCause_Paste'!$A$666:$AZ$666,1,OC_Donor)="","",INDEX('OneCause_Paste'!$A$666:$AZ$666,1,OC_Donor)))</f>
        <v/>
      </c>
    </row>
    <row r="667">
      <c r="A667" s="62">
        <f>IF(H667="","",IF(ISNUMBER(N667),N667,I667))</f>
        <v/>
      </c>
      <c r="B667">
        <f>IF(H667="","",U667)</f>
        <v/>
      </c>
      <c r="C667">
        <f>IF(H667="","",IF(P667="",K667,INDEX('Students'!$A$2:$A$701,P667)))</f>
        <v/>
      </c>
      <c r="D667">
        <f>IF(OR(H667="",P667=""),"",INDEX('Students'!$B$2:$B$701,P667))</f>
        <v/>
      </c>
      <c r="E667">
        <f>IF(OR(H667="",P667=""),"",INDEX('Students'!$C$2:$C$701,P667))</f>
        <v/>
      </c>
      <c r="F667" s="48">
        <f>IF(H667="","",IF(ISNUMBER(O667),O667,J667))</f>
        <v/>
      </c>
      <c r="G667">
        <f>IF(H667="","","OneCause")</f>
        <v/>
      </c>
      <c r="H667">
        <f>IF(AND(I667="",J667="",K667=""),"",IF(NOT(ISNUMBER(O667)),"Bad amount",IF(O667&lt;0,"Refund (not counted)",IF(O667=0,"Zero amount",IF(NOT(ISNUMBER(N667)),"Bad date",IF(P667="","NAME NOT ON ROSTER",IF(L667="","OK",IF(MATCH(L667,$L$2:$L$3001,0)&lt;ROW()-1,"Duplicate (ignored)","OK"))))))))</f>
        <v/>
      </c>
      <c r="I667">
        <f>IF(OC_Date=0,"",IF(INDEX('OneCause_Paste'!$A$667:$AZ$667,1,OC_Date)="","",INDEX('OneCause_Paste'!$A$667:$AZ$667,1,OC_Date)))</f>
        <v/>
      </c>
      <c r="J667">
        <f>IF(OC_Amt=0,"",IF(INDEX('OneCause_Paste'!$A$667:$AZ$667,1,OC_Amt)="","",INDEX('OneCause_Paste'!$A$667:$AZ$667,1,OC_Amt)))</f>
        <v/>
      </c>
      <c r="K667">
        <f>IF(OC_Name=0,"",IF(INDEX('OneCause_Paste'!$A$667:$AZ$667,1,OC_Name)="","",INDEX('OneCause_Paste'!$A$667:$AZ$667,1,OC_Name)))</f>
        <v/>
      </c>
      <c r="L667">
        <f>IF(OC_Txn=0,"",IF(INDEX('OneCause_Paste'!$A$667:$AZ$667,1,OC_Txn)="","",INDEX('OneCause_Paste'!$A$667:$AZ$667,1,OC_Txn)))</f>
        <v/>
      </c>
      <c r="M667">
        <f>IF(OC_Pay=0,"",IF(INDEX('OneCause_Paste'!$A$667:$AZ$667,1,OC_Pay)="","",INDEX('OneCause_Paste'!$A$667:$AZ$667,1,OC_Pay)))</f>
        <v/>
      </c>
      <c r="N667">
        <f>IF(I667="","",IF(ISNUMBER(I667),INT(I667),IFERROR(INT(DATEVALUE(I667)),IFERROR(INT(VALUE(I667)),"bad"))))</f>
        <v/>
      </c>
      <c r="O667">
        <f>IF(J667="","",IF(ISNUMBER(J667),ROUND(J667,2),IFERROR(ROUND(VALUE(SUBSTITUTE(SUBSTITUTE(SUBSTITUTE(J667,"$",""),",","")," ","")),2),"bad")))</f>
        <v/>
      </c>
      <c r="P667">
        <f>IF(TRIM(K667)="","",IFERROR(MATCH(LOWER(TRIM(K667)),'Students'!$AH$2:$AH$701,0),IFERROR(MATCH(LOWER(TRIM(K667)),'Students'!$AF$2:$AF$701,0),IFERROR(MATCH(LOWER(TRIM(K667)),'Students'!$AG$2:$AG$701,0),""))))</f>
        <v/>
      </c>
      <c r="R667">
        <f>IF(P667="","",INDEX('Students'!$AD$2:$AD$701,P667))</f>
        <v/>
      </c>
      <c r="S667">
        <f>IF(H667="OK",O667,0)</f>
        <v/>
      </c>
      <c r="T667">
        <f>IF(H667="OK",N667,"")</f>
        <v/>
      </c>
      <c r="U667">
        <f>IF(OC_Donor=0,"",IF(INDEX('OneCause_Paste'!$A$667:$AZ$667,1,OC_Donor)="","",INDEX('OneCause_Paste'!$A$667:$AZ$667,1,OC_Donor)))</f>
        <v/>
      </c>
    </row>
    <row r="668">
      <c r="A668" s="62">
        <f>IF(H668="","",IF(ISNUMBER(N668),N668,I668))</f>
        <v/>
      </c>
      <c r="B668">
        <f>IF(H668="","",U668)</f>
        <v/>
      </c>
      <c r="C668">
        <f>IF(H668="","",IF(P668="",K668,INDEX('Students'!$A$2:$A$701,P668)))</f>
        <v/>
      </c>
      <c r="D668">
        <f>IF(OR(H668="",P668=""),"",INDEX('Students'!$B$2:$B$701,P668))</f>
        <v/>
      </c>
      <c r="E668">
        <f>IF(OR(H668="",P668=""),"",INDEX('Students'!$C$2:$C$701,P668))</f>
        <v/>
      </c>
      <c r="F668" s="48">
        <f>IF(H668="","",IF(ISNUMBER(O668),O668,J668))</f>
        <v/>
      </c>
      <c r="G668">
        <f>IF(H668="","","OneCause")</f>
        <v/>
      </c>
      <c r="H668">
        <f>IF(AND(I668="",J668="",K668=""),"",IF(NOT(ISNUMBER(O668)),"Bad amount",IF(O668&lt;0,"Refund (not counted)",IF(O668=0,"Zero amount",IF(NOT(ISNUMBER(N668)),"Bad date",IF(P668="","NAME NOT ON ROSTER",IF(L668="","OK",IF(MATCH(L668,$L$2:$L$3001,0)&lt;ROW()-1,"Duplicate (ignored)","OK"))))))))</f>
        <v/>
      </c>
      <c r="I668">
        <f>IF(OC_Date=0,"",IF(INDEX('OneCause_Paste'!$A$668:$AZ$668,1,OC_Date)="","",INDEX('OneCause_Paste'!$A$668:$AZ$668,1,OC_Date)))</f>
        <v/>
      </c>
      <c r="J668">
        <f>IF(OC_Amt=0,"",IF(INDEX('OneCause_Paste'!$A$668:$AZ$668,1,OC_Amt)="","",INDEX('OneCause_Paste'!$A$668:$AZ$668,1,OC_Amt)))</f>
        <v/>
      </c>
      <c r="K668">
        <f>IF(OC_Name=0,"",IF(INDEX('OneCause_Paste'!$A$668:$AZ$668,1,OC_Name)="","",INDEX('OneCause_Paste'!$A$668:$AZ$668,1,OC_Name)))</f>
        <v/>
      </c>
      <c r="L668">
        <f>IF(OC_Txn=0,"",IF(INDEX('OneCause_Paste'!$A$668:$AZ$668,1,OC_Txn)="","",INDEX('OneCause_Paste'!$A$668:$AZ$668,1,OC_Txn)))</f>
        <v/>
      </c>
      <c r="M668">
        <f>IF(OC_Pay=0,"",IF(INDEX('OneCause_Paste'!$A$668:$AZ$668,1,OC_Pay)="","",INDEX('OneCause_Paste'!$A$668:$AZ$668,1,OC_Pay)))</f>
        <v/>
      </c>
      <c r="N668">
        <f>IF(I668="","",IF(ISNUMBER(I668),INT(I668),IFERROR(INT(DATEVALUE(I668)),IFERROR(INT(VALUE(I668)),"bad"))))</f>
        <v/>
      </c>
      <c r="O668">
        <f>IF(J668="","",IF(ISNUMBER(J668),ROUND(J668,2),IFERROR(ROUND(VALUE(SUBSTITUTE(SUBSTITUTE(SUBSTITUTE(J668,"$",""),",","")," ","")),2),"bad")))</f>
        <v/>
      </c>
      <c r="P668">
        <f>IF(TRIM(K668)="","",IFERROR(MATCH(LOWER(TRIM(K668)),'Students'!$AH$2:$AH$701,0),IFERROR(MATCH(LOWER(TRIM(K668)),'Students'!$AF$2:$AF$701,0),IFERROR(MATCH(LOWER(TRIM(K668)),'Students'!$AG$2:$AG$701,0),""))))</f>
        <v/>
      </c>
      <c r="R668">
        <f>IF(P668="","",INDEX('Students'!$AD$2:$AD$701,P668))</f>
        <v/>
      </c>
      <c r="S668">
        <f>IF(H668="OK",O668,0)</f>
        <v/>
      </c>
      <c r="T668">
        <f>IF(H668="OK",N668,"")</f>
        <v/>
      </c>
      <c r="U668">
        <f>IF(OC_Donor=0,"",IF(INDEX('OneCause_Paste'!$A$668:$AZ$668,1,OC_Donor)="","",INDEX('OneCause_Paste'!$A$668:$AZ$668,1,OC_Donor)))</f>
        <v/>
      </c>
    </row>
    <row r="669">
      <c r="A669" s="62">
        <f>IF(H669="","",IF(ISNUMBER(N669),N669,I669))</f>
        <v/>
      </c>
      <c r="B669">
        <f>IF(H669="","",U669)</f>
        <v/>
      </c>
      <c r="C669">
        <f>IF(H669="","",IF(P669="",K669,INDEX('Students'!$A$2:$A$701,P669)))</f>
        <v/>
      </c>
      <c r="D669">
        <f>IF(OR(H669="",P669=""),"",INDEX('Students'!$B$2:$B$701,P669))</f>
        <v/>
      </c>
      <c r="E669">
        <f>IF(OR(H669="",P669=""),"",INDEX('Students'!$C$2:$C$701,P669))</f>
        <v/>
      </c>
      <c r="F669" s="48">
        <f>IF(H669="","",IF(ISNUMBER(O669),O669,J669))</f>
        <v/>
      </c>
      <c r="G669">
        <f>IF(H669="","","OneCause")</f>
        <v/>
      </c>
      <c r="H669">
        <f>IF(AND(I669="",J669="",K669=""),"",IF(NOT(ISNUMBER(O669)),"Bad amount",IF(O669&lt;0,"Refund (not counted)",IF(O669=0,"Zero amount",IF(NOT(ISNUMBER(N669)),"Bad date",IF(P669="","NAME NOT ON ROSTER",IF(L669="","OK",IF(MATCH(L669,$L$2:$L$3001,0)&lt;ROW()-1,"Duplicate (ignored)","OK"))))))))</f>
        <v/>
      </c>
      <c r="I669">
        <f>IF(OC_Date=0,"",IF(INDEX('OneCause_Paste'!$A$669:$AZ$669,1,OC_Date)="","",INDEX('OneCause_Paste'!$A$669:$AZ$669,1,OC_Date)))</f>
        <v/>
      </c>
      <c r="J669">
        <f>IF(OC_Amt=0,"",IF(INDEX('OneCause_Paste'!$A$669:$AZ$669,1,OC_Amt)="","",INDEX('OneCause_Paste'!$A$669:$AZ$669,1,OC_Amt)))</f>
        <v/>
      </c>
      <c r="K669">
        <f>IF(OC_Name=0,"",IF(INDEX('OneCause_Paste'!$A$669:$AZ$669,1,OC_Name)="","",INDEX('OneCause_Paste'!$A$669:$AZ$669,1,OC_Name)))</f>
        <v/>
      </c>
      <c r="L669">
        <f>IF(OC_Txn=0,"",IF(INDEX('OneCause_Paste'!$A$669:$AZ$669,1,OC_Txn)="","",INDEX('OneCause_Paste'!$A$669:$AZ$669,1,OC_Txn)))</f>
        <v/>
      </c>
      <c r="M669">
        <f>IF(OC_Pay=0,"",IF(INDEX('OneCause_Paste'!$A$669:$AZ$669,1,OC_Pay)="","",INDEX('OneCause_Paste'!$A$669:$AZ$669,1,OC_Pay)))</f>
        <v/>
      </c>
      <c r="N669">
        <f>IF(I669="","",IF(ISNUMBER(I669),INT(I669),IFERROR(INT(DATEVALUE(I669)),IFERROR(INT(VALUE(I669)),"bad"))))</f>
        <v/>
      </c>
      <c r="O669">
        <f>IF(J669="","",IF(ISNUMBER(J669),ROUND(J669,2),IFERROR(ROUND(VALUE(SUBSTITUTE(SUBSTITUTE(SUBSTITUTE(J669,"$",""),",","")," ","")),2),"bad")))</f>
        <v/>
      </c>
      <c r="P669">
        <f>IF(TRIM(K669)="","",IFERROR(MATCH(LOWER(TRIM(K669)),'Students'!$AH$2:$AH$701,0),IFERROR(MATCH(LOWER(TRIM(K669)),'Students'!$AF$2:$AF$701,0),IFERROR(MATCH(LOWER(TRIM(K669)),'Students'!$AG$2:$AG$701,0),""))))</f>
        <v/>
      </c>
      <c r="R669">
        <f>IF(P669="","",INDEX('Students'!$AD$2:$AD$701,P669))</f>
        <v/>
      </c>
      <c r="S669">
        <f>IF(H669="OK",O669,0)</f>
        <v/>
      </c>
      <c r="T669">
        <f>IF(H669="OK",N669,"")</f>
        <v/>
      </c>
      <c r="U669">
        <f>IF(OC_Donor=0,"",IF(INDEX('OneCause_Paste'!$A$669:$AZ$669,1,OC_Donor)="","",INDEX('OneCause_Paste'!$A$669:$AZ$669,1,OC_Donor)))</f>
        <v/>
      </c>
    </row>
    <row r="670">
      <c r="A670" s="62">
        <f>IF(H670="","",IF(ISNUMBER(N670),N670,I670))</f>
        <v/>
      </c>
      <c r="B670">
        <f>IF(H670="","",U670)</f>
        <v/>
      </c>
      <c r="C670">
        <f>IF(H670="","",IF(P670="",K670,INDEX('Students'!$A$2:$A$701,P670)))</f>
        <v/>
      </c>
      <c r="D670">
        <f>IF(OR(H670="",P670=""),"",INDEX('Students'!$B$2:$B$701,P670))</f>
        <v/>
      </c>
      <c r="E670">
        <f>IF(OR(H670="",P670=""),"",INDEX('Students'!$C$2:$C$701,P670))</f>
        <v/>
      </c>
      <c r="F670" s="48">
        <f>IF(H670="","",IF(ISNUMBER(O670),O670,J670))</f>
        <v/>
      </c>
      <c r="G670">
        <f>IF(H670="","","OneCause")</f>
        <v/>
      </c>
      <c r="H670">
        <f>IF(AND(I670="",J670="",K670=""),"",IF(NOT(ISNUMBER(O670)),"Bad amount",IF(O670&lt;0,"Refund (not counted)",IF(O670=0,"Zero amount",IF(NOT(ISNUMBER(N670)),"Bad date",IF(P670="","NAME NOT ON ROSTER",IF(L670="","OK",IF(MATCH(L670,$L$2:$L$3001,0)&lt;ROW()-1,"Duplicate (ignored)","OK"))))))))</f>
        <v/>
      </c>
      <c r="I670">
        <f>IF(OC_Date=0,"",IF(INDEX('OneCause_Paste'!$A$670:$AZ$670,1,OC_Date)="","",INDEX('OneCause_Paste'!$A$670:$AZ$670,1,OC_Date)))</f>
        <v/>
      </c>
      <c r="J670">
        <f>IF(OC_Amt=0,"",IF(INDEX('OneCause_Paste'!$A$670:$AZ$670,1,OC_Amt)="","",INDEX('OneCause_Paste'!$A$670:$AZ$670,1,OC_Amt)))</f>
        <v/>
      </c>
      <c r="K670">
        <f>IF(OC_Name=0,"",IF(INDEX('OneCause_Paste'!$A$670:$AZ$670,1,OC_Name)="","",INDEX('OneCause_Paste'!$A$670:$AZ$670,1,OC_Name)))</f>
        <v/>
      </c>
      <c r="L670">
        <f>IF(OC_Txn=0,"",IF(INDEX('OneCause_Paste'!$A$670:$AZ$670,1,OC_Txn)="","",INDEX('OneCause_Paste'!$A$670:$AZ$670,1,OC_Txn)))</f>
        <v/>
      </c>
      <c r="M670">
        <f>IF(OC_Pay=0,"",IF(INDEX('OneCause_Paste'!$A$670:$AZ$670,1,OC_Pay)="","",INDEX('OneCause_Paste'!$A$670:$AZ$670,1,OC_Pay)))</f>
        <v/>
      </c>
      <c r="N670">
        <f>IF(I670="","",IF(ISNUMBER(I670),INT(I670),IFERROR(INT(DATEVALUE(I670)),IFERROR(INT(VALUE(I670)),"bad"))))</f>
        <v/>
      </c>
      <c r="O670">
        <f>IF(J670="","",IF(ISNUMBER(J670),ROUND(J670,2),IFERROR(ROUND(VALUE(SUBSTITUTE(SUBSTITUTE(SUBSTITUTE(J670,"$",""),",","")," ","")),2),"bad")))</f>
        <v/>
      </c>
      <c r="P670">
        <f>IF(TRIM(K670)="","",IFERROR(MATCH(LOWER(TRIM(K670)),'Students'!$AH$2:$AH$701,0),IFERROR(MATCH(LOWER(TRIM(K670)),'Students'!$AF$2:$AF$701,0),IFERROR(MATCH(LOWER(TRIM(K670)),'Students'!$AG$2:$AG$701,0),""))))</f>
        <v/>
      </c>
      <c r="R670">
        <f>IF(P670="","",INDEX('Students'!$AD$2:$AD$701,P670))</f>
        <v/>
      </c>
      <c r="S670">
        <f>IF(H670="OK",O670,0)</f>
        <v/>
      </c>
      <c r="T670">
        <f>IF(H670="OK",N670,"")</f>
        <v/>
      </c>
      <c r="U670">
        <f>IF(OC_Donor=0,"",IF(INDEX('OneCause_Paste'!$A$670:$AZ$670,1,OC_Donor)="","",INDEX('OneCause_Paste'!$A$670:$AZ$670,1,OC_Donor)))</f>
        <v/>
      </c>
    </row>
    <row r="671">
      <c r="A671" s="62">
        <f>IF(H671="","",IF(ISNUMBER(N671),N671,I671))</f>
        <v/>
      </c>
      <c r="B671">
        <f>IF(H671="","",U671)</f>
        <v/>
      </c>
      <c r="C671">
        <f>IF(H671="","",IF(P671="",K671,INDEX('Students'!$A$2:$A$701,P671)))</f>
        <v/>
      </c>
      <c r="D671">
        <f>IF(OR(H671="",P671=""),"",INDEX('Students'!$B$2:$B$701,P671))</f>
        <v/>
      </c>
      <c r="E671">
        <f>IF(OR(H671="",P671=""),"",INDEX('Students'!$C$2:$C$701,P671))</f>
        <v/>
      </c>
      <c r="F671" s="48">
        <f>IF(H671="","",IF(ISNUMBER(O671),O671,J671))</f>
        <v/>
      </c>
      <c r="G671">
        <f>IF(H671="","","OneCause")</f>
        <v/>
      </c>
      <c r="H671">
        <f>IF(AND(I671="",J671="",K671=""),"",IF(NOT(ISNUMBER(O671)),"Bad amount",IF(O671&lt;0,"Refund (not counted)",IF(O671=0,"Zero amount",IF(NOT(ISNUMBER(N671)),"Bad date",IF(P671="","NAME NOT ON ROSTER",IF(L671="","OK",IF(MATCH(L671,$L$2:$L$3001,0)&lt;ROW()-1,"Duplicate (ignored)","OK"))))))))</f>
        <v/>
      </c>
      <c r="I671">
        <f>IF(OC_Date=0,"",IF(INDEX('OneCause_Paste'!$A$671:$AZ$671,1,OC_Date)="","",INDEX('OneCause_Paste'!$A$671:$AZ$671,1,OC_Date)))</f>
        <v/>
      </c>
      <c r="J671">
        <f>IF(OC_Amt=0,"",IF(INDEX('OneCause_Paste'!$A$671:$AZ$671,1,OC_Amt)="","",INDEX('OneCause_Paste'!$A$671:$AZ$671,1,OC_Amt)))</f>
        <v/>
      </c>
      <c r="K671">
        <f>IF(OC_Name=0,"",IF(INDEX('OneCause_Paste'!$A$671:$AZ$671,1,OC_Name)="","",INDEX('OneCause_Paste'!$A$671:$AZ$671,1,OC_Name)))</f>
        <v/>
      </c>
      <c r="L671">
        <f>IF(OC_Txn=0,"",IF(INDEX('OneCause_Paste'!$A$671:$AZ$671,1,OC_Txn)="","",INDEX('OneCause_Paste'!$A$671:$AZ$671,1,OC_Txn)))</f>
        <v/>
      </c>
      <c r="M671">
        <f>IF(OC_Pay=0,"",IF(INDEX('OneCause_Paste'!$A$671:$AZ$671,1,OC_Pay)="","",INDEX('OneCause_Paste'!$A$671:$AZ$671,1,OC_Pay)))</f>
        <v/>
      </c>
      <c r="N671">
        <f>IF(I671="","",IF(ISNUMBER(I671),INT(I671),IFERROR(INT(DATEVALUE(I671)),IFERROR(INT(VALUE(I671)),"bad"))))</f>
        <v/>
      </c>
      <c r="O671">
        <f>IF(J671="","",IF(ISNUMBER(J671),ROUND(J671,2),IFERROR(ROUND(VALUE(SUBSTITUTE(SUBSTITUTE(SUBSTITUTE(J671,"$",""),",","")," ","")),2),"bad")))</f>
        <v/>
      </c>
      <c r="P671">
        <f>IF(TRIM(K671)="","",IFERROR(MATCH(LOWER(TRIM(K671)),'Students'!$AH$2:$AH$701,0),IFERROR(MATCH(LOWER(TRIM(K671)),'Students'!$AF$2:$AF$701,0),IFERROR(MATCH(LOWER(TRIM(K671)),'Students'!$AG$2:$AG$701,0),""))))</f>
        <v/>
      </c>
      <c r="R671">
        <f>IF(P671="","",INDEX('Students'!$AD$2:$AD$701,P671))</f>
        <v/>
      </c>
      <c r="S671">
        <f>IF(H671="OK",O671,0)</f>
        <v/>
      </c>
      <c r="T671">
        <f>IF(H671="OK",N671,"")</f>
        <v/>
      </c>
      <c r="U671">
        <f>IF(OC_Donor=0,"",IF(INDEX('OneCause_Paste'!$A$671:$AZ$671,1,OC_Donor)="","",INDEX('OneCause_Paste'!$A$671:$AZ$671,1,OC_Donor)))</f>
        <v/>
      </c>
    </row>
    <row r="672">
      <c r="A672" s="62">
        <f>IF(H672="","",IF(ISNUMBER(N672),N672,I672))</f>
        <v/>
      </c>
      <c r="B672">
        <f>IF(H672="","",U672)</f>
        <v/>
      </c>
      <c r="C672">
        <f>IF(H672="","",IF(P672="",K672,INDEX('Students'!$A$2:$A$701,P672)))</f>
        <v/>
      </c>
      <c r="D672">
        <f>IF(OR(H672="",P672=""),"",INDEX('Students'!$B$2:$B$701,P672))</f>
        <v/>
      </c>
      <c r="E672">
        <f>IF(OR(H672="",P672=""),"",INDEX('Students'!$C$2:$C$701,P672))</f>
        <v/>
      </c>
      <c r="F672" s="48">
        <f>IF(H672="","",IF(ISNUMBER(O672),O672,J672))</f>
        <v/>
      </c>
      <c r="G672">
        <f>IF(H672="","","OneCause")</f>
        <v/>
      </c>
      <c r="H672">
        <f>IF(AND(I672="",J672="",K672=""),"",IF(NOT(ISNUMBER(O672)),"Bad amount",IF(O672&lt;0,"Refund (not counted)",IF(O672=0,"Zero amount",IF(NOT(ISNUMBER(N672)),"Bad date",IF(P672="","NAME NOT ON ROSTER",IF(L672="","OK",IF(MATCH(L672,$L$2:$L$3001,0)&lt;ROW()-1,"Duplicate (ignored)","OK"))))))))</f>
        <v/>
      </c>
      <c r="I672">
        <f>IF(OC_Date=0,"",IF(INDEX('OneCause_Paste'!$A$672:$AZ$672,1,OC_Date)="","",INDEX('OneCause_Paste'!$A$672:$AZ$672,1,OC_Date)))</f>
        <v/>
      </c>
      <c r="J672">
        <f>IF(OC_Amt=0,"",IF(INDEX('OneCause_Paste'!$A$672:$AZ$672,1,OC_Amt)="","",INDEX('OneCause_Paste'!$A$672:$AZ$672,1,OC_Amt)))</f>
        <v/>
      </c>
      <c r="K672">
        <f>IF(OC_Name=0,"",IF(INDEX('OneCause_Paste'!$A$672:$AZ$672,1,OC_Name)="","",INDEX('OneCause_Paste'!$A$672:$AZ$672,1,OC_Name)))</f>
        <v/>
      </c>
      <c r="L672">
        <f>IF(OC_Txn=0,"",IF(INDEX('OneCause_Paste'!$A$672:$AZ$672,1,OC_Txn)="","",INDEX('OneCause_Paste'!$A$672:$AZ$672,1,OC_Txn)))</f>
        <v/>
      </c>
      <c r="M672">
        <f>IF(OC_Pay=0,"",IF(INDEX('OneCause_Paste'!$A$672:$AZ$672,1,OC_Pay)="","",INDEX('OneCause_Paste'!$A$672:$AZ$672,1,OC_Pay)))</f>
        <v/>
      </c>
      <c r="N672">
        <f>IF(I672="","",IF(ISNUMBER(I672),INT(I672),IFERROR(INT(DATEVALUE(I672)),IFERROR(INT(VALUE(I672)),"bad"))))</f>
        <v/>
      </c>
      <c r="O672">
        <f>IF(J672="","",IF(ISNUMBER(J672),ROUND(J672,2),IFERROR(ROUND(VALUE(SUBSTITUTE(SUBSTITUTE(SUBSTITUTE(J672,"$",""),",","")," ","")),2),"bad")))</f>
        <v/>
      </c>
      <c r="P672">
        <f>IF(TRIM(K672)="","",IFERROR(MATCH(LOWER(TRIM(K672)),'Students'!$AH$2:$AH$701,0),IFERROR(MATCH(LOWER(TRIM(K672)),'Students'!$AF$2:$AF$701,0),IFERROR(MATCH(LOWER(TRIM(K672)),'Students'!$AG$2:$AG$701,0),""))))</f>
        <v/>
      </c>
      <c r="R672">
        <f>IF(P672="","",INDEX('Students'!$AD$2:$AD$701,P672))</f>
        <v/>
      </c>
      <c r="S672">
        <f>IF(H672="OK",O672,0)</f>
        <v/>
      </c>
      <c r="T672">
        <f>IF(H672="OK",N672,"")</f>
        <v/>
      </c>
      <c r="U672">
        <f>IF(OC_Donor=0,"",IF(INDEX('OneCause_Paste'!$A$672:$AZ$672,1,OC_Donor)="","",INDEX('OneCause_Paste'!$A$672:$AZ$672,1,OC_Donor)))</f>
        <v/>
      </c>
    </row>
    <row r="673">
      <c r="A673" s="62">
        <f>IF(H673="","",IF(ISNUMBER(N673),N673,I673))</f>
        <v/>
      </c>
      <c r="B673">
        <f>IF(H673="","",U673)</f>
        <v/>
      </c>
      <c r="C673">
        <f>IF(H673="","",IF(P673="",K673,INDEX('Students'!$A$2:$A$701,P673)))</f>
        <v/>
      </c>
      <c r="D673">
        <f>IF(OR(H673="",P673=""),"",INDEX('Students'!$B$2:$B$701,P673))</f>
        <v/>
      </c>
      <c r="E673">
        <f>IF(OR(H673="",P673=""),"",INDEX('Students'!$C$2:$C$701,P673))</f>
        <v/>
      </c>
      <c r="F673" s="48">
        <f>IF(H673="","",IF(ISNUMBER(O673),O673,J673))</f>
        <v/>
      </c>
      <c r="G673">
        <f>IF(H673="","","OneCause")</f>
        <v/>
      </c>
      <c r="H673">
        <f>IF(AND(I673="",J673="",K673=""),"",IF(NOT(ISNUMBER(O673)),"Bad amount",IF(O673&lt;0,"Refund (not counted)",IF(O673=0,"Zero amount",IF(NOT(ISNUMBER(N673)),"Bad date",IF(P673="","NAME NOT ON ROSTER",IF(L673="","OK",IF(MATCH(L673,$L$2:$L$3001,0)&lt;ROW()-1,"Duplicate (ignored)","OK"))))))))</f>
        <v/>
      </c>
      <c r="I673">
        <f>IF(OC_Date=0,"",IF(INDEX('OneCause_Paste'!$A$673:$AZ$673,1,OC_Date)="","",INDEX('OneCause_Paste'!$A$673:$AZ$673,1,OC_Date)))</f>
        <v/>
      </c>
      <c r="J673">
        <f>IF(OC_Amt=0,"",IF(INDEX('OneCause_Paste'!$A$673:$AZ$673,1,OC_Amt)="","",INDEX('OneCause_Paste'!$A$673:$AZ$673,1,OC_Amt)))</f>
        <v/>
      </c>
      <c r="K673">
        <f>IF(OC_Name=0,"",IF(INDEX('OneCause_Paste'!$A$673:$AZ$673,1,OC_Name)="","",INDEX('OneCause_Paste'!$A$673:$AZ$673,1,OC_Name)))</f>
        <v/>
      </c>
      <c r="L673">
        <f>IF(OC_Txn=0,"",IF(INDEX('OneCause_Paste'!$A$673:$AZ$673,1,OC_Txn)="","",INDEX('OneCause_Paste'!$A$673:$AZ$673,1,OC_Txn)))</f>
        <v/>
      </c>
      <c r="M673">
        <f>IF(OC_Pay=0,"",IF(INDEX('OneCause_Paste'!$A$673:$AZ$673,1,OC_Pay)="","",INDEX('OneCause_Paste'!$A$673:$AZ$673,1,OC_Pay)))</f>
        <v/>
      </c>
      <c r="N673">
        <f>IF(I673="","",IF(ISNUMBER(I673),INT(I673),IFERROR(INT(DATEVALUE(I673)),IFERROR(INT(VALUE(I673)),"bad"))))</f>
        <v/>
      </c>
      <c r="O673">
        <f>IF(J673="","",IF(ISNUMBER(J673),ROUND(J673,2),IFERROR(ROUND(VALUE(SUBSTITUTE(SUBSTITUTE(SUBSTITUTE(J673,"$",""),",","")," ","")),2),"bad")))</f>
        <v/>
      </c>
      <c r="P673">
        <f>IF(TRIM(K673)="","",IFERROR(MATCH(LOWER(TRIM(K673)),'Students'!$AH$2:$AH$701,0),IFERROR(MATCH(LOWER(TRIM(K673)),'Students'!$AF$2:$AF$701,0),IFERROR(MATCH(LOWER(TRIM(K673)),'Students'!$AG$2:$AG$701,0),""))))</f>
        <v/>
      </c>
      <c r="R673">
        <f>IF(P673="","",INDEX('Students'!$AD$2:$AD$701,P673))</f>
        <v/>
      </c>
      <c r="S673">
        <f>IF(H673="OK",O673,0)</f>
        <v/>
      </c>
      <c r="T673">
        <f>IF(H673="OK",N673,"")</f>
        <v/>
      </c>
      <c r="U673">
        <f>IF(OC_Donor=0,"",IF(INDEX('OneCause_Paste'!$A$673:$AZ$673,1,OC_Donor)="","",INDEX('OneCause_Paste'!$A$673:$AZ$673,1,OC_Donor)))</f>
        <v/>
      </c>
    </row>
    <row r="674">
      <c r="A674" s="62">
        <f>IF(H674="","",IF(ISNUMBER(N674),N674,I674))</f>
        <v/>
      </c>
      <c r="B674">
        <f>IF(H674="","",U674)</f>
        <v/>
      </c>
      <c r="C674">
        <f>IF(H674="","",IF(P674="",K674,INDEX('Students'!$A$2:$A$701,P674)))</f>
        <v/>
      </c>
      <c r="D674">
        <f>IF(OR(H674="",P674=""),"",INDEX('Students'!$B$2:$B$701,P674))</f>
        <v/>
      </c>
      <c r="E674">
        <f>IF(OR(H674="",P674=""),"",INDEX('Students'!$C$2:$C$701,P674))</f>
        <v/>
      </c>
      <c r="F674" s="48">
        <f>IF(H674="","",IF(ISNUMBER(O674),O674,J674))</f>
        <v/>
      </c>
      <c r="G674">
        <f>IF(H674="","","OneCause")</f>
        <v/>
      </c>
      <c r="H674">
        <f>IF(AND(I674="",J674="",K674=""),"",IF(NOT(ISNUMBER(O674)),"Bad amount",IF(O674&lt;0,"Refund (not counted)",IF(O674=0,"Zero amount",IF(NOT(ISNUMBER(N674)),"Bad date",IF(P674="","NAME NOT ON ROSTER",IF(L674="","OK",IF(MATCH(L674,$L$2:$L$3001,0)&lt;ROW()-1,"Duplicate (ignored)","OK"))))))))</f>
        <v/>
      </c>
      <c r="I674">
        <f>IF(OC_Date=0,"",IF(INDEX('OneCause_Paste'!$A$674:$AZ$674,1,OC_Date)="","",INDEX('OneCause_Paste'!$A$674:$AZ$674,1,OC_Date)))</f>
        <v/>
      </c>
      <c r="J674">
        <f>IF(OC_Amt=0,"",IF(INDEX('OneCause_Paste'!$A$674:$AZ$674,1,OC_Amt)="","",INDEX('OneCause_Paste'!$A$674:$AZ$674,1,OC_Amt)))</f>
        <v/>
      </c>
      <c r="K674">
        <f>IF(OC_Name=0,"",IF(INDEX('OneCause_Paste'!$A$674:$AZ$674,1,OC_Name)="","",INDEX('OneCause_Paste'!$A$674:$AZ$674,1,OC_Name)))</f>
        <v/>
      </c>
      <c r="L674">
        <f>IF(OC_Txn=0,"",IF(INDEX('OneCause_Paste'!$A$674:$AZ$674,1,OC_Txn)="","",INDEX('OneCause_Paste'!$A$674:$AZ$674,1,OC_Txn)))</f>
        <v/>
      </c>
      <c r="M674">
        <f>IF(OC_Pay=0,"",IF(INDEX('OneCause_Paste'!$A$674:$AZ$674,1,OC_Pay)="","",INDEX('OneCause_Paste'!$A$674:$AZ$674,1,OC_Pay)))</f>
        <v/>
      </c>
      <c r="N674">
        <f>IF(I674="","",IF(ISNUMBER(I674),INT(I674),IFERROR(INT(DATEVALUE(I674)),IFERROR(INT(VALUE(I674)),"bad"))))</f>
        <v/>
      </c>
      <c r="O674">
        <f>IF(J674="","",IF(ISNUMBER(J674),ROUND(J674,2),IFERROR(ROUND(VALUE(SUBSTITUTE(SUBSTITUTE(SUBSTITUTE(J674,"$",""),",","")," ","")),2),"bad")))</f>
        <v/>
      </c>
      <c r="P674">
        <f>IF(TRIM(K674)="","",IFERROR(MATCH(LOWER(TRIM(K674)),'Students'!$AH$2:$AH$701,0),IFERROR(MATCH(LOWER(TRIM(K674)),'Students'!$AF$2:$AF$701,0),IFERROR(MATCH(LOWER(TRIM(K674)),'Students'!$AG$2:$AG$701,0),""))))</f>
        <v/>
      </c>
      <c r="R674">
        <f>IF(P674="","",INDEX('Students'!$AD$2:$AD$701,P674))</f>
        <v/>
      </c>
      <c r="S674">
        <f>IF(H674="OK",O674,0)</f>
        <v/>
      </c>
      <c r="T674">
        <f>IF(H674="OK",N674,"")</f>
        <v/>
      </c>
      <c r="U674">
        <f>IF(OC_Donor=0,"",IF(INDEX('OneCause_Paste'!$A$674:$AZ$674,1,OC_Donor)="","",INDEX('OneCause_Paste'!$A$674:$AZ$674,1,OC_Donor)))</f>
        <v/>
      </c>
    </row>
    <row r="675">
      <c r="A675" s="62">
        <f>IF(H675="","",IF(ISNUMBER(N675),N675,I675))</f>
        <v/>
      </c>
      <c r="B675">
        <f>IF(H675="","",U675)</f>
        <v/>
      </c>
      <c r="C675">
        <f>IF(H675="","",IF(P675="",K675,INDEX('Students'!$A$2:$A$701,P675)))</f>
        <v/>
      </c>
      <c r="D675">
        <f>IF(OR(H675="",P675=""),"",INDEX('Students'!$B$2:$B$701,P675))</f>
        <v/>
      </c>
      <c r="E675">
        <f>IF(OR(H675="",P675=""),"",INDEX('Students'!$C$2:$C$701,P675))</f>
        <v/>
      </c>
      <c r="F675" s="48">
        <f>IF(H675="","",IF(ISNUMBER(O675),O675,J675))</f>
        <v/>
      </c>
      <c r="G675">
        <f>IF(H675="","","OneCause")</f>
        <v/>
      </c>
      <c r="H675">
        <f>IF(AND(I675="",J675="",K675=""),"",IF(NOT(ISNUMBER(O675)),"Bad amount",IF(O675&lt;0,"Refund (not counted)",IF(O675=0,"Zero amount",IF(NOT(ISNUMBER(N675)),"Bad date",IF(P675="","NAME NOT ON ROSTER",IF(L675="","OK",IF(MATCH(L675,$L$2:$L$3001,0)&lt;ROW()-1,"Duplicate (ignored)","OK"))))))))</f>
        <v/>
      </c>
      <c r="I675">
        <f>IF(OC_Date=0,"",IF(INDEX('OneCause_Paste'!$A$675:$AZ$675,1,OC_Date)="","",INDEX('OneCause_Paste'!$A$675:$AZ$675,1,OC_Date)))</f>
        <v/>
      </c>
      <c r="J675">
        <f>IF(OC_Amt=0,"",IF(INDEX('OneCause_Paste'!$A$675:$AZ$675,1,OC_Amt)="","",INDEX('OneCause_Paste'!$A$675:$AZ$675,1,OC_Amt)))</f>
        <v/>
      </c>
      <c r="K675">
        <f>IF(OC_Name=0,"",IF(INDEX('OneCause_Paste'!$A$675:$AZ$675,1,OC_Name)="","",INDEX('OneCause_Paste'!$A$675:$AZ$675,1,OC_Name)))</f>
        <v/>
      </c>
      <c r="L675">
        <f>IF(OC_Txn=0,"",IF(INDEX('OneCause_Paste'!$A$675:$AZ$675,1,OC_Txn)="","",INDEX('OneCause_Paste'!$A$675:$AZ$675,1,OC_Txn)))</f>
        <v/>
      </c>
      <c r="M675">
        <f>IF(OC_Pay=0,"",IF(INDEX('OneCause_Paste'!$A$675:$AZ$675,1,OC_Pay)="","",INDEX('OneCause_Paste'!$A$675:$AZ$675,1,OC_Pay)))</f>
        <v/>
      </c>
      <c r="N675">
        <f>IF(I675="","",IF(ISNUMBER(I675),INT(I675),IFERROR(INT(DATEVALUE(I675)),IFERROR(INT(VALUE(I675)),"bad"))))</f>
        <v/>
      </c>
      <c r="O675">
        <f>IF(J675="","",IF(ISNUMBER(J675),ROUND(J675,2),IFERROR(ROUND(VALUE(SUBSTITUTE(SUBSTITUTE(SUBSTITUTE(J675,"$",""),",","")," ","")),2),"bad")))</f>
        <v/>
      </c>
      <c r="P675">
        <f>IF(TRIM(K675)="","",IFERROR(MATCH(LOWER(TRIM(K675)),'Students'!$AH$2:$AH$701,0),IFERROR(MATCH(LOWER(TRIM(K675)),'Students'!$AF$2:$AF$701,0),IFERROR(MATCH(LOWER(TRIM(K675)),'Students'!$AG$2:$AG$701,0),""))))</f>
        <v/>
      </c>
      <c r="R675">
        <f>IF(P675="","",INDEX('Students'!$AD$2:$AD$701,P675))</f>
        <v/>
      </c>
      <c r="S675">
        <f>IF(H675="OK",O675,0)</f>
        <v/>
      </c>
      <c r="T675">
        <f>IF(H675="OK",N675,"")</f>
        <v/>
      </c>
      <c r="U675">
        <f>IF(OC_Donor=0,"",IF(INDEX('OneCause_Paste'!$A$675:$AZ$675,1,OC_Donor)="","",INDEX('OneCause_Paste'!$A$675:$AZ$675,1,OC_Donor)))</f>
        <v/>
      </c>
    </row>
    <row r="676">
      <c r="A676" s="62">
        <f>IF(H676="","",IF(ISNUMBER(N676),N676,I676))</f>
        <v/>
      </c>
      <c r="B676">
        <f>IF(H676="","",U676)</f>
        <v/>
      </c>
      <c r="C676">
        <f>IF(H676="","",IF(P676="",K676,INDEX('Students'!$A$2:$A$701,P676)))</f>
        <v/>
      </c>
      <c r="D676">
        <f>IF(OR(H676="",P676=""),"",INDEX('Students'!$B$2:$B$701,P676))</f>
        <v/>
      </c>
      <c r="E676">
        <f>IF(OR(H676="",P676=""),"",INDEX('Students'!$C$2:$C$701,P676))</f>
        <v/>
      </c>
      <c r="F676" s="48">
        <f>IF(H676="","",IF(ISNUMBER(O676),O676,J676))</f>
        <v/>
      </c>
      <c r="G676">
        <f>IF(H676="","","OneCause")</f>
        <v/>
      </c>
      <c r="H676">
        <f>IF(AND(I676="",J676="",K676=""),"",IF(NOT(ISNUMBER(O676)),"Bad amount",IF(O676&lt;0,"Refund (not counted)",IF(O676=0,"Zero amount",IF(NOT(ISNUMBER(N676)),"Bad date",IF(P676="","NAME NOT ON ROSTER",IF(L676="","OK",IF(MATCH(L676,$L$2:$L$3001,0)&lt;ROW()-1,"Duplicate (ignored)","OK"))))))))</f>
        <v/>
      </c>
      <c r="I676">
        <f>IF(OC_Date=0,"",IF(INDEX('OneCause_Paste'!$A$676:$AZ$676,1,OC_Date)="","",INDEX('OneCause_Paste'!$A$676:$AZ$676,1,OC_Date)))</f>
        <v/>
      </c>
      <c r="J676">
        <f>IF(OC_Amt=0,"",IF(INDEX('OneCause_Paste'!$A$676:$AZ$676,1,OC_Amt)="","",INDEX('OneCause_Paste'!$A$676:$AZ$676,1,OC_Amt)))</f>
        <v/>
      </c>
      <c r="K676">
        <f>IF(OC_Name=0,"",IF(INDEX('OneCause_Paste'!$A$676:$AZ$676,1,OC_Name)="","",INDEX('OneCause_Paste'!$A$676:$AZ$676,1,OC_Name)))</f>
        <v/>
      </c>
      <c r="L676">
        <f>IF(OC_Txn=0,"",IF(INDEX('OneCause_Paste'!$A$676:$AZ$676,1,OC_Txn)="","",INDEX('OneCause_Paste'!$A$676:$AZ$676,1,OC_Txn)))</f>
        <v/>
      </c>
      <c r="M676">
        <f>IF(OC_Pay=0,"",IF(INDEX('OneCause_Paste'!$A$676:$AZ$676,1,OC_Pay)="","",INDEX('OneCause_Paste'!$A$676:$AZ$676,1,OC_Pay)))</f>
        <v/>
      </c>
      <c r="N676">
        <f>IF(I676="","",IF(ISNUMBER(I676),INT(I676),IFERROR(INT(DATEVALUE(I676)),IFERROR(INT(VALUE(I676)),"bad"))))</f>
        <v/>
      </c>
      <c r="O676">
        <f>IF(J676="","",IF(ISNUMBER(J676),ROUND(J676,2),IFERROR(ROUND(VALUE(SUBSTITUTE(SUBSTITUTE(SUBSTITUTE(J676,"$",""),",","")," ","")),2),"bad")))</f>
        <v/>
      </c>
      <c r="P676">
        <f>IF(TRIM(K676)="","",IFERROR(MATCH(LOWER(TRIM(K676)),'Students'!$AH$2:$AH$701,0),IFERROR(MATCH(LOWER(TRIM(K676)),'Students'!$AF$2:$AF$701,0),IFERROR(MATCH(LOWER(TRIM(K676)),'Students'!$AG$2:$AG$701,0),""))))</f>
        <v/>
      </c>
      <c r="R676">
        <f>IF(P676="","",INDEX('Students'!$AD$2:$AD$701,P676))</f>
        <v/>
      </c>
      <c r="S676">
        <f>IF(H676="OK",O676,0)</f>
        <v/>
      </c>
      <c r="T676">
        <f>IF(H676="OK",N676,"")</f>
        <v/>
      </c>
      <c r="U676">
        <f>IF(OC_Donor=0,"",IF(INDEX('OneCause_Paste'!$A$676:$AZ$676,1,OC_Donor)="","",INDEX('OneCause_Paste'!$A$676:$AZ$676,1,OC_Donor)))</f>
        <v/>
      </c>
    </row>
    <row r="677">
      <c r="A677" s="62">
        <f>IF(H677="","",IF(ISNUMBER(N677),N677,I677))</f>
        <v/>
      </c>
      <c r="B677">
        <f>IF(H677="","",U677)</f>
        <v/>
      </c>
      <c r="C677">
        <f>IF(H677="","",IF(P677="",K677,INDEX('Students'!$A$2:$A$701,P677)))</f>
        <v/>
      </c>
      <c r="D677">
        <f>IF(OR(H677="",P677=""),"",INDEX('Students'!$B$2:$B$701,P677))</f>
        <v/>
      </c>
      <c r="E677">
        <f>IF(OR(H677="",P677=""),"",INDEX('Students'!$C$2:$C$701,P677))</f>
        <v/>
      </c>
      <c r="F677" s="48">
        <f>IF(H677="","",IF(ISNUMBER(O677),O677,J677))</f>
        <v/>
      </c>
      <c r="G677">
        <f>IF(H677="","","OneCause")</f>
        <v/>
      </c>
      <c r="H677">
        <f>IF(AND(I677="",J677="",K677=""),"",IF(NOT(ISNUMBER(O677)),"Bad amount",IF(O677&lt;0,"Refund (not counted)",IF(O677=0,"Zero amount",IF(NOT(ISNUMBER(N677)),"Bad date",IF(P677="","NAME NOT ON ROSTER",IF(L677="","OK",IF(MATCH(L677,$L$2:$L$3001,0)&lt;ROW()-1,"Duplicate (ignored)","OK"))))))))</f>
        <v/>
      </c>
      <c r="I677">
        <f>IF(OC_Date=0,"",IF(INDEX('OneCause_Paste'!$A$677:$AZ$677,1,OC_Date)="","",INDEX('OneCause_Paste'!$A$677:$AZ$677,1,OC_Date)))</f>
        <v/>
      </c>
      <c r="J677">
        <f>IF(OC_Amt=0,"",IF(INDEX('OneCause_Paste'!$A$677:$AZ$677,1,OC_Amt)="","",INDEX('OneCause_Paste'!$A$677:$AZ$677,1,OC_Amt)))</f>
        <v/>
      </c>
      <c r="K677">
        <f>IF(OC_Name=0,"",IF(INDEX('OneCause_Paste'!$A$677:$AZ$677,1,OC_Name)="","",INDEX('OneCause_Paste'!$A$677:$AZ$677,1,OC_Name)))</f>
        <v/>
      </c>
      <c r="L677">
        <f>IF(OC_Txn=0,"",IF(INDEX('OneCause_Paste'!$A$677:$AZ$677,1,OC_Txn)="","",INDEX('OneCause_Paste'!$A$677:$AZ$677,1,OC_Txn)))</f>
        <v/>
      </c>
      <c r="M677">
        <f>IF(OC_Pay=0,"",IF(INDEX('OneCause_Paste'!$A$677:$AZ$677,1,OC_Pay)="","",INDEX('OneCause_Paste'!$A$677:$AZ$677,1,OC_Pay)))</f>
        <v/>
      </c>
      <c r="N677">
        <f>IF(I677="","",IF(ISNUMBER(I677),INT(I677),IFERROR(INT(DATEVALUE(I677)),IFERROR(INT(VALUE(I677)),"bad"))))</f>
        <v/>
      </c>
      <c r="O677">
        <f>IF(J677="","",IF(ISNUMBER(J677),ROUND(J677,2),IFERROR(ROUND(VALUE(SUBSTITUTE(SUBSTITUTE(SUBSTITUTE(J677,"$",""),",","")," ","")),2),"bad")))</f>
        <v/>
      </c>
      <c r="P677">
        <f>IF(TRIM(K677)="","",IFERROR(MATCH(LOWER(TRIM(K677)),'Students'!$AH$2:$AH$701,0),IFERROR(MATCH(LOWER(TRIM(K677)),'Students'!$AF$2:$AF$701,0),IFERROR(MATCH(LOWER(TRIM(K677)),'Students'!$AG$2:$AG$701,0),""))))</f>
        <v/>
      </c>
      <c r="R677">
        <f>IF(P677="","",INDEX('Students'!$AD$2:$AD$701,P677))</f>
        <v/>
      </c>
      <c r="S677">
        <f>IF(H677="OK",O677,0)</f>
        <v/>
      </c>
      <c r="T677">
        <f>IF(H677="OK",N677,"")</f>
        <v/>
      </c>
      <c r="U677">
        <f>IF(OC_Donor=0,"",IF(INDEX('OneCause_Paste'!$A$677:$AZ$677,1,OC_Donor)="","",INDEX('OneCause_Paste'!$A$677:$AZ$677,1,OC_Donor)))</f>
        <v/>
      </c>
    </row>
    <row r="678">
      <c r="A678" s="62">
        <f>IF(H678="","",IF(ISNUMBER(N678),N678,I678))</f>
        <v/>
      </c>
      <c r="B678">
        <f>IF(H678="","",U678)</f>
        <v/>
      </c>
      <c r="C678">
        <f>IF(H678="","",IF(P678="",K678,INDEX('Students'!$A$2:$A$701,P678)))</f>
        <v/>
      </c>
      <c r="D678">
        <f>IF(OR(H678="",P678=""),"",INDEX('Students'!$B$2:$B$701,P678))</f>
        <v/>
      </c>
      <c r="E678">
        <f>IF(OR(H678="",P678=""),"",INDEX('Students'!$C$2:$C$701,P678))</f>
        <v/>
      </c>
      <c r="F678" s="48">
        <f>IF(H678="","",IF(ISNUMBER(O678),O678,J678))</f>
        <v/>
      </c>
      <c r="G678">
        <f>IF(H678="","","OneCause")</f>
        <v/>
      </c>
      <c r="H678">
        <f>IF(AND(I678="",J678="",K678=""),"",IF(NOT(ISNUMBER(O678)),"Bad amount",IF(O678&lt;0,"Refund (not counted)",IF(O678=0,"Zero amount",IF(NOT(ISNUMBER(N678)),"Bad date",IF(P678="","NAME NOT ON ROSTER",IF(L678="","OK",IF(MATCH(L678,$L$2:$L$3001,0)&lt;ROW()-1,"Duplicate (ignored)","OK"))))))))</f>
        <v/>
      </c>
      <c r="I678">
        <f>IF(OC_Date=0,"",IF(INDEX('OneCause_Paste'!$A$678:$AZ$678,1,OC_Date)="","",INDEX('OneCause_Paste'!$A$678:$AZ$678,1,OC_Date)))</f>
        <v/>
      </c>
      <c r="J678">
        <f>IF(OC_Amt=0,"",IF(INDEX('OneCause_Paste'!$A$678:$AZ$678,1,OC_Amt)="","",INDEX('OneCause_Paste'!$A$678:$AZ$678,1,OC_Amt)))</f>
        <v/>
      </c>
      <c r="K678">
        <f>IF(OC_Name=0,"",IF(INDEX('OneCause_Paste'!$A$678:$AZ$678,1,OC_Name)="","",INDEX('OneCause_Paste'!$A$678:$AZ$678,1,OC_Name)))</f>
        <v/>
      </c>
      <c r="L678">
        <f>IF(OC_Txn=0,"",IF(INDEX('OneCause_Paste'!$A$678:$AZ$678,1,OC_Txn)="","",INDEX('OneCause_Paste'!$A$678:$AZ$678,1,OC_Txn)))</f>
        <v/>
      </c>
      <c r="M678">
        <f>IF(OC_Pay=0,"",IF(INDEX('OneCause_Paste'!$A$678:$AZ$678,1,OC_Pay)="","",INDEX('OneCause_Paste'!$A$678:$AZ$678,1,OC_Pay)))</f>
        <v/>
      </c>
      <c r="N678">
        <f>IF(I678="","",IF(ISNUMBER(I678),INT(I678),IFERROR(INT(DATEVALUE(I678)),IFERROR(INT(VALUE(I678)),"bad"))))</f>
        <v/>
      </c>
      <c r="O678">
        <f>IF(J678="","",IF(ISNUMBER(J678),ROUND(J678,2),IFERROR(ROUND(VALUE(SUBSTITUTE(SUBSTITUTE(SUBSTITUTE(J678,"$",""),",","")," ","")),2),"bad")))</f>
        <v/>
      </c>
      <c r="P678">
        <f>IF(TRIM(K678)="","",IFERROR(MATCH(LOWER(TRIM(K678)),'Students'!$AH$2:$AH$701,0),IFERROR(MATCH(LOWER(TRIM(K678)),'Students'!$AF$2:$AF$701,0),IFERROR(MATCH(LOWER(TRIM(K678)),'Students'!$AG$2:$AG$701,0),""))))</f>
        <v/>
      </c>
      <c r="R678">
        <f>IF(P678="","",INDEX('Students'!$AD$2:$AD$701,P678))</f>
        <v/>
      </c>
      <c r="S678">
        <f>IF(H678="OK",O678,0)</f>
        <v/>
      </c>
      <c r="T678">
        <f>IF(H678="OK",N678,"")</f>
        <v/>
      </c>
      <c r="U678">
        <f>IF(OC_Donor=0,"",IF(INDEX('OneCause_Paste'!$A$678:$AZ$678,1,OC_Donor)="","",INDEX('OneCause_Paste'!$A$678:$AZ$678,1,OC_Donor)))</f>
        <v/>
      </c>
    </row>
    <row r="679">
      <c r="A679" s="62">
        <f>IF(H679="","",IF(ISNUMBER(N679),N679,I679))</f>
        <v/>
      </c>
      <c r="B679">
        <f>IF(H679="","",U679)</f>
        <v/>
      </c>
      <c r="C679">
        <f>IF(H679="","",IF(P679="",K679,INDEX('Students'!$A$2:$A$701,P679)))</f>
        <v/>
      </c>
      <c r="D679">
        <f>IF(OR(H679="",P679=""),"",INDEX('Students'!$B$2:$B$701,P679))</f>
        <v/>
      </c>
      <c r="E679">
        <f>IF(OR(H679="",P679=""),"",INDEX('Students'!$C$2:$C$701,P679))</f>
        <v/>
      </c>
      <c r="F679" s="48">
        <f>IF(H679="","",IF(ISNUMBER(O679),O679,J679))</f>
        <v/>
      </c>
      <c r="G679">
        <f>IF(H679="","","OneCause")</f>
        <v/>
      </c>
      <c r="H679">
        <f>IF(AND(I679="",J679="",K679=""),"",IF(NOT(ISNUMBER(O679)),"Bad amount",IF(O679&lt;0,"Refund (not counted)",IF(O679=0,"Zero amount",IF(NOT(ISNUMBER(N679)),"Bad date",IF(P679="","NAME NOT ON ROSTER",IF(L679="","OK",IF(MATCH(L679,$L$2:$L$3001,0)&lt;ROW()-1,"Duplicate (ignored)","OK"))))))))</f>
        <v/>
      </c>
      <c r="I679">
        <f>IF(OC_Date=0,"",IF(INDEX('OneCause_Paste'!$A$679:$AZ$679,1,OC_Date)="","",INDEX('OneCause_Paste'!$A$679:$AZ$679,1,OC_Date)))</f>
        <v/>
      </c>
      <c r="J679">
        <f>IF(OC_Amt=0,"",IF(INDEX('OneCause_Paste'!$A$679:$AZ$679,1,OC_Amt)="","",INDEX('OneCause_Paste'!$A$679:$AZ$679,1,OC_Amt)))</f>
        <v/>
      </c>
      <c r="K679">
        <f>IF(OC_Name=0,"",IF(INDEX('OneCause_Paste'!$A$679:$AZ$679,1,OC_Name)="","",INDEX('OneCause_Paste'!$A$679:$AZ$679,1,OC_Name)))</f>
        <v/>
      </c>
      <c r="L679">
        <f>IF(OC_Txn=0,"",IF(INDEX('OneCause_Paste'!$A$679:$AZ$679,1,OC_Txn)="","",INDEX('OneCause_Paste'!$A$679:$AZ$679,1,OC_Txn)))</f>
        <v/>
      </c>
      <c r="M679">
        <f>IF(OC_Pay=0,"",IF(INDEX('OneCause_Paste'!$A$679:$AZ$679,1,OC_Pay)="","",INDEX('OneCause_Paste'!$A$679:$AZ$679,1,OC_Pay)))</f>
        <v/>
      </c>
      <c r="N679">
        <f>IF(I679="","",IF(ISNUMBER(I679),INT(I679),IFERROR(INT(DATEVALUE(I679)),IFERROR(INT(VALUE(I679)),"bad"))))</f>
        <v/>
      </c>
      <c r="O679">
        <f>IF(J679="","",IF(ISNUMBER(J679),ROUND(J679,2),IFERROR(ROUND(VALUE(SUBSTITUTE(SUBSTITUTE(SUBSTITUTE(J679,"$",""),",","")," ","")),2),"bad")))</f>
        <v/>
      </c>
      <c r="P679">
        <f>IF(TRIM(K679)="","",IFERROR(MATCH(LOWER(TRIM(K679)),'Students'!$AH$2:$AH$701,0),IFERROR(MATCH(LOWER(TRIM(K679)),'Students'!$AF$2:$AF$701,0),IFERROR(MATCH(LOWER(TRIM(K679)),'Students'!$AG$2:$AG$701,0),""))))</f>
        <v/>
      </c>
      <c r="R679">
        <f>IF(P679="","",INDEX('Students'!$AD$2:$AD$701,P679))</f>
        <v/>
      </c>
      <c r="S679">
        <f>IF(H679="OK",O679,0)</f>
        <v/>
      </c>
      <c r="T679">
        <f>IF(H679="OK",N679,"")</f>
        <v/>
      </c>
      <c r="U679">
        <f>IF(OC_Donor=0,"",IF(INDEX('OneCause_Paste'!$A$679:$AZ$679,1,OC_Donor)="","",INDEX('OneCause_Paste'!$A$679:$AZ$679,1,OC_Donor)))</f>
        <v/>
      </c>
    </row>
    <row r="680">
      <c r="A680" s="62">
        <f>IF(H680="","",IF(ISNUMBER(N680),N680,I680))</f>
        <v/>
      </c>
      <c r="B680">
        <f>IF(H680="","",U680)</f>
        <v/>
      </c>
      <c r="C680">
        <f>IF(H680="","",IF(P680="",K680,INDEX('Students'!$A$2:$A$701,P680)))</f>
        <v/>
      </c>
      <c r="D680">
        <f>IF(OR(H680="",P680=""),"",INDEX('Students'!$B$2:$B$701,P680))</f>
        <v/>
      </c>
      <c r="E680">
        <f>IF(OR(H680="",P680=""),"",INDEX('Students'!$C$2:$C$701,P680))</f>
        <v/>
      </c>
      <c r="F680" s="48">
        <f>IF(H680="","",IF(ISNUMBER(O680),O680,J680))</f>
        <v/>
      </c>
      <c r="G680">
        <f>IF(H680="","","OneCause")</f>
        <v/>
      </c>
      <c r="H680">
        <f>IF(AND(I680="",J680="",K680=""),"",IF(NOT(ISNUMBER(O680)),"Bad amount",IF(O680&lt;0,"Refund (not counted)",IF(O680=0,"Zero amount",IF(NOT(ISNUMBER(N680)),"Bad date",IF(P680="","NAME NOT ON ROSTER",IF(L680="","OK",IF(MATCH(L680,$L$2:$L$3001,0)&lt;ROW()-1,"Duplicate (ignored)","OK"))))))))</f>
        <v/>
      </c>
      <c r="I680">
        <f>IF(OC_Date=0,"",IF(INDEX('OneCause_Paste'!$A$680:$AZ$680,1,OC_Date)="","",INDEX('OneCause_Paste'!$A$680:$AZ$680,1,OC_Date)))</f>
        <v/>
      </c>
      <c r="J680">
        <f>IF(OC_Amt=0,"",IF(INDEX('OneCause_Paste'!$A$680:$AZ$680,1,OC_Amt)="","",INDEX('OneCause_Paste'!$A$680:$AZ$680,1,OC_Amt)))</f>
        <v/>
      </c>
      <c r="K680">
        <f>IF(OC_Name=0,"",IF(INDEX('OneCause_Paste'!$A$680:$AZ$680,1,OC_Name)="","",INDEX('OneCause_Paste'!$A$680:$AZ$680,1,OC_Name)))</f>
        <v/>
      </c>
      <c r="L680">
        <f>IF(OC_Txn=0,"",IF(INDEX('OneCause_Paste'!$A$680:$AZ$680,1,OC_Txn)="","",INDEX('OneCause_Paste'!$A$680:$AZ$680,1,OC_Txn)))</f>
        <v/>
      </c>
      <c r="M680">
        <f>IF(OC_Pay=0,"",IF(INDEX('OneCause_Paste'!$A$680:$AZ$680,1,OC_Pay)="","",INDEX('OneCause_Paste'!$A$680:$AZ$680,1,OC_Pay)))</f>
        <v/>
      </c>
      <c r="N680">
        <f>IF(I680="","",IF(ISNUMBER(I680),INT(I680),IFERROR(INT(DATEVALUE(I680)),IFERROR(INT(VALUE(I680)),"bad"))))</f>
        <v/>
      </c>
      <c r="O680">
        <f>IF(J680="","",IF(ISNUMBER(J680),ROUND(J680,2),IFERROR(ROUND(VALUE(SUBSTITUTE(SUBSTITUTE(SUBSTITUTE(J680,"$",""),",","")," ","")),2),"bad")))</f>
        <v/>
      </c>
      <c r="P680">
        <f>IF(TRIM(K680)="","",IFERROR(MATCH(LOWER(TRIM(K680)),'Students'!$AH$2:$AH$701,0),IFERROR(MATCH(LOWER(TRIM(K680)),'Students'!$AF$2:$AF$701,0),IFERROR(MATCH(LOWER(TRIM(K680)),'Students'!$AG$2:$AG$701,0),""))))</f>
        <v/>
      </c>
      <c r="R680">
        <f>IF(P680="","",INDEX('Students'!$AD$2:$AD$701,P680))</f>
        <v/>
      </c>
      <c r="S680">
        <f>IF(H680="OK",O680,0)</f>
        <v/>
      </c>
      <c r="T680">
        <f>IF(H680="OK",N680,"")</f>
        <v/>
      </c>
      <c r="U680">
        <f>IF(OC_Donor=0,"",IF(INDEX('OneCause_Paste'!$A$680:$AZ$680,1,OC_Donor)="","",INDEX('OneCause_Paste'!$A$680:$AZ$680,1,OC_Donor)))</f>
        <v/>
      </c>
    </row>
    <row r="681">
      <c r="A681" s="62">
        <f>IF(H681="","",IF(ISNUMBER(N681),N681,I681))</f>
        <v/>
      </c>
      <c r="B681">
        <f>IF(H681="","",U681)</f>
        <v/>
      </c>
      <c r="C681">
        <f>IF(H681="","",IF(P681="",K681,INDEX('Students'!$A$2:$A$701,P681)))</f>
        <v/>
      </c>
      <c r="D681">
        <f>IF(OR(H681="",P681=""),"",INDEX('Students'!$B$2:$B$701,P681))</f>
        <v/>
      </c>
      <c r="E681">
        <f>IF(OR(H681="",P681=""),"",INDEX('Students'!$C$2:$C$701,P681))</f>
        <v/>
      </c>
      <c r="F681" s="48">
        <f>IF(H681="","",IF(ISNUMBER(O681),O681,J681))</f>
        <v/>
      </c>
      <c r="G681">
        <f>IF(H681="","","OneCause")</f>
        <v/>
      </c>
      <c r="H681">
        <f>IF(AND(I681="",J681="",K681=""),"",IF(NOT(ISNUMBER(O681)),"Bad amount",IF(O681&lt;0,"Refund (not counted)",IF(O681=0,"Zero amount",IF(NOT(ISNUMBER(N681)),"Bad date",IF(P681="","NAME NOT ON ROSTER",IF(L681="","OK",IF(MATCH(L681,$L$2:$L$3001,0)&lt;ROW()-1,"Duplicate (ignored)","OK"))))))))</f>
        <v/>
      </c>
      <c r="I681">
        <f>IF(OC_Date=0,"",IF(INDEX('OneCause_Paste'!$A$681:$AZ$681,1,OC_Date)="","",INDEX('OneCause_Paste'!$A$681:$AZ$681,1,OC_Date)))</f>
        <v/>
      </c>
      <c r="J681">
        <f>IF(OC_Amt=0,"",IF(INDEX('OneCause_Paste'!$A$681:$AZ$681,1,OC_Amt)="","",INDEX('OneCause_Paste'!$A$681:$AZ$681,1,OC_Amt)))</f>
        <v/>
      </c>
      <c r="K681">
        <f>IF(OC_Name=0,"",IF(INDEX('OneCause_Paste'!$A$681:$AZ$681,1,OC_Name)="","",INDEX('OneCause_Paste'!$A$681:$AZ$681,1,OC_Name)))</f>
        <v/>
      </c>
      <c r="L681">
        <f>IF(OC_Txn=0,"",IF(INDEX('OneCause_Paste'!$A$681:$AZ$681,1,OC_Txn)="","",INDEX('OneCause_Paste'!$A$681:$AZ$681,1,OC_Txn)))</f>
        <v/>
      </c>
      <c r="M681">
        <f>IF(OC_Pay=0,"",IF(INDEX('OneCause_Paste'!$A$681:$AZ$681,1,OC_Pay)="","",INDEX('OneCause_Paste'!$A$681:$AZ$681,1,OC_Pay)))</f>
        <v/>
      </c>
      <c r="N681">
        <f>IF(I681="","",IF(ISNUMBER(I681),INT(I681),IFERROR(INT(DATEVALUE(I681)),IFERROR(INT(VALUE(I681)),"bad"))))</f>
        <v/>
      </c>
      <c r="O681">
        <f>IF(J681="","",IF(ISNUMBER(J681),ROUND(J681,2),IFERROR(ROUND(VALUE(SUBSTITUTE(SUBSTITUTE(SUBSTITUTE(J681,"$",""),",","")," ","")),2),"bad")))</f>
        <v/>
      </c>
      <c r="P681">
        <f>IF(TRIM(K681)="","",IFERROR(MATCH(LOWER(TRIM(K681)),'Students'!$AH$2:$AH$701,0),IFERROR(MATCH(LOWER(TRIM(K681)),'Students'!$AF$2:$AF$701,0),IFERROR(MATCH(LOWER(TRIM(K681)),'Students'!$AG$2:$AG$701,0),""))))</f>
        <v/>
      </c>
      <c r="R681">
        <f>IF(P681="","",INDEX('Students'!$AD$2:$AD$701,P681))</f>
        <v/>
      </c>
      <c r="S681">
        <f>IF(H681="OK",O681,0)</f>
        <v/>
      </c>
      <c r="T681">
        <f>IF(H681="OK",N681,"")</f>
        <v/>
      </c>
      <c r="U681">
        <f>IF(OC_Donor=0,"",IF(INDEX('OneCause_Paste'!$A$681:$AZ$681,1,OC_Donor)="","",INDEX('OneCause_Paste'!$A$681:$AZ$681,1,OC_Donor)))</f>
        <v/>
      </c>
    </row>
    <row r="682">
      <c r="A682" s="62">
        <f>IF(H682="","",IF(ISNUMBER(N682),N682,I682))</f>
        <v/>
      </c>
      <c r="B682">
        <f>IF(H682="","",U682)</f>
        <v/>
      </c>
      <c r="C682">
        <f>IF(H682="","",IF(P682="",K682,INDEX('Students'!$A$2:$A$701,P682)))</f>
        <v/>
      </c>
      <c r="D682">
        <f>IF(OR(H682="",P682=""),"",INDEX('Students'!$B$2:$B$701,P682))</f>
        <v/>
      </c>
      <c r="E682">
        <f>IF(OR(H682="",P682=""),"",INDEX('Students'!$C$2:$C$701,P682))</f>
        <v/>
      </c>
      <c r="F682" s="48">
        <f>IF(H682="","",IF(ISNUMBER(O682),O682,J682))</f>
        <v/>
      </c>
      <c r="G682">
        <f>IF(H682="","","OneCause")</f>
        <v/>
      </c>
      <c r="H682">
        <f>IF(AND(I682="",J682="",K682=""),"",IF(NOT(ISNUMBER(O682)),"Bad amount",IF(O682&lt;0,"Refund (not counted)",IF(O682=0,"Zero amount",IF(NOT(ISNUMBER(N682)),"Bad date",IF(P682="","NAME NOT ON ROSTER",IF(L682="","OK",IF(MATCH(L682,$L$2:$L$3001,0)&lt;ROW()-1,"Duplicate (ignored)","OK"))))))))</f>
        <v/>
      </c>
      <c r="I682">
        <f>IF(OC_Date=0,"",IF(INDEX('OneCause_Paste'!$A$682:$AZ$682,1,OC_Date)="","",INDEX('OneCause_Paste'!$A$682:$AZ$682,1,OC_Date)))</f>
        <v/>
      </c>
      <c r="J682">
        <f>IF(OC_Amt=0,"",IF(INDEX('OneCause_Paste'!$A$682:$AZ$682,1,OC_Amt)="","",INDEX('OneCause_Paste'!$A$682:$AZ$682,1,OC_Amt)))</f>
        <v/>
      </c>
      <c r="K682">
        <f>IF(OC_Name=0,"",IF(INDEX('OneCause_Paste'!$A$682:$AZ$682,1,OC_Name)="","",INDEX('OneCause_Paste'!$A$682:$AZ$682,1,OC_Name)))</f>
        <v/>
      </c>
      <c r="L682">
        <f>IF(OC_Txn=0,"",IF(INDEX('OneCause_Paste'!$A$682:$AZ$682,1,OC_Txn)="","",INDEX('OneCause_Paste'!$A$682:$AZ$682,1,OC_Txn)))</f>
        <v/>
      </c>
      <c r="M682">
        <f>IF(OC_Pay=0,"",IF(INDEX('OneCause_Paste'!$A$682:$AZ$682,1,OC_Pay)="","",INDEX('OneCause_Paste'!$A$682:$AZ$682,1,OC_Pay)))</f>
        <v/>
      </c>
      <c r="N682">
        <f>IF(I682="","",IF(ISNUMBER(I682),INT(I682),IFERROR(INT(DATEVALUE(I682)),IFERROR(INT(VALUE(I682)),"bad"))))</f>
        <v/>
      </c>
      <c r="O682">
        <f>IF(J682="","",IF(ISNUMBER(J682),ROUND(J682,2),IFERROR(ROUND(VALUE(SUBSTITUTE(SUBSTITUTE(SUBSTITUTE(J682,"$",""),",","")," ","")),2),"bad")))</f>
        <v/>
      </c>
      <c r="P682">
        <f>IF(TRIM(K682)="","",IFERROR(MATCH(LOWER(TRIM(K682)),'Students'!$AH$2:$AH$701,0),IFERROR(MATCH(LOWER(TRIM(K682)),'Students'!$AF$2:$AF$701,0),IFERROR(MATCH(LOWER(TRIM(K682)),'Students'!$AG$2:$AG$701,0),""))))</f>
        <v/>
      </c>
      <c r="R682">
        <f>IF(P682="","",INDEX('Students'!$AD$2:$AD$701,P682))</f>
        <v/>
      </c>
      <c r="S682">
        <f>IF(H682="OK",O682,0)</f>
        <v/>
      </c>
      <c r="T682">
        <f>IF(H682="OK",N682,"")</f>
        <v/>
      </c>
      <c r="U682">
        <f>IF(OC_Donor=0,"",IF(INDEX('OneCause_Paste'!$A$682:$AZ$682,1,OC_Donor)="","",INDEX('OneCause_Paste'!$A$682:$AZ$682,1,OC_Donor)))</f>
        <v/>
      </c>
    </row>
    <row r="683">
      <c r="A683" s="62">
        <f>IF(H683="","",IF(ISNUMBER(N683),N683,I683))</f>
        <v/>
      </c>
      <c r="B683">
        <f>IF(H683="","",U683)</f>
        <v/>
      </c>
      <c r="C683">
        <f>IF(H683="","",IF(P683="",K683,INDEX('Students'!$A$2:$A$701,P683)))</f>
        <v/>
      </c>
      <c r="D683">
        <f>IF(OR(H683="",P683=""),"",INDEX('Students'!$B$2:$B$701,P683))</f>
        <v/>
      </c>
      <c r="E683">
        <f>IF(OR(H683="",P683=""),"",INDEX('Students'!$C$2:$C$701,P683))</f>
        <v/>
      </c>
      <c r="F683" s="48">
        <f>IF(H683="","",IF(ISNUMBER(O683),O683,J683))</f>
        <v/>
      </c>
      <c r="G683">
        <f>IF(H683="","","OneCause")</f>
        <v/>
      </c>
      <c r="H683">
        <f>IF(AND(I683="",J683="",K683=""),"",IF(NOT(ISNUMBER(O683)),"Bad amount",IF(O683&lt;0,"Refund (not counted)",IF(O683=0,"Zero amount",IF(NOT(ISNUMBER(N683)),"Bad date",IF(P683="","NAME NOT ON ROSTER",IF(L683="","OK",IF(MATCH(L683,$L$2:$L$3001,0)&lt;ROW()-1,"Duplicate (ignored)","OK"))))))))</f>
        <v/>
      </c>
      <c r="I683">
        <f>IF(OC_Date=0,"",IF(INDEX('OneCause_Paste'!$A$683:$AZ$683,1,OC_Date)="","",INDEX('OneCause_Paste'!$A$683:$AZ$683,1,OC_Date)))</f>
        <v/>
      </c>
      <c r="J683">
        <f>IF(OC_Amt=0,"",IF(INDEX('OneCause_Paste'!$A$683:$AZ$683,1,OC_Amt)="","",INDEX('OneCause_Paste'!$A$683:$AZ$683,1,OC_Amt)))</f>
        <v/>
      </c>
      <c r="K683">
        <f>IF(OC_Name=0,"",IF(INDEX('OneCause_Paste'!$A$683:$AZ$683,1,OC_Name)="","",INDEX('OneCause_Paste'!$A$683:$AZ$683,1,OC_Name)))</f>
        <v/>
      </c>
      <c r="L683">
        <f>IF(OC_Txn=0,"",IF(INDEX('OneCause_Paste'!$A$683:$AZ$683,1,OC_Txn)="","",INDEX('OneCause_Paste'!$A$683:$AZ$683,1,OC_Txn)))</f>
        <v/>
      </c>
      <c r="M683">
        <f>IF(OC_Pay=0,"",IF(INDEX('OneCause_Paste'!$A$683:$AZ$683,1,OC_Pay)="","",INDEX('OneCause_Paste'!$A$683:$AZ$683,1,OC_Pay)))</f>
        <v/>
      </c>
      <c r="N683">
        <f>IF(I683="","",IF(ISNUMBER(I683),INT(I683),IFERROR(INT(DATEVALUE(I683)),IFERROR(INT(VALUE(I683)),"bad"))))</f>
        <v/>
      </c>
      <c r="O683">
        <f>IF(J683="","",IF(ISNUMBER(J683),ROUND(J683,2),IFERROR(ROUND(VALUE(SUBSTITUTE(SUBSTITUTE(SUBSTITUTE(J683,"$",""),",","")," ","")),2),"bad")))</f>
        <v/>
      </c>
      <c r="P683">
        <f>IF(TRIM(K683)="","",IFERROR(MATCH(LOWER(TRIM(K683)),'Students'!$AH$2:$AH$701,0),IFERROR(MATCH(LOWER(TRIM(K683)),'Students'!$AF$2:$AF$701,0),IFERROR(MATCH(LOWER(TRIM(K683)),'Students'!$AG$2:$AG$701,0),""))))</f>
        <v/>
      </c>
      <c r="R683">
        <f>IF(P683="","",INDEX('Students'!$AD$2:$AD$701,P683))</f>
        <v/>
      </c>
      <c r="S683">
        <f>IF(H683="OK",O683,0)</f>
        <v/>
      </c>
      <c r="T683">
        <f>IF(H683="OK",N683,"")</f>
        <v/>
      </c>
      <c r="U683">
        <f>IF(OC_Donor=0,"",IF(INDEX('OneCause_Paste'!$A$683:$AZ$683,1,OC_Donor)="","",INDEX('OneCause_Paste'!$A$683:$AZ$683,1,OC_Donor)))</f>
        <v/>
      </c>
    </row>
    <row r="684">
      <c r="A684" s="62">
        <f>IF(H684="","",IF(ISNUMBER(N684),N684,I684))</f>
        <v/>
      </c>
      <c r="B684">
        <f>IF(H684="","",U684)</f>
        <v/>
      </c>
      <c r="C684">
        <f>IF(H684="","",IF(P684="",K684,INDEX('Students'!$A$2:$A$701,P684)))</f>
        <v/>
      </c>
      <c r="D684">
        <f>IF(OR(H684="",P684=""),"",INDEX('Students'!$B$2:$B$701,P684))</f>
        <v/>
      </c>
      <c r="E684">
        <f>IF(OR(H684="",P684=""),"",INDEX('Students'!$C$2:$C$701,P684))</f>
        <v/>
      </c>
      <c r="F684" s="48">
        <f>IF(H684="","",IF(ISNUMBER(O684),O684,J684))</f>
        <v/>
      </c>
      <c r="G684">
        <f>IF(H684="","","OneCause")</f>
        <v/>
      </c>
      <c r="H684">
        <f>IF(AND(I684="",J684="",K684=""),"",IF(NOT(ISNUMBER(O684)),"Bad amount",IF(O684&lt;0,"Refund (not counted)",IF(O684=0,"Zero amount",IF(NOT(ISNUMBER(N684)),"Bad date",IF(P684="","NAME NOT ON ROSTER",IF(L684="","OK",IF(MATCH(L684,$L$2:$L$3001,0)&lt;ROW()-1,"Duplicate (ignored)","OK"))))))))</f>
        <v/>
      </c>
      <c r="I684">
        <f>IF(OC_Date=0,"",IF(INDEX('OneCause_Paste'!$A$684:$AZ$684,1,OC_Date)="","",INDEX('OneCause_Paste'!$A$684:$AZ$684,1,OC_Date)))</f>
        <v/>
      </c>
      <c r="J684">
        <f>IF(OC_Amt=0,"",IF(INDEX('OneCause_Paste'!$A$684:$AZ$684,1,OC_Amt)="","",INDEX('OneCause_Paste'!$A$684:$AZ$684,1,OC_Amt)))</f>
        <v/>
      </c>
      <c r="K684">
        <f>IF(OC_Name=0,"",IF(INDEX('OneCause_Paste'!$A$684:$AZ$684,1,OC_Name)="","",INDEX('OneCause_Paste'!$A$684:$AZ$684,1,OC_Name)))</f>
        <v/>
      </c>
      <c r="L684">
        <f>IF(OC_Txn=0,"",IF(INDEX('OneCause_Paste'!$A$684:$AZ$684,1,OC_Txn)="","",INDEX('OneCause_Paste'!$A$684:$AZ$684,1,OC_Txn)))</f>
        <v/>
      </c>
      <c r="M684">
        <f>IF(OC_Pay=0,"",IF(INDEX('OneCause_Paste'!$A$684:$AZ$684,1,OC_Pay)="","",INDEX('OneCause_Paste'!$A$684:$AZ$684,1,OC_Pay)))</f>
        <v/>
      </c>
      <c r="N684">
        <f>IF(I684="","",IF(ISNUMBER(I684),INT(I684),IFERROR(INT(DATEVALUE(I684)),IFERROR(INT(VALUE(I684)),"bad"))))</f>
        <v/>
      </c>
      <c r="O684">
        <f>IF(J684="","",IF(ISNUMBER(J684),ROUND(J684,2),IFERROR(ROUND(VALUE(SUBSTITUTE(SUBSTITUTE(SUBSTITUTE(J684,"$",""),",","")," ","")),2),"bad")))</f>
        <v/>
      </c>
      <c r="P684">
        <f>IF(TRIM(K684)="","",IFERROR(MATCH(LOWER(TRIM(K684)),'Students'!$AH$2:$AH$701,0),IFERROR(MATCH(LOWER(TRIM(K684)),'Students'!$AF$2:$AF$701,0),IFERROR(MATCH(LOWER(TRIM(K684)),'Students'!$AG$2:$AG$701,0),""))))</f>
        <v/>
      </c>
      <c r="R684">
        <f>IF(P684="","",INDEX('Students'!$AD$2:$AD$701,P684))</f>
        <v/>
      </c>
      <c r="S684">
        <f>IF(H684="OK",O684,0)</f>
        <v/>
      </c>
      <c r="T684">
        <f>IF(H684="OK",N684,"")</f>
        <v/>
      </c>
      <c r="U684">
        <f>IF(OC_Donor=0,"",IF(INDEX('OneCause_Paste'!$A$684:$AZ$684,1,OC_Donor)="","",INDEX('OneCause_Paste'!$A$684:$AZ$684,1,OC_Donor)))</f>
        <v/>
      </c>
    </row>
    <row r="685">
      <c r="A685" s="62">
        <f>IF(H685="","",IF(ISNUMBER(N685),N685,I685))</f>
        <v/>
      </c>
      <c r="B685">
        <f>IF(H685="","",U685)</f>
        <v/>
      </c>
      <c r="C685">
        <f>IF(H685="","",IF(P685="",K685,INDEX('Students'!$A$2:$A$701,P685)))</f>
        <v/>
      </c>
      <c r="D685">
        <f>IF(OR(H685="",P685=""),"",INDEX('Students'!$B$2:$B$701,P685))</f>
        <v/>
      </c>
      <c r="E685">
        <f>IF(OR(H685="",P685=""),"",INDEX('Students'!$C$2:$C$701,P685))</f>
        <v/>
      </c>
      <c r="F685" s="48">
        <f>IF(H685="","",IF(ISNUMBER(O685),O685,J685))</f>
        <v/>
      </c>
      <c r="G685">
        <f>IF(H685="","","OneCause")</f>
        <v/>
      </c>
      <c r="H685">
        <f>IF(AND(I685="",J685="",K685=""),"",IF(NOT(ISNUMBER(O685)),"Bad amount",IF(O685&lt;0,"Refund (not counted)",IF(O685=0,"Zero amount",IF(NOT(ISNUMBER(N685)),"Bad date",IF(P685="","NAME NOT ON ROSTER",IF(L685="","OK",IF(MATCH(L685,$L$2:$L$3001,0)&lt;ROW()-1,"Duplicate (ignored)","OK"))))))))</f>
        <v/>
      </c>
      <c r="I685">
        <f>IF(OC_Date=0,"",IF(INDEX('OneCause_Paste'!$A$685:$AZ$685,1,OC_Date)="","",INDEX('OneCause_Paste'!$A$685:$AZ$685,1,OC_Date)))</f>
        <v/>
      </c>
      <c r="J685">
        <f>IF(OC_Amt=0,"",IF(INDEX('OneCause_Paste'!$A$685:$AZ$685,1,OC_Amt)="","",INDEX('OneCause_Paste'!$A$685:$AZ$685,1,OC_Amt)))</f>
        <v/>
      </c>
      <c r="K685">
        <f>IF(OC_Name=0,"",IF(INDEX('OneCause_Paste'!$A$685:$AZ$685,1,OC_Name)="","",INDEX('OneCause_Paste'!$A$685:$AZ$685,1,OC_Name)))</f>
        <v/>
      </c>
      <c r="L685">
        <f>IF(OC_Txn=0,"",IF(INDEX('OneCause_Paste'!$A$685:$AZ$685,1,OC_Txn)="","",INDEX('OneCause_Paste'!$A$685:$AZ$685,1,OC_Txn)))</f>
        <v/>
      </c>
      <c r="M685">
        <f>IF(OC_Pay=0,"",IF(INDEX('OneCause_Paste'!$A$685:$AZ$685,1,OC_Pay)="","",INDEX('OneCause_Paste'!$A$685:$AZ$685,1,OC_Pay)))</f>
        <v/>
      </c>
      <c r="N685">
        <f>IF(I685="","",IF(ISNUMBER(I685),INT(I685),IFERROR(INT(DATEVALUE(I685)),IFERROR(INT(VALUE(I685)),"bad"))))</f>
        <v/>
      </c>
      <c r="O685">
        <f>IF(J685="","",IF(ISNUMBER(J685),ROUND(J685,2),IFERROR(ROUND(VALUE(SUBSTITUTE(SUBSTITUTE(SUBSTITUTE(J685,"$",""),",","")," ","")),2),"bad")))</f>
        <v/>
      </c>
      <c r="P685">
        <f>IF(TRIM(K685)="","",IFERROR(MATCH(LOWER(TRIM(K685)),'Students'!$AH$2:$AH$701,0),IFERROR(MATCH(LOWER(TRIM(K685)),'Students'!$AF$2:$AF$701,0),IFERROR(MATCH(LOWER(TRIM(K685)),'Students'!$AG$2:$AG$701,0),""))))</f>
        <v/>
      </c>
      <c r="R685">
        <f>IF(P685="","",INDEX('Students'!$AD$2:$AD$701,P685))</f>
        <v/>
      </c>
      <c r="S685">
        <f>IF(H685="OK",O685,0)</f>
        <v/>
      </c>
      <c r="T685">
        <f>IF(H685="OK",N685,"")</f>
        <v/>
      </c>
      <c r="U685">
        <f>IF(OC_Donor=0,"",IF(INDEX('OneCause_Paste'!$A$685:$AZ$685,1,OC_Donor)="","",INDEX('OneCause_Paste'!$A$685:$AZ$685,1,OC_Donor)))</f>
        <v/>
      </c>
    </row>
    <row r="686">
      <c r="A686" s="62">
        <f>IF(H686="","",IF(ISNUMBER(N686),N686,I686))</f>
        <v/>
      </c>
      <c r="B686">
        <f>IF(H686="","",U686)</f>
        <v/>
      </c>
      <c r="C686">
        <f>IF(H686="","",IF(P686="",K686,INDEX('Students'!$A$2:$A$701,P686)))</f>
        <v/>
      </c>
      <c r="D686">
        <f>IF(OR(H686="",P686=""),"",INDEX('Students'!$B$2:$B$701,P686))</f>
        <v/>
      </c>
      <c r="E686">
        <f>IF(OR(H686="",P686=""),"",INDEX('Students'!$C$2:$C$701,P686))</f>
        <v/>
      </c>
      <c r="F686" s="48">
        <f>IF(H686="","",IF(ISNUMBER(O686),O686,J686))</f>
        <v/>
      </c>
      <c r="G686">
        <f>IF(H686="","","OneCause")</f>
        <v/>
      </c>
      <c r="H686">
        <f>IF(AND(I686="",J686="",K686=""),"",IF(NOT(ISNUMBER(O686)),"Bad amount",IF(O686&lt;0,"Refund (not counted)",IF(O686=0,"Zero amount",IF(NOT(ISNUMBER(N686)),"Bad date",IF(P686="","NAME NOT ON ROSTER",IF(L686="","OK",IF(MATCH(L686,$L$2:$L$3001,0)&lt;ROW()-1,"Duplicate (ignored)","OK"))))))))</f>
        <v/>
      </c>
      <c r="I686">
        <f>IF(OC_Date=0,"",IF(INDEX('OneCause_Paste'!$A$686:$AZ$686,1,OC_Date)="","",INDEX('OneCause_Paste'!$A$686:$AZ$686,1,OC_Date)))</f>
        <v/>
      </c>
      <c r="J686">
        <f>IF(OC_Amt=0,"",IF(INDEX('OneCause_Paste'!$A$686:$AZ$686,1,OC_Amt)="","",INDEX('OneCause_Paste'!$A$686:$AZ$686,1,OC_Amt)))</f>
        <v/>
      </c>
      <c r="K686">
        <f>IF(OC_Name=0,"",IF(INDEX('OneCause_Paste'!$A$686:$AZ$686,1,OC_Name)="","",INDEX('OneCause_Paste'!$A$686:$AZ$686,1,OC_Name)))</f>
        <v/>
      </c>
      <c r="L686">
        <f>IF(OC_Txn=0,"",IF(INDEX('OneCause_Paste'!$A$686:$AZ$686,1,OC_Txn)="","",INDEX('OneCause_Paste'!$A$686:$AZ$686,1,OC_Txn)))</f>
        <v/>
      </c>
      <c r="M686">
        <f>IF(OC_Pay=0,"",IF(INDEX('OneCause_Paste'!$A$686:$AZ$686,1,OC_Pay)="","",INDEX('OneCause_Paste'!$A$686:$AZ$686,1,OC_Pay)))</f>
        <v/>
      </c>
      <c r="N686">
        <f>IF(I686="","",IF(ISNUMBER(I686),INT(I686),IFERROR(INT(DATEVALUE(I686)),IFERROR(INT(VALUE(I686)),"bad"))))</f>
        <v/>
      </c>
      <c r="O686">
        <f>IF(J686="","",IF(ISNUMBER(J686),ROUND(J686,2),IFERROR(ROUND(VALUE(SUBSTITUTE(SUBSTITUTE(SUBSTITUTE(J686,"$",""),",","")," ","")),2),"bad")))</f>
        <v/>
      </c>
      <c r="P686">
        <f>IF(TRIM(K686)="","",IFERROR(MATCH(LOWER(TRIM(K686)),'Students'!$AH$2:$AH$701,0),IFERROR(MATCH(LOWER(TRIM(K686)),'Students'!$AF$2:$AF$701,0),IFERROR(MATCH(LOWER(TRIM(K686)),'Students'!$AG$2:$AG$701,0),""))))</f>
        <v/>
      </c>
      <c r="R686">
        <f>IF(P686="","",INDEX('Students'!$AD$2:$AD$701,P686))</f>
        <v/>
      </c>
      <c r="S686">
        <f>IF(H686="OK",O686,0)</f>
        <v/>
      </c>
      <c r="T686">
        <f>IF(H686="OK",N686,"")</f>
        <v/>
      </c>
      <c r="U686">
        <f>IF(OC_Donor=0,"",IF(INDEX('OneCause_Paste'!$A$686:$AZ$686,1,OC_Donor)="","",INDEX('OneCause_Paste'!$A$686:$AZ$686,1,OC_Donor)))</f>
        <v/>
      </c>
    </row>
    <row r="687">
      <c r="A687" s="62">
        <f>IF(H687="","",IF(ISNUMBER(N687),N687,I687))</f>
        <v/>
      </c>
      <c r="B687">
        <f>IF(H687="","",U687)</f>
        <v/>
      </c>
      <c r="C687">
        <f>IF(H687="","",IF(P687="",K687,INDEX('Students'!$A$2:$A$701,P687)))</f>
        <v/>
      </c>
      <c r="D687">
        <f>IF(OR(H687="",P687=""),"",INDEX('Students'!$B$2:$B$701,P687))</f>
        <v/>
      </c>
      <c r="E687">
        <f>IF(OR(H687="",P687=""),"",INDEX('Students'!$C$2:$C$701,P687))</f>
        <v/>
      </c>
      <c r="F687" s="48">
        <f>IF(H687="","",IF(ISNUMBER(O687),O687,J687))</f>
        <v/>
      </c>
      <c r="G687">
        <f>IF(H687="","","OneCause")</f>
        <v/>
      </c>
      <c r="H687">
        <f>IF(AND(I687="",J687="",K687=""),"",IF(NOT(ISNUMBER(O687)),"Bad amount",IF(O687&lt;0,"Refund (not counted)",IF(O687=0,"Zero amount",IF(NOT(ISNUMBER(N687)),"Bad date",IF(P687="","NAME NOT ON ROSTER",IF(L687="","OK",IF(MATCH(L687,$L$2:$L$3001,0)&lt;ROW()-1,"Duplicate (ignored)","OK"))))))))</f>
        <v/>
      </c>
      <c r="I687">
        <f>IF(OC_Date=0,"",IF(INDEX('OneCause_Paste'!$A$687:$AZ$687,1,OC_Date)="","",INDEX('OneCause_Paste'!$A$687:$AZ$687,1,OC_Date)))</f>
        <v/>
      </c>
      <c r="J687">
        <f>IF(OC_Amt=0,"",IF(INDEX('OneCause_Paste'!$A$687:$AZ$687,1,OC_Amt)="","",INDEX('OneCause_Paste'!$A$687:$AZ$687,1,OC_Amt)))</f>
        <v/>
      </c>
      <c r="K687">
        <f>IF(OC_Name=0,"",IF(INDEX('OneCause_Paste'!$A$687:$AZ$687,1,OC_Name)="","",INDEX('OneCause_Paste'!$A$687:$AZ$687,1,OC_Name)))</f>
        <v/>
      </c>
      <c r="L687">
        <f>IF(OC_Txn=0,"",IF(INDEX('OneCause_Paste'!$A$687:$AZ$687,1,OC_Txn)="","",INDEX('OneCause_Paste'!$A$687:$AZ$687,1,OC_Txn)))</f>
        <v/>
      </c>
      <c r="M687">
        <f>IF(OC_Pay=0,"",IF(INDEX('OneCause_Paste'!$A$687:$AZ$687,1,OC_Pay)="","",INDEX('OneCause_Paste'!$A$687:$AZ$687,1,OC_Pay)))</f>
        <v/>
      </c>
      <c r="N687">
        <f>IF(I687="","",IF(ISNUMBER(I687),INT(I687),IFERROR(INT(DATEVALUE(I687)),IFERROR(INT(VALUE(I687)),"bad"))))</f>
        <v/>
      </c>
      <c r="O687">
        <f>IF(J687="","",IF(ISNUMBER(J687),ROUND(J687,2),IFERROR(ROUND(VALUE(SUBSTITUTE(SUBSTITUTE(SUBSTITUTE(J687,"$",""),",","")," ","")),2),"bad")))</f>
        <v/>
      </c>
      <c r="P687">
        <f>IF(TRIM(K687)="","",IFERROR(MATCH(LOWER(TRIM(K687)),'Students'!$AH$2:$AH$701,0),IFERROR(MATCH(LOWER(TRIM(K687)),'Students'!$AF$2:$AF$701,0),IFERROR(MATCH(LOWER(TRIM(K687)),'Students'!$AG$2:$AG$701,0),""))))</f>
        <v/>
      </c>
      <c r="R687">
        <f>IF(P687="","",INDEX('Students'!$AD$2:$AD$701,P687))</f>
        <v/>
      </c>
      <c r="S687">
        <f>IF(H687="OK",O687,0)</f>
        <v/>
      </c>
      <c r="T687">
        <f>IF(H687="OK",N687,"")</f>
        <v/>
      </c>
      <c r="U687">
        <f>IF(OC_Donor=0,"",IF(INDEX('OneCause_Paste'!$A$687:$AZ$687,1,OC_Donor)="","",INDEX('OneCause_Paste'!$A$687:$AZ$687,1,OC_Donor)))</f>
        <v/>
      </c>
    </row>
    <row r="688">
      <c r="A688" s="62">
        <f>IF(H688="","",IF(ISNUMBER(N688),N688,I688))</f>
        <v/>
      </c>
      <c r="B688">
        <f>IF(H688="","",U688)</f>
        <v/>
      </c>
      <c r="C688">
        <f>IF(H688="","",IF(P688="",K688,INDEX('Students'!$A$2:$A$701,P688)))</f>
        <v/>
      </c>
      <c r="D688">
        <f>IF(OR(H688="",P688=""),"",INDEX('Students'!$B$2:$B$701,P688))</f>
        <v/>
      </c>
      <c r="E688">
        <f>IF(OR(H688="",P688=""),"",INDEX('Students'!$C$2:$C$701,P688))</f>
        <v/>
      </c>
      <c r="F688" s="48">
        <f>IF(H688="","",IF(ISNUMBER(O688),O688,J688))</f>
        <v/>
      </c>
      <c r="G688">
        <f>IF(H688="","","OneCause")</f>
        <v/>
      </c>
      <c r="H688">
        <f>IF(AND(I688="",J688="",K688=""),"",IF(NOT(ISNUMBER(O688)),"Bad amount",IF(O688&lt;0,"Refund (not counted)",IF(O688=0,"Zero amount",IF(NOT(ISNUMBER(N688)),"Bad date",IF(P688="","NAME NOT ON ROSTER",IF(L688="","OK",IF(MATCH(L688,$L$2:$L$3001,0)&lt;ROW()-1,"Duplicate (ignored)","OK"))))))))</f>
        <v/>
      </c>
      <c r="I688">
        <f>IF(OC_Date=0,"",IF(INDEX('OneCause_Paste'!$A$688:$AZ$688,1,OC_Date)="","",INDEX('OneCause_Paste'!$A$688:$AZ$688,1,OC_Date)))</f>
        <v/>
      </c>
      <c r="J688">
        <f>IF(OC_Amt=0,"",IF(INDEX('OneCause_Paste'!$A$688:$AZ$688,1,OC_Amt)="","",INDEX('OneCause_Paste'!$A$688:$AZ$688,1,OC_Amt)))</f>
        <v/>
      </c>
      <c r="K688">
        <f>IF(OC_Name=0,"",IF(INDEX('OneCause_Paste'!$A$688:$AZ$688,1,OC_Name)="","",INDEX('OneCause_Paste'!$A$688:$AZ$688,1,OC_Name)))</f>
        <v/>
      </c>
      <c r="L688">
        <f>IF(OC_Txn=0,"",IF(INDEX('OneCause_Paste'!$A$688:$AZ$688,1,OC_Txn)="","",INDEX('OneCause_Paste'!$A$688:$AZ$688,1,OC_Txn)))</f>
        <v/>
      </c>
      <c r="M688">
        <f>IF(OC_Pay=0,"",IF(INDEX('OneCause_Paste'!$A$688:$AZ$688,1,OC_Pay)="","",INDEX('OneCause_Paste'!$A$688:$AZ$688,1,OC_Pay)))</f>
        <v/>
      </c>
      <c r="N688">
        <f>IF(I688="","",IF(ISNUMBER(I688),INT(I688),IFERROR(INT(DATEVALUE(I688)),IFERROR(INT(VALUE(I688)),"bad"))))</f>
        <v/>
      </c>
      <c r="O688">
        <f>IF(J688="","",IF(ISNUMBER(J688),ROUND(J688,2),IFERROR(ROUND(VALUE(SUBSTITUTE(SUBSTITUTE(SUBSTITUTE(J688,"$",""),",","")," ","")),2),"bad")))</f>
        <v/>
      </c>
      <c r="P688">
        <f>IF(TRIM(K688)="","",IFERROR(MATCH(LOWER(TRIM(K688)),'Students'!$AH$2:$AH$701,0),IFERROR(MATCH(LOWER(TRIM(K688)),'Students'!$AF$2:$AF$701,0),IFERROR(MATCH(LOWER(TRIM(K688)),'Students'!$AG$2:$AG$701,0),""))))</f>
        <v/>
      </c>
      <c r="R688">
        <f>IF(P688="","",INDEX('Students'!$AD$2:$AD$701,P688))</f>
        <v/>
      </c>
      <c r="S688">
        <f>IF(H688="OK",O688,0)</f>
        <v/>
      </c>
      <c r="T688">
        <f>IF(H688="OK",N688,"")</f>
        <v/>
      </c>
      <c r="U688">
        <f>IF(OC_Donor=0,"",IF(INDEX('OneCause_Paste'!$A$688:$AZ$688,1,OC_Donor)="","",INDEX('OneCause_Paste'!$A$688:$AZ$688,1,OC_Donor)))</f>
        <v/>
      </c>
    </row>
    <row r="689">
      <c r="A689" s="62">
        <f>IF(H689="","",IF(ISNUMBER(N689),N689,I689))</f>
        <v/>
      </c>
      <c r="B689">
        <f>IF(H689="","",U689)</f>
        <v/>
      </c>
      <c r="C689">
        <f>IF(H689="","",IF(P689="",K689,INDEX('Students'!$A$2:$A$701,P689)))</f>
        <v/>
      </c>
      <c r="D689">
        <f>IF(OR(H689="",P689=""),"",INDEX('Students'!$B$2:$B$701,P689))</f>
        <v/>
      </c>
      <c r="E689">
        <f>IF(OR(H689="",P689=""),"",INDEX('Students'!$C$2:$C$701,P689))</f>
        <v/>
      </c>
      <c r="F689" s="48">
        <f>IF(H689="","",IF(ISNUMBER(O689),O689,J689))</f>
        <v/>
      </c>
      <c r="G689">
        <f>IF(H689="","","OneCause")</f>
        <v/>
      </c>
      <c r="H689">
        <f>IF(AND(I689="",J689="",K689=""),"",IF(NOT(ISNUMBER(O689)),"Bad amount",IF(O689&lt;0,"Refund (not counted)",IF(O689=0,"Zero amount",IF(NOT(ISNUMBER(N689)),"Bad date",IF(P689="","NAME NOT ON ROSTER",IF(L689="","OK",IF(MATCH(L689,$L$2:$L$3001,0)&lt;ROW()-1,"Duplicate (ignored)","OK"))))))))</f>
        <v/>
      </c>
      <c r="I689">
        <f>IF(OC_Date=0,"",IF(INDEX('OneCause_Paste'!$A$689:$AZ$689,1,OC_Date)="","",INDEX('OneCause_Paste'!$A$689:$AZ$689,1,OC_Date)))</f>
        <v/>
      </c>
      <c r="J689">
        <f>IF(OC_Amt=0,"",IF(INDEX('OneCause_Paste'!$A$689:$AZ$689,1,OC_Amt)="","",INDEX('OneCause_Paste'!$A$689:$AZ$689,1,OC_Amt)))</f>
        <v/>
      </c>
      <c r="K689">
        <f>IF(OC_Name=0,"",IF(INDEX('OneCause_Paste'!$A$689:$AZ$689,1,OC_Name)="","",INDEX('OneCause_Paste'!$A$689:$AZ$689,1,OC_Name)))</f>
        <v/>
      </c>
      <c r="L689">
        <f>IF(OC_Txn=0,"",IF(INDEX('OneCause_Paste'!$A$689:$AZ$689,1,OC_Txn)="","",INDEX('OneCause_Paste'!$A$689:$AZ$689,1,OC_Txn)))</f>
        <v/>
      </c>
      <c r="M689">
        <f>IF(OC_Pay=0,"",IF(INDEX('OneCause_Paste'!$A$689:$AZ$689,1,OC_Pay)="","",INDEX('OneCause_Paste'!$A$689:$AZ$689,1,OC_Pay)))</f>
        <v/>
      </c>
      <c r="N689">
        <f>IF(I689="","",IF(ISNUMBER(I689),INT(I689),IFERROR(INT(DATEVALUE(I689)),IFERROR(INT(VALUE(I689)),"bad"))))</f>
        <v/>
      </c>
      <c r="O689">
        <f>IF(J689="","",IF(ISNUMBER(J689),ROUND(J689,2),IFERROR(ROUND(VALUE(SUBSTITUTE(SUBSTITUTE(SUBSTITUTE(J689,"$",""),",","")," ","")),2),"bad")))</f>
        <v/>
      </c>
      <c r="P689">
        <f>IF(TRIM(K689)="","",IFERROR(MATCH(LOWER(TRIM(K689)),'Students'!$AH$2:$AH$701,0),IFERROR(MATCH(LOWER(TRIM(K689)),'Students'!$AF$2:$AF$701,0),IFERROR(MATCH(LOWER(TRIM(K689)),'Students'!$AG$2:$AG$701,0),""))))</f>
        <v/>
      </c>
      <c r="R689">
        <f>IF(P689="","",INDEX('Students'!$AD$2:$AD$701,P689))</f>
        <v/>
      </c>
      <c r="S689">
        <f>IF(H689="OK",O689,0)</f>
        <v/>
      </c>
      <c r="T689">
        <f>IF(H689="OK",N689,"")</f>
        <v/>
      </c>
      <c r="U689">
        <f>IF(OC_Donor=0,"",IF(INDEX('OneCause_Paste'!$A$689:$AZ$689,1,OC_Donor)="","",INDEX('OneCause_Paste'!$A$689:$AZ$689,1,OC_Donor)))</f>
        <v/>
      </c>
    </row>
    <row r="690">
      <c r="A690" s="62">
        <f>IF(H690="","",IF(ISNUMBER(N690),N690,I690))</f>
        <v/>
      </c>
      <c r="B690">
        <f>IF(H690="","",U690)</f>
        <v/>
      </c>
      <c r="C690">
        <f>IF(H690="","",IF(P690="",K690,INDEX('Students'!$A$2:$A$701,P690)))</f>
        <v/>
      </c>
      <c r="D690">
        <f>IF(OR(H690="",P690=""),"",INDEX('Students'!$B$2:$B$701,P690))</f>
        <v/>
      </c>
      <c r="E690">
        <f>IF(OR(H690="",P690=""),"",INDEX('Students'!$C$2:$C$701,P690))</f>
        <v/>
      </c>
      <c r="F690" s="48">
        <f>IF(H690="","",IF(ISNUMBER(O690),O690,J690))</f>
        <v/>
      </c>
      <c r="G690">
        <f>IF(H690="","","OneCause")</f>
        <v/>
      </c>
      <c r="H690">
        <f>IF(AND(I690="",J690="",K690=""),"",IF(NOT(ISNUMBER(O690)),"Bad amount",IF(O690&lt;0,"Refund (not counted)",IF(O690=0,"Zero amount",IF(NOT(ISNUMBER(N690)),"Bad date",IF(P690="","NAME NOT ON ROSTER",IF(L690="","OK",IF(MATCH(L690,$L$2:$L$3001,0)&lt;ROW()-1,"Duplicate (ignored)","OK"))))))))</f>
        <v/>
      </c>
      <c r="I690">
        <f>IF(OC_Date=0,"",IF(INDEX('OneCause_Paste'!$A$690:$AZ$690,1,OC_Date)="","",INDEX('OneCause_Paste'!$A$690:$AZ$690,1,OC_Date)))</f>
        <v/>
      </c>
      <c r="J690">
        <f>IF(OC_Amt=0,"",IF(INDEX('OneCause_Paste'!$A$690:$AZ$690,1,OC_Amt)="","",INDEX('OneCause_Paste'!$A$690:$AZ$690,1,OC_Amt)))</f>
        <v/>
      </c>
      <c r="K690">
        <f>IF(OC_Name=0,"",IF(INDEX('OneCause_Paste'!$A$690:$AZ$690,1,OC_Name)="","",INDEX('OneCause_Paste'!$A$690:$AZ$690,1,OC_Name)))</f>
        <v/>
      </c>
      <c r="L690">
        <f>IF(OC_Txn=0,"",IF(INDEX('OneCause_Paste'!$A$690:$AZ$690,1,OC_Txn)="","",INDEX('OneCause_Paste'!$A$690:$AZ$690,1,OC_Txn)))</f>
        <v/>
      </c>
      <c r="M690">
        <f>IF(OC_Pay=0,"",IF(INDEX('OneCause_Paste'!$A$690:$AZ$690,1,OC_Pay)="","",INDEX('OneCause_Paste'!$A$690:$AZ$690,1,OC_Pay)))</f>
        <v/>
      </c>
      <c r="N690">
        <f>IF(I690="","",IF(ISNUMBER(I690),INT(I690),IFERROR(INT(DATEVALUE(I690)),IFERROR(INT(VALUE(I690)),"bad"))))</f>
        <v/>
      </c>
      <c r="O690">
        <f>IF(J690="","",IF(ISNUMBER(J690),ROUND(J690,2),IFERROR(ROUND(VALUE(SUBSTITUTE(SUBSTITUTE(SUBSTITUTE(J690,"$",""),",","")," ","")),2),"bad")))</f>
        <v/>
      </c>
      <c r="P690">
        <f>IF(TRIM(K690)="","",IFERROR(MATCH(LOWER(TRIM(K690)),'Students'!$AH$2:$AH$701,0),IFERROR(MATCH(LOWER(TRIM(K690)),'Students'!$AF$2:$AF$701,0),IFERROR(MATCH(LOWER(TRIM(K690)),'Students'!$AG$2:$AG$701,0),""))))</f>
        <v/>
      </c>
      <c r="R690">
        <f>IF(P690="","",INDEX('Students'!$AD$2:$AD$701,P690))</f>
        <v/>
      </c>
      <c r="S690">
        <f>IF(H690="OK",O690,0)</f>
        <v/>
      </c>
      <c r="T690">
        <f>IF(H690="OK",N690,"")</f>
        <v/>
      </c>
      <c r="U690">
        <f>IF(OC_Donor=0,"",IF(INDEX('OneCause_Paste'!$A$690:$AZ$690,1,OC_Donor)="","",INDEX('OneCause_Paste'!$A$690:$AZ$690,1,OC_Donor)))</f>
        <v/>
      </c>
    </row>
    <row r="691">
      <c r="A691" s="62">
        <f>IF(H691="","",IF(ISNUMBER(N691),N691,I691))</f>
        <v/>
      </c>
      <c r="B691">
        <f>IF(H691="","",U691)</f>
        <v/>
      </c>
      <c r="C691">
        <f>IF(H691="","",IF(P691="",K691,INDEX('Students'!$A$2:$A$701,P691)))</f>
        <v/>
      </c>
      <c r="D691">
        <f>IF(OR(H691="",P691=""),"",INDEX('Students'!$B$2:$B$701,P691))</f>
        <v/>
      </c>
      <c r="E691">
        <f>IF(OR(H691="",P691=""),"",INDEX('Students'!$C$2:$C$701,P691))</f>
        <v/>
      </c>
      <c r="F691" s="48">
        <f>IF(H691="","",IF(ISNUMBER(O691),O691,J691))</f>
        <v/>
      </c>
      <c r="G691">
        <f>IF(H691="","","OneCause")</f>
        <v/>
      </c>
      <c r="H691">
        <f>IF(AND(I691="",J691="",K691=""),"",IF(NOT(ISNUMBER(O691)),"Bad amount",IF(O691&lt;0,"Refund (not counted)",IF(O691=0,"Zero amount",IF(NOT(ISNUMBER(N691)),"Bad date",IF(P691="","NAME NOT ON ROSTER",IF(L691="","OK",IF(MATCH(L691,$L$2:$L$3001,0)&lt;ROW()-1,"Duplicate (ignored)","OK"))))))))</f>
        <v/>
      </c>
      <c r="I691">
        <f>IF(OC_Date=0,"",IF(INDEX('OneCause_Paste'!$A$691:$AZ$691,1,OC_Date)="","",INDEX('OneCause_Paste'!$A$691:$AZ$691,1,OC_Date)))</f>
        <v/>
      </c>
      <c r="J691">
        <f>IF(OC_Amt=0,"",IF(INDEX('OneCause_Paste'!$A$691:$AZ$691,1,OC_Amt)="","",INDEX('OneCause_Paste'!$A$691:$AZ$691,1,OC_Amt)))</f>
        <v/>
      </c>
      <c r="K691">
        <f>IF(OC_Name=0,"",IF(INDEX('OneCause_Paste'!$A$691:$AZ$691,1,OC_Name)="","",INDEX('OneCause_Paste'!$A$691:$AZ$691,1,OC_Name)))</f>
        <v/>
      </c>
      <c r="L691">
        <f>IF(OC_Txn=0,"",IF(INDEX('OneCause_Paste'!$A$691:$AZ$691,1,OC_Txn)="","",INDEX('OneCause_Paste'!$A$691:$AZ$691,1,OC_Txn)))</f>
        <v/>
      </c>
      <c r="M691">
        <f>IF(OC_Pay=0,"",IF(INDEX('OneCause_Paste'!$A$691:$AZ$691,1,OC_Pay)="","",INDEX('OneCause_Paste'!$A$691:$AZ$691,1,OC_Pay)))</f>
        <v/>
      </c>
      <c r="N691">
        <f>IF(I691="","",IF(ISNUMBER(I691),INT(I691),IFERROR(INT(DATEVALUE(I691)),IFERROR(INT(VALUE(I691)),"bad"))))</f>
        <v/>
      </c>
      <c r="O691">
        <f>IF(J691="","",IF(ISNUMBER(J691),ROUND(J691,2),IFERROR(ROUND(VALUE(SUBSTITUTE(SUBSTITUTE(SUBSTITUTE(J691,"$",""),",","")," ","")),2),"bad")))</f>
        <v/>
      </c>
      <c r="P691">
        <f>IF(TRIM(K691)="","",IFERROR(MATCH(LOWER(TRIM(K691)),'Students'!$AH$2:$AH$701,0),IFERROR(MATCH(LOWER(TRIM(K691)),'Students'!$AF$2:$AF$701,0),IFERROR(MATCH(LOWER(TRIM(K691)),'Students'!$AG$2:$AG$701,0),""))))</f>
        <v/>
      </c>
      <c r="R691">
        <f>IF(P691="","",INDEX('Students'!$AD$2:$AD$701,P691))</f>
        <v/>
      </c>
      <c r="S691">
        <f>IF(H691="OK",O691,0)</f>
        <v/>
      </c>
      <c r="T691">
        <f>IF(H691="OK",N691,"")</f>
        <v/>
      </c>
      <c r="U691">
        <f>IF(OC_Donor=0,"",IF(INDEX('OneCause_Paste'!$A$691:$AZ$691,1,OC_Donor)="","",INDEX('OneCause_Paste'!$A$691:$AZ$691,1,OC_Donor)))</f>
        <v/>
      </c>
    </row>
    <row r="692">
      <c r="A692" s="62">
        <f>IF(H692="","",IF(ISNUMBER(N692),N692,I692))</f>
        <v/>
      </c>
      <c r="B692">
        <f>IF(H692="","",U692)</f>
        <v/>
      </c>
      <c r="C692">
        <f>IF(H692="","",IF(P692="",K692,INDEX('Students'!$A$2:$A$701,P692)))</f>
        <v/>
      </c>
      <c r="D692">
        <f>IF(OR(H692="",P692=""),"",INDEX('Students'!$B$2:$B$701,P692))</f>
        <v/>
      </c>
      <c r="E692">
        <f>IF(OR(H692="",P692=""),"",INDEX('Students'!$C$2:$C$701,P692))</f>
        <v/>
      </c>
      <c r="F692" s="48">
        <f>IF(H692="","",IF(ISNUMBER(O692),O692,J692))</f>
        <v/>
      </c>
      <c r="G692">
        <f>IF(H692="","","OneCause")</f>
        <v/>
      </c>
      <c r="H692">
        <f>IF(AND(I692="",J692="",K692=""),"",IF(NOT(ISNUMBER(O692)),"Bad amount",IF(O692&lt;0,"Refund (not counted)",IF(O692=0,"Zero amount",IF(NOT(ISNUMBER(N692)),"Bad date",IF(P692="","NAME NOT ON ROSTER",IF(L692="","OK",IF(MATCH(L692,$L$2:$L$3001,0)&lt;ROW()-1,"Duplicate (ignored)","OK"))))))))</f>
        <v/>
      </c>
      <c r="I692">
        <f>IF(OC_Date=0,"",IF(INDEX('OneCause_Paste'!$A$692:$AZ$692,1,OC_Date)="","",INDEX('OneCause_Paste'!$A$692:$AZ$692,1,OC_Date)))</f>
        <v/>
      </c>
      <c r="J692">
        <f>IF(OC_Amt=0,"",IF(INDEX('OneCause_Paste'!$A$692:$AZ$692,1,OC_Amt)="","",INDEX('OneCause_Paste'!$A$692:$AZ$692,1,OC_Amt)))</f>
        <v/>
      </c>
      <c r="K692">
        <f>IF(OC_Name=0,"",IF(INDEX('OneCause_Paste'!$A$692:$AZ$692,1,OC_Name)="","",INDEX('OneCause_Paste'!$A$692:$AZ$692,1,OC_Name)))</f>
        <v/>
      </c>
      <c r="L692">
        <f>IF(OC_Txn=0,"",IF(INDEX('OneCause_Paste'!$A$692:$AZ$692,1,OC_Txn)="","",INDEX('OneCause_Paste'!$A$692:$AZ$692,1,OC_Txn)))</f>
        <v/>
      </c>
      <c r="M692">
        <f>IF(OC_Pay=0,"",IF(INDEX('OneCause_Paste'!$A$692:$AZ$692,1,OC_Pay)="","",INDEX('OneCause_Paste'!$A$692:$AZ$692,1,OC_Pay)))</f>
        <v/>
      </c>
      <c r="N692">
        <f>IF(I692="","",IF(ISNUMBER(I692),INT(I692),IFERROR(INT(DATEVALUE(I692)),IFERROR(INT(VALUE(I692)),"bad"))))</f>
        <v/>
      </c>
      <c r="O692">
        <f>IF(J692="","",IF(ISNUMBER(J692),ROUND(J692,2),IFERROR(ROUND(VALUE(SUBSTITUTE(SUBSTITUTE(SUBSTITUTE(J692,"$",""),",","")," ","")),2),"bad")))</f>
        <v/>
      </c>
      <c r="P692">
        <f>IF(TRIM(K692)="","",IFERROR(MATCH(LOWER(TRIM(K692)),'Students'!$AH$2:$AH$701,0),IFERROR(MATCH(LOWER(TRIM(K692)),'Students'!$AF$2:$AF$701,0),IFERROR(MATCH(LOWER(TRIM(K692)),'Students'!$AG$2:$AG$701,0),""))))</f>
        <v/>
      </c>
      <c r="R692">
        <f>IF(P692="","",INDEX('Students'!$AD$2:$AD$701,P692))</f>
        <v/>
      </c>
      <c r="S692">
        <f>IF(H692="OK",O692,0)</f>
        <v/>
      </c>
      <c r="T692">
        <f>IF(H692="OK",N692,"")</f>
        <v/>
      </c>
      <c r="U692">
        <f>IF(OC_Donor=0,"",IF(INDEX('OneCause_Paste'!$A$692:$AZ$692,1,OC_Donor)="","",INDEX('OneCause_Paste'!$A$692:$AZ$692,1,OC_Donor)))</f>
        <v/>
      </c>
    </row>
    <row r="693">
      <c r="A693" s="62">
        <f>IF(H693="","",IF(ISNUMBER(N693),N693,I693))</f>
        <v/>
      </c>
      <c r="B693">
        <f>IF(H693="","",U693)</f>
        <v/>
      </c>
      <c r="C693">
        <f>IF(H693="","",IF(P693="",K693,INDEX('Students'!$A$2:$A$701,P693)))</f>
        <v/>
      </c>
      <c r="D693">
        <f>IF(OR(H693="",P693=""),"",INDEX('Students'!$B$2:$B$701,P693))</f>
        <v/>
      </c>
      <c r="E693">
        <f>IF(OR(H693="",P693=""),"",INDEX('Students'!$C$2:$C$701,P693))</f>
        <v/>
      </c>
      <c r="F693" s="48">
        <f>IF(H693="","",IF(ISNUMBER(O693),O693,J693))</f>
        <v/>
      </c>
      <c r="G693">
        <f>IF(H693="","","OneCause")</f>
        <v/>
      </c>
      <c r="H693">
        <f>IF(AND(I693="",J693="",K693=""),"",IF(NOT(ISNUMBER(O693)),"Bad amount",IF(O693&lt;0,"Refund (not counted)",IF(O693=0,"Zero amount",IF(NOT(ISNUMBER(N693)),"Bad date",IF(P693="","NAME NOT ON ROSTER",IF(L693="","OK",IF(MATCH(L693,$L$2:$L$3001,0)&lt;ROW()-1,"Duplicate (ignored)","OK"))))))))</f>
        <v/>
      </c>
      <c r="I693">
        <f>IF(OC_Date=0,"",IF(INDEX('OneCause_Paste'!$A$693:$AZ$693,1,OC_Date)="","",INDEX('OneCause_Paste'!$A$693:$AZ$693,1,OC_Date)))</f>
        <v/>
      </c>
      <c r="J693">
        <f>IF(OC_Amt=0,"",IF(INDEX('OneCause_Paste'!$A$693:$AZ$693,1,OC_Amt)="","",INDEX('OneCause_Paste'!$A$693:$AZ$693,1,OC_Amt)))</f>
        <v/>
      </c>
      <c r="K693">
        <f>IF(OC_Name=0,"",IF(INDEX('OneCause_Paste'!$A$693:$AZ$693,1,OC_Name)="","",INDEX('OneCause_Paste'!$A$693:$AZ$693,1,OC_Name)))</f>
        <v/>
      </c>
      <c r="L693">
        <f>IF(OC_Txn=0,"",IF(INDEX('OneCause_Paste'!$A$693:$AZ$693,1,OC_Txn)="","",INDEX('OneCause_Paste'!$A$693:$AZ$693,1,OC_Txn)))</f>
        <v/>
      </c>
      <c r="M693">
        <f>IF(OC_Pay=0,"",IF(INDEX('OneCause_Paste'!$A$693:$AZ$693,1,OC_Pay)="","",INDEX('OneCause_Paste'!$A$693:$AZ$693,1,OC_Pay)))</f>
        <v/>
      </c>
      <c r="N693">
        <f>IF(I693="","",IF(ISNUMBER(I693),INT(I693),IFERROR(INT(DATEVALUE(I693)),IFERROR(INT(VALUE(I693)),"bad"))))</f>
        <v/>
      </c>
      <c r="O693">
        <f>IF(J693="","",IF(ISNUMBER(J693),ROUND(J693,2),IFERROR(ROUND(VALUE(SUBSTITUTE(SUBSTITUTE(SUBSTITUTE(J693,"$",""),",","")," ","")),2),"bad")))</f>
        <v/>
      </c>
      <c r="P693">
        <f>IF(TRIM(K693)="","",IFERROR(MATCH(LOWER(TRIM(K693)),'Students'!$AH$2:$AH$701,0),IFERROR(MATCH(LOWER(TRIM(K693)),'Students'!$AF$2:$AF$701,0),IFERROR(MATCH(LOWER(TRIM(K693)),'Students'!$AG$2:$AG$701,0),""))))</f>
        <v/>
      </c>
      <c r="R693">
        <f>IF(P693="","",INDEX('Students'!$AD$2:$AD$701,P693))</f>
        <v/>
      </c>
      <c r="S693">
        <f>IF(H693="OK",O693,0)</f>
        <v/>
      </c>
      <c r="T693">
        <f>IF(H693="OK",N693,"")</f>
        <v/>
      </c>
      <c r="U693">
        <f>IF(OC_Donor=0,"",IF(INDEX('OneCause_Paste'!$A$693:$AZ$693,1,OC_Donor)="","",INDEX('OneCause_Paste'!$A$693:$AZ$693,1,OC_Donor)))</f>
        <v/>
      </c>
    </row>
    <row r="694">
      <c r="A694" s="62">
        <f>IF(H694="","",IF(ISNUMBER(N694),N694,I694))</f>
        <v/>
      </c>
      <c r="B694">
        <f>IF(H694="","",U694)</f>
        <v/>
      </c>
      <c r="C694">
        <f>IF(H694="","",IF(P694="",K694,INDEX('Students'!$A$2:$A$701,P694)))</f>
        <v/>
      </c>
      <c r="D694">
        <f>IF(OR(H694="",P694=""),"",INDEX('Students'!$B$2:$B$701,P694))</f>
        <v/>
      </c>
      <c r="E694">
        <f>IF(OR(H694="",P694=""),"",INDEX('Students'!$C$2:$C$701,P694))</f>
        <v/>
      </c>
      <c r="F694" s="48">
        <f>IF(H694="","",IF(ISNUMBER(O694),O694,J694))</f>
        <v/>
      </c>
      <c r="G694">
        <f>IF(H694="","","OneCause")</f>
        <v/>
      </c>
      <c r="H694">
        <f>IF(AND(I694="",J694="",K694=""),"",IF(NOT(ISNUMBER(O694)),"Bad amount",IF(O694&lt;0,"Refund (not counted)",IF(O694=0,"Zero amount",IF(NOT(ISNUMBER(N694)),"Bad date",IF(P694="","NAME NOT ON ROSTER",IF(L694="","OK",IF(MATCH(L694,$L$2:$L$3001,0)&lt;ROW()-1,"Duplicate (ignored)","OK"))))))))</f>
        <v/>
      </c>
      <c r="I694">
        <f>IF(OC_Date=0,"",IF(INDEX('OneCause_Paste'!$A$694:$AZ$694,1,OC_Date)="","",INDEX('OneCause_Paste'!$A$694:$AZ$694,1,OC_Date)))</f>
        <v/>
      </c>
      <c r="J694">
        <f>IF(OC_Amt=0,"",IF(INDEX('OneCause_Paste'!$A$694:$AZ$694,1,OC_Amt)="","",INDEX('OneCause_Paste'!$A$694:$AZ$694,1,OC_Amt)))</f>
        <v/>
      </c>
      <c r="K694">
        <f>IF(OC_Name=0,"",IF(INDEX('OneCause_Paste'!$A$694:$AZ$694,1,OC_Name)="","",INDEX('OneCause_Paste'!$A$694:$AZ$694,1,OC_Name)))</f>
        <v/>
      </c>
      <c r="L694">
        <f>IF(OC_Txn=0,"",IF(INDEX('OneCause_Paste'!$A$694:$AZ$694,1,OC_Txn)="","",INDEX('OneCause_Paste'!$A$694:$AZ$694,1,OC_Txn)))</f>
        <v/>
      </c>
      <c r="M694">
        <f>IF(OC_Pay=0,"",IF(INDEX('OneCause_Paste'!$A$694:$AZ$694,1,OC_Pay)="","",INDEX('OneCause_Paste'!$A$694:$AZ$694,1,OC_Pay)))</f>
        <v/>
      </c>
      <c r="N694">
        <f>IF(I694="","",IF(ISNUMBER(I694),INT(I694),IFERROR(INT(DATEVALUE(I694)),IFERROR(INT(VALUE(I694)),"bad"))))</f>
        <v/>
      </c>
      <c r="O694">
        <f>IF(J694="","",IF(ISNUMBER(J694),ROUND(J694,2),IFERROR(ROUND(VALUE(SUBSTITUTE(SUBSTITUTE(SUBSTITUTE(J694,"$",""),",","")," ","")),2),"bad")))</f>
        <v/>
      </c>
      <c r="P694">
        <f>IF(TRIM(K694)="","",IFERROR(MATCH(LOWER(TRIM(K694)),'Students'!$AH$2:$AH$701,0),IFERROR(MATCH(LOWER(TRIM(K694)),'Students'!$AF$2:$AF$701,0),IFERROR(MATCH(LOWER(TRIM(K694)),'Students'!$AG$2:$AG$701,0),""))))</f>
        <v/>
      </c>
      <c r="R694">
        <f>IF(P694="","",INDEX('Students'!$AD$2:$AD$701,P694))</f>
        <v/>
      </c>
      <c r="S694">
        <f>IF(H694="OK",O694,0)</f>
        <v/>
      </c>
      <c r="T694">
        <f>IF(H694="OK",N694,"")</f>
        <v/>
      </c>
      <c r="U694">
        <f>IF(OC_Donor=0,"",IF(INDEX('OneCause_Paste'!$A$694:$AZ$694,1,OC_Donor)="","",INDEX('OneCause_Paste'!$A$694:$AZ$694,1,OC_Donor)))</f>
        <v/>
      </c>
    </row>
    <row r="695">
      <c r="A695" s="62">
        <f>IF(H695="","",IF(ISNUMBER(N695),N695,I695))</f>
        <v/>
      </c>
      <c r="B695">
        <f>IF(H695="","",U695)</f>
        <v/>
      </c>
      <c r="C695">
        <f>IF(H695="","",IF(P695="",K695,INDEX('Students'!$A$2:$A$701,P695)))</f>
        <v/>
      </c>
      <c r="D695">
        <f>IF(OR(H695="",P695=""),"",INDEX('Students'!$B$2:$B$701,P695))</f>
        <v/>
      </c>
      <c r="E695">
        <f>IF(OR(H695="",P695=""),"",INDEX('Students'!$C$2:$C$701,P695))</f>
        <v/>
      </c>
      <c r="F695" s="48">
        <f>IF(H695="","",IF(ISNUMBER(O695),O695,J695))</f>
        <v/>
      </c>
      <c r="G695">
        <f>IF(H695="","","OneCause")</f>
        <v/>
      </c>
      <c r="H695">
        <f>IF(AND(I695="",J695="",K695=""),"",IF(NOT(ISNUMBER(O695)),"Bad amount",IF(O695&lt;0,"Refund (not counted)",IF(O695=0,"Zero amount",IF(NOT(ISNUMBER(N695)),"Bad date",IF(P695="","NAME NOT ON ROSTER",IF(L695="","OK",IF(MATCH(L695,$L$2:$L$3001,0)&lt;ROW()-1,"Duplicate (ignored)","OK"))))))))</f>
        <v/>
      </c>
      <c r="I695">
        <f>IF(OC_Date=0,"",IF(INDEX('OneCause_Paste'!$A$695:$AZ$695,1,OC_Date)="","",INDEX('OneCause_Paste'!$A$695:$AZ$695,1,OC_Date)))</f>
        <v/>
      </c>
      <c r="J695">
        <f>IF(OC_Amt=0,"",IF(INDEX('OneCause_Paste'!$A$695:$AZ$695,1,OC_Amt)="","",INDEX('OneCause_Paste'!$A$695:$AZ$695,1,OC_Amt)))</f>
        <v/>
      </c>
      <c r="K695">
        <f>IF(OC_Name=0,"",IF(INDEX('OneCause_Paste'!$A$695:$AZ$695,1,OC_Name)="","",INDEX('OneCause_Paste'!$A$695:$AZ$695,1,OC_Name)))</f>
        <v/>
      </c>
      <c r="L695">
        <f>IF(OC_Txn=0,"",IF(INDEX('OneCause_Paste'!$A$695:$AZ$695,1,OC_Txn)="","",INDEX('OneCause_Paste'!$A$695:$AZ$695,1,OC_Txn)))</f>
        <v/>
      </c>
      <c r="M695">
        <f>IF(OC_Pay=0,"",IF(INDEX('OneCause_Paste'!$A$695:$AZ$695,1,OC_Pay)="","",INDEX('OneCause_Paste'!$A$695:$AZ$695,1,OC_Pay)))</f>
        <v/>
      </c>
      <c r="N695">
        <f>IF(I695="","",IF(ISNUMBER(I695),INT(I695),IFERROR(INT(DATEVALUE(I695)),IFERROR(INT(VALUE(I695)),"bad"))))</f>
        <v/>
      </c>
      <c r="O695">
        <f>IF(J695="","",IF(ISNUMBER(J695),ROUND(J695,2),IFERROR(ROUND(VALUE(SUBSTITUTE(SUBSTITUTE(SUBSTITUTE(J695,"$",""),",","")," ","")),2),"bad")))</f>
        <v/>
      </c>
      <c r="P695">
        <f>IF(TRIM(K695)="","",IFERROR(MATCH(LOWER(TRIM(K695)),'Students'!$AH$2:$AH$701,0),IFERROR(MATCH(LOWER(TRIM(K695)),'Students'!$AF$2:$AF$701,0),IFERROR(MATCH(LOWER(TRIM(K695)),'Students'!$AG$2:$AG$701,0),""))))</f>
        <v/>
      </c>
      <c r="R695">
        <f>IF(P695="","",INDEX('Students'!$AD$2:$AD$701,P695))</f>
        <v/>
      </c>
      <c r="S695">
        <f>IF(H695="OK",O695,0)</f>
        <v/>
      </c>
      <c r="T695">
        <f>IF(H695="OK",N695,"")</f>
        <v/>
      </c>
      <c r="U695">
        <f>IF(OC_Donor=0,"",IF(INDEX('OneCause_Paste'!$A$695:$AZ$695,1,OC_Donor)="","",INDEX('OneCause_Paste'!$A$695:$AZ$695,1,OC_Donor)))</f>
        <v/>
      </c>
    </row>
    <row r="696">
      <c r="A696" s="62">
        <f>IF(H696="","",IF(ISNUMBER(N696),N696,I696))</f>
        <v/>
      </c>
      <c r="B696">
        <f>IF(H696="","",U696)</f>
        <v/>
      </c>
      <c r="C696">
        <f>IF(H696="","",IF(P696="",K696,INDEX('Students'!$A$2:$A$701,P696)))</f>
        <v/>
      </c>
      <c r="D696">
        <f>IF(OR(H696="",P696=""),"",INDEX('Students'!$B$2:$B$701,P696))</f>
        <v/>
      </c>
      <c r="E696">
        <f>IF(OR(H696="",P696=""),"",INDEX('Students'!$C$2:$C$701,P696))</f>
        <v/>
      </c>
      <c r="F696" s="48">
        <f>IF(H696="","",IF(ISNUMBER(O696),O696,J696))</f>
        <v/>
      </c>
      <c r="G696">
        <f>IF(H696="","","OneCause")</f>
        <v/>
      </c>
      <c r="H696">
        <f>IF(AND(I696="",J696="",K696=""),"",IF(NOT(ISNUMBER(O696)),"Bad amount",IF(O696&lt;0,"Refund (not counted)",IF(O696=0,"Zero amount",IF(NOT(ISNUMBER(N696)),"Bad date",IF(P696="","NAME NOT ON ROSTER",IF(L696="","OK",IF(MATCH(L696,$L$2:$L$3001,0)&lt;ROW()-1,"Duplicate (ignored)","OK"))))))))</f>
        <v/>
      </c>
      <c r="I696">
        <f>IF(OC_Date=0,"",IF(INDEX('OneCause_Paste'!$A$696:$AZ$696,1,OC_Date)="","",INDEX('OneCause_Paste'!$A$696:$AZ$696,1,OC_Date)))</f>
        <v/>
      </c>
      <c r="J696">
        <f>IF(OC_Amt=0,"",IF(INDEX('OneCause_Paste'!$A$696:$AZ$696,1,OC_Amt)="","",INDEX('OneCause_Paste'!$A$696:$AZ$696,1,OC_Amt)))</f>
        <v/>
      </c>
      <c r="K696">
        <f>IF(OC_Name=0,"",IF(INDEX('OneCause_Paste'!$A$696:$AZ$696,1,OC_Name)="","",INDEX('OneCause_Paste'!$A$696:$AZ$696,1,OC_Name)))</f>
        <v/>
      </c>
      <c r="L696">
        <f>IF(OC_Txn=0,"",IF(INDEX('OneCause_Paste'!$A$696:$AZ$696,1,OC_Txn)="","",INDEX('OneCause_Paste'!$A$696:$AZ$696,1,OC_Txn)))</f>
        <v/>
      </c>
      <c r="M696">
        <f>IF(OC_Pay=0,"",IF(INDEX('OneCause_Paste'!$A$696:$AZ$696,1,OC_Pay)="","",INDEX('OneCause_Paste'!$A$696:$AZ$696,1,OC_Pay)))</f>
        <v/>
      </c>
      <c r="N696">
        <f>IF(I696="","",IF(ISNUMBER(I696),INT(I696),IFERROR(INT(DATEVALUE(I696)),IFERROR(INT(VALUE(I696)),"bad"))))</f>
        <v/>
      </c>
      <c r="O696">
        <f>IF(J696="","",IF(ISNUMBER(J696),ROUND(J696,2),IFERROR(ROUND(VALUE(SUBSTITUTE(SUBSTITUTE(SUBSTITUTE(J696,"$",""),",","")," ","")),2),"bad")))</f>
        <v/>
      </c>
      <c r="P696">
        <f>IF(TRIM(K696)="","",IFERROR(MATCH(LOWER(TRIM(K696)),'Students'!$AH$2:$AH$701,0),IFERROR(MATCH(LOWER(TRIM(K696)),'Students'!$AF$2:$AF$701,0),IFERROR(MATCH(LOWER(TRIM(K696)),'Students'!$AG$2:$AG$701,0),""))))</f>
        <v/>
      </c>
      <c r="R696">
        <f>IF(P696="","",INDEX('Students'!$AD$2:$AD$701,P696))</f>
        <v/>
      </c>
      <c r="S696">
        <f>IF(H696="OK",O696,0)</f>
        <v/>
      </c>
      <c r="T696">
        <f>IF(H696="OK",N696,"")</f>
        <v/>
      </c>
      <c r="U696">
        <f>IF(OC_Donor=0,"",IF(INDEX('OneCause_Paste'!$A$696:$AZ$696,1,OC_Donor)="","",INDEX('OneCause_Paste'!$A$696:$AZ$696,1,OC_Donor)))</f>
        <v/>
      </c>
    </row>
    <row r="697">
      <c r="A697" s="62">
        <f>IF(H697="","",IF(ISNUMBER(N697),N697,I697))</f>
        <v/>
      </c>
      <c r="B697">
        <f>IF(H697="","",U697)</f>
        <v/>
      </c>
      <c r="C697">
        <f>IF(H697="","",IF(P697="",K697,INDEX('Students'!$A$2:$A$701,P697)))</f>
        <v/>
      </c>
      <c r="D697">
        <f>IF(OR(H697="",P697=""),"",INDEX('Students'!$B$2:$B$701,P697))</f>
        <v/>
      </c>
      <c r="E697">
        <f>IF(OR(H697="",P697=""),"",INDEX('Students'!$C$2:$C$701,P697))</f>
        <v/>
      </c>
      <c r="F697" s="48">
        <f>IF(H697="","",IF(ISNUMBER(O697),O697,J697))</f>
        <v/>
      </c>
      <c r="G697">
        <f>IF(H697="","","OneCause")</f>
        <v/>
      </c>
      <c r="H697">
        <f>IF(AND(I697="",J697="",K697=""),"",IF(NOT(ISNUMBER(O697)),"Bad amount",IF(O697&lt;0,"Refund (not counted)",IF(O697=0,"Zero amount",IF(NOT(ISNUMBER(N697)),"Bad date",IF(P697="","NAME NOT ON ROSTER",IF(L697="","OK",IF(MATCH(L697,$L$2:$L$3001,0)&lt;ROW()-1,"Duplicate (ignored)","OK"))))))))</f>
        <v/>
      </c>
      <c r="I697">
        <f>IF(OC_Date=0,"",IF(INDEX('OneCause_Paste'!$A$697:$AZ$697,1,OC_Date)="","",INDEX('OneCause_Paste'!$A$697:$AZ$697,1,OC_Date)))</f>
        <v/>
      </c>
      <c r="J697">
        <f>IF(OC_Amt=0,"",IF(INDEX('OneCause_Paste'!$A$697:$AZ$697,1,OC_Amt)="","",INDEX('OneCause_Paste'!$A$697:$AZ$697,1,OC_Amt)))</f>
        <v/>
      </c>
      <c r="K697">
        <f>IF(OC_Name=0,"",IF(INDEX('OneCause_Paste'!$A$697:$AZ$697,1,OC_Name)="","",INDEX('OneCause_Paste'!$A$697:$AZ$697,1,OC_Name)))</f>
        <v/>
      </c>
      <c r="L697">
        <f>IF(OC_Txn=0,"",IF(INDEX('OneCause_Paste'!$A$697:$AZ$697,1,OC_Txn)="","",INDEX('OneCause_Paste'!$A$697:$AZ$697,1,OC_Txn)))</f>
        <v/>
      </c>
      <c r="M697">
        <f>IF(OC_Pay=0,"",IF(INDEX('OneCause_Paste'!$A$697:$AZ$697,1,OC_Pay)="","",INDEX('OneCause_Paste'!$A$697:$AZ$697,1,OC_Pay)))</f>
        <v/>
      </c>
      <c r="N697">
        <f>IF(I697="","",IF(ISNUMBER(I697),INT(I697),IFERROR(INT(DATEVALUE(I697)),IFERROR(INT(VALUE(I697)),"bad"))))</f>
        <v/>
      </c>
      <c r="O697">
        <f>IF(J697="","",IF(ISNUMBER(J697),ROUND(J697,2),IFERROR(ROUND(VALUE(SUBSTITUTE(SUBSTITUTE(SUBSTITUTE(J697,"$",""),",","")," ","")),2),"bad")))</f>
        <v/>
      </c>
      <c r="P697">
        <f>IF(TRIM(K697)="","",IFERROR(MATCH(LOWER(TRIM(K697)),'Students'!$AH$2:$AH$701,0),IFERROR(MATCH(LOWER(TRIM(K697)),'Students'!$AF$2:$AF$701,0),IFERROR(MATCH(LOWER(TRIM(K697)),'Students'!$AG$2:$AG$701,0),""))))</f>
        <v/>
      </c>
      <c r="R697">
        <f>IF(P697="","",INDEX('Students'!$AD$2:$AD$701,P697))</f>
        <v/>
      </c>
      <c r="S697">
        <f>IF(H697="OK",O697,0)</f>
        <v/>
      </c>
      <c r="T697">
        <f>IF(H697="OK",N697,"")</f>
        <v/>
      </c>
      <c r="U697">
        <f>IF(OC_Donor=0,"",IF(INDEX('OneCause_Paste'!$A$697:$AZ$697,1,OC_Donor)="","",INDEX('OneCause_Paste'!$A$697:$AZ$697,1,OC_Donor)))</f>
        <v/>
      </c>
    </row>
    <row r="698">
      <c r="A698" s="62">
        <f>IF(H698="","",IF(ISNUMBER(N698),N698,I698))</f>
        <v/>
      </c>
      <c r="B698">
        <f>IF(H698="","",U698)</f>
        <v/>
      </c>
      <c r="C698">
        <f>IF(H698="","",IF(P698="",K698,INDEX('Students'!$A$2:$A$701,P698)))</f>
        <v/>
      </c>
      <c r="D698">
        <f>IF(OR(H698="",P698=""),"",INDEX('Students'!$B$2:$B$701,P698))</f>
        <v/>
      </c>
      <c r="E698">
        <f>IF(OR(H698="",P698=""),"",INDEX('Students'!$C$2:$C$701,P698))</f>
        <v/>
      </c>
      <c r="F698" s="48">
        <f>IF(H698="","",IF(ISNUMBER(O698),O698,J698))</f>
        <v/>
      </c>
      <c r="G698">
        <f>IF(H698="","","OneCause")</f>
        <v/>
      </c>
      <c r="H698">
        <f>IF(AND(I698="",J698="",K698=""),"",IF(NOT(ISNUMBER(O698)),"Bad amount",IF(O698&lt;0,"Refund (not counted)",IF(O698=0,"Zero amount",IF(NOT(ISNUMBER(N698)),"Bad date",IF(P698="","NAME NOT ON ROSTER",IF(L698="","OK",IF(MATCH(L698,$L$2:$L$3001,0)&lt;ROW()-1,"Duplicate (ignored)","OK"))))))))</f>
        <v/>
      </c>
      <c r="I698">
        <f>IF(OC_Date=0,"",IF(INDEX('OneCause_Paste'!$A$698:$AZ$698,1,OC_Date)="","",INDEX('OneCause_Paste'!$A$698:$AZ$698,1,OC_Date)))</f>
        <v/>
      </c>
      <c r="J698">
        <f>IF(OC_Amt=0,"",IF(INDEX('OneCause_Paste'!$A$698:$AZ$698,1,OC_Amt)="","",INDEX('OneCause_Paste'!$A$698:$AZ$698,1,OC_Amt)))</f>
        <v/>
      </c>
      <c r="K698">
        <f>IF(OC_Name=0,"",IF(INDEX('OneCause_Paste'!$A$698:$AZ$698,1,OC_Name)="","",INDEX('OneCause_Paste'!$A$698:$AZ$698,1,OC_Name)))</f>
        <v/>
      </c>
      <c r="L698">
        <f>IF(OC_Txn=0,"",IF(INDEX('OneCause_Paste'!$A$698:$AZ$698,1,OC_Txn)="","",INDEX('OneCause_Paste'!$A$698:$AZ$698,1,OC_Txn)))</f>
        <v/>
      </c>
      <c r="M698">
        <f>IF(OC_Pay=0,"",IF(INDEX('OneCause_Paste'!$A$698:$AZ$698,1,OC_Pay)="","",INDEX('OneCause_Paste'!$A$698:$AZ$698,1,OC_Pay)))</f>
        <v/>
      </c>
      <c r="N698">
        <f>IF(I698="","",IF(ISNUMBER(I698),INT(I698),IFERROR(INT(DATEVALUE(I698)),IFERROR(INT(VALUE(I698)),"bad"))))</f>
        <v/>
      </c>
      <c r="O698">
        <f>IF(J698="","",IF(ISNUMBER(J698),ROUND(J698,2),IFERROR(ROUND(VALUE(SUBSTITUTE(SUBSTITUTE(SUBSTITUTE(J698,"$",""),",","")," ","")),2),"bad")))</f>
        <v/>
      </c>
      <c r="P698">
        <f>IF(TRIM(K698)="","",IFERROR(MATCH(LOWER(TRIM(K698)),'Students'!$AH$2:$AH$701,0),IFERROR(MATCH(LOWER(TRIM(K698)),'Students'!$AF$2:$AF$701,0),IFERROR(MATCH(LOWER(TRIM(K698)),'Students'!$AG$2:$AG$701,0),""))))</f>
        <v/>
      </c>
      <c r="R698">
        <f>IF(P698="","",INDEX('Students'!$AD$2:$AD$701,P698))</f>
        <v/>
      </c>
      <c r="S698">
        <f>IF(H698="OK",O698,0)</f>
        <v/>
      </c>
      <c r="T698">
        <f>IF(H698="OK",N698,"")</f>
        <v/>
      </c>
      <c r="U698">
        <f>IF(OC_Donor=0,"",IF(INDEX('OneCause_Paste'!$A$698:$AZ$698,1,OC_Donor)="","",INDEX('OneCause_Paste'!$A$698:$AZ$698,1,OC_Donor)))</f>
        <v/>
      </c>
    </row>
    <row r="699">
      <c r="A699" s="62">
        <f>IF(H699="","",IF(ISNUMBER(N699),N699,I699))</f>
        <v/>
      </c>
      <c r="B699">
        <f>IF(H699="","",U699)</f>
        <v/>
      </c>
      <c r="C699">
        <f>IF(H699="","",IF(P699="",K699,INDEX('Students'!$A$2:$A$701,P699)))</f>
        <v/>
      </c>
      <c r="D699">
        <f>IF(OR(H699="",P699=""),"",INDEX('Students'!$B$2:$B$701,P699))</f>
        <v/>
      </c>
      <c r="E699">
        <f>IF(OR(H699="",P699=""),"",INDEX('Students'!$C$2:$C$701,P699))</f>
        <v/>
      </c>
      <c r="F699" s="48">
        <f>IF(H699="","",IF(ISNUMBER(O699),O699,J699))</f>
        <v/>
      </c>
      <c r="G699">
        <f>IF(H699="","","OneCause")</f>
        <v/>
      </c>
      <c r="H699">
        <f>IF(AND(I699="",J699="",K699=""),"",IF(NOT(ISNUMBER(O699)),"Bad amount",IF(O699&lt;0,"Refund (not counted)",IF(O699=0,"Zero amount",IF(NOT(ISNUMBER(N699)),"Bad date",IF(P699="","NAME NOT ON ROSTER",IF(L699="","OK",IF(MATCH(L699,$L$2:$L$3001,0)&lt;ROW()-1,"Duplicate (ignored)","OK"))))))))</f>
        <v/>
      </c>
      <c r="I699">
        <f>IF(OC_Date=0,"",IF(INDEX('OneCause_Paste'!$A$699:$AZ$699,1,OC_Date)="","",INDEX('OneCause_Paste'!$A$699:$AZ$699,1,OC_Date)))</f>
        <v/>
      </c>
      <c r="J699">
        <f>IF(OC_Amt=0,"",IF(INDEX('OneCause_Paste'!$A$699:$AZ$699,1,OC_Amt)="","",INDEX('OneCause_Paste'!$A$699:$AZ$699,1,OC_Amt)))</f>
        <v/>
      </c>
      <c r="K699">
        <f>IF(OC_Name=0,"",IF(INDEX('OneCause_Paste'!$A$699:$AZ$699,1,OC_Name)="","",INDEX('OneCause_Paste'!$A$699:$AZ$699,1,OC_Name)))</f>
        <v/>
      </c>
      <c r="L699">
        <f>IF(OC_Txn=0,"",IF(INDEX('OneCause_Paste'!$A$699:$AZ$699,1,OC_Txn)="","",INDEX('OneCause_Paste'!$A$699:$AZ$699,1,OC_Txn)))</f>
        <v/>
      </c>
      <c r="M699">
        <f>IF(OC_Pay=0,"",IF(INDEX('OneCause_Paste'!$A$699:$AZ$699,1,OC_Pay)="","",INDEX('OneCause_Paste'!$A$699:$AZ$699,1,OC_Pay)))</f>
        <v/>
      </c>
      <c r="N699">
        <f>IF(I699="","",IF(ISNUMBER(I699),INT(I699),IFERROR(INT(DATEVALUE(I699)),IFERROR(INT(VALUE(I699)),"bad"))))</f>
        <v/>
      </c>
      <c r="O699">
        <f>IF(J699="","",IF(ISNUMBER(J699),ROUND(J699,2),IFERROR(ROUND(VALUE(SUBSTITUTE(SUBSTITUTE(SUBSTITUTE(J699,"$",""),",","")," ","")),2),"bad")))</f>
        <v/>
      </c>
      <c r="P699">
        <f>IF(TRIM(K699)="","",IFERROR(MATCH(LOWER(TRIM(K699)),'Students'!$AH$2:$AH$701,0),IFERROR(MATCH(LOWER(TRIM(K699)),'Students'!$AF$2:$AF$701,0),IFERROR(MATCH(LOWER(TRIM(K699)),'Students'!$AG$2:$AG$701,0),""))))</f>
        <v/>
      </c>
      <c r="R699">
        <f>IF(P699="","",INDEX('Students'!$AD$2:$AD$701,P699))</f>
        <v/>
      </c>
      <c r="S699">
        <f>IF(H699="OK",O699,0)</f>
        <v/>
      </c>
      <c r="T699">
        <f>IF(H699="OK",N699,"")</f>
        <v/>
      </c>
      <c r="U699">
        <f>IF(OC_Donor=0,"",IF(INDEX('OneCause_Paste'!$A$699:$AZ$699,1,OC_Donor)="","",INDEX('OneCause_Paste'!$A$699:$AZ$699,1,OC_Donor)))</f>
        <v/>
      </c>
    </row>
    <row r="700">
      <c r="A700" s="62">
        <f>IF(H700="","",IF(ISNUMBER(N700),N700,I700))</f>
        <v/>
      </c>
      <c r="B700">
        <f>IF(H700="","",U700)</f>
        <v/>
      </c>
      <c r="C700">
        <f>IF(H700="","",IF(P700="",K700,INDEX('Students'!$A$2:$A$701,P700)))</f>
        <v/>
      </c>
      <c r="D700">
        <f>IF(OR(H700="",P700=""),"",INDEX('Students'!$B$2:$B$701,P700))</f>
        <v/>
      </c>
      <c r="E700">
        <f>IF(OR(H700="",P700=""),"",INDEX('Students'!$C$2:$C$701,P700))</f>
        <v/>
      </c>
      <c r="F700" s="48">
        <f>IF(H700="","",IF(ISNUMBER(O700),O700,J700))</f>
        <v/>
      </c>
      <c r="G700">
        <f>IF(H700="","","OneCause")</f>
        <v/>
      </c>
      <c r="H700">
        <f>IF(AND(I700="",J700="",K700=""),"",IF(NOT(ISNUMBER(O700)),"Bad amount",IF(O700&lt;0,"Refund (not counted)",IF(O700=0,"Zero amount",IF(NOT(ISNUMBER(N700)),"Bad date",IF(P700="","NAME NOT ON ROSTER",IF(L700="","OK",IF(MATCH(L700,$L$2:$L$3001,0)&lt;ROW()-1,"Duplicate (ignored)","OK"))))))))</f>
        <v/>
      </c>
      <c r="I700">
        <f>IF(OC_Date=0,"",IF(INDEX('OneCause_Paste'!$A$700:$AZ$700,1,OC_Date)="","",INDEX('OneCause_Paste'!$A$700:$AZ$700,1,OC_Date)))</f>
        <v/>
      </c>
      <c r="J700">
        <f>IF(OC_Amt=0,"",IF(INDEX('OneCause_Paste'!$A$700:$AZ$700,1,OC_Amt)="","",INDEX('OneCause_Paste'!$A$700:$AZ$700,1,OC_Amt)))</f>
        <v/>
      </c>
      <c r="K700">
        <f>IF(OC_Name=0,"",IF(INDEX('OneCause_Paste'!$A$700:$AZ$700,1,OC_Name)="","",INDEX('OneCause_Paste'!$A$700:$AZ$700,1,OC_Name)))</f>
        <v/>
      </c>
      <c r="L700">
        <f>IF(OC_Txn=0,"",IF(INDEX('OneCause_Paste'!$A$700:$AZ$700,1,OC_Txn)="","",INDEX('OneCause_Paste'!$A$700:$AZ$700,1,OC_Txn)))</f>
        <v/>
      </c>
      <c r="M700">
        <f>IF(OC_Pay=0,"",IF(INDEX('OneCause_Paste'!$A$700:$AZ$700,1,OC_Pay)="","",INDEX('OneCause_Paste'!$A$700:$AZ$700,1,OC_Pay)))</f>
        <v/>
      </c>
      <c r="N700">
        <f>IF(I700="","",IF(ISNUMBER(I700),INT(I700),IFERROR(INT(DATEVALUE(I700)),IFERROR(INT(VALUE(I700)),"bad"))))</f>
        <v/>
      </c>
      <c r="O700">
        <f>IF(J700="","",IF(ISNUMBER(J700),ROUND(J700,2),IFERROR(ROUND(VALUE(SUBSTITUTE(SUBSTITUTE(SUBSTITUTE(J700,"$",""),",","")," ","")),2),"bad")))</f>
        <v/>
      </c>
      <c r="P700">
        <f>IF(TRIM(K700)="","",IFERROR(MATCH(LOWER(TRIM(K700)),'Students'!$AH$2:$AH$701,0),IFERROR(MATCH(LOWER(TRIM(K700)),'Students'!$AF$2:$AF$701,0),IFERROR(MATCH(LOWER(TRIM(K700)),'Students'!$AG$2:$AG$701,0),""))))</f>
        <v/>
      </c>
      <c r="R700">
        <f>IF(P700="","",INDEX('Students'!$AD$2:$AD$701,P700))</f>
        <v/>
      </c>
      <c r="S700">
        <f>IF(H700="OK",O700,0)</f>
        <v/>
      </c>
      <c r="T700">
        <f>IF(H700="OK",N700,"")</f>
        <v/>
      </c>
      <c r="U700">
        <f>IF(OC_Donor=0,"",IF(INDEX('OneCause_Paste'!$A$700:$AZ$700,1,OC_Donor)="","",INDEX('OneCause_Paste'!$A$700:$AZ$700,1,OC_Donor)))</f>
        <v/>
      </c>
    </row>
    <row r="701">
      <c r="A701" s="62">
        <f>IF(H701="","",IF(ISNUMBER(N701),N701,I701))</f>
        <v/>
      </c>
      <c r="B701">
        <f>IF(H701="","",U701)</f>
        <v/>
      </c>
      <c r="C701">
        <f>IF(H701="","",IF(P701="",K701,INDEX('Students'!$A$2:$A$701,P701)))</f>
        <v/>
      </c>
      <c r="D701">
        <f>IF(OR(H701="",P701=""),"",INDEX('Students'!$B$2:$B$701,P701))</f>
        <v/>
      </c>
      <c r="E701">
        <f>IF(OR(H701="",P701=""),"",INDEX('Students'!$C$2:$C$701,P701))</f>
        <v/>
      </c>
      <c r="F701" s="48">
        <f>IF(H701="","",IF(ISNUMBER(O701),O701,J701))</f>
        <v/>
      </c>
      <c r="G701">
        <f>IF(H701="","","OneCause")</f>
        <v/>
      </c>
      <c r="H701">
        <f>IF(AND(I701="",J701="",K701=""),"",IF(NOT(ISNUMBER(O701)),"Bad amount",IF(O701&lt;0,"Refund (not counted)",IF(O701=0,"Zero amount",IF(NOT(ISNUMBER(N701)),"Bad date",IF(P701="","NAME NOT ON ROSTER",IF(L701="","OK",IF(MATCH(L701,$L$2:$L$3001,0)&lt;ROW()-1,"Duplicate (ignored)","OK"))))))))</f>
        <v/>
      </c>
      <c r="I701">
        <f>IF(OC_Date=0,"",IF(INDEX('OneCause_Paste'!$A$701:$AZ$701,1,OC_Date)="","",INDEX('OneCause_Paste'!$A$701:$AZ$701,1,OC_Date)))</f>
        <v/>
      </c>
      <c r="J701">
        <f>IF(OC_Amt=0,"",IF(INDEX('OneCause_Paste'!$A$701:$AZ$701,1,OC_Amt)="","",INDEX('OneCause_Paste'!$A$701:$AZ$701,1,OC_Amt)))</f>
        <v/>
      </c>
      <c r="K701">
        <f>IF(OC_Name=0,"",IF(INDEX('OneCause_Paste'!$A$701:$AZ$701,1,OC_Name)="","",INDEX('OneCause_Paste'!$A$701:$AZ$701,1,OC_Name)))</f>
        <v/>
      </c>
      <c r="L701">
        <f>IF(OC_Txn=0,"",IF(INDEX('OneCause_Paste'!$A$701:$AZ$701,1,OC_Txn)="","",INDEX('OneCause_Paste'!$A$701:$AZ$701,1,OC_Txn)))</f>
        <v/>
      </c>
      <c r="M701">
        <f>IF(OC_Pay=0,"",IF(INDEX('OneCause_Paste'!$A$701:$AZ$701,1,OC_Pay)="","",INDEX('OneCause_Paste'!$A$701:$AZ$701,1,OC_Pay)))</f>
        <v/>
      </c>
      <c r="N701">
        <f>IF(I701="","",IF(ISNUMBER(I701),INT(I701),IFERROR(INT(DATEVALUE(I701)),IFERROR(INT(VALUE(I701)),"bad"))))</f>
        <v/>
      </c>
      <c r="O701">
        <f>IF(J701="","",IF(ISNUMBER(J701),ROUND(J701,2),IFERROR(ROUND(VALUE(SUBSTITUTE(SUBSTITUTE(SUBSTITUTE(J701,"$",""),",","")," ","")),2),"bad")))</f>
        <v/>
      </c>
      <c r="P701">
        <f>IF(TRIM(K701)="","",IFERROR(MATCH(LOWER(TRIM(K701)),'Students'!$AH$2:$AH$701,0),IFERROR(MATCH(LOWER(TRIM(K701)),'Students'!$AF$2:$AF$701,0),IFERROR(MATCH(LOWER(TRIM(K701)),'Students'!$AG$2:$AG$701,0),""))))</f>
        <v/>
      </c>
      <c r="R701">
        <f>IF(P701="","",INDEX('Students'!$AD$2:$AD$701,P701))</f>
        <v/>
      </c>
      <c r="S701">
        <f>IF(H701="OK",O701,0)</f>
        <v/>
      </c>
      <c r="T701">
        <f>IF(H701="OK",N701,"")</f>
        <v/>
      </c>
      <c r="U701">
        <f>IF(OC_Donor=0,"",IF(INDEX('OneCause_Paste'!$A$701:$AZ$701,1,OC_Donor)="","",INDEX('OneCause_Paste'!$A$701:$AZ$701,1,OC_Donor)))</f>
        <v/>
      </c>
    </row>
    <row r="702">
      <c r="A702" s="62">
        <f>IF(H702="","",IF(ISNUMBER(N702),N702,I702))</f>
        <v/>
      </c>
      <c r="B702">
        <f>IF(H702="","",U702)</f>
        <v/>
      </c>
      <c r="C702">
        <f>IF(H702="","",IF(P702="",K702,INDEX('Students'!$A$2:$A$701,P702)))</f>
        <v/>
      </c>
      <c r="D702">
        <f>IF(OR(H702="",P702=""),"",INDEX('Students'!$B$2:$B$701,P702))</f>
        <v/>
      </c>
      <c r="E702">
        <f>IF(OR(H702="",P702=""),"",INDEX('Students'!$C$2:$C$701,P702))</f>
        <v/>
      </c>
      <c r="F702" s="48">
        <f>IF(H702="","",IF(ISNUMBER(O702),O702,J702))</f>
        <v/>
      </c>
      <c r="G702">
        <f>IF(H702="","","OneCause")</f>
        <v/>
      </c>
      <c r="H702">
        <f>IF(AND(I702="",J702="",K702=""),"",IF(NOT(ISNUMBER(O702)),"Bad amount",IF(O702&lt;0,"Refund (not counted)",IF(O702=0,"Zero amount",IF(NOT(ISNUMBER(N702)),"Bad date",IF(P702="","NAME NOT ON ROSTER",IF(L702="","OK",IF(MATCH(L702,$L$2:$L$3001,0)&lt;ROW()-1,"Duplicate (ignored)","OK"))))))))</f>
        <v/>
      </c>
      <c r="I702">
        <f>IF(OC_Date=0,"",IF(INDEX('OneCause_Paste'!$A$702:$AZ$702,1,OC_Date)="","",INDEX('OneCause_Paste'!$A$702:$AZ$702,1,OC_Date)))</f>
        <v/>
      </c>
      <c r="J702">
        <f>IF(OC_Amt=0,"",IF(INDEX('OneCause_Paste'!$A$702:$AZ$702,1,OC_Amt)="","",INDEX('OneCause_Paste'!$A$702:$AZ$702,1,OC_Amt)))</f>
        <v/>
      </c>
      <c r="K702">
        <f>IF(OC_Name=0,"",IF(INDEX('OneCause_Paste'!$A$702:$AZ$702,1,OC_Name)="","",INDEX('OneCause_Paste'!$A$702:$AZ$702,1,OC_Name)))</f>
        <v/>
      </c>
      <c r="L702">
        <f>IF(OC_Txn=0,"",IF(INDEX('OneCause_Paste'!$A$702:$AZ$702,1,OC_Txn)="","",INDEX('OneCause_Paste'!$A$702:$AZ$702,1,OC_Txn)))</f>
        <v/>
      </c>
      <c r="M702">
        <f>IF(OC_Pay=0,"",IF(INDEX('OneCause_Paste'!$A$702:$AZ$702,1,OC_Pay)="","",INDEX('OneCause_Paste'!$A$702:$AZ$702,1,OC_Pay)))</f>
        <v/>
      </c>
      <c r="N702">
        <f>IF(I702="","",IF(ISNUMBER(I702),INT(I702),IFERROR(INT(DATEVALUE(I702)),IFERROR(INT(VALUE(I702)),"bad"))))</f>
        <v/>
      </c>
      <c r="O702">
        <f>IF(J702="","",IF(ISNUMBER(J702),ROUND(J702,2),IFERROR(ROUND(VALUE(SUBSTITUTE(SUBSTITUTE(SUBSTITUTE(J702,"$",""),",","")," ","")),2),"bad")))</f>
        <v/>
      </c>
      <c r="P702">
        <f>IF(TRIM(K702)="","",IFERROR(MATCH(LOWER(TRIM(K702)),'Students'!$AH$2:$AH$701,0),IFERROR(MATCH(LOWER(TRIM(K702)),'Students'!$AF$2:$AF$701,0),IFERROR(MATCH(LOWER(TRIM(K702)),'Students'!$AG$2:$AG$701,0),""))))</f>
        <v/>
      </c>
      <c r="R702">
        <f>IF(P702="","",INDEX('Students'!$AD$2:$AD$701,P702))</f>
        <v/>
      </c>
      <c r="S702">
        <f>IF(H702="OK",O702,0)</f>
        <v/>
      </c>
      <c r="T702">
        <f>IF(H702="OK",N702,"")</f>
        <v/>
      </c>
      <c r="U702">
        <f>IF(OC_Donor=0,"",IF(INDEX('OneCause_Paste'!$A$702:$AZ$702,1,OC_Donor)="","",INDEX('OneCause_Paste'!$A$702:$AZ$702,1,OC_Donor)))</f>
        <v/>
      </c>
    </row>
    <row r="703">
      <c r="A703" s="62">
        <f>IF(H703="","",IF(ISNUMBER(N703),N703,I703))</f>
        <v/>
      </c>
      <c r="B703">
        <f>IF(H703="","",U703)</f>
        <v/>
      </c>
      <c r="C703">
        <f>IF(H703="","",IF(P703="",K703,INDEX('Students'!$A$2:$A$701,P703)))</f>
        <v/>
      </c>
      <c r="D703">
        <f>IF(OR(H703="",P703=""),"",INDEX('Students'!$B$2:$B$701,P703))</f>
        <v/>
      </c>
      <c r="E703">
        <f>IF(OR(H703="",P703=""),"",INDEX('Students'!$C$2:$C$701,P703))</f>
        <v/>
      </c>
      <c r="F703" s="48">
        <f>IF(H703="","",IF(ISNUMBER(O703),O703,J703))</f>
        <v/>
      </c>
      <c r="G703">
        <f>IF(H703="","","OneCause")</f>
        <v/>
      </c>
      <c r="H703">
        <f>IF(AND(I703="",J703="",K703=""),"",IF(NOT(ISNUMBER(O703)),"Bad amount",IF(O703&lt;0,"Refund (not counted)",IF(O703=0,"Zero amount",IF(NOT(ISNUMBER(N703)),"Bad date",IF(P703="","NAME NOT ON ROSTER",IF(L703="","OK",IF(MATCH(L703,$L$2:$L$3001,0)&lt;ROW()-1,"Duplicate (ignored)","OK"))))))))</f>
        <v/>
      </c>
      <c r="I703">
        <f>IF(OC_Date=0,"",IF(INDEX('OneCause_Paste'!$A$703:$AZ$703,1,OC_Date)="","",INDEX('OneCause_Paste'!$A$703:$AZ$703,1,OC_Date)))</f>
        <v/>
      </c>
      <c r="J703">
        <f>IF(OC_Amt=0,"",IF(INDEX('OneCause_Paste'!$A$703:$AZ$703,1,OC_Amt)="","",INDEX('OneCause_Paste'!$A$703:$AZ$703,1,OC_Amt)))</f>
        <v/>
      </c>
      <c r="K703">
        <f>IF(OC_Name=0,"",IF(INDEX('OneCause_Paste'!$A$703:$AZ$703,1,OC_Name)="","",INDEX('OneCause_Paste'!$A$703:$AZ$703,1,OC_Name)))</f>
        <v/>
      </c>
      <c r="L703">
        <f>IF(OC_Txn=0,"",IF(INDEX('OneCause_Paste'!$A$703:$AZ$703,1,OC_Txn)="","",INDEX('OneCause_Paste'!$A$703:$AZ$703,1,OC_Txn)))</f>
        <v/>
      </c>
      <c r="M703">
        <f>IF(OC_Pay=0,"",IF(INDEX('OneCause_Paste'!$A$703:$AZ$703,1,OC_Pay)="","",INDEX('OneCause_Paste'!$A$703:$AZ$703,1,OC_Pay)))</f>
        <v/>
      </c>
      <c r="N703">
        <f>IF(I703="","",IF(ISNUMBER(I703),INT(I703),IFERROR(INT(DATEVALUE(I703)),IFERROR(INT(VALUE(I703)),"bad"))))</f>
        <v/>
      </c>
      <c r="O703">
        <f>IF(J703="","",IF(ISNUMBER(J703),ROUND(J703,2),IFERROR(ROUND(VALUE(SUBSTITUTE(SUBSTITUTE(SUBSTITUTE(J703,"$",""),",","")," ","")),2),"bad")))</f>
        <v/>
      </c>
      <c r="P703">
        <f>IF(TRIM(K703)="","",IFERROR(MATCH(LOWER(TRIM(K703)),'Students'!$AH$2:$AH$701,0),IFERROR(MATCH(LOWER(TRIM(K703)),'Students'!$AF$2:$AF$701,0),IFERROR(MATCH(LOWER(TRIM(K703)),'Students'!$AG$2:$AG$701,0),""))))</f>
        <v/>
      </c>
      <c r="R703">
        <f>IF(P703="","",INDEX('Students'!$AD$2:$AD$701,P703))</f>
        <v/>
      </c>
      <c r="S703">
        <f>IF(H703="OK",O703,0)</f>
        <v/>
      </c>
      <c r="T703">
        <f>IF(H703="OK",N703,"")</f>
        <v/>
      </c>
      <c r="U703">
        <f>IF(OC_Donor=0,"",IF(INDEX('OneCause_Paste'!$A$703:$AZ$703,1,OC_Donor)="","",INDEX('OneCause_Paste'!$A$703:$AZ$703,1,OC_Donor)))</f>
        <v/>
      </c>
    </row>
    <row r="704">
      <c r="A704" s="62">
        <f>IF(H704="","",IF(ISNUMBER(N704),N704,I704))</f>
        <v/>
      </c>
      <c r="B704">
        <f>IF(H704="","",U704)</f>
        <v/>
      </c>
      <c r="C704">
        <f>IF(H704="","",IF(P704="",K704,INDEX('Students'!$A$2:$A$701,P704)))</f>
        <v/>
      </c>
      <c r="D704">
        <f>IF(OR(H704="",P704=""),"",INDEX('Students'!$B$2:$B$701,P704))</f>
        <v/>
      </c>
      <c r="E704">
        <f>IF(OR(H704="",P704=""),"",INDEX('Students'!$C$2:$C$701,P704))</f>
        <v/>
      </c>
      <c r="F704" s="48">
        <f>IF(H704="","",IF(ISNUMBER(O704),O704,J704))</f>
        <v/>
      </c>
      <c r="G704">
        <f>IF(H704="","","OneCause")</f>
        <v/>
      </c>
      <c r="H704">
        <f>IF(AND(I704="",J704="",K704=""),"",IF(NOT(ISNUMBER(O704)),"Bad amount",IF(O704&lt;0,"Refund (not counted)",IF(O704=0,"Zero amount",IF(NOT(ISNUMBER(N704)),"Bad date",IF(P704="","NAME NOT ON ROSTER",IF(L704="","OK",IF(MATCH(L704,$L$2:$L$3001,0)&lt;ROW()-1,"Duplicate (ignored)","OK"))))))))</f>
        <v/>
      </c>
      <c r="I704">
        <f>IF(OC_Date=0,"",IF(INDEX('OneCause_Paste'!$A$704:$AZ$704,1,OC_Date)="","",INDEX('OneCause_Paste'!$A$704:$AZ$704,1,OC_Date)))</f>
        <v/>
      </c>
      <c r="J704">
        <f>IF(OC_Amt=0,"",IF(INDEX('OneCause_Paste'!$A$704:$AZ$704,1,OC_Amt)="","",INDEX('OneCause_Paste'!$A$704:$AZ$704,1,OC_Amt)))</f>
        <v/>
      </c>
      <c r="K704">
        <f>IF(OC_Name=0,"",IF(INDEX('OneCause_Paste'!$A$704:$AZ$704,1,OC_Name)="","",INDEX('OneCause_Paste'!$A$704:$AZ$704,1,OC_Name)))</f>
        <v/>
      </c>
      <c r="L704">
        <f>IF(OC_Txn=0,"",IF(INDEX('OneCause_Paste'!$A$704:$AZ$704,1,OC_Txn)="","",INDEX('OneCause_Paste'!$A$704:$AZ$704,1,OC_Txn)))</f>
        <v/>
      </c>
      <c r="M704">
        <f>IF(OC_Pay=0,"",IF(INDEX('OneCause_Paste'!$A$704:$AZ$704,1,OC_Pay)="","",INDEX('OneCause_Paste'!$A$704:$AZ$704,1,OC_Pay)))</f>
        <v/>
      </c>
      <c r="N704">
        <f>IF(I704="","",IF(ISNUMBER(I704),INT(I704),IFERROR(INT(DATEVALUE(I704)),IFERROR(INT(VALUE(I704)),"bad"))))</f>
        <v/>
      </c>
      <c r="O704">
        <f>IF(J704="","",IF(ISNUMBER(J704),ROUND(J704,2),IFERROR(ROUND(VALUE(SUBSTITUTE(SUBSTITUTE(SUBSTITUTE(J704,"$",""),",","")," ","")),2),"bad")))</f>
        <v/>
      </c>
      <c r="P704">
        <f>IF(TRIM(K704)="","",IFERROR(MATCH(LOWER(TRIM(K704)),'Students'!$AH$2:$AH$701,0),IFERROR(MATCH(LOWER(TRIM(K704)),'Students'!$AF$2:$AF$701,0),IFERROR(MATCH(LOWER(TRIM(K704)),'Students'!$AG$2:$AG$701,0),""))))</f>
        <v/>
      </c>
      <c r="R704">
        <f>IF(P704="","",INDEX('Students'!$AD$2:$AD$701,P704))</f>
        <v/>
      </c>
      <c r="S704">
        <f>IF(H704="OK",O704,0)</f>
        <v/>
      </c>
      <c r="T704">
        <f>IF(H704="OK",N704,"")</f>
        <v/>
      </c>
      <c r="U704">
        <f>IF(OC_Donor=0,"",IF(INDEX('OneCause_Paste'!$A$704:$AZ$704,1,OC_Donor)="","",INDEX('OneCause_Paste'!$A$704:$AZ$704,1,OC_Donor)))</f>
        <v/>
      </c>
    </row>
    <row r="705">
      <c r="A705" s="62">
        <f>IF(H705="","",IF(ISNUMBER(N705),N705,I705))</f>
        <v/>
      </c>
      <c r="B705">
        <f>IF(H705="","",U705)</f>
        <v/>
      </c>
      <c r="C705">
        <f>IF(H705="","",IF(P705="",K705,INDEX('Students'!$A$2:$A$701,P705)))</f>
        <v/>
      </c>
      <c r="D705">
        <f>IF(OR(H705="",P705=""),"",INDEX('Students'!$B$2:$B$701,P705))</f>
        <v/>
      </c>
      <c r="E705">
        <f>IF(OR(H705="",P705=""),"",INDEX('Students'!$C$2:$C$701,P705))</f>
        <v/>
      </c>
      <c r="F705" s="48">
        <f>IF(H705="","",IF(ISNUMBER(O705),O705,J705))</f>
        <v/>
      </c>
      <c r="G705">
        <f>IF(H705="","","OneCause")</f>
        <v/>
      </c>
      <c r="H705">
        <f>IF(AND(I705="",J705="",K705=""),"",IF(NOT(ISNUMBER(O705)),"Bad amount",IF(O705&lt;0,"Refund (not counted)",IF(O705=0,"Zero amount",IF(NOT(ISNUMBER(N705)),"Bad date",IF(P705="","NAME NOT ON ROSTER",IF(L705="","OK",IF(MATCH(L705,$L$2:$L$3001,0)&lt;ROW()-1,"Duplicate (ignored)","OK"))))))))</f>
        <v/>
      </c>
      <c r="I705">
        <f>IF(OC_Date=0,"",IF(INDEX('OneCause_Paste'!$A$705:$AZ$705,1,OC_Date)="","",INDEX('OneCause_Paste'!$A$705:$AZ$705,1,OC_Date)))</f>
        <v/>
      </c>
      <c r="J705">
        <f>IF(OC_Amt=0,"",IF(INDEX('OneCause_Paste'!$A$705:$AZ$705,1,OC_Amt)="","",INDEX('OneCause_Paste'!$A$705:$AZ$705,1,OC_Amt)))</f>
        <v/>
      </c>
      <c r="K705">
        <f>IF(OC_Name=0,"",IF(INDEX('OneCause_Paste'!$A$705:$AZ$705,1,OC_Name)="","",INDEX('OneCause_Paste'!$A$705:$AZ$705,1,OC_Name)))</f>
        <v/>
      </c>
      <c r="L705">
        <f>IF(OC_Txn=0,"",IF(INDEX('OneCause_Paste'!$A$705:$AZ$705,1,OC_Txn)="","",INDEX('OneCause_Paste'!$A$705:$AZ$705,1,OC_Txn)))</f>
        <v/>
      </c>
      <c r="M705">
        <f>IF(OC_Pay=0,"",IF(INDEX('OneCause_Paste'!$A$705:$AZ$705,1,OC_Pay)="","",INDEX('OneCause_Paste'!$A$705:$AZ$705,1,OC_Pay)))</f>
        <v/>
      </c>
      <c r="N705">
        <f>IF(I705="","",IF(ISNUMBER(I705),INT(I705),IFERROR(INT(DATEVALUE(I705)),IFERROR(INT(VALUE(I705)),"bad"))))</f>
        <v/>
      </c>
      <c r="O705">
        <f>IF(J705="","",IF(ISNUMBER(J705),ROUND(J705,2),IFERROR(ROUND(VALUE(SUBSTITUTE(SUBSTITUTE(SUBSTITUTE(J705,"$",""),",","")," ","")),2),"bad")))</f>
        <v/>
      </c>
      <c r="P705">
        <f>IF(TRIM(K705)="","",IFERROR(MATCH(LOWER(TRIM(K705)),'Students'!$AH$2:$AH$701,0),IFERROR(MATCH(LOWER(TRIM(K705)),'Students'!$AF$2:$AF$701,0),IFERROR(MATCH(LOWER(TRIM(K705)),'Students'!$AG$2:$AG$701,0),""))))</f>
        <v/>
      </c>
      <c r="R705">
        <f>IF(P705="","",INDEX('Students'!$AD$2:$AD$701,P705))</f>
        <v/>
      </c>
      <c r="S705">
        <f>IF(H705="OK",O705,0)</f>
        <v/>
      </c>
      <c r="T705">
        <f>IF(H705="OK",N705,"")</f>
        <v/>
      </c>
      <c r="U705">
        <f>IF(OC_Donor=0,"",IF(INDEX('OneCause_Paste'!$A$705:$AZ$705,1,OC_Donor)="","",INDEX('OneCause_Paste'!$A$705:$AZ$705,1,OC_Donor)))</f>
        <v/>
      </c>
    </row>
    <row r="706">
      <c r="A706" s="62">
        <f>IF(H706="","",IF(ISNUMBER(N706),N706,I706))</f>
        <v/>
      </c>
      <c r="B706">
        <f>IF(H706="","",U706)</f>
        <v/>
      </c>
      <c r="C706">
        <f>IF(H706="","",IF(P706="",K706,INDEX('Students'!$A$2:$A$701,P706)))</f>
        <v/>
      </c>
      <c r="D706">
        <f>IF(OR(H706="",P706=""),"",INDEX('Students'!$B$2:$B$701,P706))</f>
        <v/>
      </c>
      <c r="E706">
        <f>IF(OR(H706="",P706=""),"",INDEX('Students'!$C$2:$C$701,P706))</f>
        <v/>
      </c>
      <c r="F706" s="48">
        <f>IF(H706="","",IF(ISNUMBER(O706),O706,J706))</f>
        <v/>
      </c>
      <c r="G706">
        <f>IF(H706="","","OneCause")</f>
        <v/>
      </c>
      <c r="H706">
        <f>IF(AND(I706="",J706="",K706=""),"",IF(NOT(ISNUMBER(O706)),"Bad amount",IF(O706&lt;0,"Refund (not counted)",IF(O706=0,"Zero amount",IF(NOT(ISNUMBER(N706)),"Bad date",IF(P706="","NAME NOT ON ROSTER",IF(L706="","OK",IF(MATCH(L706,$L$2:$L$3001,0)&lt;ROW()-1,"Duplicate (ignored)","OK"))))))))</f>
        <v/>
      </c>
      <c r="I706">
        <f>IF(OC_Date=0,"",IF(INDEX('OneCause_Paste'!$A$706:$AZ$706,1,OC_Date)="","",INDEX('OneCause_Paste'!$A$706:$AZ$706,1,OC_Date)))</f>
        <v/>
      </c>
      <c r="J706">
        <f>IF(OC_Amt=0,"",IF(INDEX('OneCause_Paste'!$A$706:$AZ$706,1,OC_Amt)="","",INDEX('OneCause_Paste'!$A$706:$AZ$706,1,OC_Amt)))</f>
        <v/>
      </c>
      <c r="K706">
        <f>IF(OC_Name=0,"",IF(INDEX('OneCause_Paste'!$A$706:$AZ$706,1,OC_Name)="","",INDEX('OneCause_Paste'!$A$706:$AZ$706,1,OC_Name)))</f>
        <v/>
      </c>
      <c r="L706">
        <f>IF(OC_Txn=0,"",IF(INDEX('OneCause_Paste'!$A$706:$AZ$706,1,OC_Txn)="","",INDEX('OneCause_Paste'!$A$706:$AZ$706,1,OC_Txn)))</f>
        <v/>
      </c>
      <c r="M706">
        <f>IF(OC_Pay=0,"",IF(INDEX('OneCause_Paste'!$A$706:$AZ$706,1,OC_Pay)="","",INDEX('OneCause_Paste'!$A$706:$AZ$706,1,OC_Pay)))</f>
        <v/>
      </c>
      <c r="N706">
        <f>IF(I706="","",IF(ISNUMBER(I706),INT(I706),IFERROR(INT(DATEVALUE(I706)),IFERROR(INT(VALUE(I706)),"bad"))))</f>
        <v/>
      </c>
      <c r="O706">
        <f>IF(J706="","",IF(ISNUMBER(J706),ROUND(J706,2),IFERROR(ROUND(VALUE(SUBSTITUTE(SUBSTITUTE(SUBSTITUTE(J706,"$",""),",","")," ","")),2),"bad")))</f>
        <v/>
      </c>
      <c r="P706">
        <f>IF(TRIM(K706)="","",IFERROR(MATCH(LOWER(TRIM(K706)),'Students'!$AH$2:$AH$701,0),IFERROR(MATCH(LOWER(TRIM(K706)),'Students'!$AF$2:$AF$701,0),IFERROR(MATCH(LOWER(TRIM(K706)),'Students'!$AG$2:$AG$701,0),""))))</f>
        <v/>
      </c>
      <c r="R706">
        <f>IF(P706="","",INDEX('Students'!$AD$2:$AD$701,P706))</f>
        <v/>
      </c>
      <c r="S706">
        <f>IF(H706="OK",O706,0)</f>
        <v/>
      </c>
      <c r="T706">
        <f>IF(H706="OK",N706,"")</f>
        <v/>
      </c>
      <c r="U706">
        <f>IF(OC_Donor=0,"",IF(INDEX('OneCause_Paste'!$A$706:$AZ$706,1,OC_Donor)="","",INDEX('OneCause_Paste'!$A$706:$AZ$706,1,OC_Donor)))</f>
        <v/>
      </c>
    </row>
    <row r="707">
      <c r="A707" s="62">
        <f>IF(H707="","",IF(ISNUMBER(N707),N707,I707))</f>
        <v/>
      </c>
      <c r="B707">
        <f>IF(H707="","",U707)</f>
        <v/>
      </c>
      <c r="C707">
        <f>IF(H707="","",IF(P707="",K707,INDEX('Students'!$A$2:$A$701,P707)))</f>
        <v/>
      </c>
      <c r="D707">
        <f>IF(OR(H707="",P707=""),"",INDEX('Students'!$B$2:$B$701,P707))</f>
        <v/>
      </c>
      <c r="E707">
        <f>IF(OR(H707="",P707=""),"",INDEX('Students'!$C$2:$C$701,P707))</f>
        <v/>
      </c>
      <c r="F707" s="48">
        <f>IF(H707="","",IF(ISNUMBER(O707),O707,J707))</f>
        <v/>
      </c>
      <c r="G707">
        <f>IF(H707="","","OneCause")</f>
        <v/>
      </c>
      <c r="H707">
        <f>IF(AND(I707="",J707="",K707=""),"",IF(NOT(ISNUMBER(O707)),"Bad amount",IF(O707&lt;0,"Refund (not counted)",IF(O707=0,"Zero amount",IF(NOT(ISNUMBER(N707)),"Bad date",IF(P707="","NAME NOT ON ROSTER",IF(L707="","OK",IF(MATCH(L707,$L$2:$L$3001,0)&lt;ROW()-1,"Duplicate (ignored)","OK"))))))))</f>
        <v/>
      </c>
      <c r="I707">
        <f>IF(OC_Date=0,"",IF(INDEX('OneCause_Paste'!$A$707:$AZ$707,1,OC_Date)="","",INDEX('OneCause_Paste'!$A$707:$AZ$707,1,OC_Date)))</f>
        <v/>
      </c>
      <c r="J707">
        <f>IF(OC_Amt=0,"",IF(INDEX('OneCause_Paste'!$A$707:$AZ$707,1,OC_Amt)="","",INDEX('OneCause_Paste'!$A$707:$AZ$707,1,OC_Amt)))</f>
        <v/>
      </c>
      <c r="K707">
        <f>IF(OC_Name=0,"",IF(INDEX('OneCause_Paste'!$A$707:$AZ$707,1,OC_Name)="","",INDEX('OneCause_Paste'!$A$707:$AZ$707,1,OC_Name)))</f>
        <v/>
      </c>
      <c r="L707">
        <f>IF(OC_Txn=0,"",IF(INDEX('OneCause_Paste'!$A$707:$AZ$707,1,OC_Txn)="","",INDEX('OneCause_Paste'!$A$707:$AZ$707,1,OC_Txn)))</f>
        <v/>
      </c>
      <c r="M707">
        <f>IF(OC_Pay=0,"",IF(INDEX('OneCause_Paste'!$A$707:$AZ$707,1,OC_Pay)="","",INDEX('OneCause_Paste'!$A$707:$AZ$707,1,OC_Pay)))</f>
        <v/>
      </c>
      <c r="N707">
        <f>IF(I707="","",IF(ISNUMBER(I707),INT(I707),IFERROR(INT(DATEVALUE(I707)),IFERROR(INT(VALUE(I707)),"bad"))))</f>
        <v/>
      </c>
      <c r="O707">
        <f>IF(J707="","",IF(ISNUMBER(J707),ROUND(J707,2),IFERROR(ROUND(VALUE(SUBSTITUTE(SUBSTITUTE(SUBSTITUTE(J707,"$",""),",","")," ","")),2),"bad")))</f>
        <v/>
      </c>
      <c r="P707">
        <f>IF(TRIM(K707)="","",IFERROR(MATCH(LOWER(TRIM(K707)),'Students'!$AH$2:$AH$701,0),IFERROR(MATCH(LOWER(TRIM(K707)),'Students'!$AF$2:$AF$701,0),IFERROR(MATCH(LOWER(TRIM(K707)),'Students'!$AG$2:$AG$701,0),""))))</f>
        <v/>
      </c>
      <c r="R707">
        <f>IF(P707="","",INDEX('Students'!$AD$2:$AD$701,P707))</f>
        <v/>
      </c>
      <c r="S707">
        <f>IF(H707="OK",O707,0)</f>
        <v/>
      </c>
      <c r="T707">
        <f>IF(H707="OK",N707,"")</f>
        <v/>
      </c>
      <c r="U707">
        <f>IF(OC_Donor=0,"",IF(INDEX('OneCause_Paste'!$A$707:$AZ$707,1,OC_Donor)="","",INDEX('OneCause_Paste'!$A$707:$AZ$707,1,OC_Donor)))</f>
        <v/>
      </c>
    </row>
    <row r="708">
      <c r="A708" s="62">
        <f>IF(H708="","",IF(ISNUMBER(N708),N708,I708))</f>
        <v/>
      </c>
      <c r="B708">
        <f>IF(H708="","",U708)</f>
        <v/>
      </c>
      <c r="C708">
        <f>IF(H708="","",IF(P708="",K708,INDEX('Students'!$A$2:$A$701,P708)))</f>
        <v/>
      </c>
      <c r="D708">
        <f>IF(OR(H708="",P708=""),"",INDEX('Students'!$B$2:$B$701,P708))</f>
        <v/>
      </c>
      <c r="E708">
        <f>IF(OR(H708="",P708=""),"",INDEX('Students'!$C$2:$C$701,P708))</f>
        <v/>
      </c>
      <c r="F708" s="48">
        <f>IF(H708="","",IF(ISNUMBER(O708),O708,J708))</f>
        <v/>
      </c>
      <c r="G708">
        <f>IF(H708="","","OneCause")</f>
        <v/>
      </c>
      <c r="H708">
        <f>IF(AND(I708="",J708="",K708=""),"",IF(NOT(ISNUMBER(O708)),"Bad amount",IF(O708&lt;0,"Refund (not counted)",IF(O708=0,"Zero amount",IF(NOT(ISNUMBER(N708)),"Bad date",IF(P708="","NAME NOT ON ROSTER",IF(L708="","OK",IF(MATCH(L708,$L$2:$L$3001,0)&lt;ROW()-1,"Duplicate (ignored)","OK"))))))))</f>
        <v/>
      </c>
      <c r="I708">
        <f>IF(OC_Date=0,"",IF(INDEX('OneCause_Paste'!$A$708:$AZ$708,1,OC_Date)="","",INDEX('OneCause_Paste'!$A$708:$AZ$708,1,OC_Date)))</f>
        <v/>
      </c>
      <c r="J708">
        <f>IF(OC_Amt=0,"",IF(INDEX('OneCause_Paste'!$A$708:$AZ$708,1,OC_Amt)="","",INDEX('OneCause_Paste'!$A$708:$AZ$708,1,OC_Amt)))</f>
        <v/>
      </c>
      <c r="K708">
        <f>IF(OC_Name=0,"",IF(INDEX('OneCause_Paste'!$A$708:$AZ$708,1,OC_Name)="","",INDEX('OneCause_Paste'!$A$708:$AZ$708,1,OC_Name)))</f>
        <v/>
      </c>
      <c r="L708">
        <f>IF(OC_Txn=0,"",IF(INDEX('OneCause_Paste'!$A$708:$AZ$708,1,OC_Txn)="","",INDEX('OneCause_Paste'!$A$708:$AZ$708,1,OC_Txn)))</f>
        <v/>
      </c>
      <c r="M708">
        <f>IF(OC_Pay=0,"",IF(INDEX('OneCause_Paste'!$A$708:$AZ$708,1,OC_Pay)="","",INDEX('OneCause_Paste'!$A$708:$AZ$708,1,OC_Pay)))</f>
        <v/>
      </c>
      <c r="N708">
        <f>IF(I708="","",IF(ISNUMBER(I708),INT(I708),IFERROR(INT(DATEVALUE(I708)),IFERROR(INT(VALUE(I708)),"bad"))))</f>
        <v/>
      </c>
      <c r="O708">
        <f>IF(J708="","",IF(ISNUMBER(J708),ROUND(J708,2),IFERROR(ROUND(VALUE(SUBSTITUTE(SUBSTITUTE(SUBSTITUTE(J708,"$",""),",","")," ","")),2),"bad")))</f>
        <v/>
      </c>
      <c r="P708">
        <f>IF(TRIM(K708)="","",IFERROR(MATCH(LOWER(TRIM(K708)),'Students'!$AH$2:$AH$701,0),IFERROR(MATCH(LOWER(TRIM(K708)),'Students'!$AF$2:$AF$701,0),IFERROR(MATCH(LOWER(TRIM(K708)),'Students'!$AG$2:$AG$701,0),""))))</f>
        <v/>
      </c>
      <c r="R708">
        <f>IF(P708="","",INDEX('Students'!$AD$2:$AD$701,P708))</f>
        <v/>
      </c>
      <c r="S708">
        <f>IF(H708="OK",O708,0)</f>
        <v/>
      </c>
      <c r="T708">
        <f>IF(H708="OK",N708,"")</f>
        <v/>
      </c>
      <c r="U708">
        <f>IF(OC_Donor=0,"",IF(INDEX('OneCause_Paste'!$A$708:$AZ$708,1,OC_Donor)="","",INDEX('OneCause_Paste'!$A$708:$AZ$708,1,OC_Donor)))</f>
        <v/>
      </c>
    </row>
    <row r="709">
      <c r="A709" s="62">
        <f>IF(H709="","",IF(ISNUMBER(N709),N709,I709))</f>
        <v/>
      </c>
      <c r="B709">
        <f>IF(H709="","",U709)</f>
        <v/>
      </c>
      <c r="C709">
        <f>IF(H709="","",IF(P709="",K709,INDEX('Students'!$A$2:$A$701,P709)))</f>
        <v/>
      </c>
      <c r="D709">
        <f>IF(OR(H709="",P709=""),"",INDEX('Students'!$B$2:$B$701,P709))</f>
        <v/>
      </c>
      <c r="E709">
        <f>IF(OR(H709="",P709=""),"",INDEX('Students'!$C$2:$C$701,P709))</f>
        <v/>
      </c>
      <c r="F709" s="48">
        <f>IF(H709="","",IF(ISNUMBER(O709),O709,J709))</f>
        <v/>
      </c>
      <c r="G709">
        <f>IF(H709="","","OneCause")</f>
        <v/>
      </c>
      <c r="H709">
        <f>IF(AND(I709="",J709="",K709=""),"",IF(NOT(ISNUMBER(O709)),"Bad amount",IF(O709&lt;0,"Refund (not counted)",IF(O709=0,"Zero amount",IF(NOT(ISNUMBER(N709)),"Bad date",IF(P709="","NAME NOT ON ROSTER",IF(L709="","OK",IF(MATCH(L709,$L$2:$L$3001,0)&lt;ROW()-1,"Duplicate (ignored)","OK"))))))))</f>
        <v/>
      </c>
      <c r="I709">
        <f>IF(OC_Date=0,"",IF(INDEX('OneCause_Paste'!$A$709:$AZ$709,1,OC_Date)="","",INDEX('OneCause_Paste'!$A$709:$AZ$709,1,OC_Date)))</f>
        <v/>
      </c>
      <c r="J709">
        <f>IF(OC_Amt=0,"",IF(INDEX('OneCause_Paste'!$A$709:$AZ$709,1,OC_Amt)="","",INDEX('OneCause_Paste'!$A$709:$AZ$709,1,OC_Amt)))</f>
        <v/>
      </c>
      <c r="K709">
        <f>IF(OC_Name=0,"",IF(INDEX('OneCause_Paste'!$A$709:$AZ$709,1,OC_Name)="","",INDEX('OneCause_Paste'!$A$709:$AZ$709,1,OC_Name)))</f>
        <v/>
      </c>
      <c r="L709">
        <f>IF(OC_Txn=0,"",IF(INDEX('OneCause_Paste'!$A$709:$AZ$709,1,OC_Txn)="","",INDEX('OneCause_Paste'!$A$709:$AZ$709,1,OC_Txn)))</f>
        <v/>
      </c>
      <c r="M709">
        <f>IF(OC_Pay=0,"",IF(INDEX('OneCause_Paste'!$A$709:$AZ$709,1,OC_Pay)="","",INDEX('OneCause_Paste'!$A$709:$AZ$709,1,OC_Pay)))</f>
        <v/>
      </c>
      <c r="N709">
        <f>IF(I709="","",IF(ISNUMBER(I709),INT(I709),IFERROR(INT(DATEVALUE(I709)),IFERROR(INT(VALUE(I709)),"bad"))))</f>
        <v/>
      </c>
      <c r="O709">
        <f>IF(J709="","",IF(ISNUMBER(J709),ROUND(J709,2),IFERROR(ROUND(VALUE(SUBSTITUTE(SUBSTITUTE(SUBSTITUTE(J709,"$",""),",","")," ","")),2),"bad")))</f>
        <v/>
      </c>
      <c r="P709">
        <f>IF(TRIM(K709)="","",IFERROR(MATCH(LOWER(TRIM(K709)),'Students'!$AH$2:$AH$701,0),IFERROR(MATCH(LOWER(TRIM(K709)),'Students'!$AF$2:$AF$701,0),IFERROR(MATCH(LOWER(TRIM(K709)),'Students'!$AG$2:$AG$701,0),""))))</f>
        <v/>
      </c>
      <c r="R709">
        <f>IF(P709="","",INDEX('Students'!$AD$2:$AD$701,P709))</f>
        <v/>
      </c>
      <c r="S709">
        <f>IF(H709="OK",O709,0)</f>
        <v/>
      </c>
      <c r="T709">
        <f>IF(H709="OK",N709,"")</f>
        <v/>
      </c>
      <c r="U709">
        <f>IF(OC_Donor=0,"",IF(INDEX('OneCause_Paste'!$A$709:$AZ$709,1,OC_Donor)="","",INDEX('OneCause_Paste'!$A$709:$AZ$709,1,OC_Donor)))</f>
        <v/>
      </c>
    </row>
    <row r="710">
      <c r="A710" s="62">
        <f>IF(H710="","",IF(ISNUMBER(N710),N710,I710))</f>
        <v/>
      </c>
      <c r="B710">
        <f>IF(H710="","",U710)</f>
        <v/>
      </c>
      <c r="C710">
        <f>IF(H710="","",IF(P710="",K710,INDEX('Students'!$A$2:$A$701,P710)))</f>
        <v/>
      </c>
      <c r="D710">
        <f>IF(OR(H710="",P710=""),"",INDEX('Students'!$B$2:$B$701,P710))</f>
        <v/>
      </c>
      <c r="E710">
        <f>IF(OR(H710="",P710=""),"",INDEX('Students'!$C$2:$C$701,P710))</f>
        <v/>
      </c>
      <c r="F710" s="48">
        <f>IF(H710="","",IF(ISNUMBER(O710),O710,J710))</f>
        <v/>
      </c>
      <c r="G710">
        <f>IF(H710="","","OneCause")</f>
        <v/>
      </c>
      <c r="H710">
        <f>IF(AND(I710="",J710="",K710=""),"",IF(NOT(ISNUMBER(O710)),"Bad amount",IF(O710&lt;0,"Refund (not counted)",IF(O710=0,"Zero amount",IF(NOT(ISNUMBER(N710)),"Bad date",IF(P710="","NAME NOT ON ROSTER",IF(L710="","OK",IF(MATCH(L710,$L$2:$L$3001,0)&lt;ROW()-1,"Duplicate (ignored)","OK"))))))))</f>
        <v/>
      </c>
      <c r="I710">
        <f>IF(OC_Date=0,"",IF(INDEX('OneCause_Paste'!$A$710:$AZ$710,1,OC_Date)="","",INDEX('OneCause_Paste'!$A$710:$AZ$710,1,OC_Date)))</f>
        <v/>
      </c>
      <c r="J710">
        <f>IF(OC_Amt=0,"",IF(INDEX('OneCause_Paste'!$A$710:$AZ$710,1,OC_Amt)="","",INDEX('OneCause_Paste'!$A$710:$AZ$710,1,OC_Amt)))</f>
        <v/>
      </c>
      <c r="K710">
        <f>IF(OC_Name=0,"",IF(INDEX('OneCause_Paste'!$A$710:$AZ$710,1,OC_Name)="","",INDEX('OneCause_Paste'!$A$710:$AZ$710,1,OC_Name)))</f>
        <v/>
      </c>
      <c r="L710">
        <f>IF(OC_Txn=0,"",IF(INDEX('OneCause_Paste'!$A$710:$AZ$710,1,OC_Txn)="","",INDEX('OneCause_Paste'!$A$710:$AZ$710,1,OC_Txn)))</f>
        <v/>
      </c>
      <c r="M710">
        <f>IF(OC_Pay=0,"",IF(INDEX('OneCause_Paste'!$A$710:$AZ$710,1,OC_Pay)="","",INDEX('OneCause_Paste'!$A$710:$AZ$710,1,OC_Pay)))</f>
        <v/>
      </c>
      <c r="N710">
        <f>IF(I710="","",IF(ISNUMBER(I710),INT(I710),IFERROR(INT(DATEVALUE(I710)),IFERROR(INT(VALUE(I710)),"bad"))))</f>
        <v/>
      </c>
      <c r="O710">
        <f>IF(J710="","",IF(ISNUMBER(J710),ROUND(J710,2),IFERROR(ROUND(VALUE(SUBSTITUTE(SUBSTITUTE(SUBSTITUTE(J710,"$",""),",","")," ","")),2),"bad")))</f>
        <v/>
      </c>
      <c r="P710">
        <f>IF(TRIM(K710)="","",IFERROR(MATCH(LOWER(TRIM(K710)),'Students'!$AH$2:$AH$701,0),IFERROR(MATCH(LOWER(TRIM(K710)),'Students'!$AF$2:$AF$701,0),IFERROR(MATCH(LOWER(TRIM(K710)),'Students'!$AG$2:$AG$701,0),""))))</f>
        <v/>
      </c>
      <c r="R710">
        <f>IF(P710="","",INDEX('Students'!$AD$2:$AD$701,P710))</f>
        <v/>
      </c>
      <c r="S710">
        <f>IF(H710="OK",O710,0)</f>
        <v/>
      </c>
      <c r="T710">
        <f>IF(H710="OK",N710,"")</f>
        <v/>
      </c>
      <c r="U710">
        <f>IF(OC_Donor=0,"",IF(INDEX('OneCause_Paste'!$A$710:$AZ$710,1,OC_Donor)="","",INDEX('OneCause_Paste'!$A$710:$AZ$710,1,OC_Donor)))</f>
        <v/>
      </c>
    </row>
    <row r="711">
      <c r="A711" s="62">
        <f>IF(H711="","",IF(ISNUMBER(N711),N711,I711))</f>
        <v/>
      </c>
      <c r="B711">
        <f>IF(H711="","",U711)</f>
        <v/>
      </c>
      <c r="C711">
        <f>IF(H711="","",IF(P711="",K711,INDEX('Students'!$A$2:$A$701,P711)))</f>
        <v/>
      </c>
      <c r="D711">
        <f>IF(OR(H711="",P711=""),"",INDEX('Students'!$B$2:$B$701,P711))</f>
        <v/>
      </c>
      <c r="E711">
        <f>IF(OR(H711="",P711=""),"",INDEX('Students'!$C$2:$C$701,P711))</f>
        <v/>
      </c>
      <c r="F711" s="48">
        <f>IF(H711="","",IF(ISNUMBER(O711),O711,J711))</f>
        <v/>
      </c>
      <c r="G711">
        <f>IF(H711="","","OneCause")</f>
        <v/>
      </c>
      <c r="H711">
        <f>IF(AND(I711="",J711="",K711=""),"",IF(NOT(ISNUMBER(O711)),"Bad amount",IF(O711&lt;0,"Refund (not counted)",IF(O711=0,"Zero amount",IF(NOT(ISNUMBER(N711)),"Bad date",IF(P711="","NAME NOT ON ROSTER",IF(L711="","OK",IF(MATCH(L711,$L$2:$L$3001,0)&lt;ROW()-1,"Duplicate (ignored)","OK"))))))))</f>
        <v/>
      </c>
      <c r="I711">
        <f>IF(OC_Date=0,"",IF(INDEX('OneCause_Paste'!$A$711:$AZ$711,1,OC_Date)="","",INDEX('OneCause_Paste'!$A$711:$AZ$711,1,OC_Date)))</f>
        <v/>
      </c>
      <c r="J711">
        <f>IF(OC_Amt=0,"",IF(INDEX('OneCause_Paste'!$A$711:$AZ$711,1,OC_Amt)="","",INDEX('OneCause_Paste'!$A$711:$AZ$711,1,OC_Amt)))</f>
        <v/>
      </c>
      <c r="K711">
        <f>IF(OC_Name=0,"",IF(INDEX('OneCause_Paste'!$A$711:$AZ$711,1,OC_Name)="","",INDEX('OneCause_Paste'!$A$711:$AZ$711,1,OC_Name)))</f>
        <v/>
      </c>
      <c r="L711">
        <f>IF(OC_Txn=0,"",IF(INDEX('OneCause_Paste'!$A$711:$AZ$711,1,OC_Txn)="","",INDEX('OneCause_Paste'!$A$711:$AZ$711,1,OC_Txn)))</f>
        <v/>
      </c>
      <c r="M711">
        <f>IF(OC_Pay=0,"",IF(INDEX('OneCause_Paste'!$A$711:$AZ$711,1,OC_Pay)="","",INDEX('OneCause_Paste'!$A$711:$AZ$711,1,OC_Pay)))</f>
        <v/>
      </c>
      <c r="N711">
        <f>IF(I711="","",IF(ISNUMBER(I711),INT(I711),IFERROR(INT(DATEVALUE(I711)),IFERROR(INT(VALUE(I711)),"bad"))))</f>
        <v/>
      </c>
      <c r="O711">
        <f>IF(J711="","",IF(ISNUMBER(J711),ROUND(J711,2),IFERROR(ROUND(VALUE(SUBSTITUTE(SUBSTITUTE(SUBSTITUTE(J711,"$",""),",","")," ","")),2),"bad")))</f>
        <v/>
      </c>
      <c r="P711">
        <f>IF(TRIM(K711)="","",IFERROR(MATCH(LOWER(TRIM(K711)),'Students'!$AH$2:$AH$701,0),IFERROR(MATCH(LOWER(TRIM(K711)),'Students'!$AF$2:$AF$701,0),IFERROR(MATCH(LOWER(TRIM(K711)),'Students'!$AG$2:$AG$701,0),""))))</f>
        <v/>
      </c>
      <c r="R711">
        <f>IF(P711="","",INDEX('Students'!$AD$2:$AD$701,P711))</f>
        <v/>
      </c>
      <c r="S711">
        <f>IF(H711="OK",O711,0)</f>
        <v/>
      </c>
      <c r="T711">
        <f>IF(H711="OK",N711,"")</f>
        <v/>
      </c>
      <c r="U711">
        <f>IF(OC_Donor=0,"",IF(INDEX('OneCause_Paste'!$A$711:$AZ$711,1,OC_Donor)="","",INDEX('OneCause_Paste'!$A$711:$AZ$711,1,OC_Donor)))</f>
        <v/>
      </c>
    </row>
    <row r="712">
      <c r="A712" s="62">
        <f>IF(H712="","",IF(ISNUMBER(N712),N712,I712))</f>
        <v/>
      </c>
      <c r="B712">
        <f>IF(H712="","",U712)</f>
        <v/>
      </c>
      <c r="C712">
        <f>IF(H712="","",IF(P712="",K712,INDEX('Students'!$A$2:$A$701,P712)))</f>
        <v/>
      </c>
      <c r="D712">
        <f>IF(OR(H712="",P712=""),"",INDEX('Students'!$B$2:$B$701,P712))</f>
        <v/>
      </c>
      <c r="E712">
        <f>IF(OR(H712="",P712=""),"",INDEX('Students'!$C$2:$C$701,P712))</f>
        <v/>
      </c>
      <c r="F712" s="48">
        <f>IF(H712="","",IF(ISNUMBER(O712),O712,J712))</f>
        <v/>
      </c>
      <c r="G712">
        <f>IF(H712="","","OneCause")</f>
        <v/>
      </c>
      <c r="H712">
        <f>IF(AND(I712="",J712="",K712=""),"",IF(NOT(ISNUMBER(O712)),"Bad amount",IF(O712&lt;0,"Refund (not counted)",IF(O712=0,"Zero amount",IF(NOT(ISNUMBER(N712)),"Bad date",IF(P712="","NAME NOT ON ROSTER",IF(L712="","OK",IF(MATCH(L712,$L$2:$L$3001,0)&lt;ROW()-1,"Duplicate (ignored)","OK"))))))))</f>
        <v/>
      </c>
      <c r="I712">
        <f>IF(OC_Date=0,"",IF(INDEX('OneCause_Paste'!$A$712:$AZ$712,1,OC_Date)="","",INDEX('OneCause_Paste'!$A$712:$AZ$712,1,OC_Date)))</f>
        <v/>
      </c>
      <c r="J712">
        <f>IF(OC_Amt=0,"",IF(INDEX('OneCause_Paste'!$A$712:$AZ$712,1,OC_Amt)="","",INDEX('OneCause_Paste'!$A$712:$AZ$712,1,OC_Amt)))</f>
        <v/>
      </c>
      <c r="K712">
        <f>IF(OC_Name=0,"",IF(INDEX('OneCause_Paste'!$A$712:$AZ$712,1,OC_Name)="","",INDEX('OneCause_Paste'!$A$712:$AZ$712,1,OC_Name)))</f>
        <v/>
      </c>
      <c r="L712">
        <f>IF(OC_Txn=0,"",IF(INDEX('OneCause_Paste'!$A$712:$AZ$712,1,OC_Txn)="","",INDEX('OneCause_Paste'!$A$712:$AZ$712,1,OC_Txn)))</f>
        <v/>
      </c>
      <c r="M712">
        <f>IF(OC_Pay=0,"",IF(INDEX('OneCause_Paste'!$A$712:$AZ$712,1,OC_Pay)="","",INDEX('OneCause_Paste'!$A$712:$AZ$712,1,OC_Pay)))</f>
        <v/>
      </c>
      <c r="N712">
        <f>IF(I712="","",IF(ISNUMBER(I712),INT(I712),IFERROR(INT(DATEVALUE(I712)),IFERROR(INT(VALUE(I712)),"bad"))))</f>
        <v/>
      </c>
      <c r="O712">
        <f>IF(J712="","",IF(ISNUMBER(J712),ROUND(J712,2),IFERROR(ROUND(VALUE(SUBSTITUTE(SUBSTITUTE(SUBSTITUTE(J712,"$",""),",","")," ","")),2),"bad")))</f>
        <v/>
      </c>
      <c r="P712">
        <f>IF(TRIM(K712)="","",IFERROR(MATCH(LOWER(TRIM(K712)),'Students'!$AH$2:$AH$701,0),IFERROR(MATCH(LOWER(TRIM(K712)),'Students'!$AF$2:$AF$701,0),IFERROR(MATCH(LOWER(TRIM(K712)),'Students'!$AG$2:$AG$701,0),""))))</f>
        <v/>
      </c>
      <c r="R712">
        <f>IF(P712="","",INDEX('Students'!$AD$2:$AD$701,P712))</f>
        <v/>
      </c>
      <c r="S712">
        <f>IF(H712="OK",O712,0)</f>
        <v/>
      </c>
      <c r="T712">
        <f>IF(H712="OK",N712,"")</f>
        <v/>
      </c>
      <c r="U712">
        <f>IF(OC_Donor=0,"",IF(INDEX('OneCause_Paste'!$A$712:$AZ$712,1,OC_Donor)="","",INDEX('OneCause_Paste'!$A$712:$AZ$712,1,OC_Donor)))</f>
        <v/>
      </c>
    </row>
    <row r="713">
      <c r="A713" s="62">
        <f>IF(H713="","",IF(ISNUMBER(N713),N713,I713))</f>
        <v/>
      </c>
      <c r="B713">
        <f>IF(H713="","",U713)</f>
        <v/>
      </c>
      <c r="C713">
        <f>IF(H713="","",IF(P713="",K713,INDEX('Students'!$A$2:$A$701,P713)))</f>
        <v/>
      </c>
      <c r="D713">
        <f>IF(OR(H713="",P713=""),"",INDEX('Students'!$B$2:$B$701,P713))</f>
        <v/>
      </c>
      <c r="E713">
        <f>IF(OR(H713="",P713=""),"",INDEX('Students'!$C$2:$C$701,P713))</f>
        <v/>
      </c>
      <c r="F713" s="48">
        <f>IF(H713="","",IF(ISNUMBER(O713),O713,J713))</f>
        <v/>
      </c>
      <c r="G713">
        <f>IF(H713="","","OneCause")</f>
        <v/>
      </c>
      <c r="H713">
        <f>IF(AND(I713="",J713="",K713=""),"",IF(NOT(ISNUMBER(O713)),"Bad amount",IF(O713&lt;0,"Refund (not counted)",IF(O713=0,"Zero amount",IF(NOT(ISNUMBER(N713)),"Bad date",IF(P713="","NAME NOT ON ROSTER",IF(L713="","OK",IF(MATCH(L713,$L$2:$L$3001,0)&lt;ROW()-1,"Duplicate (ignored)","OK"))))))))</f>
        <v/>
      </c>
      <c r="I713">
        <f>IF(OC_Date=0,"",IF(INDEX('OneCause_Paste'!$A$713:$AZ$713,1,OC_Date)="","",INDEX('OneCause_Paste'!$A$713:$AZ$713,1,OC_Date)))</f>
        <v/>
      </c>
      <c r="J713">
        <f>IF(OC_Amt=0,"",IF(INDEX('OneCause_Paste'!$A$713:$AZ$713,1,OC_Amt)="","",INDEX('OneCause_Paste'!$A$713:$AZ$713,1,OC_Amt)))</f>
        <v/>
      </c>
      <c r="K713">
        <f>IF(OC_Name=0,"",IF(INDEX('OneCause_Paste'!$A$713:$AZ$713,1,OC_Name)="","",INDEX('OneCause_Paste'!$A$713:$AZ$713,1,OC_Name)))</f>
        <v/>
      </c>
      <c r="L713">
        <f>IF(OC_Txn=0,"",IF(INDEX('OneCause_Paste'!$A$713:$AZ$713,1,OC_Txn)="","",INDEX('OneCause_Paste'!$A$713:$AZ$713,1,OC_Txn)))</f>
        <v/>
      </c>
      <c r="M713">
        <f>IF(OC_Pay=0,"",IF(INDEX('OneCause_Paste'!$A$713:$AZ$713,1,OC_Pay)="","",INDEX('OneCause_Paste'!$A$713:$AZ$713,1,OC_Pay)))</f>
        <v/>
      </c>
      <c r="N713">
        <f>IF(I713="","",IF(ISNUMBER(I713),INT(I713),IFERROR(INT(DATEVALUE(I713)),IFERROR(INT(VALUE(I713)),"bad"))))</f>
        <v/>
      </c>
      <c r="O713">
        <f>IF(J713="","",IF(ISNUMBER(J713),ROUND(J713,2),IFERROR(ROUND(VALUE(SUBSTITUTE(SUBSTITUTE(SUBSTITUTE(J713,"$",""),",","")," ","")),2),"bad")))</f>
        <v/>
      </c>
      <c r="P713">
        <f>IF(TRIM(K713)="","",IFERROR(MATCH(LOWER(TRIM(K713)),'Students'!$AH$2:$AH$701,0),IFERROR(MATCH(LOWER(TRIM(K713)),'Students'!$AF$2:$AF$701,0),IFERROR(MATCH(LOWER(TRIM(K713)),'Students'!$AG$2:$AG$701,0),""))))</f>
        <v/>
      </c>
      <c r="R713">
        <f>IF(P713="","",INDEX('Students'!$AD$2:$AD$701,P713))</f>
        <v/>
      </c>
      <c r="S713">
        <f>IF(H713="OK",O713,0)</f>
        <v/>
      </c>
      <c r="T713">
        <f>IF(H713="OK",N713,"")</f>
        <v/>
      </c>
      <c r="U713">
        <f>IF(OC_Donor=0,"",IF(INDEX('OneCause_Paste'!$A$713:$AZ$713,1,OC_Donor)="","",INDEX('OneCause_Paste'!$A$713:$AZ$713,1,OC_Donor)))</f>
        <v/>
      </c>
    </row>
    <row r="714">
      <c r="A714" s="62">
        <f>IF(H714="","",IF(ISNUMBER(N714),N714,I714))</f>
        <v/>
      </c>
      <c r="B714">
        <f>IF(H714="","",U714)</f>
        <v/>
      </c>
      <c r="C714">
        <f>IF(H714="","",IF(P714="",K714,INDEX('Students'!$A$2:$A$701,P714)))</f>
        <v/>
      </c>
      <c r="D714">
        <f>IF(OR(H714="",P714=""),"",INDEX('Students'!$B$2:$B$701,P714))</f>
        <v/>
      </c>
      <c r="E714">
        <f>IF(OR(H714="",P714=""),"",INDEX('Students'!$C$2:$C$701,P714))</f>
        <v/>
      </c>
      <c r="F714" s="48">
        <f>IF(H714="","",IF(ISNUMBER(O714),O714,J714))</f>
        <v/>
      </c>
      <c r="G714">
        <f>IF(H714="","","OneCause")</f>
        <v/>
      </c>
      <c r="H714">
        <f>IF(AND(I714="",J714="",K714=""),"",IF(NOT(ISNUMBER(O714)),"Bad amount",IF(O714&lt;0,"Refund (not counted)",IF(O714=0,"Zero amount",IF(NOT(ISNUMBER(N714)),"Bad date",IF(P714="","NAME NOT ON ROSTER",IF(L714="","OK",IF(MATCH(L714,$L$2:$L$3001,0)&lt;ROW()-1,"Duplicate (ignored)","OK"))))))))</f>
        <v/>
      </c>
      <c r="I714">
        <f>IF(OC_Date=0,"",IF(INDEX('OneCause_Paste'!$A$714:$AZ$714,1,OC_Date)="","",INDEX('OneCause_Paste'!$A$714:$AZ$714,1,OC_Date)))</f>
        <v/>
      </c>
      <c r="J714">
        <f>IF(OC_Amt=0,"",IF(INDEX('OneCause_Paste'!$A$714:$AZ$714,1,OC_Amt)="","",INDEX('OneCause_Paste'!$A$714:$AZ$714,1,OC_Amt)))</f>
        <v/>
      </c>
      <c r="K714">
        <f>IF(OC_Name=0,"",IF(INDEX('OneCause_Paste'!$A$714:$AZ$714,1,OC_Name)="","",INDEX('OneCause_Paste'!$A$714:$AZ$714,1,OC_Name)))</f>
        <v/>
      </c>
      <c r="L714">
        <f>IF(OC_Txn=0,"",IF(INDEX('OneCause_Paste'!$A$714:$AZ$714,1,OC_Txn)="","",INDEX('OneCause_Paste'!$A$714:$AZ$714,1,OC_Txn)))</f>
        <v/>
      </c>
      <c r="M714">
        <f>IF(OC_Pay=0,"",IF(INDEX('OneCause_Paste'!$A$714:$AZ$714,1,OC_Pay)="","",INDEX('OneCause_Paste'!$A$714:$AZ$714,1,OC_Pay)))</f>
        <v/>
      </c>
      <c r="N714">
        <f>IF(I714="","",IF(ISNUMBER(I714),INT(I714),IFERROR(INT(DATEVALUE(I714)),IFERROR(INT(VALUE(I714)),"bad"))))</f>
        <v/>
      </c>
      <c r="O714">
        <f>IF(J714="","",IF(ISNUMBER(J714),ROUND(J714,2),IFERROR(ROUND(VALUE(SUBSTITUTE(SUBSTITUTE(SUBSTITUTE(J714,"$",""),",","")," ","")),2),"bad")))</f>
        <v/>
      </c>
      <c r="P714">
        <f>IF(TRIM(K714)="","",IFERROR(MATCH(LOWER(TRIM(K714)),'Students'!$AH$2:$AH$701,0),IFERROR(MATCH(LOWER(TRIM(K714)),'Students'!$AF$2:$AF$701,0),IFERROR(MATCH(LOWER(TRIM(K714)),'Students'!$AG$2:$AG$701,0),""))))</f>
        <v/>
      </c>
      <c r="R714">
        <f>IF(P714="","",INDEX('Students'!$AD$2:$AD$701,P714))</f>
        <v/>
      </c>
      <c r="S714">
        <f>IF(H714="OK",O714,0)</f>
        <v/>
      </c>
      <c r="T714">
        <f>IF(H714="OK",N714,"")</f>
        <v/>
      </c>
      <c r="U714">
        <f>IF(OC_Donor=0,"",IF(INDEX('OneCause_Paste'!$A$714:$AZ$714,1,OC_Donor)="","",INDEX('OneCause_Paste'!$A$714:$AZ$714,1,OC_Donor)))</f>
        <v/>
      </c>
    </row>
    <row r="715">
      <c r="A715" s="62">
        <f>IF(H715="","",IF(ISNUMBER(N715),N715,I715))</f>
        <v/>
      </c>
      <c r="B715">
        <f>IF(H715="","",U715)</f>
        <v/>
      </c>
      <c r="C715">
        <f>IF(H715="","",IF(P715="",K715,INDEX('Students'!$A$2:$A$701,P715)))</f>
        <v/>
      </c>
      <c r="D715">
        <f>IF(OR(H715="",P715=""),"",INDEX('Students'!$B$2:$B$701,P715))</f>
        <v/>
      </c>
      <c r="E715">
        <f>IF(OR(H715="",P715=""),"",INDEX('Students'!$C$2:$C$701,P715))</f>
        <v/>
      </c>
      <c r="F715" s="48">
        <f>IF(H715="","",IF(ISNUMBER(O715),O715,J715))</f>
        <v/>
      </c>
      <c r="G715">
        <f>IF(H715="","","OneCause")</f>
        <v/>
      </c>
      <c r="H715">
        <f>IF(AND(I715="",J715="",K715=""),"",IF(NOT(ISNUMBER(O715)),"Bad amount",IF(O715&lt;0,"Refund (not counted)",IF(O715=0,"Zero amount",IF(NOT(ISNUMBER(N715)),"Bad date",IF(P715="","NAME NOT ON ROSTER",IF(L715="","OK",IF(MATCH(L715,$L$2:$L$3001,0)&lt;ROW()-1,"Duplicate (ignored)","OK"))))))))</f>
        <v/>
      </c>
      <c r="I715">
        <f>IF(OC_Date=0,"",IF(INDEX('OneCause_Paste'!$A$715:$AZ$715,1,OC_Date)="","",INDEX('OneCause_Paste'!$A$715:$AZ$715,1,OC_Date)))</f>
        <v/>
      </c>
      <c r="J715">
        <f>IF(OC_Amt=0,"",IF(INDEX('OneCause_Paste'!$A$715:$AZ$715,1,OC_Amt)="","",INDEX('OneCause_Paste'!$A$715:$AZ$715,1,OC_Amt)))</f>
        <v/>
      </c>
      <c r="K715">
        <f>IF(OC_Name=0,"",IF(INDEX('OneCause_Paste'!$A$715:$AZ$715,1,OC_Name)="","",INDEX('OneCause_Paste'!$A$715:$AZ$715,1,OC_Name)))</f>
        <v/>
      </c>
      <c r="L715">
        <f>IF(OC_Txn=0,"",IF(INDEX('OneCause_Paste'!$A$715:$AZ$715,1,OC_Txn)="","",INDEX('OneCause_Paste'!$A$715:$AZ$715,1,OC_Txn)))</f>
        <v/>
      </c>
      <c r="M715">
        <f>IF(OC_Pay=0,"",IF(INDEX('OneCause_Paste'!$A$715:$AZ$715,1,OC_Pay)="","",INDEX('OneCause_Paste'!$A$715:$AZ$715,1,OC_Pay)))</f>
        <v/>
      </c>
      <c r="N715">
        <f>IF(I715="","",IF(ISNUMBER(I715),INT(I715),IFERROR(INT(DATEVALUE(I715)),IFERROR(INT(VALUE(I715)),"bad"))))</f>
        <v/>
      </c>
      <c r="O715">
        <f>IF(J715="","",IF(ISNUMBER(J715),ROUND(J715,2),IFERROR(ROUND(VALUE(SUBSTITUTE(SUBSTITUTE(SUBSTITUTE(J715,"$",""),",","")," ","")),2),"bad")))</f>
        <v/>
      </c>
      <c r="P715">
        <f>IF(TRIM(K715)="","",IFERROR(MATCH(LOWER(TRIM(K715)),'Students'!$AH$2:$AH$701,0),IFERROR(MATCH(LOWER(TRIM(K715)),'Students'!$AF$2:$AF$701,0),IFERROR(MATCH(LOWER(TRIM(K715)),'Students'!$AG$2:$AG$701,0),""))))</f>
        <v/>
      </c>
      <c r="R715">
        <f>IF(P715="","",INDEX('Students'!$AD$2:$AD$701,P715))</f>
        <v/>
      </c>
      <c r="S715">
        <f>IF(H715="OK",O715,0)</f>
        <v/>
      </c>
      <c r="T715">
        <f>IF(H715="OK",N715,"")</f>
        <v/>
      </c>
      <c r="U715">
        <f>IF(OC_Donor=0,"",IF(INDEX('OneCause_Paste'!$A$715:$AZ$715,1,OC_Donor)="","",INDEX('OneCause_Paste'!$A$715:$AZ$715,1,OC_Donor)))</f>
        <v/>
      </c>
    </row>
    <row r="716">
      <c r="A716" s="62">
        <f>IF(H716="","",IF(ISNUMBER(N716),N716,I716))</f>
        <v/>
      </c>
      <c r="B716">
        <f>IF(H716="","",U716)</f>
        <v/>
      </c>
      <c r="C716">
        <f>IF(H716="","",IF(P716="",K716,INDEX('Students'!$A$2:$A$701,P716)))</f>
        <v/>
      </c>
      <c r="D716">
        <f>IF(OR(H716="",P716=""),"",INDEX('Students'!$B$2:$B$701,P716))</f>
        <v/>
      </c>
      <c r="E716">
        <f>IF(OR(H716="",P716=""),"",INDEX('Students'!$C$2:$C$701,P716))</f>
        <v/>
      </c>
      <c r="F716" s="48">
        <f>IF(H716="","",IF(ISNUMBER(O716),O716,J716))</f>
        <v/>
      </c>
      <c r="G716">
        <f>IF(H716="","","OneCause")</f>
        <v/>
      </c>
      <c r="H716">
        <f>IF(AND(I716="",J716="",K716=""),"",IF(NOT(ISNUMBER(O716)),"Bad amount",IF(O716&lt;0,"Refund (not counted)",IF(O716=0,"Zero amount",IF(NOT(ISNUMBER(N716)),"Bad date",IF(P716="","NAME NOT ON ROSTER",IF(L716="","OK",IF(MATCH(L716,$L$2:$L$3001,0)&lt;ROW()-1,"Duplicate (ignored)","OK"))))))))</f>
        <v/>
      </c>
      <c r="I716">
        <f>IF(OC_Date=0,"",IF(INDEX('OneCause_Paste'!$A$716:$AZ$716,1,OC_Date)="","",INDEX('OneCause_Paste'!$A$716:$AZ$716,1,OC_Date)))</f>
        <v/>
      </c>
      <c r="J716">
        <f>IF(OC_Amt=0,"",IF(INDEX('OneCause_Paste'!$A$716:$AZ$716,1,OC_Amt)="","",INDEX('OneCause_Paste'!$A$716:$AZ$716,1,OC_Amt)))</f>
        <v/>
      </c>
      <c r="K716">
        <f>IF(OC_Name=0,"",IF(INDEX('OneCause_Paste'!$A$716:$AZ$716,1,OC_Name)="","",INDEX('OneCause_Paste'!$A$716:$AZ$716,1,OC_Name)))</f>
        <v/>
      </c>
      <c r="L716">
        <f>IF(OC_Txn=0,"",IF(INDEX('OneCause_Paste'!$A$716:$AZ$716,1,OC_Txn)="","",INDEX('OneCause_Paste'!$A$716:$AZ$716,1,OC_Txn)))</f>
        <v/>
      </c>
      <c r="M716">
        <f>IF(OC_Pay=0,"",IF(INDEX('OneCause_Paste'!$A$716:$AZ$716,1,OC_Pay)="","",INDEX('OneCause_Paste'!$A$716:$AZ$716,1,OC_Pay)))</f>
        <v/>
      </c>
      <c r="N716">
        <f>IF(I716="","",IF(ISNUMBER(I716),INT(I716),IFERROR(INT(DATEVALUE(I716)),IFERROR(INT(VALUE(I716)),"bad"))))</f>
        <v/>
      </c>
      <c r="O716">
        <f>IF(J716="","",IF(ISNUMBER(J716),ROUND(J716,2),IFERROR(ROUND(VALUE(SUBSTITUTE(SUBSTITUTE(SUBSTITUTE(J716,"$",""),",","")," ","")),2),"bad")))</f>
        <v/>
      </c>
      <c r="P716">
        <f>IF(TRIM(K716)="","",IFERROR(MATCH(LOWER(TRIM(K716)),'Students'!$AH$2:$AH$701,0),IFERROR(MATCH(LOWER(TRIM(K716)),'Students'!$AF$2:$AF$701,0),IFERROR(MATCH(LOWER(TRIM(K716)),'Students'!$AG$2:$AG$701,0),""))))</f>
        <v/>
      </c>
      <c r="R716">
        <f>IF(P716="","",INDEX('Students'!$AD$2:$AD$701,P716))</f>
        <v/>
      </c>
      <c r="S716">
        <f>IF(H716="OK",O716,0)</f>
        <v/>
      </c>
      <c r="T716">
        <f>IF(H716="OK",N716,"")</f>
        <v/>
      </c>
      <c r="U716">
        <f>IF(OC_Donor=0,"",IF(INDEX('OneCause_Paste'!$A$716:$AZ$716,1,OC_Donor)="","",INDEX('OneCause_Paste'!$A$716:$AZ$716,1,OC_Donor)))</f>
        <v/>
      </c>
    </row>
    <row r="717">
      <c r="A717" s="62">
        <f>IF(H717="","",IF(ISNUMBER(N717),N717,I717))</f>
        <v/>
      </c>
      <c r="B717">
        <f>IF(H717="","",U717)</f>
        <v/>
      </c>
      <c r="C717">
        <f>IF(H717="","",IF(P717="",K717,INDEX('Students'!$A$2:$A$701,P717)))</f>
        <v/>
      </c>
      <c r="D717">
        <f>IF(OR(H717="",P717=""),"",INDEX('Students'!$B$2:$B$701,P717))</f>
        <v/>
      </c>
      <c r="E717">
        <f>IF(OR(H717="",P717=""),"",INDEX('Students'!$C$2:$C$701,P717))</f>
        <v/>
      </c>
      <c r="F717" s="48">
        <f>IF(H717="","",IF(ISNUMBER(O717),O717,J717))</f>
        <v/>
      </c>
      <c r="G717">
        <f>IF(H717="","","OneCause")</f>
        <v/>
      </c>
      <c r="H717">
        <f>IF(AND(I717="",J717="",K717=""),"",IF(NOT(ISNUMBER(O717)),"Bad amount",IF(O717&lt;0,"Refund (not counted)",IF(O717=0,"Zero amount",IF(NOT(ISNUMBER(N717)),"Bad date",IF(P717="","NAME NOT ON ROSTER",IF(L717="","OK",IF(MATCH(L717,$L$2:$L$3001,0)&lt;ROW()-1,"Duplicate (ignored)","OK"))))))))</f>
        <v/>
      </c>
      <c r="I717">
        <f>IF(OC_Date=0,"",IF(INDEX('OneCause_Paste'!$A$717:$AZ$717,1,OC_Date)="","",INDEX('OneCause_Paste'!$A$717:$AZ$717,1,OC_Date)))</f>
        <v/>
      </c>
      <c r="J717">
        <f>IF(OC_Amt=0,"",IF(INDEX('OneCause_Paste'!$A$717:$AZ$717,1,OC_Amt)="","",INDEX('OneCause_Paste'!$A$717:$AZ$717,1,OC_Amt)))</f>
        <v/>
      </c>
      <c r="K717">
        <f>IF(OC_Name=0,"",IF(INDEX('OneCause_Paste'!$A$717:$AZ$717,1,OC_Name)="","",INDEX('OneCause_Paste'!$A$717:$AZ$717,1,OC_Name)))</f>
        <v/>
      </c>
      <c r="L717">
        <f>IF(OC_Txn=0,"",IF(INDEX('OneCause_Paste'!$A$717:$AZ$717,1,OC_Txn)="","",INDEX('OneCause_Paste'!$A$717:$AZ$717,1,OC_Txn)))</f>
        <v/>
      </c>
      <c r="M717">
        <f>IF(OC_Pay=0,"",IF(INDEX('OneCause_Paste'!$A$717:$AZ$717,1,OC_Pay)="","",INDEX('OneCause_Paste'!$A$717:$AZ$717,1,OC_Pay)))</f>
        <v/>
      </c>
      <c r="N717">
        <f>IF(I717="","",IF(ISNUMBER(I717),INT(I717),IFERROR(INT(DATEVALUE(I717)),IFERROR(INT(VALUE(I717)),"bad"))))</f>
        <v/>
      </c>
      <c r="O717">
        <f>IF(J717="","",IF(ISNUMBER(J717),ROUND(J717,2),IFERROR(ROUND(VALUE(SUBSTITUTE(SUBSTITUTE(SUBSTITUTE(J717,"$",""),",","")," ","")),2),"bad")))</f>
        <v/>
      </c>
      <c r="P717">
        <f>IF(TRIM(K717)="","",IFERROR(MATCH(LOWER(TRIM(K717)),'Students'!$AH$2:$AH$701,0),IFERROR(MATCH(LOWER(TRIM(K717)),'Students'!$AF$2:$AF$701,0),IFERROR(MATCH(LOWER(TRIM(K717)),'Students'!$AG$2:$AG$701,0),""))))</f>
        <v/>
      </c>
      <c r="R717">
        <f>IF(P717="","",INDEX('Students'!$AD$2:$AD$701,P717))</f>
        <v/>
      </c>
      <c r="S717">
        <f>IF(H717="OK",O717,0)</f>
        <v/>
      </c>
      <c r="T717">
        <f>IF(H717="OK",N717,"")</f>
        <v/>
      </c>
      <c r="U717">
        <f>IF(OC_Donor=0,"",IF(INDEX('OneCause_Paste'!$A$717:$AZ$717,1,OC_Donor)="","",INDEX('OneCause_Paste'!$A$717:$AZ$717,1,OC_Donor)))</f>
        <v/>
      </c>
    </row>
    <row r="718">
      <c r="A718" s="62">
        <f>IF(H718="","",IF(ISNUMBER(N718),N718,I718))</f>
        <v/>
      </c>
      <c r="B718">
        <f>IF(H718="","",U718)</f>
        <v/>
      </c>
      <c r="C718">
        <f>IF(H718="","",IF(P718="",K718,INDEX('Students'!$A$2:$A$701,P718)))</f>
        <v/>
      </c>
      <c r="D718">
        <f>IF(OR(H718="",P718=""),"",INDEX('Students'!$B$2:$B$701,P718))</f>
        <v/>
      </c>
      <c r="E718">
        <f>IF(OR(H718="",P718=""),"",INDEX('Students'!$C$2:$C$701,P718))</f>
        <v/>
      </c>
      <c r="F718" s="48">
        <f>IF(H718="","",IF(ISNUMBER(O718),O718,J718))</f>
        <v/>
      </c>
      <c r="G718">
        <f>IF(H718="","","OneCause")</f>
        <v/>
      </c>
      <c r="H718">
        <f>IF(AND(I718="",J718="",K718=""),"",IF(NOT(ISNUMBER(O718)),"Bad amount",IF(O718&lt;0,"Refund (not counted)",IF(O718=0,"Zero amount",IF(NOT(ISNUMBER(N718)),"Bad date",IF(P718="","NAME NOT ON ROSTER",IF(L718="","OK",IF(MATCH(L718,$L$2:$L$3001,0)&lt;ROW()-1,"Duplicate (ignored)","OK"))))))))</f>
        <v/>
      </c>
      <c r="I718">
        <f>IF(OC_Date=0,"",IF(INDEX('OneCause_Paste'!$A$718:$AZ$718,1,OC_Date)="","",INDEX('OneCause_Paste'!$A$718:$AZ$718,1,OC_Date)))</f>
        <v/>
      </c>
      <c r="J718">
        <f>IF(OC_Amt=0,"",IF(INDEX('OneCause_Paste'!$A$718:$AZ$718,1,OC_Amt)="","",INDEX('OneCause_Paste'!$A$718:$AZ$718,1,OC_Amt)))</f>
        <v/>
      </c>
      <c r="K718">
        <f>IF(OC_Name=0,"",IF(INDEX('OneCause_Paste'!$A$718:$AZ$718,1,OC_Name)="","",INDEX('OneCause_Paste'!$A$718:$AZ$718,1,OC_Name)))</f>
        <v/>
      </c>
      <c r="L718">
        <f>IF(OC_Txn=0,"",IF(INDEX('OneCause_Paste'!$A$718:$AZ$718,1,OC_Txn)="","",INDEX('OneCause_Paste'!$A$718:$AZ$718,1,OC_Txn)))</f>
        <v/>
      </c>
      <c r="M718">
        <f>IF(OC_Pay=0,"",IF(INDEX('OneCause_Paste'!$A$718:$AZ$718,1,OC_Pay)="","",INDEX('OneCause_Paste'!$A$718:$AZ$718,1,OC_Pay)))</f>
        <v/>
      </c>
      <c r="N718">
        <f>IF(I718="","",IF(ISNUMBER(I718),INT(I718),IFERROR(INT(DATEVALUE(I718)),IFERROR(INT(VALUE(I718)),"bad"))))</f>
        <v/>
      </c>
      <c r="O718">
        <f>IF(J718="","",IF(ISNUMBER(J718),ROUND(J718,2),IFERROR(ROUND(VALUE(SUBSTITUTE(SUBSTITUTE(SUBSTITUTE(J718,"$",""),",","")," ","")),2),"bad")))</f>
        <v/>
      </c>
      <c r="P718">
        <f>IF(TRIM(K718)="","",IFERROR(MATCH(LOWER(TRIM(K718)),'Students'!$AH$2:$AH$701,0),IFERROR(MATCH(LOWER(TRIM(K718)),'Students'!$AF$2:$AF$701,0),IFERROR(MATCH(LOWER(TRIM(K718)),'Students'!$AG$2:$AG$701,0),""))))</f>
        <v/>
      </c>
      <c r="R718">
        <f>IF(P718="","",INDEX('Students'!$AD$2:$AD$701,P718))</f>
        <v/>
      </c>
      <c r="S718">
        <f>IF(H718="OK",O718,0)</f>
        <v/>
      </c>
      <c r="T718">
        <f>IF(H718="OK",N718,"")</f>
        <v/>
      </c>
      <c r="U718">
        <f>IF(OC_Donor=0,"",IF(INDEX('OneCause_Paste'!$A$718:$AZ$718,1,OC_Donor)="","",INDEX('OneCause_Paste'!$A$718:$AZ$718,1,OC_Donor)))</f>
        <v/>
      </c>
    </row>
    <row r="719">
      <c r="A719" s="62">
        <f>IF(H719="","",IF(ISNUMBER(N719),N719,I719))</f>
        <v/>
      </c>
      <c r="B719">
        <f>IF(H719="","",U719)</f>
        <v/>
      </c>
      <c r="C719">
        <f>IF(H719="","",IF(P719="",K719,INDEX('Students'!$A$2:$A$701,P719)))</f>
        <v/>
      </c>
      <c r="D719">
        <f>IF(OR(H719="",P719=""),"",INDEX('Students'!$B$2:$B$701,P719))</f>
        <v/>
      </c>
      <c r="E719">
        <f>IF(OR(H719="",P719=""),"",INDEX('Students'!$C$2:$C$701,P719))</f>
        <v/>
      </c>
      <c r="F719" s="48">
        <f>IF(H719="","",IF(ISNUMBER(O719),O719,J719))</f>
        <v/>
      </c>
      <c r="G719">
        <f>IF(H719="","","OneCause")</f>
        <v/>
      </c>
      <c r="H719">
        <f>IF(AND(I719="",J719="",K719=""),"",IF(NOT(ISNUMBER(O719)),"Bad amount",IF(O719&lt;0,"Refund (not counted)",IF(O719=0,"Zero amount",IF(NOT(ISNUMBER(N719)),"Bad date",IF(P719="","NAME NOT ON ROSTER",IF(L719="","OK",IF(MATCH(L719,$L$2:$L$3001,0)&lt;ROW()-1,"Duplicate (ignored)","OK"))))))))</f>
        <v/>
      </c>
      <c r="I719">
        <f>IF(OC_Date=0,"",IF(INDEX('OneCause_Paste'!$A$719:$AZ$719,1,OC_Date)="","",INDEX('OneCause_Paste'!$A$719:$AZ$719,1,OC_Date)))</f>
        <v/>
      </c>
      <c r="J719">
        <f>IF(OC_Amt=0,"",IF(INDEX('OneCause_Paste'!$A$719:$AZ$719,1,OC_Amt)="","",INDEX('OneCause_Paste'!$A$719:$AZ$719,1,OC_Amt)))</f>
        <v/>
      </c>
      <c r="K719">
        <f>IF(OC_Name=0,"",IF(INDEX('OneCause_Paste'!$A$719:$AZ$719,1,OC_Name)="","",INDEX('OneCause_Paste'!$A$719:$AZ$719,1,OC_Name)))</f>
        <v/>
      </c>
      <c r="L719">
        <f>IF(OC_Txn=0,"",IF(INDEX('OneCause_Paste'!$A$719:$AZ$719,1,OC_Txn)="","",INDEX('OneCause_Paste'!$A$719:$AZ$719,1,OC_Txn)))</f>
        <v/>
      </c>
      <c r="M719">
        <f>IF(OC_Pay=0,"",IF(INDEX('OneCause_Paste'!$A$719:$AZ$719,1,OC_Pay)="","",INDEX('OneCause_Paste'!$A$719:$AZ$719,1,OC_Pay)))</f>
        <v/>
      </c>
      <c r="N719">
        <f>IF(I719="","",IF(ISNUMBER(I719),INT(I719),IFERROR(INT(DATEVALUE(I719)),IFERROR(INT(VALUE(I719)),"bad"))))</f>
        <v/>
      </c>
      <c r="O719">
        <f>IF(J719="","",IF(ISNUMBER(J719),ROUND(J719,2),IFERROR(ROUND(VALUE(SUBSTITUTE(SUBSTITUTE(SUBSTITUTE(J719,"$",""),",","")," ","")),2),"bad")))</f>
        <v/>
      </c>
      <c r="P719">
        <f>IF(TRIM(K719)="","",IFERROR(MATCH(LOWER(TRIM(K719)),'Students'!$AH$2:$AH$701,0),IFERROR(MATCH(LOWER(TRIM(K719)),'Students'!$AF$2:$AF$701,0),IFERROR(MATCH(LOWER(TRIM(K719)),'Students'!$AG$2:$AG$701,0),""))))</f>
        <v/>
      </c>
      <c r="R719">
        <f>IF(P719="","",INDEX('Students'!$AD$2:$AD$701,P719))</f>
        <v/>
      </c>
      <c r="S719">
        <f>IF(H719="OK",O719,0)</f>
        <v/>
      </c>
      <c r="T719">
        <f>IF(H719="OK",N719,"")</f>
        <v/>
      </c>
      <c r="U719">
        <f>IF(OC_Donor=0,"",IF(INDEX('OneCause_Paste'!$A$719:$AZ$719,1,OC_Donor)="","",INDEX('OneCause_Paste'!$A$719:$AZ$719,1,OC_Donor)))</f>
        <v/>
      </c>
    </row>
    <row r="720">
      <c r="A720" s="62">
        <f>IF(H720="","",IF(ISNUMBER(N720),N720,I720))</f>
        <v/>
      </c>
      <c r="B720">
        <f>IF(H720="","",U720)</f>
        <v/>
      </c>
      <c r="C720">
        <f>IF(H720="","",IF(P720="",K720,INDEX('Students'!$A$2:$A$701,P720)))</f>
        <v/>
      </c>
      <c r="D720">
        <f>IF(OR(H720="",P720=""),"",INDEX('Students'!$B$2:$B$701,P720))</f>
        <v/>
      </c>
      <c r="E720">
        <f>IF(OR(H720="",P720=""),"",INDEX('Students'!$C$2:$C$701,P720))</f>
        <v/>
      </c>
      <c r="F720" s="48">
        <f>IF(H720="","",IF(ISNUMBER(O720),O720,J720))</f>
        <v/>
      </c>
      <c r="G720">
        <f>IF(H720="","","OneCause")</f>
        <v/>
      </c>
      <c r="H720">
        <f>IF(AND(I720="",J720="",K720=""),"",IF(NOT(ISNUMBER(O720)),"Bad amount",IF(O720&lt;0,"Refund (not counted)",IF(O720=0,"Zero amount",IF(NOT(ISNUMBER(N720)),"Bad date",IF(P720="","NAME NOT ON ROSTER",IF(L720="","OK",IF(MATCH(L720,$L$2:$L$3001,0)&lt;ROW()-1,"Duplicate (ignored)","OK"))))))))</f>
        <v/>
      </c>
      <c r="I720">
        <f>IF(OC_Date=0,"",IF(INDEX('OneCause_Paste'!$A$720:$AZ$720,1,OC_Date)="","",INDEX('OneCause_Paste'!$A$720:$AZ$720,1,OC_Date)))</f>
        <v/>
      </c>
      <c r="J720">
        <f>IF(OC_Amt=0,"",IF(INDEX('OneCause_Paste'!$A$720:$AZ$720,1,OC_Amt)="","",INDEX('OneCause_Paste'!$A$720:$AZ$720,1,OC_Amt)))</f>
        <v/>
      </c>
      <c r="K720">
        <f>IF(OC_Name=0,"",IF(INDEX('OneCause_Paste'!$A$720:$AZ$720,1,OC_Name)="","",INDEX('OneCause_Paste'!$A$720:$AZ$720,1,OC_Name)))</f>
        <v/>
      </c>
      <c r="L720">
        <f>IF(OC_Txn=0,"",IF(INDEX('OneCause_Paste'!$A$720:$AZ$720,1,OC_Txn)="","",INDEX('OneCause_Paste'!$A$720:$AZ$720,1,OC_Txn)))</f>
        <v/>
      </c>
      <c r="M720">
        <f>IF(OC_Pay=0,"",IF(INDEX('OneCause_Paste'!$A$720:$AZ$720,1,OC_Pay)="","",INDEX('OneCause_Paste'!$A$720:$AZ$720,1,OC_Pay)))</f>
        <v/>
      </c>
      <c r="N720">
        <f>IF(I720="","",IF(ISNUMBER(I720),INT(I720),IFERROR(INT(DATEVALUE(I720)),IFERROR(INT(VALUE(I720)),"bad"))))</f>
        <v/>
      </c>
      <c r="O720">
        <f>IF(J720="","",IF(ISNUMBER(J720),ROUND(J720,2),IFERROR(ROUND(VALUE(SUBSTITUTE(SUBSTITUTE(SUBSTITUTE(J720,"$",""),",","")," ","")),2),"bad")))</f>
        <v/>
      </c>
      <c r="P720">
        <f>IF(TRIM(K720)="","",IFERROR(MATCH(LOWER(TRIM(K720)),'Students'!$AH$2:$AH$701,0),IFERROR(MATCH(LOWER(TRIM(K720)),'Students'!$AF$2:$AF$701,0),IFERROR(MATCH(LOWER(TRIM(K720)),'Students'!$AG$2:$AG$701,0),""))))</f>
        <v/>
      </c>
      <c r="R720">
        <f>IF(P720="","",INDEX('Students'!$AD$2:$AD$701,P720))</f>
        <v/>
      </c>
      <c r="S720">
        <f>IF(H720="OK",O720,0)</f>
        <v/>
      </c>
      <c r="T720">
        <f>IF(H720="OK",N720,"")</f>
        <v/>
      </c>
      <c r="U720">
        <f>IF(OC_Donor=0,"",IF(INDEX('OneCause_Paste'!$A$720:$AZ$720,1,OC_Donor)="","",INDEX('OneCause_Paste'!$A$720:$AZ$720,1,OC_Donor)))</f>
        <v/>
      </c>
    </row>
    <row r="721">
      <c r="A721" s="62">
        <f>IF(H721="","",IF(ISNUMBER(N721),N721,I721))</f>
        <v/>
      </c>
      <c r="B721">
        <f>IF(H721="","",U721)</f>
        <v/>
      </c>
      <c r="C721">
        <f>IF(H721="","",IF(P721="",K721,INDEX('Students'!$A$2:$A$701,P721)))</f>
        <v/>
      </c>
      <c r="D721">
        <f>IF(OR(H721="",P721=""),"",INDEX('Students'!$B$2:$B$701,P721))</f>
        <v/>
      </c>
      <c r="E721">
        <f>IF(OR(H721="",P721=""),"",INDEX('Students'!$C$2:$C$701,P721))</f>
        <v/>
      </c>
      <c r="F721" s="48">
        <f>IF(H721="","",IF(ISNUMBER(O721),O721,J721))</f>
        <v/>
      </c>
      <c r="G721">
        <f>IF(H721="","","OneCause")</f>
        <v/>
      </c>
      <c r="H721">
        <f>IF(AND(I721="",J721="",K721=""),"",IF(NOT(ISNUMBER(O721)),"Bad amount",IF(O721&lt;0,"Refund (not counted)",IF(O721=0,"Zero amount",IF(NOT(ISNUMBER(N721)),"Bad date",IF(P721="","NAME NOT ON ROSTER",IF(L721="","OK",IF(MATCH(L721,$L$2:$L$3001,0)&lt;ROW()-1,"Duplicate (ignored)","OK"))))))))</f>
        <v/>
      </c>
      <c r="I721">
        <f>IF(OC_Date=0,"",IF(INDEX('OneCause_Paste'!$A$721:$AZ$721,1,OC_Date)="","",INDEX('OneCause_Paste'!$A$721:$AZ$721,1,OC_Date)))</f>
        <v/>
      </c>
      <c r="J721">
        <f>IF(OC_Amt=0,"",IF(INDEX('OneCause_Paste'!$A$721:$AZ$721,1,OC_Amt)="","",INDEX('OneCause_Paste'!$A$721:$AZ$721,1,OC_Amt)))</f>
        <v/>
      </c>
      <c r="K721">
        <f>IF(OC_Name=0,"",IF(INDEX('OneCause_Paste'!$A$721:$AZ$721,1,OC_Name)="","",INDEX('OneCause_Paste'!$A$721:$AZ$721,1,OC_Name)))</f>
        <v/>
      </c>
      <c r="L721">
        <f>IF(OC_Txn=0,"",IF(INDEX('OneCause_Paste'!$A$721:$AZ$721,1,OC_Txn)="","",INDEX('OneCause_Paste'!$A$721:$AZ$721,1,OC_Txn)))</f>
        <v/>
      </c>
      <c r="M721">
        <f>IF(OC_Pay=0,"",IF(INDEX('OneCause_Paste'!$A$721:$AZ$721,1,OC_Pay)="","",INDEX('OneCause_Paste'!$A$721:$AZ$721,1,OC_Pay)))</f>
        <v/>
      </c>
      <c r="N721">
        <f>IF(I721="","",IF(ISNUMBER(I721),INT(I721),IFERROR(INT(DATEVALUE(I721)),IFERROR(INT(VALUE(I721)),"bad"))))</f>
        <v/>
      </c>
      <c r="O721">
        <f>IF(J721="","",IF(ISNUMBER(J721),ROUND(J721,2),IFERROR(ROUND(VALUE(SUBSTITUTE(SUBSTITUTE(SUBSTITUTE(J721,"$",""),",","")," ","")),2),"bad")))</f>
        <v/>
      </c>
      <c r="P721">
        <f>IF(TRIM(K721)="","",IFERROR(MATCH(LOWER(TRIM(K721)),'Students'!$AH$2:$AH$701,0),IFERROR(MATCH(LOWER(TRIM(K721)),'Students'!$AF$2:$AF$701,0),IFERROR(MATCH(LOWER(TRIM(K721)),'Students'!$AG$2:$AG$701,0),""))))</f>
        <v/>
      </c>
      <c r="R721">
        <f>IF(P721="","",INDEX('Students'!$AD$2:$AD$701,P721))</f>
        <v/>
      </c>
      <c r="S721">
        <f>IF(H721="OK",O721,0)</f>
        <v/>
      </c>
      <c r="T721">
        <f>IF(H721="OK",N721,"")</f>
        <v/>
      </c>
      <c r="U721">
        <f>IF(OC_Donor=0,"",IF(INDEX('OneCause_Paste'!$A$721:$AZ$721,1,OC_Donor)="","",INDEX('OneCause_Paste'!$A$721:$AZ$721,1,OC_Donor)))</f>
        <v/>
      </c>
    </row>
    <row r="722">
      <c r="A722" s="62">
        <f>IF(H722="","",IF(ISNUMBER(N722),N722,I722))</f>
        <v/>
      </c>
      <c r="B722">
        <f>IF(H722="","",U722)</f>
        <v/>
      </c>
      <c r="C722">
        <f>IF(H722="","",IF(P722="",K722,INDEX('Students'!$A$2:$A$701,P722)))</f>
        <v/>
      </c>
      <c r="D722">
        <f>IF(OR(H722="",P722=""),"",INDEX('Students'!$B$2:$B$701,P722))</f>
        <v/>
      </c>
      <c r="E722">
        <f>IF(OR(H722="",P722=""),"",INDEX('Students'!$C$2:$C$701,P722))</f>
        <v/>
      </c>
      <c r="F722" s="48">
        <f>IF(H722="","",IF(ISNUMBER(O722),O722,J722))</f>
        <v/>
      </c>
      <c r="G722">
        <f>IF(H722="","","OneCause")</f>
        <v/>
      </c>
      <c r="H722">
        <f>IF(AND(I722="",J722="",K722=""),"",IF(NOT(ISNUMBER(O722)),"Bad amount",IF(O722&lt;0,"Refund (not counted)",IF(O722=0,"Zero amount",IF(NOT(ISNUMBER(N722)),"Bad date",IF(P722="","NAME NOT ON ROSTER",IF(L722="","OK",IF(MATCH(L722,$L$2:$L$3001,0)&lt;ROW()-1,"Duplicate (ignored)","OK"))))))))</f>
        <v/>
      </c>
      <c r="I722">
        <f>IF(OC_Date=0,"",IF(INDEX('OneCause_Paste'!$A$722:$AZ$722,1,OC_Date)="","",INDEX('OneCause_Paste'!$A$722:$AZ$722,1,OC_Date)))</f>
        <v/>
      </c>
      <c r="J722">
        <f>IF(OC_Amt=0,"",IF(INDEX('OneCause_Paste'!$A$722:$AZ$722,1,OC_Amt)="","",INDEX('OneCause_Paste'!$A$722:$AZ$722,1,OC_Amt)))</f>
        <v/>
      </c>
      <c r="K722">
        <f>IF(OC_Name=0,"",IF(INDEX('OneCause_Paste'!$A$722:$AZ$722,1,OC_Name)="","",INDEX('OneCause_Paste'!$A$722:$AZ$722,1,OC_Name)))</f>
        <v/>
      </c>
      <c r="L722">
        <f>IF(OC_Txn=0,"",IF(INDEX('OneCause_Paste'!$A$722:$AZ$722,1,OC_Txn)="","",INDEX('OneCause_Paste'!$A$722:$AZ$722,1,OC_Txn)))</f>
        <v/>
      </c>
      <c r="M722">
        <f>IF(OC_Pay=0,"",IF(INDEX('OneCause_Paste'!$A$722:$AZ$722,1,OC_Pay)="","",INDEX('OneCause_Paste'!$A$722:$AZ$722,1,OC_Pay)))</f>
        <v/>
      </c>
      <c r="N722">
        <f>IF(I722="","",IF(ISNUMBER(I722),INT(I722),IFERROR(INT(DATEVALUE(I722)),IFERROR(INT(VALUE(I722)),"bad"))))</f>
        <v/>
      </c>
      <c r="O722">
        <f>IF(J722="","",IF(ISNUMBER(J722),ROUND(J722,2),IFERROR(ROUND(VALUE(SUBSTITUTE(SUBSTITUTE(SUBSTITUTE(J722,"$",""),",","")," ","")),2),"bad")))</f>
        <v/>
      </c>
      <c r="P722">
        <f>IF(TRIM(K722)="","",IFERROR(MATCH(LOWER(TRIM(K722)),'Students'!$AH$2:$AH$701,0),IFERROR(MATCH(LOWER(TRIM(K722)),'Students'!$AF$2:$AF$701,0),IFERROR(MATCH(LOWER(TRIM(K722)),'Students'!$AG$2:$AG$701,0),""))))</f>
        <v/>
      </c>
      <c r="R722">
        <f>IF(P722="","",INDEX('Students'!$AD$2:$AD$701,P722))</f>
        <v/>
      </c>
      <c r="S722">
        <f>IF(H722="OK",O722,0)</f>
        <v/>
      </c>
      <c r="T722">
        <f>IF(H722="OK",N722,"")</f>
        <v/>
      </c>
      <c r="U722">
        <f>IF(OC_Donor=0,"",IF(INDEX('OneCause_Paste'!$A$722:$AZ$722,1,OC_Donor)="","",INDEX('OneCause_Paste'!$A$722:$AZ$722,1,OC_Donor)))</f>
        <v/>
      </c>
    </row>
    <row r="723">
      <c r="A723" s="62">
        <f>IF(H723="","",IF(ISNUMBER(N723),N723,I723))</f>
        <v/>
      </c>
      <c r="B723">
        <f>IF(H723="","",U723)</f>
        <v/>
      </c>
      <c r="C723">
        <f>IF(H723="","",IF(P723="",K723,INDEX('Students'!$A$2:$A$701,P723)))</f>
        <v/>
      </c>
      <c r="D723">
        <f>IF(OR(H723="",P723=""),"",INDEX('Students'!$B$2:$B$701,P723))</f>
        <v/>
      </c>
      <c r="E723">
        <f>IF(OR(H723="",P723=""),"",INDEX('Students'!$C$2:$C$701,P723))</f>
        <v/>
      </c>
      <c r="F723" s="48">
        <f>IF(H723="","",IF(ISNUMBER(O723),O723,J723))</f>
        <v/>
      </c>
      <c r="G723">
        <f>IF(H723="","","OneCause")</f>
        <v/>
      </c>
      <c r="H723">
        <f>IF(AND(I723="",J723="",K723=""),"",IF(NOT(ISNUMBER(O723)),"Bad amount",IF(O723&lt;0,"Refund (not counted)",IF(O723=0,"Zero amount",IF(NOT(ISNUMBER(N723)),"Bad date",IF(P723="","NAME NOT ON ROSTER",IF(L723="","OK",IF(MATCH(L723,$L$2:$L$3001,0)&lt;ROW()-1,"Duplicate (ignored)","OK"))))))))</f>
        <v/>
      </c>
      <c r="I723">
        <f>IF(OC_Date=0,"",IF(INDEX('OneCause_Paste'!$A$723:$AZ$723,1,OC_Date)="","",INDEX('OneCause_Paste'!$A$723:$AZ$723,1,OC_Date)))</f>
        <v/>
      </c>
      <c r="J723">
        <f>IF(OC_Amt=0,"",IF(INDEX('OneCause_Paste'!$A$723:$AZ$723,1,OC_Amt)="","",INDEX('OneCause_Paste'!$A$723:$AZ$723,1,OC_Amt)))</f>
        <v/>
      </c>
      <c r="K723">
        <f>IF(OC_Name=0,"",IF(INDEX('OneCause_Paste'!$A$723:$AZ$723,1,OC_Name)="","",INDEX('OneCause_Paste'!$A$723:$AZ$723,1,OC_Name)))</f>
        <v/>
      </c>
      <c r="L723">
        <f>IF(OC_Txn=0,"",IF(INDEX('OneCause_Paste'!$A$723:$AZ$723,1,OC_Txn)="","",INDEX('OneCause_Paste'!$A$723:$AZ$723,1,OC_Txn)))</f>
        <v/>
      </c>
      <c r="M723">
        <f>IF(OC_Pay=0,"",IF(INDEX('OneCause_Paste'!$A$723:$AZ$723,1,OC_Pay)="","",INDEX('OneCause_Paste'!$A$723:$AZ$723,1,OC_Pay)))</f>
        <v/>
      </c>
      <c r="N723">
        <f>IF(I723="","",IF(ISNUMBER(I723),INT(I723),IFERROR(INT(DATEVALUE(I723)),IFERROR(INT(VALUE(I723)),"bad"))))</f>
        <v/>
      </c>
      <c r="O723">
        <f>IF(J723="","",IF(ISNUMBER(J723),ROUND(J723,2),IFERROR(ROUND(VALUE(SUBSTITUTE(SUBSTITUTE(SUBSTITUTE(J723,"$",""),",","")," ","")),2),"bad")))</f>
        <v/>
      </c>
      <c r="P723">
        <f>IF(TRIM(K723)="","",IFERROR(MATCH(LOWER(TRIM(K723)),'Students'!$AH$2:$AH$701,0),IFERROR(MATCH(LOWER(TRIM(K723)),'Students'!$AF$2:$AF$701,0),IFERROR(MATCH(LOWER(TRIM(K723)),'Students'!$AG$2:$AG$701,0),""))))</f>
        <v/>
      </c>
      <c r="R723">
        <f>IF(P723="","",INDEX('Students'!$AD$2:$AD$701,P723))</f>
        <v/>
      </c>
      <c r="S723">
        <f>IF(H723="OK",O723,0)</f>
        <v/>
      </c>
      <c r="T723">
        <f>IF(H723="OK",N723,"")</f>
        <v/>
      </c>
      <c r="U723">
        <f>IF(OC_Donor=0,"",IF(INDEX('OneCause_Paste'!$A$723:$AZ$723,1,OC_Donor)="","",INDEX('OneCause_Paste'!$A$723:$AZ$723,1,OC_Donor)))</f>
        <v/>
      </c>
    </row>
    <row r="724">
      <c r="A724" s="62">
        <f>IF(H724="","",IF(ISNUMBER(N724),N724,I724))</f>
        <v/>
      </c>
      <c r="B724">
        <f>IF(H724="","",U724)</f>
        <v/>
      </c>
      <c r="C724">
        <f>IF(H724="","",IF(P724="",K724,INDEX('Students'!$A$2:$A$701,P724)))</f>
        <v/>
      </c>
      <c r="D724">
        <f>IF(OR(H724="",P724=""),"",INDEX('Students'!$B$2:$B$701,P724))</f>
        <v/>
      </c>
      <c r="E724">
        <f>IF(OR(H724="",P724=""),"",INDEX('Students'!$C$2:$C$701,P724))</f>
        <v/>
      </c>
      <c r="F724" s="48">
        <f>IF(H724="","",IF(ISNUMBER(O724),O724,J724))</f>
        <v/>
      </c>
      <c r="G724">
        <f>IF(H724="","","OneCause")</f>
        <v/>
      </c>
      <c r="H724">
        <f>IF(AND(I724="",J724="",K724=""),"",IF(NOT(ISNUMBER(O724)),"Bad amount",IF(O724&lt;0,"Refund (not counted)",IF(O724=0,"Zero amount",IF(NOT(ISNUMBER(N724)),"Bad date",IF(P724="","NAME NOT ON ROSTER",IF(L724="","OK",IF(MATCH(L724,$L$2:$L$3001,0)&lt;ROW()-1,"Duplicate (ignored)","OK"))))))))</f>
        <v/>
      </c>
      <c r="I724">
        <f>IF(OC_Date=0,"",IF(INDEX('OneCause_Paste'!$A$724:$AZ$724,1,OC_Date)="","",INDEX('OneCause_Paste'!$A$724:$AZ$724,1,OC_Date)))</f>
        <v/>
      </c>
      <c r="J724">
        <f>IF(OC_Amt=0,"",IF(INDEX('OneCause_Paste'!$A$724:$AZ$724,1,OC_Amt)="","",INDEX('OneCause_Paste'!$A$724:$AZ$724,1,OC_Amt)))</f>
        <v/>
      </c>
      <c r="K724">
        <f>IF(OC_Name=0,"",IF(INDEX('OneCause_Paste'!$A$724:$AZ$724,1,OC_Name)="","",INDEX('OneCause_Paste'!$A$724:$AZ$724,1,OC_Name)))</f>
        <v/>
      </c>
      <c r="L724">
        <f>IF(OC_Txn=0,"",IF(INDEX('OneCause_Paste'!$A$724:$AZ$724,1,OC_Txn)="","",INDEX('OneCause_Paste'!$A$724:$AZ$724,1,OC_Txn)))</f>
        <v/>
      </c>
      <c r="M724">
        <f>IF(OC_Pay=0,"",IF(INDEX('OneCause_Paste'!$A$724:$AZ$724,1,OC_Pay)="","",INDEX('OneCause_Paste'!$A$724:$AZ$724,1,OC_Pay)))</f>
        <v/>
      </c>
      <c r="N724">
        <f>IF(I724="","",IF(ISNUMBER(I724),INT(I724),IFERROR(INT(DATEVALUE(I724)),IFERROR(INT(VALUE(I724)),"bad"))))</f>
        <v/>
      </c>
      <c r="O724">
        <f>IF(J724="","",IF(ISNUMBER(J724),ROUND(J724,2),IFERROR(ROUND(VALUE(SUBSTITUTE(SUBSTITUTE(SUBSTITUTE(J724,"$",""),",","")," ","")),2),"bad")))</f>
        <v/>
      </c>
      <c r="P724">
        <f>IF(TRIM(K724)="","",IFERROR(MATCH(LOWER(TRIM(K724)),'Students'!$AH$2:$AH$701,0),IFERROR(MATCH(LOWER(TRIM(K724)),'Students'!$AF$2:$AF$701,0),IFERROR(MATCH(LOWER(TRIM(K724)),'Students'!$AG$2:$AG$701,0),""))))</f>
        <v/>
      </c>
      <c r="R724">
        <f>IF(P724="","",INDEX('Students'!$AD$2:$AD$701,P724))</f>
        <v/>
      </c>
      <c r="S724">
        <f>IF(H724="OK",O724,0)</f>
        <v/>
      </c>
      <c r="T724">
        <f>IF(H724="OK",N724,"")</f>
        <v/>
      </c>
      <c r="U724">
        <f>IF(OC_Donor=0,"",IF(INDEX('OneCause_Paste'!$A$724:$AZ$724,1,OC_Donor)="","",INDEX('OneCause_Paste'!$A$724:$AZ$724,1,OC_Donor)))</f>
        <v/>
      </c>
    </row>
    <row r="725">
      <c r="A725" s="62">
        <f>IF(H725="","",IF(ISNUMBER(N725),N725,I725))</f>
        <v/>
      </c>
      <c r="B725">
        <f>IF(H725="","",U725)</f>
        <v/>
      </c>
      <c r="C725">
        <f>IF(H725="","",IF(P725="",K725,INDEX('Students'!$A$2:$A$701,P725)))</f>
        <v/>
      </c>
      <c r="D725">
        <f>IF(OR(H725="",P725=""),"",INDEX('Students'!$B$2:$B$701,P725))</f>
        <v/>
      </c>
      <c r="E725">
        <f>IF(OR(H725="",P725=""),"",INDEX('Students'!$C$2:$C$701,P725))</f>
        <v/>
      </c>
      <c r="F725" s="48">
        <f>IF(H725="","",IF(ISNUMBER(O725),O725,J725))</f>
        <v/>
      </c>
      <c r="G725">
        <f>IF(H725="","","OneCause")</f>
        <v/>
      </c>
      <c r="H725">
        <f>IF(AND(I725="",J725="",K725=""),"",IF(NOT(ISNUMBER(O725)),"Bad amount",IF(O725&lt;0,"Refund (not counted)",IF(O725=0,"Zero amount",IF(NOT(ISNUMBER(N725)),"Bad date",IF(P725="","NAME NOT ON ROSTER",IF(L725="","OK",IF(MATCH(L725,$L$2:$L$3001,0)&lt;ROW()-1,"Duplicate (ignored)","OK"))))))))</f>
        <v/>
      </c>
      <c r="I725">
        <f>IF(OC_Date=0,"",IF(INDEX('OneCause_Paste'!$A$725:$AZ$725,1,OC_Date)="","",INDEX('OneCause_Paste'!$A$725:$AZ$725,1,OC_Date)))</f>
        <v/>
      </c>
      <c r="J725">
        <f>IF(OC_Amt=0,"",IF(INDEX('OneCause_Paste'!$A$725:$AZ$725,1,OC_Amt)="","",INDEX('OneCause_Paste'!$A$725:$AZ$725,1,OC_Amt)))</f>
        <v/>
      </c>
      <c r="K725">
        <f>IF(OC_Name=0,"",IF(INDEX('OneCause_Paste'!$A$725:$AZ$725,1,OC_Name)="","",INDEX('OneCause_Paste'!$A$725:$AZ$725,1,OC_Name)))</f>
        <v/>
      </c>
      <c r="L725">
        <f>IF(OC_Txn=0,"",IF(INDEX('OneCause_Paste'!$A$725:$AZ$725,1,OC_Txn)="","",INDEX('OneCause_Paste'!$A$725:$AZ$725,1,OC_Txn)))</f>
        <v/>
      </c>
      <c r="M725">
        <f>IF(OC_Pay=0,"",IF(INDEX('OneCause_Paste'!$A$725:$AZ$725,1,OC_Pay)="","",INDEX('OneCause_Paste'!$A$725:$AZ$725,1,OC_Pay)))</f>
        <v/>
      </c>
      <c r="N725">
        <f>IF(I725="","",IF(ISNUMBER(I725),INT(I725),IFERROR(INT(DATEVALUE(I725)),IFERROR(INT(VALUE(I725)),"bad"))))</f>
        <v/>
      </c>
      <c r="O725">
        <f>IF(J725="","",IF(ISNUMBER(J725),ROUND(J725,2),IFERROR(ROUND(VALUE(SUBSTITUTE(SUBSTITUTE(SUBSTITUTE(J725,"$",""),",","")," ","")),2),"bad")))</f>
        <v/>
      </c>
      <c r="P725">
        <f>IF(TRIM(K725)="","",IFERROR(MATCH(LOWER(TRIM(K725)),'Students'!$AH$2:$AH$701,0),IFERROR(MATCH(LOWER(TRIM(K725)),'Students'!$AF$2:$AF$701,0),IFERROR(MATCH(LOWER(TRIM(K725)),'Students'!$AG$2:$AG$701,0),""))))</f>
        <v/>
      </c>
      <c r="R725">
        <f>IF(P725="","",INDEX('Students'!$AD$2:$AD$701,P725))</f>
        <v/>
      </c>
      <c r="S725">
        <f>IF(H725="OK",O725,0)</f>
        <v/>
      </c>
      <c r="T725">
        <f>IF(H725="OK",N725,"")</f>
        <v/>
      </c>
      <c r="U725">
        <f>IF(OC_Donor=0,"",IF(INDEX('OneCause_Paste'!$A$725:$AZ$725,1,OC_Donor)="","",INDEX('OneCause_Paste'!$A$725:$AZ$725,1,OC_Donor)))</f>
        <v/>
      </c>
    </row>
    <row r="726">
      <c r="A726" s="62">
        <f>IF(H726="","",IF(ISNUMBER(N726),N726,I726))</f>
        <v/>
      </c>
      <c r="B726">
        <f>IF(H726="","",U726)</f>
        <v/>
      </c>
      <c r="C726">
        <f>IF(H726="","",IF(P726="",K726,INDEX('Students'!$A$2:$A$701,P726)))</f>
        <v/>
      </c>
      <c r="D726">
        <f>IF(OR(H726="",P726=""),"",INDEX('Students'!$B$2:$B$701,P726))</f>
        <v/>
      </c>
      <c r="E726">
        <f>IF(OR(H726="",P726=""),"",INDEX('Students'!$C$2:$C$701,P726))</f>
        <v/>
      </c>
      <c r="F726" s="48">
        <f>IF(H726="","",IF(ISNUMBER(O726),O726,J726))</f>
        <v/>
      </c>
      <c r="G726">
        <f>IF(H726="","","OneCause")</f>
        <v/>
      </c>
      <c r="H726">
        <f>IF(AND(I726="",J726="",K726=""),"",IF(NOT(ISNUMBER(O726)),"Bad amount",IF(O726&lt;0,"Refund (not counted)",IF(O726=0,"Zero amount",IF(NOT(ISNUMBER(N726)),"Bad date",IF(P726="","NAME NOT ON ROSTER",IF(L726="","OK",IF(MATCH(L726,$L$2:$L$3001,0)&lt;ROW()-1,"Duplicate (ignored)","OK"))))))))</f>
        <v/>
      </c>
      <c r="I726">
        <f>IF(OC_Date=0,"",IF(INDEX('OneCause_Paste'!$A$726:$AZ$726,1,OC_Date)="","",INDEX('OneCause_Paste'!$A$726:$AZ$726,1,OC_Date)))</f>
        <v/>
      </c>
      <c r="J726">
        <f>IF(OC_Amt=0,"",IF(INDEX('OneCause_Paste'!$A$726:$AZ$726,1,OC_Amt)="","",INDEX('OneCause_Paste'!$A$726:$AZ$726,1,OC_Amt)))</f>
        <v/>
      </c>
      <c r="K726">
        <f>IF(OC_Name=0,"",IF(INDEX('OneCause_Paste'!$A$726:$AZ$726,1,OC_Name)="","",INDEX('OneCause_Paste'!$A$726:$AZ$726,1,OC_Name)))</f>
        <v/>
      </c>
      <c r="L726">
        <f>IF(OC_Txn=0,"",IF(INDEX('OneCause_Paste'!$A$726:$AZ$726,1,OC_Txn)="","",INDEX('OneCause_Paste'!$A$726:$AZ$726,1,OC_Txn)))</f>
        <v/>
      </c>
      <c r="M726">
        <f>IF(OC_Pay=0,"",IF(INDEX('OneCause_Paste'!$A$726:$AZ$726,1,OC_Pay)="","",INDEX('OneCause_Paste'!$A$726:$AZ$726,1,OC_Pay)))</f>
        <v/>
      </c>
      <c r="N726">
        <f>IF(I726="","",IF(ISNUMBER(I726),INT(I726),IFERROR(INT(DATEVALUE(I726)),IFERROR(INT(VALUE(I726)),"bad"))))</f>
        <v/>
      </c>
      <c r="O726">
        <f>IF(J726="","",IF(ISNUMBER(J726),ROUND(J726,2),IFERROR(ROUND(VALUE(SUBSTITUTE(SUBSTITUTE(SUBSTITUTE(J726,"$",""),",","")," ","")),2),"bad")))</f>
        <v/>
      </c>
      <c r="P726">
        <f>IF(TRIM(K726)="","",IFERROR(MATCH(LOWER(TRIM(K726)),'Students'!$AH$2:$AH$701,0),IFERROR(MATCH(LOWER(TRIM(K726)),'Students'!$AF$2:$AF$701,0),IFERROR(MATCH(LOWER(TRIM(K726)),'Students'!$AG$2:$AG$701,0),""))))</f>
        <v/>
      </c>
      <c r="R726">
        <f>IF(P726="","",INDEX('Students'!$AD$2:$AD$701,P726))</f>
        <v/>
      </c>
      <c r="S726">
        <f>IF(H726="OK",O726,0)</f>
        <v/>
      </c>
      <c r="T726">
        <f>IF(H726="OK",N726,"")</f>
        <v/>
      </c>
      <c r="U726">
        <f>IF(OC_Donor=0,"",IF(INDEX('OneCause_Paste'!$A$726:$AZ$726,1,OC_Donor)="","",INDEX('OneCause_Paste'!$A$726:$AZ$726,1,OC_Donor)))</f>
        <v/>
      </c>
    </row>
    <row r="727">
      <c r="A727" s="62">
        <f>IF(H727="","",IF(ISNUMBER(N727),N727,I727))</f>
        <v/>
      </c>
      <c r="B727">
        <f>IF(H727="","",U727)</f>
        <v/>
      </c>
      <c r="C727">
        <f>IF(H727="","",IF(P727="",K727,INDEX('Students'!$A$2:$A$701,P727)))</f>
        <v/>
      </c>
      <c r="D727">
        <f>IF(OR(H727="",P727=""),"",INDEX('Students'!$B$2:$B$701,P727))</f>
        <v/>
      </c>
      <c r="E727">
        <f>IF(OR(H727="",P727=""),"",INDEX('Students'!$C$2:$C$701,P727))</f>
        <v/>
      </c>
      <c r="F727" s="48">
        <f>IF(H727="","",IF(ISNUMBER(O727),O727,J727))</f>
        <v/>
      </c>
      <c r="G727">
        <f>IF(H727="","","OneCause")</f>
        <v/>
      </c>
      <c r="H727">
        <f>IF(AND(I727="",J727="",K727=""),"",IF(NOT(ISNUMBER(O727)),"Bad amount",IF(O727&lt;0,"Refund (not counted)",IF(O727=0,"Zero amount",IF(NOT(ISNUMBER(N727)),"Bad date",IF(P727="","NAME NOT ON ROSTER",IF(L727="","OK",IF(MATCH(L727,$L$2:$L$3001,0)&lt;ROW()-1,"Duplicate (ignored)","OK"))))))))</f>
        <v/>
      </c>
      <c r="I727">
        <f>IF(OC_Date=0,"",IF(INDEX('OneCause_Paste'!$A$727:$AZ$727,1,OC_Date)="","",INDEX('OneCause_Paste'!$A$727:$AZ$727,1,OC_Date)))</f>
        <v/>
      </c>
      <c r="J727">
        <f>IF(OC_Amt=0,"",IF(INDEX('OneCause_Paste'!$A$727:$AZ$727,1,OC_Amt)="","",INDEX('OneCause_Paste'!$A$727:$AZ$727,1,OC_Amt)))</f>
        <v/>
      </c>
      <c r="K727">
        <f>IF(OC_Name=0,"",IF(INDEX('OneCause_Paste'!$A$727:$AZ$727,1,OC_Name)="","",INDEX('OneCause_Paste'!$A$727:$AZ$727,1,OC_Name)))</f>
        <v/>
      </c>
      <c r="L727">
        <f>IF(OC_Txn=0,"",IF(INDEX('OneCause_Paste'!$A$727:$AZ$727,1,OC_Txn)="","",INDEX('OneCause_Paste'!$A$727:$AZ$727,1,OC_Txn)))</f>
        <v/>
      </c>
      <c r="M727">
        <f>IF(OC_Pay=0,"",IF(INDEX('OneCause_Paste'!$A$727:$AZ$727,1,OC_Pay)="","",INDEX('OneCause_Paste'!$A$727:$AZ$727,1,OC_Pay)))</f>
        <v/>
      </c>
      <c r="N727">
        <f>IF(I727="","",IF(ISNUMBER(I727),INT(I727),IFERROR(INT(DATEVALUE(I727)),IFERROR(INT(VALUE(I727)),"bad"))))</f>
        <v/>
      </c>
      <c r="O727">
        <f>IF(J727="","",IF(ISNUMBER(J727),ROUND(J727,2),IFERROR(ROUND(VALUE(SUBSTITUTE(SUBSTITUTE(SUBSTITUTE(J727,"$",""),",","")," ","")),2),"bad")))</f>
        <v/>
      </c>
      <c r="P727">
        <f>IF(TRIM(K727)="","",IFERROR(MATCH(LOWER(TRIM(K727)),'Students'!$AH$2:$AH$701,0),IFERROR(MATCH(LOWER(TRIM(K727)),'Students'!$AF$2:$AF$701,0),IFERROR(MATCH(LOWER(TRIM(K727)),'Students'!$AG$2:$AG$701,0),""))))</f>
        <v/>
      </c>
      <c r="R727">
        <f>IF(P727="","",INDEX('Students'!$AD$2:$AD$701,P727))</f>
        <v/>
      </c>
      <c r="S727">
        <f>IF(H727="OK",O727,0)</f>
        <v/>
      </c>
      <c r="T727">
        <f>IF(H727="OK",N727,"")</f>
        <v/>
      </c>
      <c r="U727">
        <f>IF(OC_Donor=0,"",IF(INDEX('OneCause_Paste'!$A$727:$AZ$727,1,OC_Donor)="","",INDEX('OneCause_Paste'!$A$727:$AZ$727,1,OC_Donor)))</f>
        <v/>
      </c>
    </row>
    <row r="728">
      <c r="A728" s="62">
        <f>IF(H728="","",IF(ISNUMBER(N728),N728,I728))</f>
        <v/>
      </c>
      <c r="B728">
        <f>IF(H728="","",U728)</f>
        <v/>
      </c>
      <c r="C728">
        <f>IF(H728="","",IF(P728="",K728,INDEX('Students'!$A$2:$A$701,P728)))</f>
        <v/>
      </c>
      <c r="D728">
        <f>IF(OR(H728="",P728=""),"",INDEX('Students'!$B$2:$B$701,P728))</f>
        <v/>
      </c>
      <c r="E728">
        <f>IF(OR(H728="",P728=""),"",INDEX('Students'!$C$2:$C$701,P728))</f>
        <v/>
      </c>
      <c r="F728" s="48">
        <f>IF(H728="","",IF(ISNUMBER(O728),O728,J728))</f>
        <v/>
      </c>
      <c r="G728">
        <f>IF(H728="","","OneCause")</f>
        <v/>
      </c>
      <c r="H728">
        <f>IF(AND(I728="",J728="",K728=""),"",IF(NOT(ISNUMBER(O728)),"Bad amount",IF(O728&lt;0,"Refund (not counted)",IF(O728=0,"Zero amount",IF(NOT(ISNUMBER(N728)),"Bad date",IF(P728="","NAME NOT ON ROSTER",IF(L728="","OK",IF(MATCH(L728,$L$2:$L$3001,0)&lt;ROW()-1,"Duplicate (ignored)","OK"))))))))</f>
        <v/>
      </c>
      <c r="I728">
        <f>IF(OC_Date=0,"",IF(INDEX('OneCause_Paste'!$A$728:$AZ$728,1,OC_Date)="","",INDEX('OneCause_Paste'!$A$728:$AZ$728,1,OC_Date)))</f>
        <v/>
      </c>
      <c r="J728">
        <f>IF(OC_Amt=0,"",IF(INDEX('OneCause_Paste'!$A$728:$AZ$728,1,OC_Amt)="","",INDEX('OneCause_Paste'!$A$728:$AZ$728,1,OC_Amt)))</f>
        <v/>
      </c>
      <c r="K728">
        <f>IF(OC_Name=0,"",IF(INDEX('OneCause_Paste'!$A$728:$AZ$728,1,OC_Name)="","",INDEX('OneCause_Paste'!$A$728:$AZ$728,1,OC_Name)))</f>
        <v/>
      </c>
      <c r="L728">
        <f>IF(OC_Txn=0,"",IF(INDEX('OneCause_Paste'!$A$728:$AZ$728,1,OC_Txn)="","",INDEX('OneCause_Paste'!$A$728:$AZ$728,1,OC_Txn)))</f>
        <v/>
      </c>
      <c r="M728">
        <f>IF(OC_Pay=0,"",IF(INDEX('OneCause_Paste'!$A$728:$AZ$728,1,OC_Pay)="","",INDEX('OneCause_Paste'!$A$728:$AZ$728,1,OC_Pay)))</f>
        <v/>
      </c>
      <c r="N728">
        <f>IF(I728="","",IF(ISNUMBER(I728),INT(I728),IFERROR(INT(DATEVALUE(I728)),IFERROR(INT(VALUE(I728)),"bad"))))</f>
        <v/>
      </c>
      <c r="O728">
        <f>IF(J728="","",IF(ISNUMBER(J728),ROUND(J728,2),IFERROR(ROUND(VALUE(SUBSTITUTE(SUBSTITUTE(SUBSTITUTE(J728,"$",""),",","")," ","")),2),"bad")))</f>
        <v/>
      </c>
      <c r="P728">
        <f>IF(TRIM(K728)="","",IFERROR(MATCH(LOWER(TRIM(K728)),'Students'!$AH$2:$AH$701,0),IFERROR(MATCH(LOWER(TRIM(K728)),'Students'!$AF$2:$AF$701,0),IFERROR(MATCH(LOWER(TRIM(K728)),'Students'!$AG$2:$AG$701,0),""))))</f>
        <v/>
      </c>
      <c r="R728">
        <f>IF(P728="","",INDEX('Students'!$AD$2:$AD$701,P728))</f>
        <v/>
      </c>
      <c r="S728">
        <f>IF(H728="OK",O728,0)</f>
        <v/>
      </c>
      <c r="T728">
        <f>IF(H728="OK",N728,"")</f>
        <v/>
      </c>
      <c r="U728">
        <f>IF(OC_Donor=0,"",IF(INDEX('OneCause_Paste'!$A$728:$AZ$728,1,OC_Donor)="","",INDEX('OneCause_Paste'!$A$728:$AZ$728,1,OC_Donor)))</f>
        <v/>
      </c>
    </row>
    <row r="729">
      <c r="A729" s="62">
        <f>IF(H729="","",IF(ISNUMBER(N729),N729,I729))</f>
        <v/>
      </c>
      <c r="B729">
        <f>IF(H729="","",U729)</f>
        <v/>
      </c>
      <c r="C729">
        <f>IF(H729="","",IF(P729="",K729,INDEX('Students'!$A$2:$A$701,P729)))</f>
        <v/>
      </c>
      <c r="D729">
        <f>IF(OR(H729="",P729=""),"",INDEX('Students'!$B$2:$B$701,P729))</f>
        <v/>
      </c>
      <c r="E729">
        <f>IF(OR(H729="",P729=""),"",INDEX('Students'!$C$2:$C$701,P729))</f>
        <v/>
      </c>
      <c r="F729" s="48">
        <f>IF(H729="","",IF(ISNUMBER(O729),O729,J729))</f>
        <v/>
      </c>
      <c r="G729">
        <f>IF(H729="","","OneCause")</f>
        <v/>
      </c>
      <c r="H729">
        <f>IF(AND(I729="",J729="",K729=""),"",IF(NOT(ISNUMBER(O729)),"Bad amount",IF(O729&lt;0,"Refund (not counted)",IF(O729=0,"Zero amount",IF(NOT(ISNUMBER(N729)),"Bad date",IF(P729="","NAME NOT ON ROSTER",IF(L729="","OK",IF(MATCH(L729,$L$2:$L$3001,0)&lt;ROW()-1,"Duplicate (ignored)","OK"))))))))</f>
        <v/>
      </c>
      <c r="I729">
        <f>IF(OC_Date=0,"",IF(INDEX('OneCause_Paste'!$A$729:$AZ$729,1,OC_Date)="","",INDEX('OneCause_Paste'!$A$729:$AZ$729,1,OC_Date)))</f>
        <v/>
      </c>
      <c r="J729">
        <f>IF(OC_Amt=0,"",IF(INDEX('OneCause_Paste'!$A$729:$AZ$729,1,OC_Amt)="","",INDEX('OneCause_Paste'!$A$729:$AZ$729,1,OC_Amt)))</f>
        <v/>
      </c>
      <c r="K729">
        <f>IF(OC_Name=0,"",IF(INDEX('OneCause_Paste'!$A$729:$AZ$729,1,OC_Name)="","",INDEX('OneCause_Paste'!$A$729:$AZ$729,1,OC_Name)))</f>
        <v/>
      </c>
      <c r="L729">
        <f>IF(OC_Txn=0,"",IF(INDEX('OneCause_Paste'!$A$729:$AZ$729,1,OC_Txn)="","",INDEX('OneCause_Paste'!$A$729:$AZ$729,1,OC_Txn)))</f>
        <v/>
      </c>
      <c r="M729">
        <f>IF(OC_Pay=0,"",IF(INDEX('OneCause_Paste'!$A$729:$AZ$729,1,OC_Pay)="","",INDEX('OneCause_Paste'!$A$729:$AZ$729,1,OC_Pay)))</f>
        <v/>
      </c>
      <c r="N729">
        <f>IF(I729="","",IF(ISNUMBER(I729),INT(I729),IFERROR(INT(DATEVALUE(I729)),IFERROR(INT(VALUE(I729)),"bad"))))</f>
        <v/>
      </c>
      <c r="O729">
        <f>IF(J729="","",IF(ISNUMBER(J729),ROUND(J729,2),IFERROR(ROUND(VALUE(SUBSTITUTE(SUBSTITUTE(SUBSTITUTE(J729,"$",""),",","")," ","")),2),"bad")))</f>
        <v/>
      </c>
      <c r="P729">
        <f>IF(TRIM(K729)="","",IFERROR(MATCH(LOWER(TRIM(K729)),'Students'!$AH$2:$AH$701,0),IFERROR(MATCH(LOWER(TRIM(K729)),'Students'!$AF$2:$AF$701,0),IFERROR(MATCH(LOWER(TRIM(K729)),'Students'!$AG$2:$AG$701,0),""))))</f>
        <v/>
      </c>
      <c r="R729">
        <f>IF(P729="","",INDEX('Students'!$AD$2:$AD$701,P729))</f>
        <v/>
      </c>
      <c r="S729">
        <f>IF(H729="OK",O729,0)</f>
        <v/>
      </c>
      <c r="T729">
        <f>IF(H729="OK",N729,"")</f>
        <v/>
      </c>
      <c r="U729">
        <f>IF(OC_Donor=0,"",IF(INDEX('OneCause_Paste'!$A$729:$AZ$729,1,OC_Donor)="","",INDEX('OneCause_Paste'!$A$729:$AZ$729,1,OC_Donor)))</f>
        <v/>
      </c>
    </row>
    <row r="730">
      <c r="A730" s="62">
        <f>IF(H730="","",IF(ISNUMBER(N730),N730,I730))</f>
        <v/>
      </c>
      <c r="B730">
        <f>IF(H730="","",U730)</f>
        <v/>
      </c>
      <c r="C730">
        <f>IF(H730="","",IF(P730="",K730,INDEX('Students'!$A$2:$A$701,P730)))</f>
        <v/>
      </c>
      <c r="D730">
        <f>IF(OR(H730="",P730=""),"",INDEX('Students'!$B$2:$B$701,P730))</f>
        <v/>
      </c>
      <c r="E730">
        <f>IF(OR(H730="",P730=""),"",INDEX('Students'!$C$2:$C$701,P730))</f>
        <v/>
      </c>
      <c r="F730" s="48">
        <f>IF(H730="","",IF(ISNUMBER(O730),O730,J730))</f>
        <v/>
      </c>
      <c r="G730">
        <f>IF(H730="","","OneCause")</f>
        <v/>
      </c>
      <c r="H730">
        <f>IF(AND(I730="",J730="",K730=""),"",IF(NOT(ISNUMBER(O730)),"Bad amount",IF(O730&lt;0,"Refund (not counted)",IF(O730=0,"Zero amount",IF(NOT(ISNUMBER(N730)),"Bad date",IF(P730="","NAME NOT ON ROSTER",IF(L730="","OK",IF(MATCH(L730,$L$2:$L$3001,0)&lt;ROW()-1,"Duplicate (ignored)","OK"))))))))</f>
        <v/>
      </c>
      <c r="I730">
        <f>IF(OC_Date=0,"",IF(INDEX('OneCause_Paste'!$A$730:$AZ$730,1,OC_Date)="","",INDEX('OneCause_Paste'!$A$730:$AZ$730,1,OC_Date)))</f>
        <v/>
      </c>
      <c r="J730">
        <f>IF(OC_Amt=0,"",IF(INDEX('OneCause_Paste'!$A$730:$AZ$730,1,OC_Amt)="","",INDEX('OneCause_Paste'!$A$730:$AZ$730,1,OC_Amt)))</f>
        <v/>
      </c>
      <c r="K730">
        <f>IF(OC_Name=0,"",IF(INDEX('OneCause_Paste'!$A$730:$AZ$730,1,OC_Name)="","",INDEX('OneCause_Paste'!$A$730:$AZ$730,1,OC_Name)))</f>
        <v/>
      </c>
      <c r="L730">
        <f>IF(OC_Txn=0,"",IF(INDEX('OneCause_Paste'!$A$730:$AZ$730,1,OC_Txn)="","",INDEX('OneCause_Paste'!$A$730:$AZ$730,1,OC_Txn)))</f>
        <v/>
      </c>
      <c r="M730">
        <f>IF(OC_Pay=0,"",IF(INDEX('OneCause_Paste'!$A$730:$AZ$730,1,OC_Pay)="","",INDEX('OneCause_Paste'!$A$730:$AZ$730,1,OC_Pay)))</f>
        <v/>
      </c>
      <c r="N730">
        <f>IF(I730="","",IF(ISNUMBER(I730),INT(I730),IFERROR(INT(DATEVALUE(I730)),IFERROR(INT(VALUE(I730)),"bad"))))</f>
        <v/>
      </c>
      <c r="O730">
        <f>IF(J730="","",IF(ISNUMBER(J730),ROUND(J730,2),IFERROR(ROUND(VALUE(SUBSTITUTE(SUBSTITUTE(SUBSTITUTE(J730,"$",""),",","")," ","")),2),"bad")))</f>
        <v/>
      </c>
      <c r="P730">
        <f>IF(TRIM(K730)="","",IFERROR(MATCH(LOWER(TRIM(K730)),'Students'!$AH$2:$AH$701,0),IFERROR(MATCH(LOWER(TRIM(K730)),'Students'!$AF$2:$AF$701,0),IFERROR(MATCH(LOWER(TRIM(K730)),'Students'!$AG$2:$AG$701,0),""))))</f>
        <v/>
      </c>
      <c r="R730">
        <f>IF(P730="","",INDEX('Students'!$AD$2:$AD$701,P730))</f>
        <v/>
      </c>
      <c r="S730">
        <f>IF(H730="OK",O730,0)</f>
        <v/>
      </c>
      <c r="T730">
        <f>IF(H730="OK",N730,"")</f>
        <v/>
      </c>
      <c r="U730">
        <f>IF(OC_Donor=0,"",IF(INDEX('OneCause_Paste'!$A$730:$AZ$730,1,OC_Donor)="","",INDEX('OneCause_Paste'!$A$730:$AZ$730,1,OC_Donor)))</f>
        <v/>
      </c>
    </row>
    <row r="731">
      <c r="A731" s="62">
        <f>IF(H731="","",IF(ISNUMBER(N731),N731,I731))</f>
        <v/>
      </c>
      <c r="B731">
        <f>IF(H731="","",U731)</f>
        <v/>
      </c>
      <c r="C731">
        <f>IF(H731="","",IF(P731="",K731,INDEX('Students'!$A$2:$A$701,P731)))</f>
        <v/>
      </c>
      <c r="D731">
        <f>IF(OR(H731="",P731=""),"",INDEX('Students'!$B$2:$B$701,P731))</f>
        <v/>
      </c>
      <c r="E731">
        <f>IF(OR(H731="",P731=""),"",INDEX('Students'!$C$2:$C$701,P731))</f>
        <v/>
      </c>
      <c r="F731" s="48">
        <f>IF(H731="","",IF(ISNUMBER(O731),O731,J731))</f>
        <v/>
      </c>
      <c r="G731">
        <f>IF(H731="","","OneCause")</f>
        <v/>
      </c>
      <c r="H731">
        <f>IF(AND(I731="",J731="",K731=""),"",IF(NOT(ISNUMBER(O731)),"Bad amount",IF(O731&lt;0,"Refund (not counted)",IF(O731=0,"Zero amount",IF(NOT(ISNUMBER(N731)),"Bad date",IF(P731="","NAME NOT ON ROSTER",IF(L731="","OK",IF(MATCH(L731,$L$2:$L$3001,0)&lt;ROW()-1,"Duplicate (ignored)","OK"))))))))</f>
        <v/>
      </c>
      <c r="I731">
        <f>IF(OC_Date=0,"",IF(INDEX('OneCause_Paste'!$A$731:$AZ$731,1,OC_Date)="","",INDEX('OneCause_Paste'!$A$731:$AZ$731,1,OC_Date)))</f>
        <v/>
      </c>
      <c r="J731">
        <f>IF(OC_Amt=0,"",IF(INDEX('OneCause_Paste'!$A$731:$AZ$731,1,OC_Amt)="","",INDEX('OneCause_Paste'!$A$731:$AZ$731,1,OC_Amt)))</f>
        <v/>
      </c>
      <c r="K731">
        <f>IF(OC_Name=0,"",IF(INDEX('OneCause_Paste'!$A$731:$AZ$731,1,OC_Name)="","",INDEX('OneCause_Paste'!$A$731:$AZ$731,1,OC_Name)))</f>
        <v/>
      </c>
      <c r="L731">
        <f>IF(OC_Txn=0,"",IF(INDEX('OneCause_Paste'!$A$731:$AZ$731,1,OC_Txn)="","",INDEX('OneCause_Paste'!$A$731:$AZ$731,1,OC_Txn)))</f>
        <v/>
      </c>
      <c r="M731">
        <f>IF(OC_Pay=0,"",IF(INDEX('OneCause_Paste'!$A$731:$AZ$731,1,OC_Pay)="","",INDEX('OneCause_Paste'!$A$731:$AZ$731,1,OC_Pay)))</f>
        <v/>
      </c>
      <c r="N731">
        <f>IF(I731="","",IF(ISNUMBER(I731),INT(I731),IFERROR(INT(DATEVALUE(I731)),IFERROR(INT(VALUE(I731)),"bad"))))</f>
        <v/>
      </c>
      <c r="O731">
        <f>IF(J731="","",IF(ISNUMBER(J731),ROUND(J731,2),IFERROR(ROUND(VALUE(SUBSTITUTE(SUBSTITUTE(SUBSTITUTE(J731,"$",""),",","")," ","")),2),"bad")))</f>
        <v/>
      </c>
      <c r="P731">
        <f>IF(TRIM(K731)="","",IFERROR(MATCH(LOWER(TRIM(K731)),'Students'!$AH$2:$AH$701,0),IFERROR(MATCH(LOWER(TRIM(K731)),'Students'!$AF$2:$AF$701,0),IFERROR(MATCH(LOWER(TRIM(K731)),'Students'!$AG$2:$AG$701,0),""))))</f>
        <v/>
      </c>
      <c r="R731">
        <f>IF(P731="","",INDEX('Students'!$AD$2:$AD$701,P731))</f>
        <v/>
      </c>
      <c r="S731">
        <f>IF(H731="OK",O731,0)</f>
        <v/>
      </c>
      <c r="T731">
        <f>IF(H731="OK",N731,"")</f>
        <v/>
      </c>
      <c r="U731">
        <f>IF(OC_Donor=0,"",IF(INDEX('OneCause_Paste'!$A$731:$AZ$731,1,OC_Donor)="","",INDEX('OneCause_Paste'!$A$731:$AZ$731,1,OC_Donor)))</f>
        <v/>
      </c>
    </row>
    <row r="732">
      <c r="A732" s="62">
        <f>IF(H732="","",IF(ISNUMBER(N732),N732,I732))</f>
        <v/>
      </c>
      <c r="B732">
        <f>IF(H732="","",U732)</f>
        <v/>
      </c>
      <c r="C732">
        <f>IF(H732="","",IF(P732="",K732,INDEX('Students'!$A$2:$A$701,P732)))</f>
        <v/>
      </c>
      <c r="D732">
        <f>IF(OR(H732="",P732=""),"",INDEX('Students'!$B$2:$B$701,P732))</f>
        <v/>
      </c>
      <c r="E732">
        <f>IF(OR(H732="",P732=""),"",INDEX('Students'!$C$2:$C$701,P732))</f>
        <v/>
      </c>
      <c r="F732" s="48">
        <f>IF(H732="","",IF(ISNUMBER(O732),O732,J732))</f>
        <v/>
      </c>
      <c r="G732">
        <f>IF(H732="","","OneCause")</f>
        <v/>
      </c>
      <c r="H732">
        <f>IF(AND(I732="",J732="",K732=""),"",IF(NOT(ISNUMBER(O732)),"Bad amount",IF(O732&lt;0,"Refund (not counted)",IF(O732=0,"Zero amount",IF(NOT(ISNUMBER(N732)),"Bad date",IF(P732="","NAME NOT ON ROSTER",IF(L732="","OK",IF(MATCH(L732,$L$2:$L$3001,0)&lt;ROW()-1,"Duplicate (ignored)","OK"))))))))</f>
        <v/>
      </c>
      <c r="I732">
        <f>IF(OC_Date=0,"",IF(INDEX('OneCause_Paste'!$A$732:$AZ$732,1,OC_Date)="","",INDEX('OneCause_Paste'!$A$732:$AZ$732,1,OC_Date)))</f>
        <v/>
      </c>
      <c r="J732">
        <f>IF(OC_Amt=0,"",IF(INDEX('OneCause_Paste'!$A$732:$AZ$732,1,OC_Amt)="","",INDEX('OneCause_Paste'!$A$732:$AZ$732,1,OC_Amt)))</f>
        <v/>
      </c>
      <c r="K732">
        <f>IF(OC_Name=0,"",IF(INDEX('OneCause_Paste'!$A$732:$AZ$732,1,OC_Name)="","",INDEX('OneCause_Paste'!$A$732:$AZ$732,1,OC_Name)))</f>
        <v/>
      </c>
      <c r="L732">
        <f>IF(OC_Txn=0,"",IF(INDEX('OneCause_Paste'!$A$732:$AZ$732,1,OC_Txn)="","",INDEX('OneCause_Paste'!$A$732:$AZ$732,1,OC_Txn)))</f>
        <v/>
      </c>
      <c r="M732">
        <f>IF(OC_Pay=0,"",IF(INDEX('OneCause_Paste'!$A$732:$AZ$732,1,OC_Pay)="","",INDEX('OneCause_Paste'!$A$732:$AZ$732,1,OC_Pay)))</f>
        <v/>
      </c>
      <c r="N732">
        <f>IF(I732="","",IF(ISNUMBER(I732),INT(I732),IFERROR(INT(DATEVALUE(I732)),IFERROR(INT(VALUE(I732)),"bad"))))</f>
        <v/>
      </c>
      <c r="O732">
        <f>IF(J732="","",IF(ISNUMBER(J732),ROUND(J732,2),IFERROR(ROUND(VALUE(SUBSTITUTE(SUBSTITUTE(SUBSTITUTE(J732,"$",""),",","")," ","")),2),"bad")))</f>
        <v/>
      </c>
      <c r="P732">
        <f>IF(TRIM(K732)="","",IFERROR(MATCH(LOWER(TRIM(K732)),'Students'!$AH$2:$AH$701,0),IFERROR(MATCH(LOWER(TRIM(K732)),'Students'!$AF$2:$AF$701,0),IFERROR(MATCH(LOWER(TRIM(K732)),'Students'!$AG$2:$AG$701,0),""))))</f>
        <v/>
      </c>
      <c r="R732">
        <f>IF(P732="","",INDEX('Students'!$AD$2:$AD$701,P732))</f>
        <v/>
      </c>
      <c r="S732">
        <f>IF(H732="OK",O732,0)</f>
        <v/>
      </c>
      <c r="T732">
        <f>IF(H732="OK",N732,"")</f>
        <v/>
      </c>
      <c r="U732">
        <f>IF(OC_Donor=0,"",IF(INDEX('OneCause_Paste'!$A$732:$AZ$732,1,OC_Donor)="","",INDEX('OneCause_Paste'!$A$732:$AZ$732,1,OC_Donor)))</f>
        <v/>
      </c>
    </row>
    <row r="733">
      <c r="A733" s="62">
        <f>IF(H733="","",IF(ISNUMBER(N733),N733,I733))</f>
        <v/>
      </c>
      <c r="B733">
        <f>IF(H733="","",U733)</f>
        <v/>
      </c>
      <c r="C733">
        <f>IF(H733="","",IF(P733="",K733,INDEX('Students'!$A$2:$A$701,P733)))</f>
        <v/>
      </c>
      <c r="D733">
        <f>IF(OR(H733="",P733=""),"",INDEX('Students'!$B$2:$B$701,P733))</f>
        <v/>
      </c>
      <c r="E733">
        <f>IF(OR(H733="",P733=""),"",INDEX('Students'!$C$2:$C$701,P733))</f>
        <v/>
      </c>
      <c r="F733" s="48">
        <f>IF(H733="","",IF(ISNUMBER(O733),O733,J733))</f>
        <v/>
      </c>
      <c r="G733">
        <f>IF(H733="","","OneCause")</f>
        <v/>
      </c>
      <c r="H733">
        <f>IF(AND(I733="",J733="",K733=""),"",IF(NOT(ISNUMBER(O733)),"Bad amount",IF(O733&lt;0,"Refund (not counted)",IF(O733=0,"Zero amount",IF(NOT(ISNUMBER(N733)),"Bad date",IF(P733="","NAME NOT ON ROSTER",IF(L733="","OK",IF(MATCH(L733,$L$2:$L$3001,0)&lt;ROW()-1,"Duplicate (ignored)","OK"))))))))</f>
        <v/>
      </c>
      <c r="I733">
        <f>IF(OC_Date=0,"",IF(INDEX('OneCause_Paste'!$A$733:$AZ$733,1,OC_Date)="","",INDEX('OneCause_Paste'!$A$733:$AZ$733,1,OC_Date)))</f>
        <v/>
      </c>
      <c r="J733">
        <f>IF(OC_Amt=0,"",IF(INDEX('OneCause_Paste'!$A$733:$AZ$733,1,OC_Amt)="","",INDEX('OneCause_Paste'!$A$733:$AZ$733,1,OC_Amt)))</f>
        <v/>
      </c>
      <c r="K733">
        <f>IF(OC_Name=0,"",IF(INDEX('OneCause_Paste'!$A$733:$AZ$733,1,OC_Name)="","",INDEX('OneCause_Paste'!$A$733:$AZ$733,1,OC_Name)))</f>
        <v/>
      </c>
      <c r="L733">
        <f>IF(OC_Txn=0,"",IF(INDEX('OneCause_Paste'!$A$733:$AZ$733,1,OC_Txn)="","",INDEX('OneCause_Paste'!$A$733:$AZ$733,1,OC_Txn)))</f>
        <v/>
      </c>
      <c r="M733">
        <f>IF(OC_Pay=0,"",IF(INDEX('OneCause_Paste'!$A$733:$AZ$733,1,OC_Pay)="","",INDEX('OneCause_Paste'!$A$733:$AZ$733,1,OC_Pay)))</f>
        <v/>
      </c>
      <c r="N733">
        <f>IF(I733="","",IF(ISNUMBER(I733),INT(I733),IFERROR(INT(DATEVALUE(I733)),IFERROR(INT(VALUE(I733)),"bad"))))</f>
        <v/>
      </c>
      <c r="O733">
        <f>IF(J733="","",IF(ISNUMBER(J733),ROUND(J733,2),IFERROR(ROUND(VALUE(SUBSTITUTE(SUBSTITUTE(SUBSTITUTE(J733,"$",""),",","")," ","")),2),"bad")))</f>
        <v/>
      </c>
      <c r="P733">
        <f>IF(TRIM(K733)="","",IFERROR(MATCH(LOWER(TRIM(K733)),'Students'!$AH$2:$AH$701,0),IFERROR(MATCH(LOWER(TRIM(K733)),'Students'!$AF$2:$AF$701,0),IFERROR(MATCH(LOWER(TRIM(K733)),'Students'!$AG$2:$AG$701,0),""))))</f>
        <v/>
      </c>
      <c r="R733">
        <f>IF(P733="","",INDEX('Students'!$AD$2:$AD$701,P733))</f>
        <v/>
      </c>
      <c r="S733">
        <f>IF(H733="OK",O733,0)</f>
        <v/>
      </c>
      <c r="T733">
        <f>IF(H733="OK",N733,"")</f>
        <v/>
      </c>
      <c r="U733">
        <f>IF(OC_Donor=0,"",IF(INDEX('OneCause_Paste'!$A$733:$AZ$733,1,OC_Donor)="","",INDEX('OneCause_Paste'!$A$733:$AZ$733,1,OC_Donor)))</f>
        <v/>
      </c>
    </row>
    <row r="734">
      <c r="A734" s="62">
        <f>IF(H734="","",IF(ISNUMBER(N734),N734,I734))</f>
        <v/>
      </c>
      <c r="B734">
        <f>IF(H734="","",U734)</f>
        <v/>
      </c>
      <c r="C734">
        <f>IF(H734="","",IF(P734="",K734,INDEX('Students'!$A$2:$A$701,P734)))</f>
        <v/>
      </c>
      <c r="D734">
        <f>IF(OR(H734="",P734=""),"",INDEX('Students'!$B$2:$B$701,P734))</f>
        <v/>
      </c>
      <c r="E734">
        <f>IF(OR(H734="",P734=""),"",INDEX('Students'!$C$2:$C$701,P734))</f>
        <v/>
      </c>
      <c r="F734" s="48">
        <f>IF(H734="","",IF(ISNUMBER(O734),O734,J734))</f>
        <v/>
      </c>
      <c r="G734">
        <f>IF(H734="","","OneCause")</f>
        <v/>
      </c>
      <c r="H734">
        <f>IF(AND(I734="",J734="",K734=""),"",IF(NOT(ISNUMBER(O734)),"Bad amount",IF(O734&lt;0,"Refund (not counted)",IF(O734=0,"Zero amount",IF(NOT(ISNUMBER(N734)),"Bad date",IF(P734="","NAME NOT ON ROSTER",IF(L734="","OK",IF(MATCH(L734,$L$2:$L$3001,0)&lt;ROW()-1,"Duplicate (ignored)","OK"))))))))</f>
        <v/>
      </c>
      <c r="I734">
        <f>IF(OC_Date=0,"",IF(INDEX('OneCause_Paste'!$A$734:$AZ$734,1,OC_Date)="","",INDEX('OneCause_Paste'!$A$734:$AZ$734,1,OC_Date)))</f>
        <v/>
      </c>
      <c r="J734">
        <f>IF(OC_Amt=0,"",IF(INDEX('OneCause_Paste'!$A$734:$AZ$734,1,OC_Amt)="","",INDEX('OneCause_Paste'!$A$734:$AZ$734,1,OC_Amt)))</f>
        <v/>
      </c>
      <c r="K734">
        <f>IF(OC_Name=0,"",IF(INDEX('OneCause_Paste'!$A$734:$AZ$734,1,OC_Name)="","",INDEX('OneCause_Paste'!$A$734:$AZ$734,1,OC_Name)))</f>
        <v/>
      </c>
      <c r="L734">
        <f>IF(OC_Txn=0,"",IF(INDEX('OneCause_Paste'!$A$734:$AZ$734,1,OC_Txn)="","",INDEX('OneCause_Paste'!$A$734:$AZ$734,1,OC_Txn)))</f>
        <v/>
      </c>
      <c r="M734">
        <f>IF(OC_Pay=0,"",IF(INDEX('OneCause_Paste'!$A$734:$AZ$734,1,OC_Pay)="","",INDEX('OneCause_Paste'!$A$734:$AZ$734,1,OC_Pay)))</f>
        <v/>
      </c>
      <c r="N734">
        <f>IF(I734="","",IF(ISNUMBER(I734),INT(I734),IFERROR(INT(DATEVALUE(I734)),IFERROR(INT(VALUE(I734)),"bad"))))</f>
        <v/>
      </c>
      <c r="O734">
        <f>IF(J734="","",IF(ISNUMBER(J734),ROUND(J734,2),IFERROR(ROUND(VALUE(SUBSTITUTE(SUBSTITUTE(SUBSTITUTE(J734,"$",""),",","")," ","")),2),"bad")))</f>
        <v/>
      </c>
      <c r="P734">
        <f>IF(TRIM(K734)="","",IFERROR(MATCH(LOWER(TRIM(K734)),'Students'!$AH$2:$AH$701,0),IFERROR(MATCH(LOWER(TRIM(K734)),'Students'!$AF$2:$AF$701,0),IFERROR(MATCH(LOWER(TRIM(K734)),'Students'!$AG$2:$AG$701,0),""))))</f>
        <v/>
      </c>
      <c r="R734">
        <f>IF(P734="","",INDEX('Students'!$AD$2:$AD$701,P734))</f>
        <v/>
      </c>
      <c r="S734">
        <f>IF(H734="OK",O734,0)</f>
        <v/>
      </c>
      <c r="T734">
        <f>IF(H734="OK",N734,"")</f>
        <v/>
      </c>
      <c r="U734">
        <f>IF(OC_Donor=0,"",IF(INDEX('OneCause_Paste'!$A$734:$AZ$734,1,OC_Donor)="","",INDEX('OneCause_Paste'!$A$734:$AZ$734,1,OC_Donor)))</f>
        <v/>
      </c>
    </row>
    <row r="735">
      <c r="A735" s="62">
        <f>IF(H735="","",IF(ISNUMBER(N735),N735,I735))</f>
        <v/>
      </c>
      <c r="B735">
        <f>IF(H735="","",U735)</f>
        <v/>
      </c>
      <c r="C735">
        <f>IF(H735="","",IF(P735="",K735,INDEX('Students'!$A$2:$A$701,P735)))</f>
        <v/>
      </c>
      <c r="D735">
        <f>IF(OR(H735="",P735=""),"",INDEX('Students'!$B$2:$B$701,P735))</f>
        <v/>
      </c>
      <c r="E735">
        <f>IF(OR(H735="",P735=""),"",INDEX('Students'!$C$2:$C$701,P735))</f>
        <v/>
      </c>
      <c r="F735" s="48">
        <f>IF(H735="","",IF(ISNUMBER(O735),O735,J735))</f>
        <v/>
      </c>
      <c r="G735">
        <f>IF(H735="","","OneCause")</f>
        <v/>
      </c>
      <c r="H735">
        <f>IF(AND(I735="",J735="",K735=""),"",IF(NOT(ISNUMBER(O735)),"Bad amount",IF(O735&lt;0,"Refund (not counted)",IF(O735=0,"Zero amount",IF(NOT(ISNUMBER(N735)),"Bad date",IF(P735="","NAME NOT ON ROSTER",IF(L735="","OK",IF(MATCH(L735,$L$2:$L$3001,0)&lt;ROW()-1,"Duplicate (ignored)","OK"))))))))</f>
        <v/>
      </c>
      <c r="I735">
        <f>IF(OC_Date=0,"",IF(INDEX('OneCause_Paste'!$A$735:$AZ$735,1,OC_Date)="","",INDEX('OneCause_Paste'!$A$735:$AZ$735,1,OC_Date)))</f>
        <v/>
      </c>
      <c r="J735">
        <f>IF(OC_Amt=0,"",IF(INDEX('OneCause_Paste'!$A$735:$AZ$735,1,OC_Amt)="","",INDEX('OneCause_Paste'!$A$735:$AZ$735,1,OC_Amt)))</f>
        <v/>
      </c>
      <c r="K735">
        <f>IF(OC_Name=0,"",IF(INDEX('OneCause_Paste'!$A$735:$AZ$735,1,OC_Name)="","",INDEX('OneCause_Paste'!$A$735:$AZ$735,1,OC_Name)))</f>
        <v/>
      </c>
      <c r="L735">
        <f>IF(OC_Txn=0,"",IF(INDEX('OneCause_Paste'!$A$735:$AZ$735,1,OC_Txn)="","",INDEX('OneCause_Paste'!$A$735:$AZ$735,1,OC_Txn)))</f>
        <v/>
      </c>
      <c r="M735">
        <f>IF(OC_Pay=0,"",IF(INDEX('OneCause_Paste'!$A$735:$AZ$735,1,OC_Pay)="","",INDEX('OneCause_Paste'!$A$735:$AZ$735,1,OC_Pay)))</f>
        <v/>
      </c>
      <c r="N735">
        <f>IF(I735="","",IF(ISNUMBER(I735),INT(I735),IFERROR(INT(DATEVALUE(I735)),IFERROR(INT(VALUE(I735)),"bad"))))</f>
        <v/>
      </c>
      <c r="O735">
        <f>IF(J735="","",IF(ISNUMBER(J735),ROUND(J735,2),IFERROR(ROUND(VALUE(SUBSTITUTE(SUBSTITUTE(SUBSTITUTE(J735,"$",""),",","")," ","")),2),"bad")))</f>
        <v/>
      </c>
      <c r="P735">
        <f>IF(TRIM(K735)="","",IFERROR(MATCH(LOWER(TRIM(K735)),'Students'!$AH$2:$AH$701,0),IFERROR(MATCH(LOWER(TRIM(K735)),'Students'!$AF$2:$AF$701,0),IFERROR(MATCH(LOWER(TRIM(K735)),'Students'!$AG$2:$AG$701,0),""))))</f>
        <v/>
      </c>
      <c r="R735">
        <f>IF(P735="","",INDEX('Students'!$AD$2:$AD$701,P735))</f>
        <v/>
      </c>
      <c r="S735">
        <f>IF(H735="OK",O735,0)</f>
        <v/>
      </c>
      <c r="T735">
        <f>IF(H735="OK",N735,"")</f>
        <v/>
      </c>
      <c r="U735">
        <f>IF(OC_Donor=0,"",IF(INDEX('OneCause_Paste'!$A$735:$AZ$735,1,OC_Donor)="","",INDEX('OneCause_Paste'!$A$735:$AZ$735,1,OC_Donor)))</f>
        <v/>
      </c>
    </row>
    <row r="736">
      <c r="A736" s="62">
        <f>IF(H736="","",IF(ISNUMBER(N736),N736,I736))</f>
        <v/>
      </c>
      <c r="B736">
        <f>IF(H736="","",U736)</f>
        <v/>
      </c>
      <c r="C736">
        <f>IF(H736="","",IF(P736="",K736,INDEX('Students'!$A$2:$A$701,P736)))</f>
        <v/>
      </c>
      <c r="D736">
        <f>IF(OR(H736="",P736=""),"",INDEX('Students'!$B$2:$B$701,P736))</f>
        <v/>
      </c>
      <c r="E736">
        <f>IF(OR(H736="",P736=""),"",INDEX('Students'!$C$2:$C$701,P736))</f>
        <v/>
      </c>
      <c r="F736" s="48">
        <f>IF(H736="","",IF(ISNUMBER(O736),O736,J736))</f>
        <v/>
      </c>
      <c r="G736">
        <f>IF(H736="","","OneCause")</f>
        <v/>
      </c>
      <c r="H736">
        <f>IF(AND(I736="",J736="",K736=""),"",IF(NOT(ISNUMBER(O736)),"Bad amount",IF(O736&lt;0,"Refund (not counted)",IF(O736=0,"Zero amount",IF(NOT(ISNUMBER(N736)),"Bad date",IF(P736="","NAME NOT ON ROSTER",IF(L736="","OK",IF(MATCH(L736,$L$2:$L$3001,0)&lt;ROW()-1,"Duplicate (ignored)","OK"))))))))</f>
        <v/>
      </c>
      <c r="I736">
        <f>IF(OC_Date=0,"",IF(INDEX('OneCause_Paste'!$A$736:$AZ$736,1,OC_Date)="","",INDEX('OneCause_Paste'!$A$736:$AZ$736,1,OC_Date)))</f>
        <v/>
      </c>
      <c r="J736">
        <f>IF(OC_Amt=0,"",IF(INDEX('OneCause_Paste'!$A$736:$AZ$736,1,OC_Amt)="","",INDEX('OneCause_Paste'!$A$736:$AZ$736,1,OC_Amt)))</f>
        <v/>
      </c>
      <c r="K736">
        <f>IF(OC_Name=0,"",IF(INDEX('OneCause_Paste'!$A$736:$AZ$736,1,OC_Name)="","",INDEX('OneCause_Paste'!$A$736:$AZ$736,1,OC_Name)))</f>
        <v/>
      </c>
      <c r="L736">
        <f>IF(OC_Txn=0,"",IF(INDEX('OneCause_Paste'!$A$736:$AZ$736,1,OC_Txn)="","",INDEX('OneCause_Paste'!$A$736:$AZ$736,1,OC_Txn)))</f>
        <v/>
      </c>
      <c r="M736">
        <f>IF(OC_Pay=0,"",IF(INDEX('OneCause_Paste'!$A$736:$AZ$736,1,OC_Pay)="","",INDEX('OneCause_Paste'!$A$736:$AZ$736,1,OC_Pay)))</f>
        <v/>
      </c>
      <c r="N736">
        <f>IF(I736="","",IF(ISNUMBER(I736),INT(I736),IFERROR(INT(DATEVALUE(I736)),IFERROR(INT(VALUE(I736)),"bad"))))</f>
        <v/>
      </c>
      <c r="O736">
        <f>IF(J736="","",IF(ISNUMBER(J736),ROUND(J736,2),IFERROR(ROUND(VALUE(SUBSTITUTE(SUBSTITUTE(SUBSTITUTE(J736,"$",""),",","")," ","")),2),"bad")))</f>
        <v/>
      </c>
      <c r="P736">
        <f>IF(TRIM(K736)="","",IFERROR(MATCH(LOWER(TRIM(K736)),'Students'!$AH$2:$AH$701,0),IFERROR(MATCH(LOWER(TRIM(K736)),'Students'!$AF$2:$AF$701,0),IFERROR(MATCH(LOWER(TRIM(K736)),'Students'!$AG$2:$AG$701,0),""))))</f>
        <v/>
      </c>
      <c r="R736">
        <f>IF(P736="","",INDEX('Students'!$AD$2:$AD$701,P736))</f>
        <v/>
      </c>
      <c r="S736">
        <f>IF(H736="OK",O736,0)</f>
        <v/>
      </c>
      <c r="T736">
        <f>IF(H736="OK",N736,"")</f>
        <v/>
      </c>
      <c r="U736">
        <f>IF(OC_Donor=0,"",IF(INDEX('OneCause_Paste'!$A$736:$AZ$736,1,OC_Donor)="","",INDEX('OneCause_Paste'!$A$736:$AZ$736,1,OC_Donor)))</f>
        <v/>
      </c>
    </row>
    <row r="737">
      <c r="A737" s="62">
        <f>IF(H737="","",IF(ISNUMBER(N737),N737,I737))</f>
        <v/>
      </c>
      <c r="B737">
        <f>IF(H737="","",U737)</f>
        <v/>
      </c>
      <c r="C737">
        <f>IF(H737="","",IF(P737="",K737,INDEX('Students'!$A$2:$A$701,P737)))</f>
        <v/>
      </c>
      <c r="D737">
        <f>IF(OR(H737="",P737=""),"",INDEX('Students'!$B$2:$B$701,P737))</f>
        <v/>
      </c>
      <c r="E737">
        <f>IF(OR(H737="",P737=""),"",INDEX('Students'!$C$2:$C$701,P737))</f>
        <v/>
      </c>
      <c r="F737" s="48">
        <f>IF(H737="","",IF(ISNUMBER(O737),O737,J737))</f>
        <v/>
      </c>
      <c r="G737">
        <f>IF(H737="","","OneCause")</f>
        <v/>
      </c>
      <c r="H737">
        <f>IF(AND(I737="",J737="",K737=""),"",IF(NOT(ISNUMBER(O737)),"Bad amount",IF(O737&lt;0,"Refund (not counted)",IF(O737=0,"Zero amount",IF(NOT(ISNUMBER(N737)),"Bad date",IF(P737="","NAME NOT ON ROSTER",IF(L737="","OK",IF(MATCH(L737,$L$2:$L$3001,0)&lt;ROW()-1,"Duplicate (ignored)","OK"))))))))</f>
        <v/>
      </c>
      <c r="I737">
        <f>IF(OC_Date=0,"",IF(INDEX('OneCause_Paste'!$A$737:$AZ$737,1,OC_Date)="","",INDEX('OneCause_Paste'!$A$737:$AZ$737,1,OC_Date)))</f>
        <v/>
      </c>
      <c r="J737">
        <f>IF(OC_Amt=0,"",IF(INDEX('OneCause_Paste'!$A$737:$AZ$737,1,OC_Amt)="","",INDEX('OneCause_Paste'!$A$737:$AZ$737,1,OC_Amt)))</f>
        <v/>
      </c>
      <c r="K737">
        <f>IF(OC_Name=0,"",IF(INDEX('OneCause_Paste'!$A$737:$AZ$737,1,OC_Name)="","",INDEX('OneCause_Paste'!$A$737:$AZ$737,1,OC_Name)))</f>
        <v/>
      </c>
      <c r="L737">
        <f>IF(OC_Txn=0,"",IF(INDEX('OneCause_Paste'!$A$737:$AZ$737,1,OC_Txn)="","",INDEX('OneCause_Paste'!$A$737:$AZ$737,1,OC_Txn)))</f>
        <v/>
      </c>
      <c r="M737">
        <f>IF(OC_Pay=0,"",IF(INDEX('OneCause_Paste'!$A$737:$AZ$737,1,OC_Pay)="","",INDEX('OneCause_Paste'!$A$737:$AZ$737,1,OC_Pay)))</f>
        <v/>
      </c>
      <c r="N737">
        <f>IF(I737="","",IF(ISNUMBER(I737),INT(I737),IFERROR(INT(DATEVALUE(I737)),IFERROR(INT(VALUE(I737)),"bad"))))</f>
        <v/>
      </c>
      <c r="O737">
        <f>IF(J737="","",IF(ISNUMBER(J737),ROUND(J737,2),IFERROR(ROUND(VALUE(SUBSTITUTE(SUBSTITUTE(SUBSTITUTE(J737,"$",""),",","")," ","")),2),"bad")))</f>
        <v/>
      </c>
      <c r="P737">
        <f>IF(TRIM(K737)="","",IFERROR(MATCH(LOWER(TRIM(K737)),'Students'!$AH$2:$AH$701,0),IFERROR(MATCH(LOWER(TRIM(K737)),'Students'!$AF$2:$AF$701,0),IFERROR(MATCH(LOWER(TRIM(K737)),'Students'!$AG$2:$AG$701,0),""))))</f>
        <v/>
      </c>
      <c r="R737">
        <f>IF(P737="","",INDEX('Students'!$AD$2:$AD$701,P737))</f>
        <v/>
      </c>
      <c r="S737">
        <f>IF(H737="OK",O737,0)</f>
        <v/>
      </c>
      <c r="T737">
        <f>IF(H737="OK",N737,"")</f>
        <v/>
      </c>
      <c r="U737">
        <f>IF(OC_Donor=0,"",IF(INDEX('OneCause_Paste'!$A$737:$AZ$737,1,OC_Donor)="","",INDEX('OneCause_Paste'!$A$737:$AZ$737,1,OC_Donor)))</f>
        <v/>
      </c>
    </row>
    <row r="738">
      <c r="A738" s="62">
        <f>IF(H738="","",IF(ISNUMBER(N738),N738,I738))</f>
        <v/>
      </c>
      <c r="B738">
        <f>IF(H738="","",U738)</f>
        <v/>
      </c>
      <c r="C738">
        <f>IF(H738="","",IF(P738="",K738,INDEX('Students'!$A$2:$A$701,P738)))</f>
        <v/>
      </c>
      <c r="D738">
        <f>IF(OR(H738="",P738=""),"",INDEX('Students'!$B$2:$B$701,P738))</f>
        <v/>
      </c>
      <c r="E738">
        <f>IF(OR(H738="",P738=""),"",INDEX('Students'!$C$2:$C$701,P738))</f>
        <v/>
      </c>
      <c r="F738" s="48">
        <f>IF(H738="","",IF(ISNUMBER(O738),O738,J738))</f>
        <v/>
      </c>
      <c r="G738">
        <f>IF(H738="","","OneCause")</f>
        <v/>
      </c>
      <c r="H738">
        <f>IF(AND(I738="",J738="",K738=""),"",IF(NOT(ISNUMBER(O738)),"Bad amount",IF(O738&lt;0,"Refund (not counted)",IF(O738=0,"Zero amount",IF(NOT(ISNUMBER(N738)),"Bad date",IF(P738="","NAME NOT ON ROSTER",IF(L738="","OK",IF(MATCH(L738,$L$2:$L$3001,0)&lt;ROW()-1,"Duplicate (ignored)","OK"))))))))</f>
        <v/>
      </c>
      <c r="I738">
        <f>IF(OC_Date=0,"",IF(INDEX('OneCause_Paste'!$A$738:$AZ$738,1,OC_Date)="","",INDEX('OneCause_Paste'!$A$738:$AZ$738,1,OC_Date)))</f>
        <v/>
      </c>
      <c r="J738">
        <f>IF(OC_Amt=0,"",IF(INDEX('OneCause_Paste'!$A$738:$AZ$738,1,OC_Amt)="","",INDEX('OneCause_Paste'!$A$738:$AZ$738,1,OC_Amt)))</f>
        <v/>
      </c>
      <c r="K738">
        <f>IF(OC_Name=0,"",IF(INDEX('OneCause_Paste'!$A$738:$AZ$738,1,OC_Name)="","",INDEX('OneCause_Paste'!$A$738:$AZ$738,1,OC_Name)))</f>
        <v/>
      </c>
      <c r="L738">
        <f>IF(OC_Txn=0,"",IF(INDEX('OneCause_Paste'!$A$738:$AZ$738,1,OC_Txn)="","",INDEX('OneCause_Paste'!$A$738:$AZ$738,1,OC_Txn)))</f>
        <v/>
      </c>
      <c r="M738">
        <f>IF(OC_Pay=0,"",IF(INDEX('OneCause_Paste'!$A$738:$AZ$738,1,OC_Pay)="","",INDEX('OneCause_Paste'!$A$738:$AZ$738,1,OC_Pay)))</f>
        <v/>
      </c>
      <c r="N738">
        <f>IF(I738="","",IF(ISNUMBER(I738),INT(I738),IFERROR(INT(DATEVALUE(I738)),IFERROR(INT(VALUE(I738)),"bad"))))</f>
        <v/>
      </c>
      <c r="O738">
        <f>IF(J738="","",IF(ISNUMBER(J738),ROUND(J738,2),IFERROR(ROUND(VALUE(SUBSTITUTE(SUBSTITUTE(SUBSTITUTE(J738,"$",""),",","")," ","")),2),"bad")))</f>
        <v/>
      </c>
      <c r="P738">
        <f>IF(TRIM(K738)="","",IFERROR(MATCH(LOWER(TRIM(K738)),'Students'!$AH$2:$AH$701,0),IFERROR(MATCH(LOWER(TRIM(K738)),'Students'!$AF$2:$AF$701,0),IFERROR(MATCH(LOWER(TRIM(K738)),'Students'!$AG$2:$AG$701,0),""))))</f>
        <v/>
      </c>
      <c r="R738">
        <f>IF(P738="","",INDEX('Students'!$AD$2:$AD$701,P738))</f>
        <v/>
      </c>
      <c r="S738">
        <f>IF(H738="OK",O738,0)</f>
        <v/>
      </c>
      <c r="T738">
        <f>IF(H738="OK",N738,"")</f>
        <v/>
      </c>
      <c r="U738">
        <f>IF(OC_Donor=0,"",IF(INDEX('OneCause_Paste'!$A$738:$AZ$738,1,OC_Donor)="","",INDEX('OneCause_Paste'!$A$738:$AZ$738,1,OC_Donor)))</f>
        <v/>
      </c>
    </row>
    <row r="739">
      <c r="A739" s="62">
        <f>IF(H739="","",IF(ISNUMBER(N739),N739,I739))</f>
        <v/>
      </c>
      <c r="B739">
        <f>IF(H739="","",U739)</f>
        <v/>
      </c>
      <c r="C739">
        <f>IF(H739="","",IF(P739="",K739,INDEX('Students'!$A$2:$A$701,P739)))</f>
        <v/>
      </c>
      <c r="D739">
        <f>IF(OR(H739="",P739=""),"",INDEX('Students'!$B$2:$B$701,P739))</f>
        <v/>
      </c>
      <c r="E739">
        <f>IF(OR(H739="",P739=""),"",INDEX('Students'!$C$2:$C$701,P739))</f>
        <v/>
      </c>
      <c r="F739" s="48">
        <f>IF(H739="","",IF(ISNUMBER(O739),O739,J739))</f>
        <v/>
      </c>
      <c r="G739">
        <f>IF(H739="","","OneCause")</f>
        <v/>
      </c>
      <c r="H739">
        <f>IF(AND(I739="",J739="",K739=""),"",IF(NOT(ISNUMBER(O739)),"Bad amount",IF(O739&lt;0,"Refund (not counted)",IF(O739=0,"Zero amount",IF(NOT(ISNUMBER(N739)),"Bad date",IF(P739="","NAME NOT ON ROSTER",IF(L739="","OK",IF(MATCH(L739,$L$2:$L$3001,0)&lt;ROW()-1,"Duplicate (ignored)","OK"))))))))</f>
        <v/>
      </c>
      <c r="I739">
        <f>IF(OC_Date=0,"",IF(INDEX('OneCause_Paste'!$A$739:$AZ$739,1,OC_Date)="","",INDEX('OneCause_Paste'!$A$739:$AZ$739,1,OC_Date)))</f>
        <v/>
      </c>
      <c r="J739">
        <f>IF(OC_Amt=0,"",IF(INDEX('OneCause_Paste'!$A$739:$AZ$739,1,OC_Amt)="","",INDEX('OneCause_Paste'!$A$739:$AZ$739,1,OC_Amt)))</f>
        <v/>
      </c>
      <c r="K739">
        <f>IF(OC_Name=0,"",IF(INDEX('OneCause_Paste'!$A$739:$AZ$739,1,OC_Name)="","",INDEX('OneCause_Paste'!$A$739:$AZ$739,1,OC_Name)))</f>
        <v/>
      </c>
      <c r="L739">
        <f>IF(OC_Txn=0,"",IF(INDEX('OneCause_Paste'!$A$739:$AZ$739,1,OC_Txn)="","",INDEX('OneCause_Paste'!$A$739:$AZ$739,1,OC_Txn)))</f>
        <v/>
      </c>
      <c r="M739">
        <f>IF(OC_Pay=0,"",IF(INDEX('OneCause_Paste'!$A$739:$AZ$739,1,OC_Pay)="","",INDEX('OneCause_Paste'!$A$739:$AZ$739,1,OC_Pay)))</f>
        <v/>
      </c>
      <c r="N739">
        <f>IF(I739="","",IF(ISNUMBER(I739),INT(I739),IFERROR(INT(DATEVALUE(I739)),IFERROR(INT(VALUE(I739)),"bad"))))</f>
        <v/>
      </c>
      <c r="O739">
        <f>IF(J739="","",IF(ISNUMBER(J739),ROUND(J739,2),IFERROR(ROUND(VALUE(SUBSTITUTE(SUBSTITUTE(SUBSTITUTE(J739,"$",""),",","")," ","")),2),"bad")))</f>
        <v/>
      </c>
      <c r="P739">
        <f>IF(TRIM(K739)="","",IFERROR(MATCH(LOWER(TRIM(K739)),'Students'!$AH$2:$AH$701,0),IFERROR(MATCH(LOWER(TRIM(K739)),'Students'!$AF$2:$AF$701,0),IFERROR(MATCH(LOWER(TRIM(K739)),'Students'!$AG$2:$AG$701,0),""))))</f>
        <v/>
      </c>
      <c r="R739">
        <f>IF(P739="","",INDEX('Students'!$AD$2:$AD$701,P739))</f>
        <v/>
      </c>
      <c r="S739">
        <f>IF(H739="OK",O739,0)</f>
        <v/>
      </c>
      <c r="T739">
        <f>IF(H739="OK",N739,"")</f>
        <v/>
      </c>
      <c r="U739">
        <f>IF(OC_Donor=0,"",IF(INDEX('OneCause_Paste'!$A$739:$AZ$739,1,OC_Donor)="","",INDEX('OneCause_Paste'!$A$739:$AZ$739,1,OC_Donor)))</f>
        <v/>
      </c>
    </row>
    <row r="740">
      <c r="A740" s="62">
        <f>IF(H740="","",IF(ISNUMBER(N740),N740,I740))</f>
        <v/>
      </c>
      <c r="B740">
        <f>IF(H740="","",U740)</f>
        <v/>
      </c>
      <c r="C740">
        <f>IF(H740="","",IF(P740="",K740,INDEX('Students'!$A$2:$A$701,P740)))</f>
        <v/>
      </c>
      <c r="D740">
        <f>IF(OR(H740="",P740=""),"",INDEX('Students'!$B$2:$B$701,P740))</f>
        <v/>
      </c>
      <c r="E740">
        <f>IF(OR(H740="",P740=""),"",INDEX('Students'!$C$2:$C$701,P740))</f>
        <v/>
      </c>
      <c r="F740" s="48">
        <f>IF(H740="","",IF(ISNUMBER(O740),O740,J740))</f>
        <v/>
      </c>
      <c r="G740">
        <f>IF(H740="","","OneCause")</f>
        <v/>
      </c>
      <c r="H740">
        <f>IF(AND(I740="",J740="",K740=""),"",IF(NOT(ISNUMBER(O740)),"Bad amount",IF(O740&lt;0,"Refund (not counted)",IF(O740=0,"Zero amount",IF(NOT(ISNUMBER(N740)),"Bad date",IF(P740="","NAME NOT ON ROSTER",IF(L740="","OK",IF(MATCH(L740,$L$2:$L$3001,0)&lt;ROW()-1,"Duplicate (ignored)","OK"))))))))</f>
        <v/>
      </c>
      <c r="I740">
        <f>IF(OC_Date=0,"",IF(INDEX('OneCause_Paste'!$A$740:$AZ$740,1,OC_Date)="","",INDEX('OneCause_Paste'!$A$740:$AZ$740,1,OC_Date)))</f>
        <v/>
      </c>
      <c r="J740">
        <f>IF(OC_Amt=0,"",IF(INDEX('OneCause_Paste'!$A$740:$AZ$740,1,OC_Amt)="","",INDEX('OneCause_Paste'!$A$740:$AZ$740,1,OC_Amt)))</f>
        <v/>
      </c>
      <c r="K740">
        <f>IF(OC_Name=0,"",IF(INDEX('OneCause_Paste'!$A$740:$AZ$740,1,OC_Name)="","",INDEX('OneCause_Paste'!$A$740:$AZ$740,1,OC_Name)))</f>
        <v/>
      </c>
      <c r="L740">
        <f>IF(OC_Txn=0,"",IF(INDEX('OneCause_Paste'!$A$740:$AZ$740,1,OC_Txn)="","",INDEX('OneCause_Paste'!$A$740:$AZ$740,1,OC_Txn)))</f>
        <v/>
      </c>
      <c r="M740">
        <f>IF(OC_Pay=0,"",IF(INDEX('OneCause_Paste'!$A$740:$AZ$740,1,OC_Pay)="","",INDEX('OneCause_Paste'!$A$740:$AZ$740,1,OC_Pay)))</f>
        <v/>
      </c>
      <c r="N740">
        <f>IF(I740="","",IF(ISNUMBER(I740),INT(I740),IFERROR(INT(DATEVALUE(I740)),IFERROR(INT(VALUE(I740)),"bad"))))</f>
        <v/>
      </c>
      <c r="O740">
        <f>IF(J740="","",IF(ISNUMBER(J740),ROUND(J740,2),IFERROR(ROUND(VALUE(SUBSTITUTE(SUBSTITUTE(SUBSTITUTE(J740,"$",""),",","")," ","")),2),"bad")))</f>
        <v/>
      </c>
      <c r="P740">
        <f>IF(TRIM(K740)="","",IFERROR(MATCH(LOWER(TRIM(K740)),'Students'!$AH$2:$AH$701,0),IFERROR(MATCH(LOWER(TRIM(K740)),'Students'!$AF$2:$AF$701,0),IFERROR(MATCH(LOWER(TRIM(K740)),'Students'!$AG$2:$AG$701,0),""))))</f>
        <v/>
      </c>
      <c r="R740">
        <f>IF(P740="","",INDEX('Students'!$AD$2:$AD$701,P740))</f>
        <v/>
      </c>
      <c r="S740">
        <f>IF(H740="OK",O740,0)</f>
        <v/>
      </c>
      <c r="T740">
        <f>IF(H740="OK",N740,"")</f>
        <v/>
      </c>
      <c r="U740">
        <f>IF(OC_Donor=0,"",IF(INDEX('OneCause_Paste'!$A$740:$AZ$740,1,OC_Donor)="","",INDEX('OneCause_Paste'!$A$740:$AZ$740,1,OC_Donor)))</f>
        <v/>
      </c>
    </row>
    <row r="741">
      <c r="A741" s="62">
        <f>IF(H741="","",IF(ISNUMBER(N741),N741,I741))</f>
        <v/>
      </c>
      <c r="B741">
        <f>IF(H741="","",U741)</f>
        <v/>
      </c>
      <c r="C741">
        <f>IF(H741="","",IF(P741="",K741,INDEX('Students'!$A$2:$A$701,P741)))</f>
        <v/>
      </c>
      <c r="D741">
        <f>IF(OR(H741="",P741=""),"",INDEX('Students'!$B$2:$B$701,P741))</f>
        <v/>
      </c>
      <c r="E741">
        <f>IF(OR(H741="",P741=""),"",INDEX('Students'!$C$2:$C$701,P741))</f>
        <v/>
      </c>
      <c r="F741" s="48">
        <f>IF(H741="","",IF(ISNUMBER(O741),O741,J741))</f>
        <v/>
      </c>
      <c r="G741">
        <f>IF(H741="","","OneCause")</f>
        <v/>
      </c>
      <c r="H741">
        <f>IF(AND(I741="",J741="",K741=""),"",IF(NOT(ISNUMBER(O741)),"Bad amount",IF(O741&lt;0,"Refund (not counted)",IF(O741=0,"Zero amount",IF(NOT(ISNUMBER(N741)),"Bad date",IF(P741="","NAME NOT ON ROSTER",IF(L741="","OK",IF(MATCH(L741,$L$2:$L$3001,0)&lt;ROW()-1,"Duplicate (ignored)","OK"))))))))</f>
        <v/>
      </c>
      <c r="I741">
        <f>IF(OC_Date=0,"",IF(INDEX('OneCause_Paste'!$A$741:$AZ$741,1,OC_Date)="","",INDEX('OneCause_Paste'!$A$741:$AZ$741,1,OC_Date)))</f>
        <v/>
      </c>
      <c r="J741">
        <f>IF(OC_Amt=0,"",IF(INDEX('OneCause_Paste'!$A$741:$AZ$741,1,OC_Amt)="","",INDEX('OneCause_Paste'!$A$741:$AZ$741,1,OC_Amt)))</f>
        <v/>
      </c>
      <c r="K741">
        <f>IF(OC_Name=0,"",IF(INDEX('OneCause_Paste'!$A$741:$AZ$741,1,OC_Name)="","",INDEX('OneCause_Paste'!$A$741:$AZ$741,1,OC_Name)))</f>
        <v/>
      </c>
      <c r="L741">
        <f>IF(OC_Txn=0,"",IF(INDEX('OneCause_Paste'!$A$741:$AZ$741,1,OC_Txn)="","",INDEX('OneCause_Paste'!$A$741:$AZ$741,1,OC_Txn)))</f>
        <v/>
      </c>
      <c r="M741">
        <f>IF(OC_Pay=0,"",IF(INDEX('OneCause_Paste'!$A$741:$AZ$741,1,OC_Pay)="","",INDEX('OneCause_Paste'!$A$741:$AZ$741,1,OC_Pay)))</f>
        <v/>
      </c>
      <c r="N741">
        <f>IF(I741="","",IF(ISNUMBER(I741),INT(I741),IFERROR(INT(DATEVALUE(I741)),IFERROR(INT(VALUE(I741)),"bad"))))</f>
        <v/>
      </c>
      <c r="O741">
        <f>IF(J741="","",IF(ISNUMBER(J741),ROUND(J741,2),IFERROR(ROUND(VALUE(SUBSTITUTE(SUBSTITUTE(SUBSTITUTE(J741,"$",""),",","")," ","")),2),"bad")))</f>
        <v/>
      </c>
      <c r="P741">
        <f>IF(TRIM(K741)="","",IFERROR(MATCH(LOWER(TRIM(K741)),'Students'!$AH$2:$AH$701,0),IFERROR(MATCH(LOWER(TRIM(K741)),'Students'!$AF$2:$AF$701,0),IFERROR(MATCH(LOWER(TRIM(K741)),'Students'!$AG$2:$AG$701,0),""))))</f>
        <v/>
      </c>
      <c r="R741">
        <f>IF(P741="","",INDEX('Students'!$AD$2:$AD$701,P741))</f>
        <v/>
      </c>
      <c r="S741">
        <f>IF(H741="OK",O741,0)</f>
        <v/>
      </c>
      <c r="T741">
        <f>IF(H741="OK",N741,"")</f>
        <v/>
      </c>
      <c r="U741">
        <f>IF(OC_Donor=0,"",IF(INDEX('OneCause_Paste'!$A$741:$AZ$741,1,OC_Donor)="","",INDEX('OneCause_Paste'!$A$741:$AZ$741,1,OC_Donor)))</f>
        <v/>
      </c>
    </row>
    <row r="742">
      <c r="A742" s="62">
        <f>IF(H742="","",IF(ISNUMBER(N742),N742,I742))</f>
        <v/>
      </c>
      <c r="B742">
        <f>IF(H742="","",U742)</f>
        <v/>
      </c>
      <c r="C742">
        <f>IF(H742="","",IF(P742="",K742,INDEX('Students'!$A$2:$A$701,P742)))</f>
        <v/>
      </c>
      <c r="D742">
        <f>IF(OR(H742="",P742=""),"",INDEX('Students'!$B$2:$B$701,P742))</f>
        <v/>
      </c>
      <c r="E742">
        <f>IF(OR(H742="",P742=""),"",INDEX('Students'!$C$2:$C$701,P742))</f>
        <v/>
      </c>
      <c r="F742" s="48">
        <f>IF(H742="","",IF(ISNUMBER(O742),O742,J742))</f>
        <v/>
      </c>
      <c r="G742">
        <f>IF(H742="","","OneCause")</f>
        <v/>
      </c>
      <c r="H742">
        <f>IF(AND(I742="",J742="",K742=""),"",IF(NOT(ISNUMBER(O742)),"Bad amount",IF(O742&lt;0,"Refund (not counted)",IF(O742=0,"Zero amount",IF(NOT(ISNUMBER(N742)),"Bad date",IF(P742="","NAME NOT ON ROSTER",IF(L742="","OK",IF(MATCH(L742,$L$2:$L$3001,0)&lt;ROW()-1,"Duplicate (ignored)","OK"))))))))</f>
        <v/>
      </c>
      <c r="I742">
        <f>IF(OC_Date=0,"",IF(INDEX('OneCause_Paste'!$A$742:$AZ$742,1,OC_Date)="","",INDEX('OneCause_Paste'!$A$742:$AZ$742,1,OC_Date)))</f>
        <v/>
      </c>
      <c r="J742">
        <f>IF(OC_Amt=0,"",IF(INDEX('OneCause_Paste'!$A$742:$AZ$742,1,OC_Amt)="","",INDEX('OneCause_Paste'!$A$742:$AZ$742,1,OC_Amt)))</f>
        <v/>
      </c>
      <c r="K742">
        <f>IF(OC_Name=0,"",IF(INDEX('OneCause_Paste'!$A$742:$AZ$742,1,OC_Name)="","",INDEX('OneCause_Paste'!$A$742:$AZ$742,1,OC_Name)))</f>
        <v/>
      </c>
      <c r="L742">
        <f>IF(OC_Txn=0,"",IF(INDEX('OneCause_Paste'!$A$742:$AZ$742,1,OC_Txn)="","",INDEX('OneCause_Paste'!$A$742:$AZ$742,1,OC_Txn)))</f>
        <v/>
      </c>
      <c r="M742">
        <f>IF(OC_Pay=0,"",IF(INDEX('OneCause_Paste'!$A$742:$AZ$742,1,OC_Pay)="","",INDEX('OneCause_Paste'!$A$742:$AZ$742,1,OC_Pay)))</f>
        <v/>
      </c>
      <c r="N742">
        <f>IF(I742="","",IF(ISNUMBER(I742),INT(I742),IFERROR(INT(DATEVALUE(I742)),IFERROR(INT(VALUE(I742)),"bad"))))</f>
        <v/>
      </c>
      <c r="O742">
        <f>IF(J742="","",IF(ISNUMBER(J742),ROUND(J742,2),IFERROR(ROUND(VALUE(SUBSTITUTE(SUBSTITUTE(SUBSTITUTE(J742,"$",""),",","")," ","")),2),"bad")))</f>
        <v/>
      </c>
      <c r="P742">
        <f>IF(TRIM(K742)="","",IFERROR(MATCH(LOWER(TRIM(K742)),'Students'!$AH$2:$AH$701,0),IFERROR(MATCH(LOWER(TRIM(K742)),'Students'!$AF$2:$AF$701,0),IFERROR(MATCH(LOWER(TRIM(K742)),'Students'!$AG$2:$AG$701,0),""))))</f>
        <v/>
      </c>
      <c r="R742">
        <f>IF(P742="","",INDEX('Students'!$AD$2:$AD$701,P742))</f>
        <v/>
      </c>
      <c r="S742">
        <f>IF(H742="OK",O742,0)</f>
        <v/>
      </c>
      <c r="T742">
        <f>IF(H742="OK",N742,"")</f>
        <v/>
      </c>
      <c r="U742">
        <f>IF(OC_Donor=0,"",IF(INDEX('OneCause_Paste'!$A$742:$AZ$742,1,OC_Donor)="","",INDEX('OneCause_Paste'!$A$742:$AZ$742,1,OC_Donor)))</f>
        <v/>
      </c>
    </row>
    <row r="743">
      <c r="A743" s="62">
        <f>IF(H743="","",IF(ISNUMBER(N743),N743,I743))</f>
        <v/>
      </c>
      <c r="B743">
        <f>IF(H743="","",U743)</f>
        <v/>
      </c>
      <c r="C743">
        <f>IF(H743="","",IF(P743="",K743,INDEX('Students'!$A$2:$A$701,P743)))</f>
        <v/>
      </c>
      <c r="D743">
        <f>IF(OR(H743="",P743=""),"",INDEX('Students'!$B$2:$B$701,P743))</f>
        <v/>
      </c>
      <c r="E743">
        <f>IF(OR(H743="",P743=""),"",INDEX('Students'!$C$2:$C$701,P743))</f>
        <v/>
      </c>
      <c r="F743" s="48">
        <f>IF(H743="","",IF(ISNUMBER(O743),O743,J743))</f>
        <v/>
      </c>
      <c r="G743">
        <f>IF(H743="","","OneCause")</f>
        <v/>
      </c>
      <c r="H743">
        <f>IF(AND(I743="",J743="",K743=""),"",IF(NOT(ISNUMBER(O743)),"Bad amount",IF(O743&lt;0,"Refund (not counted)",IF(O743=0,"Zero amount",IF(NOT(ISNUMBER(N743)),"Bad date",IF(P743="","NAME NOT ON ROSTER",IF(L743="","OK",IF(MATCH(L743,$L$2:$L$3001,0)&lt;ROW()-1,"Duplicate (ignored)","OK"))))))))</f>
        <v/>
      </c>
      <c r="I743">
        <f>IF(OC_Date=0,"",IF(INDEX('OneCause_Paste'!$A$743:$AZ$743,1,OC_Date)="","",INDEX('OneCause_Paste'!$A$743:$AZ$743,1,OC_Date)))</f>
        <v/>
      </c>
      <c r="J743">
        <f>IF(OC_Amt=0,"",IF(INDEX('OneCause_Paste'!$A$743:$AZ$743,1,OC_Amt)="","",INDEX('OneCause_Paste'!$A$743:$AZ$743,1,OC_Amt)))</f>
        <v/>
      </c>
      <c r="K743">
        <f>IF(OC_Name=0,"",IF(INDEX('OneCause_Paste'!$A$743:$AZ$743,1,OC_Name)="","",INDEX('OneCause_Paste'!$A$743:$AZ$743,1,OC_Name)))</f>
        <v/>
      </c>
      <c r="L743">
        <f>IF(OC_Txn=0,"",IF(INDEX('OneCause_Paste'!$A$743:$AZ$743,1,OC_Txn)="","",INDEX('OneCause_Paste'!$A$743:$AZ$743,1,OC_Txn)))</f>
        <v/>
      </c>
      <c r="M743">
        <f>IF(OC_Pay=0,"",IF(INDEX('OneCause_Paste'!$A$743:$AZ$743,1,OC_Pay)="","",INDEX('OneCause_Paste'!$A$743:$AZ$743,1,OC_Pay)))</f>
        <v/>
      </c>
      <c r="N743">
        <f>IF(I743="","",IF(ISNUMBER(I743),INT(I743),IFERROR(INT(DATEVALUE(I743)),IFERROR(INT(VALUE(I743)),"bad"))))</f>
        <v/>
      </c>
      <c r="O743">
        <f>IF(J743="","",IF(ISNUMBER(J743),ROUND(J743,2),IFERROR(ROUND(VALUE(SUBSTITUTE(SUBSTITUTE(SUBSTITUTE(J743,"$",""),",","")," ","")),2),"bad")))</f>
        <v/>
      </c>
      <c r="P743">
        <f>IF(TRIM(K743)="","",IFERROR(MATCH(LOWER(TRIM(K743)),'Students'!$AH$2:$AH$701,0),IFERROR(MATCH(LOWER(TRIM(K743)),'Students'!$AF$2:$AF$701,0),IFERROR(MATCH(LOWER(TRIM(K743)),'Students'!$AG$2:$AG$701,0),""))))</f>
        <v/>
      </c>
      <c r="R743">
        <f>IF(P743="","",INDEX('Students'!$AD$2:$AD$701,P743))</f>
        <v/>
      </c>
      <c r="S743">
        <f>IF(H743="OK",O743,0)</f>
        <v/>
      </c>
      <c r="T743">
        <f>IF(H743="OK",N743,"")</f>
        <v/>
      </c>
      <c r="U743">
        <f>IF(OC_Donor=0,"",IF(INDEX('OneCause_Paste'!$A$743:$AZ$743,1,OC_Donor)="","",INDEX('OneCause_Paste'!$A$743:$AZ$743,1,OC_Donor)))</f>
        <v/>
      </c>
    </row>
    <row r="744">
      <c r="A744" s="62">
        <f>IF(H744="","",IF(ISNUMBER(N744),N744,I744))</f>
        <v/>
      </c>
      <c r="B744">
        <f>IF(H744="","",U744)</f>
        <v/>
      </c>
      <c r="C744">
        <f>IF(H744="","",IF(P744="",K744,INDEX('Students'!$A$2:$A$701,P744)))</f>
        <v/>
      </c>
      <c r="D744">
        <f>IF(OR(H744="",P744=""),"",INDEX('Students'!$B$2:$B$701,P744))</f>
        <v/>
      </c>
      <c r="E744">
        <f>IF(OR(H744="",P744=""),"",INDEX('Students'!$C$2:$C$701,P744))</f>
        <v/>
      </c>
      <c r="F744" s="48">
        <f>IF(H744="","",IF(ISNUMBER(O744),O744,J744))</f>
        <v/>
      </c>
      <c r="G744">
        <f>IF(H744="","","OneCause")</f>
        <v/>
      </c>
      <c r="H744">
        <f>IF(AND(I744="",J744="",K744=""),"",IF(NOT(ISNUMBER(O744)),"Bad amount",IF(O744&lt;0,"Refund (not counted)",IF(O744=0,"Zero amount",IF(NOT(ISNUMBER(N744)),"Bad date",IF(P744="","NAME NOT ON ROSTER",IF(L744="","OK",IF(MATCH(L744,$L$2:$L$3001,0)&lt;ROW()-1,"Duplicate (ignored)","OK"))))))))</f>
        <v/>
      </c>
      <c r="I744">
        <f>IF(OC_Date=0,"",IF(INDEX('OneCause_Paste'!$A$744:$AZ$744,1,OC_Date)="","",INDEX('OneCause_Paste'!$A$744:$AZ$744,1,OC_Date)))</f>
        <v/>
      </c>
      <c r="J744">
        <f>IF(OC_Amt=0,"",IF(INDEX('OneCause_Paste'!$A$744:$AZ$744,1,OC_Amt)="","",INDEX('OneCause_Paste'!$A$744:$AZ$744,1,OC_Amt)))</f>
        <v/>
      </c>
      <c r="K744">
        <f>IF(OC_Name=0,"",IF(INDEX('OneCause_Paste'!$A$744:$AZ$744,1,OC_Name)="","",INDEX('OneCause_Paste'!$A$744:$AZ$744,1,OC_Name)))</f>
        <v/>
      </c>
      <c r="L744">
        <f>IF(OC_Txn=0,"",IF(INDEX('OneCause_Paste'!$A$744:$AZ$744,1,OC_Txn)="","",INDEX('OneCause_Paste'!$A$744:$AZ$744,1,OC_Txn)))</f>
        <v/>
      </c>
      <c r="M744">
        <f>IF(OC_Pay=0,"",IF(INDEX('OneCause_Paste'!$A$744:$AZ$744,1,OC_Pay)="","",INDEX('OneCause_Paste'!$A$744:$AZ$744,1,OC_Pay)))</f>
        <v/>
      </c>
      <c r="N744">
        <f>IF(I744="","",IF(ISNUMBER(I744),INT(I744),IFERROR(INT(DATEVALUE(I744)),IFERROR(INT(VALUE(I744)),"bad"))))</f>
        <v/>
      </c>
      <c r="O744">
        <f>IF(J744="","",IF(ISNUMBER(J744),ROUND(J744,2),IFERROR(ROUND(VALUE(SUBSTITUTE(SUBSTITUTE(SUBSTITUTE(J744,"$",""),",","")," ","")),2),"bad")))</f>
        <v/>
      </c>
      <c r="P744">
        <f>IF(TRIM(K744)="","",IFERROR(MATCH(LOWER(TRIM(K744)),'Students'!$AH$2:$AH$701,0),IFERROR(MATCH(LOWER(TRIM(K744)),'Students'!$AF$2:$AF$701,0),IFERROR(MATCH(LOWER(TRIM(K744)),'Students'!$AG$2:$AG$701,0),""))))</f>
        <v/>
      </c>
      <c r="R744">
        <f>IF(P744="","",INDEX('Students'!$AD$2:$AD$701,P744))</f>
        <v/>
      </c>
      <c r="S744">
        <f>IF(H744="OK",O744,0)</f>
        <v/>
      </c>
      <c r="T744">
        <f>IF(H744="OK",N744,"")</f>
        <v/>
      </c>
      <c r="U744">
        <f>IF(OC_Donor=0,"",IF(INDEX('OneCause_Paste'!$A$744:$AZ$744,1,OC_Donor)="","",INDEX('OneCause_Paste'!$A$744:$AZ$744,1,OC_Donor)))</f>
        <v/>
      </c>
    </row>
    <row r="745">
      <c r="A745" s="62">
        <f>IF(H745="","",IF(ISNUMBER(N745),N745,I745))</f>
        <v/>
      </c>
      <c r="B745">
        <f>IF(H745="","",U745)</f>
        <v/>
      </c>
      <c r="C745">
        <f>IF(H745="","",IF(P745="",K745,INDEX('Students'!$A$2:$A$701,P745)))</f>
        <v/>
      </c>
      <c r="D745">
        <f>IF(OR(H745="",P745=""),"",INDEX('Students'!$B$2:$B$701,P745))</f>
        <v/>
      </c>
      <c r="E745">
        <f>IF(OR(H745="",P745=""),"",INDEX('Students'!$C$2:$C$701,P745))</f>
        <v/>
      </c>
      <c r="F745" s="48">
        <f>IF(H745="","",IF(ISNUMBER(O745),O745,J745))</f>
        <v/>
      </c>
      <c r="G745">
        <f>IF(H745="","","OneCause")</f>
        <v/>
      </c>
      <c r="H745">
        <f>IF(AND(I745="",J745="",K745=""),"",IF(NOT(ISNUMBER(O745)),"Bad amount",IF(O745&lt;0,"Refund (not counted)",IF(O745=0,"Zero amount",IF(NOT(ISNUMBER(N745)),"Bad date",IF(P745="","NAME NOT ON ROSTER",IF(L745="","OK",IF(MATCH(L745,$L$2:$L$3001,0)&lt;ROW()-1,"Duplicate (ignored)","OK"))))))))</f>
        <v/>
      </c>
      <c r="I745">
        <f>IF(OC_Date=0,"",IF(INDEX('OneCause_Paste'!$A$745:$AZ$745,1,OC_Date)="","",INDEX('OneCause_Paste'!$A$745:$AZ$745,1,OC_Date)))</f>
        <v/>
      </c>
      <c r="J745">
        <f>IF(OC_Amt=0,"",IF(INDEX('OneCause_Paste'!$A$745:$AZ$745,1,OC_Amt)="","",INDEX('OneCause_Paste'!$A$745:$AZ$745,1,OC_Amt)))</f>
        <v/>
      </c>
      <c r="K745">
        <f>IF(OC_Name=0,"",IF(INDEX('OneCause_Paste'!$A$745:$AZ$745,1,OC_Name)="","",INDEX('OneCause_Paste'!$A$745:$AZ$745,1,OC_Name)))</f>
        <v/>
      </c>
      <c r="L745">
        <f>IF(OC_Txn=0,"",IF(INDEX('OneCause_Paste'!$A$745:$AZ$745,1,OC_Txn)="","",INDEX('OneCause_Paste'!$A$745:$AZ$745,1,OC_Txn)))</f>
        <v/>
      </c>
      <c r="M745">
        <f>IF(OC_Pay=0,"",IF(INDEX('OneCause_Paste'!$A$745:$AZ$745,1,OC_Pay)="","",INDEX('OneCause_Paste'!$A$745:$AZ$745,1,OC_Pay)))</f>
        <v/>
      </c>
      <c r="N745">
        <f>IF(I745="","",IF(ISNUMBER(I745),INT(I745),IFERROR(INT(DATEVALUE(I745)),IFERROR(INT(VALUE(I745)),"bad"))))</f>
        <v/>
      </c>
      <c r="O745">
        <f>IF(J745="","",IF(ISNUMBER(J745),ROUND(J745,2),IFERROR(ROUND(VALUE(SUBSTITUTE(SUBSTITUTE(SUBSTITUTE(J745,"$",""),",","")," ","")),2),"bad")))</f>
        <v/>
      </c>
      <c r="P745">
        <f>IF(TRIM(K745)="","",IFERROR(MATCH(LOWER(TRIM(K745)),'Students'!$AH$2:$AH$701,0),IFERROR(MATCH(LOWER(TRIM(K745)),'Students'!$AF$2:$AF$701,0),IFERROR(MATCH(LOWER(TRIM(K745)),'Students'!$AG$2:$AG$701,0),""))))</f>
        <v/>
      </c>
      <c r="R745">
        <f>IF(P745="","",INDEX('Students'!$AD$2:$AD$701,P745))</f>
        <v/>
      </c>
      <c r="S745">
        <f>IF(H745="OK",O745,0)</f>
        <v/>
      </c>
      <c r="T745">
        <f>IF(H745="OK",N745,"")</f>
        <v/>
      </c>
      <c r="U745">
        <f>IF(OC_Donor=0,"",IF(INDEX('OneCause_Paste'!$A$745:$AZ$745,1,OC_Donor)="","",INDEX('OneCause_Paste'!$A$745:$AZ$745,1,OC_Donor)))</f>
        <v/>
      </c>
    </row>
    <row r="746">
      <c r="A746" s="62">
        <f>IF(H746="","",IF(ISNUMBER(N746),N746,I746))</f>
        <v/>
      </c>
      <c r="B746">
        <f>IF(H746="","",U746)</f>
        <v/>
      </c>
      <c r="C746">
        <f>IF(H746="","",IF(P746="",K746,INDEX('Students'!$A$2:$A$701,P746)))</f>
        <v/>
      </c>
      <c r="D746">
        <f>IF(OR(H746="",P746=""),"",INDEX('Students'!$B$2:$B$701,P746))</f>
        <v/>
      </c>
      <c r="E746">
        <f>IF(OR(H746="",P746=""),"",INDEX('Students'!$C$2:$C$701,P746))</f>
        <v/>
      </c>
      <c r="F746" s="48">
        <f>IF(H746="","",IF(ISNUMBER(O746),O746,J746))</f>
        <v/>
      </c>
      <c r="G746">
        <f>IF(H746="","","OneCause")</f>
        <v/>
      </c>
      <c r="H746">
        <f>IF(AND(I746="",J746="",K746=""),"",IF(NOT(ISNUMBER(O746)),"Bad amount",IF(O746&lt;0,"Refund (not counted)",IF(O746=0,"Zero amount",IF(NOT(ISNUMBER(N746)),"Bad date",IF(P746="","NAME NOT ON ROSTER",IF(L746="","OK",IF(MATCH(L746,$L$2:$L$3001,0)&lt;ROW()-1,"Duplicate (ignored)","OK"))))))))</f>
        <v/>
      </c>
      <c r="I746">
        <f>IF(OC_Date=0,"",IF(INDEX('OneCause_Paste'!$A$746:$AZ$746,1,OC_Date)="","",INDEX('OneCause_Paste'!$A$746:$AZ$746,1,OC_Date)))</f>
        <v/>
      </c>
      <c r="J746">
        <f>IF(OC_Amt=0,"",IF(INDEX('OneCause_Paste'!$A$746:$AZ$746,1,OC_Amt)="","",INDEX('OneCause_Paste'!$A$746:$AZ$746,1,OC_Amt)))</f>
        <v/>
      </c>
      <c r="K746">
        <f>IF(OC_Name=0,"",IF(INDEX('OneCause_Paste'!$A$746:$AZ$746,1,OC_Name)="","",INDEX('OneCause_Paste'!$A$746:$AZ$746,1,OC_Name)))</f>
        <v/>
      </c>
      <c r="L746">
        <f>IF(OC_Txn=0,"",IF(INDEX('OneCause_Paste'!$A$746:$AZ$746,1,OC_Txn)="","",INDEX('OneCause_Paste'!$A$746:$AZ$746,1,OC_Txn)))</f>
        <v/>
      </c>
      <c r="M746">
        <f>IF(OC_Pay=0,"",IF(INDEX('OneCause_Paste'!$A$746:$AZ$746,1,OC_Pay)="","",INDEX('OneCause_Paste'!$A$746:$AZ$746,1,OC_Pay)))</f>
        <v/>
      </c>
      <c r="N746">
        <f>IF(I746="","",IF(ISNUMBER(I746),INT(I746),IFERROR(INT(DATEVALUE(I746)),IFERROR(INT(VALUE(I746)),"bad"))))</f>
        <v/>
      </c>
      <c r="O746">
        <f>IF(J746="","",IF(ISNUMBER(J746),ROUND(J746,2),IFERROR(ROUND(VALUE(SUBSTITUTE(SUBSTITUTE(SUBSTITUTE(J746,"$",""),",","")," ","")),2),"bad")))</f>
        <v/>
      </c>
      <c r="P746">
        <f>IF(TRIM(K746)="","",IFERROR(MATCH(LOWER(TRIM(K746)),'Students'!$AH$2:$AH$701,0),IFERROR(MATCH(LOWER(TRIM(K746)),'Students'!$AF$2:$AF$701,0),IFERROR(MATCH(LOWER(TRIM(K746)),'Students'!$AG$2:$AG$701,0),""))))</f>
        <v/>
      </c>
      <c r="R746">
        <f>IF(P746="","",INDEX('Students'!$AD$2:$AD$701,P746))</f>
        <v/>
      </c>
      <c r="S746">
        <f>IF(H746="OK",O746,0)</f>
        <v/>
      </c>
      <c r="T746">
        <f>IF(H746="OK",N746,"")</f>
        <v/>
      </c>
      <c r="U746">
        <f>IF(OC_Donor=0,"",IF(INDEX('OneCause_Paste'!$A$746:$AZ$746,1,OC_Donor)="","",INDEX('OneCause_Paste'!$A$746:$AZ$746,1,OC_Donor)))</f>
        <v/>
      </c>
    </row>
    <row r="747">
      <c r="A747" s="62">
        <f>IF(H747="","",IF(ISNUMBER(N747),N747,I747))</f>
        <v/>
      </c>
      <c r="B747">
        <f>IF(H747="","",U747)</f>
        <v/>
      </c>
      <c r="C747">
        <f>IF(H747="","",IF(P747="",K747,INDEX('Students'!$A$2:$A$701,P747)))</f>
        <v/>
      </c>
      <c r="D747">
        <f>IF(OR(H747="",P747=""),"",INDEX('Students'!$B$2:$B$701,P747))</f>
        <v/>
      </c>
      <c r="E747">
        <f>IF(OR(H747="",P747=""),"",INDEX('Students'!$C$2:$C$701,P747))</f>
        <v/>
      </c>
      <c r="F747" s="48">
        <f>IF(H747="","",IF(ISNUMBER(O747),O747,J747))</f>
        <v/>
      </c>
      <c r="G747">
        <f>IF(H747="","","OneCause")</f>
        <v/>
      </c>
      <c r="H747">
        <f>IF(AND(I747="",J747="",K747=""),"",IF(NOT(ISNUMBER(O747)),"Bad amount",IF(O747&lt;0,"Refund (not counted)",IF(O747=0,"Zero amount",IF(NOT(ISNUMBER(N747)),"Bad date",IF(P747="","NAME NOT ON ROSTER",IF(L747="","OK",IF(MATCH(L747,$L$2:$L$3001,0)&lt;ROW()-1,"Duplicate (ignored)","OK"))))))))</f>
        <v/>
      </c>
      <c r="I747">
        <f>IF(OC_Date=0,"",IF(INDEX('OneCause_Paste'!$A$747:$AZ$747,1,OC_Date)="","",INDEX('OneCause_Paste'!$A$747:$AZ$747,1,OC_Date)))</f>
        <v/>
      </c>
      <c r="J747">
        <f>IF(OC_Amt=0,"",IF(INDEX('OneCause_Paste'!$A$747:$AZ$747,1,OC_Amt)="","",INDEX('OneCause_Paste'!$A$747:$AZ$747,1,OC_Amt)))</f>
        <v/>
      </c>
      <c r="K747">
        <f>IF(OC_Name=0,"",IF(INDEX('OneCause_Paste'!$A$747:$AZ$747,1,OC_Name)="","",INDEX('OneCause_Paste'!$A$747:$AZ$747,1,OC_Name)))</f>
        <v/>
      </c>
      <c r="L747">
        <f>IF(OC_Txn=0,"",IF(INDEX('OneCause_Paste'!$A$747:$AZ$747,1,OC_Txn)="","",INDEX('OneCause_Paste'!$A$747:$AZ$747,1,OC_Txn)))</f>
        <v/>
      </c>
      <c r="M747">
        <f>IF(OC_Pay=0,"",IF(INDEX('OneCause_Paste'!$A$747:$AZ$747,1,OC_Pay)="","",INDEX('OneCause_Paste'!$A$747:$AZ$747,1,OC_Pay)))</f>
        <v/>
      </c>
      <c r="N747">
        <f>IF(I747="","",IF(ISNUMBER(I747),INT(I747),IFERROR(INT(DATEVALUE(I747)),IFERROR(INT(VALUE(I747)),"bad"))))</f>
        <v/>
      </c>
      <c r="O747">
        <f>IF(J747="","",IF(ISNUMBER(J747),ROUND(J747,2),IFERROR(ROUND(VALUE(SUBSTITUTE(SUBSTITUTE(SUBSTITUTE(J747,"$",""),",","")," ","")),2),"bad")))</f>
        <v/>
      </c>
      <c r="P747">
        <f>IF(TRIM(K747)="","",IFERROR(MATCH(LOWER(TRIM(K747)),'Students'!$AH$2:$AH$701,0),IFERROR(MATCH(LOWER(TRIM(K747)),'Students'!$AF$2:$AF$701,0),IFERROR(MATCH(LOWER(TRIM(K747)),'Students'!$AG$2:$AG$701,0),""))))</f>
        <v/>
      </c>
      <c r="R747">
        <f>IF(P747="","",INDEX('Students'!$AD$2:$AD$701,P747))</f>
        <v/>
      </c>
      <c r="S747">
        <f>IF(H747="OK",O747,0)</f>
        <v/>
      </c>
      <c r="T747">
        <f>IF(H747="OK",N747,"")</f>
        <v/>
      </c>
      <c r="U747">
        <f>IF(OC_Donor=0,"",IF(INDEX('OneCause_Paste'!$A$747:$AZ$747,1,OC_Donor)="","",INDEX('OneCause_Paste'!$A$747:$AZ$747,1,OC_Donor)))</f>
        <v/>
      </c>
    </row>
    <row r="748">
      <c r="A748" s="62">
        <f>IF(H748="","",IF(ISNUMBER(N748),N748,I748))</f>
        <v/>
      </c>
      <c r="B748">
        <f>IF(H748="","",U748)</f>
        <v/>
      </c>
      <c r="C748">
        <f>IF(H748="","",IF(P748="",K748,INDEX('Students'!$A$2:$A$701,P748)))</f>
        <v/>
      </c>
      <c r="D748">
        <f>IF(OR(H748="",P748=""),"",INDEX('Students'!$B$2:$B$701,P748))</f>
        <v/>
      </c>
      <c r="E748">
        <f>IF(OR(H748="",P748=""),"",INDEX('Students'!$C$2:$C$701,P748))</f>
        <v/>
      </c>
      <c r="F748" s="48">
        <f>IF(H748="","",IF(ISNUMBER(O748),O748,J748))</f>
        <v/>
      </c>
      <c r="G748">
        <f>IF(H748="","","OneCause")</f>
        <v/>
      </c>
      <c r="H748">
        <f>IF(AND(I748="",J748="",K748=""),"",IF(NOT(ISNUMBER(O748)),"Bad amount",IF(O748&lt;0,"Refund (not counted)",IF(O748=0,"Zero amount",IF(NOT(ISNUMBER(N748)),"Bad date",IF(P748="","NAME NOT ON ROSTER",IF(L748="","OK",IF(MATCH(L748,$L$2:$L$3001,0)&lt;ROW()-1,"Duplicate (ignored)","OK"))))))))</f>
        <v/>
      </c>
      <c r="I748">
        <f>IF(OC_Date=0,"",IF(INDEX('OneCause_Paste'!$A$748:$AZ$748,1,OC_Date)="","",INDEX('OneCause_Paste'!$A$748:$AZ$748,1,OC_Date)))</f>
        <v/>
      </c>
      <c r="J748">
        <f>IF(OC_Amt=0,"",IF(INDEX('OneCause_Paste'!$A$748:$AZ$748,1,OC_Amt)="","",INDEX('OneCause_Paste'!$A$748:$AZ$748,1,OC_Amt)))</f>
        <v/>
      </c>
      <c r="K748">
        <f>IF(OC_Name=0,"",IF(INDEX('OneCause_Paste'!$A$748:$AZ$748,1,OC_Name)="","",INDEX('OneCause_Paste'!$A$748:$AZ$748,1,OC_Name)))</f>
        <v/>
      </c>
      <c r="L748">
        <f>IF(OC_Txn=0,"",IF(INDEX('OneCause_Paste'!$A$748:$AZ$748,1,OC_Txn)="","",INDEX('OneCause_Paste'!$A$748:$AZ$748,1,OC_Txn)))</f>
        <v/>
      </c>
      <c r="M748">
        <f>IF(OC_Pay=0,"",IF(INDEX('OneCause_Paste'!$A$748:$AZ$748,1,OC_Pay)="","",INDEX('OneCause_Paste'!$A$748:$AZ$748,1,OC_Pay)))</f>
        <v/>
      </c>
      <c r="N748">
        <f>IF(I748="","",IF(ISNUMBER(I748),INT(I748),IFERROR(INT(DATEVALUE(I748)),IFERROR(INT(VALUE(I748)),"bad"))))</f>
        <v/>
      </c>
      <c r="O748">
        <f>IF(J748="","",IF(ISNUMBER(J748),ROUND(J748,2),IFERROR(ROUND(VALUE(SUBSTITUTE(SUBSTITUTE(SUBSTITUTE(J748,"$",""),",","")," ","")),2),"bad")))</f>
        <v/>
      </c>
      <c r="P748">
        <f>IF(TRIM(K748)="","",IFERROR(MATCH(LOWER(TRIM(K748)),'Students'!$AH$2:$AH$701,0),IFERROR(MATCH(LOWER(TRIM(K748)),'Students'!$AF$2:$AF$701,0),IFERROR(MATCH(LOWER(TRIM(K748)),'Students'!$AG$2:$AG$701,0),""))))</f>
        <v/>
      </c>
      <c r="R748">
        <f>IF(P748="","",INDEX('Students'!$AD$2:$AD$701,P748))</f>
        <v/>
      </c>
      <c r="S748">
        <f>IF(H748="OK",O748,0)</f>
        <v/>
      </c>
      <c r="T748">
        <f>IF(H748="OK",N748,"")</f>
        <v/>
      </c>
      <c r="U748">
        <f>IF(OC_Donor=0,"",IF(INDEX('OneCause_Paste'!$A$748:$AZ$748,1,OC_Donor)="","",INDEX('OneCause_Paste'!$A$748:$AZ$748,1,OC_Donor)))</f>
        <v/>
      </c>
    </row>
    <row r="749">
      <c r="A749" s="62">
        <f>IF(H749="","",IF(ISNUMBER(N749),N749,I749))</f>
        <v/>
      </c>
      <c r="B749">
        <f>IF(H749="","",U749)</f>
        <v/>
      </c>
      <c r="C749">
        <f>IF(H749="","",IF(P749="",K749,INDEX('Students'!$A$2:$A$701,P749)))</f>
        <v/>
      </c>
      <c r="D749">
        <f>IF(OR(H749="",P749=""),"",INDEX('Students'!$B$2:$B$701,P749))</f>
        <v/>
      </c>
      <c r="E749">
        <f>IF(OR(H749="",P749=""),"",INDEX('Students'!$C$2:$C$701,P749))</f>
        <v/>
      </c>
      <c r="F749" s="48">
        <f>IF(H749="","",IF(ISNUMBER(O749),O749,J749))</f>
        <v/>
      </c>
      <c r="G749">
        <f>IF(H749="","","OneCause")</f>
        <v/>
      </c>
      <c r="H749">
        <f>IF(AND(I749="",J749="",K749=""),"",IF(NOT(ISNUMBER(O749)),"Bad amount",IF(O749&lt;0,"Refund (not counted)",IF(O749=0,"Zero amount",IF(NOT(ISNUMBER(N749)),"Bad date",IF(P749="","NAME NOT ON ROSTER",IF(L749="","OK",IF(MATCH(L749,$L$2:$L$3001,0)&lt;ROW()-1,"Duplicate (ignored)","OK"))))))))</f>
        <v/>
      </c>
      <c r="I749">
        <f>IF(OC_Date=0,"",IF(INDEX('OneCause_Paste'!$A$749:$AZ$749,1,OC_Date)="","",INDEX('OneCause_Paste'!$A$749:$AZ$749,1,OC_Date)))</f>
        <v/>
      </c>
      <c r="J749">
        <f>IF(OC_Amt=0,"",IF(INDEX('OneCause_Paste'!$A$749:$AZ$749,1,OC_Amt)="","",INDEX('OneCause_Paste'!$A$749:$AZ$749,1,OC_Amt)))</f>
        <v/>
      </c>
      <c r="K749">
        <f>IF(OC_Name=0,"",IF(INDEX('OneCause_Paste'!$A$749:$AZ$749,1,OC_Name)="","",INDEX('OneCause_Paste'!$A$749:$AZ$749,1,OC_Name)))</f>
        <v/>
      </c>
      <c r="L749">
        <f>IF(OC_Txn=0,"",IF(INDEX('OneCause_Paste'!$A$749:$AZ$749,1,OC_Txn)="","",INDEX('OneCause_Paste'!$A$749:$AZ$749,1,OC_Txn)))</f>
        <v/>
      </c>
      <c r="M749">
        <f>IF(OC_Pay=0,"",IF(INDEX('OneCause_Paste'!$A$749:$AZ$749,1,OC_Pay)="","",INDEX('OneCause_Paste'!$A$749:$AZ$749,1,OC_Pay)))</f>
        <v/>
      </c>
      <c r="N749">
        <f>IF(I749="","",IF(ISNUMBER(I749),INT(I749),IFERROR(INT(DATEVALUE(I749)),IFERROR(INT(VALUE(I749)),"bad"))))</f>
        <v/>
      </c>
      <c r="O749">
        <f>IF(J749="","",IF(ISNUMBER(J749),ROUND(J749,2),IFERROR(ROUND(VALUE(SUBSTITUTE(SUBSTITUTE(SUBSTITUTE(J749,"$",""),",","")," ","")),2),"bad")))</f>
        <v/>
      </c>
      <c r="P749">
        <f>IF(TRIM(K749)="","",IFERROR(MATCH(LOWER(TRIM(K749)),'Students'!$AH$2:$AH$701,0),IFERROR(MATCH(LOWER(TRIM(K749)),'Students'!$AF$2:$AF$701,0),IFERROR(MATCH(LOWER(TRIM(K749)),'Students'!$AG$2:$AG$701,0),""))))</f>
        <v/>
      </c>
      <c r="R749">
        <f>IF(P749="","",INDEX('Students'!$AD$2:$AD$701,P749))</f>
        <v/>
      </c>
      <c r="S749">
        <f>IF(H749="OK",O749,0)</f>
        <v/>
      </c>
      <c r="T749">
        <f>IF(H749="OK",N749,"")</f>
        <v/>
      </c>
      <c r="U749">
        <f>IF(OC_Donor=0,"",IF(INDEX('OneCause_Paste'!$A$749:$AZ$749,1,OC_Donor)="","",INDEX('OneCause_Paste'!$A$749:$AZ$749,1,OC_Donor)))</f>
        <v/>
      </c>
    </row>
    <row r="750">
      <c r="A750" s="62">
        <f>IF(H750="","",IF(ISNUMBER(N750),N750,I750))</f>
        <v/>
      </c>
      <c r="B750">
        <f>IF(H750="","",U750)</f>
        <v/>
      </c>
      <c r="C750">
        <f>IF(H750="","",IF(P750="",K750,INDEX('Students'!$A$2:$A$701,P750)))</f>
        <v/>
      </c>
      <c r="D750">
        <f>IF(OR(H750="",P750=""),"",INDEX('Students'!$B$2:$B$701,P750))</f>
        <v/>
      </c>
      <c r="E750">
        <f>IF(OR(H750="",P750=""),"",INDEX('Students'!$C$2:$C$701,P750))</f>
        <v/>
      </c>
      <c r="F750" s="48">
        <f>IF(H750="","",IF(ISNUMBER(O750),O750,J750))</f>
        <v/>
      </c>
      <c r="G750">
        <f>IF(H750="","","OneCause")</f>
        <v/>
      </c>
      <c r="H750">
        <f>IF(AND(I750="",J750="",K750=""),"",IF(NOT(ISNUMBER(O750)),"Bad amount",IF(O750&lt;0,"Refund (not counted)",IF(O750=0,"Zero amount",IF(NOT(ISNUMBER(N750)),"Bad date",IF(P750="","NAME NOT ON ROSTER",IF(L750="","OK",IF(MATCH(L750,$L$2:$L$3001,0)&lt;ROW()-1,"Duplicate (ignored)","OK"))))))))</f>
        <v/>
      </c>
      <c r="I750">
        <f>IF(OC_Date=0,"",IF(INDEX('OneCause_Paste'!$A$750:$AZ$750,1,OC_Date)="","",INDEX('OneCause_Paste'!$A$750:$AZ$750,1,OC_Date)))</f>
        <v/>
      </c>
      <c r="J750">
        <f>IF(OC_Amt=0,"",IF(INDEX('OneCause_Paste'!$A$750:$AZ$750,1,OC_Amt)="","",INDEX('OneCause_Paste'!$A$750:$AZ$750,1,OC_Amt)))</f>
        <v/>
      </c>
      <c r="K750">
        <f>IF(OC_Name=0,"",IF(INDEX('OneCause_Paste'!$A$750:$AZ$750,1,OC_Name)="","",INDEX('OneCause_Paste'!$A$750:$AZ$750,1,OC_Name)))</f>
        <v/>
      </c>
      <c r="L750">
        <f>IF(OC_Txn=0,"",IF(INDEX('OneCause_Paste'!$A$750:$AZ$750,1,OC_Txn)="","",INDEX('OneCause_Paste'!$A$750:$AZ$750,1,OC_Txn)))</f>
        <v/>
      </c>
      <c r="M750">
        <f>IF(OC_Pay=0,"",IF(INDEX('OneCause_Paste'!$A$750:$AZ$750,1,OC_Pay)="","",INDEX('OneCause_Paste'!$A$750:$AZ$750,1,OC_Pay)))</f>
        <v/>
      </c>
      <c r="N750">
        <f>IF(I750="","",IF(ISNUMBER(I750),INT(I750),IFERROR(INT(DATEVALUE(I750)),IFERROR(INT(VALUE(I750)),"bad"))))</f>
        <v/>
      </c>
      <c r="O750">
        <f>IF(J750="","",IF(ISNUMBER(J750),ROUND(J750,2),IFERROR(ROUND(VALUE(SUBSTITUTE(SUBSTITUTE(SUBSTITUTE(J750,"$",""),",","")," ","")),2),"bad")))</f>
        <v/>
      </c>
      <c r="P750">
        <f>IF(TRIM(K750)="","",IFERROR(MATCH(LOWER(TRIM(K750)),'Students'!$AH$2:$AH$701,0),IFERROR(MATCH(LOWER(TRIM(K750)),'Students'!$AF$2:$AF$701,0),IFERROR(MATCH(LOWER(TRIM(K750)),'Students'!$AG$2:$AG$701,0),""))))</f>
        <v/>
      </c>
      <c r="R750">
        <f>IF(P750="","",INDEX('Students'!$AD$2:$AD$701,P750))</f>
        <v/>
      </c>
      <c r="S750">
        <f>IF(H750="OK",O750,0)</f>
        <v/>
      </c>
      <c r="T750">
        <f>IF(H750="OK",N750,"")</f>
        <v/>
      </c>
      <c r="U750">
        <f>IF(OC_Donor=0,"",IF(INDEX('OneCause_Paste'!$A$750:$AZ$750,1,OC_Donor)="","",INDEX('OneCause_Paste'!$A$750:$AZ$750,1,OC_Donor)))</f>
        <v/>
      </c>
    </row>
    <row r="751">
      <c r="A751" s="62">
        <f>IF(H751="","",IF(ISNUMBER(N751),N751,I751))</f>
        <v/>
      </c>
      <c r="B751">
        <f>IF(H751="","",U751)</f>
        <v/>
      </c>
      <c r="C751">
        <f>IF(H751="","",IF(P751="",K751,INDEX('Students'!$A$2:$A$701,P751)))</f>
        <v/>
      </c>
      <c r="D751">
        <f>IF(OR(H751="",P751=""),"",INDEX('Students'!$B$2:$B$701,P751))</f>
        <v/>
      </c>
      <c r="E751">
        <f>IF(OR(H751="",P751=""),"",INDEX('Students'!$C$2:$C$701,P751))</f>
        <v/>
      </c>
      <c r="F751" s="48">
        <f>IF(H751="","",IF(ISNUMBER(O751),O751,J751))</f>
        <v/>
      </c>
      <c r="G751">
        <f>IF(H751="","","OneCause")</f>
        <v/>
      </c>
      <c r="H751">
        <f>IF(AND(I751="",J751="",K751=""),"",IF(NOT(ISNUMBER(O751)),"Bad amount",IF(O751&lt;0,"Refund (not counted)",IF(O751=0,"Zero amount",IF(NOT(ISNUMBER(N751)),"Bad date",IF(P751="","NAME NOT ON ROSTER",IF(L751="","OK",IF(MATCH(L751,$L$2:$L$3001,0)&lt;ROW()-1,"Duplicate (ignored)","OK"))))))))</f>
        <v/>
      </c>
      <c r="I751">
        <f>IF(OC_Date=0,"",IF(INDEX('OneCause_Paste'!$A$751:$AZ$751,1,OC_Date)="","",INDEX('OneCause_Paste'!$A$751:$AZ$751,1,OC_Date)))</f>
        <v/>
      </c>
      <c r="J751">
        <f>IF(OC_Amt=0,"",IF(INDEX('OneCause_Paste'!$A$751:$AZ$751,1,OC_Amt)="","",INDEX('OneCause_Paste'!$A$751:$AZ$751,1,OC_Amt)))</f>
        <v/>
      </c>
      <c r="K751">
        <f>IF(OC_Name=0,"",IF(INDEX('OneCause_Paste'!$A$751:$AZ$751,1,OC_Name)="","",INDEX('OneCause_Paste'!$A$751:$AZ$751,1,OC_Name)))</f>
        <v/>
      </c>
      <c r="L751">
        <f>IF(OC_Txn=0,"",IF(INDEX('OneCause_Paste'!$A$751:$AZ$751,1,OC_Txn)="","",INDEX('OneCause_Paste'!$A$751:$AZ$751,1,OC_Txn)))</f>
        <v/>
      </c>
      <c r="M751">
        <f>IF(OC_Pay=0,"",IF(INDEX('OneCause_Paste'!$A$751:$AZ$751,1,OC_Pay)="","",INDEX('OneCause_Paste'!$A$751:$AZ$751,1,OC_Pay)))</f>
        <v/>
      </c>
      <c r="N751">
        <f>IF(I751="","",IF(ISNUMBER(I751),INT(I751),IFERROR(INT(DATEVALUE(I751)),IFERROR(INT(VALUE(I751)),"bad"))))</f>
        <v/>
      </c>
      <c r="O751">
        <f>IF(J751="","",IF(ISNUMBER(J751),ROUND(J751,2),IFERROR(ROUND(VALUE(SUBSTITUTE(SUBSTITUTE(SUBSTITUTE(J751,"$",""),",","")," ","")),2),"bad")))</f>
        <v/>
      </c>
      <c r="P751">
        <f>IF(TRIM(K751)="","",IFERROR(MATCH(LOWER(TRIM(K751)),'Students'!$AH$2:$AH$701,0),IFERROR(MATCH(LOWER(TRIM(K751)),'Students'!$AF$2:$AF$701,0),IFERROR(MATCH(LOWER(TRIM(K751)),'Students'!$AG$2:$AG$701,0),""))))</f>
        <v/>
      </c>
      <c r="R751">
        <f>IF(P751="","",INDEX('Students'!$AD$2:$AD$701,P751))</f>
        <v/>
      </c>
      <c r="S751">
        <f>IF(H751="OK",O751,0)</f>
        <v/>
      </c>
      <c r="T751">
        <f>IF(H751="OK",N751,"")</f>
        <v/>
      </c>
      <c r="U751">
        <f>IF(OC_Donor=0,"",IF(INDEX('OneCause_Paste'!$A$751:$AZ$751,1,OC_Donor)="","",INDEX('OneCause_Paste'!$A$751:$AZ$751,1,OC_Donor)))</f>
        <v/>
      </c>
    </row>
    <row r="752">
      <c r="A752" s="62">
        <f>IF(H752="","",IF(ISNUMBER(N752),N752,I752))</f>
        <v/>
      </c>
      <c r="B752">
        <f>IF(H752="","",U752)</f>
        <v/>
      </c>
      <c r="C752">
        <f>IF(H752="","",IF(P752="",K752,INDEX('Students'!$A$2:$A$701,P752)))</f>
        <v/>
      </c>
      <c r="D752">
        <f>IF(OR(H752="",P752=""),"",INDEX('Students'!$B$2:$B$701,P752))</f>
        <v/>
      </c>
      <c r="E752">
        <f>IF(OR(H752="",P752=""),"",INDEX('Students'!$C$2:$C$701,P752))</f>
        <v/>
      </c>
      <c r="F752" s="48">
        <f>IF(H752="","",IF(ISNUMBER(O752),O752,J752))</f>
        <v/>
      </c>
      <c r="G752">
        <f>IF(H752="","","OneCause")</f>
        <v/>
      </c>
      <c r="H752">
        <f>IF(AND(I752="",J752="",K752=""),"",IF(NOT(ISNUMBER(O752)),"Bad amount",IF(O752&lt;0,"Refund (not counted)",IF(O752=0,"Zero amount",IF(NOT(ISNUMBER(N752)),"Bad date",IF(P752="","NAME NOT ON ROSTER",IF(L752="","OK",IF(MATCH(L752,$L$2:$L$3001,0)&lt;ROW()-1,"Duplicate (ignored)","OK"))))))))</f>
        <v/>
      </c>
      <c r="I752">
        <f>IF(OC_Date=0,"",IF(INDEX('OneCause_Paste'!$A$752:$AZ$752,1,OC_Date)="","",INDEX('OneCause_Paste'!$A$752:$AZ$752,1,OC_Date)))</f>
        <v/>
      </c>
      <c r="J752">
        <f>IF(OC_Amt=0,"",IF(INDEX('OneCause_Paste'!$A$752:$AZ$752,1,OC_Amt)="","",INDEX('OneCause_Paste'!$A$752:$AZ$752,1,OC_Amt)))</f>
        <v/>
      </c>
      <c r="K752">
        <f>IF(OC_Name=0,"",IF(INDEX('OneCause_Paste'!$A$752:$AZ$752,1,OC_Name)="","",INDEX('OneCause_Paste'!$A$752:$AZ$752,1,OC_Name)))</f>
        <v/>
      </c>
      <c r="L752">
        <f>IF(OC_Txn=0,"",IF(INDEX('OneCause_Paste'!$A$752:$AZ$752,1,OC_Txn)="","",INDEX('OneCause_Paste'!$A$752:$AZ$752,1,OC_Txn)))</f>
        <v/>
      </c>
      <c r="M752">
        <f>IF(OC_Pay=0,"",IF(INDEX('OneCause_Paste'!$A$752:$AZ$752,1,OC_Pay)="","",INDEX('OneCause_Paste'!$A$752:$AZ$752,1,OC_Pay)))</f>
        <v/>
      </c>
      <c r="N752">
        <f>IF(I752="","",IF(ISNUMBER(I752),INT(I752),IFERROR(INT(DATEVALUE(I752)),IFERROR(INT(VALUE(I752)),"bad"))))</f>
        <v/>
      </c>
      <c r="O752">
        <f>IF(J752="","",IF(ISNUMBER(J752),ROUND(J752,2),IFERROR(ROUND(VALUE(SUBSTITUTE(SUBSTITUTE(SUBSTITUTE(J752,"$",""),",","")," ","")),2),"bad")))</f>
        <v/>
      </c>
      <c r="P752">
        <f>IF(TRIM(K752)="","",IFERROR(MATCH(LOWER(TRIM(K752)),'Students'!$AH$2:$AH$701,0),IFERROR(MATCH(LOWER(TRIM(K752)),'Students'!$AF$2:$AF$701,0),IFERROR(MATCH(LOWER(TRIM(K752)),'Students'!$AG$2:$AG$701,0),""))))</f>
        <v/>
      </c>
      <c r="R752">
        <f>IF(P752="","",INDEX('Students'!$AD$2:$AD$701,P752))</f>
        <v/>
      </c>
      <c r="S752">
        <f>IF(H752="OK",O752,0)</f>
        <v/>
      </c>
      <c r="T752">
        <f>IF(H752="OK",N752,"")</f>
        <v/>
      </c>
      <c r="U752">
        <f>IF(OC_Donor=0,"",IF(INDEX('OneCause_Paste'!$A$752:$AZ$752,1,OC_Donor)="","",INDEX('OneCause_Paste'!$A$752:$AZ$752,1,OC_Donor)))</f>
        <v/>
      </c>
    </row>
    <row r="753">
      <c r="A753" s="62">
        <f>IF(H753="","",IF(ISNUMBER(N753),N753,I753))</f>
        <v/>
      </c>
      <c r="B753">
        <f>IF(H753="","",U753)</f>
        <v/>
      </c>
      <c r="C753">
        <f>IF(H753="","",IF(P753="",K753,INDEX('Students'!$A$2:$A$701,P753)))</f>
        <v/>
      </c>
      <c r="D753">
        <f>IF(OR(H753="",P753=""),"",INDEX('Students'!$B$2:$B$701,P753))</f>
        <v/>
      </c>
      <c r="E753">
        <f>IF(OR(H753="",P753=""),"",INDEX('Students'!$C$2:$C$701,P753))</f>
        <v/>
      </c>
      <c r="F753" s="48">
        <f>IF(H753="","",IF(ISNUMBER(O753),O753,J753))</f>
        <v/>
      </c>
      <c r="G753">
        <f>IF(H753="","","OneCause")</f>
        <v/>
      </c>
      <c r="H753">
        <f>IF(AND(I753="",J753="",K753=""),"",IF(NOT(ISNUMBER(O753)),"Bad amount",IF(O753&lt;0,"Refund (not counted)",IF(O753=0,"Zero amount",IF(NOT(ISNUMBER(N753)),"Bad date",IF(P753="","NAME NOT ON ROSTER",IF(L753="","OK",IF(MATCH(L753,$L$2:$L$3001,0)&lt;ROW()-1,"Duplicate (ignored)","OK"))))))))</f>
        <v/>
      </c>
      <c r="I753">
        <f>IF(OC_Date=0,"",IF(INDEX('OneCause_Paste'!$A$753:$AZ$753,1,OC_Date)="","",INDEX('OneCause_Paste'!$A$753:$AZ$753,1,OC_Date)))</f>
        <v/>
      </c>
      <c r="J753">
        <f>IF(OC_Amt=0,"",IF(INDEX('OneCause_Paste'!$A$753:$AZ$753,1,OC_Amt)="","",INDEX('OneCause_Paste'!$A$753:$AZ$753,1,OC_Amt)))</f>
        <v/>
      </c>
      <c r="K753">
        <f>IF(OC_Name=0,"",IF(INDEX('OneCause_Paste'!$A$753:$AZ$753,1,OC_Name)="","",INDEX('OneCause_Paste'!$A$753:$AZ$753,1,OC_Name)))</f>
        <v/>
      </c>
      <c r="L753">
        <f>IF(OC_Txn=0,"",IF(INDEX('OneCause_Paste'!$A$753:$AZ$753,1,OC_Txn)="","",INDEX('OneCause_Paste'!$A$753:$AZ$753,1,OC_Txn)))</f>
        <v/>
      </c>
      <c r="M753">
        <f>IF(OC_Pay=0,"",IF(INDEX('OneCause_Paste'!$A$753:$AZ$753,1,OC_Pay)="","",INDEX('OneCause_Paste'!$A$753:$AZ$753,1,OC_Pay)))</f>
        <v/>
      </c>
      <c r="N753">
        <f>IF(I753="","",IF(ISNUMBER(I753),INT(I753),IFERROR(INT(DATEVALUE(I753)),IFERROR(INT(VALUE(I753)),"bad"))))</f>
        <v/>
      </c>
      <c r="O753">
        <f>IF(J753="","",IF(ISNUMBER(J753),ROUND(J753,2),IFERROR(ROUND(VALUE(SUBSTITUTE(SUBSTITUTE(SUBSTITUTE(J753,"$",""),",","")," ","")),2),"bad")))</f>
        <v/>
      </c>
      <c r="P753">
        <f>IF(TRIM(K753)="","",IFERROR(MATCH(LOWER(TRIM(K753)),'Students'!$AH$2:$AH$701,0),IFERROR(MATCH(LOWER(TRIM(K753)),'Students'!$AF$2:$AF$701,0),IFERROR(MATCH(LOWER(TRIM(K753)),'Students'!$AG$2:$AG$701,0),""))))</f>
        <v/>
      </c>
      <c r="R753">
        <f>IF(P753="","",INDEX('Students'!$AD$2:$AD$701,P753))</f>
        <v/>
      </c>
      <c r="S753">
        <f>IF(H753="OK",O753,0)</f>
        <v/>
      </c>
      <c r="T753">
        <f>IF(H753="OK",N753,"")</f>
        <v/>
      </c>
      <c r="U753">
        <f>IF(OC_Donor=0,"",IF(INDEX('OneCause_Paste'!$A$753:$AZ$753,1,OC_Donor)="","",INDEX('OneCause_Paste'!$A$753:$AZ$753,1,OC_Donor)))</f>
        <v/>
      </c>
    </row>
    <row r="754">
      <c r="A754" s="62">
        <f>IF(H754="","",IF(ISNUMBER(N754),N754,I754))</f>
        <v/>
      </c>
      <c r="B754">
        <f>IF(H754="","",U754)</f>
        <v/>
      </c>
      <c r="C754">
        <f>IF(H754="","",IF(P754="",K754,INDEX('Students'!$A$2:$A$701,P754)))</f>
        <v/>
      </c>
      <c r="D754">
        <f>IF(OR(H754="",P754=""),"",INDEX('Students'!$B$2:$B$701,P754))</f>
        <v/>
      </c>
      <c r="E754">
        <f>IF(OR(H754="",P754=""),"",INDEX('Students'!$C$2:$C$701,P754))</f>
        <v/>
      </c>
      <c r="F754" s="48">
        <f>IF(H754="","",IF(ISNUMBER(O754),O754,J754))</f>
        <v/>
      </c>
      <c r="G754">
        <f>IF(H754="","","OneCause")</f>
        <v/>
      </c>
      <c r="H754">
        <f>IF(AND(I754="",J754="",K754=""),"",IF(NOT(ISNUMBER(O754)),"Bad amount",IF(O754&lt;0,"Refund (not counted)",IF(O754=0,"Zero amount",IF(NOT(ISNUMBER(N754)),"Bad date",IF(P754="","NAME NOT ON ROSTER",IF(L754="","OK",IF(MATCH(L754,$L$2:$L$3001,0)&lt;ROW()-1,"Duplicate (ignored)","OK"))))))))</f>
        <v/>
      </c>
      <c r="I754">
        <f>IF(OC_Date=0,"",IF(INDEX('OneCause_Paste'!$A$754:$AZ$754,1,OC_Date)="","",INDEX('OneCause_Paste'!$A$754:$AZ$754,1,OC_Date)))</f>
        <v/>
      </c>
      <c r="J754">
        <f>IF(OC_Amt=0,"",IF(INDEX('OneCause_Paste'!$A$754:$AZ$754,1,OC_Amt)="","",INDEX('OneCause_Paste'!$A$754:$AZ$754,1,OC_Amt)))</f>
        <v/>
      </c>
      <c r="K754">
        <f>IF(OC_Name=0,"",IF(INDEX('OneCause_Paste'!$A$754:$AZ$754,1,OC_Name)="","",INDEX('OneCause_Paste'!$A$754:$AZ$754,1,OC_Name)))</f>
        <v/>
      </c>
      <c r="L754">
        <f>IF(OC_Txn=0,"",IF(INDEX('OneCause_Paste'!$A$754:$AZ$754,1,OC_Txn)="","",INDEX('OneCause_Paste'!$A$754:$AZ$754,1,OC_Txn)))</f>
        <v/>
      </c>
      <c r="M754">
        <f>IF(OC_Pay=0,"",IF(INDEX('OneCause_Paste'!$A$754:$AZ$754,1,OC_Pay)="","",INDEX('OneCause_Paste'!$A$754:$AZ$754,1,OC_Pay)))</f>
        <v/>
      </c>
      <c r="N754">
        <f>IF(I754="","",IF(ISNUMBER(I754),INT(I754),IFERROR(INT(DATEVALUE(I754)),IFERROR(INT(VALUE(I754)),"bad"))))</f>
        <v/>
      </c>
      <c r="O754">
        <f>IF(J754="","",IF(ISNUMBER(J754),ROUND(J754,2),IFERROR(ROUND(VALUE(SUBSTITUTE(SUBSTITUTE(SUBSTITUTE(J754,"$",""),",","")," ","")),2),"bad")))</f>
        <v/>
      </c>
      <c r="P754">
        <f>IF(TRIM(K754)="","",IFERROR(MATCH(LOWER(TRIM(K754)),'Students'!$AH$2:$AH$701,0),IFERROR(MATCH(LOWER(TRIM(K754)),'Students'!$AF$2:$AF$701,0),IFERROR(MATCH(LOWER(TRIM(K754)),'Students'!$AG$2:$AG$701,0),""))))</f>
        <v/>
      </c>
      <c r="R754">
        <f>IF(P754="","",INDEX('Students'!$AD$2:$AD$701,P754))</f>
        <v/>
      </c>
      <c r="S754">
        <f>IF(H754="OK",O754,0)</f>
        <v/>
      </c>
      <c r="T754">
        <f>IF(H754="OK",N754,"")</f>
        <v/>
      </c>
      <c r="U754">
        <f>IF(OC_Donor=0,"",IF(INDEX('OneCause_Paste'!$A$754:$AZ$754,1,OC_Donor)="","",INDEX('OneCause_Paste'!$A$754:$AZ$754,1,OC_Donor)))</f>
        <v/>
      </c>
    </row>
    <row r="755">
      <c r="A755" s="62">
        <f>IF(H755="","",IF(ISNUMBER(N755),N755,I755))</f>
        <v/>
      </c>
      <c r="B755">
        <f>IF(H755="","",U755)</f>
        <v/>
      </c>
      <c r="C755">
        <f>IF(H755="","",IF(P755="",K755,INDEX('Students'!$A$2:$A$701,P755)))</f>
        <v/>
      </c>
      <c r="D755">
        <f>IF(OR(H755="",P755=""),"",INDEX('Students'!$B$2:$B$701,P755))</f>
        <v/>
      </c>
      <c r="E755">
        <f>IF(OR(H755="",P755=""),"",INDEX('Students'!$C$2:$C$701,P755))</f>
        <v/>
      </c>
      <c r="F755" s="48">
        <f>IF(H755="","",IF(ISNUMBER(O755),O755,J755))</f>
        <v/>
      </c>
      <c r="G755">
        <f>IF(H755="","","OneCause")</f>
        <v/>
      </c>
      <c r="H755">
        <f>IF(AND(I755="",J755="",K755=""),"",IF(NOT(ISNUMBER(O755)),"Bad amount",IF(O755&lt;0,"Refund (not counted)",IF(O755=0,"Zero amount",IF(NOT(ISNUMBER(N755)),"Bad date",IF(P755="","NAME NOT ON ROSTER",IF(L755="","OK",IF(MATCH(L755,$L$2:$L$3001,0)&lt;ROW()-1,"Duplicate (ignored)","OK"))))))))</f>
        <v/>
      </c>
      <c r="I755">
        <f>IF(OC_Date=0,"",IF(INDEX('OneCause_Paste'!$A$755:$AZ$755,1,OC_Date)="","",INDEX('OneCause_Paste'!$A$755:$AZ$755,1,OC_Date)))</f>
        <v/>
      </c>
      <c r="J755">
        <f>IF(OC_Amt=0,"",IF(INDEX('OneCause_Paste'!$A$755:$AZ$755,1,OC_Amt)="","",INDEX('OneCause_Paste'!$A$755:$AZ$755,1,OC_Amt)))</f>
        <v/>
      </c>
      <c r="K755">
        <f>IF(OC_Name=0,"",IF(INDEX('OneCause_Paste'!$A$755:$AZ$755,1,OC_Name)="","",INDEX('OneCause_Paste'!$A$755:$AZ$755,1,OC_Name)))</f>
        <v/>
      </c>
      <c r="L755">
        <f>IF(OC_Txn=0,"",IF(INDEX('OneCause_Paste'!$A$755:$AZ$755,1,OC_Txn)="","",INDEX('OneCause_Paste'!$A$755:$AZ$755,1,OC_Txn)))</f>
        <v/>
      </c>
      <c r="M755">
        <f>IF(OC_Pay=0,"",IF(INDEX('OneCause_Paste'!$A$755:$AZ$755,1,OC_Pay)="","",INDEX('OneCause_Paste'!$A$755:$AZ$755,1,OC_Pay)))</f>
        <v/>
      </c>
      <c r="N755">
        <f>IF(I755="","",IF(ISNUMBER(I755),INT(I755),IFERROR(INT(DATEVALUE(I755)),IFERROR(INT(VALUE(I755)),"bad"))))</f>
        <v/>
      </c>
      <c r="O755">
        <f>IF(J755="","",IF(ISNUMBER(J755),ROUND(J755,2),IFERROR(ROUND(VALUE(SUBSTITUTE(SUBSTITUTE(SUBSTITUTE(J755,"$",""),",","")," ","")),2),"bad")))</f>
        <v/>
      </c>
      <c r="P755">
        <f>IF(TRIM(K755)="","",IFERROR(MATCH(LOWER(TRIM(K755)),'Students'!$AH$2:$AH$701,0),IFERROR(MATCH(LOWER(TRIM(K755)),'Students'!$AF$2:$AF$701,0),IFERROR(MATCH(LOWER(TRIM(K755)),'Students'!$AG$2:$AG$701,0),""))))</f>
        <v/>
      </c>
      <c r="R755">
        <f>IF(P755="","",INDEX('Students'!$AD$2:$AD$701,P755))</f>
        <v/>
      </c>
      <c r="S755">
        <f>IF(H755="OK",O755,0)</f>
        <v/>
      </c>
      <c r="T755">
        <f>IF(H755="OK",N755,"")</f>
        <v/>
      </c>
      <c r="U755">
        <f>IF(OC_Donor=0,"",IF(INDEX('OneCause_Paste'!$A$755:$AZ$755,1,OC_Donor)="","",INDEX('OneCause_Paste'!$A$755:$AZ$755,1,OC_Donor)))</f>
        <v/>
      </c>
    </row>
    <row r="756">
      <c r="A756" s="62">
        <f>IF(H756="","",IF(ISNUMBER(N756),N756,I756))</f>
        <v/>
      </c>
      <c r="B756">
        <f>IF(H756="","",U756)</f>
        <v/>
      </c>
      <c r="C756">
        <f>IF(H756="","",IF(P756="",K756,INDEX('Students'!$A$2:$A$701,P756)))</f>
        <v/>
      </c>
      <c r="D756">
        <f>IF(OR(H756="",P756=""),"",INDEX('Students'!$B$2:$B$701,P756))</f>
        <v/>
      </c>
      <c r="E756">
        <f>IF(OR(H756="",P756=""),"",INDEX('Students'!$C$2:$C$701,P756))</f>
        <v/>
      </c>
      <c r="F756" s="48">
        <f>IF(H756="","",IF(ISNUMBER(O756),O756,J756))</f>
        <v/>
      </c>
      <c r="G756">
        <f>IF(H756="","","OneCause")</f>
        <v/>
      </c>
      <c r="H756">
        <f>IF(AND(I756="",J756="",K756=""),"",IF(NOT(ISNUMBER(O756)),"Bad amount",IF(O756&lt;0,"Refund (not counted)",IF(O756=0,"Zero amount",IF(NOT(ISNUMBER(N756)),"Bad date",IF(P756="","NAME NOT ON ROSTER",IF(L756="","OK",IF(MATCH(L756,$L$2:$L$3001,0)&lt;ROW()-1,"Duplicate (ignored)","OK"))))))))</f>
        <v/>
      </c>
      <c r="I756">
        <f>IF(OC_Date=0,"",IF(INDEX('OneCause_Paste'!$A$756:$AZ$756,1,OC_Date)="","",INDEX('OneCause_Paste'!$A$756:$AZ$756,1,OC_Date)))</f>
        <v/>
      </c>
      <c r="J756">
        <f>IF(OC_Amt=0,"",IF(INDEX('OneCause_Paste'!$A$756:$AZ$756,1,OC_Amt)="","",INDEX('OneCause_Paste'!$A$756:$AZ$756,1,OC_Amt)))</f>
        <v/>
      </c>
      <c r="K756">
        <f>IF(OC_Name=0,"",IF(INDEX('OneCause_Paste'!$A$756:$AZ$756,1,OC_Name)="","",INDEX('OneCause_Paste'!$A$756:$AZ$756,1,OC_Name)))</f>
        <v/>
      </c>
      <c r="L756">
        <f>IF(OC_Txn=0,"",IF(INDEX('OneCause_Paste'!$A$756:$AZ$756,1,OC_Txn)="","",INDEX('OneCause_Paste'!$A$756:$AZ$756,1,OC_Txn)))</f>
        <v/>
      </c>
      <c r="M756">
        <f>IF(OC_Pay=0,"",IF(INDEX('OneCause_Paste'!$A$756:$AZ$756,1,OC_Pay)="","",INDEX('OneCause_Paste'!$A$756:$AZ$756,1,OC_Pay)))</f>
        <v/>
      </c>
      <c r="N756">
        <f>IF(I756="","",IF(ISNUMBER(I756),INT(I756),IFERROR(INT(DATEVALUE(I756)),IFERROR(INT(VALUE(I756)),"bad"))))</f>
        <v/>
      </c>
      <c r="O756">
        <f>IF(J756="","",IF(ISNUMBER(J756),ROUND(J756,2),IFERROR(ROUND(VALUE(SUBSTITUTE(SUBSTITUTE(SUBSTITUTE(J756,"$",""),",","")," ","")),2),"bad")))</f>
        <v/>
      </c>
      <c r="P756">
        <f>IF(TRIM(K756)="","",IFERROR(MATCH(LOWER(TRIM(K756)),'Students'!$AH$2:$AH$701,0),IFERROR(MATCH(LOWER(TRIM(K756)),'Students'!$AF$2:$AF$701,0),IFERROR(MATCH(LOWER(TRIM(K756)),'Students'!$AG$2:$AG$701,0),""))))</f>
        <v/>
      </c>
      <c r="R756">
        <f>IF(P756="","",INDEX('Students'!$AD$2:$AD$701,P756))</f>
        <v/>
      </c>
      <c r="S756">
        <f>IF(H756="OK",O756,0)</f>
        <v/>
      </c>
      <c r="T756">
        <f>IF(H756="OK",N756,"")</f>
        <v/>
      </c>
      <c r="U756">
        <f>IF(OC_Donor=0,"",IF(INDEX('OneCause_Paste'!$A$756:$AZ$756,1,OC_Donor)="","",INDEX('OneCause_Paste'!$A$756:$AZ$756,1,OC_Donor)))</f>
        <v/>
      </c>
    </row>
    <row r="757">
      <c r="A757" s="62">
        <f>IF(H757="","",IF(ISNUMBER(N757),N757,I757))</f>
        <v/>
      </c>
      <c r="B757">
        <f>IF(H757="","",U757)</f>
        <v/>
      </c>
      <c r="C757">
        <f>IF(H757="","",IF(P757="",K757,INDEX('Students'!$A$2:$A$701,P757)))</f>
        <v/>
      </c>
      <c r="D757">
        <f>IF(OR(H757="",P757=""),"",INDEX('Students'!$B$2:$B$701,P757))</f>
        <v/>
      </c>
      <c r="E757">
        <f>IF(OR(H757="",P757=""),"",INDEX('Students'!$C$2:$C$701,P757))</f>
        <v/>
      </c>
      <c r="F757" s="48">
        <f>IF(H757="","",IF(ISNUMBER(O757),O757,J757))</f>
        <v/>
      </c>
      <c r="G757">
        <f>IF(H757="","","OneCause")</f>
        <v/>
      </c>
      <c r="H757">
        <f>IF(AND(I757="",J757="",K757=""),"",IF(NOT(ISNUMBER(O757)),"Bad amount",IF(O757&lt;0,"Refund (not counted)",IF(O757=0,"Zero amount",IF(NOT(ISNUMBER(N757)),"Bad date",IF(P757="","NAME NOT ON ROSTER",IF(L757="","OK",IF(MATCH(L757,$L$2:$L$3001,0)&lt;ROW()-1,"Duplicate (ignored)","OK"))))))))</f>
        <v/>
      </c>
      <c r="I757">
        <f>IF(OC_Date=0,"",IF(INDEX('OneCause_Paste'!$A$757:$AZ$757,1,OC_Date)="","",INDEX('OneCause_Paste'!$A$757:$AZ$757,1,OC_Date)))</f>
        <v/>
      </c>
      <c r="J757">
        <f>IF(OC_Amt=0,"",IF(INDEX('OneCause_Paste'!$A$757:$AZ$757,1,OC_Amt)="","",INDEX('OneCause_Paste'!$A$757:$AZ$757,1,OC_Amt)))</f>
        <v/>
      </c>
      <c r="K757">
        <f>IF(OC_Name=0,"",IF(INDEX('OneCause_Paste'!$A$757:$AZ$757,1,OC_Name)="","",INDEX('OneCause_Paste'!$A$757:$AZ$757,1,OC_Name)))</f>
        <v/>
      </c>
      <c r="L757">
        <f>IF(OC_Txn=0,"",IF(INDEX('OneCause_Paste'!$A$757:$AZ$757,1,OC_Txn)="","",INDEX('OneCause_Paste'!$A$757:$AZ$757,1,OC_Txn)))</f>
        <v/>
      </c>
      <c r="M757">
        <f>IF(OC_Pay=0,"",IF(INDEX('OneCause_Paste'!$A$757:$AZ$757,1,OC_Pay)="","",INDEX('OneCause_Paste'!$A$757:$AZ$757,1,OC_Pay)))</f>
        <v/>
      </c>
      <c r="N757">
        <f>IF(I757="","",IF(ISNUMBER(I757),INT(I757),IFERROR(INT(DATEVALUE(I757)),IFERROR(INT(VALUE(I757)),"bad"))))</f>
        <v/>
      </c>
      <c r="O757">
        <f>IF(J757="","",IF(ISNUMBER(J757),ROUND(J757,2),IFERROR(ROUND(VALUE(SUBSTITUTE(SUBSTITUTE(SUBSTITUTE(J757,"$",""),",","")," ","")),2),"bad")))</f>
        <v/>
      </c>
      <c r="P757">
        <f>IF(TRIM(K757)="","",IFERROR(MATCH(LOWER(TRIM(K757)),'Students'!$AH$2:$AH$701,0),IFERROR(MATCH(LOWER(TRIM(K757)),'Students'!$AF$2:$AF$701,0),IFERROR(MATCH(LOWER(TRIM(K757)),'Students'!$AG$2:$AG$701,0),""))))</f>
        <v/>
      </c>
      <c r="R757">
        <f>IF(P757="","",INDEX('Students'!$AD$2:$AD$701,P757))</f>
        <v/>
      </c>
      <c r="S757">
        <f>IF(H757="OK",O757,0)</f>
        <v/>
      </c>
      <c r="T757">
        <f>IF(H757="OK",N757,"")</f>
        <v/>
      </c>
      <c r="U757">
        <f>IF(OC_Donor=0,"",IF(INDEX('OneCause_Paste'!$A$757:$AZ$757,1,OC_Donor)="","",INDEX('OneCause_Paste'!$A$757:$AZ$757,1,OC_Donor)))</f>
        <v/>
      </c>
    </row>
    <row r="758">
      <c r="A758" s="62">
        <f>IF(H758="","",IF(ISNUMBER(N758),N758,I758))</f>
        <v/>
      </c>
      <c r="B758">
        <f>IF(H758="","",U758)</f>
        <v/>
      </c>
      <c r="C758">
        <f>IF(H758="","",IF(P758="",K758,INDEX('Students'!$A$2:$A$701,P758)))</f>
        <v/>
      </c>
      <c r="D758">
        <f>IF(OR(H758="",P758=""),"",INDEX('Students'!$B$2:$B$701,P758))</f>
        <v/>
      </c>
      <c r="E758">
        <f>IF(OR(H758="",P758=""),"",INDEX('Students'!$C$2:$C$701,P758))</f>
        <v/>
      </c>
      <c r="F758" s="48">
        <f>IF(H758="","",IF(ISNUMBER(O758),O758,J758))</f>
        <v/>
      </c>
      <c r="G758">
        <f>IF(H758="","","OneCause")</f>
        <v/>
      </c>
      <c r="H758">
        <f>IF(AND(I758="",J758="",K758=""),"",IF(NOT(ISNUMBER(O758)),"Bad amount",IF(O758&lt;0,"Refund (not counted)",IF(O758=0,"Zero amount",IF(NOT(ISNUMBER(N758)),"Bad date",IF(P758="","NAME NOT ON ROSTER",IF(L758="","OK",IF(MATCH(L758,$L$2:$L$3001,0)&lt;ROW()-1,"Duplicate (ignored)","OK"))))))))</f>
        <v/>
      </c>
      <c r="I758">
        <f>IF(OC_Date=0,"",IF(INDEX('OneCause_Paste'!$A$758:$AZ$758,1,OC_Date)="","",INDEX('OneCause_Paste'!$A$758:$AZ$758,1,OC_Date)))</f>
        <v/>
      </c>
      <c r="J758">
        <f>IF(OC_Amt=0,"",IF(INDEX('OneCause_Paste'!$A$758:$AZ$758,1,OC_Amt)="","",INDEX('OneCause_Paste'!$A$758:$AZ$758,1,OC_Amt)))</f>
        <v/>
      </c>
      <c r="K758">
        <f>IF(OC_Name=0,"",IF(INDEX('OneCause_Paste'!$A$758:$AZ$758,1,OC_Name)="","",INDEX('OneCause_Paste'!$A$758:$AZ$758,1,OC_Name)))</f>
        <v/>
      </c>
      <c r="L758">
        <f>IF(OC_Txn=0,"",IF(INDEX('OneCause_Paste'!$A$758:$AZ$758,1,OC_Txn)="","",INDEX('OneCause_Paste'!$A$758:$AZ$758,1,OC_Txn)))</f>
        <v/>
      </c>
      <c r="M758">
        <f>IF(OC_Pay=0,"",IF(INDEX('OneCause_Paste'!$A$758:$AZ$758,1,OC_Pay)="","",INDEX('OneCause_Paste'!$A$758:$AZ$758,1,OC_Pay)))</f>
        <v/>
      </c>
      <c r="N758">
        <f>IF(I758="","",IF(ISNUMBER(I758),INT(I758),IFERROR(INT(DATEVALUE(I758)),IFERROR(INT(VALUE(I758)),"bad"))))</f>
        <v/>
      </c>
      <c r="O758">
        <f>IF(J758="","",IF(ISNUMBER(J758),ROUND(J758,2),IFERROR(ROUND(VALUE(SUBSTITUTE(SUBSTITUTE(SUBSTITUTE(J758,"$",""),",","")," ","")),2),"bad")))</f>
        <v/>
      </c>
      <c r="P758">
        <f>IF(TRIM(K758)="","",IFERROR(MATCH(LOWER(TRIM(K758)),'Students'!$AH$2:$AH$701,0),IFERROR(MATCH(LOWER(TRIM(K758)),'Students'!$AF$2:$AF$701,0),IFERROR(MATCH(LOWER(TRIM(K758)),'Students'!$AG$2:$AG$701,0),""))))</f>
        <v/>
      </c>
      <c r="R758">
        <f>IF(P758="","",INDEX('Students'!$AD$2:$AD$701,P758))</f>
        <v/>
      </c>
      <c r="S758">
        <f>IF(H758="OK",O758,0)</f>
        <v/>
      </c>
      <c r="T758">
        <f>IF(H758="OK",N758,"")</f>
        <v/>
      </c>
      <c r="U758">
        <f>IF(OC_Donor=0,"",IF(INDEX('OneCause_Paste'!$A$758:$AZ$758,1,OC_Donor)="","",INDEX('OneCause_Paste'!$A$758:$AZ$758,1,OC_Donor)))</f>
        <v/>
      </c>
    </row>
    <row r="759">
      <c r="A759" s="62">
        <f>IF(H759="","",IF(ISNUMBER(N759),N759,I759))</f>
        <v/>
      </c>
      <c r="B759">
        <f>IF(H759="","",U759)</f>
        <v/>
      </c>
      <c r="C759">
        <f>IF(H759="","",IF(P759="",K759,INDEX('Students'!$A$2:$A$701,P759)))</f>
        <v/>
      </c>
      <c r="D759">
        <f>IF(OR(H759="",P759=""),"",INDEX('Students'!$B$2:$B$701,P759))</f>
        <v/>
      </c>
      <c r="E759">
        <f>IF(OR(H759="",P759=""),"",INDEX('Students'!$C$2:$C$701,P759))</f>
        <v/>
      </c>
      <c r="F759" s="48">
        <f>IF(H759="","",IF(ISNUMBER(O759),O759,J759))</f>
        <v/>
      </c>
      <c r="G759">
        <f>IF(H759="","","OneCause")</f>
        <v/>
      </c>
      <c r="H759">
        <f>IF(AND(I759="",J759="",K759=""),"",IF(NOT(ISNUMBER(O759)),"Bad amount",IF(O759&lt;0,"Refund (not counted)",IF(O759=0,"Zero amount",IF(NOT(ISNUMBER(N759)),"Bad date",IF(P759="","NAME NOT ON ROSTER",IF(L759="","OK",IF(MATCH(L759,$L$2:$L$3001,0)&lt;ROW()-1,"Duplicate (ignored)","OK"))))))))</f>
        <v/>
      </c>
      <c r="I759">
        <f>IF(OC_Date=0,"",IF(INDEX('OneCause_Paste'!$A$759:$AZ$759,1,OC_Date)="","",INDEX('OneCause_Paste'!$A$759:$AZ$759,1,OC_Date)))</f>
        <v/>
      </c>
      <c r="J759">
        <f>IF(OC_Amt=0,"",IF(INDEX('OneCause_Paste'!$A$759:$AZ$759,1,OC_Amt)="","",INDEX('OneCause_Paste'!$A$759:$AZ$759,1,OC_Amt)))</f>
        <v/>
      </c>
      <c r="K759">
        <f>IF(OC_Name=0,"",IF(INDEX('OneCause_Paste'!$A$759:$AZ$759,1,OC_Name)="","",INDEX('OneCause_Paste'!$A$759:$AZ$759,1,OC_Name)))</f>
        <v/>
      </c>
      <c r="L759">
        <f>IF(OC_Txn=0,"",IF(INDEX('OneCause_Paste'!$A$759:$AZ$759,1,OC_Txn)="","",INDEX('OneCause_Paste'!$A$759:$AZ$759,1,OC_Txn)))</f>
        <v/>
      </c>
      <c r="M759">
        <f>IF(OC_Pay=0,"",IF(INDEX('OneCause_Paste'!$A$759:$AZ$759,1,OC_Pay)="","",INDEX('OneCause_Paste'!$A$759:$AZ$759,1,OC_Pay)))</f>
        <v/>
      </c>
      <c r="N759">
        <f>IF(I759="","",IF(ISNUMBER(I759),INT(I759),IFERROR(INT(DATEVALUE(I759)),IFERROR(INT(VALUE(I759)),"bad"))))</f>
        <v/>
      </c>
      <c r="O759">
        <f>IF(J759="","",IF(ISNUMBER(J759),ROUND(J759,2),IFERROR(ROUND(VALUE(SUBSTITUTE(SUBSTITUTE(SUBSTITUTE(J759,"$",""),",","")," ","")),2),"bad")))</f>
        <v/>
      </c>
      <c r="P759">
        <f>IF(TRIM(K759)="","",IFERROR(MATCH(LOWER(TRIM(K759)),'Students'!$AH$2:$AH$701,0),IFERROR(MATCH(LOWER(TRIM(K759)),'Students'!$AF$2:$AF$701,0),IFERROR(MATCH(LOWER(TRIM(K759)),'Students'!$AG$2:$AG$701,0),""))))</f>
        <v/>
      </c>
      <c r="R759">
        <f>IF(P759="","",INDEX('Students'!$AD$2:$AD$701,P759))</f>
        <v/>
      </c>
      <c r="S759">
        <f>IF(H759="OK",O759,0)</f>
        <v/>
      </c>
      <c r="T759">
        <f>IF(H759="OK",N759,"")</f>
        <v/>
      </c>
      <c r="U759">
        <f>IF(OC_Donor=0,"",IF(INDEX('OneCause_Paste'!$A$759:$AZ$759,1,OC_Donor)="","",INDEX('OneCause_Paste'!$A$759:$AZ$759,1,OC_Donor)))</f>
        <v/>
      </c>
    </row>
    <row r="760">
      <c r="A760" s="62">
        <f>IF(H760="","",IF(ISNUMBER(N760),N760,I760))</f>
        <v/>
      </c>
      <c r="B760">
        <f>IF(H760="","",U760)</f>
        <v/>
      </c>
      <c r="C760">
        <f>IF(H760="","",IF(P760="",K760,INDEX('Students'!$A$2:$A$701,P760)))</f>
        <v/>
      </c>
      <c r="D760">
        <f>IF(OR(H760="",P760=""),"",INDEX('Students'!$B$2:$B$701,P760))</f>
        <v/>
      </c>
      <c r="E760">
        <f>IF(OR(H760="",P760=""),"",INDEX('Students'!$C$2:$C$701,P760))</f>
        <v/>
      </c>
      <c r="F760" s="48">
        <f>IF(H760="","",IF(ISNUMBER(O760),O760,J760))</f>
        <v/>
      </c>
      <c r="G760">
        <f>IF(H760="","","OneCause")</f>
        <v/>
      </c>
      <c r="H760">
        <f>IF(AND(I760="",J760="",K760=""),"",IF(NOT(ISNUMBER(O760)),"Bad amount",IF(O760&lt;0,"Refund (not counted)",IF(O760=0,"Zero amount",IF(NOT(ISNUMBER(N760)),"Bad date",IF(P760="","NAME NOT ON ROSTER",IF(L760="","OK",IF(MATCH(L760,$L$2:$L$3001,0)&lt;ROW()-1,"Duplicate (ignored)","OK"))))))))</f>
        <v/>
      </c>
      <c r="I760">
        <f>IF(OC_Date=0,"",IF(INDEX('OneCause_Paste'!$A$760:$AZ$760,1,OC_Date)="","",INDEX('OneCause_Paste'!$A$760:$AZ$760,1,OC_Date)))</f>
        <v/>
      </c>
      <c r="J760">
        <f>IF(OC_Amt=0,"",IF(INDEX('OneCause_Paste'!$A$760:$AZ$760,1,OC_Amt)="","",INDEX('OneCause_Paste'!$A$760:$AZ$760,1,OC_Amt)))</f>
        <v/>
      </c>
      <c r="K760">
        <f>IF(OC_Name=0,"",IF(INDEX('OneCause_Paste'!$A$760:$AZ$760,1,OC_Name)="","",INDEX('OneCause_Paste'!$A$760:$AZ$760,1,OC_Name)))</f>
        <v/>
      </c>
      <c r="L760">
        <f>IF(OC_Txn=0,"",IF(INDEX('OneCause_Paste'!$A$760:$AZ$760,1,OC_Txn)="","",INDEX('OneCause_Paste'!$A$760:$AZ$760,1,OC_Txn)))</f>
        <v/>
      </c>
      <c r="M760">
        <f>IF(OC_Pay=0,"",IF(INDEX('OneCause_Paste'!$A$760:$AZ$760,1,OC_Pay)="","",INDEX('OneCause_Paste'!$A$760:$AZ$760,1,OC_Pay)))</f>
        <v/>
      </c>
      <c r="N760">
        <f>IF(I760="","",IF(ISNUMBER(I760),INT(I760),IFERROR(INT(DATEVALUE(I760)),IFERROR(INT(VALUE(I760)),"bad"))))</f>
        <v/>
      </c>
      <c r="O760">
        <f>IF(J760="","",IF(ISNUMBER(J760),ROUND(J760,2),IFERROR(ROUND(VALUE(SUBSTITUTE(SUBSTITUTE(SUBSTITUTE(J760,"$",""),",","")," ","")),2),"bad")))</f>
        <v/>
      </c>
      <c r="P760">
        <f>IF(TRIM(K760)="","",IFERROR(MATCH(LOWER(TRIM(K760)),'Students'!$AH$2:$AH$701,0),IFERROR(MATCH(LOWER(TRIM(K760)),'Students'!$AF$2:$AF$701,0),IFERROR(MATCH(LOWER(TRIM(K760)),'Students'!$AG$2:$AG$701,0),""))))</f>
        <v/>
      </c>
      <c r="R760">
        <f>IF(P760="","",INDEX('Students'!$AD$2:$AD$701,P760))</f>
        <v/>
      </c>
      <c r="S760">
        <f>IF(H760="OK",O760,0)</f>
        <v/>
      </c>
      <c r="T760">
        <f>IF(H760="OK",N760,"")</f>
        <v/>
      </c>
      <c r="U760">
        <f>IF(OC_Donor=0,"",IF(INDEX('OneCause_Paste'!$A$760:$AZ$760,1,OC_Donor)="","",INDEX('OneCause_Paste'!$A$760:$AZ$760,1,OC_Donor)))</f>
        <v/>
      </c>
    </row>
    <row r="761">
      <c r="A761" s="62">
        <f>IF(H761="","",IF(ISNUMBER(N761),N761,I761))</f>
        <v/>
      </c>
      <c r="B761">
        <f>IF(H761="","",U761)</f>
        <v/>
      </c>
      <c r="C761">
        <f>IF(H761="","",IF(P761="",K761,INDEX('Students'!$A$2:$A$701,P761)))</f>
        <v/>
      </c>
      <c r="D761">
        <f>IF(OR(H761="",P761=""),"",INDEX('Students'!$B$2:$B$701,P761))</f>
        <v/>
      </c>
      <c r="E761">
        <f>IF(OR(H761="",P761=""),"",INDEX('Students'!$C$2:$C$701,P761))</f>
        <v/>
      </c>
      <c r="F761" s="48">
        <f>IF(H761="","",IF(ISNUMBER(O761),O761,J761))</f>
        <v/>
      </c>
      <c r="G761">
        <f>IF(H761="","","OneCause")</f>
        <v/>
      </c>
      <c r="H761">
        <f>IF(AND(I761="",J761="",K761=""),"",IF(NOT(ISNUMBER(O761)),"Bad amount",IF(O761&lt;0,"Refund (not counted)",IF(O761=0,"Zero amount",IF(NOT(ISNUMBER(N761)),"Bad date",IF(P761="","NAME NOT ON ROSTER",IF(L761="","OK",IF(MATCH(L761,$L$2:$L$3001,0)&lt;ROW()-1,"Duplicate (ignored)","OK"))))))))</f>
        <v/>
      </c>
      <c r="I761">
        <f>IF(OC_Date=0,"",IF(INDEX('OneCause_Paste'!$A$761:$AZ$761,1,OC_Date)="","",INDEX('OneCause_Paste'!$A$761:$AZ$761,1,OC_Date)))</f>
        <v/>
      </c>
      <c r="J761">
        <f>IF(OC_Amt=0,"",IF(INDEX('OneCause_Paste'!$A$761:$AZ$761,1,OC_Amt)="","",INDEX('OneCause_Paste'!$A$761:$AZ$761,1,OC_Amt)))</f>
        <v/>
      </c>
      <c r="K761">
        <f>IF(OC_Name=0,"",IF(INDEX('OneCause_Paste'!$A$761:$AZ$761,1,OC_Name)="","",INDEX('OneCause_Paste'!$A$761:$AZ$761,1,OC_Name)))</f>
        <v/>
      </c>
      <c r="L761">
        <f>IF(OC_Txn=0,"",IF(INDEX('OneCause_Paste'!$A$761:$AZ$761,1,OC_Txn)="","",INDEX('OneCause_Paste'!$A$761:$AZ$761,1,OC_Txn)))</f>
        <v/>
      </c>
      <c r="M761">
        <f>IF(OC_Pay=0,"",IF(INDEX('OneCause_Paste'!$A$761:$AZ$761,1,OC_Pay)="","",INDEX('OneCause_Paste'!$A$761:$AZ$761,1,OC_Pay)))</f>
        <v/>
      </c>
      <c r="N761">
        <f>IF(I761="","",IF(ISNUMBER(I761),INT(I761),IFERROR(INT(DATEVALUE(I761)),IFERROR(INT(VALUE(I761)),"bad"))))</f>
        <v/>
      </c>
      <c r="O761">
        <f>IF(J761="","",IF(ISNUMBER(J761),ROUND(J761,2),IFERROR(ROUND(VALUE(SUBSTITUTE(SUBSTITUTE(SUBSTITUTE(J761,"$",""),",","")," ","")),2),"bad")))</f>
        <v/>
      </c>
      <c r="P761">
        <f>IF(TRIM(K761)="","",IFERROR(MATCH(LOWER(TRIM(K761)),'Students'!$AH$2:$AH$701,0),IFERROR(MATCH(LOWER(TRIM(K761)),'Students'!$AF$2:$AF$701,0),IFERROR(MATCH(LOWER(TRIM(K761)),'Students'!$AG$2:$AG$701,0),""))))</f>
        <v/>
      </c>
      <c r="R761">
        <f>IF(P761="","",INDEX('Students'!$AD$2:$AD$701,P761))</f>
        <v/>
      </c>
      <c r="S761">
        <f>IF(H761="OK",O761,0)</f>
        <v/>
      </c>
      <c r="T761">
        <f>IF(H761="OK",N761,"")</f>
        <v/>
      </c>
      <c r="U761">
        <f>IF(OC_Donor=0,"",IF(INDEX('OneCause_Paste'!$A$761:$AZ$761,1,OC_Donor)="","",INDEX('OneCause_Paste'!$A$761:$AZ$761,1,OC_Donor)))</f>
        <v/>
      </c>
    </row>
    <row r="762">
      <c r="A762" s="62">
        <f>IF(H762="","",IF(ISNUMBER(N762),N762,I762))</f>
        <v/>
      </c>
      <c r="B762">
        <f>IF(H762="","",U762)</f>
        <v/>
      </c>
      <c r="C762">
        <f>IF(H762="","",IF(P762="",K762,INDEX('Students'!$A$2:$A$701,P762)))</f>
        <v/>
      </c>
      <c r="D762">
        <f>IF(OR(H762="",P762=""),"",INDEX('Students'!$B$2:$B$701,P762))</f>
        <v/>
      </c>
      <c r="E762">
        <f>IF(OR(H762="",P762=""),"",INDEX('Students'!$C$2:$C$701,P762))</f>
        <v/>
      </c>
      <c r="F762" s="48">
        <f>IF(H762="","",IF(ISNUMBER(O762),O762,J762))</f>
        <v/>
      </c>
      <c r="G762">
        <f>IF(H762="","","OneCause")</f>
        <v/>
      </c>
      <c r="H762">
        <f>IF(AND(I762="",J762="",K762=""),"",IF(NOT(ISNUMBER(O762)),"Bad amount",IF(O762&lt;0,"Refund (not counted)",IF(O762=0,"Zero amount",IF(NOT(ISNUMBER(N762)),"Bad date",IF(P762="","NAME NOT ON ROSTER",IF(L762="","OK",IF(MATCH(L762,$L$2:$L$3001,0)&lt;ROW()-1,"Duplicate (ignored)","OK"))))))))</f>
        <v/>
      </c>
      <c r="I762">
        <f>IF(OC_Date=0,"",IF(INDEX('OneCause_Paste'!$A$762:$AZ$762,1,OC_Date)="","",INDEX('OneCause_Paste'!$A$762:$AZ$762,1,OC_Date)))</f>
        <v/>
      </c>
      <c r="J762">
        <f>IF(OC_Amt=0,"",IF(INDEX('OneCause_Paste'!$A$762:$AZ$762,1,OC_Amt)="","",INDEX('OneCause_Paste'!$A$762:$AZ$762,1,OC_Amt)))</f>
        <v/>
      </c>
      <c r="K762">
        <f>IF(OC_Name=0,"",IF(INDEX('OneCause_Paste'!$A$762:$AZ$762,1,OC_Name)="","",INDEX('OneCause_Paste'!$A$762:$AZ$762,1,OC_Name)))</f>
        <v/>
      </c>
      <c r="L762">
        <f>IF(OC_Txn=0,"",IF(INDEX('OneCause_Paste'!$A$762:$AZ$762,1,OC_Txn)="","",INDEX('OneCause_Paste'!$A$762:$AZ$762,1,OC_Txn)))</f>
        <v/>
      </c>
      <c r="M762">
        <f>IF(OC_Pay=0,"",IF(INDEX('OneCause_Paste'!$A$762:$AZ$762,1,OC_Pay)="","",INDEX('OneCause_Paste'!$A$762:$AZ$762,1,OC_Pay)))</f>
        <v/>
      </c>
      <c r="N762">
        <f>IF(I762="","",IF(ISNUMBER(I762),INT(I762),IFERROR(INT(DATEVALUE(I762)),IFERROR(INT(VALUE(I762)),"bad"))))</f>
        <v/>
      </c>
      <c r="O762">
        <f>IF(J762="","",IF(ISNUMBER(J762),ROUND(J762,2),IFERROR(ROUND(VALUE(SUBSTITUTE(SUBSTITUTE(SUBSTITUTE(J762,"$",""),",","")," ","")),2),"bad")))</f>
        <v/>
      </c>
      <c r="P762">
        <f>IF(TRIM(K762)="","",IFERROR(MATCH(LOWER(TRIM(K762)),'Students'!$AH$2:$AH$701,0),IFERROR(MATCH(LOWER(TRIM(K762)),'Students'!$AF$2:$AF$701,0),IFERROR(MATCH(LOWER(TRIM(K762)),'Students'!$AG$2:$AG$701,0),""))))</f>
        <v/>
      </c>
      <c r="R762">
        <f>IF(P762="","",INDEX('Students'!$AD$2:$AD$701,P762))</f>
        <v/>
      </c>
      <c r="S762">
        <f>IF(H762="OK",O762,0)</f>
        <v/>
      </c>
      <c r="T762">
        <f>IF(H762="OK",N762,"")</f>
        <v/>
      </c>
      <c r="U762">
        <f>IF(OC_Donor=0,"",IF(INDEX('OneCause_Paste'!$A$762:$AZ$762,1,OC_Donor)="","",INDEX('OneCause_Paste'!$A$762:$AZ$762,1,OC_Donor)))</f>
        <v/>
      </c>
    </row>
    <row r="763">
      <c r="A763" s="62">
        <f>IF(H763="","",IF(ISNUMBER(N763),N763,I763))</f>
        <v/>
      </c>
      <c r="B763">
        <f>IF(H763="","",U763)</f>
        <v/>
      </c>
      <c r="C763">
        <f>IF(H763="","",IF(P763="",K763,INDEX('Students'!$A$2:$A$701,P763)))</f>
        <v/>
      </c>
      <c r="D763">
        <f>IF(OR(H763="",P763=""),"",INDEX('Students'!$B$2:$B$701,P763))</f>
        <v/>
      </c>
      <c r="E763">
        <f>IF(OR(H763="",P763=""),"",INDEX('Students'!$C$2:$C$701,P763))</f>
        <v/>
      </c>
      <c r="F763" s="48">
        <f>IF(H763="","",IF(ISNUMBER(O763),O763,J763))</f>
        <v/>
      </c>
      <c r="G763">
        <f>IF(H763="","","OneCause")</f>
        <v/>
      </c>
      <c r="H763">
        <f>IF(AND(I763="",J763="",K763=""),"",IF(NOT(ISNUMBER(O763)),"Bad amount",IF(O763&lt;0,"Refund (not counted)",IF(O763=0,"Zero amount",IF(NOT(ISNUMBER(N763)),"Bad date",IF(P763="","NAME NOT ON ROSTER",IF(L763="","OK",IF(MATCH(L763,$L$2:$L$3001,0)&lt;ROW()-1,"Duplicate (ignored)","OK"))))))))</f>
        <v/>
      </c>
      <c r="I763">
        <f>IF(OC_Date=0,"",IF(INDEX('OneCause_Paste'!$A$763:$AZ$763,1,OC_Date)="","",INDEX('OneCause_Paste'!$A$763:$AZ$763,1,OC_Date)))</f>
        <v/>
      </c>
      <c r="J763">
        <f>IF(OC_Amt=0,"",IF(INDEX('OneCause_Paste'!$A$763:$AZ$763,1,OC_Amt)="","",INDEX('OneCause_Paste'!$A$763:$AZ$763,1,OC_Amt)))</f>
        <v/>
      </c>
      <c r="K763">
        <f>IF(OC_Name=0,"",IF(INDEX('OneCause_Paste'!$A$763:$AZ$763,1,OC_Name)="","",INDEX('OneCause_Paste'!$A$763:$AZ$763,1,OC_Name)))</f>
        <v/>
      </c>
      <c r="L763">
        <f>IF(OC_Txn=0,"",IF(INDEX('OneCause_Paste'!$A$763:$AZ$763,1,OC_Txn)="","",INDEX('OneCause_Paste'!$A$763:$AZ$763,1,OC_Txn)))</f>
        <v/>
      </c>
      <c r="M763">
        <f>IF(OC_Pay=0,"",IF(INDEX('OneCause_Paste'!$A$763:$AZ$763,1,OC_Pay)="","",INDEX('OneCause_Paste'!$A$763:$AZ$763,1,OC_Pay)))</f>
        <v/>
      </c>
      <c r="N763">
        <f>IF(I763="","",IF(ISNUMBER(I763),INT(I763),IFERROR(INT(DATEVALUE(I763)),IFERROR(INT(VALUE(I763)),"bad"))))</f>
        <v/>
      </c>
      <c r="O763">
        <f>IF(J763="","",IF(ISNUMBER(J763),ROUND(J763,2),IFERROR(ROUND(VALUE(SUBSTITUTE(SUBSTITUTE(SUBSTITUTE(J763,"$",""),",","")," ","")),2),"bad")))</f>
        <v/>
      </c>
      <c r="P763">
        <f>IF(TRIM(K763)="","",IFERROR(MATCH(LOWER(TRIM(K763)),'Students'!$AH$2:$AH$701,0),IFERROR(MATCH(LOWER(TRIM(K763)),'Students'!$AF$2:$AF$701,0),IFERROR(MATCH(LOWER(TRIM(K763)),'Students'!$AG$2:$AG$701,0),""))))</f>
        <v/>
      </c>
      <c r="R763">
        <f>IF(P763="","",INDEX('Students'!$AD$2:$AD$701,P763))</f>
        <v/>
      </c>
      <c r="S763">
        <f>IF(H763="OK",O763,0)</f>
        <v/>
      </c>
      <c r="T763">
        <f>IF(H763="OK",N763,"")</f>
        <v/>
      </c>
      <c r="U763">
        <f>IF(OC_Donor=0,"",IF(INDEX('OneCause_Paste'!$A$763:$AZ$763,1,OC_Donor)="","",INDEX('OneCause_Paste'!$A$763:$AZ$763,1,OC_Donor)))</f>
        <v/>
      </c>
    </row>
    <row r="764">
      <c r="A764" s="62">
        <f>IF(H764="","",IF(ISNUMBER(N764),N764,I764))</f>
        <v/>
      </c>
      <c r="B764">
        <f>IF(H764="","",U764)</f>
        <v/>
      </c>
      <c r="C764">
        <f>IF(H764="","",IF(P764="",K764,INDEX('Students'!$A$2:$A$701,P764)))</f>
        <v/>
      </c>
      <c r="D764">
        <f>IF(OR(H764="",P764=""),"",INDEX('Students'!$B$2:$B$701,P764))</f>
        <v/>
      </c>
      <c r="E764">
        <f>IF(OR(H764="",P764=""),"",INDEX('Students'!$C$2:$C$701,P764))</f>
        <v/>
      </c>
      <c r="F764" s="48">
        <f>IF(H764="","",IF(ISNUMBER(O764),O764,J764))</f>
        <v/>
      </c>
      <c r="G764">
        <f>IF(H764="","","OneCause")</f>
        <v/>
      </c>
      <c r="H764">
        <f>IF(AND(I764="",J764="",K764=""),"",IF(NOT(ISNUMBER(O764)),"Bad amount",IF(O764&lt;0,"Refund (not counted)",IF(O764=0,"Zero amount",IF(NOT(ISNUMBER(N764)),"Bad date",IF(P764="","NAME NOT ON ROSTER",IF(L764="","OK",IF(MATCH(L764,$L$2:$L$3001,0)&lt;ROW()-1,"Duplicate (ignored)","OK"))))))))</f>
        <v/>
      </c>
      <c r="I764">
        <f>IF(OC_Date=0,"",IF(INDEX('OneCause_Paste'!$A$764:$AZ$764,1,OC_Date)="","",INDEX('OneCause_Paste'!$A$764:$AZ$764,1,OC_Date)))</f>
        <v/>
      </c>
      <c r="J764">
        <f>IF(OC_Amt=0,"",IF(INDEX('OneCause_Paste'!$A$764:$AZ$764,1,OC_Amt)="","",INDEX('OneCause_Paste'!$A$764:$AZ$764,1,OC_Amt)))</f>
        <v/>
      </c>
      <c r="K764">
        <f>IF(OC_Name=0,"",IF(INDEX('OneCause_Paste'!$A$764:$AZ$764,1,OC_Name)="","",INDEX('OneCause_Paste'!$A$764:$AZ$764,1,OC_Name)))</f>
        <v/>
      </c>
      <c r="L764">
        <f>IF(OC_Txn=0,"",IF(INDEX('OneCause_Paste'!$A$764:$AZ$764,1,OC_Txn)="","",INDEX('OneCause_Paste'!$A$764:$AZ$764,1,OC_Txn)))</f>
        <v/>
      </c>
      <c r="M764">
        <f>IF(OC_Pay=0,"",IF(INDEX('OneCause_Paste'!$A$764:$AZ$764,1,OC_Pay)="","",INDEX('OneCause_Paste'!$A$764:$AZ$764,1,OC_Pay)))</f>
        <v/>
      </c>
      <c r="N764">
        <f>IF(I764="","",IF(ISNUMBER(I764),INT(I764),IFERROR(INT(DATEVALUE(I764)),IFERROR(INT(VALUE(I764)),"bad"))))</f>
        <v/>
      </c>
      <c r="O764">
        <f>IF(J764="","",IF(ISNUMBER(J764),ROUND(J764,2),IFERROR(ROUND(VALUE(SUBSTITUTE(SUBSTITUTE(SUBSTITUTE(J764,"$",""),",","")," ","")),2),"bad")))</f>
        <v/>
      </c>
      <c r="P764">
        <f>IF(TRIM(K764)="","",IFERROR(MATCH(LOWER(TRIM(K764)),'Students'!$AH$2:$AH$701,0),IFERROR(MATCH(LOWER(TRIM(K764)),'Students'!$AF$2:$AF$701,0),IFERROR(MATCH(LOWER(TRIM(K764)),'Students'!$AG$2:$AG$701,0),""))))</f>
        <v/>
      </c>
      <c r="R764">
        <f>IF(P764="","",INDEX('Students'!$AD$2:$AD$701,P764))</f>
        <v/>
      </c>
      <c r="S764">
        <f>IF(H764="OK",O764,0)</f>
        <v/>
      </c>
      <c r="T764">
        <f>IF(H764="OK",N764,"")</f>
        <v/>
      </c>
      <c r="U764">
        <f>IF(OC_Donor=0,"",IF(INDEX('OneCause_Paste'!$A$764:$AZ$764,1,OC_Donor)="","",INDEX('OneCause_Paste'!$A$764:$AZ$764,1,OC_Donor)))</f>
        <v/>
      </c>
    </row>
    <row r="765">
      <c r="A765" s="62">
        <f>IF(H765="","",IF(ISNUMBER(N765),N765,I765))</f>
        <v/>
      </c>
      <c r="B765">
        <f>IF(H765="","",U765)</f>
        <v/>
      </c>
      <c r="C765">
        <f>IF(H765="","",IF(P765="",K765,INDEX('Students'!$A$2:$A$701,P765)))</f>
        <v/>
      </c>
      <c r="D765">
        <f>IF(OR(H765="",P765=""),"",INDEX('Students'!$B$2:$B$701,P765))</f>
        <v/>
      </c>
      <c r="E765">
        <f>IF(OR(H765="",P765=""),"",INDEX('Students'!$C$2:$C$701,P765))</f>
        <v/>
      </c>
      <c r="F765" s="48">
        <f>IF(H765="","",IF(ISNUMBER(O765),O765,J765))</f>
        <v/>
      </c>
      <c r="G765">
        <f>IF(H765="","","OneCause")</f>
        <v/>
      </c>
      <c r="H765">
        <f>IF(AND(I765="",J765="",K765=""),"",IF(NOT(ISNUMBER(O765)),"Bad amount",IF(O765&lt;0,"Refund (not counted)",IF(O765=0,"Zero amount",IF(NOT(ISNUMBER(N765)),"Bad date",IF(P765="","NAME NOT ON ROSTER",IF(L765="","OK",IF(MATCH(L765,$L$2:$L$3001,0)&lt;ROW()-1,"Duplicate (ignored)","OK"))))))))</f>
        <v/>
      </c>
      <c r="I765">
        <f>IF(OC_Date=0,"",IF(INDEX('OneCause_Paste'!$A$765:$AZ$765,1,OC_Date)="","",INDEX('OneCause_Paste'!$A$765:$AZ$765,1,OC_Date)))</f>
        <v/>
      </c>
      <c r="J765">
        <f>IF(OC_Amt=0,"",IF(INDEX('OneCause_Paste'!$A$765:$AZ$765,1,OC_Amt)="","",INDEX('OneCause_Paste'!$A$765:$AZ$765,1,OC_Amt)))</f>
        <v/>
      </c>
      <c r="K765">
        <f>IF(OC_Name=0,"",IF(INDEX('OneCause_Paste'!$A$765:$AZ$765,1,OC_Name)="","",INDEX('OneCause_Paste'!$A$765:$AZ$765,1,OC_Name)))</f>
        <v/>
      </c>
      <c r="L765">
        <f>IF(OC_Txn=0,"",IF(INDEX('OneCause_Paste'!$A$765:$AZ$765,1,OC_Txn)="","",INDEX('OneCause_Paste'!$A$765:$AZ$765,1,OC_Txn)))</f>
        <v/>
      </c>
      <c r="M765">
        <f>IF(OC_Pay=0,"",IF(INDEX('OneCause_Paste'!$A$765:$AZ$765,1,OC_Pay)="","",INDEX('OneCause_Paste'!$A$765:$AZ$765,1,OC_Pay)))</f>
        <v/>
      </c>
      <c r="N765">
        <f>IF(I765="","",IF(ISNUMBER(I765),INT(I765),IFERROR(INT(DATEVALUE(I765)),IFERROR(INT(VALUE(I765)),"bad"))))</f>
        <v/>
      </c>
      <c r="O765">
        <f>IF(J765="","",IF(ISNUMBER(J765),ROUND(J765,2),IFERROR(ROUND(VALUE(SUBSTITUTE(SUBSTITUTE(SUBSTITUTE(J765,"$",""),",","")," ","")),2),"bad")))</f>
        <v/>
      </c>
      <c r="P765">
        <f>IF(TRIM(K765)="","",IFERROR(MATCH(LOWER(TRIM(K765)),'Students'!$AH$2:$AH$701,0),IFERROR(MATCH(LOWER(TRIM(K765)),'Students'!$AF$2:$AF$701,0),IFERROR(MATCH(LOWER(TRIM(K765)),'Students'!$AG$2:$AG$701,0),""))))</f>
        <v/>
      </c>
      <c r="R765">
        <f>IF(P765="","",INDEX('Students'!$AD$2:$AD$701,P765))</f>
        <v/>
      </c>
      <c r="S765">
        <f>IF(H765="OK",O765,0)</f>
        <v/>
      </c>
      <c r="T765">
        <f>IF(H765="OK",N765,"")</f>
        <v/>
      </c>
      <c r="U765">
        <f>IF(OC_Donor=0,"",IF(INDEX('OneCause_Paste'!$A$765:$AZ$765,1,OC_Donor)="","",INDEX('OneCause_Paste'!$A$765:$AZ$765,1,OC_Donor)))</f>
        <v/>
      </c>
    </row>
    <row r="766">
      <c r="A766" s="62">
        <f>IF(H766="","",IF(ISNUMBER(N766),N766,I766))</f>
        <v/>
      </c>
      <c r="B766">
        <f>IF(H766="","",U766)</f>
        <v/>
      </c>
      <c r="C766">
        <f>IF(H766="","",IF(P766="",K766,INDEX('Students'!$A$2:$A$701,P766)))</f>
        <v/>
      </c>
      <c r="D766">
        <f>IF(OR(H766="",P766=""),"",INDEX('Students'!$B$2:$B$701,P766))</f>
        <v/>
      </c>
      <c r="E766">
        <f>IF(OR(H766="",P766=""),"",INDEX('Students'!$C$2:$C$701,P766))</f>
        <v/>
      </c>
      <c r="F766" s="48">
        <f>IF(H766="","",IF(ISNUMBER(O766),O766,J766))</f>
        <v/>
      </c>
      <c r="G766">
        <f>IF(H766="","","OneCause")</f>
        <v/>
      </c>
      <c r="H766">
        <f>IF(AND(I766="",J766="",K766=""),"",IF(NOT(ISNUMBER(O766)),"Bad amount",IF(O766&lt;0,"Refund (not counted)",IF(O766=0,"Zero amount",IF(NOT(ISNUMBER(N766)),"Bad date",IF(P766="","NAME NOT ON ROSTER",IF(L766="","OK",IF(MATCH(L766,$L$2:$L$3001,0)&lt;ROW()-1,"Duplicate (ignored)","OK"))))))))</f>
        <v/>
      </c>
      <c r="I766">
        <f>IF(OC_Date=0,"",IF(INDEX('OneCause_Paste'!$A$766:$AZ$766,1,OC_Date)="","",INDEX('OneCause_Paste'!$A$766:$AZ$766,1,OC_Date)))</f>
        <v/>
      </c>
      <c r="J766">
        <f>IF(OC_Amt=0,"",IF(INDEX('OneCause_Paste'!$A$766:$AZ$766,1,OC_Amt)="","",INDEX('OneCause_Paste'!$A$766:$AZ$766,1,OC_Amt)))</f>
        <v/>
      </c>
      <c r="K766">
        <f>IF(OC_Name=0,"",IF(INDEX('OneCause_Paste'!$A$766:$AZ$766,1,OC_Name)="","",INDEX('OneCause_Paste'!$A$766:$AZ$766,1,OC_Name)))</f>
        <v/>
      </c>
      <c r="L766">
        <f>IF(OC_Txn=0,"",IF(INDEX('OneCause_Paste'!$A$766:$AZ$766,1,OC_Txn)="","",INDEX('OneCause_Paste'!$A$766:$AZ$766,1,OC_Txn)))</f>
        <v/>
      </c>
      <c r="M766">
        <f>IF(OC_Pay=0,"",IF(INDEX('OneCause_Paste'!$A$766:$AZ$766,1,OC_Pay)="","",INDEX('OneCause_Paste'!$A$766:$AZ$766,1,OC_Pay)))</f>
        <v/>
      </c>
      <c r="N766">
        <f>IF(I766="","",IF(ISNUMBER(I766),INT(I766),IFERROR(INT(DATEVALUE(I766)),IFERROR(INT(VALUE(I766)),"bad"))))</f>
        <v/>
      </c>
      <c r="O766">
        <f>IF(J766="","",IF(ISNUMBER(J766),ROUND(J766,2),IFERROR(ROUND(VALUE(SUBSTITUTE(SUBSTITUTE(SUBSTITUTE(J766,"$",""),",","")," ","")),2),"bad")))</f>
        <v/>
      </c>
      <c r="P766">
        <f>IF(TRIM(K766)="","",IFERROR(MATCH(LOWER(TRIM(K766)),'Students'!$AH$2:$AH$701,0),IFERROR(MATCH(LOWER(TRIM(K766)),'Students'!$AF$2:$AF$701,0),IFERROR(MATCH(LOWER(TRIM(K766)),'Students'!$AG$2:$AG$701,0),""))))</f>
        <v/>
      </c>
      <c r="R766">
        <f>IF(P766="","",INDEX('Students'!$AD$2:$AD$701,P766))</f>
        <v/>
      </c>
      <c r="S766">
        <f>IF(H766="OK",O766,0)</f>
        <v/>
      </c>
      <c r="T766">
        <f>IF(H766="OK",N766,"")</f>
        <v/>
      </c>
      <c r="U766">
        <f>IF(OC_Donor=0,"",IF(INDEX('OneCause_Paste'!$A$766:$AZ$766,1,OC_Donor)="","",INDEX('OneCause_Paste'!$A$766:$AZ$766,1,OC_Donor)))</f>
        <v/>
      </c>
    </row>
    <row r="767">
      <c r="A767" s="62">
        <f>IF(H767="","",IF(ISNUMBER(N767),N767,I767))</f>
        <v/>
      </c>
      <c r="B767">
        <f>IF(H767="","",U767)</f>
        <v/>
      </c>
      <c r="C767">
        <f>IF(H767="","",IF(P767="",K767,INDEX('Students'!$A$2:$A$701,P767)))</f>
        <v/>
      </c>
      <c r="D767">
        <f>IF(OR(H767="",P767=""),"",INDEX('Students'!$B$2:$B$701,P767))</f>
        <v/>
      </c>
      <c r="E767">
        <f>IF(OR(H767="",P767=""),"",INDEX('Students'!$C$2:$C$701,P767))</f>
        <v/>
      </c>
      <c r="F767" s="48">
        <f>IF(H767="","",IF(ISNUMBER(O767),O767,J767))</f>
        <v/>
      </c>
      <c r="G767">
        <f>IF(H767="","","OneCause")</f>
        <v/>
      </c>
      <c r="H767">
        <f>IF(AND(I767="",J767="",K767=""),"",IF(NOT(ISNUMBER(O767)),"Bad amount",IF(O767&lt;0,"Refund (not counted)",IF(O767=0,"Zero amount",IF(NOT(ISNUMBER(N767)),"Bad date",IF(P767="","NAME NOT ON ROSTER",IF(L767="","OK",IF(MATCH(L767,$L$2:$L$3001,0)&lt;ROW()-1,"Duplicate (ignored)","OK"))))))))</f>
        <v/>
      </c>
      <c r="I767">
        <f>IF(OC_Date=0,"",IF(INDEX('OneCause_Paste'!$A$767:$AZ$767,1,OC_Date)="","",INDEX('OneCause_Paste'!$A$767:$AZ$767,1,OC_Date)))</f>
        <v/>
      </c>
      <c r="J767">
        <f>IF(OC_Amt=0,"",IF(INDEX('OneCause_Paste'!$A$767:$AZ$767,1,OC_Amt)="","",INDEX('OneCause_Paste'!$A$767:$AZ$767,1,OC_Amt)))</f>
        <v/>
      </c>
      <c r="K767">
        <f>IF(OC_Name=0,"",IF(INDEX('OneCause_Paste'!$A$767:$AZ$767,1,OC_Name)="","",INDEX('OneCause_Paste'!$A$767:$AZ$767,1,OC_Name)))</f>
        <v/>
      </c>
      <c r="L767">
        <f>IF(OC_Txn=0,"",IF(INDEX('OneCause_Paste'!$A$767:$AZ$767,1,OC_Txn)="","",INDEX('OneCause_Paste'!$A$767:$AZ$767,1,OC_Txn)))</f>
        <v/>
      </c>
      <c r="M767">
        <f>IF(OC_Pay=0,"",IF(INDEX('OneCause_Paste'!$A$767:$AZ$767,1,OC_Pay)="","",INDEX('OneCause_Paste'!$A$767:$AZ$767,1,OC_Pay)))</f>
        <v/>
      </c>
      <c r="N767">
        <f>IF(I767="","",IF(ISNUMBER(I767),INT(I767),IFERROR(INT(DATEVALUE(I767)),IFERROR(INT(VALUE(I767)),"bad"))))</f>
        <v/>
      </c>
      <c r="O767">
        <f>IF(J767="","",IF(ISNUMBER(J767),ROUND(J767,2),IFERROR(ROUND(VALUE(SUBSTITUTE(SUBSTITUTE(SUBSTITUTE(J767,"$",""),",","")," ","")),2),"bad")))</f>
        <v/>
      </c>
      <c r="P767">
        <f>IF(TRIM(K767)="","",IFERROR(MATCH(LOWER(TRIM(K767)),'Students'!$AH$2:$AH$701,0),IFERROR(MATCH(LOWER(TRIM(K767)),'Students'!$AF$2:$AF$701,0),IFERROR(MATCH(LOWER(TRIM(K767)),'Students'!$AG$2:$AG$701,0),""))))</f>
        <v/>
      </c>
      <c r="R767">
        <f>IF(P767="","",INDEX('Students'!$AD$2:$AD$701,P767))</f>
        <v/>
      </c>
      <c r="S767">
        <f>IF(H767="OK",O767,0)</f>
        <v/>
      </c>
      <c r="T767">
        <f>IF(H767="OK",N767,"")</f>
        <v/>
      </c>
      <c r="U767">
        <f>IF(OC_Donor=0,"",IF(INDEX('OneCause_Paste'!$A$767:$AZ$767,1,OC_Donor)="","",INDEX('OneCause_Paste'!$A$767:$AZ$767,1,OC_Donor)))</f>
        <v/>
      </c>
    </row>
    <row r="768">
      <c r="A768" s="62">
        <f>IF(H768="","",IF(ISNUMBER(N768),N768,I768))</f>
        <v/>
      </c>
      <c r="B768">
        <f>IF(H768="","",U768)</f>
        <v/>
      </c>
      <c r="C768">
        <f>IF(H768="","",IF(P768="",K768,INDEX('Students'!$A$2:$A$701,P768)))</f>
        <v/>
      </c>
      <c r="D768">
        <f>IF(OR(H768="",P768=""),"",INDEX('Students'!$B$2:$B$701,P768))</f>
        <v/>
      </c>
      <c r="E768">
        <f>IF(OR(H768="",P768=""),"",INDEX('Students'!$C$2:$C$701,P768))</f>
        <v/>
      </c>
      <c r="F768" s="48">
        <f>IF(H768="","",IF(ISNUMBER(O768),O768,J768))</f>
        <v/>
      </c>
      <c r="G768">
        <f>IF(H768="","","OneCause")</f>
        <v/>
      </c>
      <c r="H768">
        <f>IF(AND(I768="",J768="",K768=""),"",IF(NOT(ISNUMBER(O768)),"Bad amount",IF(O768&lt;0,"Refund (not counted)",IF(O768=0,"Zero amount",IF(NOT(ISNUMBER(N768)),"Bad date",IF(P768="","NAME NOT ON ROSTER",IF(L768="","OK",IF(MATCH(L768,$L$2:$L$3001,0)&lt;ROW()-1,"Duplicate (ignored)","OK"))))))))</f>
        <v/>
      </c>
      <c r="I768">
        <f>IF(OC_Date=0,"",IF(INDEX('OneCause_Paste'!$A$768:$AZ$768,1,OC_Date)="","",INDEX('OneCause_Paste'!$A$768:$AZ$768,1,OC_Date)))</f>
        <v/>
      </c>
      <c r="J768">
        <f>IF(OC_Amt=0,"",IF(INDEX('OneCause_Paste'!$A$768:$AZ$768,1,OC_Amt)="","",INDEX('OneCause_Paste'!$A$768:$AZ$768,1,OC_Amt)))</f>
        <v/>
      </c>
      <c r="K768">
        <f>IF(OC_Name=0,"",IF(INDEX('OneCause_Paste'!$A$768:$AZ$768,1,OC_Name)="","",INDEX('OneCause_Paste'!$A$768:$AZ$768,1,OC_Name)))</f>
        <v/>
      </c>
      <c r="L768">
        <f>IF(OC_Txn=0,"",IF(INDEX('OneCause_Paste'!$A$768:$AZ$768,1,OC_Txn)="","",INDEX('OneCause_Paste'!$A$768:$AZ$768,1,OC_Txn)))</f>
        <v/>
      </c>
      <c r="M768">
        <f>IF(OC_Pay=0,"",IF(INDEX('OneCause_Paste'!$A$768:$AZ$768,1,OC_Pay)="","",INDEX('OneCause_Paste'!$A$768:$AZ$768,1,OC_Pay)))</f>
        <v/>
      </c>
      <c r="N768">
        <f>IF(I768="","",IF(ISNUMBER(I768),INT(I768),IFERROR(INT(DATEVALUE(I768)),IFERROR(INT(VALUE(I768)),"bad"))))</f>
        <v/>
      </c>
      <c r="O768">
        <f>IF(J768="","",IF(ISNUMBER(J768),ROUND(J768,2),IFERROR(ROUND(VALUE(SUBSTITUTE(SUBSTITUTE(SUBSTITUTE(J768,"$",""),",","")," ","")),2),"bad")))</f>
        <v/>
      </c>
      <c r="P768">
        <f>IF(TRIM(K768)="","",IFERROR(MATCH(LOWER(TRIM(K768)),'Students'!$AH$2:$AH$701,0),IFERROR(MATCH(LOWER(TRIM(K768)),'Students'!$AF$2:$AF$701,0),IFERROR(MATCH(LOWER(TRIM(K768)),'Students'!$AG$2:$AG$701,0),""))))</f>
        <v/>
      </c>
      <c r="R768">
        <f>IF(P768="","",INDEX('Students'!$AD$2:$AD$701,P768))</f>
        <v/>
      </c>
      <c r="S768">
        <f>IF(H768="OK",O768,0)</f>
        <v/>
      </c>
      <c r="T768">
        <f>IF(H768="OK",N768,"")</f>
        <v/>
      </c>
      <c r="U768">
        <f>IF(OC_Donor=0,"",IF(INDEX('OneCause_Paste'!$A$768:$AZ$768,1,OC_Donor)="","",INDEX('OneCause_Paste'!$A$768:$AZ$768,1,OC_Donor)))</f>
        <v/>
      </c>
    </row>
    <row r="769">
      <c r="A769" s="62">
        <f>IF(H769="","",IF(ISNUMBER(N769),N769,I769))</f>
        <v/>
      </c>
      <c r="B769">
        <f>IF(H769="","",U769)</f>
        <v/>
      </c>
      <c r="C769">
        <f>IF(H769="","",IF(P769="",K769,INDEX('Students'!$A$2:$A$701,P769)))</f>
        <v/>
      </c>
      <c r="D769">
        <f>IF(OR(H769="",P769=""),"",INDEX('Students'!$B$2:$B$701,P769))</f>
        <v/>
      </c>
      <c r="E769">
        <f>IF(OR(H769="",P769=""),"",INDEX('Students'!$C$2:$C$701,P769))</f>
        <v/>
      </c>
      <c r="F769" s="48">
        <f>IF(H769="","",IF(ISNUMBER(O769),O769,J769))</f>
        <v/>
      </c>
      <c r="G769">
        <f>IF(H769="","","OneCause")</f>
        <v/>
      </c>
      <c r="H769">
        <f>IF(AND(I769="",J769="",K769=""),"",IF(NOT(ISNUMBER(O769)),"Bad amount",IF(O769&lt;0,"Refund (not counted)",IF(O769=0,"Zero amount",IF(NOT(ISNUMBER(N769)),"Bad date",IF(P769="","NAME NOT ON ROSTER",IF(L769="","OK",IF(MATCH(L769,$L$2:$L$3001,0)&lt;ROW()-1,"Duplicate (ignored)","OK"))))))))</f>
        <v/>
      </c>
      <c r="I769">
        <f>IF(OC_Date=0,"",IF(INDEX('OneCause_Paste'!$A$769:$AZ$769,1,OC_Date)="","",INDEX('OneCause_Paste'!$A$769:$AZ$769,1,OC_Date)))</f>
        <v/>
      </c>
      <c r="J769">
        <f>IF(OC_Amt=0,"",IF(INDEX('OneCause_Paste'!$A$769:$AZ$769,1,OC_Amt)="","",INDEX('OneCause_Paste'!$A$769:$AZ$769,1,OC_Amt)))</f>
        <v/>
      </c>
      <c r="K769">
        <f>IF(OC_Name=0,"",IF(INDEX('OneCause_Paste'!$A$769:$AZ$769,1,OC_Name)="","",INDEX('OneCause_Paste'!$A$769:$AZ$769,1,OC_Name)))</f>
        <v/>
      </c>
      <c r="L769">
        <f>IF(OC_Txn=0,"",IF(INDEX('OneCause_Paste'!$A$769:$AZ$769,1,OC_Txn)="","",INDEX('OneCause_Paste'!$A$769:$AZ$769,1,OC_Txn)))</f>
        <v/>
      </c>
      <c r="M769">
        <f>IF(OC_Pay=0,"",IF(INDEX('OneCause_Paste'!$A$769:$AZ$769,1,OC_Pay)="","",INDEX('OneCause_Paste'!$A$769:$AZ$769,1,OC_Pay)))</f>
        <v/>
      </c>
      <c r="N769">
        <f>IF(I769="","",IF(ISNUMBER(I769),INT(I769),IFERROR(INT(DATEVALUE(I769)),IFERROR(INT(VALUE(I769)),"bad"))))</f>
        <v/>
      </c>
      <c r="O769">
        <f>IF(J769="","",IF(ISNUMBER(J769),ROUND(J769,2),IFERROR(ROUND(VALUE(SUBSTITUTE(SUBSTITUTE(SUBSTITUTE(J769,"$",""),",","")," ","")),2),"bad")))</f>
        <v/>
      </c>
      <c r="P769">
        <f>IF(TRIM(K769)="","",IFERROR(MATCH(LOWER(TRIM(K769)),'Students'!$AH$2:$AH$701,0),IFERROR(MATCH(LOWER(TRIM(K769)),'Students'!$AF$2:$AF$701,0),IFERROR(MATCH(LOWER(TRIM(K769)),'Students'!$AG$2:$AG$701,0),""))))</f>
        <v/>
      </c>
      <c r="R769">
        <f>IF(P769="","",INDEX('Students'!$AD$2:$AD$701,P769))</f>
        <v/>
      </c>
      <c r="S769">
        <f>IF(H769="OK",O769,0)</f>
        <v/>
      </c>
      <c r="T769">
        <f>IF(H769="OK",N769,"")</f>
        <v/>
      </c>
      <c r="U769">
        <f>IF(OC_Donor=0,"",IF(INDEX('OneCause_Paste'!$A$769:$AZ$769,1,OC_Donor)="","",INDEX('OneCause_Paste'!$A$769:$AZ$769,1,OC_Donor)))</f>
        <v/>
      </c>
    </row>
    <row r="770">
      <c r="A770" s="62">
        <f>IF(H770="","",IF(ISNUMBER(N770),N770,I770))</f>
        <v/>
      </c>
      <c r="B770">
        <f>IF(H770="","",U770)</f>
        <v/>
      </c>
      <c r="C770">
        <f>IF(H770="","",IF(P770="",K770,INDEX('Students'!$A$2:$A$701,P770)))</f>
        <v/>
      </c>
      <c r="D770">
        <f>IF(OR(H770="",P770=""),"",INDEX('Students'!$B$2:$B$701,P770))</f>
        <v/>
      </c>
      <c r="E770">
        <f>IF(OR(H770="",P770=""),"",INDEX('Students'!$C$2:$C$701,P770))</f>
        <v/>
      </c>
      <c r="F770" s="48">
        <f>IF(H770="","",IF(ISNUMBER(O770),O770,J770))</f>
        <v/>
      </c>
      <c r="G770">
        <f>IF(H770="","","OneCause")</f>
        <v/>
      </c>
      <c r="H770">
        <f>IF(AND(I770="",J770="",K770=""),"",IF(NOT(ISNUMBER(O770)),"Bad amount",IF(O770&lt;0,"Refund (not counted)",IF(O770=0,"Zero amount",IF(NOT(ISNUMBER(N770)),"Bad date",IF(P770="","NAME NOT ON ROSTER",IF(L770="","OK",IF(MATCH(L770,$L$2:$L$3001,0)&lt;ROW()-1,"Duplicate (ignored)","OK"))))))))</f>
        <v/>
      </c>
      <c r="I770">
        <f>IF(OC_Date=0,"",IF(INDEX('OneCause_Paste'!$A$770:$AZ$770,1,OC_Date)="","",INDEX('OneCause_Paste'!$A$770:$AZ$770,1,OC_Date)))</f>
        <v/>
      </c>
      <c r="J770">
        <f>IF(OC_Amt=0,"",IF(INDEX('OneCause_Paste'!$A$770:$AZ$770,1,OC_Amt)="","",INDEX('OneCause_Paste'!$A$770:$AZ$770,1,OC_Amt)))</f>
        <v/>
      </c>
      <c r="K770">
        <f>IF(OC_Name=0,"",IF(INDEX('OneCause_Paste'!$A$770:$AZ$770,1,OC_Name)="","",INDEX('OneCause_Paste'!$A$770:$AZ$770,1,OC_Name)))</f>
        <v/>
      </c>
      <c r="L770">
        <f>IF(OC_Txn=0,"",IF(INDEX('OneCause_Paste'!$A$770:$AZ$770,1,OC_Txn)="","",INDEX('OneCause_Paste'!$A$770:$AZ$770,1,OC_Txn)))</f>
        <v/>
      </c>
      <c r="M770">
        <f>IF(OC_Pay=0,"",IF(INDEX('OneCause_Paste'!$A$770:$AZ$770,1,OC_Pay)="","",INDEX('OneCause_Paste'!$A$770:$AZ$770,1,OC_Pay)))</f>
        <v/>
      </c>
      <c r="N770">
        <f>IF(I770="","",IF(ISNUMBER(I770),INT(I770),IFERROR(INT(DATEVALUE(I770)),IFERROR(INT(VALUE(I770)),"bad"))))</f>
        <v/>
      </c>
      <c r="O770">
        <f>IF(J770="","",IF(ISNUMBER(J770),ROUND(J770,2),IFERROR(ROUND(VALUE(SUBSTITUTE(SUBSTITUTE(SUBSTITUTE(J770,"$",""),",","")," ","")),2),"bad")))</f>
        <v/>
      </c>
      <c r="P770">
        <f>IF(TRIM(K770)="","",IFERROR(MATCH(LOWER(TRIM(K770)),'Students'!$AH$2:$AH$701,0),IFERROR(MATCH(LOWER(TRIM(K770)),'Students'!$AF$2:$AF$701,0),IFERROR(MATCH(LOWER(TRIM(K770)),'Students'!$AG$2:$AG$701,0),""))))</f>
        <v/>
      </c>
      <c r="R770">
        <f>IF(P770="","",INDEX('Students'!$AD$2:$AD$701,P770))</f>
        <v/>
      </c>
      <c r="S770">
        <f>IF(H770="OK",O770,0)</f>
        <v/>
      </c>
      <c r="T770">
        <f>IF(H770="OK",N770,"")</f>
        <v/>
      </c>
      <c r="U770">
        <f>IF(OC_Donor=0,"",IF(INDEX('OneCause_Paste'!$A$770:$AZ$770,1,OC_Donor)="","",INDEX('OneCause_Paste'!$A$770:$AZ$770,1,OC_Donor)))</f>
        <v/>
      </c>
    </row>
    <row r="771">
      <c r="A771" s="62">
        <f>IF(H771="","",IF(ISNUMBER(N771),N771,I771))</f>
        <v/>
      </c>
      <c r="B771">
        <f>IF(H771="","",U771)</f>
        <v/>
      </c>
      <c r="C771">
        <f>IF(H771="","",IF(P771="",K771,INDEX('Students'!$A$2:$A$701,P771)))</f>
        <v/>
      </c>
      <c r="D771">
        <f>IF(OR(H771="",P771=""),"",INDEX('Students'!$B$2:$B$701,P771))</f>
        <v/>
      </c>
      <c r="E771">
        <f>IF(OR(H771="",P771=""),"",INDEX('Students'!$C$2:$C$701,P771))</f>
        <v/>
      </c>
      <c r="F771" s="48">
        <f>IF(H771="","",IF(ISNUMBER(O771),O771,J771))</f>
        <v/>
      </c>
      <c r="G771">
        <f>IF(H771="","","OneCause")</f>
        <v/>
      </c>
      <c r="H771">
        <f>IF(AND(I771="",J771="",K771=""),"",IF(NOT(ISNUMBER(O771)),"Bad amount",IF(O771&lt;0,"Refund (not counted)",IF(O771=0,"Zero amount",IF(NOT(ISNUMBER(N771)),"Bad date",IF(P771="","NAME NOT ON ROSTER",IF(L771="","OK",IF(MATCH(L771,$L$2:$L$3001,0)&lt;ROW()-1,"Duplicate (ignored)","OK"))))))))</f>
        <v/>
      </c>
      <c r="I771">
        <f>IF(OC_Date=0,"",IF(INDEX('OneCause_Paste'!$A$771:$AZ$771,1,OC_Date)="","",INDEX('OneCause_Paste'!$A$771:$AZ$771,1,OC_Date)))</f>
        <v/>
      </c>
      <c r="J771">
        <f>IF(OC_Amt=0,"",IF(INDEX('OneCause_Paste'!$A$771:$AZ$771,1,OC_Amt)="","",INDEX('OneCause_Paste'!$A$771:$AZ$771,1,OC_Amt)))</f>
        <v/>
      </c>
      <c r="K771">
        <f>IF(OC_Name=0,"",IF(INDEX('OneCause_Paste'!$A$771:$AZ$771,1,OC_Name)="","",INDEX('OneCause_Paste'!$A$771:$AZ$771,1,OC_Name)))</f>
        <v/>
      </c>
      <c r="L771">
        <f>IF(OC_Txn=0,"",IF(INDEX('OneCause_Paste'!$A$771:$AZ$771,1,OC_Txn)="","",INDEX('OneCause_Paste'!$A$771:$AZ$771,1,OC_Txn)))</f>
        <v/>
      </c>
      <c r="M771">
        <f>IF(OC_Pay=0,"",IF(INDEX('OneCause_Paste'!$A$771:$AZ$771,1,OC_Pay)="","",INDEX('OneCause_Paste'!$A$771:$AZ$771,1,OC_Pay)))</f>
        <v/>
      </c>
      <c r="N771">
        <f>IF(I771="","",IF(ISNUMBER(I771),INT(I771),IFERROR(INT(DATEVALUE(I771)),IFERROR(INT(VALUE(I771)),"bad"))))</f>
        <v/>
      </c>
      <c r="O771">
        <f>IF(J771="","",IF(ISNUMBER(J771),ROUND(J771,2),IFERROR(ROUND(VALUE(SUBSTITUTE(SUBSTITUTE(SUBSTITUTE(J771,"$",""),",","")," ","")),2),"bad")))</f>
        <v/>
      </c>
      <c r="P771">
        <f>IF(TRIM(K771)="","",IFERROR(MATCH(LOWER(TRIM(K771)),'Students'!$AH$2:$AH$701,0),IFERROR(MATCH(LOWER(TRIM(K771)),'Students'!$AF$2:$AF$701,0),IFERROR(MATCH(LOWER(TRIM(K771)),'Students'!$AG$2:$AG$701,0),""))))</f>
        <v/>
      </c>
      <c r="R771">
        <f>IF(P771="","",INDEX('Students'!$AD$2:$AD$701,P771))</f>
        <v/>
      </c>
      <c r="S771">
        <f>IF(H771="OK",O771,0)</f>
        <v/>
      </c>
      <c r="T771">
        <f>IF(H771="OK",N771,"")</f>
        <v/>
      </c>
      <c r="U771">
        <f>IF(OC_Donor=0,"",IF(INDEX('OneCause_Paste'!$A$771:$AZ$771,1,OC_Donor)="","",INDEX('OneCause_Paste'!$A$771:$AZ$771,1,OC_Donor)))</f>
        <v/>
      </c>
    </row>
    <row r="772">
      <c r="A772" s="62">
        <f>IF(H772="","",IF(ISNUMBER(N772),N772,I772))</f>
        <v/>
      </c>
      <c r="B772">
        <f>IF(H772="","",U772)</f>
        <v/>
      </c>
      <c r="C772">
        <f>IF(H772="","",IF(P772="",K772,INDEX('Students'!$A$2:$A$701,P772)))</f>
        <v/>
      </c>
      <c r="D772">
        <f>IF(OR(H772="",P772=""),"",INDEX('Students'!$B$2:$B$701,P772))</f>
        <v/>
      </c>
      <c r="E772">
        <f>IF(OR(H772="",P772=""),"",INDEX('Students'!$C$2:$C$701,P772))</f>
        <v/>
      </c>
      <c r="F772" s="48">
        <f>IF(H772="","",IF(ISNUMBER(O772),O772,J772))</f>
        <v/>
      </c>
      <c r="G772">
        <f>IF(H772="","","OneCause")</f>
        <v/>
      </c>
      <c r="H772">
        <f>IF(AND(I772="",J772="",K772=""),"",IF(NOT(ISNUMBER(O772)),"Bad amount",IF(O772&lt;0,"Refund (not counted)",IF(O772=0,"Zero amount",IF(NOT(ISNUMBER(N772)),"Bad date",IF(P772="","NAME NOT ON ROSTER",IF(L772="","OK",IF(MATCH(L772,$L$2:$L$3001,0)&lt;ROW()-1,"Duplicate (ignored)","OK"))))))))</f>
        <v/>
      </c>
      <c r="I772">
        <f>IF(OC_Date=0,"",IF(INDEX('OneCause_Paste'!$A$772:$AZ$772,1,OC_Date)="","",INDEX('OneCause_Paste'!$A$772:$AZ$772,1,OC_Date)))</f>
        <v/>
      </c>
      <c r="J772">
        <f>IF(OC_Amt=0,"",IF(INDEX('OneCause_Paste'!$A$772:$AZ$772,1,OC_Amt)="","",INDEX('OneCause_Paste'!$A$772:$AZ$772,1,OC_Amt)))</f>
        <v/>
      </c>
      <c r="K772">
        <f>IF(OC_Name=0,"",IF(INDEX('OneCause_Paste'!$A$772:$AZ$772,1,OC_Name)="","",INDEX('OneCause_Paste'!$A$772:$AZ$772,1,OC_Name)))</f>
        <v/>
      </c>
      <c r="L772">
        <f>IF(OC_Txn=0,"",IF(INDEX('OneCause_Paste'!$A$772:$AZ$772,1,OC_Txn)="","",INDEX('OneCause_Paste'!$A$772:$AZ$772,1,OC_Txn)))</f>
        <v/>
      </c>
      <c r="M772">
        <f>IF(OC_Pay=0,"",IF(INDEX('OneCause_Paste'!$A$772:$AZ$772,1,OC_Pay)="","",INDEX('OneCause_Paste'!$A$772:$AZ$772,1,OC_Pay)))</f>
        <v/>
      </c>
      <c r="N772">
        <f>IF(I772="","",IF(ISNUMBER(I772),INT(I772),IFERROR(INT(DATEVALUE(I772)),IFERROR(INT(VALUE(I772)),"bad"))))</f>
        <v/>
      </c>
      <c r="O772">
        <f>IF(J772="","",IF(ISNUMBER(J772),ROUND(J772,2),IFERROR(ROUND(VALUE(SUBSTITUTE(SUBSTITUTE(SUBSTITUTE(J772,"$",""),",","")," ","")),2),"bad")))</f>
        <v/>
      </c>
      <c r="P772">
        <f>IF(TRIM(K772)="","",IFERROR(MATCH(LOWER(TRIM(K772)),'Students'!$AH$2:$AH$701,0),IFERROR(MATCH(LOWER(TRIM(K772)),'Students'!$AF$2:$AF$701,0),IFERROR(MATCH(LOWER(TRIM(K772)),'Students'!$AG$2:$AG$701,0),""))))</f>
        <v/>
      </c>
      <c r="R772">
        <f>IF(P772="","",INDEX('Students'!$AD$2:$AD$701,P772))</f>
        <v/>
      </c>
      <c r="S772">
        <f>IF(H772="OK",O772,0)</f>
        <v/>
      </c>
      <c r="T772">
        <f>IF(H772="OK",N772,"")</f>
        <v/>
      </c>
      <c r="U772">
        <f>IF(OC_Donor=0,"",IF(INDEX('OneCause_Paste'!$A$772:$AZ$772,1,OC_Donor)="","",INDEX('OneCause_Paste'!$A$772:$AZ$772,1,OC_Donor)))</f>
        <v/>
      </c>
    </row>
    <row r="773">
      <c r="A773" s="62">
        <f>IF(H773="","",IF(ISNUMBER(N773),N773,I773))</f>
        <v/>
      </c>
      <c r="B773">
        <f>IF(H773="","",U773)</f>
        <v/>
      </c>
      <c r="C773">
        <f>IF(H773="","",IF(P773="",K773,INDEX('Students'!$A$2:$A$701,P773)))</f>
        <v/>
      </c>
      <c r="D773">
        <f>IF(OR(H773="",P773=""),"",INDEX('Students'!$B$2:$B$701,P773))</f>
        <v/>
      </c>
      <c r="E773">
        <f>IF(OR(H773="",P773=""),"",INDEX('Students'!$C$2:$C$701,P773))</f>
        <v/>
      </c>
      <c r="F773" s="48">
        <f>IF(H773="","",IF(ISNUMBER(O773),O773,J773))</f>
        <v/>
      </c>
      <c r="G773">
        <f>IF(H773="","","OneCause")</f>
        <v/>
      </c>
      <c r="H773">
        <f>IF(AND(I773="",J773="",K773=""),"",IF(NOT(ISNUMBER(O773)),"Bad amount",IF(O773&lt;0,"Refund (not counted)",IF(O773=0,"Zero amount",IF(NOT(ISNUMBER(N773)),"Bad date",IF(P773="","NAME NOT ON ROSTER",IF(L773="","OK",IF(MATCH(L773,$L$2:$L$3001,0)&lt;ROW()-1,"Duplicate (ignored)","OK"))))))))</f>
        <v/>
      </c>
      <c r="I773">
        <f>IF(OC_Date=0,"",IF(INDEX('OneCause_Paste'!$A$773:$AZ$773,1,OC_Date)="","",INDEX('OneCause_Paste'!$A$773:$AZ$773,1,OC_Date)))</f>
        <v/>
      </c>
      <c r="J773">
        <f>IF(OC_Amt=0,"",IF(INDEX('OneCause_Paste'!$A$773:$AZ$773,1,OC_Amt)="","",INDEX('OneCause_Paste'!$A$773:$AZ$773,1,OC_Amt)))</f>
        <v/>
      </c>
      <c r="K773">
        <f>IF(OC_Name=0,"",IF(INDEX('OneCause_Paste'!$A$773:$AZ$773,1,OC_Name)="","",INDEX('OneCause_Paste'!$A$773:$AZ$773,1,OC_Name)))</f>
        <v/>
      </c>
      <c r="L773">
        <f>IF(OC_Txn=0,"",IF(INDEX('OneCause_Paste'!$A$773:$AZ$773,1,OC_Txn)="","",INDEX('OneCause_Paste'!$A$773:$AZ$773,1,OC_Txn)))</f>
        <v/>
      </c>
      <c r="M773">
        <f>IF(OC_Pay=0,"",IF(INDEX('OneCause_Paste'!$A$773:$AZ$773,1,OC_Pay)="","",INDEX('OneCause_Paste'!$A$773:$AZ$773,1,OC_Pay)))</f>
        <v/>
      </c>
      <c r="N773">
        <f>IF(I773="","",IF(ISNUMBER(I773),INT(I773),IFERROR(INT(DATEVALUE(I773)),IFERROR(INT(VALUE(I773)),"bad"))))</f>
        <v/>
      </c>
      <c r="O773">
        <f>IF(J773="","",IF(ISNUMBER(J773),ROUND(J773,2),IFERROR(ROUND(VALUE(SUBSTITUTE(SUBSTITUTE(SUBSTITUTE(J773,"$",""),",","")," ","")),2),"bad")))</f>
        <v/>
      </c>
      <c r="P773">
        <f>IF(TRIM(K773)="","",IFERROR(MATCH(LOWER(TRIM(K773)),'Students'!$AH$2:$AH$701,0),IFERROR(MATCH(LOWER(TRIM(K773)),'Students'!$AF$2:$AF$701,0),IFERROR(MATCH(LOWER(TRIM(K773)),'Students'!$AG$2:$AG$701,0),""))))</f>
        <v/>
      </c>
      <c r="R773">
        <f>IF(P773="","",INDEX('Students'!$AD$2:$AD$701,P773))</f>
        <v/>
      </c>
      <c r="S773">
        <f>IF(H773="OK",O773,0)</f>
        <v/>
      </c>
      <c r="T773">
        <f>IF(H773="OK",N773,"")</f>
        <v/>
      </c>
      <c r="U773">
        <f>IF(OC_Donor=0,"",IF(INDEX('OneCause_Paste'!$A$773:$AZ$773,1,OC_Donor)="","",INDEX('OneCause_Paste'!$A$773:$AZ$773,1,OC_Donor)))</f>
        <v/>
      </c>
    </row>
    <row r="774">
      <c r="A774" s="62">
        <f>IF(H774="","",IF(ISNUMBER(N774),N774,I774))</f>
        <v/>
      </c>
      <c r="B774">
        <f>IF(H774="","",U774)</f>
        <v/>
      </c>
      <c r="C774">
        <f>IF(H774="","",IF(P774="",K774,INDEX('Students'!$A$2:$A$701,P774)))</f>
        <v/>
      </c>
      <c r="D774">
        <f>IF(OR(H774="",P774=""),"",INDEX('Students'!$B$2:$B$701,P774))</f>
        <v/>
      </c>
      <c r="E774">
        <f>IF(OR(H774="",P774=""),"",INDEX('Students'!$C$2:$C$701,P774))</f>
        <v/>
      </c>
      <c r="F774" s="48">
        <f>IF(H774="","",IF(ISNUMBER(O774),O774,J774))</f>
        <v/>
      </c>
      <c r="G774">
        <f>IF(H774="","","OneCause")</f>
        <v/>
      </c>
      <c r="H774">
        <f>IF(AND(I774="",J774="",K774=""),"",IF(NOT(ISNUMBER(O774)),"Bad amount",IF(O774&lt;0,"Refund (not counted)",IF(O774=0,"Zero amount",IF(NOT(ISNUMBER(N774)),"Bad date",IF(P774="","NAME NOT ON ROSTER",IF(L774="","OK",IF(MATCH(L774,$L$2:$L$3001,0)&lt;ROW()-1,"Duplicate (ignored)","OK"))))))))</f>
        <v/>
      </c>
      <c r="I774">
        <f>IF(OC_Date=0,"",IF(INDEX('OneCause_Paste'!$A$774:$AZ$774,1,OC_Date)="","",INDEX('OneCause_Paste'!$A$774:$AZ$774,1,OC_Date)))</f>
        <v/>
      </c>
      <c r="J774">
        <f>IF(OC_Amt=0,"",IF(INDEX('OneCause_Paste'!$A$774:$AZ$774,1,OC_Amt)="","",INDEX('OneCause_Paste'!$A$774:$AZ$774,1,OC_Amt)))</f>
        <v/>
      </c>
      <c r="K774">
        <f>IF(OC_Name=0,"",IF(INDEX('OneCause_Paste'!$A$774:$AZ$774,1,OC_Name)="","",INDEX('OneCause_Paste'!$A$774:$AZ$774,1,OC_Name)))</f>
        <v/>
      </c>
      <c r="L774">
        <f>IF(OC_Txn=0,"",IF(INDEX('OneCause_Paste'!$A$774:$AZ$774,1,OC_Txn)="","",INDEX('OneCause_Paste'!$A$774:$AZ$774,1,OC_Txn)))</f>
        <v/>
      </c>
      <c r="M774">
        <f>IF(OC_Pay=0,"",IF(INDEX('OneCause_Paste'!$A$774:$AZ$774,1,OC_Pay)="","",INDEX('OneCause_Paste'!$A$774:$AZ$774,1,OC_Pay)))</f>
        <v/>
      </c>
      <c r="N774">
        <f>IF(I774="","",IF(ISNUMBER(I774),INT(I774),IFERROR(INT(DATEVALUE(I774)),IFERROR(INT(VALUE(I774)),"bad"))))</f>
        <v/>
      </c>
      <c r="O774">
        <f>IF(J774="","",IF(ISNUMBER(J774),ROUND(J774,2),IFERROR(ROUND(VALUE(SUBSTITUTE(SUBSTITUTE(SUBSTITUTE(J774,"$",""),",","")," ","")),2),"bad")))</f>
        <v/>
      </c>
      <c r="P774">
        <f>IF(TRIM(K774)="","",IFERROR(MATCH(LOWER(TRIM(K774)),'Students'!$AH$2:$AH$701,0),IFERROR(MATCH(LOWER(TRIM(K774)),'Students'!$AF$2:$AF$701,0),IFERROR(MATCH(LOWER(TRIM(K774)),'Students'!$AG$2:$AG$701,0),""))))</f>
        <v/>
      </c>
      <c r="R774">
        <f>IF(P774="","",INDEX('Students'!$AD$2:$AD$701,P774))</f>
        <v/>
      </c>
      <c r="S774">
        <f>IF(H774="OK",O774,0)</f>
        <v/>
      </c>
      <c r="T774">
        <f>IF(H774="OK",N774,"")</f>
        <v/>
      </c>
      <c r="U774">
        <f>IF(OC_Donor=0,"",IF(INDEX('OneCause_Paste'!$A$774:$AZ$774,1,OC_Donor)="","",INDEX('OneCause_Paste'!$A$774:$AZ$774,1,OC_Donor)))</f>
        <v/>
      </c>
    </row>
    <row r="775">
      <c r="A775" s="62">
        <f>IF(H775="","",IF(ISNUMBER(N775),N775,I775))</f>
        <v/>
      </c>
      <c r="B775">
        <f>IF(H775="","",U775)</f>
        <v/>
      </c>
      <c r="C775">
        <f>IF(H775="","",IF(P775="",K775,INDEX('Students'!$A$2:$A$701,P775)))</f>
        <v/>
      </c>
      <c r="D775">
        <f>IF(OR(H775="",P775=""),"",INDEX('Students'!$B$2:$B$701,P775))</f>
        <v/>
      </c>
      <c r="E775">
        <f>IF(OR(H775="",P775=""),"",INDEX('Students'!$C$2:$C$701,P775))</f>
        <v/>
      </c>
      <c r="F775" s="48">
        <f>IF(H775="","",IF(ISNUMBER(O775),O775,J775))</f>
        <v/>
      </c>
      <c r="G775">
        <f>IF(H775="","","OneCause")</f>
        <v/>
      </c>
      <c r="H775">
        <f>IF(AND(I775="",J775="",K775=""),"",IF(NOT(ISNUMBER(O775)),"Bad amount",IF(O775&lt;0,"Refund (not counted)",IF(O775=0,"Zero amount",IF(NOT(ISNUMBER(N775)),"Bad date",IF(P775="","NAME NOT ON ROSTER",IF(L775="","OK",IF(MATCH(L775,$L$2:$L$3001,0)&lt;ROW()-1,"Duplicate (ignored)","OK"))))))))</f>
        <v/>
      </c>
      <c r="I775">
        <f>IF(OC_Date=0,"",IF(INDEX('OneCause_Paste'!$A$775:$AZ$775,1,OC_Date)="","",INDEX('OneCause_Paste'!$A$775:$AZ$775,1,OC_Date)))</f>
        <v/>
      </c>
      <c r="J775">
        <f>IF(OC_Amt=0,"",IF(INDEX('OneCause_Paste'!$A$775:$AZ$775,1,OC_Amt)="","",INDEX('OneCause_Paste'!$A$775:$AZ$775,1,OC_Amt)))</f>
        <v/>
      </c>
      <c r="K775">
        <f>IF(OC_Name=0,"",IF(INDEX('OneCause_Paste'!$A$775:$AZ$775,1,OC_Name)="","",INDEX('OneCause_Paste'!$A$775:$AZ$775,1,OC_Name)))</f>
        <v/>
      </c>
      <c r="L775">
        <f>IF(OC_Txn=0,"",IF(INDEX('OneCause_Paste'!$A$775:$AZ$775,1,OC_Txn)="","",INDEX('OneCause_Paste'!$A$775:$AZ$775,1,OC_Txn)))</f>
        <v/>
      </c>
      <c r="M775">
        <f>IF(OC_Pay=0,"",IF(INDEX('OneCause_Paste'!$A$775:$AZ$775,1,OC_Pay)="","",INDEX('OneCause_Paste'!$A$775:$AZ$775,1,OC_Pay)))</f>
        <v/>
      </c>
      <c r="N775">
        <f>IF(I775="","",IF(ISNUMBER(I775),INT(I775),IFERROR(INT(DATEVALUE(I775)),IFERROR(INT(VALUE(I775)),"bad"))))</f>
        <v/>
      </c>
      <c r="O775">
        <f>IF(J775="","",IF(ISNUMBER(J775),ROUND(J775,2),IFERROR(ROUND(VALUE(SUBSTITUTE(SUBSTITUTE(SUBSTITUTE(J775,"$",""),",","")," ","")),2),"bad")))</f>
        <v/>
      </c>
      <c r="P775">
        <f>IF(TRIM(K775)="","",IFERROR(MATCH(LOWER(TRIM(K775)),'Students'!$AH$2:$AH$701,0),IFERROR(MATCH(LOWER(TRIM(K775)),'Students'!$AF$2:$AF$701,0),IFERROR(MATCH(LOWER(TRIM(K775)),'Students'!$AG$2:$AG$701,0),""))))</f>
        <v/>
      </c>
      <c r="R775">
        <f>IF(P775="","",INDEX('Students'!$AD$2:$AD$701,P775))</f>
        <v/>
      </c>
      <c r="S775">
        <f>IF(H775="OK",O775,0)</f>
        <v/>
      </c>
      <c r="T775">
        <f>IF(H775="OK",N775,"")</f>
        <v/>
      </c>
      <c r="U775">
        <f>IF(OC_Donor=0,"",IF(INDEX('OneCause_Paste'!$A$775:$AZ$775,1,OC_Donor)="","",INDEX('OneCause_Paste'!$A$775:$AZ$775,1,OC_Donor)))</f>
        <v/>
      </c>
    </row>
    <row r="776">
      <c r="A776" s="62">
        <f>IF(H776="","",IF(ISNUMBER(N776),N776,I776))</f>
        <v/>
      </c>
      <c r="B776">
        <f>IF(H776="","",U776)</f>
        <v/>
      </c>
      <c r="C776">
        <f>IF(H776="","",IF(P776="",K776,INDEX('Students'!$A$2:$A$701,P776)))</f>
        <v/>
      </c>
      <c r="D776">
        <f>IF(OR(H776="",P776=""),"",INDEX('Students'!$B$2:$B$701,P776))</f>
        <v/>
      </c>
      <c r="E776">
        <f>IF(OR(H776="",P776=""),"",INDEX('Students'!$C$2:$C$701,P776))</f>
        <v/>
      </c>
      <c r="F776" s="48">
        <f>IF(H776="","",IF(ISNUMBER(O776),O776,J776))</f>
        <v/>
      </c>
      <c r="G776">
        <f>IF(H776="","","OneCause")</f>
        <v/>
      </c>
      <c r="H776">
        <f>IF(AND(I776="",J776="",K776=""),"",IF(NOT(ISNUMBER(O776)),"Bad amount",IF(O776&lt;0,"Refund (not counted)",IF(O776=0,"Zero amount",IF(NOT(ISNUMBER(N776)),"Bad date",IF(P776="","NAME NOT ON ROSTER",IF(L776="","OK",IF(MATCH(L776,$L$2:$L$3001,0)&lt;ROW()-1,"Duplicate (ignored)","OK"))))))))</f>
        <v/>
      </c>
      <c r="I776">
        <f>IF(OC_Date=0,"",IF(INDEX('OneCause_Paste'!$A$776:$AZ$776,1,OC_Date)="","",INDEX('OneCause_Paste'!$A$776:$AZ$776,1,OC_Date)))</f>
        <v/>
      </c>
      <c r="J776">
        <f>IF(OC_Amt=0,"",IF(INDEX('OneCause_Paste'!$A$776:$AZ$776,1,OC_Amt)="","",INDEX('OneCause_Paste'!$A$776:$AZ$776,1,OC_Amt)))</f>
        <v/>
      </c>
      <c r="K776">
        <f>IF(OC_Name=0,"",IF(INDEX('OneCause_Paste'!$A$776:$AZ$776,1,OC_Name)="","",INDEX('OneCause_Paste'!$A$776:$AZ$776,1,OC_Name)))</f>
        <v/>
      </c>
      <c r="L776">
        <f>IF(OC_Txn=0,"",IF(INDEX('OneCause_Paste'!$A$776:$AZ$776,1,OC_Txn)="","",INDEX('OneCause_Paste'!$A$776:$AZ$776,1,OC_Txn)))</f>
        <v/>
      </c>
      <c r="M776">
        <f>IF(OC_Pay=0,"",IF(INDEX('OneCause_Paste'!$A$776:$AZ$776,1,OC_Pay)="","",INDEX('OneCause_Paste'!$A$776:$AZ$776,1,OC_Pay)))</f>
        <v/>
      </c>
      <c r="N776">
        <f>IF(I776="","",IF(ISNUMBER(I776),INT(I776),IFERROR(INT(DATEVALUE(I776)),IFERROR(INT(VALUE(I776)),"bad"))))</f>
        <v/>
      </c>
      <c r="O776">
        <f>IF(J776="","",IF(ISNUMBER(J776),ROUND(J776,2),IFERROR(ROUND(VALUE(SUBSTITUTE(SUBSTITUTE(SUBSTITUTE(J776,"$",""),",","")," ","")),2),"bad")))</f>
        <v/>
      </c>
      <c r="P776">
        <f>IF(TRIM(K776)="","",IFERROR(MATCH(LOWER(TRIM(K776)),'Students'!$AH$2:$AH$701,0),IFERROR(MATCH(LOWER(TRIM(K776)),'Students'!$AF$2:$AF$701,0),IFERROR(MATCH(LOWER(TRIM(K776)),'Students'!$AG$2:$AG$701,0),""))))</f>
        <v/>
      </c>
      <c r="R776">
        <f>IF(P776="","",INDEX('Students'!$AD$2:$AD$701,P776))</f>
        <v/>
      </c>
      <c r="S776">
        <f>IF(H776="OK",O776,0)</f>
        <v/>
      </c>
      <c r="T776">
        <f>IF(H776="OK",N776,"")</f>
        <v/>
      </c>
      <c r="U776">
        <f>IF(OC_Donor=0,"",IF(INDEX('OneCause_Paste'!$A$776:$AZ$776,1,OC_Donor)="","",INDEX('OneCause_Paste'!$A$776:$AZ$776,1,OC_Donor)))</f>
        <v/>
      </c>
    </row>
    <row r="777">
      <c r="A777" s="62">
        <f>IF(H777="","",IF(ISNUMBER(N777),N777,I777))</f>
        <v/>
      </c>
      <c r="B777">
        <f>IF(H777="","",U777)</f>
        <v/>
      </c>
      <c r="C777">
        <f>IF(H777="","",IF(P777="",K777,INDEX('Students'!$A$2:$A$701,P777)))</f>
        <v/>
      </c>
      <c r="D777">
        <f>IF(OR(H777="",P777=""),"",INDEX('Students'!$B$2:$B$701,P777))</f>
        <v/>
      </c>
      <c r="E777">
        <f>IF(OR(H777="",P777=""),"",INDEX('Students'!$C$2:$C$701,P777))</f>
        <v/>
      </c>
      <c r="F777" s="48">
        <f>IF(H777="","",IF(ISNUMBER(O777),O777,J777))</f>
        <v/>
      </c>
      <c r="G777">
        <f>IF(H777="","","OneCause")</f>
        <v/>
      </c>
      <c r="H777">
        <f>IF(AND(I777="",J777="",K777=""),"",IF(NOT(ISNUMBER(O777)),"Bad amount",IF(O777&lt;0,"Refund (not counted)",IF(O777=0,"Zero amount",IF(NOT(ISNUMBER(N777)),"Bad date",IF(P777="","NAME NOT ON ROSTER",IF(L777="","OK",IF(MATCH(L777,$L$2:$L$3001,0)&lt;ROW()-1,"Duplicate (ignored)","OK"))))))))</f>
        <v/>
      </c>
      <c r="I777">
        <f>IF(OC_Date=0,"",IF(INDEX('OneCause_Paste'!$A$777:$AZ$777,1,OC_Date)="","",INDEX('OneCause_Paste'!$A$777:$AZ$777,1,OC_Date)))</f>
        <v/>
      </c>
      <c r="J777">
        <f>IF(OC_Amt=0,"",IF(INDEX('OneCause_Paste'!$A$777:$AZ$777,1,OC_Amt)="","",INDEX('OneCause_Paste'!$A$777:$AZ$777,1,OC_Amt)))</f>
        <v/>
      </c>
      <c r="K777">
        <f>IF(OC_Name=0,"",IF(INDEX('OneCause_Paste'!$A$777:$AZ$777,1,OC_Name)="","",INDEX('OneCause_Paste'!$A$777:$AZ$777,1,OC_Name)))</f>
        <v/>
      </c>
      <c r="L777">
        <f>IF(OC_Txn=0,"",IF(INDEX('OneCause_Paste'!$A$777:$AZ$777,1,OC_Txn)="","",INDEX('OneCause_Paste'!$A$777:$AZ$777,1,OC_Txn)))</f>
        <v/>
      </c>
      <c r="M777">
        <f>IF(OC_Pay=0,"",IF(INDEX('OneCause_Paste'!$A$777:$AZ$777,1,OC_Pay)="","",INDEX('OneCause_Paste'!$A$777:$AZ$777,1,OC_Pay)))</f>
        <v/>
      </c>
      <c r="N777">
        <f>IF(I777="","",IF(ISNUMBER(I777),INT(I777),IFERROR(INT(DATEVALUE(I777)),IFERROR(INT(VALUE(I777)),"bad"))))</f>
        <v/>
      </c>
      <c r="O777">
        <f>IF(J777="","",IF(ISNUMBER(J777),ROUND(J777,2),IFERROR(ROUND(VALUE(SUBSTITUTE(SUBSTITUTE(SUBSTITUTE(J777,"$",""),",","")," ","")),2),"bad")))</f>
        <v/>
      </c>
      <c r="P777">
        <f>IF(TRIM(K777)="","",IFERROR(MATCH(LOWER(TRIM(K777)),'Students'!$AH$2:$AH$701,0),IFERROR(MATCH(LOWER(TRIM(K777)),'Students'!$AF$2:$AF$701,0),IFERROR(MATCH(LOWER(TRIM(K777)),'Students'!$AG$2:$AG$701,0),""))))</f>
        <v/>
      </c>
      <c r="R777">
        <f>IF(P777="","",INDEX('Students'!$AD$2:$AD$701,P777))</f>
        <v/>
      </c>
      <c r="S777">
        <f>IF(H777="OK",O777,0)</f>
        <v/>
      </c>
      <c r="T777">
        <f>IF(H777="OK",N777,"")</f>
        <v/>
      </c>
      <c r="U777">
        <f>IF(OC_Donor=0,"",IF(INDEX('OneCause_Paste'!$A$777:$AZ$777,1,OC_Donor)="","",INDEX('OneCause_Paste'!$A$777:$AZ$777,1,OC_Donor)))</f>
        <v/>
      </c>
    </row>
    <row r="778">
      <c r="A778" s="62">
        <f>IF(H778="","",IF(ISNUMBER(N778),N778,I778))</f>
        <v/>
      </c>
      <c r="B778">
        <f>IF(H778="","",U778)</f>
        <v/>
      </c>
      <c r="C778">
        <f>IF(H778="","",IF(P778="",K778,INDEX('Students'!$A$2:$A$701,P778)))</f>
        <v/>
      </c>
      <c r="D778">
        <f>IF(OR(H778="",P778=""),"",INDEX('Students'!$B$2:$B$701,P778))</f>
        <v/>
      </c>
      <c r="E778">
        <f>IF(OR(H778="",P778=""),"",INDEX('Students'!$C$2:$C$701,P778))</f>
        <v/>
      </c>
      <c r="F778" s="48">
        <f>IF(H778="","",IF(ISNUMBER(O778),O778,J778))</f>
        <v/>
      </c>
      <c r="G778">
        <f>IF(H778="","","OneCause")</f>
        <v/>
      </c>
      <c r="H778">
        <f>IF(AND(I778="",J778="",K778=""),"",IF(NOT(ISNUMBER(O778)),"Bad amount",IF(O778&lt;0,"Refund (not counted)",IF(O778=0,"Zero amount",IF(NOT(ISNUMBER(N778)),"Bad date",IF(P778="","NAME NOT ON ROSTER",IF(L778="","OK",IF(MATCH(L778,$L$2:$L$3001,0)&lt;ROW()-1,"Duplicate (ignored)","OK"))))))))</f>
        <v/>
      </c>
      <c r="I778">
        <f>IF(OC_Date=0,"",IF(INDEX('OneCause_Paste'!$A$778:$AZ$778,1,OC_Date)="","",INDEX('OneCause_Paste'!$A$778:$AZ$778,1,OC_Date)))</f>
        <v/>
      </c>
      <c r="J778">
        <f>IF(OC_Amt=0,"",IF(INDEX('OneCause_Paste'!$A$778:$AZ$778,1,OC_Amt)="","",INDEX('OneCause_Paste'!$A$778:$AZ$778,1,OC_Amt)))</f>
        <v/>
      </c>
      <c r="K778">
        <f>IF(OC_Name=0,"",IF(INDEX('OneCause_Paste'!$A$778:$AZ$778,1,OC_Name)="","",INDEX('OneCause_Paste'!$A$778:$AZ$778,1,OC_Name)))</f>
        <v/>
      </c>
      <c r="L778">
        <f>IF(OC_Txn=0,"",IF(INDEX('OneCause_Paste'!$A$778:$AZ$778,1,OC_Txn)="","",INDEX('OneCause_Paste'!$A$778:$AZ$778,1,OC_Txn)))</f>
        <v/>
      </c>
      <c r="M778">
        <f>IF(OC_Pay=0,"",IF(INDEX('OneCause_Paste'!$A$778:$AZ$778,1,OC_Pay)="","",INDEX('OneCause_Paste'!$A$778:$AZ$778,1,OC_Pay)))</f>
        <v/>
      </c>
      <c r="N778">
        <f>IF(I778="","",IF(ISNUMBER(I778),INT(I778),IFERROR(INT(DATEVALUE(I778)),IFERROR(INT(VALUE(I778)),"bad"))))</f>
        <v/>
      </c>
      <c r="O778">
        <f>IF(J778="","",IF(ISNUMBER(J778),ROUND(J778,2),IFERROR(ROUND(VALUE(SUBSTITUTE(SUBSTITUTE(SUBSTITUTE(J778,"$",""),",","")," ","")),2),"bad")))</f>
        <v/>
      </c>
      <c r="P778">
        <f>IF(TRIM(K778)="","",IFERROR(MATCH(LOWER(TRIM(K778)),'Students'!$AH$2:$AH$701,0),IFERROR(MATCH(LOWER(TRIM(K778)),'Students'!$AF$2:$AF$701,0),IFERROR(MATCH(LOWER(TRIM(K778)),'Students'!$AG$2:$AG$701,0),""))))</f>
        <v/>
      </c>
      <c r="R778">
        <f>IF(P778="","",INDEX('Students'!$AD$2:$AD$701,P778))</f>
        <v/>
      </c>
      <c r="S778">
        <f>IF(H778="OK",O778,0)</f>
        <v/>
      </c>
      <c r="T778">
        <f>IF(H778="OK",N778,"")</f>
        <v/>
      </c>
      <c r="U778">
        <f>IF(OC_Donor=0,"",IF(INDEX('OneCause_Paste'!$A$778:$AZ$778,1,OC_Donor)="","",INDEX('OneCause_Paste'!$A$778:$AZ$778,1,OC_Donor)))</f>
        <v/>
      </c>
    </row>
    <row r="779">
      <c r="A779" s="62">
        <f>IF(H779="","",IF(ISNUMBER(N779),N779,I779))</f>
        <v/>
      </c>
      <c r="B779">
        <f>IF(H779="","",U779)</f>
        <v/>
      </c>
      <c r="C779">
        <f>IF(H779="","",IF(P779="",K779,INDEX('Students'!$A$2:$A$701,P779)))</f>
        <v/>
      </c>
      <c r="D779">
        <f>IF(OR(H779="",P779=""),"",INDEX('Students'!$B$2:$B$701,P779))</f>
        <v/>
      </c>
      <c r="E779">
        <f>IF(OR(H779="",P779=""),"",INDEX('Students'!$C$2:$C$701,P779))</f>
        <v/>
      </c>
      <c r="F779" s="48">
        <f>IF(H779="","",IF(ISNUMBER(O779),O779,J779))</f>
        <v/>
      </c>
      <c r="G779">
        <f>IF(H779="","","OneCause")</f>
        <v/>
      </c>
      <c r="H779">
        <f>IF(AND(I779="",J779="",K779=""),"",IF(NOT(ISNUMBER(O779)),"Bad amount",IF(O779&lt;0,"Refund (not counted)",IF(O779=0,"Zero amount",IF(NOT(ISNUMBER(N779)),"Bad date",IF(P779="","NAME NOT ON ROSTER",IF(L779="","OK",IF(MATCH(L779,$L$2:$L$3001,0)&lt;ROW()-1,"Duplicate (ignored)","OK"))))))))</f>
        <v/>
      </c>
      <c r="I779">
        <f>IF(OC_Date=0,"",IF(INDEX('OneCause_Paste'!$A$779:$AZ$779,1,OC_Date)="","",INDEX('OneCause_Paste'!$A$779:$AZ$779,1,OC_Date)))</f>
        <v/>
      </c>
      <c r="J779">
        <f>IF(OC_Amt=0,"",IF(INDEX('OneCause_Paste'!$A$779:$AZ$779,1,OC_Amt)="","",INDEX('OneCause_Paste'!$A$779:$AZ$779,1,OC_Amt)))</f>
        <v/>
      </c>
      <c r="K779">
        <f>IF(OC_Name=0,"",IF(INDEX('OneCause_Paste'!$A$779:$AZ$779,1,OC_Name)="","",INDEX('OneCause_Paste'!$A$779:$AZ$779,1,OC_Name)))</f>
        <v/>
      </c>
      <c r="L779">
        <f>IF(OC_Txn=0,"",IF(INDEX('OneCause_Paste'!$A$779:$AZ$779,1,OC_Txn)="","",INDEX('OneCause_Paste'!$A$779:$AZ$779,1,OC_Txn)))</f>
        <v/>
      </c>
      <c r="M779">
        <f>IF(OC_Pay=0,"",IF(INDEX('OneCause_Paste'!$A$779:$AZ$779,1,OC_Pay)="","",INDEX('OneCause_Paste'!$A$779:$AZ$779,1,OC_Pay)))</f>
        <v/>
      </c>
      <c r="N779">
        <f>IF(I779="","",IF(ISNUMBER(I779),INT(I779),IFERROR(INT(DATEVALUE(I779)),IFERROR(INT(VALUE(I779)),"bad"))))</f>
        <v/>
      </c>
      <c r="O779">
        <f>IF(J779="","",IF(ISNUMBER(J779),ROUND(J779,2),IFERROR(ROUND(VALUE(SUBSTITUTE(SUBSTITUTE(SUBSTITUTE(J779,"$",""),",","")," ","")),2),"bad")))</f>
        <v/>
      </c>
      <c r="P779">
        <f>IF(TRIM(K779)="","",IFERROR(MATCH(LOWER(TRIM(K779)),'Students'!$AH$2:$AH$701,0),IFERROR(MATCH(LOWER(TRIM(K779)),'Students'!$AF$2:$AF$701,0),IFERROR(MATCH(LOWER(TRIM(K779)),'Students'!$AG$2:$AG$701,0),""))))</f>
        <v/>
      </c>
      <c r="R779">
        <f>IF(P779="","",INDEX('Students'!$AD$2:$AD$701,P779))</f>
        <v/>
      </c>
      <c r="S779">
        <f>IF(H779="OK",O779,0)</f>
        <v/>
      </c>
      <c r="T779">
        <f>IF(H779="OK",N779,"")</f>
        <v/>
      </c>
      <c r="U779">
        <f>IF(OC_Donor=0,"",IF(INDEX('OneCause_Paste'!$A$779:$AZ$779,1,OC_Donor)="","",INDEX('OneCause_Paste'!$A$779:$AZ$779,1,OC_Donor)))</f>
        <v/>
      </c>
    </row>
    <row r="780">
      <c r="A780" s="62">
        <f>IF(H780="","",IF(ISNUMBER(N780),N780,I780))</f>
        <v/>
      </c>
      <c r="B780">
        <f>IF(H780="","",U780)</f>
        <v/>
      </c>
      <c r="C780">
        <f>IF(H780="","",IF(P780="",K780,INDEX('Students'!$A$2:$A$701,P780)))</f>
        <v/>
      </c>
      <c r="D780">
        <f>IF(OR(H780="",P780=""),"",INDEX('Students'!$B$2:$B$701,P780))</f>
        <v/>
      </c>
      <c r="E780">
        <f>IF(OR(H780="",P780=""),"",INDEX('Students'!$C$2:$C$701,P780))</f>
        <v/>
      </c>
      <c r="F780" s="48">
        <f>IF(H780="","",IF(ISNUMBER(O780),O780,J780))</f>
        <v/>
      </c>
      <c r="G780">
        <f>IF(H780="","","OneCause")</f>
        <v/>
      </c>
      <c r="H780">
        <f>IF(AND(I780="",J780="",K780=""),"",IF(NOT(ISNUMBER(O780)),"Bad amount",IF(O780&lt;0,"Refund (not counted)",IF(O780=0,"Zero amount",IF(NOT(ISNUMBER(N780)),"Bad date",IF(P780="","NAME NOT ON ROSTER",IF(L780="","OK",IF(MATCH(L780,$L$2:$L$3001,0)&lt;ROW()-1,"Duplicate (ignored)","OK"))))))))</f>
        <v/>
      </c>
      <c r="I780">
        <f>IF(OC_Date=0,"",IF(INDEX('OneCause_Paste'!$A$780:$AZ$780,1,OC_Date)="","",INDEX('OneCause_Paste'!$A$780:$AZ$780,1,OC_Date)))</f>
        <v/>
      </c>
      <c r="J780">
        <f>IF(OC_Amt=0,"",IF(INDEX('OneCause_Paste'!$A$780:$AZ$780,1,OC_Amt)="","",INDEX('OneCause_Paste'!$A$780:$AZ$780,1,OC_Amt)))</f>
        <v/>
      </c>
      <c r="K780">
        <f>IF(OC_Name=0,"",IF(INDEX('OneCause_Paste'!$A$780:$AZ$780,1,OC_Name)="","",INDEX('OneCause_Paste'!$A$780:$AZ$780,1,OC_Name)))</f>
        <v/>
      </c>
      <c r="L780">
        <f>IF(OC_Txn=0,"",IF(INDEX('OneCause_Paste'!$A$780:$AZ$780,1,OC_Txn)="","",INDEX('OneCause_Paste'!$A$780:$AZ$780,1,OC_Txn)))</f>
        <v/>
      </c>
      <c r="M780">
        <f>IF(OC_Pay=0,"",IF(INDEX('OneCause_Paste'!$A$780:$AZ$780,1,OC_Pay)="","",INDEX('OneCause_Paste'!$A$780:$AZ$780,1,OC_Pay)))</f>
        <v/>
      </c>
      <c r="N780">
        <f>IF(I780="","",IF(ISNUMBER(I780),INT(I780),IFERROR(INT(DATEVALUE(I780)),IFERROR(INT(VALUE(I780)),"bad"))))</f>
        <v/>
      </c>
      <c r="O780">
        <f>IF(J780="","",IF(ISNUMBER(J780),ROUND(J780,2),IFERROR(ROUND(VALUE(SUBSTITUTE(SUBSTITUTE(SUBSTITUTE(J780,"$",""),",","")," ","")),2),"bad")))</f>
        <v/>
      </c>
      <c r="P780">
        <f>IF(TRIM(K780)="","",IFERROR(MATCH(LOWER(TRIM(K780)),'Students'!$AH$2:$AH$701,0),IFERROR(MATCH(LOWER(TRIM(K780)),'Students'!$AF$2:$AF$701,0),IFERROR(MATCH(LOWER(TRIM(K780)),'Students'!$AG$2:$AG$701,0),""))))</f>
        <v/>
      </c>
      <c r="R780">
        <f>IF(P780="","",INDEX('Students'!$AD$2:$AD$701,P780))</f>
        <v/>
      </c>
      <c r="S780">
        <f>IF(H780="OK",O780,0)</f>
        <v/>
      </c>
      <c r="T780">
        <f>IF(H780="OK",N780,"")</f>
        <v/>
      </c>
      <c r="U780">
        <f>IF(OC_Donor=0,"",IF(INDEX('OneCause_Paste'!$A$780:$AZ$780,1,OC_Donor)="","",INDEX('OneCause_Paste'!$A$780:$AZ$780,1,OC_Donor)))</f>
        <v/>
      </c>
    </row>
    <row r="781">
      <c r="A781" s="62">
        <f>IF(H781="","",IF(ISNUMBER(N781),N781,I781))</f>
        <v/>
      </c>
      <c r="B781">
        <f>IF(H781="","",U781)</f>
        <v/>
      </c>
      <c r="C781">
        <f>IF(H781="","",IF(P781="",K781,INDEX('Students'!$A$2:$A$701,P781)))</f>
        <v/>
      </c>
      <c r="D781">
        <f>IF(OR(H781="",P781=""),"",INDEX('Students'!$B$2:$B$701,P781))</f>
        <v/>
      </c>
      <c r="E781">
        <f>IF(OR(H781="",P781=""),"",INDEX('Students'!$C$2:$C$701,P781))</f>
        <v/>
      </c>
      <c r="F781" s="48">
        <f>IF(H781="","",IF(ISNUMBER(O781),O781,J781))</f>
        <v/>
      </c>
      <c r="G781">
        <f>IF(H781="","","OneCause")</f>
        <v/>
      </c>
      <c r="H781">
        <f>IF(AND(I781="",J781="",K781=""),"",IF(NOT(ISNUMBER(O781)),"Bad amount",IF(O781&lt;0,"Refund (not counted)",IF(O781=0,"Zero amount",IF(NOT(ISNUMBER(N781)),"Bad date",IF(P781="","NAME NOT ON ROSTER",IF(L781="","OK",IF(MATCH(L781,$L$2:$L$3001,0)&lt;ROW()-1,"Duplicate (ignored)","OK"))))))))</f>
        <v/>
      </c>
      <c r="I781">
        <f>IF(OC_Date=0,"",IF(INDEX('OneCause_Paste'!$A$781:$AZ$781,1,OC_Date)="","",INDEX('OneCause_Paste'!$A$781:$AZ$781,1,OC_Date)))</f>
        <v/>
      </c>
      <c r="J781">
        <f>IF(OC_Amt=0,"",IF(INDEX('OneCause_Paste'!$A$781:$AZ$781,1,OC_Amt)="","",INDEX('OneCause_Paste'!$A$781:$AZ$781,1,OC_Amt)))</f>
        <v/>
      </c>
      <c r="K781">
        <f>IF(OC_Name=0,"",IF(INDEX('OneCause_Paste'!$A$781:$AZ$781,1,OC_Name)="","",INDEX('OneCause_Paste'!$A$781:$AZ$781,1,OC_Name)))</f>
        <v/>
      </c>
      <c r="L781">
        <f>IF(OC_Txn=0,"",IF(INDEX('OneCause_Paste'!$A$781:$AZ$781,1,OC_Txn)="","",INDEX('OneCause_Paste'!$A$781:$AZ$781,1,OC_Txn)))</f>
        <v/>
      </c>
      <c r="M781">
        <f>IF(OC_Pay=0,"",IF(INDEX('OneCause_Paste'!$A$781:$AZ$781,1,OC_Pay)="","",INDEX('OneCause_Paste'!$A$781:$AZ$781,1,OC_Pay)))</f>
        <v/>
      </c>
      <c r="N781">
        <f>IF(I781="","",IF(ISNUMBER(I781),INT(I781),IFERROR(INT(DATEVALUE(I781)),IFERROR(INT(VALUE(I781)),"bad"))))</f>
        <v/>
      </c>
      <c r="O781">
        <f>IF(J781="","",IF(ISNUMBER(J781),ROUND(J781,2),IFERROR(ROUND(VALUE(SUBSTITUTE(SUBSTITUTE(SUBSTITUTE(J781,"$",""),",","")," ","")),2),"bad")))</f>
        <v/>
      </c>
      <c r="P781">
        <f>IF(TRIM(K781)="","",IFERROR(MATCH(LOWER(TRIM(K781)),'Students'!$AH$2:$AH$701,0),IFERROR(MATCH(LOWER(TRIM(K781)),'Students'!$AF$2:$AF$701,0),IFERROR(MATCH(LOWER(TRIM(K781)),'Students'!$AG$2:$AG$701,0),""))))</f>
        <v/>
      </c>
      <c r="R781">
        <f>IF(P781="","",INDEX('Students'!$AD$2:$AD$701,P781))</f>
        <v/>
      </c>
      <c r="S781">
        <f>IF(H781="OK",O781,0)</f>
        <v/>
      </c>
      <c r="T781">
        <f>IF(H781="OK",N781,"")</f>
        <v/>
      </c>
      <c r="U781">
        <f>IF(OC_Donor=0,"",IF(INDEX('OneCause_Paste'!$A$781:$AZ$781,1,OC_Donor)="","",INDEX('OneCause_Paste'!$A$781:$AZ$781,1,OC_Donor)))</f>
        <v/>
      </c>
    </row>
    <row r="782">
      <c r="A782" s="62">
        <f>IF(H782="","",IF(ISNUMBER(N782),N782,I782))</f>
        <v/>
      </c>
      <c r="B782">
        <f>IF(H782="","",U782)</f>
        <v/>
      </c>
      <c r="C782">
        <f>IF(H782="","",IF(P782="",K782,INDEX('Students'!$A$2:$A$701,P782)))</f>
        <v/>
      </c>
      <c r="D782">
        <f>IF(OR(H782="",P782=""),"",INDEX('Students'!$B$2:$B$701,P782))</f>
        <v/>
      </c>
      <c r="E782">
        <f>IF(OR(H782="",P782=""),"",INDEX('Students'!$C$2:$C$701,P782))</f>
        <v/>
      </c>
      <c r="F782" s="48">
        <f>IF(H782="","",IF(ISNUMBER(O782),O782,J782))</f>
        <v/>
      </c>
      <c r="G782">
        <f>IF(H782="","","OneCause")</f>
        <v/>
      </c>
      <c r="H782">
        <f>IF(AND(I782="",J782="",K782=""),"",IF(NOT(ISNUMBER(O782)),"Bad amount",IF(O782&lt;0,"Refund (not counted)",IF(O782=0,"Zero amount",IF(NOT(ISNUMBER(N782)),"Bad date",IF(P782="","NAME NOT ON ROSTER",IF(L782="","OK",IF(MATCH(L782,$L$2:$L$3001,0)&lt;ROW()-1,"Duplicate (ignored)","OK"))))))))</f>
        <v/>
      </c>
      <c r="I782">
        <f>IF(OC_Date=0,"",IF(INDEX('OneCause_Paste'!$A$782:$AZ$782,1,OC_Date)="","",INDEX('OneCause_Paste'!$A$782:$AZ$782,1,OC_Date)))</f>
        <v/>
      </c>
      <c r="J782">
        <f>IF(OC_Amt=0,"",IF(INDEX('OneCause_Paste'!$A$782:$AZ$782,1,OC_Amt)="","",INDEX('OneCause_Paste'!$A$782:$AZ$782,1,OC_Amt)))</f>
        <v/>
      </c>
      <c r="K782">
        <f>IF(OC_Name=0,"",IF(INDEX('OneCause_Paste'!$A$782:$AZ$782,1,OC_Name)="","",INDEX('OneCause_Paste'!$A$782:$AZ$782,1,OC_Name)))</f>
        <v/>
      </c>
      <c r="L782">
        <f>IF(OC_Txn=0,"",IF(INDEX('OneCause_Paste'!$A$782:$AZ$782,1,OC_Txn)="","",INDEX('OneCause_Paste'!$A$782:$AZ$782,1,OC_Txn)))</f>
        <v/>
      </c>
      <c r="M782">
        <f>IF(OC_Pay=0,"",IF(INDEX('OneCause_Paste'!$A$782:$AZ$782,1,OC_Pay)="","",INDEX('OneCause_Paste'!$A$782:$AZ$782,1,OC_Pay)))</f>
        <v/>
      </c>
      <c r="N782">
        <f>IF(I782="","",IF(ISNUMBER(I782),INT(I782),IFERROR(INT(DATEVALUE(I782)),IFERROR(INT(VALUE(I782)),"bad"))))</f>
        <v/>
      </c>
      <c r="O782">
        <f>IF(J782="","",IF(ISNUMBER(J782),ROUND(J782,2),IFERROR(ROUND(VALUE(SUBSTITUTE(SUBSTITUTE(SUBSTITUTE(J782,"$",""),",","")," ","")),2),"bad")))</f>
        <v/>
      </c>
      <c r="P782">
        <f>IF(TRIM(K782)="","",IFERROR(MATCH(LOWER(TRIM(K782)),'Students'!$AH$2:$AH$701,0),IFERROR(MATCH(LOWER(TRIM(K782)),'Students'!$AF$2:$AF$701,0),IFERROR(MATCH(LOWER(TRIM(K782)),'Students'!$AG$2:$AG$701,0),""))))</f>
        <v/>
      </c>
      <c r="R782">
        <f>IF(P782="","",INDEX('Students'!$AD$2:$AD$701,P782))</f>
        <v/>
      </c>
      <c r="S782">
        <f>IF(H782="OK",O782,0)</f>
        <v/>
      </c>
      <c r="T782">
        <f>IF(H782="OK",N782,"")</f>
        <v/>
      </c>
      <c r="U782">
        <f>IF(OC_Donor=0,"",IF(INDEX('OneCause_Paste'!$A$782:$AZ$782,1,OC_Donor)="","",INDEX('OneCause_Paste'!$A$782:$AZ$782,1,OC_Donor)))</f>
        <v/>
      </c>
    </row>
    <row r="783">
      <c r="A783" s="62">
        <f>IF(H783="","",IF(ISNUMBER(N783),N783,I783))</f>
        <v/>
      </c>
      <c r="B783">
        <f>IF(H783="","",U783)</f>
        <v/>
      </c>
      <c r="C783">
        <f>IF(H783="","",IF(P783="",K783,INDEX('Students'!$A$2:$A$701,P783)))</f>
        <v/>
      </c>
      <c r="D783">
        <f>IF(OR(H783="",P783=""),"",INDEX('Students'!$B$2:$B$701,P783))</f>
        <v/>
      </c>
      <c r="E783">
        <f>IF(OR(H783="",P783=""),"",INDEX('Students'!$C$2:$C$701,P783))</f>
        <v/>
      </c>
      <c r="F783" s="48">
        <f>IF(H783="","",IF(ISNUMBER(O783),O783,J783))</f>
        <v/>
      </c>
      <c r="G783">
        <f>IF(H783="","","OneCause")</f>
        <v/>
      </c>
      <c r="H783">
        <f>IF(AND(I783="",J783="",K783=""),"",IF(NOT(ISNUMBER(O783)),"Bad amount",IF(O783&lt;0,"Refund (not counted)",IF(O783=0,"Zero amount",IF(NOT(ISNUMBER(N783)),"Bad date",IF(P783="","NAME NOT ON ROSTER",IF(L783="","OK",IF(MATCH(L783,$L$2:$L$3001,0)&lt;ROW()-1,"Duplicate (ignored)","OK"))))))))</f>
        <v/>
      </c>
      <c r="I783">
        <f>IF(OC_Date=0,"",IF(INDEX('OneCause_Paste'!$A$783:$AZ$783,1,OC_Date)="","",INDEX('OneCause_Paste'!$A$783:$AZ$783,1,OC_Date)))</f>
        <v/>
      </c>
      <c r="J783">
        <f>IF(OC_Amt=0,"",IF(INDEX('OneCause_Paste'!$A$783:$AZ$783,1,OC_Amt)="","",INDEX('OneCause_Paste'!$A$783:$AZ$783,1,OC_Amt)))</f>
        <v/>
      </c>
      <c r="K783">
        <f>IF(OC_Name=0,"",IF(INDEX('OneCause_Paste'!$A$783:$AZ$783,1,OC_Name)="","",INDEX('OneCause_Paste'!$A$783:$AZ$783,1,OC_Name)))</f>
        <v/>
      </c>
      <c r="L783">
        <f>IF(OC_Txn=0,"",IF(INDEX('OneCause_Paste'!$A$783:$AZ$783,1,OC_Txn)="","",INDEX('OneCause_Paste'!$A$783:$AZ$783,1,OC_Txn)))</f>
        <v/>
      </c>
      <c r="M783">
        <f>IF(OC_Pay=0,"",IF(INDEX('OneCause_Paste'!$A$783:$AZ$783,1,OC_Pay)="","",INDEX('OneCause_Paste'!$A$783:$AZ$783,1,OC_Pay)))</f>
        <v/>
      </c>
      <c r="N783">
        <f>IF(I783="","",IF(ISNUMBER(I783),INT(I783),IFERROR(INT(DATEVALUE(I783)),IFERROR(INT(VALUE(I783)),"bad"))))</f>
        <v/>
      </c>
      <c r="O783">
        <f>IF(J783="","",IF(ISNUMBER(J783),ROUND(J783,2),IFERROR(ROUND(VALUE(SUBSTITUTE(SUBSTITUTE(SUBSTITUTE(J783,"$",""),",","")," ","")),2),"bad")))</f>
        <v/>
      </c>
      <c r="P783">
        <f>IF(TRIM(K783)="","",IFERROR(MATCH(LOWER(TRIM(K783)),'Students'!$AH$2:$AH$701,0),IFERROR(MATCH(LOWER(TRIM(K783)),'Students'!$AF$2:$AF$701,0),IFERROR(MATCH(LOWER(TRIM(K783)),'Students'!$AG$2:$AG$701,0),""))))</f>
        <v/>
      </c>
      <c r="R783">
        <f>IF(P783="","",INDEX('Students'!$AD$2:$AD$701,P783))</f>
        <v/>
      </c>
      <c r="S783">
        <f>IF(H783="OK",O783,0)</f>
        <v/>
      </c>
      <c r="T783">
        <f>IF(H783="OK",N783,"")</f>
        <v/>
      </c>
      <c r="U783">
        <f>IF(OC_Donor=0,"",IF(INDEX('OneCause_Paste'!$A$783:$AZ$783,1,OC_Donor)="","",INDEX('OneCause_Paste'!$A$783:$AZ$783,1,OC_Donor)))</f>
        <v/>
      </c>
    </row>
    <row r="784">
      <c r="A784" s="62">
        <f>IF(H784="","",IF(ISNUMBER(N784),N784,I784))</f>
        <v/>
      </c>
      <c r="B784">
        <f>IF(H784="","",U784)</f>
        <v/>
      </c>
      <c r="C784">
        <f>IF(H784="","",IF(P784="",K784,INDEX('Students'!$A$2:$A$701,P784)))</f>
        <v/>
      </c>
      <c r="D784">
        <f>IF(OR(H784="",P784=""),"",INDEX('Students'!$B$2:$B$701,P784))</f>
        <v/>
      </c>
      <c r="E784">
        <f>IF(OR(H784="",P784=""),"",INDEX('Students'!$C$2:$C$701,P784))</f>
        <v/>
      </c>
      <c r="F784" s="48">
        <f>IF(H784="","",IF(ISNUMBER(O784),O784,J784))</f>
        <v/>
      </c>
      <c r="G784">
        <f>IF(H784="","","OneCause")</f>
        <v/>
      </c>
      <c r="H784">
        <f>IF(AND(I784="",J784="",K784=""),"",IF(NOT(ISNUMBER(O784)),"Bad amount",IF(O784&lt;0,"Refund (not counted)",IF(O784=0,"Zero amount",IF(NOT(ISNUMBER(N784)),"Bad date",IF(P784="","NAME NOT ON ROSTER",IF(L784="","OK",IF(MATCH(L784,$L$2:$L$3001,0)&lt;ROW()-1,"Duplicate (ignored)","OK"))))))))</f>
        <v/>
      </c>
      <c r="I784">
        <f>IF(OC_Date=0,"",IF(INDEX('OneCause_Paste'!$A$784:$AZ$784,1,OC_Date)="","",INDEX('OneCause_Paste'!$A$784:$AZ$784,1,OC_Date)))</f>
        <v/>
      </c>
      <c r="J784">
        <f>IF(OC_Amt=0,"",IF(INDEX('OneCause_Paste'!$A$784:$AZ$784,1,OC_Amt)="","",INDEX('OneCause_Paste'!$A$784:$AZ$784,1,OC_Amt)))</f>
        <v/>
      </c>
      <c r="K784">
        <f>IF(OC_Name=0,"",IF(INDEX('OneCause_Paste'!$A$784:$AZ$784,1,OC_Name)="","",INDEX('OneCause_Paste'!$A$784:$AZ$784,1,OC_Name)))</f>
        <v/>
      </c>
      <c r="L784">
        <f>IF(OC_Txn=0,"",IF(INDEX('OneCause_Paste'!$A$784:$AZ$784,1,OC_Txn)="","",INDEX('OneCause_Paste'!$A$784:$AZ$784,1,OC_Txn)))</f>
        <v/>
      </c>
      <c r="M784">
        <f>IF(OC_Pay=0,"",IF(INDEX('OneCause_Paste'!$A$784:$AZ$784,1,OC_Pay)="","",INDEX('OneCause_Paste'!$A$784:$AZ$784,1,OC_Pay)))</f>
        <v/>
      </c>
      <c r="N784">
        <f>IF(I784="","",IF(ISNUMBER(I784),INT(I784),IFERROR(INT(DATEVALUE(I784)),IFERROR(INT(VALUE(I784)),"bad"))))</f>
        <v/>
      </c>
      <c r="O784">
        <f>IF(J784="","",IF(ISNUMBER(J784),ROUND(J784,2),IFERROR(ROUND(VALUE(SUBSTITUTE(SUBSTITUTE(SUBSTITUTE(J784,"$",""),",","")," ","")),2),"bad")))</f>
        <v/>
      </c>
      <c r="P784">
        <f>IF(TRIM(K784)="","",IFERROR(MATCH(LOWER(TRIM(K784)),'Students'!$AH$2:$AH$701,0),IFERROR(MATCH(LOWER(TRIM(K784)),'Students'!$AF$2:$AF$701,0),IFERROR(MATCH(LOWER(TRIM(K784)),'Students'!$AG$2:$AG$701,0),""))))</f>
        <v/>
      </c>
      <c r="R784">
        <f>IF(P784="","",INDEX('Students'!$AD$2:$AD$701,P784))</f>
        <v/>
      </c>
      <c r="S784">
        <f>IF(H784="OK",O784,0)</f>
        <v/>
      </c>
      <c r="T784">
        <f>IF(H784="OK",N784,"")</f>
        <v/>
      </c>
      <c r="U784">
        <f>IF(OC_Donor=0,"",IF(INDEX('OneCause_Paste'!$A$784:$AZ$784,1,OC_Donor)="","",INDEX('OneCause_Paste'!$A$784:$AZ$784,1,OC_Donor)))</f>
        <v/>
      </c>
    </row>
    <row r="785">
      <c r="A785" s="62">
        <f>IF(H785="","",IF(ISNUMBER(N785),N785,I785))</f>
        <v/>
      </c>
      <c r="B785">
        <f>IF(H785="","",U785)</f>
        <v/>
      </c>
      <c r="C785">
        <f>IF(H785="","",IF(P785="",K785,INDEX('Students'!$A$2:$A$701,P785)))</f>
        <v/>
      </c>
      <c r="D785">
        <f>IF(OR(H785="",P785=""),"",INDEX('Students'!$B$2:$B$701,P785))</f>
        <v/>
      </c>
      <c r="E785">
        <f>IF(OR(H785="",P785=""),"",INDEX('Students'!$C$2:$C$701,P785))</f>
        <v/>
      </c>
      <c r="F785" s="48">
        <f>IF(H785="","",IF(ISNUMBER(O785),O785,J785))</f>
        <v/>
      </c>
      <c r="G785">
        <f>IF(H785="","","OneCause")</f>
        <v/>
      </c>
      <c r="H785">
        <f>IF(AND(I785="",J785="",K785=""),"",IF(NOT(ISNUMBER(O785)),"Bad amount",IF(O785&lt;0,"Refund (not counted)",IF(O785=0,"Zero amount",IF(NOT(ISNUMBER(N785)),"Bad date",IF(P785="","NAME NOT ON ROSTER",IF(L785="","OK",IF(MATCH(L785,$L$2:$L$3001,0)&lt;ROW()-1,"Duplicate (ignored)","OK"))))))))</f>
        <v/>
      </c>
      <c r="I785">
        <f>IF(OC_Date=0,"",IF(INDEX('OneCause_Paste'!$A$785:$AZ$785,1,OC_Date)="","",INDEX('OneCause_Paste'!$A$785:$AZ$785,1,OC_Date)))</f>
        <v/>
      </c>
      <c r="J785">
        <f>IF(OC_Amt=0,"",IF(INDEX('OneCause_Paste'!$A$785:$AZ$785,1,OC_Amt)="","",INDEX('OneCause_Paste'!$A$785:$AZ$785,1,OC_Amt)))</f>
        <v/>
      </c>
      <c r="K785">
        <f>IF(OC_Name=0,"",IF(INDEX('OneCause_Paste'!$A$785:$AZ$785,1,OC_Name)="","",INDEX('OneCause_Paste'!$A$785:$AZ$785,1,OC_Name)))</f>
        <v/>
      </c>
      <c r="L785">
        <f>IF(OC_Txn=0,"",IF(INDEX('OneCause_Paste'!$A$785:$AZ$785,1,OC_Txn)="","",INDEX('OneCause_Paste'!$A$785:$AZ$785,1,OC_Txn)))</f>
        <v/>
      </c>
      <c r="M785">
        <f>IF(OC_Pay=0,"",IF(INDEX('OneCause_Paste'!$A$785:$AZ$785,1,OC_Pay)="","",INDEX('OneCause_Paste'!$A$785:$AZ$785,1,OC_Pay)))</f>
        <v/>
      </c>
      <c r="N785">
        <f>IF(I785="","",IF(ISNUMBER(I785),INT(I785),IFERROR(INT(DATEVALUE(I785)),IFERROR(INT(VALUE(I785)),"bad"))))</f>
        <v/>
      </c>
      <c r="O785">
        <f>IF(J785="","",IF(ISNUMBER(J785),ROUND(J785,2),IFERROR(ROUND(VALUE(SUBSTITUTE(SUBSTITUTE(SUBSTITUTE(J785,"$",""),",","")," ","")),2),"bad")))</f>
        <v/>
      </c>
      <c r="P785">
        <f>IF(TRIM(K785)="","",IFERROR(MATCH(LOWER(TRIM(K785)),'Students'!$AH$2:$AH$701,0),IFERROR(MATCH(LOWER(TRIM(K785)),'Students'!$AF$2:$AF$701,0),IFERROR(MATCH(LOWER(TRIM(K785)),'Students'!$AG$2:$AG$701,0),""))))</f>
        <v/>
      </c>
      <c r="R785">
        <f>IF(P785="","",INDEX('Students'!$AD$2:$AD$701,P785))</f>
        <v/>
      </c>
      <c r="S785">
        <f>IF(H785="OK",O785,0)</f>
        <v/>
      </c>
      <c r="T785">
        <f>IF(H785="OK",N785,"")</f>
        <v/>
      </c>
      <c r="U785">
        <f>IF(OC_Donor=0,"",IF(INDEX('OneCause_Paste'!$A$785:$AZ$785,1,OC_Donor)="","",INDEX('OneCause_Paste'!$A$785:$AZ$785,1,OC_Donor)))</f>
        <v/>
      </c>
    </row>
    <row r="786">
      <c r="A786" s="62">
        <f>IF(H786="","",IF(ISNUMBER(N786),N786,I786))</f>
        <v/>
      </c>
      <c r="B786">
        <f>IF(H786="","",U786)</f>
        <v/>
      </c>
      <c r="C786">
        <f>IF(H786="","",IF(P786="",K786,INDEX('Students'!$A$2:$A$701,P786)))</f>
        <v/>
      </c>
      <c r="D786">
        <f>IF(OR(H786="",P786=""),"",INDEX('Students'!$B$2:$B$701,P786))</f>
        <v/>
      </c>
      <c r="E786">
        <f>IF(OR(H786="",P786=""),"",INDEX('Students'!$C$2:$C$701,P786))</f>
        <v/>
      </c>
      <c r="F786" s="48">
        <f>IF(H786="","",IF(ISNUMBER(O786),O786,J786))</f>
        <v/>
      </c>
      <c r="G786">
        <f>IF(H786="","","OneCause")</f>
        <v/>
      </c>
      <c r="H786">
        <f>IF(AND(I786="",J786="",K786=""),"",IF(NOT(ISNUMBER(O786)),"Bad amount",IF(O786&lt;0,"Refund (not counted)",IF(O786=0,"Zero amount",IF(NOT(ISNUMBER(N786)),"Bad date",IF(P786="","NAME NOT ON ROSTER",IF(L786="","OK",IF(MATCH(L786,$L$2:$L$3001,0)&lt;ROW()-1,"Duplicate (ignored)","OK"))))))))</f>
        <v/>
      </c>
      <c r="I786">
        <f>IF(OC_Date=0,"",IF(INDEX('OneCause_Paste'!$A$786:$AZ$786,1,OC_Date)="","",INDEX('OneCause_Paste'!$A$786:$AZ$786,1,OC_Date)))</f>
        <v/>
      </c>
      <c r="J786">
        <f>IF(OC_Amt=0,"",IF(INDEX('OneCause_Paste'!$A$786:$AZ$786,1,OC_Amt)="","",INDEX('OneCause_Paste'!$A$786:$AZ$786,1,OC_Amt)))</f>
        <v/>
      </c>
      <c r="K786">
        <f>IF(OC_Name=0,"",IF(INDEX('OneCause_Paste'!$A$786:$AZ$786,1,OC_Name)="","",INDEX('OneCause_Paste'!$A$786:$AZ$786,1,OC_Name)))</f>
        <v/>
      </c>
      <c r="L786">
        <f>IF(OC_Txn=0,"",IF(INDEX('OneCause_Paste'!$A$786:$AZ$786,1,OC_Txn)="","",INDEX('OneCause_Paste'!$A$786:$AZ$786,1,OC_Txn)))</f>
        <v/>
      </c>
      <c r="M786">
        <f>IF(OC_Pay=0,"",IF(INDEX('OneCause_Paste'!$A$786:$AZ$786,1,OC_Pay)="","",INDEX('OneCause_Paste'!$A$786:$AZ$786,1,OC_Pay)))</f>
        <v/>
      </c>
      <c r="N786">
        <f>IF(I786="","",IF(ISNUMBER(I786),INT(I786),IFERROR(INT(DATEVALUE(I786)),IFERROR(INT(VALUE(I786)),"bad"))))</f>
        <v/>
      </c>
      <c r="O786">
        <f>IF(J786="","",IF(ISNUMBER(J786),ROUND(J786,2),IFERROR(ROUND(VALUE(SUBSTITUTE(SUBSTITUTE(SUBSTITUTE(J786,"$",""),",","")," ","")),2),"bad")))</f>
        <v/>
      </c>
      <c r="P786">
        <f>IF(TRIM(K786)="","",IFERROR(MATCH(LOWER(TRIM(K786)),'Students'!$AH$2:$AH$701,0),IFERROR(MATCH(LOWER(TRIM(K786)),'Students'!$AF$2:$AF$701,0),IFERROR(MATCH(LOWER(TRIM(K786)),'Students'!$AG$2:$AG$701,0),""))))</f>
        <v/>
      </c>
      <c r="R786">
        <f>IF(P786="","",INDEX('Students'!$AD$2:$AD$701,P786))</f>
        <v/>
      </c>
      <c r="S786">
        <f>IF(H786="OK",O786,0)</f>
        <v/>
      </c>
      <c r="T786">
        <f>IF(H786="OK",N786,"")</f>
        <v/>
      </c>
      <c r="U786">
        <f>IF(OC_Donor=0,"",IF(INDEX('OneCause_Paste'!$A$786:$AZ$786,1,OC_Donor)="","",INDEX('OneCause_Paste'!$A$786:$AZ$786,1,OC_Donor)))</f>
        <v/>
      </c>
    </row>
    <row r="787">
      <c r="A787" s="62">
        <f>IF(H787="","",IF(ISNUMBER(N787),N787,I787))</f>
        <v/>
      </c>
      <c r="B787">
        <f>IF(H787="","",U787)</f>
        <v/>
      </c>
      <c r="C787">
        <f>IF(H787="","",IF(P787="",K787,INDEX('Students'!$A$2:$A$701,P787)))</f>
        <v/>
      </c>
      <c r="D787">
        <f>IF(OR(H787="",P787=""),"",INDEX('Students'!$B$2:$B$701,P787))</f>
        <v/>
      </c>
      <c r="E787">
        <f>IF(OR(H787="",P787=""),"",INDEX('Students'!$C$2:$C$701,P787))</f>
        <v/>
      </c>
      <c r="F787" s="48">
        <f>IF(H787="","",IF(ISNUMBER(O787),O787,J787))</f>
        <v/>
      </c>
      <c r="G787">
        <f>IF(H787="","","OneCause")</f>
        <v/>
      </c>
      <c r="H787">
        <f>IF(AND(I787="",J787="",K787=""),"",IF(NOT(ISNUMBER(O787)),"Bad amount",IF(O787&lt;0,"Refund (not counted)",IF(O787=0,"Zero amount",IF(NOT(ISNUMBER(N787)),"Bad date",IF(P787="","NAME NOT ON ROSTER",IF(L787="","OK",IF(MATCH(L787,$L$2:$L$3001,0)&lt;ROW()-1,"Duplicate (ignored)","OK"))))))))</f>
        <v/>
      </c>
      <c r="I787">
        <f>IF(OC_Date=0,"",IF(INDEX('OneCause_Paste'!$A$787:$AZ$787,1,OC_Date)="","",INDEX('OneCause_Paste'!$A$787:$AZ$787,1,OC_Date)))</f>
        <v/>
      </c>
      <c r="J787">
        <f>IF(OC_Amt=0,"",IF(INDEX('OneCause_Paste'!$A$787:$AZ$787,1,OC_Amt)="","",INDEX('OneCause_Paste'!$A$787:$AZ$787,1,OC_Amt)))</f>
        <v/>
      </c>
      <c r="K787">
        <f>IF(OC_Name=0,"",IF(INDEX('OneCause_Paste'!$A$787:$AZ$787,1,OC_Name)="","",INDEX('OneCause_Paste'!$A$787:$AZ$787,1,OC_Name)))</f>
        <v/>
      </c>
      <c r="L787">
        <f>IF(OC_Txn=0,"",IF(INDEX('OneCause_Paste'!$A$787:$AZ$787,1,OC_Txn)="","",INDEX('OneCause_Paste'!$A$787:$AZ$787,1,OC_Txn)))</f>
        <v/>
      </c>
      <c r="M787">
        <f>IF(OC_Pay=0,"",IF(INDEX('OneCause_Paste'!$A$787:$AZ$787,1,OC_Pay)="","",INDEX('OneCause_Paste'!$A$787:$AZ$787,1,OC_Pay)))</f>
        <v/>
      </c>
      <c r="N787">
        <f>IF(I787="","",IF(ISNUMBER(I787),INT(I787),IFERROR(INT(DATEVALUE(I787)),IFERROR(INT(VALUE(I787)),"bad"))))</f>
        <v/>
      </c>
      <c r="O787">
        <f>IF(J787="","",IF(ISNUMBER(J787),ROUND(J787,2),IFERROR(ROUND(VALUE(SUBSTITUTE(SUBSTITUTE(SUBSTITUTE(J787,"$",""),",","")," ","")),2),"bad")))</f>
        <v/>
      </c>
      <c r="P787">
        <f>IF(TRIM(K787)="","",IFERROR(MATCH(LOWER(TRIM(K787)),'Students'!$AH$2:$AH$701,0),IFERROR(MATCH(LOWER(TRIM(K787)),'Students'!$AF$2:$AF$701,0),IFERROR(MATCH(LOWER(TRIM(K787)),'Students'!$AG$2:$AG$701,0),""))))</f>
        <v/>
      </c>
      <c r="R787">
        <f>IF(P787="","",INDEX('Students'!$AD$2:$AD$701,P787))</f>
        <v/>
      </c>
      <c r="S787">
        <f>IF(H787="OK",O787,0)</f>
        <v/>
      </c>
      <c r="T787">
        <f>IF(H787="OK",N787,"")</f>
        <v/>
      </c>
      <c r="U787">
        <f>IF(OC_Donor=0,"",IF(INDEX('OneCause_Paste'!$A$787:$AZ$787,1,OC_Donor)="","",INDEX('OneCause_Paste'!$A$787:$AZ$787,1,OC_Donor)))</f>
        <v/>
      </c>
    </row>
    <row r="788">
      <c r="A788" s="62">
        <f>IF(H788="","",IF(ISNUMBER(N788),N788,I788))</f>
        <v/>
      </c>
      <c r="B788">
        <f>IF(H788="","",U788)</f>
        <v/>
      </c>
      <c r="C788">
        <f>IF(H788="","",IF(P788="",K788,INDEX('Students'!$A$2:$A$701,P788)))</f>
        <v/>
      </c>
      <c r="D788">
        <f>IF(OR(H788="",P788=""),"",INDEX('Students'!$B$2:$B$701,P788))</f>
        <v/>
      </c>
      <c r="E788">
        <f>IF(OR(H788="",P788=""),"",INDEX('Students'!$C$2:$C$701,P788))</f>
        <v/>
      </c>
      <c r="F788" s="48">
        <f>IF(H788="","",IF(ISNUMBER(O788),O788,J788))</f>
        <v/>
      </c>
      <c r="G788">
        <f>IF(H788="","","OneCause")</f>
        <v/>
      </c>
      <c r="H788">
        <f>IF(AND(I788="",J788="",K788=""),"",IF(NOT(ISNUMBER(O788)),"Bad amount",IF(O788&lt;0,"Refund (not counted)",IF(O788=0,"Zero amount",IF(NOT(ISNUMBER(N788)),"Bad date",IF(P788="","NAME NOT ON ROSTER",IF(L788="","OK",IF(MATCH(L788,$L$2:$L$3001,0)&lt;ROW()-1,"Duplicate (ignored)","OK"))))))))</f>
        <v/>
      </c>
      <c r="I788">
        <f>IF(OC_Date=0,"",IF(INDEX('OneCause_Paste'!$A$788:$AZ$788,1,OC_Date)="","",INDEX('OneCause_Paste'!$A$788:$AZ$788,1,OC_Date)))</f>
        <v/>
      </c>
      <c r="J788">
        <f>IF(OC_Amt=0,"",IF(INDEX('OneCause_Paste'!$A$788:$AZ$788,1,OC_Amt)="","",INDEX('OneCause_Paste'!$A$788:$AZ$788,1,OC_Amt)))</f>
        <v/>
      </c>
      <c r="K788">
        <f>IF(OC_Name=0,"",IF(INDEX('OneCause_Paste'!$A$788:$AZ$788,1,OC_Name)="","",INDEX('OneCause_Paste'!$A$788:$AZ$788,1,OC_Name)))</f>
        <v/>
      </c>
      <c r="L788">
        <f>IF(OC_Txn=0,"",IF(INDEX('OneCause_Paste'!$A$788:$AZ$788,1,OC_Txn)="","",INDEX('OneCause_Paste'!$A$788:$AZ$788,1,OC_Txn)))</f>
        <v/>
      </c>
      <c r="M788">
        <f>IF(OC_Pay=0,"",IF(INDEX('OneCause_Paste'!$A$788:$AZ$788,1,OC_Pay)="","",INDEX('OneCause_Paste'!$A$788:$AZ$788,1,OC_Pay)))</f>
        <v/>
      </c>
      <c r="N788">
        <f>IF(I788="","",IF(ISNUMBER(I788),INT(I788),IFERROR(INT(DATEVALUE(I788)),IFERROR(INT(VALUE(I788)),"bad"))))</f>
        <v/>
      </c>
      <c r="O788">
        <f>IF(J788="","",IF(ISNUMBER(J788),ROUND(J788,2),IFERROR(ROUND(VALUE(SUBSTITUTE(SUBSTITUTE(SUBSTITUTE(J788,"$",""),",","")," ","")),2),"bad")))</f>
        <v/>
      </c>
      <c r="P788">
        <f>IF(TRIM(K788)="","",IFERROR(MATCH(LOWER(TRIM(K788)),'Students'!$AH$2:$AH$701,0),IFERROR(MATCH(LOWER(TRIM(K788)),'Students'!$AF$2:$AF$701,0),IFERROR(MATCH(LOWER(TRIM(K788)),'Students'!$AG$2:$AG$701,0),""))))</f>
        <v/>
      </c>
      <c r="R788">
        <f>IF(P788="","",INDEX('Students'!$AD$2:$AD$701,P788))</f>
        <v/>
      </c>
      <c r="S788">
        <f>IF(H788="OK",O788,0)</f>
        <v/>
      </c>
      <c r="T788">
        <f>IF(H788="OK",N788,"")</f>
        <v/>
      </c>
      <c r="U788">
        <f>IF(OC_Donor=0,"",IF(INDEX('OneCause_Paste'!$A$788:$AZ$788,1,OC_Donor)="","",INDEX('OneCause_Paste'!$A$788:$AZ$788,1,OC_Donor)))</f>
        <v/>
      </c>
    </row>
    <row r="789">
      <c r="A789" s="62">
        <f>IF(H789="","",IF(ISNUMBER(N789),N789,I789))</f>
        <v/>
      </c>
      <c r="B789">
        <f>IF(H789="","",U789)</f>
        <v/>
      </c>
      <c r="C789">
        <f>IF(H789="","",IF(P789="",K789,INDEX('Students'!$A$2:$A$701,P789)))</f>
        <v/>
      </c>
      <c r="D789">
        <f>IF(OR(H789="",P789=""),"",INDEX('Students'!$B$2:$B$701,P789))</f>
        <v/>
      </c>
      <c r="E789">
        <f>IF(OR(H789="",P789=""),"",INDEX('Students'!$C$2:$C$701,P789))</f>
        <v/>
      </c>
      <c r="F789" s="48">
        <f>IF(H789="","",IF(ISNUMBER(O789),O789,J789))</f>
        <v/>
      </c>
      <c r="G789">
        <f>IF(H789="","","OneCause")</f>
        <v/>
      </c>
      <c r="H789">
        <f>IF(AND(I789="",J789="",K789=""),"",IF(NOT(ISNUMBER(O789)),"Bad amount",IF(O789&lt;0,"Refund (not counted)",IF(O789=0,"Zero amount",IF(NOT(ISNUMBER(N789)),"Bad date",IF(P789="","NAME NOT ON ROSTER",IF(L789="","OK",IF(MATCH(L789,$L$2:$L$3001,0)&lt;ROW()-1,"Duplicate (ignored)","OK"))))))))</f>
        <v/>
      </c>
      <c r="I789">
        <f>IF(OC_Date=0,"",IF(INDEX('OneCause_Paste'!$A$789:$AZ$789,1,OC_Date)="","",INDEX('OneCause_Paste'!$A$789:$AZ$789,1,OC_Date)))</f>
        <v/>
      </c>
      <c r="J789">
        <f>IF(OC_Amt=0,"",IF(INDEX('OneCause_Paste'!$A$789:$AZ$789,1,OC_Amt)="","",INDEX('OneCause_Paste'!$A$789:$AZ$789,1,OC_Amt)))</f>
        <v/>
      </c>
      <c r="K789">
        <f>IF(OC_Name=0,"",IF(INDEX('OneCause_Paste'!$A$789:$AZ$789,1,OC_Name)="","",INDEX('OneCause_Paste'!$A$789:$AZ$789,1,OC_Name)))</f>
        <v/>
      </c>
      <c r="L789">
        <f>IF(OC_Txn=0,"",IF(INDEX('OneCause_Paste'!$A$789:$AZ$789,1,OC_Txn)="","",INDEX('OneCause_Paste'!$A$789:$AZ$789,1,OC_Txn)))</f>
        <v/>
      </c>
      <c r="M789">
        <f>IF(OC_Pay=0,"",IF(INDEX('OneCause_Paste'!$A$789:$AZ$789,1,OC_Pay)="","",INDEX('OneCause_Paste'!$A$789:$AZ$789,1,OC_Pay)))</f>
        <v/>
      </c>
      <c r="N789">
        <f>IF(I789="","",IF(ISNUMBER(I789),INT(I789),IFERROR(INT(DATEVALUE(I789)),IFERROR(INT(VALUE(I789)),"bad"))))</f>
        <v/>
      </c>
      <c r="O789">
        <f>IF(J789="","",IF(ISNUMBER(J789),ROUND(J789,2),IFERROR(ROUND(VALUE(SUBSTITUTE(SUBSTITUTE(SUBSTITUTE(J789,"$",""),",","")," ","")),2),"bad")))</f>
        <v/>
      </c>
      <c r="P789">
        <f>IF(TRIM(K789)="","",IFERROR(MATCH(LOWER(TRIM(K789)),'Students'!$AH$2:$AH$701,0),IFERROR(MATCH(LOWER(TRIM(K789)),'Students'!$AF$2:$AF$701,0),IFERROR(MATCH(LOWER(TRIM(K789)),'Students'!$AG$2:$AG$701,0),""))))</f>
        <v/>
      </c>
      <c r="R789">
        <f>IF(P789="","",INDEX('Students'!$AD$2:$AD$701,P789))</f>
        <v/>
      </c>
      <c r="S789">
        <f>IF(H789="OK",O789,0)</f>
        <v/>
      </c>
      <c r="T789">
        <f>IF(H789="OK",N789,"")</f>
        <v/>
      </c>
      <c r="U789">
        <f>IF(OC_Donor=0,"",IF(INDEX('OneCause_Paste'!$A$789:$AZ$789,1,OC_Donor)="","",INDEX('OneCause_Paste'!$A$789:$AZ$789,1,OC_Donor)))</f>
        <v/>
      </c>
    </row>
    <row r="790">
      <c r="A790" s="62">
        <f>IF(H790="","",IF(ISNUMBER(N790),N790,I790))</f>
        <v/>
      </c>
      <c r="B790">
        <f>IF(H790="","",U790)</f>
        <v/>
      </c>
      <c r="C790">
        <f>IF(H790="","",IF(P790="",K790,INDEX('Students'!$A$2:$A$701,P790)))</f>
        <v/>
      </c>
      <c r="D790">
        <f>IF(OR(H790="",P790=""),"",INDEX('Students'!$B$2:$B$701,P790))</f>
        <v/>
      </c>
      <c r="E790">
        <f>IF(OR(H790="",P790=""),"",INDEX('Students'!$C$2:$C$701,P790))</f>
        <v/>
      </c>
      <c r="F790" s="48">
        <f>IF(H790="","",IF(ISNUMBER(O790),O790,J790))</f>
        <v/>
      </c>
      <c r="G790">
        <f>IF(H790="","","OneCause")</f>
        <v/>
      </c>
      <c r="H790">
        <f>IF(AND(I790="",J790="",K790=""),"",IF(NOT(ISNUMBER(O790)),"Bad amount",IF(O790&lt;0,"Refund (not counted)",IF(O790=0,"Zero amount",IF(NOT(ISNUMBER(N790)),"Bad date",IF(P790="","NAME NOT ON ROSTER",IF(L790="","OK",IF(MATCH(L790,$L$2:$L$3001,0)&lt;ROW()-1,"Duplicate (ignored)","OK"))))))))</f>
        <v/>
      </c>
      <c r="I790">
        <f>IF(OC_Date=0,"",IF(INDEX('OneCause_Paste'!$A$790:$AZ$790,1,OC_Date)="","",INDEX('OneCause_Paste'!$A$790:$AZ$790,1,OC_Date)))</f>
        <v/>
      </c>
      <c r="J790">
        <f>IF(OC_Amt=0,"",IF(INDEX('OneCause_Paste'!$A$790:$AZ$790,1,OC_Amt)="","",INDEX('OneCause_Paste'!$A$790:$AZ$790,1,OC_Amt)))</f>
        <v/>
      </c>
      <c r="K790">
        <f>IF(OC_Name=0,"",IF(INDEX('OneCause_Paste'!$A$790:$AZ$790,1,OC_Name)="","",INDEX('OneCause_Paste'!$A$790:$AZ$790,1,OC_Name)))</f>
        <v/>
      </c>
      <c r="L790">
        <f>IF(OC_Txn=0,"",IF(INDEX('OneCause_Paste'!$A$790:$AZ$790,1,OC_Txn)="","",INDEX('OneCause_Paste'!$A$790:$AZ$790,1,OC_Txn)))</f>
        <v/>
      </c>
      <c r="M790">
        <f>IF(OC_Pay=0,"",IF(INDEX('OneCause_Paste'!$A$790:$AZ$790,1,OC_Pay)="","",INDEX('OneCause_Paste'!$A$790:$AZ$790,1,OC_Pay)))</f>
        <v/>
      </c>
      <c r="N790">
        <f>IF(I790="","",IF(ISNUMBER(I790),INT(I790),IFERROR(INT(DATEVALUE(I790)),IFERROR(INT(VALUE(I790)),"bad"))))</f>
        <v/>
      </c>
      <c r="O790">
        <f>IF(J790="","",IF(ISNUMBER(J790),ROUND(J790,2),IFERROR(ROUND(VALUE(SUBSTITUTE(SUBSTITUTE(SUBSTITUTE(J790,"$",""),",","")," ","")),2),"bad")))</f>
        <v/>
      </c>
      <c r="P790">
        <f>IF(TRIM(K790)="","",IFERROR(MATCH(LOWER(TRIM(K790)),'Students'!$AH$2:$AH$701,0),IFERROR(MATCH(LOWER(TRIM(K790)),'Students'!$AF$2:$AF$701,0),IFERROR(MATCH(LOWER(TRIM(K790)),'Students'!$AG$2:$AG$701,0),""))))</f>
        <v/>
      </c>
      <c r="R790">
        <f>IF(P790="","",INDEX('Students'!$AD$2:$AD$701,P790))</f>
        <v/>
      </c>
      <c r="S790">
        <f>IF(H790="OK",O790,0)</f>
        <v/>
      </c>
      <c r="T790">
        <f>IF(H790="OK",N790,"")</f>
        <v/>
      </c>
      <c r="U790">
        <f>IF(OC_Donor=0,"",IF(INDEX('OneCause_Paste'!$A$790:$AZ$790,1,OC_Donor)="","",INDEX('OneCause_Paste'!$A$790:$AZ$790,1,OC_Donor)))</f>
        <v/>
      </c>
    </row>
    <row r="791">
      <c r="A791" s="62">
        <f>IF(H791="","",IF(ISNUMBER(N791),N791,I791))</f>
        <v/>
      </c>
      <c r="B791">
        <f>IF(H791="","",U791)</f>
        <v/>
      </c>
      <c r="C791">
        <f>IF(H791="","",IF(P791="",K791,INDEX('Students'!$A$2:$A$701,P791)))</f>
        <v/>
      </c>
      <c r="D791">
        <f>IF(OR(H791="",P791=""),"",INDEX('Students'!$B$2:$B$701,P791))</f>
        <v/>
      </c>
      <c r="E791">
        <f>IF(OR(H791="",P791=""),"",INDEX('Students'!$C$2:$C$701,P791))</f>
        <v/>
      </c>
      <c r="F791" s="48">
        <f>IF(H791="","",IF(ISNUMBER(O791),O791,J791))</f>
        <v/>
      </c>
      <c r="G791">
        <f>IF(H791="","","OneCause")</f>
        <v/>
      </c>
      <c r="H791">
        <f>IF(AND(I791="",J791="",K791=""),"",IF(NOT(ISNUMBER(O791)),"Bad amount",IF(O791&lt;0,"Refund (not counted)",IF(O791=0,"Zero amount",IF(NOT(ISNUMBER(N791)),"Bad date",IF(P791="","NAME NOT ON ROSTER",IF(L791="","OK",IF(MATCH(L791,$L$2:$L$3001,0)&lt;ROW()-1,"Duplicate (ignored)","OK"))))))))</f>
        <v/>
      </c>
      <c r="I791">
        <f>IF(OC_Date=0,"",IF(INDEX('OneCause_Paste'!$A$791:$AZ$791,1,OC_Date)="","",INDEX('OneCause_Paste'!$A$791:$AZ$791,1,OC_Date)))</f>
        <v/>
      </c>
      <c r="J791">
        <f>IF(OC_Amt=0,"",IF(INDEX('OneCause_Paste'!$A$791:$AZ$791,1,OC_Amt)="","",INDEX('OneCause_Paste'!$A$791:$AZ$791,1,OC_Amt)))</f>
        <v/>
      </c>
      <c r="K791">
        <f>IF(OC_Name=0,"",IF(INDEX('OneCause_Paste'!$A$791:$AZ$791,1,OC_Name)="","",INDEX('OneCause_Paste'!$A$791:$AZ$791,1,OC_Name)))</f>
        <v/>
      </c>
      <c r="L791">
        <f>IF(OC_Txn=0,"",IF(INDEX('OneCause_Paste'!$A$791:$AZ$791,1,OC_Txn)="","",INDEX('OneCause_Paste'!$A$791:$AZ$791,1,OC_Txn)))</f>
        <v/>
      </c>
      <c r="M791">
        <f>IF(OC_Pay=0,"",IF(INDEX('OneCause_Paste'!$A$791:$AZ$791,1,OC_Pay)="","",INDEX('OneCause_Paste'!$A$791:$AZ$791,1,OC_Pay)))</f>
        <v/>
      </c>
      <c r="N791">
        <f>IF(I791="","",IF(ISNUMBER(I791),INT(I791),IFERROR(INT(DATEVALUE(I791)),IFERROR(INT(VALUE(I791)),"bad"))))</f>
        <v/>
      </c>
      <c r="O791">
        <f>IF(J791="","",IF(ISNUMBER(J791),ROUND(J791,2),IFERROR(ROUND(VALUE(SUBSTITUTE(SUBSTITUTE(SUBSTITUTE(J791,"$",""),",","")," ","")),2),"bad")))</f>
        <v/>
      </c>
      <c r="P791">
        <f>IF(TRIM(K791)="","",IFERROR(MATCH(LOWER(TRIM(K791)),'Students'!$AH$2:$AH$701,0),IFERROR(MATCH(LOWER(TRIM(K791)),'Students'!$AF$2:$AF$701,0),IFERROR(MATCH(LOWER(TRIM(K791)),'Students'!$AG$2:$AG$701,0),""))))</f>
        <v/>
      </c>
      <c r="R791">
        <f>IF(P791="","",INDEX('Students'!$AD$2:$AD$701,P791))</f>
        <v/>
      </c>
      <c r="S791">
        <f>IF(H791="OK",O791,0)</f>
        <v/>
      </c>
      <c r="T791">
        <f>IF(H791="OK",N791,"")</f>
        <v/>
      </c>
      <c r="U791">
        <f>IF(OC_Donor=0,"",IF(INDEX('OneCause_Paste'!$A$791:$AZ$791,1,OC_Donor)="","",INDEX('OneCause_Paste'!$A$791:$AZ$791,1,OC_Donor)))</f>
        <v/>
      </c>
    </row>
    <row r="792">
      <c r="A792" s="62">
        <f>IF(H792="","",IF(ISNUMBER(N792),N792,I792))</f>
        <v/>
      </c>
      <c r="B792">
        <f>IF(H792="","",U792)</f>
        <v/>
      </c>
      <c r="C792">
        <f>IF(H792="","",IF(P792="",K792,INDEX('Students'!$A$2:$A$701,P792)))</f>
        <v/>
      </c>
      <c r="D792">
        <f>IF(OR(H792="",P792=""),"",INDEX('Students'!$B$2:$B$701,P792))</f>
        <v/>
      </c>
      <c r="E792">
        <f>IF(OR(H792="",P792=""),"",INDEX('Students'!$C$2:$C$701,P792))</f>
        <v/>
      </c>
      <c r="F792" s="48">
        <f>IF(H792="","",IF(ISNUMBER(O792),O792,J792))</f>
        <v/>
      </c>
      <c r="G792">
        <f>IF(H792="","","OneCause")</f>
        <v/>
      </c>
      <c r="H792">
        <f>IF(AND(I792="",J792="",K792=""),"",IF(NOT(ISNUMBER(O792)),"Bad amount",IF(O792&lt;0,"Refund (not counted)",IF(O792=0,"Zero amount",IF(NOT(ISNUMBER(N792)),"Bad date",IF(P792="","NAME NOT ON ROSTER",IF(L792="","OK",IF(MATCH(L792,$L$2:$L$3001,0)&lt;ROW()-1,"Duplicate (ignored)","OK"))))))))</f>
        <v/>
      </c>
      <c r="I792">
        <f>IF(OC_Date=0,"",IF(INDEX('OneCause_Paste'!$A$792:$AZ$792,1,OC_Date)="","",INDEX('OneCause_Paste'!$A$792:$AZ$792,1,OC_Date)))</f>
        <v/>
      </c>
      <c r="J792">
        <f>IF(OC_Amt=0,"",IF(INDEX('OneCause_Paste'!$A$792:$AZ$792,1,OC_Amt)="","",INDEX('OneCause_Paste'!$A$792:$AZ$792,1,OC_Amt)))</f>
        <v/>
      </c>
      <c r="K792">
        <f>IF(OC_Name=0,"",IF(INDEX('OneCause_Paste'!$A$792:$AZ$792,1,OC_Name)="","",INDEX('OneCause_Paste'!$A$792:$AZ$792,1,OC_Name)))</f>
        <v/>
      </c>
      <c r="L792">
        <f>IF(OC_Txn=0,"",IF(INDEX('OneCause_Paste'!$A$792:$AZ$792,1,OC_Txn)="","",INDEX('OneCause_Paste'!$A$792:$AZ$792,1,OC_Txn)))</f>
        <v/>
      </c>
      <c r="M792">
        <f>IF(OC_Pay=0,"",IF(INDEX('OneCause_Paste'!$A$792:$AZ$792,1,OC_Pay)="","",INDEX('OneCause_Paste'!$A$792:$AZ$792,1,OC_Pay)))</f>
        <v/>
      </c>
      <c r="N792">
        <f>IF(I792="","",IF(ISNUMBER(I792),INT(I792),IFERROR(INT(DATEVALUE(I792)),IFERROR(INT(VALUE(I792)),"bad"))))</f>
        <v/>
      </c>
      <c r="O792">
        <f>IF(J792="","",IF(ISNUMBER(J792),ROUND(J792,2),IFERROR(ROUND(VALUE(SUBSTITUTE(SUBSTITUTE(SUBSTITUTE(J792,"$",""),",","")," ","")),2),"bad")))</f>
        <v/>
      </c>
      <c r="P792">
        <f>IF(TRIM(K792)="","",IFERROR(MATCH(LOWER(TRIM(K792)),'Students'!$AH$2:$AH$701,0),IFERROR(MATCH(LOWER(TRIM(K792)),'Students'!$AF$2:$AF$701,0),IFERROR(MATCH(LOWER(TRIM(K792)),'Students'!$AG$2:$AG$701,0),""))))</f>
        <v/>
      </c>
      <c r="R792">
        <f>IF(P792="","",INDEX('Students'!$AD$2:$AD$701,P792))</f>
        <v/>
      </c>
      <c r="S792">
        <f>IF(H792="OK",O792,0)</f>
        <v/>
      </c>
      <c r="T792">
        <f>IF(H792="OK",N792,"")</f>
        <v/>
      </c>
      <c r="U792">
        <f>IF(OC_Donor=0,"",IF(INDEX('OneCause_Paste'!$A$792:$AZ$792,1,OC_Donor)="","",INDEX('OneCause_Paste'!$A$792:$AZ$792,1,OC_Donor)))</f>
        <v/>
      </c>
    </row>
    <row r="793">
      <c r="A793" s="62">
        <f>IF(H793="","",IF(ISNUMBER(N793),N793,I793))</f>
        <v/>
      </c>
      <c r="B793">
        <f>IF(H793="","",U793)</f>
        <v/>
      </c>
      <c r="C793">
        <f>IF(H793="","",IF(P793="",K793,INDEX('Students'!$A$2:$A$701,P793)))</f>
        <v/>
      </c>
      <c r="D793">
        <f>IF(OR(H793="",P793=""),"",INDEX('Students'!$B$2:$B$701,P793))</f>
        <v/>
      </c>
      <c r="E793">
        <f>IF(OR(H793="",P793=""),"",INDEX('Students'!$C$2:$C$701,P793))</f>
        <v/>
      </c>
      <c r="F793" s="48">
        <f>IF(H793="","",IF(ISNUMBER(O793),O793,J793))</f>
        <v/>
      </c>
      <c r="G793">
        <f>IF(H793="","","OneCause")</f>
        <v/>
      </c>
      <c r="H793">
        <f>IF(AND(I793="",J793="",K793=""),"",IF(NOT(ISNUMBER(O793)),"Bad amount",IF(O793&lt;0,"Refund (not counted)",IF(O793=0,"Zero amount",IF(NOT(ISNUMBER(N793)),"Bad date",IF(P793="","NAME NOT ON ROSTER",IF(L793="","OK",IF(MATCH(L793,$L$2:$L$3001,0)&lt;ROW()-1,"Duplicate (ignored)","OK"))))))))</f>
        <v/>
      </c>
      <c r="I793">
        <f>IF(OC_Date=0,"",IF(INDEX('OneCause_Paste'!$A$793:$AZ$793,1,OC_Date)="","",INDEX('OneCause_Paste'!$A$793:$AZ$793,1,OC_Date)))</f>
        <v/>
      </c>
      <c r="J793">
        <f>IF(OC_Amt=0,"",IF(INDEX('OneCause_Paste'!$A$793:$AZ$793,1,OC_Amt)="","",INDEX('OneCause_Paste'!$A$793:$AZ$793,1,OC_Amt)))</f>
        <v/>
      </c>
      <c r="K793">
        <f>IF(OC_Name=0,"",IF(INDEX('OneCause_Paste'!$A$793:$AZ$793,1,OC_Name)="","",INDEX('OneCause_Paste'!$A$793:$AZ$793,1,OC_Name)))</f>
        <v/>
      </c>
      <c r="L793">
        <f>IF(OC_Txn=0,"",IF(INDEX('OneCause_Paste'!$A$793:$AZ$793,1,OC_Txn)="","",INDEX('OneCause_Paste'!$A$793:$AZ$793,1,OC_Txn)))</f>
        <v/>
      </c>
      <c r="M793">
        <f>IF(OC_Pay=0,"",IF(INDEX('OneCause_Paste'!$A$793:$AZ$793,1,OC_Pay)="","",INDEX('OneCause_Paste'!$A$793:$AZ$793,1,OC_Pay)))</f>
        <v/>
      </c>
      <c r="N793">
        <f>IF(I793="","",IF(ISNUMBER(I793),INT(I793),IFERROR(INT(DATEVALUE(I793)),IFERROR(INT(VALUE(I793)),"bad"))))</f>
        <v/>
      </c>
      <c r="O793">
        <f>IF(J793="","",IF(ISNUMBER(J793),ROUND(J793,2),IFERROR(ROUND(VALUE(SUBSTITUTE(SUBSTITUTE(SUBSTITUTE(J793,"$",""),",","")," ","")),2),"bad")))</f>
        <v/>
      </c>
      <c r="P793">
        <f>IF(TRIM(K793)="","",IFERROR(MATCH(LOWER(TRIM(K793)),'Students'!$AH$2:$AH$701,0),IFERROR(MATCH(LOWER(TRIM(K793)),'Students'!$AF$2:$AF$701,0),IFERROR(MATCH(LOWER(TRIM(K793)),'Students'!$AG$2:$AG$701,0),""))))</f>
        <v/>
      </c>
      <c r="R793">
        <f>IF(P793="","",INDEX('Students'!$AD$2:$AD$701,P793))</f>
        <v/>
      </c>
      <c r="S793">
        <f>IF(H793="OK",O793,0)</f>
        <v/>
      </c>
      <c r="T793">
        <f>IF(H793="OK",N793,"")</f>
        <v/>
      </c>
      <c r="U793">
        <f>IF(OC_Donor=0,"",IF(INDEX('OneCause_Paste'!$A$793:$AZ$793,1,OC_Donor)="","",INDEX('OneCause_Paste'!$A$793:$AZ$793,1,OC_Donor)))</f>
        <v/>
      </c>
    </row>
    <row r="794">
      <c r="A794" s="62">
        <f>IF(H794="","",IF(ISNUMBER(N794),N794,I794))</f>
        <v/>
      </c>
      <c r="B794">
        <f>IF(H794="","",U794)</f>
        <v/>
      </c>
      <c r="C794">
        <f>IF(H794="","",IF(P794="",K794,INDEX('Students'!$A$2:$A$701,P794)))</f>
        <v/>
      </c>
      <c r="D794">
        <f>IF(OR(H794="",P794=""),"",INDEX('Students'!$B$2:$B$701,P794))</f>
        <v/>
      </c>
      <c r="E794">
        <f>IF(OR(H794="",P794=""),"",INDEX('Students'!$C$2:$C$701,P794))</f>
        <v/>
      </c>
      <c r="F794" s="48">
        <f>IF(H794="","",IF(ISNUMBER(O794),O794,J794))</f>
        <v/>
      </c>
      <c r="G794">
        <f>IF(H794="","","OneCause")</f>
        <v/>
      </c>
      <c r="H794">
        <f>IF(AND(I794="",J794="",K794=""),"",IF(NOT(ISNUMBER(O794)),"Bad amount",IF(O794&lt;0,"Refund (not counted)",IF(O794=0,"Zero amount",IF(NOT(ISNUMBER(N794)),"Bad date",IF(P794="","NAME NOT ON ROSTER",IF(L794="","OK",IF(MATCH(L794,$L$2:$L$3001,0)&lt;ROW()-1,"Duplicate (ignored)","OK"))))))))</f>
        <v/>
      </c>
      <c r="I794">
        <f>IF(OC_Date=0,"",IF(INDEX('OneCause_Paste'!$A$794:$AZ$794,1,OC_Date)="","",INDEX('OneCause_Paste'!$A$794:$AZ$794,1,OC_Date)))</f>
        <v/>
      </c>
      <c r="J794">
        <f>IF(OC_Amt=0,"",IF(INDEX('OneCause_Paste'!$A$794:$AZ$794,1,OC_Amt)="","",INDEX('OneCause_Paste'!$A$794:$AZ$794,1,OC_Amt)))</f>
        <v/>
      </c>
      <c r="K794">
        <f>IF(OC_Name=0,"",IF(INDEX('OneCause_Paste'!$A$794:$AZ$794,1,OC_Name)="","",INDEX('OneCause_Paste'!$A$794:$AZ$794,1,OC_Name)))</f>
        <v/>
      </c>
      <c r="L794">
        <f>IF(OC_Txn=0,"",IF(INDEX('OneCause_Paste'!$A$794:$AZ$794,1,OC_Txn)="","",INDEX('OneCause_Paste'!$A$794:$AZ$794,1,OC_Txn)))</f>
        <v/>
      </c>
      <c r="M794">
        <f>IF(OC_Pay=0,"",IF(INDEX('OneCause_Paste'!$A$794:$AZ$794,1,OC_Pay)="","",INDEX('OneCause_Paste'!$A$794:$AZ$794,1,OC_Pay)))</f>
        <v/>
      </c>
      <c r="N794">
        <f>IF(I794="","",IF(ISNUMBER(I794),INT(I794),IFERROR(INT(DATEVALUE(I794)),IFERROR(INT(VALUE(I794)),"bad"))))</f>
        <v/>
      </c>
      <c r="O794">
        <f>IF(J794="","",IF(ISNUMBER(J794),ROUND(J794,2),IFERROR(ROUND(VALUE(SUBSTITUTE(SUBSTITUTE(SUBSTITUTE(J794,"$",""),",","")," ","")),2),"bad")))</f>
        <v/>
      </c>
      <c r="P794">
        <f>IF(TRIM(K794)="","",IFERROR(MATCH(LOWER(TRIM(K794)),'Students'!$AH$2:$AH$701,0),IFERROR(MATCH(LOWER(TRIM(K794)),'Students'!$AF$2:$AF$701,0),IFERROR(MATCH(LOWER(TRIM(K794)),'Students'!$AG$2:$AG$701,0),""))))</f>
        <v/>
      </c>
      <c r="R794">
        <f>IF(P794="","",INDEX('Students'!$AD$2:$AD$701,P794))</f>
        <v/>
      </c>
      <c r="S794">
        <f>IF(H794="OK",O794,0)</f>
        <v/>
      </c>
      <c r="T794">
        <f>IF(H794="OK",N794,"")</f>
        <v/>
      </c>
      <c r="U794">
        <f>IF(OC_Donor=0,"",IF(INDEX('OneCause_Paste'!$A$794:$AZ$794,1,OC_Donor)="","",INDEX('OneCause_Paste'!$A$794:$AZ$794,1,OC_Donor)))</f>
        <v/>
      </c>
    </row>
    <row r="795">
      <c r="A795" s="62">
        <f>IF(H795="","",IF(ISNUMBER(N795),N795,I795))</f>
        <v/>
      </c>
      <c r="B795">
        <f>IF(H795="","",U795)</f>
        <v/>
      </c>
      <c r="C795">
        <f>IF(H795="","",IF(P795="",K795,INDEX('Students'!$A$2:$A$701,P795)))</f>
        <v/>
      </c>
      <c r="D795">
        <f>IF(OR(H795="",P795=""),"",INDEX('Students'!$B$2:$B$701,P795))</f>
        <v/>
      </c>
      <c r="E795">
        <f>IF(OR(H795="",P795=""),"",INDEX('Students'!$C$2:$C$701,P795))</f>
        <v/>
      </c>
      <c r="F795" s="48">
        <f>IF(H795="","",IF(ISNUMBER(O795),O795,J795))</f>
        <v/>
      </c>
      <c r="G795">
        <f>IF(H795="","","OneCause")</f>
        <v/>
      </c>
      <c r="H795">
        <f>IF(AND(I795="",J795="",K795=""),"",IF(NOT(ISNUMBER(O795)),"Bad amount",IF(O795&lt;0,"Refund (not counted)",IF(O795=0,"Zero amount",IF(NOT(ISNUMBER(N795)),"Bad date",IF(P795="","NAME NOT ON ROSTER",IF(L795="","OK",IF(MATCH(L795,$L$2:$L$3001,0)&lt;ROW()-1,"Duplicate (ignored)","OK"))))))))</f>
        <v/>
      </c>
      <c r="I795">
        <f>IF(OC_Date=0,"",IF(INDEX('OneCause_Paste'!$A$795:$AZ$795,1,OC_Date)="","",INDEX('OneCause_Paste'!$A$795:$AZ$795,1,OC_Date)))</f>
        <v/>
      </c>
      <c r="J795">
        <f>IF(OC_Amt=0,"",IF(INDEX('OneCause_Paste'!$A$795:$AZ$795,1,OC_Amt)="","",INDEX('OneCause_Paste'!$A$795:$AZ$795,1,OC_Amt)))</f>
        <v/>
      </c>
      <c r="K795">
        <f>IF(OC_Name=0,"",IF(INDEX('OneCause_Paste'!$A$795:$AZ$795,1,OC_Name)="","",INDEX('OneCause_Paste'!$A$795:$AZ$795,1,OC_Name)))</f>
        <v/>
      </c>
      <c r="L795">
        <f>IF(OC_Txn=0,"",IF(INDEX('OneCause_Paste'!$A$795:$AZ$795,1,OC_Txn)="","",INDEX('OneCause_Paste'!$A$795:$AZ$795,1,OC_Txn)))</f>
        <v/>
      </c>
      <c r="M795">
        <f>IF(OC_Pay=0,"",IF(INDEX('OneCause_Paste'!$A$795:$AZ$795,1,OC_Pay)="","",INDEX('OneCause_Paste'!$A$795:$AZ$795,1,OC_Pay)))</f>
        <v/>
      </c>
      <c r="N795">
        <f>IF(I795="","",IF(ISNUMBER(I795),INT(I795),IFERROR(INT(DATEVALUE(I795)),IFERROR(INT(VALUE(I795)),"bad"))))</f>
        <v/>
      </c>
      <c r="O795">
        <f>IF(J795="","",IF(ISNUMBER(J795),ROUND(J795,2),IFERROR(ROUND(VALUE(SUBSTITUTE(SUBSTITUTE(SUBSTITUTE(J795,"$",""),",","")," ","")),2),"bad")))</f>
        <v/>
      </c>
      <c r="P795">
        <f>IF(TRIM(K795)="","",IFERROR(MATCH(LOWER(TRIM(K795)),'Students'!$AH$2:$AH$701,0),IFERROR(MATCH(LOWER(TRIM(K795)),'Students'!$AF$2:$AF$701,0),IFERROR(MATCH(LOWER(TRIM(K795)),'Students'!$AG$2:$AG$701,0),""))))</f>
        <v/>
      </c>
      <c r="R795">
        <f>IF(P795="","",INDEX('Students'!$AD$2:$AD$701,P795))</f>
        <v/>
      </c>
      <c r="S795">
        <f>IF(H795="OK",O795,0)</f>
        <v/>
      </c>
      <c r="T795">
        <f>IF(H795="OK",N795,"")</f>
        <v/>
      </c>
      <c r="U795">
        <f>IF(OC_Donor=0,"",IF(INDEX('OneCause_Paste'!$A$795:$AZ$795,1,OC_Donor)="","",INDEX('OneCause_Paste'!$A$795:$AZ$795,1,OC_Donor)))</f>
        <v/>
      </c>
    </row>
    <row r="796">
      <c r="A796" s="62">
        <f>IF(H796="","",IF(ISNUMBER(N796),N796,I796))</f>
        <v/>
      </c>
      <c r="B796">
        <f>IF(H796="","",U796)</f>
        <v/>
      </c>
      <c r="C796">
        <f>IF(H796="","",IF(P796="",K796,INDEX('Students'!$A$2:$A$701,P796)))</f>
        <v/>
      </c>
      <c r="D796">
        <f>IF(OR(H796="",P796=""),"",INDEX('Students'!$B$2:$B$701,P796))</f>
        <v/>
      </c>
      <c r="E796">
        <f>IF(OR(H796="",P796=""),"",INDEX('Students'!$C$2:$C$701,P796))</f>
        <v/>
      </c>
      <c r="F796" s="48">
        <f>IF(H796="","",IF(ISNUMBER(O796),O796,J796))</f>
        <v/>
      </c>
      <c r="G796">
        <f>IF(H796="","","OneCause")</f>
        <v/>
      </c>
      <c r="H796">
        <f>IF(AND(I796="",J796="",K796=""),"",IF(NOT(ISNUMBER(O796)),"Bad amount",IF(O796&lt;0,"Refund (not counted)",IF(O796=0,"Zero amount",IF(NOT(ISNUMBER(N796)),"Bad date",IF(P796="","NAME NOT ON ROSTER",IF(L796="","OK",IF(MATCH(L796,$L$2:$L$3001,0)&lt;ROW()-1,"Duplicate (ignored)","OK"))))))))</f>
        <v/>
      </c>
      <c r="I796">
        <f>IF(OC_Date=0,"",IF(INDEX('OneCause_Paste'!$A$796:$AZ$796,1,OC_Date)="","",INDEX('OneCause_Paste'!$A$796:$AZ$796,1,OC_Date)))</f>
        <v/>
      </c>
      <c r="J796">
        <f>IF(OC_Amt=0,"",IF(INDEX('OneCause_Paste'!$A$796:$AZ$796,1,OC_Amt)="","",INDEX('OneCause_Paste'!$A$796:$AZ$796,1,OC_Amt)))</f>
        <v/>
      </c>
      <c r="K796">
        <f>IF(OC_Name=0,"",IF(INDEX('OneCause_Paste'!$A$796:$AZ$796,1,OC_Name)="","",INDEX('OneCause_Paste'!$A$796:$AZ$796,1,OC_Name)))</f>
        <v/>
      </c>
      <c r="L796">
        <f>IF(OC_Txn=0,"",IF(INDEX('OneCause_Paste'!$A$796:$AZ$796,1,OC_Txn)="","",INDEX('OneCause_Paste'!$A$796:$AZ$796,1,OC_Txn)))</f>
        <v/>
      </c>
      <c r="M796">
        <f>IF(OC_Pay=0,"",IF(INDEX('OneCause_Paste'!$A$796:$AZ$796,1,OC_Pay)="","",INDEX('OneCause_Paste'!$A$796:$AZ$796,1,OC_Pay)))</f>
        <v/>
      </c>
      <c r="N796">
        <f>IF(I796="","",IF(ISNUMBER(I796),INT(I796),IFERROR(INT(DATEVALUE(I796)),IFERROR(INT(VALUE(I796)),"bad"))))</f>
        <v/>
      </c>
      <c r="O796">
        <f>IF(J796="","",IF(ISNUMBER(J796),ROUND(J796,2),IFERROR(ROUND(VALUE(SUBSTITUTE(SUBSTITUTE(SUBSTITUTE(J796,"$",""),",","")," ","")),2),"bad")))</f>
        <v/>
      </c>
      <c r="P796">
        <f>IF(TRIM(K796)="","",IFERROR(MATCH(LOWER(TRIM(K796)),'Students'!$AH$2:$AH$701,0),IFERROR(MATCH(LOWER(TRIM(K796)),'Students'!$AF$2:$AF$701,0),IFERROR(MATCH(LOWER(TRIM(K796)),'Students'!$AG$2:$AG$701,0),""))))</f>
        <v/>
      </c>
      <c r="R796">
        <f>IF(P796="","",INDEX('Students'!$AD$2:$AD$701,P796))</f>
        <v/>
      </c>
      <c r="S796">
        <f>IF(H796="OK",O796,0)</f>
        <v/>
      </c>
      <c r="T796">
        <f>IF(H796="OK",N796,"")</f>
        <v/>
      </c>
      <c r="U796">
        <f>IF(OC_Donor=0,"",IF(INDEX('OneCause_Paste'!$A$796:$AZ$796,1,OC_Donor)="","",INDEX('OneCause_Paste'!$A$796:$AZ$796,1,OC_Donor)))</f>
        <v/>
      </c>
    </row>
    <row r="797">
      <c r="A797" s="62">
        <f>IF(H797="","",IF(ISNUMBER(N797),N797,I797))</f>
        <v/>
      </c>
      <c r="B797">
        <f>IF(H797="","",U797)</f>
        <v/>
      </c>
      <c r="C797">
        <f>IF(H797="","",IF(P797="",K797,INDEX('Students'!$A$2:$A$701,P797)))</f>
        <v/>
      </c>
      <c r="D797">
        <f>IF(OR(H797="",P797=""),"",INDEX('Students'!$B$2:$B$701,P797))</f>
        <v/>
      </c>
      <c r="E797">
        <f>IF(OR(H797="",P797=""),"",INDEX('Students'!$C$2:$C$701,P797))</f>
        <v/>
      </c>
      <c r="F797" s="48">
        <f>IF(H797="","",IF(ISNUMBER(O797),O797,J797))</f>
        <v/>
      </c>
      <c r="G797">
        <f>IF(H797="","","OneCause")</f>
        <v/>
      </c>
      <c r="H797">
        <f>IF(AND(I797="",J797="",K797=""),"",IF(NOT(ISNUMBER(O797)),"Bad amount",IF(O797&lt;0,"Refund (not counted)",IF(O797=0,"Zero amount",IF(NOT(ISNUMBER(N797)),"Bad date",IF(P797="","NAME NOT ON ROSTER",IF(L797="","OK",IF(MATCH(L797,$L$2:$L$3001,0)&lt;ROW()-1,"Duplicate (ignored)","OK"))))))))</f>
        <v/>
      </c>
      <c r="I797">
        <f>IF(OC_Date=0,"",IF(INDEX('OneCause_Paste'!$A$797:$AZ$797,1,OC_Date)="","",INDEX('OneCause_Paste'!$A$797:$AZ$797,1,OC_Date)))</f>
        <v/>
      </c>
      <c r="J797">
        <f>IF(OC_Amt=0,"",IF(INDEX('OneCause_Paste'!$A$797:$AZ$797,1,OC_Amt)="","",INDEX('OneCause_Paste'!$A$797:$AZ$797,1,OC_Amt)))</f>
        <v/>
      </c>
      <c r="K797">
        <f>IF(OC_Name=0,"",IF(INDEX('OneCause_Paste'!$A$797:$AZ$797,1,OC_Name)="","",INDEX('OneCause_Paste'!$A$797:$AZ$797,1,OC_Name)))</f>
        <v/>
      </c>
      <c r="L797">
        <f>IF(OC_Txn=0,"",IF(INDEX('OneCause_Paste'!$A$797:$AZ$797,1,OC_Txn)="","",INDEX('OneCause_Paste'!$A$797:$AZ$797,1,OC_Txn)))</f>
        <v/>
      </c>
      <c r="M797">
        <f>IF(OC_Pay=0,"",IF(INDEX('OneCause_Paste'!$A$797:$AZ$797,1,OC_Pay)="","",INDEX('OneCause_Paste'!$A$797:$AZ$797,1,OC_Pay)))</f>
        <v/>
      </c>
      <c r="N797">
        <f>IF(I797="","",IF(ISNUMBER(I797),INT(I797),IFERROR(INT(DATEVALUE(I797)),IFERROR(INT(VALUE(I797)),"bad"))))</f>
        <v/>
      </c>
      <c r="O797">
        <f>IF(J797="","",IF(ISNUMBER(J797),ROUND(J797,2),IFERROR(ROUND(VALUE(SUBSTITUTE(SUBSTITUTE(SUBSTITUTE(J797,"$",""),",","")," ","")),2),"bad")))</f>
        <v/>
      </c>
      <c r="P797">
        <f>IF(TRIM(K797)="","",IFERROR(MATCH(LOWER(TRIM(K797)),'Students'!$AH$2:$AH$701,0),IFERROR(MATCH(LOWER(TRIM(K797)),'Students'!$AF$2:$AF$701,0),IFERROR(MATCH(LOWER(TRIM(K797)),'Students'!$AG$2:$AG$701,0),""))))</f>
        <v/>
      </c>
      <c r="R797">
        <f>IF(P797="","",INDEX('Students'!$AD$2:$AD$701,P797))</f>
        <v/>
      </c>
      <c r="S797">
        <f>IF(H797="OK",O797,0)</f>
        <v/>
      </c>
      <c r="T797">
        <f>IF(H797="OK",N797,"")</f>
        <v/>
      </c>
      <c r="U797">
        <f>IF(OC_Donor=0,"",IF(INDEX('OneCause_Paste'!$A$797:$AZ$797,1,OC_Donor)="","",INDEX('OneCause_Paste'!$A$797:$AZ$797,1,OC_Donor)))</f>
        <v/>
      </c>
    </row>
    <row r="798">
      <c r="A798" s="62">
        <f>IF(H798="","",IF(ISNUMBER(N798),N798,I798))</f>
        <v/>
      </c>
      <c r="B798">
        <f>IF(H798="","",U798)</f>
        <v/>
      </c>
      <c r="C798">
        <f>IF(H798="","",IF(P798="",K798,INDEX('Students'!$A$2:$A$701,P798)))</f>
        <v/>
      </c>
      <c r="D798">
        <f>IF(OR(H798="",P798=""),"",INDEX('Students'!$B$2:$B$701,P798))</f>
        <v/>
      </c>
      <c r="E798">
        <f>IF(OR(H798="",P798=""),"",INDEX('Students'!$C$2:$C$701,P798))</f>
        <v/>
      </c>
      <c r="F798" s="48">
        <f>IF(H798="","",IF(ISNUMBER(O798),O798,J798))</f>
        <v/>
      </c>
      <c r="G798">
        <f>IF(H798="","","OneCause")</f>
        <v/>
      </c>
      <c r="H798">
        <f>IF(AND(I798="",J798="",K798=""),"",IF(NOT(ISNUMBER(O798)),"Bad amount",IF(O798&lt;0,"Refund (not counted)",IF(O798=0,"Zero amount",IF(NOT(ISNUMBER(N798)),"Bad date",IF(P798="","NAME NOT ON ROSTER",IF(L798="","OK",IF(MATCH(L798,$L$2:$L$3001,0)&lt;ROW()-1,"Duplicate (ignored)","OK"))))))))</f>
        <v/>
      </c>
      <c r="I798">
        <f>IF(OC_Date=0,"",IF(INDEX('OneCause_Paste'!$A$798:$AZ$798,1,OC_Date)="","",INDEX('OneCause_Paste'!$A$798:$AZ$798,1,OC_Date)))</f>
        <v/>
      </c>
      <c r="J798">
        <f>IF(OC_Amt=0,"",IF(INDEX('OneCause_Paste'!$A$798:$AZ$798,1,OC_Amt)="","",INDEX('OneCause_Paste'!$A$798:$AZ$798,1,OC_Amt)))</f>
        <v/>
      </c>
      <c r="K798">
        <f>IF(OC_Name=0,"",IF(INDEX('OneCause_Paste'!$A$798:$AZ$798,1,OC_Name)="","",INDEX('OneCause_Paste'!$A$798:$AZ$798,1,OC_Name)))</f>
        <v/>
      </c>
      <c r="L798">
        <f>IF(OC_Txn=0,"",IF(INDEX('OneCause_Paste'!$A$798:$AZ$798,1,OC_Txn)="","",INDEX('OneCause_Paste'!$A$798:$AZ$798,1,OC_Txn)))</f>
        <v/>
      </c>
      <c r="M798">
        <f>IF(OC_Pay=0,"",IF(INDEX('OneCause_Paste'!$A$798:$AZ$798,1,OC_Pay)="","",INDEX('OneCause_Paste'!$A$798:$AZ$798,1,OC_Pay)))</f>
        <v/>
      </c>
      <c r="N798">
        <f>IF(I798="","",IF(ISNUMBER(I798),INT(I798),IFERROR(INT(DATEVALUE(I798)),IFERROR(INT(VALUE(I798)),"bad"))))</f>
        <v/>
      </c>
      <c r="O798">
        <f>IF(J798="","",IF(ISNUMBER(J798),ROUND(J798,2),IFERROR(ROUND(VALUE(SUBSTITUTE(SUBSTITUTE(SUBSTITUTE(J798,"$",""),",","")," ","")),2),"bad")))</f>
        <v/>
      </c>
      <c r="P798">
        <f>IF(TRIM(K798)="","",IFERROR(MATCH(LOWER(TRIM(K798)),'Students'!$AH$2:$AH$701,0),IFERROR(MATCH(LOWER(TRIM(K798)),'Students'!$AF$2:$AF$701,0),IFERROR(MATCH(LOWER(TRIM(K798)),'Students'!$AG$2:$AG$701,0),""))))</f>
        <v/>
      </c>
      <c r="R798">
        <f>IF(P798="","",INDEX('Students'!$AD$2:$AD$701,P798))</f>
        <v/>
      </c>
      <c r="S798">
        <f>IF(H798="OK",O798,0)</f>
        <v/>
      </c>
      <c r="T798">
        <f>IF(H798="OK",N798,"")</f>
        <v/>
      </c>
      <c r="U798">
        <f>IF(OC_Donor=0,"",IF(INDEX('OneCause_Paste'!$A$798:$AZ$798,1,OC_Donor)="","",INDEX('OneCause_Paste'!$A$798:$AZ$798,1,OC_Donor)))</f>
        <v/>
      </c>
    </row>
    <row r="799">
      <c r="A799" s="62">
        <f>IF(H799="","",IF(ISNUMBER(N799),N799,I799))</f>
        <v/>
      </c>
      <c r="B799">
        <f>IF(H799="","",U799)</f>
        <v/>
      </c>
      <c r="C799">
        <f>IF(H799="","",IF(P799="",K799,INDEX('Students'!$A$2:$A$701,P799)))</f>
        <v/>
      </c>
      <c r="D799">
        <f>IF(OR(H799="",P799=""),"",INDEX('Students'!$B$2:$B$701,P799))</f>
        <v/>
      </c>
      <c r="E799">
        <f>IF(OR(H799="",P799=""),"",INDEX('Students'!$C$2:$C$701,P799))</f>
        <v/>
      </c>
      <c r="F799" s="48">
        <f>IF(H799="","",IF(ISNUMBER(O799),O799,J799))</f>
        <v/>
      </c>
      <c r="G799">
        <f>IF(H799="","","OneCause")</f>
        <v/>
      </c>
      <c r="H799">
        <f>IF(AND(I799="",J799="",K799=""),"",IF(NOT(ISNUMBER(O799)),"Bad amount",IF(O799&lt;0,"Refund (not counted)",IF(O799=0,"Zero amount",IF(NOT(ISNUMBER(N799)),"Bad date",IF(P799="","NAME NOT ON ROSTER",IF(L799="","OK",IF(MATCH(L799,$L$2:$L$3001,0)&lt;ROW()-1,"Duplicate (ignored)","OK"))))))))</f>
        <v/>
      </c>
      <c r="I799">
        <f>IF(OC_Date=0,"",IF(INDEX('OneCause_Paste'!$A$799:$AZ$799,1,OC_Date)="","",INDEX('OneCause_Paste'!$A$799:$AZ$799,1,OC_Date)))</f>
        <v/>
      </c>
      <c r="J799">
        <f>IF(OC_Amt=0,"",IF(INDEX('OneCause_Paste'!$A$799:$AZ$799,1,OC_Amt)="","",INDEX('OneCause_Paste'!$A$799:$AZ$799,1,OC_Amt)))</f>
        <v/>
      </c>
      <c r="K799">
        <f>IF(OC_Name=0,"",IF(INDEX('OneCause_Paste'!$A$799:$AZ$799,1,OC_Name)="","",INDEX('OneCause_Paste'!$A$799:$AZ$799,1,OC_Name)))</f>
        <v/>
      </c>
      <c r="L799">
        <f>IF(OC_Txn=0,"",IF(INDEX('OneCause_Paste'!$A$799:$AZ$799,1,OC_Txn)="","",INDEX('OneCause_Paste'!$A$799:$AZ$799,1,OC_Txn)))</f>
        <v/>
      </c>
      <c r="M799">
        <f>IF(OC_Pay=0,"",IF(INDEX('OneCause_Paste'!$A$799:$AZ$799,1,OC_Pay)="","",INDEX('OneCause_Paste'!$A$799:$AZ$799,1,OC_Pay)))</f>
        <v/>
      </c>
      <c r="N799">
        <f>IF(I799="","",IF(ISNUMBER(I799),INT(I799),IFERROR(INT(DATEVALUE(I799)),IFERROR(INT(VALUE(I799)),"bad"))))</f>
        <v/>
      </c>
      <c r="O799">
        <f>IF(J799="","",IF(ISNUMBER(J799),ROUND(J799,2),IFERROR(ROUND(VALUE(SUBSTITUTE(SUBSTITUTE(SUBSTITUTE(J799,"$",""),",","")," ","")),2),"bad")))</f>
        <v/>
      </c>
      <c r="P799">
        <f>IF(TRIM(K799)="","",IFERROR(MATCH(LOWER(TRIM(K799)),'Students'!$AH$2:$AH$701,0),IFERROR(MATCH(LOWER(TRIM(K799)),'Students'!$AF$2:$AF$701,0),IFERROR(MATCH(LOWER(TRIM(K799)),'Students'!$AG$2:$AG$701,0),""))))</f>
        <v/>
      </c>
      <c r="R799">
        <f>IF(P799="","",INDEX('Students'!$AD$2:$AD$701,P799))</f>
        <v/>
      </c>
      <c r="S799">
        <f>IF(H799="OK",O799,0)</f>
        <v/>
      </c>
      <c r="T799">
        <f>IF(H799="OK",N799,"")</f>
        <v/>
      </c>
      <c r="U799">
        <f>IF(OC_Donor=0,"",IF(INDEX('OneCause_Paste'!$A$799:$AZ$799,1,OC_Donor)="","",INDEX('OneCause_Paste'!$A$799:$AZ$799,1,OC_Donor)))</f>
        <v/>
      </c>
    </row>
    <row r="800">
      <c r="A800" s="62">
        <f>IF(H800="","",IF(ISNUMBER(N800),N800,I800))</f>
        <v/>
      </c>
      <c r="B800">
        <f>IF(H800="","",U800)</f>
        <v/>
      </c>
      <c r="C800">
        <f>IF(H800="","",IF(P800="",K800,INDEX('Students'!$A$2:$A$701,P800)))</f>
        <v/>
      </c>
      <c r="D800">
        <f>IF(OR(H800="",P800=""),"",INDEX('Students'!$B$2:$B$701,P800))</f>
        <v/>
      </c>
      <c r="E800">
        <f>IF(OR(H800="",P800=""),"",INDEX('Students'!$C$2:$C$701,P800))</f>
        <v/>
      </c>
      <c r="F800" s="48">
        <f>IF(H800="","",IF(ISNUMBER(O800),O800,J800))</f>
        <v/>
      </c>
      <c r="G800">
        <f>IF(H800="","","OneCause")</f>
        <v/>
      </c>
      <c r="H800">
        <f>IF(AND(I800="",J800="",K800=""),"",IF(NOT(ISNUMBER(O800)),"Bad amount",IF(O800&lt;0,"Refund (not counted)",IF(O800=0,"Zero amount",IF(NOT(ISNUMBER(N800)),"Bad date",IF(P800="","NAME NOT ON ROSTER",IF(L800="","OK",IF(MATCH(L800,$L$2:$L$3001,0)&lt;ROW()-1,"Duplicate (ignored)","OK"))))))))</f>
        <v/>
      </c>
      <c r="I800">
        <f>IF(OC_Date=0,"",IF(INDEX('OneCause_Paste'!$A$800:$AZ$800,1,OC_Date)="","",INDEX('OneCause_Paste'!$A$800:$AZ$800,1,OC_Date)))</f>
        <v/>
      </c>
      <c r="J800">
        <f>IF(OC_Amt=0,"",IF(INDEX('OneCause_Paste'!$A$800:$AZ$800,1,OC_Amt)="","",INDEX('OneCause_Paste'!$A$800:$AZ$800,1,OC_Amt)))</f>
        <v/>
      </c>
      <c r="K800">
        <f>IF(OC_Name=0,"",IF(INDEX('OneCause_Paste'!$A$800:$AZ$800,1,OC_Name)="","",INDEX('OneCause_Paste'!$A$800:$AZ$800,1,OC_Name)))</f>
        <v/>
      </c>
      <c r="L800">
        <f>IF(OC_Txn=0,"",IF(INDEX('OneCause_Paste'!$A$800:$AZ$800,1,OC_Txn)="","",INDEX('OneCause_Paste'!$A$800:$AZ$800,1,OC_Txn)))</f>
        <v/>
      </c>
      <c r="M800">
        <f>IF(OC_Pay=0,"",IF(INDEX('OneCause_Paste'!$A$800:$AZ$800,1,OC_Pay)="","",INDEX('OneCause_Paste'!$A$800:$AZ$800,1,OC_Pay)))</f>
        <v/>
      </c>
      <c r="N800">
        <f>IF(I800="","",IF(ISNUMBER(I800),INT(I800),IFERROR(INT(DATEVALUE(I800)),IFERROR(INT(VALUE(I800)),"bad"))))</f>
        <v/>
      </c>
      <c r="O800">
        <f>IF(J800="","",IF(ISNUMBER(J800),ROUND(J800,2),IFERROR(ROUND(VALUE(SUBSTITUTE(SUBSTITUTE(SUBSTITUTE(J800,"$",""),",","")," ","")),2),"bad")))</f>
        <v/>
      </c>
      <c r="P800">
        <f>IF(TRIM(K800)="","",IFERROR(MATCH(LOWER(TRIM(K800)),'Students'!$AH$2:$AH$701,0),IFERROR(MATCH(LOWER(TRIM(K800)),'Students'!$AF$2:$AF$701,0),IFERROR(MATCH(LOWER(TRIM(K800)),'Students'!$AG$2:$AG$701,0),""))))</f>
        <v/>
      </c>
      <c r="R800">
        <f>IF(P800="","",INDEX('Students'!$AD$2:$AD$701,P800))</f>
        <v/>
      </c>
      <c r="S800">
        <f>IF(H800="OK",O800,0)</f>
        <v/>
      </c>
      <c r="T800">
        <f>IF(H800="OK",N800,"")</f>
        <v/>
      </c>
      <c r="U800">
        <f>IF(OC_Donor=0,"",IF(INDEX('OneCause_Paste'!$A$800:$AZ$800,1,OC_Donor)="","",INDEX('OneCause_Paste'!$A$800:$AZ$800,1,OC_Donor)))</f>
        <v/>
      </c>
    </row>
    <row r="801">
      <c r="A801" s="62">
        <f>IF(H801="","",IF(ISNUMBER(N801),N801,I801))</f>
        <v/>
      </c>
      <c r="B801">
        <f>IF(H801="","",U801)</f>
        <v/>
      </c>
      <c r="C801">
        <f>IF(H801="","",IF(P801="",K801,INDEX('Students'!$A$2:$A$701,P801)))</f>
        <v/>
      </c>
      <c r="D801">
        <f>IF(OR(H801="",P801=""),"",INDEX('Students'!$B$2:$B$701,P801))</f>
        <v/>
      </c>
      <c r="E801">
        <f>IF(OR(H801="",P801=""),"",INDEX('Students'!$C$2:$C$701,P801))</f>
        <v/>
      </c>
      <c r="F801" s="48">
        <f>IF(H801="","",IF(ISNUMBER(O801),O801,J801))</f>
        <v/>
      </c>
      <c r="G801">
        <f>IF(H801="","","OneCause")</f>
        <v/>
      </c>
      <c r="H801">
        <f>IF(AND(I801="",J801="",K801=""),"",IF(NOT(ISNUMBER(O801)),"Bad amount",IF(O801&lt;0,"Refund (not counted)",IF(O801=0,"Zero amount",IF(NOT(ISNUMBER(N801)),"Bad date",IF(P801="","NAME NOT ON ROSTER",IF(L801="","OK",IF(MATCH(L801,$L$2:$L$3001,0)&lt;ROW()-1,"Duplicate (ignored)","OK"))))))))</f>
        <v/>
      </c>
      <c r="I801">
        <f>IF(OC_Date=0,"",IF(INDEX('OneCause_Paste'!$A$801:$AZ$801,1,OC_Date)="","",INDEX('OneCause_Paste'!$A$801:$AZ$801,1,OC_Date)))</f>
        <v/>
      </c>
      <c r="J801">
        <f>IF(OC_Amt=0,"",IF(INDEX('OneCause_Paste'!$A$801:$AZ$801,1,OC_Amt)="","",INDEX('OneCause_Paste'!$A$801:$AZ$801,1,OC_Amt)))</f>
        <v/>
      </c>
      <c r="K801">
        <f>IF(OC_Name=0,"",IF(INDEX('OneCause_Paste'!$A$801:$AZ$801,1,OC_Name)="","",INDEX('OneCause_Paste'!$A$801:$AZ$801,1,OC_Name)))</f>
        <v/>
      </c>
      <c r="L801">
        <f>IF(OC_Txn=0,"",IF(INDEX('OneCause_Paste'!$A$801:$AZ$801,1,OC_Txn)="","",INDEX('OneCause_Paste'!$A$801:$AZ$801,1,OC_Txn)))</f>
        <v/>
      </c>
      <c r="M801">
        <f>IF(OC_Pay=0,"",IF(INDEX('OneCause_Paste'!$A$801:$AZ$801,1,OC_Pay)="","",INDEX('OneCause_Paste'!$A$801:$AZ$801,1,OC_Pay)))</f>
        <v/>
      </c>
      <c r="N801">
        <f>IF(I801="","",IF(ISNUMBER(I801),INT(I801),IFERROR(INT(DATEVALUE(I801)),IFERROR(INT(VALUE(I801)),"bad"))))</f>
        <v/>
      </c>
      <c r="O801">
        <f>IF(J801="","",IF(ISNUMBER(J801),ROUND(J801,2),IFERROR(ROUND(VALUE(SUBSTITUTE(SUBSTITUTE(SUBSTITUTE(J801,"$",""),",","")," ","")),2),"bad")))</f>
        <v/>
      </c>
      <c r="P801">
        <f>IF(TRIM(K801)="","",IFERROR(MATCH(LOWER(TRIM(K801)),'Students'!$AH$2:$AH$701,0),IFERROR(MATCH(LOWER(TRIM(K801)),'Students'!$AF$2:$AF$701,0),IFERROR(MATCH(LOWER(TRIM(K801)),'Students'!$AG$2:$AG$701,0),""))))</f>
        <v/>
      </c>
      <c r="R801">
        <f>IF(P801="","",INDEX('Students'!$AD$2:$AD$701,P801))</f>
        <v/>
      </c>
      <c r="S801">
        <f>IF(H801="OK",O801,0)</f>
        <v/>
      </c>
      <c r="T801">
        <f>IF(H801="OK",N801,"")</f>
        <v/>
      </c>
      <c r="U801">
        <f>IF(OC_Donor=0,"",IF(INDEX('OneCause_Paste'!$A$801:$AZ$801,1,OC_Donor)="","",INDEX('OneCause_Paste'!$A$801:$AZ$801,1,OC_Donor)))</f>
        <v/>
      </c>
    </row>
    <row r="802">
      <c r="A802" s="62">
        <f>IF(H802="","",IF(ISNUMBER(N802),N802,I802))</f>
        <v/>
      </c>
      <c r="B802">
        <f>IF(H802="","",U802)</f>
        <v/>
      </c>
      <c r="C802">
        <f>IF(H802="","",IF(P802="",K802,INDEX('Students'!$A$2:$A$701,P802)))</f>
        <v/>
      </c>
      <c r="D802">
        <f>IF(OR(H802="",P802=""),"",INDEX('Students'!$B$2:$B$701,P802))</f>
        <v/>
      </c>
      <c r="E802">
        <f>IF(OR(H802="",P802=""),"",INDEX('Students'!$C$2:$C$701,P802))</f>
        <v/>
      </c>
      <c r="F802" s="48">
        <f>IF(H802="","",IF(ISNUMBER(O802),O802,J802))</f>
        <v/>
      </c>
      <c r="G802">
        <f>IF(H802="","","OneCause")</f>
        <v/>
      </c>
      <c r="H802">
        <f>IF(AND(I802="",J802="",K802=""),"",IF(NOT(ISNUMBER(O802)),"Bad amount",IF(O802&lt;0,"Refund (not counted)",IF(O802=0,"Zero amount",IF(NOT(ISNUMBER(N802)),"Bad date",IF(P802="","NAME NOT ON ROSTER",IF(L802="","OK",IF(MATCH(L802,$L$2:$L$3001,0)&lt;ROW()-1,"Duplicate (ignored)","OK"))))))))</f>
        <v/>
      </c>
      <c r="I802">
        <f>IF(OC_Date=0,"",IF(INDEX('OneCause_Paste'!$A$802:$AZ$802,1,OC_Date)="","",INDEX('OneCause_Paste'!$A$802:$AZ$802,1,OC_Date)))</f>
        <v/>
      </c>
      <c r="J802">
        <f>IF(OC_Amt=0,"",IF(INDEX('OneCause_Paste'!$A$802:$AZ$802,1,OC_Amt)="","",INDEX('OneCause_Paste'!$A$802:$AZ$802,1,OC_Amt)))</f>
        <v/>
      </c>
      <c r="K802">
        <f>IF(OC_Name=0,"",IF(INDEX('OneCause_Paste'!$A$802:$AZ$802,1,OC_Name)="","",INDEX('OneCause_Paste'!$A$802:$AZ$802,1,OC_Name)))</f>
        <v/>
      </c>
      <c r="L802">
        <f>IF(OC_Txn=0,"",IF(INDEX('OneCause_Paste'!$A$802:$AZ$802,1,OC_Txn)="","",INDEX('OneCause_Paste'!$A$802:$AZ$802,1,OC_Txn)))</f>
        <v/>
      </c>
      <c r="M802">
        <f>IF(OC_Pay=0,"",IF(INDEX('OneCause_Paste'!$A$802:$AZ$802,1,OC_Pay)="","",INDEX('OneCause_Paste'!$A$802:$AZ$802,1,OC_Pay)))</f>
        <v/>
      </c>
      <c r="N802">
        <f>IF(I802="","",IF(ISNUMBER(I802),INT(I802),IFERROR(INT(DATEVALUE(I802)),IFERROR(INT(VALUE(I802)),"bad"))))</f>
        <v/>
      </c>
      <c r="O802">
        <f>IF(J802="","",IF(ISNUMBER(J802),ROUND(J802,2),IFERROR(ROUND(VALUE(SUBSTITUTE(SUBSTITUTE(SUBSTITUTE(J802,"$",""),",","")," ","")),2),"bad")))</f>
        <v/>
      </c>
      <c r="P802">
        <f>IF(TRIM(K802)="","",IFERROR(MATCH(LOWER(TRIM(K802)),'Students'!$AH$2:$AH$701,0),IFERROR(MATCH(LOWER(TRIM(K802)),'Students'!$AF$2:$AF$701,0),IFERROR(MATCH(LOWER(TRIM(K802)),'Students'!$AG$2:$AG$701,0),""))))</f>
        <v/>
      </c>
      <c r="R802">
        <f>IF(P802="","",INDEX('Students'!$AD$2:$AD$701,P802))</f>
        <v/>
      </c>
      <c r="S802">
        <f>IF(H802="OK",O802,0)</f>
        <v/>
      </c>
      <c r="T802">
        <f>IF(H802="OK",N802,"")</f>
        <v/>
      </c>
      <c r="U802">
        <f>IF(OC_Donor=0,"",IF(INDEX('OneCause_Paste'!$A$802:$AZ$802,1,OC_Donor)="","",INDEX('OneCause_Paste'!$A$802:$AZ$802,1,OC_Donor)))</f>
        <v/>
      </c>
    </row>
    <row r="803">
      <c r="A803" s="62">
        <f>IF(H803="","",IF(ISNUMBER(N803),N803,I803))</f>
        <v/>
      </c>
      <c r="B803">
        <f>IF(H803="","",U803)</f>
        <v/>
      </c>
      <c r="C803">
        <f>IF(H803="","",IF(P803="",K803,INDEX('Students'!$A$2:$A$701,P803)))</f>
        <v/>
      </c>
      <c r="D803">
        <f>IF(OR(H803="",P803=""),"",INDEX('Students'!$B$2:$B$701,P803))</f>
        <v/>
      </c>
      <c r="E803">
        <f>IF(OR(H803="",P803=""),"",INDEX('Students'!$C$2:$C$701,P803))</f>
        <v/>
      </c>
      <c r="F803" s="48">
        <f>IF(H803="","",IF(ISNUMBER(O803),O803,J803))</f>
        <v/>
      </c>
      <c r="G803">
        <f>IF(H803="","","OneCause")</f>
        <v/>
      </c>
      <c r="H803">
        <f>IF(AND(I803="",J803="",K803=""),"",IF(NOT(ISNUMBER(O803)),"Bad amount",IF(O803&lt;0,"Refund (not counted)",IF(O803=0,"Zero amount",IF(NOT(ISNUMBER(N803)),"Bad date",IF(P803="","NAME NOT ON ROSTER",IF(L803="","OK",IF(MATCH(L803,$L$2:$L$3001,0)&lt;ROW()-1,"Duplicate (ignored)","OK"))))))))</f>
        <v/>
      </c>
      <c r="I803">
        <f>IF(OC_Date=0,"",IF(INDEX('OneCause_Paste'!$A$803:$AZ$803,1,OC_Date)="","",INDEX('OneCause_Paste'!$A$803:$AZ$803,1,OC_Date)))</f>
        <v/>
      </c>
      <c r="J803">
        <f>IF(OC_Amt=0,"",IF(INDEX('OneCause_Paste'!$A$803:$AZ$803,1,OC_Amt)="","",INDEX('OneCause_Paste'!$A$803:$AZ$803,1,OC_Amt)))</f>
        <v/>
      </c>
      <c r="K803">
        <f>IF(OC_Name=0,"",IF(INDEX('OneCause_Paste'!$A$803:$AZ$803,1,OC_Name)="","",INDEX('OneCause_Paste'!$A$803:$AZ$803,1,OC_Name)))</f>
        <v/>
      </c>
      <c r="L803">
        <f>IF(OC_Txn=0,"",IF(INDEX('OneCause_Paste'!$A$803:$AZ$803,1,OC_Txn)="","",INDEX('OneCause_Paste'!$A$803:$AZ$803,1,OC_Txn)))</f>
        <v/>
      </c>
      <c r="M803">
        <f>IF(OC_Pay=0,"",IF(INDEX('OneCause_Paste'!$A$803:$AZ$803,1,OC_Pay)="","",INDEX('OneCause_Paste'!$A$803:$AZ$803,1,OC_Pay)))</f>
        <v/>
      </c>
      <c r="N803">
        <f>IF(I803="","",IF(ISNUMBER(I803),INT(I803),IFERROR(INT(DATEVALUE(I803)),IFERROR(INT(VALUE(I803)),"bad"))))</f>
        <v/>
      </c>
      <c r="O803">
        <f>IF(J803="","",IF(ISNUMBER(J803),ROUND(J803,2),IFERROR(ROUND(VALUE(SUBSTITUTE(SUBSTITUTE(SUBSTITUTE(J803,"$",""),",","")," ","")),2),"bad")))</f>
        <v/>
      </c>
      <c r="P803">
        <f>IF(TRIM(K803)="","",IFERROR(MATCH(LOWER(TRIM(K803)),'Students'!$AH$2:$AH$701,0),IFERROR(MATCH(LOWER(TRIM(K803)),'Students'!$AF$2:$AF$701,0),IFERROR(MATCH(LOWER(TRIM(K803)),'Students'!$AG$2:$AG$701,0),""))))</f>
        <v/>
      </c>
      <c r="R803">
        <f>IF(P803="","",INDEX('Students'!$AD$2:$AD$701,P803))</f>
        <v/>
      </c>
      <c r="S803">
        <f>IF(H803="OK",O803,0)</f>
        <v/>
      </c>
      <c r="T803">
        <f>IF(H803="OK",N803,"")</f>
        <v/>
      </c>
      <c r="U803">
        <f>IF(OC_Donor=0,"",IF(INDEX('OneCause_Paste'!$A$803:$AZ$803,1,OC_Donor)="","",INDEX('OneCause_Paste'!$A$803:$AZ$803,1,OC_Donor)))</f>
        <v/>
      </c>
    </row>
    <row r="804">
      <c r="A804" s="62">
        <f>IF(H804="","",IF(ISNUMBER(N804),N804,I804))</f>
        <v/>
      </c>
      <c r="B804">
        <f>IF(H804="","",U804)</f>
        <v/>
      </c>
      <c r="C804">
        <f>IF(H804="","",IF(P804="",K804,INDEX('Students'!$A$2:$A$701,P804)))</f>
        <v/>
      </c>
      <c r="D804">
        <f>IF(OR(H804="",P804=""),"",INDEX('Students'!$B$2:$B$701,P804))</f>
        <v/>
      </c>
      <c r="E804">
        <f>IF(OR(H804="",P804=""),"",INDEX('Students'!$C$2:$C$701,P804))</f>
        <v/>
      </c>
      <c r="F804" s="48">
        <f>IF(H804="","",IF(ISNUMBER(O804),O804,J804))</f>
        <v/>
      </c>
      <c r="G804">
        <f>IF(H804="","","OneCause")</f>
        <v/>
      </c>
      <c r="H804">
        <f>IF(AND(I804="",J804="",K804=""),"",IF(NOT(ISNUMBER(O804)),"Bad amount",IF(O804&lt;0,"Refund (not counted)",IF(O804=0,"Zero amount",IF(NOT(ISNUMBER(N804)),"Bad date",IF(P804="","NAME NOT ON ROSTER",IF(L804="","OK",IF(MATCH(L804,$L$2:$L$3001,0)&lt;ROW()-1,"Duplicate (ignored)","OK"))))))))</f>
        <v/>
      </c>
      <c r="I804">
        <f>IF(OC_Date=0,"",IF(INDEX('OneCause_Paste'!$A$804:$AZ$804,1,OC_Date)="","",INDEX('OneCause_Paste'!$A$804:$AZ$804,1,OC_Date)))</f>
        <v/>
      </c>
      <c r="J804">
        <f>IF(OC_Amt=0,"",IF(INDEX('OneCause_Paste'!$A$804:$AZ$804,1,OC_Amt)="","",INDEX('OneCause_Paste'!$A$804:$AZ$804,1,OC_Amt)))</f>
        <v/>
      </c>
      <c r="K804">
        <f>IF(OC_Name=0,"",IF(INDEX('OneCause_Paste'!$A$804:$AZ$804,1,OC_Name)="","",INDEX('OneCause_Paste'!$A$804:$AZ$804,1,OC_Name)))</f>
        <v/>
      </c>
      <c r="L804">
        <f>IF(OC_Txn=0,"",IF(INDEX('OneCause_Paste'!$A$804:$AZ$804,1,OC_Txn)="","",INDEX('OneCause_Paste'!$A$804:$AZ$804,1,OC_Txn)))</f>
        <v/>
      </c>
      <c r="M804">
        <f>IF(OC_Pay=0,"",IF(INDEX('OneCause_Paste'!$A$804:$AZ$804,1,OC_Pay)="","",INDEX('OneCause_Paste'!$A$804:$AZ$804,1,OC_Pay)))</f>
        <v/>
      </c>
      <c r="N804">
        <f>IF(I804="","",IF(ISNUMBER(I804),INT(I804),IFERROR(INT(DATEVALUE(I804)),IFERROR(INT(VALUE(I804)),"bad"))))</f>
        <v/>
      </c>
      <c r="O804">
        <f>IF(J804="","",IF(ISNUMBER(J804),ROUND(J804,2),IFERROR(ROUND(VALUE(SUBSTITUTE(SUBSTITUTE(SUBSTITUTE(J804,"$",""),",","")," ","")),2),"bad")))</f>
        <v/>
      </c>
      <c r="P804">
        <f>IF(TRIM(K804)="","",IFERROR(MATCH(LOWER(TRIM(K804)),'Students'!$AH$2:$AH$701,0),IFERROR(MATCH(LOWER(TRIM(K804)),'Students'!$AF$2:$AF$701,0),IFERROR(MATCH(LOWER(TRIM(K804)),'Students'!$AG$2:$AG$701,0),""))))</f>
        <v/>
      </c>
      <c r="R804">
        <f>IF(P804="","",INDEX('Students'!$AD$2:$AD$701,P804))</f>
        <v/>
      </c>
      <c r="S804">
        <f>IF(H804="OK",O804,0)</f>
        <v/>
      </c>
      <c r="T804">
        <f>IF(H804="OK",N804,"")</f>
        <v/>
      </c>
      <c r="U804">
        <f>IF(OC_Donor=0,"",IF(INDEX('OneCause_Paste'!$A$804:$AZ$804,1,OC_Donor)="","",INDEX('OneCause_Paste'!$A$804:$AZ$804,1,OC_Donor)))</f>
        <v/>
      </c>
    </row>
    <row r="805">
      <c r="A805" s="62">
        <f>IF(H805="","",IF(ISNUMBER(N805),N805,I805))</f>
        <v/>
      </c>
      <c r="B805">
        <f>IF(H805="","",U805)</f>
        <v/>
      </c>
      <c r="C805">
        <f>IF(H805="","",IF(P805="",K805,INDEX('Students'!$A$2:$A$701,P805)))</f>
        <v/>
      </c>
      <c r="D805">
        <f>IF(OR(H805="",P805=""),"",INDEX('Students'!$B$2:$B$701,P805))</f>
        <v/>
      </c>
      <c r="E805">
        <f>IF(OR(H805="",P805=""),"",INDEX('Students'!$C$2:$C$701,P805))</f>
        <v/>
      </c>
      <c r="F805" s="48">
        <f>IF(H805="","",IF(ISNUMBER(O805),O805,J805))</f>
        <v/>
      </c>
      <c r="G805">
        <f>IF(H805="","","OneCause")</f>
        <v/>
      </c>
      <c r="H805">
        <f>IF(AND(I805="",J805="",K805=""),"",IF(NOT(ISNUMBER(O805)),"Bad amount",IF(O805&lt;0,"Refund (not counted)",IF(O805=0,"Zero amount",IF(NOT(ISNUMBER(N805)),"Bad date",IF(P805="","NAME NOT ON ROSTER",IF(L805="","OK",IF(MATCH(L805,$L$2:$L$3001,0)&lt;ROW()-1,"Duplicate (ignored)","OK"))))))))</f>
        <v/>
      </c>
      <c r="I805">
        <f>IF(OC_Date=0,"",IF(INDEX('OneCause_Paste'!$A$805:$AZ$805,1,OC_Date)="","",INDEX('OneCause_Paste'!$A$805:$AZ$805,1,OC_Date)))</f>
        <v/>
      </c>
      <c r="J805">
        <f>IF(OC_Amt=0,"",IF(INDEX('OneCause_Paste'!$A$805:$AZ$805,1,OC_Amt)="","",INDEX('OneCause_Paste'!$A$805:$AZ$805,1,OC_Amt)))</f>
        <v/>
      </c>
      <c r="K805">
        <f>IF(OC_Name=0,"",IF(INDEX('OneCause_Paste'!$A$805:$AZ$805,1,OC_Name)="","",INDEX('OneCause_Paste'!$A$805:$AZ$805,1,OC_Name)))</f>
        <v/>
      </c>
      <c r="L805">
        <f>IF(OC_Txn=0,"",IF(INDEX('OneCause_Paste'!$A$805:$AZ$805,1,OC_Txn)="","",INDEX('OneCause_Paste'!$A$805:$AZ$805,1,OC_Txn)))</f>
        <v/>
      </c>
      <c r="M805">
        <f>IF(OC_Pay=0,"",IF(INDEX('OneCause_Paste'!$A$805:$AZ$805,1,OC_Pay)="","",INDEX('OneCause_Paste'!$A$805:$AZ$805,1,OC_Pay)))</f>
        <v/>
      </c>
      <c r="N805">
        <f>IF(I805="","",IF(ISNUMBER(I805),INT(I805),IFERROR(INT(DATEVALUE(I805)),IFERROR(INT(VALUE(I805)),"bad"))))</f>
        <v/>
      </c>
      <c r="O805">
        <f>IF(J805="","",IF(ISNUMBER(J805),ROUND(J805,2),IFERROR(ROUND(VALUE(SUBSTITUTE(SUBSTITUTE(SUBSTITUTE(J805,"$",""),",","")," ","")),2),"bad")))</f>
        <v/>
      </c>
      <c r="P805">
        <f>IF(TRIM(K805)="","",IFERROR(MATCH(LOWER(TRIM(K805)),'Students'!$AH$2:$AH$701,0),IFERROR(MATCH(LOWER(TRIM(K805)),'Students'!$AF$2:$AF$701,0),IFERROR(MATCH(LOWER(TRIM(K805)),'Students'!$AG$2:$AG$701,0),""))))</f>
        <v/>
      </c>
      <c r="R805">
        <f>IF(P805="","",INDEX('Students'!$AD$2:$AD$701,P805))</f>
        <v/>
      </c>
      <c r="S805">
        <f>IF(H805="OK",O805,0)</f>
        <v/>
      </c>
      <c r="T805">
        <f>IF(H805="OK",N805,"")</f>
        <v/>
      </c>
      <c r="U805">
        <f>IF(OC_Donor=0,"",IF(INDEX('OneCause_Paste'!$A$805:$AZ$805,1,OC_Donor)="","",INDEX('OneCause_Paste'!$A$805:$AZ$805,1,OC_Donor)))</f>
        <v/>
      </c>
    </row>
    <row r="806">
      <c r="A806" s="62">
        <f>IF(H806="","",IF(ISNUMBER(N806),N806,I806))</f>
        <v/>
      </c>
      <c r="B806">
        <f>IF(H806="","",U806)</f>
        <v/>
      </c>
      <c r="C806">
        <f>IF(H806="","",IF(P806="",K806,INDEX('Students'!$A$2:$A$701,P806)))</f>
        <v/>
      </c>
      <c r="D806">
        <f>IF(OR(H806="",P806=""),"",INDEX('Students'!$B$2:$B$701,P806))</f>
        <v/>
      </c>
      <c r="E806">
        <f>IF(OR(H806="",P806=""),"",INDEX('Students'!$C$2:$C$701,P806))</f>
        <v/>
      </c>
      <c r="F806" s="48">
        <f>IF(H806="","",IF(ISNUMBER(O806),O806,J806))</f>
        <v/>
      </c>
      <c r="G806">
        <f>IF(H806="","","OneCause")</f>
        <v/>
      </c>
      <c r="H806">
        <f>IF(AND(I806="",J806="",K806=""),"",IF(NOT(ISNUMBER(O806)),"Bad amount",IF(O806&lt;0,"Refund (not counted)",IF(O806=0,"Zero amount",IF(NOT(ISNUMBER(N806)),"Bad date",IF(P806="","NAME NOT ON ROSTER",IF(L806="","OK",IF(MATCH(L806,$L$2:$L$3001,0)&lt;ROW()-1,"Duplicate (ignored)","OK"))))))))</f>
        <v/>
      </c>
      <c r="I806">
        <f>IF(OC_Date=0,"",IF(INDEX('OneCause_Paste'!$A$806:$AZ$806,1,OC_Date)="","",INDEX('OneCause_Paste'!$A$806:$AZ$806,1,OC_Date)))</f>
        <v/>
      </c>
      <c r="J806">
        <f>IF(OC_Amt=0,"",IF(INDEX('OneCause_Paste'!$A$806:$AZ$806,1,OC_Amt)="","",INDEX('OneCause_Paste'!$A$806:$AZ$806,1,OC_Amt)))</f>
        <v/>
      </c>
      <c r="K806">
        <f>IF(OC_Name=0,"",IF(INDEX('OneCause_Paste'!$A$806:$AZ$806,1,OC_Name)="","",INDEX('OneCause_Paste'!$A$806:$AZ$806,1,OC_Name)))</f>
        <v/>
      </c>
      <c r="L806">
        <f>IF(OC_Txn=0,"",IF(INDEX('OneCause_Paste'!$A$806:$AZ$806,1,OC_Txn)="","",INDEX('OneCause_Paste'!$A$806:$AZ$806,1,OC_Txn)))</f>
        <v/>
      </c>
      <c r="M806">
        <f>IF(OC_Pay=0,"",IF(INDEX('OneCause_Paste'!$A$806:$AZ$806,1,OC_Pay)="","",INDEX('OneCause_Paste'!$A$806:$AZ$806,1,OC_Pay)))</f>
        <v/>
      </c>
      <c r="N806">
        <f>IF(I806="","",IF(ISNUMBER(I806),INT(I806),IFERROR(INT(DATEVALUE(I806)),IFERROR(INT(VALUE(I806)),"bad"))))</f>
        <v/>
      </c>
      <c r="O806">
        <f>IF(J806="","",IF(ISNUMBER(J806),ROUND(J806,2),IFERROR(ROUND(VALUE(SUBSTITUTE(SUBSTITUTE(SUBSTITUTE(J806,"$",""),",","")," ","")),2),"bad")))</f>
        <v/>
      </c>
      <c r="P806">
        <f>IF(TRIM(K806)="","",IFERROR(MATCH(LOWER(TRIM(K806)),'Students'!$AH$2:$AH$701,0),IFERROR(MATCH(LOWER(TRIM(K806)),'Students'!$AF$2:$AF$701,0),IFERROR(MATCH(LOWER(TRIM(K806)),'Students'!$AG$2:$AG$701,0),""))))</f>
        <v/>
      </c>
      <c r="R806">
        <f>IF(P806="","",INDEX('Students'!$AD$2:$AD$701,P806))</f>
        <v/>
      </c>
      <c r="S806">
        <f>IF(H806="OK",O806,0)</f>
        <v/>
      </c>
      <c r="T806">
        <f>IF(H806="OK",N806,"")</f>
        <v/>
      </c>
      <c r="U806">
        <f>IF(OC_Donor=0,"",IF(INDEX('OneCause_Paste'!$A$806:$AZ$806,1,OC_Donor)="","",INDEX('OneCause_Paste'!$A$806:$AZ$806,1,OC_Donor)))</f>
        <v/>
      </c>
    </row>
    <row r="807">
      <c r="A807" s="62">
        <f>IF(H807="","",IF(ISNUMBER(N807),N807,I807))</f>
        <v/>
      </c>
      <c r="B807">
        <f>IF(H807="","",U807)</f>
        <v/>
      </c>
      <c r="C807">
        <f>IF(H807="","",IF(P807="",K807,INDEX('Students'!$A$2:$A$701,P807)))</f>
        <v/>
      </c>
      <c r="D807">
        <f>IF(OR(H807="",P807=""),"",INDEX('Students'!$B$2:$B$701,P807))</f>
        <v/>
      </c>
      <c r="E807">
        <f>IF(OR(H807="",P807=""),"",INDEX('Students'!$C$2:$C$701,P807))</f>
        <v/>
      </c>
      <c r="F807" s="48">
        <f>IF(H807="","",IF(ISNUMBER(O807),O807,J807))</f>
        <v/>
      </c>
      <c r="G807">
        <f>IF(H807="","","OneCause")</f>
        <v/>
      </c>
      <c r="H807">
        <f>IF(AND(I807="",J807="",K807=""),"",IF(NOT(ISNUMBER(O807)),"Bad amount",IF(O807&lt;0,"Refund (not counted)",IF(O807=0,"Zero amount",IF(NOT(ISNUMBER(N807)),"Bad date",IF(P807="","NAME NOT ON ROSTER",IF(L807="","OK",IF(MATCH(L807,$L$2:$L$3001,0)&lt;ROW()-1,"Duplicate (ignored)","OK"))))))))</f>
        <v/>
      </c>
      <c r="I807">
        <f>IF(OC_Date=0,"",IF(INDEX('OneCause_Paste'!$A$807:$AZ$807,1,OC_Date)="","",INDEX('OneCause_Paste'!$A$807:$AZ$807,1,OC_Date)))</f>
        <v/>
      </c>
      <c r="J807">
        <f>IF(OC_Amt=0,"",IF(INDEX('OneCause_Paste'!$A$807:$AZ$807,1,OC_Amt)="","",INDEX('OneCause_Paste'!$A$807:$AZ$807,1,OC_Amt)))</f>
        <v/>
      </c>
      <c r="K807">
        <f>IF(OC_Name=0,"",IF(INDEX('OneCause_Paste'!$A$807:$AZ$807,1,OC_Name)="","",INDEX('OneCause_Paste'!$A$807:$AZ$807,1,OC_Name)))</f>
        <v/>
      </c>
      <c r="L807">
        <f>IF(OC_Txn=0,"",IF(INDEX('OneCause_Paste'!$A$807:$AZ$807,1,OC_Txn)="","",INDEX('OneCause_Paste'!$A$807:$AZ$807,1,OC_Txn)))</f>
        <v/>
      </c>
      <c r="M807">
        <f>IF(OC_Pay=0,"",IF(INDEX('OneCause_Paste'!$A$807:$AZ$807,1,OC_Pay)="","",INDEX('OneCause_Paste'!$A$807:$AZ$807,1,OC_Pay)))</f>
        <v/>
      </c>
      <c r="N807">
        <f>IF(I807="","",IF(ISNUMBER(I807),INT(I807),IFERROR(INT(DATEVALUE(I807)),IFERROR(INT(VALUE(I807)),"bad"))))</f>
        <v/>
      </c>
      <c r="O807">
        <f>IF(J807="","",IF(ISNUMBER(J807),ROUND(J807,2),IFERROR(ROUND(VALUE(SUBSTITUTE(SUBSTITUTE(SUBSTITUTE(J807,"$",""),",","")," ","")),2),"bad")))</f>
        <v/>
      </c>
      <c r="P807">
        <f>IF(TRIM(K807)="","",IFERROR(MATCH(LOWER(TRIM(K807)),'Students'!$AH$2:$AH$701,0),IFERROR(MATCH(LOWER(TRIM(K807)),'Students'!$AF$2:$AF$701,0),IFERROR(MATCH(LOWER(TRIM(K807)),'Students'!$AG$2:$AG$701,0),""))))</f>
        <v/>
      </c>
      <c r="R807">
        <f>IF(P807="","",INDEX('Students'!$AD$2:$AD$701,P807))</f>
        <v/>
      </c>
      <c r="S807">
        <f>IF(H807="OK",O807,0)</f>
        <v/>
      </c>
      <c r="T807">
        <f>IF(H807="OK",N807,"")</f>
        <v/>
      </c>
      <c r="U807">
        <f>IF(OC_Donor=0,"",IF(INDEX('OneCause_Paste'!$A$807:$AZ$807,1,OC_Donor)="","",INDEX('OneCause_Paste'!$A$807:$AZ$807,1,OC_Donor)))</f>
        <v/>
      </c>
    </row>
    <row r="808">
      <c r="A808" s="62">
        <f>IF(H808="","",IF(ISNUMBER(N808),N808,I808))</f>
        <v/>
      </c>
      <c r="B808">
        <f>IF(H808="","",U808)</f>
        <v/>
      </c>
      <c r="C808">
        <f>IF(H808="","",IF(P808="",K808,INDEX('Students'!$A$2:$A$701,P808)))</f>
        <v/>
      </c>
      <c r="D808">
        <f>IF(OR(H808="",P808=""),"",INDEX('Students'!$B$2:$B$701,P808))</f>
        <v/>
      </c>
      <c r="E808">
        <f>IF(OR(H808="",P808=""),"",INDEX('Students'!$C$2:$C$701,P808))</f>
        <v/>
      </c>
      <c r="F808" s="48">
        <f>IF(H808="","",IF(ISNUMBER(O808),O808,J808))</f>
        <v/>
      </c>
      <c r="G808">
        <f>IF(H808="","","OneCause")</f>
        <v/>
      </c>
      <c r="H808">
        <f>IF(AND(I808="",J808="",K808=""),"",IF(NOT(ISNUMBER(O808)),"Bad amount",IF(O808&lt;0,"Refund (not counted)",IF(O808=0,"Zero amount",IF(NOT(ISNUMBER(N808)),"Bad date",IF(P808="","NAME NOT ON ROSTER",IF(L808="","OK",IF(MATCH(L808,$L$2:$L$3001,0)&lt;ROW()-1,"Duplicate (ignored)","OK"))))))))</f>
        <v/>
      </c>
      <c r="I808">
        <f>IF(OC_Date=0,"",IF(INDEX('OneCause_Paste'!$A$808:$AZ$808,1,OC_Date)="","",INDEX('OneCause_Paste'!$A$808:$AZ$808,1,OC_Date)))</f>
        <v/>
      </c>
      <c r="J808">
        <f>IF(OC_Amt=0,"",IF(INDEX('OneCause_Paste'!$A$808:$AZ$808,1,OC_Amt)="","",INDEX('OneCause_Paste'!$A$808:$AZ$808,1,OC_Amt)))</f>
        <v/>
      </c>
      <c r="K808">
        <f>IF(OC_Name=0,"",IF(INDEX('OneCause_Paste'!$A$808:$AZ$808,1,OC_Name)="","",INDEX('OneCause_Paste'!$A$808:$AZ$808,1,OC_Name)))</f>
        <v/>
      </c>
      <c r="L808">
        <f>IF(OC_Txn=0,"",IF(INDEX('OneCause_Paste'!$A$808:$AZ$808,1,OC_Txn)="","",INDEX('OneCause_Paste'!$A$808:$AZ$808,1,OC_Txn)))</f>
        <v/>
      </c>
      <c r="M808">
        <f>IF(OC_Pay=0,"",IF(INDEX('OneCause_Paste'!$A$808:$AZ$808,1,OC_Pay)="","",INDEX('OneCause_Paste'!$A$808:$AZ$808,1,OC_Pay)))</f>
        <v/>
      </c>
      <c r="N808">
        <f>IF(I808="","",IF(ISNUMBER(I808),INT(I808),IFERROR(INT(DATEVALUE(I808)),IFERROR(INT(VALUE(I808)),"bad"))))</f>
        <v/>
      </c>
      <c r="O808">
        <f>IF(J808="","",IF(ISNUMBER(J808),ROUND(J808,2),IFERROR(ROUND(VALUE(SUBSTITUTE(SUBSTITUTE(SUBSTITUTE(J808,"$",""),",","")," ","")),2),"bad")))</f>
        <v/>
      </c>
      <c r="P808">
        <f>IF(TRIM(K808)="","",IFERROR(MATCH(LOWER(TRIM(K808)),'Students'!$AH$2:$AH$701,0),IFERROR(MATCH(LOWER(TRIM(K808)),'Students'!$AF$2:$AF$701,0),IFERROR(MATCH(LOWER(TRIM(K808)),'Students'!$AG$2:$AG$701,0),""))))</f>
        <v/>
      </c>
      <c r="R808">
        <f>IF(P808="","",INDEX('Students'!$AD$2:$AD$701,P808))</f>
        <v/>
      </c>
      <c r="S808">
        <f>IF(H808="OK",O808,0)</f>
        <v/>
      </c>
      <c r="T808">
        <f>IF(H808="OK",N808,"")</f>
        <v/>
      </c>
      <c r="U808">
        <f>IF(OC_Donor=0,"",IF(INDEX('OneCause_Paste'!$A$808:$AZ$808,1,OC_Donor)="","",INDEX('OneCause_Paste'!$A$808:$AZ$808,1,OC_Donor)))</f>
        <v/>
      </c>
    </row>
    <row r="809">
      <c r="A809" s="62">
        <f>IF(H809="","",IF(ISNUMBER(N809),N809,I809))</f>
        <v/>
      </c>
      <c r="B809">
        <f>IF(H809="","",U809)</f>
        <v/>
      </c>
      <c r="C809">
        <f>IF(H809="","",IF(P809="",K809,INDEX('Students'!$A$2:$A$701,P809)))</f>
        <v/>
      </c>
      <c r="D809">
        <f>IF(OR(H809="",P809=""),"",INDEX('Students'!$B$2:$B$701,P809))</f>
        <v/>
      </c>
      <c r="E809">
        <f>IF(OR(H809="",P809=""),"",INDEX('Students'!$C$2:$C$701,P809))</f>
        <v/>
      </c>
      <c r="F809" s="48">
        <f>IF(H809="","",IF(ISNUMBER(O809),O809,J809))</f>
        <v/>
      </c>
      <c r="G809">
        <f>IF(H809="","","OneCause")</f>
        <v/>
      </c>
      <c r="H809">
        <f>IF(AND(I809="",J809="",K809=""),"",IF(NOT(ISNUMBER(O809)),"Bad amount",IF(O809&lt;0,"Refund (not counted)",IF(O809=0,"Zero amount",IF(NOT(ISNUMBER(N809)),"Bad date",IF(P809="","NAME NOT ON ROSTER",IF(L809="","OK",IF(MATCH(L809,$L$2:$L$3001,0)&lt;ROW()-1,"Duplicate (ignored)","OK"))))))))</f>
        <v/>
      </c>
      <c r="I809">
        <f>IF(OC_Date=0,"",IF(INDEX('OneCause_Paste'!$A$809:$AZ$809,1,OC_Date)="","",INDEX('OneCause_Paste'!$A$809:$AZ$809,1,OC_Date)))</f>
        <v/>
      </c>
      <c r="J809">
        <f>IF(OC_Amt=0,"",IF(INDEX('OneCause_Paste'!$A$809:$AZ$809,1,OC_Amt)="","",INDEX('OneCause_Paste'!$A$809:$AZ$809,1,OC_Amt)))</f>
        <v/>
      </c>
      <c r="K809">
        <f>IF(OC_Name=0,"",IF(INDEX('OneCause_Paste'!$A$809:$AZ$809,1,OC_Name)="","",INDEX('OneCause_Paste'!$A$809:$AZ$809,1,OC_Name)))</f>
        <v/>
      </c>
      <c r="L809">
        <f>IF(OC_Txn=0,"",IF(INDEX('OneCause_Paste'!$A$809:$AZ$809,1,OC_Txn)="","",INDEX('OneCause_Paste'!$A$809:$AZ$809,1,OC_Txn)))</f>
        <v/>
      </c>
      <c r="M809">
        <f>IF(OC_Pay=0,"",IF(INDEX('OneCause_Paste'!$A$809:$AZ$809,1,OC_Pay)="","",INDEX('OneCause_Paste'!$A$809:$AZ$809,1,OC_Pay)))</f>
        <v/>
      </c>
      <c r="N809">
        <f>IF(I809="","",IF(ISNUMBER(I809),INT(I809),IFERROR(INT(DATEVALUE(I809)),IFERROR(INT(VALUE(I809)),"bad"))))</f>
        <v/>
      </c>
      <c r="O809">
        <f>IF(J809="","",IF(ISNUMBER(J809),ROUND(J809,2),IFERROR(ROUND(VALUE(SUBSTITUTE(SUBSTITUTE(SUBSTITUTE(J809,"$",""),",","")," ","")),2),"bad")))</f>
        <v/>
      </c>
      <c r="P809">
        <f>IF(TRIM(K809)="","",IFERROR(MATCH(LOWER(TRIM(K809)),'Students'!$AH$2:$AH$701,0),IFERROR(MATCH(LOWER(TRIM(K809)),'Students'!$AF$2:$AF$701,0),IFERROR(MATCH(LOWER(TRIM(K809)),'Students'!$AG$2:$AG$701,0),""))))</f>
        <v/>
      </c>
      <c r="R809">
        <f>IF(P809="","",INDEX('Students'!$AD$2:$AD$701,P809))</f>
        <v/>
      </c>
      <c r="S809">
        <f>IF(H809="OK",O809,0)</f>
        <v/>
      </c>
      <c r="T809">
        <f>IF(H809="OK",N809,"")</f>
        <v/>
      </c>
      <c r="U809">
        <f>IF(OC_Donor=0,"",IF(INDEX('OneCause_Paste'!$A$809:$AZ$809,1,OC_Donor)="","",INDEX('OneCause_Paste'!$A$809:$AZ$809,1,OC_Donor)))</f>
        <v/>
      </c>
    </row>
    <row r="810">
      <c r="A810" s="62">
        <f>IF(H810="","",IF(ISNUMBER(N810),N810,I810))</f>
        <v/>
      </c>
      <c r="B810">
        <f>IF(H810="","",U810)</f>
        <v/>
      </c>
      <c r="C810">
        <f>IF(H810="","",IF(P810="",K810,INDEX('Students'!$A$2:$A$701,P810)))</f>
        <v/>
      </c>
      <c r="D810">
        <f>IF(OR(H810="",P810=""),"",INDEX('Students'!$B$2:$B$701,P810))</f>
        <v/>
      </c>
      <c r="E810">
        <f>IF(OR(H810="",P810=""),"",INDEX('Students'!$C$2:$C$701,P810))</f>
        <v/>
      </c>
      <c r="F810" s="48">
        <f>IF(H810="","",IF(ISNUMBER(O810),O810,J810))</f>
        <v/>
      </c>
      <c r="G810">
        <f>IF(H810="","","OneCause")</f>
        <v/>
      </c>
      <c r="H810">
        <f>IF(AND(I810="",J810="",K810=""),"",IF(NOT(ISNUMBER(O810)),"Bad amount",IF(O810&lt;0,"Refund (not counted)",IF(O810=0,"Zero amount",IF(NOT(ISNUMBER(N810)),"Bad date",IF(P810="","NAME NOT ON ROSTER",IF(L810="","OK",IF(MATCH(L810,$L$2:$L$3001,0)&lt;ROW()-1,"Duplicate (ignored)","OK"))))))))</f>
        <v/>
      </c>
      <c r="I810">
        <f>IF(OC_Date=0,"",IF(INDEX('OneCause_Paste'!$A$810:$AZ$810,1,OC_Date)="","",INDEX('OneCause_Paste'!$A$810:$AZ$810,1,OC_Date)))</f>
        <v/>
      </c>
      <c r="J810">
        <f>IF(OC_Amt=0,"",IF(INDEX('OneCause_Paste'!$A$810:$AZ$810,1,OC_Amt)="","",INDEX('OneCause_Paste'!$A$810:$AZ$810,1,OC_Amt)))</f>
        <v/>
      </c>
      <c r="K810">
        <f>IF(OC_Name=0,"",IF(INDEX('OneCause_Paste'!$A$810:$AZ$810,1,OC_Name)="","",INDEX('OneCause_Paste'!$A$810:$AZ$810,1,OC_Name)))</f>
        <v/>
      </c>
      <c r="L810">
        <f>IF(OC_Txn=0,"",IF(INDEX('OneCause_Paste'!$A$810:$AZ$810,1,OC_Txn)="","",INDEX('OneCause_Paste'!$A$810:$AZ$810,1,OC_Txn)))</f>
        <v/>
      </c>
      <c r="M810">
        <f>IF(OC_Pay=0,"",IF(INDEX('OneCause_Paste'!$A$810:$AZ$810,1,OC_Pay)="","",INDEX('OneCause_Paste'!$A$810:$AZ$810,1,OC_Pay)))</f>
        <v/>
      </c>
      <c r="N810">
        <f>IF(I810="","",IF(ISNUMBER(I810),INT(I810),IFERROR(INT(DATEVALUE(I810)),IFERROR(INT(VALUE(I810)),"bad"))))</f>
        <v/>
      </c>
      <c r="O810">
        <f>IF(J810="","",IF(ISNUMBER(J810),ROUND(J810,2),IFERROR(ROUND(VALUE(SUBSTITUTE(SUBSTITUTE(SUBSTITUTE(J810,"$",""),",","")," ","")),2),"bad")))</f>
        <v/>
      </c>
      <c r="P810">
        <f>IF(TRIM(K810)="","",IFERROR(MATCH(LOWER(TRIM(K810)),'Students'!$AH$2:$AH$701,0),IFERROR(MATCH(LOWER(TRIM(K810)),'Students'!$AF$2:$AF$701,0),IFERROR(MATCH(LOWER(TRIM(K810)),'Students'!$AG$2:$AG$701,0),""))))</f>
        <v/>
      </c>
      <c r="R810">
        <f>IF(P810="","",INDEX('Students'!$AD$2:$AD$701,P810))</f>
        <v/>
      </c>
      <c r="S810">
        <f>IF(H810="OK",O810,0)</f>
        <v/>
      </c>
      <c r="T810">
        <f>IF(H810="OK",N810,"")</f>
        <v/>
      </c>
      <c r="U810">
        <f>IF(OC_Donor=0,"",IF(INDEX('OneCause_Paste'!$A$810:$AZ$810,1,OC_Donor)="","",INDEX('OneCause_Paste'!$A$810:$AZ$810,1,OC_Donor)))</f>
        <v/>
      </c>
    </row>
    <row r="811">
      <c r="A811" s="62">
        <f>IF(H811="","",IF(ISNUMBER(N811),N811,I811))</f>
        <v/>
      </c>
      <c r="B811">
        <f>IF(H811="","",U811)</f>
        <v/>
      </c>
      <c r="C811">
        <f>IF(H811="","",IF(P811="",K811,INDEX('Students'!$A$2:$A$701,P811)))</f>
        <v/>
      </c>
      <c r="D811">
        <f>IF(OR(H811="",P811=""),"",INDEX('Students'!$B$2:$B$701,P811))</f>
        <v/>
      </c>
      <c r="E811">
        <f>IF(OR(H811="",P811=""),"",INDEX('Students'!$C$2:$C$701,P811))</f>
        <v/>
      </c>
      <c r="F811" s="48">
        <f>IF(H811="","",IF(ISNUMBER(O811),O811,J811))</f>
        <v/>
      </c>
      <c r="G811">
        <f>IF(H811="","","OneCause")</f>
        <v/>
      </c>
      <c r="H811">
        <f>IF(AND(I811="",J811="",K811=""),"",IF(NOT(ISNUMBER(O811)),"Bad amount",IF(O811&lt;0,"Refund (not counted)",IF(O811=0,"Zero amount",IF(NOT(ISNUMBER(N811)),"Bad date",IF(P811="","NAME NOT ON ROSTER",IF(L811="","OK",IF(MATCH(L811,$L$2:$L$3001,0)&lt;ROW()-1,"Duplicate (ignored)","OK"))))))))</f>
        <v/>
      </c>
      <c r="I811">
        <f>IF(OC_Date=0,"",IF(INDEX('OneCause_Paste'!$A$811:$AZ$811,1,OC_Date)="","",INDEX('OneCause_Paste'!$A$811:$AZ$811,1,OC_Date)))</f>
        <v/>
      </c>
      <c r="J811">
        <f>IF(OC_Amt=0,"",IF(INDEX('OneCause_Paste'!$A$811:$AZ$811,1,OC_Amt)="","",INDEX('OneCause_Paste'!$A$811:$AZ$811,1,OC_Amt)))</f>
        <v/>
      </c>
      <c r="K811">
        <f>IF(OC_Name=0,"",IF(INDEX('OneCause_Paste'!$A$811:$AZ$811,1,OC_Name)="","",INDEX('OneCause_Paste'!$A$811:$AZ$811,1,OC_Name)))</f>
        <v/>
      </c>
      <c r="L811">
        <f>IF(OC_Txn=0,"",IF(INDEX('OneCause_Paste'!$A$811:$AZ$811,1,OC_Txn)="","",INDEX('OneCause_Paste'!$A$811:$AZ$811,1,OC_Txn)))</f>
        <v/>
      </c>
      <c r="M811">
        <f>IF(OC_Pay=0,"",IF(INDEX('OneCause_Paste'!$A$811:$AZ$811,1,OC_Pay)="","",INDEX('OneCause_Paste'!$A$811:$AZ$811,1,OC_Pay)))</f>
        <v/>
      </c>
      <c r="N811">
        <f>IF(I811="","",IF(ISNUMBER(I811),INT(I811),IFERROR(INT(DATEVALUE(I811)),IFERROR(INT(VALUE(I811)),"bad"))))</f>
        <v/>
      </c>
      <c r="O811">
        <f>IF(J811="","",IF(ISNUMBER(J811),ROUND(J811,2),IFERROR(ROUND(VALUE(SUBSTITUTE(SUBSTITUTE(SUBSTITUTE(J811,"$",""),",","")," ","")),2),"bad")))</f>
        <v/>
      </c>
      <c r="P811">
        <f>IF(TRIM(K811)="","",IFERROR(MATCH(LOWER(TRIM(K811)),'Students'!$AH$2:$AH$701,0),IFERROR(MATCH(LOWER(TRIM(K811)),'Students'!$AF$2:$AF$701,0),IFERROR(MATCH(LOWER(TRIM(K811)),'Students'!$AG$2:$AG$701,0),""))))</f>
        <v/>
      </c>
      <c r="R811">
        <f>IF(P811="","",INDEX('Students'!$AD$2:$AD$701,P811))</f>
        <v/>
      </c>
      <c r="S811">
        <f>IF(H811="OK",O811,0)</f>
        <v/>
      </c>
      <c r="T811">
        <f>IF(H811="OK",N811,"")</f>
        <v/>
      </c>
      <c r="U811">
        <f>IF(OC_Donor=0,"",IF(INDEX('OneCause_Paste'!$A$811:$AZ$811,1,OC_Donor)="","",INDEX('OneCause_Paste'!$A$811:$AZ$811,1,OC_Donor)))</f>
        <v/>
      </c>
    </row>
    <row r="812">
      <c r="A812" s="62">
        <f>IF(H812="","",IF(ISNUMBER(N812),N812,I812))</f>
        <v/>
      </c>
      <c r="B812">
        <f>IF(H812="","",U812)</f>
        <v/>
      </c>
      <c r="C812">
        <f>IF(H812="","",IF(P812="",K812,INDEX('Students'!$A$2:$A$701,P812)))</f>
        <v/>
      </c>
      <c r="D812">
        <f>IF(OR(H812="",P812=""),"",INDEX('Students'!$B$2:$B$701,P812))</f>
        <v/>
      </c>
      <c r="E812">
        <f>IF(OR(H812="",P812=""),"",INDEX('Students'!$C$2:$C$701,P812))</f>
        <v/>
      </c>
      <c r="F812" s="48">
        <f>IF(H812="","",IF(ISNUMBER(O812),O812,J812))</f>
        <v/>
      </c>
      <c r="G812">
        <f>IF(H812="","","OneCause")</f>
        <v/>
      </c>
      <c r="H812">
        <f>IF(AND(I812="",J812="",K812=""),"",IF(NOT(ISNUMBER(O812)),"Bad amount",IF(O812&lt;0,"Refund (not counted)",IF(O812=0,"Zero amount",IF(NOT(ISNUMBER(N812)),"Bad date",IF(P812="","NAME NOT ON ROSTER",IF(L812="","OK",IF(MATCH(L812,$L$2:$L$3001,0)&lt;ROW()-1,"Duplicate (ignored)","OK"))))))))</f>
        <v/>
      </c>
      <c r="I812">
        <f>IF(OC_Date=0,"",IF(INDEX('OneCause_Paste'!$A$812:$AZ$812,1,OC_Date)="","",INDEX('OneCause_Paste'!$A$812:$AZ$812,1,OC_Date)))</f>
        <v/>
      </c>
      <c r="J812">
        <f>IF(OC_Amt=0,"",IF(INDEX('OneCause_Paste'!$A$812:$AZ$812,1,OC_Amt)="","",INDEX('OneCause_Paste'!$A$812:$AZ$812,1,OC_Amt)))</f>
        <v/>
      </c>
      <c r="K812">
        <f>IF(OC_Name=0,"",IF(INDEX('OneCause_Paste'!$A$812:$AZ$812,1,OC_Name)="","",INDEX('OneCause_Paste'!$A$812:$AZ$812,1,OC_Name)))</f>
        <v/>
      </c>
      <c r="L812">
        <f>IF(OC_Txn=0,"",IF(INDEX('OneCause_Paste'!$A$812:$AZ$812,1,OC_Txn)="","",INDEX('OneCause_Paste'!$A$812:$AZ$812,1,OC_Txn)))</f>
        <v/>
      </c>
      <c r="M812">
        <f>IF(OC_Pay=0,"",IF(INDEX('OneCause_Paste'!$A$812:$AZ$812,1,OC_Pay)="","",INDEX('OneCause_Paste'!$A$812:$AZ$812,1,OC_Pay)))</f>
        <v/>
      </c>
      <c r="N812">
        <f>IF(I812="","",IF(ISNUMBER(I812),INT(I812),IFERROR(INT(DATEVALUE(I812)),IFERROR(INT(VALUE(I812)),"bad"))))</f>
        <v/>
      </c>
      <c r="O812">
        <f>IF(J812="","",IF(ISNUMBER(J812),ROUND(J812,2),IFERROR(ROUND(VALUE(SUBSTITUTE(SUBSTITUTE(SUBSTITUTE(J812,"$",""),",","")," ","")),2),"bad")))</f>
        <v/>
      </c>
      <c r="P812">
        <f>IF(TRIM(K812)="","",IFERROR(MATCH(LOWER(TRIM(K812)),'Students'!$AH$2:$AH$701,0),IFERROR(MATCH(LOWER(TRIM(K812)),'Students'!$AF$2:$AF$701,0),IFERROR(MATCH(LOWER(TRIM(K812)),'Students'!$AG$2:$AG$701,0),""))))</f>
        <v/>
      </c>
      <c r="R812">
        <f>IF(P812="","",INDEX('Students'!$AD$2:$AD$701,P812))</f>
        <v/>
      </c>
      <c r="S812">
        <f>IF(H812="OK",O812,0)</f>
        <v/>
      </c>
      <c r="T812">
        <f>IF(H812="OK",N812,"")</f>
        <v/>
      </c>
      <c r="U812">
        <f>IF(OC_Donor=0,"",IF(INDEX('OneCause_Paste'!$A$812:$AZ$812,1,OC_Donor)="","",INDEX('OneCause_Paste'!$A$812:$AZ$812,1,OC_Donor)))</f>
        <v/>
      </c>
    </row>
    <row r="813">
      <c r="A813" s="62">
        <f>IF(H813="","",IF(ISNUMBER(N813),N813,I813))</f>
        <v/>
      </c>
      <c r="B813">
        <f>IF(H813="","",U813)</f>
        <v/>
      </c>
      <c r="C813">
        <f>IF(H813="","",IF(P813="",K813,INDEX('Students'!$A$2:$A$701,P813)))</f>
        <v/>
      </c>
      <c r="D813">
        <f>IF(OR(H813="",P813=""),"",INDEX('Students'!$B$2:$B$701,P813))</f>
        <v/>
      </c>
      <c r="E813">
        <f>IF(OR(H813="",P813=""),"",INDEX('Students'!$C$2:$C$701,P813))</f>
        <v/>
      </c>
      <c r="F813" s="48">
        <f>IF(H813="","",IF(ISNUMBER(O813),O813,J813))</f>
        <v/>
      </c>
      <c r="G813">
        <f>IF(H813="","","OneCause")</f>
        <v/>
      </c>
      <c r="H813">
        <f>IF(AND(I813="",J813="",K813=""),"",IF(NOT(ISNUMBER(O813)),"Bad amount",IF(O813&lt;0,"Refund (not counted)",IF(O813=0,"Zero amount",IF(NOT(ISNUMBER(N813)),"Bad date",IF(P813="","NAME NOT ON ROSTER",IF(L813="","OK",IF(MATCH(L813,$L$2:$L$3001,0)&lt;ROW()-1,"Duplicate (ignored)","OK"))))))))</f>
        <v/>
      </c>
      <c r="I813">
        <f>IF(OC_Date=0,"",IF(INDEX('OneCause_Paste'!$A$813:$AZ$813,1,OC_Date)="","",INDEX('OneCause_Paste'!$A$813:$AZ$813,1,OC_Date)))</f>
        <v/>
      </c>
      <c r="J813">
        <f>IF(OC_Amt=0,"",IF(INDEX('OneCause_Paste'!$A$813:$AZ$813,1,OC_Amt)="","",INDEX('OneCause_Paste'!$A$813:$AZ$813,1,OC_Amt)))</f>
        <v/>
      </c>
      <c r="K813">
        <f>IF(OC_Name=0,"",IF(INDEX('OneCause_Paste'!$A$813:$AZ$813,1,OC_Name)="","",INDEX('OneCause_Paste'!$A$813:$AZ$813,1,OC_Name)))</f>
        <v/>
      </c>
      <c r="L813">
        <f>IF(OC_Txn=0,"",IF(INDEX('OneCause_Paste'!$A$813:$AZ$813,1,OC_Txn)="","",INDEX('OneCause_Paste'!$A$813:$AZ$813,1,OC_Txn)))</f>
        <v/>
      </c>
      <c r="M813">
        <f>IF(OC_Pay=0,"",IF(INDEX('OneCause_Paste'!$A$813:$AZ$813,1,OC_Pay)="","",INDEX('OneCause_Paste'!$A$813:$AZ$813,1,OC_Pay)))</f>
        <v/>
      </c>
      <c r="N813">
        <f>IF(I813="","",IF(ISNUMBER(I813),INT(I813),IFERROR(INT(DATEVALUE(I813)),IFERROR(INT(VALUE(I813)),"bad"))))</f>
        <v/>
      </c>
      <c r="O813">
        <f>IF(J813="","",IF(ISNUMBER(J813),ROUND(J813,2),IFERROR(ROUND(VALUE(SUBSTITUTE(SUBSTITUTE(SUBSTITUTE(J813,"$",""),",","")," ","")),2),"bad")))</f>
        <v/>
      </c>
      <c r="P813">
        <f>IF(TRIM(K813)="","",IFERROR(MATCH(LOWER(TRIM(K813)),'Students'!$AH$2:$AH$701,0),IFERROR(MATCH(LOWER(TRIM(K813)),'Students'!$AF$2:$AF$701,0),IFERROR(MATCH(LOWER(TRIM(K813)),'Students'!$AG$2:$AG$701,0),""))))</f>
        <v/>
      </c>
      <c r="R813">
        <f>IF(P813="","",INDEX('Students'!$AD$2:$AD$701,P813))</f>
        <v/>
      </c>
      <c r="S813">
        <f>IF(H813="OK",O813,0)</f>
        <v/>
      </c>
      <c r="T813">
        <f>IF(H813="OK",N813,"")</f>
        <v/>
      </c>
      <c r="U813">
        <f>IF(OC_Donor=0,"",IF(INDEX('OneCause_Paste'!$A$813:$AZ$813,1,OC_Donor)="","",INDEX('OneCause_Paste'!$A$813:$AZ$813,1,OC_Donor)))</f>
        <v/>
      </c>
    </row>
    <row r="814">
      <c r="A814" s="62">
        <f>IF(H814="","",IF(ISNUMBER(N814),N814,I814))</f>
        <v/>
      </c>
      <c r="B814">
        <f>IF(H814="","",U814)</f>
        <v/>
      </c>
      <c r="C814">
        <f>IF(H814="","",IF(P814="",K814,INDEX('Students'!$A$2:$A$701,P814)))</f>
        <v/>
      </c>
      <c r="D814">
        <f>IF(OR(H814="",P814=""),"",INDEX('Students'!$B$2:$B$701,P814))</f>
        <v/>
      </c>
      <c r="E814">
        <f>IF(OR(H814="",P814=""),"",INDEX('Students'!$C$2:$C$701,P814))</f>
        <v/>
      </c>
      <c r="F814" s="48">
        <f>IF(H814="","",IF(ISNUMBER(O814),O814,J814))</f>
        <v/>
      </c>
      <c r="G814">
        <f>IF(H814="","","OneCause")</f>
        <v/>
      </c>
      <c r="H814">
        <f>IF(AND(I814="",J814="",K814=""),"",IF(NOT(ISNUMBER(O814)),"Bad amount",IF(O814&lt;0,"Refund (not counted)",IF(O814=0,"Zero amount",IF(NOT(ISNUMBER(N814)),"Bad date",IF(P814="","NAME NOT ON ROSTER",IF(L814="","OK",IF(MATCH(L814,$L$2:$L$3001,0)&lt;ROW()-1,"Duplicate (ignored)","OK"))))))))</f>
        <v/>
      </c>
      <c r="I814">
        <f>IF(OC_Date=0,"",IF(INDEX('OneCause_Paste'!$A$814:$AZ$814,1,OC_Date)="","",INDEX('OneCause_Paste'!$A$814:$AZ$814,1,OC_Date)))</f>
        <v/>
      </c>
      <c r="J814">
        <f>IF(OC_Amt=0,"",IF(INDEX('OneCause_Paste'!$A$814:$AZ$814,1,OC_Amt)="","",INDEX('OneCause_Paste'!$A$814:$AZ$814,1,OC_Amt)))</f>
        <v/>
      </c>
      <c r="K814">
        <f>IF(OC_Name=0,"",IF(INDEX('OneCause_Paste'!$A$814:$AZ$814,1,OC_Name)="","",INDEX('OneCause_Paste'!$A$814:$AZ$814,1,OC_Name)))</f>
        <v/>
      </c>
      <c r="L814">
        <f>IF(OC_Txn=0,"",IF(INDEX('OneCause_Paste'!$A$814:$AZ$814,1,OC_Txn)="","",INDEX('OneCause_Paste'!$A$814:$AZ$814,1,OC_Txn)))</f>
        <v/>
      </c>
      <c r="M814">
        <f>IF(OC_Pay=0,"",IF(INDEX('OneCause_Paste'!$A$814:$AZ$814,1,OC_Pay)="","",INDEX('OneCause_Paste'!$A$814:$AZ$814,1,OC_Pay)))</f>
        <v/>
      </c>
      <c r="N814">
        <f>IF(I814="","",IF(ISNUMBER(I814),INT(I814),IFERROR(INT(DATEVALUE(I814)),IFERROR(INT(VALUE(I814)),"bad"))))</f>
        <v/>
      </c>
      <c r="O814">
        <f>IF(J814="","",IF(ISNUMBER(J814),ROUND(J814,2),IFERROR(ROUND(VALUE(SUBSTITUTE(SUBSTITUTE(SUBSTITUTE(J814,"$",""),",","")," ","")),2),"bad")))</f>
        <v/>
      </c>
      <c r="P814">
        <f>IF(TRIM(K814)="","",IFERROR(MATCH(LOWER(TRIM(K814)),'Students'!$AH$2:$AH$701,0),IFERROR(MATCH(LOWER(TRIM(K814)),'Students'!$AF$2:$AF$701,0),IFERROR(MATCH(LOWER(TRIM(K814)),'Students'!$AG$2:$AG$701,0),""))))</f>
        <v/>
      </c>
      <c r="R814">
        <f>IF(P814="","",INDEX('Students'!$AD$2:$AD$701,P814))</f>
        <v/>
      </c>
      <c r="S814">
        <f>IF(H814="OK",O814,0)</f>
        <v/>
      </c>
      <c r="T814">
        <f>IF(H814="OK",N814,"")</f>
        <v/>
      </c>
      <c r="U814">
        <f>IF(OC_Donor=0,"",IF(INDEX('OneCause_Paste'!$A$814:$AZ$814,1,OC_Donor)="","",INDEX('OneCause_Paste'!$A$814:$AZ$814,1,OC_Donor)))</f>
        <v/>
      </c>
    </row>
    <row r="815">
      <c r="A815" s="62">
        <f>IF(H815="","",IF(ISNUMBER(N815),N815,I815))</f>
        <v/>
      </c>
      <c r="B815">
        <f>IF(H815="","",U815)</f>
        <v/>
      </c>
      <c r="C815">
        <f>IF(H815="","",IF(P815="",K815,INDEX('Students'!$A$2:$A$701,P815)))</f>
        <v/>
      </c>
      <c r="D815">
        <f>IF(OR(H815="",P815=""),"",INDEX('Students'!$B$2:$B$701,P815))</f>
        <v/>
      </c>
      <c r="E815">
        <f>IF(OR(H815="",P815=""),"",INDEX('Students'!$C$2:$C$701,P815))</f>
        <v/>
      </c>
      <c r="F815" s="48">
        <f>IF(H815="","",IF(ISNUMBER(O815),O815,J815))</f>
        <v/>
      </c>
      <c r="G815">
        <f>IF(H815="","","OneCause")</f>
        <v/>
      </c>
      <c r="H815">
        <f>IF(AND(I815="",J815="",K815=""),"",IF(NOT(ISNUMBER(O815)),"Bad amount",IF(O815&lt;0,"Refund (not counted)",IF(O815=0,"Zero amount",IF(NOT(ISNUMBER(N815)),"Bad date",IF(P815="","NAME NOT ON ROSTER",IF(L815="","OK",IF(MATCH(L815,$L$2:$L$3001,0)&lt;ROW()-1,"Duplicate (ignored)","OK"))))))))</f>
        <v/>
      </c>
      <c r="I815">
        <f>IF(OC_Date=0,"",IF(INDEX('OneCause_Paste'!$A$815:$AZ$815,1,OC_Date)="","",INDEX('OneCause_Paste'!$A$815:$AZ$815,1,OC_Date)))</f>
        <v/>
      </c>
      <c r="J815">
        <f>IF(OC_Amt=0,"",IF(INDEX('OneCause_Paste'!$A$815:$AZ$815,1,OC_Amt)="","",INDEX('OneCause_Paste'!$A$815:$AZ$815,1,OC_Amt)))</f>
        <v/>
      </c>
      <c r="K815">
        <f>IF(OC_Name=0,"",IF(INDEX('OneCause_Paste'!$A$815:$AZ$815,1,OC_Name)="","",INDEX('OneCause_Paste'!$A$815:$AZ$815,1,OC_Name)))</f>
        <v/>
      </c>
      <c r="L815">
        <f>IF(OC_Txn=0,"",IF(INDEX('OneCause_Paste'!$A$815:$AZ$815,1,OC_Txn)="","",INDEX('OneCause_Paste'!$A$815:$AZ$815,1,OC_Txn)))</f>
        <v/>
      </c>
      <c r="M815">
        <f>IF(OC_Pay=0,"",IF(INDEX('OneCause_Paste'!$A$815:$AZ$815,1,OC_Pay)="","",INDEX('OneCause_Paste'!$A$815:$AZ$815,1,OC_Pay)))</f>
        <v/>
      </c>
      <c r="N815">
        <f>IF(I815="","",IF(ISNUMBER(I815),INT(I815),IFERROR(INT(DATEVALUE(I815)),IFERROR(INT(VALUE(I815)),"bad"))))</f>
        <v/>
      </c>
      <c r="O815">
        <f>IF(J815="","",IF(ISNUMBER(J815),ROUND(J815,2),IFERROR(ROUND(VALUE(SUBSTITUTE(SUBSTITUTE(SUBSTITUTE(J815,"$",""),",","")," ","")),2),"bad")))</f>
        <v/>
      </c>
      <c r="P815">
        <f>IF(TRIM(K815)="","",IFERROR(MATCH(LOWER(TRIM(K815)),'Students'!$AH$2:$AH$701,0),IFERROR(MATCH(LOWER(TRIM(K815)),'Students'!$AF$2:$AF$701,0),IFERROR(MATCH(LOWER(TRIM(K815)),'Students'!$AG$2:$AG$701,0),""))))</f>
        <v/>
      </c>
      <c r="R815">
        <f>IF(P815="","",INDEX('Students'!$AD$2:$AD$701,P815))</f>
        <v/>
      </c>
      <c r="S815">
        <f>IF(H815="OK",O815,0)</f>
        <v/>
      </c>
      <c r="T815">
        <f>IF(H815="OK",N815,"")</f>
        <v/>
      </c>
      <c r="U815">
        <f>IF(OC_Donor=0,"",IF(INDEX('OneCause_Paste'!$A$815:$AZ$815,1,OC_Donor)="","",INDEX('OneCause_Paste'!$A$815:$AZ$815,1,OC_Donor)))</f>
        <v/>
      </c>
    </row>
    <row r="816">
      <c r="A816" s="62">
        <f>IF(H816="","",IF(ISNUMBER(N816),N816,I816))</f>
        <v/>
      </c>
      <c r="B816">
        <f>IF(H816="","",U816)</f>
        <v/>
      </c>
      <c r="C816">
        <f>IF(H816="","",IF(P816="",K816,INDEX('Students'!$A$2:$A$701,P816)))</f>
        <v/>
      </c>
      <c r="D816">
        <f>IF(OR(H816="",P816=""),"",INDEX('Students'!$B$2:$B$701,P816))</f>
        <v/>
      </c>
      <c r="E816">
        <f>IF(OR(H816="",P816=""),"",INDEX('Students'!$C$2:$C$701,P816))</f>
        <v/>
      </c>
      <c r="F816" s="48">
        <f>IF(H816="","",IF(ISNUMBER(O816),O816,J816))</f>
        <v/>
      </c>
      <c r="G816">
        <f>IF(H816="","","OneCause")</f>
        <v/>
      </c>
      <c r="H816">
        <f>IF(AND(I816="",J816="",K816=""),"",IF(NOT(ISNUMBER(O816)),"Bad amount",IF(O816&lt;0,"Refund (not counted)",IF(O816=0,"Zero amount",IF(NOT(ISNUMBER(N816)),"Bad date",IF(P816="","NAME NOT ON ROSTER",IF(L816="","OK",IF(MATCH(L816,$L$2:$L$3001,0)&lt;ROW()-1,"Duplicate (ignored)","OK"))))))))</f>
        <v/>
      </c>
      <c r="I816">
        <f>IF(OC_Date=0,"",IF(INDEX('OneCause_Paste'!$A$816:$AZ$816,1,OC_Date)="","",INDEX('OneCause_Paste'!$A$816:$AZ$816,1,OC_Date)))</f>
        <v/>
      </c>
      <c r="J816">
        <f>IF(OC_Amt=0,"",IF(INDEX('OneCause_Paste'!$A$816:$AZ$816,1,OC_Amt)="","",INDEX('OneCause_Paste'!$A$816:$AZ$816,1,OC_Amt)))</f>
        <v/>
      </c>
      <c r="K816">
        <f>IF(OC_Name=0,"",IF(INDEX('OneCause_Paste'!$A$816:$AZ$816,1,OC_Name)="","",INDEX('OneCause_Paste'!$A$816:$AZ$816,1,OC_Name)))</f>
        <v/>
      </c>
      <c r="L816">
        <f>IF(OC_Txn=0,"",IF(INDEX('OneCause_Paste'!$A$816:$AZ$816,1,OC_Txn)="","",INDEX('OneCause_Paste'!$A$816:$AZ$816,1,OC_Txn)))</f>
        <v/>
      </c>
      <c r="M816">
        <f>IF(OC_Pay=0,"",IF(INDEX('OneCause_Paste'!$A$816:$AZ$816,1,OC_Pay)="","",INDEX('OneCause_Paste'!$A$816:$AZ$816,1,OC_Pay)))</f>
        <v/>
      </c>
      <c r="N816">
        <f>IF(I816="","",IF(ISNUMBER(I816),INT(I816),IFERROR(INT(DATEVALUE(I816)),IFERROR(INT(VALUE(I816)),"bad"))))</f>
        <v/>
      </c>
      <c r="O816">
        <f>IF(J816="","",IF(ISNUMBER(J816),ROUND(J816,2),IFERROR(ROUND(VALUE(SUBSTITUTE(SUBSTITUTE(SUBSTITUTE(J816,"$",""),",","")," ","")),2),"bad")))</f>
        <v/>
      </c>
      <c r="P816">
        <f>IF(TRIM(K816)="","",IFERROR(MATCH(LOWER(TRIM(K816)),'Students'!$AH$2:$AH$701,0),IFERROR(MATCH(LOWER(TRIM(K816)),'Students'!$AF$2:$AF$701,0),IFERROR(MATCH(LOWER(TRIM(K816)),'Students'!$AG$2:$AG$701,0),""))))</f>
        <v/>
      </c>
      <c r="R816">
        <f>IF(P816="","",INDEX('Students'!$AD$2:$AD$701,P816))</f>
        <v/>
      </c>
      <c r="S816">
        <f>IF(H816="OK",O816,0)</f>
        <v/>
      </c>
      <c r="T816">
        <f>IF(H816="OK",N816,"")</f>
        <v/>
      </c>
      <c r="U816">
        <f>IF(OC_Donor=0,"",IF(INDEX('OneCause_Paste'!$A$816:$AZ$816,1,OC_Donor)="","",INDEX('OneCause_Paste'!$A$816:$AZ$816,1,OC_Donor)))</f>
        <v/>
      </c>
    </row>
    <row r="817">
      <c r="A817" s="62">
        <f>IF(H817="","",IF(ISNUMBER(N817),N817,I817))</f>
        <v/>
      </c>
      <c r="B817">
        <f>IF(H817="","",U817)</f>
        <v/>
      </c>
      <c r="C817">
        <f>IF(H817="","",IF(P817="",K817,INDEX('Students'!$A$2:$A$701,P817)))</f>
        <v/>
      </c>
      <c r="D817">
        <f>IF(OR(H817="",P817=""),"",INDEX('Students'!$B$2:$B$701,P817))</f>
        <v/>
      </c>
      <c r="E817">
        <f>IF(OR(H817="",P817=""),"",INDEX('Students'!$C$2:$C$701,P817))</f>
        <v/>
      </c>
      <c r="F817" s="48">
        <f>IF(H817="","",IF(ISNUMBER(O817),O817,J817))</f>
        <v/>
      </c>
      <c r="G817">
        <f>IF(H817="","","OneCause")</f>
        <v/>
      </c>
      <c r="H817">
        <f>IF(AND(I817="",J817="",K817=""),"",IF(NOT(ISNUMBER(O817)),"Bad amount",IF(O817&lt;0,"Refund (not counted)",IF(O817=0,"Zero amount",IF(NOT(ISNUMBER(N817)),"Bad date",IF(P817="","NAME NOT ON ROSTER",IF(L817="","OK",IF(MATCH(L817,$L$2:$L$3001,0)&lt;ROW()-1,"Duplicate (ignored)","OK"))))))))</f>
        <v/>
      </c>
      <c r="I817">
        <f>IF(OC_Date=0,"",IF(INDEX('OneCause_Paste'!$A$817:$AZ$817,1,OC_Date)="","",INDEX('OneCause_Paste'!$A$817:$AZ$817,1,OC_Date)))</f>
        <v/>
      </c>
      <c r="J817">
        <f>IF(OC_Amt=0,"",IF(INDEX('OneCause_Paste'!$A$817:$AZ$817,1,OC_Amt)="","",INDEX('OneCause_Paste'!$A$817:$AZ$817,1,OC_Amt)))</f>
        <v/>
      </c>
      <c r="K817">
        <f>IF(OC_Name=0,"",IF(INDEX('OneCause_Paste'!$A$817:$AZ$817,1,OC_Name)="","",INDEX('OneCause_Paste'!$A$817:$AZ$817,1,OC_Name)))</f>
        <v/>
      </c>
      <c r="L817">
        <f>IF(OC_Txn=0,"",IF(INDEX('OneCause_Paste'!$A$817:$AZ$817,1,OC_Txn)="","",INDEX('OneCause_Paste'!$A$817:$AZ$817,1,OC_Txn)))</f>
        <v/>
      </c>
      <c r="M817">
        <f>IF(OC_Pay=0,"",IF(INDEX('OneCause_Paste'!$A$817:$AZ$817,1,OC_Pay)="","",INDEX('OneCause_Paste'!$A$817:$AZ$817,1,OC_Pay)))</f>
        <v/>
      </c>
      <c r="N817">
        <f>IF(I817="","",IF(ISNUMBER(I817),INT(I817),IFERROR(INT(DATEVALUE(I817)),IFERROR(INT(VALUE(I817)),"bad"))))</f>
        <v/>
      </c>
      <c r="O817">
        <f>IF(J817="","",IF(ISNUMBER(J817),ROUND(J817,2),IFERROR(ROUND(VALUE(SUBSTITUTE(SUBSTITUTE(SUBSTITUTE(J817,"$",""),",","")," ","")),2),"bad")))</f>
        <v/>
      </c>
      <c r="P817">
        <f>IF(TRIM(K817)="","",IFERROR(MATCH(LOWER(TRIM(K817)),'Students'!$AH$2:$AH$701,0),IFERROR(MATCH(LOWER(TRIM(K817)),'Students'!$AF$2:$AF$701,0),IFERROR(MATCH(LOWER(TRIM(K817)),'Students'!$AG$2:$AG$701,0),""))))</f>
        <v/>
      </c>
      <c r="R817">
        <f>IF(P817="","",INDEX('Students'!$AD$2:$AD$701,P817))</f>
        <v/>
      </c>
      <c r="S817">
        <f>IF(H817="OK",O817,0)</f>
        <v/>
      </c>
      <c r="T817">
        <f>IF(H817="OK",N817,"")</f>
        <v/>
      </c>
      <c r="U817">
        <f>IF(OC_Donor=0,"",IF(INDEX('OneCause_Paste'!$A$817:$AZ$817,1,OC_Donor)="","",INDEX('OneCause_Paste'!$A$817:$AZ$817,1,OC_Donor)))</f>
        <v/>
      </c>
    </row>
    <row r="818">
      <c r="A818" s="62">
        <f>IF(H818="","",IF(ISNUMBER(N818),N818,I818))</f>
        <v/>
      </c>
      <c r="B818">
        <f>IF(H818="","",U818)</f>
        <v/>
      </c>
      <c r="C818">
        <f>IF(H818="","",IF(P818="",K818,INDEX('Students'!$A$2:$A$701,P818)))</f>
        <v/>
      </c>
      <c r="D818">
        <f>IF(OR(H818="",P818=""),"",INDEX('Students'!$B$2:$B$701,P818))</f>
        <v/>
      </c>
      <c r="E818">
        <f>IF(OR(H818="",P818=""),"",INDEX('Students'!$C$2:$C$701,P818))</f>
        <v/>
      </c>
      <c r="F818" s="48">
        <f>IF(H818="","",IF(ISNUMBER(O818),O818,J818))</f>
        <v/>
      </c>
      <c r="G818">
        <f>IF(H818="","","OneCause")</f>
        <v/>
      </c>
      <c r="H818">
        <f>IF(AND(I818="",J818="",K818=""),"",IF(NOT(ISNUMBER(O818)),"Bad amount",IF(O818&lt;0,"Refund (not counted)",IF(O818=0,"Zero amount",IF(NOT(ISNUMBER(N818)),"Bad date",IF(P818="","NAME NOT ON ROSTER",IF(L818="","OK",IF(MATCH(L818,$L$2:$L$3001,0)&lt;ROW()-1,"Duplicate (ignored)","OK"))))))))</f>
        <v/>
      </c>
      <c r="I818">
        <f>IF(OC_Date=0,"",IF(INDEX('OneCause_Paste'!$A$818:$AZ$818,1,OC_Date)="","",INDEX('OneCause_Paste'!$A$818:$AZ$818,1,OC_Date)))</f>
        <v/>
      </c>
      <c r="J818">
        <f>IF(OC_Amt=0,"",IF(INDEX('OneCause_Paste'!$A$818:$AZ$818,1,OC_Amt)="","",INDEX('OneCause_Paste'!$A$818:$AZ$818,1,OC_Amt)))</f>
        <v/>
      </c>
      <c r="K818">
        <f>IF(OC_Name=0,"",IF(INDEX('OneCause_Paste'!$A$818:$AZ$818,1,OC_Name)="","",INDEX('OneCause_Paste'!$A$818:$AZ$818,1,OC_Name)))</f>
        <v/>
      </c>
      <c r="L818">
        <f>IF(OC_Txn=0,"",IF(INDEX('OneCause_Paste'!$A$818:$AZ$818,1,OC_Txn)="","",INDEX('OneCause_Paste'!$A$818:$AZ$818,1,OC_Txn)))</f>
        <v/>
      </c>
      <c r="M818">
        <f>IF(OC_Pay=0,"",IF(INDEX('OneCause_Paste'!$A$818:$AZ$818,1,OC_Pay)="","",INDEX('OneCause_Paste'!$A$818:$AZ$818,1,OC_Pay)))</f>
        <v/>
      </c>
      <c r="N818">
        <f>IF(I818="","",IF(ISNUMBER(I818),INT(I818),IFERROR(INT(DATEVALUE(I818)),IFERROR(INT(VALUE(I818)),"bad"))))</f>
        <v/>
      </c>
      <c r="O818">
        <f>IF(J818="","",IF(ISNUMBER(J818),ROUND(J818,2),IFERROR(ROUND(VALUE(SUBSTITUTE(SUBSTITUTE(SUBSTITUTE(J818,"$",""),",","")," ","")),2),"bad")))</f>
        <v/>
      </c>
      <c r="P818">
        <f>IF(TRIM(K818)="","",IFERROR(MATCH(LOWER(TRIM(K818)),'Students'!$AH$2:$AH$701,0),IFERROR(MATCH(LOWER(TRIM(K818)),'Students'!$AF$2:$AF$701,0),IFERROR(MATCH(LOWER(TRIM(K818)),'Students'!$AG$2:$AG$701,0),""))))</f>
        <v/>
      </c>
      <c r="R818">
        <f>IF(P818="","",INDEX('Students'!$AD$2:$AD$701,P818))</f>
        <v/>
      </c>
      <c r="S818">
        <f>IF(H818="OK",O818,0)</f>
        <v/>
      </c>
      <c r="T818">
        <f>IF(H818="OK",N818,"")</f>
        <v/>
      </c>
      <c r="U818">
        <f>IF(OC_Donor=0,"",IF(INDEX('OneCause_Paste'!$A$818:$AZ$818,1,OC_Donor)="","",INDEX('OneCause_Paste'!$A$818:$AZ$818,1,OC_Donor)))</f>
        <v/>
      </c>
    </row>
    <row r="819">
      <c r="A819" s="62">
        <f>IF(H819="","",IF(ISNUMBER(N819),N819,I819))</f>
        <v/>
      </c>
      <c r="B819">
        <f>IF(H819="","",U819)</f>
        <v/>
      </c>
      <c r="C819">
        <f>IF(H819="","",IF(P819="",K819,INDEX('Students'!$A$2:$A$701,P819)))</f>
        <v/>
      </c>
      <c r="D819">
        <f>IF(OR(H819="",P819=""),"",INDEX('Students'!$B$2:$B$701,P819))</f>
        <v/>
      </c>
      <c r="E819">
        <f>IF(OR(H819="",P819=""),"",INDEX('Students'!$C$2:$C$701,P819))</f>
        <v/>
      </c>
      <c r="F819" s="48">
        <f>IF(H819="","",IF(ISNUMBER(O819),O819,J819))</f>
        <v/>
      </c>
      <c r="G819">
        <f>IF(H819="","","OneCause")</f>
        <v/>
      </c>
      <c r="H819">
        <f>IF(AND(I819="",J819="",K819=""),"",IF(NOT(ISNUMBER(O819)),"Bad amount",IF(O819&lt;0,"Refund (not counted)",IF(O819=0,"Zero amount",IF(NOT(ISNUMBER(N819)),"Bad date",IF(P819="","NAME NOT ON ROSTER",IF(L819="","OK",IF(MATCH(L819,$L$2:$L$3001,0)&lt;ROW()-1,"Duplicate (ignored)","OK"))))))))</f>
        <v/>
      </c>
      <c r="I819">
        <f>IF(OC_Date=0,"",IF(INDEX('OneCause_Paste'!$A$819:$AZ$819,1,OC_Date)="","",INDEX('OneCause_Paste'!$A$819:$AZ$819,1,OC_Date)))</f>
        <v/>
      </c>
      <c r="J819">
        <f>IF(OC_Amt=0,"",IF(INDEX('OneCause_Paste'!$A$819:$AZ$819,1,OC_Amt)="","",INDEX('OneCause_Paste'!$A$819:$AZ$819,1,OC_Amt)))</f>
        <v/>
      </c>
      <c r="K819">
        <f>IF(OC_Name=0,"",IF(INDEX('OneCause_Paste'!$A$819:$AZ$819,1,OC_Name)="","",INDEX('OneCause_Paste'!$A$819:$AZ$819,1,OC_Name)))</f>
        <v/>
      </c>
      <c r="L819">
        <f>IF(OC_Txn=0,"",IF(INDEX('OneCause_Paste'!$A$819:$AZ$819,1,OC_Txn)="","",INDEX('OneCause_Paste'!$A$819:$AZ$819,1,OC_Txn)))</f>
        <v/>
      </c>
      <c r="M819">
        <f>IF(OC_Pay=0,"",IF(INDEX('OneCause_Paste'!$A$819:$AZ$819,1,OC_Pay)="","",INDEX('OneCause_Paste'!$A$819:$AZ$819,1,OC_Pay)))</f>
        <v/>
      </c>
      <c r="N819">
        <f>IF(I819="","",IF(ISNUMBER(I819),INT(I819),IFERROR(INT(DATEVALUE(I819)),IFERROR(INT(VALUE(I819)),"bad"))))</f>
        <v/>
      </c>
      <c r="O819">
        <f>IF(J819="","",IF(ISNUMBER(J819),ROUND(J819,2),IFERROR(ROUND(VALUE(SUBSTITUTE(SUBSTITUTE(SUBSTITUTE(J819,"$",""),",","")," ","")),2),"bad")))</f>
        <v/>
      </c>
      <c r="P819">
        <f>IF(TRIM(K819)="","",IFERROR(MATCH(LOWER(TRIM(K819)),'Students'!$AH$2:$AH$701,0),IFERROR(MATCH(LOWER(TRIM(K819)),'Students'!$AF$2:$AF$701,0),IFERROR(MATCH(LOWER(TRIM(K819)),'Students'!$AG$2:$AG$701,0),""))))</f>
        <v/>
      </c>
      <c r="R819">
        <f>IF(P819="","",INDEX('Students'!$AD$2:$AD$701,P819))</f>
        <v/>
      </c>
      <c r="S819">
        <f>IF(H819="OK",O819,0)</f>
        <v/>
      </c>
      <c r="T819">
        <f>IF(H819="OK",N819,"")</f>
        <v/>
      </c>
      <c r="U819">
        <f>IF(OC_Donor=0,"",IF(INDEX('OneCause_Paste'!$A$819:$AZ$819,1,OC_Donor)="","",INDEX('OneCause_Paste'!$A$819:$AZ$819,1,OC_Donor)))</f>
        <v/>
      </c>
    </row>
    <row r="820">
      <c r="A820" s="62">
        <f>IF(H820="","",IF(ISNUMBER(N820),N820,I820))</f>
        <v/>
      </c>
      <c r="B820">
        <f>IF(H820="","",U820)</f>
        <v/>
      </c>
      <c r="C820">
        <f>IF(H820="","",IF(P820="",K820,INDEX('Students'!$A$2:$A$701,P820)))</f>
        <v/>
      </c>
      <c r="D820">
        <f>IF(OR(H820="",P820=""),"",INDEX('Students'!$B$2:$B$701,P820))</f>
        <v/>
      </c>
      <c r="E820">
        <f>IF(OR(H820="",P820=""),"",INDEX('Students'!$C$2:$C$701,P820))</f>
        <v/>
      </c>
      <c r="F820" s="48">
        <f>IF(H820="","",IF(ISNUMBER(O820),O820,J820))</f>
        <v/>
      </c>
      <c r="G820">
        <f>IF(H820="","","OneCause")</f>
        <v/>
      </c>
      <c r="H820">
        <f>IF(AND(I820="",J820="",K820=""),"",IF(NOT(ISNUMBER(O820)),"Bad amount",IF(O820&lt;0,"Refund (not counted)",IF(O820=0,"Zero amount",IF(NOT(ISNUMBER(N820)),"Bad date",IF(P820="","NAME NOT ON ROSTER",IF(L820="","OK",IF(MATCH(L820,$L$2:$L$3001,0)&lt;ROW()-1,"Duplicate (ignored)","OK"))))))))</f>
        <v/>
      </c>
      <c r="I820">
        <f>IF(OC_Date=0,"",IF(INDEX('OneCause_Paste'!$A$820:$AZ$820,1,OC_Date)="","",INDEX('OneCause_Paste'!$A$820:$AZ$820,1,OC_Date)))</f>
        <v/>
      </c>
      <c r="J820">
        <f>IF(OC_Amt=0,"",IF(INDEX('OneCause_Paste'!$A$820:$AZ$820,1,OC_Amt)="","",INDEX('OneCause_Paste'!$A$820:$AZ$820,1,OC_Amt)))</f>
        <v/>
      </c>
      <c r="K820">
        <f>IF(OC_Name=0,"",IF(INDEX('OneCause_Paste'!$A$820:$AZ$820,1,OC_Name)="","",INDEX('OneCause_Paste'!$A$820:$AZ$820,1,OC_Name)))</f>
        <v/>
      </c>
      <c r="L820">
        <f>IF(OC_Txn=0,"",IF(INDEX('OneCause_Paste'!$A$820:$AZ$820,1,OC_Txn)="","",INDEX('OneCause_Paste'!$A$820:$AZ$820,1,OC_Txn)))</f>
        <v/>
      </c>
      <c r="M820">
        <f>IF(OC_Pay=0,"",IF(INDEX('OneCause_Paste'!$A$820:$AZ$820,1,OC_Pay)="","",INDEX('OneCause_Paste'!$A$820:$AZ$820,1,OC_Pay)))</f>
        <v/>
      </c>
      <c r="N820">
        <f>IF(I820="","",IF(ISNUMBER(I820),INT(I820),IFERROR(INT(DATEVALUE(I820)),IFERROR(INT(VALUE(I820)),"bad"))))</f>
        <v/>
      </c>
      <c r="O820">
        <f>IF(J820="","",IF(ISNUMBER(J820),ROUND(J820,2),IFERROR(ROUND(VALUE(SUBSTITUTE(SUBSTITUTE(SUBSTITUTE(J820,"$",""),",","")," ","")),2),"bad")))</f>
        <v/>
      </c>
      <c r="P820">
        <f>IF(TRIM(K820)="","",IFERROR(MATCH(LOWER(TRIM(K820)),'Students'!$AH$2:$AH$701,0),IFERROR(MATCH(LOWER(TRIM(K820)),'Students'!$AF$2:$AF$701,0),IFERROR(MATCH(LOWER(TRIM(K820)),'Students'!$AG$2:$AG$701,0),""))))</f>
        <v/>
      </c>
      <c r="R820">
        <f>IF(P820="","",INDEX('Students'!$AD$2:$AD$701,P820))</f>
        <v/>
      </c>
      <c r="S820">
        <f>IF(H820="OK",O820,0)</f>
        <v/>
      </c>
      <c r="T820">
        <f>IF(H820="OK",N820,"")</f>
        <v/>
      </c>
      <c r="U820">
        <f>IF(OC_Donor=0,"",IF(INDEX('OneCause_Paste'!$A$820:$AZ$820,1,OC_Donor)="","",INDEX('OneCause_Paste'!$A$820:$AZ$820,1,OC_Donor)))</f>
        <v/>
      </c>
    </row>
    <row r="821">
      <c r="A821" s="62">
        <f>IF(H821="","",IF(ISNUMBER(N821),N821,I821))</f>
        <v/>
      </c>
      <c r="B821">
        <f>IF(H821="","",U821)</f>
        <v/>
      </c>
      <c r="C821">
        <f>IF(H821="","",IF(P821="",K821,INDEX('Students'!$A$2:$A$701,P821)))</f>
        <v/>
      </c>
      <c r="D821">
        <f>IF(OR(H821="",P821=""),"",INDEX('Students'!$B$2:$B$701,P821))</f>
        <v/>
      </c>
      <c r="E821">
        <f>IF(OR(H821="",P821=""),"",INDEX('Students'!$C$2:$C$701,P821))</f>
        <v/>
      </c>
      <c r="F821" s="48">
        <f>IF(H821="","",IF(ISNUMBER(O821),O821,J821))</f>
        <v/>
      </c>
      <c r="G821">
        <f>IF(H821="","","OneCause")</f>
        <v/>
      </c>
      <c r="H821">
        <f>IF(AND(I821="",J821="",K821=""),"",IF(NOT(ISNUMBER(O821)),"Bad amount",IF(O821&lt;0,"Refund (not counted)",IF(O821=0,"Zero amount",IF(NOT(ISNUMBER(N821)),"Bad date",IF(P821="","NAME NOT ON ROSTER",IF(L821="","OK",IF(MATCH(L821,$L$2:$L$3001,0)&lt;ROW()-1,"Duplicate (ignored)","OK"))))))))</f>
        <v/>
      </c>
      <c r="I821">
        <f>IF(OC_Date=0,"",IF(INDEX('OneCause_Paste'!$A$821:$AZ$821,1,OC_Date)="","",INDEX('OneCause_Paste'!$A$821:$AZ$821,1,OC_Date)))</f>
        <v/>
      </c>
      <c r="J821">
        <f>IF(OC_Amt=0,"",IF(INDEX('OneCause_Paste'!$A$821:$AZ$821,1,OC_Amt)="","",INDEX('OneCause_Paste'!$A$821:$AZ$821,1,OC_Amt)))</f>
        <v/>
      </c>
      <c r="K821">
        <f>IF(OC_Name=0,"",IF(INDEX('OneCause_Paste'!$A$821:$AZ$821,1,OC_Name)="","",INDEX('OneCause_Paste'!$A$821:$AZ$821,1,OC_Name)))</f>
        <v/>
      </c>
      <c r="L821">
        <f>IF(OC_Txn=0,"",IF(INDEX('OneCause_Paste'!$A$821:$AZ$821,1,OC_Txn)="","",INDEX('OneCause_Paste'!$A$821:$AZ$821,1,OC_Txn)))</f>
        <v/>
      </c>
      <c r="M821">
        <f>IF(OC_Pay=0,"",IF(INDEX('OneCause_Paste'!$A$821:$AZ$821,1,OC_Pay)="","",INDEX('OneCause_Paste'!$A$821:$AZ$821,1,OC_Pay)))</f>
        <v/>
      </c>
      <c r="N821">
        <f>IF(I821="","",IF(ISNUMBER(I821),INT(I821),IFERROR(INT(DATEVALUE(I821)),IFERROR(INT(VALUE(I821)),"bad"))))</f>
        <v/>
      </c>
      <c r="O821">
        <f>IF(J821="","",IF(ISNUMBER(J821),ROUND(J821,2),IFERROR(ROUND(VALUE(SUBSTITUTE(SUBSTITUTE(SUBSTITUTE(J821,"$",""),",","")," ","")),2),"bad")))</f>
        <v/>
      </c>
      <c r="P821">
        <f>IF(TRIM(K821)="","",IFERROR(MATCH(LOWER(TRIM(K821)),'Students'!$AH$2:$AH$701,0),IFERROR(MATCH(LOWER(TRIM(K821)),'Students'!$AF$2:$AF$701,0),IFERROR(MATCH(LOWER(TRIM(K821)),'Students'!$AG$2:$AG$701,0),""))))</f>
        <v/>
      </c>
      <c r="R821">
        <f>IF(P821="","",INDEX('Students'!$AD$2:$AD$701,P821))</f>
        <v/>
      </c>
      <c r="S821">
        <f>IF(H821="OK",O821,0)</f>
        <v/>
      </c>
      <c r="T821">
        <f>IF(H821="OK",N821,"")</f>
        <v/>
      </c>
      <c r="U821">
        <f>IF(OC_Donor=0,"",IF(INDEX('OneCause_Paste'!$A$821:$AZ$821,1,OC_Donor)="","",INDEX('OneCause_Paste'!$A$821:$AZ$821,1,OC_Donor)))</f>
        <v/>
      </c>
    </row>
    <row r="822">
      <c r="A822" s="62">
        <f>IF(H822="","",IF(ISNUMBER(N822),N822,I822))</f>
        <v/>
      </c>
      <c r="B822">
        <f>IF(H822="","",U822)</f>
        <v/>
      </c>
      <c r="C822">
        <f>IF(H822="","",IF(P822="",K822,INDEX('Students'!$A$2:$A$701,P822)))</f>
        <v/>
      </c>
      <c r="D822">
        <f>IF(OR(H822="",P822=""),"",INDEX('Students'!$B$2:$B$701,P822))</f>
        <v/>
      </c>
      <c r="E822">
        <f>IF(OR(H822="",P822=""),"",INDEX('Students'!$C$2:$C$701,P822))</f>
        <v/>
      </c>
      <c r="F822" s="48">
        <f>IF(H822="","",IF(ISNUMBER(O822),O822,J822))</f>
        <v/>
      </c>
      <c r="G822">
        <f>IF(H822="","","OneCause")</f>
        <v/>
      </c>
      <c r="H822">
        <f>IF(AND(I822="",J822="",K822=""),"",IF(NOT(ISNUMBER(O822)),"Bad amount",IF(O822&lt;0,"Refund (not counted)",IF(O822=0,"Zero amount",IF(NOT(ISNUMBER(N822)),"Bad date",IF(P822="","NAME NOT ON ROSTER",IF(L822="","OK",IF(MATCH(L822,$L$2:$L$3001,0)&lt;ROW()-1,"Duplicate (ignored)","OK"))))))))</f>
        <v/>
      </c>
      <c r="I822">
        <f>IF(OC_Date=0,"",IF(INDEX('OneCause_Paste'!$A$822:$AZ$822,1,OC_Date)="","",INDEX('OneCause_Paste'!$A$822:$AZ$822,1,OC_Date)))</f>
        <v/>
      </c>
      <c r="J822">
        <f>IF(OC_Amt=0,"",IF(INDEX('OneCause_Paste'!$A$822:$AZ$822,1,OC_Amt)="","",INDEX('OneCause_Paste'!$A$822:$AZ$822,1,OC_Amt)))</f>
        <v/>
      </c>
      <c r="K822">
        <f>IF(OC_Name=0,"",IF(INDEX('OneCause_Paste'!$A$822:$AZ$822,1,OC_Name)="","",INDEX('OneCause_Paste'!$A$822:$AZ$822,1,OC_Name)))</f>
        <v/>
      </c>
      <c r="L822">
        <f>IF(OC_Txn=0,"",IF(INDEX('OneCause_Paste'!$A$822:$AZ$822,1,OC_Txn)="","",INDEX('OneCause_Paste'!$A$822:$AZ$822,1,OC_Txn)))</f>
        <v/>
      </c>
      <c r="M822">
        <f>IF(OC_Pay=0,"",IF(INDEX('OneCause_Paste'!$A$822:$AZ$822,1,OC_Pay)="","",INDEX('OneCause_Paste'!$A$822:$AZ$822,1,OC_Pay)))</f>
        <v/>
      </c>
      <c r="N822">
        <f>IF(I822="","",IF(ISNUMBER(I822),INT(I822),IFERROR(INT(DATEVALUE(I822)),IFERROR(INT(VALUE(I822)),"bad"))))</f>
        <v/>
      </c>
      <c r="O822">
        <f>IF(J822="","",IF(ISNUMBER(J822),ROUND(J822,2),IFERROR(ROUND(VALUE(SUBSTITUTE(SUBSTITUTE(SUBSTITUTE(J822,"$",""),",","")," ","")),2),"bad")))</f>
        <v/>
      </c>
      <c r="P822">
        <f>IF(TRIM(K822)="","",IFERROR(MATCH(LOWER(TRIM(K822)),'Students'!$AH$2:$AH$701,0),IFERROR(MATCH(LOWER(TRIM(K822)),'Students'!$AF$2:$AF$701,0),IFERROR(MATCH(LOWER(TRIM(K822)),'Students'!$AG$2:$AG$701,0),""))))</f>
        <v/>
      </c>
      <c r="R822">
        <f>IF(P822="","",INDEX('Students'!$AD$2:$AD$701,P822))</f>
        <v/>
      </c>
      <c r="S822">
        <f>IF(H822="OK",O822,0)</f>
        <v/>
      </c>
      <c r="T822">
        <f>IF(H822="OK",N822,"")</f>
        <v/>
      </c>
      <c r="U822">
        <f>IF(OC_Donor=0,"",IF(INDEX('OneCause_Paste'!$A$822:$AZ$822,1,OC_Donor)="","",INDEX('OneCause_Paste'!$A$822:$AZ$822,1,OC_Donor)))</f>
        <v/>
      </c>
    </row>
    <row r="823">
      <c r="A823" s="62">
        <f>IF(H823="","",IF(ISNUMBER(N823),N823,I823))</f>
        <v/>
      </c>
      <c r="B823">
        <f>IF(H823="","",U823)</f>
        <v/>
      </c>
      <c r="C823">
        <f>IF(H823="","",IF(P823="",K823,INDEX('Students'!$A$2:$A$701,P823)))</f>
        <v/>
      </c>
      <c r="D823">
        <f>IF(OR(H823="",P823=""),"",INDEX('Students'!$B$2:$B$701,P823))</f>
        <v/>
      </c>
      <c r="E823">
        <f>IF(OR(H823="",P823=""),"",INDEX('Students'!$C$2:$C$701,P823))</f>
        <v/>
      </c>
      <c r="F823" s="48">
        <f>IF(H823="","",IF(ISNUMBER(O823),O823,J823))</f>
        <v/>
      </c>
      <c r="G823">
        <f>IF(H823="","","OneCause")</f>
        <v/>
      </c>
      <c r="H823">
        <f>IF(AND(I823="",J823="",K823=""),"",IF(NOT(ISNUMBER(O823)),"Bad amount",IF(O823&lt;0,"Refund (not counted)",IF(O823=0,"Zero amount",IF(NOT(ISNUMBER(N823)),"Bad date",IF(P823="","NAME NOT ON ROSTER",IF(L823="","OK",IF(MATCH(L823,$L$2:$L$3001,0)&lt;ROW()-1,"Duplicate (ignored)","OK"))))))))</f>
        <v/>
      </c>
      <c r="I823">
        <f>IF(OC_Date=0,"",IF(INDEX('OneCause_Paste'!$A$823:$AZ$823,1,OC_Date)="","",INDEX('OneCause_Paste'!$A$823:$AZ$823,1,OC_Date)))</f>
        <v/>
      </c>
      <c r="J823">
        <f>IF(OC_Amt=0,"",IF(INDEX('OneCause_Paste'!$A$823:$AZ$823,1,OC_Amt)="","",INDEX('OneCause_Paste'!$A$823:$AZ$823,1,OC_Amt)))</f>
        <v/>
      </c>
      <c r="K823">
        <f>IF(OC_Name=0,"",IF(INDEX('OneCause_Paste'!$A$823:$AZ$823,1,OC_Name)="","",INDEX('OneCause_Paste'!$A$823:$AZ$823,1,OC_Name)))</f>
        <v/>
      </c>
      <c r="L823">
        <f>IF(OC_Txn=0,"",IF(INDEX('OneCause_Paste'!$A$823:$AZ$823,1,OC_Txn)="","",INDEX('OneCause_Paste'!$A$823:$AZ$823,1,OC_Txn)))</f>
        <v/>
      </c>
      <c r="M823">
        <f>IF(OC_Pay=0,"",IF(INDEX('OneCause_Paste'!$A$823:$AZ$823,1,OC_Pay)="","",INDEX('OneCause_Paste'!$A$823:$AZ$823,1,OC_Pay)))</f>
        <v/>
      </c>
      <c r="N823">
        <f>IF(I823="","",IF(ISNUMBER(I823),INT(I823),IFERROR(INT(DATEVALUE(I823)),IFERROR(INT(VALUE(I823)),"bad"))))</f>
        <v/>
      </c>
      <c r="O823">
        <f>IF(J823="","",IF(ISNUMBER(J823),ROUND(J823,2),IFERROR(ROUND(VALUE(SUBSTITUTE(SUBSTITUTE(SUBSTITUTE(J823,"$",""),",","")," ","")),2),"bad")))</f>
        <v/>
      </c>
      <c r="P823">
        <f>IF(TRIM(K823)="","",IFERROR(MATCH(LOWER(TRIM(K823)),'Students'!$AH$2:$AH$701,0),IFERROR(MATCH(LOWER(TRIM(K823)),'Students'!$AF$2:$AF$701,0),IFERROR(MATCH(LOWER(TRIM(K823)),'Students'!$AG$2:$AG$701,0),""))))</f>
        <v/>
      </c>
      <c r="R823">
        <f>IF(P823="","",INDEX('Students'!$AD$2:$AD$701,P823))</f>
        <v/>
      </c>
      <c r="S823">
        <f>IF(H823="OK",O823,0)</f>
        <v/>
      </c>
      <c r="T823">
        <f>IF(H823="OK",N823,"")</f>
        <v/>
      </c>
      <c r="U823">
        <f>IF(OC_Donor=0,"",IF(INDEX('OneCause_Paste'!$A$823:$AZ$823,1,OC_Donor)="","",INDEX('OneCause_Paste'!$A$823:$AZ$823,1,OC_Donor)))</f>
        <v/>
      </c>
    </row>
    <row r="824">
      <c r="A824" s="62">
        <f>IF(H824="","",IF(ISNUMBER(N824),N824,I824))</f>
        <v/>
      </c>
      <c r="B824">
        <f>IF(H824="","",U824)</f>
        <v/>
      </c>
      <c r="C824">
        <f>IF(H824="","",IF(P824="",K824,INDEX('Students'!$A$2:$A$701,P824)))</f>
        <v/>
      </c>
      <c r="D824">
        <f>IF(OR(H824="",P824=""),"",INDEX('Students'!$B$2:$B$701,P824))</f>
        <v/>
      </c>
      <c r="E824">
        <f>IF(OR(H824="",P824=""),"",INDEX('Students'!$C$2:$C$701,P824))</f>
        <v/>
      </c>
      <c r="F824" s="48">
        <f>IF(H824="","",IF(ISNUMBER(O824),O824,J824))</f>
        <v/>
      </c>
      <c r="G824">
        <f>IF(H824="","","OneCause")</f>
        <v/>
      </c>
      <c r="H824">
        <f>IF(AND(I824="",J824="",K824=""),"",IF(NOT(ISNUMBER(O824)),"Bad amount",IF(O824&lt;0,"Refund (not counted)",IF(O824=0,"Zero amount",IF(NOT(ISNUMBER(N824)),"Bad date",IF(P824="","NAME NOT ON ROSTER",IF(L824="","OK",IF(MATCH(L824,$L$2:$L$3001,0)&lt;ROW()-1,"Duplicate (ignored)","OK"))))))))</f>
        <v/>
      </c>
      <c r="I824">
        <f>IF(OC_Date=0,"",IF(INDEX('OneCause_Paste'!$A$824:$AZ$824,1,OC_Date)="","",INDEX('OneCause_Paste'!$A$824:$AZ$824,1,OC_Date)))</f>
        <v/>
      </c>
      <c r="J824">
        <f>IF(OC_Amt=0,"",IF(INDEX('OneCause_Paste'!$A$824:$AZ$824,1,OC_Amt)="","",INDEX('OneCause_Paste'!$A$824:$AZ$824,1,OC_Amt)))</f>
        <v/>
      </c>
      <c r="K824">
        <f>IF(OC_Name=0,"",IF(INDEX('OneCause_Paste'!$A$824:$AZ$824,1,OC_Name)="","",INDEX('OneCause_Paste'!$A$824:$AZ$824,1,OC_Name)))</f>
        <v/>
      </c>
      <c r="L824">
        <f>IF(OC_Txn=0,"",IF(INDEX('OneCause_Paste'!$A$824:$AZ$824,1,OC_Txn)="","",INDEX('OneCause_Paste'!$A$824:$AZ$824,1,OC_Txn)))</f>
        <v/>
      </c>
      <c r="M824">
        <f>IF(OC_Pay=0,"",IF(INDEX('OneCause_Paste'!$A$824:$AZ$824,1,OC_Pay)="","",INDEX('OneCause_Paste'!$A$824:$AZ$824,1,OC_Pay)))</f>
        <v/>
      </c>
      <c r="N824">
        <f>IF(I824="","",IF(ISNUMBER(I824),INT(I824),IFERROR(INT(DATEVALUE(I824)),IFERROR(INT(VALUE(I824)),"bad"))))</f>
        <v/>
      </c>
      <c r="O824">
        <f>IF(J824="","",IF(ISNUMBER(J824),ROUND(J824,2),IFERROR(ROUND(VALUE(SUBSTITUTE(SUBSTITUTE(SUBSTITUTE(J824,"$",""),",","")," ","")),2),"bad")))</f>
        <v/>
      </c>
      <c r="P824">
        <f>IF(TRIM(K824)="","",IFERROR(MATCH(LOWER(TRIM(K824)),'Students'!$AH$2:$AH$701,0),IFERROR(MATCH(LOWER(TRIM(K824)),'Students'!$AF$2:$AF$701,0),IFERROR(MATCH(LOWER(TRIM(K824)),'Students'!$AG$2:$AG$701,0),""))))</f>
        <v/>
      </c>
      <c r="R824">
        <f>IF(P824="","",INDEX('Students'!$AD$2:$AD$701,P824))</f>
        <v/>
      </c>
      <c r="S824">
        <f>IF(H824="OK",O824,0)</f>
        <v/>
      </c>
      <c r="T824">
        <f>IF(H824="OK",N824,"")</f>
        <v/>
      </c>
      <c r="U824">
        <f>IF(OC_Donor=0,"",IF(INDEX('OneCause_Paste'!$A$824:$AZ$824,1,OC_Donor)="","",INDEX('OneCause_Paste'!$A$824:$AZ$824,1,OC_Donor)))</f>
        <v/>
      </c>
    </row>
    <row r="825">
      <c r="A825" s="62">
        <f>IF(H825="","",IF(ISNUMBER(N825),N825,I825))</f>
        <v/>
      </c>
      <c r="B825">
        <f>IF(H825="","",U825)</f>
        <v/>
      </c>
      <c r="C825">
        <f>IF(H825="","",IF(P825="",K825,INDEX('Students'!$A$2:$A$701,P825)))</f>
        <v/>
      </c>
      <c r="D825">
        <f>IF(OR(H825="",P825=""),"",INDEX('Students'!$B$2:$B$701,P825))</f>
        <v/>
      </c>
      <c r="E825">
        <f>IF(OR(H825="",P825=""),"",INDEX('Students'!$C$2:$C$701,P825))</f>
        <v/>
      </c>
      <c r="F825" s="48">
        <f>IF(H825="","",IF(ISNUMBER(O825),O825,J825))</f>
        <v/>
      </c>
      <c r="G825">
        <f>IF(H825="","","OneCause")</f>
        <v/>
      </c>
      <c r="H825">
        <f>IF(AND(I825="",J825="",K825=""),"",IF(NOT(ISNUMBER(O825)),"Bad amount",IF(O825&lt;0,"Refund (not counted)",IF(O825=0,"Zero amount",IF(NOT(ISNUMBER(N825)),"Bad date",IF(P825="","NAME NOT ON ROSTER",IF(L825="","OK",IF(MATCH(L825,$L$2:$L$3001,0)&lt;ROW()-1,"Duplicate (ignored)","OK"))))))))</f>
        <v/>
      </c>
      <c r="I825">
        <f>IF(OC_Date=0,"",IF(INDEX('OneCause_Paste'!$A$825:$AZ$825,1,OC_Date)="","",INDEX('OneCause_Paste'!$A$825:$AZ$825,1,OC_Date)))</f>
        <v/>
      </c>
      <c r="J825">
        <f>IF(OC_Amt=0,"",IF(INDEX('OneCause_Paste'!$A$825:$AZ$825,1,OC_Amt)="","",INDEX('OneCause_Paste'!$A$825:$AZ$825,1,OC_Amt)))</f>
        <v/>
      </c>
      <c r="K825">
        <f>IF(OC_Name=0,"",IF(INDEX('OneCause_Paste'!$A$825:$AZ$825,1,OC_Name)="","",INDEX('OneCause_Paste'!$A$825:$AZ$825,1,OC_Name)))</f>
        <v/>
      </c>
      <c r="L825">
        <f>IF(OC_Txn=0,"",IF(INDEX('OneCause_Paste'!$A$825:$AZ$825,1,OC_Txn)="","",INDEX('OneCause_Paste'!$A$825:$AZ$825,1,OC_Txn)))</f>
        <v/>
      </c>
      <c r="M825">
        <f>IF(OC_Pay=0,"",IF(INDEX('OneCause_Paste'!$A$825:$AZ$825,1,OC_Pay)="","",INDEX('OneCause_Paste'!$A$825:$AZ$825,1,OC_Pay)))</f>
        <v/>
      </c>
      <c r="N825">
        <f>IF(I825="","",IF(ISNUMBER(I825),INT(I825),IFERROR(INT(DATEVALUE(I825)),IFERROR(INT(VALUE(I825)),"bad"))))</f>
        <v/>
      </c>
      <c r="O825">
        <f>IF(J825="","",IF(ISNUMBER(J825),ROUND(J825,2),IFERROR(ROUND(VALUE(SUBSTITUTE(SUBSTITUTE(SUBSTITUTE(J825,"$",""),",","")," ","")),2),"bad")))</f>
        <v/>
      </c>
      <c r="P825">
        <f>IF(TRIM(K825)="","",IFERROR(MATCH(LOWER(TRIM(K825)),'Students'!$AH$2:$AH$701,0),IFERROR(MATCH(LOWER(TRIM(K825)),'Students'!$AF$2:$AF$701,0),IFERROR(MATCH(LOWER(TRIM(K825)),'Students'!$AG$2:$AG$701,0),""))))</f>
        <v/>
      </c>
      <c r="R825">
        <f>IF(P825="","",INDEX('Students'!$AD$2:$AD$701,P825))</f>
        <v/>
      </c>
      <c r="S825">
        <f>IF(H825="OK",O825,0)</f>
        <v/>
      </c>
      <c r="T825">
        <f>IF(H825="OK",N825,"")</f>
        <v/>
      </c>
      <c r="U825">
        <f>IF(OC_Donor=0,"",IF(INDEX('OneCause_Paste'!$A$825:$AZ$825,1,OC_Donor)="","",INDEX('OneCause_Paste'!$A$825:$AZ$825,1,OC_Donor)))</f>
        <v/>
      </c>
    </row>
    <row r="826">
      <c r="A826" s="62">
        <f>IF(H826="","",IF(ISNUMBER(N826),N826,I826))</f>
        <v/>
      </c>
      <c r="B826">
        <f>IF(H826="","",U826)</f>
        <v/>
      </c>
      <c r="C826">
        <f>IF(H826="","",IF(P826="",K826,INDEX('Students'!$A$2:$A$701,P826)))</f>
        <v/>
      </c>
      <c r="D826">
        <f>IF(OR(H826="",P826=""),"",INDEX('Students'!$B$2:$B$701,P826))</f>
        <v/>
      </c>
      <c r="E826">
        <f>IF(OR(H826="",P826=""),"",INDEX('Students'!$C$2:$C$701,P826))</f>
        <v/>
      </c>
      <c r="F826" s="48">
        <f>IF(H826="","",IF(ISNUMBER(O826),O826,J826))</f>
        <v/>
      </c>
      <c r="G826">
        <f>IF(H826="","","OneCause")</f>
        <v/>
      </c>
      <c r="H826">
        <f>IF(AND(I826="",J826="",K826=""),"",IF(NOT(ISNUMBER(O826)),"Bad amount",IF(O826&lt;0,"Refund (not counted)",IF(O826=0,"Zero amount",IF(NOT(ISNUMBER(N826)),"Bad date",IF(P826="","NAME NOT ON ROSTER",IF(L826="","OK",IF(MATCH(L826,$L$2:$L$3001,0)&lt;ROW()-1,"Duplicate (ignored)","OK"))))))))</f>
        <v/>
      </c>
      <c r="I826">
        <f>IF(OC_Date=0,"",IF(INDEX('OneCause_Paste'!$A$826:$AZ$826,1,OC_Date)="","",INDEX('OneCause_Paste'!$A$826:$AZ$826,1,OC_Date)))</f>
        <v/>
      </c>
      <c r="J826">
        <f>IF(OC_Amt=0,"",IF(INDEX('OneCause_Paste'!$A$826:$AZ$826,1,OC_Amt)="","",INDEX('OneCause_Paste'!$A$826:$AZ$826,1,OC_Amt)))</f>
        <v/>
      </c>
      <c r="K826">
        <f>IF(OC_Name=0,"",IF(INDEX('OneCause_Paste'!$A$826:$AZ$826,1,OC_Name)="","",INDEX('OneCause_Paste'!$A$826:$AZ$826,1,OC_Name)))</f>
        <v/>
      </c>
      <c r="L826">
        <f>IF(OC_Txn=0,"",IF(INDEX('OneCause_Paste'!$A$826:$AZ$826,1,OC_Txn)="","",INDEX('OneCause_Paste'!$A$826:$AZ$826,1,OC_Txn)))</f>
        <v/>
      </c>
      <c r="M826">
        <f>IF(OC_Pay=0,"",IF(INDEX('OneCause_Paste'!$A$826:$AZ$826,1,OC_Pay)="","",INDEX('OneCause_Paste'!$A$826:$AZ$826,1,OC_Pay)))</f>
        <v/>
      </c>
      <c r="N826">
        <f>IF(I826="","",IF(ISNUMBER(I826),INT(I826),IFERROR(INT(DATEVALUE(I826)),IFERROR(INT(VALUE(I826)),"bad"))))</f>
        <v/>
      </c>
      <c r="O826">
        <f>IF(J826="","",IF(ISNUMBER(J826),ROUND(J826,2),IFERROR(ROUND(VALUE(SUBSTITUTE(SUBSTITUTE(SUBSTITUTE(J826,"$",""),",","")," ","")),2),"bad")))</f>
        <v/>
      </c>
      <c r="P826">
        <f>IF(TRIM(K826)="","",IFERROR(MATCH(LOWER(TRIM(K826)),'Students'!$AH$2:$AH$701,0),IFERROR(MATCH(LOWER(TRIM(K826)),'Students'!$AF$2:$AF$701,0),IFERROR(MATCH(LOWER(TRIM(K826)),'Students'!$AG$2:$AG$701,0),""))))</f>
        <v/>
      </c>
      <c r="R826">
        <f>IF(P826="","",INDEX('Students'!$AD$2:$AD$701,P826))</f>
        <v/>
      </c>
      <c r="S826">
        <f>IF(H826="OK",O826,0)</f>
        <v/>
      </c>
      <c r="T826">
        <f>IF(H826="OK",N826,"")</f>
        <v/>
      </c>
      <c r="U826">
        <f>IF(OC_Donor=0,"",IF(INDEX('OneCause_Paste'!$A$826:$AZ$826,1,OC_Donor)="","",INDEX('OneCause_Paste'!$A$826:$AZ$826,1,OC_Donor)))</f>
        <v/>
      </c>
    </row>
    <row r="827">
      <c r="A827" s="62">
        <f>IF(H827="","",IF(ISNUMBER(N827),N827,I827))</f>
        <v/>
      </c>
      <c r="B827">
        <f>IF(H827="","",U827)</f>
        <v/>
      </c>
      <c r="C827">
        <f>IF(H827="","",IF(P827="",K827,INDEX('Students'!$A$2:$A$701,P827)))</f>
        <v/>
      </c>
      <c r="D827">
        <f>IF(OR(H827="",P827=""),"",INDEX('Students'!$B$2:$B$701,P827))</f>
        <v/>
      </c>
      <c r="E827">
        <f>IF(OR(H827="",P827=""),"",INDEX('Students'!$C$2:$C$701,P827))</f>
        <v/>
      </c>
      <c r="F827" s="48">
        <f>IF(H827="","",IF(ISNUMBER(O827),O827,J827))</f>
        <v/>
      </c>
      <c r="G827">
        <f>IF(H827="","","OneCause")</f>
        <v/>
      </c>
      <c r="H827">
        <f>IF(AND(I827="",J827="",K827=""),"",IF(NOT(ISNUMBER(O827)),"Bad amount",IF(O827&lt;0,"Refund (not counted)",IF(O827=0,"Zero amount",IF(NOT(ISNUMBER(N827)),"Bad date",IF(P827="","NAME NOT ON ROSTER",IF(L827="","OK",IF(MATCH(L827,$L$2:$L$3001,0)&lt;ROW()-1,"Duplicate (ignored)","OK"))))))))</f>
        <v/>
      </c>
      <c r="I827">
        <f>IF(OC_Date=0,"",IF(INDEX('OneCause_Paste'!$A$827:$AZ$827,1,OC_Date)="","",INDEX('OneCause_Paste'!$A$827:$AZ$827,1,OC_Date)))</f>
        <v/>
      </c>
      <c r="J827">
        <f>IF(OC_Amt=0,"",IF(INDEX('OneCause_Paste'!$A$827:$AZ$827,1,OC_Amt)="","",INDEX('OneCause_Paste'!$A$827:$AZ$827,1,OC_Amt)))</f>
        <v/>
      </c>
      <c r="K827">
        <f>IF(OC_Name=0,"",IF(INDEX('OneCause_Paste'!$A$827:$AZ$827,1,OC_Name)="","",INDEX('OneCause_Paste'!$A$827:$AZ$827,1,OC_Name)))</f>
        <v/>
      </c>
      <c r="L827">
        <f>IF(OC_Txn=0,"",IF(INDEX('OneCause_Paste'!$A$827:$AZ$827,1,OC_Txn)="","",INDEX('OneCause_Paste'!$A$827:$AZ$827,1,OC_Txn)))</f>
        <v/>
      </c>
      <c r="M827">
        <f>IF(OC_Pay=0,"",IF(INDEX('OneCause_Paste'!$A$827:$AZ$827,1,OC_Pay)="","",INDEX('OneCause_Paste'!$A$827:$AZ$827,1,OC_Pay)))</f>
        <v/>
      </c>
      <c r="N827">
        <f>IF(I827="","",IF(ISNUMBER(I827),INT(I827),IFERROR(INT(DATEVALUE(I827)),IFERROR(INT(VALUE(I827)),"bad"))))</f>
        <v/>
      </c>
      <c r="O827">
        <f>IF(J827="","",IF(ISNUMBER(J827),ROUND(J827,2),IFERROR(ROUND(VALUE(SUBSTITUTE(SUBSTITUTE(SUBSTITUTE(J827,"$",""),",","")," ","")),2),"bad")))</f>
        <v/>
      </c>
      <c r="P827">
        <f>IF(TRIM(K827)="","",IFERROR(MATCH(LOWER(TRIM(K827)),'Students'!$AH$2:$AH$701,0),IFERROR(MATCH(LOWER(TRIM(K827)),'Students'!$AF$2:$AF$701,0),IFERROR(MATCH(LOWER(TRIM(K827)),'Students'!$AG$2:$AG$701,0),""))))</f>
        <v/>
      </c>
      <c r="R827">
        <f>IF(P827="","",INDEX('Students'!$AD$2:$AD$701,P827))</f>
        <v/>
      </c>
      <c r="S827">
        <f>IF(H827="OK",O827,0)</f>
        <v/>
      </c>
      <c r="T827">
        <f>IF(H827="OK",N827,"")</f>
        <v/>
      </c>
      <c r="U827">
        <f>IF(OC_Donor=0,"",IF(INDEX('OneCause_Paste'!$A$827:$AZ$827,1,OC_Donor)="","",INDEX('OneCause_Paste'!$A$827:$AZ$827,1,OC_Donor)))</f>
        <v/>
      </c>
    </row>
    <row r="828">
      <c r="A828" s="62">
        <f>IF(H828="","",IF(ISNUMBER(N828),N828,I828))</f>
        <v/>
      </c>
      <c r="B828">
        <f>IF(H828="","",U828)</f>
        <v/>
      </c>
      <c r="C828">
        <f>IF(H828="","",IF(P828="",K828,INDEX('Students'!$A$2:$A$701,P828)))</f>
        <v/>
      </c>
      <c r="D828">
        <f>IF(OR(H828="",P828=""),"",INDEX('Students'!$B$2:$B$701,P828))</f>
        <v/>
      </c>
      <c r="E828">
        <f>IF(OR(H828="",P828=""),"",INDEX('Students'!$C$2:$C$701,P828))</f>
        <v/>
      </c>
      <c r="F828" s="48">
        <f>IF(H828="","",IF(ISNUMBER(O828),O828,J828))</f>
        <v/>
      </c>
      <c r="G828">
        <f>IF(H828="","","OneCause")</f>
        <v/>
      </c>
      <c r="H828">
        <f>IF(AND(I828="",J828="",K828=""),"",IF(NOT(ISNUMBER(O828)),"Bad amount",IF(O828&lt;0,"Refund (not counted)",IF(O828=0,"Zero amount",IF(NOT(ISNUMBER(N828)),"Bad date",IF(P828="","NAME NOT ON ROSTER",IF(L828="","OK",IF(MATCH(L828,$L$2:$L$3001,0)&lt;ROW()-1,"Duplicate (ignored)","OK"))))))))</f>
        <v/>
      </c>
      <c r="I828">
        <f>IF(OC_Date=0,"",IF(INDEX('OneCause_Paste'!$A$828:$AZ$828,1,OC_Date)="","",INDEX('OneCause_Paste'!$A$828:$AZ$828,1,OC_Date)))</f>
        <v/>
      </c>
      <c r="J828">
        <f>IF(OC_Amt=0,"",IF(INDEX('OneCause_Paste'!$A$828:$AZ$828,1,OC_Amt)="","",INDEX('OneCause_Paste'!$A$828:$AZ$828,1,OC_Amt)))</f>
        <v/>
      </c>
      <c r="K828">
        <f>IF(OC_Name=0,"",IF(INDEX('OneCause_Paste'!$A$828:$AZ$828,1,OC_Name)="","",INDEX('OneCause_Paste'!$A$828:$AZ$828,1,OC_Name)))</f>
        <v/>
      </c>
      <c r="L828">
        <f>IF(OC_Txn=0,"",IF(INDEX('OneCause_Paste'!$A$828:$AZ$828,1,OC_Txn)="","",INDEX('OneCause_Paste'!$A$828:$AZ$828,1,OC_Txn)))</f>
        <v/>
      </c>
      <c r="M828">
        <f>IF(OC_Pay=0,"",IF(INDEX('OneCause_Paste'!$A$828:$AZ$828,1,OC_Pay)="","",INDEX('OneCause_Paste'!$A$828:$AZ$828,1,OC_Pay)))</f>
        <v/>
      </c>
      <c r="N828">
        <f>IF(I828="","",IF(ISNUMBER(I828),INT(I828),IFERROR(INT(DATEVALUE(I828)),IFERROR(INT(VALUE(I828)),"bad"))))</f>
        <v/>
      </c>
      <c r="O828">
        <f>IF(J828="","",IF(ISNUMBER(J828),ROUND(J828,2),IFERROR(ROUND(VALUE(SUBSTITUTE(SUBSTITUTE(SUBSTITUTE(J828,"$",""),",","")," ","")),2),"bad")))</f>
        <v/>
      </c>
      <c r="P828">
        <f>IF(TRIM(K828)="","",IFERROR(MATCH(LOWER(TRIM(K828)),'Students'!$AH$2:$AH$701,0),IFERROR(MATCH(LOWER(TRIM(K828)),'Students'!$AF$2:$AF$701,0),IFERROR(MATCH(LOWER(TRIM(K828)),'Students'!$AG$2:$AG$701,0),""))))</f>
        <v/>
      </c>
      <c r="R828">
        <f>IF(P828="","",INDEX('Students'!$AD$2:$AD$701,P828))</f>
        <v/>
      </c>
      <c r="S828">
        <f>IF(H828="OK",O828,0)</f>
        <v/>
      </c>
      <c r="T828">
        <f>IF(H828="OK",N828,"")</f>
        <v/>
      </c>
      <c r="U828">
        <f>IF(OC_Donor=0,"",IF(INDEX('OneCause_Paste'!$A$828:$AZ$828,1,OC_Donor)="","",INDEX('OneCause_Paste'!$A$828:$AZ$828,1,OC_Donor)))</f>
        <v/>
      </c>
    </row>
    <row r="829">
      <c r="A829" s="62">
        <f>IF(H829="","",IF(ISNUMBER(N829),N829,I829))</f>
        <v/>
      </c>
      <c r="B829">
        <f>IF(H829="","",U829)</f>
        <v/>
      </c>
      <c r="C829">
        <f>IF(H829="","",IF(P829="",K829,INDEX('Students'!$A$2:$A$701,P829)))</f>
        <v/>
      </c>
      <c r="D829">
        <f>IF(OR(H829="",P829=""),"",INDEX('Students'!$B$2:$B$701,P829))</f>
        <v/>
      </c>
      <c r="E829">
        <f>IF(OR(H829="",P829=""),"",INDEX('Students'!$C$2:$C$701,P829))</f>
        <v/>
      </c>
      <c r="F829" s="48">
        <f>IF(H829="","",IF(ISNUMBER(O829),O829,J829))</f>
        <v/>
      </c>
      <c r="G829">
        <f>IF(H829="","","OneCause")</f>
        <v/>
      </c>
      <c r="H829">
        <f>IF(AND(I829="",J829="",K829=""),"",IF(NOT(ISNUMBER(O829)),"Bad amount",IF(O829&lt;0,"Refund (not counted)",IF(O829=0,"Zero amount",IF(NOT(ISNUMBER(N829)),"Bad date",IF(P829="","NAME NOT ON ROSTER",IF(L829="","OK",IF(MATCH(L829,$L$2:$L$3001,0)&lt;ROW()-1,"Duplicate (ignored)","OK"))))))))</f>
        <v/>
      </c>
      <c r="I829">
        <f>IF(OC_Date=0,"",IF(INDEX('OneCause_Paste'!$A$829:$AZ$829,1,OC_Date)="","",INDEX('OneCause_Paste'!$A$829:$AZ$829,1,OC_Date)))</f>
        <v/>
      </c>
      <c r="J829">
        <f>IF(OC_Amt=0,"",IF(INDEX('OneCause_Paste'!$A$829:$AZ$829,1,OC_Amt)="","",INDEX('OneCause_Paste'!$A$829:$AZ$829,1,OC_Amt)))</f>
        <v/>
      </c>
      <c r="K829">
        <f>IF(OC_Name=0,"",IF(INDEX('OneCause_Paste'!$A$829:$AZ$829,1,OC_Name)="","",INDEX('OneCause_Paste'!$A$829:$AZ$829,1,OC_Name)))</f>
        <v/>
      </c>
      <c r="L829">
        <f>IF(OC_Txn=0,"",IF(INDEX('OneCause_Paste'!$A$829:$AZ$829,1,OC_Txn)="","",INDEX('OneCause_Paste'!$A$829:$AZ$829,1,OC_Txn)))</f>
        <v/>
      </c>
      <c r="M829">
        <f>IF(OC_Pay=0,"",IF(INDEX('OneCause_Paste'!$A$829:$AZ$829,1,OC_Pay)="","",INDEX('OneCause_Paste'!$A$829:$AZ$829,1,OC_Pay)))</f>
        <v/>
      </c>
      <c r="N829">
        <f>IF(I829="","",IF(ISNUMBER(I829),INT(I829),IFERROR(INT(DATEVALUE(I829)),IFERROR(INT(VALUE(I829)),"bad"))))</f>
        <v/>
      </c>
      <c r="O829">
        <f>IF(J829="","",IF(ISNUMBER(J829),ROUND(J829,2),IFERROR(ROUND(VALUE(SUBSTITUTE(SUBSTITUTE(SUBSTITUTE(J829,"$",""),",","")," ","")),2),"bad")))</f>
        <v/>
      </c>
      <c r="P829">
        <f>IF(TRIM(K829)="","",IFERROR(MATCH(LOWER(TRIM(K829)),'Students'!$AH$2:$AH$701,0),IFERROR(MATCH(LOWER(TRIM(K829)),'Students'!$AF$2:$AF$701,0),IFERROR(MATCH(LOWER(TRIM(K829)),'Students'!$AG$2:$AG$701,0),""))))</f>
        <v/>
      </c>
      <c r="R829">
        <f>IF(P829="","",INDEX('Students'!$AD$2:$AD$701,P829))</f>
        <v/>
      </c>
      <c r="S829">
        <f>IF(H829="OK",O829,0)</f>
        <v/>
      </c>
      <c r="T829">
        <f>IF(H829="OK",N829,"")</f>
        <v/>
      </c>
      <c r="U829">
        <f>IF(OC_Donor=0,"",IF(INDEX('OneCause_Paste'!$A$829:$AZ$829,1,OC_Donor)="","",INDEX('OneCause_Paste'!$A$829:$AZ$829,1,OC_Donor)))</f>
        <v/>
      </c>
    </row>
    <row r="830">
      <c r="A830" s="62">
        <f>IF(H830="","",IF(ISNUMBER(N830),N830,I830))</f>
        <v/>
      </c>
      <c r="B830">
        <f>IF(H830="","",U830)</f>
        <v/>
      </c>
      <c r="C830">
        <f>IF(H830="","",IF(P830="",K830,INDEX('Students'!$A$2:$A$701,P830)))</f>
        <v/>
      </c>
      <c r="D830">
        <f>IF(OR(H830="",P830=""),"",INDEX('Students'!$B$2:$B$701,P830))</f>
        <v/>
      </c>
      <c r="E830">
        <f>IF(OR(H830="",P830=""),"",INDEX('Students'!$C$2:$C$701,P830))</f>
        <v/>
      </c>
      <c r="F830" s="48">
        <f>IF(H830="","",IF(ISNUMBER(O830),O830,J830))</f>
        <v/>
      </c>
      <c r="G830">
        <f>IF(H830="","","OneCause")</f>
        <v/>
      </c>
      <c r="H830">
        <f>IF(AND(I830="",J830="",K830=""),"",IF(NOT(ISNUMBER(O830)),"Bad amount",IF(O830&lt;0,"Refund (not counted)",IF(O830=0,"Zero amount",IF(NOT(ISNUMBER(N830)),"Bad date",IF(P830="","NAME NOT ON ROSTER",IF(L830="","OK",IF(MATCH(L830,$L$2:$L$3001,0)&lt;ROW()-1,"Duplicate (ignored)","OK"))))))))</f>
        <v/>
      </c>
      <c r="I830">
        <f>IF(OC_Date=0,"",IF(INDEX('OneCause_Paste'!$A$830:$AZ$830,1,OC_Date)="","",INDEX('OneCause_Paste'!$A$830:$AZ$830,1,OC_Date)))</f>
        <v/>
      </c>
      <c r="J830">
        <f>IF(OC_Amt=0,"",IF(INDEX('OneCause_Paste'!$A$830:$AZ$830,1,OC_Amt)="","",INDEX('OneCause_Paste'!$A$830:$AZ$830,1,OC_Amt)))</f>
        <v/>
      </c>
      <c r="K830">
        <f>IF(OC_Name=0,"",IF(INDEX('OneCause_Paste'!$A$830:$AZ$830,1,OC_Name)="","",INDEX('OneCause_Paste'!$A$830:$AZ$830,1,OC_Name)))</f>
        <v/>
      </c>
      <c r="L830">
        <f>IF(OC_Txn=0,"",IF(INDEX('OneCause_Paste'!$A$830:$AZ$830,1,OC_Txn)="","",INDEX('OneCause_Paste'!$A$830:$AZ$830,1,OC_Txn)))</f>
        <v/>
      </c>
      <c r="M830">
        <f>IF(OC_Pay=0,"",IF(INDEX('OneCause_Paste'!$A$830:$AZ$830,1,OC_Pay)="","",INDEX('OneCause_Paste'!$A$830:$AZ$830,1,OC_Pay)))</f>
        <v/>
      </c>
      <c r="N830">
        <f>IF(I830="","",IF(ISNUMBER(I830),INT(I830),IFERROR(INT(DATEVALUE(I830)),IFERROR(INT(VALUE(I830)),"bad"))))</f>
        <v/>
      </c>
      <c r="O830">
        <f>IF(J830="","",IF(ISNUMBER(J830),ROUND(J830,2),IFERROR(ROUND(VALUE(SUBSTITUTE(SUBSTITUTE(SUBSTITUTE(J830,"$",""),",","")," ","")),2),"bad")))</f>
        <v/>
      </c>
      <c r="P830">
        <f>IF(TRIM(K830)="","",IFERROR(MATCH(LOWER(TRIM(K830)),'Students'!$AH$2:$AH$701,0),IFERROR(MATCH(LOWER(TRIM(K830)),'Students'!$AF$2:$AF$701,0),IFERROR(MATCH(LOWER(TRIM(K830)),'Students'!$AG$2:$AG$701,0),""))))</f>
        <v/>
      </c>
      <c r="R830">
        <f>IF(P830="","",INDEX('Students'!$AD$2:$AD$701,P830))</f>
        <v/>
      </c>
      <c r="S830">
        <f>IF(H830="OK",O830,0)</f>
        <v/>
      </c>
      <c r="T830">
        <f>IF(H830="OK",N830,"")</f>
        <v/>
      </c>
      <c r="U830">
        <f>IF(OC_Donor=0,"",IF(INDEX('OneCause_Paste'!$A$830:$AZ$830,1,OC_Donor)="","",INDEX('OneCause_Paste'!$A$830:$AZ$830,1,OC_Donor)))</f>
        <v/>
      </c>
    </row>
    <row r="831">
      <c r="A831" s="62">
        <f>IF(H831="","",IF(ISNUMBER(N831),N831,I831))</f>
        <v/>
      </c>
      <c r="B831">
        <f>IF(H831="","",U831)</f>
        <v/>
      </c>
      <c r="C831">
        <f>IF(H831="","",IF(P831="",K831,INDEX('Students'!$A$2:$A$701,P831)))</f>
        <v/>
      </c>
      <c r="D831">
        <f>IF(OR(H831="",P831=""),"",INDEX('Students'!$B$2:$B$701,P831))</f>
        <v/>
      </c>
      <c r="E831">
        <f>IF(OR(H831="",P831=""),"",INDEX('Students'!$C$2:$C$701,P831))</f>
        <v/>
      </c>
      <c r="F831" s="48">
        <f>IF(H831="","",IF(ISNUMBER(O831),O831,J831))</f>
        <v/>
      </c>
      <c r="G831">
        <f>IF(H831="","","OneCause")</f>
        <v/>
      </c>
      <c r="H831">
        <f>IF(AND(I831="",J831="",K831=""),"",IF(NOT(ISNUMBER(O831)),"Bad amount",IF(O831&lt;0,"Refund (not counted)",IF(O831=0,"Zero amount",IF(NOT(ISNUMBER(N831)),"Bad date",IF(P831="","NAME NOT ON ROSTER",IF(L831="","OK",IF(MATCH(L831,$L$2:$L$3001,0)&lt;ROW()-1,"Duplicate (ignored)","OK"))))))))</f>
        <v/>
      </c>
      <c r="I831">
        <f>IF(OC_Date=0,"",IF(INDEX('OneCause_Paste'!$A$831:$AZ$831,1,OC_Date)="","",INDEX('OneCause_Paste'!$A$831:$AZ$831,1,OC_Date)))</f>
        <v/>
      </c>
      <c r="J831">
        <f>IF(OC_Amt=0,"",IF(INDEX('OneCause_Paste'!$A$831:$AZ$831,1,OC_Amt)="","",INDEX('OneCause_Paste'!$A$831:$AZ$831,1,OC_Amt)))</f>
        <v/>
      </c>
      <c r="K831">
        <f>IF(OC_Name=0,"",IF(INDEX('OneCause_Paste'!$A$831:$AZ$831,1,OC_Name)="","",INDEX('OneCause_Paste'!$A$831:$AZ$831,1,OC_Name)))</f>
        <v/>
      </c>
      <c r="L831">
        <f>IF(OC_Txn=0,"",IF(INDEX('OneCause_Paste'!$A$831:$AZ$831,1,OC_Txn)="","",INDEX('OneCause_Paste'!$A$831:$AZ$831,1,OC_Txn)))</f>
        <v/>
      </c>
      <c r="M831">
        <f>IF(OC_Pay=0,"",IF(INDEX('OneCause_Paste'!$A$831:$AZ$831,1,OC_Pay)="","",INDEX('OneCause_Paste'!$A$831:$AZ$831,1,OC_Pay)))</f>
        <v/>
      </c>
      <c r="N831">
        <f>IF(I831="","",IF(ISNUMBER(I831),INT(I831),IFERROR(INT(DATEVALUE(I831)),IFERROR(INT(VALUE(I831)),"bad"))))</f>
        <v/>
      </c>
      <c r="O831">
        <f>IF(J831="","",IF(ISNUMBER(J831),ROUND(J831,2),IFERROR(ROUND(VALUE(SUBSTITUTE(SUBSTITUTE(SUBSTITUTE(J831,"$",""),",","")," ","")),2),"bad")))</f>
        <v/>
      </c>
      <c r="P831">
        <f>IF(TRIM(K831)="","",IFERROR(MATCH(LOWER(TRIM(K831)),'Students'!$AH$2:$AH$701,0),IFERROR(MATCH(LOWER(TRIM(K831)),'Students'!$AF$2:$AF$701,0),IFERROR(MATCH(LOWER(TRIM(K831)),'Students'!$AG$2:$AG$701,0),""))))</f>
        <v/>
      </c>
      <c r="R831">
        <f>IF(P831="","",INDEX('Students'!$AD$2:$AD$701,P831))</f>
        <v/>
      </c>
      <c r="S831">
        <f>IF(H831="OK",O831,0)</f>
        <v/>
      </c>
      <c r="T831">
        <f>IF(H831="OK",N831,"")</f>
        <v/>
      </c>
      <c r="U831">
        <f>IF(OC_Donor=0,"",IF(INDEX('OneCause_Paste'!$A$831:$AZ$831,1,OC_Donor)="","",INDEX('OneCause_Paste'!$A$831:$AZ$831,1,OC_Donor)))</f>
        <v/>
      </c>
    </row>
    <row r="832">
      <c r="A832" s="62">
        <f>IF(H832="","",IF(ISNUMBER(N832),N832,I832))</f>
        <v/>
      </c>
      <c r="B832">
        <f>IF(H832="","",U832)</f>
        <v/>
      </c>
      <c r="C832">
        <f>IF(H832="","",IF(P832="",K832,INDEX('Students'!$A$2:$A$701,P832)))</f>
        <v/>
      </c>
      <c r="D832">
        <f>IF(OR(H832="",P832=""),"",INDEX('Students'!$B$2:$B$701,P832))</f>
        <v/>
      </c>
      <c r="E832">
        <f>IF(OR(H832="",P832=""),"",INDEX('Students'!$C$2:$C$701,P832))</f>
        <v/>
      </c>
      <c r="F832" s="48">
        <f>IF(H832="","",IF(ISNUMBER(O832),O832,J832))</f>
        <v/>
      </c>
      <c r="G832">
        <f>IF(H832="","","OneCause")</f>
        <v/>
      </c>
      <c r="H832">
        <f>IF(AND(I832="",J832="",K832=""),"",IF(NOT(ISNUMBER(O832)),"Bad amount",IF(O832&lt;0,"Refund (not counted)",IF(O832=0,"Zero amount",IF(NOT(ISNUMBER(N832)),"Bad date",IF(P832="","NAME NOT ON ROSTER",IF(L832="","OK",IF(MATCH(L832,$L$2:$L$3001,0)&lt;ROW()-1,"Duplicate (ignored)","OK"))))))))</f>
        <v/>
      </c>
      <c r="I832">
        <f>IF(OC_Date=0,"",IF(INDEX('OneCause_Paste'!$A$832:$AZ$832,1,OC_Date)="","",INDEX('OneCause_Paste'!$A$832:$AZ$832,1,OC_Date)))</f>
        <v/>
      </c>
      <c r="J832">
        <f>IF(OC_Amt=0,"",IF(INDEX('OneCause_Paste'!$A$832:$AZ$832,1,OC_Amt)="","",INDEX('OneCause_Paste'!$A$832:$AZ$832,1,OC_Amt)))</f>
        <v/>
      </c>
      <c r="K832">
        <f>IF(OC_Name=0,"",IF(INDEX('OneCause_Paste'!$A$832:$AZ$832,1,OC_Name)="","",INDEX('OneCause_Paste'!$A$832:$AZ$832,1,OC_Name)))</f>
        <v/>
      </c>
      <c r="L832">
        <f>IF(OC_Txn=0,"",IF(INDEX('OneCause_Paste'!$A$832:$AZ$832,1,OC_Txn)="","",INDEX('OneCause_Paste'!$A$832:$AZ$832,1,OC_Txn)))</f>
        <v/>
      </c>
      <c r="M832">
        <f>IF(OC_Pay=0,"",IF(INDEX('OneCause_Paste'!$A$832:$AZ$832,1,OC_Pay)="","",INDEX('OneCause_Paste'!$A$832:$AZ$832,1,OC_Pay)))</f>
        <v/>
      </c>
      <c r="N832">
        <f>IF(I832="","",IF(ISNUMBER(I832),INT(I832),IFERROR(INT(DATEVALUE(I832)),IFERROR(INT(VALUE(I832)),"bad"))))</f>
        <v/>
      </c>
      <c r="O832">
        <f>IF(J832="","",IF(ISNUMBER(J832),ROUND(J832,2),IFERROR(ROUND(VALUE(SUBSTITUTE(SUBSTITUTE(SUBSTITUTE(J832,"$",""),",","")," ","")),2),"bad")))</f>
        <v/>
      </c>
      <c r="P832">
        <f>IF(TRIM(K832)="","",IFERROR(MATCH(LOWER(TRIM(K832)),'Students'!$AH$2:$AH$701,0),IFERROR(MATCH(LOWER(TRIM(K832)),'Students'!$AF$2:$AF$701,0),IFERROR(MATCH(LOWER(TRIM(K832)),'Students'!$AG$2:$AG$701,0),""))))</f>
        <v/>
      </c>
      <c r="R832">
        <f>IF(P832="","",INDEX('Students'!$AD$2:$AD$701,P832))</f>
        <v/>
      </c>
      <c r="S832">
        <f>IF(H832="OK",O832,0)</f>
        <v/>
      </c>
      <c r="T832">
        <f>IF(H832="OK",N832,"")</f>
        <v/>
      </c>
      <c r="U832">
        <f>IF(OC_Donor=0,"",IF(INDEX('OneCause_Paste'!$A$832:$AZ$832,1,OC_Donor)="","",INDEX('OneCause_Paste'!$A$832:$AZ$832,1,OC_Donor)))</f>
        <v/>
      </c>
    </row>
    <row r="833">
      <c r="A833" s="62">
        <f>IF(H833="","",IF(ISNUMBER(N833),N833,I833))</f>
        <v/>
      </c>
      <c r="B833">
        <f>IF(H833="","",U833)</f>
        <v/>
      </c>
      <c r="C833">
        <f>IF(H833="","",IF(P833="",K833,INDEX('Students'!$A$2:$A$701,P833)))</f>
        <v/>
      </c>
      <c r="D833">
        <f>IF(OR(H833="",P833=""),"",INDEX('Students'!$B$2:$B$701,P833))</f>
        <v/>
      </c>
      <c r="E833">
        <f>IF(OR(H833="",P833=""),"",INDEX('Students'!$C$2:$C$701,P833))</f>
        <v/>
      </c>
      <c r="F833" s="48">
        <f>IF(H833="","",IF(ISNUMBER(O833),O833,J833))</f>
        <v/>
      </c>
      <c r="G833">
        <f>IF(H833="","","OneCause")</f>
        <v/>
      </c>
      <c r="H833">
        <f>IF(AND(I833="",J833="",K833=""),"",IF(NOT(ISNUMBER(O833)),"Bad amount",IF(O833&lt;0,"Refund (not counted)",IF(O833=0,"Zero amount",IF(NOT(ISNUMBER(N833)),"Bad date",IF(P833="","NAME NOT ON ROSTER",IF(L833="","OK",IF(MATCH(L833,$L$2:$L$3001,0)&lt;ROW()-1,"Duplicate (ignored)","OK"))))))))</f>
        <v/>
      </c>
      <c r="I833">
        <f>IF(OC_Date=0,"",IF(INDEX('OneCause_Paste'!$A$833:$AZ$833,1,OC_Date)="","",INDEX('OneCause_Paste'!$A$833:$AZ$833,1,OC_Date)))</f>
        <v/>
      </c>
      <c r="J833">
        <f>IF(OC_Amt=0,"",IF(INDEX('OneCause_Paste'!$A$833:$AZ$833,1,OC_Amt)="","",INDEX('OneCause_Paste'!$A$833:$AZ$833,1,OC_Amt)))</f>
        <v/>
      </c>
      <c r="K833">
        <f>IF(OC_Name=0,"",IF(INDEX('OneCause_Paste'!$A$833:$AZ$833,1,OC_Name)="","",INDEX('OneCause_Paste'!$A$833:$AZ$833,1,OC_Name)))</f>
        <v/>
      </c>
      <c r="L833">
        <f>IF(OC_Txn=0,"",IF(INDEX('OneCause_Paste'!$A$833:$AZ$833,1,OC_Txn)="","",INDEX('OneCause_Paste'!$A$833:$AZ$833,1,OC_Txn)))</f>
        <v/>
      </c>
      <c r="M833">
        <f>IF(OC_Pay=0,"",IF(INDEX('OneCause_Paste'!$A$833:$AZ$833,1,OC_Pay)="","",INDEX('OneCause_Paste'!$A$833:$AZ$833,1,OC_Pay)))</f>
        <v/>
      </c>
      <c r="N833">
        <f>IF(I833="","",IF(ISNUMBER(I833),INT(I833),IFERROR(INT(DATEVALUE(I833)),IFERROR(INT(VALUE(I833)),"bad"))))</f>
        <v/>
      </c>
      <c r="O833">
        <f>IF(J833="","",IF(ISNUMBER(J833),ROUND(J833,2),IFERROR(ROUND(VALUE(SUBSTITUTE(SUBSTITUTE(SUBSTITUTE(J833,"$",""),",","")," ","")),2),"bad")))</f>
        <v/>
      </c>
      <c r="P833">
        <f>IF(TRIM(K833)="","",IFERROR(MATCH(LOWER(TRIM(K833)),'Students'!$AH$2:$AH$701,0),IFERROR(MATCH(LOWER(TRIM(K833)),'Students'!$AF$2:$AF$701,0),IFERROR(MATCH(LOWER(TRIM(K833)),'Students'!$AG$2:$AG$701,0),""))))</f>
        <v/>
      </c>
      <c r="R833">
        <f>IF(P833="","",INDEX('Students'!$AD$2:$AD$701,P833))</f>
        <v/>
      </c>
      <c r="S833">
        <f>IF(H833="OK",O833,0)</f>
        <v/>
      </c>
      <c r="T833">
        <f>IF(H833="OK",N833,"")</f>
        <v/>
      </c>
      <c r="U833">
        <f>IF(OC_Donor=0,"",IF(INDEX('OneCause_Paste'!$A$833:$AZ$833,1,OC_Donor)="","",INDEX('OneCause_Paste'!$A$833:$AZ$833,1,OC_Donor)))</f>
        <v/>
      </c>
    </row>
    <row r="834">
      <c r="A834" s="62">
        <f>IF(H834="","",IF(ISNUMBER(N834),N834,I834))</f>
        <v/>
      </c>
      <c r="B834">
        <f>IF(H834="","",U834)</f>
        <v/>
      </c>
      <c r="C834">
        <f>IF(H834="","",IF(P834="",K834,INDEX('Students'!$A$2:$A$701,P834)))</f>
        <v/>
      </c>
      <c r="D834">
        <f>IF(OR(H834="",P834=""),"",INDEX('Students'!$B$2:$B$701,P834))</f>
        <v/>
      </c>
      <c r="E834">
        <f>IF(OR(H834="",P834=""),"",INDEX('Students'!$C$2:$C$701,P834))</f>
        <v/>
      </c>
      <c r="F834" s="48">
        <f>IF(H834="","",IF(ISNUMBER(O834),O834,J834))</f>
        <v/>
      </c>
      <c r="G834">
        <f>IF(H834="","","OneCause")</f>
        <v/>
      </c>
      <c r="H834">
        <f>IF(AND(I834="",J834="",K834=""),"",IF(NOT(ISNUMBER(O834)),"Bad amount",IF(O834&lt;0,"Refund (not counted)",IF(O834=0,"Zero amount",IF(NOT(ISNUMBER(N834)),"Bad date",IF(P834="","NAME NOT ON ROSTER",IF(L834="","OK",IF(MATCH(L834,$L$2:$L$3001,0)&lt;ROW()-1,"Duplicate (ignored)","OK"))))))))</f>
        <v/>
      </c>
      <c r="I834">
        <f>IF(OC_Date=0,"",IF(INDEX('OneCause_Paste'!$A$834:$AZ$834,1,OC_Date)="","",INDEX('OneCause_Paste'!$A$834:$AZ$834,1,OC_Date)))</f>
        <v/>
      </c>
      <c r="J834">
        <f>IF(OC_Amt=0,"",IF(INDEX('OneCause_Paste'!$A$834:$AZ$834,1,OC_Amt)="","",INDEX('OneCause_Paste'!$A$834:$AZ$834,1,OC_Amt)))</f>
        <v/>
      </c>
      <c r="K834">
        <f>IF(OC_Name=0,"",IF(INDEX('OneCause_Paste'!$A$834:$AZ$834,1,OC_Name)="","",INDEX('OneCause_Paste'!$A$834:$AZ$834,1,OC_Name)))</f>
        <v/>
      </c>
      <c r="L834">
        <f>IF(OC_Txn=0,"",IF(INDEX('OneCause_Paste'!$A$834:$AZ$834,1,OC_Txn)="","",INDEX('OneCause_Paste'!$A$834:$AZ$834,1,OC_Txn)))</f>
        <v/>
      </c>
      <c r="M834">
        <f>IF(OC_Pay=0,"",IF(INDEX('OneCause_Paste'!$A$834:$AZ$834,1,OC_Pay)="","",INDEX('OneCause_Paste'!$A$834:$AZ$834,1,OC_Pay)))</f>
        <v/>
      </c>
      <c r="N834">
        <f>IF(I834="","",IF(ISNUMBER(I834),INT(I834),IFERROR(INT(DATEVALUE(I834)),IFERROR(INT(VALUE(I834)),"bad"))))</f>
        <v/>
      </c>
      <c r="O834">
        <f>IF(J834="","",IF(ISNUMBER(J834),ROUND(J834,2),IFERROR(ROUND(VALUE(SUBSTITUTE(SUBSTITUTE(SUBSTITUTE(J834,"$",""),",","")," ","")),2),"bad")))</f>
        <v/>
      </c>
      <c r="P834">
        <f>IF(TRIM(K834)="","",IFERROR(MATCH(LOWER(TRIM(K834)),'Students'!$AH$2:$AH$701,0),IFERROR(MATCH(LOWER(TRIM(K834)),'Students'!$AF$2:$AF$701,0),IFERROR(MATCH(LOWER(TRIM(K834)),'Students'!$AG$2:$AG$701,0),""))))</f>
        <v/>
      </c>
      <c r="R834">
        <f>IF(P834="","",INDEX('Students'!$AD$2:$AD$701,P834))</f>
        <v/>
      </c>
      <c r="S834">
        <f>IF(H834="OK",O834,0)</f>
        <v/>
      </c>
      <c r="T834">
        <f>IF(H834="OK",N834,"")</f>
        <v/>
      </c>
      <c r="U834">
        <f>IF(OC_Donor=0,"",IF(INDEX('OneCause_Paste'!$A$834:$AZ$834,1,OC_Donor)="","",INDEX('OneCause_Paste'!$A$834:$AZ$834,1,OC_Donor)))</f>
        <v/>
      </c>
    </row>
    <row r="835">
      <c r="A835" s="62">
        <f>IF(H835="","",IF(ISNUMBER(N835),N835,I835))</f>
        <v/>
      </c>
      <c r="B835">
        <f>IF(H835="","",U835)</f>
        <v/>
      </c>
      <c r="C835">
        <f>IF(H835="","",IF(P835="",K835,INDEX('Students'!$A$2:$A$701,P835)))</f>
        <v/>
      </c>
      <c r="D835">
        <f>IF(OR(H835="",P835=""),"",INDEX('Students'!$B$2:$B$701,P835))</f>
        <v/>
      </c>
      <c r="E835">
        <f>IF(OR(H835="",P835=""),"",INDEX('Students'!$C$2:$C$701,P835))</f>
        <v/>
      </c>
      <c r="F835" s="48">
        <f>IF(H835="","",IF(ISNUMBER(O835),O835,J835))</f>
        <v/>
      </c>
      <c r="G835">
        <f>IF(H835="","","OneCause")</f>
        <v/>
      </c>
      <c r="H835">
        <f>IF(AND(I835="",J835="",K835=""),"",IF(NOT(ISNUMBER(O835)),"Bad amount",IF(O835&lt;0,"Refund (not counted)",IF(O835=0,"Zero amount",IF(NOT(ISNUMBER(N835)),"Bad date",IF(P835="","NAME NOT ON ROSTER",IF(L835="","OK",IF(MATCH(L835,$L$2:$L$3001,0)&lt;ROW()-1,"Duplicate (ignored)","OK"))))))))</f>
        <v/>
      </c>
      <c r="I835">
        <f>IF(OC_Date=0,"",IF(INDEX('OneCause_Paste'!$A$835:$AZ$835,1,OC_Date)="","",INDEX('OneCause_Paste'!$A$835:$AZ$835,1,OC_Date)))</f>
        <v/>
      </c>
      <c r="J835">
        <f>IF(OC_Amt=0,"",IF(INDEX('OneCause_Paste'!$A$835:$AZ$835,1,OC_Amt)="","",INDEX('OneCause_Paste'!$A$835:$AZ$835,1,OC_Amt)))</f>
        <v/>
      </c>
      <c r="K835">
        <f>IF(OC_Name=0,"",IF(INDEX('OneCause_Paste'!$A$835:$AZ$835,1,OC_Name)="","",INDEX('OneCause_Paste'!$A$835:$AZ$835,1,OC_Name)))</f>
        <v/>
      </c>
      <c r="L835">
        <f>IF(OC_Txn=0,"",IF(INDEX('OneCause_Paste'!$A$835:$AZ$835,1,OC_Txn)="","",INDEX('OneCause_Paste'!$A$835:$AZ$835,1,OC_Txn)))</f>
        <v/>
      </c>
      <c r="M835">
        <f>IF(OC_Pay=0,"",IF(INDEX('OneCause_Paste'!$A$835:$AZ$835,1,OC_Pay)="","",INDEX('OneCause_Paste'!$A$835:$AZ$835,1,OC_Pay)))</f>
        <v/>
      </c>
      <c r="N835">
        <f>IF(I835="","",IF(ISNUMBER(I835),INT(I835),IFERROR(INT(DATEVALUE(I835)),IFERROR(INT(VALUE(I835)),"bad"))))</f>
        <v/>
      </c>
      <c r="O835">
        <f>IF(J835="","",IF(ISNUMBER(J835),ROUND(J835,2),IFERROR(ROUND(VALUE(SUBSTITUTE(SUBSTITUTE(SUBSTITUTE(J835,"$",""),",","")," ","")),2),"bad")))</f>
        <v/>
      </c>
      <c r="P835">
        <f>IF(TRIM(K835)="","",IFERROR(MATCH(LOWER(TRIM(K835)),'Students'!$AH$2:$AH$701,0),IFERROR(MATCH(LOWER(TRIM(K835)),'Students'!$AF$2:$AF$701,0),IFERROR(MATCH(LOWER(TRIM(K835)),'Students'!$AG$2:$AG$701,0),""))))</f>
        <v/>
      </c>
      <c r="R835">
        <f>IF(P835="","",INDEX('Students'!$AD$2:$AD$701,P835))</f>
        <v/>
      </c>
      <c r="S835">
        <f>IF(H835="OK",O835,0)</f>
        <v/>
      </c>
      <c r="T835">
        <f>IF(H835="OK",N835,"")</f>
        <v/>
      </c>
      <c r="U835">
        <f>IF(OC_Donor=0,"",IF(INDEX('OneCause_Paste'!$A$835:$AZ$835,1,OC_Donor)="","",INDEX('OneCause_Paste'!$A$835:$AZ$835,1,OC_Donor)))</f>
        <v/>
      </c>
    </row>
    <row r="836">
      <c r="A836" s="62">
        <f>IF(H836="","",IF(ISNUMBER(N836),N836,I836))</f>
        <v/>
      </c>
      <c r="B836">
        <f>IF(H836="","",U836)</f>
        <v/>
      </c>
      <c r="C836">
        <f>IF(H836="","",IF(P836="",K836,INDEX('Students'!$A$2:$A$701,P836)))</f>
        <v/>
      </c>
      <c r="D836">
        <f>IF(OR(H836="",P836=""),"",INDEX('Students'!$B$2:$B$701,P836))</f>
        <v/>
      </c>
      <c r="E836">
        <f>IF(OR(H836="",P836=""),"",INDEX('Students'!$C$2:$C$701,P836))</f>
        <v/>
      </c>
      <c r="F836" s="48">
        <f>IF(H836="","",IF(ISNUMBER(O836),O836,J836))</f>
        <v/>
      </c>
      <c r="G836">
        <f>IF(H836="","","OneCause")</f>
        <v/>
      </c>
      <c r="H836">
        <f>IF(AND(I836="",J836="",K836=""),"",IF(NOT(ISNUMBER(O836)),"Bad amount",IF(O836&lt;0,"Refund (not counted)",IF(O836=0,"Zero amount",IF(NOT(ISNUMBER(N836)),"Bad date",IF(P836="","NAME NOT ON ROSTER",IF(L836="","OK",IF(MATCH(L836,$L$2:$L$3001,0)&lt;ROW()-1,"Duplicate (ignored)","OK"))))))))</f>
        <v/>
      </c>
      <c r="I836">
        <f>IF(OC_Date=0,"",IF(INDEX('OneCause_Paste'!$A$836:$AZ$836,1,OC_Date)="","",INDEX('OneCause_Paste'!$A$836:$AZ$836,1,OC_Date)))</f>
        <v/>
      </c>
      <c r="J836">
        <f>IF(OC_Amt=0,"",IF(INDEX('OneCause_Paste'!$A$836:$AZ$836,1,OC_Amt)="","",INDEX('OneCause_Paste'!$A$836:$AZ$836,1,OC_Amt)))</f>
        <v/>
      </c>
      <c r="K836">
        <f>IF(OC_Name=0,"",IF(INDEX('OneCause_Paste'!$A$836:$AZ$836,1,OC_Name)="","",INDEX('OneCause_Paste'!$A$836:$AZ$836,1,OC_Name)))</f>
        <v/>
      </c>
      <c r="L836">
        <f>IF(OC_Txn=0,"",IF(INDEX('OneCause_Paste'!$A$836:$AZ$836,1,OC_Txn)="","",INDEX('OneCause_Paste'!$A$836:$AZ$836,1,OC_Txn)))</f>
        <v/>
      </c>
      <c r="M836">
        <f>IF(OC_Pay=0,"",IF(INDEX('OneCause_Paste'!$A$836:$AZ$836,1,OC_Pay)="","",INDEX('OneCause_Paste'!$A$836:$AZ$836,1,OC_Pay)))</f>
        <v/>
      </c>
      <c r="N836">
        <f>IF(I836="","",IF(ISNUMBER(I836),INT(I836),IFERROR(INT(DATEVALUE(I836)),IFERROR(INT(VALUE(I836)),"bad"))))</f>
        <v/>
      </c>
      <c r="O836">
        <f>IF(J836="","",IF(ISNUMBER(J836),ROUND(J836,2),IFERROR(ROUND(VALUE(SUBSTITUTE(SUBSTITUTE(SUBSTITUTE(J836,"$",""),",","")," ","")),2),"bad")))</f>
        <v/>
      </c>
      <c r="P836">
        <f>IF(TRIM(K836)="","",IFERROR(MATCH(LOWER(TRIM(K836)),'Students'!$AH$2:$AH$701,0),IFERROR(MATCH(LOWER(TRIM(K836)),'Students'!$AF$2:$AF$701,0),IFERROR(MATCH(LOWER(TRIM(K836)),'Students'!$AG$2:$AG$701,0),""))))</f>
        <v/>
      </c>
      <c r="R836">
        <f>IF(P836="","",INDEX('Students'!$AD$2:$AD$701,P836))</f>
        <v/>
      </c>
      <c r="S836">
        <f>IF(H836="OK",O836,0)</f>
        <v/>
      </c>
      <c r="T836">
        <f>IF(H836="OK",N836,"")</f>
        <v/>
      </c>
      <c r="U836">
        <f>IF(OC_Donor=0,"",IF(INDEX('OneCause_Paste'!$A$836:$AZ$836,1,OC_Donor)="","",INDEX('OneCause_Paste'!$A$836:$AZ$836,1,OC_Donor)))</f>
        <v/>
      </c>
    </row>
    <row r="837">
      <c r="A837" s="62">
        <f>IF(H837="","",IF(ISNUMBER(N837),N837,I837))</f>
        <v/>
      </c>
      <c r="B837">
        <f>IF(H837="","",U837)</f>
        <v/>
      </c>
      <c r="C837">
        <f>IF(H837="","",IF(P837="",K837,INDEX('Students'!$A$2:$A$701,P837)))</f>
        <v/>
      </c>
      <c r="D837">
        <f>IF(OR(H837="",P837=""),"",INDEX('Students'!$B$2:$B$701,P837))</f>
        <v/>
      </c>
      <c r="E837">
        <f>IF(OR(H837="",P837=""),"",INDEX('Students'!$C$2:$C$701,P837))</f>
        <v/>
      </c>
      <c r="F837" s="48">
        <f>IF(H837="","",IF(ISNUMBER(O837),O837,J837))</f>
        <v/>
      </c>
      <c r="G837">
        <f>IF(H837="","","OneCause")</f>
        <v/>
      </c>
      <c r="H837">
        <f>IF(AND(I837="",J837="",K837=""),"",IF(NOT(ISNUMBER(O837)),"Bad amount",IF(O837&lt;0,"Refund (not counted)",IF(O837=0,"Zero amount",IF(NOT(ISNUMBER(N837)),"Bad date",IF(P837="","NAME NOT ON ROSTER",IF(L837="","OK",IF(MATCH(L837,$L$2:$L$3001,0)&lt;ROW()-1,"Duplicate (ignored)","OK"))))))))</f>
        <v/>
      </c>
      <c r="I837">
        <f>IF(OC_Date=0,"",IF(INDEX('OneCause_Paste'!$A$837:$AZ$837,1,OC_Date)="","",INDEX('OneCause_Paste'!$A$837:$AZ$837,1,OC_Date)))</f>
        <v/>
      </c>
      <c r="J837">
        <f>IF(OC_Amt=0,"",IF(INDEX('OneCause_Paste'!$A$837:$AZ$837,1,OC_Amt)="","",INDEX('OneCause_Paste'!$A$837:$AZ$837,1,OC_Amt)))</f>
        <v/>
      </c>
      <c r="K837">
        <f>IF(OC_Name=0,"",IF(INDEX('OneCause_Paste'!$A$837:$AZ$837,1,OC_Name)="","",INDEX('OneCause_Paste'!$A$837:$AZ$837,1,OC_Name)))</f>
        <v/>
      </c>
      <c r="L837">
        <f>IF(OC_Txn=0,"",IF(INDEX('OneCause_Paste'!$A$837:$AZ$837,1,OC_Txn)="","",INDEX('OneCause_Paste'!$A$837:$AZ$837,1,OC_Txn)))</f>
        <v/>
      </c>
      <c r="M837">
        <f>IF(OC_Pay=0,"",IF(INDEX('OneCause_Paste'!$A$837:$AZ$837,1,OC_Pay)="","",INDEX('OneCause_Paste'!$A$837:$AZ$837,1,OC_Pay)))</f>
        <v/>
      </c>
      <c r="N837">
        <f>IF(I837="","",IF(ISNUMBER(I837),INT(I837),IFERROR(INT(DATEVALUE(I837)),IFERROR(INT(VALUE(I837)),"bad"))))</f>
        <v/>
      </c>
      <c r="O837">
        <f>IF(J837="","",IF(ISNUMBER(J837),ROUND(J837,2),IFERROR(ROUND(VALUE(SUBSTITUTE(SUBSTITUTE(SUBSTITUTE(J837,"$",""),",","")," ","")),2),"bad")))</f>
        <v/>
      </c>
      <c r="P837">
        <f>IF(TRIM(K837)="","",IFERROR(MATCH(LOWER(TRIM(K837)),'Students'!$AH$2:$AH$701,0),IFERROR(MATCH(LOWER(TRIM(K837)),'Students'!$AF$2:$AF$701,0),IFERROR(MATCH(LOWER(TRIM(K837)),'Students'!$AG$2:$AG$701,0),""))))</f>
        <v/>
      </c>
      <c r="R837">
        <f>IF(P837="","",INDEX('Students'!$AD$2:$AD$701,P837))</f>
        <v/>
      </c>
      <c r="S837">
        <f>IF(H837="OK",O837,0)</f>
        <v/>
      </c>
      <c r="T837">
        <f>IF(H837="OK",N837,"")</f>
        <v/>
      </c>
      <c r="U837">
        <f>IF(OC_Donor=0,"",IF(INDEX('OneCause_Paste'!$A$837:$AZ$837,1,OC_Donor)="","",INDEX('OneCause_Paste'!$A$837:$AZ$837,1,OC_Donor)))</f>
        <v/>
      </c>
    </row>
    <row r="838">
      <c r="A838" s="62">
        <f>IF(H838="","",IF(ISNUMBER(N838),N838,I838))</f>
        <v/>
      </c>
      <c r="B838">
        <f>IF(H838="","",U838)</f>
        <v/>
      </c>
      <c r="C838">
        <f>IF(H838="","",IF(P838="",K838,INDEX('Students'!$A$2:$A$701,P838)))</f>
        <v/>
      </c>
      <c r="D838">
        <f>IF(OR(H838="",P838=""),"",INDEX('Students'!$B$2:$B$701,P838))</f>
        <v/>
      </c>
      <c r="E838">
        <f>IF(OR(H838="",P838=""),"",INDEX('Students'!$C$2:$C$701,P838))</f>
        <v/>
      </c>
      <c r="F838" s="48">
        <f>IF(H838="","",IF(ISNUMBER(O838),O838,J838))</f>
        <v/>
      </c>
      <c r="G838">
        <f>IF(H838="","","OneCause")</f>
        <v/>
      </c>
      <c r="H838">
        <f>IF(AND(I838="",J838="",K838=""),"",IF(NOT(ISNUMBER(O838)),"Bad amount",IF(O838&lt;0,"Refund (not counted)",IF(O838=0,"Zero amount",IF(NOT(ISNUMBER(N838)),"Bad date",IF(P838="","NAME NOT ON ROSTER",IF(L838="","OK",IF(MATCH(L838,$L$2:$L$3001,0)&lt;ROW()-1,"Duplicate (ignored)","OK"))))))))</f>
        <v/>
      </c>
      <c r="I838">
        <f>IF(OC_Date=0,"",IF(INDEX('OneCause_Paste'!$A$838:$AZ$838,1,OC_Date)="","",INDEX('OneCause_Paste'!$A$838:$AZ$838,1,OC_Date)))</f>
        <v/>
      </c>
      <c r="J838">
        <f>IF(OC_Amt=0,"",IF(INDEX('OneCause_Paste'!$A$838:$AZ$838,1,OC_Amt)="","",INDEX('OneCause_Paste'!$A$838:$AZ$838,1,OC_Amt)))</f>
        <v/>
      </c>
      <c r="K838">
        <f>IF(OC_Name=0,"",IF(INDEX('OneCause_Paste'!$A$838:$AZ$838,1,OC_Name)="","",INDEX('OneCause_Paste'!$A$838:$AZ$838,1,OC_Name)))</f>
        <v/>
      </c>
      <c r="L838">
        <f>IF(OC_Txn=0,"",IF(INDEX('OneCause_Paste'!$A$838:$AZ$838,1,OC_Txn)="","",INDEX('OneCause_Paste'!$A$838:$AZ$838,1,OC_Txn)))</f>
        <v/>
      </c>
      <c r="M838">
        <f>IF(OC_Pay=0,"",IF(INDEX('OneCause_Paste'!$A$838:$AZ$838,1,OC_Pay)="","",INDEX('OneCause_Paste'!$A$838:$AZ$838,1,OC_Pay)))</f>
        <v/>
      </c>
      <c r="N838">
        <f>IF(I838="","",IF(ISNUMBER(I838),INT(I838),IFERROR(INT(DATEVALUE(I838)),IFERROR(INT(VALUE(I838)),"bad"))))</f>
        <v/>
      </c>
      <c r="O838">
        <f>IF(J838="","",IF(ISNUMBER(J838),ROUND(J838,2),IFERROR(ROUND(VALUE(SUBSTITUTE(SUBSTITUTE(SUBSTITUTE(J838,"$",""),",","")," ","")),2),"bad")))</f>
        <v/>
      </c>
      <c r="P838">
        <f>IF(TRIM(K838)="","",IFERROR(MATCH(LOWER(TRIM(K838)),'Students'!$AH$2:$AH$701,0),IFERROR(MATCH(LOWER(TRIM(K838)),'Students'!$AF$2:$AF$701,0),IFERROR(MATCH(LOWER(TRIM(K838)),'Students'!$AG$2:$AG$701,0),""))))</f>
        <v/>
      </c>
      <c r="R838">
        <f>IF(P838="","",INDEX('Students'!$AD$2:$AD$701,P838))</f>
        <v/>
      </c>
      <c r="S838">
        <f>IF(H838="OK",O838,0)</f>
        <v/>
      </c>
      <c r="T838">
        <f>IF(H838="OK",N838,"")</f>
        <v/>
      </c>
      <c r="U838">
        <f>IF(OC_Donor=0,"",IF(INDEX('OneCause_Paste'!$A$838:$AZ$838,1,OC_Donor)="","",INDEX('OneCause_Paste'!$A$838:$AZ$838,1,OC_Donor)))</f>
        <v/>
      </c>
    </row>
    <row r="839">
      <c r="A839" s="62">
        <f>IF(H839="","",IF(ISNUMBER(N839),N839,I839))</f>
        <v/>
      </c>
      <c r="B839">
        <f>IF(H839="","",U839)</f>
        <v/>
      </c>
      <c r="C839">
        <f>IF(H839="","",IF(P839="",K839,INDEX('Students'!$A$2:$A$701,P839)))</f>
        <v/>
      </c>
      <c r="D839">
        <f>IF(OR(H839="",P839=""),"",INDEX('Students'!$B$2:$B$701,P839))</f>
        <v/>
      </c>
      <c r="E839">
        <f>IF(OR(H839="",P839=""),"",INDEX('Students'!$C$2:$C$701,P839))</f>
        <v/>
      </c>
      <c r="F839" s="48">
        <f>IF(H839="","",IF(ISNUMBER(O839),O839,J839))</f>
        <v/>
      </c>
      <c r="G839">
        <f>IF(H839="","","OneCause")</f>
        <v/>
      </c>
      <c r="H839">
        <f>IF(AND(I839="",J839="",K839=""),"",IF(NOT(ISNUMBER(O839)),"Bad amount",IF(O839&lt;0,"Refund (not counted)",IF(O839=0,"Zero amount",IF(NOT(ISNUMBER(N839)),"Bad date",IF(P839="","NAME NOT ON ROSTER",IF(L839="","OK",IF(MATCH(L839,$L$2:$L$3001,0)&lt;ROW()-1,"Duplicate (ignored)","OK"))))))))</f>
        <v/>
      </c>
      <c r="I839">
        <f>IF(OC_Date=0,"",IF(INDEX('OneCause_Paste'!$A$839:$AZ$839,1,OC_Date)="","",INDEX('OneCause_Paste'!$A$839:$AZ$839,1,OC_Date)))</f>
        <v/>
      </c>
      <c r="J839">
        <f>IF(OC_Amt=0,"",IF(INDEX('OneCause_Paste'!$A$839:$AZ$839,1,OC_Amt)="","",INDEX('OneCause_Paste'!$A$839:$AZ$839,1,OC_Amt)))</f>
        <v/>
      </c>
      <c r="K839">
        <f>IF(OC_Name=0,"",IF(INDEX('OneCause_Paste'!$A$839:$AZ$839,1,OC_Name)="","",INDEX('OneCause_Paste'!$A$839:$AZ$839,1,OC_Name)))</f>
        <v/>
      </c>
      <c r="L839">
        <f>IF(OC_Txn=0,"",IF(INDEX('OneCause_Paste'!$A$839:$AZ$839,1,OC_Txn)="","",INDEX('OneCause_Paste'!$A$839:$AZ$839,1,OC_Txn)))</f>
        <v/>
      </c>
      <c r="M839">
        <f>IF(OC_Pay=0,"",IF(INDEX('OneCause_Paste'!$A$839:$AZ$839,1,OC_Pay)="","",INDEX('OneCause_Paste'!$A$839:$AZ$839,1,OC_Pay)))</f>
        <v/>
      </c>
      <c r="N839">
        <f>IF(I839="","",IF(ISNUMBER(I839),INT(I839),IFERROR(INT(DATEVALUE(I839)),IFERROR(INT(VALUE(I839)),"bad"))))</f>
        <v/>
      </c>
      <c r="O839">
        <f>IF(J839="","",IF(ISNUMBER(J839),ROUND(J839,2),IFERROR(ROUND(VALUE(SUBSTITUTE(SUBSTITUTE(SUBSTITUTE(J839,"$",""),",","")," ","")),2),"bad")))</f>
        <v/>
      </c>
      <c r="P839">
        <f>IF(TRIM(K839)="","",IFERROR(MATCH(LOWER(TRIM(K839)),'Students'!$AH$2:$AH$701,0),IFERROR(MATCH(LOWER(TRIM(K839)),'Students'!$AF$2:$AF$701,0),IFERROR(MATCH(LOWER(TRIM(K839)),'Students'!$AG$2:$AG$701,0),""))))</f>
        <v/>
      </c>
      <c r="R839">
        <f>IF(P839="","",INDEX('Students'!$AD$2:$AD$701,P839))</f>
        <v/>
      </c>
      <c r="S839">
        <f>IF(H839="OK",O839,0)</f>
        <v/>
      </c>
      <c r="T839">
        <f>IF(H839="OK",N839,"")</f>
        <v/>
      </c>
      <c r="U839">
        <f>IF(OC_Donor=0,"",IF(INDEX('OneCause_Paste'!$A$839:$AZ$839,1,OC_Donor)="","",INDEX('OneCause_Paste'!$A$839:$AZ$839,1,OC_Donor)))</f>
        <v/>
      </c>
    </row>
    <row r="840">
      <c r="A840" s="62">
        <f>IF(H840="","",IF(ISNUMBER(N840),N840,I840))</f>
        <v/>
      </c>
      <c r="B840">
        <f>IF(H840="","",U840)</f>
        <v/>
      </c>
      <c r="C840">
        <f>IF(H840="","",IF(P840="",K840,INDEX('Students'!$A$2:$A$701,P840)))</f>
        <v/>
      </c>
      <c r="D840">
        <f>IF(OR(H840="",P840=""),"",INDEX('Students'!$B$2:$B$701,P840))</f>
        <v/>
      </c>
      <c r="E840">
        <f>IF(OR(H840="",P840=""),"",INDEX('Students'!$C$2:$C$701,P840))</f>
        <v/>
      </c>
      <c r="F840" s="48">
        <f>IF(H840="","",IF(ISNUMBER(O840),O840,J840))</f>
        <v/>
      </c>
      <c r="G840">
        <f>IF(H840="","","OneCause")</f>
        <v/>
      </c>
      <c r="H840">
        <f>IF(AND(I840="",J840="",K840=""),"",IF(NOT(ISNUMBER(O840)),"Bad amount",IF(O840&lt;0,"Refund (not counted)",IF(O840=0,"Zero amount",IF(NOT(ISNUMBER(N840)),"Bad date",IF(P840="","NAME NOT ON ROSTER",IF(L840="","OK",IF(MATCH(L840,$L$2:$L$3001,0)&lt;ROW()-1,"Duplicate (ignored)","OK"))))))))</f>
        <v/>
      </c>
      <c r="I840">
        <f>IF(OC_Date=0,"",IF(INDEX('OneCause_Paste'!$A$840:$AZ$840,1,OC_Date)="","",INDEX('OneCause_Paste'!$A$840:$AZ$840,1,OC_Date)))</f>
        <v/>
      </c>
      <c r="J840">
        <f>IF(OC_Amt=0,"",IF(INDEX('OneCause_Paste'!$A$840:$AZ$840,1,OC_Amt)="","",INDEX('OneCause_Paste'!$A$840:$AZ$840,1,OC_Amt)))</f>
        <v/>
      </c>
      <c r="K840">
        <f>IF(OC_Name=0,"",IF(INDEX('OneCause_Paste'!$A$840:$AZ$840,1,OC_Name)="","",INDEX('OneCause_Paste'!$A$840:$AZ$840,1,OC_Name)))</f>
        <v/>
      </c>
      <c r="L840">
        <f>IF(OC_Txn=0,"",IF(INDEX('OneCause_Paste'!$A$840:$AZ$840,1,OC_Txn)="","",INDEX('OneCause_Paste'!$A$840:$AZ$840,1,OC_Txn)))</f>
        <v/>
      </c>
      <c r="M840">
        <f>IF(OC_Pay=0,"",IF(INDEX('OneCause_Paste'!$A$840:$AZ$840,1,OC_Pay)="","",INDEX('OneCause_Paste'!$A$840:$AZ$840,1,OC_Pay)))</f>
        <v/>
      </c>
      <c r="N840">
        <f>IF(I840="","",IF(ISNUMBER(I840),INT(I840),IFERROR(INT(DATEVALUE(I840)),IFERROR(INT(VALUE(I840)),"bad"))))</f>
        <v/>
      </c>
      <c r="O840">
        <f>IF(J840="","",IF(ISNUMBER(J840),ROUND(J840,2),IFERROR(ROUND(VALUE(SUBSTITUTE(SUBSTITUTE(SUBSTITUTE(J840,"$",""),",","")," ","")),2),"bad")))</f>
        <v/>
      </c>
      <c r="P840">
        <f>IF(TRIM(K840)="","",IFERROR(MATCH(LOWER(TRIM(K840)),'Students'!$AH$2:$AH$701,0),IFERROR(MATCH(LOWER(TRIM(K840)),'Students'!$AF$2:$AF$701,0),IFERROR(MATCH(LOWER(TRIM(K840)),'Students'!$AG$2:$AG$701,0),""))))</f>
        <v/>
      </c>
      <c r="R840">
        <f>IF(P840="","",INDEX('Students'!$AD$2:$AD$701,P840))</f>
        <v/>
      </c>
      <c r="S840">
        <f>IF(H840="OK",O840,0)</f>
        <v/>
      </c>
      <c r="T840">
        <f>IF(H840="OK",N840,"")</f>
        <v/>
      </c>
      <c r="U840">
        <f>IF(OC_Donor=0,"",IF(INDEX('OneCause_Paste'!$A$840:$AZ$840,1,OC_Donor)="","",INDEX('OneCause_Paste'!$A$840:$AZ$840,1,OC_Donor)))</f>
        <v/>
      </c>
    </row>
    <row r="841">
      <c r="A841" s="62">
        <f>IF(H841="","",IF(ISNUMBER(N841),N841,I841))</f>
        <v/>
      </c>
      <c r="B841">
        <f>IF(H841="","",U841)</f>
        <v/>
      </c>
      <c r="C841">
        <f>IF(H841="","",IF(P841="",K841,INDEX('Students'!$A$2:$A$701,P841)))</f>
        <v/>
      </c>
      <c r="D841">
        <f>IF(OR(H841="",P841=""),"",INDEX('Students'!$B$2:$B$701,P841))</f>
        <v/>
      </c>
      <c r="E841">
        <f>IF(OR(H841="",P841=""),"",INDEX('Students'!$C$2:$C$701,P841))</f>
        <v/>
      </c>
      <c r="F841" s="48">
        <f>IF(H841="","",IF(ISNUMBER(O841),O841,J841))</f>
        <v/>
      </c>
      <c r="G841">
        <f>IF(H841="","","OneCause")</f>
        <v/>
      </c>
      <c r="H841">
        <f>IF(AND(I841="",J841="",K841=""),"",IF(NOT(ISNUMBER(O841)),"Bad amount",IF(O841&lt;0,"Refund (not counted)",IF(O841=0,"Zero amount",IF(NOT(ISNUMBER(N841)),"Bad date",IF(P841="","NAME NOT ON ROSTER",IF(L841="","OK",IF(MATCH(L841,$L$2:$L$3001,0)&lt;ROW()-1,"Duplicate (ignored)","OK"))))))))</f>
        <v/>
      </c>
      <c r="I841">
        <f>IF(OC_Date=0,"",IF(INDEX('OneCause_Paste'!$A$841:$AZ$841,1,OC_Date)="","",INDEX('OneCause_Paste'!$A$841:$AZ$841,1,OC_Date)))</f>
        <v/>
      </c>
      <c r="J841">
        <f>IF(OC_Amt=0,"",IF(INDEX('OneCause_Paste'!$A$841:$AZ$841,1,OC_Amt)="","",INDEX('OneCause_Paste'!$A$841:$AZ$841,1,OC_Amt)))</f>
        <v/>
      </c>
      <c r="K841">
        <f>IF(OC_Name=0,"",IF(INDEX('OneCause_Paste'!$A$841:$AZ$841,1,OC_Name)="","",INDEX('OneCause_Paste'!$A$841:$AZ$841,1,OC_Name)))</f>
        <v/>
      </c>
      <c r="L841">
        <f>IF(OC_Txn=0,"",IF(INDEX('OneCause_Paste'!$A$841:$AZ$841,1,OC_Txn)="","",INDEX('OneCause_Paste'!$A$841:$AZ$841,1,OC_Txn)))</f>
        <v/>
      </c>
      <c r="M841">
        <f>IF(OC_Pay=0,"",IF(INDEX('OneCause_Paste'!$A$841:$AZ$841,1,OC_Pay)="","",INDEX('OneCause_Paste'!$A$841:$AZ$841,1,OC_Pay)))</f>
        <v/>
      </c>
      <c r="N841">
        <f>IF(I841="","",IF(ISNUMBER(I841),INT(I841),IFERROR(INT(DATEVALUE(I841)),IFERROR(INT(VALUE(I841)),"bad"))))</f>
        <v/>
      </c>
      <c r="O841">
        <f>IF(J841="","",IF(ISNUMBER(J841),ROUND(J841,2),IFERROR(ROUND(VALUE(SUBSTITUTE(SUBSTITUTE(SUBSTITUTE(J841,"$",""),",","")," ","")),2),"bad")))</f>
        <v/>
      </c>
      <c r="P841">
        <f>IF(TRIM(K841)="","",IFERROR(MATCH(LOWER(TRIM(K841)),'Students'!$AH$2:$AH$701,0),IFERROR(MATCH(LOWER(TRIM(K841)),'Students'!$AF$2:$AF$701,0),IFERROR(MATCH(LOWER(TRIM(K841)),'Students'!$AG$2:$AG$701,0),""))))</f>
        <v/>
      </c>
      <c r="R841">
        <f>IF(P841="","",INDEX('Students'!$AD$2:$AD$701,P841))</f>
        <v/>
      </c>
      <c r="S841">
        <f>IF(H841="OK",O841,0)</f>
        <v/>
      </c>
      <c r="T841">
        <f>IF(H841="OK",N841,"")</f>
        <v/>
      </c>
      <c r="U841">
        <f>IF(OC_Donor=0,"",IF(INDEX('OneCause_Paste'!$A$841:$AZ$841,1,OC_Donor)="","",INDEX('OneCause_Paste'!$A$841:$AZ$841,1,OC_Donor)))</f>
        <v/>
      </c>
    </row>
    <row r="842">
      <c r="A842" s="62">
        <f>IF(H842="","",IF(ISNUMBER(N842),N842,I842))</f>
        <v/>
      </c>
      <c r="B842">
        <f>IF(H842="","",U842)</f>
        <v/>
      </c>
      <c r="C842">
        <f>IF(H842="","",IF(P842="",K842,INDEX('Students'!$A$2:$A$701,P842)))</f>
        <v/>
      </c>
      <c r="D842">
        <f>IF(OR(H842="",P842=""),"",INDEX('Students'!$B$2:$B$701,P842))</f>
        <v/>
      </c>
      <c r="E842">
        <f>IF(OR(H842="",P842=""),"",INDEX('Students'!$C$2:$C$701,P842))</f>
        <v/>
      </c>
      <c r="F842" s="48">
        <f>IF(H842="","",IF(ISNUMBER(O842),O842,J842))</f>
        <v/>
      </c>
      <c r="G842">
        <f>IF(H842="","","OneCause")</f>
        <v/>
      </c>
      <c r="H842">
        <f>IF(AND(I842="",J842="",K842=""),"",IF(NOT(ISNUMBER(O842)),"Bad amount",IF(O842&lt;0,"Refund (not counted)",IF(O842=0,"Zero amount",IF(NOT(ISNUMBER(N842)),"Bad date",IF(P842="","NAME NOT ON ROSTER",IF(L842="","OK",IF(MATCH(L842,$L$2:$L$3001,0)&lt;ROW()-1,"Duplicate (ignored)","OK"))))))))</f>
        <v/>
      </c>
      <c r="I842">
        <f>IF(OC_Date=0,"",IF(INDEX('OneCause_Paste'!$A$842:$AZ$842,1,OC_Date)="","",INDEX('OneCause_Paste'!$A$842:$AZ$842,1,OC_Date)))</f>
        <v/>
      </c>
      <c r="J842">
        <f>IF(OC_Amt=0,"",IF(INDEX('OneCause_Paste'!$A$842:$AZ$842,1,OC_Amt)="","",INDEX('OneCause_Paste'!$A$842:$AZ$842,1,OC_Amt)))</f>
        <v/>
      </c>
      <c r="K842">
        <f>IF(OC_Name=0,"",IF(INDEX('OneCause_Paste'!$A$842:$AZ$842,1,OC_Name)="","",INDEX('OneCause_Paste'!$A$842:$AZ$842,1,OC_Name)))</f>
        <v/>
      </c>
      <c r="L842">
        <f>IF(OC_Txn=0,"",IF(INDEX('OneCause_Paste'!$A$842:$AZ$842,1,OC_Txn)="","",INDEX('OneCause_Paste'!$A$842:$AZ$842,1,OC_Txn)))</f>
        <v/>
      </c>
      <c r="M842">
        <f>IF(OC_Pay=0,"",IF(INDEX('OneCause_Paste'!$A$842:$AZ$842,1,OC_Pay)="","",INDEX('OneCause_Paste'!$A$842:$AZ$842,1,OC_Pay)))</f>
        <v/>
      </c>
      <c r="N842">
        <f>IF(I842="","",IF(ISNUMBER(I842),INT(I842),IFERROR(INT(DATEVALUE(I842)),IFERROR(INT(VALUE(I842)),"bad"))))</f>
        <v/>
      </c>
      <c r="O842">
        <f>IF(J842="","",IF(ISNUMBER(J842),ROUND(J842,2),IFERROR(ROUND(VALUE(SUBSTITUTE(SUBSTITUTE(SUBSTITUTE(J842,"$",""),",","")," ","")),2),"bad")))</f>
        <v/>
      </c>
      <c r="P842">
        <f>IF(TRIM(K842)="","",IFERROR(MATCH(LOWER(TRIM(K842)),'Students'!$AH$2:$AH$701,0),IFERROR(MATCH(LOWER(TRIM(K842)),'Students'!$AF$2:$AF$701,0),IFERROR(MATCH(LOWER(TRIM(K842)),'Students'!$AG$2:$AG$701,0),""))))</f>
        <v/>
      </c>
      <c r="R842">
        <f>IF(P842="","",INDEX('Students'!$AD$2:$AD$701,P842))</f>
        <v/>
      </c>
      <c r="S842">
        <f>IF(H842="OK",O842,0)</f>
        <v/>
      </c>
      <c r="T842">
        <f>IF(H842="OK",N842,"")</f>
        <v/>
      </c>
      <c r="U842">
        <f>IF(OC_Donor=0,"",IF(INDEX('OneCause_Paste'!$A$842:$AZ$842,1,OC_Donor)="","",INDEX('OneCause_Paste'!$A$842:$AZ$842,1,OC_Donor)))</f>
        <v/>
      </c>
    </row>
    <row r="843">
      <c r="A843" s="62">
        <f>IF(H843="","",IF(ISNUMBER(N843),N843,I843))</f>
        <v/>
      </c>
      <c r="B843">
        <f>IF(H843="","",U843)</f>
        <v/>
      </c>
      <c r="C843">
        <f>IF(H843="","",IF(P843="",K843,INDEX('Students'!$A$2:$A$701,P843)))</f>
        <v/>
      </c>
      <c r="D843">
        <f>IF(OR(H843="",P843=""),"",INDEX('Students'!$B$2:$B$701,P843))</f>
        <v/>
      </c>
      <c r="E843">
        <f>IF(OR(H843="",P843=""),"",INDEX('Students'!$C$2:$C$701,P843))</f>
        <v/>
      </c>
      <c r="F843" s="48">
        <f>IF(H843="","",IF(ISNUMBER(O843),O843,J843))</f>
        <v/>
      </c>
      <c r="G843">
        <f>IF(H843="","","OneCause")</f>
        <v/>
      </c>
      <c r="H843">
        <f>IF(AND(I843="",J843="",K843=""),"",IF(NOT(ISNUMBER(O843)),"Bad amount",IF(O843&lt;0,"Refund (not counted)",IF(O843=0,"Zero amount",IF(NOT(ISNUMBER(N843)),"Bad date",IF(P843="","NAME NOT ON ROSTER",IF(L843="","OK",IF(MATCH(L843,$L$2:$L$3001,0)&lt;ROW()-1,"Duplicate (ignored)","OK"))))))))</f>
        <v/>
      </c>
      <c r="I843">
        <f>IF(OC_Date=0,"",IF(INDEX('OneCause_Paste'!$A$843:$AZ$843,1,OC_Date)="","",INDEX('OneCause_Paste'!$A$843:$AZ$843,1,OC_Date)))</f>
        <v/>
      </c>
      <c r="J843">
        <f>IF(OC_Amt=0,"",IF(INDEX('OneCause_Paste'!$A$843:$AZ$843,1,OC_Amt)="","",INDEX('OneCause_Paste'!$A$843:$AZ$843,1,OC_Amt)))</f>
        <v/>
      </c>
      <c r="K843">
        <f>IF(OC_Name=0,"",IF(INDEX('OneCause_Paste'!$A$843:$AZ$843,1,OC_Name)="","",INDEX('OneCause_Paste'!$A$843:$AZ$843,1,OC_Name)))</f>
        <v/>
      </c>
      <c r="L843">
        <f>IF(OC_Txn=0,"",IF(INDEX('OneCause_Paste'!$A$843:$AZ$843,1,OC_Txn)="","",INDEX('OneCause_Paste'!$A$843:$AZ$843,1,OC_Txn)))</f>
        <v/>
      </c>
      <c r="M843">
        <f>IF(OC_Pay=0,"",IF(INDEX('OneCause_Paste'!$A$843:$AZ$843,1,OC_Pay)="","",INDEX('OneCause_Paste'!$A$843:$AZ$843,1,OC_Pay)))</f>
        <v/>
      </c>
      <c r="N843">
        <f>IF(I843="","",IF(ISNUMBER(I843),INT(I843),IFERROR(INT(DATEVALUE(I843)),IFERROR(INT(VALUE(I843)),"bad"))))</f>
        <v/>
      </c>
      <c r="O843">
        <f>IF(J843="","",IF(ISNUMBER(J843),ROUND(J843,2),IFERROR(ROUND(VALUE(SUBSTITUTE(SUBSTITUTE(SUBSTITUTE(J843,"$",""),",","")," ","")),2),"bad")))</f>
        <v/>
      </c>
      <c r="P843">
        <f>IF(TRIM(K843)="","",IFERROR(MATCH(LOWER(TRIM(K843)),'Students'!$AH$2:$AH$701,0),IFERROR(MATCH(LOWER(TRIM(K843)),'Students'!$AF$2:$AF$701,0),IFERROR(MATCH(LOWER(TRIM(K843)),'Students'!$AG$2:$AG$701,0),""))))</f>
        <v/>
      </c>
      <c r="R843">
        <f>IF(P843="","",INDEX('Students'!$AD$2:$AD$701,P843))</f>
        <v/>
      </c>
      <c r="S843">
        <f>IF(H843="OK",O843,0)</f>
        <v/>
      </c>
      <c r="T843">
        <f>IF(H843="OK",N843,"")</f>
        <v/>
      </c>
      <c r="U843">
        <f>IF(OC_Donor=0,"",IF(INDEX('OneCause_Paste'!$A$843:$AZ$843,1,OC_Donor)="","",INDEX('OneCause_Paste'!$A$843:$AZ$843,1,OC_Donor)))</f>
        <v/>
      </c>
    </row>
    <row r="844">
      <c r="A844" s="62">
        <f>IF(H844="","",IF(ISNUMBER(N844),N844,I844))</f>
        <v/>
      </c>
      <c r="B844">
        <f>IF(H844="","",U844)</f>
        <v/>
      </c>
      <c r="C844">
        <f>IF(H844="","",IF(P844="",K844,INDEX('Students'!$A$2:$A$701,P844)))</f>
        <v/>
      </c>
      <c r="D844">
        <f>IF(OR(H844="",P844=""),"",INDEX('Students'!$B$2:$B$701,P844))</f>
        <v/>
      </c>
      <c r="E844">
        <f>IF(OR(H844="",P844=""),"",INDEX('Students'!$C$2:$C$701,P844))</f>
        <v/>
      </c>
      <c r="F844" s="48">
        <f>IF(H844="","",IF(ISNUMBER(O844),O844,J844))</f>
        <v/>
      </c>
      <c r="G844">
        <f>IF(H844="","","OneCause")</f>
        <v/>
      </c>
      <c r="H844">
        <f>IF(AND(I844="",J844="",K844=""),"",IF(NOT(ISNUMBER(O844)),"Bad amount",IF(O844&lt;0,"Refund (not counted)",IF(O844=0,"Zero amount",IF(NOT(ISNUMBER(N844)),"Bad date",IF(P844="","NAME NOT ON ROSTER",IF(L844="","OK",IF(MATCH(L844,$L$2:$L$3001,0)&lt;ROW()-1,"Duplicate (ignored)","OK"))))))))</f>
        <v/>
      </c>
      <c r="I844">
        <f>IF(OC_Date=0,"",IF(INDEX('OneCause_Paste'!$A$844:$AZ$844,1,OC_Date)="","",INDEX('OneCause_Paste'!$A$844:$AZ$844,1,OC_Date)))</f>
        <v/>
      </c>
      <c r="J844">
        <f>IF(OC_Amt=0,"",IF(INDEX('OneCause_Paste'!$A$844:$AZ$844,1,OC_Amt)="","",INDEX('OneCause_Paste'!$A$844:$AZ$844,1,OC_Amt)))</f>
        <v/>
      </c>
      <c r="K844">
        <f>IF(OC_Name=0,"",IF(INDEX('OneCause_Paste'!$A$844:$AZ$844,1,OC_Name)="","",INDEX('OneCause_Paste'!$A$844:$AZ$844,1,OC_Name)))</f>
        <v/>
      </c>
      <c r="L844">
        <f>IF(OC_Txn=0,"",IF(INDEX('OneCause_Paste'!$A$844:$AZ$844,1,OC_Txn)="","",INDEX('OneCause_Paste'!$A$844:$AZ$844,1,OC_Txn)))</f>
        <v/>
      </c>
      <c r="M844">
        <f>IF(OC_Pay=0,"",IF(INDEX('OneCause_Paste'!$A$844:$AZ$844,1,OC_Pay)="","",INDEX('OneCause_Paste'!$A$844:$AZ$844,1,OC_Pay)))</f>
        <v/>
      </c>
      <c r="N844">
        <f>IF(I844="","",IF(ISNUMBER(I844),INT(I844),IFERROR(INT(DATEVALUE(I844)),IFERROR(INT(VALUE(I844)),"bad"))))</f>
        <v/>
      </c>
      <c r="O844">
        <f>IF(J844="","",IF(ISNUMBER(J844),ROUND(J844,2),IFERROR(ROUND(VALUE(SUBSTITUTE(SUBSTITUTE(SUBSTITUTE(J844,"$",""),",","")," ","")),2),"bad")))</f>
        <v/>
      </c>
      <c r="P844">
        <f>IF(TRIM(K844)="","",IFERROR(MATCH(LOWER(TRIM(K844)),'Students'!$AH$2:$AH$701,0),IFERROR(MATCH(LOWER(TRIM(K844)),'Students'!$AF$2:$AF$701,0),IFERROR(MATCH(LOWER(TRIM(K844)),'Students'!$AG$2:$AG$701,0),""))))</f>
        <v/>
      </c>
      <c r="R844">
        <f>IF(P844="","",INDEX('Students'!$AD$2:$AD$701,P844))</f>
        <v/>
      </c>
      <c r="S844">
        <f>IF(H844="OK",O844,0)</f>
        <v/>
      </c>
      <c r="T844">
        <f>IF(H844="OK",N844,"")</f>
        <v/>
      </c>
      <c r="U844">
        <f>IF(OC_Donor=0,"",IF(INDEX('OneCause_Paste'!$A$844:$AZ$844,1,OC_Donor)="","",INDEX('OneCause_Paste'!$A$844:$AZ$844,1,OC_Donor)))</f>
        <v/>
      </c>
    </row>
    <row r="845">
      <c r="A845" s="62">
        <f>IF(H845="","",IF(ISNUMBER(N845),N845,I845))</f>
        <v/>
      </c>
      <c r="B845">
        <f>IF(H845="","",U845)</f>
        <v/>
      </c>
      <c r="C845">
        <f>IF(H845="","",IF(P845="",K845,INDEX('Students'!$A$2:$A$701,P845)))</f>
        <v/>
      </c>
      <c r="D845">
        <f>IF(OR(H845="",P845=""),"",INDEX('Students'!$B$2:$B$701,P845))</f>
        <v/>
      </c>
      <c r="E845">
        <f>IF(OR(H845="",P845=""),"",INDEX('Students'!$C$2:$C$701,P845))</f>
        <v/>
      </c>
      <c r="F845" s="48">
        <f>IF(H845="","",IF(ISNUMBER(O845),O845,J845))</f>
        <v/>
      </c>
      <c r="G845">
        <f>IF(H845="","","OneCause")</f>
        <v/>
      </c>
      <c r="H845">
        <f>IF(AND(I845="",J845="",K845=""),"",IF(NOT(ISNUMBER(O845)),"Bad amount",IF(O845&lt;0,"Refund (not counted)",IF(O845=0,"Zero amount",IF(NOT(ISNUMBER(N845)),"Bad date",IF(P845="","NAME NOT ON ROSTER",IF(L845="","OK",IF(MATCH(L845,$L$2:$L$3001,0)&lt;ROW()-1,"Duplicate (ignored)","OK"))))))))</f>
        <v/>
      </c>
      <c r="I845">
        <f>IF(OC_Date=0,"",IF(INDEX('OneCause_Paste'!$A$845:$AZ$845,1,OC_Date)="","",INDEX('OneCause_Paste'!$A$845:$AZ$845,1,OC_Date)))</f>
        <v/>
      </c>
      <c r="J845">
        <f>IF(OC_Amt=0,"",IF(INDEX('OneCause_Paste'!$A$845:$AZ$845,1,OC_Amt)="","",INDEX('OneCause_Paste'!$A$845:$AZ$845,1,OC_Amt)))</f>
        <v/>
      </c>
      <c r="K845">
        <f>IF(OC_Name=0,"",IF(INDEX('OneCause_Paste'!$A$845:$AZ$845,1,OC_Name)="","",INDEX('OneCause_Paste'!$A$845:$AZ$845,1,OC_Name)))</f>
        <v/>
      </c>
      <c r="L845">
        <f>IF(OC_Txn=0,"",IF(INDEX('OneCause_Paste'!$A$845:$AZ$845,1,OC_Txn)="","",INDEX('OneCause_Paste'!$A$845:$AZ$845,1,OC_Txn)))</f>
        <v/>
      </c>
      <c r="M845">
        <f>IF(OC_Pay=0,"",IF(INDEX('OneCause_Paste'!$A$845:$AZ$845,1,OC_Pay)="","",INDEX('OneCause_Paste'!$A$845:$AZ$845,1,OC_Pay)))</f>
        <v/>
      </c>
      <c r="N845">
        <f>IF(I845="","",IF(ISNUMBER(I845),INT(I845),IFERROR(INT(DATEVALUE(I845)),IFERROR(INT(VALUE(I845)),"bad"))))</f>
        <v/>
      </c>
      <c r="O845">
        <f>IF(J845="","",IF(ISNUMBER(J845),ROUND(J845,2),IFERROR(ROUND(VALUE(SUBSTITUTE(SUBSTITUTE(SUBSTITUTE(J845,"$",""),",","")," ","")),2),"bad")))</f>
        <v/>
      </c>
      <c r="P845">
        <f>IF(TRIM(K845)="","",IFERROR(MATCH(LOWER(TRIM(K845)),'Students'!$AH$2:$AH$701,0),IFERROR(MATCH(LOWER(TRIM(K845)),'Students'!$AF$2:$AF$701,0),IFERROR(MATCH(LOWER(TRIM(K845)),'Students'!$AG$2:$AG$701,0),""))))</f>
        <v/>
      </c>
      <c r="R845">
        <f>IF(P845="","",INDEX('Students'!$AD$2:$AD$701,P845))</f>
        <v/>
      </c>
      <c r="S845">
        <f>IF(H845="OK",O845,0)</f>
        <v/>
      </c>
      <c r="T845">
        <f>IF(H845="OK",N845,"")</f>
        <v/>
      </c>
      <c r="U845">
        <f>IF(OC_Donor=0,"",IF(INDEX('OneCause_Paste'!$A$845:$AZ$845,1,OC_Donor)="","",INDEX('OneCause_Paste'!$A$845:$AZ$845,1,OC_Donor)))</f>
        <v/>
      </c>
    </row>
    <row r="846">
      <c r="A846" s="62">
        <f>IF(H846="","",IF(ISNUMBER(N846),N846,I846))</f>
        <v/>
      </c>
      <c r="B846">
        <f>IF(H846="","",U846)</f>
        <v/>
      </c>
      <c r="C846">
        <f>IF(H846="","",IF(P846="",K846,INDEX('Students'!$A$2:$A$701,P846)))</f>
        <v/>
      </c>
      <c r="D846">
        <f>IF(OR(H846="",P846=""),"",INDEX('Students'!$B$2:$B$701,P846))</f>
        <v/>
      </c>
      <c r="E846">
        <f>IF(OR(H846="",P846=""),"",INDEX('Students'!$C$2:$C$701,P846))</f>
        <v/>
      </c>
      <c r="F846" s="48">
        <f>IF(H846="","",IF(ISNUMBER(O846),O846,J846))</f>
        <v/>
      </c>
      <c r="G846">
        <f>IF(H846="","","OneCause")</f>
        <v/>
      </c>
      <c r="H846">
        <f>IF(AND(I846="",J846="",K846=""),"",IF(NOT(ISNUMBER(O846)),"Bad amount",IF(O846&lt;0,"Refund (not counted)",IF(O846=0,"Zero amount",IF(NOT(ISNUMBER(N846)),"Bad date",IF(P846="","NAME NOT ON ROSTER",IF(L846="","OK",IF(MATCH(L846,$L$2:$L$3001,0)&lt;ROW()-1,"Duplicate (ignored)","OK"))))))))</f>
        <v/>
      </c>
      <c r="I846">
        <f>IF(OC_Date=0,"",IF(INDEX('OneCause_Paste'!$A$846:$AZ$846,1,OC_Date)="","",INDEX('OneCause_Paste'!$A$846:$AZ$846,1,OC_Date)))</f>
        <v/>
      </c>
      <c r="J846">
        <f>IF(OC_Amt=0,"",IF(INDEX('OneCause_Paste'!$A$846:$AZ$846,1,OC_Amt)="","",INDEX('OneCause_Paste'!$A$846:$AZ$846,1,OC_Amt)))</f>
        <v/>
      </c>
      <c r="K846">
        <f>IF(OC_Name=0,"",IF(INDEX('OneCause_Paste'!$A$846:$AZ$846,1,OC_Name)="","",INDEX('OneCause_Paste'!$A$846:$AZ$846,1,OC_Name)))</f>
        <v/>
      </c>
      <c r="L846">
        <f>IF(OC_Txn=0,"",IF(INDEX('OneCause_Paste'!$A$846:$AZ$846,1,OC_Txn)="","",INDEX('OneCause_Paste'!$A$846:$AZ$846,1,OC_Txn)))</f>
        <v/>
      </c>
      <c r="M846">
        <f>IF(OC_Pay=0,"",IF(INDEX('OneCause_Paste'!$A$846:$AZ$846,1,OC_Pay)="","",INDEX('OneCause_Paste'!$A$846:$AZ$846,1,OC_Pay)))</f>
        <v/>
      </c>
      <c r="N846">
        <f>IF(I846="","",IF(ISNUMBER(I846),INT(I846),IFERROR(INT(DATEVALUE(I846)),IFERROR(INT(VALUE(I846)),"bad"))))</f>
        <v/>
      </c>
      <c r="O846">
        <f>IF(J846="","",IF(ISNUMBER(J846),ROUND(J846,2),IFERROR(ROUND(VALUE(SUBSTITUTE(SUBSTITUTE(SUBSTITUTE(J846,"$",""),",","")," ","")),2),"bad")))</f>
        <v/>
      </c>
      <c r="P846">
        <f>IF(TRIM(K846)="","",IFERROR(MATCH(LOWER(TRIM(K846)),'Students'!$AH$2:$AH$701,0),IFERROR(MATCH(LOWER(TRIM(K846)),'Students'!$AF$2:$AF$701,0),IFERROR(MATCH(LOWER(TRIM(K846)),'Students'!$AG$2:$AG$701,0),""))))</f>
        <v/>
      </c>
      <c r="R846">
        <f>IF(P846="","",INDEX('Students'!$AD$2:$AD$701,P846))</f>
        <v/>
      </c>
      <c r="S846">
        <f>IF(H846="OK",O846,0)</f>
        <v/>
      </c>
      <c r="T846">
        <f>IF(H846="OK",N846,"")</f>
        <v/>
      </c>
      <c r="U846">
        <f>IF(OC_Donor=0,"",IF(INDEX('OneCause_Paste'!$A$846:$AZ$846,1,OC_Donor)="","",INDEX('OneCause_Paste'!$A$846:$AZ$846,1,OC_Donor)))</f>
        <v/>
      </c>
    </row>
    <row r="847">
      <c r="A847" s="62">
        <f>IF(H847="","",IF(ISNUMBER(N847),N847,I847))</f>
        <v/>
      </c>
      <c r="B847">
        <f>IF(H847="","",U847)</f>
        <v/>
      </c>
      <c r="C847">
        <f>IF(H847="","",IF(P847="",K847,INDEX('Students'!$A$2:$A$701,P847)))</f>
        <v/>
      </c>
      <c r="D847">
        <f>IF(OR(H847="",P847=""),"",INDEX('Students'!$B$2:$B$701,P847))</f>
        <v/>
      </c>
      <c r="E847">
        <f>IF(OR(H847="",P847=""),"",INDEX('Students'!$C$2:$C$701,P847))</f>
        <v/>
      </c>
      <c r="F847" s="48">
        <f>IF(H847="","",IF(ISNUMBER(O847),O847,J847))</f>
        <v/>
      </c>
      <c r="G847">
        <f>IF(H847="","","OneCause")</f>
        <v/>
      </c>
      <c r="H847">
        <f>IF(AND(I847="",J847="",K847=""),"",IF(NOT(ISNUMBER(O847)),"Bad amount",IF(O847&lt;0,"Refund (not counted)",IF(O847=0,"Zero amount",IF(NOT(ISNUMBER(N847)),"Bad date",IF(P847="","NAME NOT ON ROSTER",IF(L847="","OK",IF(MATCH(L847,$L$2:$L$3001,0)&lt;ROW()-1,"Duplicate (ignored)","OK"))))))))</f>
        <v/>
      </c>
      <c r="I847">
        <f>IF(OC_Date=0,"",IF(INDEX('OneCause_Paste'!$A$847:$AZ$847,1,OC_Date)="","",INDEX('OneCause_Paste'!$A$847:$AZ$847,1,OC_Date)))</f>
        <v/>
      </c>
      <c r="J847">
        <f>IF(OC_Amt=0,"",IF(INDEX('OneCause_Paste'!$A$847:$AZ$847,1,OC_Amt)="","",INDEX('OneCause_Paste'!$A$847:$AZ$847,1,OC_Amt)))</f>
        <v/>
      </c>
      <c r="K847">
        <f>IF(OC_Name=0,"",IF(INDEX('OneCause_Paste'!$A$847:$AZ$847,1,OC_Name)="","",INDEX('OneCause_Paste'!$A$847:$AZ$847,1,OC_Name)))</f>
        <v/>
      </c>
      <c r="L847">
        <f>IF(OC_Txn=0,"",IF(INDEX('OneCause_Paste'!$A$847:$AZ$847,1,OC_Txn)="","",INDEX('OneCause_Paste'!$A$847:$AZ$847,1,OC_Txn)))</f>
        <v/>
      </c>
      <c r="M847">
        <f>IF(OC_Pay=0,"",IF(INDEX('OneCause_Paste'!$A$847:$AZ$847,1,OC_Pay)="","",INDEX('OneCause_Paste'!$A$847:$AZ$847,1,OC_Pay)))</f>
        <v/>
      </c>
      <c r="N847">
        <f>IF(I847="","",IF(ISNUMBER(I847),INT(I847),IFERROR(INT(DATEVALUE(I847)),IFERROR(INT(VALUE(I847)),"bad"))))</f>
        <v/>
      </c>
      <c r="O847">
        <f>IF(J847="","",IF(ISNUMBER(J847),ROUND(J847,2),IFERROR(ROUND(VALUE(SUBSTITUTE(SUBSTITUTE(SUBSTITUTE(J847,"$",""),",","")," ","")),2),"bad")))</f>
        <v/>
      </c>
      <c r="P847">
        <f>IF(TRIM(K847)="","",IFERROR(MATCH(LOWER(TRIM(K847)),'Students'!$AH$2:$AH$701,0),IFERROR(MATCH(LOWER(TRIM(K847)),'Students'!$AF$2:$AF$701,0),IFERROR(MATCH(LOWER(TRIM(K847)),'Students'!$AG$2:$AG$701,0),""))))</f>
        <v/>
      </c>
      <c r="R847">
        <f>IF(P847="","",INDEX('Students'!$AD$2:$AD$701,P847))</f>
        <v/>
      </c>
      <c r="S847">
        <f>IF(H847="OK",O847,0)</f>
        <v/>
      </c>
      <c r="T847">
        <f>IF(H847="OK",N847,"")</f>
        <v/>
      </c>
      <c r="U847">
        <f>IF(OC_Donor=0,"",IF(INDEX('OneCause_Paste'!$A$847:$AZ$847,1,OC_Donor)="","",INDEX('OneCause_Paste'!$A$847:$AZ$847,1,OC_Donor)))</f>
        <v/>
      </c>
    </row>
    <row r="848">
      <c r="A848" s="62">
        <f>IF(H848="","",IF(ISNUMBER(N848),N848,I848))</f>
        <v/>
      </c>
      <c r="B848">
        <f>IF(H848="","",U848)</f>
        <v/>
      </c>
      <c r="C848">
        <f>IF(H848="","",IF(P848="",K848,INDEX('Students'!$A$2:$A$701,P848)))</f>
        <v/>
      </c>
      <c r="D848">
        <f>IF(OR(H848="",P848=""),"",INDEX('Students'!$B$2:$B$701,P848))</f>
        <v/>
      </c>
      <c r="E848">
        <f>IF(OR(H848="",P848=""),"",INDEX('Students'!$C$2:$C$701,P848))</f>
        <v/>
      </c>
      <c r="F848" s="48">
        <f>IF(H848="","",IF(ISNUMBER(O848),O848,J848))</f>
        <v/>
      </c>
      <c r="G848">
        <f>IF(H848="","","OneCause")</f>
        <v/>
      </c>
      <c r="H848">
        <f>IF(AND(I848="",J848="",K848=""),"",IF(NOT(ISNUMBER(O848)),"Bad amount",IF(O848&lt;0,"Refund (not counted)",IF(O848=0,"Zero amount",IF(NOT(ISNUMBER(N848)),"Bad date",IF(P848="","NAME NOT ON ROSTER",IF(L848="","OK",IF(MATCH(L848,$L$2:$L$3001,0)&lt;ROW()-1,"Duplicate (ignored)","OK"))))))))</f>
        <v/>
      </c>
      <c r="I848">
        <f>IF(OC_Date=0,"",IF(INDEX('OneCause_Paste'!$A$848:$AZ$848,1,OC_Date)="","",INDEX('OneCause_Paste'!$A$848:$AZ$848,1,OC_Date)))</f>
        <v/>
      </c>
      <c r="J848">
        <f>IF(OC_Amt=0,"",IF(INDEX('OneCause_Paste'!$A$848:$AZ$848,1,OC_Amt)="","",INDEX('OneCause_Paste'!$A$848:$AZ$848,1,OC_Amt)))</f>
        <v/>
      </c>
      <c r="K848">
        <f>IF(OC_Name=0,"",IF(INDEX('OneCause_Paste'!$A$848:$AZ$848,1,OC_Name)="","",INDEX('OneCause_Paste'!$A$848:$AZ$848,1,OC_Name)))</f>
        <v/>
      </c>
      <c r="L848">
        <f>IF(OC_Txn=0,"",IF(INDEX('OneCause_Paste'!$A$848:$AZ$848,1,OC_Txn)="","",INDEX('OneCause_Paste'!$A$848:$AZ$848,1,OC_Txn)))</f>
        <v/>
      </c>
      <c r="M848">
        <f>IF(OC_Pay=0,"",IF(INDEX('OneCause_Paste'!$A$848:$AZ$848,1,OC_Pay)="","",INDEX('OneCause_Paste'!$A$848:$AZ$848,1,OC_Pay)))</f>
        <v/>
      </c>
      <c r="N848">
        <f>IF(I848="","",IF(ISNUMBER(I848),INT(I848),IFERROR(INT(DATEVALUE(I848)),IFERROR(INT(VALUE(I848)),"bad"))))</f>
        <v/>
      </c>
      <c r="O848">
        <f>IF(J848="","",IF(ISNUMBER(J848),ROUND(J848,2),IFERROR(ROUND(VALUE(SUBSTITUTE(SUBSTITUTE(SUBSTITUTE(J848,"$",""),",","")," ","")),2),"bad")))</f>
        <v/>
      </c>
      <c r="P848">
        <f>IF(TRIM(K848)="","",IFERROR(MATCH(LOWER(TRIM(K848)),'Students'!$AH$2:$AH$701,0),IFERROR(MATCH(LOWER(TRIM(K848)),'Students'!$AF$2:$AF$701,0),IFERROR(MATCH(LOWER(TRIM(K848)),'Students'!$AG$2:$AG$701,0),""))))</f>
        <v/>
      </c>
      <c r="R848">
        <f>IF(P848="","",INDEX('Students'!$AD$2:$AD$701,P848))</f>
        <v/>
      </c>
      <c r="S848">
        <f>IF(H848="OK",O848,0)</f>
        <v/>
      </c>
      <c r="T848">
        <f>IF(H848="OK",N848,"")</f>
        <v/>
      </c>
      <c r="U848">
        <f>IF(OC_Donor=0,"",IF(INDEX('OneCause_Paste'!$A$848:$AZ$848,1,OC_Donor)="","",INDEX('OneCause_Paste'!$A$848:$AZ$848,1,OC_Donor)))</f>
        <v/>
      </c>
    </row>
    <row r="849">
      <c r="A849" s="62">
        <f>IF(H849="","",IF(ISNUMBER(N849),N849,I849))</f>
        <v/>
      </c>
      <c r="B849">
        <f>IF(H849="","",U849)</f>
        <v/>
      </c>
      <c r="C849">
        <f>IF(H849="","",IF(P849="",K849,INDEX('Students'!$A$2:$A$701,P849)))</f>
        <v/>
      </c>
      <c r="D849">
        <f>IF(OR(H849="",P849=""),"",INDEX('Students'!$B$2:$B$701,P849))</f>
        <v/>
      </c>
      <c r="E849">
        <f>IF(OR(H849="",P849=""),"",INDEX('Students'!$C$2:$C$701,P849))</f>
        <v/>
      </c>
      <c r="F849" s="48">
        <f>IF(H849="","",IF(ISNUMBER(O849),O849,J849))</f>
        <v/>
      </c>
      <c r="G849">
        <f>IF(H849="","","OneCause")</f>
        <v/>
      </c>
      <c r="H849">
        <f>IF(AND(I849="",J849="",K849=""),"",IF(NOT(ISNUMBER(O849)),"Bad amount",IF(O849&lt;0,"Refund (not counted)",IF(O849=0,"Zero amount",IF(NOT(ISNUMBER(N849)),"Bad date",IF(P849="","NAME NOT ON ROSTER",IF(L849="","OK",IF(MATCH(L849,$L$2:$L$3001,0)&lt;ROW()-1,"Duplicate (ignored)","OK"))))))))</f>
        <v/>
      </c>
      <c r="I849">
        <f>IF(OC_Date=0,"",IF(INDEX('OneCause_Paste'!$A$849:$AZ$849,1,OC_Date)="","",INDEX('OneCause_Paste'!$A$849:$AZ$849,1,OC_Date)))</f>
        <v/>
      </c>
      <c r="J849">
        <f>IF(OC_Amt=0,"",IF(INDEX('OneCause_Paste'!$A$849:$AZ$849,1,OC_Amt)="","",INDEX('OneCause_Paste'!$A$849:$AZ$849,1,OC_Amt)))</f>
        <v/>
      </c>
      <c r="K849">
        <f>IF(OC_Name=0,"",IF(INDEX('OneCause_Paste'!$A$849:$AZ$849,1,OC_Name)="","",INDEX('OneCause_Paste'!$A$849:$AZ$849,1,OC_Name)))</f>
        <v/>
      </c>
      <c r="L849">
        <f>IF(OC_Txn=0,"",IF(INDEX('OneCause_Paste'!$A$849:$AZ$849,1,OC_Txn)="","",INDEX('OneCause_Paste'!$A$849:$AZ$849,1,OC_Txn)))</f>
        <v/>
      </c>
      <c r="M849">
        <f>IF(OC_Pay=0,"",IF(INDEX('OneCause_Paste'!$A$849:$AZ$849,1,OC_Pay)="","",INDEX('OneCause_Paste'!$A$849:$AZ$849,1,OC_Pay)))</f>
        <v/>
      </c>
      <c r="N849">
        <f>IF(I849="","",IF(ISNUMBER(I849),INT(I849),IFERROR(INT(DATEVALUE(I849)),IFERROR(INT(VALUE(I849)),"bad"))))</f>
        <v/>
      </c>
      <c r="O849">
        <f>IF(J849="","",IF(ISNUMBER(J849),ROUND(J849,2),IFERROR(ROUND(VALUE(SUBSTITUTE(SUBSTITUTE(SUBSTITUTE(J849,"$",""),",","")," ","")),2),"bad")))</f>
        <v/>
      </c>
      <c r="P849">
        <f>IF(TRIM(K849)="","",IFERROR(MATCH(LOWER(TRIM(K849)),'Students'!$AH$2:$AH$701,0),IFERROR(MATCH(LOWER(TRIM(K849)),'Students'!$AF$2:$AF$701,0),IFERROR(MATCH(LOWER(TRIM(K849)),'Students'!$AG$2:$AG$701,0),""))))</f>
        <v/>
      </c>
      <c r="R849">
        <f>IF(P849="","",INDEX('Students'!$AD$2:$AD$701,P849))</f>
        <v/>
      </c>
      <c r="S849">
        <f>IF(H849="OK",O849,0)</f>
        <v/>
      </c>
      <c r="T849">
        <f>IF(H849="OK",N849,"")</f>
        <v/>
      </c>
      <c r="U849">
        <f>IF(OC_Donor=0,"",IF(INDEX('OneCause_Paste'!$A$849:$AZ$849,1,OC_Donor)="","",INDEX('OneCause_Paste'!$A$849:$AZ$849,1,OC_Donor)))</f>
        <v/>
      </c>
    </row>
    <row r="850">
      <c r="A850" s="62">
        <f>IF(H850="","",IF(ISNUMBER(N850),N850,I850))</f>
        <v/>
      </c>
      <c r="B850">
        <f>IF(H850="","",U850)</f>
        <v/>
      </c>
      <c r="C850">
        <f>IF(H850="","",IF(P850="",K850,INDEX('Students'!$A$2:$A$701,P850)))</f>
        <v/>
      </c>
      <c r="D850">
        <f>IF(OR(H850="",P850=""),"",INDEX('Students'!$B$2:$B$701,P850))</f>
        <v/>
      </c>
      <c r="E850">
        <f>IF(OR(H850="",P850=""),"",INDEX('Students'!$C$2:$C$701,P850))</f>
        <v/>
      </c>
      <c r="F850" s="48">
        <f>IF(H850="","",IF(ISNUMBER(O850),O850,J850))</f>
        <v/>
      </c>
      <c r="G850">
        <f>IF(H850="","","OneCause")</f>
        <v/>
      </c>
      <c r="H850">
        <f>IF(AND(I850="",J850="",K850=""),"",IF(NOT(ISNUMBER(O850)),"Bad amount",IF(O850&lt;0,"Refund (not counted)",IF(O850=0,"Zero amount",IF(NOT(ISNUMBER(N850)),"Bad date",IF(P850="","NAME NOT ON ROSTER",IF(L850="","OK",IF(MATCH(L850,$L$2:$L$3001,0)&lt;ROW()-1,"Duplicate (ignored)","OK"))))))))</f>
        <v/>
      </c>
      <c r="I850">
        <f>IF(OC_Date=0,"",IF(INDEX('OneCause_Paste'!$A$850:$AZ$850,1,OC_Date)="","",INDEX('OneCause_Paste'!$A$850:$AZ$850,1,OC_Date)))</f>
        <v/>
      </c>
      <c r="J850">
        <f>IF(OC_Amt=0,"",IF(INDEX('OneCause_Paste'!$A$850:$AZ$850,1,OC_Amt)="","",INDEX('OneCause_Paste'!$A$850:$AZ$850,1,OC_Amt)))</f>
        <v/>
      </c>
      <c r="K850">
        <f>IF(OC_Name=0,"",IF(INDEX('OneCause_Paste'!$A$850:$AZ$850,1,OC_Name)="","",INDEX('OneCause_Paste'!$A$850:$AZ$850,1,OC_Name)))</f>
        <v/>
      </c>
      <c r="L850">
        <f>IF(OC_Txn=0,"",IF(INDEX('OneCause_Paste'!$A$850:$AZ$850,1,OC_Txn)="","",INDEX('OneCause_Paste'!$A$850:$AZ$850,1,OC_Txn)))</f>
        <v/>
      </c>
      <c r="M850">
        <f>IF(OC_Pay=0,"",IF(INDEX('OneCause_Paste'!$A$850:$AZ$850,1,OC_Pay)="","",INDEX('OneCause_Paste'!$A$850:$AZ$850,1,OC_Pay)))</f>
        <v/>
      </c>
      <c r="N850">
        <f>IF(I850="","",IF(ISNUMBER(I850),INT(I850),IFERROR(INT(DATEVALUE(I850)),IFERROR(INT(VALUE(I850)),"bad"))))</f>
        <v/>
      </c>
      <c r="O850">
        <f>IF(J850="","",IF(ISNUMBER(J850),ROUND(J850,2),IFERROR(ROUND(VALUE(SUBSTITUTE(SUBSTITUTE(SUBSTITUTE(J850,"$",""),",","")," ","")),2),"bad")))</f>
        <v/>
      </c>
      <c r="P850">
        <f>IF(TRIM(K850)="","",IFERROR(MATCH(LOWER(TRIM(K850)),'Students'!$AH$2:$AH$701,0),IFERROR(MATCH(LOWER(TRIM(K850)),'Students'!$AF$2:$AF$701,0),IFERROR(MATCH(LOWER(TRIM(K850)),'Students'!$AG$2:$AG$701,0),""))))</f>
        <v/>
      </c>
      <c r="R850">
        <f>IF(P850="","",INDEX('Students'!$AD$2:$AD$701,P850))</f>
        <v/>
      </c>
      <c r="S850">
        <f>IF(H850="OK",O850,0)</f>
        <v/>
      </c>
      <c r="T850">
        <f>IF(H850="OK",N850,"")</f>
        <v/>
      </c>
      <c r="U850">
        <f>IF(OC_Donor=0,"",IF(INDEX('OneCause_Paste'!$A$850:$AZ$850,1,OC_Donor)="","",INDEX('OneCause_Paste'!$A$850:$AZ$850,1,OC_Donor)))</f>
        <v/>
      </c>
    </row>
    <row r="851">
      <c r="A851" s="62">
        <f>IF(H851="","",IF(ISNUMBER(N851),N851,I851))</f>
        <v/>
      </c>
      <c r="B851">
        <f>IF(H851="","",U851)</f>
        <v/>
      </c>
      <c r="C851">
        <f>IF(H851="","",IF(P851="",K851,INDEX('Students'!$A$2:$A$701,P851)))</f>
        <v/>
      </c>
      <c r="D851">
        <f>IF(OR(H851="",P851=""),"",INDEX('Students'!$B$2:$B$701,P851))</f>
        <v/>
      </c>
      <c r="E851">
        <f>IF(OR(H851="",P851=""),"",INDEX('Students'!$C$2:$C$701,P851))</f>
        <v/>
      </c>
      <c r="F851" s="48">
        <f>IF(H851="","",IF(ISNUMBER(O851),O851,J851))</f>
        <v/>
      </c>
      <c r="G851">
        <f>IF(H851="","","OneCause")</f>
        <v/>
      </c>
      <c r="H851">
        <f>IF(AND(I851="",J851="",K851=""),"",IF(NOT(ISNUMBER(O851)),"Bad amount",IF(O851&lt;0,"Refund (not counted)",IF(O851=0,"Zero amount",IF(NOT(ISNUMBER(N851)),"Bad date",IF(P851="","NAME NOT ON ROSTER",IF(L851="","OK",IF(MATCH(L851,$L$2:$L$3001,0)&lt;ROW()-1,"Duplicate (ignored)","OK"))))))))</f>
        <v/>
      </c>
      <c r="I851">
        <f>IF(OC_Date=0,"",IF(INDEX('OneCause_Paste'!$A$851:$AZ$851,1,OC_Date)="","",INDEX('OneCause_Paste'!$A$851:$AZ$851,1,OC_Date)))</f>
        <v/>
      </c>
      <c r="J851">
        <f>IF(OC_Amt=0,"",IF(INDEX('OneCause_Paste'!$A$851:$AZ$851,1,OC_Amt)="","",INDEX('OneCause_Paste'!$A$851:$AZ$851,1,OC_Amt)))</f>
        <v/>
      </c>
      <c r="K851">
        <f>IF(OC_Name=0,"",IF(INDEX('OneCause_Paste'!$A$851:$AZ$851,1,OC_Name)="","",INDEX('OneCause_Paste'!$A$851:$AZ$851,1,OC_Name)))</f>
        <v/>
      </c>
      <c r="L851">
        <f>IF(OC_Txn=0,"",IF(INDEX('OneCause_Paste'!$A$851:$AZ$851,1,OC_Txn)="","",INDEX('OneCause_Paste'!$A$851:$AZ$851,1,OC_Txn)))</f>
        <v/>
      </c>
      <c r="M851">
        <f>IF(OC_Pay=0,"",IF(INDEX('OneCause_Paste'!$A$851:$AZ$851,1,OC_Pay)="","",INDEX('OneCause_Paste'!$A$851:$AZ$851,1,OC_Pay)))</f>
        <v/>
      </c>
      <c r="N851">
        <f>IF(I851="","",IF(ISNUMBER(I851),INT(I851),IFERROR(INT(DATEVALUE(I851)),IFERROR(INT(VALUE(I851)),"bad"))))</f>
        <v/>
      </c>
      <c r="O851">
        <f>IF(J851="","",IF(ISNUMBER(J851),ROUND(J851,2),IFERROR(ROUND(VALUE(SUBSTITUTE(SUBSTITUTE(SUBSTITUTE(J851,"$",""),",","")," ","")),2),"bad")))</f>
        <v/>
      </c>
      <c r="P851">
        <f>IF(TRIM(K851)="","",IFERROR(MATCH(LOWER(TRIM(K851)),'Students'!$AH$2:$AH$701,0),IFERROR(MATCH(LOWER(TRIM(K851)),'Students'!$AF$2:$AF$701,0),IFERROR(MATCH(LOWER(TRIM(K851)),'Students'!$AG$2:$AG$701,0),""))))</f>
        <v/>
      </c>
      <c r="R851">
        <f>IF(P851="","",INDEX('Students'!$AD$2:$AD$701,P851))</f>
        <v/>
      </c>
      <c r="S851">
        <f>IF(H851="OK",O851,0)</f>
        <v/>
      </c>
      <c r="T851">
        <f>IF(H851="OK",N851,"")</f>
        <v/>
      </c>
      <c r="U851">
        <f>IF(OC_Donor=0,"",IF(INDEX('OneCause_Paste'!$A$851:$AZ$851,1,OC_Donor)="","",INDEX('OneCause_Paste'!$A$851:$AZ$851,1,OC_Donor)))</f>
        <v/>
      </c>
    </row>
    <row r="852">
      <c r="A852" s="62">
        <f>IF(H852="","",IF(ISNUMBER(N852),N852,I852))</f>
        <v/>
      </c>
      <c r="B852">
        <f>IF(H852="","",U852)</f>
        <v/>
      </c>
      <c r="C852">
        <f>IF(H852="","",IF(P852="",K852,INDEX('Students'!$A$2:$A$701,P852)))</f>
        <v/>
      </c>
      <c r="D852">
        <f>IF(OR(H852="",P852=""),"",INDEX('Students'!$B$2:$B$701,P852))</f>
        <v/>
      </c>
      <c r="E852">
        <f>IF(OR(H852="",P852=""),"",INDEX('Students'!$C$2:$C$701,P852))</f>
        <v/>
      </c>
      <c r="F852" s="48">
        <f>IF(H852="","",IF(ISNUMBER(O852),O852,J852))</f>
        <v/>
      </c>
      <c r="G852">
        <f>IF(H852="","","OneCause")</f>
        <v/>
      </c>
      <c r="H852">
        <f>IF(AND(I852="",J852="",K852=""),"",IF(NOT(ISNUMBER(O852)),"Bad amount",IF(O852&lt;0,"Refund (not counted)",IF(O852=0,"Zero amount",IF(NOT(ISNUMBER(N852)),"Bad date",IF(P852="","NAME NOT ON ROSTER",IF(L852="","OK",IF(MATCH(L852,$L$2:$L$3001,0)&lt;ROW()-1,"Duplicate (ignored)","OK"))))))))</f>
        <v/>
      </c>
      <c r="I852">
        <f>IF(OC_Date=0,"",IF(INDEX('OneCause_Paste'!$A$852:$AZ$852,1,OC_Date)="","",INDEX('OneCause_Paste'!$A$852:$AZ$852,1,OC_Date)))</f>
        <v/>
      </c>
      <c r="J852">
        <f>IF(OC_Amt=0,"",IF(INDEX('OneCause_Paste'!$A$852:$AZ$852,1,OC_Amt)="","",INDEX('OneCause_Paste'!$A$852:$AZ$852,1,OC_Amt)))</f>
        <v/>
      </c>
      <c r="K852">
        <f>IF(OC_Name=0,"",IF(INDEX('OneCause_Paste'!$A$852:$AZ$852,1,OC_Name)="","",INDEX('OneCause_Paste'!$A$852:$AZ$852,1,OC_Name)))</f>
        <v/>
      </c>
      <c r="L852">
        <f>IF(OC_Txn=0,"",IF(INDEX('OneCause_Paste'!$A$852:$AZ$852,1,OC_Txn)="","",INDEX('OneCause_Paste'!$A$852:$AZ$852,1,OC_Txn)))</f>
        <v/>
      </c>
      <c r="M852">
        <f>IF(OC_Pay=0,"",IF(INDEX('OneCause_Paste'!$A$852:$AZ$852,1,OC_Pay)="","",INDEX('OneCause_Paste'!$A$852:$AZ$852,1,OC_Pay)))</f>
        <v/>
      </c>
      <c r="N852">
        <f>IF(I852="","",IF(ISNUMBER(I852),INT(I852),IFERROR(INT(DATEVALUE(I852)),IFERROR(INT(VALUE(I852)),"bad"))))</f>
        <v/>
      </c>
      <c r="O852">
        <f>IF(J852="","",IF(ISNUMBER(J852),ROUND(J852,2),IFERROR(ROUND(VALUE(SUBSTITUTE(SUBSTITUTE(SUBSTITUTE(J852,"$",""),",","")," ","")),2),"bad")))</f>
        <v/>
      </c>
      <c r="P852">
        <f>IF(TRIM(K852)="","",IFERROR(MATCH(LOWER(TRIM(K852)),'Students'!$AH$2:$AH$701,0),IFERROR(MATCH(LOWER(TRIM(K852)),'Students'!$AF$2:$AF$701,0),IFERROR(MATCH(LOWER(TRIM(K852)),'Students'!$AG$2:$AG$701,0),""))))</f>
        <v/>
      </c>
      <c r="R852">
        <f>IF(P852="","",INDEX('Students'!$AD$2:$AD$701,P852))</f>
        <v/>
      </c>
      <c r="S852">
        <f>IF(H852="OK",O852,0)</f>
        <v/>
      </c>
      <c r="T852">
        <f>IF(H852="OK",N852,"")</f>
        <v/>
      </c>
      <c r="U852">
        <f>IF(OC_Donor=0,"",IF(INDEX('OneCause_Paste'!$A$852:$AZ$852,1,OC_Donor)="","",INDEX('OneCause_Paste'!$A$852:$AZ$852,1,OC_Donor)))</f>
        <v/>
      </c>
    </row>
    <row r="853">
      <c r="A853" s="62">
        <f>IF(H853="","",IF(ISNUMBER(N853),N853,I853))</f>
        <v/>
      </c>
      <c r="B853">
        <f>IF(H853="","",U853)</f>
        <v/>
      </c>
      <c r="C853">
        <f>IF(H853="","",IF(P853="",K853,INDEX('Students'!$A$2:$A$701,P853)))</f>
        <v/>
      </c>
      <c r="D853">
        <f>IF(OR(H853="",P853=""),"",INDEX('Students'!$B$2:$B$701,P853))</f>
        <v/>
      </c>
      <c r="E853">
        <f>IF(OR(H853="",P853=""),"",INDEX('Students'!$C$2:$C$701,P853))</f>
        <v/>
      </c>
      <c r="F853" s="48">
        <f>IF(H853="","",IF(ISNUMBER(O853),O853,J853))</f>
        <v/>
      </c>
      <c r="G853">
        <f>IF(H853="","","OneCause")</f>
        <v/>
      </c>
      <c r="H853">
        <f>IF(AND(I853="",J853="",K853=""),"",IF(NOT(ISNUMBER(O853)),"Bad amount",IF(O853&lt;0,"Refund (not counted)",IF(O853=0,"Zero amount",IF(NOT(ISNUMBER(N853)),"Bad date",IF(P853="","NAME NOT ON ROSTER",IF(L853="","OK",IF(MATCH(L853,$L$2:$L$3001,0)&lt;ROW()-1,"Duplicate (ignored)","OK"))))))))</f>
        <v/>
      </c>
      <c r="I853">
        <f>IF(OC_Date=0,"",IF(INDEX('OneCause_Paste'!$A$853:$AZ$853,1,OC_Date)="","",INDEX('OneCause_Paste'!$A$853:$AZ$853,1,OC_Date)))</f>
        <v/>
      </c>
      <c r="J853">
        <f>IF(OC_Amt=0,"",IF(INDEX('OneCause_Paste'!$A$853:$AZ$853,1,OC_Amt)="","",INDEX('OneCause_Paste'!$A$853:$AZ$853,1,OC_Amt)))</f>
        <v/>
      </c>
      <c r="K853">
        <f>IF(OC_Name=0,"",IF(INDEX('OneCause_Paste'!$A$853:$AZ$853,1,OC_Name)="","",INDEX('OneCause_Paste'!$A$853:$AZ$853,1,OC_Name)))</f>
        <v/>
      </c>
      <c r="L853">
        <f>IF(OC_Txn=0,"",IF(INDEX('OneCause_Paste'!$A$853:$AZ$853,1,OC_Txn)="","",INDEX('OneCause_Paste'!$A$853:$AZ$853,1,OC_Txn)))</f>
        <v/>
      </c>
      <c r="M853">
        <f>IF(OC_Pay=0,"",IF(INDEX('OneCause_Paste'!$A$853:$AZ$853,1,OC_Pay)="","",INDEX('OneCause_Paste'!$A$853:$AZ$853,1,OC_Pay)))</f>
        <v/>
      </c>
      <c r="N853">
        <f>IF(I853="","",IF(ISNUMBER(I853),INT(I853),IFERROR(INT(DATEVALUE(I853)),IFERROR(INT(VALUE(I853)),"bad"))))</f>
        <v/>
      </c>
      <c r="O853">
        <f>IF(J853="","",IF(ISNUMBER(J853),ROUND(J853,2),IFERROR(ROUND(VALUE(SUBSTITUTE(SUBSTITUTE(SUBSTITUTE(J853,"$",""),",","")," ","")),2),"bad")))</f>
        <v/>
      </c>
      <c r="P853">
        <f>IF(TRIM(K853)="","",IFERROR(MATCH(LOWER(TRIM(K853)),'Students'!$AH$2:$AH$701,0),IFERROR(MATCH(LOWER(TRIM(K853)),'Students'!$AF$2:$AF$701,0),IFERROR(MATCH(LOWER(TRIM(K853)),'Students'!$AG$2:$AG$701,0),""))))</f>
        <v/>
      </c>
      <c r="R853">
        <f>IF(P853="","",INDEX('Students'!$AD$2:$AD$701,P853))</f>
        <v/>
      </c>
      <c r="S853">
        <f>IF(H853="OK",O853,0)</f>
        <v/>
      </c>
      <c r="T853">
        <f>IF(H853="OK",N853,"")</f>
        <v/>
      </c>
      <c r="U853">
        <f>IF(OC_Donor=0,"",IF(INDEX('OneCause_Paste'!$A$853:$AZ$853,1,OC_Donor)="","",INDEX('OneCause_Paste'!$A$853:$AZ$853,1,OC_Donor)))</f>
        <v/>
      </c>
    </row>
    <row r="854">
      <c r="A854" s="62">
        <f>IF(H854="","",IF(ISNUMBER(N854),N854,I854))</f>
        <v/>
      </c>
      <c r="B854">
        <f>IF(H854="","",U854)</f>
        <v/>
      </c>
      <c r="C854">
        <f>IF(H854="","",IF(P854="",K854,INDEX('Students'!$A$2:$A$701,P854)))</f>
        <v/>
      </c>
      <c r="D854">
        <f>IF(OR(H854="",P854=""),"",INDEX('Students'!$B$2:$B$701,P854))</f>
        <v/>
      </c>
      <c r="E854">
        <f>IF(OR(H854="",P854=""),"",INDEX('Students'!$C$2:$C$701,P854))</f>
        <v/>
      </c>
      <c r="F854" s="48">
        <f>IF(H854="","",IF(ISNUMBER(O854),O854,J854))</f>
        <v/>
      </c>
      <c r="G854">
        <f>IF(H854="","","OneCause")</f>
        <v/>
      </c>
      <c r="H854">
        <f>IF(AND(I854="",J854="",K854=""),"",IF(NOT(ISNUMBER(O854)),"Bad amount",IF(O854&lt;0,"Refund (not counted)",IF(O854=0,"Zero amount",IF(NOT(ISNUMBER(N854)),"Bad date",IF(P854="","NAME NOT ON ROSTER",IF(L854="","OK",IF(MATCH(L854,$L$2:$L$3001,0)&lt;ROW()-1,"Duplicate (ignored)","OK"))))))))</f>
        <v/>
      </c>
      <c r="I854">
        <f>IF(OC_Date=0,"",IF(INDEX('OneCause_Paste'!$A$854:$AZ$854,1,OC_Date)="","",INDEX('OneCause_Paste'!$A$854:$AZ$854,1,OC_Date)))</f>
        <v/>
      </c>
      <c r="J854">
        <f>IF(OC_Amt=0,"",IF(INDEX('OneCause_Paste'!$A$854:$AZ$854,1,OC_Amt)="","",INDEX('OneCause_Paste'!$A$854:$AZ$854,1,OC_Amt)))</f>
        <v/>
      </c>
      <c r="K854">
        <f>IF(OC_Name=0,"",IF(INDEX('OneCause_Paste'!$A$854:$AZ$854,1,OC_Name)="","",INDEX('OneCause_Paste'!$A$854:$AZ$854,1,OC_Name)))</f>
        <v/>
      </c>
      <c r="L854">
        <f>IF(OC_Txn=0,"",IF(INDEX('OneCause_Paste'!$A$854:$AZ$854,1,OC_Txn)="","",INDEX('OneCause_Paste'!$A$854:$AZ$854,1,OC_Txn)))</f>
        <v/>
      </c>
      <c r="M854">
        <f>IF(OC_Pay=0,"",IF(INDEX('OneCause_Paste'!$A$854:$AZ$854,1,OC_Pay)="","",INDEX('OneCause_Paste'!$A$854:$AZ$854,1,OC_Pay)))</f>
        <v/>
      </c>
      <c r="N854">
        <f>IF(I854="","",IF(ISNUMBER(I854),INT(I854),IFERROR(INT(DATEVALUE(I854)),IFERROR(INT(VALUE(I854)),"bad"))))</f>
        <v/>
      </c>
      <c r="O854">
        <f>IF(J854="","",IF(ISNUMBER(J854),ROUND(J854,2),IFERROR(ROUND(VALUE(SUBSTITUTE(SUBSTITUTE(SUBSTITUTE(J854,"$",""),",","")," ","")),2),"bad")))</f>
        <v/>
      </c>
      <c r="P854">
        <f>IF(TRIM(K854)="","",IFERROR(MATCH(LOWER(TRIM(K854)),'Students'!$AH$2:$AH$701,0),IFERROR(MATCH(LOWER(TRIM(K854)),'Students'!$AF$2:$AF$701,0),IFERROR(MATCH(LOWER(TRIM(K854)),'Students'!$AG$2:$AG$701,0),""))))</f>
        <v/>
      </c>
      <c r="R854">
        <f>IF(P854="","",INDEX('Students'!$AD$2:$AD$701,P854))</f>
        <v/>
      </c>
      <c r="S854">
        <f>IF(H854="OK",O854,0)</f>
        <v/>
      </c>
      <c r="T854">
        <f>IF(H854="OK",N854,"")</f>
        <v/>
      </c>
      <c r="U854">
        <f>IF(OC_Donor=0,"",IF(INDEX('OneCause_Paste'!$A$854:$AZ$854,1,OC_Donor)="","",INDEX('OneCause_Paste'!$A$854:$AZ$854,1,OC_Donor)))</f>
        <v/>
      </c>
    </row>
    <row r="855">
      <c r="A855" s="62">
        <f>IF(H855="","",IF(ISNUMBER(N855),N855,I855))</f>
        <v/>
      </c>
      <c r="B855">
        <f>IF(H855="","",U855)</f>
        <v/>
      </c>
      <c r="C855">
        <f>IF(H855="","",IF(P855="",K855,INDEX('Students'!$A$2:$A$701,P855)))</f>
        <v/>
      </c>
      <c r="D855">
        <f>IF(OR(H855="",P855=""),"",INDEX('Students'!$B$2:$B$701,P855))</f>
        <v/>
      </c>
      <c r="E855">
        <f>IF(OR(H855="",P855=""),"",INDEX('Students'!$C$2:$C$701,P855))</f>
        <v/>
      </c>
      <c r="F855" s="48">
        <f>IF(H855="","",IF(ISNUMBER(O855),O855,J855))</f>
        <v/>
      </c>
      <c r="G855">
        <f>IF(H855="","","OneCause")</f>
        <v/>
      </c>
      <c r="H855">
        <f>IF(AND(I855="",J855="",K855=""),"",IF(NOT(ISNUMBER(O855)),"Bad amount",IF(O855&lt;0,"Refund (not counted)",IF(O855=0,"Zero amount",IF(NOT(ISNUMBER(N855)),"Bad date",IF(P855="","NAME NOT ON ROSTER",IF(L855="","OK",IF(MATCH(L855,$L$2:$L$3001,0)&lt;ROW()-1,"Duplicate (ignored)","OK"))))))))</f>
        <v/>
      </c>
      <c r="I855">
        <f>IF(OC_Date=0,"",IF(INDEX('OneCause_Paste'!$A$855:$AZ$855,1,OC_Date)="","",INDEX('OneCause_Paste'!$A$855:$AZ$855,1,OC_Date)))</f>
        <v/>
      </c>
      <c r="J855">
        <f>IF(OC_Amt=0,"",IF(INDEX('OneCause_Paste'!$A$855:$AZ$855,1,OC_Amt)="","",INDEX('OneCause_Paste'!$A$855:$AZ$855,1,OC_Amt)))</f>
        <v/>
      </c>
      <c r="K855">
        <f>IF(OC_Name=0,"",IF(INDEX('OneCause_Paste'!$A$855:$AZ$855,1,OC_Name)="","",INDEX('OneCause_Paste'!$A$855:$AZ$855,1,OC_Name)))</f>
        <v/>
      </c>
      <c r="L855">
        <f>IF(OC_Txn=0,"",IF(INDEX('OneCause_Paste'!$A$855:$AZ$855,1,OC_Txn)="","",INDEX('OneCause_Paste'!$A$855:$AZ$855,1,OC_Txn)))</f>
        <v/>
      </c>
      <c r="M855">
        <f>IF(OC_Pay=0,"",IF(INDEX('OneCause_Paste'!$A$855:$AZ$855,1,OC_Pay)="","",INDEX('OneCause_Paste'!$A$855:$AZ$855,1,OC_Pay)))</f>
        <v/>
      </c>
      <c r="N855">
        <f>IF(I855="","",IF(ISNUMBER(I855),INT(I855),IFERROR(INT(DATEVALUE(I855)),IFERROR(INT(VALUE(I855)),"bad"))))</f>
        <v/>
      </c>
      <c r="O855">
        <f>IF(J855="","",IF(ISNUMBER(J855),ROUND(J855,2),IFERROR(ROUND(VALUE(SUBSTITUTE(SUBSTITUTE(SUBSTITUTE(J855,"$",""),",","")," ","")),2),"bad")))</f>
        <v/>
      </c>
      <c r="P855">
        <f>IF(TRIM(K855)="","",IFERROR(MATCH(LOWER(TRIM(K855)),'Students'!$AH$2:$AH$701,0),IFERROR(MATCH(LOWER(TRIM(K855)),'Students'!$AF$2:$AF$701,0),IFERROR(MATCH(LOWER(TRIM(K855)),'Students'!$AG$2:$AG$701,0),""))))</f>
        <v/>
      </c>
      <c r="R855">
        <f>IF(P855="","",INDEX('Students'!$AD$2:$AD$701,P855))</f>
        <v/>
      </c>
      <c r="S855">
        <f>IF(H855="OK",O855,0)</f>
        <v/>
      </c>
      <c r="T855">
        <f>IF(H855="OK",N855,"")</f>
        <v/>
      </c>
      <c r="U855">
        <f>IF(OC_Donor=0,"",IF(INDEX('OneCause_Paste'!$A$855:$AZ$855,1,OC_Donor)="","",INDEX('OneCause_Paste'!$A$855:$AZ$855,1,OC_Donor)))</f>
        <v/>
      </c>
    </row>
    <row r="856">
      <c r="A856" s="62">
        <f>IF(H856="","",IF(ISNUMBER(N856),N856,I856))</f>
        <v/>
      </c>
      <c r="B856">
        <f>IF(H856="","",U856)</f>
        <v/>
      </c>
      <c r="C856">
        <f>IF(H856="","",IF(P856="",K856,INDEX('Students'!$A$2:$A$701,P856)))</f>
        <v/>
      </c>
      <c r="D856">
        <f>IF(OR(H856="",P856=""),"",INDEX('Students'!$B$2:$B$701,P856))</f>
        <v/>
      </c>
      <c r="E856">
        <f>IF(OR(H856="",P856=""),"",INDEX('Students'!$C$2:$C$701,P856))</f>
        <v/>
      </c>
      <c r="F856" s="48">
        <f>IF(H856="","",IF(ISNUMBER(O856),O856,J856))</f>
        <v/>
      </c>
      <c r="G856">
        <f>IF(H856="","","OneCause")</f>
        <v/>
      </c>
      <c r="H856">
        <f>IF(AND(I856="",J856="",K856=""),"",IF(NOT(ISNUMBER(O856)),"Bad amount",IF(O856&lt;0,"Refund (not counted)",IF(O856=0,"Zero amount",IF(NOT(ISNUMBER(N856)),"Bad date",IF(P856="","NAME NOT ON ROSTER",IF(L856="","OK",IF(MATCH(L856,$L$2:$L$3001,0)&lt;ROW()-1,"Duplicate (ignored)","OK"))))))))</f>
        <v/>
      </c>
      <c r="I856">
        <f>IF(OC_Date=0,"",IF(INDEX('OneCause_Paste'!$A$856:$AZ$856,1,OC_Date)="","",INDEX('OneCause_Paste'!$A$856:$AZ$856,1,OC_Date)))</f>
        <v/>
      </c>
      <c r="J856">
        <f>IF(OC_Amt=0,"",IF(INDEX('OneCause_Paste'!$A$856:$AZ$856,1,OC_Amt)="","",INDEX('OneCause_Paste'!$A$856:$AZ$856,1,OC_Amt)))</f>
        <v/>
      </c>
      <c r="K856">
        <f>IF(OC_Name=0,"",IF(INDEX('OneCause_Paste'!$A$856:$AZ$856,1,OC_Name)="","",INDEX('OneCause_Paste'!$A$856:$AZ$856,1,OC_Name)))</f>
        <v/>
      </c>
      <c r="L856">
        <f>IF(OC_Txn=0,"",IF(INDEX('OneCause_Paste'!$A$856:$AZ$856,1,OC_Txn)="","",INDEX('OneCause_Paste'!$A$856:$AZ$856,1,OC_Txn)))</f>
        <v/>
      </c>
      <c r="M856">
        <f>IF(OC_Pay=0,"",IF(INDEX('OneCause_Paste'!$A$856:$AZ$856,1,OC_Pay)="","",INDEX('OneCause_Paste'!$A$856:$AZ$856,1,OC_Pay)))</f>
        <v/>
      </c>
      <c r="N856">
        <f>IF(I856="","",IF(ISNUMBER(I856),INT(I856),IFERROR(INT(DATEVALUE(I856)),IFERROR(INT(VALUE(I856)),"bad"))))</f>
        <v/>
      </c>
      <c r="O856">
        <f>IF(J856="","",IF(ISNUMBER(J856),ROUND(J856,2),IFERROR(ROUND(VALUE(SUBSTITUTE(SUBSTITUTE(SUBSTITUTE(J856,"$",""),",","")," ","")),2),"bad")))</f>
        <v/>
      </c>
      <c r="P856">
        <f>IF(TRIM(K856)="","",IFERROR(MATCH(LOWER(TRIM(K856)),'Students'!$AH$2:$AH$701,0),IFERROR(MATCH(LOWER(TRIM(K856)),'Students'!$AF$2:$AF$701,0),IFERROR(MATCH(LOWER(TRIM(K856)),'Students'!$AG$2:$AG$701,0),""))))</f>
        <v/>
      </c>
      <c r="R856">
        <f>IF(P856="","",INDEX('Students'!$AD$2:$AD$701,P856))</f>
        <v/>
      </c>
      <c r="S856">
        <f>IF(H856="OK",O856,0)</f>
        <v/>
      </c>
      <c r="T856">
        <f>IF(H856="OK",N856,"")</f>
        <v/>
      </c>
      <c r="U856">
        <f>IF(OC_Donor=0,"",IF(INDEX('OneCause_Paste'!$A$856:$AZ$856,1,OC_Donor)="","",INDEX('OneCause_Paste'!$A$856:$AZ$856,1,OC_Donor)))</f>
        <v/>
      </c>
    </row>
    <row r="857">
      <c r="A857" s="62">
        <f>IF(H857="","",IF(ISNUMBER(N857),N857,I857))</f>
        <v/>
      </c>
      <c r="B857">
        <f>IF(H857="","",U857)</f>
        <v/>
      </c>
      <c r="C857">
        <f>IF(H857="","",IF(P857="",K857,INDEX('Students'!$A$2:$A$701,P857)))</f>
        <v/>
      </c>
      <c r="D857">
        <f>IF(OR(H857="",P857=""),"",INDEX('Students'!$B$2:$B$701,P857))</f>
        <v/>
      </c>
      <c r="E857">
        <f>IF(OR(H857="",P857=""),"",INDEX('Students'!$C$2:$C$701,P857))</f>
        <v/>
      </c>
      <c r="F857" s="48">
        <f>IF(H857="","",IF(ISNUMBER(O857),O857,J857))</f>
        <v/>
      </c>
      <c r="G857">
        <f>IF(H857="","","OneCause")</f>
        <v/>
      </c>
      <c r="H857">
        <f>IF(AND(I857="",J857="",K857=""),"",IF(NOT(ISNUMBER(O857)),"Bad amount",IF(O857&lt;0,"Refund (not counted)",IF(O857=0,"Zero amount",IF(NOT(ISNUMBER(N857)),"Bad date",IF(P857="","NAME NOT ON ROSTER",IF(L857="","OK",IF(MATCH(L857,$L$2:$L$3001,0)&lt;ROW()-1,"Duplicate (ignored)","OK"))))))))</f>
        <v/>
      </c>
      <c r="I857">
        <f>IF(OC_Date=0,"",IF(INDEX('OneCause_Paste'!$A$857:$AZ$857,1,OC_Date)="","",INDEX('OneCause_Paste'!$A$857:$AZ$857,1,OC_Date)))</f>
        <v/>
      </c>
      <c r="J857">
        <f>IF(OC_Amt=0,"",IF(INDEX('OneCause_Paste'!$A$857:$AZ$857,1,OC_Amt)="","",INDEX('OneCause_Paste'!$A$857:$AZ$857,1,OC_Amt)))</f>
        <v/>
      </c>
      <c r="K857">
        <f>IF(OC_Name=0,"",IF(INDEX('OneCause_Paste'!$A$857:$AZ$857,1,OC_Name)="","",INDEX('OneCause_Paste'!$A$857:$AZ$857,1,OC_Name)))</f>
        <v/>
      </c>
      <c r="L857">
        <f>IF(OC_Txn=0,"",IF(INDEX('OneCause_Paste'!$A$857:$AZ$857,1,OC_Txn)="","",INDEX('OneCause_Paste'!$A$857:$AZ$857,1,OC_Txn)))</f>
        <v/>
      </c>
      <c r="M857">
        <f>IF(OC_Pay=0,"",IF(INDEX('OneCause_Paste'!$A$857:$AZ$857,1,OC_Pay)="","",INDEX('OneCause_Paste'!$A$857:$AZ$857,1,OC_Pay)))</f>
        <v/>
      </c>
      <c r="N857">
        <f>IF(I857="","",IF(ISNUMBER(I857),INT(I857),IFERROR(INT(DATEVALUE(I857)),IFERROR(INT(VALUE(I857)),"bad"))))</f>
        <v/>
      </c>
      <c r="O857">
        <f>IF(J857="","",IF(ISNUMBER(J857),ROUND(J857,2),IFERROR(ROUND(VALUE(SUBSTITUTE(SUBSTITUTE(SUBSTITUTE(J857,"$",""),",","")," ","")),2),"bad")))</f>
        <v/>
      </c>
      <c r="P857">
        <f>IF(TRIM(K857)="","",IFERROR(MATCH(LOWER(TRIM(K857)),'Students'!$AH$2:$AH$701,0),IFERROR(MATCH(LOWER(TRIM(K857)),'Students'!$AF$2:$AF$701,0),IFERROR(MATCH(LOWER(TRIM(K857)),'Students'!$AG$2:$AG$701,0),""))))</f>
        <v/>
      </c>
      <c r="R857">
        <f>IF(P857="","",INDEX('Students'!$AD$2:$AD$701,P857))</f>
        <v/>
      </c>
      <c r="S857">
        <f>IF(H857="OK",O857,0)</f>
        <v/>
      </c>
      <c r="T857">
        <f>IF(H857="OK",N857,"")</f>
        <v/>
      </c>
      <c r="U857">
        <f>IF(OC_Donor=0,"",IF(INDEX('OneCause_Paste'!$A$857:$AZ$857,1,OC_Donor)="","",INDEX('OneCause_Paste'!$A$857:$AZ$857,1,OC_Donor)))</f>
        <v/>
      </c>
    </row>
    <row r="858">
      <c r="A858" s="62">
        <f>IF(H858="","",IF(ISNUMBER(N858),N858,I858))</f>
        <v/>
      </c>
      <c r="B858">
        <f>IF(H858="","",U858)</f>
        <v/>
      </c>
      <c r="C858">
        <f>IF(H858="","",IF(P858="",K858,INDEX('Students'!$A$2:$A$701,P858)))</f>
        <v/>
      </c>
      <c r="D858">
        <f>IF(OR(H858="",P858=""),"",INDEX('Students'!$B$2:$B$701,P858))</f>
        <v/>
      </c>
      <c r="E858">
        <f>IF(OR(H858="",P858=""),"",INDEX('Students'!$C$2:$C$701,P858))</f>
        <v/>
      </c>
      <c r="F858" s="48">
        <f>IF(H858="","",IF(ISNUMBER(O858),O858,J858))</f>
        <v/>
      </c>
      <c r="G858">
        <f>IF(H858="","","OneCause")</f>
        <v/>
      </c>
      <c r="H858">
        <f>IF(AND(I858="",J858="",K858=""),"",IF(NOT(ISNUMBER(O858)),"Bad amount",IF(O858&lt;0,"Refund (not counted)",IF(O858=0,"Zero amount",IF(NOT(ISNUMBER(N858)),"Bad date",IF(P858="","NAME NOT ON ROSTER",IF(L858="","OK",IF(MATCH(L858,$L$2:$L$3001,0)&lt;ROW()-1,"Duplicate (ignored)","OK"))))))))</f>
        <v/>
      </c>
      <c r="I858">
        <f>IF(OC_Date=0,"",IF(INDEX('OneCause_Paste'!$A$858:$AZ$858,1,OC_Date)="","",INDEX('OneCause_Paste'!$A$858:$AZ$858,1,OC_Date)))</f>
        <v/>
      </c>
      <c r="J858">
        <f>IF(OC_Amt=0,"",IF(INDEX('OneCause_Paste'!$A$858:$AZ$858,1,OC_Amt)="","",INDEX('OneCause_Paste'!$A$858:$AZ$858,1,OC_Amt)))</f>
        <v/>
      </c>
      <c r="K858">
        <f>IF(OC_Name=0,"",IF(INDEX('OneCause_Paste'!$A$858:$AZ$858,1,OC_Name)="","",INDEX('OneCause_Paste'!$A$858:$AZ$858,1,OC_Name)))</f>
        <v/>
      </c>
      <c r="L858">
        <f>IF(OC_Txn=0,"",IF(INDEX('OneCause_Paste'!$A$858:$AZ$858,1,OC_Txn)="","",INDEX('OneCause_Paste'!$A$858:$AZ$858,1,OC_Txn)))</f>
        <v/>
      </c>
      <c r="M858">
        <f>IF(OC_Pay=0,"",IF(INDEX('OneCause_Paste'!$A$858:$AZ$858,1,OC_Pay)="","",INDEX('OneCause_Paste'!$A$858:$AZ$858,1,OC_Pay)))</f>
        <v/>
      </c>
      <c r="N858">
        <f>IF(I858="","",IF(ISNUMBER(I858),INT(I858),IFERROR(INT(DATEVALUE(I858)),IFERROR(INT(VALUE(I858)),"bad"))))</f>
        <v/>
      </c>
      <c r="O858">
        <f>IF(J858="","",IF(ISNUMBER(J858),ROUND(J858,2),IFERROR(ROUND(VALUE(SUBSTITUTE(SUBSTITUTE(SUBSTITUTE(J858,"$",""),",","")," ","")),2),"bad")))</f>
        <v/>
      </c>
      <c r="P858">
        <f>IF(TRIM(K858)="","",IFERROR(MATCH(LOWER(TRIM(K858)),'Students'!$AH$2:$AH$701,0),IFERROR(MATCH(LOWER(TRIM(K858)),'Students'!$AF$2:$AF$701,0),IFERROR(MATCH(LOWER(TRIM(K858)),'Students'!$AG$2:$AG$701,0),""))))</f>
        <v/>
      </c>
      <c r="R858">
        <f>IF(P858="","",INDEX('Students'!$AD$2:$AD$701,P858))</f>
        <v/>
      </c>
      <c r="S858">
        <f>IF(H858="OK",O858,0)</f>
        <v/>
      </c>
      <c r="T858">
        <f>IF(H858="OK",N858,"")</f>
        <v/>
      </c>
      <c r="U858">
        <f>IF(OC_Donor=0,"",IF(INDEX('OneCause_Paste'!$A$858:$AZ$858,1,OC_Donor)="","",INDEX('OneCause_Paste'!$A$858:$AZ$858,1,OC_Donor)))</f>
        <v/>
      </c>
    </row>
    <row r="859">
      <c r="A859" s="62">
        <f>IF(H859="","",IF(ISNUMBER(N859),N859,I859))</f>
        <v/>
      </c>
      <c r="B859">
        <f>IF(H859="","",U859)</f>
        <v/>
      </c>
      <c r="C859">
        <f>IF(H859="","",IF(P859="",K859,INDEX('Students'!$A$2:$A$701,P859)))</f>
        <v/>
      </c>
      <c r="D859">
        <f>IF(OR(H859="",P859=""),"",INDEX('Students'!$B$2:$B$701,P859))</f>
        <v/>
      </c>
      <c r="E859">
        <f>IF(OR(H859="",P859=""),"",INDEX('Students'!$C$2:$C$701,P859))</f>
        <v/>
      </c>
      <c r="F859" s="48">
        <f>IF(H859="","",IF(ISNUMBER(O859),O859,J859))</f>
        <v/>
      </c>
      <c r="G859">
        <f>IF(H859="","","OneCause")</f>
        <v/>
      </c>
      <c r="H859">
        <f>IF(AND(I859="",J859="",K859=""),"",IF(NOT(ISNUMBER(O859)),"Bad amount",IF(O859&lt;0,"Refund (not counted)",IF(O859=0,"Zero amount",IF(NOT(ISNUMBER(N859)),"Bad date",IF(P859="","NAME NOT ON ROSTER",IF(L859="","OK",IF(MATCH(L859,$L$2:$L$3001,0)&lt;ROW()-1,"Duplicate (ignored)","OK"))))))))</f>
        <v/>
      </c>
      <c r="I859">
        <f>IF(OC_Date=0,"",IF(INDEX('OneCause_Paste'!$A$859:$AZ$859,1,OC_Date)="","",INDEX('OneCause_Paste'!$A$859:$AZ$859,1,OC_Date)))</f>
        <v/>
      </c>
      <c r="J859">
        <f>IF(OC_Amt=0,"",IF(INDEX('OneCause_Paste'!$A$859:$AZ$859,1,OC_Amt)="","",INDEX('OneCause_Paste'!$A$859:$AZ$859,1,OC_Amt)))</f>
        <v/>
      </c>
      <c r="K859">
        <f>IF(OC_Name=0,"",IF(INDEX('OneCause_Paste'!$A$859:$AZ$859,1,OC_Name)="","",INDEX('OneCause_Paste'!$A$859:$AZ$859,1,OC_Name)))</f>
        <v/>
      </c>
      <c r="L859">
        <f>IF(OC_Txn=0,"",IF(INDEX('OneCause_Paste'!$A$859:$AZ$859,1,OC_Txn)="","",INDEX('OneCause_Paste'!$A$859:$AZ$859,1,OC_Txn)))</f>
        <v/>
      </c>
      <c r="M859">
        <f>IF(OC_Pay=0,"",IF(INDEX('OneCause_Paste'!$A$859:$AZ$859,1,OC_Pay)="","",INDEX('OneCause_Paste'!$A$859:$AZ$859,1,OC_Pay)))</f>
        <v/>
      </c>
      <c r="N859">
        <f>IF(I859="","",IF(ISNUMBER(I859),INT(I859),IFERROR(INT(DATEVALUE(I859)),IFERROR(INT(VALUE(I859)),"bad"))))</f>
        <v/>
      </c>
      <c r="O859">
        <f>IF(J859="","",IF(ISNUMBER(J859),ROUND(J859,2),IFERROR(ROUND(VALUE(SUBSTITUTE(SUBSTITUTE(SUBSTITUTE(J859,"$",""),",","")," ","")),2),"bad")))</f>
        <v/>
      </c>
      <c r="P859">
        <f>IF(TRIM(K859)="","",IFERROR(MATCH(LOWER(TRIM(K859)),'Students'!$AH$2:$AH$701,0),IFERROR(MATCH(LOWER(TRIM(K859)),'Students'!$AF$2:$AF$701,0),IFERROR(MATCH(LOWER(TRIM(K859)),'Students'!$AG$2:$AG$701,0),""))))</f>
        <v/>
      </c>
      <c r="R859">
        <f>IF(P859="","",INDEX('Students'!$AD$2:$AD$701,P859))</f>
        <v/>
      </c>
      <c r="S859">
        <f>IF(H859="OK",O859,0)</f>
        <v/>
      </c>
      <c r="T859">
        <f>IF(H859="OK",N859,"")</f>
        <v/>
      </c>
      <c r="U859">
        <f>IF(OC_Donor=0,"",IF(INDEX('OneCause_Paste'!$A$859:$AZ$859,1,OC_Donor)="","",INDEX('OneCause_Paste'!$A$859:$AZ$859,1,OC_Donor)))</f>
        <v/>
      </c>
    </row>
    <row r="860">
      <c r="A860" s="62">
        <f>IF(H860="","",IF(ISNUMBER(N860),N860,I860))</f>
        <v/>
      </c>
      <c r="B860">
        <f>IF(H860="","",U860)</f>
        <v/>
      </c>
      <c r="C860">
        <f>IF(H860="","",IF(P860="",K860,INDEX('Students'!$A$2:$A$701,P860)))</f>
        <v/>
      </c>
      <c r="D860">
        <f>IF(OR(H860="",P860=""),"",INDEX('Students'!$B$2:$B$701,P860))</f>
        <v/>
      </c>
      <c r="E860">
        <f>IF(OR(H860="",P860=""),"",INDEX('Students'!$C$2:$C$701,P860))</f>
        <v/>
      </c>
      <c r="F860" s="48">
        <f>IF(H860="","",IF(ISNUMBER(O860),O860,J860))</f>
        <v/>
      </c>
      <c r="G860">
        <f>IF(H860="","","OneCause")</f>
        <v/>
      </c>
      <c r="H860">
        <f>IF(AND(I860="",J860="",K860=""),"",IF(NOT(ISNUMBER(O860)),"Bad amount",IF(O860&lt;0,"Refund (not counted)",IF(O860=0,"Zero amount",IF(NOT(ISNUMBER(N860)),"Bad date",IF(P860="","NAME NOT ON ROSTER",IF(L860="","OK",IF(MATCH(L860,$L$2:$L$3001,0)&lt;ROW()-1,"Duplicate (ignored)","OK"))))))))</f>
        <v/>
      </c>
      <c r="I860">
        <f>IF(OC_Date=0,"",IF(INDEX('OneCause_Paste'!$A$860:$AZ$860,1,OC_Date)="","",INDEX('OneCause_Paste'!$A$860:$AZ$860,1,OC_Date)))</f>
        <v/>
      </c>
      <c r="J860">
        <f>IF(OC_Amt=0,"",IF(INDEX('OneCause_Paste'!$A$860:$AZ$860,1,OC_Amt)="","",INDEX('OneCause_Paste'!$A$860:$AZ$860,1,OC_Amt)))</f>
        <v/>
      </c>
      <c r="K860">
        <f>IF(OC_Name=0,"",IF(INDEX('OneCause_Paste'!$A$860:$AZ$860,1,OC_Name)="","",INDEX('OneCause_Paste'!$A$860:$AZ$860,1,OC_Name)))</f>
        <v/>
      </c>
      <c r="L860">
        <f>IF(OC_Txn=0,"",IF(INDEX('OneCause_Paste'!$A$860:$AZ$860,1,OC_Txn)="","",INDEX('OneCause_Paste'!$A$860:$AZ$860,1,OC_Txn)))</f>
        <v/>
      </c>
      <c r="M860">
        <f>IF(OC_Pay=0,"",IF(INDEX('OneCause_Paste'!$A$860:$AZ$860,1,OC_Pay)="","",INDEX('OneCause_Paste'!$A$860:$AZ$860,1,OC_Pay)))</f>
        <v/>
      </c>
      <c r="N860">
        <f>IF(I860="","",IF(ISNUMBER(I860),INT(I860),IFERROR(INT(DATEVALUE(I860)),IFERROR(INT(VALUE(I860)),"bad"))))</f>
        <v/>
      </c>
      <c r="O860">
        <f>IF(J860="","",IF(ISNUMBER(J860),ROUND(J860,2),IFERROR(ROUND(VALUE(SUBSTITUTE(SUBSTITUTE(SUBSTITUTE(J860,"$",""),",","")," ","")),2),"bad")))</f>
        <v/>
      </c>
      <c r="P860">
        <f>IF(TRIM(K860)="","",IFERROR(MATCH(LOWER(TRIM(K860)),'Students'!$AH$2:$AH$701,0),IFERROR(MATCH(LOWER(TRIM(K860)),'Students'!$AF$2:$AF$701,0),IFERROR(MATCH(LOWER(TRIM(K860)),'Students'!$AG$2:$AG$701,0),""))))</f>
        <v/>
      </c>
      <c r="R860">
        <f>IF(P860="","",INDEX('Students'!$AD$2:$AD$701,P860))</f>
        <v/>
      </c>
      <c r="S860">
        <f>IF(H860="OK",O860,0)</f>
        <v/>
      </c>
      <c r="T860">
        <f>IF(H860="OK",N860,"")</f>
        <v/>
      </c>
      <c r="U860">
        <f>IF(OC_Donor=0,"",IF(INDEX('OneCause_Paste'!$A$860:$AZ$860,1,OC_Donor)="","",INDEX('OneCause_Paste'!$A$860:$AZ$860,1,OC_Donor)))</f>
        <v/>
      </c>
    </row>
    <row r="861">
      <c r="A861" s="62">
        <f>IF(H861="","",IF(ISNUMBER(N861),N861,I861))</f>
        <v/>
      </c>
      <c r="B861">
        <f>IF(H861="","",U861)</f>
        <v/>
      </c>
      <c r="C861">
        <f>IF(H861="","",IF(P861="",K861,INDEX('Students'!$A$2:$A$701,P861)))</f>
        <v/>
      </c>
      <c r="D861">
        <f>IF(OR(H861="",P861=""),"",INDEX('Students'!$B$2:$B$701,P861))</f>
        <v/>
      </c>
      <c r="E861">
        <f>IF(OR(H861="",P861=""),"",INDEX('Students'!$C$2:$C$701,P861))</f>
        <v/>
      </c>
      <c r="F861" s="48">
        <f>IF(H861="","",IF(ISNUMBER(O861),O861,J861))</f>
        <v/>
      </c>
      <c r="G861">
        <f>IF(H861="","","OneCause")</f>
        <v/>
      </c>
      <c r="H861">
        <f>IF(AND(I861="",J861="",K861=""),"",IF(NOT(ISNUMBER(O861)),"Bad amount",IF(O861&lt;0,"Refund (not counted)",IF(O861=0,"Zero amount",IF(NOT(ISNUMBER(N861)),"Bad date",IF(P861="","NAME NOT ON ROSTER",IF(L861="","OK",IF(MATCH(L861,$L$2:$L$3001,0)&lt;ROW()-1,"Duplicate (ignored)","OK"))))))))</f>
        <v/>
      </c>
      <c r="I861">
        <f>IF(OC_Date=0,"",IF(INDEX('OneCause_Paste'!$A$861:$AZ$861,1,OC_Date)="","",INDEX('OneCause_Paste'!$A$861:$AZ$861,1,OC_Date)))</f>
        <v/>
      </c>
      <c r="J861">
        <f>IF(OC_Amt=0,"",IF(INDEX('OneCause_Paste'!$A$861:$AZ$861,1,OC_Amt)="","",INDEX('OneCause_Paste'!$A$861:$AZ$861,1,OC_Amt)))</f>
        <v/>
      </c>
      <c r="K861">
        <f>IF(OC_Name=0,"",IF(INDEX('OneCause_Paste'!$A$861:$AZ$861,1,OC_Name)="","",INDEX('OneCause_Paste'!$A$861:$AZ$861,1,OC_Name)))</f>
        <v/>
      </c>
      <c r="L861">
        <f>IF(OC_Txn=0,"",IF(INDEX('OneCause_Paste'!$A$861:$AZ$861,1,OC_Txn)="","",INDEX('OneCause_Paste'!$A$861:$AZ$861,1,OC_Txn)))</f>
        <v/>
      </c>
      <c r="M861">
        <f>IF(OC_Pay=0,"",IF(INDEX('OneCause_Paste'!$A$861:$AZ$861,1,OC_Pay)="","",INDEX('OneCause_Paste'!$A$861:$AZ$861,1,OC_Pay)))</f>
        <v/>
      </c>
      <c r="N861">
        <f>IF(I861="","",IF(ISNUMBER(I861),INT(I861),IFERROR(INT(DATEVALUE(I861)),IFERROR(INT(VALUE(I861)),"bad"))))</f>
        <v/>
      </c>
      <c r="O861">
        <f>IF(J861="","",IF(ISNUMBER(J861),ROUND(J861,2),IFERROR(ROUND(VALUE(SUBSTITUTE(SUBSTITUTE(SUBSTITUTE(J861,"$",""),",","")," ","")),2),"bad")))</f>
        <v/>
      </c>
      <c r="P861">
        <f>IF(TRIM(K861)="","",IFERROR(MATCH(LOWER(TRIM(K861)),'Students'!$AH$2:$AH$701,0),IFERROR(MATCH(LOWER(TRIM(K861)),'Students'!$AF$2:$AF$701,0),IFERROR(MATCH(LOWER(TRIM(K861)),'Students'!$AG$2:$AG$701,0),""))))</f>
        <v/>
      </c>
      <c r="R861">
        <f>IF(P861="","",INDEX('Students'!$AD$2:$AD$701,P861))</f>
        <v/>
      </c>
      <c r="S861">
        <f>IF(H861="OK",O861,0)</f>
        <v/>
      </c>
      <c r="T861">
        <f>IF(H861="OK",N861,"")</f>
        <v/>
      </c>
      <c r="U861">
        <f>IF(OC_Donor=0,"",IF(INDEX('OneCause_Paste'!$A$861:$AZ$861,1,OC_Donor)="","",INDEX('OneCause_Paste'!$A$861:$AZ$861,1,OC_Donor)))</f>
        <v/>
      </c>
    </row>
    <row r="862">
      <c r="A862" s="62">
        <f>IF(H862="","",IF(ISNUMBER(N862),N862,I862))</f>
        <v/>
      </c>
      <c r="B862">
        <f>IF(H862="","",U862)</f>
        <v/>
      </c>
      <c r="C862">
        <f>IF(H862="","",IF(P862="",K862,INDEX('Students'!$A$2:$A$701,P862)))</f>
        <v/>
      </c>
      <c r="D862">
        <f>IF(OR(H862="",P862=""),"",INDEX('Students'!$B$2:$B$701,P862))</f>
        <v/>
      </c>
      <c r="E862">
        <f>IF(OR(H862="",P862=""),"",INDEX('Students'!$C$2:$C$701,P862))</f>
        <v/>
      </c>
      <c r="F862" s="48">
        <f>IF(H862="","",IF(ISNUMBER(O862),O862,J862))</f>
        <v/>
      </c>
      <c r="G862">
        <f>IF(H862="","","OneCause")</f>
        <v/>
      </c>
      <c r="H862">
        <f>IF(AND(I862="",J862="",K862=""),"",IF(NOT(ISNUMBER(O862)),"Bad amount",IF(O862&lt;0,"Refund (not counted)",IF(O862=0,"Zero amount",IF(NOT(ISNUMBER(N862)),"Bad date",IF(P862="","NAME NOT ON ROSTER",IF(L862="","OK",IF(MATCH(L862,$L$2:$L$3001,0)&lt;ROW()-1,"Duplicate (ignored)","OK"))))))))</f>
        <v/>
      </c>
      <c r="I862">
        <f>IF(OC_Date=0,"",IF(INDEX('OneCause_Paste'!$A$862:$AZ$862,1,OC_Date)="","",INDEX('OneCause_Paste'!$A$862:$AZ$862,1,OC_Date)))</f>
        <v/>
      </c>
      <c r="J862">
        <f>IF(OC_Amt=0,"",IF(INDEX('OneCause_Paste'!$A$862:$AZ$862,1,OC_Amt)="","",INDEX('OneCause_Paste'!$A$862:$AZ$862,1,OC_Amt)))</f>
        <v/>
      </c>
      <c r="K862">
        <f>IF(OC_Name=0,"",IF(INDEX('OneCause_Paste'!$A$862:$AZ$862,1,OC_Name)="","",INDEX('OneCause_Paste'!$A$862:$AZ$862,1,OC_Name)))</f>
        <v/>
      </c>
      <c r="L862">
        <f>IF(OC_Txn=0,"",IF(INDEX('OneCause_Paste'!$A$862:$AZ$862,1,OC_Txn)="","",INDEX('OneCause_Paste'!$A$862:$AZ$862,1,OC_Txn)))</f>
        <v/>
      </c>
      <c r="M862">
        <f>IF(OC_Pay=0,"",IF(INDEX('OneCause_Paste'!$A$862:$AZ$862,1,OC_Pay)="","",INDEX('OneCause_Paste'!$A$862:$AZ$862,1,OC_Pay)))</f>
        <v/>
      </c>
      <c r="N862">
        <f>IF(I862="","",IF(ISNUMBER(I862),INT(I862),IFERROR(INT(DATEVALUE(I862)),IFERROR(INT(VALUE(I862)),"bad"))))</f>
        <v/>
      </c>
      <c r="O862">
        <f>IF(J862="","",IF(ISNUMBER(J862),ROUND(J862,2),IFERROR(ROUND(VALUE(SUBSTITUTE(SUBSTITUTE(SUBSTITUTE(J862,"$",""),",","")," ","")),2),"bad")))</f>
        <v/>
      </c>
      <c r="P862">
        <f>IF(TRIM(K862)="","",IFERROR(MATCH(LOWER(TRIM(K862)),'Students'!$AH$2:$AH$701,0),IFERROR(MATCH(LOWER(TRIM(K862)),'Students'!$AF$2:$AF$701,0),IFERROR(MATCH(LOWER(TRIM(K862)),'Students'!$AG$2:$AG$701,0),""))))</f>
        <v/>
      </c>
      <c r="R862">
        <f>IF(P862="","",INDEX('Students'!$AD$2:$AD$701,P862))</f>
        <v/>
      </c>
      <c r="S862">
        <f>IF(H862="OK",O862,0)</f>
        <v/>
      </c>
      <c r="T862">
        <f>IF(H862="OK",N862,"")</f>
        <v/>
      </c>
      <c r="U862">
        <f>IF(OC_Donor=0,"",IF(INDEX('OneCause_Paste'!$A$862:$AZ$862,1,OC_Donor)="","",INDEX('OneCause_Paste'!$A$862:$AZ$862,1,OC_Donor)))</f>
        <v/>
      </c>
    </row>
    <row r="863">
      <c r="A863" s="62">
        <f>IF(H863="","",IF(ISNUMBER(N863),N863,I863))</f>
        <v/>
      </c>
      <c r="B863">
        <f>IF(H863="","",U863)</f>
        <v/>
      </c>
      <c r="C863">
        <f>IF(H863="","",IF(P863="",K863,INDEX('Students'!$A$2:$A$701,P863)))</f>
        <v/>
      </c>
      <c r="D863">
        <f>IF(OR(H863="",P863=""),"",INDEX('Students'!$B$2:$B$701,P863))</f>
        <v/>
      </c>
      <c r="E863">
        <f>IF(OR(H863="",P863=""),"",INDEX('Students'!$C$2:$C$701,P863))</f>
        <v/>
      </c>
      <c r="F863" s="48">
        <f>IF(H863="","",IF(ISNUMBER(O863),O863,J863))</f>
        <v/>
      </c>
      <c r="G863">
        <f>IF(H863="","","OneCause")</f>
        <v/>
      </c>
      <c r="H863">
        <f>IF(AND(I863="",J863="",K863=""),"",IF(NOT(ISNUMBER(O863)),"Bad amount",IF(O863&lt;0,"Refund (not counted)",IF(O863=0,"Zero amount",IF(NOT(ISNUMBER(N863)),"Bad date",IF(P863="","NAME NOT ON ROSTER",IF(L863="","OK",IF(MATCH(L863,$L$2:$L$3001,0)&lt;ROW()-1,"Duplicate (ignored)","OK"))))))))</f>
        <v/>
      </c>
      <c r="I863">
        <f>IF(OC_Date=0,"",IF(INDEX('OneCause_Paste'!$A$863:$AZ$863,1,OC_Date)="","",INDEX('OneCause_Paste'!$A$863:$AZ$863,1,OC_Date)))</f>
        <v/>
      </c>
      <c r="J863">
        <f>IF(OC_Amt=0,"",IF(INDEX('OneCause_Paste'!$A$863:$AZ$863,1,OC_Amt)="","",INDEX('OneCause_Paste'!$A$863:$AZ$863,1,OC_Amt)))</f>
        <v/>
      </c>
      <c r="K863">
        <f>IF(OC_Name=0,"",IF(INDEX('OneCause_Paste'!$A$863:$AZ$863,1,OC_Name)="","",INDEX('OneCause_Paste'!$A$863:$AZ$863,1,OC_Name)))</f>
        <v/>
      </c>
      <c r="L863">
        <f>IF(OC_Txn=0,"",IF(INDEX('OneCause_Paste'!$A$863:$AZ$863,1,OC_Txn)="","",INDEX('OneCause_Paste'!$A$863:$AZ$863,1,OC_Txn)))</f>
        <v/>
      </c>
      <c r="M863">
        <f>IF(OC_Pay=0,"",IF(INDEX('OneCause_Paste'!$A$863:$AZ$863,1,OC_Pay)="","",INDEX('OneCause_Paste'!$A$863:$AZ$863,1,OC_Pay)))</f>
        <v/>
      </c>
      <c r="N863">
        <f>IF(I863="","",IF(ISNUMBER(I863),INT(I863),IFERROR(INT(DATEVALUE(I863)),IFERROR(INT(VALUE(I863)),"bad"))))</f>
        <v/>
      </c>
      <c r="O863">
        <f>IF(J863="","",IF(ISNUMBER(J863),ROUND(J863,2),IFERROR(ROUND(VALUE(SUBSTITUTE(SUBSTITUTE(SUBSTITUTE(J863,"$",""),",","")," ","")),2),"bad")))</f>
        <v/>
      </c>
      <c r="P863">
        <f>IF(TRIM(K863)="","",IFERROR(MATCH(LOWER(TRIM(K863)),'Students'!$AH$2:$AH$701,0),IFERROR(MATCH(LOWER(TRIM(K863)),'Students'!$AF$2:$AF$701,0),IFERROR(MATCH(LOWER(TRIM(K863)),'Students'!$AG$2:$AG$701,0),""))))</f>
        <v/>
      </c>
      <c r="R863">
        <f>IF(P863="","",INDEX('Students'!$AD$2:$AD$701,P863))</f>
        <v/>
      </c>
      <c r="S863">
        <f>IF(H863="OK",O863,0)</f>
        <v/>
      </c>
      <c r="T863">
        <f>IF(H863="OK",N863,"")</f>
        <v/>
      </c>
      <c r="U863">
        <f>IF(OC_Donor=0,"",IF(INDEX('OneCause_Paste'!$A$863:$AZ$863,1,OC_Donor)="","",INDEX('OneCause_Paste'!$A$863:$AZ$863,1,OC_Donor)))</f>
        <v/>
      </c>
    </row>
    <row r="864">
      <c r="A864" s="62">
        <f>IF(H864="","",IF(ISNUMBER(N864),N864,I864))</f>
        <v/>
      </c>
      <c r="B864">
        <f>IF(H864="","",U864)</f>
        <v/>
      </c>
      <c r="C864">
        <f>IF(H864="","",IF(P864="",K864,INDEX('Students'!$A$2:$A$701,P864)))</f>
        <v/>
      </c>
      <c r="D864">
        <f>IF(OR(H864="",P864=""),"",INDEX('Students'!$B$2:$B$701,P864))</f>
        <v/>
      </c>
      <c r="E864">
        <f>IF(OR(H864="",P864=""),"",INDEX('Students'!$C$2:$C$701,P864))</f>
        <v/>
      </c>
      <c r="F864" s="48">
        <f>IF(H864="","",IF(ISNUMBER(O864),O864,J864))</f>
        <v/>
      </c>
      <c r="G864">
        <f>IF(H864="","","OneCause")</f>
        <v/>
      </c>
      <c r="H864">
        <f>IF(AND(I864="",J864="",K864=""),"",IF(NOT(ISNUMBER(O864)),"Bad amount",IF(O864&lt;0,"Refund (not counted)",IF(O864=0,"Zero amount",IF(NOT(ISNUMBER(N864)),"Bad date",IF(P864="","NAME NOT ON ROSTER",IF(L864="","OK",IF(MATCH(L864,$L$2:$L$3001,0)&lt;ROW()-1,"Duplicate (ignored)","OK"))))))))</f>
        <v/>
      </c>
      <c r="I864">
        <f>IF(OC_Date=0,"",IF(INDEX('OneCause_Paste'!$A$864:$AZ$864,1,OC_Date)="","",INDEX('OneCause_Paste'!$A$864:$AZ$864,1,OC_Date)))</f>
        <v/>
      </c>
      <c r="J864">
        <f>IF(OC_Amt=0,"",IF(INDEX('OneCause_Paste'!$A$864:$AZ$864,1,OC_Amt)="","",INDEX('OneCause_Paste'!$A$864:$AZ$864,1,OC_Amt)))</f>
        <v/>
      </c>
      <c r="K864">
        <f>IF(OC_Name=0,"",IF(INDEX('OneCause_Paste'!$A$864:$AZ$864,1,OC_Name)="","",INDEX('OneCause_Paste'!$A$864:$AZ$864,1,OC_Name)))</f>
        <v/>
      </c>
      <c r="L864">
        <f>IF(OC_Txn=0,"",IF(INDEX('OneCause_Paste'!$A$864:$AZ$864,1,OC_Txn)="","",INDEX('OneCause_Paste'!$A$864:$AZ$864,1,OC_Txn)))</f>
        <v/>
      </c>
      <c r="M864">
        <f>IF(OC_Pay=0,"",IF(INDEX('OneCause_Paste'!$A$864:$AZ$864,1,OC_Pay)="","",INDEX('OneCause_Paste'!$A$864:$AZ$864,1,OC_Pay)))</f>
        <v/>
      </c>
      <c r="N864">
        <f>IF(I864="","",IF(ISNUMBER(I864),INT(I864),IFERROR(INT(DATEVALUE(I864)),IFERROR(INT(VALUE(I864)),"bad"))))</f>
        <v/>
      </c>
      <c r="O864">
        <f>IF(J864="","",IF(ISNUMBER(J864),ROUND(J864,2),IFERROR(ROUND(VALUE(SUBSTITUTE(SUBSTITUTE(SUBSTITUTE(J864,"$",""),",","")," ","")),2),"bad")))</f>
        <v/>
      </c>
      <c r="P864">
        <f>IF(TRIM(K864)="","",IFERROR(MATCH(LOWER(TRIM(K864)),'Students'!$AH$2:$AH$701,0),IFERROR(MATCH(LOWER(TRIM(K864)),'Students'!$AF$2:$AF$701,0),IFERROR(MATCH(LOWER(TRIM(K864)),'Students'!$AG$2:$AG$701,0),""))))</f>
        <v/>
      </c>
      <c r="R864">
        <f>IF(P864="","",INDEX('Students'!$AD$2:$AD$701,P864))</f>
        <v/>
      </c>
      <c r="S864">
        <f>IF(H864="OK",O864,0)</f>
        <v/>
      </c>
      <c r="T864">
        <f>IF(H864="OK",N864,"")</f>
        <v/>
      </c>
      <c r="U864">
        <f>IF(OC_Donor=0,"",IF(INDEX('OneCause_Paste'!$A$864:$AZ$864,1,OC_Donor)="","",INDEX('OneCause_Paste'!$A$864:$AZ$864,1,OC_Donor)))</f>
        <v/>
      </c>
    </row>
    <row r="865">
      <c r="A865" s="62">
        <f>IF(H865="","",IF(ISNUMBER(N865),N865,I865))</f>
        <v/>
      </c>
      <c r="B865">
        <f>IF(H865="","",U865)</f>
        <v/>
      </c>
      <c r="C865">
        <f>IF(H865="","",IF(P865="",K865,INDEX('Students'!$A$2:$A$701,P865)))</f>
        <v/>
      </c>
      <c r="D865">
        <f>IF(OR(H865="",P865=""),"",INDEX('Students'!$B$2:$B$701,P865))</f>
        <v/>
      </c>
      <c r="E865">
        <f>IF(OR(H865="",P865=""),"",INDEX('Students'!$C$2:$C$701,P865))</f>
        <v/>
      </c>
      <c r="F865" s="48">
        <f>IF(H865="","",IF(ISNUMBER(O865),O865,J865))</f>
        <v/>
      </c>
      <c r="G865">
        <f>IF(H865="","","OneCause")</f>
        <v/>
      </c>
      <c r="H865">
        <f>IF(AND(I865="",J865="",K865=""),"",IF(NOT(ISNUMBER(O865)),"Bad amount",IF(O865&lt;0,"Refund (not counted)",IF(O865=0,"Zero amount",IF(NOT(ISNUMBER(N865)),"Bad date",IF(P865="","NAME NOT ON ROSTER",IF(L865="","OK",IF(MATCH(L865,$L$2:$L$3001,0)&lt;ROW()-1,"Duplicate (ignored)","OK"))))))))</f>
        <v/>
      </c>
      <c r="I865">
        <f>IF(OC_Date=0,"",IF(INDEX('OneCause_Paste'!$A$865:$AZ$865,1,OC_Date)="","",INDEX('OneCause_Paste'!$A$865:$AZ$865,1,OC_Date)))</f>
        <v/>
      </c>
      <c r="J865">
        <f>IF(OC_Amt=0,"",IF(INDEX('OneCause_Paste'!$A$865:$AZ$865,1,OC_Amt)="","",INDEX('OneCause_Paste'!$A$865:$AZ$865,1,OC_Amt)))</f>
        <v/>
      </c>
      <c r="K865">
        <f>IF(OC_Name=0,"",IF(INDEX('OneCause_Paste'!$A$865:$AZ$865,1,OC_Name)="","",INDEX('OneCause_Paste'!$A$865:$AZ$865,1,OC_Name)))</f>
        <v/>
      </c>
      <c r="L865">
        <f>IF(OC_Txn=0,"",IF(INDEX('OneCause_Paste'!$A$865:$AZ$865,1,OC_Txn)="","",INDEX('OneCause_Paste'!$A$865:$AZ$865,1,OC_Txn)))</f>
        <v/>
      </c>
      <c r="M865">
        <f>IF(OC_Pay=0,"",IF(INDEX('OneCause_Paste'!$A$865:$AZ$865,1,OC_Pay)="","",INDEX('OneCause_Paste'!$A$865:$AZ$865,1,OC_Pay)))</f>
        <v/>
      </c>
      <c r="N865">
        <f>IF(I865="","",IF(ISNUMBER(I865),INT(I865),IFERROR(INT(DATEVALUE(I865)),IFERROR(INT(VALUE(I865)),"bad"))))</f>
        <v/>
      </c>
      <c r="O865">
        <f>IF(J865="","",IF(ISNUMBER(J865),ROUND(J865,2),IFERROR(ROUND(VALUE(SUBSTITUTE(SUBSTITUTE(SUBSTITUTE(J865,"$",""),",","")," ","")),2),"bad")))</f>
        <v/>
      </c>
      <c r="P865">
        <f>IF(TRIM(K865)="","",IFERROR(MATCH(LOWER(TRIM(K865)),'Students'!$AH$2:$AH$701,0),IFERROR(MATCH(LOWER(TRIM(K865)),'Students'!$AF$2:$AF$701,0),IFERROR(MATCH(LOWER(TRIM(K865)),'Students'!$AG$2:$AG$701,0),""))))</f>
        <v/>
      </c>
      <c r="R865">
        <f>IF(P865="","",INDEX('Students'!$AD$2:$AD$701,P865))</f>
        <v/>
      </c>
      <c r="S865">
        <f>IF(H865="OK",O865,0)</f>
        <v/>
      </c>
      <c r="T865">
        <f>IF(H865="OK",N865,"")</f>
        <v/>
      </c>
      <c r="U865">
        <f>IF(OC_Donor=0,"",IF(INDEX('OneCause_Paste'!$A$865:$AZ$865,1,OC_Donor)="","",INDEX('OneCause_Paste'!$A$865:$AZ$865,1,OC_Donor)))</f>
        <v/>
      </c>
    </row>
    <row r="866">
      <c r="A866" s="62">
        <f>IF(H866="","",IF(ISNUMBER(N866),N866,I866))</f>
        <v/>
      </c>
      <c r="B866">
        <f>IF(H866="","",U866)</f>
        <v/>
      </c>
      <c r="C866">
        <f>IF(H866="","",IF(P866="",K866,INDEX('Students'!$A$2:$A$701,P866)))</f>
        <v/>
      </c>
      <c r="D866">
        <f>IF(OR(H866="",P866=""),"",INDEX('Students'!$B$2:$B$701,P866))</f>
        <v/>
      </c>
      <c r="E866">
        <f>IF(OR(H866="",P866=""),"",INDEX('Students'!$C$2:$C$701,P866))</f>
        <v/>
      </c>
      <c r="F866" s="48">
        <f>IF(H866="","",IF(ISNUMBER(O866),O866,J866))</f>
        <v/>
      </c>
      <c r="G866">
        <f>IF(H866="","","OneCause")</f>
        <v/>
      </c>
      <c r="H866">
        <f>IF(AND(I866="",J866="",K866=""),"",IF(NOT(ISNUMBER(O866)),"Bad amount",IF(O866&lt;0,"Refund (not counted)",IF(O866=0,"Zero amount",IF(NOT(ISNUMBER(N866)),"Bad date",IF(P866="","NAME NOT ON ROSTER",IF(L866="","OK",IF(MATCH(L866,$L$2:$L$3001,0)&lt;ROW()-1,"Duplicate (ignored)","OK"))))))))</f>
        <v/>
      </c>
      <c r="I866">
        <f>IF(OC_Date=0,"",IF(INDEX('OneCause_Paste'!$A$866:$AZ$866,1,OC_Date)="","",INDEX('OneCause_Paste'!$A$866:$AZ$866,1,OC_Date)))</f>
        <v/>
      </c>
      <c r="J866">
        <f>IF(OC_Amt=0,"",IF(INDEX('OneCause_Paste'!$A$866:$AZ$866,1,OC_Amt)="","",INDEX('OneCause_Paste'!$A$866:$AZ$866,1,OC_Amt)))</f>
        <v/>
      </c>
      <c r="K866">
        <f>IF(OC_Name=0,"",IF(INDEX('OneCause_Paste'!$A$866:$AZ$866,1,OC_Name)="","",INDEX('OneCause_Paste'!$A$866:$AZ$866,1,OC_Name)))</f>
        <v/>
      </c>
      <c r="L866">
        <f>IF(OC_Txn=0,"",IF(INDEX('OneCause_Paste'!$A$866:$AZ$866,1,OC_Txn)="","",INDEX('OneCause_Paste'!$A$866:$AZ$866,1,OC_Txn)))</f>
        <v/>
      </c>
      <c r="M866">
        <f>IF(OC_Pay=0,"",IF(INDEX('OneCause_Paste'!$A$866:$AZ$866,1,OC_Pay)="","",INDEX('OneCause_Paste'!$A$866:$AZ$866,1,OC_Pay)))</f>
        <v/>
      </c>
      <c r="N866">
        <f>IF(I866="","",IF(ISNUMBER(I866),INT(I866),IFERROR(INT(DATEVALUE(I866)),IFERROR(INT(VALUE(I866)),"bad"))))</f>
        <v/>
      </c>
      <c r="O866">
        <f>IF(J866="","",IF(ISNUMBER(J866),ROUND(J866,2),IFERROR(ROUND(VALUE(SUBSTITUTE(SUBSTITUTE(SUBSTITUTE(J866,"$",""),",","")," ","")),2),"bad")))</f>
        <v/>
      </c>
      <c r="P866">
        <f>IF(TRIM(K866)="","",IFERROR(MATCH(LOWER(TRIM(K866)),'Students'!$AH$2:$AH$701,0),IFERROR(MATCH(LOWER(TRIM(K866)),'Students'!$AF$2:$AF$701,0),IFERROR(MATCH(LOWER(TRIM(K866)),'Students'!$AG$2:$AG$701,0),""))))</f>
        <v/>
      </c>
      <c r="R866">
        <f>IF(P866="","",INDEX('Students'!$AD$2:$AD$701,P866))</f>
        <v/>
      </c>
      <c r="S866">
        <f>IF(H866="OK",O866,0)</f>
        <v/>
      </c>
      <c r="T866">
        <f>IF(H866="OK",N866,"")</f>
        <v/>
      </c>
      <c r="U866">
        <f>IF(OC_Donor=0,"",IF(INDEX('OneCause_Paste'!$A$866:$AZ$866,1,OC_Donor)="","",INDEX('OneCause_Paste'!$A$866:$AZ$866,1,OC_Donor)))</f>
        <v/>
      </c>
    </row>
    <row r="867">
      <c r="A867" s="62">
        <f>IF(H867="","",IF(ISNUMBER(N867),N867,I867))</f>
        <v/>
      </c>
      <c r="B867">
        <f>IF(H867="","",U867)</f>
        <v/>
      </c>
      <c r="C867">
        <f>IF(H867="","",IF(P867="",K867,INDEX('Students'!$A$2:$A$701,P867)))</f>
        <v/>
      </c>
      <c r="D867">
        <f>IF(OR(H867="",P867=""),"",INDEX('Students'!$B$2:$B$701,P867))</f>
        <v/>
      </c>
      <c r="E867">
        <f>IF(OR(H867="",P867=""),"",INDEX('Students'!$C$2:$C$701,P867))</f>
        <v/>
      </c>
      <c r="F867" s="48">
        <f>IF(H867="","",IF(ISNUMBER(O867),O867,J867))</f>
        <v/>
      </c>
      <c r="G867">
        <f>IF(H867="","","OneCause")</f>
        <v/>
      </c>
      <c r="H867">
        <f>IF(AND(I867="",J867="",K867=""),"",IF(NOT(ISNUMBER(O867)),"Bad amount",IF(O867&lt;0,"Refund (not counted)",IF(O867=0,"Zero amount",IF(NOT(ISNUMBER(N867)),"Bad date",IF(P867="","NAME NOT ON ROSTER",IF(L867="","OK",IF(MATCH(L867,$L$2:$L$3001,0)&lt;ROW()-1,"Duplicate (ignored)","OK"))))))))</f>
        <v/>
      </c>
      <c r="I867">
        <f>IF(OC_Date=0,"",IF(INDEX('OneCause_Paste'!$A$867:$AZ$867,1,OC_Date)="","",INDEX('OneCause_Paste'!$A$867:$AZ$867,1,OC_Date)))</f>
        <v/>
      </c>
      <c r="J867">
        <f>IF(OC_Amt=0,"",IF(INDEX('OneCause_Paste'!$A$867:$AZ$867,1,OC_Amt)="","",INDEX('OneCause_Paste'!$A$867:$AZ$867,1,OC_Amt)))</f>
        <v/>
      </c>
      <c r="K867">
        <f>IF(OC_Name=0,"",IF(INDEX('OneCause_Paste'!$A$867:$AZ$867,1,OC_Name)="","",INDEX('OneCause_Paste'!$A$867:$AZ$867,1,OC_Name)))</f>
        <v/>
      </c>
      <c r="L867">
        <f>IF(OC_Txn=0,"",IF(INDEX('OneCause_Paste'!$A$867:$AZ$867,1,OC_Txn)="","",INDEX('OneCause_Paste'!$A$867:$AZ$867,1,OC_Txn)))</f>
        <v/>
      </c>
      <c r="M867">
        <f>IF(OC_Pay=0,"",IF(INDEX('OneCause_Paste'!$A$867:$AZ$867,1,OC_Pay)="","",INDEX('OneCause_Paste'!$A$867:$AZ$867,1,OC_Pay)))</f>
        <v/>
      </c>
      <c r="N867">
        <f>IF(I867="","",IF(ISNUMBER(I867),INT(I867),IFERROR(INT(DATEVALUE(I867)),IFERROR(INT(VALUE(I867)),"bad"))))</f>
        <v/>
      </c>
      <c r="O867">
        <f>IF(J867="","",IF(ISNUMBER(J867),ROUND(J867,2),IFERROR(ROUND(VALUE(SUBSTITUTE(SUBSTITUTE(SUBSTITUTE(J867,"$",""),",","")," ","")),2),"bad")))</f>
        <v/>
      </c>
      <c r="P867">
        <f>IF(TRIM(K867)="","",IFERROR(MATCH(LOWER(TRIM(K867)),'Students'!$AH$2:$AH$701,0),IFERROR(MATCH(LOWER(TRIM(K867)),'Students'!$AF$2:$AF$701,0),IFERROR(MATCH(LOWER(TRIM(K867)),'Students'!$AG$2:$AG$701,0),""))))</f>
        <v/>
      </c>
      <c r="R867">
        <f>IF(P867="","",INDEX('Students'!$AD$2:$AD$701,P867))</f>
        <v/>
      </c>
      <c r="S867">
        <f>IF(H867="OK",O867,0)</f>
        <v/>
      </c>
      <c r="T867">
        <f>IF(H867="OK",N867,"")</f>
        <v/>
      </c>
      <c r="U867">
        <f>IF(OC_Donor=0,"",IF(INDEX('OneCause_Paste'!$A$867:$AZ$867,1,OC_Donor)="","",INDEX('OneCause_Paste'!$A$867:$AZ$867,1,OC_Donor)))</f>
        <v/>
      </c>
    </row>
    <row r="868">
      <c r="A868" s="62">
        <f>IF(H868="","",IF(ISNUMBER(N868),N868,I868))</f>
        <v/>
      </c>
      <c r="B868">
        <f>IF(H868="","",U868)</f>
        <v/>
      </c>
      <c r="C868">
        <f>IF(H868="","",IF(P868="",K868,INDEX('Students'!$A$2:$A$701,P868)))</f>
        <v/>
      </c>
      <c r="D868">
        <f>IF(OR(H868="",P868=""),"",INDEX('Students'!$B$2:$B$701,P868))</f>
        <v/>
      </c>
      <c r="E868">
        <f>IF(OR(H868="",P868=""),"",INDEX('Students'!$C$2:$C$701,P868))</f>
        <v/>
      </c>
      <c r="F868" s="48">
        <f>IF(H868="","",IF(ISNUMBER(O868),O868,J868))</f>
        <v/>
      </c>
      <c r="G868">
        <f>IF(H868="","","OneCause")</f>
        <v/>
      </c>
      <c r="H868">
        <f>IF(AND(I868="",J868="",K868=""),"",IF(NOT(ISNUMBER(O868)),"Bad amount",IF(O868&lt;0,"Refund (not counted)",IF(O868=0,"Zero amount",IF(NOT(ISNUMBER(N868)),"Bad date",IF(P868="","NAME NOT ON ROSTER",IF(L868="","OK",IF(MATCH(L868,$L$2:$L$3001,0)&lt;ROW()-1,"Duplicate (ignored)","OK"))))))))</f>
        <v/>
      </c>
      <c r="I868">
        <f>IF(OC_Date=0,"",IF(INDEX('OneCause_Paste'!$A$868:$AZ$868,1,OC_Date)="","",INDEX('OneCause_Paste'!$A$868:$AZ$868,1,OC_Date)))</f>
        <v/>
      </c>
      <c r="J868">
        <f>IF(OC_Amt=0,"",IF(INDEX('OneCause_Paste'!$A$868:$AZ$868,1,OC_Amt)="","",INDEX('OneCause_Paste'!$A$868:$AZ$868,1,OC_Amt)))</f>
        <v/>
      </c>
      <c r="K868">
        <f>IF(OC_Name=0,"",IF(INDEX('OneCause_Paste'!$A$868:$AZ$868,1,OC_Name)="","",INDEX('OneCause_Paste'!$A$868:$AZ$868,1,OC_Name)))</f>
        <v/>
      </c>
      <c r="L868">
        <f>IF(OC_Txn=0,"",IF(INDEX('OneCause_Paste'!$A$868:$AZ$868,1,OC_Txn)="","",INDEX('OneCause_Paste'!$A$868:$AZ$868,1,OC_Txn)))</f>
        <v/>
      </c>
      <c r="M868">
        <f>IF(OC_Pay=0,"",IF(INDEX('OneCause_Paste'!$A$868:$AZ$868,1,OC_Pay)="","",INDEX('OneCause_Paste'!$A$868:$AZ$868,1,OC_Pay)))</f>
        <v/>
      </c>
      <c r="N868">
        <f>IF(I868="","",IF(ISNUMBER(I868),INT(I868),IFERROR(INT(DATEVALUE(I868)),IFERROR(INT(VALUE(I868)),"bad"))))</f>
        <v/>
      </c>
      <c r="O868">
        <f>IF(J868="","",IF(ISNUMBER(J868),ROUND(J868,2),IFERROR(ROUND(VALUE(SUBSTITUTE(SUBSTITUTE(SUBSTITUTE(J868,"$",""),",","")," ","")),2),"bad")))</f>
        <v/>
      </c>
      <c r="P868">
        <f>IF(TRIM(K868)="","",IFERROR(MATCH(LOWER(TRIM(K868)),'Students'!$AH$2:$AH$701,0),IFERROR(MATCH(LOWER(TRIM(K868)),'Students'!$AF$2:$AF$701,0),IFERROR(MATCH(LOWER(TRIM(K868)),'Students'!$AG$2:$AG$701,0),""))))</f>
        <v/>
      </c>
      <c r="R868">
        <f>IF(P868="","",INDEX('Students'!$AD$2:$AD$701,P868))</f>
        <v/>
      </c>
      <c r="S868">
        <f>IF(H868="OK",O868,0)</f>
        <v/>
      </c>
      <c r="T868">
        <f>IF(H868="OK",N868,"")</f>
        <v/>
      </c>
      <c r="U868">
        <f>IF(OC_Donor=0,"",IF(INDEX('OneCause_Paste'!$A$868:$AZ$868,1,OC_Donor)="","",INDEX('OneCause_Paste'!$A$868:$AZ$868,1,OC_Donor)))</f>
        <v/>
      </c>
    </row>
    <row r="869">
      <c r="A869" s="62">
        <f>IF(H869="","",IF(ISNUMBER(N869),N869,I869))</f>
        <v/>
      </c>
      <c r="B869">
        <f>IF(H869="","",U869)</f>
        <v/>
      </c>
      <c r="C869">
        <f>IF(H869="","",IF(P869="",K869,INDEX('Students'!$A$2:$A$701,P869)))</f>
        <v/>
      </c>
      <c r="D869">
        <f>IF(OR(H869="",P869=""),"",INDEX('Students'!$B$2:$B$701,P869))</f>
        <v/>
      </c>
      <c r="E869">
        <f>IF(OR(H869="",P869=""),"",INDEX('Students'!$C$2:$C$701,P869))</f>
        <v/>
      </c>
      <c r="F869" s="48">
        <f>IF(H869="","",IF(ISNUMBER(O869),O869,J869))</f>
        <v/>
      </c>
      <c r="G869">
        <f>IF(H869="","","OneCause")</f>
        <v/>
      </c>
      <c r="H869">
        <f>IF(AND(I869="",J869="",K869=""),"",IF(NOT(ISNUMBER(O869)),"Bad amount",IF(O869&lt;0,"Refund (not counted)",IF(O869=0,"Zero amount",IF(NOT(ISNUMBER(N869)),"Bad date",IF(P869="","NAME NOT ON ROSTER",IF(L869="","OK",IF(MATCH(L869,$L$2:$L$3001,0)&lt;ROW()-1,"Duplicate (ignored)","OK"))))))))</f>
        <v/>
      </c>
      <c r="I869">
        <f>IF(OC_Date=0,"",IF(INDEX('OneCause_Paste'!$A$869:$AZ$869,1,OC_Date)="","",INDEX('OneCause_Paste'!$A$869:$AZ$869,1,OC_Date)))</f>
        <v/>
      </c>
      <c r="J869">
        <f>IF(OC_Amt=0,"",IF(INDEX('OneCause_Paste'!$A$869:$AZ$869,1,OC_Amt)="","",INDEX('OneCause_Paste'!$A$869:$AZ$869,1,OC_Amt)))</f>
        <v/>
      </c>
      <c r="K869">
        <f>IF(OC_Name=0,"",IF(INDEX('OneCause_Paste'!$A$869:$AZ$869,1,OC_Name)="","",INDEX('OneCause_Paste'!$A$869:$AZ$869,1,OC_Name)))</f>
        <v/>
      </c>
      <c r="L869">
        <f>IF(OC_Txn=0,"",IF(INDEX('OneCause_Paste'!$A$869:$AZ$869,1,OC_Txn)="","",INDEX('OneCause_Paste'!$A$869:$AZ$869,1,OC_Txn)))</f>
        <v/>
      </c>
      <c r="M869">
        <f>IF(OC_Pay=0,"",IF(INDEX('OneCause_Paste'!$A$869:$AZ$869,1,OC_Pay)="","",INDEX('OneCause_Paste'!$A$869:$AZ$869,1,OC_Pay)))</f>
        <v/>
      </c>
      <c r="N869">
        <f>IF(I869="","",IF(ISNUMBER(I869),INT(I869),IFERROR(INT(DATEVALUE(I869)),IFERROR(INT(VALUE(I869)),"bad"))))</f>
        <v/>
      </c>
      <c r="O869">
        <f>IF(J869="","",IF(ISNUMBER(J869),ROUND(J869,2),IFERROR(ROUND(VALUE(SUBSTITUTE(SUBSTITUTE(SUBSTITUTE(J869,"$",""),",","")," ","")),2),"bad")))</f>
        <v/>
      </c>
      <c r="P869">
        <f>IF(TRIM(K869)="","",IFERROR(MATCH(LOWER(TRIM(K869)),'Students'!$AH$2:$AH$701,0),IFERROR(MATCH(LOWER(TRIM(K869)),'Students'!$AF$2:$AF$701,0),IFERROR(MATCH(LOWER(TRIM(K869)),'Students'!$AG$2:$AG$701,0),""))))</f>
        <v/>
      </c>
      <c r="R869">
        <f>IF(P869="","",INDEX('Students'!$AD$2:$AD$701,P869))</f>
        <v/>
      </c>
      <c r="S869">
        <f>IF(H869="OK",O869,0)</f>
        <v/>
      </c>
      <c r="T869">
        <f>IF(H869="OK",N869,"")</f>
        <v/>
      </c>
      <c r="U869">
        <f>IF(OC_Donor=0,"",IF(INDEX('OneCause_Paste'!$A$869:$AZ$869,1,OC_Donor)="","",INDEX('OneCause_Paste'!$A$869:$AZ$869,1,OC_Donor)))</f>
        <v/>
      </c>
    </row>
    <row r="870">
      <c r="A870" s="62">
        <f>IF(H870="","",IF(ISNUMBER(N870),N870,I870))</f>
        <v/>
      </c>
      <c r="B870">
        <f>IF(H870="","",U870)</f>
        <v/>
      </c>
      <c r="C870">
        <f>IF(H870="","",IF(P870="",K870,INDEX('Students'!$A$2:$A$701,P870)))</f>
        <v/>
      </c>
      <c r="D870">
        <f>IF(OR(H870="",P870=""),"",INDEX('Students'!$B$2:$B$701,P870))</f>
        <v/>
      </c>
      <c r="E870">
        <f>IF(OR(H870="",P870=""),"",INDEX('Students'!$C$2:$C$701,P870))</f>
        <v/>
      </c>
      <c r="F870" s="48">
        <f>IF(H870="","",IF(ISNUMBER(O870),O870,J870))</f>
        <v/>
      </c>
      <c r="G870">
        <f>IF(H870="","","OneCause")</f>
        <v/>
      </c>
      <c r="H870">
        <f>IF(AND(I870="",J870="",K870=""),"",IF(NOT(ISNUMBER(O870)),"Bad amount",IF(O870&lt;0,"Refund (not counted)",IF(O870=0,"Zero amount",IF(NOT(ISNUMBER(N870)),"Bad date",IF(P870="","NAME NOT ON ROSTER",IF(L870="","OK",IF(MATCH(L870,$L$2:$L$3001,0)&lt;ROW()-1,"Duplicate (ignored)","OK"))))))))</f>
        <v/>
      </c>
      <c r="I870">
        <f>IF(OC_Date=0,"",IF(INDEX('OneCause_Paste'!$A$870:$AZ$870,1,OC_Date)="","",INDEX('OneCause_Paste'!$A$870:$AZ$870,1,OC_Date)))</f>
        <v/>
      </c>
      <c r="J870">
        <f>IF(OC_Amt=0,"",IF(INDEX('OneCause_Paste'!$A$870:$AZ$870,1,OC_Amt)="","",INDEX('OneCause_Paste'!$A$870:$AZ$870,1,OC_Amt)))</f>
        <v/>
      </c>
      <c r="K870">
        <f>IF(OC_Name=0,"",IF(INDEX('OneCause_Paste'!$A$870:$AZ$870,1,OC_Name)="","",INDEX('OneCause_Paste'!$A$870:$AZ$870,1,OC_Name)))</f>
        <v/>
      </c>
      <c r="L870">
        <f>IF(OC_Txn=0,"",IF(INDEX('OneCause_Paste'!$A$870:$AZ$870,1,OC_Txn)="","",INDEX('OneCause_Paste'!$A$870:$AZ$870,1,OC_Txn)))</f>
        <v/>
      </c>
      <c r="M870">
        <f>IF(OC_Pay=0,"",IF(INDEX('OneCause_Paste'!$A$870:$AZ$870,1,OC_Pay)="","",INDEX('OneCause_Paste'!$A$870:$AZ$870,1,OC_Pay)))</f>
        <v/>
      </c>
      <c r="N870">
        <f>IF(I870="","",IF(ISNUMBER(I870),INT(I870),IFERROR(INT(DATEVALUE(I870)),IFERROR(INT(VALUE(I870)),"bad"))))</f>
        <v/>
      </c>
      <c r="O870">
        <f>IF(J870="","",IF(ISNUMBER(J870),ROUND(J870,2),IFERROR(ROUND(VALUE(SUBSTITUTE(SUBSTITUTE(SUBSTITUTE(J870,"$",""),",","")," ","")),2),"bad")))</f>
        <v/>
      </c>
      <c r="P870">
        <f>IF(TRIM(K870)="","",IFERROR(MATCH(LOWER(TRIM(K870)),'Students'!$AH$2:$AH$701,0),IFERROR(MATCH(LOWER(TRIM(K870)),'Students'!$AF$2:$AF$701,0),IFERROR(MATCH(LOWER(TRIM(K870)),'Students'!$AG$2:$AG$701,0),""))))</f>
        <v/>
      </c>
      <c r="R870">
        <f>IF(P870="","",INDEX('Students'!$AD$2:$AD$701,P870))</f>
        <v/>
      </c>
      <c r="S870">
        <f>IF(H870="OK",O870,0)</f>
        <v/>
      </c>
      <c r="T870">
        <f>IF(H870="OK",N870,"")</f>
        <v/>
      </c>
      <c r="U870">
        <f>IF(OC_Donor=0,"",IF(INDEX('OneCause_Paste'!$A$870:$AZ$870,1,OC_Donor)="","",INDEX('OneCause_Paste'!$A$870:$AZ$870,1,OC_Donor)))</f>
        <v/>
      </c>
    </row>
    <row r="871">
      <c r="A871" s="62">
        <f>IF(H871="","",IF(ISNUMBER(N871),N871,I871))</f>
        <v/>
      </c>
      <c r="B871">
        <f>IF(H871="","",U871)</f>
        <v/>
      </c>
      <c r="C871">
        <f>IF(H871="","",IF(P871="",K871,INDEX('Students'!$A$2:$A$701,P871)))</f>
        <v/>
      </c>
      <c r="D871">
        <f>IF(OR(H871="",P871=""),"",INDEX('Students'!$B$2:$B$701,P871))</f>
        <v/>
      </c>
      <c r="E871">
        <f>IF(OR(H871="",P871=""),"",INDEX('Students'!$C$2:$C$701,P871))</f>
        <v/>
      </c>
      <c r="F871" s="48">
        <f>IF(H871="","",IF(ISNUMBER(O871),O871,J871))</f>
        <v/>
      </c>
      <c r="G871">
        <f>IF(H871="","","OneCause")</f>
        <v/>
      </c>
      <c r="H871">
        <f>IF(AND(I871="",J871="",K871=""),"",IF(NOT(ISNUMBER(O871)),"Bad amount",IF(O871&lt;0,"Refund (not counted)",IF(O871=0,"Zero amount",IF(NOT(ISNUMBER(N871)),"Bad date",IF(P871="","NAME NOT ON ROSTER",IF(L871="","OK",IF(MATCH(L871,$L$2:$L$3001,0)&lt;ROW()-1,"Duplicate (ignored)","OK"))))))))</f>
        <v/>
      </c>
      <c r="I871">
        <f>IF(OC_Date=0,"",IF(INDEX('OneCause_Paste'!$A$871:$AZ$871,1,OC_Date)="","",INDEX('OneCause_Paste'!$A$871:$AZ$871,1,OC_Date)))</f>
        <v/>
      </c>
      <c r="J871">
        <f>IF(OC_Amt=0,"",IF(INDEX('OneCause_Paste'!$A$871:$AZ$871,1,OC_Amt)="","",INDEX('OneCause_Paste'!$A$871:$AZ$871,1,OC_Amt)))</f>
        <v/>
      </c>
      <c r="K871">
        <f>IF(OC_Name=0,"",IF(INDEX('OneCause_Paste'!$A$871:$AZ$871,1,OC_Name)="","",INDEX('OneCause_Paste'!$A$871:$AZ$871,1,OC_Name)))</f>
        <v/>
      </c>
      <c r="L871">
        <f>IF(OC_Txn=0,"",IF(INDEX('OneCause_Paste'!$A$871:$AZ$871,1,OC_Txn)="","",INDEX('OneCause_Paste'!$A$871:$AZ$871,1,OC_Txn)))</f>
        <v/>
      </c>
      <c r="M871">
        <f>IF(OC_Pay=0,"",IF(INDEX('OneCause_Paste'!$A$871:$AZ$871,1,OC_Pay)="","",INDEX('OneCause_Paste'!$A$871:$AZ$871,1,OC_Pay)))</f>
        <v/>
      </c>
      <c r="N871">
        <f>IF(I871="","",IF(ISNUMBER(I871),INT(I871),IFERROR(INT(DATEVALUE(I871)),IFERROR(INT(VALUE(I871)),"bad"))))</f>
        <v/>
      </c>
      <c r="O871">
        <f>IF(J871="","",IF(ISNUMBER(J871),ROUND(J871,2),IFERROR(ROUND(VALUE(SUBSTITUTE(SUBSTITUTE(SUBSTITUTE(J871,"$",""),",","")," ","")),2),"bad")))</f>
        <v/>
      </c>
      <c r="P871">
        <f>IF(TRIM(K871)="","",IFERROR(MATCH(LOWER(TRIM(K871)),'Students'!$AH$2:$AH$701,0),IFERROR(MATCH(LOWER(TRIM(K871)),'Students'!$AF$2:$AF$701,0),IFERROR(MATCH(LOWER(TRIM(K871)),'Students'!$AG$2:$AG$701,0),""))))</f>
        <v/>
      </c>
      <c r="R871">
        <f>IF(P871="","",INDEX('Students'!$AD$2:$AD$701,P871))</f>
        <v/>
      </c>
      <c r="S871">
        <f>IF(H871="OK",O871,0)</f>
        <v/>
      </c>
      <c r="T871">
        <f>IF(H871="OK",N871,"")</f>
        <v/>
      </c>
      <c r="U871">
        <f>IF(OC_Donor=0,"",IF(INDEX('OneCause_Paste'!$A$871:$AZ$871,1,OC_Donor)="","",INDEX('OneCause_Paste'!$A$871:$AZ$871,1,OC_Donor)))</f>
        <v/>
      </c>
    </row>
    <row r="872">
      <c r="A872" s="62">
        <f>IF(H872="","",IF(ISNUMBER(N872),N872,I872))</f>
        <v/>
      </c>
      <c r="B872">
        <f>IF(H872="","",U872)</f>
        <v/>
      </c>
      <c r="C872">
        <f>IF(H872="","",IF(P872="",K872,INDEX('Students'!$A$2:$A$701,P872)))</f>
        <v/>
      </c>
      <c r="D872">
        <f>IF(OR(H872="",P872=""),"",INDEX('Students'!$B$2:$B$701,P872))</f>
        <v/>
      </c>
      <c r="E872">
        <f>IF(OR(H872="",P872=""),"",INDEX('Students'!$C$2:$C$701,P872))</f>
        <v/>
      </c>
      <c r="F872" s="48">
        <f>IF(H872="","",IF(ISNUMBER(O872),O872,J872))</f>
        <v/>
      </c>
      <c r="G872">
        <f>IF(H872="","","OneCause")</f>
        <v/>
      </c>
      <c r="H872">
        <f>IF(AND(I872="",J872="",K872=""),"",IF(NOT(ISNUMBER(O872)),"Bad amount",IF(O872&lt;0,"Refund (not counted)",IF(O872=0,"Zero amount",IF(NOT(ISNUMBER(N872)),"Bad date",IF(P872="","NAME NOT ON ROSTER",IF(L872="","OK",IF(MATCH(L872,$L$2:$L$3001,0)&lt;ROW()-1,"Duplicate (ignored)","OK"))))))))</f>
        <v/>
      </c>
      <c r="I872">
        <f>IF(OC_Date=0,"",IF(INDEX('OneCause_Paste'!$A$872:$AZ$872,1,OC_Date)="","",INDEX('OneCause_Paste'!$A$872:$AZ$872,1,OC_Date)))</f>
        <v/>
      </c>
      <c r="J872">
        <f>IF(OC_Amt=0,"",IF(INDEX('OneCause_Paste'!$A$872:$AZ$872,1,OC_Amt)="","",INDEX('OneCause_Paste'!$A$872:$AZ$872,1,OC_Amt)))</f>
        <v/>
      </c>
      <c r="K872">
        <f>IF(OC_Name=0,"",IF(INDEX('OneCause_Paste'!$A$872:$AZ$872,1,OC_Name)="","",INDEX('OneCause_Paste'!$A$872:$AZ$872,1,OC_Name)))</f>
        <v/>
      </c>
      <c r="L872">
        <f>IF(OC_Txn=0,"",IF(INDEX('OneCause_Paste'!$A$872:$AZ$872,1,OC_Txn)="","",INDEX('OneCause_Paste'!$A$872:$AZ$872,1,OC_Txn)))</f>
        <v/>
      </c>
      <c r="M872">
        <f>IF(OC_Pay=0,"",IF(INDEX('OneCause_Paste'!$A$872:$AZ$872,1,OC_Pay)="","",INDEX('OneCause_Paste'!$A$872:$AZ$872,1,OC_Pay)))</f>
        <v/>
      </c>
      <c r="N872">
        <f>IF(I872="","",IF(ISNUMBER(I872),INT(I872),IFERROR(INT(DATEVALUE(I872)),IFERROR(INT(VALUE(I872)),"bad"))))</f>
        <v/>
      </c>
      <c r="O872">
        <f>IF(J872="","",IF(ISNUMBER(J872),ROUND(J872,2),IFERROR(ROUND(VALUE(SUBSTITUTE(SUBSTITUTE(SUBSTITUTE(J872,"$",""),",","")," ","")),2),"bad")))</f>
        <v/>
      </c>
      <c r="P872">
        <f>IF(TRIM(K872)="","",IFERROR(MATCH(LOWER(TRIM(K872)),'Students'!$AH$2:$AH$701,0),IFERROR(MATCH(LOWER(TRIM(K872)),'Students'!$AF$2:$AF$701,0),IFERROR(MATCH(LOWER(TRIM(K872)),'Students'!$AG$2:$AG$701,0),""))))</f>
        <v/>
      </c>
      <c r="R872">
        <f>IF(P872="","",INDEX('Students'!$AD$2:$AD$701,P872))</f>
        <v/>
      </c>
      <c r="S872">
        <f>IF(H872="OK",O872,0)</f>
        <v/>
      </c>
      <c r="T872">
        <f>IF(H872="OK",N872,"")</f>
        <v/>
      </c>
      <c r="U872">
        <f>IF(OC_Donor=0,"",IF(INDEX('OneCause_Paste'!$A$872:$AZ$872,1,OC_Donor)="","",INDEX('OneCause_Paste'!$A$872:$AZ$872,1,OC_Donor)))</f>
        <v/>
      </c>
    </row>
    <row r="873">
      <c r="A873" s="62">
        <f>IF(H873="","",IF(ISNUMBER(N873),N873,I873))</f>
        <v/>
      </c>
      <c r="B873">
        <f>IF(H873="","",U873)</f>
        <v/>
      </c>
      <c r="C873">
        <f>IF(H873="","",IF(P873="",K873,INDEX('Students'!$A$2:$A$701,P873)))</f>
        <v/>
      </c>
      <c r="D873">
        <f>IF(OR(H873="",P873=""),"",INDEX('Students'!$B$2:$B$701,P873))</f>
        <v/>
      </c>
      <c r="E873">
        <f>IF(OR(H873="",P873=""),"",INDEX('Students'!$C$2:$C$701,P873))</f>
        <v/>
      </c>
      <c r="F873" s="48">
        <f>IF(H873="","",IF(ISNUMBER(O873),O873,J873))</f>
        <v/>
      </c>
      <c r="G873">
        <f>IF(H873="","","OneCause")</f>
        <v/>
      </c>
      <c r="H873">
        <f>IF(AND(I873="",J873="",K873=""),"",IF(NOT(ISNUMBER(O873)),"Bad amount",IF(O873&lt;0,"Refund (not counted)",IF(O873=0,"Zero amount",IF(NOT(ISNUMBER(N873)),"Bad date",IF(P873="","NAME NOT ON ROSTER",IF(L873="","OK",IF(MATCH(L873,$L$2:$L$3001,0)&lt;ROW()-1,"Duplicate (ignored)","OK"))))))))</f>
        <v/>
      </c>
      <c r="I873">
        <f>IF(OC_Date=0,"",IF(INDEX('OneCause_Paste'!$A$873:$AZ$873,1,OC_Date)="","",INDEX('OneCause_Paste'!$A$873:$AZ$873,1,OC_Date)))</f>
        <v/>
      </c>
      <c r="J873">
        <f>IF(OC_Amt=0,"",IF(INDEX('OneCause_Paste'!$A$873:$AZ$873,1,OC_Amt)="","",INDEX('OneCause_Paste'!$A$873:$AZ$873,1,OC_Amt)))</f>
        <v/>
      </c>
      <c r="K873">
        <f>IF(OC_Name=0,"",IF(INDEX('OneCause_Paste'!$A$873:$AZ$873,1,OC_Name)="","",INDEX('OneCause_Paste'!$A$873:$AZ$873,1,OC_Name)))</f>
        <v/>
      </c>
      <c r="L873">
        <f>IF(OC_Txn=0,"",IF(INDEX('OneCause_Paste'!$A$873:$AZ$873,1,OC_Txn)="","",INDEX('OneCause_Paste'!$A$873:$AZ$873,1,OC_Txn)))</f>
        <v/>
      </c>
      <c r="M873">
        <f>IF(OC_Pay=0,"",IF(INDEX('OneCause_Paste'!$A$873:$AZ$873,1,OC_Pay)="","",INDEX('OneCause_Paste'!$A$873:$AZ$873,1,OC_Pay)))</f>
        <v/>
      </c>
      <c r="N873">
        <f>IF(I873="","",IF(ISNUMBER(I873),INT(I873),IFERROR(INT(DATEVALUE(I873)),IFERROR(INT(VALUE(I873)),"bad"))))</f>
        <v/>
      </c>
      <c r="O873">
        <f>IF(J873="","",IF(ISNUMBER(J873),ROUND(J873,2),IFERROR(ROUND(VALUE(SUBSTITUTE(SUBSTITUTE(SUBSTITUTE(J873,"$",""),",","")," ","")),2),"bad")))</f>
        <v/>
      </c>
      <c r="P873">
        <f>IF(TRIM(K873)="","",IFERROR(MATCH(LOWER(TRIM(K873)),'Students'!$AH$2:$AH$701,0),IFERROR(MATCH(LOWER(TRIM(K873)),'Students'!$AF$2:$AF$701,0),IFERROR(MATCH(LOWER(TRIM(K873)),'Students'!$AG$2:$AG$701,0),""))))</f>
        <v/>
      </c>
      <c r="R873">
        <f>IF(P873="","",INDEX('Students'!$AD$2:$AD$701,P873))</f>
        <v/>
      </c>
      <c r="S873">
        <f>IF(H873="OK",O873,0)</f>
        <v/>
      </c>
      <c r="T873">
        <f>IF(H873="OK",N873,"")</f>
        <v/>
      </c>
      <c r="U873">
        <f>IF(OC_Donor=0,"",IF(INDEX('OneCause_Paste'!$A$873:$AZ$873,1,OC_Donor)="","",INDEX('OneCause_Paste'!$A$873:$AZ$873,1,OC_Donor)))</f>
        <v/>
      </c>
    </row>
    <row r="874">
      <c r="A874" s="62">
        <f>IF(H874="","",IF(ISNUMBER(N874),N874,I874))</f>
        <v/>
      </c>
      <c r="B874">
        <f>IF(H874="","",U874)</f>
        <v/>
      </c>
      <c r="C874">
        <f>IF(H874="","",IF(P874="",K874,INDEX('Students'!$A$2:$A$701,P874)))</f>
        <v/>
      </c>
      <c r="D874">
        <f>IF(OR(H874="",P874=""),"",INDEX('Students'!$B$2:$B$701,P874))</f>
        <v/>
      </c>
      <c r="E874">
        <f>IF(OR(H874="",P874=""),"",INDEX('Students'!$C$2:$C$701,P874))</f>
        <v/>
      </c>
      <c r="F874" s="48">
        <f>IF(H874="","",IF(ISNUMBER(O874),O874,J874))</f>
        <v/>
      </c>
      <c r="G874">
        <f>IF(H874="","","OneCause")</f>
        <v/>
      </c>
      <c r="H874">
        <f>IF(AND(I874="",J874="",K874=""),"",IF(NOT(ISNUMBER(O874)),"Bad amount",IF(O874&lt;0,"Refund (not counted)",IF(O874=0,"Zero amount",IF(NOT(ISNUMBER(N874)),"Bad date",IF(P874="","NAME NOT ON ROSTER",IF(L874="","OK",IF(MATCH(L874,$L$2:$L$3001,0)&lt;ROW()-1,"Duplicate (ignored)","OK"))))))))</f>
        <v/>
      </c>
      <c r="I874">
        <f>IF(OC_Date=0,"",IF(INDEX('OneCause_Paste'!$A$874:$AZ$874,1,OC_Date)="","",INDEX('OneCause_Paste'!$A$874:$AZ$874,1,OC_Date)))</f>
        <v/>
      </c>
      <c r="J874">
        <f>IF(OC_Amt=0,"",IF(INDEX('OneCause_Paste'!$A$874:$AZ$874,1,OC_Amt)="","",INDEX('OneCause_Paste'!$A$874:$AZ$874,1,OC_Amt)))</f>
        <v/>
      </c>
      <c r="K874">
        <f>IF(OC_Name=0,"",IF(INDEX('OneCause_Paste'!$A$874:$AZ$874,1,OC_Name)="","",INDEX('OneCause_Paste'!$A$874:$AZ$874,1,OC_Name)))</f>
        <v/>
      </c>
      <c r="L874">
        <f>IF(OC_Txn=0,"",IF(INDEX('OneCause_Paste'!$A$874:$AZ$874,1,OC_Txn)="","",INDEX('OneCause_Paste'!$A$874:$AZ$874,1,OC_Txn)))</f>
        <v/>
      </c>
      <c r="M874">
        <f>IF(OC_Pay=0,"",IF(INDEX('OneCause_Paste'!$A$874:$AZ$874,1,OC_Pay)="","",INDEX('OneCause_Paste'!$A$874:$AZ$874,1,OC_Pay)))</f>
        <v/>
      </c>
      <c r="N874">
        <f>IF(I874="","",IF(ISNUMBER(I874),INT(I874),IFERROR(INT(DATEVALUE(I874)),IFERROR(INT(VALUE(I874)),"bad"))))</f>
        <v/>
      </c>
      <c r="O874">
        <f>IF(J874="","",IF(ISNUMBER(J874),ROUND(J874,2),IFERROR(ROUND(VALUE(SUBSTITUTE(SUBSTITUTE(SUBSTITUTE(J874,"$",""),",","")," ","")),2),"bad")))</f>
        <v/>
      </c>
      <c r="P874">
        <f>IF(TRIM(K874)="","",IFERROR(MATCH(LOWER(TRIM(K874)),'Students'!$AH$2:$AH$701,0),IFERROR(MATCH(LOWER(TRIM(K874)),'Students'!$AF$2:$AF$701,0),IFERROR(MATCH(LOWER(TRIM(K874)),'Students'!$AG$2:$AG$701,0),""))))</f>
        <v/>
      </c>
      <c r="R874">
        <f>IF(P874="","",INDEX('Students'!$AD$2:$AD$701,P874))</f>
        <v/>
      </c>
      <c r="S874">
        <f>IF(H874="OK",O874,0)</f>
        <v/>
      </c>
      <c r="T874">
        <f>IF(H874="OK",N874,"")</f>
        <v/>
      </c>
      <c r="U874">
        <f>IF(OC_Donor=0,"",IF(INDEX('OneCause_Paste'!$A$874:$AZ$874,1,OC_Donor)="","",INDEX('OneCause_Paste'!$A$874:$AZ$874,1,OC_Donor)))</f>
        <v/>
      </c>
    </row>
    <row r="875">
      <c r="A875" s="62">
        <f>IF(H875="","",IF(ISNUMBER(N875),N875,I875))</f>
        <v/>
      </c>
      <c r="B875">
        <f>IF(H875="","",U875)</f>
        <v/>
      </c>
      <c r="C875">
        <f>IF(H875="","",IF(P875="",K875,INDEX('Students'!$A$2:$A$701,P875)))</f>
        <v/>
      </c>
      <c r="D875">
        <f>IF(OR(H875="",P875=""),"",INDEX('Students'!$B$2:$B$701,P875))</f>
        <v/>
      </c>
      <c r="E875">
        <f>IF(OR(H875="",P875=""),"",INDEX('Students'!$C$2:$C$701,P875))</f>
        <v/>
      </c>
      <c r="F875" s="48">
        <f>IF(H875="","",IF(ISNUMBER(O875),O875,J875))</f>
        <v/>
      </c>
      <c r="G875">
        <f>IF(H875="","","OneCause")</f>
        <v/>
      </c>
      <c r="H875">
        <f>IF(AND(I875="",J875="",K875=""),"",IF(NOT(ISNUMBER(O875)),"Bad amount",IF(O875&lt;0,"Refund (not counted)",IF(O875=0,"Zero amount",IF(NOT(ISNUMBER(N875)),"Bad date",IF(P875="","NAME NOT ON ROSTER",IF(L875="","OK",IF(MATCH(L875,$L$2:$L$3001,0)&lt;ROW()-1,"Duplicate (ignored)","OK"))))))))</f>
        <v/>
      </c>
      <c r="I875">
        <f>IF(OC_Date=0,"",IF(INDEX('OneCause_Paste'!$A$875:$AZ$875,1,OC_Date)="","",INDEX('OneCause_Paste'!$A$875:$AZ$875,1,OC_Date)))</f>
        <v/>
      </c>
      <c r="J875">
        <f>IF(OC_Amt=0,"",IF(INDEX('OneCause_Paste'!$A$875:$AZ$875,1,OC_Amt)="","",INDEX('OneCause_Paste'!$A$875:$AZ$875,1,OC_Amt)))</f>
        <v/>
      </c>
      <c r="K875">
        <f>IF(OC_Name=0,"",IF(INDEX('OneCause_Paste'!$A$875:$AZ$875,1,OC_Name)="","",INDEX('OneCause_Paste'!$A$875:$AZ$875,1,OC_Name)))</f>
        <v/>
      </c>
      <c r="L875">
        <f>IF(OC_Txn=0,"",IF(INDEX('OneCause_Paste'!$A$875:$AZ$875,1,OC_Txn)="","",INDEX('OneCause_Paste'!$A$875:$AZ$875,1,OC_Txn)))</f>
        <v/>
      </c>
      <c r="M875">
        <f>IF(OC_Pay=0,"",IF(INDEX('OneCause_Paste'!$A$875:$AZ$875,1,OC_Pay)="","",INDEX('OneCause_Paste'!$A$875:$AZ$875,1,OC_Pay)))</f>
        <v/>
      </c>
      <c r="N875">
        <f>IF(I875="","",IF(ISNUMBER(I875),INT(I875),IFERROR(INT(DATEVALUE(I875)),IFERROR(INT(VALUE(I875)),"bad"))))</f>
        <v/>
      </c>
      <c r="O875">
        <f>IF(J875="","",IF(ISNUMBER(J875),ROUND(J875,2),IFERROR(ROUND(VALUE(SUBSTITUTE(SUBSTITUTE(SUBSTITUTE(J875,"$",""),",","")," ","")),2),"bad")))</f>
        <v/>
      </c>
      <c r="P875">
        <f>IF(TRIM(K875)="","",IFERROR(MATCH(LOWER(TRIM(K875)),'Students'!$AH$2:$AH$701,0),IFERROR(MATCH(LOWER(TRIM(K875)),'Students'!$AF$2:$AF$701,0),IFERROR(MATCH(LOWER(TRIM(K875)),'Students'!$AG$2:$AG$701,0),""))))</f>
        <v/>
      </c>
      <c r="R875">
        <f>IF(P875="","",INDEX('Students'!$AD$2:$AD$701,P875))</f>
        <v/>
      </c>
      <c r="S875">
        <f>IF(H875="OK",O875,0)</f>
        <v/>
      </c>
      <c r="T875">
        <f>IF(H875="OK",N875,"")</f>
        <v/>
      </c>
      <c r="U875">
        <f>IF(OC_Donor=0,"",IF(INDEX('OneCause_Paste'!$A$875:$AZ$875,1,OC_Donor)="","",INDEX('OneCause_Paste'!$A$875:$AZ$875,1,OC_Donor)))</f>
        <v/>
      </c>
    </row>
    <row r="876">
      <c r="A876" s="62">
        <f>IF(H876="","",IF(ISNUMBER(N876),N876,I876))</f>
        <v/>
      </c>
      <c r="B876">
        <f>IF(H876="","",U876)</f>
        <v/>
      </c>
      <c r="C876">
        <f>IF(H876="","",IF(P876="",K876,INDEX('Students'!$A$2:$A$701,P876)))</f>
        <v/>
      </c>
      <c r="D876">
        <f>IF(OR(H876="",P876=""),"",INDEX('Students'!$B$2:$B$701,P876))</f>
        <v/>
      </c>
      <c r="E876">
        <f>IF(OR(H876="",P876=""),"",INDEX('Students'!$C$2:$C$701,P876))</f>
        <v/>
      </c>
      <c r="F876" s="48">
        <f>IF(H876="","",IF(ISNUMBER(O876),O876,J876))</f>
        <v/>
      </c>
      <c r="G876">
        <f>IF(H876="","","OneCause")</f>
        <v/>
      </c>
      <c r="H876">
        <f>IF(AND(I876="",J876="",K876=""),"",IF(NOT(ISNUMBER(O876)),"Bad amount",IF(O876&lt;0,"Refund (not counted)",IF(O876=0,"Zero amount",IF(NOT(ISNUMBER(N876)),"Bad date",IF(P876="","NAME NOT ON ROSTER",IF(L876="","OK",IF(MATCH(L876,$L$2:$L$3001,0)&lt;ROW()-1,"Duplicate (ignored)","OK"))))))))</f>
        <v/>
      </c>
      <c r="I876">
        <f>IF(OC_Date=0,"",IF(INDEX('OneCause_Paste'!$A$876:$AZ$876,1,OC_Date)="","",INDEX('OneCause_Paste'!$A$876:$AZ$876,1,OC_Date)))</f>
        <v/>
      </c>
      <c r="J876">
        <f>IF(OC_Amt=0,"",IF(INDEX('OneCause_Paste'!$A$876:$AZ$876,1,OC_Amt)="","",INDEX('OneCause_Paste'!$A$876:$AZ$876,1,OC_Amt)))</f>
        <v/>
      </c>
      <c r="K876">
        <f>IF(OC_Name=0,"",IF(INDEX('OneCause_Paste'!$A$876:$AZ$876,1,OC_Name)="","",INDEX('OneCause_Paste'!$A$876:$AZ$876,1,OC_Name)))</f>
        <v/>
      </c>
      <c r="L876">
        <f>IF(OC_Txn=0,"",IF(INDEX('OneCause_Paste'!$A$876:$AZ$876,1,OC_Txn)="","",INDEX('OneCause_Paste'!$A$876:$AZ$876,1,OC_Txn)))</f>
        <v/>
      </c>
      <c r="M876">
        <f>IF(OC_Pay=0,"",IF(INDEX('OneCause_Paste'!$A$876:$AZ$876,1,OC_Pay)="","",INDEX('OneCause_Paste'!$A$876:$AZ$876,1,OC_Pay)))</f>
        <v/>
      </c>
      <c r="N876">
        <f>IF(I876="","",IF(ISNUMBER(I876),INT(I876),IFERROR(INT(DATEVALUE(I876)),IFERROR(INT(VALUE(I876)),"bad"))))</f>
        <v/>
      </c>
      <c r="O876">
        <f>IF(J876="","",IF(ISNUMBER(J876),ROUND(J876,2),IFERROR(ROUND(VALUE(SUBSTITUTE(SUBSTITUTE(SUBSTITUTE(J876,"$",""),",","")," ","")),2),"bad")))</f>
        <v/>
      </c>
      <c r="P876">
        <f>IF(TRIM(K876)="","",IFERROR(MATCH(LOWER(TRIM(K876)),'Students'!$AH$2:$AH$701,0),IFERROR(MATCH(LOWER(TRIM(K876)),'Students'!$AF$2:$AF$701,0),IFERROR(MATCH(LOWER(TRIM(K876)),'Students'!$AG$2:$AG$701,0),""))))</f>
        <v/>
      </c>
      <c r="R876">
        <f>IF(P876="","",INDEX('Students'!$AD$2:$AD$701,P876))</f>
        <v/>
      </c>
      <c r="S876">
        <f>IF(H876="OK",O876,0)</f>
        <v/>
      </c>
      <c r="T876">
        <f>IF(H876="OK",N876,"")</f>
        <v/>
      </c>
      <c r="U876">
        <f>IF(OC_Donor=0,"",IF(INDEX('OneCause_Paste'!$A$876:$AZ$876,1,OC_Donor)="","",INDEX('OneCause_Paste'!$A$876:$AZ$876,1,OC_Donor)))</f>
        <v/>
      </c>
    </row>
    <row r="877">
      <c r="A877" s="62">
        <f>IF(H877="","",IF(ISNUMBER(N877),N877,I877))</f>
        <v/>
      </c>
      <c r="B877">
        <f>IF(H877="","",U877)</f>
        <v/>
      </c>
      <c r="C877">
        <f>IF(H877="","",IF(P877="",K877,INDEX('Students'!$A$2:$A$701,P877)))</f>
        <v/>
      </c>
      <c r="D877">
        <f>IF(OR(H877="",P877=""),"",INDEX('Students'!$B$2:$B$701,P877))</f>
        <v/>
      </c>
      <c r="E877">
        <f>IF(OR(H877="",P877=""),"",INDEX('Students'!$C$2:$C$701,P877))</f>
        <v/>
      </c>
      <c r="F877" s="48">
        <f>IF(H877="","",IF(ISNUMBER(O877),O877,J877))</f>
        <v/>
      </c>
      <c r="G877">
        <f>IF(H877="","","OneCause")</f>
        <v/>
      </c>
      <c r="H877">
        <f>IF(AND(I877="",J877="",K877=""),"",IF(NOT(ISNUMBER(O877)),"Bad amount",IF(O877&lt;0,"Refund (not counted)",IF(O877=0,"Zero amount",IF(NOT(ISNUMBER(N877)),"Bad date",IF(P877="","NAME NOT ON ROSTER",IF(L877="","OK",IF(MATCH(L877,$L$2:$L$3001,0)&lt;ROW()-1,"Duplicate (ignored)","OK"))))))))</f>
        <v/>
      </c>
      <c r="I877">
        <f>IF(OC_Date=0,"",IF(INDEX('OneCause_Paste'!$A$877:$AZ$877,1,OC_Date)="","",INDEX('OneCause_Paste'!$A$877:$AZ$877,1,OC_Date)))</f>
        <v/>
      </c>
      <c r="J877">
        <f>IF(OC_Amt=0,"",IF(INDEX('OneCause_Paste'!$A$877:$AZ$877,1,OC_Amt)="","",INDEX('OneCause_Paste'!$A$877:$AZ$877,1,OC_Amt)))</f>
        <v/>
      </c>
      <c r="K877">
        <f>IF(OC_Name=0,"",IF(INDEX('OneCause_Paste'!$A$877:$AZ$877,1,OC_Name)="","",INDEX('OneCause_Paste'!$A$877:$AZ$877,1,OC_Name)))</f>
        <v/>
      </c>
      <c r="L877">
        <f>IF(OC_Txn=0,"",IF(INDEX('OneCause_Paste'!$A$877:$AZ$877,1,OC_Txn)="","",INDEX('OneCause_Paste'!$A$877:$AZ$877,1,OC_Txn)))</f>
        <v/>
      </c>
      <c r="M877">
        <f>IF(OC_Pay=0,"",IF(INDEX('OneCause_Paste'!$A$877:$AZ$877,1,OC_Pay)="","",INDEX('OneCause_Paste'!$A$877:$AZ$877,1,OC_Pay)))</f>
        <v/>
      </c>
      <c r="N877">
        <f>IF(I877="","",IF(ISNUMBER(I877),INT(I877),IFERROR(INT(DATEVALUE(I877)),IFERROR(INT(VALUE(I877)),"bad"))))</f>
        <v/>
      </c>
      <c r="O877">
        <f>IF(J877="","",IF(ISNUMBER(J877),ROUND(J877,2),IFERROR(ROUND(VALUE(SUBSTITUTE(SUBSTITUTE(SUBSTITUTE(J877,"$",""),",","")," ","")),2),"bad")))</f>
        <v/>
      </c>
      <c r="P877">
        <f>IF(TRIM(K877)="","",IFERROR(MATCH(LOWER(TRIM(K877)),'Students'!$AH$2:$AH$701,0),IFERROR(MATCH(LOWER(TRIM(K877)),'Students'!$AF$2:$AF$701,0),IFERROR(MATCH(LOWER(TRIM(K877)),'Students'!$AG$2:$AG$701,0),""))))</f>
        <v/>
      </c>
      <c r="R877">
        <f>IF(P877="","",INDEX('Students'!$AD$2:$AD$701,P877))</f>
        <v/>
      </c>
      <c r="S877">
        <f>IF(H877="OK",O877,0)</f>
        <v/>
      </c>
      <c r="T877">
        <f>IF(H877="OK",N877,"")</f>
        <v/>
      </c>
      <c r="U877">
        <f>IF(OC_Donor=0,"",IF(INDEX('OneCause_Paste'!$A$877:$AZ$877,1,OC_Donor)="","",INDEX('OneCause_Paste'!$A$877:$AZ$877,1,OC_Donor)))</f>
        <v/>
      </c>
    </row>
    <row r="878">
      <c r="A878" s="62">
        <f>IF(H878="","",IF(ISNUMBER(N878),N878,I878))</f>
        <v/>
      </c>
      <c r="B878">
        <f>IF(H878="","",U878)</f>
        <v/>
      </c>
      <c r="C878">
        <f>IF(H878="","",IF(P878="",K878,INDEX('Students'!$A$2:$A$701,P878)))</f>
        <v/>
      </c>
      <c r="D878">
        <f>IF(OR(H878="",P878=""),"",INDEX('Students'!$B$2:$B$701,P878))</f>
        <v/>
      </c>
      <c r="E878">
        <f>IF(OR(H878="",P878=""),"",INDEX('Students'!$C$2:$C$701,P878))</f>
        <v/>
      </c>
      <c r="F878" s="48">
        <f>IF(H878="","",IF(ISNUMBER(O878),O878,J878))</f>
        <v/>
      </c>
      <c r="G878">
        <f>IF(H878="","","OneCause")</f>
        <v/>
      </c>
      <c r="H878">
        <f>IF(AND(I878="",J878="",K878=""),"",IF(NOT(ISNUMBER(O878)),"Bad amount",IF(O878&lt;0,"Refund (not counted)",IF(O878=0,"Zero amount",IF(NOT(ISNUMBER(N878)),"Bad date",IF(P878="","NAME NOT ON ROSTER",IF(L878="","OK",IF(MATCH(L878,$L$2:$L$3001,0)&lt;ROW()-1,"Duplicate (ignored)","OK"))))))))</f>
        <v/>
      </c>
      <c r="I878">
        <f>IF(OC_Date=0,"",IF(INDEX('OneCause_Paste'!$A$878:$AZ$878,1,OC_Date)="","",INDEX('OneCause_Paste'!$A$878:$AZ$878,1,OC_Date)))</f>
        <v/>
      </c>
      <c r="J878">
        <f>IF(OC_Amt=0,"",IF(INDEX('OneCause_Paste'!$A$878:$AZ$878,1,OC_Amt)="","",INDEX('OneCause_Paste'!$A$878:$AZ$878,1,OC_Amt)))</f>
        <v/>
      </c>
      <c r="K878">
        <f>IF(OC_Name=0,"",IF(INDEX('OneCause_Paste'!$A$878:$AZ$878,1,OC_Name)="","",INDEX('OneCause_Paste'!$A$878:$AZ$878,1,OC_Name)))</f>
        <v/>
      </c>
      <c r="L878">
        <f>IF(OC_Txn=0,"",IF(INDEX('OneCause_Paste'!$A$878:$AZ$878,1,OC_Txn)="","",INDEX('OneCause_Paste'!$A$878:$AZ$878,1,OC_Txn)))</f>
        <v/>
      </c>
      <c r="M878">
        <f>IF(OC_Pay=0,"",IF(INDEX('OneCause_Paste'!$A$878:$AZ$878,1,OC_Pay)="","",INDEX('OneCause_Paste'!$A$878:$AZ$878,1,OC_Pay)))</f>
        <v/>
      </c>
      <c r="N878">
        <f>IF(I878="","",IF(ISNUMBER(I878),INT(I878),IFERROR(INT(DATEVALUE(I878)),IFERROR(INT(VALUE(I878)),"bad"))))</f>
        <v/>
      </c>
      <c r="O878">
        <f>IF(J878="","",IF(ISNUMBER(J878),ROUND(J878,2),IFERROR(ROUND(VALUE(SUBSTITUTE(SUBSTITUTE(SUBSTITUTE(J878,"$",""),",","")," ","")),2),"bad")))</f>
        <v/>
      </c>
      <c r="P878">
        <f>IF(TRIM(K878)="","",IFERROR(MATCH(LOWER(TRIM(K878)),'Students'!$AH$2:$AH$701,0),IFERROR(MATCH(LOWER(TRIM(K878)),'Students'!$AF$2:$AF$701,0),IFERROR(MATCH(LOWER(TRIM(K878)),'Students'!$AG$2:$AG$701,0),""))))</f>
        <v/>
      </c>
      <c r="R878">
        <f>IF(P878="","",INDEX('Students'!$AD$2:$AD$701,P878))</f>
        <v/>
      </c>
      <c r="S878">
        <f>IF(H878="OK",O878,0)</f>
        <v/>
      </c>
      <c r="T878">
        <f>IF(H878="OK",N878,"")</f>
        <v/>
      </c>
      <c r="U878">
        <f>IF(OC_Donor=0,"",IF(INDEX('OneCause_Paste'!$A$878:$AZ$878,1,OC_Donor)="","",INDEX('OneCause_Paste'!$A$878:$AZ$878,1,OC_Donor)))</f>
        <v/>
      </c>
    </row>
    <row r="879">
      <c r="A879" s="62">
        <f>IF(H879="","",IF(ISNUMBER(N879),N879,I879))</f>
        <v/>
      </c>
      <c r="B879">
        <f>IF(H879="","",U879)</f>
        <v/>
      </c>
      <c r="C879">
        <f>IF(H879="","",IF(P879="",K879,INDEX('Students'!$A$2:$A$701,P879)))</f>
        <v/>
      </c>
      <c r="D879">
        <f>IF(OR(H879="",P879=""),"",INDEX('Students'!$B$2:$B$701,P879))</f>
        <v/>
      </c>
      <c r="E879">
        <f>IF(OR(H879="",P879=""),"",INDEX('Students'!$C$2:$C$701,P879))</f>
        <v/>
      </c>
      <c r="F879" s="48">
        <f>IF(H879="","",IF(ISNUMBER(O879),O879,J879))</f>
        <v/>
      </c>
      <c r="G879">
        <f>IF(H879="","","OneCause")</f>
        <v/>
      </c>
      <c r="H879">
        <f>IF(AND(I879="",J879="",K879=""),"",IF(NOT(ISNUMBER(O879)),"Bad amount",IF(O879&lt;0,"Refund (not counted)",IF(O879=0,"Zero amount",IF(NOT(ISNUMBER(N879)),"Bad date",IF(P879="","NAME NOT ON ROSTER",IF(L879="","OK",IF(MATCH(L879,$L$2:$L$3001,0)&lt;ROW()-1,"Duplicate (ignored)","OK"))))))))</f>
        <v/>
      </c>
      <c r="I879">
        <f>IF(OC_Date=0,"",IF(INDEX('OneCause_Paste'!$A$879:$AZ$879,1,OC_Date)="","",INDEX('OneCause_Paste'!$A$879:$AZ$879,1,OC_Date)))</f>
        <v/>
      </c>
      <c r="J879">
        <f>IF(OC_Amt=0,"",IF(INDEX('OneCause_Paste'!$A$879:$AZ$879,1,OC_Amt)="","",INDEX('OneCause_Paste'!$A$879:$AZ$879,1,OC_Amt)))</f>
        <v/>
      </c>
      <c r="K879">
        <f>IF(OC_Name=0,"",IF(INDEX('OneCause_Paste'!$A$879:$AZ$879,1,OC_Name)="","",INDEX('OneCause_Paste'!$A$879:$AZ$879,1,OC_Name)))</f>
        <v/>
      </c>
      <c r="L879">
        <f>IF(OC_Txn=0,"",IF(INDEX('OneCause_Paste'!$A$879:$AZ$879,1,OC_Txn)="","",INDEX('OneCause_Paste'!$A$879:$AZ$879,1,OC_Txn)))</f>
        <v/>
      </c>
      <c r="M879">
        <f>IF(OC_Pay=0,"",IF(INDEX('OneCause_Paste'!$A$879:$AZ$879,1,OC_Pay)="","",INDEX('OneCause_Paste'!$A$879:$AZ$879,1,OC_Pay)))</f>
        <v/>
      </c>
      <c r="N879">
        <f>IF(I879="","",IF(ISNUMBER(I879),INT(I879),IFERROR(INT(DATEVALUE(I879)),IFERROR(INT(VALUE(I879)),"bad"))))</f>
        <v/>
      </c>
      <c r="O879">
        <f>IF(J879="","",IF(ISNUMBER(J879),ROUND(J879,2),IFERROR(ROUND(VALUE(SUBSTITUTE(SUBSTITUTE(SUBSTITUTE(J879,"$",""),",","")," ","")),2),"bad")))</f>
        <v/>
      </c>
      <c r="P879">
        <f>IF(TRIM(K879)="","",IFERROR(MATCH(LOWER(TRIM(K879)),'Students'!$AH$2:$AH$701,0),IFERROR(MATCH(LOWER(TRIM(K879)),'Students'!$AF$2:$AF$701,0),IFERROR(MATCH(LOWER(TRIM(K879)),'Students'!$AG$2:$AG$701,0),""))))</f>
        <v/>
      </c>
      <c r="R879">
        <f>IF(P879="","",INDEX('Students'!$AD$2:$AD$701,P879))</f>
        <v/>
      </c>
      <c r="S879">
        <f>IF(H879="OK",O879,0)</f>
        <v/>
      </c>
      <c r="T879">
        <f>IF(H879="OK",N879,"")</f>
        <v/>
      </c>
      <c r="U879">
        <f>IF(OC_Donor=0,"",IF(INDEX('OneCause_Paste'!$A$879:$AZ$879,1,OC_Donor)="","",INDEX('OneCause_Paste'!$A$879:$AZ$879,1,OC_Donor)))</f>
        <v/>
      </c>
    </row>
    <row r="880">
      <c r="A880" s="62">
        <f>IF(H880="","",IF(ISNUMBER(N880),N880,I880))</f>
        <v/>
      </c>
      <c r="B880">
        <f>IF(H880="","",U880)</f>
        <v/>
      </c>
      <c r="C880">
        <f>IF(H880="","",IF(P880="",K880,INDEX('Students'!$A$2:$A$701,P880)))</f>
        <v/>
      </c>
      <c r="D880">
        <f>IF(OR(H880="",P880=""),"",INDEX('Students'!$B$2:$B$701,P880))</f>
        <v/>
      </c>
      <c r="E880">
        <f>IF(OR(H880="",P880=""),"",INDEX('Students'!$C$2:$C$701,P880))</f>
        <v/>
      </c>
      <c r="F880" s="48">
        <f>IF(H880="","",IF(ISNUMBER(O880),O880,J880))</f>
        <v/>
      </c>
      <c r="G880">
        <f>IF(H880="","","OneCause")</f>
        <v/>
      </c>
      <c r="H880">
        <f>IF(AND(I880="",J880="",K880=""),"",IF(NOT(ISNUMBER(O880)),"Bad amount",IF(O880&lt;0,"Refund (not counted)",IF(O880=0,"Zero amount",IF(NOT(ISNUMBER(N880)),"Bad date",IF(P880="","NAME NOT ON ROSTER",IF(L880="","OK",IF(MATCH(L880,$L$2:$L$3001,0)&lt;ROW()-1,"Duplicate (ignored)","OK"))))))))</f>
        <v/>
      </c>
      <c r="I880">
        <f>IF(OC_Date=0,"",IF(INDEX('OneCause_Paste'!$A$880:$AZ$880,1,OC_Date)="","",INDEX('OneCause_Paste'!$A$880:$AZ$880,1,OC_Date)))</f>
        <v/>
      </c>
      <c r="J880">
        <f>IF(OC_Amt=0,"",IF(INDEX('OneCause_Paste'!$A$880:$AZ$880,1,OC_Amt)="","",INDEX('OneCause_Paste'!$A$880:$AZ$880,1,OC_Amt)))</f>
        <v/>
      </c>
      <c r="K880">
        <f>IF(OC_Name=0,"",IF(INDEX('OneCause_Paste'!$A$880:$AZ$880,1,OC_Name)="","",INDEX('OneCause_Paste'!$A$880:$AZ$880,1,OC_Name)))</f>
        <v/>
      </c>
      <c r="L880">
        <f>IF(OC_Txn=0,"",IF(INDEX('OneCause_Paste'!$A$880:$AZ$880,1,OC_Txn)="","",INDEX('OneCause_Paste'!$A$880:$AZ$880,1,OC_Txn)))</f>
        <v/>
      </c>
      <c r="M880">
        <f>IF(OC_Pay=0,"",IF(INDEX('OneCause_Paste'!$A$880:$AZ$880,1,OC_Pay)="","",INDEX('OneCause_Paste'!$A$880:$AZ$880,1,OC_Pay)))</f>
        <v/>
      </c>
      <c r="N880">
        <f>IF(I880="","",IF(ISNUMBER(I880),INT(I880),IFERROR(INT(DATEVALUE(I880)),IFERROR(INT(VALUE(I880)),"bad"))))</f>
        <v/>
      </c>
      <c r="O880">
        <f>IF(J880="","",IF(ISNUMBER(J880),ROUND(J880,2),IFERROR(ROUND(VALUE(SUBSTITUTE(SUBSTITUTE(SUBSTITUTE(J880,"$",""),",","")," ","")),2),"bad")))</f>
        <v/>
      </c>
      <c r="P880">
        <f>IF(TRIM(K880)="","",IFERROR(MATCH(LOWER(TRIM(K880)),'Students'!$AH$2:$AH$701,0),IFERROR(MATCH(LOWER(TRIM(K880)),'Students'!$AF$2:$AF$701,0),IFERROR(MATCH(LOWER(TRIM(K880)),'Students'!$AG$2:$AG$701,0),""))))</f>
        <v/>
      </c>
      <c r="R880">
        <f>IF(P880="","",INDEX('Students'!$AD$2:$AD$701,P880))</f>
        <v/>
      </c>
      <c r="S880">
        <f>IF(H880="OK",O880,0)</f>
        <v/>
      </c>
      <c r="T880">
        <f>IF(H880="OK",N880,"")</f>
        <v/>
      </c>
      <c r="U880">
        <f>IF(OC_Donor=0,"",IF(INDEX('OneCause_Paste'!$A$880:$AZ$880,1,OC_Donor)="","",INDEX('OneCause_Paste'!$A$880:$AZ$880,1,OC_Donor)))</f>
        <v/>
      </c>
    </row>
    <row r="881">
      <c r="A881" s="62">
        <f>IF(H881="","",IF(ISNUMBER(N881),N881,I881))</f>
        <v/>
      </c>
      <c r="B881">
        <f>IF(H881="","",U881)</f>
        <v/>
      </c>
      <c r="C881">
        <f>IF(H881="","",IF(P881="",K881,INDEX('Students'!$A$2:$A$701,P881)))</f>
        <v/>
      </c>
      <c r="D881">
        <f>IF(OR(H881="",P881=""),"",INDEX('Students'!$B$2:$B$701,P881))</f>
        <v/>
      </c>
      <c r="E881">
        <f>IF(OR(H881="",P881=""),"",INDEX('Students'!$C$2:$C$701,P881))</f>
        <v/>
      </c>
      <c r="F881" s="48">
        <f>IF(H881="","",IF(ISNUMBER(O881),O881,J881))</f>
        <v/>
      </c>
      <c r="G881">
        <f>IF(H881="","","OneCause")</f>
        <v/>
      </c>
      <c r="H881">
        <f>IF(AND(I881="",J881="",K881=""),"",IF(NOT(ISNUMBER(O881)),"Bad amount",IF(O881&lt;0,"Refund (not counted)",IF(O881=0,"Zero amount",IF(NOT(ISNUMBER(N881)),"Bad date",IF(P881="","NAME NOT ON ROSTER",IF(L881="","OK",IF(MATCH(L881,$L$2:$L$3001,0)&lt;ROW()-1,"Duplicate (ignored)","OK"))))))))</f>
        <v/>
      </c>
      <c r="I881">
        <f>IF(OC_Date=0,"",IF(INDEX('OneCause_Paste'!$A$881:$AZ$881,1,OC_Date)="","",INDEX('OneCause_Paste'!$A$881:$AZ$881,1,OC_Date)))</f>
        <v/>
      </c>
      <c r="J881">
        <f>IF(OC_Amt=0,"",IF(INDEX('OneCause_Paste'!$A$881:$AZ$881,1,OC_Amt)="","",INDEX('OneCause_Paste'!$A$881:$AZ$881,1,OC_Amt)))</f>
        <v/>
      </c>
      <c r="K881">
        <f>IF(OC_Name=0,"",IF(INDEX('OneCause_Paste'!$A$881:$AZ$881,1,OC_Name)="","",INDEX('OneCause_Paste'!$A$881:$AZ$881,1,OC_Name)))</f>
        <v/>
      </c>
      <c r="L881">
        <f>IF(OC_Txn=0,"",IF(INDEX('OneCause_Paste'!$A$881:$AZ$881,1,OC_Txn)="","",INDEX('OneCause_Paste'!$A$881:$AZ$881,1,OC_Txn)))</f>
        <v/>
      </c>
      <c r="M881">
        <f>IF(OC_Pay=0,"",IF(INDEX('OneCause_Paste'!$A$881:$AZ$881,1,OC_Pay)="","",INDEX('OneCause_Paste'!$A$881:$AZ$881,1,OC_Pay)))</f>
        <v/>
      </c>
      <c r="N881">
        <f>IF(I881="","",IF(ISNUMBER(I881),INT(I881),IFERROR(INT(DATEVALUE(I881)),IFERROR(INT(VALUE(I881)),"bad"))))</f>
        <v/>
      </c>
      <c r="O881">
        <f>IF(J881="","",IF(ISNUMBER(J881),ROUND(J881,2),IFERROR(ROUND(VALUE(SUBSTITUTE(SUBSTITUTE(SUBSTITUTE(J881,"$",""),",","")," ","")),2),"bad")))</f>
        <v/>
      </c>
      <c r="P881">
        <f>IF(TRIM(K881)="","",IFERROR(MATCH(LOWER(TRIM(K881)),'Students'!$AH$2:$AH$701,0),IFERROR(MATCH(LOWER(TRIM(K881)),'Students'!$AF$2:$AF$701,0),IFERROR(MATCH(LOWER(TRIM(K881)),'Students'!$AG$2:$AG$701,0),""))))</f>
        <v/>
      </c>
      <c r="R881">
        <f>IF(P881="","",INDEX('Students'!$AD$2:$AD$701,P881))</f>
        <v/>
      </c>
      <c r="S881">
        <f>IF(H881="OK",O881,0)</f>
        <v/>
      </c>
      <c r="T881">
        <f>IF(H881="OK",N881,"")</f>
        <v/>
      </c>
      <c r="U881">
        <f>IF(OC_Donor=0,"",IF(INDEX('OneCause_Paste'!$A$881:$AZ$881,1,OC_Donor)="","",INDEX('OneCause_Paste'!$A$881:$AZ$881,1,OC_Donor)))</f>
        <v/>
      </c>
    </row>
    <row r="882">
      <c r="A882" s="62">
        <f>IF(H882="","",IF(ISNUMBER(N882),N882,I882))</f>
        <v/>
      </c>
      <c r="B882">
        <f>IF(H882="","",U882)</f>
        <v/>
      </c>
      <c r="C882">
        <f>IF(H882="","",IF(P882="",K882,INDEX('Students'!$A$2:$A$701,P882)))</f>
        <v/>
      </c>
      <c r="D882">
        <f>IF(OR(H882="",P882=""),"",INDEX('Students'!$B$2:$B$701,P882))</f>
        <v/>
      </c>
      <c r="E882">
        <f>IF(OR(H882="",P882=""),"",INDEX('Students'!$C$2:$C$701,P882))</f>
        <v/>
      </c>
      <c r="F882" s="48">
        <f>IF(H882="","",IF(ISNUMBER(O882),O882,J882))</f>
        <v/>
      </c>
      <c r="G882">
        <f>IF(H882="","","OneCause")</f>
        <v/>
      </c>
      <c r="H882">
        <f>IF(AND(I882="",J882="",K882=""),"",IF(NOT(ISNUMBER(O882)),"Bad amount",IF(O882&lt;0,"Refund (not counted)",IF(O882=0,"Zero amount",IF(NOT(ISNUMBER(N882)),"Bad date",IF(P882="","NAME NOT ON ROSTER",IF(L882="","OK",IF(MATCH(L882,$L$2:$L$3001,0)&lt;ROW()-1,"Duplicate (ignored)","OK"))))))))</f>
        <v/>
      </c>
      <c r="I882">
        <f>IF(OC_Date=0,"",IF(INDEX('OneCause_Paste'!$A$882:$AZ$882,1,OC_Date)="","",INDEX('OneCause_Paste'!$A$882:$AZ$882,1,OC_Date)))</f>
        <v/>
      </c>
      <c r="J882">
        <f>IF(OC_Amt=0,"",IF(INDEX('OneCause_Paste'!$A$882:$AZ$882,1,OC_Amt)="","",INDEX('OneCause_Paste'!$A$882:$AZ$882,1,OC_Amt)))</f>
        <v/>
      </c>
      <c r="K882">
        <f>IF(OC_Name=0,"",IF(INDEX('OneCause_Paste'!$A$882:$AZ$882,1,OC_Name)="","",INDEX('OneCause_Paste'!$A$882:$AZ$882,1,OC_Name)))</f>
        <v/>
      </c>
      <c r="L882">
        <f>IF(OC_Txn=0,"",IF(INDEX('OneCause_Paste'!$A$882:$AZ$882,1,OC_Txn)="","",INDEX('OneCause_Paste'!$A$882:$AZ$882,1,OC_Txn)))</f>
        <v/>
      </c>
      <c r="M882">
        <f>IF(OC_Pay=0,"",IF(INDEX('OneCause_Paste'!$A$882:$AZ$882,1,OC_Pay)="","",INDEX('OneCause_Paste'!$A$882:$AZ$882,1,OC_Pay)))</f>
        <v/>
      </c>
      <c r="N882">
        <f>IF(I882="","",IF(ISNUMBER(I882),INT(I882),IFERROR(INT(DATEVALUE(I882)),IFERROR(INT(VALUE(I882)),"bad"))))</f>
        <v/>
      </c>
      <c r="O882">
        <f>IF(J882="","",IF(ISNUMBER(J882),ROUND(J882,2),IFERROR(ROUND(VALUE(SUBSTITUTE(SUBSTITUTE(SUBSTITUTE(J882,"$",""),",","")," ","")),2),"bad")))</f>
        <v/>
      </c>
      <c r="P882">
        <f>IF(TRIM(K882)="","",IFERROR(MATCH(LOWER(TRIM(K882)),'Students'!$AH$2:$AH$701,0),IFERROR(MATCH(LOWER(TRIM(K882)),'Students'!$AF$2:$AF$701,0),IFERROR(MATCH(LOWER(TRIM(K882)),'Students'!$AG$2:$AG$701,0),""))))</f>
        <v/>
      </c>
      <c r="R882">
        <f>IF(P882="","",INDEX('Students'!$AD$2:$AD$701,P882))</f>
        <v/>
      </c>
      <c r="S882">
        <f>IF(H882="OK",O882,0)</f>
        <v/>
      </c>
      <c r="T882">
        <f>IF(H882="OK",N882,"")</f>
        <v/>
      </c>
      <c r="U882">
        <f>IF(OC_Donor=0,"",IF(INDEX('OneCause_Paste'!$A$882:$AZ$882,1,OC_Donor)="","",INDEX('OneCause_Paste'!$A$882:$AZ$882,1,OC_Donor)))</f>
        <v/>
      </c>
    </row>
    <row r="883">
      <c r="A883" s="62">
        <f>IF(H883="","",IF(ISNUMBER(N883),N883,I883))</f>
        <v/>
      </c>
      <c r="B883">
        <f>IF(H883="","",U883)</f>
        <v/>
      </c>
      <c r="C883">
        <f>IF(H883="","",IF(P883="",K883,INDEX('Students'!$A$2:$A$701,P883)))</f>
        <v/>
      </c>
      <c r="D883">
        <f>IF(OR(H883="",P883=""),"",INDEX('Students'!$B$2:$B$701,P883))</f>
        <v/>
      </c>
      <c r="E883">
        <f>IF(OR(H883="",P883=""),"",INDEX('Students'!$C$2:$C$701,P883))</f>
        <v/>
      </c>
      <c r="F883" s="48">
        <f>IF(H883="","",IF(ISNUMBER(O883),O883,J883))</f>
        <v/>
      </c>
      <c r="G883">
        <f>IF(H883="","","OneCause")</f>
        <v/>
      </c>
      <c r="H883">
        <f>IF(AND(I883="",J883="",K883=""),"",IF(NOT(ISNUMBER(O883)),"Bad amount",IF(O883&lt;0,"Refund (not counted)",IF(O883=0,"Zero amount",IF(NOT(ISNUMBER(N883)),"Bad date",IF(P883="","NAME NOT ON ROSTER",IF(L883="","OK",IF(MATCH(L883,$L$2:$L$3001,0)&lt;ROW()-1,"Duplicate (ignored)","OK"))))))))</f>
        <v/>
      </c>
      <c r="I883">
        <f>IF(OC_Date=0,"",IF(INDEX('OneCause_Paste'!$A$883:$AZ$883,1,OC_Date)="","",INDEX('OneCause_Paste'!$A$883:$AZ$883,1,OC_Date)))</f>
        <v/>
      </c>
      <c r="J883">
        <f>IF(OC_Amt=0,"",IF(INDEX('OneCause_Paste'!$A$883:$AZ$883,1,OC_Amt)="","",INDEX('OneCause_Paste'!$A$883:$AZ$883,1,OC_Amt)))</f>
        <v/>
      </c>
      <c r="K883">
        <f>IF(OC_Name=0,"",IF(INDEX('OneCause_Paste'!$A$883:$AZ$883,1,OC_Name)="","",INDEX('OneCause_Paste'!$A$883:$AZ$883,1,OC_Name)))</f>
        <v/>
      </c>
      <c r="L883">
        <f>IF(OC_Txn=0,"",IF(INDEX('OneCause_Paste'!$A$883:$AZ$883,1,OC_Txn)="","",INDEX('OneCause_Paste'!$A$883:$AZ$883,1,OC_Txn)))</f>
        <v/>
      </c>
      <c r="M883">
        <f>IF(OC_Pay=0,"",IF(INDEX('OneCause_Paste'!$A$883:$AZ$883,1,OC_Pay)="","",INDEX('OneCause_Paste'!$A$883:$AZ$883,1,OC_Pay)))</f>
        <v/>
      </c>
      <c r="N883">
        <f>IF(I883="","",IF(ISNUMBER(I883),INT(I883),IFERROR(INT(DATEVALUE(I883)),IFERROR(INT(VALUE(I883)),"bad"))))</f>
        <v/>
      </c>
      <c r="O883">
        <f>IF(J883="","",IF(ISNUMBER(J883),ROUND(J883,2),IFERROR(ROUND(VALUE(SUBSTITUTE(SUBSTITUTE(SUBSTITUTE(J883,"$",""),",","")," ","")),2),"bad")))</f>
        <v/>
      </c>
      <c r="P883">
        <f>IF(TRIM(K883)="","",IFERROR(MATCH(LOWER(TRIM(K883)),'Students'!$AH$2:$AH$701,0),IFERROR(MATCH(LOWER(TRIM(K883)),'Students'!$AF$2:$AF$701,0),IFERROR(MATCH(LOWER(TRIM(K883)),'Students'!$AG$2:$AG$701,0),""))))</f>
        <v/>
      </c>
      <c r="R883">
        <f>IF(P883="","",INDEX('Students'!$AD$2:$AD$701,P883))</f>
        <v/>
      </c>
      <c r="S883">
        <f>IF(H883="OK",O883,0)</f>
        <v/>
      </c>
      <c r="T883">
        <f>IF(H883="OK",N883,"")</f>
        <v/>
      </c>
      <c r="U883">
        <f>IF(OC_Donor=0,"",IF(INDEX('OneCause_Paste'!$A$883:$AZ$883,1,OC_Donor)="","",INDEX('OneCause_Paste'!$A$883:$AZ$883,1,OC_Donor)))</f>
        <v/>
      </c>
    </row>
    <row r="884">
      <c r="A884" s="62">
        <f>IF(H884="","",IF(ISNUMBER(N884),N884,I884))</f>
        <v/>
      </c>
      <c r="B884">
        <f>IF(H884="","",U884)</f>
        <v/>
      </c>
      <c r="C884">
        <f>IF(H884="","",IF(P884="",K884,INDEX('Students'!$A$2:$A$701,P884)))</f>
        <v/>
      </c>
      <c r="D884">
        <f>IF(OR(H884="",P884=""),"",INDEX('Students'!$B$2:$B$701,P884))</f>
        <v/>
      </c>
      <c r="E884">
        <f>IF(OR(H884="",P884=""),"",INDEX('Students'!$C$2:$C$701,P884))</f>
        <v/>
      </c>
      <c r="F884" s="48">
        <f>IF(H884="","",IF(ISNUMBER(O884),O884,J884))</f>
        <v/>
      </c>
      <c r="G884">
        <f>IF(H884="","","OneCause")</f>
        <v/>
      </c>
      <c r="H884">
        <f>IF(AND(I884="",J884="",K884=""),"",IF(NOT(ISNUMBER(O884)),"Bad amount",IF(O884&lt;0,"Refund (not counted)",IF(O884=0,"Zero amount",IF(NOT(ISNUMBER(N884)),"Bad date",IF(P884="","NAME NOT ON ROSTER",IF(L884="","OK",IF(MATCH(L884,$L$2:$L$3001,0)&lt;ROW()-1,"Duplicate (ignored)","OK"))))))))</f>
        <v/>
      </c>
      <c r="I884">
        <f>IF(OC_Date=0,"",IF(INDEX('OneCause_Paste'!$A$884:$AZ$884,1,OC_Date)="","",INDEX('OneCause_Paste'!$A$884:$AZ$884,1,OC_Date)))</f>
        <v/>
      </c>
      <c r="J884">
        <f>IF(OC_Amt=0,"",IF(INDEX('OneCause_Paste'!$A$884:$AZ$884,1,OC_Amt)="","",INDEX('OneCause_Paste'!$A$884:$AZ$884,1,OC_Amt)))</f>
        <v/>
      </c>
      <c r="K884">
        <f>IF(OC_Name=0,"",IF(INDEX('OneCause_Paste'!$A$884:$AZ$884,1,OC_Name)="","",INDEX('OneCause_Paste'!$A$884:$AZ$884,1,OC_Name)))</f>
        <v/>
      </c>
      <c r="L884">
        <f>IF(OC_Txn=0,"",IF(INDEX('OneCause_Paste'!$A$884:$AZ$884,1,OC_Txn)="","",INDEX('OneCause_Paste'!$A$884:$AZ$884,1,OC_Txn)))</f>
        <v/>
      </c>
      <c r="M884">
        <f>IF(OC_Pay=0,"",IF(INDEX('OneCause_Paste'!$A$884:$AZ$884,1,OC_Pay)="","",INDEX('OneCause_Paste'!$A$884:$AZ$884,1,OC_Pay)))</f>
        <v/>
      </c>
      <c r="N884">
        <f>IF(I884="","",IF(ISNUMBER(I884),INT(I884),IFERROR(INT(DATEVALUE(I884)),IFERROR(INT(VALUE(I884)),"bad"))))</f>
        <v/>
      </c>
      <c r="O884">
        <f>IF(J884="","",IF(ISNUMBER(J884),ROUND(J884,2),IFERROR(ROUND(VALUE(SUBSTITUTE(SUBSTITUTE(SUBSTITUTE(J884,"$",""),",","")," ","")),2),"bad")))</f>
        <v/>
      </c>
      <c r="P884">
        <f>IF(TRIM(K884)="","",IFERROR(MATCH(LOWER(TRIM(K884)),'Students'!$AH$2:$AH$701,0),IFERROR(MATCH(LOWER(TRIM(K884)),'Students'!$AF$2:$AF$701,0),IFERROR(MATCH(LOWER(TRIM(K884)),'Students'!$AG$2:$AG$701,0),""))))</f>
        <v/>
      </c>
      <c r="R884">
        <f>IF(P884="","",INDEX('Students'!$AD$2:$AD$701,P884))</f>
        <v/>
      </c>
      <c r="S884">
        <f>IF(H884="OK",O884,0)</f>
        <v/>
      </c>
      <c r="T884">
        <f>IF(H884="OK",N884,"")</f>
        <v/>
      </c>
      <c r="U884">
        <f>IF(OC_Donor=0,"",IF(INDEX('OneCause_Paste'!$A$884:$AZ$884,1,OC_Donor)="","",INDEX('OneCause_Paste'!$A$884:$AZ$884,1,OC_Donor)))</f>
        <v/>
      </c>
    </row>
    <row r="885">
      <c r="A885" s="62">
        <f>IF(H885="","",IF(ISNUMBER(N885),N885,I885))</f>
        <v/>
      </c>
      <c r="B885">
        <f>IF(H885="","",U885)</f>
        <v/>
      </c>
      <c r="C885">
        <f>IF(H885="","",IF(P885="",K885,INDEX('Students'!$A$2:$A$701,P885)))</f>
        <v/>
      </c>
      <c r="D885">
        <f>IF(OR(H885="",P885=""),"",INDEX('Students'!$B$2:$B$701,P885))</f>
        <v/>
      </c>
      <c r="E885">
        <f>IF(OR(H885="",P885=""),"",INDEX('Students'!$C$2:$C$701,P885))</f>
        <v/>
      </c>
      <c r="F885" s="48">
        <f>IF(H885="","",IF(ISNUMBER(O885),O885,J885))</f>
        <v/>
      </c>
      <c r="G885">
        <f>IF(H885="","","OneCause")</f>
        <v/>
      </c>
      <c r="H885">
        <f>IF(AND(I885="",J885="",K885=""),"",IF(NOT(ISNUMBER(O885)),"Bad amount",IF(O885&lt;0,"Refund (not counted)",IF(O885=0,"Zero amount",IF(NOT(ISNUMBER(N885)),"Bad date",IF(P885="","NAME NOT ON ROSTER",IF(L885="","OK",IF(MATCH(L885,$L$2:$L$3001,0)&lt;ROW()-1,"Duplicate (ignored)","OK"))))))))</f>
        <v/>
      </c>
      <c r="I885">
        <f>IF(OC_Date=0,"",IF(INDEX('OneCause_Paste'!$A$885:$AZ$885,1,OC_Date)="","",INDEX('OneCause_Paste'!$A$885:$AZ$885,1,OC_Date)))</f>
        <v/>
      </c>
      <c r="J885">
        <f>IF(OC_Amt=0,"",IF(INDEX('OneCause_Paste'!$A$885:$AZ$885,1,OC_Amt)="","",INDEX('OneCause_Paste'!$A$885:$AZ$885,1,OC_Amt)))</f>
        <v/>
      </c>
      <c r="K885">
        <f>IF(OC_Name=0,"",IF(INDEX('OneCause_Paste'!$A$885:$AZ$885,1,OC_Name)="","",INDEX('OneCause_Paste'!$A$885:$AZ$885,1,OC_Name)))</f>
        <v/>
      </c>
      <c r="L885">
        <f>IF(OC_Txn=0,"",IF(INDEX('OneCause_Paste'!$A$885:$AZ$885,1,OC_Txn)="","",INDEX('OneCause_Paste'!$A$885:$AZ$885,1,OC_Txn)))</f>
        <v/>
      </c>
      <c r="M885">
        <f>IF(OC_Pay=0,"",IF(INDEX('OneCause_Paste'!$A$885:$AZ$885,1,OC_Pay)="","",INDEX('OneCause_Paste'!$A$885:$AZ$885,1,OC_Pay)))</f>
        <v/>
      </c>
      <c r="N885">
        <f>IF(I885="","",IF(ISNUMBER(I885),INT(I885),IFERROR(INT(DATEVALUE(I885)),IFERROR(INT(VALUE(I885)),"bad"))))</f>
        <v/>
      </c>
      <c r="O885">
        <f>IF(J885="","",IF(ISNUMBER(J885),ROUND(J885,2),IFERROR(ROUND(VALUE(SUBSTITUTE(SUBSTITUTE(SUBSTITUTE(J885,"$",""),",","")," ","")),2),"bad")))</f>
        <v/>
      </c>
      <c r="P885">
        <f>IF(TRIM(K885)="","",IFERROR(MATCH(LOWER(TRIM(K885)),'Students'!$AH$2:$AH$701,0),IFERROR(MATCH(LOWER(TRIM(K885)),'Students'!$AF$2:$AF$701,0),IFERROR(MATCH(LOWER(TRIM(K885)),'Students'!$AG$2:$AG$701,0),""))))</f>
        <v/>
      </c>
      <c r="R885">
        <f>IF(P885="","",INDEX('Students'!$AD$2:$AD$701,P885))</f>
        <v/>
      </c>
      <c r="S885">
        <f>IF(H885="OK",O885,0)</f>
        <v/>
      </c>
      <c r="T885">
        <f>IF(H885="OK",N885,"")</f>
        <v/>
      </c>
      <c r="U885">
        <f>IF(OC_Donor=0,"",IF(INDEX('OneCause_Paste'!$A$885:$AZ$885,1,OC_Donor)="","",INDEX('OneCause_Paste'!$A$885:$AZ$885,1,OC_Donor)))</f>
        <v/>
      </c>
    </row>
    <row r="886">
      <c r="A886" s="62">
        <f>IF(H886="","",IF(ISNUMBER(N886),N886,I886))</f>
        <v/>
      </c>
      <c r="B886">
        <f>IF(H886="","",U886)</f>
        <v/>
      </c>
      <c r="C886">
        <f>IF(H886="","",IF(P886="",K886,INDEX('Students'!$A$2:$A$701,P886)))</f>
        <v/>
      </c>
      <c r="D886">
        <f>IF(OR(H886="",P886=""),"",INDEX('Students'!$B$2:$B$701,P886))</f>
        <v/>
      </c>
      <c r="E886">
        <f>IF(OR(H886="",P886=""),"",INDEX('Students'!$C$2:$C$701,P886))</f>
        <v/>
      </c>
      <c r="F886" s="48">
        <f>IF(H886="","",IF(ISNUMBER(O886),O886,J886))</f>
        <v/>
      </c>
      <c r="G886">
        <f>IF(H886="","","OneCause")</f>
        <v/>
      </c>
      <c r="H886">
        <f>IF(AND(I886="",J886="",K886=""),"",IF(NOT(ISNUMBER(O886)),"Bad amount",IF(O886&lt;0,"Refund (not counted)",IF(O886=0,"Zero amount",IF(NOT(ISNUMBER(N886)),"Bad date",IF(P886="","NAME NOT ON ROSTER",IF(L886="","OK",IF(MATCH(L886,$L$2:$L$3001,0)&lt;ROW()-1,"Duplicate (ignored)","OK"))))))))</f>
        <v/>
      </c>
      <c r="I886">
        <f>IF(OC_Date=0,"",IF(INDEX('OneCause_Paste'!$A$886:$AZ$886,1,OC_Date)="","",INDEX('OneCause_Paste'!$A$886:$AZ$886,1,OC_Date)))</f>
        <v/>
      </c>
      <c r="J886">
        <f>IF(OC_Amt=0,"",IF(INDEX('OneCause_Paste'!$A$886:$AZ$886,1,OC_Amt)="","",INDEX('OneCause_Paste'!$A$886:$AZ$886,1,OC_Amt)))</f>
        <v/>
      </c>
      <c r="K886">
        <f>IF(OC_Name=0,"",IF(INDEX('OneCause_Paste'!$A$886:$AZ$886,1,OC_Name)="","",INDEX('OneCause_Paste'!$A$886:$AZ$886,1,OC_Name)))</f>
        <v/>
      </c>
      <c r="L886">
        <f>IF(OC_Txn=0,"",IF(INDEX('OneCause_Paste'!$A$886:$AZ$886,1,OC_Txn)="","",INDEX('OneCause_Paste'!$A$886:$AZ$886,1,OC_Txn)))</f>
        <v/>
      </c>
      <c r="M886">
        <f>IF(OC_Pay=0,"",IF(INDEX('OneCause_Paste'!$A$886:$AZ$886,1,OC_Pay)="","",INDEX('OneCause_Paste'!$A$886:$AZ$886,1,OC_Pay)))</f>
        <v/>
      </c>
      <c r="N886">
        <f>IF(I886="","",IF(ISNUMBER(I886),INT(I886),IFERROR(INT(DATEVALUE(I886)),IFERROR(INT(VALUE(I886)),"bad"))))</f>
        <v/>
      </c>
      <c r="O886">
        <f>IF(J886="","",IF(ISNUMBER(J886),ROUND(J886,2),IFERROR(ROUND(VALUE(SUBSTITUTE(SUBSTITUTE(SUBSTITUTE(J886,"$",""),",","")," ","")),2),"bad")))</f>
        <v/>
      </c>
      <c r="P886">
        <f>IF(TRIM(K886)="","",IFERROR(MATCH(LOWER(TRIM(K886)),'Students'!$AH$2:$AH$701,0),IFERROR(MATCH(LOWER(TRIM(K886)),'Students'!$AF$2:$AF$701,0),IFERROR(MATCH(LOWER(TRIM(K886)),'Students'!$AG$2:$AG$701,0),""))))</f>
        <v/>
      </c>
      <c r="R886">
        <f>IF(P886="","",INDEX('Students'!$AD$2:$AD$701,P886))</f>
        <v/>
      </c>
      <c r="S886">
        <f>IF(H886="OK",O886,0)</f>
        <v/>
      </c>
      <c r="T886">
        <f>IF(H886="OK",N886,"")</f>
        <v/>
      </c>
      <c r="U886">
        <f>IF(OC_Donor=0,"",IF(INDEX('OneCause_Paste'!$A$886:$AZ$886,1,OC_Donor)="","",INDEX('OneCause_Paste'!$A$886:$AZ$886,1,OC_Donor)))</f>
        <v/>
      </c>
    </row>
    <row r="887">
      <c r="A887" s="62">
        <f>IF(H887="","",IF(ISNUMBER(N887),N887,I887))</f>
        <v/>
      </c>
      <c r="B887">
        <f>IF(H887="","",U887)</f>
        <v/>
      </c>
      <c r="C887">
        <f>IF(H887="","",IF(P887="",K887,INDEX('Students'!$A$2:$A$701,P887)))</f>
        <v/>
      </c>
      <c r="D887">
        <f>IF(OR(H887="",P887=""),"",INDEX('Students'!$B$2:$B$701,P887))</f>
        <v/>
      </c>
      <c r="E887">
        <f>IF(OR(H887="",P887=""),"",INDEX('Students'!$C$2:$C$701,P887))</f>
        <v/>
      </c>
      <c r="F887" s="48">
        <f>IF(H887="","",IF(ISNUMBER(O887),O887,J887))</f>
        <v/>
      </c>
      <c r="G887">
        <f>IF(H887="","","OneCause")</f>
        <v/>
      </c>
      <c r="H887">
        <f>IF(AND(I887="",J887="",K887=""),"",IF(NOT(ISNUMBER(O887)),"Bad amount",IF(O887&lt;0,"Refund (not counted)",IF(O887=0,"Zero amount",IF(NOT(ISNUMBER(N887)),"Bad date",IF(P887="","NAME NOT ON ROSTER",IF(L887="","OK",IF(MATCH(L887,$L$2:$L$3001,0)&lt;ROW()-1,"Duplicate (ignored)","OK"))))))))</f>
        <v/>
      </c>
      <c r="I887">
        <f>IF(OC_Date=0,"",IF(INDEX('OneCause_Paste'!$A$887:$AZ$887,1,OC_Date)="","",INDEX('OneCause_Paste'!$A$887:$AZ$887,1,OC_Date)))</f>
        <v/>
      </c>
      <c r="J887">
        <f>IF(OC_Amt=0,"",IF(INDEX('OneCause_Paste'!$A$887:$AZ$887,1,OC_Amt)="","",INDEX('OneCause_Paste'!$A$887:$AZ$887,1,OC_Amt)))</f>
        <v/>
      </c>
      <c r="K887">
        <f>IF(OC_Name=0,"",IF(INDEX('OneCause_Paste'!$A$887:$AZ$887,1,OC_Name)="","",INDEX('OneCause_Paste'!$A$887:$AZ$887,1,OC_Name)))</f>
        <v/>
      </c>
      <c r="L887">
        <f>IF(OC_Txn=0,"",IF(INDEX('OneCause_Paste'!$A$887:$AZ$887,1,OC_Txn)="","",INDEX('OneCause_Paste'!$A$887:$AZ$887,1,OC_Txn)))</f>
        <v/>
      </c>
      <c r="M887">
        <f>IF(OC_Pay=0,"",IF(INDEX('OneCause_Paste'!$A$887:$AZ$887,1,OC_Pay)="","",INDEX('OneCause_Paste'!$A$887:$AZ$887,1,OC_Pay)))</f>
        <v/>
      </c>
      <c r="N887">
        <f>IF(I887="","",IF(ISNUMBER(I887),INT(I887),IFERROR(INT(DATEVALUE(I887)),IFERROR(INT(VALUE(I887)),"bad"))))</f>
        <v/>
      </c>
      <c r="O887">
        <f>IF(J887="","",IF(ISNUMBER(J887),ROUND(J887,2),IFERROR(ROUND(VALUE(SUBSTITUTE(SUBSTITUTE(SUBSTITUTE(J887,"$",""),",","")," ","")),2),"bad")))</f>
        <v/>
      </c>
      <c r="P887">
        <f>IF(TRIM(K887)="","",IFERROR(MATCH(LOWER(TRIM(K887)),'Students'!$AH$2:$AH$701,0),IFERROR(MATCH(LOWER(TRIM(K887)),'Students'!$AF$2:$AF$701,0),IFERROR(MATCH(LOWER(TRIM(K887)),'Students'!$AG$2:$AG$701,0),""))))</f>
        <v/>
      </c>
      <c r="R887">
        <f>IF(P887="","",INDEX('Students'!$AD$2:$AD$701,P887))</f>
        <v/>
      </c>
      <c r="S887">
        <f>IF(H887="OK",O887,0)</f>
        <v/>
      </c>
      <c r="T887">
        <f>IF(H887="OK",N887,"")</f>
        <v/>
      </c>
      <c r="U887">
        <f>IF(OC_Donor=0,"",IF(INDEX('OneCause_Paste'!$A$887:$AZ$887,1,OC_Donor)="","",INDEX('OneCause_Paste'!$A$887:$AZ$887,1,OC_Donor)))</f>
        <v/>
      </c>
    </row>
    <row r="888">
      <c r="A888" s="62">
        <f>IF(H888="","",IF(ISNUMBER(N888),N888,I888))</f>
        <v/>
      </c>
      <c r="B888">
        <f>IF(H888="","",U888)</f>
        <v/>
      </c>
      <c r="C888">
        <f>IF(H888="","",IF(P888="",K888,INDEX('Students'!$A$2:$A$701,P888)))</f>
        <v/>
      </c>
      <c r="D888">
        <f>IF(OR(H888="",P888=""),"",INDEX('Students'!$B$2:$B$701,P888))</f>
        <v/>
      </c>
      <c r="E888">
        <f>IF(OR(H888="",P888=""),"",INDEX('Students'!$C$2:$C$701,P888))</f>
        <v/>
      </c>
      <c r="F888" s="48">
        <f>IF(H888="","",IF(ISNUMBER(O888),O888,J888))</f>
        <v/>
      </c>
      <c r="G888">
        <f>IF(H888="","","OneCause")</f>
        <v/>
      </c>
      <c r="H888">
        <f>IF(AND(I888="",J888="",K888=""),"",IF(NOT(ISNUMBER(O888)),"Bad amount",IF(O888&lt;0,"Refund (not counted)",IF(O888=0,"Zero amount",IF(NOT(ISNUMBER(N888)),"Bad date",IF(P888="","NAME NOT ON ROSTER",IF(L888="","OK",IF(MATCH(L888,$L$2:$L$3001,0)&lt;ROW()-1,"Duplicate (ignored)","OK"))))))))</f>
        <v/>
      </c>
      <c r="I888">
        <f>IF(OC_Date=0,"",IF(INDEX('OneCause_Paste'!$A$888:$AZ$888,1,OC_Date)="","",INDEX('OneCause_Paste'!$A$888:$AZ$888,1,OC_Date)))</f>
        <v/>
      </c>
      <c r="J888">
        <f>IF(OC_Amt=0,"",IF(INDEX('OneCause_Paste'!$A$888:$AZ$888,1,OC_Amt)="","",INDEX('OneCause_Paste'!$A$888:$AZ$888,1,OC_Amt)))</f>
        <v/>
      </c>
      <c r="K888">
        <f>IF(OC_Name=0,"",IF(INDEX('OneCause_Paste'!$A$888:$AZ$888,1,OC_Name)="","",INDEX('OneCause_Paste'!$A$888:$AZ$888,1,OC_Name)))</f>
        <v/>
      </c>
      <c r="L888">
        <f>IF(OC_Txn=0,"",IF(INDEX('OneCause_Paste'!$A$888:$AZ$888,1,OC_Txn)="","",INDEX('OneCause_Paste'!$A$888:$AZ$888,1,OC_Txn)))</f>
        <v/>
      </c>
      <c r="M888">
        <f>IF(OC_Pay=0,"",IF(INDEX('OneCause_Paste'!$A$888:$AZ$888,1,OC_Pay)="","",INDEX('OneCause_Paste'!$A$888:$AZ$888,1,OC_Pay)))</f>
        <v/>
      </c>
      <c r="N888">
        <f>IF(I888="","",IF(ISNUMBER(I888),INT(I888),IFERROR(INT(DATEVALUE(I888)),IFERROR(INT(VALUE(I888)),"bad"))))</f>
        <v/>
      </c>
      <c r="O888">
        <f>IF(J888="","",IF(ISNUMBER(J888),ROUND(J888,2),IFERROR(ROUND(VALUE(SUBSTITUTE(SUBSTITUTE(SUBSTITUTE(J888,"$",""),",","")," ","")),2),"bad")))</f>
        <v/>
      </c>
      <c r="P888">
        <f>IF(TRIM(K888)="","",IFERROR(MATCH(LOWER(TRIM(K888)),'Students'!$AH$2:$AH$701,0),IFERROR(MATCH(LOWER(TRIM(K888)),'Students'!$AF$2:$AF$701,0),IFERROR(MATCH(LOWER(TRIM(K888)),'Students'!$AG$2:$AG$701,0),""))))</f>
        <v/>
      </c>
      <c r="R888">
        <f>IF(P888="","",INDEX('Students'!$AD$2:$AD$701,P888))</f>
        <v/>
      </c>
      <c r="S888">
        <f>IF(H888="OK",O888,0)</f>
        <v/>
      </c>
      <c r="T888">
        <f>IF(H888="OK",N888,"")</f>
        <v/>
      </c>
      <c r="U888">
        <f>IF(OC_Donor=0,"",IF(INDEX('OneCause_Paste'!$A$888:$AZ$888,1,OC_Donor)="","",INDEX('OneCause_Paste'!$A$888:$AZ$888,1,OC_Donor)))</f>
        <v/>
      </c>
    </row>
    <row r="889">
      <c r="A889" s="62">
        <f>IF(H889="","",IF(ISNUMBER(N889),N889,I889))</f>
        <v/>
      </c>
      <c r="B889">
        <f>IF(H889="","",U889)</f>
        <v/>
      </c>
      <c r="C889">
        <f>IF(H889="","",IF(P889="",K889,INDEX('Students'!$A$2:$A$701,P889)))</f>
        <v/>
      </c>
      <c r="D889">
        <f>IF(OR(H889="",P889=""),"",INDEX('Students'!$B$2:$B$701,P889))</f>
        <v/>
      </c>
      <c r="E889">
        <f>IF(OR(H889="",P889=""),"",INDEX('Students'!$C$2:$C$701,P889))</f>
        <v/>
      </c>
      <c r="F889" s="48">
        <f>IF(H889="","",IF(ISNUMBER(O889),O889,J889))</f>
        <v/>
      </c>
      <c r="G889">
        <f>IF(H889="","","OneCause")</f>
        <v/>
      </c>
      <c r="H889">
        <f>IF(AND(I889="",J889="",K889=""),"",IF(NOT(ISNUMBER(O889)),"Bad amount",IF(O889&lt;0,"Refund (not counted)",IF(O889=0,"Zero amount",IF(NOT(ISNUMBER(N889)),"Bad date",IF(P889="","NAME NOT ON ROSTER",IF(L889="","OK",IF(MATCH(L889,$L$2:$L$3001,0)&lt;ROW()-1,"Duplicate (ignored)","OK"))))))))</f>
        <v/>
      </c>
      <c r="I889">
        <f>IF(OC_Date=0,"",IF(INDEX('OneCause_Paste'!$A$889:$AZ$889,1,OC_Date)="","",INDEX('OneCause_Paste'!$A$889:$AZ$889,1,OC_Date)))</f>
        <v/>
      </c>
      <c r="J889">
        <f>IF(OC_Amt=0,"",IF(INDEX('OneCause_Paste'!$A$889:$AZ$889,1,OC_Amt)="","",INDEX('OneCause_Paste'!$A$889:$AZ$889,1,OC_Amt)))</f>
        <v/>
      </c>
      <c r="K889">
        <f>IF(OC_Name=0,"",IF(INDEX('OneCause_Paste'!$A$889:$AZ$889,1,OC_Name)="","",INDEX('OneCause_Paste'!$A$889:$AZ$889,1,OC_Name)))</f>
        <v/>
      </c>
      <c r="L889">
        <f>IF(OC_Txn=0,"",IF(INDEX('OneCause_Paste'!$A$889:$AZ$889,1,OC_Txn)="","",INDEX('OneCause_Paste'!$A$889:$AZ$889,1,OC_Txn)))</f>
        <v/>
      </c>
      <c r="M889">
        <f>IF(OC_Pay=0,"",IF(INDEX('OneCause_Paste'!$A$889:$AZ$889,1,OC_Pay)="","",INDEX('OneCause_Paste'!$A$889:$AZ$889,1,OC_Pay)))</f>
        <v/>
      </c>
      <c r="N889">
        <f>IF(I889="","",IF(ISNUMBER(I889),INT(I889),IFERROR(INT(DATEVALUE(I889)),IFERROR(INT(VALUE(I889)),"bad"))))</f>
        <v/>
      </c>
      <c r="O889">
        <f>IF(J889="","",IF(ISNUMBER(J889),ROUND(J889,2),IFERROR(ROUND(VALUE(SUBSTITUTE(SUBSTITUTE(SUBSTITUTE(J889,"$",""),",","")," ","")),2),"bad")))</f>
        <v/>
      </c>
      <c r="P889">
        <f>IF(TRIM(K889)="","",IFERROR(MATCH(LOWER(TRIM(K889)),'Students'!$AH$2:$AH$701,0),IFERROR(MATCH(LOWER(TRIM(K889)),'Students'!$AF$2:$AF$701,0),IFERROR(MATCH(LOWER(TRIM(K889)),'Students'!$AG$2:$AG$701,0),""))))</f>
        <v/>
      </c>
      <c r="R889">
        <f>IF(P889="","",INDEX('Students'!$AD$2:$AD$701,P889))</f>
        <v/>
      </c>
      <c r="S889">
        <f>IF(H889="OK",O889,0)</f>
        <v/>
      </c>
      <c r="T889">
        <f>IF(H889="OK",N889,"")</f>
        <v/>
      </c>
      <c r="U889">
        <f>IF(OC_Donor=0,"",IF(INDEX('OneCause_Paste'!$A$889:$AZ$889,1,OC_Donor)="","",INDEX('OneCause_Paste'!$A$889:$AZ$889,1,OC_Donor)))</f>
        <v/>
      </c>
    </row>
    <row r="890">
      <c r="A890" s="62">
        <f>IF(H890="","",IF(ISNUMBER(N890),N890,I890))</f>
        <v/>
      </c>
      <c r="B890">
        <f>IF(H890="","",U890)</f>
        <v/>
      </c>
      <c r="C890">
        <f>IF(H890="","",IF(P890="",K890,INDEX('Students'!$A$2:$A$701,P890)))</f>
        <v/>
      </c>
      <c r="D890">
        <f>IF(OR(H890="",P890=""),"",INDEX('Students'!$B$2:$B$701,P890))</f>
        <v/>
      </c>
      <c r="E890">
        <f>IF(OR(H890="",P890=""),"",INDEX('Students'!$C$2:$C$701,P890))</f>
        <v/>
      </c>
      <c r="F890" s="48">
        <f>IF(H890="","",IF(ISNUMBER(O890),O890,J890))</f>
        <v/>
      </c>
      <c r="G890">
        <f>IF(H890="","","OneCause")</f>
        <v/>
      </c>
      <c r="H890">
        <f>IF(AND(I890="",J890="",K890=""),"",IF(NOT(ISNUMBER(O890)),"Bad amount",IF(O890&lt;0,"Refund (not counted)",IF(O890=0,"Zero amount",IF(NOT(ISNUMBER(N890)),"Bad date",IF(P890="","NAME NOT ON ROSTER",IF(L890="","OK",IF(MATCH(L890,$L$2:$L$3001,0)&lt;ROW()-1,"Duplicate (ignored)","OK"))))))))</f>
        <v/>
      </c>
      <c r="I890">
        <f>IF(OC_Date=0,"",IF(INDEX('OneCause_Paste'!$A$890:$AZ$890,1,OC_Date)="","",INDEX('OneCause_Paste'!$A$890:$AZ$890,1,OC_Date)))</f>
        <v/>
      </c>
      <c r="J890">
        <f>IF(OC_Amt=0,"",IF(INDEX('OneCause_Paste'!$A$890:$AZ$890,1,OC_Amt)="","",INDEX('OneCause_Paste'!$A$890:$AZ$890,1,OC_Amt)))</f>
        <v/>
      </c>
      <c r="K890">
        <f>IF(OC_Name=0,"",IF(INDEX('OneCause_Paste'!$A$890:$AZ$890,1,OC_Name)="","",INDEX('OneCause_Paste'!$A$890:$AZ$890,1,OC_Name)))</f>
        <v/>
      </c>
      <c r="L890">
        <f>IF(OC_Txn=0,"",IF(INDEX('OneCause_Paste'!$A$890:$AZ$890,1,OC_Txn)="","",INDEX('OneCause_Paste'!$A$890:$AZ$890,1,OC_Txn)))</f>
        <v/>
      </c>
      <c r="M890">
        <f>IF(OC_Pay=0,"",IF(INDEX('OneCause_Paste'!$A$890:$AZ$890,1,OC_Pay)="","",INDEX('OneCause_Paste'!$A$890:$AZ$890,1,OC_Pay)))</f>
        <v/>
      </c>
      <c r="N890">
        <f>IF(I890="","",IF(ISNUMBER(I890),INT(I890),IFERROR(INT(DATEVALUE(I890)),IFERROR(INT(VALUE(I890)),"bad"))))</f>
        <v/>
      </c>
      <c r="O890">
        <f>IF(J890="","",IF(ISNUMBER(J890),ROUND(J890,2),IFERROR(ROUND(VALUE(SUBSTITUTE(SUBSTITUTE(SUBSTITUTE(J890,"$",""),",","")," ","")),2),"bad")))</f>
        <v/>
      </c>
      <c r="P890">
        <f>IF(TRIM(K890)="","",IFERROR(MATCH(LOWER(TRIM(K890)),'Students'!$AH$2:$AH$701,0),IFERROR(MATCH(LOWER(TRIM(K890)),'Students'!$AF$2:$AF$701,0),IFERROR(MATCH(LOWER(TRIM(K890)),'Students'!$AG$2:$AG$701,0),""))))</f>
        <v/>
      </c>
      <c r="R890">
        <f>IF(P890="","",INDEX('Students'!$AD$2:$AD$701,P890))</f>
        <v/>
      </c>
      <c r="S890">
        <f>IF(H890="OK",O890,0)</f>
        <v/>
      </c>
      <c r="T890">
        <f>IF(H890="OK",N890,"")</f>
        <v/>
      </c>
      <c r="U890">
        <f>IF(OC_Donor=0,"",IF(INDEX('OneCause_Paste'!$A$890:$AZ$890,1,OC_Donor)="","",INDEX('OneCause_Paste'!$A$890:$AZ$890,1,OC_Donor)))</f>
        <v/>
      </c>
    </row>
    <row r="891">
      <c r="A891" s="62">
        <f>IF(H891="","",IF(ISNUMBER(N891),N891,I891))</f>
        <v/>
      </c>
      <c r="B891">
        <f>IF(H891="","",U891)</f>
        <v/>
      </c>
      <c r="C891">
        <f>IF(H891="","",IF(P891="",K891,INDEX('Students'!$A$2:$A$701,P891)))</f>
        <v/>
      </c>
      <c r="D891">
        <f>IF(OR(H891="",P891=""),"",INDEX('Students'!$B$2:$B$701,P891))</f>
        <v/>
      </c>
      <c r="E891">
        <f>IF(OR(H891="",P891=""),"",INDEX('Students'!$C$2:$C$701,P891))</f>
        <v/>
      </c>
      <c r="F891" s="48">
        <f>IF(H891="","",IF(ISNUMBER(O891),O891,J891))</f>
        <v/>
      </c>
      <c r="G891">
        <f>IF(H891="","","OneCause")</f>
        <v/>
      </c>
      <c r="H891">
        <f>IF(AND(I891="",J891="",K891=""),"",IF(NOT(ISNUMBER(O891)),"Bad amount",IF(O891&lt;0,"Refund (not counted)",IF(O891=0,"Zero amount",IF(NOT(ISNUMBER(N891)),"Bad date",IF(P891="","NAME NOT ON ROSTER",IF(L891="","OK",IF(MATCH(L891,$L$2:$L$3001,0)&lt;ROW()-1,"Duplicate (ignored)","OK"))))))))</f>
        <v/>
      </c>
      <c r="I891">
        <f>IF(OC_Date=0,"",IF(INDEX('OneCause_Paste'!$A$891:$AZ$891,1,OC_Date)="","",INDEX('OneCause_Paste'!$A$891:$AZ$891,1,OC_Date)))</f>
        <v/>
      </c>
      <c r="J891">
        <f>IF(OC_Amt=0,"",IF(INDEX('OneCause_Paste'!$A$891:$AZ$891,1,OC_Amt)="","",INDEX('OneCause_Paste'!$A$891:$AZ$891,1,OC_Amt)))</f>
        <v/>
      </c>
      <c r="K891">
        <f>IF(OC_Name=0,"",IF(INDEX('OneCause_Paste'!$A$891:$AZ$891,1,OC_Name)="","",INDEX('OneCause_Paste'!$A$891:$AZ$891,1,OC_Name)))</f>
        <v/>
      </c>
      <c r="L891">
        <f>IF(OC_Txn=0,"",IF(INDEX('OneCause_Paste'!$A$891:$AZ$891,1,OC_Txn)="","",INDEX('OneCause_Paste'!$A$891:$AZ$891,1,OC_Txn)))</f>
        <v/>
      </c>
      <c r="M891">
        <f>IF(OC_Pay=0,"",IF(INDEX('OneCause_Paste'!$A$891:$AZ$891,1,OC_Pay)="","",INDEX('OneCause_Paste'!$A$891:$AZ$891,1,OC_Pay)))</f>
        <v/>
      </c>
      <c r="N891">
        <f>IF(I891="","",IF(ISNUMBER(I891),INT(I891),IFERROR(INT(DATEVALUE(I891)),IFERROR(INT(VALUE(I891)),"bad"))))</f>
        <v/>
      </c>
      <c r="O891">
        <f>IF(J891="","",IF(ISNUMBER(J891),ROUND(J891,2),IFERROR(ROUND(VALUE(SUBSTITUTE(SUBSTITUTE(SUBSTITUTE(J891,"$",""),",","")," ","")),2),"bad")))</f>
        <v/>
      </c>
      <c r="P891">
        <f>IF(TRIM(K891)="","",IFERROR(MATCH(LOWER(TRIM(K891)),'Students'!$AH$2:$AH$701,0),IFERROR(MATCH(LOWER(TRIM(K891)),'Students'!$AF$2:$AF$701,0),IFERROR(MATCH(LOWER(TRIM(K891)),'Students'!$AG$2:$AG$701,0),""))))</f>
        <v/>
      </c>
      <c r="R891">
        <f>IF(P891="","",INDEX('Students'!$AD$2:$AD$701,P891))</f>
        <v/>
      </c>
      <c r="S891">
        <f>IF(H891="OK",O891,0)</f>
        <v/>
      </c>
      <c r="T891">
        <f>IF(H891="OK",N891,"")</f>
        <v/>
      </c>
      <c r="U891">
        <f>IF(OC_Donor=0,"",IF(INDEX('OneCause_Paste'!$A$891:$AZ$891,1,OC_Donor)="","",INDEX('OneCause_Paste'!$A$891:$AZ$891,1,OC_Donor)))</f>
        <v/>
      </c>
    </row>
    <row r="892">
      <c r="A892" s="62">
        <f>IF(H892="","",IF(ISNUMBER(N892),N892,I892))</f>
        <v/>
      </c>
      <c r="B892">
        <f>IF(H892="","",U892)</f>
        <v/>
      </c>
      <c r="C892">
        <f>IF(H892="","",IF(P892="",K892,INDEX('Students'!$A$2:$A$701,P892)))</f>
        <v/>
      </c>
      <c r="D892">
        <f>IF(OR(H892="",P892=""),"",INDEX('Students'!$B$2:$B$701,P892))</f>
        <v/>
      </c>
      <c r="E892">
        <f>IF(OR(H892="",P892=""),"",INDEX('Students'!$C$2:$C$701,P892))</f>
        <v/>
      </c>
      <c r="F892" s="48">
        <f>IF(H892="","",IF(ISNUMBER(O892),O892,J892))</f>
        <v/>
      </c>
      <c r="G892">
        <f>IF(H892="","","OneCause")</f>
        <v/>
      </c>
      <c r="H892">
        <f>IF(AND(I892="",J892="",K892=""),"",IF(NOT(ISNUMBER(O892)),"Bad amount",IF(O892&lt;0,"Refund (not counted)",IF(O892=0,"Zero amount",IF(NOT(ISNUMBER(N892)),"Bad date",IF(P892="","NAME NOT ON ROSTER",IF(L892="","OK",IF(MATCH(L892,$L$2:$L$3001,0)&lt;ROW()-1,"Duplicate (ignored)","OK"))))))))</f>
        <v/>
      </c>
      <c r="I892">
        <f>IF(OC_Date=0,"",IF(INDEX('OneCause_Paste'!$A$892:$AZ$892,1,OC_Date)="","",INDEX('OneCause_Paste'!$A$892:$AZ$892,1,OC_Date)))</f>
        <v/>
      </c>
      <c r="J892">
        <f>IF(OC_Amt=0,"",IF(INDEX('OneCause_Paste'!$A$892:$AZ$892,1,OC_Amt)="","",INDEX('OneCause_Paste'!$A$892:$AZ$892,1,OC_Amt)))</f>
        <v/>
      </c>
      <c r="K892">
        <f>IF(OC_Name=0,"",IF(INDEX('OneCause_Paste'!$A$892:$AZ$892,1,OC_Name)="","",INDEX('OneCause_Paste'!$A$892:$AZ$892,1,OC_Name)))</f>
        <v/>
      </c>
      <c r="L892">
        <f>IF(OC_Txn=0,"",IF(INDEX('OneCause_Paste'!$A$892:$AZ$892,1,OC_Txn)="","",INDEX('OneCause_Paste'!$A$892:$AZ$892,1,OC_Txn)))</f>
        <v/>
      </c>
      <c r="M892">
        <f>IF(OC_Pay=0,"",IF(INDEX('OneCause_Paste'!$A$892:$AZ$892,1,OC_Pay)="","",INDEX('OneCause_Paste'!$A$892:$AZ$892,1,OC_Pay)))</f>
        <v/>
      </c>
      <c r="N892">
        <f>IF(I892="","",IF(ISNUMBER(I892),INT(I892),IFERROR(INT(DATEVALUE(I892)),IFERROR(INT(VALUE(I892)),"bad"))))</f>
        <v/>
      </c>
      <c r="O892">
        <f>IF(J892="","",IF(ISNUMBER(J892),ROUND(J892,2),IFERROR(ROUND(VALUE(SUBSTITUTE(SUBSTITUTE(SUBSTITUTE(J892,"$",""),",","")," ","")),2),"bad")))</f>
        <v/>
      </c>
      <c r="P892">
        <f>IF(TRIM(K892)="","",IFERROR(MATCH(LOWER(TRIM(K892)),'Students'!$AH$2:$AH$701,0),IFERROR(MATCH(LOWER(TRIM(K892)),'Students'!$AF$2:$AF$701,0),IFERROR(MATCH(LOWER(TRIM(K892)),'Students'!$AG$2:$AG$701,0),""))))</f>
        <v/>
      </c>
      <c r="R892">
        <f>IF(P892="","",INDEX('Students'!$AD$2:$AD$701,P892))</f>
        <v/>
      </c>
      <c r="S892">
        <f>IF(H892="OK",O892,0)</f>
        <v/>
      </c>
      <c r="T892">
        <f>IF(H892="OK",N892,"")</f>
        <v/>
      </c>
      <c r="U892">
        <f>IF(OC_Donor=0,"",IF(INDEX('OneCause_Paste'!$A$892:$AZ$892,1,OC_Donor)="","",INDEX('OneCause_Paste'!$A$892:$AZ$892,1,OC_Donor)))</f>
        <v/>
      </c>
    </row>
    <row r="893">
      <c r="A893" s="62">
        <f>IF(H893="","",IF(ISNUMBER(N893),N893,I893))</f>
        <v/>
      </c>
      <c r="B893">
        <f>IF(H893="","",U893)</f>
        <v/>
      </c>
      <c r="C893">
        <f>IF(H893="","",IF(P893="",K893,INDEX('Students'!$A$2:$A$701,P893)))</f>
        <v/>
      </c>
      <c r="D893">
        <f>IF(OR(H893="",P893=""),"",INDEX('Students'!$B$2:$B$701,P893))</f>
        <v/>
      </c>
      <c r="E893">
        <f>IF(OR(H893="",P893=""),"",INDEX('Students'!$C$2:$C$701,P893))</f>
        <v/>
      </c>
      <c r="F893" s="48">
        <f>IF(H893="","",IF(ISNUMBER(O893),O893,J893))</f>
        <v/>
      </c>
      <c r="G893">
        <f>IF(H893="","","OneCause")</f>
        <v/>
      </c>
      <c r="H893">
        <f>IF(AND(I893="",J893="",K893=""),"",IF(NOT(ISNUMBER(O893)),"Bad amount",IF(O893&lt;0,"Refund (not counted)",IF(O893=0,"Zero amount",IF(NOT(ISNUMBER(N893)),"Bad date",IF(P893="","NAME NOT ON ROSTER",IF(L893="","OK",IF(MATCH(L893,$L$2:$L$3001,0)&lt;ROW()-1,"Duplicate (ignored)","OK"))))))))</f>
        <v/>
      </c>
      <c r="I893">
        <f>IF(OC_Date=0,"",IF(INDEX('OneCause_Paste'!$A$893:$AZ$893,1,OC_Date)="","",INDEX('OneCause_Paste'!$A$893:$AZ$893,1,OC_Date)))</f>
        <v/>
      </c>
      <c r="J893">
        <f>IF(OC_Amt=0,"",IF(INDEX('OneCause_Paste'!$A$893:$AZ$893,1,OC_Amt)="","",INDEX('OneCause_Paste'!$A$893:$AZ$893,1,OC_Amt)))</f>
        <v/>
      </c>
      <c r="K893">
        <f>IF(OC_Name=0,"",IF(INDEX('OneCause_Paste'!$A$893:$AZ$893,1,OC_Name)="","",INDEX('OneCause_Paste'!$A$893:$AZ$893,1,OC_Name)))</f>
        <v/>
      </c>
      <c r="L893">
        <f>IF(OC_Txn=0,"",IF(INDEX('OneCause_Paste'!$A$893:$AZ$893,1,OC_Txn)="","",INDEX('OneCause_Paste'!$A$893:$AZ$893,1,OC_Txn)))</f>
        <v/>
      </c>
      <c r="M893">
        <f>IF(OC_Pay=0,"",IF(INDEX('OneCause_Paste'!$A$893:$AZ$893,1,OC_Pay)="","",INDEX('OneCause_Paste'!$A$893:$AZ$893,1,OC_Pay)))</f>
        <v/>
      </c>
      <c r="N893">
        <f>IF(I893="","",IF(ISNUMBER(I893),INT(I893),IFERROR(INT(DATEVALUE(I893)),IFERROR(INT(VALUE(I893)),"bad"))))</f>
        <v/>
      </c>
      <c r="O893">
        <f>IF(J893="","",IF(ISNUMBER(J893),ROUND(J893,2),IFERROR(ROUND(VALUE(SUBSTITUTE(SUBSTITUTE(SUBSTITUTE(J893,"$",""),",","")," ","")),2),"bad")))</f>
        <v/>
      </c>
      <c r="P893">
        <f>IF(TRIM(K893)="","",IFERROR(MATCH(LOWER(TRIM(K893)),'Students'!$AH$2:$AH$701,0),IFERROR(MATCH(LOWER(TRIM(K893)),'Students'!$AF$2:$AF$701,0),IFERROR(MATCH(LOWER(TRIM(K893)),'Students'!$AG$2:$AG$701,0),""))))</f>
        <v/>
      </c>
      <c r="R893">
        <f>IF(P893="","",INDEX('Students'!$AD$2:$AD$701,P893))</f>
        <v/>
      </c>
      <c r="S893">
        <f>IF(H893="OK",O893,0)</f>
        <v/>
      </c>
      <c r="T893">
        <f>IF(H893="OK",N893,"")</f>
        <v/>
      </c>
      <c r="U893">
        <f>IF(OC_Donor=0,"",IF(INDEX('OneCause_Paste'!$A$893:$AZ$893,1,OC_Donor)="","",INDEX('OneCause_Paste'!$A$893:$AZ$893,1,OC_Donor)))</f>
        <v/>
      </c>
    </row>
    <row r="894">
      <c r="A894" s="62">
        <f>IF(H894="","",IF(ISNUMBER(N894),N894,I894))</f>
        <v/>
      </c>
      <c r="B894">
        <f>IF(H894="","",U894)</f>
        <v/>
      </c>
      <c r="C894">
        <f>IF(H894="","",IF(P894="",K894,INDEX('Students'!$A$2:$A$701,P894)))</f>
        <v/>
      </c>
      <c r="D894">
        <f>IF(OR(H894="",P894=""),"",INDEX('Students'!$B$2:$B$701,P894))</f>
        <v/>
      </c>
      <c r="E894">
        <f>IF(OR(H894="",P894=""),"",INDEX('Students'!$C$2:$C$701,P894))</f>
        <v/>
      </c>
      <c r="F894" s="48">
        <f>IF(H894="","",IF(ISNUMBER(O894),O894,J894))</f>
        <v/>
      </c>
      <c r="G894">
        <f>IF(H894="","","OneCause")</f>
        <v/>
      </c>
      <c r="H894">
        <f>IF(AND(I894="",J894="",K894=""),"",IF(NOT(ISNUMBER(O894)),"Bad amount",IF(O894&lt;0,"Refund (not counted)",IF(O894=0,"Zero amount",IF(NOT(ISNUMBER(N894)),"Bad date",IF(P894="","NAME NOT ON ROSTER",IF(L894="","OK",IF(MATCH(L894,$L$2:$L$3001,0)&lt;ROW()-1,"Duplicate (ignored)","OK"))))))))</f>
        <v/>
      </c>
      <c r="I894">
        <f>IF(OC_Date=0,"",IF(INDEX('OneCause_Paste'!$A$894:$AZ$894,1,OC_Date)="","",INDEX('OneCause_Paste'!$A$894:$AZ$894,1,OC_Date)))</f>
        <v/>
      </c>
      <c r="J894">
        <f>IF(OC_Amt=0,"",IF(INDEX('OneCause_Paste'!$A$894:$AZ$894,1,OC_Amt)="","",INDEX('OneCause_Paste'!$A$894:$AZ$894,1,OC_Amt)))</f>
        <v/>
      </c>
      <c r="K894">
        <f>IF(OC_Name=0,"",IF(INDEX('OneCause_Paste'!$A$894:$AZ$894,1,OC_Name)="","",INDEX('OneCause_Paste'!$A$894:$AZ$894,1,OC_Name)))</f>
        <v/>
      </c>
      <c r="L894">
        <f>IF(OC_Txn=0,"",IF(INDEX('OneCause_Paste'!$A$894:$AZ$894,1,OC_Txn)="","",INDEX('OneCause_Paste'!$A$894:$AZ$894,1,OC_Txn)))</f>
        <v/>
      </c>
      <c r="M894">
        <f>IF(OC_Pay=0,"",IF(INDEX('OneCause_Paste'!$A$894:$AZ$894,1,OC_Pay)="","",INDEX('OneCause_Paste'!$A$894:$AZ$894,1,OC_Pay)))</f>
        <v/>
      </c>
      <c r="N894">
        <f>IF(I894="","",IF(ISNUMBER(I894),INT(I894),IFERROR(INT(DATEVALUE(I894)),IFERROR(INT(VALUE(I894)),"bad"))))</f>
        <v/>
      </c>
      <c r="O894">
        <f>IF(J894="","",IF(ISNUMBER(J894),ROUND(J894,2),IFERROR(ROUND(VALUE(SUBSTITUTE(SUBSTITUTE(SUBSTITUTE(J894,"$",""),",","")," ","")),2),"bad")))</f>
        <v/>
      </c>
      <c r="P894">
        <f>IF(TRIM(K894)="","",IFERROR(MATCH(LOWER(TRIM(K894)),'Students'!$AH$2:$AH$701,0),IFERROR(MATCH(LOWER(TRIM(K894)),'Students'!$AF$2:$AF$701,0),IFERROR(MATCH(LOWER(TRIM(K894)),'Students'!$AG$2:$AG$701,0),""))))</f>
        <v/>
      </c>
      <c r="R894">
        <f>IF(P894="","",INDEX('Students'!$AD$2:$AD$701,P894))</f>
        <v/>
      </c>
      <c r="S894">
        <f>IF(H894="OK",O894,0)</f>
        <v/>
      </c>
      <c r="T894">
        <f>IF(H894="OK",N894,"")</f>
        <v/>
      </c>
      <c r="U894">
        <f>IF(OC_Donor=0,"",IF(INDEX('OneCause_Paste'!$A$894:$AZ$894,1,OC_Donor)="","",INDEX('OneCause_Paste'!$A$894:$AZ$894,1,OC_Donor)))</f>
        <v/>
      </c>
    </row>
    <row r="895">
      <c r="A895" s="62">
        <f>IF(H895="","",IF(ISNUMBER(N895),N895,I895))</f>
        <v/>
      </c>
      <c r="B895">
        <f>IF(H895="","",U895)</f>
        <v/>
      </c>
      <c r="C895">
        <f>IF(H895="","",IF(P895="",K895,INDEX('Students'!$A$2:$A$701,P895)))</f>
        <v/>
      </c>
      <c r="D895">
        <f>IF(OR(H895="",P895=""),"",INDEX('Students'!$B$2:$B$701,P895))</f>
        <v/>
      </c>
      <c r="E895">
        <f>IF(OR(H895="",P895=""),"",INDEX('Students'!$C$2:$C$701,P895))</f>
        <v/>
      </c>
      <c r="F895" s="48">
        <f>IF(H895="","",IF(ISNUMBER(O895),O895,J895))</f>
        <v/>
      </c>
      <c r="G895">
        <f>IF(H895="","","OneCause")</f>
        <v/>
      </c>
      <c r="H895">
        <f>IF(AND(I895="",J895="",K895=""),"",IF(NOT(ISNUMBER(O895)),"Bad amount",IF(O895&lt;0,"Refund (not counted)",IF(O895=0,"Zero amount",IF(NOT(ISNUMBER(N895)),"Bad date",IF(P895="","NAME NOT ON ROSTER",IF(L895="","OK",IF(MATCH(L895,$L$2:$L$3001,0)&lt;ROW()-1,"Duplicate (ignored)","OK"))))))))</f>
        <v/>
      </c>
      <c r="I895">
        <f>IF(OC_Date=0,"",IF(INDEX('OneCause_Paste'!$A$895:$AZ$895,1,OC_Date)="","",INDEX('OneCause_Paste'!$A$895:$AZ$895,1,OC_Date)))</f>
        <v/>
      </c>
      <c r="J895">
        <f>IF(OC_Amt=0,"",IF(INDEX('OneCause_Paste'!$A$895:$AZ$895,1,OC_Amt)="","",INDEX('OneCause_Paste'!$A$895:$AZ$895,1,OC_Amt)))</f>
        <v/>
      </c>
      <c r="K895">
        <f>IF(OC_Name=0,"",IF(INDEX('OneCause_Paste'!$A$895:$AZ$895,1,OC_Name)="","",INDEX('OneCause_Paste'!$A$895:$AZ$895,1,OC_Name)))</f>
        <v/>
      </c>
      <c r="L895">
        <f>IF(OC_Txn=0,"",IF(INDEX('OneCause_Paste'!$A$895:$AZ$895,1,OC_Txn)="","",INDEX('OneCause_Paste'!$A$895:$AZ$895,1,OC_Txn)))</f>
        <v/>
      </c>
      <c r="M895">
        <f>IF(OC_Pay=0,"",IF(INDEX('OneCause_Paste'!$A$895:$AZ$895,1,OC_Pay)="","",INDEX('OneCause_Paste'!$A$895:$AZ$895,1,OC_Pay)))</f>
        <v/>
      </c>
      <c r="N895">
        <f>IF(I895="","",IF(ISNUMBER(I895),INT(I895),IFERROR(INT(DATEVALUE(I895)),IFERROR(INT(VALUE(I895)),"bad"))))</f>
        <v/>
      </c>
      <c r="O895">
        <f>IF(J895="","",IF(ISNUMBER(J895),ROUND(J895,2),IFERROR(ROUND(VALUE(SUBSTITUTE(SUBSTITUTE(SUBSTITUTE(J895,"$",""),",","")," ","")),2),"bad")))</f>
        <v/>
      </c>
      <c r="P895">
        <f>IF(TRIM(K895)="","",IFERROR(MATCH(LOWER(TRIM(K895)),'Students'!$AH$2:$AH$701,0),IFERROR(MATCH(LOWER(TRIM(K895)),'Students'!$AF$2:$AF$701,0),IFERROR(MATCH(LOWER(TRIM(K895)),'Students'!$AG$2:$AG$701,0),""))))</f>
        <v/>
      </c>
      <c r="R895">
        <f>IF(P895="","",INDEX('Students'!$AD$2:$AD$701,P895))</f>
        <v/>
      </c>
      <c r="S895">
        <f>IF(H895="OK",O895,0)</f>
        <v/>
      </c>
      <c r="T895">
        <f>IF(H895="OK",N895,"")</f>
        <v/>
      </c>
      <c r="U895">
        <f>IF(OC_Donor=0,"",IF(INDEX('OneCause_Paste'!$A$895:$AZ$895,1,OC_Donor)="","",INDEX('OneCause_Paste'!$A$895:$AZ$895,1,OC_Donor)))</f>
        <v/>
      </c>
    </row>
    <row r="896">
      <c r="A896" s="62">
        <f>IF(H896="","",IF(ISNUMBER(N896),N896,I896))</f>
        <v/>
      </c>
      <c r="B896">
        <f>IF(H896="","",U896)</f>
        <v/>
      </c>
      <c r="C896">
        <f>IF(H896="","",IF(P896="",K896,INDEX('Students'!$A$2:$A$701,P896)))</f>
        <v/>
      </c>
      <c r="D896">
        <f>IF(OR(H896="",P896=""),"",INDEX('Students'!$B$2:$B$701,P896))</f>
        <v/>
      </c>
      <c r="E896">
        <f>IF(OR(H896="",P896=""),"",INDEX('Students'!$C$2:$C$701,P896))</f>
        <v/>
      </c>
      <c r="F896" s="48">
        <f>IF(H896="","",IF(ISNUMBER(O896),O896,J896))</f>
        <v/>
      </c>
      <c r="G896">
        <f>IF(H896="","","OneCause")</f>
        <v/>
      </c>
      <c r="H896">
        <f>IF(AND(I896="",J896="",K896=""),"",IF(NOT(ISNUMBER(O896)),"Bad amount",IF(O896&lt;0,"Refund (not counted)",IF(O896=0,"Zero amount",IF(NOT(ISNUMBER(N896)),"Bad date",IF(P896="","NAME NOT ON ROSTER",IF(L896="","OK",IF(MATCH(L896,$L$2:$L$3001,0)&lt;ROW()-1,"Duplicate (ignored)","OK"))))))))</f>
        <v/>
      </c>
      <c r="I896">
        <f>IF(OC_Date=0,"",IF(INDEX('OneCause_Paste'!$A$896:$AZ$896,1,OC_Date)="","",INDEX('OneCause_Paste'!$A$896:$AZ$896,1,OC_Date)))</f>
        <v/>
      </c>
      <c r="J896">
        <f>IF(OC_Amt=0,"",IF(INDEX('OneCause_Paste'!$A$896:$AZ$896,1,OC_Amt)="","",INDEX('OneCause_Paste'!$A$896:$AZ$896,1,OC_Amt)))</f>
        <v/>
      </c>
      <c r="K896">
        <f>IF(OC_Name=0,"",IF(INDEX('OneCause_Paste'!$A$896:$AZ$896,1,OC_Name)="","",INDEX('OneCause_Paste'!$A$896:$AZ$896,1,OC_Name)))</f>
        <v/>
      </c>
      <c r="L896">
        <f>IF(OC_Txn=0,"",IF(INDEX('OneCause_Paste'!$A$896:$AZ$896,1,OC_Txn)="","",INDEX('OneCause_Paste'!$A$896:$AZ$896,1,OC_Txn)))</f>
        <v/>
      </c>
      <c r="M896">
        <f>IF(OC_Pay=0,"",IF(INDEX('OneCause_Paste'!$A$896:$AZ$896,1,OC_Pay)="","",INDEX('OneCause_Paste'!$A$896:$AZ$896,1,OC_Pay)))</f>
        <v/>
      </c>
      <c r="N896">
        <f>IF(I896="","",IF(ISNUMBER(I896),INT(I896),IFERROR(INT(DATEVALUE(I896)),IFERROR(INT(VALUE(I896)),"bad"))))</f>
        <v/>
      </c>
      <c r="O896">
        <f>IF(J896="","",IF(ISNUMBER(J896),ROUND(J896,2),IFERROR(ROUND(VALUE(SUBSTITUTE(SUBSTITUTE(SUBSTITUTE(J896,"$",""),",","")," ","")),2),"bad")))</f>
        <v/>
      </c>
      <c r="P896">
        <f>IF(TRIM(K896)="","",IFERROR(MATCH(LOWER(TRIM(K896)),'Students'!$AH$2:$AH$701,0),IFERROR(MATCH(LOWER(TRIM(K896)),'Students'!$AF$2:$AF$701,0),IFERROR(MATCH(LOWER(TRIM(K896)),'Students'!$AG$2:$AG$701,0),""))))</f>
        <v/>
      </c>
      <c r="R896">
        <f>IF(P896="","",INDEX('Students'!$AD$2:$AD$701,P896))</f>
        <v/>
      </c>
      <c r="S896">
        <f>IF(H896="OK",O896,0)</f>
        <v/>
      </c>
      <c r="T896">
        <f>IF(H896="OK",N896,"")</f>
        <v/>
      </c>
      <c r="U896">
        <f>IF(OC_Donor=0,"",IF(INDEX('OneCause_Paste'!$A$896:$AZ$896,1,OC_Donor)="","",INDEX('OneCause_Paste'!$A$896:$AZ$896,1,OC_Donor)))</f>
        <v/>
      </c>
    </row>
    <row r="897">
      <c r="A897" s="62">
        <f>IF(H897="","",IF(ISNUMBER(N897),N897,I897))</f>
        <v/>
      </c>
      <c r="B897">
        <f>IF(H897="","",U897)</f>
        <v/>
      </c>
      <c r="C897">
        <f>IF(H897="","",IF(P897="",K897,INDEX('Students'!$A$2:$A$701,P897)))</f>
        <v/>
      </c>
      <c r="D897">
        <f>IF(OR(H897="",P897=""),"",INDEX('Students'!$B$2:$B$701,P897))</f>
        <v/>
      </c>
      <c r="E897">
        <f>IF(OR(H897="",P897=""),"",INDEX('Students'!$C$2:$C$701,P897))</f>
        <v/>
      </c>
      <c r="F897" s="48">
        <f>IF(H897="","",IF(ISNUMBER(O897),O897,J897))</f>
        <v/>
      </c>
      <c r="G897">
        <f>IF(H897="","","OneCause")</f>
        <v/>
      </c>
      <c r="H897">
        <f>IF(AND(I897="",J897="",K897=""),"",IF(NOT(ISNUMBER(O897)),"Bad amount",IF(O897&lt;0,"Refund (not counted)",IF(O897=0,"Zero amount",IF(NOT(ISNUMBER(N897)),"Bad date",IF(P897="","NAME NOT ON ROSTER",IF(L897="","OK",IF(MATCH(L897,$L$2:$L$3001,0)&lt;ROW()-1,"Duplicate (ignored)","OK"))))))))</f>
        <v/>
      </c>
      <c r="I897">
        <f>IF(OC_Date=0,"",IF(INDEX('OneCause_Paste'!$A$897:$AZ$897,1,OC_Date)="","",INDEX('OneCause_Paste'!$A$897:$AZ$897,1,OC_Date)))</f>
        <v/>
      </c>
      <c r="J897">
        <f>IF(OC_Amt=0,"",IF(INDEX('OneCause_Paste'!$A$897:$AZ$897,1,OC_Amt)="","",INDEX('OneCause_Paste'!$A$897:$AZ$897,1,OC_Amt)))</f>
        <v/>
      </c>
      <c r="K897">
        <f>IF(OC_Name=0,"",IF(INDEX('OneCause_Paste'!$A$897:$AZ$897,1,OC_Name)="","",INDEX('OneCause_Paste'!$A$897:$AZ$897,1,OC_Name)))</f>
        <v/>
      </c>
      <c r="L897">
        <f>IF(OC_Txn=0,"",IF(INDEX('OneCause_Paste'!$A$897:$AZ$897,1,OC_Txn)="","",INDEX('OneCause_Paste'!$A$897:$AZ$897,1,OC_Txn)))</f>
        <v/>
      </c>
      <c r="M897">
        <f>IF(OC_Pay=0,"",IF(INDEX('OneCause_Paste'!$A$897:$AZ$897,1,OC_Pay)="","",INDEX('OneCause_Paste'!$A$897:$AZ$897,1,OC_Pay)))</f>
        <v/>
      </c>
      <c r="N897">
        <f>IF(I897="","",IF(ISNUMBER(I897),INT(I897),IFERROR(INT(DATEVALUE(I897)),IFERROR(INT(VALUE(I897)),"bad"))))</f>
        <v/>
      </c>
      <c r="O897">
        <f>IF(J897="","",IF(ISNUMBER(J897),ROUND(J897,2),IFERROR(ROUND(VALUE(SUBSTITUTE(SUBSTITUTE(SUBSTITUTE(J897,"$",""),",","")," ","")),2),"bad")))</f>
        <v/>
      </c>
      <c r="P897">
        <f>IF(TRIM(K897)="","",IFERROR(MATCH(LOWER(TRIM(K897)),'Students'!$AH$2:$AH$701,0),IFERROR(MATCH(LOWER(TRIM(K897)),'Students'!$AF$2:$AF$701,0),IFERROR(MATCH(LOWER(TRIM(K897)),'Students'!$AG$2:$AG$701,0),""))))</f>
        <v/>
      </c>
      <c r="R897">
        <f>IF(P897="","",INDEX('Students'!$AD$2:$AD$701,P897))</f>
        <v/>
      </c>
      <c r="S897">
        <f>IF(H897="OK",O897,0)</f>
        <v/>
      </c>
      <c r="T897">
        <f>IF(H897="OK",N897,"")</f>
        <v/>
      </c>
      <c r="U897">
        <f>IF(OC_Donor=0,"",IF(INDEX('OneCause_Paste'!$A$897:$AZ$897,1,OC_Donor)="","",INDEX('OneCause_Paste'!$A$897:$AZ$897,1,OC_Donor)))</f>
        <v/>
      </c>
    </row>
    <row r="898">
      <c r="A898" s="62">
        <f>IF(H898="","",IF(ISNUMBER(N898),N898,I898))</f>
        <v/>
      </c>
      <c r="B898">
        <f>IF(H898="","",U898)</f>
        <v/>
      </c>
      <c r="C898">
        <f>IF(H898="","",IF(P898="",K898,INDEX('Students'!$A$2:$A$701,P898)))</f>
        <v/>
      </c>
      <c r="D898">
        <f>IF(OR(H898="",P898=""),"",INDEX('Students'!$B$2:$B$701,P898))</f>
        <v/>
      </c>
      <c r="E898">
        <f>IF(OR(H898="",P898=""),"",INDEX('Students'!$C$2:$C$701,P898))</f>
        <v/>
      </c>
      <c r="F898" s="48">
        <f>IF(H898="","",IF(ISNUMBER(O898),O898,J898))</f>
        <v/>
      </c>
      <c r="G898">
        <f>IF(H898="","","OneCause")</f>
        <v/>
      </c>
      <c r="H898">
        <f>IF(AND(I898="",J898="",K898=""),"",IF(NOT(ISNUMBER(O898)),"Bad amount",IF(O898&lt;0,"Refund (not counted)",IF(O898=0,"Zero amount",IF(NOT(ISNUMBER(N898)),"Bad date",IF(P898="","NAME NOT ON ROSTER",IF(L898="","OK",IF(MATCH(L898,$L$2:$L$3001,0)&lt;ROW()-1,"Duplicate (ignored)","OK"))))))))</f>
        <v/>
      </c>
      <c r="I898">
        <f>IF(OC_Date=0,"",IF(INDEX('OneCause_Paste'!$A$898:$AZ$898,1,OC_Date)="","",INDEX('OneCause_Paste'!$A$898:$AZ$898,1,OC_Date)))</f>
        <v/>
      </c>
      <c r="J898">
        <f>IF(OC_Amt=0,"",IF(INDEX('OneCause_Paste'!$A$898:$AZ$898,1,OC_Amt)="","",INDEX('OneCause_Paste'!$A$898:$AZ$898,1,OC_Amt)))</f>
        <v/>
      </c>
      <c r="K898">
        <f>IF(OC_Name=0,"",IF(INDEX('OneCause_Paste'!$A$898:$AZ$898,1,OC_Name)="","",INDEX('OneCause_Paste'!$A$898:$AZ$898,1,OC_Name)))</f>
        <v/>
      </c>
      <c r="L898">
        <f>IF(OC_Txn=0,"",IF(INDEX('OneCause_Paste'!$A$898:$AZ$898,1,OC_Txn)="","",INDEX('OneCause_Paste'!$A$898:$AZ$898,1,OC_Txn)))</f>
        <v/>
      </c>
      <c r="M898">
        <f>IF(OC_Pay=0,"",IF(INDEX('OneCause_Paste'!$A$898:$AZ$898,1,OC_Pay)="","",INDEX('OneCause_Paste'!$A$898:$AZ$898,1,OC_Pay)))</f>
        <v/>
      </c>
      <c r="N898">
        <f>IF(I898="","",IF(ISNUMBER(I898),INT(I898),IFERROR(INT(DATEVALUE(I898)),IFERROR(INT(VALUE(I898)),"bad"))))</f>
        <v/>
      </c>
      <c r="O898">
        <f>IF(J898="","",IF(ISNUMBER(J898),ROUND(J898,2),IFERROR(ROUND(VALUE(SUBSTITUTE(SUBSTITUTE(SUBSTITUTE(J898,"$",""),",","")," ","")),2),"bad")))</f>
        <v/>
      </c>
      <c r="P898">
        <f>IF(TRIM(K898)="","",IFERROR(MATCH(LOWER(TRIM(K898)),'Students'!$AH$2:$AH$701,0),IFERROR(MATCH(LOWER(TRIM(K898)),'Students'!$AF$2:$AF$701,0),IFERROR(MATCH(LOWER(TRIM(K898)),'Students'!$AG$2:$AG$701,0),""))))</f>
        <v/>
      </c>
      <c r="R898">
        <f>IF(P898="","",INDEX('Students'!$AD$2:$AD$701,P898))</f>
        <v/>
      </c>
      <c r="S898">
        <f>IF(H898="OK",O898,0)</f>
        <v/>
      </c>
      <c r="T898">
        <f>IF(H898="OK",N898,"")</f>
        <v/>
      </c>
      <c r="U898">
        <f>IF(OC_Donor=0,"",IF(INDEX('OneCause_Paste'!$A$898:$AZ$898,1,OC_Donor)="","",INDEX('OneCause_Paste'!$A$898:$AZ$898,1,OC_Donor)))</f>
        <v/>
      </c>
    </row>
    <row r="899">
      <c r="A899" s="62">
        <f>IF(H899="","",IF(ISNUMBER(N899),N899,I899))</f>
        <v/>
      </c>
      <c r="B899">
        <f>IF(H899="","",U899)</f>
        <v/>
      </c>
      <c r="C899">
        <f>IF(H899="","",IF(P899="",K899,INDEX('Students'!$A$2:$A$701,P899)))</f>
        <v/>
      </c>
      <c r="D899">
        <f>IF(OR(H899="",P899=""),"",INDEX('Students'!$B$2:$B$701,P899))</f>
        <v/>
      </c>
      <c r="E899">
        <f>IF(OR(H899="",P899=""),"",INDEX('Students'!$C$2:$C$701,P899))</f>
        <v/>
      </c>
      <c r="F899" s="48">
        <f>IF(H899="","",IF(ISNUMBER(O899),O899,J899))</f>
        <v/>
      </c>
      <c r="G899">
        <f>IF(H899="","","OneCause")</f>
        <v/>
      </c>
      <c r="H899">
        <f>IF(AND(I899="",J899="",K899=""),"",IF(NOT(ISNUMBER(O899)),"Bad amount",IF(O899&lt;0,"Refund (not counted)",IF(O899=0,"Zero amount",IF(NOT(ISNUMBER(N899)),"Bad date",IF(P899="","NAME NOT ON ROSTER",IF(L899="","OK",IF(MATCH(L899,$L$2:$L$3001,0)&lt;ROW()-1,"Duplicate (ignored)","OK"))))))))</f>
        <v/>
      </c>
      <c r="I899">
        <f>IF(OC_Date=0,"",IF(INDEX('OneCause_Paste'!$A$899:$AZ$899,1,OC_Date)="","",INDEX('OneCause_Paste'!$A$899:$AZ$899,1,OC_Date)))</f>
        <v/>
      </c>
      <c r="J899">
        <f>IF(OC_Amt=0,"",IF(INDEX('OneCause_Paste'!$A$899:$AZ$899,1,OC_Amt)="","",INDEX('OneCause_Paste'!$A$899:$AZ$899,1,OC_Amt)))</f>
        <v/>
      </c>
      <c r="K899">
        <f>IF(OC_Name=0,"",IF(INDEX('OneCause_Paste'!$A$899:$AZ$899,1,OC_Name)="","",INDEX('OneCause_Paste'!$A$899:$AZ$899,1,OC_Name)))</f>
        <v/>
      </c>
      <c r="L899">
        <f>IF(OC_Txn=0,"",IF(INDEX('OneCause_Paste'!$A$899:$AZ$899,1,OC_Txn)="","",INDEX('OneCause_Paste'!$A$899:$AZ$899,1,OC_Txn)))</f>
        <v/>
      </c>
      <c r="M899">
        <f>IF(OC_Pay=0,"",IF(INDEX('OneCause_Paste'!$A$899:$AZ$899,1,OC_Pay)="","",INDEX('OneCause_Paste'!$A$899:$AZ$899,1,OC_Pay)))</f>
        <v/>
      </c>
      <c r="N899">
        <f>IF(I899="","",IF(ISNUMBER(I899),INT(I899),IFERROR(INT(DATEVALUE(I899)),IFERROR(INT(VALUE(I899)),"bad"))))</f>
        <v/>
      </c>
      <c r="O899">
        <f>IF(J899="","",IF(ISNUMBER(J899),ROUND(J899,2),IFERROR(ROUND(VALUE(SUBSTITUTE(SUBSTITUTE(SUBSTITUTE(J899,"$",""),",","")," ","")),2),"bad")))</f>
        <v/>
      </c>
      <c r="P899">
        <f>IF(TRIM(K899)="","",IFERROR(MATCH(LOWER(TRIM(K899)),'Students'!$AH$2:$AH$701,0),IFERROR(MATCH(LOWER(TRIM(K899)),'Students'!$AF$2:$AF$701,0),IFERROR(MATCH(LOWER(TRIM(K899)),'Students'!$AG$2:$AG$701,0),""))))</f>
        <v/>
      </c>
      <c r="R899">
        <f>IF(P899="","",INDEX('Students'!$AD$2:$AD$701,P899))</f>
        <v/>
      </c>
      <c r="S899">
        <f>IF(H899="OK",O899,0)</f>
        <v/>
      </c>
      <c r="T899">
        <f>IF(H899="OK",N899,"")</f>
        <v/>
      </c>
      <c r="U899">
        <f>IF(OC_Donor=0,"",IF(INDEX('OneCause_Paste'!$A$899:$AZ$899,1,OC_Donor)="","",INDEX('OneCause_Paste'!$A$899:$AZ$899,1,OC_Donor)))</f>
        <v/>
      </c>
    </row>
    <row r="900">
      <c r="A900" s="62">
        <f>IF(H900="","",IF(ISNUMBER(N900),N900,I900))</f>
        <v/>
      </c>
      <c r="B900">
        <f>IF(H900="","",U900)</f>
        <v/>
      </c>
      <c r="C900">
        <f>IF(H900="","",IF(P900="",K900,INDEX('Students'!$A$2:$A$701,P900)))</f>
        <v/>
      </c>
      <c r="D900">
        <f>IF(OR(H900="",P900=""),"",INDEX('Students'!$B$2:$B$701,P900))</f>
        <v/>
      </c>
      <c r="E900">
        <f>IF(OR(H900="",P900=""),"",INDEX('Students'!$C$2:$C$701,P900))</f>
        <v/>
      </c>
      <c r="F900" s="48">
        <f>IF(H900="","",IF(ISNUMBER(O900),O900,J900))</f>
        <v/>
      </c>
      <c r="G900">
        <f>IF(H900="","","OneCause")</f>
        <v/>
      </c>
      <c r="H900">
        <f>IF(AND(I900="",J900="",K900=""),"",IF(NOT(ISNUMBER(O900)),"Bad amount",IF(O900&lt;0,"Refund (not counted)",IF(O900=0,"Zero amount",IF(NOT(ISNUMBER(N900)),"Bad date",IF(P900="","NAME NOT ON ROSTER",IF(L900="","OK",IF(MATCH(L900,$L$2:$L$3001,0)&lt;ROW()-1,"Duplicate (ignored)","OK"))))))))</f>
        <v/>
      </c>
      <c r="I900">
        <f>IF(OC_Date=0,"",IF(INDEX('OneCause_Paste'!$A$900:$AZ$900,1,OC_Date)="","",INDEX('OneCause_Paste'!$A$900:$AZ$900,1,OC_Date)))</f>
        <v/>
      </c>
      <c r="J900">
        <f>IF(OC_Amt=0,"",IF(INDEX('OneCause_Paste'!$A$900:$AZ$900,1,OC_Amt)="","",INDEX('OneCause_Paste'!$A$900:$AZ$900,1,OC_Amt)))</f>
        <v/>
      </c>
      <c r="K900">
        <f>IF(OC_Name=0,"",IF(INDEX('OneCause_Paste'!$A$900:$AZ$900,1,OC_Name)="","",INDEX('OneCause_Paste'!$A$900:$AZ$900,1,OC_Name)))</f>
        <v/>
      </c>
      <c r="L900">
        <f>IF(OC_Txn=0,"",IF(INDEX('OneCause_Paste'!$A$900:$AZ$900,1,OC_Txn)="","",INDEX('OneCause_Paste'!$A$900:$AZ$900,1,OC_Txn)))</f>
        <v/>
      </c>
      <c r="M900">
        <f>IF(OC_Pay=0,"",IF(INDEX('OneCause_Paste'!$A$900:$AZ$900,1,OC_Pay)="","",INDEX('OneCause_Paste'!$A$900:$AZ$900,1,OC_Pay)))</f>
        <v/>
      </c>
      <c r="N900">
        <f>IF(I900="","",IF(ISNUMBER(I900),INT(I900),IFERROR(INT(DATEVALUE(I900)),IFERROR(INT(VALUE(I900)),"bad"))))</f>
        <v/>
      </c>
      <c r="O900">
        <f>IF(J900="","",IF(ISNUMBER(J900),ROUND(J900,2),IFERROR(ROUND(VALUE(SUBSTITUTE(SUBSTITUTE(SUBSTITUTE(J900,"$",""),",","")," ","")),2),"bad")))</f>
        <v/>
      </c>
      <c r="P900">
        <f>IF(TRIM(K900)="","",IFERROR(MATCH(LOWER(TRIM(K900)),'Students'!$AH$2:$AH$701,0),IFERROR(MATCH(LOWER(TRIM(K900)),'Students'!$AF$2:$AF$701,0),IFERROR(MATCH(LOWER(TRIM(K900)),'Students'!$AG$2:$AG$701,0),""))))</f>
        <v/>
      </c>
      <c r="R900">
        <f>IF(P900="","",INDEX('Students'!$AD$2:$AD$701,P900))</f>
        <v/>
      </c>
      <c r="S900">
        <f>IF(H900="OK",O900,0)</f>
        <v/>
      </c>
      <c r="T900">
        <f>IF(H900="OK",N900,"")</f>
        <v/>
      </c>
      <c r="U900">
        <f>IF(OC_Donor=0,"",IF(INDEX('OneCause_Paste'!$A$900:$AZ$900,1,OC_Donor)="","",INDEX('OneCause_Paste'!$A$900:$AZ$900,1,OC_Donor)))</f>
        <v/>
      </c>
    </row>
    <row r="901">
      <c r="A901" s="62">
        <f>IF(H901="","",IF(ISNUMBER(N901),N901,I901))</f>
        <v/>
      </c>
      <c r="B901">
        <f>IF(H901="","",U901)</f>
        <v/>
      </c>
      <c r="C901">
        <f>IF(H901="","",IF(P901="",K901,INDEX('Students'!$A$2:$A$701,P901)))</f>
        <v/>
      </c>
      <c r="D901">
        <f>IF(OR(H901="",P901=""),"",INDEX('Students'!$B$2:$B$701,P901))</f>
        <v/>
      </c>
      <c r="E901">
        <f>IF(OR(H901="",P901=""),"",INDEX('Students'!$C$2:$C$701,P901))</f>
        <v/>
      </c>
      <c r="F901" s="48">
        <f>IF(H901="","",IF(ISNUMBER(O901),O901,J901))</f>
        <v/>
      </c>
      <c r="G901">
        <f>IF(H901="","","OneCause")</f>
        <v/>
      </c>
      <c r="H901">
        <f>IF(AND(I901="",J901="",K901=""),"",IF(NOT(ISNUMBER(O901)),"Bad amount",IF(O901&lt;0,"Refund (not counted)",IF(O901=0,"Zero amount",IF(NOT(ISNUMBER(N901)),"Bad date",IF(P901="","NAME NOT ON ROSTER",IF(L901="","OK",IF(MATCH(L901,$L$2:$L$3001,0)&lt;ROW()-1,"Duplicate (ignored)","OK"))))))))</f>
        <v/>
      </c>
      <c r="I901">
        <f>IF(OC_Date=0,"",IF(INDEX('OneCause_Paste'!$A$901:$AZ$901,1,OC_Date)="","",INDEX('OneCause_Paste'!$A$901:$AZ$901,1,OC_Date)))</f>
        <v/>
      </c>
      <c r="J901">
        <f>IF(OC_Amt=0,"",IF(INDEX('OneCause_Paste'!$A$901:$AZ$901,1,OC_Amt)="","",INDEX('OneCause_Paste'!$A$901:$AZ$901,1,OC_Amt)))</f>
        <v/>
      </c>
      <c r="K901">
        <f>IF(OC_Name=0,"",IF(INDEX('OneCause_Paste'!$A$901:$AZ$901,1,OC_Name)="","",INDEX('OneCause_Paste'!$A$901:$AZ$901,1,OC_Name)))</f>
        <v/>
      </c>
      <c r="L901">
        <f>IF(OC_Txn=0,"",IF(INDEX('OneCause_Paste'!$A$901:$AZ$901,1,OC_Txn)="","",INDEX('OneCause_Paste'!$A$901:$AZ$901,1,OC_Txn)))</f>
        <v/>
      </c>
      <c r="M901">
        <f>IF(OC_Pay=0,"",IF(INDEX('OneCause_Paste'!$A$901:$AZ$901,1,OC_Pay)="","",INDEX('OneCause_Paste'!$A$901:$AZ$901,1,OC_Pay)))</f>
        <v/>
      </c>
      <c r="N901">
        <f>IF(I901="","",IF(ISNUMBER(I901),INT(I901),IFERROR(INT(DATEVALUE(I901)),IFERROR(INT(VALUE(I901)),"bad"))))</f>
        <v/>
      </c>
      <c r="O901">
        <f>IF(J901="","",IF(ISNUMBER(J901),ROUND(J901,2),IFERROR(ROUND(VALUE(SUBSTITUTE(SUBSTITUTE(SUBSTITUTE(J901,"$",""),",","")," ","")),2),"bad")))</f>
        <v/>
      </c>
      <c r="P901">
        <f>IF(TRIM(K901)="","",IFERROR(MATCH(LOWER(TRIM(K901)),'Students'!$AH$2:$AH$701,0),IFERROR(MATCH(LOWER(TRIM(K901)),'Students'!$AF$2:$AF$701,0),IFERROR(MATCH(LOWER(TRIM(K901)),'Students'!$AG$2:$AG$701,0),""))))</f>
        <v/>
      </c>
      <c r="R901">
        <f>IF(P901="","",INDEX('Students'!$AD$2:$AD$701,P901))</f>
        <v/>
      </c>
      <c r="S901">
        <f>IF(H901="OK",O901,0)</f>
        <v/>
      </c>
      <c r="T901">
        <f>IF(H901="OK",N901,"")</f>
        <v/>
      </c>
      <c r="U901">
        <f>IF(OC_Donor=0,"",IF(INDEX('OneCause_Paste'!$A$901:$AZ$901,1,OC_Donor)="","",INDEX('OneCause_Paste'!$A$901:$AZ$901,1,OC_Donor)))</f>
        <v/>
      </c>
    </row>
    <row r="902">
      <c r="A902" s="62">
        <f>IF(H902="","",IF(ISNUMBER(N902),N902,I902))</f>
        <v/>
      </c>
      <c r="B902">
        <f>IF(H902="","",U902)</f>
        <v/>
      </c>
      <c r="C902">
        <f>IF(H902="","",IF(P902="",K902,INDEX('Students'!$A$2:$A$701,P902)))</f>
        <v/>
      </c>
      <c r="D902">
        <f>IF(OR(H902="",P902=""),"",INDEX('Students'!$B$2:$B$701,P902))</f>
        <v/>
      </c>
      <c r="E902">
        <f>IF(OR(H902="",P902=""),"",INDEX('Students'!$C$2:$C$701,P902))</f>
        <v/>
      </c>
      <c r="F902" s="48">
        <f>IF(H902="","",IF(ISNUMBER(O902),O902,J902))</f>
        <v/>
      </c>
      <c r="G902">
        <f>IF(H902="","","OneCause")</f>
        <v/>
      </c>
      <c r="H902">
        <f>IF(AND(I902="",J902="",K902=""),"",IF(NOT(ISNUMBER(O902)),"Bad amount",IF(O902&lt;0,"Refund (not counted)",IF(O902=0,"Zero amount",IF(NOT(ISNUMBER(N902)),"Bad date",IF(P902="","NAME NOT ON ROSTER",IF(L902="","OK",IF(MATCH(L902,$L$2:$L$3001,0)&lt;ROW()-1,"Duplicate (ignored)","OK"))))))))</f>
        <v/>
      </c>
      <c r="I902">
        <f>IF(OC_Date=0,"",IF(INDEX('OneCause_Paste'!$A$902:$AZ$902,1,OC_Date)="","",INDEX('OneCause_Paste'!$A$902:$AZ$902,1,OC_Date)))</f>
        <v/>
      </c>
      <c r="J902">
        <f>IF(OC_Amt=0,"",IF(INDEX('OneCause_Paste'!$A$902:$AZ$902,1,OC_Amt)="","",INDEX('OneCause_Paste'!$A$902:$AZ$902,1,OC_Amt)))</f>
        <v/>
      </c>
      <c r="K902">
        <f>IF(OC_Name=0,"",IF(INDEX('OneCause_Paste'!$A$902:$AZ$902,1,OC_Name)="","",INDEX('OneCause_Paste'!$A$902:$AZ$902,1,OC_Name)))</f>
        <v/>
      </c>
      <c r="L902">
        <f>IF(OC_Txn=0,"",IF(INDEX('OneCause_Paste'!$A$902:$AZ$902,1,OC_Txn)="","",INDEX('OneCause_Paste'!$A$902:$AZ$902,1,OC_Txn)))</f>
        <v/>
      </c>
      <c r="M902">
        <f>IF(OC_Pay=0,"",IF(INDEX('OneCause_Paste'!$A$902:$AZ$902,1,OC_Pay)="","",INDEX('OneCause_Paste'!$A$902:$AZ$902,1,OC_Pay)))</f>
        <v/>
      </c>
      <c r="N902">
        <f>IF(I902="","",IF(ISNUMBER(I902),INT(I902),IFERROR(INT(DATEVALUE(I902)),IFERROR(INT(VALUE(I902)),"bad"))))</f>
        <v/>
      </c>
      <c r="O902">
        <f>IF(J902="","",IF(ISNUMBER(J902),ROUND(J902,2),IFERROR(ROUND(VALUE(SUBSTITUTE(SUBSTITUTE(SUBSTITUTE(J902,"$",""),",","")," ","")),2),"bad")))</f>
        <v/>
      </c>
      <c r="P902">
        <f>IF(TRIM(K902)="","",IFERROR(MATCH(LOWER(TRIM(K902)),'Students'!$AH$2:$AH$701,0),IFERROR(MATCH(LOWER(TRIM(K902)),'Students'!$AF$2:$AF$701,0),IFERROR(MATCH(LOWER(TRIM(K902)),'Students'!$AG$2:$AG$701,0),""))))</f>
        <v/>
      </c>
      <c r="R902">
        <f>IF(P902="","",INDEX('Students'!$AD$2:$AD$701,P902))</f>
        <v/>
      </c>
      <c r="S902">
        <f>IF(H902="OK",O902,0)</f>
        <v/>
      </c>
      <c r="T902">
        <f>IF(H902="OK",N902,"")</f>
        <v/>
      </c>
      <c r="U902">
        <f>IF(OC_Donor=0,"",IF(INDEX('OneCause_Paste'!$A$902:$AZ$902,1,OC_Donor)="","",INDEX('OneCause_Paste'!$A$902:$AZ$902,1,OC_Donor)))</f>
        <v/>
      </c>
    </row>
    <row r="903">
      <c r="A903" s="62">
        <f>IF(H903="","",IF(ISNUMBER(N903),N903,I903))</f>
        <v/>
      </c>
      <c r="B903">
        <f>IF(H903="","",U903)</f>
        <v/>
      </c>
      <c r="C903">
        <f>IF(H903="","",IF(P903="",K903,INDEX('Students'!$A$2:$A$701,P903)))</f>
        <v/>
      </c>
      <c r="D903">
        <f>IF(OR(H903="",P903=""),"",INDEX('Students'!$B$2:$B$701,P903))</f>
        <v/>
      </c>
      <c r="E903">
        <f>IF(OR(H903="",P903=""),"",INDEX('Students'!$C$2:$C$701,P903))</f>
        <v/>
      </c>
      <c r="F903" s="48">
        <f>IF(H903="","",IF(ISNUMBER(O903),O903,J903))</f>
        <v/>
      </c>
      <c r="G903">
        <f>IF(H903="","","OneCause")</f>
        <v/>
      </c>
      <c r="H903">
        <f>IF(AND(I903="",J903="",K903=""),"",IF(NOT(ISNUMBER(O903)),"Bad amount",IF(O903&lt;0,"Refund (not counted)",IF(O903=0,"Zero amount",IF(NOT(ISNUMBER(N903)),"Bad date",IF(P903="","NAME NOT ON ROSTER",IF(L903="","OK",IF(MATCH(L903,$L$2:$L$3001,0)&lt;ROW()-1,"Duplicate (ignored)","OK"))))))))</f>
        <v/>
      </c>
      <c r="I903">
        <f>IF(OC_Date=0,"",IF(INDEX('OneCause_Paste'!$A$903:$AZ$903,1,OC_Date)="","",INDEX('OneCause_Paste'!$A$903:$AZ$903,1,OC_Date)))</f>
        <v/>
      </c>
      <c r="J903">
        <f>IF(OC_Amt=0,"",IF(INDEX('OneCause_Paste'!$A$903:$AZ$903,1,OC_Amt)="","",INDEX('OneCause_Paste'!$A$903:$AZ$903,1,OC_Amt)))</f>
        <v/>
      </c>
      <c r="K903">
        <f>IF(OC_Name=0,"",IF(INDEX('OneCause_Paste'!$A$903:$AZ$903,1,OC_Name)="","",INDEX('OneCause_Paste'!$A$903:$AZ$903,1,OC_Name)))</f>
        <v/>
      </c>
      <c r="L903">
        <f>IF(OC_Txn=0,"",IF(INDEX('OneCause_Paste'!$A$903:$AZ$903,1,OC_Txn)="","",INDEX('OneCause_Paste'!$A$903:$AZ$903,1,OC_Txn)))</f>
        <v/>
      </c>
      <c r="M903">
        <f>IF(OC_Pay=0,"",IF(INDEX('OneCause_Paste'!$A$903:$AZ$903,1,OC_Pay)="","",INDEX('OneCause_Paste'!$A$903:$AZ$903,1,OC_Pay)))</f>
        <v/>
      </c>
      <c r="N903">
        <f>IF(I903="","",IF(ISNUMBER(I903),INT(I903),IFERROR(INT(DATEVALUE(I903)),IFERROR(INT(VALUE(I903)),"bad"))))</f>
        <v/>
      </c>
      <c r="O903">
        <f>IF(J903="","",IF(ISNUMBER(J903),ROUND(J903,2),IFERROR(ROUND(VALUE(SUBSTITUTE(SUBSTITUTE(SUBSTITUTE(J903,"$",""),",","")," ","")),2),"bad")))</f>
        <v/>
      </c>
      <c r="P903">
        <f>IF(TRIM(K903)="","",IFERROR(MATCH(LOWER(TRIM(K903)),'Students'!$AH$2:$AH$701,0),IFERROR(MATCH(LOWER(TRIM(K903)),'Students'!$AF$2:$AF$701,0),IFERROR(MATCH(LOWER(TRIM(K903)),'Students'!$AG$2:$AG$701,0),""))))</f>
        <v/>
      </c>
      <c r="R903">
        <f>IF(P903="","",INDEX('Students'!$AD$2:$AD$701,P903))</f>
        <v/>
      </c>
      <c r="S903">
        <f>IF(H903="OK",O903,0)</f>
        <v/>
      </c>
      <c r="T903">
        <f>IF(H903="OK",N903,"")</f>
        <v/>
      </c>
      <c r="U903">
        <f>IF(OC_Donor=0,"",IF(INDEX('OneCause_Paste'!$A$903:$AZ$903,1,OC_Donor)="","",INDEX('OneCause_Paste'!$A$903:$AZ$903,1,OC_Donor)))</f>
        <v/>
      </c>
    </row>
    <row r="904">
      <c r="A904" s="62">
        <f>IF(H904="","",IF(ISNUMBER(N904),N904,I904))</f>
        <v/>
      </c>
      <c r="B904">
        <f>IF(H904="","",U904)</f>
        <v/>
      </c>
      <c r="C904">
        <f>IF(H904="","",IF(P904="",K904,INDEX('Students'!$A$2:$A$701,P904)))</f>
        <v/>
      </c>
      <c r="D904">
        <f>IF(OR(H904="",P904=""),"",INDEX('Students'!$B$2:$B$701,P904))</f>
        <v/>
      </c>
      <c r="E904">
        <f>IF(OR(H904="",P904=""),"",INDEX('Students'!$C$2:$C$701,P904))</f>
        <v/>
      </c>
      <c r="F904" s="48">
        <f>IF(H904="","",IF(ISNUMBER(O904),O904,J904))</f>
        <v/>
      </c>
      <c r="G904">
        <f>IF(H904="","","OneCause")</f>
        <v/>
      </c>
      <c r="H904">
        <f>IF(AND(I904="",J904="",K904=""),"",IF(NOT(ISNUMBER(O904)),"Bad amount",IF(O904&lt;0,"Refund (not counted)",IF(O904=0,"Zero amount",IF(NOT(ISNUMBER(N904)),"Bad date",IF(P904="","NAME NOT ON ROSTER",IF(L904="","OK",IF(MATCH(L904,$L$2:$L$3001,0)&lt;ROW()-1,"Duplicate (ignored)","OK"))))))))</f>
        <v/>
      </c>
      <c r="I904">
        <f>IF(OC_Date=0,"",IF(INDEX('OneCause_Paste'!$A$904:$AZ$904,1,OC_Date)="","",INDEX('OneCause_Paste'!$A$904:$AZ$904,1,OC_Date)))</f>
        <v/>
      </c>
      <c r="J904">
        <f>IF(OC_Amt=0,"",IF(INDEX('OneCause_Paste'!$A$904:$AZ$904,1,OC_Amt)="","",INDEX('OneCause_Paste'!$A$904:$AZ$904,1,OC_Amt)))</f>
        <v/>
      </c>
      <c r="K904">
        <f>IF(OC_Name=0,"",IF(INDEX('OneCause_Paste'!$A$904:$AZ$904,1,OC_Name)="","",INDEX('OneCause_Paste'!$A$904:$AZ$904,1,OC_Name)))</f>
        <v/>
      </c>
      <c r="L904">
        <f>IF(OC_Txn=0,"",IF(INDEX('OneCause_Paste'!$A$904:$AZ$904,1,OC_Txn)="","",INDEX('OneCause_Paste'!$A$904:$AZ$904,1,OC_Txn)))</f>
        <v/>
      </c>
      <c r="M904">
        <f>IF(OC_Pay=0,"",IF(INDEX('OneCause_Paste'!$A$904:$AZ$904,1,OC_Pay)="","",INDEX('OneCause_Paste'!$A$904:$AZ$904,1,OC_Pay)))</f>
        <v/>
      </c>
      <c r="N904">
        <f>IF(I904="","",IF(ISNUMBER(I904),INT(I904),IFERROR(INT(DATEVALUE(I904)),IFERROR(INT(VALUE(I904)),"bad"))))</f>
        <v/>
      </c>
      <c r="O904">
        <f>IF(J904="","",IF(ISNUMBER(J904),ROUND(J904,2),IFERROR(ROUND(VALUE(SUBSTITUTE(SUBSTITUTE(SUBSTITUTE(J904,"$",""),",","")," ","")),2),"bad")))</f>
        <v/>
      </c>
      <c r="P904">
        <f>IF(TRIM(K904)="","",IFERROR(MATCH(LOWER(TRIM(K904)),'Students'!$AH$2:$AH$701,0),IFERROR(MATCH(LOWER(TRIM(K904)),'Students'!$AF$2:$AF$701,0),IFERROR(MATCH(LOWER(TRIM(K904)),'Students'!$AG$2:$AG$701,0),""))))</f>
        <v/>
      </c>
      <c r="R904">
        <f>IF(P904="","",INDEX('Students'!$AD$2:$AD$701,P904))</f>
        <v/>
      </c>
      <c r="S904">
        <f>IF(H904="OK",O904,0)</f>
        <v/>
      </c>
      <c r="T904">
        <f>IF(H904="OK",N904,"")</f>
        <v/>
      </c>
      <c r="U904">
        <f>IF(OC_Donor=0,"",IF(INDEX('OneCause_Paste'!$A$904:$AZ$904,1,OC_Donor)="","",INDEX('OneCause_Paste'!$A$904:$AZ$904,1,OC_Donor)))</f>
        <v/>
      </c>
    </row>
    <row r="905">
      <c r="A905" s="62">
        <f>IF(H905="","",IF(ISNUMBER(N905),N905,I905))</f>
        <v/>
      </c>
      <c r="B905">
        <f>IF(H905="","",U905)</f>
        <v/>
      </c>
      <c r="C905">
        <f>IF(H905="","",IF(P905="",K905,INDEX('Students'!$A$2:$A$701,P905)))</f>
        <v/>
      </c>
      <c r="D905">
        <f>IF(OR(H905="",P905=""),"",INDEX('Students'!$B$2:$B$701,P905))</f>
        <v/>
      </c>
      <c r="E905">
        <f>IF(OR(H905="",P905=""),"",INDEX('Students'!$C$2:$C$701,P905))</f>
        <v/>
      </c>
      <c r="F905" s="48">
        <f>IF(H905="","",IF(ISNUMBER(O905),O905,J905))</f>
        <v/>
      </c>
      <c r="G905">
        <f>IF(H905="","","OneCause")</f>
        <v/>
      </c>
      <c r="H905">
        <f>IF(AND(I905="",J905="",K905=""),"",IF(NOT(ISNUMBER(O905)),"Bad amount",IF(O905&lt;0,"Refund (not counted)",IF(O905=0,"Zero amount",IF(NOT(ISNUMBER(N905)),"Bad date",IF(P905="","NAME NOT ON ROSTER",IF(L905="","OK",IF(MATCH(L905,$L$2:$L$3001,0)&lt;ROW()-1,"Duplicate (ignored)","OK"))))))))</f>
        <v/>
      </c>
      <c r="I905">
        <f>IF(OC_Date=0,"",IF(INDEX('OneCause_Paste'!$A$905:$AZ$905,1,OC_Date)="","",INDEX('OneCause_Paste'!$A$905:$AZ$905,1,OC_Date)))</f>
        <v/>
      </c>
      <c r="J905">
        <f>IF(OC_Amt=0,"",IF(INDEX('OneCause_Paste'!$A$905:$AZ$905,1,OC_Amt)="","",INDEX('OneCause_Paste'!$A$905:$AZ$905,1,OC_Amt)))</f>
        <v/>
      </c>
      <c r="K905">
        <f>IF(OC_Name=0,"",IF(INDEX('OneCause_Paste'!$A$905:$AZ$905,1,OC_Name)="","",INDEX('OneCause_Paste'!$A$905:$AZ$905,1,OC_Name)))</f>
        <v/>
      </c>
      <c r="L905">
        <f>IF(OC_Txn=0,"",IF(INDEX('OneCause_Paste'!$A$905:$AZ$905,1,OC_Txn)="","",INDEX('OneCause_Paste'!$A$905:$AZ$905,1,OC_Txn)))</f>
        <v/>
      </c>
      <c r="M905">
        <f>IF(OC_Pay=0,"",IF(INDEX('OneCause_Paste'!$A$905:$AZ$905,1,OC_Pay)="","",INDEX('OneCause_Paste'!$A$905:$AZ$905,1,OC_Pay)))</f>
        <v/>
      </c>
      <c r="N905">
        <f>IF(I905="","",IF(ISNUMBER(I905),INT(I905),IFERROR(INT(DATEVALUE(I905)),IFERROR(INT(VALUE(I905)),"bad"))))</f>
        <v/>
      </c>
      <c r="O905">
        <f>IF(J905="","",IF(ISNUMBER(J905),ROUND(J905,2),IFERROR(ROUND(VALUE(SUBSTITUTE(SUBSTITUTE(SUBSTITUTE(J905,"$",""),",","")," ","")),2),"bad")))</f>
        <v/>
      </c>
      <c r="P905">
        <f>IF(TRIM(K905)="","",IFERROR(MATCH(LOWER(TRIM(K905)),'Students'!$AH$2:$AH$701,0),IFERROR(MATCH(LOWER(TRIM(K905)),'Students'!$AF$2:$AF$701,0),IFERROR(MATCH(LOWER(TRIM(K905)),'Students'!$AG$2:$AG$701,0),""))))</f>
        <v/>
      </c>
      <c r="R905">
        <f>IF(P905="","",INDEX('Students'!$AD$2:$AD$701,P905))</f>
        <v/>
      </c>
      <c r="S905">
        <f>IF(H905="OK",O905,0)</f>
        <v/>
      </c>
      <c r="T905">
        <f>IF(H905="OK",N905,"")</f>
        <v/>
      </c>
      <c r="U905">
        <f>IF(OC_Donor=0,"",IF(INDEX('OneCause_Paste'!$A$905:$AZ$905,1,OC_Donor)="","",INDEX('OneCause_Paste'!$A$905:$AZ$905,1,OC_Donor)))</f>
        <v/>
      </c>
    </row>
    <row r="906">
      <c r="A906" s="62">
        <f>IF(H906="","",IF(ISNUMBER(N906),N906,I906))</f>
        <v/>
      </c>
      <c r="B906">
        <f>IF(H906="","",U906)</f>
        <v/>
      </c>
      <c r="C906">
        <f>IF(H906="","",IF(P906="",K906,INDEX('Students'!$A$2:$A$701,P906)))</f>
        <v/>
      </c>
      <c r="D906">
        <f>IF(OR(H906="",P906=""),"",INDEX('Students'!$B$2:$B$701,P906))</f>
        <v/>
      </c>
      <c r="E906">
        <f>IF(OR(H906="",P906=""),"",INDEX('Students'!$C$2:$C$701,P906))</f>
        <v/>
      </c>
      <c r="F906" s="48">
        <f>IF(H906="","",IF(ISNUMBER(O906),O906,J906))</f>
        <v/>
      </c>
      <c r="G906">
        <f>IF(H906="","","OneCause")</f>
        <v/>
      </c>
      <c r="H906">
        <f>IF(AND(I906="",J906="",K906=""),"",IF(NOT(ISNUMBER(O906)),"Bad amount",IF(O906&lt;0,"Refund (not counted)",IF(O906=0,"Zero amount",IF(NOT(ISNUMBER(N906)),"Bad date",IF(P906="","NAME NOT ON ROSTER",IF(L906="","OK",IF(MATCH(L906,$L$2:$L$3001,0)&lt;ROW()-1,"Duplicate (ignored)","OK"))))))))</f>
        <v/>
      </c>
      <c r="I906">
        <f>IF(OC_Date=0,"",IF(INDEX('OneCause_Paste'!$A$906:$AZ$906,1,OC_Date)="","",INDEX('OneCause_Paste'!$A$906:$AZ$906,1,OC_Date)))</f>
        <v/>
      </c>
      <c r="J906">
        <f>IF(OC_Amt=0,"",IF(INDEX('OneCause_Paste'!$A$906:$AZ$906,1,OC_Amt)="","",INDEX('OneCause_Paste'!$A$906:$AZ$906,1,OC_Amt)))</f>
        <v/>
      </c>
      <c r="K906">
        <f>IF(OC_Name=0,"",IF(INDEX('OneCause_Paste'!$A$906:$AZ$906,1,OC_Name)="","",INDEX('OneCause_Paste'!$A$906:$AZ$906,1,OC_Name)))</f>
        <v/>
      </c>
      <c r="L906">
        <f>IF(OC_Txn=0,"",IF(INDEX('OneCause_Paste'!$A$906:$AZ$906,1,OC_Txn)="","",INDEX('OneCause_Paste'!$A$906:$AZ$906,1,OC_Txn)))</f>
        <v/>
      </c>
      <c r="M906">
        <f>IF(OC_Pay=0,"",IF(INDEX('OneCause_Paste'!$A$906:$AZ$906,1,OC_Pay)="","",INDEX('OneCause_Paste'!$A$906:$AZ$906,1,OC_Pay)))</f>
        <v/>
      </c>
      <c r="N906">
        <f>IF(I906="","",IF(ISNUMBER(I906),INT(I906),IFERROR(INT(DATEVALUE(I906)),IFERROR(INT(VALUE(I906)),"bad"))))</f>
        <v/>
      </c>
      <c r="O906">
        <f>IF(J906="","",IF(ISNUMBER(J906),ROUND(J906,2),IFERROR(ROUND(VALUE(SUBSTITUTE(SUBSTITUTE(SUBSTITUTE(J906,"$",""),",","")," ","")),2),"bad")))</f>
        <v/>
      </c>
      <c r="P906">
        <f>IF(TRIM(K906)="","",IFERROR(MATCH(LOWER(TRIM(K906)),'Students'!$AH$2:$AH$701,0),IFERROR(MATCH(LOWER(TRIM(K906)),'Students'!$AF$2:$AF$701,0),IFERROR(MATCH(LOWER(TRIM(K906)),'Students'!$AG$2:$AG$701,0),""))))</f>
        <v/>
      </c>
      <c r="R906">
        <f>IF(P906="","",INDEX('Students'!$AD$2:$AD$701,P906))</f>
        <v/>
      </c>
      <c r="S906">
        <f>IF(H906="OK",O906,0)</f>
        <v/>
      </c>
      <c r="T906">
        <f>IF(H906="OK",N906,"")</f>
        <v/>
      </c>
      <c r="U906">
        <f>IF(OC_Donor=0,"",IF(INDEX('OneCause_Paste'!$A$906:$AZ$906,1,OC_Donor)="","",INDEX('OneCause_Paste'!$A$906:$AZ$906,1,OC_Donor)))</f>
        <v/>
      </c>
    </row>
    <row r="907">
      <c r="A907" s="62">
        <f>IF(H907="","",IF(ISNUMBER(N907),N907,I907))</f>
        <v/>
      </c>
      <c r="B907">
        <f>IF(H907="","",U907)</f>
        <v/>
      </c>
      <c r="C907">
        <f>IF(H907="","",IF(P907="",K907,INDEX('Students'!$A$2:$A$701,P907)))</f>
        <v/>
      </c>
      <c r="D907">
        <f>IF(OR(H907="",P907=""),"",INDEX('Students'!$B$2:$B$701,P907))</f>
        <v/>
      </c>
      <c r="E907">
        <f>IF(OR(H907="",P907=""),"",INDEX('Students'!$C$2:$C$701,P907))</f>
        <v/>
      </c>
      <c r="F907" s="48">
        <f>IF(H907="","",IF(ISNUMBER(O907),O907,J907))</f>
        <v/>
      </c>
      <c r="G907">
        <f>IF(H907="","","OneCause")</f>
        <v/>
      </c>
      <c r="H907">
        <f>IF(AND(I907="",J907="",K907=""),"",IF(NOT(ISNUMBER(O907)),"Bad amount",IF(O907&lt;0,"Refund (not counted)",IF(O907=0,"Zero amount",IF(NOT(ISNUMBER(N907)),"Bad date",IF(P907="","NAME NOT ON ROSTER",IF(L907="","OK",IF(MATCH(L907,$L$2:$L$3001,0)&lt;ROW()-1,"Duplicate (ignored)","OK"))))))))</f>
        <v/>
      </c>
      <c r="I907">
        <f>IF(OC_Date=0,"",IF(INDEX('OneCause_Paste'!$A$907:$AZ$907,1,OC_Date)="","",INDEX('OneCause_Paste'!$A$907:$AZ$907,1,OC_Date)))</f>
        <v/>
      </c>
      <c r="J907">
        <f>IF(OC_Amt=0,"",IF(INDEX('OneCause_Paste'!$A$907:$AZ$907,1,OC_Amt)="","",INDEX('OneCause_Paste'!$A$907:$AZ$907,1,OC_Amt)))</f>
        <v/>
      </c>
      <c r="K907">
        <f>IF(OC_Name=0,"",IF(INDEX('OneCause_Paste'!$A$907:$AZ$907,1,OC_Name)="","",INDEX('OneCause_Paste'!$A$907:$AZ$907,1,OC_Name)))</f>
        <v/>
      </c>
      <c r="L907">
        <f>IF(OC_Txn=0,"",IF(INDEX('OneCause_Paste'!$A$907:$AZ$907,1,OC_Txn)="","",INDEX('OneCause_Paste'!$A$907:$AZ$907,1,OC_Txn)))</f>
        <v/>
      </c>
      <c r="M907">
        <f>IF(OC_Pay=0,"",IF(INDEX('OneCause_Paste'!$A$907:$AZ$907,1,OC_Pay)="","",INDEX('OneCause_Paste'!$A$907:$AZ$907,1,OC_Pay)))</f>
        <v/>
      </c>
      <c r="N907">
        <f>IF(I907="","",IF(ISNUMBER(I907),INT(I907),IFERROR(INT(DATEVALUE(I907)),IFERROR(INT(VALUE(I907)),"bad"))))</f>
        <v/>
      </c>
      <c r="O907">
        <f>IF(J907="","",IF(ISNUMBER(J907),ROUND(J907,2),IFERROR(ROUND(VALUE(SUBSTITUTE(SUBSTITUTE(SUBSTITUTE(J907,"$",""),",","")," ","")),2),"bad")))</f>
        <v/>
      </c>
      <c r="P907">
        <f>IF(TRIM(K907)="","",IFERROR(MATCH(LOWER(TRIM(K907)),'Students'!$AH$2:$AH$701,0),IFERROR(MATCH(LOWER(TRIM(K907)),'Students'!$AF$2:$AF$701,0),IFERROR(MATCH(LOWER(TRIM(K907)),'Students'!$AG$2:$AG$701,0),""))))</f>
        <v/>
      </c>
      <c r="R907">
        <f>IF(P907="","",INDEX('Students'!$AD$2:$AD$701,P907))</f>
        <v/>
      </c>
      <c r="S907">
        <f>IF(H907="OK",O907,0)</f>
        <v/>
      </c>
      <c r="T907">
        <f>IF(H907="OK",N907,"")</f>
        <v/>
      </c>
      <c r="U907">
        <f>IF(OC_Donor=0,"",IF(INDEX('OneCause_Paste'!$A$907:$AZ$907,1,OC_Donor)="","",INDEX('OneCause_Paste'!$A$907:$AZ$907,1,OC_Donor)))</f>
        <v/>
      </c>
    </row>
    <row r="908">
      <c r="A908" s="62">
        <f>IF(H908="","",IF(ISNUMBER(N908),N908,I908))</f>
        <v/>
      </c>
      <c r="B908">
        <f>IF(H908="","",U908)</f>
        <v/>
      </c>
      <c r="C908">
        <f>IF(H908="","",IF(P908="",K908,INDEX('Students'!$A$2:$A$701,P908)))</f>
        <v/>
      </c>
      <c r="D908">
        <f>IF(OR(H908="",P908=""),"",INDEX('Students'!$B$2:$B$701,P908))</f>
        <v/>
      </c>
      <c r="E908">
        <f>IF(OR(H908="",P908=""),"",INDEX('Students'!$C$2:$C$701,P908))</f>
        <v/>
      </c>
      <c r="F908" s="48">
        <f>IF(H908="","",IF(ISNUMBER(O908),O908,J908))</f>
        <v/>
      </c>
      <c r="G908">
        <f>IF(H908="","","OneCause")</f>
        <v/>
      </c>
      <c r="H908">
        <f>IF(AND(I908="",J908="",K908=""),"",IF(NOT(ISNUMBER(O908)),"Bad amount",IF(O908&lt;0,"Refund (not counted)",IF(O908=0,"Zero amount",IF(NOT(ISNUMBER(N908)),"Bad date",IF(P908="","NAME NOT ON ROSTER",IF(L908="","OK",IF(MATCH(L908,$L$2:$L$3001,0)&lt;ROW()-1,"Duplicate (ignored)","OK"))))))))</f>
        <v/>
      </c>
      <c r="I908">
        <f>IF(OC_Date=0,"",IF(INDEX('OneCause_Paste'!$A$908:$AZ$908,1,OC_Date)="","",INDEX('OneCause_Paste'!$A$908:$AZ$908,1,OC_Date)))</f>
        <v/>
      </c>
      <c r="J908">
        <f>IF(OC_Amt=0,"",IF(INDEX('OneCause_Paste'!$A$908:$AZ$908,1,OC_Amt)="","",INDEX('OneCause_Paste'!$A$908:$AZ$908,1,OC_Amt)))</f>
        <v/>
      </c>
      <c r="K908">
        <f>IF(OC_Name=0,"",IF(INDEX('OneCause_Paste'!$A$908:$AZ$908,1,OC_Name)="","",INDEX('OneCause_Paste'!$A$908:$AZ$908,1,OC_Name)))</f>
        <v/>
      </c>
      <c r="L908">
        <f>IF(OC_Txn=0,"",IF(INDEX('OneCause_Paste'!$A$908:$AZ$908,1,OC_Txn)="","",INDEX('OneCause_Paste'!$A$908:$AZ$908,1,OC_Txn)))</f>
        <v/>
      </c>
      <c r="M908">
        <f>IF(OC_Pay=0,"",IF(INDEX('OneCause_Paste'!$A$908:$AZ$908,1,OC_Pay)="","",INDEX('OneCause_Paste'!$A$908:$AZ$908,1,OC_Pay)))</f>
        <v/>
      </c>
      <c r="N908">
        <f>IF(I908="","",IF(ISNUMBER(I908),INT(I908),IFERROR(INT(DATEVALUE(I908)),IFERROR(INT(VALUE(I908)),"bad"))))</f>
        <v/>
      </c>
      <c r="O908">
        <f>IF(J908="","",IF(ISNUMBER(J908),ROUND(J908,2),IFERROR(ROUND(VALUE(SUBSTITUTE(SUBSTITUTE(SUBSTITUTE(J908,"$",""),",","")," ","")),2),"bad")))</f>
        <v/>
      </c>
      <c r="P908">
        <f>IF(TRIM(K908)="","",IFERROR(MATCH(LOWER(TRIM(K908)),'Students'!$AH$2:$AH$701,0),IFERROR(MATCH(LOWER(TRIM(K908)),'Students'!$AF$2:$AF$701,0),IFERROR(MATCH(LOWER(TRIM(K908)),'Students'!$AG$2:$AG$701,0),""))))</f>
        <v/>
      </c>
      <c r="R908">
        <f>IF(P908="","",INDEX('Students'!$AD$2:$AD$701,P908))</f>
        <v/>
      </c>
      <c r="S908">
        <f>IF(H908="OK",O908,0)</f>
        <v/>
      </c>
      <c r="T908">
        <f>IF(H908="OK",N908,"")</f>
        <v/>
      </c>
      <c r="U908">
        <f>IF(OC_Donor=0,"",IF(INDEX('OneCause_Paste'!$A$908:$AZ$908,1,OC_Donor)="","",INDEX('OneCause_Paste'!$A$908:$AZ$908,1,OC_Donor)))</f>
        <v/>
      </c>
    </row>
    <row r="909">
      <c r="A909" s="62">
        <f>IF(H909="","",IF(ISNUMBER(N909),N909,I909))</f>
        <v/>
      </c>
      <c r="B909">
        <f>IF(H909="","",U909)</f>
        <v/>
      </c>
      <c r="C909">
        <f>IF(H909="","",IF(P909="",K909,INDEX('Students'!$A$2:$A$701,P909)))</f>
        <v/>
      </c>
      <c r="D909">
        <f>IF(OR(H909="",P909=""),"",INDEX('Students'!$B$2:$B$701,P909))</f>
        <v/>
      </c>
      <c r="E909">
        <f>IF(OR(H909="",P909=""),"",INDEX('Students'!$C$2:$C$701,P909))</f>
        <v/>
      </c>
      <c r="F909" s="48">
        <f>IF(H909="","",IF(ISNUMBER(O909),O909,J909))</f>
        <v/>
      </c>
      <c r="G909">
        <f>IF(H909="","","OneCause")</f>
        <v/>
      </c>
      <c r="H909">
        <f>IF(AND(I909="",J909="",K909=""),"",IF(NOT(ISNUMBER(O909)),"Bad amount",IF(O909&lt;0,"Refund (not counted)",IF(O909=0,"Zero amount",IF(NOT(ISNUMBER(N909)),"Bad date",IF(P909="","NAME NOT ON ROSTER",IF(L909="","OK",IF(MATCH(L909,$L$2:$L$3001,0)&lt;ROW()-1,"Duplicate (ignored)","OK"))))))))</f>
        <v/>
      </c>
      <c r="I909">
        <f>IF(OC_Date=0,"",IF(INDEX('OneCause_Paste'!$A$909:$AZ$909,1,OC_Date)="","",INDEX('OneCause_Paste'!$A$909:$AZ$909,1,OC_Date)))</f>
        <v/>
      </c>
      <c r="J909">
        <f>IF(OC_Amt=0,"",IF(INDEX('OneCause_Paste'!$A$909:$AZ$909,1,OC_Amt)="","",INDEX('OneCause_Paste'!$A$909:$AZ$909,1,OC_Amt)))</f>
        <v/>
      </c>
      <c r="K909">
        <f>IF(OC_Name=0,"",IF(INDEX('OneCause_Paste'!$A$909:$AZ$909,1,OC_Name)="","",INDEX('OneCause_Paste'!$A$909:$AZ$909,1,OC_Name)))</f>
        <v/>
      </c>
      <c r="L909">
        <f>IF(OC_Txn=0,"",IF(INDEX('OneCause_Paste'!$A$909:$AZ$909,1,OC_Txn)="","",INDEX('OneCause_Paste'!$A$909:$AZ$909,1,OC_Txn)))</f>
        <v/>
      </c>
      <c r="M909">
        <f>IF(OC_Pay=0,"",IF(INDEX('OneCause_Paste'!$A$909:$AZ$909,1,OC_Pay)="","",INDEX('OneCause_Paste'!$A$909:$AZ$909,1,OC_Pay)))</f>
        <v/>
      </c>
      <c r="N909">
        <f>IF(I909="","",IF(ISNUMBER(I909),INT(I909),IFERROR(INT(DATEVALUE(I909)),IFERROR(INT(VALUE(I909)),"bad"))))</f>
        <v/>
      </c>
      <c r="O909">
        <f>IF(J909="","",IF(ISNUMBER(J909),ROUND(J909,2),IFERROR(ROUND(VALUE(SUBSTITUTE(SUBSTITUTE(SUBSTITUTE(J909,"$",""),",","")," ","")),2),"bad")))</f>
        <v/>
      </c>
      <c r="P909">
        <f>IF(TRIM(K909)="","",IFERROR(MATCH(LOWER(TRIM(K909)),'Students'!$AH$2:$AH$701,0),IFERROR(MATCH(LOWER(TRIM(K909)),'Students'!$AF$2:$AF$701,0),IFERROR(MATCH(LOWER(TRIM(K909)),'Students'!$AG$2:$AG$701,0),""))))</f>
        <v/>
      </c>
      <c r="R909">
        <f>IF(P909="","",INDEX('Students'!$AD$2:$AD$701,P909))</f>
        <v/>
      </c>
      <c r="S909">
        <f>IF(H909="OK",O909,0)</f>
        <v/>
      </c>
      <c r="T909">
        <f>IF(H909="OK",N909,"")</f>
        <v/>
      </c>
      <c r="U909">
        <f>IF(OC_Donor=0,"",IF(INDEX('OneCause_Paste'!$A$909:$AZ$909,1,OC_Donor)="","",INDEX('OneCause_Paste'!$A$909:$AZ$909,1,OC_Donor)))</f>
        <v/>
      </c>
    </row>
    <row r="910">
      <c r="A910" s="62">
        <f>IF(H910="","",IF(ISNUMBER(N910),N910,I910))</f>
        <v/>
      </c>
      <c r="B910">
        <f>IF(H910="","",U910)</f>
        <v/>
      </c>
      <c r="C910">
        <f>IF(H910="","",IF(P910="",K910,INDEX('Students'!$A$2:$A$701,P910)))</f>
        <v/>
      </c>
      <c r="D910">
        <f>IF(OR(H910="",P910=""),"",INDEX('Students'!$B$2:$B$701,P910))</f>
        <v/>
      </c>
      <c r="E910">
        <f>IF(OR(H910="",P910=""),"",INDEX('Students'!$C$2:$C$701,P910))</f>
        <v/>
      </c>
      <c r="F910" s="48">
        <f>IF(H910="","",IF(ISNUMBER(O910),O910,J910))</f>
        <v/>
      </c>
      <c r="G910">
        <f>IF(H910="","","OneCause")</f>
        <v/>
      </c>
      <c r="H910">
        <f>IF(AND(I910="",J910="",K910=""),"",IF(NOT(ISNUMBER(O910)),"Bad amount",IF(O910&lt;0,"Refund (not counted)",IF(O910=0,"Zero amount",IF(NOT(ISNUMBER(N910)),"Bad date",IF(P910="","NAME NOT ON ROSTER",IF(L910="","OK",IF(MATCH(L910,$L$2:$L$3001,0)&lt;ROW()-1,"Duplicate (ignored)","OK"))))))))</f>
        <v/>
      </c>
      <c r="I910">
        <f>IF(OC_Date=0,"",IF(INDEX('OneCause_Paste'!$A$910:$AZ$910,1,OC_Date)="","",INDEX('OneCause_Paste'!$A$910:$AZ$910,1,OC_Date)))</f>
        <v/>
      </c>
      <c r="J910">
        <f>IF(OC_Amt=0,"",IF(INDEX('OneCause_Paste'!$A$910:$AZ$910,1,OC_Amt)="","",INDEX('OneCause_Paste'!$A$910:$AZ$910,1,OC_Amt)))</f>
        <v/>
      </c>
      <c r="K910">
        <f>IF(OC_Name=0,"",IF(INDEX('OneCause_Paste'!$A$910:$AZ$910,1,OC_Name)="","",INDEX('OneCause_Paste'!$A$910:$AZ$910,1,OC_Name)))</f>
        <v/>
      </c>
      <c r="L910">
        <f>IF(OC_Txn=0,"",IF(INDEX('OneCause_Paste'!$A$910:$AZ$910,1,OC_Txn)="","",INDEX('OneCause_Paste'!$A$910:$AZ$910,1,OC_Txn)))</f>
        <v/>
      </c>
      <c r="M910">
        <f>IF(OC_Pay=0,"",IF(INDEX('OneCause_Paste'!$A$910:$AZ$910,1,OC_Pay)="","",INDEX('OneCause_Paste'!$A$910:$AZ$910,1,OC_Pay)))</f>
        <v/>
      </c>
      <c r="N910">
        <f>IF(I910="","",IF(ISNUMBER(I910),INT(I910),IFERROR(INT(DATEVALUE(I910)),IFERROR(INT(VALUE(I910)),"bad"))))</f>
        <v/>
      </c>
      <c r="O910">
        <f>IF(J910="","",IF(ISNUMBER(J910),ROUND(J910,2),IFERROR(ROUND(VALUE(SUBSTITUTE(SUBSTITUTE(SUBSTITUTE(J910,"$",""),",","")," ","")),2),"bad")))</f>
        <v/>
      </c>
      <c r="P910">
        <f>IF(TRIM(K910)="","",IFERROR(MATCH(LOWER(TRIM(K910)),'Students'!$AH$2:$AH$701,0),IFERROR(MATCH(LOWER(TRIM(K910)),'Students'!$AF$2:$AF$701,0),IFERROR(MATCH(LOWER(TRIM(K910)),'Students'!$AG$2:$AG$701,0),""))))</f>
        <v/>
      </c>
      <c r="R910">
        <f>IF(P910="","",INDEX('Students'!$AD$2:$AD$701,P910))</f>
        <v/>
      </c>
      <c r="S910">
        <f>IF(H910="OK",O910,0)</f>
        <v/>
      </c>
      <c r="T910">
        <f>IF(H910="OK",N910,"")</f>
        <v/>
      </c>
      <c r="U910">
        <f>IF(OC_Donor=0,"",IF(INDEX('OneCause_Paste'!$A$910:$AZ$910,1,OC_Donor)="","",INDEX('OneCause_Paste'!$A$910:$AZ$910,1,OC_Donor)))</f>
        <v/>
      </c>
    </row>
    <row r="911">
      <c r="A911" s="62">
        <f>IF(H911="","",IF(ISNUMBER(N911),N911,I911))</f>
        <v/>
      </c>
      <c r="B911">
        <f>IF(H911="","",U911)</f>
        <v/>
      </c>
      <c r="C911">
        <f>IF(H911="","",IF(P911="",K911,INDEX('Students'!$A$2:$A$701,P911)))</f>
        <v/>
      </c>
      <c r="D911">
        <f>IF(OR(H911="",P911=""),"",INDEX('Students'!$B$2:$B$701,P911))</f>
        <v/>
      </c>
      <c r="E911">
        <f>IF(OR(H911="",P911=""),"",INDEX('Students'!$C$2:$C$701,P911))</f>
        <v/>
      </c>
      <c r="F911" s="48">
        <f>IF(H911="","",IF(ISNUMBER(O911),O911,J911))</f>
        <v/>
      </c>
      <c r="G911">
        <f>IF(H911="","","OneCause")</f>
        <v/>
      </c>
      <c r="H911">
        <f>IF(AND(I911="",J911="",K911=""),"",IF(NOT(ISNUMBER(O911)),"Bad amount",IF(O911&lt;0,"Refund (not counted)",IF(O911=0,"Zero amount",IF(NOT(ISNUMBER(N911)),"Bad date",IF(P911="","NAME NOT ON ROSTER",IF(L911="","OK",IF(MATCH(L911,$L$2:$L$3001,0)&lt;ROW()-1,"Duplicate (ignored)","OK"))))))))</f>
        <v/>
      </c>
      <c r="I911">
        <f>IF(OC_Date=0,"",IF(INDEX('OneCause_Paste'!$A$911:$AZ$911,1,OC_Date)="","",INDEX('OneCause_Paste'!$A$911:$AZ$911,1,OC_Date)))</f>
        <v/>
      </c>
      <c r="J911">
        <f>IF(OC_Amt=0,"",IF(INDEX('OneCause_Paste'!$A$911:$AZ$911,1,OC_Amt)="","",INDEX('OneCause_Paste'!$A$911:$AZ$911,1,OC_Amt)))</f>
        <v/>
      </c>
      <c r="K911">
        <f>IF(OC_Name=0,"",IF(INDEX('OneCause_Paste'!$A$911:$AZ$911,1,OC_Name)="","",INDEX('OneCause_Paste'!$A$911:$AZ$911,1,OC_Name)))</f>
        <v/>
      </c>
      <c r="L911">
        <f>IF(OC_Txn=0,"",IF(INDEX('OneCause_Paste'!$A$911:$AZ$911,1,OC_Txn)="","",INDEX('OneCause_Paste'!$A$911:$AZ$911,1,OC_Txn)))</f>
        <v/>
      </c>
      <c r="M911">
        <f>IF(OC_Pay=0,"",IF(INDEX('OneCause_Paste'!$A$911:$AZ$911,1,OC_Pay)="","",INDEX('OneCause_Paste'!$A$911:$AZ$911,1,OC_Pay)))</f>
        <v/>
      </c>
      <c r="N911">
        <f>IF(I911="","",IF(ISNUMBER(I911),INT(I911),IFERROR(INT(DATEVALUE(I911)),IFERROR(INT(VALUE(I911)),"bad"))))</f>
        <v/>
      </c>
      <c r="O911">
        <f>IF(J911="","",IF(ISNUMBER(J911),ROUND(J911,2),IFERROR(ROUND(VALUE(SUBSTITUTE(SUBSTITUTE(SUBSTITUTE(J911,"$",""),",","")," ","")),2),"bad")))</f>
        <v/>
      </c>
      <c r="P911">
        <f>IF(TRIM(K911)="","",IFERROR(MATCH(LOWER(TRIM(K911)),'Students'!$AH$2:$AH$701,0),IFERROR(MATCH(LOWER(TRIM(K911)),'Students'!$AF$2:$AF$701,0),IFERROR(MATCH(LOWER(TRIM(K911)),'Students'!$AG$2:$AG$701,0),""))))</f>
        <v/>
      </c>
      <c r="R911">
        <f>IF(P911="","",INDEX('Students'!$AD$2:$AD$701,P911))</f>
        <v/>
      </c>
      <c r="S911">
        <f>IF(H911="OK",O911,0)</f>
        <v/>
      </c>
      <c r="T911">
        <f>IF(H911="OK",N911,"")</f>
        <v/>
      </c>
      <c r="U911">
        <f>IF(OC_Donor=0,"",IF(INDEX('OneCause_Paste'!$A$911:$AZ$911,1,OC_Donor)="","",INDEX('OneCause_Paste'!$A$911:$AZ$911,1,OC_Donor)))</f>
        <v/>
      </c>
    </row>
    <row r="912">
      <c r="A912" s="62">
        <f>IF(H912="","",IF(ISNUMBER(N912),N912,I912))</f>
        <v/>
      </c>
      <c r="B912">
        <f>IF(H912="","",U912)</f>
        <v/>
      </c>
      <c r="C912">
        <f>IF(H912="","",IF(P912="",K912,INDEX('Students'!$A$2:$A$701,P912)))</f>
        <v/>
      </c>
      <c r="D912">
        <f>IF(OR(H912="",P912=""),"",INDEX('Students'!$B$2:$B$701,P912))</f>
        <v/>
      </c>
      <c r="E912">
        <f>IF(OR(H912="",P912=""),"",INDEX('Students'!$C$2:$C$701,P912))</f>
        <v/>
      </c>
      <c r="F912" s="48">
        <f>IF(H912="","",IF(ISNUMBER(O912),O912,J912))</f>
        <v/>
      </c>
      <c r="G912">
        <f>IF(H912="","","OneCause")</f>
        <v/>
      </c>
      <c r="H912">
        <f>IF(AND(I912="",J912="",K912=""),"",IF(NOT(ISNUMBER(O912)),"Bad amount",IF(O912&lt;0,"Refund (not counted)",IF(O912=0,"Zero amount",IF(NOT(ISNUMBER(N912)),"Bad date",IF(P912="","NAME NOT ON ROSTER",IF(L912="","OK",IF(MATCH(L912,$L$2:$L$3001,0)&lt;ROW()-1,"Duplicate (ignored)","OK"))))))))</f>
        <v/>
      </c>
      <c r="I912">
        <f>IF(OC_Date=0,"",IF(INDEX('OneCause_Paste'!$A$912:$AZ$912,1,OC_Date)="","",INDEX('OneCause_Paste'!$A$912:$AZ$912,1,OC_Date)))</f>
        <v/>
      </c>
      <c r="J912">
        <f>IF(OC_Amt=0,"",IF(INDEX('OneCause_Paste'!$A$912:$AZ$912,1,OC_Amt)="","",INDEX('OneCause_Paste'!$A$912:$AZ$912,1,OC_Amt)))</f>
        <v/>
      </c>
      <c r="K912">
        <f>IF(OC_Name=0,"",IF(INDEX('OneCause_Paste'!$A$912:$AZ$912,1,OC_Name)="","",INDEX('OneCause_Paste'!$A$912:$AZ$912,1,OC_Name)))</f>
        <v/>
      </c>
      <c r="L912">
        <f>IF(OC_Txn=0,"",IF(INDEX('OneCause_Paste'!$A$912:$AZ$912,1,OC_Txn)="","",INDEX('OneCause_Paste'!$A$912:$AZ$912,1,OC_Txn)))</f>
        <v/>
      </c>
      <c r="M912">
        <f>IF(OC_Pay=0,"",IF(INDEX('OneCause_Paste'!$A$912:$AZ$912,1,OC_Pay)="","",INDEX('OneCause_Paste'!$A$912:$AZ$912,1,OC_Pay)))</f>
        <v/>
      </c>
      <c r="N912">
        <f>IF(I912="","",IF(ISNUMBER(I912),INT(I912),IFERROR(INT(DATEVALUE(I912)),IFERROR(INT(VALUE(I912)),"bad"))))</f>
        <v/>
      </c>
      <c r="O912">
        <f>IF(J912="","",IF(ISNUMBER(J912),ROUND(J912,2),IFERROR(ROUND(VALUE(SUBSTITUTE(SUBSTITUTE(SUBSTITUTE(J912,"$",""),",","")," ","")),2),"bad")))</f>
        <v/>
      </c>
      <c r="P912">
        <f>IF(TRIM(K912)="","",IFERROR(MATCH(LOWER(TRIM(K912)),'Students'!$AH$2:$AH$701,0),IFERROR(MATCH(LOWER(TRIM(K912)),'Students'!$AF$2:$AF$701,0),IFERROR(MATCH(LOWER(TRIM(K912)),'Students'!$AG$2:$AG$701,0),""))))</f>
        <v/>
      </c>
      <c r="R912">
        <f>IF(P912="","",INDEX('Students'!$AD$2:$AD$701,P912))</f>
        <v/>
      </c>
      <c r="S912">
        <f>IF(H912="OK",O912,0)</f>
        <v/>
      </c>
      <c r="T912">
        <f>IF(H912="OK",N912,"")</f>
        <v/>
      </c>
      <c r="U912">
        <f>IF(OC_Donor=0,"",IF(INDEX('OneCause_Paste'!$A$912:$AZ$912,1,OC_Donor)="","",INDEX('OneCause_Paste'!$A$912:$AZ$912,1,OC_Donor)))</f>
        <v/>
      </c>
    </row>
    <row r="913">
      <c r="A913" s="62">
        <f>IF(H913="","",IF(ISNUMBER(N913),N913,I913))</f>
        <v/>
      </c>
      <c r="B913">
        <f>IF(H913="","",U913)</f>
        <v/>
      </c>
      <c r="C913">
        <f>IF(H913="","",IF(P913="",K913,INDEX('Students'!$A$2:$A$701,P913)))</f>
        <v/>
      </c>
      <c r="D913">
        <f>IF(OR(H913="",P913=""),"",INDEX('Students'!$B$2:$B$701,P913))</f>
        <v/>
      </c>
      <c r="E913">
        <f>IF(OR(H913="",P913=""),"",INDEX('Students'!$C$2:$C$701,P913))</f>
        <v/>
      </c>
      <c r="F913" s="48">
        <f>IF(H913="","",IF(ISNUMBER(O913),O913,J913))</f>
        <v/>
      </c>
      <c r="G913">
        <f>IF(H913="","","OneCause")</f>
        <v/>
      </c>
      <c r="H913">
        <f>IF(AND(I913="",J913="",K913=""),"",IF(NOT(ISNUMBER(O913)),"Bad amount",IF(O913&lt;0,"Refund (not counted)",IF(O913=0,"Zero amount",IF(NOT(ISNUMBER(N913)),"Bad date",IF(P913="","NAME NOT ON ROSTER",IF(L913="","OK",IF(MATCH(L913,$L$2:$L$3001,0)&lt;ROW()-1,"Duplicate (ignored)","OK"))))))))</f>
        <v/>
      </c>
      <c r="I913">
        <f>IF(OC_Date=0,"",IF(INDEX('OneCause_Paste'!$A$913:$AZ$913,1,OC_Date)="","",INDEX('OneCause_Paste'!$A$913:$AZ$913,1,OC_Date)))</f>
        <v/>
      </c>
      <c r="J913">
        <f>IF(OC_Amt=0,"",IF(INDEX('OneCause_Paste'!$A$913:$AZ$913,1,OC_Amt)="","",INDEX('OneCause_Paste'!$A$913:$AZ$913,1,OC_Amt)))</f>
        <v/>
      </c>
      <c r="K913">
        <f>IF(OC_Name=0,"",IF(INDEX('OneCause_Paste'!$A$913:$AZ$913,1,OC_Name)="","",INDEX('OneCause_Paste'!$A$913:$AZ$913,1,OC_Name)))</f>
        <v/>
      </c>
      <c r="L913">
        <f>IF(OC_Txn=0,"",IF(INDEX('OneCause_Paste'!$A$913:$AZ$913,1,OC_Txn)="","",INDEX('OneCause_Paste'!$A$913:$AZ$913,1,OC_Txn)))</f>
        <v/>
      </c>
      <c r="M913">
        <f>IF(OC_Pay=0,"",IF(INDEX('OneCause_Paste'!$A$913:$AZ$913,1,OC_Pay)="","",INDEX('OneCause_Paste'!$A$913:$AZ$913,1,OC_Pay)))</f>
        <v/>
      </c>
      <c r="N913">
        <f>IF(I913="","",IF(ISNUMBER(I913),INT(I913),IFERROR(INT(DATEVALUE(I913)),IFERROR(INT(VALUE(I913)),"bad"))))</f>
        <v/>
      </c>
      <c r="O913">
        <f>IF(J913="","",IF(ISNUMBER(J913),ROUND(J913,2),IFERROR(ROUND(VALUE(SUBSTITUTE(SUBSTITUTE(SUBSTITUTE(J913,"$",""),",","")," ","")),2),"bad")))</f>
        <v/>
      </c>
      <c r="P913">
        <f>IF(TRIM(K913)="","",IFERROR(MATCH(LOWER(TRIM(K913)),'Students'!$AH$2:$AH$701,0),IFERROR(MATCH(LOWER(TRIM(K913)),'Students'!$AF$2:$AF$701,0),IFERROR(MATCH(LOWER(TRIM(K913)),'Students'!$AG$2:$AG$701,0),""))))</f>
        <v/>
      </c>
      <c r="R913">
        <f>IF(P913="","",INDEX('Students'!$AD$2:$AD$701,P913))</f>
        <v/>
      </c>
      <c r="S913">
        <f>IF(H913="OK",O913,0)</f>
        <v/>
      </c>
      <c r="T913">
        <f>IF(H913="OK",N913,"")</f>
        <v/>
      </c>
      <c r="U913">
        <f>IF(OC_Donor=0,"",IF(INDEX('OneCause_Paste'!$A$913:$AZ$913,1,OC_Donor)="","",INDEX('OneCause_Paste'!$A$913:$AZ$913,1,OC_Donor)))</f>
        <v/>
      </c>
    </row>
    <row r="914">
      <c r="A914" s="62">
        <f>IF(H914="","",IF(ISNUMBER(N914),N914,I914))</f>
        <v/>
      </c>
      <c r="B914">
        <f>IF(H914="","",U914)</f>
        <v/>
      </c>
      <c r="C914">
        <f>IF(H914="","",IF(P914="",K914,INDEX('Students'!$A$2:$A$701,P914)))</f>
        <v/>
      </c>
      <c r="D914">
        <f>IF(OR(H914="",P914=""),"",INDEX('Students'!$B$2:$B$701,P914))</f>
        <v/>
      </c>
      <c r="E914">
        <f>IF(OR(H914="",P914=""),"",INDEX('Students'!$C$2:$C$701,P914))</f>
        <v/>
      </c>
      <c r="F914" s="48">
        <f>IF(H914="","",IF(ISNUMBER(O914),O914,J914))</f>
        <v/>
      </c>
      <c r="G914">
        <f>IF(H914="","","OneCause")</f>
        <v/>
      </c>
      <c r="H914">
        <f>IF(AND(I914="",J914="",K914=""),"",IF(NOT(ISNUMBER(O914)),"Bad amount",IF(O914&lt;0,"Refund (not counted)",IF(O914=0,"Zero amount",IF(NOT(ISNUMBER(N914)),"Bad date",IF(P914="","NAME NOT ON ROSTER",IF(L914="","OK",IF(MATCH(L914,$L$2:$L$3001,0)&lt;ROW()-1,"Duplicate (ignored)","OK"))))))))</f>
        <v/>
      </c>
      <c r="I914">
        <f>IF(OC_Date=0,"",IF(INDEX('OneCause_Paste'!$A$914:$AZ$914,1,OC_Date)="","",INDEX('OneCause_Paste'!$A$914:$AZ$914,1,OC_Date)))</f>
        <v/>
      </c>
      <c r="J914">
        <f>IF(OC_Amt=0,"",IF(INDEX('OneCause_Paste'!$A$914:$AZ$914,1,OC_Amt)="","",INDEX('OneCause_Paste'!$A$914:$AZ$914,1,OC_Amt)))</f>
        <v/>
      </c>
      <c r="K914">
        <f>IF(OC_Name=0,"",IF(INDEX('OneCause_Paste'!$A$914:$AZ$914,1,OC_Name)="","",INDEX('OneCause_Paste'!$A$914:$AZ$914,1,OC_Name)))</f>
        <v/>
      </c>
      <c r="L914">
        <f>IF(OC_Txn=0,"",IF(INDEX('OneCause_Paste'!$A$914:$AZ$914,1,OC_Txn)="","",INDEX('OneCause_Paste'!$A$914:$AZ$914,1,OC_Txn)))</f>
        <v/>
      </c>
      <c r="M914">
        <f>IF(OC_Pay=0,"",IF(INDEX('OneCause_Paste'!$A$914:$AZ$914,1,OC_Pay)="","",INDEX('OneCause_Paste'!$A$914:$AZ$914,1,OC_Pay)))</f>
        <v/>
      </c>
      <c r="N914">
        <f>IF(I914="","",IF(ISNUMBER(I914),INT(I914),IFERROR(INT(DATEVALUE(I914)),IFERROR(INT(VALUE(I914)),"bad"))))</f>
        <v/>
      </c>
      <c r="O914">
        <f>IF(J914="","",IF(ISNUMBER(J914),ROUND(J914,2),IFERROR(ROUND(VALUE(SUBSTITUTE(SUBSTITUTE(SUBSTITUTE(J914,"$",""),",","")," ","")),2),"bad")))</f>
        <v/>
      </c>
      <c r="P914">
        <f>IF(TRIM(K914)="","",IFERROR(MATCH(LOWER(TRIM(K914)),'Students'!$AH$2:$AH$701,0),IFERROR(MATCH(LOWER(TRIM(K914)),'Students'!$AF$2:$AF$701,0),IFERROR(MATCH(LOWER(TRIM(K914)),'Students'!$AG$2:$AG$701,0),""))))</f>
        <v/>
      </c>
      <c r="R914">
        <f>IF(P914="","",INDEX('Students'!$AD$2:$AD$701,P914))</f>
        <v/>
      </c>
      <c r="S914">
        <f>IF(H914="OK",O914,0)</f>
        <v/>
      </c>
      <c r="T914">
        <f>IF(H914="OK",N914,"")</f>
        <v/>
      </c>
      <c r="U914">
        <f>IF(OC_Donor=0,"",IF(INDEX('OneCause_Paste'!$A$914:$AZ$914,1,OC_Donor)="","",INDEX('OneCause_Paste'!$A$914:$AZ$914,1,OC_Donor)))</f>
        <v/>
      </c>
    </row>
    <row r="915">
      <c r="A915" s="62">
        <f>IF(H915="","",IF(ISNUMBER(N915),N915,I915))</f>
        <v/>
      </c>
      <c r="B915">
        <f>IF(H915="","",U915)</f>
        <v/>
      </c>
      <c r="C915">
        <f>IF(H915="","",IF(P915="",K915,INDEX('Students'!$A$2:$A$701,P915)))</f>
        <v/>
      </c>
      <c r="D915">
        <f>IF(OR(H915="",P915=""),"",INDEX('Students'!$B$2:$B$701,P915))</f>
        <v/>
      </c>
      <c r="E915">
        <f>IF(OR(H915="",P915=""),"",INDEX('Students'!$C$2:$C$701,P915))</f>
        <v/>
      </c>
      <c r="F915" s="48">
        <f>IF(H915="","",IF(ISNUMBER(O915),O915,J915))</f>
        <v/>
      </c>
      <c r="G915">
        <f>IF(H915="","","OneCause")</f>
        <v/>
      </c>
      <c r="H915">
        <f>IF(AND(I915="",J915="",K915=""),"",IF(NOT(ISNUMBER(O915)),"Bad amount",IF(O915&lt;0,"Refund (not counted)",IF(O915=0,"Zero amount",IF(NOT(ISNUMBER(N915)),"Bad date",IF(P915="","NAME NOT ON ROSTER",IF(L915="","OK",IF(MATCH(L915,$L$2:$L$3001,0)&lt;ROW()-1,"Duplicate (ignored)","OK"))))))))</f>
        <v/>
      </c>
      <c r="I915">
        <f>IF(OC_Date=0,"",IF(INDEX('OneCause_Paste'!$A$915:$AZ$915,1,OC_Date)="","",INDEX('OneCause_Paste'!$A$915:$AZ$915,1,OC_Date)))</f>
        <v/>
      </c>
      <c r="J915">
        <f>IF(OC_Amt=0,"",IF(INDEX('OneCause_Paste'!$A$915:$AZ$915,1,OC_Amt)="","",INDEX('OneCause_Paste'!$A$915:$AZ$915,1,OC_Amt)))</f>
        <v/>
      </c>
      <c r="K915">
        <f>IF(OC_Name=0,"",IF(INDEX('OneCause_Paste'!$A$915:$AZ$915,1,OC_Name)="","",INDEX('OneCause_Paste'!$A$915:$AZ$915,1,OC_Name)))</f>
        <v/>
      </c>
      <c r="L915">
        <f>IF(OC_Txn=0,"",IF(INDEX('OneCause_Paste'!$A$915:$AZ$915,1,OC_Txn)="","",INDEX('OneCause_Paste'!$A$915:$AZ$915,1,OC_Txn)))</f>
        <v/>
      </c>
      <c r="M915">
        <f>IF(OC_Pay=0,"",IF(INDEX('OneCause_Paste'!$A$915:$AZ$915,1,OC_Pay)="","",INDEX('OneCause_Paste'!$A$915:$AZ$915,1,OC_Pay)))</f>
        <v/>
      </c>
      <c r="N915">
        <f>IF(I915="","",IF(ISNUMBER(I915),INT(I915),IFERROR(INT(DATEVALUE(I915)),IFERROR(INT(VALUE(I915)),"bad"))))</f>
        <v/>
      </c>
      <c r="O915">
        <f>IF(J915="","",IF(ISNUMBER(J915),ROUND(J915,2),IFERROR(ROUND(VALUE(SUBSTITUTE(SUBSTITUTE(SUBSTITUTE(J915,"$",""),",","")," ","")),2),"bad")))</f>
        <v/>
      </c>
      <c r="P915">
        <f>IF(TRIM(K915)="","",IFERROR(MATCH(LOWER(TRIM(K915)),'Students'!$AH$2:$AH$701,0),IFERROR(MATCH(LOWER(TRIM(K915)),'Students'!$AF$2:$AF$701,0),IFERROR(MATCH(LOWER(TRIM(K915)),'Students'!$AG$2:$AG$701,0),""))))</f>
        <v/>
      </c>
      <c r="R915">
        <f>IF(P915="","",INDEX('Students'!$AD$2:$AD$701,P915))</f>
        <v/>
      </c>
      <c r="S915">
        <f>IF(H915="OK",O915,0)</f>
        <v/>
      </c>
      <c r="T915">
        <f>IF(H915="OK",N915,"")</f>
        <v/>
      </c>
      <c r="U915">
        <f>IF(OC_Donor=0,"",IF(INDEX('OneCause_Paste'!$A$915:$AZ$915,1,OC_Donor)="","",INDEX('OneCause_Paste'!$A$915:$AZ$915,1,OC_Donor)))</f>
        <v/>
      </c>
    </row>
    <row r="916">
      <c r="A916" s="62">
        <f>IF(H916="","",IF(ISNUMBER(N916),N916,I916))</f>
        <v/>
      </c>
      <c r="B916">
        <f>IF(H916="","",U916)</f>
        <v/>
      </c>
      <c r="C916">
        <f>IF(H916="","",IF(P916="",K916,INDEX('Students'!$A$2:$A$701,P916)))</f>
        <v/>
      </c>
      <c r="D916">
        <f>IF(OR(H916="",P916=""),"",INDEX('Students'!$B$2:$B$701,P916))</f>
        <v/>
      </c>
      <c r="E916">
        <f>IF(OR(H916="",P916=""),"",INDEX('Students'!$C$2:$C$701,P916))</f>
        <v/>
      </c>
      <c r="F916" s="48">
        <f>IF(H916="","",IF(ISNUMBER(O916),O916,J916))</f>
        <v/>
      </c>
      <c r="G916">
        <f>IF(H916="","","OneCause")</f>
        <v/>
      </c>
      <c r="H916">
        <f>IF(AND(I916="",J916="",K916=""),"",IF(NOT(ISNUMBER(O916)),"Bad amount",IF(O916&lt;0,"Refund (not counted)",IF(O916=0,"Zero amount",IF(NOT(ISNUMBER(N916)),"Bad date",IF(P916="","NAME NOT ON ROSTER",IF(L916="","OK",IF(MATCH(L916,$L$2:$L$3001,0)&lt;ROW()-1,"Duplicate (ignored)","OK"))))))))</f>
        <v/>
      </c>
      <c r="I916">
        <f>IF(OC_Date=0,"",IF(INDEX('OneCause_Paste'!$A$916:$AZ$916,1,OC_Date)="","",INDEX('OneCause_Paste'!$A$916:$AZ$916,1,OC_Date)))</f>
        <v/>
      </c>
      <c r="J916">
        <f>IF(OC_Amt=0,"",IF(INDEX('OneCause_Paste'!$A$916:$AZ$916,1,OC_Amt)="","",INDEX('OneCause_Paste'!$A$916:$AZ$916,1,OC_Amt)))</f>
        <v/>
      </c>
      <c r="K916">
        <f>IF(OC_Name=0,"",IF(INDEX('OneCause_Paste'!$A$916:$AZ$916,1,OC_Name)="","",INDEX('OneCause_Paste'!$A$916:$AZ$916,1,OC_Name)))</f>
        <v/>
      </c>
      <c r="L916">
        <f>IF(OC_Txn=0,"",IF(INDEX('OneCause_Paste'!$A$916:$AZ$916,1,OC_Txn)="","",INDEX('OneCause_Paste'!$A$916:$AZ$916,1,OC_Txn)))</f>
        <v/>
      </c>
      <c r="M916">
        <f>IF(OC_Pay=0,"",IF(INDEX('OneCause_Paste'!$A$916:$AZ$916,1,OC_Pay)="","",INDEX('OneCause_Paste'!$A$916:$AZ$916,1,OC_Pay)))</f>
        <v/>
      </c>
      <c r="N916">
        <f>IF(I916="","",IF(ISNUMBER(I916),INT(I916),IFERROR(INT(DATEVALUE(I916)),IFERROR(INT(VALUE(I916)),"bad"))))</f>
        <v/>
      </c>
      <c r="O916">
        <f>IF(J916="","",IF(ISNUMBER(J916),ROUND(J916,2),IFERROR(ROUND(VALUE(SUBSTITUTE(SUBSTITUTE(SUBSTITUTE(J916,"$",""),",","")," ","")),2),"bad")))</f>
        <v/>
      </c>
      <c r="P916">
        <f>IF(TRIM(K916)="","",IFERROR(MATCH(LOWER(TRIM(K916)),'Students'!$AH$2:$AH$701,0),IFERROR(MATCH(LOWER(TRIM(K916)),'Students'!$AF$2:$AF$701,0),IFERROR(MATCH(LOWER(TRIM(K916)),'Students'!$AG$2:$AG$701,0),""))))</f>
        <v/>
      </c>
      <c r="R916">
        <f>IF(P916="","",INDEX('Students'!$AD$2:$AD$701,P916))</f>
        <v/>
      </c>
      <c r="S916">
        <f>IF(H916="OK",O916,0)</f>
        <v/>
      </c>
      <c r="T916">
        <f>IF(H916="OK",N916,"")</f>
        <v/>
      </c>
      <c r="U916">
        <f>IF(OC_Donor=0,"",IF(INDEX('OneCause_Paste'!$A$916:$AZ$916,1,OC_Donor)="","",INDEX('OneCause_Paste'!$A$916:$AZ$916,1,OC_Donor)))</f>
        <v/>
      </c>
    </row>
    <row r="917">
      <c r="A917" s="62">
        <f>IF(H917="","",IF(ISNUMBER(N917),N917,I917))</f>
        <v/>
      </c>
      <c r="B917">
        <f>IF(H917="","",U917)</f>
        <v/>
      </c>
      <c r="C917">
        <f>IF(H917="","",IF(P917="",K917,INDEX('Students'!$A$2:$A$701,P917)))</f>
        <v/>
      </c>
      <c r="D917">
        <f>IF(OR(H917="",P917=""),"",INDEX('Students'!$B$2:$B$701,P917))</f>
        <v/>
      </c>
      <c r="E917">
        <f>IF(OR(H917="",P917=""),"",INDEX('Students'!$C$2:$C$701,P917))</f>
        <v/>
      </c>
      <c r="F917" s="48">
        <f>IF(H917="","",IF(ISNUMBER(O917),O917,J917))</f>
        <v/>
      </c>
      <c r="G917">
        <f>IF(H917="","","OneCause")</f>
        <v/>
      </c>
      <c r="H917">
        <f>IF(AND(I917="",J917="",K917=""),"",IF(NOT(ISNUMBER(O917)),"Bad amount",IF(O917&lt;0,"Refund (not counted)",IF(O917=0,"Zero amount",IF(NOT(ISNUMBER(N917)),"Bad date",IF(P917="","NAME NOT ON ROSTER",IF(L917="","OK",IF(MATCH(L917,$L$2:$L$3001,0)&lt;ROW()-1,"Duplicate (ignored)","OK"))))))))</f>
        <v/>
      </c>
      <c r="I917">
        <f>IF(OC_Date=0,"",IF(INDEX('OneCause_Paste'!$A$917:$AZ$917,1,OC_Date)="","",INDEX('OneCause_Paste'!$A$917:$AZ$917,1,OC_Date)))</f>
        <v/>
      </c>
      <c r="J917">
        <f>IF(OC_Amt=0,"",IF(INDEX('OneCause_Paste'!$A$917:$AZ$917,1,OC_Amt)="","",INDEX('OneCause_Paste'!$A$917:$AZ$917,1,OC_Amt)))</f>
        <v/>
      </c>
      <c r="K917">
        <f>IF(OC_Name=0,"",IF(INDEX('OneCause_Paste'!$A$917:$AZ$917,1,OC_Name)="","",INDEX('OneCause_Paste'!$A$917:$AZ$917,1,OC_Name)))</f>
        <v/>
      </c>
      <c r="L917">
        <f>IF(OC_Txn=0,"",IF(INDEX('OneCause_Paste'!$A$917:$AZ$917,1,OC_Txn)="","",INDEX('OneCause_Paste'!$A$917:$AZ$917,1,OC_Txn)))</f>
        <v/>
      </c>
      <c r="M917">
        <f>IF(OC_Pay=0,"",IF(INDEX('OneCause_Paste'!$A$917:$AZ$917,1,OC_Pay)="","",INDEX('OneCause_Paste'!$A$917:$AZ$917,1,OC_Pay)))</f>
        <v/>
      </c>
      <c r="N917">
        <f>IF(I917="","",IF(ISNUMBER(I917),INT(I917),IFERROR(INT(DATEVALUE(I917)),IFERROR(INT(VALUE(I917)),"bad"))))</f>
        <v/>
      </c>
      <c r="O917">
        <f>IF(J917="","",IF(ISNUMBER(J917),ROUND(J917,2),IFERROR(ROUND(VALUE(SUBSTITUTE(SUBSTITUTE(SUBSTITUTE(J917,"$",""),",","")," ","")),2),"bad")))</f>
        <v/>
      </c>
      <c r="P917">
        <f>IF(TRIM(K917)="","",IFERROR(MATCH(LOWER(TRIM(K917)),'Students'!$AH$2:$AH$701,0),IFERROR(MATCH(LOWER(TRIM(K917)),'Students'!$AF$2:$AF$701,0),IFERROR(MATCH(LOWER(TRIM(K917)),'Students'!$AG$2:$AG$701,0),""))))</f>
        <v/>
      </c>
      <c r="R917">
        <f>IF(P917="","",INDEX('Students'!$AD$2:$AD$701,P917))</f>
        <v/>
      </c>
      <c r="S917">
        <f>IF(H917="OK",O917,0)</f>
        <v/>
      </c>
      <c r="T917">
        <f>IF(H917="OK",N917,"")</f>
        <v/>
      </c>
      <c r="U917">
        <f>IF(OC_Donor=0,"",IF(INDEX('OneCause_Paste'!$A$917:$AZ$917,1,OC_Donor)="","",INDEX('OneCause_Paste'!$A$917:$AZ$917,1,OC_Donor)))</f>
        <v/>
      </c>
    </row>
    <row r="918">
      <c r="A918" s="62">
        <f>IF(H918="","",IF(ISNUMBER(N918),N918,I918))</f>
        <v/>
      </c>
      <c r="B918">
        <f>IF(H918="","",U918)</f>
        <v/>
      </c>
      <c r="C918">
        <f>IF(H918="","",IF(P918="",K918,INDEX('Students'!$A$2:$A$701,P918)))</f>
        <v/>
      </c>
      <c r="D918">
        <f>IF(OR(H918="",P918=""),"",INDEX('Students'!$B$2:$B$701,P918))</f>
        <v/>
      </c>
      <c r="E918">
        <f>IF(OR(H918="",P918=""),"",INDEX('Students'!$C$2:$C$701,P918))</f>
        <v/>
      </c>
      <c r="F918" s="48">
        <f>IF(H918="","",IF(ISNUMBER(O918),O918,J918))</f>
        <v/>
      </c>
      <c r="G918">
        <f>IF(H918="","","OneCause")</f>
        <v/>
      </c>
      <c r="H918">
        <f>IF(AND(I918="",J918="",K918=""),"",IF(NOT(ISNUMBER(O918)),"Bad amount",IF(O918&lt;0,"Refund (not counted)",IF(O918=0,"Zero amount",IF(NOT(ISNUMBER(N918)),"Bad date",IF(P918="","NAME NOT ON ROSTER",IF(L918="","OK",IF(MATCH(L918,$L$2:$L$3001,0)&lt;ROW()-1,"Duplicate (ignored)","OK"))))))))</f>
        <v/>
      </c>
      <c r="I918">
        <f>IF(OC_Date=0,"",IF(INDEX('OneCause_Paste'!$A$918:$AZ$918,1,OC_Date)="","",INDEX('OneCause_Paste'!$A$918:$AZ$918,1,OC_Date)))</f>
        <v/>
      </c>
      <c r="J918">
        <f>IF(OC_Amt=0,"",IF(INDEX('OneCause_Paste'!$A$918:$AZ$918,1,OC_Amt)="","",INDEX('OneCause_Paste'!$A$918:$AZ$918,1,OC_Amt)))</f>
        <v/>
      </c>
      <c r="K918">
        <f>IF(OC_Name=0,"",IF(INDEX('OneCause_Paste'!$A$918:$AZ$918,1,OC_Name)="","",INDEX('OneCause_Paste'!$A$918:$AZ$918,1,OC_Name)))</f>
        <v/>
      </c>
      <c r="L918">
        <f>IF(OC_Txn=0,"",IF(INDEX('OneCause_Paste'!$A$918:$AZ$918,1,OC_Txn)="","",INDEX('OneCause_Paste'!$A$918:$AZ$918,1,OC_Txn)))</f>
        <v/>
      </c>
      <c r="M918">
        <f>IF(OC_Pay=0,"",IF(INDEX('OneCause_Paste'!$A$918:$AZ$918,1,OC_Pay)="","",INDEX('OneCause_Paste'!$A$918:$AZ$918,1,OC_Pay)))</f>
        <v/>
      </c>
      <c r="N918">
        <f>IF(I918="","",IF(ISNUMBER(I918),INT(I918),IFERROR(INT(DATEVALUE(I918)),IFERROR(INT(VALUE(I918)),"bad"))))</f>
        <v/>
      </c>
      <c r="O918">
        <f>IF(J918="","",IF(ISNUMBER(J918),ROUND(J918,2),IFERROR(ROUND(VALUE(SUBSTITUTE(SUBSTITUTE(SUBSTITUTE(J918,"$",""),",","")," ","")),2),"bad")))</f>
        <v/>
      </c>
      <c r="P918">
        <f>IF(TRIM(K918)="","",IFERROR(MATCH(LOWER(TRIM(K918)),'Students'!$AH$2:$AH$701,0),IFERROR(MATCH(LOWER(TRIM(K918)),'Students'!$AF$2:$AF$701,0),IFERROR(MATCH(LOWER(TRIM(K918)),'Students'!$AG$2:$AG$701,0),""))))</f>
        <v/>
      </c>
      <c r="R918">
        <f>IF(P918="","",INDEX('Students'!$AD$2:$AD$701,P918))</f>
        <v/>
      </c>
      <c r="S918">
        <f>IF(H918="OK",O918,0)</f>
        <v/>
      </c>
      <c r="T918">
        <f>IF(H918="OK",N918,"")</f>
        <v/>
      </c>
      <c r="U918">
        <f>IF(OC_Donor=0,"",IF(INDEX('OneCause_Paste'!$A$918:$AZ$918,1,OC_Donor)="","",INDEX('OneCause_Paste'!$A$918:$AZ$918,1,OC_Donor)))</f>
        <v/>
      </c>
    </row>
    <row r="919">
      <c r="A919" s="62">
        <f>IF(H919="","",IF(ISNUMBER(N919),N919,I919))</f>
        <v/>
      </c>
      <c r="B919">
        <f>IF(H919="","",U919)</f>
        <v/>
      </c>
      <c r="C919">
        <f>IF(H919="","",IF(P919="",K919,INDEX('Students'!$A$2:$A$701,P919)))</f>
        <v/>
      </c>
      <c r="D919">
        <f>IF(OR(H919="",P919=""),"",INDEX('Students'!$B$2:$B$701,P919))</f>
        <v/>
      </c>
      <c r="E919">
        <f>IF(OR(H919="",P919=""),"",INDEX('Students'!$C$2:$C$701,P919))</f>
        <v/>
      </c>
      <c r="F919" s="48">
        <f>IF(H919="","",IF(ISNUMBER(O919),O919,J919))</f>
        <v/>
      </c>
      <c r="G919">
        <f>IF(H919="","","OneCause")</f>
        <v/>
      </c>
      <c r="H919">
        <f>IF(AND(I919="",J919="",K919=""),"",IF(NOT(ISNUMBER(O919)),"Bad amount",IF(O919&lt;0,"Refund (not counted)",IF(O919=0,"Zero amount",IF(NOT(ISNUMBER(N919)),"Bad date",IF(P919="","NAME NOT ON ROSTER",IF(L919="","OK",IF(MATCH(L919,$L$2:$L$3001,0)&lt;ROW()-1,"Duplicate (ignored)","OK"))))))))</f>
        <v/>
      </c>
      <c r="I919">
        <f>IF(OC_Date=0,"",IF(INDEX('OneCause_Paste'!$A$919:$AZ$919,1,OC_Date)="","",INDEX('OneCause_Paste'!$A$919:$AZ$919,1,OC_Date)))</f>
        <v/>
      </c>
      <c r="J919">
        <f>IF(OC_Amt=0,"",IF(INDEX('OneCause_Paste'!$A$919:$AZ$919,1,OC_Amt)="","",INDEX('OneCause_Paste'!$A$919:$AZ$919,1,OC_Amt)))</f>
        <v/>
      </c>
      <c r="K919">
        <f>IF(OC_Name=0,"",IF(INDEX('OneCause_Paste'!$A$919:$AZ$919,1,OC_Name)="","",INDEX('OneCause_Paste'!$A$919:$AZ$919,1,OC_Name)))</f>
        <v/>
      </c>
      <c r="L919">
        <f>IF(OC_Txn=0,"",IF(INDEX('OneCause_Paste'!$A$919:$AZ$919,1,OC_Txn)="","",INDEX('OneCause_Paste'!$A$919:$AZ$919,1,OC_Txn)))</f>
        <v/>
      </c>
      <c r="M919">
        <f>IF(OC_Pay=0,"",IF(INDEX('OneCause_Paste'!$A$919:$AZ$919,1,OC_Pay)="","",INDEX('OneCause_Paste'!$A$919:$AZ$919,1,OC_Pay)))</f>
        <v/>
      </c>
      <c r="N919">
        <f>IF(I919="","",IF(ISNUMBER(I919),INT(I919),IFERROR(INT(DATEVALUE(I919)),IFERROR(INT(VALUE(I919)),"bad"))))</f>
        <v/>
      </c>
      <c r="O919">
        <f>IF(J919="","",IF(ISNUMBER(J919),ROUND(J919,2),IFERROR(ROUND(VALUE(SUBSTITUTE(SUBSTITUTE(SUBSTITUTE(J919,"$",""),",","")," ","")),2),"bad")))</f>
        <v/>
      </c>
      <c r="P919">
        <f>IF(TRIM(K919)="","",IFERROR(MATCH(LOWER(TRIM(K919)),'Students'!$AH$2:$AH$701,0),IFERROR(MATCH(LOWER(TRIM(K919)),'Students'!$AF$2:$AF$701,0),IFERROR(MATCH(LOWER(TRIM(K919)),'Students'!$AG$2:$AG$701,0),""))))</f>
        <v/>
      </c>
      <c r="R919">
        <f>IF(P919="","",INDEX('Students'!$AD$2:$AD$701,P919))</f>
        <v/>
      </c>
      <c r="S919">
        <f>IF(H919="OK",O919,0)</f>
        <v/>
      </c>
      <c r="T919">
        <f>IF(H919="OK",N919,"")</f>
        <v/>
      </c>
      <c r="U919">
        <f>IF(OC_Donor=0,"",IF(INDEX('OneCause_Paste'!$A$919:$AZ$919,1,OC_Donor)="","",INDEX('OneCause_Paste'!$A$919:$AZ$919,1,OC_Donor)))</f>
        <v/>
      </c>
    </row>
    <row r="920">
      <c r="A920" s="62">
        <f>IF(H920="","",IF(ISNUMBER(N920),N920,I920))</f>
        <v/>
      </c>
      <c r="B920">
        <f>IF(H920="","",U920)</f>
        <v/>
      </c>
      <c r="C920">
        <f>IF(H920="","",IF(P920="",K920,INDEX('Students'!$A$2:$A$701,P920)))</f>
        <v/>
      </c>
      <c r="D920">
        <f>IF(OR(H920="",P920=""),"",INDEX('Students'!$B$2:$B$701,P920))</f>
        <v/>
      </c>
      <c r="E920">
        <f>IF(OR(H920="",P920=""),"",INDEX('Students'!$C$2:$C$701,P920))</f>
        <v/>
      </c>
      <c r="F920" s="48">
        <f>IF(H920="","",IF(ISNUMBER(O920),O920,J920))</f>
        <v/>
      </c>
      <c r="G920">
        <f>IF(H920="","","OneCause")</f>
        <v/>
      </c>
      <c r="H920">
        <f>IF(AND(I920="",J920="",K920=""),"",IF(NOT(ISNUMBER(O920)),"Bad amount",IF(O920&lt;0,"Refund (not counted)",IF(O920=0,"Zero amount",IF(NOT(ISNUMBER(N920)),"Bad date",IF(P920="","NAME NOT ON ROSTER",IF(L920="","OK",IF(MATCH(L920,$L$2:$L$3001,0)&lt;ROW()-1,"Duplicate (ignored)","OK"))))))))</f>
        <v/>
      </c>
      <c r="I920">
        <f>IF(OC_Date=0,"",IF(INDEX('OneCause_Paste'!$A$920:$AZ$920,1,OC_Date)="","",INDEX('OneCause_Paste'!$A$920:$AZ$920,1,OC_Date)))</f>
        <v/>
      </c>
      <c r="J920">
        <f>IF(OC_Amt=0,"",IF(INDEX('OneCause_Paste'!$A$920:$AZ$920,1,OC_Amt)="","",INDEX('OneCause_Paste'!$A$920:$AZ$920,1,OC_Amt)))</f>
        <v/>
      </c>
      <c r="K920">
        <f>IF(OC_Name=0,"",IF(INDEX('OneCause_Paste'!$A$920:$AZ$920,1,OC_Name)="","",INDEX('OneCause_Paste'!$A$920:$AZ$920,1,OC_Name)))</f>
        <v/>
      </c>
      <c r="L920">
        <f>IF(OC_Txn=0,"",IF(INDEX('OneCause_Paste'!$A$920:$AZ$920,1,OC_Txn)="","",INDEX('OneCause_Paste'!$A$920:$AZ$920,1,OC_Txn)))</f>
        <v/>
      </c>
      <c r="M920">
        <f>IF(OC_Pay=0,"",IF(INDEX('OneCause_Paste'!$A$920:$AZ$920,1,OC_Pay)="","",INDEX('OneCause_Paste'!$A$920:$AZ$920,1,OC_Pay)))</f>
        <v/>
      </c>
      <c r="N920">
        <f>IF(I920="","",IF(ISNUMBER(I920),INT(I920),IFERROR(INT(DATEVALUE(I920)),IFERROR(INT(VALUE(I920)),"bad"))))</f>
        <v/>
      </c>
      <c r="O920">
        <f>IF(J920="","",IF(ISNUMBER(J920),ROUND(J920,2),IFERROR(ROUND(VALUE(SUBSTITUTE(SUBSTITUTE(SUBSTITUTE(J920,"$",""),",","")," ","")),2),"bad")))</f>
        <v/>
      </c>
      <c r="P920">
        <f>IF(TRIM(K920)="","",IFERROR(MATCH(LOWER(TRIM(K920)),'Students'!$AH$2:$AH$701,0),IFERROR(MATCH(LOWER(TRIM(K920)),'Students'!$AF$2:$AF$701,0),IFERROR(MATCH(LOWER(TRIM(K920)),'Students'!$AG$2:$AG$701,0),""))))</f>
        <v/>
      </c>
      <c r="R920">
        <f>IF(P920="","",INDEX('Students'!$AD$2:$AD$701,P920))</f>
        <v/>
      </c>
      <c r="S920">
        <f>IF(H920="OK",O920,0)</f>
        <v/>
      </c>
      <c r="T920">
        <f>IF(H920="OK",N920,"")</f>
        <v/>
      </c>
      <c r="U920">
        <f>IF(OC_Donor=0,"",IF(INDEX('OneCause_Paste'!$A$920:$AZ$920,1,OC_Donor)="","",INDEX('OneCause_Paste'!$A$920:$AZ$920,1,OC_Donor)))</f>
        <v/>
      </c>
    </row>
    <row r="921">
      <c r="A921" s="62">
        <f>IF(H921="","",IF(ISNUMBER(N921),N921,I921))</f>
        <v/>
      </c>
      <c r="B921">
        <f>IF(H921="","",U921)</f>
        <v/>
      </c>
      <c r="C921">
        <f>IF(H921="","",IF(P921="",K921,INDEX('Students'!$A$2:$A$701,P921)))</f>
        <v/>
      </c>
      <c r="D921">
        <f>IF(OR(H921="",P921=""),"",INDEX('Students'!$B$2:$B$701,P921))</f>
        <v/>
      </c>
      <c r="E921">
        <f>IF(OR(H921="",P921=""),"",INDEX('Students'!$C$2:$C$701,P921))</f>
        <v/>
      </c>
      <c r="F921" s="48">
        <f>IF(H921="","",IF(ISNUMBER(O921),O921,J921))</f>
        <v/>
      </c>
      <c r="G921">
        <f>IF(H921="","","OneCause")</f>
        <v/>
      </c>
      <c r="H921">
        <f>IF(AND(I921="",J921="",K921=""),"",IF(NOT(ISNUMBER(O921)),"Bad amount",IF(O921&lt;0,"Refund (not counted)",IF(O921=0,"Zero amount",IF(NOT(ISNUMBER(N921)),"Bad date",IF(P921="","NAME NOT ON ROSTER",IF(L921="","OK",IF(MATCH(L921,$L$2:$L$3001,0)&lt;ROW()-1,"Duplicate (ignored)","OK"))))))))</f>
        <v/>
      </c>
      <c r="I921">
        <f>IF(OC_Date=0,"",IF(INDEX('OneCause_Paste'!$A$921:$AZ$921,1,OC_Date)="","",INDEX('OneCause_Paste'!$A$921:$AZ$921,1,OC_Date)))</f>
        <v/>
      </c>
      <c r="J921">
        <f>IF(OC_Amt=0,"",IF(INDEX('OneCause_Paste'!$A$921:$AZ$921,1,OC_Amt)="","",INDEX('OneCause_Paste'!$A$921:$AZ$921,1,OC_Amt)))</f>
        <v/>
      </c>
      <c r="K921">
        <f>IF(OC_Name=0,"",IF(INDEX('OneCause_Paste'!$A$921:$AZ$921,1,OC_Name)="","",INDEX('OneCause_Paste'!$A$921:$AZ$921,1,OC_Name)))</f>
        <v/>
      </c>
      <c r="L921">
        <f>IF(OC_Txn=0,"",IF(INDEX('OneCause_Paste'!$A$921:$AZ$921,1,OC_Txn)="","",INDEX('OneCause_Paste'!$A$921:$AZ$921,1,OC_Txn)))</f>
        <v/>
      </c>
      <c r="M921">
        <f>IF(OC_Pay=0,"",IF(INDEX('OneCause_Paste'!$A$921:$AZ$921,1,OC_Pay)="","",INDEX('OneCause_Paste'!$A$921:$AZ$921,1,OC_Pay)))</f>
        <v/>
      </c>
      <c r="N921">
        <f>IF(I921="","",IF(ISNUMBER(I921),INT(I921),IFERROR(INT(DATEVALUE(I921)),IFERROR(INT(VALUE(I921)),"bad"))))</f>
        <v/>
      </c>
      <c r="O921">
        <f>IF(J921="","",IF(ISNUMBER(J921),ROUND(J921,2),IFERROR(ROUND(VALUE(SUBSTITUTE(SUBSTITUTE(SUBSTITUTE(J921,"$",""),",","")," ","")),2),"bad")))</f>
        <v/>
      </c>
      <c r="P921">
        <f>IF(TRIM(K921)="","",IFERROR(MATCH(LOWER(TRIM(K921)),'Students'!$AH$2:$AH$701,0),IFERROR(MATCH(LOWER(TRIM(K921)),'Students'!$AF$2:$AF$701,0),IFERROR(MATCH(LOWER(TRIM(K921)),'Students'!$AG$2:$AG$701,0),""))))</f>
        <v/>
      </c>
      <c r="R921">
        <f>IF(P921="","",INDEX('Students'!$AD$2:$AD$701,P921))</f>
        <v/>
      </c>
      <c r="S921">
        <f>IF(H921="OK",O921,0)</f>
        <v/>
      </c>
      <c r="T921">
        <f>IF(H921="OK",N921,"")</f>
        <v/>
      </c>
      <c r="U921">
        <f>IF(OC_Donor=0,"",IF(INDEX('OneCause_Paste'!$A$921:$AZ$921,1,OC_Donor)="","",INDEX('OneCause_Paste'!$A$921:$AZ$921,1,OC_Donor)))</f>
        <v/>
      </c>
    </row>
    <row r="922">
      <c r="A922" s="62">
        <f>IF(H922="","",IF(ISNUMBER(N922),N922,I922))</f>
        <v/>
      </c>
      <c r="B922">
        <f>IF(H922="","",U922)</f>
        <v/>
      </c>
      <c r="C922">
        <f>IF(H922="","",IF(P922="",K922,INDEX('Students'!$A$2:$A$701,P922)))</f>
        <v/>
      </c>
      <c r="D922">
        <f>IF(OR(H922="",P922=""),"",INDEX('Students'!$B$2:$B$701,P922))</f>
        <v/>
      </c>
      <c r="E922">
        <f>IF(OR(H922="",P922=""),"",INDEX('Students'!$C$2:$C$701,P922))</f>
        <v/>
      </c>
      <c r="F922" s="48">
        <f>IF(H922="","",IF(ISNUMBER(O922),O922,J922))</f>
        <v/>
      </c>
      <c r="G922">
        <f>IF(H922="","","OneCause")</f>
        <v/>
      </c>
      <c r="H922">
        <f>IF(AND(I922="",J922="",K922=""),"",IF(NOT(ISNUMBER(O922)),"Bad amount",IF(O922&lt;0,"Refund (not counted)",IF(O922=0,"Zero amount",IF(NOT(ISNUMBER(N922)),"Bad date",IF(P922="","NAME NOT ON ROSTER",IF(L922="","OK",IF(MATCH(L922,$L$2:$L$3001,0)&lt;ROW()-1,"Duplicate (ignored)","OK"))))))))</f>
        <v/>
      </c>
      <c r="I922">
        <f>IF(OC_Date=0,"",IF(INDEX('OneCause_Paste'!$A$922:$AZ$922,1,OC_Date)="","",INDEX('OneCause_Paste'!$A$922:$AZ$922,1,OC_Date)))</f>
        <v/>
      </c>
      <c r="J922">
        <f>IF(OC_Amt=0,"",IF(INDEX('OneCause_Paste'!$A$922:$AZ$922,1,OC_Amt)="","",INDEX('OneCause_Paste'!$A$922:$AZ$922,1,OC_Amt)))</f>
        <v/>
      </c>
      <c r="K922">
        <f>IF(OC_Name=0,"",IF(INDEX('OneCause_Paste'!$A$922:$AZ$922,1,OC_Name)="","",INDEX('OneCause_Paste'!$A$922:$AZ$922,1,OC_Name)))</f>
        <v/>
      </c>
      <c r="L922">
        <f>IF(OC_Txn=0,"",IF(INDEX('OneCause_Paste'!$A$922:$AZ$922,1,OC_Txn)="","",INDEX('OneCause_Paste'!$A$922:$AZ$922,1,OC_Txn)))</f>
        <v/>
      </c>
      <c r="M922">
        <f>IF(OC_Pay=0,"",IF(INDEX('OneCause_Paste'!$A$922:$AZ$922,1,OC_Pay)="","",INDEX('OneCause_Paste'!$A$922:$AZ$922,1,OC_Pay)))</f>
        <v/>
      </c>
      <c r="N922">
        <f>IF(I922="","",IF(ISNUMBER(I922),INT(I922),IFERROR(INT(DATEVALUE(I922)),IFERROR(INT(VALUE(I922)),"bad"))))</f>
        <v/>
      </c>
      <c r="O922">
        <f>IF(J922="","",IF(ISNUMBER(J922),ROUND(J922,2),IFERROR(ROUND(VALUE(SUBSTITUTE(SUBSTITUTE(SUBSTITUTE(J922,"$",""),",","")," ","")),2),"bad")))</f>
        <v/>
      </c>
      <c r="P922">
        <f>IF(TRIM(K922)="","",IFERROR(MATCH(LOWER(TRIM(K922)),'Students'!$AH$2:$AH$701,0),IFERROR(MATCH(LOWER(TRIM(K922)),'Students'!$AF$2:$AF$701,0),IFERROR(MATCH(LOWER(TRIM(K922)),'Students'!$AG$2:$AG$701,0),""))))</f>
        <v/>
      </c>
      <c r="R922">
        <f>IF(P922="","",INDEX('Students'!$AD$2:$AD$701,P922))</f>
        <v/>
      </c>
      <c r="S922">
        <f>IF(H922="OK",O922,0)</f>
        <v/>
      </c>
      <c r="T922">
        <f>IF(H922="OK",N922,"")</f>
        <v/>
      </c>
      <c r="U922">
        <f>IF(OC_Donor=0,"",IF(INDEX('OneCause_Paste'!$A$922:$AZ$922,1,OC_Donor)="","",INDEX('OneCause_Paste'!$A$922:$AZ$922,1,OC_Donor)))</f>
        <v/>
      </c>
    </row>
    <row r="923">
      <c r="A923" s="62">
        <f>IF(H923="","",IF(ISNUMBER(N923),N923,I923))</f>
        <v/>
      </c>
      <c r="B923">
        <f>IF(H923="","",U923)</f>
        <v/>
      </c>
      <c r="C923">
        <f>IF(H923="","",IF(P923="",K923,INDEX('Students'!$A$2:$A$701,P923)))</f>
        <v/>
      </c>
      <c r="D923">
        <f>IF(OR(H923="",P923=""),"",INDEX('Students'!$B$2:$B$701,P923))</f>
        <v/>
      </c>
      <c r="E923">
        <f>IF(OR(H923="",P923=""),"",INDEX('Students'!$C$2:$C$701,P923))</f>
        <v/>
      </c>
      <c r="F923" s="48">
        <f>IF(H923="","",IF(ISNUMBER(O923),O923,J923))</f>
        <v/>
      </c>
      <c r="G923">
        <f>IF(H923="","","OneCause")</f>
        <v/>
      </c>
      <c r="H923">
        <f>IF(AND(I923="",J923="",K923=""),"",IF(NOT(ISNUMBER(O923)),"Bad amount",IF(O923&lt;0,"Refund (not counted)",IF(O923=0,"Zero amount",IF(NOT(ISNUMBER(N923)),"Bad date",IF(P923="","NAME NOT ON ROSTER",IF(L923="","OK",IF(MATCH(L923,$L$2:$L$3001,0)&lt;ROW()-1,"Duplicate (ignored)","OK"))))))))</f>
        <v/>
      </c>
      <c r="I923">
        <f>IF(OC_Date=0,"",IF(INDEX('OneCause_Paste'!$A$923:$AZ$923,1,OC_Date)="","",INDEX('OneCause_Paste'!$A$923:$AZ$923,1,OC_Date)))</f>
        <v/>
      </c>
      <c r="J923">
        <f>IF(OC_Amt=0,"",IF(INDEX('OneCause_Paste'!$A$923:$AZ$923,1,OC_Amt)="","",INDEX('OneCause_Paste'!$A$923:$AZ$923,1,OC_Amt)))</f>
        <v/>
      </c>
      <c r="K923">
        <f>IF(OC_Name=0,"",IF(INDEX('OneCause_Paste'!$A$923:$AZ$923,1,OC_Name)="","",INDEX('OneCause_Paste'!$A$923:$AZ$923,1,OC_Name)))</f>
        <v/>
      </c>
      <c r="L923">
        <f>IF(OC_Txn=0,"",IF(INDEX('OneCause_Paste'!$A$923:$AZ$923,1,OC_Txn)="","",INDEX('OneCause_Paste'!$A$923:$AZ$923,1,OC_Txn)))</f>
        <v/>
      </c>
      <c r="M923">
        <f>IF(OC_Pay=0,"",IF(INDEX('OneCause_Paste'!$A$923:$AZ$923,1,OC_Pay)="","",INDEX('OneCause_Paste'!$A$923:$AZ$923,1,OC_Pay)))</f>
        <v/>
      </c>
      <c r="N923">
        <f>IF(I923="","",IF(ISNUMBER(I923),INT(I923),IFERROR(INT(DATEVALUE(I923)),IFERROR(INT(VALUE(I923)),"bad"))))</f>
        <v/>
      </c>
      <c r="O923">
        <f>IF(J923="","",IF(ISNUMBER(J923),ROUND(J923,2),IFERROR(ROUND(VALUE(SUBSTITUTE(SUBSTITUTE(SUBSTITUTE(J923,"$",""),",","")," ","")),2),"bad")))</f>
        <v/>
      </c>
      <c r="P923">
        <f>IF(TRIM(K923)="","",IFERROR(MATCH(LOWER(TRIM(K923)),'Students'!$AH$2:$AH$701,0),IFERROR(MATCH(LOWER(TRIM(K923)),'Students'!$AF$2:$AF$701,0),IFERROR(MATCH(LOWER(TRIM(K923)),'Students'!$AG$2:$AG$701,0),""))))</f>
        <v/>
      </c>
      <c r="R923">
        <f>IF(P923="","",INDEX('Students'!$AD$2:$AD$701,P923))</f>
        <v/>
      </c>
      <c r="S923">
        <f>IF(H923="OK",O923,0)</f>
        <v/>
      </c>
      <c r="T923">
        <f>IF(H923="OK",N923,"")</f>
        <v/>
      </c>
      <c r="U923">
        <f>IF(OC_Donor=0,"",IF(INDEX('OneCause_Paste'!$A$923:$AZ$923,1,OC_Donor)="","",INDEX('OneCause_Paste'!$A$923:$AZ$923,1,OC_Donor)))</f>
        <v/>
      </c>
    </row>
    <row r="924">
      <c r="A924" s="62">
        <f>IF(H924="","",IF(ISNUMBER(N924),N924,I924))</f>
        <v/>
      </c>
      <c r="B924">
        <f>IF(H924="","",U924)</f>
        <v/>
      </c>
      <c r="C924">
        <f>IF(H924="","",IF(P924="",K924,INDEX('Students'!$A$2:$A$701,P924)))</f>
        <v/>
      </c>
      <c r="D924">
        <f>IF(OR(H924="",P924=""),"",INDEX('Students'!$B$2:$B$701,P924))</f>
        <v/>
      </c>
      <c r="E924">
        <f>IF(OR(H924="",P924=""),"",INDEX('Students'!$C$2:$C$701,P924))</f>
        <v/>
      </c>
      <c r="F924" s="48">
        <f>IF(H924="","",IF(ISNUMBER(O924),O924,J924))</f>
        <v/>
      </c>
      <c r="G924">
        <f>IF(H924="","","OneCause")</f>
        <v/>
      </c>
      <c r="H924">
        <f>IF(AND(I924="",J924="",K924=""),"",IF(NOT(ISNUMBER(O924)),"Bad amount",IF(O924&lt;0,"Refund (not counted)",IF(O924=0,"Zero amount",IF(NOT(ISNUMBER(N924)),"Bad date",IF(P924="","NAME NOT ON ROSTER",IF(L924="","OK",IF(MATCH(L924,$L$2:$L$3001,0)&lt;ROW()-1,"Duplicate (ignored)","OK"))))))))</f>
        <v/>
      </c>
      <c r="I924">
        <f>IF(OC_Date=0,"",IF(INDEX('OneCause_Paste'!$A$924:$AZ$924,1,OC_Date)="","",INDEX('OneCause_Paste'!$A$924:$AZ$924,1,OC_Date)))</f>
        <v/>
      </c>
      <c r="J924">
        <f>IF(OC_Amt=0,"",IF(INDEX('OneCause_Paste'!$A$924:$AZ$924,1,OC_Amt)="","",INDEX('OneCause_Paste'!$A$924:$AZ$924,1,OC_Amt)))</f>
        <v/>
      </c>
      <c r="K924">
        <f>IF(OC_Name=0,"",IF(INDEX('OneCause_Paste'!$A$924:$AZ$924,1,OC_Name)="","",INDEX('OneCause_Paste'!$A$924:$AZ$924,1,OC_Name)))</f>
        <v/>
      </c>
      <c r="L924">
        <f>IF(OC_Txn=0,"",IF(INDEX('OneCause_Paste'!$A$924:$AZ$924,1,OC_Txn)="","",INDEX('OneCause_Paste'!$A$924:$AZ$924,1,OC_Txn)))</f>
        <v/>
      </c>
      <c r="M924">
        <f>IF(OC_Pay=0,"",IF(INDEX('OneCause_Paste'!$A$924:$AZ$924,1,OC_Pay)="","",INDEX('OneCause_Paste'!$A$924:$AZ$924,1,OC_Pay)))</f>
        <v/>
      </c>
      <c r="N924">
        <f>IF(I924="","",IF(ISNUMBER(I924),INT(I924),IFERROR(INT(DATEVALUE(I924)),IFERROR(INT(VALUE(I924)),"bad"))))</f>
        <v/>
      </c>
      <c r="O924">
        <f>IF(J924="","",IF(ISNUMBER(J924),ROUND(J924,2),IFERROR(ROUND(VALUE(SUBSTITUTE(SUBSTITUTE(SUBSTITUTE(J924,"$",""),",","")," ","")),2),"bad")))</f>
        <v/>
      </c>
      <c r="P924">
        <f>IF(TRIM(K924)="","",IFERROR(MATCH(LOWER(TRIM(K924)),'Students'!$AH$2:$AH$701,0),IFERROR(MATCH(LOWER(TRIM(K924)),'Students'!$AF$2:$AF$701,0),IFERROR(MATCH(LOWER(TRIM(K924)),'Students'!$AG$2:$AG$701,0),""))))</f>
        <v/>
      </c>
      <c r="R924">
        <f>IF(P924="","",INDEX('Students'!$AD$2:$AD$701,P924))</f>
        <v/>
      </c>
      <c r="S924">
        <f>IF(H924="OK",O924,0)</f>
        <v/>
      </c>
      <c r="T924">
        <f>IF(H924="OK",N924,"")</f>
        <v/>
      </c>
      <c r="U924">
        <f>IF(OC_Donor=0,"",IF(INDEX('OneCause_Paste'!$A$924:$AZ$924,1,OC_Donor)="","",INDEX('OneCause_Paste'!$A$924:$AZ$924,1,OC_Donor)))</f>
        <v/>
      </c>
    </row>
    <row r="925">
      <c r="A925" s="62">
        <f>IF(H925="","",IF(ISNUMBER(N925),N925,I925))</f>
        <v/>
      </c>
      <c r="B925">
        <f>IF(H925="","",U925)</f>
        <v/>
      </c>
      <c r="C925">
        <f>IF(H925="","",IF(P925="",K925,INDEX('Students'!$A$2:$A$701,P925)))</f>
        <v/>
      </c>
      <c r="D925">
        <f>IF(OR(H925="",P925=""),"",INDEX('Students'!$B$2:$B$701,P925))</f>
        <v/>
      </c>
      <c r="E925">
        <f>IF(OR(H925="",P925=""),"",INDEX('Students'!$C$2:$C$701,P925))</f>
        <v/>
      </c>
      <c r="F925" s="48">
        <f>IF(H925="","",IF(ISNUMBER(O925),O925,J925))</f>
        <v/>
      </c>
      <c r="G925">
        <f>IF(H925="","","OneCause")</f>
        <v/>
      </c>
      <c r="H925">
        <f>IF(AND(I925="",J925="",K925=""),"",IF(NOT(ISNUMBER(O925)),"Bad amount",IF(O925&lt;0,"Refund (not counted)",IF(O925=0,"Zero amount",IF(NOT(ISNUMBER(N925)),"Bad date",IF(P925="","NAME NOT ON ROSTER",IF(L925="","OK",IF(MATCH(L925,$L$2:$L$3001,0)&lt;ROW()-1,"Duplicate (ignored)","OK"))))))))</f>
        <v/>
      </c>
      <c r="I925">
        <f>IF(OC_Date=0,"",IF(INDEX('OneCause_Paste'!$A$925:$AZ$925,1,OC_Date)="","",INDEX('OneCause_Paste'!$A$925:$AZ$925,1,OC_Date)))</f>
        <v/>
      </c>
      <c r="J925">
        <f>IF(OC_Amt=0,"",IF(INDEX('OneCause_Paste'!$A$925:$AZ$925,1,OC_Amt)="","",INDEX('OneCause_Paste'!$A$925:$AZ$925,1,OC_Amt)))</f>
        <v/>
      </c>
      <c r="K925">
        <f>IF(OC_Name=0,"",IF(INDEX('OneCause_Paste'!$A$925:$AZ$925,1,OC_Name)="","",INDEX('OneCause_Paste'!$A$925:$AZ$925,1,OC_Name)))</f>
        <v/>
      </c>
      <c r="L925">
        <f>IF(OC_Txn=0,"",IF(INDEX('OneCause_Paste'!$A$925:$AZ$925,1,OC_Txn)="","",INDEX('OneCause_Paste'!$A$925:$AZ$925,1,OC_Txn)))</f>
        <v/>
      </c>
      <c r="M925">
        <f>IF(OC_Pay=0,"",IF(INDEX('OneCause_Paste'!$A$925:$AZ$925,1,OC_Pay)="","",INDEX('OneCause_Paste'!$A$925:$AZ$925,1,OC_Pay)))</f>
        <v/>
      </c>
      <c r="N925">
        <f>IF(I925="","",IF(ISNUMBER(I925),INT(I925),IFERROR(INT(DATEVALUE(I925)),IFERROR(INT(VALUE(I925)),"bad"))))</f>
        <v/>
      </c>
      <c r="O925">
        <f>IF(J925="","",IF(ISNUMBER(J925),ROUND(J925,2),IFERROR(ROUND(VALUE(SUBSTITUTE(SUBSTITUTE(SUBSTITUTE(J925,"$",""),",","")," ","")),2),"bad")))</f>
        <v/>
      </c>
      <c r="P925">
        <f>IF(TRIM(K925)="","",IFERROR(MATCH(LOWER(TRIM(K925)),'Students'!$AH$2:$AH$701,0),IFERROR(MATCH(LOWER(TRIM(K925)),'Students'!$AF$2:$AF$701,0),IFERROR(MATCH(LOWER(TRIM(K925)),'Students'!$AG$2:$AG$701,0),""))))</f>
        <v/>
      </c>
      <c r="R925">
        <f>IF(P925="","",INDEX('Students'!$AD$2:$AD$701,P925))</f>
        <v/>
      </c>
      <c r="S925">
        <f>IF(H925="OK",O925,0)</f>
        <v/>
      </c>
      <c r="T925">
        <f>IF(H925="OK",N925,"")</f>
        <v/>
      </c>
      <c r="U925">
        <f>IF(OC_Donor=0,"",IF(INDEX('OneCause_Paste'!$A$925:$AZ$925,1,OC_Donor)="","",INDEX('OneCause_Paste'!$A$925:$AZ$925,1,OC_Donor)))</f>
        <v/>
      </c>
    </row>
    <row r="926">
      <c r="A926" s="62">
        <f>IF(H926="","",IF(ISNUMBER(N926),N926,I926))</f>
        <v/>
      </c>
      <c r="B926">
        <f>IF(H926="","",U926)</f>
        <v/>
      </c>
      <c r="C926">
        <f>IF(H926="","",IF(P926="",K926,INDEX('Students'!$A$2:$A$701,P926)))</f>
        <v/>
      </c>
      <c r="D926">
        <f>IF(OR(H926="",P926=""),"",INDEX('Students'!$B$2:$B$701,P926))</f>
        <v/>
      </c>
      <c r="E926">
        <f>IF(OR(H926="",P926=""),"",INDEX('Students'!$C$2:$C$701,P926))</f>
        <v/>
      </c>
      <c r="F926" s="48">
        <f>IF(H926="","",IF(ISNUMBER(O926),O926,J926))</f>
        <v/>
      </c>
      <c r="G926">
        <f>IF(H926="","","OneCause")</f>
        <v/>
      </c>
      <c r="H926">
        <f>IF(AND(I926="",J926="",K926=""),"",IF(NOT(ISNUMBER(O926)),"Bad amount",IF(O926&lt;0,"Refund (not counted)",IF(O926=0,"Zero amount",IF(NOT(ISNUMBER(N926)),"Bad date",IF(P926="","NAME NOT ON ROSTER",IF(L926="","OK",IF(MATCH(L926,$L$2:$L$3001,0)&lt;ROW()-1,"Duplicate (ignored)","OK"))))))))</f>
        <v/>
      </c>
      <c r="I926">
        <f>IF(OC_Date=0,"",IF(INDEX('OneCause_Paste'!$A$926:$AZ$926,1,OC_Date)="","",INDEX('OneCause_Paste'!$A$926:$AZ$926,1,OC_Date)))</f>
        <v/>
      </c>
      <c r="J926">
        <f>IF(OC_Amt=0,"",IF(INDEX('OneCause_Paste'!$A$926:$AZ$926,1,OC_Amt)="","",INDEX('OneCause_Paste'!$A$926:$AZ$926,1,OC_Amt)))</f>
        <v/>
      </c>
      <c r="K926">
        <f>IF(OC_Name=0,"",IF(INDEX('OneCause_Paste'!$A$926:$AZ$926,1,OC_Name)="","",INDEX('OneCause_Paste'!$A$926:$AZ$926,1,OC_Name)))</f>
        <v/>
      </c>
      <c r="L926">
        <f>IF(OC_Txn=0,"",IF(INDEX('OneCause_Paste'!$A$926:$AZ$926,1,OC_Txn)="","",INDEX('OneCause_Paste'!$A$926:$AZ$926,1,OC_Txn)))</f>
        <v/>
      </c>
      <c r="M926">
        <f>IF(OC_Pay=0,"",IF(INDEX('OneCause_Paste'!$A$926:$AZ$926,1,OC_Pay)="","",INDEX('OneCause_Paste'!$A$926:$AZ$926,1,OC_Pay)))</f>
        <v/>
      </c>
      <c r="N926">
        <f>IF(I926="","",IF(ISNUMBER(I926),INT(I926),IFERROR(INT(DATEVALUE(I926)),IFERROR(INT(VALUE(I926)),"bad"))))</f>
        <v/>
      </c>
      <c r="O926">
        <f>IF(J926="","",IF(ISNUMBER(J926),ROUND(J926,2),IFERROR(ROUND(VALUE(SUBSTITUTE(SUBSTITUTE(SUBSTITUTE(J926,"$",""),",","")," ","")),2),"bad")))</f>
        <v/>
      </c>
      <c r="P926">
        <f>IF(TRIM(K926)="","",IFERROR(MATCH(LOWER(TRIM(K926)),'Students'!$AH$2:$AH$701,0),IFERROR(MATCH(LOWER(TRIM(K926)),'Students'!$AF$2:$AF$701,0),IFERROR(MATCH(LOWER(TRIM(K926)),'Students'!$AG$2:$AG$701,0),""))))</f>
        <v/>
      </c>
      <c r="R926">
        <f>IF(P926="","",INDEX('Students'!$AD$2:$AD$701,P926))</f>
        <v/>
      </c>
      <c r="S926">
        <f>IF(H926="OK",O926,0)</f>
        <v/>
      </c>
      <c r="T926">
        <f>IF(H926="OK",N926,"")</f>
        <v/>
      </c>
      <c r="U926">
        <f>IF(OC_Donor=0,"",IF(INDEX('OneCause_Paste'!$A$926:$AZ$926,1,OC_Donor)="","",INDEX('OneCause_Paste'!$A$926:$AZ$926,1,OC_Donor)))</f>
        <v/>
      </c>
    </row>
    <row r="927">
      <c r="A927" s="62">
        <f>IF(H927="","",IF(ISNUMBER(N927),N927,I927))</f>
        <v/>
      </c>
      <c r="B927">
        <f>IF(H927="","",U927)</f>
        <v/>
      </c>
      <c r="C927">
        <f>IF(H927="","",IF(P927="",K927,INDEX('Students'!$A$2:$A$701,P927)))</f>
        <v/>
      </c>
      <c r="D927">
        <f>IF(OR(H927="",P927=""),"",INDEX('Students'!$B$2:$B$701,P927))</f>
        <v/>
      </c>
      <c r="E927">
        <f>IF(OR(H927="",P927=""),"",INDEX('Students'!$C$2:$C$701,P927))</f>
        <v/>
      </c>
      <c r="F927" s="48">
        <f>IF(H927="","",IF(ISNUMBER(O927),O927,J927))</f>
        <v/>
      </c>
      <c r="G927">
        <f>IF(H927="","","OneCause")</f>
        <v/>
      </c>
      <c r="H927">
        <f>IF(AND(I927="",J927="",K927=""),"",IF(NOT(ISNUMBER(O927)),"Bad amount",IF(O927&lt;0,"Refund (not counted)",IF(O927=0,"Zero amount",IF(NOT(ISNUMBER(N927)),"Bad date",IF(P927="","NAME NOT ON ROSTER",IF(L927="","OK",IF(MATCH(L927,$L$2:$L$3001,0)&lt;ROW()-1,"Duplicate (ignored)","OK"))))))))</f>
        <v/>
      </c>
      <c r="I927">
        <f>IF(OC_Date=0,"",IF(INDEX('OneCause_Paste'!$A$927:$AZ$927,1,OC_Date)="","",INDEX('OneCause_Paste'!$A$927:$AZ$927,1,OC_Date)))</f>
        <v/>
      </c>
      <c r="J927">
        <f>IF(OC_Amt=0,"",IF(INDEX('OneCause_Paste'!$A$927:$AZ$927,1,OC_Amt)="","",INDEX('OneCause_Paste'!$A$927:$AZ$927,1,OC_Amt)))</f>
        <v/>
      </c>
      <c r="K927">
        <f>IF(OC_Name=0,"",IF(INDEX('OneCause_Paste'!$A$927:$AZ$927,1,OC_Name)="","",INDEX('OneCause_Paste'!$A$927:$AZ$927,1,OC_Name)))</f>
        <v/>
      </c>
      <c r="L927">
        <f>IF(OC_Txn=0,"",IF(INDEX('OneCause_Paste'!$A$927:$AZ$927,1,OC_Txn)="","",INDEX('OneCause_Paste'!$A$927:$AZ$927,1,OC_Txn)))</f>
        <v/>
      </c>
      <c r="M927">
        <f>IF(OC_Pay=0,"",IF(INDEX('OneCause_Paste'!$A$927:$AZ$927,1,OC_Pay)="","",INDEX('OneCause_Paste'!$A$927:$AZ$927,1,OC_Pay)))</f>
        <v/>
      </c>
      <c r="N927">
        <f>IF(I927="","",IF(ISNUMBER(I927),INT(I927),IFERROR(INT(DATEVALUE(I927)),IFERROR(INT(VALUE(I927)),"bad"))))</f>
        <v/>
      </c>
      <c r="O927">
        <f>IF(J927="","",IF(ISNUMBER(J927),ROUND(J927,2),IFERROR(ROUND(VALUE(SUBSTITUTE(SUBSTITUTE(SUBSTITUTE(J927,"$",""),",","")," ","")),2),"bad")))</f>
        <v/>
      </c>
      <c r="P927">
        <f>IF(TRIM(K927)="","",IFERROR(MATCH(LOWER(TRIM(K927)),'Students'!$AH$2:$AH$701,0),IFERROR(MATCH(LOWER(TRIM(K927)),'Students'!$AF$2:$AF$701,0),IFERROR(MATCH(LOWER(TRIM(K927)),'Students'!$AG$2:$AG$701,0),""))))</f>
        <v/>
      </c>
      <c r="R927">
        <f>IF(P927="","",INDEX('Students'!$AD$2:$AD$701,P927))</f>
        <v/>
      </c>
      <c r="S927">
        <f>IF(H927="OK",O927,0)</f>
        <v/>
      </c>
      <c r="T927">
        <f>IF(H927="OK",N927,"")</f>
        <v/>
      </c>
      <c r="U927">
        <f>IF(OC_Donor=0,"",IF(INDEX('OneCause_Paste'!$A$927:$AZ$927,1,OC_Donor)="","",INDEX('OneCause_Paste'!$A$927:$AZ$927,1,OC_Donor)))</f>
        <v/>
      </c>
    </row>
    <row r="928">
      <c r="A928" s="62">
        <f>IF(H928="","",IF(ISNUMBER(N928),N928,I928))</f>
        <v/>
      </c>
      <c r="B928">
        <f>IF(H928="","",U928)</f>
        <v/>
      </c>
      <c r="C928">
        <f>IF(H928="","",IF(P928="",K928,INDEX('Students'!$A$2:$A$701,P928)))</f>
        <v/>
      </c>
      <c r="D928">
        <f>IF(OR(H928="",P928=""),"",INDEX('Students'!$B$2:$B$701,P928))</f>
        <v/>
      </c>
      <c r="E928">
        <f>IF(OR(H928="",P928=""),"",INDEX('Students'!$C$2:$C$701,P928))</f>
        <v/>
      </c>
      <c r="F928" s="48">
        <f>IF(H928="","",IF(ISNUMBER(O928),O928,J928))</f>
        <v/>
      </c>
      <c r="G928">
        <f>IF(H928="","","OneCause")</f>
        <v/>
      </c>
      <c r="H928">
        <f>IF(AND(I928="",J928="",K928=""),"",IF(NOT(ISNUMBER(O928)),"Bad amount",IF(O928&lt;0,"Refund (not counted)",IF(O928=0,"Zero amount",IF(NOT(ISNUMBER(N928)),"Bad date",IF(P928="","NAME NOT ON ROSTER",IF(L928="","OK",IF(MATCH(L928,$L$2:$L$3001,0)&lt;ROW()-1,"Duplicate (ignored)","OK"))))))))</f>
        <v/>
      </c>
      <c r="I928">
        <f>IF(OC_Date=0,"",IF(INDEX('OneCause_Paste'!$A$928:$AZ$928,1,OC_Date)="","",INDEX('OneCause_Paste'!$A$928:$AZ$928,1,OC_Date)))</f>
        <v/>
      </c>
      <c r="J928">
        <f>IF(OC_Amt=0,"",IF(INDEX('OneCause_Paste'!$A$928:$AZ$928,1,OC_Amt)="","",INDEX('OneCause_Paste'!$A$928:$AZ$928,1,OC_Amt)))</f>
        <v/>
      </c>
      <c r="K928">
        <f>IF(OC_Name=0,"",IF(INDEX('OneCause_Paste'!$A$928:$AZ$928,1,OC_Name)="","",INDEX('OneCause_Paste'!$A$928:$AZ$928,1,OC_Name)))</f>
        <v/>
      </c>
      <c r="L928">
        <f>IF(OC_Txn=0,"",IF(INDEX('OneCause_Paste'!$A$928:$AZ$928,1,OC_Txn)="","",INDEX('OneCause_Paste'!$A$928:$AZ$928,1,OC_Txn)))</f>
        <v/>
      </c>
      <c r="M928">
        <f>IF(OC_Pay=0,"",IF(INDEX('OneCause_Paste'!$A$928:$AZ$928,1,OC_Pay)="","",INDEX('OneCause_Paste'!$A$928:$AZ$928,1,OC_Pay)))</f>
        <v/>
      </c>
      <c r="N928">
        <f>IF(I928="","",IF(ISNUMBER(I928),INT(I928),IFERROR(INT(DATEVALUE(I928)),IFERROR(INT(VALUE(I928)),"bad"))))</f>
        <v/>
      </c>
      <c r="O928">
        <f>IF(J928="","",IF(ISNUMBER(J928),ROUND(J928,2),IFERROR(ROUND(VALUE(SUBSTITUTE(SUBSTITUTE(SUBSTITUTE(J928,"$",""),",","")," ","")),2),"bad")))</f>
        <v/>
      </c>
      <c r="P928">
        <f>IF(TRIM(K928)="","",IFERROR(MATCH(LOWER(TRIM(K928)),'Students'!$AH$2:$AH$701,0),IFERROR(MATCH(LOWER(TRIM(K928)),'Students'!$AF$2:$AF$701,0),IFERROR(MATCH(LOWER(TRIM(K928)),'Students'!$AG$2:$AG$701,0),""))))</f>
        <v/>
      </c>
      <c r="R928">
        <f>IF(P928="","",INDEX('Students'!$AD$2:$AD$701,P928))</f>
        <v/>
      </c>
      <c r="S928">
        <f>IF(H928="OK",O928,0)</f>
        <v/>
      </c>
      <c r="T928">
        <f>IF(H928="OK",N928,"")</f>
        <v/>
      </c>
      <c r="U928">
        <f>IF(OC_Donor=0,"",IF(INDEX('OneCause_Paste'!$A$928:$AZ$928,1,OC_Donor)="","",INDEX('OneCause_Paste'!$A$928:$AZ$928,1,OC_Donor)))</f>
        <v/>
      </c>
    </row>
    <row r="929">
      <c r="A929" s="62">
        <f>IF(H929="","",IF(ISNUMBER(N929),N929,I929))</f>
        <v/>
      </c>
      <c r="B929">
        <f>IF(H929="","",U929)</f>
        <v/>
      </c>
      <c r="C929">
        <f>IF(H929="","",IF(P929="",K929,INDEX('Students'!$A$2:$A$701,P929)))</f>
        <v/>
      </c>
      <c r="D929">
        <f>IF(OR(H929="",P929=""),"",INDEX('Students'!$B$2:$B$701,P929))</f>
        <v/>
      </c>
      <c r="E929">
        <f>IF(OR(H929="",P929=""),"",INDEX('Students'!$C$2:$C$701,P929))</f>
        <v/>
      </c>
      <c r="F929" s="48">
        <f>IF(H929="","",IF(ISNUMBER(O929),O929,J929))</f>
        <v/>
      </c>
      <c r="G929">
        <f>IF(H929="","","OneCause")</f>
        <v/>
      </c>
      <c r="H929">
        <f>IF(AND(I929="",J929="",K929=""),"",IF(NOT(ISNUMBER(O929)),"Bad amount",IF(O929&lt;0,"Refund (not counted)",IF(O929=0,"Zero amount",IF(NOT(ISNUMBER(N929)),"Bad date",IF(P929="","NAME NOT ON ROSTER",IF(L929="","OK",IF(MATCH(L929,$L$2:$L$3001,0)&lt;ROW()-1,"Duplicate (ignored)","OK"))))))))</f>
        <v/>
      </c>
      <c r="I929">
        <f>IF(OC_Date=0,"",IF(INDEX('OneCause_Paste'!$A$929:$AZ$929,1,OC_Date)="","",INDEX('OneCause_Paste'!$A$929:$AZ$929,1,OC_Date)))</f>
        <v/>
      </c>
      <c r="J929">
        <f>IF(OC_Amt=0,"",IF(INDEX('OneCause_Paste'!$A$929:$AZ$929,1,OC_Amt)="","",INDEX('OneCause_Paste'!$A$929:$AZ$929,1,OC_Amt)))</f>
        <v/>
      </c>
      <c r="K929">
        <f>IF(OC_Name=0,"",IF(INDEX('OneCause_Paste'!$A$929:$AZ$929,1,OC_Name)="","",INDEX('OneCause_Paste'!$A$929:$AZ$929,1,OC_Name)))</f>
        <v/>
      </c>
      <c r="L929">
        <f>IF(OC_Txn=0,"",IF(INDEX('OneCause_Paste'!$A$929:$AZ$929,1,OC_Txn)="","",INDEX('OneCause_Paste'!$A$929:$AZ$929,1,OC_Txn)))</f>
        <v/>
      </c>
      <c r="M929">
        <f>IF(OC_Pay=0,"",IF(INDEX('OneCause_Paste'!$A$929:$AZ$929,1,OC_Pay)="","",INDEX('OneCause_Paste'!$A$929:$AZ$929,1,OC_Pay)))</f>
        <v/>
      </c>
      <c r="N929">
        <f>IF(I929="","",IF(ISNUMBER(I929),INT(I929),IFERROR(INT(DATEVALUE(I929)),IFERROR(INT(VALUE(I929)),"bad"))))</f>
        <v/>
      </c>
      <c r="O929">
        <f>IF(J929="","",IF(ISNUMBER(J929),ROUND(J929,2),IFERROR(ROUND(VALUE(SUBSTITUTE(SUBSTITUTE(SUBSTITUTE(J929,"$",""),",","")," ","")),2),"bad")))</f>
        <v/>
      </c>
      <c r="P929">
        <f>IF(TRIM(K929)="","",IFERROR(MATCH(LOWER(TRIM(K929)),'Students'!$AH$2:$AH$701,0),IFERROR(MATCH(LOWER(TRIM(K929)),'Students'!$AF$2:$AF$701,0),IFERROR(MATCH(LOWER(TRIM(K929)),'Students'!$AG$2:$AG$701,0),""))))</f>
        <v/>
      </c>
      <c r="R929">
        <f>IF(P929="","",INDEX('Students'!$AD$2:$AD$701,P929))</f>
        <v/>
      </c>
      <c r="S929">
        <f>IF(H929="OK",O929,0)</f>
        <v/>
      </c>
      <c r="T929">
        <f>IF(H929="OK",N929,"")</f>
        <v/>
      </c>
      <c r="U929">
        <f>IF(OC_Donor=0,"",IF(INDEX('OneCause_Paste'!$A$929:$AZ$929,1,OC_Donor)="","",INDEX('OneCause_Paste'!$A$929:$AZ$929,1,OC_Donor)))</f>
        <v/>
      </c>
    </row>
    <row r="930">
      <c r="A930" s="62">
        <f>IF(H930="","",IF(ISNUMBER(N930),N930,I930))</f>
        <v/>
      </c>
      <c r="B930">
        <f>IF(H930="","",U930)</f>
        <v/>
      </c>
      <c r="C930">
        <f>IF(H930="","",IF(P930="",K930,INDEX('Students'!$A$2:$A$701,P930)))</f>
        <v/>
      </c>
      <c r="D930">
        <f>IF(OR(H930="",P930=""),"",INDEX('Students'!$B$2:$B$701,P930))</f>
        <v/>
      </c>
      <c r="E930">
        <f>IF(OR(H930="",P930=""),"",INDEX('Students'!$C$2:$C$701,P930))</f>
        <v/>
      </c>
      <c r="F930" s="48">
        <f>IF(H930="","",IF(ISNUMBER(O930),O930,J930))</f>
        <v/>
      </c>
      <c r="G930">
        <f>IF(H930="","","OneCause")</f>
        <v/>
      </c>
      <c r="H930">
        <f>IF(AND(I930="",J930="",K930=""),"",IF(NOT(ISNUMBER(O930)),"Bad amount",IF(O930&lt;0,"Refund (not counted)",IF(O930=0,"Zero amount",IF(NOT(ISNUMBER(N930)),"Bad date",IF(P930="","NAME NOT ON ROSTER",IF(L930="","OK",IF(MATCH(L930,$L$2:$L$3001,0)&lt;ROW()-1,"Duplicate (ignored)","OK"))))))))</f>
        <v/>
      </c>
      <c r="I930">
        <f>IF(OC_Date=0,"",IF(INDEX('OneCause_Paste'!$A$930:$AZ$930,1,OC_Date)="","",INDEX('OneCause_Paste'!$A$930:$AZ$930,1,OC_Date)))</f>
        <v/>
      </c>
      <c r="J930">
        <f>IF(OC_Amt=0,"",IF(INDEX('OneCause_Paste'!$A$930:$AZ$930,1,OC_Amt)="","",INDEX('OneCause_Paste'!$A$930:$AZ$930,1,OC_Amt)))</f>
        <v/>
      </c>
      <c r="K930">
        <f>IF(OC_Name=0,"",IF(INDEX('OneCause_Paste'!$A$930:$AZ$930,1,OC_Name)="","",INDEX('OneCause_Paste'!$A$930:$AZ$930,1,OC_Name)))</f>
        <v/>
      </c>
      <c r="L930">
        <f>IF(OC_Txn=0,"",IF(INDEX('OneCause_Paste'!$A$930:$AZ$930,1,OC_Txn)="","",INDEX('OneCause_Paste'!$A$930:$AZ$930,1,OC_Txn)))</f>
        <v/>
      </c>
      <c r="M930">
        <f>IF(OC_Pay=0,"",IF(INDEX('OneCause_Paste'!$A$930:$AZ$930,1,OC_Pay)="","",INDEX('OneCause_Paste'!$A$930:$AZ$930,1,OC_Pay)))</f>
        <v/>
      </c>
      <c r="N930">
        <f>IF(I930="","",IF(ISNUMBER(I930),INT(I930),IFERROR(INT(DATEVALUE(I930)),IFERROR(INT(VALUE(I930)),"bad"))))</f>
        <v/>
      </c>
      <c r="O930">
        <f>IF(J930="","",IF(ISNUMBER(J930),ROUND(J930,2),IFERROR(ROUND(VALUE(SUBSTITUTE(SUBSTITUTE(SUBSTITUTE(J930,"$",""),",","")," ","")),2),"bad")))</f>
        <v/>
      </c>
      <c r="P930">
        <f>IF(TRIM(K930)="","",IFERROR(MATCH(LOWER(TRIM(K930)),'Students'!$AH$2:$AH$701,0),IFERROR(MATCH(LOWER(TRIM(K930)),'Students'!$AF$2:$AF$701,0),IFERROR(MATCH(LOWER(TRIM(K930)),'Students'!$AG$2:$AG$701,0),""))))</f>
        <v/>
      </c>
      <c r="R930">
        <f>IF(P930="","",INDEX('Students'!$AD$2:$AD$701,P930))</f>
        <v/>
      </c>
      <c r="S930">
        <f>IF(H930="OK",O930,0)</f>
        <v/>
      </c>
      <c r="T930">
        <f>IF(H930="OK",N930,"")</f>
        <v/>
      </c>
      <c r="U930">
        <f>IF(OC_Donor=0,"",IF(INDEX('OneCause_Paste'!$A$930:$AZ$930,1,OC_Donor)="","",INDEX('OneCause_Paste'!$A$930:$AZ$930,1,OC_Donor)))</f>
        <v/>
      </c>
    </row>
    <row r="931">
      <c r="A931" s="62">
        <f>IF(H931="","",IF(ISNUMBER(N931),N931,I931))</f>
        <v/>
      </c>
      <c r="B931">
        <f>IF(H931="","",U931)</f>
        <v/>
      </c>
      <c r="C931">
        <f>IF(H931="","",IF(P931="",K931,INDEX('Students'!$A$2:$A$701,P931)))</f>
        <v/>
      </c>
      <c r="D931">
        <f>IF(OR(H931="",P931=""),"",INDEX('Students'!$B$2:$B$701,P931))</f>
        <v/>
      </c>
      <c r="E931">
        <f>IF(OR(H931="",P931=""),"",INDEX('Students'!$C$2:$C$701,P931))</f>
        <v/>
      </c>
      <c r="F931" s="48">
        <f>IF(H931="","",IF(ISNUMBER(O931),O931,J931))</f>
        <v/>
      </c>
      <c r="G931">
        <f>IF(H931="","","OneCause")</f>
        <v/>
      </c>
      <c r="H931">
        <f>IF(AND(I931="",J931="",K931=""),"",IF(NOT(ISNUMBER(O931)),"Bad amount",IF(O931&lt;0,"Refund (not counted)",IF(O931=0,"Zero amount",IF(NOT(ISNUMBER(N931)),"Bad date",IF(P931="","NAME NOT ON ROSTER",IF(L931="","OK",IF(MATCH(L931,$L$2:$L$3001,0)&lt;ROW()-1,"Duplicate (ignored)","OK"))))))))</f>
        <v/>
      </c>
      <c r="I931">
        <f>IF(OC_Date=0,"",IF(INDEX('OneCause_Paste'!$A$931:$AZ$931,1,OC_Date)="","",INDEX('OneCause_Paste'!$A$931:$AZ$931,1,OC_Date)))</f>
        <v/>
      </c>
      <c r="J931">
        <f>IF(OC_Amt=0,"",IF(INDEX('OneCause_Paste'!$A$931:$AZ$931,1,OC_Amt)="","",INDEX('OneCause_Paste'!$A$931:$AZ$931,1,OC_Amt)))</f>
        <v/>
      </c>
      <c r="K931">
        <f>IF(OC_Name=0,"",IF(INDEX('OneCause_Paste'!$A$931:$AZ$931,1,OC_Name)="","",INDEX('OneCause_Paste'!$A$931:$AZ$931,1,OC_Name)))</f>
        <v/>
      </c>
      <c r="L931">
        <f>IF(OC_Txn=0,"",IF(INDEX('OneCause_Paste'!$A$931:$AZ$931,1,OC_Txn)="","",INDEX('OneCause_Paste'!$A$931:$AZ$931,1,OC_Txn)))</f>
        <v/>
      </c>
      <c r="M931">
        <f>IF(OC_Pay=0,"",IF(INDEX('OneCause_Paste'!$A$931:$AZ$931,1,OC_Pay)="","",INDEX('OneCause_Paste'!$A$931:$AZ$931,1,OC_Pay)))</f>
        <v/>
      </c>
      <c r="N931">
        <f>IF(I931="","",IF(ISNUMBER(I931),INT(I931),IFERROR(INT(DATEVALUE(I931)),IFERROR(INT(VALUE(I931)),"bad"))))</f>
        <v/>
      </c>
      <c r="O931">
        <f>IF(J931="","",IF(ISNUMBER(J931),ROUND(J931,2),IFERROR(ROUND(VALUE(SUBSTITUTE(SUBSTITUTE(SUBSTITUTE(J931,"$",""),",","")," ","")),2),"bad")))</f>
        <v/>
      </c>
      <c r="P931">
        <f>IF(TRIM(K931)="","",IFERROR(MATCH(LOWER(TRIM(K931)),'Students'!$AH$2:$AH$701,0),IFERROR(MATCH(LOWER(TRIM(K931)),'Students'!$AF$2:$AF$701,0),IFERROR(MATCH(LOWER(TRIM(K931)),'Students'!$AG$2:$AG$701,0),""))))</f>
        <v/>
      </c>
      <c r="R931">
        <f>IF(P931="","",INDEX('Students'!$AD$2:$AD$701,P931))</f>
        <v/>
      </c>
      <c r="S931">
        <f>IF(H931="OK",O931,0)</f>
        <v/>
      </c>
      <c r="T931">
        <f>IF(H931="OK",N931,"")</f>
        <v/>
      </c>
      <c r="U931">
        <f>IF(OC_Donor=0,"",IF(INDEX('OneCause_Paste'!$A$931:$AZ$931,1,OC_Donor)="","",INDEX('OneCause_Paste'!$A$931:$AZ$931,1,OC_Donor)))</f>
        <v/>
      </c>
    </row>
    <row r="932">
      <c r="A932" s="62">
        <f>IF(H932="","",IF(ISNUMBER(N932),N932,I932))</f>
        <v/>
      </c>
      <c r="B932">
        <f>IF(H932="","",U932)</f>
        <v/>
      </c>
      <c r="C932">
        <f>IF(H932="","",IF(P932="",K932,INDEX('Students'!$A$2:$A$701,P932)))</f>
        <v/>
      </c>
      <c r="D932">
        <f>IF(OR(H932="",P932=""),"",INDEX('Students'!$B$2:$B$701,P932))</f>
        <v/>
      </c>
      <c r="E932">
        <f>IF(OR(H932="",P932=""),"",INDEX('Students'!$C$2:$C$701,P932))</f>
        <v/>
      </c>
      <c r="F932" s="48">
        <f>IF(H932="","",IF(ISNUMBER(O932),O932,J932))</f>
        <v/>
      </c>
      <c r="G932">
        <f>IF(H932="","","OneCause")</f>
        <v/>
      </c>
      <c r="H932">
        <f>IF(AND(I932="",J932="",K932=""),"",IF(NOT(ISNUMBER(O932)),"Bad amount",IF(O932&lt;0,"Refund (not counted)",IF(O932=0,"Zero amount",IF(NOT(ISNUMBER(N932)),"Bad date",IF(P932="","NAME NOT ON ROSTER",IF(L932="","OK",IF(MATCH(L932,$L$2:$L$3001,0)&lt;ROW()-1,"Duplicate (ignored)","OK"))))))))</f>
        <v/>
      </c>
      <c r="I932">
        <f>IF(OC_Date=0,"",IF(INDEX('OneCause_Paste'!$A$932:$AZ$932,1,OC_Date)="","",INDEX('OneCause_Paste'!$A$932:$AZ$932,1,OC_Date)))</f>
        <v/>
      </c>
      <c r="J932">
        <f>IF(OC_Amt=0,"",IF(INDEX('OneCause_Paste'!$A$932:$AZ$932,1,OC_Amt)="","",INDEX('OneCause_Paste'!$A$932:$AZ$932,1,OC_Amt)))</f>
        <v/>
      </c>
      <c r="K932">
        <f>IF(OC_Name=0,"",IF(INDEX('OneCause_Paste'!$A$932:$AZ$932,1,OC_Name)="","",INDEX('OneCause_Paste'!$A$932:$AZ$932,1,OC_Name)))</f>
        <v/>
      </c>
      <c r="L932">
        <f>IF(OC_Txn=0,"",IF(INDEX('OneCause_Paste'!$A$932:$AZ$932,1,OC_Txn)="","",INDEX('OneCause_Paste'!$A$932:$AZ$932,1,OC_Txn)))</f>
        <v/>
      </c>
      <c r="M932">
        <f>IF(OC_Pay=0,"",IF(INDEX('OneCause_Paste'!$A$932:$AZ$932,1,OC_Pay)="","",INDEX('OneCause_Paste'!$A$932:$AZ$932,1,OC_Pay)))</f>
        <v/>
      </c>
      <c r="N932">
        <f>IF(I932="","",IF(ISNUMBER(I932),INT(I932),IFERROR(INT(DATEVALUE(I932)),IFERROR(INT(VALUE(I932)),"bad"))))</f>
        <v/>
      </c>
      <c r="O932">
        <f>IF(J932="","",IF(ISNUMBER(J932),ROUND(J932,2),IFERROR(ROUND(VALUE(SUBSTITUTE(SUBSTITUTE(SUBSTITUTE(J932,"$",""),",","")," ","")),2),"bad")))</f>
        <v/>
      </c>
      <c r="P932">
        <f>IF(TRIM(K932)="","",IFERROR(MATCH(LOWER(TRIM(K932)),'Students'!$AH$2:$AH$701,0),IFERROR(MATCH(LOWER(TRIM(K932)),'Students'!$AF$2:$AF$701,0),IFERROR(MATCH(LOWER(TRIM(K932)),'Students'!$AG$2:$AG$701,0),""))))</f>
        <v/>
      </c>
      <c r="R932">
        <f>IF(P932="","",INDEX('Students'!$AD$2:$AD$701,P932))</f>
        <v/>
      </c>
      <c r="S932">
        <f>IF(H932="OK",O932,0)</f>
        <v/>
      </c>
      <c r="T932">
        <f>IF(H932="OK",N932,"")</f>
        <v/>
      </c>
      <c r="U932">
        <f>IF(OC_Donor=0,"",IF(INDEX('OneCause_Paste'!$A$932:$AZ$932,1,OC_Donor)="","",INDEX('OneCause_Paste'!$A$932:$AZ$932,1,OC_Donor)))</f>
        <v/>
      </c>
    </row>
    <row r="933">
      <c r="A933" s="62">
        <f>IF(H933="","",IF(ISNUMBER(N933),N933,I933))</f>
        <v/>
      </c>
      <c r="B933">
        <f>IF(H933="","",U933)</f>
        <v/>
      </c>
      <c r="C933">
        <f>IF(H933="","",IF(P933="",K933,INDEX('Students'!$A$2:$A$701,P933)))</f>
        <v/>
      </c>
      <c r="D933">
        <f>IF(OR(H933="",P933=""),"",INDEX('Students'!$B$2:$B$701,P933))</f>
        <v/>
      </c>
      <c r="E933">
        <f>IF(OR(H933="",P933=""),"",INDEX('Students'!$C$2:$C$701,P933))</f>
        <v/>
      </c>
      <c r="F933" s="48">
        <f>IF(H933="","",IF(ISNUMBER(O933),O933,J933))</f>
        <v/>
      </c>
      <c r="G933">
        <f>IF(H933="","","OneCause")</f>
        <v/>
      </c>
      <c r="H933">
        <f>IF(AND(I933="",J933="",K933=""),"",IF(NOT(ISNUMBER(O933)),"Bad amount",IF(O933&lt;0,"Refund (not counted)",IF(O933=0,"Zero amount",IF(NOT(ISNUMBER(N933)),"Bad date",IF(P933="","NAME NOT ON ROSTER",IF(L933="","OK",IF(MATCH(L933,$L$2:$L$3001,0)&lt;ROW()-1,"Duplicate (ignored)","OK"))))))))</f>
        <v/>
      </c>
      <c r="I933">
        <f>IF(OC_Date=0,"",IF(INDEX('OneCause_Paste'!$A$933:$AZ$933,1,OC_Date)="","",INDEX('OneCause_Paste'!$A$933:$AZ$933,1,OC_Date)))</f>
        <v/>
      </c>
      <c r="J933">
        <f>IF(OC_Amt=0,"",IF(INDEX('OneCause_Paste'!$A$933:$AZ$933,1,OC_Amt)="","",INDEX('OneCause_Paste'!$A$933:$AZ$933,1,OC_Amt)))</f>
        <v/>
      </c>
      <c r="K933">
        <f>IF(OC_Name=0,"",IF(INDEX('OneCause_Paste'!$A$933:$AZ$933,1,OC_Name)="","",INDEX('OneCause_Paste'!$A$933:$AZ$933,1,OC_Name)))</f>
        <v/>
      </c>
      <c r="L933">
        <f>IF(OC_Txn=0,"",IF(INDEX('OneCause_Paste'!$A$933:$AZ$933,1,OC_Txn)="","",INDEX('OneCause_Paste'!$A$933:$AZ$933,1,OC_Txn)))</f>
        <v/>
      </c>
      <c r="M933">
        <f>IF(OC_Pay=0,"",IF(INDEX('OneCause_Paste'!$A$933:$AZ$933,1,OC_Pay)="","",INDEX('OneCause_Paste'!$A$933:$AZ$933,1,OC_Pay)))</f>
        <v/>
      </c>
      <c r="N933">
        <f>IF(I933="","",IF(ISNUMBER(I933),INT(I933),IFERROR(INT(DATEVALUE(I933)),IFERROR(INT(VALUE(I933)),"bad"))))</f>
        <v/>
      </c>
      <c r="O933">
        <f>IF(J933="","",IF(ISNUMBER(J933),ROUND(J933,2),IFERROR(ROUND(VALUE(SUBSTITUTE(SUBSTITUTE(SUBSTITUTE(J933,"$",""),",","")," ","")),2),"bad")))</f>
        <v/>
      </c>
      <c r="P933">
        <f>IF(TRIM(K933)="","",IFERROR(MATCH(LOWER(TRIM(K933)),'Students'!$AH$2:$AH$701,0),IFERROR(MATCH(LOWER(TRIM(K933)),'Students'!$AF$2:$AF$701,0),IFERROR(MATCH(LOWER(TRIM(K933)),'Students'!$AG$2:$AG$701,0),""))))</f>
        <v/>
      </c>
      <c r="R933">
        <f>IF(P933="","",INDEX('Students'!$AD$2:$AD$701,P933))</f>
        <v/>
      </c>
      <c r="S933">
        <f>IF(H933="OK",O933,0)</f>
        <v/>
      </c>
      <c r="T933">
        <f>IF(H933="OK",N933,"")</f>
        <v/>
      </c>
      <c r="U933">
        <f>IF(OC_Donor=0,"",IF(INDEX('OneCause_Paste'!$A$933:$AZ$933,1,OC_Donor)="","",INDEX('OneCause_Paste'!$A$933:$AZ$933,1,OC_Donor)))</f>
        <v/>
      </c>
    </row>
    <row r="934">
      <c r="A934" s="62">
        <f>IF(H934="","",IF(ISNUMBER(N934),N934,I934))</f>
        <v/>
      </c>
      <c r="B934">
        <f>IF(H934="","",U934)</f>
        <v/>
      </c>
      <c r="C934">
        <f>IF(H934="","",IF(P934="",K934,INDEX('Students'!$A$2:$A$701,P934)))</f>
        <v/>
      </c>
      <c r="D934">
        <f>IF(OR(H934="",P934=""),"",INDEX('Students'!$B$2:$B$701,P934))</f>
        <v/>
      </c>
      <c r="E934">
        <f>IF(OR(H934="",P934=""),"",INDEX('Students'!$C$2:$C$701,P934))</f>
        <v/>
      </c>
      <c r="F934" s="48">
        <f>IF(H934="","",IF(ISNUMBER(O934),O934,J934))</f>
        <v/>
      </c>
      <c r="G934">
        <f>IF(H934="","","OneCause")</f>
        <v/>
      </c>
      <c r="H934">
        <f>IF(AND(I934="",J934="",K934=""),"",IF(NOT(ISNUMBER(O934)),"Bad amount",IF(O934&lt;0,"Refund (not counted)",IF(O934=0,"Zero amount",IF(NOT(ISNUMBER(N934)),"Bad date",IF(P934="","NAME NOT ON ROSTER",IF(L934="","OK",IF(MATCH(L934,$L$2:$L$3001,0)&lt;ROW()-1,"Duplicate (ignored)","OK"))))))))</f>
        <v/>
      </c>
      <c r="I934">
        <f>IF(OC_Date=0,"",IF(INDEX('OneCause_Paste'!$A$934:$AZ$934,1,OC_Date)="","",INDEX('OneCause_Paste'!$A$934:$AZ$934,1,OC_Date)))</f>
        <v/>
      </c>
      <c r="J934">
        <f>IF(OC_Amt=0,"",IF(INDEX('OneCause_Paste'!$A$934:$AZ$934,1,OC_Amt)="","",INDEX('OneCause_Paste'!$A$934:$AZ$934,1,OC_Amt)))</f>
        <v/>
      </c>
      <c r="K934">
        <f>IF(OC_Name=0,"",IF(INDEX('OneCause_Paste'!$A$934:$AZ$934,1,OC_Name)="","",INDEX('OneCause_Paste'!$A$934:$AZ$934,1,OC_Name)))</f>
        <v/>
      </c>
      <c r="L934">
        <f>IF(OC_Txn=0,"",IF(INDEX('OneCause_Paste'!$A$934:$AZ$934,1,OC_Txn)="","",INDEX('OneCause_Paste'!$A$934:$AZ$934,1,OC_Txn)))</f>
        <v/>
      </c>
      <c r="M934">
        <f>IF(OC_Pay=0,"",IF(INDEX('OneCause_Paste'!$A$934:$AZ$934,1,OC_Pay)="","",INDEX('OneCause_Paste'!$A$934:$AZ$934,1,OC_Pay)))</f>
        <v/>
      </c>
      <c r="N934">
        <f>IF(I934="","",IF(ISNUMBER(I934),INT(I934),IFERROR(INT(DATEVALUE(I934)),IFERROR(INT(VALUE(I934)),"bad"))))</f>
        <v/>
      </c>
      <c r="O934">
        <f>IF(J934="","",IF(ISNUMBER(J934),ROUND(J934,2),IFERROR(ROUND(VALUE(SUBSTITUTE(SUBSTITUTE(SUBSTITUTE(J934,"$",""),",","")," ","")),2),"bad")))</f>
        <v/>
      </c>
      <c r="P934">
        <f>IF(TRIM(K934)="","",IFERROR(MATCH(LOWER(TRIM(K934)),'Students'!$AH$2:$AH$701,0),IFERROR(MATCH(LOWER(TRIM(K934)),'Students'!$AF$2:$AF$701,0),IFERROR(MATCH(LOWER(TRIM(K934)),'Students'!$AG$2:$AG$701,0),""))))</f>
        <v/>
      </c>
      <c r="R934">
        <f>IF(P934="","",INDEX('Students'!$AD$2:$AD$701,P934))</f>
        <v/>
      </c>
      <c r="S934">
        <f>IF(H934="OK",O934,0)</f>
        <v/>
      </c>
      <c r="T934">
        <f>IF(H934="OK",N934,"")</f>
        <v/>
      </c>
      <c r="U934">
        <f>IF(OC_Donor=0,"",IF(INDEX('OneCause_Paste'!$A$934:$AZ$934,1,OC_Donor)="","",INDEX('OneCause_Paste'!$A$934:$AZ$934,1,OC_Donor)))</f>
        <v/>
      </c>
    </row>
    <row r="935">
      <c r="A935" s="62">
        <f>IF(H935="","",IF(ISNUMBER(N935),N935,I935))</f>
        <v/>
      </c>
      <c r="B935">
        <f>IF(H935="","",U935)</f>
        <v/>
      </c>
      <c r="C935">
        <f>IF(H935="","",IF(P935="",K935,INDEX('Students'!$A$2:$A$701,P935)))</f>
        <v/>
      </c>
      <c r="D935">
        <f>IF(OR(H935="",P935=""),"",INDEX('Students'!$B$2:$B$701,P935))</f>
        <v/>
      </c>
      <c r="E935">
        <f>IF(OR(H935="",P935=""),"",INDEX('Students'!$C$2:$C$701,P935))</f>
        <v/>
      </c>
      <c r="F935" s="48">
        <f>IF(H935="","",IF(ISNUMBER(O935),O935,J935))</f>
        <v/>
      </c>
      <c r="G935">
        <f>IF(H935="","","OneCause")</f>
        <v/>
      </c>
      <c r="H935">
        <f>IF(AND(I935="",J935="",K935=""),"",IF(NOT(ISNUMBER(O935)),"Bad amount",IF(O935&lt;0,"Refund (not counted)",IF(O935=0,"Zero amount",IF(NOT(ISNUMBER(N935)),"Bad date",IF(P935="","NAME NOT ON ROSTER",IF(L935="","OK",IF(MATCH(L935,$L$2:$L$3001,0)&lt;ROW()-1,"Duplicate (ignored)","OK"))))))))</f>
        <v/>
      </c>
      <c r="I935">
        <f>IF(OC_Date=0,"",IF(INDEX('OneCause_Paste'!$A$935:$AZ$935,1,OC_Date)="","",INDEX('OneCause_Paste'!$A$935:$AZ$935,1,OC_Date)))</f>
        <v/>
      </c>
      <c r="J935">
        <f>IF(OC_Amt=0,"",IF(INDEX('OneCause_Paste'!$A$935:$AZ$935,1,OC_Amt)="","",INDEX('OneCause_Paste'!$A$935:$AZ$935,1,OC_Amt)))</f>
        <v/>
      </c>
      <c r="K935">
        <f>IF(OC_Name=0,"",IF(INDEX('OneCause_Paste'!$A$935:$AZ$935,1,OC_Name)="","",INDEX('OneCause_Paste'!$A$935:$AZ$935,1,OC_Name)))</f>
        <v/>
      </c>
      <c r="L935">
        <f>IF(OC_Txn=0,"",IF(INDEX('OneCause_Paste'!$A$935:$AZ$935,1,OC_Txn)="","",INDEX('OneCause_Paste'!$A$935:$AZ$935,1,OC_Txn)))</f>
        <v/>
      </c>
      <c r="M935">
        <f>IF(OC_Pay=0,"",IF(INDEX('OneCause_Paste'!$A$935:$AZ$935,1,OC_Pay)="","",INDEX('OneCause_Paste'!$A$935:$AZ$935,1,OC_Pay)))</f>
        <v/>
      </c>
      <c r="N935">
        <f>IF(I935="","",IF(ISNUMBER(I935),INT(I935),IFERROR(INT(DATEVALUE(I935)),IFERROR(INT(VALUE(I935)),"bad"))))</f>
        <v/>
      </c>
      <c r="O935">
        <f>IF(J935="","",IF(ISNUMBER(J935),ROUND(J935,2),IFERROR(ROUND(VALUE(SUBSTITUTE(SUBSTITUTE(SUBSTITUTE(J935,"$",""),",","")," ","")),2),"bad")))</f>
        <v/>
      </c>
      <c r="P935">
        <f>IF(TRIM(K935)="","",IFERROR(MATCH(LOWER(TRIM(K935)),'Students'!$AH$2:$AH$701,0),IFERROR(MATCH(LOWER(TRIM(K935)),'Students'!$AF$2:$AF$701,0),IFERROR(MATCH(LOWER(TRIM(K935)),'Students'!$AG$2:$AG$701,0),""))))</f>
        <v/>
      </c>
      <c r="R935">
        <f>IF(P935="","",INDEX('Students'!$AD$2:$AD$701,P935))</f>
        <v/>
      </c>
      <c r="S935">
        <f>IF(H935="OK",O935,0)</f>
        <v/>
      </c>
      <c r="T935">
        <f>IF(H935="OK",N935,"")</f>
        <v/>
      </c>
      <c r="U935">
        <f>IF(OC_Donor=0,"",IF(INDEX('OneCause_Paste'!$A$935:$AZ$935,1,OC_Donor)="","",INDEX('OneCause_Paste'!$A$935:$AZ$935,1,OC_Donor)))</f>
        <v/>
      </c>
    </row>
    <row r="936">
      <c r="A936" s="62">
        <f>IF(H936="","",IF(ISNUMBER(N936),N936,I936))</f>
        <v/>
      </c>
      <c r="B936">
        <f>IF(H936="","",U936)</f>
        <v/>
      </c>
      <c r="C936">
        <f>IF(H936="","",IF(P936="",K936,INDEX('Students'!$A$2:$A$701,P936)))</f>
        <v/>
      </c>
      <c r="D936">
        <f>IF(OR(H936="",P936=""),"",INDEX('Students'!$B$2:$B$701,P936))</f>
        <v/>
      </c>
      <c r="E936">
        <f>IF(OR(H936="",P936=""),"",INDEX('Students'!$C$2:$C$701,P936))</f>
        <v/>
      </c>
      <c r="F936" s="48">
        <f>IF(H936="","",IF(ISNUMBER(O936),O936,J936))</f>
        <v/>
      </c>
      <c r="G936">
        <f>IF(H936="","","OneCause")</f>
        <v/>
      </c>
      <c r="H936">
        <f>IF(AND(I936="",J936="",K936=""),"",IF(NOT(ISNUMBER(O936)),"Bad amount",IF(O936&lt;0,"Refund (not counted)",IF(O936=0,"Zero amount",IF(NOT(ISNUMBER(N936)),"Bad date",IF(P936="","NAME NOT ON ROSTER",IF(L936="","OK",IF(MATCH(L936,$L$2:$L$3001,0)&lt;ROW()-1,"Duplicate (ignored)","OK"))))))))</f>
        <v/>
      </c>
      <c r="I936">
        <f>IF(OC_Date=0,"",IF(INDEX('OneCause_Paste'!$A$936:$AZ$936,1,OC_Date)="","",INDEX('OneCause_Paste'!$A$936:$AZ$936,1,OC_Date)))</f>
        <v/>
      </c>
      <c r="J936">
        <f>IF(OC_Amt=0,"",IF(INDEX('OneCause_Paste'!$A$936:$AZ$936,1,OC_Amt)="","",INDEX('OneCause_Paste'!$A$936:$AZ$936,1,OC_Amt)))</f>
        <v/>
      </c>
      <c r="K936">
        <f>IF(OC_Name=0,"",IF(INDEX('OneCause_Paste'!$A$936:$AZ$936,1,OC_Name)="","",INDEX('OneCause_Paste'!$A$936:$AZ$936,1,OC_Name)))</f>
        <v/>
      </c>
      <c r="L936">
        <f>IF(OC_Txn=0,"",IF(INDEX('OneCause_Paste'!$A$936:$AZ$936,1,OC_Txn)="","",INDEX('OneCause_Paste'!$A$936:$AZ$936,1,OC_Txn)))</f>
        <v/>
      </c>
      <c r="M936">
        <f>IF(OC_Pay=0,"",IF(INDEX('OneCause_Paste'!$A$936:$AZ$936,1,OC_Pay)="","",INDEX('OneCause_Paste'!$A$936:$AZ$936,1,OC_Pay)))</f>
        <v/>
      </c>
      <c r="N936">
        <f>IF(I936="","",IF(ISNUMBER(I936),INT(I936),IFERROR(INT(DATEVALUE(I936)),IFERROR(INT(VALUE(I936)),"bad"))))</f>
        <v/>
      </c>
      <c r="O936">
        <f>IF(J936="","",IF(ISNUMBER(J936),ROUND(J936,2),IFERROR(ROUND(VALUE(SUBSTITUTE(SUBSTITUTE(SUBSTITUTE(J936,"$",""),",","")," ","")),2),"bad")))</f>
        <v/>
      </c>
      <c r="P936">
        <f>IF(TRIM(K936)="","",IFERROR(MATCH(LOWER(TRIM(K936)),'Students'!$AH$2:$AH$701,0),IFERROR(MATCH(LOWER(TRIM(K936)),'Students'!$AF$2:$AF$701,0),IFERROR(MATCH(LOWER(TRIM(K936)),'Students'!$AG$2:$AG$701,0),""))))</f>
        <v/>
      </c>
      <c r="R936">
        <f>IF(P936="","",INDEX('Students'!$AD$2:$AD$701,P936))</f>
        <v/>
      </c>
      <c r="S936">
        <f>IF(H936="OK",O936,0)</f>
        <v/>
      </c>
      <c r="T936">
        <f>IF(H936="OK",N936,"")</f>
        <v/>
      </c>
      <c r="U936">
        <f>IF(OC_Donor=0,"",IF(INDEX('OneCause_Paste'!$A$936:$AZ$936,1,OC_Donor)="","",INDEX('OneCause_Paste'!$A$936:$AZ$936,1,OC_Donor)))</f>
        <v/>
      </c>
    </row>
    <row r="937">
      <c r="A937" s="62">
        <f>IF(H937="","",IF(ISNUMBER(N937),N937,I937))</f>
        <v/>
      </c>
      <c r="B937">
        <f>IF(H937="","",U937)</f>
        <v/>
      </c>
      <c r="C937">
        <f>IF(H937="","",IF(P937="",K937,INDEX('Students'!$A$2:$A$701,P937)))</f>
        <v/>
      </c>
      <c r="D937">
        <f>IF(OR(H937="",P937=""),"",INDEX('Students'!$B$2:$B$701,P937))</f>
        <v/>
      </c>
      <c r="E937">
        <f>IF(OR(H937="",P937=""),"",INDEX('Students'!$C$2:$C$701,P937))</f>
        <v/>
      </c>
      <c r="F937" s="48">
        <f>IF(H937="","",IF(ISNUMBER(O937),O937,J937))</f>
        <v/>
      </c>
      <c r="G937">
        <f>IF(H937="","","OneCause")</f>
        <v/>
      </c>
      <c r="H937">
        <f>IF(AND(I937="",J937="",K937=""),"",IF(NOT(ISNUMBER(O937)),"Bad amount",IF(O937&lt;0,"Refund (not counted)",IF(O937=0,"Zero amount",IF(NOT(ISNUMBER(N937)),"Bad date",IF(P937="","NAME NOT ON ROSTER",IF(L937="","OK",IF(MATCH(L937,$L$2:$L$3001,0)&lt;ROW()-1,"Duplicate (ignored)","OK"))))))))</f>
        <v/>
      </c>
      <c r="I937">
        <f>IF(OC_Date=0,"",IF(INDEX('OneCause_Paste'!$A$937:$AZ$937,1,OC_Date)="","",INDEX('OneCause_Paste'!$A$937:$AZ$937,1,OC_Date)))</f>
        <v/>
      </c>
      <c r="J937">
        <f>IF(OC_Amt=0,"",IF(INDEX('OneCause_Paste'!$A$937:$AZ$937,1,OC_Amt)="","",INDEX('OneCause_Paste'!$A$937:$AZ$937,1,OC_Amt)))</f>
        <v/>
      </c>
      <c r="K937">
        <f>IF(OC_Name=0,"",IF(INDEX('OneCause_Paste'!$A$937:$AZ$937,1,OC_Name)="","",INDEX('OneCause_Paste'!$A$937:$AZ$937,1,OC_Name)))</f>
        <v/>
      </c>
      <c r="L937">
        <f>IF(OC_Txn=0,"",IF(INDEX('OneCause_Paste'!$A$937:$AZ$937,1,OC_Txn)="","",INDEX('OneCause_Paste'!$A$937:$AZ$937,1,OC_Txn)))</f>
        <v/>
      </c>
      <c r="M937">
        <f>IF(OC_Pay=0,"",IF(INDEX('OneCause_Paste'!$A$937:$AZ$937,1,OC_Pay)="","",INDEX('OneCause_Paste'!$A$937:$AZ$937,1,OC_Pay)))</f>
        <v/>
      </c>
      <c r="N937">
        <f>IF(I937="","",IF(ISNUMBER(I937),INT(I937),IFERROR(INT(DATEVALUE(I937)),IFERROR(INT(VALUE(I937)),"bad"))))</f>
        <v/>
      </c>
      <c r="O937">
        <f>IF(J937="","",IF(ISNUMBER(J937),ROUND(J937,2),IFERROR(ROUND(VALUE(SUBSTITUTE(SUBSTITUTE(SUBSTITUTE(J937,"$",""),",","")," ","")),2),"bad")))</f>
        <v/>
      </c>
      <c r="P937">
        <f>IF(TRIM(K937)="","",IFERROR(MATCH(LOWER(TRIM(K937)),'Students'!$AH$2:$AH$701,0),IFERROR(MATCH(LOWER(TRIM(K937)),'Students'!$AF$2:$AF$701,0),IFERROR(MATCH(LOWER(TRIM(K937)),'Students'!$AG$2:$AG$701,0),""))))</f>
        <v/>
      </c>
      <c r="R937">
        <f>IF(P937="","",INDEX('Students'!$AD$2:$AD$701,P937))</f>
        <v/>
      </c>
      <c r="S937">
        <f>IF(H937="OK",O937,0)</f>
        <v/>
      </c>
      <c r="T937">
        <f>IF(H937="OK",N937,"")</f>
        <v/>
      </c>
      <c r="U937">
        <f>IF(OC_Donor=0,"",IF(INDEX('OneCause_Paste'!$A$937:$AZ$937,1,OC_Donor)="","",INDEX('OneCause_Paste'!$A$937:$AZ$937,1,OC_Donor)))</f>
        <v/>
      </c>
    </row>
    <row r="938">
      <c r="A938" s="62">
        <f>IF(H938="","",IF(ISNUMBER(N938),N938,I938))</f>
        <v/>
      </c>
      <c r="B938">
        <f>IF(H938="","",U938)</f>
        <v/>
      </c>
      <c r="C938">
        <f>IF(H938="","",IF(P938="",K938,INDEX('Students'!$A$2:$A$701,P938)))</f>
        <v/>
      </c>
      <c r="D938">
        <f>IF(OR(H938="",P938=""),"",INDEX('Students'!$B$2:$B$701,P938))</f>
        <v/>
      </c>
      <c r="E938">
        <f>IF(OR(H938="",P938=""),"",INDEX('Students'!$C$2:$C$701,P938))</f>
        <v/>
      </c>
      <c r="F938" s="48">
        <f>IF(H938="","",IF(ISNUMBER(O938),O938,J938))</f>
        <v/>
      </c>
      <c r="G938">
        <f>IF(H938="","","OneCause")</f>
        <v/>
      </c>
      <c r="H938">
        <f>IF(AND(I938="",J938="",K938=""),"",IF(NOT(ISNUMBER(O938)),"Bad amount",IF(O938&lt;0,"Refund (not counted)",IF(O938=0,"Zero amount",IF(NOT(ISNUMBER(N938)),"Bad date",IF(P938="","NAME NOT ON ROSTER",IF(L938="","OK",IF(MATCH(L938,$L$2:$L$3001,0)&lt;ROW()-1,"Duplicate (ignored)","OK"))))))))</f>
        <v/>
      </c>
      <c r="I938">
        <f>IF(OC_Date=0,"",IF(INDEX('OneCause_Paste'!$A$938:$AZ$938,1,OC_Date)="","",INDEX('OneCause_Paste'!$A$938:$AZ$938,1,OC_Date)))</f>
        <v/>
      </c>
      <c r="J938">
        <f>IF(OC_Amt=0,"",IF(INDEX('OneCause_Paste'!$A$938:$AZ$938,1,OC_Amt)="","",INDEX('OneCause_Paste'!$A$938:$AZ$938,1,OC_Amt)))</f>
        <v/>
      </c>
      <c r="K938">
        <f>IF(OC_Name=0,"",IF(INDEX('OneCause_Paste'!$A$938:$AZ$938,1,OC_Name)="","",INDEX('OneCause_Paste'!$A$938:$AZ$938,1,OC_Name)))</f>
        <v/>
      </c>
      <c r="L938">
        <f>IF(OC_Txn=0,"",IF(INDEX('OneCause_Paste'!$A$938:$AZ$938,1,OC_Txn)="","",INDEX('OneCause_Paste'!$A$938:$AZ$938,1,OC_Txn)))</f>
        <v/>
      </c>
      <c r="M938">
        <f>IF(OC_Pay=0,"",IF(INDEX('OneCause_Paste'!$A$938:$AZ$938,1,OC_Pay)="","",INDEX('OneCause_Paste'!$A$938:$AZ$938,1,OC_Pay)))</f>
        <v/>
      </c>
      <c r="N938">
        <f>IF(I938="","",IF(ISNUMBER(I938),INT(I938),IFERROR(INT(DATEVALUE(I938)),IFERROR(INT(VALUE(I938)),"bad"))))</f>
        <v/>
      </c>
      <c r="O938">
        <f>IF(J938="","",IF(ISNUMBER(J938),ROUND(J938,2),IFERROR(ROUND(VALUE(SUBSTITUTE(SUBSTITUTE(SUBSTITUTE(J938,"$",""),",","")," ","")),2),"bad")))</f>
        <v/>
      </c>
      <c r="P938">
        <f>IF(TRIM(K938)="","",IFERROR(MATCH(LOWER(TRIM(K938)),'Students'!$AH$2:$AH$701,0),IFERROR(MATCH(LOWER(TRIM(K938)),'Students'!$AF$2:$AF$701,0),IFERROR(MATCH(LOWER(TRIM(K938)),'Students'!$AG$2:$AG$701,0),""))))</f>
        <v/>
      </c>
      <c r="R938">
        <f>IF(P938="","",INDEX('Students'!$AD$2:$AD$701,P938))</f>
        <v/>
      </c>
      <c r="S938">
        <f>IF(H938="OK",O938,0)</f>
        <v/>
      </c>
      <c r="T938">
        <f>IF(H938="OK",N938,"")</f>
        <v/>
      </c>
      <c r="U938">
        <f>IF(OC_Donor=0,"",IF(INDEX('OneCause_Paste'!$A$938:$AZ$938,1,OC_Donor)="","",INDEX('OneCause_Paste'!$A$938:$AZ$938,1,OC_Donor)))</f>
        <v/>
      </c>
    </row>
    <row r="939">
      <c r="A939" s="62">
        <f>IF(H939="","",IF(ISNUMBER(N939),N939,I939))</f>
        <v/>
      </c>
      <c r="B939">
        <f>IF(H939="","",U939)</f>
        <v/>
      </c>
      <c r="C939">
        <f>IF(H939="","",IF(P939="",K939,INDEX('Students'!$A$2:$A$701,P939)))</f>
        <v/>
      </c>
      <c r="D939">
        <f>IF(OR(H939="",P939=""),"",INDEX('Students'!$B$2:$B$701,P939))</f>
        <v/>
      </c>
      <c r="E939">
        <f>IF(OR(H939="",P939=""),"",INDEX('Students'!$C$2:$C$701,P939))</f>
        <v/>
      </c>
      <c r="F939" s="48">
        <f>IF(H939="","",IF(ISNUMBER(O939),O939,J939))</f>
        <v/>
      </c>
      <c r="G939">
        <f>IF(H939="","","OneCause")</f>
        <v/>
      </c>
      <c r="H939">
        <f>IF(AND(I939="",J939="",K939=""),"",IF(NOT(ISNUMBER(O939)),"Bad amount",IF(O939&lt;0,"Refund (not counted)",IF(O939=0,"Zero amount",IF(NOT(ISNUMBER(N939)),"Bad date",IF(P939="","NAME NOT ON ROSTER",IF(L939="","OK",IF(MATCH(L939,$L$2:$L$3001,0)&lt;ROW()-1,"Duplicate (ignored)","OK"))))))))</f>
        <v/>
      </c>
      <c r="I939">
        <f>IF(OC_Date=0,"",IF(INDEX('OneCause_Paste'!$A$939:$AZ$939,1,OC_Date)="","",INDEX('OneCause_Paste'!$A$939:$AZ$939,1,OC_Date)))</f>
        <v/>
      </c>
      <c r="J939">
        <f>IF(OC_Amt=0,"",IF(INDEX('OneCause_Paste'!$A$939:$AZ$939,1,OC_Amt)="","",INDEX('OneCause_Paste'!$A$939:$AZ$939,1,OC_Amt)))</f>
        <v/>
      </c>
      <c r="K939">
        <f>IF(OC_Name=0,"",IF(INDEX('OneCause_Paste'!$A$939:$AZ$939,1,OC_Name)="","",INDEX('OneCause_Paste'!$A$939:$AZ$939,1,OC_Name)))</f>
        <v/>
      </c>
      <c r="L939">
        <f>IF(OC_Txn=0,"",IF(INDEX('OneCause_Paste'!$A$939:$AZ$939,1,OC_Txn)="","",INDEX('OneCause_Paste'!$A$939:$AZ$939,1,OC_Txn)))</f>
        <v/>
      </c>
      <c r="M939">
        <f>IF(OC_Pay=0,"",IF(INDEX('OneCause_Paste'!$A$939:$AZ$939,1,OC_Pay)="","",INDEX('OneCause_Paste'!$A$939:$AZ$939,1,OC_Pay)))</f>
        <v/>
      </c>
      <c r="N939">
        <f>IF(I939="","",IF(ISNUMBER(I939),INT(I939),IFERROR(INT(DATEVALUE(I939)),IFERROR(INT(VALUE(I939)),"bad"))))</f>
        <v/>
      </c>
      <c r="O939">
        <f>IF(J939="","",IF(ISNUMBER(J939),ROUND(J939,2),IFERROR(ROUND(VALUE(SUBSTITUTE(SUBSTITUTE(SUBSTITUTE(J939,"$",""),",","")," ","")),2),"bad")))</f>
        <v/>
      </c>
      <c r="P939">
        <f>IF(TRIM(K939)="","",IFERROR(MATCH(LOWER(TRIM(K939)),'Students'!$AH$2:$AH$701,0),IFERROR(MATCH(LOWER(TRIM(K939)),'Students'!$AF$2:$AF$701,0),IFERROR(MATCH(LOWER(TRIM(K939)),'Students'!$AG$2:$AG$701,0),""))))</f>
        <v/>
      </c>
      <c r="R939">
        <f>IF(P939="","",INDEX('Students'!$AD$2:$AD$701,P939))</f>
        <v/>
      </c>
      <c r="S939">
        <f>IF(H939="OK",O939,0)</f>
        <v/>
      </c>
      <c r="T939">
        <f>IF(H939="OK",N939,"")</f>
        <v/>
      </c>
      <c r="U939">
        <f>IF(OC_Donor=0,"",IF(INDEX('OneCause_Paste'!$A$939:$AZ$939,1,OC_Donor)="","",INDEX('OneCause_Paste'!$A$939:$AZ$939,1,OC_Donor)))</f>
        <v/>
      </c>
    </row>
    <row r="940">
      <c r="A940" s="62">
        <f>IF(H940="","",IF(ISNUMBER(N940),N940,I940))</f>
        <v/>
      </c>
      <c r="B940">
        <f>IF(H940="","",U940)</f>
        <v/>
      </c>
      <c r="C940">
        <f>IF(H940="","",IF(P940="",K940,INDEX('Students'!$A$2:$A$701,P940)))</f>
        <v/>
      </c>
      <c r="D940">
        <f>IF(OR(H940="",P940=""),"",INDEX('Students'!$B$2:$B$701,P940))</f>
        <v/>
      </c>
      <c r="E940">
        <f>IF(OR(H940="",P940=""),"",INDEX('Students'!$C$2:$C$701,P940))</f>
        <v/>
      </c>
      <c r="F940" s="48">
        <f>IF(H940="","",IF(ISNUMBER(O940),O940,J940))</f>
        <v/>
      </c>
      <c r="G940">
        <f>IF(H940="","","OneCause")</f>
        <v/>
      </c>
      <c r="H940">
        <f>IF(AND(I940="",J940="",K940=""),"",IF(NOT(ISNUMBER(O940)),"Bad amount",IF(O940&lt;0,"Refund (not counted)",IF(O940=0,"Zero amount",IF(NOT(ISNUMBER(N940)),"Bad date",IF(P940="","NAME NOT ON ROSTER",IF(L940="","OK",IF(MATCH(L940,$L$2:$L$3001,0)&lt;ROW()-1,"Duplicate (ignored)","OK"))))))))</f>
        <v/>
      </c>
      <c r="I940">
        <f>IF(OC_Date=0,"",IF(INDEX('OneCause_Paste'!$A$940:$AZ$940,1,OC_Date)="","",INDEX('OneCause_Paste'!$A$940:$AZ$940,1,OC_Date)))</f>
        <v/>
      </c>
      <c r="J940">
        <f>IF(OC_Amt=0,"",IF(INDEX('OneCause_Paste'!$A$940:$AZ$940,1,OC_Amt)="","",INDEX('OneCause_Paste'!$A$940:$AZ$940,1,OC_Amt)))</f>
        <v/>
      </c>
      <c r="K940">
        <f>IF(OC_Name=0,"",IF(INDEX('OneCause_Paste'!$A$940:$AZ$940,1,OC_Name)="","",INDEX('OneCause_Paste'!$A$940:$AZ$940,1,OC_Name)))</f>
        <v/>
      </c>
      <c r="L940">
        <f>IF(OC_Txn=0,"",IF(INDEX('OneCause_Paste'!$A$940:$AZ$940,1,OC_Txn)="","",INDEX('OneCause_Paste'!$A$940:$AZ$940,1,OC_Txn)))</f>
        <v/>
      </c>
      <c r="M940">
        <f>IF(OC_Pay=0,"",IF(INDEX('OneCause_Paste'!$A$940:$AZ$940,1,OC_Pay)="","",INDEX('OneCause_Paste'!$A$940:$AZ$940,1,OC_Pay)))</f>
        <v/>
      </c>
      <c r="N940">
        <f>IF(I940="","",IF(ISNUMBER(I940),INT(I940),IFERROR(INT(DATEVALUE(I940)),IFERROR(INT(VALUE(I940)),"bad"))))</f>
        <v/>
      </c>
      <c r="O940">
        <f>IF(J940="","",IF(ISNUMBER(J940),ROUND(J940,2),IFERROR(ROUND(VALUE(SUBSTITUTE(SUBSTITUTE(SUBSTITUTE(J940,"$",""),",","")," ","")),2),"bad")))</f>
        <v/>
      </c>
      <c r="P940">
        <f>IF(TRIM(K940)="","",IFERROR(MATCH(LOWER(TRIM(K940)),'Students'!$AH$2:$AH$701,0),IFERROR(MATCH(LOWER(TRIM(K940)),'Students'!$AF$2:$AF$701,0),IFERROR(MATCH(LOWER(TRIM(K940)),'Students'!$AG$2:$AG$701,0),""))))</f>
        <v/>
      </c>
      <c r="R940">
        <f>IF(P940="","",INDEX('Students'!$AD$2:$AD$701,P940))</f>
        <v/>
      </c>
      <c r="S940">
        <f>IF(H940="OK",O940,0)</f>
        <v/>
      </c>
      <c r="T940">
        <f>IF(H940="OK",N940,"")</f>
        <v/>
      </c>
      <c r="U940">
        <f>IF(OC_Donor=0,"",IF(INDEX('OneCause_Paste'!$A$940:$AZ$940,1,OC_Donor)="","",INDEX('OneCause_Paste'!$A$940:$AZ$940,1,OC_Donor)))</f>
        <v/>
      </c>
    </row>
    <row r="941">
      <c r="A941" s="62">
        <f>IF(H941="","",IF(ISNUMBER(N941),N941,I941))</f>
        <v/>
      </c>
      <c r="B941">
        <f>IF(H941="","",U941)</f>
        <v/>
      </c>
      <c r="C941">
        <f>IF(H941="","",IF(P941="",K941,INDEX('Students'!$A$2:$A$701,P941)))</f>
        <v/>
      </c>
      <c r="D941">
        <f>IF(OR(H941="",P941=""),"",INDEX('Students'!$B$2:$B$701,P941))</f>
        <v/>
      </c>
      <c r="E941">
        <f>IF(OR(H941="",P941=""),"",INDEX('Students'!$C$2:$C$701,P941))</f>
        <v/>
      </c>
      <c r="F941" s="48">
        <f>IF(H941="","",IF(ISNUMBER(O941),O941,J941))</f>
        <v/>
      </c>
      <c r="G941">
        <f>IF(H941="","","OneCause")</f>
        <v/>
      </c>
      <c r="H941">
        <f>IF(AND(I941="",J941="",K941=""),"",IF(NOT(ISNUMBER(O941)),"Bad amount",IF(O941&lt;0,"Refund (not counted)",IF(O941=0,"Zero amount",IF(NOT(ISNUMBER(N941)),"Bad date",IF(P941="","NAME NOT ON ROSTER",IF(L941="","OK",IF(MATCH(L941,$L$2:$L$3001,0)&lt;ROW()-1,"Duplicate (ignored)","OK"))))))))</f>
        <v/>
      </c>
      <c r="I941">
        <f>IF(OC_Date=0,"",IF(INDEX('OneCause_Paste'!$A$941:$AZ$941,1,OC_Date)="","",INDEX('OneCause_Paste'!$A$941:$AZ$941,1,OC_Date)))</f>
        <v/>
      </c>
      <c r="J941">
        <f>IF(OC_Amt=0,"",IF(INDEX('OneCause_Paste'!$A$941:$AZ$941,1,OC_Amt)="","",INDEX('OneCause_Paste'!$A$941:$AZ$941,1,OC_Amt)))</f>
        <v/>
      </c>
      <c r="K941">
        <f>IF(OC_Name=0,"",IF(INDEX('OneCause_Paste'!$A$941:$AZ$941,1,OC_Name)="","",INDEX('OneCause_Paste'!$A$941:$AZ$941,1,OC_Name)))</f>
        <v/>
      </c>
      <c r="L941">
        <f>IF(OC_Txn=0,"",IF(INDEX('OneCause_Paste'!$A$941:$AZ$941,1,OC_Txn)="","",INDEX('OneCause_Paste'!$A$941:$AZ$941,1,OC_Txn)))</f>
        <v/>
      </c>
      <c r="M941">
        <f>IF(OC_Pay=0,"",IF(INDEX('OneCause_Paste'!$A$941:$AZ$941,1,OC_Pay)="","",INDEX('OneCause_Paste'!$A$941:$AZ$941,1,OC_Pay)))</f>
        <v/>
      </c>
      <c r="N941">
        <f>IF(I941="","",IF(ISNUMBER(I941),INT(I941),IFERROR(INT(DATEVALUE(I941)),IFERROR(INT(VALUE(I941)),"bad"))))</f>
        <v/>
      </c>
      <c r="O941">
        <f>IF(J941="","",IF(ISNUMBER(J941),ROUND(J941,2),IFERROR(ROUND(VALUE(SUBSTITUTE(SUBSTITUTE(SUBSTITUTE(J941,"$",""),",","")," ","")),2),"bad")))</f>
        <v/>
      </c>
      <c r="P941">
        <f>IF(TRIM(K941)="","",IFERROR(MATCH(LOWER(TRIM(K941)),'Students'!$AH$2:$AH$701,0),IFERROR(MATCH(LOWER(TRIM(K941)),'Students'!$AF$2:$AF$701,0),IFERROR(MATCH(LOWER(TRIM(K941)),'Students'!$AG$2:$AG$701,0),""))))</f>
        <v/>
      </c>
      <c r="R941">
        <f>IF(P941="","",INDEX('Students'!$AD$2:$AD$701,P941))</f>
        <v/>
      </c>
      <c r="S941">
        <f>IF(H941="OK",O941,0)</f>
        <v/>
      </c>
      <c r="T941">
        <f>IF(H941="OK",N941,"")</f>
        <v/>
      </c>
      <c r="U941">
        <f>IF(OC_Donor=0,"",IF(INDEX('OneCause_Paste'!$A$941:$AZ$941,1,OC_Donor)="","",INDEX('OneCause_Paste'!$A$941:$AZ$941,1,OC_Donor)))</f>
        <v/>
      </c>
    </row>
    <row r="942">
      <c r="A942" s="62">
        <f>IF(H942="","",IF(ISNUMBER(N942),N942,I942))</f>
        <v/>
      </c>
      <c r="B942">
        <f>IF(H942="","",U942)</f>
        <v/>
      </c>
      <c r="C942">
        <f>IF(H942="","",IF(P942="",K942,INDEX('Students'!$A$2:$A$701,P942)))</f>
        <v/>
      </c>
      <c r="D942">
        <f>IF(OR(H942="",P942=""),"",INDEX('Students'!$B$2:$B$701,P942))</f>
        <v/>
      </c>
      <c r="E942">
        <f>IF(OR(H942="",P942=""),"",INDEX('Students'!$C$2:$C$701,P942))</f>
        <v/>
      </c>
      <c r="F942" s="48">
        <f>IF(H942="","",IF(ISNUMBER(O942),O942,J942))</f>
        <v/>
      </c>
      <c r="G942">
        <f>IF(H942="","","OneCause")</f>
        <v/>
      </c>
      <c r="H942">
        <f>IF(AND(I942="",J942="",K942=""),"",IF(NOT(ISNUMBER(O942)),"Bad amount",IF(O942&lt;0,"Refund (not counted)",IF(O942=0,"Zero amount",IF(NOT(ISNUMBER(N942)),"Bad date",IF(P942="","NAME NOT ON ROSTER",IF(L942="","OK",IF(MATCH(L942,$L$2:$L$3001,0)&lt;ROW()-1,"Duplicate (ignored)","OK"))))))))</f>
        <v/>
      </c>
      <c r="I942">
        <f>IF(OC_Date=0,"",IF(INDEX('OneCause_Paste'!$A$942:$AZ$942,1,OC_Date)="","",INDEX('OneCause_Paste'!$A$942:$AZ$942,1,OC_Date)))</f>
        <v/>
      </c>
      <c r="J942">
        <f>IF(OC_Amt=0,"",IF(INDEX('OneCause_Paste'!$A$942:$AZ$942,1,OC_Amt)="","",INDEX('OneCause_Paste'!$A$942:$AZ$942,1,OC_Amt)))</f>
        <v/>
      </c>
      <c r="K942">
        <f>IF(OC_Name=0,"",IF(INDEX('OneCause_Paste'!$A$942:$AZ$942,1,OC_Name)="","",INDEX('OneCause_Paste'!$A$942:$AZ$942,1,OC_Name)))</f>
        <v/>
      </c>
      <c r="L942">
        <f>IF(OC_Txn=0,"",IF(INDEX('OneCause_Paste'!$A$942:$AZ$942,1,OC_Txn)="","",INDEX('OneCause_Paste'!$A$942:$AZ$942,1,OC_Txn)))</f>
        <v/>
      </c>
      <c r="M942">
        <f>IF(OC_Pay=0,"",IF(INDEX('OneCause_Paste'!$A$942:$AZ$942,1,OC_Pay)="","",INDEX('OneCause_Paste'!$A$942:$AZ$942,1,OC_Pay)))</f>
        <v/>
      </c>
      <c r="N942">
        <f>IF(I942="","",IF(ISNUMBER(I942),INT(I942),IFERROR(INT(DATEVALUE(I942)),IFERROR(INT(VALUE(I942)),"bad"))))</f>
        <v/>
      </c>
      <c r="O942">
        <f>IF(J942="","",IF(ISNUMBER(J942),ROUND(J942,2),IFERROR(ROUND(VALUE(SUBSTITUTE(SUBSTITUTE(SUBSTITUTE(J942,"$",""),",","")," ","")),2),"bad")))</f>
        <v/>
      </c>
      <c r="P942">
        <f>IF(TRIM(K942)="","",IFERROR(MATCH(LOWER(TRIM(K942)),'Students'!$AH$2:$AH$701,0),IFERROR(MATCH(LOWER(TRIM(K942)),'Students'!$AF$2:$AF$701,0),IFERROR(MATCH(LOWER(TRIM(K942)),'Students'!$AG$2:$AG$701,0),""))))</f>
        <v/>
      </c>
      <c r="R942">
        <f>IF(P942="","",INDEX('Students'!$AD$2:$AD$701,P942))</f>
        <v/>
      </c>
      <c r="S942">
        <f>IF(H942="OK",O942,0)</f>
        <v/>
      </c>
      <c r="T942">
        <f>IF(H942="OK",N942,"")</f>
        <v/>
      </c>
      <c r="U942">
        <f>IF(OC_Donor=0,"",IF(INDEX('OneCause_Paste'!$A$942:$AZ$942,1,OC_Donor)="","",INDEX('OneCause_Paste'!$A$942:$AZ$942,1,OC_Donor)))</f>
        <v/>
      </c>
    </row>
    <row r="943">
      <c r="A943" s="62">
        <f>IF(H943="","",IF(ISNUMBER(N943),N943,I943))</f>
        <v/>
      </c>
      <c r="B943">
        <f>IF(H943="","",U943)</f>
        <v/>
      </c>
      <c r="C943">
        <f>IF(H943="","",IF(P943="",K943,INDEX('Students'!$A$2:$A$701,P943)))</f>
        <v/>
      </c>
      <c r="D943">
        <f>IF(OR(H943="",P943=""),"",INDEX('Students'!$B$2:$B$701,P943))</f>
        <v/>
      </c>
      <c r="E943">
        <f>IF(OR(H943="",P943=""),"",INDEX('Students'!$C$2:$C$701,P943))</f>
        <v/>
      </c>
      <c r="F943" s="48">
        <f>IF(H943="","",IF(ISNUMBER(O943),O943,J943))</f>
        <v/>
      </c>
      <c r="G943">
        <f>IF(H943="","","OneCause")</f>
        <v/>
      </c>
      <c r="H943">
        <f>IF(AND(I943="",J943="",K943=""),"",IF(NOT(ISNUMBER(O943)),"Bad amount",IF(O943&lt;0,"Refund (not counted)",IF(O943=0,"Zero amount",IF(NOT(ISNUMBER(N943)),"Bad date",IF(P943="","NAME NOT ON ROSTER",IF(L943="","OK",IF(MATCH(L943,$L$2:$L$3001,0)&lt;ROW()-1,"Duplicate (ignored)","OK"))))))))</f>
        <v/>
      </c>
      <c r="I943">
        <f>IF(OC_Date=0,"",IF(INDEX('OneCause_Paste'!$A$943:$AZ$943,1,OC_Date)="","",INDEX('OneCause_Paste'!$A$943:$AZ$943,1,OC_Date)))</f>
        <v/>
      </c>
      <c r="J943">
        <f>IF(OC_Amt=0,"",IF(INDEX('OneCause_Paste'!$A$943:$AZ$943,1,OC_Amt)="","",INDEX('OneCause_Paste'!$A$943:$AZ$943,1,OC_Amt)))</f>
        <v/>
      </c>
      <c r="K943">
        <f>IF(OC_Name=0,"",IF(INDEX('OneCause_Paste'!$A$943:$AZ$943,1,OC_Name)="","",INDEX('OneCause_Paste'!$A$943:$AZ$943,1,OC_Name)))</f>
        <v/>
      </c>
      <c r="L943">
        <f>IF(OC_Txn=0,"",IF(INDEX('OneCause_Paste'!$A$943:$AZ$943,1,OC_Txn)="","",INDEX('OneCause_Paste'!$A$943:$AZ$943,1,OC_Txn)))</f>
        <v/>
      </c>
      <c r="M943">
        <f>IF(OC_Pay=0,"",IF(INDEX('OneCause_Paste'!$A$943:$AZ$943,1,OC_Pay)="","",INDEX('OneCause_Paste'!$A$943:$AZ$943,1,OC_Pay)))</f>
        <v/>
      </c>
      <c r="N943">
        <f>IF(I943="","",IF(ISNUMBER(I943),INT(I943),IFERROR(INT(DATEVALUE(I943)),IFERROR(INT(VALUE(I943)),"bad"))))</f>
        <v/>
      </c>
      <c r="O943">
        <f>IF(J943="","",IF(ISNUMBER(J943),ROUND(J943,2),IFERROR(ROUND(VALUE(SUBSTITUTE(SUBSTITUTE(SUBSTITUTE(J943,"$",""),",","")," ","")),2),"bad")))</f>
        <v/>
      </c>
      <c r="P943">
        <f>IF(TRIM(K943)="","",IFERROR(MATCH(LOWER(TRIM(K943)),'Students'!$AH$2:$AH$701,0),IFERROR(MATCH(LOWER(TRIM(K943)),'Students'!$AF$2:$AF$701,0),IFERROR(MATCH(LOWER(TRIM(K943)),'Students'!$AG$2:$AG$701,0),""))))</f>
        <v/>
      </c>
      <c r="R943">
        <f>IF(P943="","",INDEX('Students'!$AD$2:$AD$701,P943))</f>
        <v/>
      </c>
      <c r="S943">
        <f>IF(H943="OK",O943,0)</f>
        <v/>
      </c>
      <c r="T943">
        <f>IF(H943="OK",N943,"")</f>
        <v/>
      </c>
      <c r="U943">
        <f>IF(OC_Donor=0,"",IF(INDEX('OneCause_Paste'!$A$943:$AZ$943,1,OC_Donor)="","",INDEX('OneCause_Paste'!$A$943:$AZ$943,1,OC_Donor)))</f>
        <v/>
      </c>
    </row>
    <row r="944">
      <c r="A944" s="62">
        <f>IF(H944="","",IF(ISNUMBER(N944),N944,I944))</f>
        <v/>
      </c>
      <c r="B944">
        <f>IF(H944="","",U944)</f>
        <v/>
      </c>
      <c r="C944">
        <f>IF(H944="","",IF(P944="",K944,INDEX('Students'!$A$2:$A$701,P944)))</f>
        <v/>
      </c>
      <c r="D944">
        <f>IF(OR(H944="",P944=""),"",INDEX('Students'!$B$2:$B$701,P944))</f>
        <v/>
      </c>
      <c r="E944">
        <f>IF(OR(H944="",P944=""),"",INDEX('Students'!$C$2:$C$701,P944))</f>
        <v/>
      </c>
      <c r="F944" s="48">
        <f>IF(H944="","",IF(ISNUMBER(O944),O944,J944))</f>
        <v/>
      </c>
      <c r="G944">
        <f>IF(H944="","","OneCause")</f>
        <v/>
      </c>
      <c r="H944">
        <f>IF(AND(I944="",J944="",K944=""),"",IF(NOT(ISNUMBER(O944)),"Bad amount",IF(O944&lt;0,"Refund (not counted)",IF(O944=0,"Zero amount",IF(NOT(ISNUMBER(N944)),"Bad date",IF(P944="","NAME NOT ON ROSTER",IF(L944="","OK",IF(MATCH(L944,$L$2:$L$3001,0)&lt;ROW()-1,"Duplicate (ignored)","OK"))))))))</f>
        <v/>
      </c>
      <c r="I944">
        <f>IF(OC_Date=0,"",IF(INDEX('OneCause_Paste'!$A$944:$AZ$944,1,OC_Date)="","",INDEX('OneCause_Paste'!$A$944:$AZ$944,1,OC_Date)))</f>
        <v/>
      </c>
      <c r="J944">
        <f>IF(OC_Amt=0,"",IF(INDEX('OneCause_Paste'!$A$944:$AZ$944,1,OC_Amt)="","",INDEX('OneCause_Paste'!$A$944:$AZ$944,1,OC_Amt)))</f>
        <v/>
      </c>
      <c r="K944">
        <f>IF(OC_Name=0,"",IF(INDEX('OneCause_Paste'!$A$944:$AZ$944,1,OC_Name)="","",INDEX('OneCause_Paste'!$A$944:$AZ$944,1,OC_Name)))</f>
        <v/>
      </c>
      <c r="L944">
        <f>IF(OC_Txn=0,"",IF(INDEX('OneCause_Paste'!$A$944:$AZ$944,1,OC_Txn)="","",INDEX('OneCause_Paste'!$A$944:$AZ$944,1,OC_Txn)))</f>
        <v/>
      </c>
      <c r="M944">
        <f>IF(OC_Pay=0,"",IF(INDEX('OneCause_Paste'!$A$944:$AZ$944,1,OC_Pay)="","",INDEX('OneCause_Paste'!$A$944:$AZ$944,1,OC_Pay)))</f>
        <v/>
      </c>
      <c r="N944">
        <f>IF(I944="","",IF(ISNUMBER(I944),INT(I944),IFERROR(INT(DATEVALUE(I944)),IFERROR(INT(VALUE(I944)),"bad"))))</f>
        <v/>
      </c>
      <c r="O944">
        <f>IF(J944="","",IF(ISNUMBER(J944),ROUND(J944,2),IFERROR(ROUND(VALUE(SUBSTITUTE(SUBSTITUTE(SUBSTITUTE(J944,"$",""),",","")," ","")),2),"bad")))</f>
        <v/>
      </c>
      <c r="P944">
        <f>IF(TRIM(K944)="","",IFERROR(MATCH(LOWER(TRIM(K944)),'Students'!$AH$2:$AH$701,0),IFERROR(MATCH(LOWER(TRIM(K944)),'Students'!$AF$2:$AF$701,0),IFERROR(MATCH(LOWER(TRIM(K944)),'Students'!$AG$2:$AG$701,0),""))))</f>
        <v/>
      </c>
      <c r="R944">
        <f>IF(P944="","",INDEX('Students'!$AD$2:$AD$701,P944))</f>
        <v/>
      </c>
      <c r="S944">
        <f>IF(H944="OK",O944,0)</f>
        <v/>
      </c>
      <c r="T944">
        <f>IF(H944="OK",N944,"")</f>
        <v/>
      </c>
      <c r="U944">
        <f>IF(OC_Donor=0,"",IF(INDEX('OneCause_Paste'!$A$944:$AZ$944,1,OC_Donor)="","",INDEX('OneCause_Paste'!$A$944:$AZ$944,1,OC_Donor)))</f>
        <v/>
      </c>
    </row>
    <row r="945">
      <c r="A945" s="62">
        <f>IF(H945="","",IF(ISNUMBER(N945),N945,I945))</f>
        <v/>
      </c>
      <c r="B945">
        <f>IF(H945="","",U945)</f>
        <v/>
      </c>
      <c r="C945">
        <f>IF(H945="","",IF(P945="",K945,INDEX('Students'!$A$2:$A$701,P945)))</f>
        <v/>
      </c>
      <c r="D945">
        <f>IF(OR(H945="",P945=""),"",INDEX('Students'!$B$2:$B$701,P945))</f>
        <v/>
      </c>
      <c r="E945">
        <f>IF(OR(H945="",P945=""),"",INDEX('Students'!$C$2:$C$701,P945))</f>
        <v/>
      </c>
      <c r="F945" s="48">
        <f>IF(H945="","",IF(ISNUMBER(O945),O945,J945))</f>
        <v/>
      </c>
      <c r="G945">
        <f>IF(H945="","","OneCause")</f>
        <v/>
      </c>
      <c r="H945">
        <f>IF(AND(I945="",J945="",K945=""),"",IF(NOT(ISNUMBER(O945)),"Bad amount",IF(O945&lt;0,"Refund (not counted)",IF(O945=0,"Zero amount",IF(NOT(ISNUMBER(N945)),"Bad date",IF(P945="","NAME NOT ON ROSTER",IF(L945="","OK",IF(MATCH(L945,$L$2:$L$3001,0)&lt;ROW()-1,"Duplicate (ignored)","OK"))))))))</f>
        <v/>
      </c>
      <c r="I945">
        <f>IF(OC_Date=0,"",IF(INDEX('OneCause_Paste'!$A$945:$AZ$945,1,OC_Date)="","",INDEX('OneCause_Paste'!$A$945:$AZ$945,1,OC_Date)))</f>
        <v/>
      </c>
      <c r="J945">
        <f>IF(OC_Amt=0,"",IF(INDEX('OneCause_Paste'!$A$945:$AZ$945,1,OC_Amt)="","",INDEX('OneCause_Paste'!$A$945:$AZ$945,1,OC_Amt)))</f>
        <v/>
      </c>
      <c r="K945">
        <f>IF(OC_Name=0,"",IF(INDEX('OneCause_Paste'!$A$945:$AZ$945,1,OC_Name)="","",INDEX('OneCause_Paste'!$A$945:$AZ$945,1,OC_Name)))</f>
        <v/>
      </c>
      <c r="L945">
        <f>IF(OC_Txn=0,"",IF(INDEX('OneCause_Paste'!$A$945:$AZ$945,1,OC_Txn)="","",INDEX('OneCause_Paste'!$A$945:$AZ$945,1,OC_Txn)))</f>
        <v/>
      </c>
      <c r="M945">
        <f>IF(OC_Pay=0,"",IF(INDEX('OneCause_Paste'!$A$945:$AZ$945,1,OC_Pay)="","",INDEX('OneCause_Paste'!$A$945:$AZ$945,1,OC_Pay)))</f>
        <v/>
      </c>
      <c r="N945">
        <f>IF(I945="","",IF(ISNUMBER(I945),INT(I945),IFERROR(INT(DATEVALUE(I945)),IFERROR(INT(VALUE(I945)),"bad"))))</f>
        <v/>
      </c>
      <c r="O945">
        <f>IF(J945="","",IF(ISNUMBER(J945),ROUND(J945,2),IFERROR(ROUND(VALUE(SUBSTITUTE(SUBSTITUTE(SUBSTITUTE(J945,"$",""),",","")," ","")),2),"bad")))</f>
        <v/>
      </c>
      <c r="P945">
        <f>IF(TRIM(K945)="","",IFERROR(MATCH(LOWER(TRIM(K945)),'Students'!$AH$2:$AH$701,0),IFERROR(MATCH(LOWER(TRIM(K945)),'Students'!$AF$2:$AF$701,0),IFERROR(MATCH(LOWER(TRIM(K945)),'Students'!$AG$2:$AG$701,0),""))))</f>
        <v/>
      </c>
      <c r="R945">
        <f>IF(P945="","",INDEX('Students'!$AD$2:$AD$701,P945))</f>
        <v/>
      </c>
      <c r="S945">
        <f>IF(H945="OK",O945,0)</f>
        <v/>
      </c>
      <c r="T945">
        <f>IF(H945="OK",N945,"")</f>
        <v/>
      </c>
      <c r="U945">
        <f>IF(OC_Donor=0,"",IF(INDEX('OneCause_Paste'!$A$945:$AZ$945,1,OC_Donor)="","",INDEX('OneCause_Paste'!$A$945:$AZ$945,1,OC_Donor)))</f>
        <v/>
      </c>
    </row>
    <row r="946">
      <c r="A946" s="62">
        <f>IF(H946="","",IF(ISNUMBER(N946),N946,I946))</f>
        <v/>
      </c>
      <c r="B946">
        <f>IF(H946="","",U946)</f>
        <v/>
      </c>
      <c r="C946">
        <f>IF(H946="","",IF(P946="",K946,INDEX('Students'!$A$2:$A$701,P946)))</f>
        <v/>
      </c>
      <c r="D946">
        <f>IF(OR(H946="",P946=""),"",INDEX('Students'!$B$2:$B$701,P946))</f>
        <v/>
      </c>
      <c r="E946">
        <f>IF(OR(H946="",P946=""),"",INDEX('Students'!$C$2:$C$701,P946))</f>
        <v/>
      </c>
      <c r="F946" s="48">
        <f>IF(H946="","",IF(ISNUMBER(O946),O946,J946))</f>
        <v/>
      </c>
      <c r="G946">
        <f>IF(H946="","","OneCause")</f>
        <v/>
      </c>
      <c r="H946">
        <f>IF(AND(I946="",J946="",K946=""),"",IF(NOT(ISNUMBER(O946)),"Bad amount",IF(O946&lt;0,"Refund (not counted)",IF(O946=0,"Zero amount",IF(NOT(ISNUMBER(N946)),"Bad date",IF(P946="","NAME NOT ON ROSTER",IF(L946="","OK",IF(MATCH(L946,$L$2:$L$3001,0)&lt;ROW()-1,"Duplicate (ignored)","OK"))))))))</f>
        <v/>
      </c>
      <c r="I946">
        <f>IF(OC_Date=0,"",IF(INDEX('OneCause_Paste'!$A$946:$AZ$946,1,OC_Date)="","",INDEX('OneCause_Paste'!$A$946:$AZ$946,1,OC_Date)))</f>
        <v/>
      </c>
      <c r="J946">
        <f>IF(OC_Amt=0,"",IF(INDEX('OneCause_Paste'!$A$946:$AZ$946,1,OC_Amt)="","",INDEX('OneCause_Paste'!$A$946:$AZ$946,1,OC_Amt)))</f>
        <v/>
      </c>
      <c r="K946">
        <f>IF(OC_Name=0,"",IF(INDEX('OneCause_Paste'!$A$946:$AZ$946,1,OC_Name)="","",INDEX('OneCause_Paste'!$A$946:$AZ$946,1,OC_Name)))</f>
        <v/>
      </c>
      <c r="L946">
        <f>IF(OC_Txn=0,"",IF(INDEX('OneCause_Paste'!$A$946:$AZ$946,1,OC_Txn)="","",INDEX('OneCause_Paste'!$A$946:$AZ$946,1,OC_Txn)))</f>
        <v/>
      </c>
      <c r="M946">
        <f>IF(OC_Pay=0,"",IF(INDEX('OneCause_Paste'!$A$946:$AZ$946,1,OC_Pay)="","",INDEX('OneCause_Paste'!$A$946:$AZ$946,1,OC_Pay)))</f>
        <v/>
      </c>
      <c r="N946">
        <f>IF(I946="","",IF(ISNUMBER(I946),INT(I946),IFERROR(INT(DATEVALUE(I946)),IFERROR(INT(VALUE(I946)),"bad"))))</f>
        <v/>
      </c>
      <c r="O946">
        <f>IF(J946="","",IF(ISNUMBER(J946),ROUND(J946,2),IFERROR(ROUND(VALUE(SUBSTITUTE(SUBSTITUTE(SUBSTITUTE(J946,"$",""),",","")," ","")),2),"bad")))</f>
        <v/>
      </c>
      <c r="P946">
        <f>IF(TRIM(K946)="","",IFERROR(MATCH(LOWER(TRIM(K946)),'Students'!$AH$2:$AH$701,0),IFERROR(MATCH(LOWER(TRIM(K946)),'Students'!$AF$2:$AF$701,0),IFERROR(MATCH(LOWER(TRIM(K946)),'Students'!$AG$2:$AG$701,0),""))))</f>
        <v/>
      </c>
      <c r="R946">
        <f>IF(P946="","",INDEX('Students'!$AD$2:$AD$701,P946))</f>
        <v/>
      </c>
      <c r="S946">
        <f>IF(H946="OK",O946,0)</f>
        <v/>
      </c>
      <c r="T946">
        <f>IF(H946="OK",N946,"")</f>
        <v/>
      </c>
      <c r="U946">
        <f>IF(OC_Donor=0,"",IF(INDEX('OneCause_Paste'!$A$946:$AZ$946,1,OC_Donor)="","",INDEX('OneCause_Paste'!$A$946:$AZ$946,1,OC_Donor)))</f>
        <v/>
      </c>
    </row>
    <row r="947">
      <c r="A947" s="62">
        <f>IF(H947="","",IF(ISNUMBER(N947),N947,I947))</f>
        <v/>
      </c>
      <c r="B947">
        <f>IF(H947="","",U947)</f>
        <v/>
      </c>
      <c r="C947">
        <f>IF(H947="","",IF(P947="",K947,INDEX('Students'!$A$2:$A$701,P947)))</f>
        <v/>
      </c>
      <c r="D947">
        <f>IF(OR(H947="",P947=""),"",INDEX('Students'!$B$2:$B$701,P947))</f>
        <v/>
      </c>
      <c r="E947">
        <f>IF(OR(H947="",P947=""),"",INDEX('Students'!$C$2:$C$701,P947))</f>
        <v/>
      </c>
      <c r="F947" s="48">
        <f>IF(H947="","",IF(ISNUMBER(O947),O947,J947))</f>
        <v/>
      </c>
      <c r="G947">
        <f>IF(H947="","","OneCause")</f>
        <v/>
      </c>
      <c r="H947">
        <f>IF(AND(I947="",J947="",K947=""),"",IF(NOT(ISNUMBER(O947)),"Bad amount",IF(O947&lt;0,"Refund (not counted)",IF(O947=0,"Zero amount",IF(NOT(ISNUMBER(N947)),"Bad date",IF(P947="","NAME NOT ON ROSTER",IF(L947="","OK",IF(MATCH(L947,$L$2:$L$3001,0)&lt;ROW()-1,"Duplicate (ignored)","OK"))))))))</f>
        <v/>
      </c>
      <c r="I947">
        <f>IF(OC_Date=0,"",IF(INDEX('OneCause_Paste'!$A$947:$AZ$947,1,OC_Date)="","",INDEX('OneCause_Paste'!$A$947:$AZ$947,1,OC_Date)))</f>
        <v/>
      </c>
      <c r="J947">
        <f>IF(OC_Amt=0,"",IF(INDEX('OneCause_Paste'!$A$947:$AZ$947,1,OC_Amt)="","",INDEX('OneCause_Paste'!$A$947:$AZ$947,1,OC_Amt)))</f>
        <v/>
      </c>
      <c r="K947">
        <f>IF(OC_Name=0,"",IF(INDEX('OneCause_Paste'!$A$947:$AZ$947,1,OC_Name)="","",INDEX('OneCause_Paste'!$A$947:$AZ$947,1,OC_Name)))</f>
        <v/>
      </c>
      <c r="L947">
        <f>IF(OC_Txn=0,"",IF(INDEX('OneCause_Paste'!$A$947:$AZ$947,1,OC_Txn)="","",INDEX('OneCause_Paste'!$A$947:$AZ$947,1,OC_Txn)))</f>
        <v/>
      </c>
      <c r="M947">
        <f>IF(OC_Pay=0,"",IF(INDEX('OneCause_Paste'!$A$947:$AZ$947,1,OC_Pay)="","",INDEX('OneCause_Paste'!$A$947:$AZ$947,1,OC_Pay)))</f>
        <v/>
      </c>
      <c r="N947">
        <f>IF(I947="","",IF(ISNUMBER(I947),INT(I947),IFERROR(INT(DATEVALUE(I947)),IFERROR(INT(VALUE(I947)),"bad"))))</f>
        <v/>
      </c>
      <c r="O947">
        <f>IF(J947="","",IF(ISNUMBER(J947),ROUND(J947,2),IFERROR(ROUND(VALUE(SUBSTITUTE(SUBSTITUTE(SUBSTITUTE(J947,"$",""),",","")," ","")),2),"bad")))</f>
        <v/>
      </c>
      <c r="P947">
        <f>IF(TRIM(K947)="","",IFERROR(MATCH(LOWER(TRIM(K947)),'Students'!$AH$2:$AH$701,0),IFERROR(MATCH(LOWER(TRIM(K947)),'Students'!$AF$2:$AF$701,0),IFERROR(MATCH(LOWER(TRIM(K947)),'Students'!$AG$2:$AG$701,0),""))))</f>
        <v/>
      </c>
      <c r="R947">
        <f>IF(P947="","",INDEX('Students'!$AD$2:$AD$701,P947))</f>
        <v/>
      </c>
      <c r="S947">
        <f>IF(H947="OK",O947,0)</f>
        <v/>
      </c>
      <c r="T947">
        <f>IF(H947="OK",N947,"")</f>
        <v/>
      </c>
      <c r="U947">
        <f>IF(OC_Donor=0,"",IF(INDEX('OneCause_Paste'!$A$947:$AZ$947,1,OC_Donor)="","",INDEX('OneCause_Paste'!$A$947:$AZ$947,1,OC_Donor)))</f>
        <v/>
      </c>
    </row>
    <row r="948">
      <c r="A948" s="62">
        <f>IF(H948="","",IF(ISNUMBER(N948),N948,I948))</f>
        <v/>
      </c>
      <c r="B948">
        <f>IF(H948="","",U948)</f>
        <v/>
      </c>
      <c r="C948">
        <f>IF(H948="","",IF(P948="",K948,INDEX('Students'!$A$2:$A$701,P948)))</f>
        <v/>
      </c>
      <c r="D948">
        <f>IF(OR(H948="",P948=""),"",INDEX('Students'!$B$2:$B$701,P948))</f>
        <v/>
      </c>
      <c r="E948">
        <f>IF(OR(H948="",P948=""),"",INDEX('Students'!$C$2:$C$701,P948))</f>
        <v/>
      </c>
      <c r="F948" s="48">
        <f>IF(H948="","",IF(ISNUMBER(O948),O948,J948))</f>
        <v/>
      </c>
      <c r="G948">
        <f>IF(H948="","","OneCause")</f>
        <v/>
      </c>
      <c r="H948">
        <f>IF(AND(I948="",J948="",K948=""),"",IF(NOT(ISNUMBER(O948)),"Bad amount",IF(O948&lt;0,"Refund (not counted)",IF(O948=0,"Zero amount",IF(NOT(ISNUMBER(N948)),"Bad date",IF(P948="","NAME NOT ON ROSTER",IF(L948="","OK",IF(MATCH(L948,$L$2:$L$3001,0)&lt;ROW()-1,"Duplicate (ignored)","OK"))))))))</f>
        <v/>
      </c>
      <c r="I948">
        <f>IF(OC_Date=0,"",IF(INDEX('OneCause_Paste'!$A$948:$AZ$948,1,OC_Date)="","",INDEX('OneCause_Paste'!$A$948:$AZ$948,1,OC_Date)))</f>
        <v/>
      </c>
      <c r="J948">
        <f>IF(OC_Amt=0,"",IF(INDEX('OneCause_Paste'!$A$948:$AZ$948,1,OC_Amt)="","",INDEX('OneCause_Paste'!$A$948:$AZ$948,1,OC_Amt)))</f>
        <v/>
      </c>
      <c r="K948">
        <f>IF(OC_Name=0,"",IF(INDEX('OneCause_Paste'!$A$948:$AZ$948,1,OC_Name)="","",INDEX('OneCause_Paste'!$A$948:$AZ$948,1,OC_Name)))</f>
        <v/>
      </c>
      <c r="L948">
        <f>IF(OC_Txn=0,"",IF(INDEX('OneCause_Paste'!$A$948:$AZ$948,1,OC_Txn)="","",INDEX('OneCause_Paste'!$A$948:$AZ$948,1,OC_Txn)))</f>
        <v/>
      </c>
      <c r="M948">
        <f>IF(OC_Pay=0,"",IF(INDEX('OneCause_Paste'!$A$948:$AZ$948,1,OC_Pay)="","",INDEX('OneCause_Paste'!$A$948:$AZ$948,1,OC_Pay)))</f>
        <v/>
      </c>
      <c r="N948">
        <f>IF(I948="","",IF(ISNUMBER(I948),INT(I948),IFERROR(INT(DATEVALUE(I948)),IFERROR(INT(VALUE(I948)),"bad"))))</f>
        <v/>
      </c>
      <c r="O948">
        <f>IF(J948="","",IF(ISNUMBER(J948),ROUND(J948,2),IFERROR(ROUND(VALUE(SUBSTITUTE(SUBSTITUTE(SUBSTITUTE(J948,"$",""),",","")," ","")),2),"bad")))</f>
        <v/>
      </c>
      <c r="P948">
        <f>IF(TRIM(K948)="","",IFERROR(MATCH(LOWER(TRIM(K948)),'Students'!$AH$2:$AH$701,0),IFERROR(MATCH(LOWER(TRIM(K948)),'Students'!$AF$2:$AF$701,0),IFERROR(MATCH(LOWER(TRIM(K948)),'Students'!$AG$2:$AG$701,0),""))))</f>
        <v/>
      </c>
      <c r="R948">
        <f>IF(P948="","",INDEX('Students'!$AD$2:$AD$701,P948))</f>
        <v/>
      </c>
      <c r="S948">
        <f>IF(H948="OK",O948,0)</f>
        <v/>
      </c>
      <c r="T948">
        <f>IF(H948="OK",N948,"")</f>
        <v/>
      </c>
      <c r="U948">
        <f>IF(OC_Donor=0,"",IF(INDEX('OneCause_Paste'!$A$948:$AZ$948,1,OC_Donor)="","",INDEX('OneCause_Paste'!$A$948:$AZ$948,1,OC_Donor)))</f>
        <v/>
      </c>
    </row>
    <row r="949">
      <c r="A949" s="62">
        <f>IF(H949="","",IF(ISNUMBER(N949),N949,I949))</f>
        <v/>
      </c>
      <c r="B949">
        <f>IF(H949="","",U949)</f>
        <v/>
      </c>
      <c r="C949">
        <f>IF(H949="","",IF(P949="",K949,INDEX('Students'!$A$2:$A$701,P949)))</f>
        <v/>
      </c>
      <c r="D949">
        <f>IF(OR(H949="",P949=""),"",INDEX('Students'!$B$2:$B$701,P949))</f>
        <v/>
      </c>
      <c r="E949">
        <f>IF(OR(H949="",P949=""),"",INDEX('Students'!$C$2:$C$701,P949))</f>
        <v/>
      </c>
      <c r="F949" s="48">
        <f>IF(H949="","",IF(ISNUMBER(O949),O949,J949))</f>
        <v/>
      </c>
      <c r="G949">
        <f>IF(H949="","","OneCause")</f>
        <v/>
      </c>
      <c r="H949">
        <f>IF(AND(I949="",J949="",K949=""),"",IF(NOT(ISNUMBER(O949)),"Bad amount",IF(O949&lt;0,"Refund (not counted)",IF(O949=0,"Zero amount",IF(NOT(ISNUMBER(N949)),"Bad date",IF(P949="","NAME NOT ON ROSTER",IF(L949="","OK",IF(MATCH(L949,$L$2:$L$3001,0)&lt;ROW()-1,"Duplicate (ignored)","OK"))))))))</f>
        <v/>
      </c>
      <c r="I949">
        <f>IF(OC_Date=0,"",IF(INDEX('OneCause_Paste'!$A$949:$AZ$949,1,OC_Date)="","",INDEX('OneCause_Paste'!$A$949:$AZ$949,1,OC_Date)))</f>
        <v/>
      </c>
      <c r="J949">
        <f>IF(OC_Amt=0,"",IF(INDEX('OneCause_Paste'!$A$949:$AZ$949,1,OC_Amt)="","",INDEX('OneCause_Paste'!$A$949:$AZ$949,1,OC_Amt)))</f>
        <v/>
      </c>
      <c r="K949">
        <f>IF(OC_Name=0,"",IF(INDEX('OneCause_Paste'!$A$949:$AZ$949,1,OC_Name)="","",INDEX('OneCause_Paste'!$A$949:$AZ$949,1,OC_Name)))</f>
        <v/>
      </c>
      <c r="L949">
        <f>IF(OC_Txn=0,"",IF(INDEX('OneCause_Paste'!$A$949:$AZ$949,1,OC_Txn)="","",INDEX('OneCause_Paste'!$A$949:$AZ$949,1,OC_Txn)))</f>
        <v/>
      </c>
      <c r="M949">
        <f>IF(OC_Pay=0,"",IF(INDEX('OneCause_Paste'!$A$949:$AZ$949,1,OC_Pay)="","",INDEX('OneCause_Paste'!$A$949:$AZ$949,1,OC_Pay)))</f>
        <v/>
      </c>
      <c r="N949">
        <f>IF(I949="","",IF(ISNUMBER(I949),INT(I949),IFERROR(INT(DATEVALUE(I949)),IFERROR(INT(VALUE(I949)),"bad"))))</f>
        <v/>
      </c>
      <c r="O949">
        <f>IF(J949="","",IF(ISNUMBER(J949),ROUND(J949,2),IFERROR(ROUND(VALUE(SUBSTITUTE(SUBSTITUTE(SUBSTITUTE(J949,"$",""),",","")," ","")),2),"bad")))</f>
        <v/>
      </c>
      <c r="P949">
        <f>IF(TRIM(K949)="","",IFERROR(MATCH(LOWER(TRIM(K949)),'Students'!$AH$2:$AH$701,0),IFERROR(MATCH(LOWER(TRIM(K949)),'Students'!$AF$2:$AF$701,0),IFERROR(MATCH(LOWER(TRIM(K949)),'Students'!$AG$2:$AG$701,0),""))))</f>
        <v/>
      </c>
      <c r="R949">
        <f>IF(P949="","",INDEX('Students'!$AD$2:$AD$701,P949))</f>
        <v/>
      </c>
      <c r="S949">
        <f>IF(H949="OK",O949,0)</f>
        <v/>
      </c>
      <c r="T949">
        <f>IF(H949="OK",N949,"")</f>
        <v/>
      </c>
      <c r="U949">
        <f>IF(OC_Donor=0,"",IF(INDEX('OneCause_Paste'!$A$949:$AZ$949,1,OC_Donor)="","",INDEX('OneCause_Paste'!$A$949:$AZ$949,1,OC_Donor)))</f>
        <v/>
      </c>
    </row>
    <row r="950">
      <c r="A950" s="62">
        <f>IF(H950="","",IF(ISNUMBER(N950),N950,I950))</f>
        <v/>
      </c>
      <c r="B950">
        <f>IF(H950="","",U950)</f>
        <v/>
      </c>
      <c r="C950">
        <f>IF(H950="","",IF(P950="",K950,INDEX('Students'!$A$2:$A$701,P950)))</f>
        <v/>
      </c>
      <c r="D950">
        <f>IF(OR(H950="",P950=""),"",INDEX('Students'!$B$2:$B$701,P950))</f>
        <v/>
      </c>
      <c r="E950">
        <f>IF(OR(H950="",P950=""),"",INDEX('Students'!$C$2:$C$701,P950))</f>
        <v/>
      </c>
      <c r="F950" s="48">
        <f>IF(H950="","",IF(ISNUMBER(O950),O950,J950))</f>
        <v/>
      </c>
      <c r="G950">
        <f>IF(H950="","","OneCause")</f>
        <v/>
      </c>
      <c r="H950">
        <f>IF(AND(I950="",J950="",K950=""),"",IF(NOT(ISNUMBER(O950)),"Bad amount",IF(O950&lt;0,"Refund (not counted)",IF(O950=0,"Zero amount",IF(NOT(ISNUMBER(N950)),"Bad date",IF(P950="","NAME NOT ON ROSTER",IF(L950="","OK",IF(MATCH(L950,$L$2:$L$3001,0)&lt;ROW()-1,"Duplicate (ignored)","OK"))))))))</f>
        <v/>
      </c>
      <c r="I950">
        <f>IF(OC_Date=0,"",IF(INDEX('OneCause_Paste'!$A$950:$AZ$950,1,OC_Date)="","",INDEX('OneCause_Paste'!$A$950:$AZ$950,1,OC_Date)))</f>
        <v/>
      </c>
      <c r="J950">
        <f>IF(OC_Amt=0,"",IF(INDEX('OneCause_Paste'!$A$950:$AZ$950,1,OC_Amt)="","",INDEX('OneCause_Paste'!$A$950:$AZ$950,1,OC_Amt)))</f>
        <v/>
      </c>
      <c r="K950">
        <f>IF(OC_Name=0,"",IF(INDEX('OneCause_Paste'!$A$950:$AZ$950,1,OC_Name)="","",INDEX('OneCause_Paste'!$A$950:$AZ$950,1,OC_Name)))</f>
        <v/>
      </c>
      <c r="L950">
        <f>IF(OC_Txn=0,"",IF(INDEX('OneCause_Paste'!$A$950:$AZ$950,1,OC_Txn)="","",INDEX('OneCause_Paste'!$A$950:$AZ$950,1,OC_Txn)))</f>
        <v/>
      </c>
      <c r="M950">
        <f>IF(OC_Pay=0,"",IF(INDEX('OneCause_Paste'!$A$950:$AZ$950,1,OC_Pay)="","",INDEX('OneCause_Paste'!$A$950:$AZ$950,1,OC_Pay)))</f>
        <v/>
      </c>
      <c r="N950">
        <f>IF(I950="","",IF(ISNUMBER(I950),INT(I950),IFERROR(INT(DATEVALUE(I950)),IFERROR(INT(VALUE(I950)),"bad"))))</f>
        <v/>
      </c>
      <c r="O950">
        <f>IF(J950="","",IF(ISNUMBER(J950),ROUND(J950,2),IFERROR(ROUND(VALUE(SUBSTITUTE(SUBSTITUTE(SUBSTITUTE(J950,"$",""),",","")," ","")),2),"bad")))</f>
        <v/>
      </c>
      <c r="P950">
        <f>IF(TRIM(K950)="","",IFERROR(MATCH(LOWER(TRIM(K950)),'Students'!$AH$2:$AH$701,0),IFERROR(MATCH(LOWER(TRIM(K950)),'Students'!$AF$2:$AF$701,0),IFERROR(MATCH(LOWER(TRIM(K950)),'Students'!$AG$2:$AG$701,0),""))))</f>
        <v/>
      </c>
      <c r="R950">
        <f>IF(P950="","",INDEX('Students'!$AD$2:$AD$701,P950))</f>
        <v/>
      </c>
      <c r="S950">
        <f>IF(H950="OK",O950,0)</f>
        <v/>
      </c>
      <c r="T950">
        <f>IF(H950="OK",N950,"")</f>
        <v/>
      </c>
      <c r="U950">
        <f>IF(OC_Donor=0,"",IF(INDEX('OneCause_Paste'!$A$950:$AZ$950,1,OC_Donor)="","",INDEX('OneCause_Paste'!$A$950:$AZ$950,1,OC_Donor)))</f>
        <v/>
      </c>
    </row>
    <row r="951">
      <c r="A951" s="62">
        <f>IF(H951="","",IF(ISNUMBER(N951),N951,I951))</f>
        <v/>
      </c>
      <c r="B951">
        <f>IF(H951="","",U951)</f>
        <v/>
      </c>
      <c r="C951">
        <f>IF(H951="","",IF(P951="",K951,INDEX('Students'!$A$2:$A$701,P951)))</f>
        <v/>
      </c>
      <c r="D951">
        <f>IF(OR(H951="",P951=""),"",INDEX('Students'!$B$2:$B$701,P951))</f>
        <v/>
      </c>
      <c r="E951">
        <f>IF(OR(H951="",P951=""),"",INDEX('Students'!$C$2:$C$701,P951))</f>
        <v/>
      </c>
      <c r="F951" s="48">
        <f>IF(H951="","",IF(ISNUMBER(O951),O951,J951))</f>
        <v/>
      </c>
      <c r="G951">
        <f>IF(H951="","","OneCause")</f>
        <v/>
      </c>
      <c r="H951">
        <f>IF(AND(I951="",J951="",K951=""),"",IF(NOT(ISNUMBER(O951)),"Bad amount",IF(O951&lt;0,"Refund (not counted)",IF(O951=0,"Zero amount",IF(NOT(ISNUMBER(N951)),"Bad date",IF(P951="","NAME NOT ON ROSTER",IF(L951="","OK",IF(MATCH(L951,$L$2:$L$3001,0)&lt;ROW()-1,"Duplicate (ignored)","OK"))))))))</f>
        <v/>
      </c>
      <c r="I951">
        <f>IF(OC_Date=0,"",IF(INDEX('OneCause_Paste'!$A$951:$AZ$951,1,OC_Date)="","",INDEX('OneCause_Paste'!$A$951:$AZ$951,1,OC_Date)))</f>
        <v/>
      </c>
      <c r="J951">
        <f>IF(OC_Amt=0,"",IF(INDEX('OneCause_Paste'!$A$951:$AZ$951,1,OC_Amt)="","",INDEX('OneCause_Paste'!$A$951:$AZ$951,1,OC_Amt)))</f>
        <v/>
      </c>
      <c r="K951">
        <f>IF(OC_Name=0,"",IF(INDEX('OneCause_Paste'!$A$951:$AZ$951,1,OC_Name)="","",INDEX('OneCause_Paste'!$A$951:$AZ$951,1,OC_Name)))</f>
        <v/>
      </c>
      <c r="L951">
        <f>IF(OC_Txn=0,"",IF(INDEX('OneCause_Paste'!$A$951:$AZ$951,1,OC_Txn)="","",INDEX('OneCause_Paste'!$A$951:$AZ$951,1,OC_Txn)))</f>
        <v/>
      </c>
      <c r="M951">
        <f>IF(OC_Pay=0,"",IF(INDEX('OneCause_Paste'!$A$951:$AZ$951,1,OC_Pay)="","",INDEX('OneCause_Paste'!$A$951:$AZ$951,1,OC_Pay)))</f>
        <v/>
      </c>
      <c r="N951">
        <f>IF(I951="","",IF(ISNUMBER(I951),INT(I951),IFERROR(INT(DATEVALUE(I951)),IFERROR(INT(VALUE(I951)),"bad"))))</f>
        <v/>
      </c>
      <c r="O951">
        <f>IF(J951="","",IF(ISNUMBER(J951),ROUND(J951,2),IFERROR(ROUND(VALUE(SUBSTITUTE(SUBSTITUTE(SUBSTITUTE(J951,"$",""),",","")," ","")),2),"bad")))</f>
        <v/>
      </c>
      <c r="P951">
        <f>IF(TRIM(K951)="","",IFERROR(MATCH(LOWER(TRIM(K951)),'Students'!$AH$2:$AH$701,0),IFERROR(MATCH(LOWER(TRIM(K951)),'Students'!$AF$2:$AF$701,0),IFERROR(MATCH(LOWER(TRIM(K951)),'Students'!$AG$2:$AG$701,0),""))))</f>
        <v/>
      </c>
      <c r="R951">
        <f>IF(P951="","",INDEX('Students'!$AD$2:$AD$701,P951))</f>
        <v/>
      </c>
      <c r="S951">
        <f>IF(H951="OK",O951,0)</f>
        <v/>
      </c>
      <c r="T951">
        <f>IF(H951="OK",N951,"")</f>
        <v/>
      </c>
      <c r="U951">
        <f>IF(OC_Donor=0,"",IF(INDEX('OneCause_Paste'!$A$951:$AZ$951,1,OC_Donor)="","",INDEX('OneCause_Paste'!$A$951:$AZ$951,1,OC_Donor)))</f>
        <v/>
      </c>
    </row>
    <row r="952">
      <c r="A952" s="62">
        <f>IF(H952="","",IF(ISNUMBER(N952),N952,I952))</f>
        <v/>
      </c>
      <c r="B952">
        <f>IF(H952="","",U952)</f>
        <v/>
      </c>
      <c r="C952">
        <f>IF(H952="","",IF(P952="",K952,INDEX('Students'!$A$2:$A$701,P952)))</f>
        <v/>
      </c>
      <c r="D952">
        <f>IF(OR(H952="",P952=""),"",INDEX('Students'!$B$2:$B$701,P952))</f>
        <v/>
      </c>
      <c r="E952">
        <f>IF(OR(H952="",P952=""),"",INDEX('Students'!$C$2:$C$701,P952))</f>
        <v/>
      </c>
      <c r="F952" s="48">
        <f>IF(H952="","",IF(ISNUMBER(O952),O952,J952))</f>
        <v/>
      </c>
      <c r="G952">
        <f>IF(H952="","","OneCause")</f>
        <v/>
      </c>
      <c r="H952">
        <f>IF(AND(I952="",J952="",K952=""),"",IF(NOT(ISNUMBER(O952)),"Bad amount",IF(O952&lt;0,"Refund (not counted)",IF(O952=0,"Zero amount",IF(NOT(ISNUMBER(N952)),"Bad date",IF(P952="","NAME NOT ON ROSTER",IF(L952="","OK",IF(MATCH(L952,$L$2:$L$3001,0)&lt;ROW()-1,"Duplicate (ignored)","OK"))))))))</f>
        <v/>
      </c>
      <c r="I952">
        <f>IF(OC_Date=0,"",IF(INDEX('OneCause_Paste'!$A$952:$AZ$952,1,OC_Date)="","",INDEX('OneCause_Paste'!$A$952:$AZ$952,1,OC_Date)))</f>
        <v/>
      </c>
      <c r="J952">
        <f>IF(OC_Amt=0,"",IF(INDEX('OneCause_Paste'!$A$952:$AZ$952,1,OC_Amt)="","",INDEX('OneCause_Paste'!$A$952:$AZ$952,1,OC_Amt)))</f>
        <v/>
      </c>
      <c r="K952">
        <f>IF(OC_Name=0,"",IF(INDEX('OneCause_Paste'!$A$952:$AZ$952,1,OC_Name)="","",INDEX('OneCause_Paste'!$A$952:$AZ$952,1,OC_Name)))</f>
        <v/>
      </c>
      <c r="L952">
        <f>IF(OC_Txn=0,"",IF(INDEX('OneCause_Paste'!$A$952:$AZ$952,1,OC_Txn)="","",INDEX('OneCause_Paste'!$A$952:$AZ$952,1,OC_Txn)))</f>
        <v/>
      </c>
      <c r="M952">
        <f>IF(OC_Pay=0,"",IF(INDEX('OneCause_Paste'!$A$952:$AZ$952,1,OC_Pay)="","",INDEX('OneCause_Paste'!$A$952:$AZ$952,1,OC_Pay)))</f>
        <v/>
      </c>
      <c r="N952">
        <f>IF(I952="","",IF(ISNUMBER(I952),INT(I952),IFERROR(INT(DATEVALUE(I952)),IFERROR(INT(VALUE(I952)),"bad"))))</f>
        <v/>
      </c>
      <c r="O952">
        <f>IF(J952="","",IF(ISNUMBER(J952),ROUND(J952,2),IFERROR(ROUND(VALUE(SUBSTITUTE(SUBSTITUTE(SUBSTITUTE(J952,"$",""),",","")," ","")),2),"bad")))</f>
        <v/>
      </c>
      <c r="P952">
        <f>IF(TRIM(K952)="","",IFERROR(MATCH(LOWER(TRIM(K952)),'Students'!$AH$2:$AH$701,0),IFERROR(MATCH(LOWER(TRIM(K952)),'Students'!$AF$2:$AF$701,0),IFERROR(MATCH(LOWER(TRIM(K952)),'Students'!$AG$2:$AG$701,0),""))))</f>
        <v/>
      </c>
      <c r="R952">
        <f>IF(P952="","",INDEX('Students'!$AD$2:$AD$701,P952))</f>
        <v/>
      </c>
      <c r="S952">
        <f>IF(H952="OK",O952,0)</f>
        <v/>
      </c>
      <c r="T952">
        <f>IF(H952="OK",N952,"")</f>
        <v/>
      </c>
      <c r="U952">
        <f>IF(OC_Donor=0,"",IF(INDEX('OneCause_Paste'!$A$952:$AZ$952,1,OC_Donor)="","",INDEX('OneCause_Paste'!$A$952:$AZ$952,1,OC_Donor)))</f>
        <v/>
      </c>
    </row>
    <row r="953">
      <c r="A953" s="62">
        <f>IF(H953="","",IF(ISNUMBER(N953),N953,I953))</f>
        <v/>
      </c>
      <c r="B953">
        <f>IF(H953="","",U953)</f>
        <v/>
      </c>
      <c r="C953">
        <f>IF(H953="","",IF(P953="",K953,INDEX('Students'!$A$2:$A$701,P953)))</f>
        <v/>
      </c>
      <c r="D953">
        <f>IF(OR(H953="",P953=""),"",INDEX('Students'!$B$2:$B$701,P953))</f>
        <v/>
      </c>
      <c r="E953">
        <f>IF(OR(H953="",P953=""),"",INDEX('Students'!$C$2:$C$701,P953))</f>
        <v/>
      </c>
      <c r="F953" s="48">
        <f>IF(H953="","",IF(ISNUMBER(O953),O953,J953))</f>
        <v/>
      </c>
      <c r="G953">
        <f>IF(H953="","","OneCause")</f>
        <v/>
      </c>
      <c r="H953">
        <f>IF(AND(I953="",J953="",K953=""),"",IF(NOT(ISNUMBER(O953)),"Bad amount",IF(O953&lt;0,"Refund (not counted)",IF(O953=0,"Zero amount",IF(NOT(ISNUMBER(N953)),"Bad date",IF(P953="","NAME NOT ON ROSTER",IF(L953="","OK",IF(MATCH(L953,$L$2:$L$3001,0)&lt;ROW()-1,"Duplicate (ignored)","OK"))))))))</f>
        <v/>
      </c>
      <c r="I953">
        <f>IF(OC_Date=0,"",IF(INDEX('OneCause_Paste'!$A$953:$AZ$953,1,OC_Date)="","",INDEX('OneCause_Paste'!$A$953:$AZ$953,1,OC_Date)))</f>
        <v/>
      </c>
      <c r="J953">
        <f>IF(OC_Amt=0,"",IF(INDEX('OneCause_Paste'!$A$953:$AZ$953,1,OC_Amt)="","",INDEX('OneCause_Paste'!$A$953:$AZ$953,1,OC_Amt)))</f>
        <v/>
      </c>
      <c r="K953">
        <f>IF(OC_Name=0,"",IF(INDEX('OneCause_Paste'!$A$953:$AZ$953,1,OC_Name)="","",INDEX('OneCause_Paste'!$A$953:$AZ$953,1,OC_Name)))</f>
        <v/>
      </c>
      <c r="L953">
        <f>IF(OC_Txn=0,"",IF(INDEX('OneCause_Paste'!$A$953:$AZ$953,1,OC_Txn)="","",INDEX('OneCause_Paste'!$A$953:$AZ$953,1,OC_Txn)))</f>
        <v/>
      </c>
      <c r="M953">
        <f>IF(OC_Pay=0,"",IF(INDEX('OneCause_Paste'!$A$953:$AZ$953,1,OC_Pay)="","",INDEX('OneCause_Paste'!$A$953:$AZ$953,1,OC_Pay)))</f>
        <v/>
      </c>
      <c r="N953">
        <f>IF(I953="","",IF(ISNUMBER(I953),INT(I953),IFERROR(INT(DATEVALUE(I953)),IFERROR(INT(VALUE(I953)),"bad"))))</f>
        <v/>
      </c>
      <c r="O953">
        <f>IF(J953="","",IF(ISNUMBER(J953),ROUND(J953,2),IFERROR(ROUND(VALUE(SUBSTITUTE(SUBSTITUTE(SUBSTITUTE(J953,"$",""),",","")," ","")),2),"bad")))</f>
        <v/>
      </c>
      <c r="P953">
        <f>IF(TRIM(K953)="","",IFERROR(MATCH(LOWER(TRIM(K953)),'Students'!$AH$2:$AH$701,0),IFERROR(MATCH(LOWER(TRIM(K953)),'Students'!$AF$2:$AF$701,0),IFERROR(MATCH(LOWER(TRIM(K953)),'Students'!$AG$2:$AG$701,0),""))))</f>
        <v/>
      </c>
      <c r="R953">
        <f>IF(P953="","",INDEX('Students'!$AD$2:$AD$701,P953))</f>
        <v/>
      </c>
      <c r="S953">
        <f>IF(H953="OK",O953,0)</f>
        <v/>
      </c>
      <c r="T953">
        <f>IF(H953="OK",N953,"")</f>
        <v/>
      </c>
      <c r="U953">
        <f>IF(OC_Donor=0,"",IF(INDEX('OneCause_Paste'!$A$953:$AZ$953,1,OC_Donor)="","",INDEX('OneCause_Paste'!$A$953:$AZ$953,1,OC_Donor)))</f>
        <v/>
      </c>
    </row>
    <row r="954">
      <c r="A954" s="62">
        <f>IF(H954="","",IF(ISNUMBER(N954),N954,I954))</f>
        <v/>
      </c>
      <c r="B954">
        <f>IF(H954="","",U954)</f>
        <v/>
      </c>
      <c r="C954">
        <f>IF(H954="","",IF(P954="",K954,INDEX('Students'!$A$2:$A$701,P954)))</f>
        <v/>
      </c>
      <c r="D954">
        <f>IF(OR(H954="",P954=""),"",INDEX('Students'!$B$2:$B$701,P954))</f>
        <v/>
      </c>
      <c r="E954">
        <f>IF(OR(H954="",P954=""),"",INDEX('Students'!$C$2:$C$701,P954))</f>
        <v/>
      </c>
      <c r="F954" s="48">
        <f>IF(H954="","",IF(ISNUMBER(O954),O954,J954))</f>
        <v/>
      </c>
      <c r="G954">
        <f>IF(H954="","","OneCause")</f>
        <v/>
      </c>
      <c r="H954">
        <f>IF(AND(I954="",J954="",K954=""),"",IF(NOT(ISNUMBER(O954)),"Bad amount",IF(O954&lt;0,"Refund (not counted)",IF(O954=0,"Zero amount",IF(NOT(ISNUMBER(N954)),"Bad date",IF(P954="","NAME NOT ON ROSTER",IF(L954="","OK",IF(MATCH(L954,$L$2:$L$3001,0)&lt;ROW()-1,"Duplicate (ignored)","OK"))))))))</f>
        <v/>
      </c>
      <c r="I954">
        <f>IF(OC_Date=0,"",IF(INDEX('OneCause_Paste'!$A$954:$AZ$954,1,OC_Date)="","",INDEX('OneCause_Paste'!$A$954:$AZ$954,1,OC_Date)))</f>
        <v/>
      </c>
      <c r="J954">
        <f>IF(OC_Amt=0,"",IF(INDEX('OneCause_Paste'!$A$954:$AZ$954,1,OC_Amt)="","",INDEX('OneCause_Paste'!$A$954:$AZ$954,1,OC_Amt)))</f>
        <v/>
      </c>
      <c r="K954">
        <f>IF(OC_Name=0,"",IF(INDEX('OneCause_Paste'!$A$954:$AZ$954,1,OC_Name)="","",INDEX('OneCause_Paste'!$A$954:$AZ$954,1,OC_Name)))</f>
        <v/>
      </c>
      <c r="L954">
        <f>IF(OC_Txn=0,"",IF(INDEX('OneCause_Paste'!$A$954:$AZ$954,1,OC_Txn)="","",INDEX('OneCause_Paste'!$A$954:$AZ$954,1,OC_Txn)))</f>
        <v/>
      </c>
      <c r="M954">
        <f>IF(OC_Pay=0,"",IF(INDEX('OneCause_Paste'!$A$954:$AZ$954,1,OC_Pay)="","",INDEX('OneCause_Paste'!$A$954:$AZ$954,1,OC_Pay)))</f>
        <v/>
      </c>
      <c r="N954">
        <f>IF(I954="","",IF(ISNUMBER(I954),INT(I954),IFERROR(INT(DATEVALUE(I954)),IFERROR(INT(VALUE(I954)),"bad"))))</f>
        <v/>
      </c>
      <c r="O954">
        <f>IF(J954="","",IF(ISNUMBER(J954),ROUND(J954,2),IFERROR(ROUND(VALUE(SUBSTITUTE(SUBSTITUTE(SUBSTITUTE(J954,"$",""),",","")," ","")),2),"bad")))</f>
        <v/>
      </c>
      <c r="P954">
        <f>IF(TRIM(K954)="","",IFERROR(MATCH(LOWER(TRIM(K954)),'Students'!$AH$2:$AH$701,0),IFERROR(MATCH(LOWER(TRIM(K954)),'Students'!$AF$2:$AF$701,0),IFERROR(MATCH(LOWER(TRIM(K954)),'Students'!$AG$2:$AG$701,0),""))))</f>
        <v/>
      </c>
      <c r="R954">
        <f>IF(P954="","",INDEX('Students'!$AD$2:$AD$701,P954))</f>
        <v/>
      </c>
      <c r="S954">
        <f>IF(H954="OK",O954,0)</f>
        <v/>
      </c>
      <c r="T954">
        <f>IF(H954="OK",N954,"")</f>
        <v/>
      </c>
      <c r="U954">
        <f>IF(OC_Donor=0,"",IF(INDEX('OneCause_Paste'!$A$954:$AZ$954,1,OC_Donor)="","",INDEX('OneCause_Paste'!$A$954:$AZ$954,1,OC_Donor)))</f>
        <v/>
      </c>
    </row>
    <row r="955">
      <c r="A955" s="62">
        <f>IF(H955="","",IF(ISNUMBER(N955),N955,I955))</f>
        <v/>
      </c>
      <c r="B955">
        <f>IF(H955="","",U955)</f>
        <v/>
      </c>
      <c r="C955">
        <f>IF(H955="","",IF(P955="",K955,INDEX('Students'!$A$2:$A$701,P955)))</f>
        <v/>
      </c>
      <c r="D955">
        <f>IF(OR(H955="",P955=""),"",INDEX('Students'!$B$2:$B$701,P955))</f>
        <v/>
      </c>
      <c r="E955">
        <f>IF(OR(H955="",P955=""),"",INDEX('Students'!$C$2:$C$701,P955))</f>
        <v/>
      </c>
      <c r="F955" s="48">
        <f>IF(H955="","",IF(ISNUMBER(O955),O955,J955))</f>
        <v/>
      </c>
      <c r="G955">
        <f>IF(H955="","","OneCause")</f>
        <v/>
      </c>
      <c r="H955">
        <f>IF(AND(I955="",J955="",K955=""),"",IF(NOT(ISNUMBER(O955)),"Bad amount",IF(O955&lt;0,"Refund (not counted)",IF(O955=0,"Zero amount",IF(NOT(ISNUMBER(N955)),"Bad date",IF(P955="","NAME NOT ON ROSTER",IF(L955="","OK",IF(MATCH(L955,$L$2:$L$3001,0)&lt;ROW()-1,"Duplicate (ignored)","OK"))))))))</f>
        <v/>
      </c>
      <c r="I955">
        <f>IF(OC_Date=0,"",IF(INDEX('OneCause_Paste'!$A$955:$AZ$955,1,OC_Date)="","",INDEX('OneCause_Paste'!$A$955:$AZ$955,1,OC_Date)))</f>
        <v/>
      </c>
      <c r="J955">
        <f>IF(OC_Amt=0,"",IF(INDEX('OneCause_Paste'!$A$955:$AZ$955,1,OC_Amt)="","",INDEX('OneCause_Paste'!$A$955:$AZ$955,1,OC_Amt)))</f>
        <v/>
      </c>
      <c r="K955">
        <f>IF(OC_Name=0,"",IF(INDEX('OneCause_Paste'!$A$955:$AZ$955,1,OC_Name)="","",INDEX('OneCause_Paste'!$A$955:$AZ$955,1,OC_Name)))</f>
        <v/>
      </c>
      <c r="L955">
        <f>IF(OC_Txn=0,"",IF(INDEX('OneCause_Paste'!$A$955:$AZ$955,1,OC_Txn)="","",INDEX('OneCause_Paste'!$A$955:$AZ$955,1,OC_Txn)))</f>
        <v/>
      </c>
      <c r="M955">
        <f>IF(OC_Pay=0,"",IF(INDEX('OneCause_Paste'!$A$955:$AZ$955,1,OC_Pay)="","",INDEX('OneCause_Paste'!$A$955:$AZ$955,1,OC_Pay)))</f>
        <v/>
      </c>
      <c r="N955">
        <f>IF(I955="","",IF(ISNUMBER(I955),INT(I955),IFERROR(INT(DATEVALUE(I955)),IFERROR(INT(VALUE(I955)),"bad"))))</f>
        <v/>
      </c>
      <c r="O955">
        <f>IF(J955="","",IF(ISNUMBER(J955),ROUND(J955,2),IFERROR(ROUND(VALUE(SUBSTITUTE(SUBSTITUTE(SUBSTITUTE(J955,"$",""),",","")," ","")),2),"bad")))</f>
        <v/>
      </c>
      <c r="P955">
        <f>IF(TRIM(K955)="","",IFERROR(MATCH(LOWER(TRIM(K955)),'Students'!$AH$2:$AH$701,0),IFERROR(MATCH(LOWER(TRIM(K955)),'Students'!$AF$2:$AF$701,0),IFERROR(MATCH(LOWER(TRIM(K955)),'Students'!$AG$2:$AG$701,0),""))))</f>
        <v/>
      </c>
      <c r="R955">
        <f>IF(P955="","",INDEX('Students'!$AD$2:$AD$701,P955))</f>
        <v/>
      </c>
      <c r="S955">
        <f>IF(H955="OK",O955,0)</f>
        <v/>
      </c>
      <c r="T955">
        <f>IF(H955="OK",N955,"")</f>
        <v/>
      </c>
      <c r="U955">
        <f>IF(OC_Donor=0,"",IF(INDEX('OneCause_Paste'!$A$955:$AZ$955,1,OC_Donor)="","",INDEX('OneCause_Paste'!$A$955:$AZ$955,1,OC_Donor)))</f>
        <v/>
      </c>
    </row>
    <row r="956">
      <c r="A956" s="62">
        <f>IF(H956="","",IF(ISNUMBER(N956),N956,I956))</f>
        <v/>
      </c>
      <c r="B956">
        <f>IF(H956="","",U956)</f>
        <v/>
      </c>
      <c r="C956">
        <f>IF(H956="","",IF(P956="",K956,INDEX('Students'!$A$2:$A$701,P956)))</f>
        <v/>
      </c>
      <c r="D956">
        <f>IF(OR(H956="",P956=""),"",INDEX('Students'!$B$2:$B$701,P956))</f>
        <v/>
      </c>
      <c r="E956">
        <f>IF(OR(H956="",P956=""),"",INDEX('Students'!$C$2:$C$701,P956))</f>
        <v/>
      </c>
      <c r="F956" s="48">
        <f>IF(H956="","",IF(ISNUMBER(O956),O956,J956))</f>
        <v/>
      </c>
      <c r="G956">
        <f>IF(H956="","","OneCause")</f>
        <v/>
      </c>
      <c r="H956">
        <f>IF(AND(I956="",J956="",K956=""),"",IF(NOT(ISNUMBER(O956)),"Bad amount",IF(O956&lt;0,"Refund (not counted)",IF(O956=0,"Zero amount",IF(NOT(ISNUMBER(N956)),"Bad date",IF(P956="","NAME NOT ON ROSTER",IF(L956="","OK",IF(MATCH(L956,$L$2:$L$3001,0)&lt;ROW()-1,"Duplicate (ignored)","OK"))))))))</f>
        <v/>
      </c>
      <c r="I956">
        <f>IF(OC_Date=0,"",IF(INDEX('OneCause_Paste'!$A$956:$AZ$956,1,OC_Date)="","",INDEX('OneCause_Paste'!$A$956:$AZ$956,1,OC_Date)))</f>
        <v/>
      </c>
      <c r="J956">
        <f>IF(OC_Amt=0,"",IF(INDEX('OneCause_Paste'!$A$956:$AZ$956,1,OC_Amt)="","",INDEX('OneCause_Paste'!$A$956:$AZ$956,1,OC_Amt)))</f>
        <v/>
      </c>
      <c r="K956">
        <f>IF(OC_Name=0,"",IF(INDEX('OneCause_Paste'!$A$956:$AZ$956,1,OC_Name)="","",INDEX('OneCause_Paste'!$A$956:$AZ$956,1,OC_Name)))</f>
        <v/>
      </c>
      <c r="L956">
        <f>IF(OC_Txn=0,"",IF(INDEX('OneCause_Paste'!$A$956:$AZ$956,1,OC_Txn)="","",INDEX('OneCause_Paste'!$A$956:$AZ$956,1,OC_Txn)))</f>
        <v/>
      </c>
      <c r="M956">
        <f>IF(OC_Pay=0,"",IF(INDEX('OneCause_Paste'!$A$956:$AZ$956,1,OC_Pay)="","",INDEX('OneCause_Paste'!$A$956:$AZ$956,1,OC_Pay)))</f>
        <v/>
      </c>
      <c r="N956">
        <f>IF(I956="","",IF(ISNUMBER(I956),INT(I956),IFERROR(INT(DATEVALUE(I956)),IFERROR(INT(VALUE(I956)),"bad"))))</f>
        <v/>
      </c>
      <c r="O956">
        <f>IF(J956="","",IF(ISNUMBER(J956),ROUND(J956,2),IFERROR(ROUND(VALUE(SUBSTITUTE(SUBSTITUTE(SUBSTITUTE(J956,"$",""),",","")," ","")),2),"bad")))</f>
        <v/>
      </c>
      <c r="P956">
        <f>IF(TRIM(K956)="","",IFERROR(MATCH(LOWER(TRIM(K956)),'Students'!$AH$2:$AH$701,0),IFERROR(MATCH(LOWER(TRIM(K956)),'Students'!$AF$2:$AF$701,0),IFERROR(MATCH(LOWER(TRIM(K956)),'Students'!$AG$2:$AG$701,0),""))))</f>
        <v/>
      </c>
      <c r="R956">
        <f>IF(P956="","",INDEX('Students'!$AD$2:$AD$701,P956))</f>
        <v/>
      </c>
      <c r="S956">
        <f>IF(H956="OK",O956,0)</f>
        <v/>
      </c>
      <c r="T956">
        <f>IF(H956="OK",N956,"")</f>
        <v/>
      </c>
      <c r="U956">
        <f>IF(OC_Donor=0,"",IF(INDEX('OneCause_Paste'!$A$956:$AZ$956,1,OC_Donor)="","",INDEX('OneCause_Paste'!$A$956:$AZ$956,1,OC_Donor)))</f>
        <v/>
      </c>
    </row>
    <row r="957">
      <c r="A957" s="62">
        <f>IF(H957="","",IF(ISNUMBER(N957),N957,I957))</f>
        <v/>
      </c>
      <c r="B957">
        <f>IF(H957="","",U957)</f>
        <v/>
      </c>
      <c r="C957">
        <f>IF(H957="","",IF(P957="",K957,INDEX('Students'!$A$2:$A$701,P957)))</f>
        <v/>
      </c>
      <c r="D957">
        <f>IF(OR(H957="",P957=""),"",INDEX('Students'!$B$2:$B$701,P957))</f>
        <v/>
      </c>
      <c r="E957">
        <f>IF(OR(H957="",P957=""),"",INDEX('Students'!$C$2:$C$701,P957))</f>
        <v/>
      </c>
      <c r="F957" s="48">
        <f>IF(H957="","",IF(ISNUMBER(O957),O957,J957))</f>
        <v/>
      </c>
      <c r="G957">
        <f>IF(H957="","","OneCause")</f>
        <v/>
      </c>
      <c r="H957">
        <f>IF(AND(I957="",J957="",K957=""),"",IF(NOT(ISNUMBER(O957)),"Bad amount",IF(O957&lt;0,"Refund (not counted)",IF(O957=0,"Zero amount",IF(NOT(ISNUMBER(N957)),"Bad date",IF(P957="","NAME NOT ON ROSTER",IF(L957="","OK",IF(MATCH(L957,$L$2:$L$3001,0)&lt;ROW()-1,"Duplicate (ignored)","OK"))))))))</f>
        <v/>
      </c>
      <c r="I957">
        <f>IF(OC_Date=0,"",IF(INDEX('OneCause_Paste'!$A$957:$AZ$957,1,OC_Date)="","",INDEX('OneCause_Paste'!$A$957:$AZ$957,1,OC_Date)))</f>
        <v/>
      </c>
      <c r="J957">
        <f>IF(OC_Amt=0,"",IF(INDEX('OneCause_Paste'!$A$957:$AZ$957,1,OC_Amt)="","",INDEX('OneCause_Paste'!$A$957:$AZ$957,1,OC_Amt)))</f>
        <v/>
      </c>
      <c r="K957">
        <f>IF(OC_Name=0,"",IF(INDEX('OneCause_Paste'!$A$957:$AZ$957,1,OC_Name)="","",INDEX('OneCause_Paste'!$A$957:$AZ$957,1,OC_Name)))</f>
        <v/>
      </c>
      <c r="L957">
        <f>IF(OC_Txn=0,"",IF(INDEX('OneCause_Paste'!$A$957:$AZ$957,1,OC_Txn)="","",INDEX('OneCause_Paste'!$A$957:$AZ$957,1,OC_Txn)))</f>
        <v/>
      </c>
      <c r="M957">
        <f>IF(OC_Pay=0,"",IF(INDEX('OneCause_Paste'!$A$957:$AZ$957,1,OC_Pay)="","",INDEX('OneCause_Paste'!$A$957:$AZ$957,1,OC_Pay)))</f>
        <v/>
      </c>
      <c r="N957">
        <f>IF(I957="","",IF(ISNUMBER(I957),INT(I957),IFERROR(INT(DATEVALUE(I957)),IFERROR(INT(VALUE(I957)),"bad"))))</f>
        <v/>
      </c>
      <c r="O957">
        <f>IF(J957="","",IF(ISNUMBER(J957),ROUND(J957,2),IFERROR(ROUND(VALUE(SUBSTITUTE(SUBSTITUTE(SUBSTITUTE(J957,"$",""),",","")," ","")),2),"bad")))</f>
        <v/>
      </c>
      <c r="P957">
        <f>IF(TRIM(K957)="","",IFERROR(MATCH(LOWER(TRIM(K957)),'Students'!$AH$2:$AH$701,0),IFERROR(MATCH(LOWER(TRIM(K957)),'Students'!$AF$2:$AF$701,0),IFERROR(MATCH(LOWER(TRIM(K957)),'Students'!$AG$2:$AG$701,0),""))))</f>
        <v/>
      </c>
      <c r="R957">
        <f>IF(P957="","",INDEX('Students'!$AD$2:$AD$701,P957))</f>
        <v/>
      </c>
      <c r="S957">
        <f>IF(H957="OK",O957,0)</f>
        <v/>
      </c>
      <c r="T957">
        <f>IF(H957="OK",N957,"")</f>
        <v/>
      </c>
      <c r="U957">
        <f>IF(OC_Donor=0,"",IF(INDEX('OneCause_Paste'!$A$957:$AZ$957,1,OC_Donor)="","",INDEX('OneCause_Paste'!$A$957:$AZ$957,1,OC_Donor)))</f>
        <v/>
      </c>
    </row>
    <row r="958">
      <c r="A958" s="62">
        <f>IF(H958="","",IF(ISNUMBER(N958),N958,I958))</f>
        <v/>
      </c>
      <c r="B958">
        <f>IF(H958="","",U958)</f>
        <v/>
      </c>
      <c r="C958">
        <f>IF(H958="","",IF(P958="",K958,INDEX('Students'!$A$2:$A$701,P958)))</f>
        <v/>
      </c>
      <c r="D958">
        <f>IF(OR(H958="",P958=""),"",INDEX('Students'!$B$2:$B$701,P958))</f>
        <v/>
      </c>
      <c r="E958">
        <f>IF(OR(H958="",P958=""),"",INDEX('Students'!$C$2:$C$701,P958))</f>
        <v/>
      </c>
      <c r="F958" s="48">
        <f>IF(H958="","",IF(ISNUMBER(O958),O958,J958))</f>
        <v/>
      </c>
      <c r="G958">
        <f>IF(H958="","","OneCause")</f>
        <v/>
      </c>
      <c r="H958">
        <f>IF(AND(I958="",J958="",K958=""),"",IF(NOT(ISNUMBER(O958)),"Bad amount",IF(O958&lt;0,"Refund (not counted)",IF(O958=0,"Zero amount",IF(NOT(ISNUMBER(N958)),"Bad date",IF(P958="","NAME NOT ON ROSTER",IF(L958="","OK",IF(MATCH(L958,$L$2:$L$3001,0)&lt;ROW()-1,"Duplicate (ignored)","OK"))))))))</f>
        <v/>
      </c>
      <c r="I958">
        <f>IF(OC_Date=0,"",IF(INDEX('OneCause_Paste'!$A$958:$AZ$958,1,OC_Date)="","",INDEX('OneCause_Paste'!$A$958:$AZ$958,1,OC_Date)))</f>
        <v/>
      </c>
      <c r="J958">
        <f>IF(OC_Amt=0,"",IF(INDEX('OneCause_Paste'!$A$958:$AZ$958,1,OC_Amt)="","",INDEX('OneCause_Paste'!$A$958:$AZ$958,1,OC_Amt)))</f>
        <v/>
      </c>
      <c r="K958">
        <f>IF(OC_Name=0,"",IF(INDEX('OneCause_Paste'!$A$958:$AZ$958,1,OC_Name)="","",INDEX('OneCause_Paste'!$A$958:$AZ$958,1,OC_Name)))</f>
        <v/>
      </c>
      <c r="L958">
        <f>IF(OC_Txn=0,"",IF(INDEX('OneCause_Paste'!$A$958:$AZ$958,1,OC_Txn)="","",INDEX('OneCause_Paste'!$A$958:$AZ$958,1,OC_Txn)))</f>
        <v/>
      </c>
      <c r="M958">
        <f>IF(OC_Pay=0,"",IF(INDEX('OneCause_Paste'!$A$958:$AZ$958,1,OC_Pay)="","",INDEX('OneCause_Paste'!$A$958:$AZ$958,1,OC_Pay)))</f>
        <v/>
      </c>
      <c r="N958">
        <f>IF(I958="","",IF(ISNUMBER(I958),INT(I958),IFERROR(INT(DATEVALUE(I958)),IFERROR(INT(VALUE(I958)),"bad"))))</f>
        <v/>
      </c>
      <c r="O958">
        <f>IF(J958="","",IF(ISNUMBER(J958),ROUND(J958,2),IFERROR(ROUND(VALUE(SUBSTITUTE(SUBSTITUTE(SUBSTITUTE(J958,"$",""),",","")," ","")),2),"bad")))</f>
        <v/>
      </c>
      <c r="P958">
        <f>IF(TRIM(K958)="","",IFERROR(MATCH(LOWER(TRIM(K958)),'Students'!$AH$2:$AH$701,0),IFERROR(MATCH(LOWER(TRIM(K958)),'Students'!$AF$2:$AF$701,0),IFERROR(MATCH(LOWER(TRIM(K958)),'Students'!$AG$2:$AG$701,0),""))))</f>
        <v/>
      </c>
      <c r="R958">
        <f>IF(P958="","",INDEX('Students'!$AD$2:$AD$701,P958))</f>
        <v/>
      </c>
      <c r="S958">
        <f>IF(H958="OK",O958,0)</f>
        <v/>
      </c>
      <c r="T958">
        <f>IF(H958="OK",N958,"")</f>
        <v/>
      </c>
      <c r="U958">
        <f>IF(OC_Donor=0,"",IF(INDEX('OneCause_Paste'!$A$958:$AZ$958,1,OC_Donor)="","",INDEX('OneCause_Paste'!$A$958:$AZ$958,1,OC_Donor)))</f>
        <v/>
      </c>
    </row>
    <row r="959">
      <c r="A959" s="62">
        <f>IF(H959="","",IF(ISNUMBER(N959),N959,I959))</f>
        <v/>
      </c>
      <c r="B959">
        <f>IF(H959="","",U959)</f>
        <v/>
      </c>
      <c r="C959">
        <f>IF(H959="","",IF(P959="",K959,INDEX('Students'!$A$2:$A$701,P959)))</f>
        <v/>
      </c>
      <c r="D959">
        <f>IF(OR(H959="",P959=""),"",INDEX('Students'!$B$2:$B$701,P959))</f>
        <v/>
      </c>
      <c r="E959">
        <f>IF(OR(H959="",P959=""),"",INDEX('Students'!$C$2:$C$701,P959))</f>
        <v/>
      </c>
      <c r="F959" s="48">
        <f>IF(H959="","",IF(ISNUMBER(O959),O959,J959))</f>
        <v/>
      </c>
      <c r="G959">
        <f>IF(H959="","","OneCause")</f>
        <v/>
      </c>
      <c r="H959">
        <f>IF(AND(I959="",J959="",K959=""),"",IF(NOT(ISNUMBER(O959)),"Bad amount",IF(O959&lt;0,"Refund (not counted)",IF(O959=0,"Zero amount",IF(NOT(ISNUMBER(N959)),"Bad date",IF(P959="","NAME NOT ON ROSTER",IF(L959="","OK",IF(MATCH(L959,$L$2:$L$3001,0)&lt;ROW()-1,"Duplicate (ignored)","OK"))))))))</f>
        <v/>
      </c>
      <c r="I959">
        <f>IF(OC_Date=0,"",IF(INDEX('OneCause_Paste'!$A$959:$AZ$959,1,OC_Date)="","",INDEX('OneCause_Paste'!$A$959:$AZ$959,1,OC_Date)))</f>
        <v/>
      </c>
      <c r="J959">
        <f>IF(OC_Amt=0,"",IF(INDEX('OneCause_Paste'!$A$959:$AZ$959,1,OC_Amt)="","",INDEX('OneCause_Paste'!$A$959:$AZ$959,1,OC_Amt)))</f>
        <v/>
      </c>
      <c r="K959">
        <f>IF(OC_Name=0,"",IF(INDEX('OneCause_Paste'!$A$959:$AZ$959,1,OC_Name)="","",INDEX('OneCause_Paste'!$A$959:$AZ$959,1,OC_Name)))</f>
        <v/>
      </c>
      <c r="L959">
        <f>IF(OC_Txn=0,"",IF(INDEX('OneCause_Paste'!$A$959:$AZ$959,1,OC_Txn)="","",INDEX('OneCause_Paste'!$A$959:$AZ$959,1,OC_Txn)))</f>
        <v/>
      </c>
      <c r="M959">
        <f>IF(OC_Pay=0,"",IF(INDEX('OneCause_Paste'!$A$959:$AZ$959,1,OC_Pay)="","",INDEX('OneCause_Paste'!$A$959:$AZ$959,1,OC_Pay)))</f>
        <v/>
      </c>
      <c r="N959">
        <f>IF(I959="","",IF(ISNUMBER(I959),INT(I959),IFERROR(INT(DATEVALUE(I959)),IFERROR(INT(VALUE(I959)),"bad"))))</f>
        <v/>
      </c>
      <c r="O959">
        <f>IF(J959="","",IF(ISNUMBER(J959),ROUND(J959,2),IFERROR(ROUND(VALUE(SUBSTITUTE(SUBSTITUTE(SUBSTITUTE(J959,"$",""),",","")," ","")),2),"bad")))</f>
        <v/>
      </c>
      <c r="P959">
        <f>IF(TRIM(K959)="","",IFERROR(MATCH(LOWER(TRIM(K959)),'Students'!$AH$2:$AH$701,0),IFERROR(MATCH(LOWER(TRIM(K959)),'Students'!$AF$2:$AF$701,0),IFERROR(MATCH(LOWER(TRIM(K959)),'Students'!$AG$2:$AG$701,0),""))))</f>
        <v/>
      </c>
      <c r="R959">
        <f>IF(P959="","",INDEX('Students'!$AD$2:$AD$701,P959))</f>
        <v/>
      </c>
      <c r="S959">
        <f>IF(H959="OK",O959,0)</f>
        <v/>
      </c>
      <c r="T959">
        <f>IF(H959="OK",N959,"")</f>
        <v/>
      </c>
      <c r="U959">
        <f>IF(OC_Donor=0,"",IF(INDEX('OneCause_Paste'!$A$959:$AZ$959,1,OC_Donor)="","",INDEX('OneCause_Paste'!$A$959:$AZ$959,1,OC_Donor)))</f>
        <v/>
      </c>
    </row>
    <row r="960">
      <c r="A960" s="62">
        <f>IF(H960="","",IF(ISNUMBER(N960),N960,I960))</f>
        <v/>
      </c>
      <c r="B960">
        <f>IF(H960="","",U960)</f>
        <v/>
      </c>
      <c r="C960">
        <f>IF(H960="","",IF(P960="",K960,INDEX('Students'!$A$2:$A$701,P960)))</f>
        <v/>
      </c>
      <c r="D960">
        <f>IF(OR(H960="",P960=""),"",INDEX('Students'!$B$2:$B$701,P960))</f>
        <v/>
      </c>
      <c r="E960">
        <f>IF(OR(H960="",P960=""),"",INDEX('Students'!$C$2:$C$701,P960))</f>
        <v/>
      </c>
      <c r="F960" s="48">
        <f>IF(H960="","",IF(ISNUMBER(O960),O960,J960))</f>
        <v/>
      </c>
      <c r="G960">
        <f>IF(H960="","","OneCause")</f>
        <v/>
      </c>
      <c r="H960">
        <f>IF(AND(I960="",J960="",K960=""),"",IF(NOT(ISNUMBER(O960)),"Bad amount",IF(O960&lt;0,"Refund (not counted)",IF(O960=0,"Zero amount",IF(NOT(ISNUMBER(N960)),"Bad date",IF(P960="","NAME NOT ON ROSTER",IF(L960="","OK",IF(MATCH(L960,$L$2:$L$3001,0)&lt;ROW()-1,"Duplicate (ignored)","OK"))))))))</f>
        <v/>
      </c>
      <c r="I960">
        <f>IF(OC_Date=0,"",IF(INDEX('OneCause_Paste'!$A$960:$AZ$960,1,OC_Date)="","",INDEX('OneCause_Paste'!$A$960:$AZ$960,1,OC_Date)))</f>
        <v/>
      </c>
      <c r="J960">
        <f>IF(OC_Amt=0,"",IF(INDEX('OneCause_Paste'!$A$960:$AZ$960,1,OC_Amt)="","",INDEX('OneCause_Paste'!$A$960:$AZ$960,1,OC_Amt)))</f>
        <v/>
      </c>
      <c r="K960">
        <f>IF(OC_Name=0,"",IF(INDEX('OneCause_Paste'!$A$960:$AZ$960,1,OC_Name)="","",INDEX('OneCause_Paste'!$A$960:$AZ$960,1,OC_Name)))</f>
        <v/>
      </c>
      <c r="L960">
        <f>IF(OC_Txn=0,"",IF(INDEX('OneCause_Paste'!$A$960:$AZ$960,1,OC_Txn)="","",INDEX('OneCause_Paste'!$A$960:$AZ$960,1,OC_Txn)))</f>
        <v/>
      </c>
      <c r="M960">
        <f>IF(OC_Pay=0,"",IF(INDEX('OneCause_Paste'!$A$960:$AZ$960,1,OC_Pay)="","",INDEX('OneCause_Paste'!$A$960:$AZ$960,1,OC_Pay)))</f>
        <v/>
      </c>
      <c r="N960">
        <f>IF(I960="","",IF(ISNUMBER(I960),INT(I960),IFERROR(INT(DATEVALUE(I960)),IFERROR(INT(VALUE(I960)),"bad"))))</f>
        <v/>
      </c>
      <c r="O960">
        <f>IF(J960="","",IF(ISNUMBER(J960),ROUND(J960,2),IFERROR(ROUND(VALUE(SUBSTITUTE(SUBSTITUTE(SUBSTITUTE(J960,"$",""),",","")," ","")),2),"bad")))</f>
        <v/>
      </c>
      <c r="P960">
        <f>IF(TRIM(K960)="","",IFERROR(MATCH(LOWER(TRIM(K960)),'Students'!$AH$2:$AH$701,0),IFERROR(MATCH(LOWER(TRIM(K960)),'Students'!$AF$2:$AF$701,0),IFERROR(MATCH(LOWER(TRIM(K960)),'Students'!$AG$2:$AG$701,0),""))))</f>
        <v/>
      </c>
      <c r="R960">
        <f>IF(P960="","",INDEX('Students'!$AD$2:$AD$701,P960))</f>
        <v/>
      </c>
      <c r="S960">
        <f>IF(H960="OK",O960,0)</f>
        <v/>
      </c>
      <c r="T960">
        <f>IF(H960="OK",N960,"")</f>
        <v/>
      </c>
      <c r="U960">
        <f>IF(OC_Donor=0,"",IF(INDEX('OneCause_Paste'!$A$960:$AZ$960,1,OC_Donor)="","",INDEX('OneCause_Paste'!$A$960:$AZ$960,1,OC_Donor)))</f>
        <v/>
      </c>
    </row>
    <row r="961">
      <c r="A961" s="62">
        <f>IF(H961="","",IF(ISNUMBER(N961),N961,I961))</f>
        <v/>
      </c>
      <c r="B961">
        <f>IF(H961="","",U961)</f>
        <v/>
      </c>
      <c r="C961">
        <f>IF(H961="","",IF(P961="",K961,INDEX('Students'!$A$2:$A$701,P961)))</f>
        <v/>
      </c>
      <c r="D961">
        <f>IF(OR(H961="",P961=""),"",INDEX('Students'!$B$2:$B$701,P961))</f>
        <v/>
      </c>
      <c r="E961">
        <f>IF(OR(H961="",P961=""),"",INDEX('Students'!$C$2:$C$701,P961))</f>
        <v/>
      </c>
      <c r="F961" s="48">
        <f>IF(H961="","",IF(ISNUMBER(O961),O961,J961))</f>
        <v/>
      </c>
      <c r="G961">
        <f>IF(H961="","","OneCause")</f>
        <v/>
      </c>
      <c r="H961">
        <f>IF(AND(I961="",J961="",K961=""),"",IF(NOT(ISNUMBER(O961)),"Bad amount",IF(O961&lt;0,"Refund (not counted)",IF(O961=0,"Zero amount",IF(NOT(ISNUMBER(N961)),"Bad date",IF(P961="","NAME NOT ON ROSTER",IF(L961="","OK",IF(MATCH(L961,$L$2:$L$3001,0)&lt;ROW()-1,"Duplicate (ignored)","OK"))))))))</f>
        <v/>
      </c>
      <c r="I961">
        <f>IF(OC_Date=0,"",IF(INDEX('OneCause_Paste'!$A$961:$AZ$961,1,OC_Date)="","",INDEX('OneCause_Paste'!$A$961:$AZ$961,1,OC_Date)))</f>
        <v/>
      </c>
      <c r="J961">
        <f>IF(OC_Amt=0,"",IF(INDEX('OneCause_Paste'!$A$961:$AZ$961,1,OC_Amt)="","",INDEX('OneCause_Paste'!$A$961:$AZ$961,1,OC_Amt)))</f>
        <v/>
      </c>
      <c r="K961">
        <f>IF(OC_Name=0,"",IF(INDEX('OneCause_Paste'!$A$961:$AZ$961,1,OC_Name)="","",INDEX('OneCause_Paste'!$A$961:$AZ$961,1,OC_Name)))</f>
        <v/>
      </c>
      <c r="L961">
        <f>IF(OC_Txn=0,"",IF(INDEX('OneCause_Paste'!$A$961:$AZ$961,1,OC_Txn)="","",INDEX('OneCause_Paste'!$A$961:$AZ$961,1,OC_Txn)))</f>
        <v/>
      </c>
      <c r="M961">
        <f>IF(OC_Pay=0,"",IF(INDEX('OneCause_Paste'!$A$961:$AZ$961,1,OC_Pay)="","",INDEX('OneCause_Paste'!$A$961:$AZ$961,1,OC_Pay)))</f>
        <v/>
      </c>
      <c r="N961">
        <f>IF(I961="","",IF(ISNUMBER(I961),INT(I961),IFERROR(INT(DATEVALUE(I961)),IFERROR(INT(VALUE(I961)),"bad"))))</f>
        <v/>
      </c>
      <c r="O961">
        <f>IF(J961="","",IF(ISNUMBER(J961),ROUND(J961,2),IFERROR(ROUND(VALUE(SUBSTITUTE(SUBSTITUTE(SUBSTITUTE(J961,"$",""),",","")," ","")),2),"bad")))</f>
        <v/>
      </c>
      <c r="P961">
        <f>IF(TRIM(K961)="","",IFERROR(MATCH(LOWER(TRIM(K961)),'Students'!$AH$2:$AH$701,0),IFERROR(MATCH(LOWER(TRIM(K961)),'Students'!$AF$2:$AF$701,0),IFERROR(MATCH(LOWER(TRIM(K961)),'Students'!$AG$2:$AG$701,0),""))))</f>
        <v/>
      </c>
      <c r="R961">
        <f>IF(P961="","",INDEX('Students'!$AD$2:$AD$701,P961))</f>
        <v/>
      </c>
      <c r="S961">
        <f>IF(H961="OK",O961,0)</f>
        <v/>
      </c>
      <c r="T961">
        <f>IF(H961="OK",N961,"")</f>
        <v/>
      </c>
      <c r="U961">
        <f>IF(OC_Donor=0,"",IF(INDEX('OneCause_Paste'!$A$961:$AZ$961,1,OC_Donor)="","",INDEX('OneCause_Paste'!$A$961:$AZ$961,1,OC_Donor)))</f>
        <v/>
      </c>
    </row>
    <row r="962">
      <c r="A962" s="62">
        <f>IF(H962="","",IF(ISNUMBER(N962),N962,I962))</f>
        <v/>
      </c>
      <c r="B962">
        <f>IF(H962="","",U962)</f>
        <v/>
      </c>
      <c r="C962">
        <f>IF(H962="","",IF(P962="",K962,INDEX('Students'!$A$2:$A$701,P962)))</f>
        <v/>
      </c>
      <c r="D962">
        <f>IF(OR(H962="",P962=""),"",INDEX('Students'!$B$2:$B$701,P962))</f>
        <v/>
      </c>
      <c r="E962">
        <f>IF(OR(H962="",P962=""),"",INDEX('Students'!$C$2:$C$701,P962))</f>
        <v/>
      </c>
      <c r="F962" s="48">
        <f>IF(H962="","",IF(ISNUMBER(O962),O962,J962))</f>
        <v/>
      </c>
      <c r="G962">
        <f>IF(H962="","","OneCause")</f>
        <v/>
      </c>
      <c r="H962">
        <f>IF(AND(I962="",J962="",K962=""),"",IF(NOT(ISNUMBER(O962)),"Bad amount",IF(O962&lt;0,"Refund (not counted)",IF(O962=0,"Zero amount",IF(NOT(ISNUMBER(N962)),"Bad date",IF(P962="","NAME NOT ON ROSTER",IF(L962="","OK",IF(MATCH(L962,$L$2:$L$3001,0)&lt;ROW()-1,"Duplicate (ignored)","OK"))))))))</f>
        <v/>
      </c>
      <c r="I962">
        <f>IF(OC_Date=0,"",IF(INDEX('OneCause_Paste'!$A$962:$AZ$962,1,OC_Date)="","",INDEX('OneCause_Paste'!$A$962:$AZ$962,1,OC_Date)))</f>
        <v/>
      </c>
      <c r="J962">
        <f>IF(OC_Amt=0,"",IF(INDEX('OneCause_Paste'!$A$962:$AZ$962,1,OC_Amt)="","",INDEX('OneCause_Paste'!$A$962:$AZ$962,1,OC_Amt)))</f>
        <v/>
      </c>
      <c r="K962">
        <f>IF(OC_Name=0,"",IF(INDEX('OneCause_Paste'!$A$962:$AZ$962,1,OC_Name)="","",INDEX('OneCause_Paste'!$A$962:$AZ$962,1,OC_Name)))</f>
        <v/>
      </c>
      <c r="L962">
        <f>IF(OC_Txn=0,"",IF(INDEX('OneCause_Paste'!$A$962:$AZ$962,1,OC_Txn)="","",INDEX('OneCause_Paste'!$A$962:$AZ$962,1,OC_Txn)))</f>
        <v/>
      </c>
      <c r="M962">
        <f>IF(OC_Pay=0,"",IF(INDEX('OneCause_Paste'!$A$962:$AZ$962,1,OC_Pay)="","",INDEX('OneCause_Paste'!$A$962:$AZ$962,1,OC_Pay)))</f>
        <v/>
      </c>
      <c r="N962">
        <f>IF(I962="","",IF(ISNUMBER(I962),INT(I962),IFERROR(INT(DATEVALUE(I962)),IFERROR(INT(VALUE(I962)),"bad"))))</f>
        <v/>
      </c>
      <c r="O962">
        <f>IF(J962="","",IF(ISNUMBER(J962),ROUND(J962,2),IFERROR(ROUND(VALUE(SUBSTITUTE(SUBSTITUTE(SUBSTITUTE(J962,"$",""),",","")," ","")),2),"bad")))</f>
        <v/>
      </c>
      <c r="P962">
        <f>IF(TRIM(K962)="","",IFERROR(MATCH(LOWER(TRIM(K962)),'Students'!$AH$2:$AH$701,0),IFERROR(MATCH(LOWER(TRIM(K962)),'Students'!$AF$2:$AF$701,0),IFERROR(MATCH(LOWER(TRIM(K962)),'Students'!$AG$2:$AG$701,0),""))))</f>
        <v/>
      </c>
      <c r="R962">
        <f>IF(P962="","",INDEX('Students'!$AD$2:$AD$701,P962))</f>
        <v/>
      </c>
      <c r="S962">
        <f>IF(H962="OK",O962,0)</f>
        <v/>
      </c>
      <c r="T962">
        <f>IF(H962="OK",N962,"")</f>
        <v/>
      </c>
      <c r="U962">
        <f>IF(OC_Donor=0,"",IF(INDEX('OneCause_Paste'!$A$962:$AZ$962,1,OC_Donor)="","",INDEX('OneCause_Paste'!$A$962:$AZ$962,1,OC_Donor)))</f>
        <v/>
      </c>
    </row>
    <row r="963">
      <c r="A963" s="62">
        <f>IF(H963="","",IF(ISNUMBER(N963),N963,I963))</f>
        <v/>
      </c>
      <c r="B963">
        <f>IF(H963="","",U963)</f>
        <v/>
      </c>
      <c r="C963">
        <f>IF(H963="","",IF(P963="",K963,INDEX('Students'!$A$2:$A$701,P963)))</f>
        <v/>
      </c>
      <c r="D963">
        <f>IF(OR(H963="",P963=""),"",INDEX('Students'!$B$2:$B$701,P963))</f>
        <v/>
      </c>
      <c r="E963">
        <f>IF(OR(H963="",P963=""),"",INDEX('Students'!$C$2:$C$701,P963))</f>
        <v/>
      </c>
      <c r="F963" s="48">
        <f>IF(H963="","",IF(ISNUMBER(O963),O963,J963))</f>
        <v/>
      </c>
      <c r="G963">
        <f>IF(H963="","","OneCause")</f>
        <v/>
      </c>
      <c r="H963">
        <f>IF(AND(I963="",J963="",K963=""),"",IF(NOT(ISNUMBER(O963)),"Bad amount",IF(O963&lt;0,"Refund (not counted)",IF(O963=0,"Zero amount",IF(NOT(ISNUMBER(N963)),"Bad date",IF(P963="","NAME NOT ON ROSTER",IF(L963="","OK",IF(MATCH(L963,$L$2:$L$3001,0)&lt;ROW()-1,"Duplicate (ignored)","OK"))))))))</f>
        <v/>
      </c>
      <c r="I963">
        <f>IF(OC_Date=0,"",IF(INDEX('OneCause_Paste'!$A$963:$AZ$963,1,OC_Date)="","",INDEX('OneCause_Paste'!$A$963:$AZ$963,1,OC_Date)))</f>
        <v/>
      </c>
      <c r="J963">
        <f>IF(OC_Amt=0,"",IF(INDEX('OneCause_Paste'!$A$963:$AZ$963,1,OC_Amt)="","",INDEX('OneCause_Paste'!$A$963:$AZ$963,1,OC_Amt)))</f>
        <v/>
      </c>
      <c r="K963">
        <f>IF(OC_Name=0,"",IF(INDEX('OneCause_Paste'!$A$963:$AZ$963,1,OC_Name)="","",INDEX('OneCause_Paste'!$A$963:$AZ$963,1,OC_Name)))</f>
        <v/>
      </c>
      <c r="L963">
        <f>IF(OC_Txn=0,"",IF(INDEX('OneCause_Paste'!$A$963:$AZ$963,1,OC_Txn)="","",INDEX('OneCause_Paste'!$A$963:$AZ$963,1,OC_Txn)))</f>
        <v/>
      </c>
      <c r="M963">
        <f>IF(OC_Pay=0,"",IF(INDEX('OneCause_Paste'!$A$963:$AZ$963,1,OC_Pay)="","",INDEX('OneCause_Paste'!$A$963:$AZ$963,1,OC_Pay)))</f>
        <v/>
      </c>
      <c r="N963">
        <f>IF(I963="","",IF(ISNUMBER(I963),INT(I963),IFERROR(INT(DATEVALUE(I963)),IFERROR(INT(VALUE(I963)),"bad"))))</f>
        <v/>
      </c>
      <c r="O963">
        <f>IF(J963="","",IF(ISNUMBER(J963),ROUND(J963,2),IFERROR(ROUND(VALUE(SUBSTITUTE(SUBSTITUTE(SUBSTITUTE(J963,"$",""),",","")," ","")),2),"bad")))</f>
        <v/>
      </c>
      <c r="P963">
        <f>IF(TRIM(K963)="","",IFERROR(MATCH(LOWER(TRIM(K963)),'Students'!$AH$2:$AH$701,0),IFERROR(MATCH(LOWER(TRIM(K963)),'Students'!$AF$2:$AF$701,0),IFERROR(MATCH(LOWER(TRIM(K963)),'Students'!$AG$2:$AG$701,0),""))))</f>
        <v/>
      </c>
      <c r="R963">
        <f>IF(P963="","",INDEX('Students'!$AD$2:$AD$701,P963))</f>
        <v/>
      </c>
      <c r="S963">
        <f>IF(H963="OK",O963,0)</f>
        <v/>
      </c>
      <c r="T963">
        <f>IF(H963="OK",N963,"")</f>
        <v/>
      </c>
      <c r="U963">
        <f>IF(OC_Donor=0,"",IF(INDEX('OneCause_Paste'!$A$963:$AZ$963,1,OC_Donor)="","",INDEX('OneCause_Paste'!$A$963:$AZ$963,1,OC_Donor)))</f>
        <v/>
      </c>
    </row>
    <row r="964">
      <c r="A964" s="62">
        <f>IF(H964="","",IF(ISNUMBER(N964),N964,I964))</f>
        <v/>
      </c>
      <c r="B964">
        <f>IF(H964="","",U964)</f>
        <v/>
      </c>
      <c r="C964">
        <f>IF(H964="","",IF(P964="",K964,INDEX('Students'!$A$2:$A$701,P964)))</f>
        <v/>
      </c>
      <c r="D964">
        <f>IF(OR(H964="",P964=""),"",INDEX('Students'!$B$2:$B$701,P964))</f>
        <v/>
      </c>
      <c r="E964">
        <f>IF(OR(H964="",P964=""),"",INDEX('Students'!$C$2:$C$701,P964))</f>
        <v/>
      </c>
      <c r="F964" s="48">
        <f>IF(H964="","",IF(ISNUMBER(O964),O964,J964))</f>
        <v/>
      </c>
      <c r="G964">
        <f>IF(H964="","","OneCause")</f>
        <v/>
      </c>
      <c r="H964">
        <f>IF(AND(I964="",J964="",K964=""),"",IF(NOT(ISNUMBER(O964)),"Bad amount",IF(O964&lt;0,"Refund (not counted)",IF(O964=0,"Zero amount",IF(NOT(ISNUMBER(N964)),"Bad date",IF(P964="","NAME NOT ON ROSTER",IF(L964="","OK",IF(MATCH(L964,$L$2:$L$3001,0)&lt;ROW()-1,"Duplicate (ignored)","OK"))))))))</f>
        <v/>
      </c>
      <c r="I964">
        <f>IF(OC_Date=0,"",IF(INDEX('OneCause_Paste'!$A$964:$AZ$964,1,OC_Date)="","",INDEX('OneCause_Paste'!$A$964:$AZ$964,1,OC_Date)))</f>
        <v/>
      </c>
      <c r="J964">
        <f>IF(OC_Amt=0,"",IF(INDEX('OneCause_Paste'!$A$964:$AZ$964,1,OC_Amt)="","",INDEX('OneCause_Paste'!$A$964:$AZ$964,1,OC_Amt)))</f>
        <v/>
      </c>
      <c r="K964">
        <f>IF(OC_Name=0,"",IF(INDEX('OneCause_Paste'!$A$964:$AZ$964,1,OC_Name)="","",INDEX('OneCause_Paste'!$A$964:$AZ$964,1,OC_Name)))</f>
        <v/>
      </c>
      <c r="L964">
        <f>IF(OC_Txn=0,"",IF(INDEX('OneCause_Paste'!$A$964:$AZ$964,1,OC_Txn)="","",INDEX('OneCause_Paste'!$A$964:$AZ$964,1,OC_Txn)))</f>
        <v/>
      </c>
      <c r="M964">
        <f>IF(OC_Pay=0,"",IF(INDEX('OneCause_Paste'!$A$964:$AZ$964,1,OC_Pay)="","",INDEX('OneCause_Paste'!$A$964:$AZ$964,1,OC_Pay)))</f>
        <v/>
      </c>
      <c r="N964">
        <f>IF(I964="","",IF(ISNUMBER(I964),INT(I964),IFERROR(INT(DATEVALUE(I964)),IFERROR(INT(VALUE(I964)),"bad"))))</f>
        <v/>
      </c>
      <c r="O964">
        <f>IF(J964="","",IF(ISNUMBER(J964),ROUND(J964,2),IFERROR(ROUND(VALUE(SUBSTITUTE(SUBSTITUTE(SUBSTITUTE(J964,"$",""),",","")," ","")),2),"bad")))</f>
        <v/>
      </c>
      <c r="P964">
        <f>IF(TRIM(K964)="","",IFERROR(MATCH(LOWER(TRIM(K964)),'Students'!$AH$2:$AH$701,0),IFERROR(MATCH(LOWER(TRIM(K964)),'Students'!$AF$2:$AF$701,0),IFERROR(MATCH(LOWER(TRIM(K964)),'Students'!$AG$2:$AG$701,0),""))))</f>
        <v/>
      </c>
      <c r="R964">
        <f>IF(P964="","",INDEX('Students'!$AD$2:$AD$701,P964))</f>
        <v/>
      </c>
      <c r="S964">
        <f>IF(H964="OK",O964,0)</f>
        <v/>
      </c>
      <c r="T964">
        <f>IF(H964="OK",N964,"")</f>
        <v/>
      </c>
      <c r="U964">
        <f>IF(OC_Donor=0,"",IF(INDEX('OneCause_Paste'!$A$964:$AZ$964,1,OC_Donor)="","",INDEX('OneCause_Paste'!$A$964:$AZ$964,1,OC_Donor)))</f>
        <v/>
      </c>
    </row>
    <row r="965">
      <c r="A965" s="62">
        <f>IF(H965="","",IF(ISNUMBER(N965),N965,I965))</f>
        <v/>
      </c>
      <c r="B965">
        <f>IF(H965="","",U965)</f>
        <v/>
      </c>
      <c r="C965">
        <f>IF(H965="","",IF(P965="",K965,INDEX('Students'!$A$2:$A$701,P965)))</f>
        <v/>
      </c>
      <c r="D965">
        <f>IF(OR(H965="",P965=""),"",INDEX('Students'!$B$2:$B$701,P965))</f>
        <v/>
      </c>
      <c r="E965">
        <f>IF(OR(H965="",P965=""),"",INDEX('Students'!$C$2:$C$701,P965))</f>
        <v/>
      </c>
      <c r="F965" s="48">
        <f>IF(H965="","",IF(ISNUMBER(O965),O965,J965))</f>
        <v/>
      </c>
      <c r="G965">
        <f>IF(H965="","","OneCause")</f>
        <v/>
      </c>
      <c r="H965">
        <f>IF(AND(I965="",J965="",K965=""),"",IF(NOT(ISNUMBER(O965)),"Bad amount",IF(O965&lt;0,"Refund (not counted)",IF(O965=0,"Zero amount",IF(NOT(ISNUMBER(N965)),"Bad date",IF(P965="","NAME NOT ON ROSTER",IF(L965="","OK",IF(MATCH(L965,$L$2:$L$3001,0)&lt;ROW()-1,"Duplicate (ignored)","OK"))))))))</f>
        <v/>
      </c>
      <c r="I965">
        <f>IF(OC_Date=0,"",IF(INDEX('OneCause_Paste'!$A$965:$AZ$965,1,OC_Date)="","",INDEX('OneCause_Paste'!$A$965:$AZ$965,1,OC_Date)))</f>
        <v/>
      </c>
      <c r="J965">
        <f>IF(OC_Amt=0,"",IF(INDEX('OneCause_Paste'!$A$965:$AZ$965,1,OC_Amt)="","",INDEX('OneCause_Paste'!$A$965:$AZ$965,1,OC_Amt)))</f>
        <v/>
      </c>
      <c r="K965">
        <f>IF(OC_Name=0,"",IF(INDEX('OneCause_Paste'!$A$965:$AZ$965,1,OC_Name)="","",INDEX('OneCause_Paste'!$A$965:$AZ$965,1,OC_Name)))</f>
        <v/>
      </c>
      <c r="L965">
        <f>IF(OC_Txn=0,"",IF(INDEX('OneCause_Paste'!$A$965:$AZ$965,1,OC_Txn)="","",INDEX('OneCause_Paste'!$A$965:$AZ$965,1,OC_Txn)))</f>
        <v/>
      </c>
      <c r="M965">
        <f>IF(OC_Pay=0,"",IF(INDEX('OneCause_Paste'!$A$965:$AZ$965,1,OC_Pay)="","",INDEX('OneCause_Paste'!$A$965:$AZ$965,1,OC_Pay)))</f>
        <v/>
      </c>
      <c r="N965">
        <f>IF(I965="","",IF(ISNUMBER(I965),INT(I965),IFERROR(INT(DATEVALUE(I965)),IFERROR(INT(VALUE(I965)),"bad"))))</f>
        <v/>
      </c>
      <c r="O965">
        <f>IF(J965="","",IF(ISNUMBER(J965),ROUND(J965,2),IFERROR(ROUND(VALUE(SUBSTITUTE(SUBSTITUTE(SUBSTITUTE(J965,"$",""),",","")," ","")),2),"bad")))</f>
        <v/>
      </c>
      <c r="P965">
        <f>IF(TRIM(K965)="","",IFERROR(MATCH(LOWER(TRIM(K965)),'Students'!$AH$2:$AH$701,0),IFERROR(MATCH(LOWER(TRIM(K965)),'Students'!$AF$2:$AF$701,0),IFERROR(MATCH(LOWER(TRIM(K965)),'Students'!$AG$2:$AG$701,0),""))))</f>
        <v/>
      </c>
      <c r="R965">
        <f>IF(P965="","",INDEX('Students'!$AD$2:$AD$701,P965))</f>
        <v/>
      </c>
      <c r="S965">
        <f>IF(H965="OK",O965,0)</f>
        <v/>
      </c>
      <c r="T965">
        <f>IF(H965="OK",N965,"")</f>
        <v/>
      </c>
      <c r="U965">
        <f>IF(OC_Donor=0,"",IF(INDEX('OneCause_Paste'!$A$965:$AZ$965,1,OC_Donor)="","",INDEX('OneCause_Paste'!$A$965:$AZ$965,1,OC_Donor)))</f>
        <v/>
      </c>
    </row>
    <row r="966">
      <c r="A966" s="62">
        <f>IF(H966="","",IF(ISNUMBER(N966),N966,I966))</f>
        <v/>
      </c>
      <c r="B966">
        <f>IF(H966="","",U966)</f>
        <v/>
      </c>
      <c r="C966">
        <f>IF(H966="","",IF(P966="",K966,INDEX('Students'!$A$2:$A$701,P966)))</f>
        <v/>
      </c>
      <c r="D966">
        <f>IF(OR(H966="",P966=""),"",INDEX('Students'!$B$2:$B$701,P966))</f>
        <v/>
      </c>
      <c r="E966">
        <f>IF(OR(H966="",P966=""),"",INDEX('Students'!$C$2:$C$701,P966))</f>
        <v/>
      </c>
      <c r="F966" s="48">
        <f>IF(H966="","",IF(ISNUMBER(O966),O966,J966))</f>
        <v/>
      </c>
      <c r="G966">
        <f>IF(H966="","","OneCause")</f>
        <v/>
      </c>
      <c r="H966">
        <f>IF(AND(I966="",J966="",K966=""),"",IF(NOT(ISNUMBER(O966)),"Bad amount",IF(O966&lt;0,"Refund (not counted)",IF(O966=0,"Zero amount",IF(NOT(ISNUMBER(N966)),"Bad date",IF(P966="","NAME NOT ON ROSTER",IF(L966="","OK",IF(MATCH(L966,$L$2:$L$3001,0)&lt;ROW()-1,"Duplicate (ignored)","OK"))))))))</f>
        <v/>
      </c>
      <c r="I966">
        <f>IF(OC_Date=0,"",IF(INDEX('OneCause_Paste'!$A$966:$AZ$966,1,OC_Date)="","",INDEX('OneCause_Paste'!$A$966:$AZ$966,1,OC_Date)))</f>
        <v/>
      </c>
      <c r="J966">
        <f>IF(OC_Amt=0,"",IF(INDEX('OneCause_Paste'!$A$966:$AZ$966,1,OC_Amt)="","",INDEX('OneCause_Paste'!$A$966:$AZ$966,1,OC_Amt)))</f>
        <v/>
      </c>
      <c r="K966">
        <f>IF(OC_Name=0,"",IF(INDEX('OneCause_Paste'!$A$966:$AZ$966,1,OC_Name)="","",INDEX('OneCause_Paste'!$A$966:$AZ$966,1,OC_Name)))</f>
        <v/>
      </c>
      <c r="L966">
        <f>IF(OC_Txn=0,"",IF(INDEX('OneCause_Paste'!$A$966:$AZ$966,1,OC_Txn)="","",INDEX('OneCause_Paste'!$A$966:$AZ$966,1,OC_Txn)))</f>
        <v/>
      </c>
      <c r="M966">
        <f>IF(OC_Pay=0,"",IF(INDEX('OneCause_Paste'!$A$966:$AZ$966,1,OC_Pay)="","",INDEX('OneCause_Paste'!$A$966:$AZ$966,1,OC_Pay)))</f>
        <v/>
      </c>
      <c r="N966">
        <f>IF(I966="","",IF(ISNUMBER(I966),INT(I966),IFERROR(INT(DATEVALUE(I966)),IFERROR(INT(VALUE(I966)),"bad"))))</f>
        <v/>
      </c>
      <c r="O966">
        <f>IF(J966="","",IF(ISNUMBER(J966),ROUND(J966,2),IFERROR(ROUND(VALUE(SUBSTITUTE(SUBSTITUTE(SUBSTITUTE(J966,"$",""),",","")," ","")),2),"bad")))</f>
        <v/>
      </c>
      <c r="P966">
        <f>IF(TRIM(K966)="","",IFERROR(MATCH(LOWER(TRIM(K966)),'Students'!$AH$2:$AH$701,0),IFERROR(MATCH(LOWER(TRIM(K966)),'Students'!$AF$2:$AF$701,0),IFERROR(MATCH(LOWER(TRIM(K966)),'Students'!$AG$2:$AG$701,0),""))))</f>
        <v/>
      </c>
      <c r="R966">
        <f>IF(P966="","",INDEX('Students'!$AD$2:$AD$701,P966))</f>
        <v/>
      </c>
      <c r="S966">
        <f>IF(H966="OK",O966,0)</f>
        <v/>
      </c>
      <c r="T966">
        <f>IF(H966="OK",N966,"")</f>
        <v/>
      </c>
      <c r="U966">
        <f>IF(OC_Donor=0,"",IF(INDEX('OneCause_Paste'!$A$966:$AZ$966,1,OC_Donor)="","",INDEX('OneCause_Paste'!$A$966:$AZ$966,1,OC_Donor)))</f>
        <v/>
      </c>
    </row>
    <row r="967">
      <c r="A967" s="62">
        <f>IF(H967="","",IF(ISNUMBER(N967),N967,I967))</f>
        <v/>
      </c>
      <c r="B967">
        <f>IF(H967="","",U967)</f>
        <v/>
      </c>
      <c r="C967">
        <f>IF(H967="","",IF(P967="",K967,INDEX('Students'!$A$2:$A$701,P967)))</f>
        <v/>
      </c>
      <c r="D967">
        <f>IF(OR(H967="",P967=""),"",INDEX('Students'!$B$2:$B$701,P967))</f>
        <v/>
      </c>
      <c r="E967">
        <f>IF(OR(H967="",P967=""),"",INDEX('Students'!$C$2:$C$701,P967))</f>
        <v/>
      </c>
      <c r="F967" s="48">
        <f>IF(H967="","",IF(ISNUMBER(O967),O967,J967))</f>
        <v/>
      </c>
      <c r="G967">
        <f>IF(H967="","","OneCause")</f>
        <v/>
      </c>
      <c r="H967">
        <f>IF(AND(I967="",J967="",K967=""),"",IF(NOT(ISNUMBER(O967)),"Bad amount",IF(O967&lt;0,"Refund (not counted)",IF(O967=0,"Zero amount",IF(NOT(ISNUMBER(N967)),"Bad date",IF(P967="","NAME NOT ON ROSTER",IF(L967="","OK",IF(MATCH(L967,$L$2:$L$3001,0)&lt;ROW()-1,"Duplicate (ignored)","OK"))))))))</f>
        <v/>
      </c>
      <c r="I967">
        <f>IF(OC_Date=0,"",IF(INDEX('OneCause_Paste'!$A$967:$AZ$967,1,OC_Date)="","",INDEX('OneCause_Paste'!$A$967:$AZ$967,1,OC_Date)))</f>
        <v/>
      </c>
      <c r="J967">
        <f>IF(OC_Amt=0,"",IF(INDEX('OneCause_Paste'!$A$967:$AZ$967,1,OC_Amt)="","",INDEX('OneCause_Paste'!$A$967:$AZ$967,1,OC_Amt)))</f>
        <v/>
      </c>
      <c r="K967">
        <f>IF(OC_Name=0,"",IF(INDEX('OneCause_Paste'!$A$967:$AZ$967,1,OC_Name)="","",INDEX('OneCause_Paste'!$A$967:$AZ$967,1,OC_Name)))</f>
        <v/>
      </c>
      <c r="L967">
        <f>IF(OC_Txn=0,"",IF(INDEX('OneCause_Paste'!$A$967:$AZ$967,1,OC_Txn)="","",INDEX('OneCause_Paste'!$A$967:$AZ$967,1,OC_Txn)))</f>
        <v/>
      </c>
      <c r="M967">
        <f>IF(OC_Pay=0,"",IF(INDEX('OneCause_Paste'!$A$967:$AZ$967,1,OC_Pay)="","",INDEX('OneCause_Paste'!$A$967:$AZ$967,1,OC_Pay)))</f>
        <v/>
      </c>
      <c r="N967">
        <f>IF(I967="","",IF(ISNUMBER(I967),INT(I967),IFERROR(INT(DATEVALUE(I967)),IFERROR(INT(VALUE(I967)),"bad"))))</f>
        <v/>
      </c>
      <c r="O967">
        <f>IF(J967="","",IF(ISNUMBER(J967),ROUND(J967,2),IFERROR(ROUND(VALUE(SUBSTITUTE(SUBSTITUTE(SUBSTITUTE(J967,"$",""),",","")," ","")),2),"bad")))</f>
        <v/>
      </c>
      <c r="P967">
        <f>IF(TRIM(K967)="","",IFERROR(MATCH(LOWER(TRIM(K967)),'Students'!$AH$2:$AH$701,0),IFERROR(MATCH(LOWER(TRIM(K967)),'Students'!$AF$2:$AF$701,0),IFERROR(MATCH(LOWER(TRIM(K967)),'Students'!$AG$2:$AG$701,0),""))))</f>
        <v/>
      </c>
      <c r="R967">
        <f>IF(P967="","",INDEX('Students'!$AD$2:$AD$701,P967))</f>
        <v/>
      </c>
      <c r="S967">
        <f>IF(H967="OK",O967,0)</f>
        <v/>
      </c>
      <c r="T967">
        <f>IF(H967="OK",N967,"")</f>
        <v/>
      </c>
      <c r="U967">
        <f>IF(OC_Donor=0,"",IF(INDEX('OneCause_Paste'!$A$967:$AZ$967,1,OC_Donor)="","",INDEX('OneCause_Paste'!$A$967:$AZ$967,1,OC_Donor)))</f>
        <v/>
      </c>
    </row>
    <row r="968">
      <c r="A968" s="62">
        <f>IF(H968="","",IF(ISNUMBER(N968),N968,I968))</f>
        <v/>
      </c>
      <c r="B968">
        <f>IF(H968="","",U968)</f>
        <v/>
      </c>
      <c r="C968">
        <f>IF(H968="","",IF(P968="",K968,INDEX('Students'!$A$2:$A$701,P968)))</f>
        <v/>
      </c>
      <c r="D968">
        <f>IF(OR(H968="",P968=""),"",INDEX('Students'!$B$2:$B$701,P968))</f>
        <v/>
      </c>
      <c r="E968">
        <f>IF(OR(H968="",P968=""),"",INDEX('Students'!$C$2:$C$701,P968))</f>
        <v/>
      </c>
      <c r="F968" s="48">
        <f>IF(H968="","",IF(ISNUMBER(O968),O968,J968))</f>
        <v/>
      </c>
      <c r="G968">
        <f>IF(H968="","","OneCause")</f>
        <v/>
      </c>
      <c r="H968">
        <f>IF(AND(I968="",J968="",K968=""),"",IF(NOT(ISNUMBER(O968)),"Bad amount",IF(O968&lt;0,"Refund (not counted)",IF(O968=0,"Zero amount",IF(NOT(ISNUMBER(N968)),"Bad date",IF(P968="","NAME NOT ON ROSTER",IF(L968="","OK",IF(MATCH(L968,$L$2:$L$3001,0)&lt;ROW()-1,"Duplicate (ignored)","OK"))))))))</f>
        <v/>
      </c>
      <c r="I968">
        <f>IF(OC_Date=0,"",IF(INDEX('OneCause_Paste'!$A$968:$AZ$968,1,OC_Date)="","",INDEX('OneCause_Paste'!$A$968:$AZ$968,1,OC_Date)))</f>
        <v/>
      </c>
      <c r="J968">
        <f>IF(OC_Amt=0,"",IF(INDEX('OneCause_Paste'!$A$968:$AZ$968,1,OC_Amt)="","",INDEX('OneCause_Paste'!$A$968:$AZ$968,1,OC_Amt)))</f>
        <v/>
      </c>
      <c r="K968">
        <f>IF(OC_Name=0,"",IF(INDEX('OneCause_Paste'!$A$968:$AZ$968,1,OC_Name)="","",INDEX('OneCause_Paste'!$A$968:$AZ$968,1,OC_Name)))</f>
        <v/>
      </c>
      <c r="L968">
        <f>IF(OC_Txn=0,"",IF(INDEX('OneCause_Paste'!$A$968:$AZ$968,1,OC_Txn)="","",INDEX('OneCause_Paste'!$A$968:$AZ$968,1,OC_Txn)))</f>
        <v/>
      </c>
      <c r="M968">
        <f>IF(OC_Pay=0,"",IF(INDEX('OneCause_Paste'!$A$968:$AZ$968,1,OC_Pay)="","",INDEX('OneCause_Paste'!$A$968:$AZ$968,1,OC_Pay)))</f>
        <v/>
      </c>
      <c r="N968">
        <f>IF(I968="","",IF(ISNUMBER(I968),INT(I968),IFERROR(INT(DATEVALUE(I968)),IFERROR(INT(VALUE(I968)),"bad"))))</f>
        <v/>
      </c>
      <c r="O968">
        <f>IF(J968="","",IF(ISNUMBER(J968),ROUND(J968,2),IFERROR(ROUND(VALUE(SUBSTITUTE(SUBSTITUTE(SUBSTITUTE(J968,"$",""),",","")," ","")),2),"bad")))</f>
        <v/>
      </c>
      <c r="P968">
        <f>IF(TRIM(K968)="","",IFERROR(MATCH(LOWER(TRIM(K968)),'Students'!$AH$2:$AH$701,0),IFERROR(MATCH(LOWER(TRIM(K968)),'Students'!$AF$2:$AF$701,0),IFERROR(MATCH(LOWER(TRIM(K968)),'Students'!$AG$2:$AG$701,0),""))))</f>
        <v/>
      </c>
      <c r="R968">
        <f>IF(P968="","",INDEX('Students'!$AD$2:$AD$701,P968))</f>
        <v/>
      </c>
      <c r="S968">
        <f>IF(H968="OK",O968,0)</f>
        <v/>
      </c>
      <c r="T968">
        <f>IF(H968="OK",N968,"")</f>
        <v/>
      </c>
      <c r="U968">
        <f>IF(OC_Donor=0,"",IF(INDEX('OneCause_Paste'!$A$968:$AZ$968,1,OC_Donor)="","",INDEX('OneCause_Paste'!$A$968:$AZ$968,1,OC_Donor)))</f>
        <v/>
      </c>
    </row>
    <row r="969">
      <c r="A969" s="62">
        <f>IF(H969="","",IF(ISNUMBER(N969),N969,I969))</f>
        <v/>
      </c>
      <c r="B969">
        <f>IF(H969="","",U969)</f>
        <v/>
      </c>
      <c r="C969">
        <f>IF(H969="","",IF(P969="",K969,INDEX('Students'!$A$2:$A$701,P969)))</f>
        <v/>
      </c>
      <c r="D969">
        <f>IF(OR(H969="",P969=""),"",INDEX('Students'!$B$2:$B$701,P969))</f>
        <v/>
      </c>
      <c r="E969">
        <f>IF(OR(H969="",P969=""),"",INDEX('Students'!$C$2:$C$701,P969))</f>
        <v/>
      </c>
      <c r="F969" s="48">
        <f>IF(H969="","",IF(ISNUMBER(O969),O969,J969))</f>
        <v/>
      </c>
      <c r="G969">
        <f>IF(H969="","","OneCause")</f>
        <v/>
      </c>
      <c r="H969">
        <f>IF(AND(I969="",J969="",K969=""),"",IF(NOT(ISNUMBER(O969)),"Bad amount",IF(O969&lt;0,"Refund (not counted)",IF(O969=0,"Zero amount",IF(NOT(ISNUMBER(N969)),"Bad date",IF(P969="","NAME NOT ON ROSTER",IF(L969="","OK",IF(MATCH(L969,$L$2:$L$3001,0)&lt;ROW()-1,"Duplicate (ignored)","OK"))))))))</f>
        <v/>
      </c>
      <c r="I969">
        <f>IF(OC_Date=0,"",IF(INDEX('OneCause_Paste'!$A$969:$AZ$969,1,OC_Date)="","",INDEX('OneCause_Paste'!$A$969:$AZ$969,1,OC_Date)))</f>
        <v/>
      </c>
      <c r="J969">
        <f>IF(OC_Amt=0,"",IF(INDEX('OneCause_Paste'!$A$969:$AZ$969,1,OC_Amt)="","",INDEX('OneCause_Paste'!$A$969:$AZ$969,1,OC_Amt)))</f>
        <v/>
      </c>
      <c r="K969">
        <f>IF(OC_Name=0,"",IF(INDEX('OneCause_Paste'!$A$969:$AZ$969,1,OC_Name)="","",INDEX('OneCause_Paste'!$A$969:$AZ$969,1,OC_Name)))</f>
        <v/>
      </c>
      <c r="L969">
        <f>IF(OC_Txn=0,"",IF(INDEX('OneCause_Paste'!$A$969:$AZ$969,1,OC_Txn)="","",INDEX('OneCause_Paste'!$A$969:$AZ$969,1,OC_Txn)))</f>
        <v/>
      </c>
      <c r="M969">
        <f>IF(OC_Pay=0,"",IF(INDEX('OneCause_Paste'!$A$969:$AZ$969,1,OC_Pay)="","",INDEX('OneCause_Paste'!$A$969:$AZ$969,1,OC_Pay)))</f>
        <v/>
      </c>
      <c r="N969">
        <f>IF(I969="","",IF(ISNUMBER(I969),INT(I969),IFERROR(INT(DATEVALUE(I969)),IFERROR(INT(VALUE(I969)),"bad"))))</f>
        <v/>
      </c>
      <c r="O969">
        <f>IF(J969="","",IF(ISNUMBER(J969),ROUND(J969,2),IFERROR(ROUND(VALUE(SUBSTITUTE(SUBSTITUTE(SUBSTITUTE(J969,"$",""),",","")," ","")),2),"bad")))</f>
        <v/>
      </c>
      <c r="P969">
        <f>IF(TRIM(K969)="","",IFERROR(MATCH(LOWER(TRIM(K969)),'Students'!$AH$2:$AH$701,0),IFERROR(MATCH(LOWER(TRIM(K969)),'Students'!$AF$2:$AF$701,0),IFERROR(MATCH(LOWER(TRIM(K969)),'Students'!$AG$2:$AG$701,0),""))))</f>
        <v/>
      </c>
      <c r="R969">
        <f>IF(P969="","",INDEX('Students'!$AD$2:$AD$701,P969))</f>
        <v/>
      </c>
      <c r="S969">
        <f>IF(H969="OK",O969,0)</f>
        <v/>
      </c>
      <c r="T969">
        <f>IF(H969="OK",N969,"")</f>
        <v/>
      </c>
      <c r="U969">
        <f>IF(OC_Donor=0,"",IF(INDEX('OneCause_Paste'!$A$969:$AZ$969,1,OC_Donor)="","",INDEX('OneCause_Paste'!$A$969:$AZ$969,1,OC_Donor)))</f>
        <v/>
      </c>
    </row>
    <row r="970">
      <c r="A970" s="62">
        <f>IF(H970="","",IF(ISNUMBER(N970),N970,I970))</f>
        <v/>
      </c>
      <c r="B970">
        <f>IF(H970="","",U970)</f>
        <v/>
      </c>
      <c r="C970">
        <f>IF(H970="","",IF(P970="",K970,INDEX('Students'!$A$2:$A$701,P970)))</f>
        <v/>
      </c>
      <c r="D970">
        <f>IF(OR(H970="",P970=""),"",INDEX('Students'!$B$2:$B$701,P970))</f>
        <v/>
      </c>
      <c r="E970">
        <f>IF(OR(H970="",P970=""),"",INDEX('Students'!$C$2:$C$701,P970))</f>
        <v/>
      </c>
      <c r="F970" s="48">
        <f>IF(H970="","",IF(ISNUMBER(O970),O970,J970))</f>
        <v/>
      </c>
      <c r="G970">
        <f>IF(H970="","","OneCause")</f>
        <v/>
      </c>
      <c r="H970">
        <f>IF(AND(I970="",J970="",K970=""),"",IF(NOT(ISNUMBER(O970)),"Bad amount",IF(O970&lt;0,"Refund (not counted)",IF(O970=0,"Zero amount",IF(NOT(ISNUMBER(N970)),"Bad date",IF(P970="","NAME NOT ON ROSTER",IF(L970="","OK",IF(MATCH(L970,$L$2:$L$3001,0)&lt;ROW()-1,"Duplicate (ignored)","OK"))))))))</f>
        <v/>
      </c>
      <c r="I970">
        <f>IF(OC_Date=0,"",IF(INDEX('OneCause_Paste'!$A$970:$AZ$970,1,OC_Date)="","",INDEX('OneCause_Paste'!$A$970:$AZ$970,1,OC_Date)))</f>
        <v/>
      </c>
      <c r="J970">
        <f>IF(OC_Amt=0,"",IF(INDEX('OneCause_Paste'!$A$970:$AZ$970,1,OC_Amt)="","",INDEX('OneCause_Paste'!$A$970:$AZ$970,1,OC_Amt)))</f>
        <v/>
      </c>
      <c r="K970">
        <f>IF(OC_Name=0,"",IF(INDEX('OneCause_Paste'!$A$970:$AZ$970,1,OC_Name)="","",INDEX('OneCause_Paste'!$A$970:$AZ$970,1,OC_Name)))</f>
        <v/>
      </c>
      <c r="L970">
        <f>IF(OC_Txn=0,"",IF(INDEX('OneCause_Paste'!$A$970:$AZ$970,1,OC_Txn)="","",INDEX('OneCause_Paste'!$A$970:$AZ$970,1,OC_Txn)))</f>
        <v/>
      </c>
      <c r="M970">
        <f>IF(OC_Pay=0,"",IF(INDEX('OneCause_Paste'!$A$970:$AZ$970,1,OC_Pay)="","",INDEX('OneCause_Paste'!$A$970:$AZ$970,1,OC_Pay)))</f>
        <v/>
      </c>
      <c r="N970">
        <f>IF(I970="","",IF(ISNUMBER(I970),INT(I970),IFERROR(INT(DATEVALUE(I970)),IFERROR(INT(VALUE(I970)),"bad"))))</f>
        <v/>
      </c>
      <c r="O970">
        <f>IF(J970="","",IF(ISNUMBER(J970),ROUND(J970,2),IFERROR(ROUND(VALUE(SUBSTITUTE(SUBSTITUTE(SUBSTITUTE(J970,"$",""),",","")," ","")),2),"bad")))</f>
        <v/>
      </c>
      <c r="P970">
        <f>IF(TRIM(K970)="","",IFERROR(MATCH(LOWER(TRIM(K970)),'Students'!$AH$2:$AH$701,0),IFERROR(MATCH(LOWER(TRIM(K970)),'Students'!$AF$2:$AF$701,0),IFERROR(MATCH(LOWER(TRIM(K970)),'Students'!$AG$2:$AG$701,0),""))))</f>
        <v/>
      </c>
      <c r="R970">
        <f>IF(P970="","",INDEX('Students'!$AD$2:$AD$701,P970))</f>
        <v/>
      </c>
      <c r="S970">
        <f>IF(H970="OK",O970,0)</f>
        <v/>
      </c>
      <c r="T970">
        <f>IF(H970="OK",N970,"")</f>
        <v/>
      </c>
      <c r="U970">
        <f>IF(OC_Donor=0,"",IF(INDEX('OneCause_Paste'!$A$970:$AZ$970,1,OC_Donor)="","",INDEX('OneCause_Paste'!$A$970:$AZ$970,1,OC_Donor)))</f>
        <v/>
      </c>
    </row>
    <row r="971">
      <c r="A971" s="62">
        <f>IF(H971="","",IF(ISNUMBER(N971),N971,I971))</f>
        <v/>
      </c>
      <c r="B971">
        <f>IF(H971="","",U971)</f>
        <v/>
      </c>
      <c r="C971">
        <f>IF(H971="","",IF(P971="",K971,INDEX('Students'!$A$2:$A$701,P971)))</f>
        <v/>
      </c>
      <c r="D971">
        <f>IF(OR(H971="",P971=""),"",INDEX('Students'!$B$2:$B$701,P971))</f>
        <v/>
      </c>
      <c r="E971">
        <f>IF(OR(H971="",P971=""),"",INDEX('Students'!$C$2:$C$701,P971))</f>
        <v/>
      </c>
      <c r="F971" s="48">
        <f>IF(H971="","",IF(ISNUMBER(O971),O971,J971))</f>
        <v/>
      </c>
      <c r="G971">
        <f>IF(H971="","","OneCause")</f>
        <v/>
      </c>
      <c r="H971">
        <f>IF(AND(I971="",J971="",K971=""),"",IF(NOT(ISNUMBER(O971)),"Bad amount",IF(O971&lt;0,"Refund (not counted)",IF(O971=0,"Zero amount",IF(NOT(ISNUMBER(N971)),"Bad date",IF(P971="","NAME NOT ON ROSTER",IF(L971="","OK",IF(MATCH(L971,$L$2:$L$3001,0)&lt;ROW()-1,"Duplicate (ignored)","OK"))))))))</f>
        <v/>
      </c>
      <c r="I971">
        <f>IF(OC_Date=0,"",IF(INDEX('OneCause_Paste'!$A$971:$AZ$971,1,OC_Date)="","",INDEX('OneCause_Paste'!$A$971:$AZ$971,1,OC_Date)))</f>
        <v/>
      </c>
      <c r="J971">
        <f>IF(OC_Amt=0,"",IF(INDEX('OneCause_Paste'!$A$971:$AZ$971,1,OC_Amt)="","",INDEX('OneCause_Paste'!$A$971:$AZ$971,1,OC_Amt)))</f>
        <v/>
      </c>
      <c r="K971">
        <f>IF(OC_Name=0,"",IF(INDEX('OneCause_Paste'!$A$971:$AZ$971,1,OC_Name)="","",INDEX('OneCause_Paste'!$A$971:$AZ$971,1,OC_Name)))</f>
        <v/>
      </c>
      <c r="L971">
        <f>IF(OC_Txn=0,"",IF(INDEX('OneCause_Paste'!$A$971:$AZ$971,1,OC_Txn)="","",INDEX('OneCause_Paste'!$A$971:$AZ$971,1,OC_Txn)))</f>
        <v/>
      </c>
      <c r="M971">
        <f>IF(OC_Pay=0,"",IF(INDEX('OneCause_Paste'!$A$971:$AZ$971,1,OC_Pay)="","",INDEX('OneCause_Paste'!$A$971:$AZ$971,1,OC_Pay)))</f>
        <v/>
      </c>
      <c r="N971">
        <f>IF(I971="","",IF(ISNUMBER(I971),INT(I971),IFERROR(INT(DATEVALUE(I971)),IFERROR(INT(VALUE(I971)),"bad"))))</f>
        <v/>
      </c>
      <c r="O971">
        <f>IF(J971="","",IF(ISNUMBER(J971),ROUND(J971,2),IFERROR(ROUND(VALUE(SUBSTITUTE(SUBSTITUTE(SUBSTITUTE(J971,"$",""),",","")," ","")),2),"bad")))</f>
        <v/>
      </c>
      <c r="P971">
        <f>IF(TRIM(K971)="","",IFERROR(MATCH(LOWER(TRIM(K971)),'Students'!$AH$2:$AH$701,0),IFERROR(MATCH(LOWER(TRIM(K971)),'Students'!$AF$2:$AF$701,0),IFERROR(MATCH(LOWER(TRIM(K971)),'Students'!$AG$2:$AG$701,0),""))))</f>
        <v/>
      </c>
      <c r="R971">
        <f>IF(P971="","",INDEX('Students'!$AD$2:$AD$701,P971))</f>
        <v/>
      </c>
      <c r="S971">
        <f>IF(H971="OK",O971,0)</f>
        <v/>
      </c>
      <c r="T971">
        <f>IF(H971="OK",N971,"")</f>
        <v/>
      </c>
      <c r="U971">
        <f>IF(OC_Donor=0,"",IF(INDEX('OneCause_Paste'!$A$971:$AZ$971,1,OC_Donor)="","",INDEX('OneCause_Paste'!$A$971:$AZ$971,1,OC_Donor)))</f>
        <v/>
      </c>
    </row>
    <row r="972">
      <c r="A972" s="62">
        <f>IF(H972="","",IF(ISNUMBER(N972),N972,I972))</f>
        <v/>
      </c>
      <c r="B972">
        <f>IF(H972="","",U972)</f>
        <v/>
      </c>
      <c r="C972">
        <f>IF(H972="","",IF(P972="",K972,INDEX('Students'!$A$2:$A$701,P972)))</f>
        <v/>
      </c>
      <c r="D972">
        <f>IF(OR(H972="",P972=""),"",INDEX('Students'!$B$2:$B$701,P972))</f>
        <v/>
      </c>
      <c r="E972">
        <f>IF(OR(H972="",P972=""),"",INDEX('Students'!$C$2:$C$701,P972))</f>
        <v/>
      </c>
      <c r="F972" s="48">
        <f>IF(H972="","",IF(ISNUMBER(O972),O972,J972))</f>
        <v/>
      </c>
      <c r="G972">
        <f>IF(H972="","","OneCause")</f>
        <v/>
      </c>
      <c r="H972">
        <f>IF(AND(I972="",J972="",K972=""),"",IF(NOT(ISNUMBER(O972)),"Bad amount",IF(O972&lt;0,"Refund (not counted)",IF(O972=0,"Zero amount",IF(NOT(ISNUMBER(N972)),"Bad date",IF(P972="","NAME NOT ON ROSTER",IF(L972="","OK",IF(MATCH(L972,$L$2:$L$3001,0)&lt;ROW()-1,"Duplicate (ignored)","OK"))))))))</f>
        <v/>
      </c>
      <c r="I972">
        <f>IF(OC_Date=0,"",IF(INDEX('OneCause_Paste'!$A$972:$AZ$972,1,OC_Date)="","",INDEX('OneCause_Paste'!$A$972:$AZ$972,1,OC_Date)))</f>
        <v/>
      </c>
      <c r="J972">
        <f>IF(OC_Amt=0,"",IF(INDEX('OneCause_Paste'!$A$972:$AZ$972,1,OC_Amt)="","",INDEX('OneCause_Paste'!$A$972:$AZ$972,1,OC_Amt)))</f>
        <v/>
      </c>
      <c r="K972">
        <f>IF(OC_Name=0,"",IF(INDEX('OneCause_Paste'!$A$972:$AZ$972,1,OC_Name)="","",INDEX('OneCause_Paste'!$A$972:$AZ$972,1,OC_Name)))</f>
        <v/>
      </c>
      <c r="L972">
        <f>IF(OC_Txn=0,"",IF(INDEX('OneCause_Paste'!$A$972:$AZ$972,1,OC_Txn)="","",INDEX('OneCause_Paste'!$A$972:$AZ$972,1,OC_Txn)))</f>
        <v/>
      </c>
      <c r="M972">
        <f>IF(OC_Pay=0,"",IF(INDEX('OneCause_Paste'!$A$972:$AZ$972,1,OC_Pay)="","",INDEX('OneCause_Paste'!$A$972:$AZ$972,1,OC_Pay)))</f>
        <v/>
      </c>
      <c r="N972">
        <f>IF(I972="","",IF(ISNUMBER(I972),INT(I972),IFERROR(INT(DATEVALUE(I972)),IFERROR(INT(VALUE(I972)),"bad"))))</f>
        <v/>
      </c>
      <c r="O972">
        <f>IF(J972="","",IF(ISNUMBER(J972),ROUND(J972,2),IFERROR(ROUND(VALUE(SUBSTITUTE(SUBSTITUTE(SUBSTITUTE(J972,"$",""),",","")," ","")),2),"bad")))</f>
        <v/>
      </c>
      <c r="P972">
        <f>IF(TRIM(K972)="","",IFERROR(MATCH(LOWER(TRIM(K972)),'Students'!$AH$2:$AH$701,0),IFERROR(MATCH(LOWER(TRIM(K972)),'Students'!$AF$2:$AF$701,0),IFERROR(MATCH(LOWER(TRIM(K972)),'Students'!$AG$2:$AG$701,0),""))))</f>
        <v/>
      </c>
      <c r="R972">
        <f>IF(P972="","",INDEX('Students'!$AD$2:$AD$701,P972))</f>
        <v/>
      </c>
      <c r="S972">
        <f>IF(H972="OK",O972,0)</f>
        <v/>
      </c>
      <c r="T972">
        <f>IF(H972="OK",N972,"")</f>
        <v/>
      </c>
      <c r="U972">
        <f>IF(OC_Donor=0,"",IF(INDEX('OneCause_Paste'!$A$972:$AZ$972,1,OC_Donor)="","",INDEX('OneCause_Paste'!$A$972:$AZ$972,1,OC_Donor)))</f>
        <v/>
      </c>
    </row>
    <row r="973">
      <c r="A973" s="62">
        <f>IF(H973="","",IF(ISNUMBER(N973),N973,I973))</f>
        <v/>
      </c>
      <c r="B973">
        <f>IF(H973="","",U973)</f>
        <v/>
      </c>
      <c r="C973">
        <f>IF(H973="","",IF(P973="",K973,INDEX('Students'!$A$2:$A$701,P973)))</f>
        <v/>
      </c>
      <c r="D973">
        <f>IF(OR(H973="",P973=""),"",INDEX('Students'!$B$2:$B$701,P973))</f>
        <v/>
      </c>
      <c r="E973">
        <f>IF(OR(H973="",P973=""),"",INDEX('Students'!$C$2:$C$701,P973))</f>
        <v/>
      </c>
      <c r="F973" s="48">
        <f>IF(H973="","",IF(ISNUMBER(O973),O973,J973))</f>
        <v/>
      </c>
      <c r="G973">
        <f>IF(H973="","","OneCause")</f>
        <v/>
      </c>
      <c r="H973">
        <f>IF(AND(I973="",J973="",K973=""),"",IF(NOT(ISNUMBER(O973)),"Bad amount",IF(O973&lt;0,"Refund (not counted)",IF(O973=0,"Zero amount",IF(NOT(ISNUMBER(N973)),"Bad date",IF(P973="","NAME NOT ON ROSTER",IF(L973="","OK",IF(MATCH(L973,$L$2:$L$3001,0)&lt;ROW()-1,"Duplicate (ignored)","OK"))))))))</f>
        <v/>
      </c>
      <c r="I973">
        <f>IF(OC_Date=0,"",IF(INDEX('OneCause_Paste'!$A$973:$AZ$973,1,OC_Date)="","",INDEX('OneCause_Paste'!$A$973:$AZ$973,1,OC_Date)))</f>
        <v/>
      </c>
      <c r="J973">
        <f>IF(OC_Amt=0,"",IF(INDEX('OneCause_Paste'!$A$973:$AZ$973,1,OC_Amt)="","",INDEX('OneCause_Paste'!$A$973:$AZ$973,1,OC_Amt)))</f>
        <v/>
      </c>
      <c r="K973">
        <f>IF(OC_Name=0,"",IF(INDEX('OneCause_Paste'!$A$973:$AZ$973,1,OC_Name)="","",INDEX('OneCause_Paste'!$A$973:$AZ$973,1,OC_Name)))</f>
        <v/>
      </c>
      <c r="L973">
        <f>IF(OC_Txn=0,"",IF(INDEX('OneCause_Paste'!$A$973:$AZ$973,1,OC_Txn)="","",INDEX('OneCause_Paste'!$A$973:$AZ$973,1,OC_Txn)))</f>
        <v/>
      </c>
      <c r="M973">
        <f>IF(OC_Pay=0,"",IF(INDEX('OneCause_Paste'!$A$973:$AZ$973,1,OC_Pay)="","",INDEX('OneCause_Paste'!$A$973:$AZ$973,1,OC_Pay)))</f>
        <v/>
      </c>
      <c r="N973">
        <f>IF(I973="","",IF(ISNUMBER(I973),INT(I973),IFERROR(INT(DATEVALUE(I973)),IFERROR(INT(VALUE(I973)),"bad"))))</f>
        <v/>
      </c>
      <c r="O973">
        <f>IF(J973="","",IF(ISNUMBER(J973),ROUND(J973,2),IFERROR(ROUND(VALUE(SUBSTITUTE(SUBSTITUTE(SUBSTITUTE(J973,"$",""),",","")," ","")),2),"bad")))</f>
        <v/>
      </c>
      <c r="P973">
        <f>IF(TRIM(K973)="","",IFERROR(MATCH(LOWER(TRIM(K973)),'Students'!$AH$2:$AH$701,0),IFERROR(MATCH(LOWER(TRIM(K973)),'Students'!$AF$2:$AF$701,0),IFERROR(MATCH(LOWER(TRIM(K973)),'Students'!$AG$2:$AG$701,0),""))))</f>
        <v/>
      </c>
      <c r="R973">
        <f>IF(P973="","",INDEX('Students'!$AD$2:$AD$701,P973))</f>
        <v/>
      </c>
      <c r="S973">
        <f>IF(H973="OK",O973,0)</f>
        <v/>
      </c>
      <c r="T973">
        <f>IF(H973="OK",N973,"")</f>
        <v/>
      </c>
      <c r="U973">
        <f>IF(OC_Donor=0,"",IF(INDEX('OneCause_Paste'!$A$973:$AZ$973,1,OC_Donor)="","",INDEX('OneCause_Paste'!$A$973:$AZ$973,1,OC_Donor)))</f>
        <v/>
      </c>
    </row>
    <row r="974">
      <c r="A974" s="62">
        <f>IF(H974="","",IF(ISNUMBER(N974),N974,I974))</f>
        <v/>
      </c>
      <c r="B974">
        <f>IF(H974="","",U974)</f>
        <v/>
      </c>
      <c r="C974">
        <f>IF(H974="","",IF(P974="",K974,INDEX('Students'!$A$2:$A$701,P974)))</f>
        <v/>
      </c>
      <c r="D974">
        <f>IF(OR(H974="",P974=""),"",INDEX('Students'!$B$2:$B$701,P974))</f>
        <v/>
      </c>
      <c r="E974">
        <f>IF(OR(H974="",P974=""),"",INDEX('Students'!$C$2:$C$701,P974))</f>
        <v/>
      </c>
      <c r="F974" s="48">
        <f>IF(H974="","",IF(ISNUMBER(O974),O974,J974))</f>
        <v/>
      </c>
      <c r="G974">
        <f>IF(H974="","","OneCause")</f>
        <v/>
      </c>
      <c r="H974">
        <f>IF(AND(I974="",J974="",K974=""),"",IF(NOT(ISNUMBER(O974)),"Bad amount",IF(O974&lt;0,"Refund (not counted)",IF(O974=0,"Zero amount",IF(NOT(ISNUMBER(N974)),"Bad date",IF(P974="","NAME NOT ON ROSTER",IF(L974="","OK",IF(MATCH(L974,$L$2:$L$3001,0)&lt;ROW()-1,"Duplicate (ignored)","OK"))))))))</f>
        <v/>
      </c>
      <c r="I974">
        <f>IF(OC_Date=0,"",IF(INDEX('OneCause_Paste'!$A$974:$AZ$974,1,OC_Date)="","",INDEX('OneCause_Paste'!$A$974:$AZ$974,1,OC_Date)))</f>
        <v/>
      </c>
      <c r="J974">
        <f>IF(OC_Amt=0,"",IF(INDEX('OneCause_Paste'!$A$974:$AZ$974,1,OC_Amt)="","",INDEX('OneCause_Paste'!$A$974:$AZ$974,1,OC_Amt)))</f>
        <v/>
      </c>
      <c r="K974">
        <f>IF(OC_Name=0,"",IF(INDEX('OneCause_Paste'!$A$974:$AZ$974,1,OC_Name)="","",INDEX('OneCause_Paste'!$A$974:$AZ$974,1,OC_Name)))</f>
        <v/>
      </c>
      <c r="L974">
        <f>IF(OC_Txn=0,"",IF(INDEX('OneCause_Paste'!$A$974:$AZ$974,1,OC_Txn)="","",INDEX('OneCause_Paste'!$A$974:$AZ$974,1,OC_Txn)))</f>
        <v/>
      </c>
      <c r="M974">
        <f>IF(OC_Pay=0,"",IF(INDEX('OneCause_Paste'!$A$974:$AZ$974,1,OC_Pay)="","",INDEX('OneCause_Paste'!$A$974:$AZ$974,1,OC_Pay)))</f>
        <v/>
      </c>
      <c r="N974">
        <f>IF(I974="","",IF(ISNUMBER(I974),INT(I974),IFERROR(INT(DATEVALUE(I974)),IFERROR(INT(VALUE(I974)),"bad"))))</f>
        <v/>
      </c>
      <c r="O974">
        <f>IF(J974="","",IF(ISNUMBER(J974),ROUND(J974,2),IFERROR(ROUND(VALUE(SUBSTITUTE(SUBSTITUTE(SUBSTITUTE(J974,"$",""),",","")," ","")),2),"bad")))</f>
        <v/>
      </c>
      <c r="P974">
        <f>IF(TRIM(K974)="","",IFERROR(MATCH(LOWER(TRIM(K974)),'Students'!$AH$2:$AH$701,0),IFERROR(MATCH(LOWER(TRIM(K974)),'Students'!$AF$2:$AF$701,0),IFERROR(MATCH(LOWER(TRIM(K974)),'Students'!$AG$2:$AG$701,0),""))))</f>
        <v/>
      </c>
      <c r="R974">
        <f>IF(P974="","",INDEX('Students'!$AD$2:$AD$701,P974))</f>
        <v/>
      </c>
      <c r="S974">
        <f>IF(H974="OK",O974,0)</f>
        <v/>
      </c>
      <c r="T974">
        <f>IF(H974="OK",N974,"")</f>
        <v/>
      </c>
      <c r="U974">
        <f>IF(OC_Donor=0,"",IF(INDEX('OneCause_Paste'!$A$974:$AZ$974,1,OC_Donor)="","",INDEX('OneCause_Paste'!$A$974:$AZ$974,1,OC_Donor)))</f>
        <v/>
      </c>
    </row>
    <row r="975">
      <c r="A975" s="62">
        <f>IF(H975="","",IF(ISNUMBER(N975),N975,I975))</f>
        <v/>
      </c>
      <c r="B975">
        <f>IF(H975="","",U975)</f>
        <v/>
      </c>
      <c r="C975">
        <f>IF(H975="","",IF(P975="",K975,INDEX('Students'!$A$2:$A$701,P975)))</f>
        <v/>
      </c>
      <c r="D975">
        <f>IF(OR(H975="",P975=""),"",INDEX('Students'!$B$2:$B$701,P975))</f>
        <v/>
      </c>
      <c r="E975">
        <f>IF(OR(H975="",P975=""),"",INDEX('Students'!$C$2:$C$701,P975))</f>
        <v/>
      </c>
      <c r="F975" s="48">
        <f>IF(H975="","",IF(ISNUMBER(O975),O975,J975))</f>
        <v/>
      </c>
      <c r="G975">
        <f>IF(H975="","","OneCause")</f>
        <v/>
      </c>
      <c r="H975">
        <f>IF(AND(I975="",J975="",K975=""),"",IF(NOT(ISNUMBER(O975)),"Bad amount",IF(O975&lt;0,"Refund (not counted)",IF(O975=0,"Zero amount",IF(NOT(ISNUMBER(N975)),"Bad date",IF(P975="","NAME NOT ON ROSTER",IF(L975="","OK",IF(MATCH(L975,$L$2:$L$3001,0)&lt;ROW()-1,"Duplicate (ignored)","OK"))))))))</f>
        <v/>
      </c>
      <c r="I975">
        <f>IF(OC_Date=0,"",IF(INDEX('OneCause_Paste'!$A$975:$AZ$975,1,OC_Date)="","",INDEX('OneCause_Paste'!$A$975:$AZ$975,1,OC_Date)))</f>
        <v/>
      </c>
      <c r="J975">
        <f>IF(OC_Amt=0,"",IF(INDEX('OneCause_Paste'!$A$975:$AZ$975,1,OC_Amt)="","",INDEX('OneCause_Paste'!$A$975:$AZ$975,1,OC_Amt)))</f>
        <v/>
      </c>
      <c r="K975">
        <f>IF(OC_Name=0,"",IF(INDEX('OneCause_Paste'!$A$975:$AZ$975,1,OC_Name)="","",INDEX('OneCause_Paste'!$A$975:$AZ$975,1,OC_Name)))</f>
        <v/>
      </c>
      <c r="L975">
        <f>IF(OC_Txn=0,"",IF(INDEX('OneCause_Paste'!$A$975:$AZ$975,1,OC_Txn)="","",INDEX('OneCause_Paste'!$A$975:$AZ$975,1,OC_Txn)))</f>
        <v/>
      </c>
      <c r="M975">
        <f>IF(OC_Pay=0,"",IF(INDEX('OneCause_Paste'!$A$975:$AZ$975,1,OC_Pay)="","",INDEX('OneCause_Paste'!$A$975:$AZ$975,1,OC_Pay)))</f>
        <v/>
      </c>
      <c r="N975">
        <f>IF(I975="","",IF(ISNUMBER(I975),INT(I975),IFERROR(INT(DATEVALUE(I975)),IFERROR(INT(VALUE(I975)),"bad"))))</f>
        <v/>
      </c>
      <c r="O975">
        <f>IF(J975="","",IF(ISNUMBER(J975),ROUND(J975,2),IFERROR(ROUND(VALUE(SUBSTITUTE(SUBSTITUTE(SUBSTITUTE(J975,"$",""),",","")," ","")),2),"bad")))</f>
        <v/>
      </c>
      <c r="P975">
        <f>IF(TRIM(K975)="","",IFERROR(MATCH(LOWER(TRIM(K975)),'Students'!$AH$2:$AH$701,0),IFERROR(MATCH(LOWER(TRIM(K975)),'Students'!$AF$2:$AF$701,0),IFERROR(MATCH(LOWER(TRIM(K975)),'Students'!$AG$2:$AG$701,0),""))))</f>
        <v/>
      </c>
      <c r="R975">
        <f>IF(P975="","",INDEX('Students'!$AD$2:$AD$701,P975))</f>
        <v/>
      </c>
      <c r="S975">
        <f>IF(H975="OK",O975,0)</f>
        <v/>
      </c>
      <c r="T975">
        <f>IF(H975="OK",N975,"")</f>
        <v/>
      </c>
      <c r="U975">
        <f>IF(OC_Donor=0,"",IF(INDEX('OneCause_Paste'!$A$975:$AZ$975,1,OC_Donor)="","",INDEX('OneCause_Paste'!$A$975:$AZ$975,1,OC_Donor)))</f>
        <v/>
      </c>
    </row>
    <row r="976">
      <c r="A976" s="62">
        <f>IF(H976="","",IF(ISNUMBER(N976),N976,I976))</f>
        <v/>
      </c>
      <c r="B976">
        <f>IF(H976="","",U976)</f>
        <v/>
      </c>
      <c r="C976">
        <f>IF(H976="","",IF(P976="",K976,INDEX('Students'!$A$2:$A$701,P976)))</f>
        <v/>
      </c>
      <c r="D976">
        <f>IF(OR(H976="",P976=""),"",INDEX('Students'!$B$2:$B$701,P976))</f>
        <v/>
      </c>
      <c r="E976">
        <f>IF(OR(H976="",P976=""),"",INDEX('Students'!$C$2:$C$701,P976))</f>
        <v/>
      </c>
      <c r="F976" s="48">
        <f>IF(H976="","",IF(ISNUMBER(O976),O976,J976))</f>
        <v/>
      </c>
      <c r="G976">
        <f>IF(H976="","","OneCause")</f>
        <v/>
      </c>
      <c r="H976">
        <f>IF(AND(I976="",J976="",K976=""),"",IF(NOT(ISNUMBER(O976)),"Bad amount",IF(O976&lt;0,"Refund (not counted)",IF(O976=0,"Zero amount",IF(NOT(ISNUMBER(N976)),"Bad date",IF(P976="","NAME NOT ON ROSTER",IF(L976="","OK",IF(MATCH(L976,$L$2:$L$3001,0)&lt;ROW()-1,"Duplicate (ignored)","OK"))))))))</f>
        <v/>
      </c>
      <c r="I976">
        <f>IF(OC_Date=0,"",IF(INDEX('OneCause_Paste'!$A$976:$AZ$976,1,OC_Date)="","",INDEX('OneCause_Paste'!$A$976:$AZ$976,1,OC_Date)))</f>
        <v/>
      </c>
      <c r="J976">
        <f>IF(OC_Amt=0,"",IF(INDEX('OneCause_Paste'!$A$976:$AZ$976,1,OC_Amt)="","",INDEX('OneCause_Paste'!$A$976:$AZ$976,1,OC_Amt)))</f>
        <v/>
      </c>
      <c r="K976">
        <f>IF(OC_Name=0,"",IF(INDEX('OneCause_Paste'!$A$976:$AZ$976,1,OC_Name)="","",INDEX('OneCause_Paste'!$A$976:$AZ$976,1,OC_Name)))</f>
        <v/>
      </c>
      <c r="L976">
        <f>IF(OC_Txn=0,"",IF(INDEX('OneCause_Paste'!$A$976:$AZ$976,1,OC_Txn)="","",INDEX('OneCause_Paste'!$A$976:$AZ$976,1,OC_Txn)))</f>
        <v/>
      </c>
      <c r="M976">
        <f>IF(OC_Pay=0,"",IF(INDEX('OneCause_Paste'!$A$976:$AZ$976,1,OC_Pay)="","",INDEX('OneCause_Paste'!$A$976:$AZ$976,1,OC_Pay)))</f>
        <v/>
      </c>
      <c r="N976">
        <f>IF(I976="","",IF(ISNUMBER(I976),INT(I976),IFERROR(INT(DATEVALUE(I976)),IFERROR(INT(VALUE(I976)),"bad"))))</f>
        <v/>
      </c>
      <c r="O976">
        <f>IF(J976="","",IF(ISNUMBER(J976),ROUND(J976,2),IFERROR(ROUND(VALUE(SUBSTITUTE(SUBSTITUTE(SUBSTITUTE(J976,"$",""),",","")," ","")),2),"bad")))</f>
        <v/>
      </c>
      <c r="P976">
        <f>IF(TRIM(K976)="","",IFERROR(MATCH(LOWER(TRIM(K976)),'Students'!$AH$2:$AH$701,0),IFERROR(MATCH(LOWER(TRIM(K976)),'Students'!$AF$2:$AF$701,0),IFERROR(MATCH(LOWER(TRIM(K976)),'Students'!$AG$2:$AG$701,0),""))))</f>
        <v/>
      </c>
      <c r="R976">
        <f>IF(P976="","",INDEX('Students'!$AD$2:$AD$701,P976))</f>
        <v/>
      </c>
      <c r="S976">
        <f>IF(H976="OK",O976,0)</f>
        <v/>
      </c>
      <c r="T976">
        <f>IF(H976="OK",N976,"")</f>
        <v/>
      </c>
      <c r="U976">
        <f>IF(OC_Donor=0,"",IF(INDEX('OneCause_Paste'!$A$976:$AZ$976,1,OC_Donor)="","",INDEX('OneCause_Paste'!$A$976:$AZ$976,1,OC_Donor)))</f>
        <v/>
      </c>
    </row>
    <row r="977">
      <c r="A977" s="62">
        <f>IF(H977="","",IF(ISNUMBER(N977),N977,I977))</f>
        <v/>
      </c>
      <c r="B977">
        <f>IF(H977="","",U977)</f>
        <v/>
      </c>
      <c r="C977">
        <f>IF(H977="","",IF(P977="",K977,INDEX('Students'!$A$2:$A$701,P977)))</f>
        <v/>
      </c>
      <c r="D977">
        <f>IF(OR(H977="",P977=""),"",INDEX('Students'!$B$2:$B$701,P977))</f>
        <v/>
      </c>
      <c r="E977">
        <f>IF(OR(H977="",P977=""),"",INDEX('Students'!$C$2:$C$701,P977))</f>
        <v/>
      </c>
      <c r="F977" s="48">
        <f>IF(H977="","",IF(ISNUMBER(O977),O977,J977))</f>
        <v/>
      </c>
      <c r="G977">
        <f>IF(H977="","","OneCause")</f>
        <v/>
      </c>
      <c r="H977">
        <f>IF(AND(I977="",J977="",K977=""),"",IF(NOT(ISNUMBER(O977)),"Bad amount",IF(O977&lt;0,"Refund (not counted)",IF(O977=0,"Zero amount",IF(NOT(ISNUMBER(N977)),"Bad date",IF(P977="","NAME NOT ON ROSTER",IF(L977="","OK",IF(MATCH(L977,$L$2:$L$3001,0)&lt;ROW()-1,"Duplicate (ignored)","OK"))))))))</f>
        <v/>
      </c>
      <c r="I977">
        <f>IF(OC_Date=0,"",IF(INDEX('OneCause_Paste'!$A$977:$AZ$977,1,OC_Date)="","",INDEX('OneCause_Paste'!$A$977:$AZ$977,1,OC_Date)))</f>
        <v/>
      </c>
      <c r="J977">
        <f>IF(OC_Amt=0,"",IF(INDEX('OneCause_Paste'!$A$977:$AZ$977,1,OC_Amt)="","",INDEX('OneCause_Paste'!$A$977:$AZ$977,1,OC_Amt)))</f>
        <v/>
      </c>
      <c r="K977">
        <f>IF(OC_Name=0,"",IF(INDEX('OneCause_Paste'!$A$977:$AZ$977,1,OC_Name)="","",INDEX('OneCause_Paste'!$A$977:$AZ$977,1,OC_Name)))</f>
        <v/>
      </c>
      <c r="L977">
        <f>IF(OC_Txn=0,"",IF(INDEX('OneCause_Paste'!$A$977:$AZ$977,1,OC_Txn)="","",INDEX('OneCause_Paste'!$A$977:$AZ$977,1,OC_Txn)))</f>
        <v/>
      </c>
      <c r="M977">
        <f>IF(OC_Pay=0,"",IF(INDEX('OneCause_Paste'!$A$977:$AZ$977,1,OC_Pay)="","",INDEX('OneCause_Paste'!$A$977:$AZ$977,1,OC_Pay)))</f>
        <v/>
      </c>
      <c r="N977">
        <f>IF(I977="","",IF(ISNUMBER(I977),INT(I977),IFERROR(INT(DATEVALUE(I977)),IFERROR(INT(VALUE(I977)),"bad"))))</f>
        <v/>
      </c>
      <c r="O977">
        <f>IF(J977="","",IF(ISNUMBER(J977),ROUND(J977,2),IFERROR(ROUND(VALUE(SUBSTITUTE(SUBSTITUTE(SUBSTITUTE(J977,"$",""),",","")," ","")),2),"bad")))</f>
        <v/>
      </c>
      <c r="P977">
        <f>IF(TRIM(K977)="","",IFERROR(MATCH(LOWER(TRIM(K977)),'Students'!$AH$2:$AH$701,0),IFERROR(MATCH(LOWER(TRIM(K977)),'Students'!$AF$2:$AF$701,0),IFERROR(MATCH(LOWER(TRIM(K977)),'Students'!$AG$2:$AG$701,0),""))))</f>
        <v/>
      </c>
      <c r="R977">
        <f>IF(P977="","",INDEX('Students'!$AD$2:$AD$701,P977))</f>
        <v/>
      </c>
      <c r="S977">
        <f>IF(H977="OK",O977,0)</f>
        <v/>
      </c>
      <c r="T977">
        <f>IF(H977="OK",N977,"")</f>
        <v/>
      </c>
      <c r="U977">
        <f>IF(OC_Donor=0,"",IF(INDEX('OneCause_Paste'!$A$977:$AZ$977,1,OC_Donor)="","",INDEX('OneCause_Paste'!$A$977:$AZ$977,1,OC_Donor)))</f>
        <v/>
      </c>
    </row>
    <row r="978">
      <c r="A978" s="62">
        <f>IF(H978="","",IF(ISNUMBER(N978),N978,I978))</f>
        <v/>
      </c>
      <c r="B978">
        <f>IF(H978="","",U978)</f>
        <v/>
      </c>
      <c r="C978">
        <f>IF(H978="","",IF(P978="",K978,INDEX('Students'!$A$2:$A$701,P978)))</f>
        <v/>
      </c>
      <c r="D978">
        <f>IF(OR(H978="",P978=""),"",INDEX('Students'!$B$2:$B$701,P978))</f>
        <v/>
      </c>
      <c r="E978">
        <f>IF(OR(H978="",P978=""),"",INDEX('Students'!$C$2:$C$701,P978))</f>
        <v/>
      </c>
      <c r="F978" s="48">
        <f>IF(H978="","",IF(ISNUMBER(O978),O978,J978))</f>
        <v/>
      </c>
      <c r="G978">
        <f>IF(H978="","","OneCause")</f>
        <v/>
      </c>
      <c r="H978">
        <f>IF(AND(I978="",J978="",K978=""),"",IF(NOT(ISNUMBER(O978)),"Bad amount",IF(O978&lt;0,"Refund (not counted)",IF(O978=0,"Zero amount",IF(NOT(ISNUMBER(N978)),"Bad date",IF(P978="","NAME NOT ON ROSTER",IF(L978="","OK",IF(MATCH(L978,$L$2:$L$3001,0)&lt;ROW()-1,"Duplicate (ignored)","OK"))))))))</f>
        <v/>
      </c>
      <c r="I978">
        <f>IF(OC_Date=0,"",IF(INDEX('OneCause_Paste'!$A$978:$AZ$978,1,OC_Date)="","",INDEX('OneCause_Paste'!$A$978:$AZ$978,1,OC_Date)))</f>
        <v/>
      </c>
      <c r="J978">
        <f>IF(OC_Amt=0,"",IF(INDEX('OneCause_Paste'!$A$978:$AZ$978,1,OC_Amt)="","",INDEX('OneCause_Paste'!$A$978:$AZ$978,1,OC_Amt)))</f>
        <v/>
      </c>
      <c r="K978">
        <f>IF(OC_Name=0,"",IF(INDEX('OneCause_Paste'!$A$978:$AZ$978,1,OC_Name)="","",INDEX('OneCause_Paste'!$A$978:$AZ$978,1,OC_Name)))</f>
        <v/>
      </c>
      <c r="L978">
        <f>IF(OC_Txn=0,"",IF(INDEX('OneCause_Paste'!$A$978:$AZ$978,1,OC_Txn)="","",INDEX('OneCause_Paste'!$A$978:$AZ$978,1,OC_Txn)))</f>
        <v/>
      </c>
      <c r="M978">
        <f>IF(OC_Pay=0,"",IF(INDEX('OneCause_Paste'!$A$978:$AZ$978,1,OC_Pay)="","",INDEX('OneCause_Paste'!$A$978:$AZ$978,1,OC_Pay)))</f>
        <v/>
      </c>
      <c r="N978">
        <f>IF(I978="","",IF(ISNUMBER(I978),INT(I978),IFERROR(INT(DATEVALUE(I978)),IFERROR(INT(VALUE(I978)),"bad"))))</f>
        <v/>
      </c>
      <c r="O978">
        <f>IF(J978="","",IF(ISNUMBER(J978),ROUND(J978,2),IFERROR(ROUND(VALUE(SUBSTITUTE(SUBSTITUTE(SUBSTITUTE(J978,"$",""),",","")," ","")),2),"bad")))</f>
        <v/>
      </c>
      <c r="P978">
        <f>IF(TRIM(K978)="","",IFERROR(MATCH(LOWER(TRIM(K978)),'Students'!$AH$2:$AH$701,0),IFERROR(MATCH(LOWER(TRIM(K978)),'Students'!$AF$2:$AF$701,0),IFERROR(MATCH(LOWER(TRIM(K978)),'Students'!$AG$2:$AG$701,0),""))))</f>
        <v/>
      </c>
      <c r="R978">
        <f>IF(P978="","",INDEX('Students'!$AD$2:$AD$701,P978))</f>
        <v/>
      </c>
      <c r="S978">
        <f>IF(H978="OK",O978,0)</f>
        <v/>
      </c>
      <c r="T978">
        <f>IF(H978="OK",N978,"")</f>
        <v/>
      </c>
      <c r="U978">
        <f>IF(OC_Donor=0,"",IF(INDEX('OneCause_Paste'!$A$978:$AZ$978,1,OC_Donor)="","",INDEX('OneCause_Paste'!$A$978:$AZ$978,1,OC_Donor)))</f>
        <v/>
      </c>
    </row>
    <row r="979">
      <c r="A979" s="62">
        <f>IF(H979="","",IF(ISNUMBER(N979),N979,I979))</f>
        <v/>
      </c>
      <c r="B979">
        <f>IF(H979="","",U979)</f>
        <v/>
      </c>
      <c r="C979">
        <f>IF(H979="","",IF(P979="",K979,INDEX('Students'!$A$2:$A$701,P979)))</f>
        <v/>
      </c>
      <c r="D979">
        <f>IF(OR(H979="",P979=""),"",INDEX('Students'!$B$2:$B$701,P979))</f>
        <v/>
      </c>
      <c r="E979">
        <f>IF(OR(H979="",P979=""),"",INDEX('Students'!$C$2:$C$701,P979))</f>
        <v/>
      </c>
      <c r="F979" s="48">
        <f>IF(H979="","",IF(ISNUMBER(O979),O979,J979))</f>
        <v/>
      </c>
      <c r="G979">
        <f>IF(H979="","","OneCause")</f>
        <v/>
      </c>
      <c r="H979">
        <f>IF(AND(I979="",J979="",K979=""),"",IF(NOT(ISNUMBER(O979)),"Bad amount",IF(O979&lt;0,"Refund (not counted)",IF(O979=0,"Zero amount",IF(NOT(ISNUMBER(N979)),"Bad date",IF(P979="","NAME NOT ON ROSTER",IF(L979="","OK",IF(MATCH(L979,$L$2:$L$3001,0)&lt;ROW()-1,"Duplicate (ignored)","OK"))))))))</f>
        <v/>
      </c>
      <c r="I979">
        <f>IF(OC_Date=0,"",IF(INDEX('OneCause_Paste'!$A$979:$AZ$979,1,OC_Date)="","",INDEX('OneCause_Paste'!$A$979:$AZ$979,1,OC_Date)))</f>
        <v/>
      </c>
      <c r="J979">
        <f>IF(OC_Amt=0,"",IF(INDEX('OneCause_Paste'!$A$979:$AZ$979,1,OC_Amt)="","",INDEX('OneCause_Paste'!$A$979:$AZ$979,1,OC_Amt)))</f>
        <v/>
      </c>
      <c r="K979">
        <f>IF(OC_Name=0,"",IF(INDEX('OneCause_Paste'!$A$979:$AZ$979,1,OC_Name)="","",INDEX('OneCause_Paste'!$A$979:$AZ$979,1,OC_Name)))</f>
        <v/>
      </c>
      <c r="L979">
        <f>IF(OC_Txn=0,"",IF(INDEX('OneCause_Paste'!$A$979:$AZ$979,1,OC_Txn)="","",INDEX('OneCause_Paste'!$A$979:$AZ$979,1,OC_Txn)))</f>
        <v/>
      </c>
      <c r="M979">
        <f>IF(OC_Pay=0,"",IF(INDEX('OneCause_Paste'!$A$979:$AZ$979,1,OC_Pay)="","",INDEX('OneCause_Paste'!$A$979:$AZ$979,1,OC_Pay)))</f>
        <v/>
      </c>
      <c r="N979">
        <f>IF(I979="","",IF(ISNUMBER(I979),INT(I979),IFERROR(INT(DATEVALUE(I979)),IFERROR(INT(VALUE(I979)),"bad"))))</f>
        <v/>
      </c>
      <c r="O979">
        <f>IF(J979="","",IF(ISNUMBER(J979),ROUND(J979,2),IFERROR(ROUND(VALUE(SUBSTITUTE(SUBSTITUTE(SUBSTITUTE(J979,"$",""),",","")," ","")),2),"bad")))</f>
        <v/>
      </c>
      <c r="P979">
        <f>IF(TRIM(K979)="","",IFERROR(MATCH(LOWER(TRIM(K979)),'Students'!$AH$2:$AH$701,0),IFERROR(MATCH(LOWER(TRIM(K979)),'Students'!$AF$2:$AF$701,0),IFERROR(MATCH(LOWER(TRIM(K979)),'Students'!$AG$2:$AG$701,0),""))))</f>
        <v/>
      </c>
      <c r="R979">
        <f>IF(P979="","",INDEX('Students'!$AD$2:$AD$701,P979))</f>
        <v/>
      </c>
      <c r="S979">
        <f>IF(H979="OK",O979,0)</f>
        <v/>
      </c>
      <c r="T979">
        <f>IF(H979="OK",N979,"")</f>
        <v/>
      </c>
      <c r="U979">
        <f>IF(OC_Donor=0,"",IF(INDEX('OneCause_Paste'!$A$979:$AZ$979,1,OC_Donor)="","",INDEX('OneCause_Paste'!$A$979:$AZ$979,1,OC_Donor)))</f>
        <v/>
      </c>
    </row>
    <row r="980">
      <c r="A980" s="62">
        <f>IF(H980="","",IF(ISNUMBER(N980),N980,I980))</f>
        <v/>
      </c>
      <c r="B980">
        <f>IF(H980="","",U980)</f>
        <v/>
      </c>
      <c r="C980">
        <f>IF(H980="","",IF(P980="",K980,INDEX('Students'!$A$2:$A$701,P980)))</f>
        <v/>
      </c>
      <c r="D980">
        <f>IF(OR(H980="",P980=""),"",INDEX('Students'!$B$2:$B$701,P980))</f>
        <v/>
      </c>
      <c r="E980">
        <f>IF(OR(H980="",P980=""),"",INDEX('Students'!$C$2:$C$701,P980))</f>
        <v/>
      </c>
      <c r="F980" s="48">
        <f>IF(H980="","",IF(ISNUMBER(O980),O980,J980))</f>
        <v/>
      </c>
      <c r="G980">
        <f>IF(H980="","","OneCause")</f>
        <v/>
      </c>
      <c r="H980">
        <f>IF(AND(I980="",J980="",K980=""),"",IF(NOT(ISNUMBER(O980)),"Bad amount",IF(O980&lt;0,"Refund (not counted)",IF(O980=0,"Zero amount",IF(NOT(ISNUMBER(N980)),"Bad date",IF(P980="","NAME NOT ON ROSTER",IF(L980="","OK",IF(MATCH(L980,$L$2:$L$3001,0)&lt;ROW()-1,"Duplicate (ignored)","OK"))))))))</f>
        <v/>
      </c>
      <c r="I980">
        <f>IF(OC_Date=0,"",IF(INDEX('OneCause_Paste'!$A$980:$AZ$980,1,OC_Date)="","",INDEX('OneCause_Paste'!$A$980:$AZ$980,1,OC_Date)))</f>
        <v/>
      </c>
      <c r="J980">
        <f>IF(OC_Amt=0,"",IF(INDEX('OneCause_Paste'!$A$980:$AZ$980,1,OC_Amt)="","",INDEX('OneCause_Paste'!$A$980:$AZ$980,1,OC_Amt)))</f>
        <v/>
      </c>
      <c r="K980">
        <f>IF(OC_Name=0,"",IF(INDEX('OneCause_Paste'!$A$980:$AZ$980,1,OC_Name)="","",INDEX('OneCause_Paste'!$A$980:$AZ$980,1,OC_Name)))</f>
        <v/>
      </c>
      <c r="L980">
        <f>IF(OC_Txn=0,"",IF(INDEX('OneCause_Paste'!$A$980:$AZ$980,1,OC_Txn)="","",INDEX('OneCause_Paste'!$A$980:$AZ$980,1,OC_Txn)))</f>
        <v/>
      </c>
      <c r="M980">
        <f>IF(OC_Pay=0,"",IF(INDEX('OneCause_Paste'!$A$980:$AZ$980,1,OC_Pay)="","",INDEX('OneCause_Paste'!$A$980:$AZ$980,1,OC_Pay)))</f>
        <v/>
      </c>
      <c r="N980">
        <f>IF(I980="","",IF(ISNUMBER(I980),INT(I980),IFERROR(INT(DATEVALUE(I980)),IFERROR(INT(VALUE(I980)),"bad"))))</f>
        <v/>
      </c>
      <c r="O980">
        <f>IF(J980="","",IF(ISNUMBER(J980),ROUND(J980,2),IFERROR(ROUND(VALUE(SUBSTITUTE(SUBSTITUTE(SUBSTITUTE(J980,"$",""),",","")," ","")),2),"bad")))</f>
        <v/>
      </c>
      <c r="P980">
        <f>IF(TRIM(K980)="","",IFERROR(MATCH(LOWER(TRIM(K980)),'Students'!$AH$2:$AH$701,0),IFERROR(MATCH(LOWER(TRIM(K980)),'Students'!$AF$2:$AF$701,0),IFERROR(MATCH(LOWER(TRIM(K980)),'Students'!$AG$2:$AG$701,0),""))))</f>
        <v/>
      </c>
      <c r="R980">
        <f>IF(P980="","",INDEX('Students'!$AD$2:$AD$701,P980))</f>
        <v/>
      </c>
      <c r="S980">
        <f>IF(H980="OK",O980,0)</f>
        <v/>
      </c>
      <c r="T980">
        <f>IF(H980="OK",N980,"")</f>
        <v/>
      </c>
      <c r="U980">
        <f>IF(OC_Donor=0,"",IF(INDEX('OneCause_Paste'!$A$980:$AZ$980,1,OC_Donor)="","",INDEX('OneCause_Paste'!$A$980:$AZ$980,1,OC_Donor)))</f>
        <v/>
      </c>
    </row>
    <row r="981">
      <c r="A981" s="62">
        <f>IF(H981="","",IF(ISNUMBER(N981),N981,I981))</f>
        <v/>
      </c>
      <c r="B981">
        <f>IF(H981="","",U981)</f>
        <v/>
      </c>
      <c r="C981">
        <f>IF(H981="","",IF(P981="",K981,INDEX('Students'!$A$2:$A$701,P981)))</f>
        <v/>
      </c>
      <c r="D981">
        <f>IF(OR(H981="",P981=""),"",INDEX('Students'!$B$2:$B$701,P981))</f>
        <v/>
      </c>
      <c r="E981">
        <f>IF(OR(H981="",P981=""),"",INDEX('Students'!$C$2:$C$701,P981))</f>
        <v/>
      </c>
      <c r="F981" s="48">
        <f>IF(H981="","",IF(ISNUMBER(O981),O981,J981))</f>
        <v/>
      </c>
      <c r="G981">
        <f>IF(H981="","","OneCause")</f>
        <v/>
      </c>
      <c r="H981">
        <f>IF(AND(I981="",J981="",K981=""),"",IF(NOT(ISNUMBER(O981)),"Bad amount",IF(O981&lt;0,"Refund (not counted)",IF(O981=0,"Zero amount",IF(NOT(ISNUMBER(N981)),"Bad date",IF(P981="","NAME NOT ON ROSTER",IF(L981="","OK",IF(MATCH(L981,$L$2:$L$3001,0)&lt;ROW()-1,"Duplicate (ignored)","OK"))))))))</f>
        <v/>
      </c>
      <c r="I981">
        <f>IF(OC_Date=0,"",IF(INDEX('OneCause_Paste'!$A$981:$AZ$981,1,OC_Date)="","",INDEX('OneCause_Paste'!$A$981:$AZ$981,1,OC_Date)))</f>
        <v/>
      </c>
      <c r="J981">
        <f>IF(OC_Amt=0,"",IF(INDEX('OneCause_Paste'!$A$981:$AZ$981,1,OC_Amt)="","",INDEX('OneCause_Paste'!$A$981:$AZ$981,1,OC_Amt)))</f>
        <v/>
      </c>
      <c r="K981">
        <f>IF(OC_Name=0,"",IF(INDEX('OneCause_Paste'!$A$981:$AZ$981,1,OC_Name)="","",INDEX('OneCause_Paste'!$A$981:$AZ$981,1,OC_Name)))</f>
        <v/>
      </c>
      <c r="L981">
        <f>IF(OC_Txn=0,"",IF(INDEX('OneCause_Paste'!$A$981:$AZ$981,1,OC_Txn)="","",INDEX('OneCause_Paste'!$A$981:$AZ$981,1,OC_Txn)))</f>
        <v/>
      </c>
      <c r="M981">
        <f>IF(OC_Pay=0,"",IF(INDEX('OneCause_Paste'!$A$981:$AZ$981,1,OC_Pay)="","",INDEX('OneCause_Paste'!$A$981:$AZ$981,1,OC_Pay)))</f>
        <v/>
      </c>
      <c r="N981">
        <f>IF(I981="","",IF(ISNUMBER(I981),INT(I981),IFERROR(INT(DATEVALUE(I981)),IFERROR(INT(VALUE(I981)),"bad"))))</f>
        <v/>
      </c>
      <c r="O981">
        <f>IF(J981="","",IF(ISNUMBER(J981),ROUND(J981,2),IFERROR(ROUND(VALUE(SUBSTITUTE(SUBSTITUTE(SUBSTITUTE(J981,"$",""),",","")," ","")),2),"bad")))</f>
        <v/>
      </c>
      <c r="P981">
        <f>IF(TRIM(K981)="","",IFERROR(MATCH(LOWER(TRIM(K981)),'Students'!$AH$2:$AH$701,0),IFERROR(MATCH(LOWER(TRIM(K981)),'Students'!$AF$2:$AF$701,0),IFERROR(MATCH(LOWER(TRIM(K981)),'Students'!$AG$2:$AG$701,0),""))))</f>
        <v/>
      </c>
      <c r="R981">
        <f>IF(P981="","",INDEX('Students'!$AD$2:$AD$701,P981))</f>
        <v/>
      </c>
      <c r="S981">
        <f>IF(H981="OK",O981,0)</f>
        <v/>
      </c>
      <c r="T981">
        <f>IF(H981="OK",N981,"")</f>
        <v/>
      </c>
      <c r="U981">
        <f>IF(OC_Donor=0,"",IF(INDEX('OneCause_Paste'!$A$981:$AZ$981,1,OC_Donor)="","",INDEX('OneCause_Paste'!$A$981:$AZ$981,1,OC_Donor)))</f>
        <v/>
      </c>
    </row>
    <row r="982">
      <c r="A982" s="62">
        <f>IF(H982="","",IF(ISNUMBER(N982),N982,I982))</f>
        <v/>
      </c>
      <c r="B982">
        <f>IF(H982="","",U982)</f>
        <v/>
      </c>
      <c r="C982">
        <f>IF(H982="","",IF(P982="",K982,INDEX('Students'!$A$2:$A$701,P982)))</f>
        <v/>
      </c>
      <c r="D982">
        <f>IF(OR(H982="",P982=""),"",INDEX('Students'!$B$2:$B$701,P982))</f>
        <v/>
      </c>
      <c r="E982">
        <f>IF(OR(H982="",P982=""),"",INDEX('Students'!$C$2:$C$701,P982))</f>
        <v/>
      </c>
      <c r="F982" s="48">
        <f>IF(H982="","",IF(ISNUMBER(O982),O982,J982))</f>
        <v/>
      </c>
      <c r="G982">
        <f>IF(H982="","","OneCause")</f>
        <v/>
      </c>
      <c r="H982">
        <f>IF(AND(I982="",J982="",K982=""),"",IF(NOT(ISNUMBER(O982)),"Bad amount",IF(O982&lt;0,"Refund (not counted)",IF(O982=0,"Zero amount",IF(NOT(ISNUMBER(N982)),"Bad date",IF(P982="","NAME NOT ON ROSTER",IF(L982="","OK",IF(MATCH(L982,$L$2:$L$3001,0)&lt;ROW()-1,"Duplicate (ignored)","OK"))))))))</f>
        <v/>
      </c>
      <c r="I982">
        <f>IF(OC_Date=0,"",IF(INDEX('OneCause_Paste'!$A$982:$AZ$982,1,OC_Date)="","",INDEX('OneCause_Paste'!$A$982:$AZ$982,1,OC_Date)))</f>
        <v/>
      </c>
      <c r="J982">
        <f>IF(OC_Amt=0,"",IF(INDEX('OneCause_Paste'!$A$982:$AZ$982,1,OC_Amt)="","",INDEX('OneCause_Paste'!$A$982:$AZ$982,1,OC_Amt)))</f>
        <v/>
      </c>
      <c r="K982">
        <f>IF(OC_Name=0,"",IF(INDEX('OneCause_Paste'!$A$982:$AZ$982,1,OC_Name)="","",INDEX('OneCause_Paste'!$A$982:$AZ$982,1,OC_Name)))</f>
        <v/>
      </c>
      <c r="L982">
        <f>IF(OC_Txn=0,"",IF(INDEX('OneCause_Paste'!$A$982:$AZ$982,1,OC_Txn)="","",INDEX('OneCause_Paste'!$A$982:$AZ$982,1,OC_Txn)))</f>
        <v/>
      </c>
      <c r="M982">
        <f>IF(OC_Pay=0,"",IF(INDEX('OneCause_Paste'!$A$982:$AZ$982,1,OC_Pay)="","",INDEX('OneCause_Paste'!$A$982:$AZ$982,1,OC_Pay)))</f>
        <v/>
      </c>
      <c r="N982">
        <f>IF(I982="","",IF(ISNUMBER(I982),INT(I982),IFERROR(INT(DATEVALUE(I982)),IFERROR(INT(VALUE(I982)),"bad"))))</f>
        <v/>
      </c>
      <c r="O982">
        <f>IF(J982="","",IF(ISNUMBER(J982),ROUND(J982,2),IFERROR(ROUND(VALUE(SUBSTITUTE(SUBSTITUTE(SUBSTITUTE(J982,"$",""),",","")," ","")),2),"bad")))</f>
        <v/>
      </c>
      <c r="P982">
        <f>IF(TRIM(K982)="","",IFERROR(MATCH(LOWER(TRIM(K982)),'Students'!$AH$2:$AH$701,0),IFERROR(MATCH(LOWER(TRIM(K982)),'Students'!$AF$2:$AF$701,0),IFERROR(MATCH(LOWER(TRIM(K982)),'Students'!$AG$2:$AG$701,0),""))))</f>
        <v/>
      </c>
      <c r="R982">
        <f>IF(P982="","",INDEX('Students'!$AD$2:$AD$701,P982))</f>
        <v/>
      </c>
      <c r="S982">
        <f>IF(H982="OK",O982,0)</f>
        <v/>
      </c>
      <c r="T982">
        <f>IF(H982="OK",N982,"")</f>
        <v/>
      </c>
      <c r="U982">
        <f>IF(OC_Donor=0,"",IF(INDEX('OneCause_Paste'!$A$982:$AZ$982,1,OC_Donor)="","",INDEX('OneCause_Paste'!$A$982:$AZ$982,1,OC_Donor)))</f>
        <v/>
      </c>
    </row>
    <row r="983">
      <c r="A983" s="62">
        <f>IF(H983="","",IF(ISNUMBER(N983),N983,I983))</f>
        <v/>
      </c>
      <c r="B983">
        <f>IF(H983="","",U983)</f>
        <v/>
      </c>
      <c r="C983">
        <f>IF(H983="","",IF(P983="",K983,INDEX('Students'!$A$2:$A$701,P983)))</f>
        <v/>
      </c>
      <c r="D983">
        <f>IF(OR(H983="",P983=""),"",INDEX('Students'!$B$2:$B$701,P983))</f>
        <v/>
      </c>
      <c r="E983">
        <f>IF(OR(H983="",P983=""),"",INDEX('Students'!$C$2:$C$701,P983))</f>
        <v/>
      </c>
      <c r="F983" s="48">
        <f>IF(H983="","",IF(ISNUMBER(O983),O983,J983))</f>
        <v/>
      </c>
      <c r="G983">
        <f>IF(H983="","","OneCause")</f>
        <v/>
      </c>
      <c r="H983">
        <f>IF(AND(I983="",J983="",K983=""),"",IF(NOT(ISNUMBER(O983)),"Bad amount",IF(O983&lt;0,"Refund (not counted)",IF(O983=0,"Zero amount",IF(NOT(ISNUMBER(N983)),"Bad date",IF(P983="","NAME NOT ON ROSTER",IF(L983="","OK",IF(MATCH(L983,$L$2:$L$3001,0)&lt;ROW()-1,"Duplicate (ignored)","OK"))))))))</f>
        <v/>
      </c>
      <c r="I983">
        <f>IF(OC_Date=0,"",IF(INDEX('OneCause_Paste'!$A$983:$AZ$983,1,OC_Date)="","",INDEX('OneCause_Paste'!$A$983:$AZ$983,1,OC_Date)))</f>
        <v/>
      </c>
      <c r="J983">
        <f>IF(OC_Amt=0,"",IF(INDEX('OneCause_Paste'!$A$983:$AZ$983,1,OC_Amt)="","",INDEX('OneCause_Paste'!$A$983:$AZ$983,1,OC_Amt)))</f>
        <v/>
      </c>
      <c r="K983">
        <f>IF(OC_Name=0,"",IF(INDEX('OneCause_Paste'!$A$983:$AZ$983,1,OC_Name)="","",INDEX('OneCause_Paste'!$A$983:$AZ$983,1,OC_Name)))</f>
        <v/>
      </c>
      <c r="L983">
        <f>IF(OC_Txn=0,"",IF(INDEX('OneCause_Paste'!$A$983:$AZ$983,1,OC_Txn)="","",INDEX('OneCause_Paste'!$A$983:$AZ$983,1,OC_Txn)))</f>
        <v/>
      </c>
      <c r="M983">
        <f>IF(OC_Pay=0,"",IF(INDEX('OneCause_Paste'!$A$983:$AZ$983,1,OC_Pay)="","",INDEX('OneCause_Paste'!$A$983:$AZ$983,1,OC_Pay)))</f>
        <v/>
      </c>
      <c r="N983">
        <f>IF(I983="","",IF(ISNUMBER(I983),INT(I983),IFERROR(INT(DATEVALUE(I983)),IFERROR(INT(VALUE(I983)),"bad"))))</f>
        <v/>
      </c>
      <c r="O983">
        <f>IF(J983="","",IF(ISNUMBER(J983),ROUND(J983,2),IFERROR(ROUND(VALUE(SUBSTITUTE(SUBSTITUTE(SUBSTITUTE(J983,"$",""),",","")," ","")),2),"bad")))</f>
        <v/>
      </c>
      <c r="P983">
        <f>IF(TRIM(K983)="","",IFERROR(MATCH(LOWER(TRIM(K983)),'Students'!$AH$2:$AH$701,0),IFERROR(MATCH(LOWER(TRIM(K983)),'Students'!$AF$2:$AF$701,0),IFERROR(MATCH(LOWER(TRIM(K983)),'Students'!$AG$2:$AG$701,0),""))))</f>
        <v/>
      </c>
      <c r="R983">
        <f>IF(P983="","",INDEX('Students'!$AD$2:$AD$701,P983))</f>
        <v/>
      </c>
      <c r="S983">
        <f>IF(H983="OK",O983,0)</f>
        <v/>
      </c>
      <c r="T983">
        <f>IF(H983="OK",N983,"")</f>
        <v/>
      </c>
      <c r="U983">
        <f>IF(OC_Donor=0,"",IF(INDEX('OneCause_Paste'!$A$983:$AZ$983,1,OC_Donor)="","",INDEX('OneCause_Paste'!$A$983:$AZ$983,1,OC_Donor)))</f>
        <v/>
      </c>
    </row>
    <row r="984">
      <c r="A984" s="62">
        <f>IF(H984="","",IF(ISNUMBER(N984),N984,I984))</f>
        <v/>
      </c>
      <c r="B984">
        <f>IF(H984="","",U984)</f>
        <v/>
      </c>
      <c r="C984">
        <f>IF(H984="","",IF(P984="",K984,INDEX('Students'!$A$2:$A$701,P984)))</f>
        <v/>
      </c>
      <c r="D984">
        <f>IF(OR(H984="",P984=""),"",INDEX('Students'!$B$2:$B$701,P984))</f>
        <v/>
      </c>
      <c r="E984">
        <f>IF(OR(H984="",P984=""),"",INDEX('Students'!$C$2:$C$701,P984))</f>
        <v/>
      </c>
      <c r="F984" s="48">
        <f>IF(H984="","",IF(ISNUMBER(O984),O984,J984))</f>
        <v/>
      </c>
      <c r="G984">
        <f>IF(H984="","","OneCause")</f>
        <v/>
      </c>
      <c r="H984">
        <f>IF(AND(I984="",J984="",K984=""),"",IF(NOT(ISNUMBER(O984)),"Bad amount",IF(O984&lt;0,"Refund (not counted)",IF(O984=0,"Zero amount",IF(NOT(ISNUMBER(N984)),"Bad date",IF(P984="","NAME NOT ON ROSTER",IF(L984="","OK",IF(MATCH(L984,$L$2:$L$3001,0)&lt;ROW()-1,"Duplicate (ignored)","OK"))))))))</f>
        <v/>
      </c>
      <c r="I984">
        <f>IF(OC_Date=0,"",IF(INDEX('OneCause_Paste'!$A$984:$AZ$984,1,OC_Date)="","",INDEX('OneCause_Paste'!$A$984:$AZ$984,1,OC_Date)))</f>
        <v/>
      </c>
      <c r="J984">
        <f>IF(OC_Amt=0,"",IF(INDEX('OneCause_Paste'!$A$984:$AZ$984,1,OC_Amt)="","",INDEX('OneCause_Paste'!$A$984:$AZ$984,1,OC_Amt)))</f>
        <v/>
      </c>
      <c r="K984">
        <f>IF(OC_Name=0,"",IF(INDEX('OneCause_Paste'!$A$984:$AZ$984,1,OC_Name)="","",INDEX('OneCause_Paste'!$A$984:$AZ$984,1,OC_Name)))</f>
        <v/>
      </c>
      <c r="L984">
        <f>IF(OC_Txn=0,"",IF(INDEX('OneCause_Paste'!$A$984:$AZ$984,1,OC_Txn)="","",INDEX('OneCause_Paste'!$A$984:$AZ$984,1,OC_Txn)))</f>
        <v/>
      </c>
      <c r="M984">
        <f>IF(OC_Pay=0,"",IF(INDEX('OneCause_Paste'!$A$984:$AZ$984,1,OC_Pay)="","",INDEX('OneCause_Paste'!$A$984:$AZ$984,1,OC_Pay)))</f>
        <v/>
      </c>
      <c r="N984">
        <f>IF(I984="","",IF(ISNUMBER(I984),INT(I984),IFERROR(INT(DATEVALUE(I984)),IFERROR(INT(VALUE(I984)),"bad"))))</f>
        <v/>
      </c>
      <c r="O984">
        <f>IF(J984="","",IF(ISNUMBER(J984),ROUND(J984,2),IFERROR(ROUND(VALUE(SUBSTITUTE(SUBSTITUTE(SUBSTITUTE(J984,"$",""),",","")," ","")),2),"bad")))</f>
        <v/>
      </c>
      <c r="P984">
        <f>IF(TRIM(K984)="","",IFERROR(MATCH(LOWER(TRIM(K984)),'Students'!$AH$2:$AH$701,0),IFERROR(MATCH(LOWER(TRIM(K984)),'Students'!$AF$2:$AF$701,0),IFERROR(MATCH(LOWER(TRIM(K984)),'Students'!$AG$2:$AG$701,0),""))))</f>
        <v/>
      </c>
      <c r="R984">
        <f>IF(P984="","",INDEX('Students'!$AD$2:$AD$701,P984))</f>
        <v/>
      </c>
      <c r="S984">
        <f>IF(H984="OK",O984,0)</f>
        <v/>
      </c>
      <c r="T984">
        <f>IF(H984="OK",N984,"")</f>
        <v/>
      </c>
      <c r="U984">
        <f>IF(OC_Donor=0,"",IF(INDEX('OneCause_Paste'!$A$984:$AZ$984,1,OC_Donor)="","",INDEX('OneCause_Paste'!$A$984:$AZ$984,1,OC_Donor)))</f>
        <v/>
      </c>
    </row>
    <row r="985">
      <c r="A985" s="62">
        <f>IF(H985="","",IF(ISNUMBER(N985),N985,I985))</f>
        <v/>
      </c>
      <c r="B985">
        <f>IF(H985="","",U985)</f>
        <v/>
      </c>
      <c r="C985">
        <f>IF(H985="","",IF(P985="",K985,INDEX('Students'!$A$2:$A$701,P985)))</f>
        <v/>
      </c>
      <c r="D985">
        <f>IF(OR(H985="",P985=""),"",INDEX('Students'!$B$2:$B$701,P985))</f>
        <v/>
      </c>
      <c r="E985">
        <f>IF(OR(H985="",P985=""),"",INDEX('Students'!$C$2:$C$701,P985))</f>
        <v/>
      </c>
      <c r="F985" s="48">
        <f>IF(H985="","",IF(ISNUMBER(O985),O985,J985))</f>
        <v/>
      </c>
      <c r="G985">
        <f>IF(H985="","","OneCause")</f>
        <v/>
      </c>
      <c r="H985">
        <f>IF(AND(I985="",J985="",K985=""),"",IF(NOT(ISNUMBER(O985)),"Bad amount",IF(O985&lt;0,"Refund (not counted)",IF(O985=0,"Zero amount",IF(NOT(ISNUMBER(N985)),"Bad date",IF(P985="","NAME NOT ON ROSTER",IF(L985="","OK",IF(MATCH(L985,$L$2:$L$3001,0)&lt;ROW()-1,"Duplicate (ignored)","OK"))))))))</f>
        <v/>
      </c>
      <c r="I985">
        <f>IF(OC_Date=0,"",IF(INDEX('OneCause_Paste'!$A$985:$AZ$985,1,OC_Date)="","",INDEX('OneCause_Paste'!$A$985:$AZ$985,1,OC_Date)))</f>
        <v/>
      </c>
      <c r="J985">
        <f>IF(OC_Amt=0,"",IF(INDEX('OneCause_Paste'!$A$985:$AZ$985,1,OC_Amt)="","",INDEX('OneCause_Paste'!$A$985:$AZ$985,1,OC_Amt)))</f>
        <v/>
      </c>
      <c r="K985">
        <f>IF(OC_Name=0,"",IF(INDEX('OneCause_Paste'!$A$985:$AZ$985,1,OC_Name)="","",INDEX('OneCause_Paste'!$A$985:$AZ$985,1,OC_Name)))</f>
        <v/>
      </c>
      <c r="L985">
        <f>IF(OC_Txn=0,"",IF(INDEX('OneCause_Paste'!$A$985:$AZ$985,1,OC_Txn)="","",INDEX('OneCause_Paste'!$A$985:$AZ$985,1,OC_Txn)))</f>
        <v/>
      </c>
      <c r="M985">
        <f>IF(OC_Pay=0,"",IF(INDEX('OneCause_Paste'!$A$985:$AZ$985,1,OC_Pay)="","",INDEX('OneCause_Paste'!$A$985:$AZ$985,1,OC_Pay)))</f>
        <v/>
      </c>
      <c r="N985">
        <f>IF(I985="","",IF(ISNUMBER(I985),INT(I985),IFERROR(INT(DATEVALUE(I985)),IFERROR(INT(VALUE(I985)),"bad"))))</f>
        <v/>
      </c>
      <c r="O985">
        <f>IF(J985="","",IF(ISNUMBER(J985),ROUND(J985,2),IFERROR(ROUND(VALUE(SUBSTITUTE(SUBSTITUTE(SUBSTITUTE(J985,"$",""),",","")," ","")),2),"bad")))</f>
        <v/>
      </c>
      <c r="P985">
        <f>IF(TRIM(K985)="","",IFERROR(MATCH(LOWER(TRIM(K985)),'Students'!$AH$2:$AH$701,0),IFERROR(MATCH(LOWER(TRIM(K985)),'Students'!$AF$2:$AF$701,0),IFERROR(MATCH(LOWER(TRIM(K985)),'Students'!$AG$2:$AG$701,0),""))))</f>
        <v/>
      </c>
      <c r="R985">
        <f>IF(P985="","",INDEX('Students'!$AD$2:$AD$701,P985))</f>
        <v/>
      </c>
      <c r="S985">
        <f>IF(H985="OK",O985,0)</f>
        <v/>
      </c>
      <c r="T985">
        <f>IF(H985="OK",N985,"")</f>
        <v/>
      </c>
      <c r="U985">
        <f>IF(OC_Donor=0,"",IF(INDEX('OneCause_Paste'!$A$985:$AZ$985,1,OC_Donor)="","",INDEX('OneCause_Paste'!$A$985:$AZ$985,1,OC_Donor)))</f>
        <v/>
      </c>
    </row>
    <row r="986">
      <c r="A986" s="62">
        <f>IF(H986="","",IF(ISNUMBER(N986),N986,I986))</f>
        <v/>
      </c>
      <c r="B986">
        <f>IF(H986="","",U986)</f>
        <v/>
      </c>
      <c r="C986">
        <f>IF(H986="","",IF(P986="",K986,INDEX('Students'!$A$2:$A$701,P986)))</f>
        <v/>
      </c>
      <c r="D986">
        <f>IF(OR(H986="",P986=""),"",INDEX('Students'!$B$2:$B$701,P986))</f>
        <v/>
      </c>
      <c r="E986">
        <f>IF(OR(H986="",P986=""),"",INDEX('Students'!$C$2:$C$701,P986))</f>
        <v/>
      </c>
      <c r="F986" s="48">
        <f>IF(H986="","",IF(ISNUMBER(O986),O986,J986))</f>
        <v/>
      </c>
      <c r="G986">
        <f>IF(H986="","","OneCause")</f>
        <v/>
      </c>
      <c r="H986">
        <f>IF(AND(I986="",J986="",K986=""),"",IF(NOT(ISNUMBER(O986)),"Bad amount",IF(O986&lt;0,"Refund (not counted)",IF(O986=0,"Zero amount",IF(NOT(ISNUMBER(N986)),"Bad date",IF(P986="","NAME NOT ON ROSTER",IF(L986="","OK",IF(MATCH(L986,$L$2:$L$3001,0)&lt;ROW()-1,"Duplicate (ignored)","OK"))))))))</f>
        <v/>
      </c>
      <c r="I986">
        <f>IF(OC_Date=0,"",IF(INDEX('OneCause_Paste'!$A$986:$AZ$986,1,OC_Date)="","",INDEX('OneCause_Paste'!$A$986:$AZ$986,1,OC_Date)))</f>
        <v/>
      </c>
      <c r="J986">
        <f>IF(OC_Amt=0,"",IF(INDEX('OneCause_Paste'!$A$986:$AZ$986,1,OC_Amt)="","",INDEX('OneCause_Paste'!$A$986:$AZ$986,1,OC_Amt)))</f>
        <v/>
      </c>
      <c r="K986">
        <f>IF(OC_Name=0,"",IF(INDEX('OneCause_Paste'!$A$986:$AZ$986,1,OC_Name)="","",INDEX('OneCause_Paste'!$A$986:$AZ$986,1,OC_Name)))</f>
        <v/>
      </c>
      <c r="L986">
        <f>IF(OC_Txn=0,"",IF(INDEX('OneCause_Paste'!$A$986:$AZ$986,1,OC_Txn)="","",INDEX('OneCause_Paste'!$A$986:$AZ$986,1,OC_Txn)))</f>
        <v/>
      </c>
      <c r="M986">
        <f>IF(OC_Pay=0,"",IF(INDEX('OneCause_Paste'!$A$986:$AZ$986,1,OC_Pay)="","",INDEX('OneCause_Paste'!$A$986:$AZ$986,1,OC_Pay)))</f>
        <v/>
      </c>
      <c r="N986">
        <f>IF(I986="","",IF(ISNUMBER(I986),INT(I986),IFERROR(INT(DATEVALUE(I986)),IFERROR(INT(VALUE(I986)),"bad"))))</f>
        <v/>
      </c>
      <c r="O986">
        <f>IF(J986="","",IF(ISNUMBER(J986),ROUND(J986,2),IFERROR(ROUND(VALUE(SUBSTITUTE(SUBSTITUTE(SUBSTITUTE(J986,"$",""),",","")," ","")),2),"bad")))</f>
        <v/>
      </c>
      <c r="P986">
        <f>IF(TRIM(K986)="","",IFERROR(MATCH(LOWER(TRIM(K986)),'Students'!$AH$2:$AH$701,0),IFERROR(MATCH(LOWER(TRIM(K986)),'Students'!$AF$2:$AF$701,0),IFERROR(MATCH(LOWER(TRIM(K986)),'Students'!$AG$2:$AG$701,0),""))))</f>
        <v/>
      </c>
      <c r="R986">
        <f>IF(P986="","",INDEX('Students'!$AD$2:$AD$701,P986))</f>
        <v/>
      </c>
      <c r="S986">
        <f>IF(H986="OK",O986,0)</f>
        <v/>
      </c>
      <c r="T986">
        <f>IF(H986="OK",N986,"")</f>
        <v/>
      </c>
      <c r="U986">
        <f>IF(OC_Donor=0,"",IF(INDEX('OneCause_Paste'!$A$986:$AZ$986,1,OC_Donor)="","",INDEX('OneCause_Paste'!$A$986:$AZ$986,1,OC_Donor)))</f>
        <v/>
      </c>
    </row>
    <row r="987">
      <c r="A987" s="62">
        <f>IF(H987="","",IF(ISNUMBER(N987),N987,I987))</f>
        <v/>
      </c>
      <c r="B987">
        <f>IF(H987="","",U987)</f>
        <v/>
      </c>
      <c r="C987">
        <f>IF(H987="","",IF(P987="",K987,INDEX('Students'!$A$2:$A$701,P987)))</f>
        <v/>
      </c>
      <c r="D987">
        <f>IF(OR(H987="",P987=""),"",INDEX('Students'!$B$2:$B$701,P987))</f>
        <v/>
      </c>
      <c r="E987">
        <f>IF(OR(H987="",P987=""),"",INDEX('Students'!$C$2:$C$701,P987))</f>
        <v/>
      </c>
      <c r="F987" s="48">
        <f>IF(H987="","",IF(ISNUMBER(O987),O987,J987))</f>
        <v/>
      </c>
      <c r="G987">
        <f>IF(H987="","","OneCause")</f>
        <v/>
      </c>
      <c r="H987">
        <f>IF(AND(I987="",J987="",K987=""),"",IF(NOT(ISNUMBER(O987)),"Bad amount",IF(O987&lt;0,"Refund (not counted)",IF(O987=0,"Zero amount",IF(NOT(ISNUMBER(N987)),"Bad date",IF(P987="","NAME NOT ON ROSTER",IF(L987="","OK",IF(MATCH(L987,$L$2:$L$3001,0)&lt;ROW()-1,"Duplicate (ignored)","OK"))))))))</f>
        <v/>
      </c>
      <c r="I987">
        <f>IF(OC_Date=0,"",IF(INDEX('OneCause_Paste'!$A$987:$AZ$987,1,OC_Date)="","",INDEX('OneCause_Paste'!$A$987:$AZ$987,1,OC_Date)))</f>
        <v/>
      </c>
      <c r="J987">
        <f>IF(OC_Amt=0,"",IF(INDEX('OneCause_Paste'!$A$987:$AZ$987,1,OC_Amt)="","",INDEX('OneCause_Paste'!$A$987:$AZ$987,1,OC_Amt)))</f>
        <v/>
      </c>
      <c r="K987">
        <f>IF(OC_Name=0,"",IF(INDEX('OneCause_Paste'!$A$987:$AZ$987,1,OC_Name)="","",INDEX('OneCause_Paste'!$A$987:$AZ$987,1,OC_Name)))</f>
        <v/>
      </c>
      <c r="L987">
        <f>IF(OC_Txn=0,"",IF(INDEX('OneCause_Paste'!$A$987:$AZ$987,1,OC_Txn)="","",INDEX('OneCause_Paste'!$A$987:$AZ$987,1,OC_Txn)))</f>
        <v/>
      </c>
      <c r="M987">
        <f>IF(OC_Pay=0,"",IF(INDEX('OneCause_Paste'!$A$987:$AZ$987,1,OC_Pay)="","",INDEX('OneCause_Paste'!$A$987:$AZ$987,1,OC_Pay)))</f>
        <v/>
      </c>
      <c r="N987">
        <f>IF(I987="","",IF(ISNUMBER(I987),INT(I987),IFERROR(INT(DATEVALUE(I987)),IFERROR(INT(VALUE(I987)),"bad"))))</f>
        <v/>
      </c>
      <c r="O987">
        <f>IF(J987="","",IF(ISNUMBER(J987),ROUND(J987,2),IFERROR(ROUND(VALUE(SUBSTITUTE(SUBSTITUTE(SUBSTITUTE(J987,"$",""),",","")," ","")),2),"bad")))</f>
        <v/>
      </c>
      <c r="P987">
        <f>IF(TRIM(K987)="","",IFERROR(MATCH(LOWER(TRIM(K987)),'Students'!$AH$2:$AH$701,0),IFERROR(MATCH(LOWER(TRIM(K987)),'Students'!$AF$2:$AF$701,0),IFERROR(MATCH(LOWER(TRIM(K987)),'Students'!$AG$2:$AG$701,0),""))))</f>
        <v/>
      </c>
      <c r="R987">
        <f>IF(P987="","",INDEX('Students'!$AD$2:$AD$701,P987))</f>
        <v/>
      </c>
      <c r="S987">
        <f>IF(H987="OK",O987,0)</f>
        <v/>
      </c>
      <c r="T987">
        <f>IF(H987="OK",N987,"")</f>
        <v/>
      </c>
      <c r="U987">
        <f>IF(OC_Donor=0,"",IF(INDEX('OneCause_Paste'!$A$987:$AZ$987,1,OC_Donor)="","",INDEX('OneCause_Paste'!$A$987:$AZ$987,1,OC_Donor)))</f>
        <v/>
      </c>
    </row>
    <row r="988">
      <c r="A988" s="62">
        <f>IF(H988="","",IF(ISNUMBER(N988),N988,I988))</f>
        <v/>
      </c>
      <c r="B988">
        <f>IF(H988="","",U988)</f>
        <v/>
      </c>
      <c r="C988">
        <f>IF(H988="","",IF(P988="",K988,INDEX('Students'!$A$2:$A$701,P988)))</f>
        <v/>
      </c>
      <c r="D988">
        <f>IF(OR(H988="",P988=""),"",INDEX('Students'!$B$2:$B$701,P988))</f>
        <v/>
      </c>
      <c r="E988">
        <f>IF(OR(H988="",P988=""),"",INDEX('Students'!$C$2:$C$701,P988))</f>
        <v/>
      </c>
      <c r="F988" s="48">
        <f>IF(H988="","",IF(ISNUMBER(O988),O988,J988))</f>
        <v/>
      </c>
      <c r="G988">
        <f>IF(H988="","","OneCause")</f>
        <v/>
      </c>
      <c r="H988">
        <f>IF(AND(I988="",J988="",K988=""),"",IF(NOT(ISNUMBER(O988)),"Bad amount",IF(O988&lt;0,"Refund (not counted)",IF(O988=0,"Zero amount",IF(NOT(ISNUMBER(N988)),"Bad date",IF(P988="","NAME NOT ON ROSTER",IF(L988="","OK",IF(MATCH(L988,$L$2:$L$3001,0)&lt;ROW()-1,"Duplicate (ignored)","OK"))))))))</f>
        <v/>
      </c>
      <c r="I988">
        <f>IF(OC_Date=0,"",IF(INDEX('OneCause_Paste'!$A$988:$AZ$988,1,OC_Date)="","",INDEX('OneCause_Paste'!$A$988:$AZ$988,1,OC_Date)))</f>
        <v/>
      </c>
      <c r="J988">
        <f>IF(OC_Amt=0,"",IF(INDEX('OneCause_Paste'!$A$988:$AZ$988,1,OC_Amt)="","",INDEX('OneCause_Paste'!$A$988:$AZ$988,1,OC_Amt)))</f>
        <v/>
      </c>
      <c r="K988">
        <f>IF(OC_Name=0,"",IF(INDEX('OneCause_Paste'!$A$988:$AZ$988,1,OC_Name)="","",INDEX('OneCause_Paste'!$A$988:$AZ$988,1,OC_Name)))</f>
        <v/>
      </c>
      <c r="L988">
        <f>IF(OC_Txn=0,"",IF(INDEX('OneCause_Paste'!$A$988:$AZ$988,1,OC_Txn)="","",INDEX('OneCause_Paste'!$A$988:$AZ$988,1,OC_Txn)))</f>
        <v/>
      </c>
      <c r="M988">
        <f>IF(OC_Pay=0,"",IF(INDEX('OneCause_Paste'!$A$988:$AZ$988,1,OC_Pay)="","",INDEX('OneCause_Paste'!$A$988:$AZ$988,1,OC_Pay)))</f>
        <v/>
      </c>
      <c r="N988">
        <f>IF(I988="","",IF(ISNUMBER(I988),INT(I988),IFERROR(INT(DATEVALUE(I988)),IFERROR(INT(VALUE(I988)),"bad"))))</f>
        <v/>
      </c>
      <c r="O988">
        <f>IF(J988="","",IF(ISNUMBER(J988),ROUND(J988,2),IFERROR(ROUND(VALUE(SUBSTITUTE(SUBSTITUTE(SUBSTITUTE(J988,"$",""),",","")," ","")),2),"bad")))</f>
        <v/>
      </c>
      <c r="P988">
        <f>IF(TRIM(K988)="","",IFERROR(MATCH(LOWER(TRIM(K988)),'Students'!$AH$2:$AH$701,0),IFERROR(MATCH(LOWER(TRIM(K988)),'Students'!$AF$2:$AF$701,0),IFERROR(MATCH(LOWER(TRIM(K988)),'Students'!$AG$2:$AG$701,0),""))))</f>
        <v/>
      </c>
      <c r="R988">
        <f>IF(P988="","",INDEX('Students'!$AD$2:$AD$701,P988))</f>
        <v/>
      </c>
      <c r="S988">
        <f>IF(H988="OK",O988,0)</f>
        <v/>
      </c>
      <c r="T988">
        <f>IF(H988="OK",N988,"")</f>
        <v/>
      </c>
      <c r="U988">
        <f>IF(OC_Donor=0,"",IF(INDEX('OneCause_Paste'!$A$988:$AZ$988,1,OC_Donor)="","",INDEX('OneCause_Paste'!$A$988:$AZ$988,1,OC_Donor)))</f>
        <v/>
      </c>
    </row>
    <row r="989">
      <c r="A989" s="62">
        <f>IF(H989="","",IF(ISNUMBER(N989),N989,I989))</f>
        <v/>
      </c>
      <c r="B989">
        <f>IF(H989="","",U989)</f>
        <v/>
      </c>
      <c r="C989">
        <f>IF(H989="","",IF(P989="",K989,INDEX('Students'!$A$2:$A$701,P989)))</f>
        <v/>
      </c>
      <c r="D989">
        <f>IF(OR(H989="",P989=""),"",INDEX('Students'!$B$2:$B$701,P989))</f>
        <v/>
      </c>
      <c r="E989">
        <f>IF(OR(H989="",P989=""),"",INDEX('Students'!$C$2:$C$701,P989))</f>
        <v/>
      </c>
      <c r="F989" s="48">
        <f>IF(H989="","",IF(ISNUMBER(O989),O989,J989))</f>
        <v/>
      </c>
      <c r="G989">
        <f>IF(H989="","","OneCause")</f>
        <v/>
      </c>
      <c r="H989">
        <f>IF(AND(I989="",J989="",K989=""),"",IF(NOT(ISNUMBER(O989)),"Bad amount",IF(O989&lt;0,"Refund (not counted)",IF(O989=0,"Zero amount",IF(NOT(ISNUMBER(N989)),"Bad date",IF(P989="","NAME NOT ON ROSTER",IF(L989="","OK",IF(MATCH(L989,$L$2:$L$3001,0)&lt;ROW()-1,"Duplicate (ignored)","OK"))))))))</f>
        <v/>
      </c>
      <c r="I989">
        <f>IF(OC_Date=0,"",IF(INDEX('OneCause_Paste'!$A$989:$AZ$989,1,OC_Date)="","",INDEX('OneCause_Paste'!$A$989:$AZ$989,1,OC_Date)))</f>
        <v/>
      </c>
      <c r="J989">
        <f>IF(OC_Amt=0,"",IF(INDEX('OneCause_Paste'!$A$989:$AZ$989,1,OC_Amt)="","",INDEX('OneCause_Paste'!$A$989:$AZ$989,1,OC_Amt)))</f>
        <v/>
      </c>
      <c r="K989">
        <f>IF(OC_Name=0,"",IF(INDEX('OneCause_Paste'!$A$989:$AZ$989,1,OC_Name)="","",INDEX('OneCause_Paste'!$A$989:$AZ$989,1,OC_Name)))</f>
        <v/>
      </c>
      <c r="L989">
        <f>IF(OC_Txn=0,"",IF(INDEX('OneCause_Paste'!$A$989:$AZ$989,1,OC_Txn)="","",INDEX('OneCause_Paste'!$A$989:$AZ$989,1,OC_Txn)))</f>
        <v/>
      </c>
      <c r="M989">
        <f>IF(OC_Pay=0,"",IF(INDEX('OneCause_Paste'!$A$989:$AZ$989,1,OC_Pay)="","",INDEX('OneCause_Paste'!$A$989:$AZ$989,1,OC_Pay)))</f>
        <v/>
      </c>
      <c r="N989">
        <f>IF(I989="","",IF(ISNUMBER(I989),INT(I989),IFERROR(INT(DATEVALUE(I989)),IFERROR(INT(VALUE(I989)),"bad"))))</f>
        <v/>
      </c>
      <c r="O989">
        <f>IF(J989="","",IF(ISNUMBER(J989),ROUND(J989,2),IFERROR(ROUND(VALUE(SUBSTITUTE(SUBSTITUTE(SUBSTITUTE(J989,"$",""),",","")," ","")),2),"bad")))</f>
        <v/>
      </c>
      <c r="P989">
        <f>IF(TRIM(K989)="","",IFERROR(MATCH(LOWER(TRIM(K989)),'Students'!$AH$2:$AH$701,0),IFERROR(MATCH(LOWER(TRIM(K989)),'Students'!$AF$2:$AF$701,0),IFERROR(MATCH(LOWER(TRIM(K989)),'Students'!$AG$2:$AG$701,0),""))))</f>
        <v/>
      </c>
      <c r="R989">
        <f>IF(P989="","",INDEX('Students'!$AD$2:$AD$701,P989))</f>
        <v/>
      </c>
      <c r="S989">
        <f>IF(H989="OK",O989,0)</f>
        <v/>
      </c>
      <c r="T989">
        <f>IF(H989="OK",N989,"")</f>
        <v/>
      </c>
      <c r="U989">
        <f>IF(OC_Donor=0,"",IF(INDEX('OneCause_Paste'!$A$989:$AZ$989,1,OC_Donor)="","",INDEX('OneCause_Paste'!$A$989:$AZ$989,1,OC_Donor)))</f>
        <v/>
      </c>
    </row>
    <row r="990">
      <c r="A990" s="62">
        <f>IF(H990="","",IF(ISNUMBER(N990),N990,I990))</f>
        <v/>
      </c>
      <c r="B990">
        <f>IF(H990="","",U990)</f>
        <v/>
      </c>
      <c r="C990">
        <f>IF(H990="","",IF(P990="",K990,INDEX('Students'!$A$2:$A$701,P990)))</f>
        <v/>
      </c>
      <c r="D990">
        <f>IF(OR(H990="",P990=""),"",INDEX('Students'!$B$2:$B$701,P990))</f>
        <v/>
      </c>
      <c r="E990">
        <f>IF(OR(H990="",P990=""),"",INDEX('Students'!$C$2:$C$701,P990))</f>
        <v/>
      </c>
      <c r="F990" s="48">
        <f>IF(H990="","",IF(ISNUMBER(O990),O990,J990))</f>
        <v/>
      </c>
      <c r="G990">
        <f>IF(H990="","","OneCause")</f>
        <v/>
      </c>
      <c r="H990">
        <f>IF(AND(I990="",J990="",K990=""),"",IF(NOT(ISNUMBER(O990)),"Bad amount",IF(O990&lt;0,"Refund (not counted)",IF(O990=0,"Zero amount",IF(NOT(ISNUMBER(N990)),"Bad date",IF(P990="","NAME NOT ON ROSTER",IF(L990="","OK",IF(MATCH(L990,$L$2:$L$3001,0)&lt;ROW()-1,"Duplicate (ignored)","OK"))))))))</f>
        <v/>
      </c>
      <c r="I990">
        <f>IF(OC_Date=0,"",IF(INDEX('OneCause_Paste'!$A$990:$AZ$990,1,OC_Date)="","",INDEX('OneCause_Paste'!$A$990:$AZ$990,1,OC_Date)))</f>
        <v/>
      </c>
      <c r="J990">
        <f>IF(OC_Amt=0,"",IF(INDEX('OneCause_Paste'!$A$990:$AZ$990,1,OC_Amt)="","",INDEX('OneCause_Paste'!$A$990:$AZ$990,1,OC_Amt)))</f>
        <v/>
      </c>
      <c r="K990">
        <f>IF(OC_Name=0,"",IF(INDEX('OneCause_Paste'!$A$990:$AZ$990,1,OC_Name)="","",INDEX('OneCause_Paste'!$A$990:$AZ$990,1,OC_Name)))</f>
        <v/>
      </c>
      <c r="L990">
        <f>IF(OC_Txn=0,"",IF(INDEX('OneCause_Paste'!$A$990:$AZ$990,1,OC_Txn)="","",INDEX('OneCause_Paste'!$A$990:$AZ$990,1,OC_Txn)))</f>
        <v/>
      </c>
      <c r="M990">
        <f>IF(OC_Pay=0,"",IF(INDEX('OneCause_Paste'!$A$990:$AZ$990,1,OC_Pay)="","",INDEX('OneCause_Paste'!$A$990:$AZ$990,1,OC_Pay)))</f>
        <v/>
      </c>
      <c r="N990">
        <f>IF(I990="","",IF(ISNUMBER(I990),INT(I990),IFERROR(INT(DATEVALUE(I990)),IFERROR(INT(VALUE(I990)),"bad"))))</f>
        <v/>
      </c>
      <c r="O990">
        <f>IF(J990="","",IF(ISNUMBER(J990),ROUND(J990,2),IFERROR(ROUND(VALUE(SUBSTITUTE(SUBSTITUTE(SUBSTITUTE(J990,"$",""),",","")," ","")),2),"bad")))</f>
        <v/>
      </c>
      <c r="P990">
        <f>IF(TRIM(K990)="","",IFERROR(MATCH(LOWER(TRIM(K990)),'Students'!$AH$2:$AH$701,0),IFERROR(MATCH(LOWER(TRIM(K990)),'Students'!$AF$2:$AF$701,0),IFERROR(MATCH(LOWER(TRIM(K990)),'Students'!$AG$2:$AG$701,0),""))))</f>
        <v/>
      </c>
      <c r="R990">
        <f>IF(P990="","",INDEX('Students'!$AD$2:$AD$701,P990))</f>
        <v/>
      </c>
      <c r="S990">
        <f>IF(H990="OK",O990,0)</f>
        <v/>
      </c>
      <c r="T990">
        <f>IF(H990="OK",N990,"")</f>
        <v/>
      </c>
      <c r="U990">
        <f>IF(OC_Donor=0,"",IF(INDEX('OneCause_Paste'!$A$990:$AZ$990,1,OC_Donor)="","",INDEX('OneCause_Paste'!$A$990:$AZ$990,1,OC_Donor)))</f>
        <v/>
      </c>
    </row>
    <row r="991">
      <c r="A991" s="62">
        <f>IF(H991="","",IF(ISNUMBER(N991),N991,I991))</f>
        <v/>
      </c>
      <c r="B991">
        <f>IF(H991="","",U991)</f>
        <v/>
      </c>
      <c r="C991">
        <f>IF(H991="","",IF(P991="",K991,INDEX('Students'!$A$2:$A$701,P991)))</f>
        <v/>
      </c>
      <c r="D991">
        <f>IF(OR(H991="",P991=""),"",INDEX('Students'!$B$2:$B$701,P991))</f>
        <v/>
      </c>
      <c r="E991">
        <f>IF(OR(H991="",P991=""),"",INDEX('Students'!$C$2:$C$701,P991))</f>
        <v/>
      </c>
      <c r="F991" s="48">
        <f>IF(H991="","",IF(ISNUMBER(O991),O991,J991))</f>
        <v/>
      </c>
      <c r="G991">
        <f>IF(H991="","","OneCause")</f>
        <v/>
      </c>
      <c r="H991">
        <f>IF(AND(I991="",J991="",K991=""),"",IF(NOT(ISNUMBER(O991)),"Bad amount",IF(O991&lt;0,"Refund (not counted)",IF(O991=0,"Zero amount",IF(NOT(ISNUMBER(N991)),"Bad date",IF(P991="","NAME NOT ON ROSTER",IF(L991="","OK",IF(MATCH(L991,$L$2:$L$3001,0)&lt;ROW()-1,"Duplicate (ignored)","OK"))))))))</f>
        <v/>
      </c>
      <c r="I991">
        <f>IF(OC_Date=0,"",IF(INDEX('OneCause_Paste'!$A$991:$AZ$991,1,OC_Date)="","",INDEX('OneCause_Paste'!$A$991:$AZ$991,1,OC_Date)))</f>
        <v/>
      </c>
      <c r="J991">
        <f>IF(OC_Amt=0,"",IF(INDEX('OneCause_Paste'!$A$991:$AZ$991,1,OC_Amt)="","",INDEX('OneCause_Paste'!$A$991:$AZ$991,1,OC_Amt)))</f>
        <v/>
      </c>
      <c r="K991">
        <f>IF(OC_Name=0,"",IF(INDEX('OneCause_Paste'!$A$991:$AZ$991,1,OC_Name)="","",INDEX('OneCause_Paste'!$A$991:$AZ$991,1,OC_Name)))</f>
        <v/>
      </c>
      <c r="L991">
        <f>IF(OC_Txn=0,"",IF(INDEX('OneCause_Paste'!$A$991:$AZ$991,1,OC_Txn)="","",INDEX('OneCause_Paste'!$A$991:$AZ$991,1,OC_Txn)))</f>
        <v/>
      </c>
      <c r="M991">
        <f>IF(OC_Pay=0,"",IF(INDEX('OneCause_Paste'!$A$991:$AZ$991,1,OC_Pay)="","",INDEX('OneCause_Paste'!$A$991:$AZ$991,1,OC_Pay)))</f>
        <v/>
      </c>
      <c r="N991">
        <f>IF(I991="","",IF(ISNUMBER(I991),INT(I991),IFERROR(INT(DATEVALUE(I991)),IFERROR(INT(VALUE(I991)),"bad"))))</f>
        <v/>
      </c>
      <c r="O991">
        <f>IF(J991="","",IF(ISNUMBER(J991),ROUND(J991,2),IFERROR(ROUND(VALUE(SUBSTITUTE(SUBSTITUTE(SUBSTITUTE(J991,"$",""),",","")," ","")),2),"bad")))</f>
        <v/>
      </c>
      <c r="P991">
        <f>IF(TRIM(K991)="","",IFERROR(MATCH(LOWER(TRIM(K991)),'Students'!$AH$2:$AH$701,0),IFERROR(MATCH(LOWER(TRIM(K991)),'Students'!$AF$2:$AF$701,0),IFERROR(MATCH(LOWER(TRIM(K991)),'Students'!$AG$2:$AG$701,0),""))))</f>
        <v/>
      </c>
      <c r="R991">
        <f>IF(P991="","",INDEX('Students'!$AD$2:$AD$701,P991))</f>
        <v/>
      </c>
      <c r="S991">
        <f>IF(H991="OK",O991,0)</f>
        <v/>
      </c>
      <c r="T991">
        <f>IF(H991="OK",N991,"")</f>
        <v/>
      </c>
      <c r="U991">
        <f>IF(OC_Donor=0,"",IF(INDEX('OneCause_Paste'!$A$991:$AZ$991,1,OC_Donor)="","",INDEX('OneCause_Paste'!$A$991:$AZ$991,1,OC_Donor)))</f>
        <v/>
      </c>
    </row>
    <row r="992">
      <c r="A992" s="62">
        <f>IF(H992="","",IF(ISNUMBER(N992),N992,I992))</f>
        <v/>
      </c>
      <c r="B992">
        <f>IF(H992="","",U992)</f>
        <v/>
      </c>
      <c r="C992">
        <f>IF(H992="","",IF(P992="",K992,INDEX('Students'!$A$2:$A$701,P992)))</f>
        <v/>
      </c>
      <c r="D992">
        <f>IF(OR(H992="",P992=""),"",INDEX('Students'!$B$2:$B$701,P992))</f>
        <v/>
      </c>
      <c r="E992">
        <f>IF(OR(H992="",P992=""),"",INDEX('Students'!$C$2:$C$701,P992))</f>
        <v/>
      </c>
      <c r="F992" s="48">
        <f>IF(H992="","",IF(ISNUMBER(O992),O992,J992))</f>
        <v/>
      </c>
      <c r="G992">
        <f>IF(H992="","","OneCause")</f>
        <v/>
      </c>
      <c r="H992">
        <f>IF(AND(I992="",J992="",K992=""),"",IF(NOT(ISNUMBER(O992)),"Bad amount",IF(O992&lt;0,"Refund (not counted)",IF(O992=0,"Zero amount",IF(NOT(ISNUMBER(N992)),"Bad date",IF(P992="","NAME NOT ON ROSTER",IF(L992="","OK",IF(MATCH(L992,$L$2:$L$3001,0)&lt;ROW()-1,"Duplicate (ignored)","OK"))))))))</f>
        <v/>
      </c>
      <c r="I992">
        <f>IF(OC_Date=0,"",IF(INDEX('OneCause_Paste'!$A$992:$AZ$992,1,OC_Date)="","",INDEX('OneCause_Paste'!$A$992:$AZ$992,1,OC_Date)))</f>
        <v/>
      </c>
      <c r="J992">
        <f>IF(OC_Amt=0,"",IF(INDEX('OneCause_Paste'!$A$992:$AZ$992,1,OC_Amt)="","",INDEX('OneCause_Paste'!$A$992:$AZ$992,1,OC_Amt)))</f>
        <v/>
      </c>
      <c r="K992">
        <f>IF(OC_Name=0,"",IF(INDEX('OneCause_Paste'!$A$992:$AZ$992,1,OC_Name)="","",INDEX('OneCause_Paste'!$A$992:$AZ$992,1,OC_Name)))</f>
        <v/>
      </c>
      <c r="L992">
        <f>IF(OC_Txn=0,"",IF(INDEX('OneCause_Paste'!$A$992:$AZ$992,1,OC_Txn)="","",INDEX('OneCause_Paste'!$A$992:$AZ$992,1,OC_Txn)))</f>
        <v/>
      </c>
      <c r="M992">
        <f>IF(OC_Pay=0,"",IF(INDEX('OneCause_Paste'!$A$992:$AZ$992,1,OC_Pay)="","",INDEX('OneCause_Paste'!$A$992:$AZ$992,1,OC_Pay)))</f>
        <v/>
      </c>
      <c r="N992">
        <f>IF(I992="","",IF(ISNUMBER(I992),INT(I992),IFERROR(INT(DATEVALUE(I992)),IFERROR(INT(VALUE(I992)),"bad"))))</f>
        <v/>
      </c>
      <c r="O992">
        <f>IF(J992="","",IF(ISNUMBER(J992),ROUND(J992,2),IFERROR(ROUND(VALUE(SUBSTITUTE(SUBSTITUTE(SUBSTITUTE(J992,"$",""),",","")," ","")),2),"bad")))</f>
        <v/>
      </c>
      <c r="P992">
        <f>IF(TRIM(K992)="","",IFERROR(MATCH(LOWER(TRIM(K992)),'Students'!$AH$2:$AH$701,0),IFERROR(MATCH(LOWER(TRIM(K992)),'Students'!$AF$2:$AF$701,0),IFERROR(MATCH(LOWER(TRIM(K992)),'Students'!$AG$2:$AG$701,0),""))))</f>
        <v/>
      </c>
      <c r="R992">
        <f>IF(P992="","",INDEX('Students'!$AD$2:$AD$701,P992))</f>
        <v/>
      </c>
      <c r="S992">
        <f>IF(H992="OK",O992,0)</f>
        <v/>
      </c>
      <c r="T992">
        <f>IF(H992="OK",N992,"")</f>
        <v/>
      </c>
      <c r="U992">
        <f>IF(OC_Donor=0,"",IF(INDEX('OneCause_Paste'!$A$992:$AZ$992,1,OC_Donor)="","",INDEX('OneCause_Paste'!$A$992:$AZ$992,1,OC_Donor)))</f>
        <v/>
      </c>
    </row>
    <row r="993">
      <c r="A993" s="62">
        <f>IF(H993="","",IF(ISNUMBER(N993),N993,I993))</f>
        <v/>
      </c>
      <c r="B993">
        <f>IF(H993="","",U993)</f>
        <v/>
      </c>
      <c r="C993">
        <f>IF(H993="","",IF(P993="",K993,INDEX('Students'!$A$2:$A$701,P993)))</f>
        <v/>
      </c>
      <c r="D993">
        <f>IF(OR(H993="",P993=""),"",INDEX('Students'!$B$2:$B$701,P993))</f>
        <v/>
      </c>
      <c r="E993">
        <f>IF(OR(H993="",P993=""),"",INDEX('Students'!$C$2:$C$701,P993))</f>
        <v/>
      </c>
      <c r="F993" s="48">
        <f>IF(H993="","",IF(ISNUMBER(O993),O993,J993))</f>
        <v/>
      </c>
      <c r="G993">
        <f>IF(H993="","","OneCause")</f>
        <v/>
      </c>
      <c r="H993">
        <f>IF(AND(I993="",J993="",K993=""),"",IF(NOT(ISNUMBER(O993)),"Bad amount",IF(O993&lt;0,"Refund (not counted)",IF(O993=0,"Zero amount",IF(NOT(ISNUMBER(N993)),"Bad date",IF(P993="","NAME NOT ON ROSTER",IF(L993="","OK",IF(MATCH(L993,$L$2:$L$3001,0)&lt;ROW()-1,"Duplicate (ignored)","OK"))))))))</f>
        <v/>
      </c>
      <c r="I993">
        <f>IF(OC_Date=0,"",IF(INDEX('OneCause_Paste'!$A$993:$AZ$993,1,OC_Date)="","",INDEX('OneCause_Paste'!$A$993:$AZ$993,1,OC_Date)))</f>
        <v/>
      </c>
      <c r="J993">
        <f>IF(OC_Amt=0,"",IF(INDEX('OneCause_Paste'!$A$993:$AZ$993,1,OC_Amt)="","",INDEX('OneCause_Paste'!$A$993:$AZ$993,1,OC_Amt)))</f>
        <v/>
      </c>
      <c r="K993">
        <f>IF(OC_Name=0,"",IF(INDEX('OneCause_Paste'!$A$993:$AZ$993,1,OC_Name)="","",INDEX('OneCause_Paste'!$A$993:$AZ$993,1,OC_Name)))</f>
        <v/>
      </c>
      <c r="L993">
        <f>IF(OC_Txn=0,"",IF(INDEX('OneCause_Paste'!$A$993:$AZ$993,1,OC_Txn)="","",INDEX('OneCause_Paste'!$A$993:$AZ$993,1,OC_Txn)))</f>
        <v/>
      </c>
      <c r="M993">
        <f>IF(OC_Pay=0,"",IF(INDEX('OneCause_Paste'!$A$993:$AZ$993,1,OC_Pay)="","",INDEX('OneCause_Paste'!$A$993:$AZ$993,1,OC_Pay)))</f>
        <v/>
      </c>
      <c r="N993">
        <f>IF(I993="","",IF(ISNUMBER(I993),INT(I993),IFERROR(INT(DATEVALUE(I993)),IFERROR(INT(VALUE(I993)),"bad"))))</f>
        <v/>
      </c>
      <c r="O993">
        <f>IF(J993="","",IF(ISNUMBER(J993),ROUND(J993,2),IFERROR(ROUND(VALUE(SUBSTITUTE(SUBSTITUTE(SUBSTITUTE(J993,"$",""),",","")," ","")),2),"bad")))</f>
        <v/>
      </c>
      <c r="P993">
        <f>IF(TRIM(K993)="","",IFERROR(MATCH(LOWER(TRIM(K993)),'Students'!$AH$2:$AH$701,0),IFERROR(MATCH(LOWER(TRIM(K993)),'Students'!$AF$2:$AF$701,0),IFERROR(MATCH(LOWER(TRIM(K993)),'Students'!$AG$2:$AG$701,0),""))))</f>
        <v/>
      </c>
      <c r="R993">
        <f>IF(P993="","",INDEX('Students'!$AD$2:$AD$701,P993))</f>
        <v/>
      </c>
      <c r="S993">
        <f>IF(H993="OK",O993,0)</f>
        <v/>
      </c>
      <c r="T993">
        <f>IF(H993="OK",N993,"")</f>
        <v/>
      </c>
      <c r="U993">
        <f>IF(OC_Donor=0,"",IF(INDEX('OneCause_Paste'!$A$993:$AZ$993,1,OC_Donor)="","",INDEX('OneCause_Paste'!$A$993:$AZ$993,1,OC_Donor)))</f>
        <v/>
      </c>
    </row>
    <row r="994">
      <c r="A994" s="62">
        <f>IF(H994="","",IF(ISNUMBER(N994),N994,I994))</f>
        <v/>
      </c>
      <c r="B994">
        <f>IF(H994="","",U994)</f>
        <v/>
      </c>
      <c r="C994">
        <f>IF(H994="","",IF(P994="",K994,INDEX('Students'!$A$2:$A$701,P994)))</f>
        <v/>
      </c>
      <c r="D994">
        <f>IF(OR(H994="",P994=""),"",INDEX('Students'!$B$2:$B$701,P994))</f>
        <v/>
      </c>
      <c r="E994">
        <f>IF(OR(H994="",P994=""),"",INDEX('Students'!$C$2:$C$701,P994))</f>
        <v/>
      </c>
      <c r="F994" s="48">
        <f>IF(H994="","",IF(ISNUMBER(O994),O994,J994))</f>
        <v/>
      </c>
      <c r="G994">
        <f>IF(H994="","","OneCause")</f>
        <v/>
      </c>
      <c r="H994">
        <f>IF(AND(I994="",J994="",K994=""),"",IF(NOT(ISNUMBER(O994)),"Bad amount",IF(O994&lt;0,"Refund (not counted)",IF(O994=0,"Zero amount",IF(NOT(ISNUMBER(N994)),"Bad date",IF(P994="","NAME NOT ON ROSTER",IF(L994="","OK",IF(MATCH(L994,$L$2:$L$3001,0)&lt;ROW()-1,"Duplicate (ignored)","OK"))))))))</f>
        <v/>
      </c>
      <c r="I994">
        <f>IF(OC_Date=0,"",IF(INDEX('OneCause_Paste'!$A$994:$AZ$994,1,OC_Date)="","",INDEX('OneCause_Paste'!$A$994:$AZ$994,1,OC_Date)))</f>
        <v/>
      </c>
      <c r="J994">
        <f>IF(OC_Amt=0,"",IF(INDEX('OneCause_Paste'!$A$994:$AZ$994,1,OC_Amt)="","",INDEX('OneCause_Paste'!$A$994:$AZ$994,1,OC_Amt)))</f>
        <v/>
      </c>
      <c r="K994">
        <f>IF(OC_Name=0,"",IF(INDEX('OneCause_Paste'!$A$994:$AZ$994,1,OC_Name)="","",INDEX('OneCause_Paste'!$A$994:$AZ$994,1,OC_Name)))</f>
        <v/>
      </c>
      <c r="L994">
        <f>IF(OC_Txn=0,"",IF(INDEX('OneCause_Paste'!$A$994:$AZ$994,1,OC_Txn)="","",INDEX('OneCause_Paste'!$A$994:$AZ$994,1,OC_Txn)))</f>
        <v/>
      </c>
      <c r="M994">
        <f>IF(OC_Pay=0,"",IF(INDEX('OneCause_Paste'!$A$994:$AZ$994,1,OC_Pay)="","",INDEX('OneCause_Paste'!$A$994:$AZ$994,1,OC_Pay)))</f>
        <v/>
      </c>
      <c r="N994">
        <f>IF(I994="","",IF(ISNUMBER(I994),INT(I994),IFERROR(INT(DATEVALUE(I994)),IFERROR(INT(VALUE(I994)),"bad"))))</f>
        <v/>
      </c>
      <c r="O994">
        <f>IF(J994="","",IF(ISNUMBER(J994),ROUND(J994,2),IFERROR(ROUND(VALUE(SUBSTITUTE(SUBSTITUTE(SUBSTITUTE(J994,"$",""),",","")," ","")),2),"bad")))</f>
        <v/>
      </c>
      <c r="P994">
        <f>IF(TRIM(K994)="","",IFERROR(MATCH(LOWER(TRIM(K994)),'Students'!$AH$2:$AH$701,0),IFERROR(MATCH(LOWER(TRIM(K994)),'Students'!$AF$2:$AF$701,0),IFERROR(MATCH(LOWER(TRIM(K994)),'Students'!$AG$2:$AG$701,0),""))))</f>
        <v/>
      </c>
      <c r="R994">
        <f>IF(P994="","",INDEX('Students'!$AD$2:$AD$701,P994))</f>
        <v/>
      </c>
      <c r="S994">
        <f>IF(H994="OK",O994,0)</f>
        <v/>
      </c>
      <c r="T994">
        <f>IF(H994="OK",N994,"")</f>
        <v/>
      </c>
      <c r="U994">
        <f>IF(OC_Donor=0,"",IF(INDEX('OneCause_Paste'!$A$994:$AZ$994,1,OC_Donor)="","",INDEX('OneCause_Paste'!$A$994:$AZ$994,1,OC_Donor)))</f>
        <v/>
      </c>
    </row>
    <row r="995">
      <c r="A995" s="62">
        <f>IF(H995="","",IF(ISNUMBER(N995),N995,I995))</f>
        <v/>
      </c>
      <c r="B995">
        <f>IF(H995="","",U995)</f>
        <v/>
      </c>
      <c r="C995">
        <f>IF(H995="","",IF(P995="",K995,INDEX('Students'!$A$2:$A$701,P995)))</f>
        <v/>
      </c>
      <c r="D995">
        <f>IF(OR(H995="",P995=""),"",INDEX('Students'!$B$2:$B$701,P995))</f>
        <v/>
      </c>
      <c r="E995">
        <f>IF(OR(H995="",P995=""),"",INDEX('Students'!$C$2:$C$701,P995))</f>
        <v/>
      </c>
      <c r="F995" s="48">
        <f>IF(H995="","",IF(ISNUMBER(O995),O995,J995))</f>
        <v/>
      </c>
      <c r="G995">
        <f>IF(H995="","","OneCause")</f>
        <v/>
      </c>
      <c r="H995">
        <f>IF(AND(I995="",J995="",K995=""),"",IF(NOT(ISNUMBER(O995)),"Bad amount",IF(O995&lt;0,"Refund (not counted)",IF(O995=0,"Zero amount",IF(NOT(ISNUMBER(N995)),"Bad date",IF(P995="","NAME NOT ON ROSTER",IF(L995="","OK",IF(MATCH(L995,$L$2:$L$3001,0)&lt;ROW()-1,"Duplicate (ignored)","OK"))))))))</f>
        <v/>
      </c>
      <c r="I995">
        <f>IF(OC_Date=0,"",IF(INDEX('OneCause_Paste'!$A$995:$AZ$995,1,OC_Date)="","",INDEX('OneCause_Paste'!$A$995:$AZ$995,1,OC_Date)))</f>
        <v/>
      </c>
      <c r="J995">
        <f>IF(OC_Amt=0,"",IF(INDEX('OneCause_Paste'!$A$995:$AZ$995,1,OC_Amt)="","",INDEX('OneCause_Paste'!$A$995:$AZ$995,1,OC_Amt)))</f>
        <v/>
      </c>
      <c r="K995">
        <f>IF(OC_Name=0,"",IF(INDEX('OneCause_Paste'!$A$995:$AZ$995,1,OC_Name)="","",INDEX('OneCause_Paste'!$A$995:$AZ$995,1,OC_Name)))</f>
        <v/>
      </c>
      <c r="L995">
        <f>IF(OC_Txn=0,"",IF(INDEX('OneCause_Paste'!$A$995:$AZ$995,1,OC_Txn)="","",INDEX('OneCause_Paste'!$A$995:$AZ$995,1,OC_Txn)))</f>
        <v/>
      </c>
      <c r="M995">
        <f>IF(OC_Pay=0,"",IF(INDEX('OneCause_Paste'!$A$995:$AZ$995,1,OC_Pay)="","",INDEX('OneCause_Paste'!$A$995:$AZ$995,1,OC_Pay)))</f>
        <v/>
      </c>
      <c r="N995">
        <f>IF(I995="","",IF(ISNUMBER(I995),INT(I995),IFERROR(INT(DATEVALUE(I995)),IFERROR(INT(VALUE(I995)),"bad"))))</f>
        <v/>
      </c>
      <c r="O995">
        <f>IF(J995="","",IF(ISNUMBER(J995),ROUND(J995,2),IFERROR(ROUND(VALUE(SUBSTITUTE(SUBSTITUTE(SUBSTITUTE(J995,"$",""),",","")," ","")),2),"bad")))</f>
        <v/>
      </c>
      <c r="P995">
        <f>IF(TRIM(K995)="","",IFERROR(MATCH(LOWER(TRIM(K995)),'Students'!$AH$2:$AH$701,0),IFERROR(MATCH(LOWER(TRIM(K995)),'Students'!$AF$2:$AF$701,0),IFERROR(MATCH(LOWER(TRIM(K995)),'Students'!$AG$2:$AG$701,0),""))))</f>
        <v/>
      </c>
      <c r="R995">
        <f>IF(P995="","",INDEX('Students'!$AD$2:$AD$701,P995))</f>
        <v/>
      </c>
      <c r="S995">
        <f>IF(H995="OK",O995,0)</f>
        <v/>
      </c>
      <c r="T995">
        <f>IF(H995="OK",N995,"")</f>
        <v/>
      </c>
      <c r="U995">
        <f>IF(OC_Donor=0,"",IF(INDEX('OneCause_Paste'!$A$995:$AZ$995,1,OC_Donor)="","",INDEX('OneCause_Paste'!$A$995:$AZ$995,1,OC_Donor)))</f>
        <v/>
      </c>
    </row>
    <row r="996">
      <c r="A996" s="62">
        <f>IF(H996="","",IF(ISNUMBER(N996),N996,I996))</f>
        <v/>
      </c>
      <c r="B996">
        <f>IF(H996="","",U996)</f>
        <v/>
      </c>
      <c r="C996">
        <f>IF(H996="","",IF(P996="",K996,INDEX('Students'!$A$2:$A$701,P996)))</f>
        <v/>
      </c>
      <c r="D996">
        <f>IF(OR(H996="",P996=""),"",INDEX('Students'!$B$2:$B$701,P996))</f>
        <v/>
      </c>
      <c r="E996">
        <f>IF(OR(H996="",P996=""),"",INDEX('Students'!$C$2:$C$701,P996))</f>
        <v/>
      </c>
      <c r="F996" s="48">
        <f>IF(H996="","",IF(ISNUMBER(O996),O996,J996))</f>
        <v/>
      </c>
      <c r="G996">
        <f>IF(H996="","","OneCause")</f>
        <v/>
      </c>
      <c r="H996">
        <f>IF(AND(I996="",J996="",K996=""),"",IF(NOT(ISNUMBER(O996)),"Bad amount",IF(O996&lt;0,"Refund (not counted)",IF(O996=0,"Zero amount",IF(NOT(ISNUMBER(N996)),"Bad date",IF(P996="","NAME NOT ON ROSTER",IF(L996="","OK",IF(MATCH(L996,$L$2:$L$3001,0)&lt;ROW()-1,"Duplicate (ignored)","OK"))))))))</f>
        <v/>
      </c>
      <c r="I996">
        <f>IF(OC_Date=0,"",IF(INDEX('OneCause_Paste'!$A$996:$AZ$996,1,OC_Date)="","",INDEX('OneCause_Paste'!$A$996:$AZ$996,1,OC_Date)))</f>
        <v/>
      </c>
      <c r="J996">
        <f>IF(OC_Amt=0,"",IF(INDEX('OneCause_Paste'!$A$996:$AZ$996,1,OC_Amt)="","",INDEX('OneCause_Paste'!$A$996:$AZ$996,1,OC_Amt)))</f>
        <v/>
      </c>
      <c r="K996">
        <f>IF(OC_Name=0,"",IF(INDEX('OneCause_Paste'!$A$996:$AZ$996,1,OC_Name)="","",INDEX('OneCause_Paste'!$A$996:$AZ$996,1,OC_Name)))</f>
        <v/>
      </c>
      <c r="L996">
        <f>IF(OC_Txn=0,"",IF(INDEX('OneCause_Paste'!$A$996:$AZ$996,1,OC_Txn)="","",INDEX('OneCause_Paste'!$A$996:$AZ$996,1,OC_Txn)))</f>
        <v/>
      </c>
      <c r="M996">
        <f>IF(OC_Pay=0,"",IF(INDEX('OneCause_Paste'!$A$996:$AZ$996,1,OC_Pay)="","",INDEX('OneCause_Paste'!$A$996:$AZ$996,1,OC_Pay)))</f>
        <v/>
      </c>
      <c r="N996">
        <f>IF(I996="","",IF(ISNUMBER(I996),INT(I996),IFERROR(INT(DATEVALUE(I996)),IFERROR(INT(VALUE(I996)),"bad"))))</f>
        <v/>
      </c>
      <c r="O996">
        <f>IF(J996="","",IF(ISNUMBER(J996),ROUND(J996,2),IFERROR(ROUND(VALUE(SUBSTITUTE(SUBSTITUTE(SUBSTITUTE(J996,"$",""),",","")," ","")),2),"bad")))</f>
        <v/>
      </c>
      <c r="P996">
        <f>IF(TRIM(K996)="","",IFERROR(MATCH(LOWER(TRIM(K996)),'Students'!$AH$2:$AH$701,0),IFERROR(MATCH(LOWER(TRIM(K996)),'Students'!$AF$2:$AF$701,0),IFERROR(MATCH(LOWER(TRIM(K996)),'Students'!$AG$2:$AG$701,0),""))))</f>
        <v/>
      </c>
      <c r="R996">
        <f>IF(P996="","",INDEX('Students'!$AD$2:$AD$701,P996))</f>
        <v/>
      </c>
      <c r="S996">
        <f>IF(H996="OK",O996,0)</f>
        <v/>
      </c>
      <c r="T996">
        <f>IF(H996="OK",N996,"")</f>
        <v/>
      </c>
      <c r="U996">
        <f>IF(OC_Donor=0,"",IF(INDEX('OneCause_Paste'!$A$996:$AZ$996,1,OC_Donor)="","",INDEX('OneCause_Paste'!$A$996:$AZ$996,1,OC_Donor)))</f>
        <v/>
      </c>
    </row>
    <row r="997">
      <c r="A997" s="62">
        <f>IF(H997="","",IF(ISNUMBER(N997),N997,I997))</f>
        <v/>
      </c>
      <c r="B997">
        <f>IF(H997="","",U997)</f>
        <v/>
      </c>
      <c r="C997">
        <f>IF(H997="","",IF(P997="",K997,INDEX('Students'!$A$2:$A$701,P997)))</f>
        <v/>
      </c>
      <c r="D997">
        <f>IF(OR(H997="",P997=""),"",INDEX('Students'!$B$2:$B$701,P997))</f>
        <v/>
      </c>
      <c r="E997">
        <f>IF(OR(H997="",P997=""),"",INDEX('Students'!$C$2:$C$701,P997))</f>
        <v/>
      </c>
      <c r="F997" s="48">
        <f>IF(H997="","",IF(ISNUMBER(O997),O997,J997))</f>
        <v/>
      </c>
      <c r="G997">
        <f>IF(H997="","","OneCause")</f>
        <v/>
      </c>
      <c r="H997">
        <f>IF(AND(I997="",J997="",K997=""),"",IF(NOT(ISNUMBER(O997)),"Bad amount",IF(O997&lt;0,"Refund (not counted)",IF(O997=0,"Zero amount",IF(NOT(ISNUMBER(N997)),"Bad date",IF(P997="","NAME NOT ON ROSTER",IF(L997="","OK",IF(MATCH(L997,$L$2:$L$3001,0)&lt;ROW()-1,"Duplicate (ignored)","OK"))))))))</f>
        <v/>
      </c>
      <c r="I997">
        <f>IF(OC_Date=0,"",IF(INDEX('OneCause_Paste'!$A$997:$AZ$997,1,OC_Date)="","",INDEX('OneCause_Paste'!$A$997:$AZ$997,1,OC_Date)))</f>
        <v/>
      </c>
      <c r="J997">
        <f>IF(OC_Amt=0,"",IF(INDEX('OneCause_Paste'!$A$997:$AZ$997,1,OC_Amt)="","",INDEX('OneCause_Paste'!$A$997:$AZ$997,1,OC_Amt)))</f>
        <v/>
      </c>
      <c r="K997">
        <f>IF(OC_Name=0,"",IF(INDEX('OneCause_Paste'!$A$997:$AZ$997,1,OC_Name)="","",INDEX('OneCause_Paste'!$A$997:$AZ$997,1,OC_Name)))</f>
        <v/>
      </c>
      <c r="L997">
        <f>IF(OC_Txn=0,"",IF(INDEX('OneCause_Paste'!$A$997:$AZ$997,1,OC_Txn)="","",INDEX('OneCause_Paste'!$A$997:$AZ$997,1,OC_Txn)))</f>
        <v/>
      </c>
      <c r="M997">
        <f>IF(OC_Pay=0,"",IF(INDEX('OneCause_Paste'!$A$997:$AZ$997,1,OC_Pay)="","",INDEX('OneCause_Paste'!$A$997:$AZ$997,1,OC_Pay)))</f>
        <v/>
      </c>
      <c r="N997">
        <f>IF(I997="","",IF(ISNUMBER(I997),INT(I997),IFERROR(INT(DATEVALUE(I997)),IFERROR(INT(VALUE(I997)),"bad"))))</f>
        <v/>
      </c>
      <c r="O997">
        <f>IF(J997="","",IF(ISNUMBER(J997),ROUND(J997,2),IFERROR(ROUND(VALUE(SUBSTITUTE(SUBSTITUTE(SUBSTITUTE(J997,"$",""),",","")," ","")),2),"bad")))</f>
        <v/>
      </c>
      <c r="P997">
        <f>IF(TRIM(K997)="","",IFERROR(MATCH(LOWER(TRIM(K997)),'Students'!$AH$2:$AH$701,0),IFERROR(MATCH(LOWER(TRIM(K997)),'Students'!$AF$2:$AF$701,0),IFERROR(MATCH(LOWER(TRIM(K997)),'Students'!$AG$2:$AG$701,0),""))))</f>
        <v/>
      </c>
      <c r="R997">
        <f>IF(P997="","",INDEX('Students'!$AD$2:$AD$701,P997))</f>
        <v/>
      </c>
      <c r="S997">
        <f>IF(H997="OK",O997,0)</f>
        <v/>
      </c>
      <c r="T997">
        <f>IF(H997="OK",N997,"")</f>
        <v/>
      </c>
      <c r="U997">
        <f>IF(OC_Donor=0,"",IF(INDEX('OneCause_Paste'!$A$997:$AZ$997,1,OC_Donor)="","",INDEX('OneCause_Paste'!$A$997:$AZ$997,1,OC_Donor)))</f>
        <v/>
      </c>
    </row>
    <row r="998">
      <c r="A998" s="62">
        <f>IF(H998="","",IF(ISNUMBER(N998),N998,I998))</f>
        <v/>
      </c>
      <c r="B998">
        <f>IF(H998="","",U998)</f>
        <v/>
      </c>
      <c r="C998">
        <f>IF(H998="","",IF(P998="",K998,INDEX('Students'!$A$2:$A$701,P998)))</f>
        <v/>
      </c>
      <c r="D998">
        <f>IF(OR(H998="",P998=""),"",INDEX('Students'!$B$2:$B$701,P998))</f>
        <v/>
      </c>
      <c r="E998">
        <f>IF(OR(H998="",P998=""),"",INDEX('Students'!$C$2:$C$701,P998))</f>
        <v/>
      </c>
      <c r="F998" s="48">
        <f>IF(H998="","",IF(ISNUMBER(O998),O998,J998))</f>
        <v/>
      </c>
      <c r="G998">
        <f>IF(H998="","","OneCause")</f>
        <v/>
      </c>
      <c r="H998">
        <f>IF(AND(I998="",J998="",K998=""),"",IF(NOT(ISNUMBER(O998)),"Bad amount",IF(O998&lt;0,"Refund (not counted)",IF(O998=0,"Zero amount",IF(NOT(ISNUMBER(N998)),"Bad date",IF(P998="","NAME NOT ON ROSTER",IF(L998="","OK",IF(MATCH(L998,$L$2:$L$3001,0)&lt;ROW()-1,"Duplicate (ignored)","OK"))))))))</f>
        <v/>
      </c>
      <c r="I998">
        <f>IF(OC_Date=0,"",IF(INDEX('OneCause_Paste'!$A$998:$AZ$998,1,OC_Date)="","",INDEX('OneCause_Paste'!$A$998:$AZ$998,1,OC_Date)))</f>
        <v/>
      </c>
      <c r="J998">
        <f>IF(OC_Amt=0,"",IF(INDEX('OneCause_Paste'!$A$998:$AZ$998,1,OC_Amt)="","",INDEX('OneCause_Paste'!$A$998:$AZ$998,1,OC_Amt)))</f>
        <v/>
      </c>
      <c r="K998">
        <f>IF(OC_Name=0,"",IF(INDEX('OneCause_Paste'!$A$998:$AZ$998,1,OC_Name)="","",INDEX('OneCause_Paste'!$A$998:$AZ$998,1,OC_Name)))</f>
        <v/>
      </c>
      <c r="L998">
        <f>IF(OC_Txn=0,"",IF(INDEX('OneCause_Paste'!$A$998:$AZ$998,1,OC_Txn)="","",INDEX('OneCause_Paste'!$A$998:$AZ$998,1,OC_Txn)))</f>
        <v/>
      </c>
      <c r="M998">
        <f>IF(OC_Pay=0,"",IF(INDEX('OneCause_Paste'!$A$998:$AZ$998,1,OC_Pay)="","",INDEX('OneCause_Paste'!$A$998:$AZ$998,1,OC_Pay)))</f>
        <v/>
      </c>
      <c r="N998">
        <f>IF(I998="","",IF(ISNUMBER(I998),INT(I998),IFERROR(INT(DATEVALUE(I998)),IFERROR(INT(VALUE(I998)),"bad"))))</f>
        <v/>
      </c>
      <c r="O998">
        <f>IF(J998="","",IF(ISNUMBER(J998),ROUND(J998,2),IFERROR(ROUND(VALUE(SUBSTITUTE(SUBSTITUTE(SUBSTITUTE(J998,"$",""),",","")," ","")),2),"bad")))</f>
        <v/>
      </c>
      <c r="P998">
        <f>IF(TRIM(K998)="","",IFERROR(MATCH(LOWER(TRIM(K998)),'Students'!$AH$2:$AH$701,0),IFERROR(MATCH(LOWER(TRIM(K998)),'Students'!$AF$2:$AF$701,0),IFERROR(MATCH(LOWER(TRIM(K998)),'Students'!$AG$2:$AG$701,0),""))))</f>
        <v/>
      </c>
      <c r="R998">
        <f>IF(P998="","",INDEX('Students'!$AD$2:$AD$701,P998))</f>
        <v/>
      </c>
      <c r="S998">
        <f>IF(H998="OK",O998,0)</f>
        <v/>
      </c>
      <c r="T998">
        <f>IF(H998="OK",N998,"")</f>
        <v/>
      </c>
      <c r="U998">
        <f>IF(OC_Donor=0,"",IF(INDEX('OneCause_Paste'!$A$998:$AZ$998,1,OC_Donor)="","",INDEX('OneCause_Paste'!$A$998:$AZ$998,1,OC_Donor)))</f>
        <v/>
      </c>
    </row>
    <row r="999">
      <c r="A999" s="62">
        <f>IF(H999="","",IF(ISNUMBER(N999),N999,I999))</f>
        <v/>
      </c>
      <c r="B999">
        <f>IF(H999="","",U999)</f>
        <v/>
      </c>
      <c r="C999">
        <f>IF(H999="","",IF(P999="",K999,INDEX('Students'!$A$2:$A$701,P999)))</f>
        <v/>
      </c>
      <c r="D999">
        <f>IF(OR(H999="",P999=""),"",INDEX('Students'!$B$2:$B$701,P999))</f>
        <v/>
      </c>
      <c r="E999">
        <f>IF(OR(H999="",P999=""),"",INDEX('Students'!$C$2:$C$701,P999))</f>
        <v/>
      </c>
      <c r="F999" s="48">
        <f>IF(H999="","",IF(ISNUMBER(O999),O999,J999))</f>
        <v/>
      </c>
      <c r="G999">
        <f>IF(H999="","","OneCause")</f>
        <v/>
      </c>
      <c r="H999">
        <f>IF(AND(I999="",J999="",K999=""),"",IF(NOT(ISNUMBER(O999)),"Bad amount",IF(O999&lt;0,"Refund (not counted)",IF(O999=0,"Zero amount",IF(NOT(ISNUMBER(N999)),"Bad date",IF(P999="","NAME NOT ON ROSTER",IF(L999="","OK",IF(MATCH(L999,$L$2:$L$3001,0)&lt;ROW()-1,"Duplicate (ignored)","OK"))))))))</f>
        <v/>
      </c>
      <c r="I999">
        <f>IF(OC_Date=0,"",IF(INDEX('OneCause_Paste'!$A$999:$AZ$999,1,OC_Date)="","",INDEX('OneCause_Paste'!$A$999:$AZ$999,1,OC_Date)))</f>
        <v/>
      </c>
      <c r="J999">
        <f>IF(OC_Amt=0,"",IF(INDEX('OneCause_Paste'!$A$999:$AZ$999,1,OC_Amt)="","",INDEX('OneCause_Paste'!$A$999:$AZ$999,1,OC_Amt)))</f>
        <v/>
      </c>
      <c r="K999">
        <f>IF(OC_Name=0,"",IF(INDEX('OneCause_Paste'!$A$999:$AZ$999,1,OC_Name)="","",INDEX('OneCause_Paste'!$A$999:$AZ$999,1,OC_Name)))</f>
        <v/>
      </c>
      <c r="L999">
        <f>IF(OC_Txn=0,"",IF(INDEX('OneCause_Paste'!$A$999:$AZ$999,1,OC_Txn)="","",INDEX('OneCause_Paste'!$A$999:$AZ$999,1,OC_Txn)))</f>
        <v/>
      </c>
      <c r="M999">
        <f>IF(OC_Pay=0,"",IF(INDEX('OneCause_Paste'!$A$999:$AZ$999,1,OC_Pay)="","",INDEX('OneCause_Paste'!$A$999:$AZ$999,1,OC_Pay)))</f>
        <v/>
      </c>
      <c r="N999">
        <f>IF(I999="","",IF(ISNUMBER(I999),INT(I999),IFERROR(INT(DATEVALUE(I999)),IFERROR(INT(VALUE(I999)),"bad"))))</f>
        <v/>
      </c>
      <c r="O999">
        <f>IF(J999="","",IF(ISNUMBER(J999),ROUND(J999,2),IFERROR(ROUND(VALUE(SUBSTITUTE(SUBSTITUTE(SUBSTITUTE(J999,"$",""),",","")," ","")),2),"bad")))</f>
        <v/>
      </c>
      <c r="P999">
        <f>IF(TRIM(K999)="","",IFERROR(MATCH(LOWER(TRIM(K999)),'Students'!$AH$2:$AH$701,0),IFERROR(MATCH(LOWER(TRIM(K999)),'Students'!$AF$2:$AF$701,0),IFERROR(MATCH(LOWER(TRIM(K999)),'Students'!$AG$2:$AG$701,0),""))))</f>
        <v/>
      </c>
      <c r="R999">
        <f>IF(P999="","",INDEX('Students'!$AD$2:$AD$701,P999))</f>
        <v/>
      </c>
      <c r="S999">
        <f>IF(H999="OK",O999,0)</f>
        <v/>
      </c>
      <c r="T999">
        <f>IF(H999="OK",N999,"")</f>
        <v/>
      </c>
      <c r="U999">
        <f>IF(OC_Donor=0,"",IF(INDEX('OneCause_Paste'!$A$999:$AZ$999,1,OC_Donor)="","",INDEX('OneCause_Paste'!$A$999:$AZ$999,1,OC_Donor)))</f>
        <v/>
      </c>
    </row>
    <row r="1000">
      <c r="A1000" s="62">
        <f>IF(H1000="","",IF(ISNUMBER(N1000),N1000,I1000))</f>
        <v/>
      </c>
      <c r="B1000">
        <f>IF(H1000="","",U1000)</f>
        <v/>
      </c>
      <c r="C1000">
        <f>IF(H1000="","",IF(P1000="",K1000,INDEX('Students'!$A$2:$A$701,P1000)))</f>
        <v/>
      </c>
      <c r="D1000">
        <f>IF(OR(H1000="",P1000=""),"",INDEX('Students'!$B$2:$B$701,P1000))</f>
        <v/>
      </c>
      <c r="E1000">
        <f>IF(OR(H1000="",P1000=""),"",INDEX('Students'!$C$2:$C$701,P1000))</f>
        <v/>
      </c>
      <c r="F1000" s="48">
        <f>IF(H1000="","",IF(ISNUMBER(O1000),O1000,J1000))</f>
        <v/>
      </c>
      <c r="G1000">
        <f>IF(H1000="","","OneCause")</f>
        <v/>
      </c>
      <c r="H1000">
        <f>IF(AND(I1000="",J1000="",K1000=""),"",IF(NOT(ISNUMBER(O1000)),"Bad amount",IF(O1000&lt;0,"Refund (not counted)",IF(O1000=0,"Zero amount",IF(NOT(ISNUMBER(N1000)),"Bad date",IF(P1000="","NAME NOT ON ROSTER",IF(L1000="","OK",IF(MATCH(L1000,$L$2:$L$3001,0)&lt;ROW()-1,"Duplicate (ignored)","OK"))))))))</f>
        <v/>
      </c>
      <c r="I1000">
        <f>IF(OC_Date=0,"",IF(INDEX('OneCause_Paste'!$A$1000:$AZ$1000,1,OC_Date)="","",INDEX('OneCause_Paste'!$A$1000:$AZ$1000,1,OC_Date)))</f>
        <v/>
      </c>
      <c r="J1000">
        <f>IF(OC_Amt=0,"",IF(INDEX('OneCause_Paste'!$A$1000:$AZ$1000,1,OC_Amt)="","",INDEX('OneCause_Paste'!$A$1000:$AZ$1000,1,OC_Amt)))</f>
        <v/>
      </c>
      <c r="K1000">
        <f>IF(OC_Name=0,"",IF(INDEX('OneCause_Paste'!$A$1000:$AZ$1000,1,OC_Name)="","",INDEX('OneCause_Paste'!$A$1000:$AZ$1000,1,OC_Name)))</f>
        <v/>
      </c>
      <c r="L1000">
        <f>IF(OC_Txn=0,"",IF(INDEX('OneCause_Paste'!$A$1000:$AZ$1000,1,OC_Txn)="","",INDEX('OneCause_Paste'!$A$1000:$AZ$1000,1,OC_Txn)))</f>
        <v/>
      </c>
      <c r="M1000">
        <f>IF(OC_Pay=0,"",IF(INDEX('OneCause_Paste'!$A$1000:$AZ$1000,1,OC_Pay)="","",INDEX('OneCause_Paste'!$A$1000:$AZ$1000,1,OC_Pay)))</f>
        <v/>
      </c>
      <c r="N1000">
        <f>IF(I1000="","",IF(ISNUMBER(I1000),INT(I1000),IFERROR(INT(DATEVALUE(I1000)),IFERROR(INT(VALUE(I1000)),"bad"))))</f>
        <v/>
      </c>
      <c r="O1000">
        <f>IF(J1000="","",IF(ISNUMBER(J1000),ROUND(J1000,2),IFERROR(ROUND(VALUE(SUBSTITUTE(SUBSTITUTE(SUBSTITUTE(J1000,"$",""),",","")," ","")),2),"bad")))</f>
        <v/>
      </c>
      <c r="P1000">
        <f>IF(TRIM(K1000)="","",IFERROR(MATCH(LOWER(TRIM(K1000)),'Students'!$AH$2:$AH$701,0),IFERROR(MATCH(LOWER(TRIM(K1000)),'Students'!$AF$2:$AF$701,0),IFERROR(MATCH(LOWER(TRIM(K1000)),'Students'!$AG$2:$AG$701,0),""))))</f>
        <v/>
      </c>
      <c r="R1000">
        <f>IF(P1000="","",INDEX('Students'!$AD$2:$AD$701,P1000))</f>
        <v/>
      </c>
      <c r="S1000">
        <f>IF(H1000="OK",O1000,0)</f>
        <v/>
      </c>
      <c r="T1000">
        <f>IF(H1000="OK",N1000,"")</f>
        <v/>
      </c>
      <c r="U1000">
        <f>IF(OC_Donor=0,"",IF(INDEX('OneCause_Paste'!$A$1000:$AZ$1000,1,OC_Donor)="","",INDEX('OneCause_Paste'!$A$1000:$AZ$1000,1,OC_Donor)))</f>
        <v/>
      </c>
    </row>
    <row r="1001">
      <c r="A1001" s="62">
        <f>IF(H1001="","",IF(ISNUMBER(N1001),N1001,I1001))</f>
        <v/>
      </c>
      <c r="B1001">
        <f>IF(H1001="","",U1001)</f>
        <v/>
      </c>
      <c r="C1001">
        <f>IF(H1001="","",IF(P1001="",K1001,INDEX('Students'!$A$2:$A$701,P1001)))</f>
        <v/>
      </c>
      <c r="D1001">
        <f>IF(OR(H1001="",P1001=""),"",INDEX('Students'!$B$2:$B$701,P1001))</f>
        <v/>
      </c>
      <c r="E1001">
        <f>IF(OR(H1001="",P1001=""),"",INDEX('Students'!$C$2:$C$701,P1001))</f>
        <v/>
      </c>
      <c r="F1001" s="48">
        <f>IF(H1001="","",IF(ISNUMBER(O1001),O1001,J1001))</f>
        <v/>
      </c>
      <c r="G1001">
        <f>IF(H1001="","","OneCause")</f>
        <v/>
      </c>
      <c r="H1001">
        <f>IF(AND(I1001="",J1001="",K1001=""),"",IF(NOT(ISNUMBER(O1001)),"Bad amount",IF(O1001&lt;0,"Refund (not counted)",IF(O1001=0,"Zero amount",IF(NOT(ISNUMBER(N1001)),"Bad date",IF(P1001="","NAME NOT ON ROSTER",IF(L1001="","OK",IF(MATCH(L1001,$L$2:$L$3001,0)&lt;ROW()-1,"Duplicate (ignored)","OK"))))))))</f>
        <v/>
      </c>
      <c r="I1001">
        <f>IF(OC_Date=0,"",IF(INDEX('OneCause_Paste'!$A$1001:$AZ$1001,1,OC_Date)="","",INDEX('OneCause_Paste'!$A$1001:$AZ$1001,1,OC_Date)))</f>
        <v/>
      </c>
      <c r="J1001">
        <f>IF(OC_Amt=0,"",IF(INDEX('OneCause_Paste'!$A$1001:$AZ$1001,1,OC_Amt)="","",INDEX('OneCause_Paste'!$A$1001:$AZ$1001,1,OC_Amt)))</f>
        <v/>
      </c>
      <c r="K1001">
        <f>IF(OC_Name=0,"",IF(INDEX('OneCause_Paste'!$A$1001:$AZ$1001,1,OC_Name)="","",INDEX('OneCause_Paste'!$A$1001:$AZ$1001,1,OC_Name)))</f>
        <v/>
      </c>
      <c r="L1001">
        <f>IF(OC_Txn=0,"",IF(INDEX('OneCause_Paste'!$A$1001:$AZ$1001,1,OC_Txn)="","",INDEX('OneCause_Paste'!$A$1001:$AZ$1001,1,OC_Txn)))</f>
        <v/>
      </c>
      <c r="M1001">
        <f>IF(OC_Pay=0,"",IF(INDEX('OneCause_Paste'!$A$1001:$AZ$1001,1,OC_Pay)="","",INDEX('OneCause_Paste'!$A$1001:$AZ$1001,1,OC_Pay)))</f>
        <v/>
      </c>
      <c r="N1001">
        <f>IF(I1001="","",IF(ISNUMBER(I1001),INT(I1001),IFERROR(INT(DATEVALUE(I1001)),IFERROR(INT(VALUE(I1001)),"bad"))))</f>
        <v/>
      </c>
      <c r="O1001">
        <f>IF(J1001="","",IF(ISNUMBER(J1001),ROUND(J1001,2),IFERROR(ROUND(VALUE(SUBSTITUTE(SUBSTITUTE(SUBSTITUTE(J1001,"$",""),",","")," ","")),2),"bad")))</f>
        <v/>
      </c>
      <c r="P1001">
        <f>IF(TRIM(K1001)="","",IFERROR(MATCH(LOWER(TRIM(K1001)),'Students'!$AH$2:$AH$701,0),IFERROR(MATCH(LOWER(TRIM(K1001)),'Students'!$AF$2:$AF$701,0),IFERROR(MATCH(LOWER(TRIM(K1001)),'Students'!$AG$2:$AG$701,0),""))))</f>
        <v/>
      </c>
      <c r="R1001">
        <f>IF(P1001="","",INDEX('Students'!$AD$2:$AD$701,P1001))</f>
        <v/>
      </c>
      <c r="S1001">
        <f>IF(H1001="OK",O1001,0)</f>
        <v/>
      </c>
      <c r="T1001">
        <f>IF(H1001="OK",N1001,"")</f>
        <v/>
      </c>
      <c r="U1001">
        <f>IF(OC_Donor=0,"",IF(INDEX('OneCause_Paste'!$A$1001:$AZ$1001,1,OC_Donor)="","",INDEX('OneCause_Paste'!$A$1001:$AZ$1001,1,OC_Donor)))</f>
        <v/>
      </c>
    </row>
    <row r="1002">
      <c r="A1002" s="62">
        <f>IF(H1002="","",IF(ISNUMBER(N1002),N1002,I1002))</f>
        <v/>
      </c>
      <c r="B1002">
        <f>IF(H1002="","",U1002)</f>
        <v/>
      </c>
      <c r="C1002">
        <f>IF(H1002="","",IF(P1002="",K1002,INDEX('Students'!$A$2:$A$701,P1002)))</f>
        <v/>
      </c>
      <c r="D1002">
        <f>IF(OR(H1002="",P1002=""),"",INDEX('Students'!$B$2:$B$701,P1002))</f>
        <v/>
      </c>
      <c r="E1002">
        <f>IF(OR(H1002="",P1002=""),"",INDEX('Students'!$C$2:$C$701,P1002))</f>
        <v/>
      </c>
      <c r="F1002" s="48">
        <f>IF(H1002="","",IF(ISNUMBER(O1002),O1002,J1002))</f>
        <v/>
      </c>
      <c r="G1002">
        <f>IF(H1002="","","OneCause")</f>
        <v/>
      </c>
      <c r="H1002">
        <f>IF(AND(I1002="",J1002="",K1002=""),"",IF(NOT(ISNUMBER(O1002)),"Bad amount",IF(O1002&lt;0,"Refund (not counted)",IF(O1002=0,"Zero amount",IF(NOT(ISNUMBER(N1002)),"Bad date",IF(P1002="","NAME NOT ON ROSTER",IF(L1002="","OK",IF(MATCH(L1002,$L$2:$L$3001,0)&lt;ROW()-1,"Duplicate (ignored)","OK"))))))))</f>
        <v/>
      </c>
      <c r="I1002">
        <f>IF(OC_Date=0,"",IF(INDEX('OneCause_Paste'!$A$1002:$AZ$1002,1,OC_Date)="","",INDEX('OneCause_Paste'!$A$1002:$AZ$1002,1,OC_Date)))</f>
        <v/>
      </c>
      <c r="J1002">
        <f>IF(OC_Amt=0,"",IF(INDEX('OneCause_Paste'!$A$1002:$AZ$1002,1,OC_Amt)="","",INDEX('OneCause_Paste'!$A$1002:$AZ$1002,1,OC_Amt)))</f>
        <v/>
      </c>
      <c r="K1002">
        <f>IF(OC_Name=0,"",IF(INDEX('OneCause_Paste'!$A$1002:$AZ$1002,1,OC_Name)="","",INDEX('OneCause_Paste'!$A$1002:$AZ$1002,1,OC_Name)))</f>
        <v/>
      </c>
      <c r="L1002">
        <f>IF(OC_Txn=0,"",IF(INDEX('OneCause_Paste'!$A$1002:$AZ$1002,1,OC_Txn)="","",INDEX('OneCause_Paste'!$A$1002:$AZ$1002,1,OC_Txn)))</f>
        <v/>
      </c>
      <c r="M1002">
        <f>IF(OC_Pay=0,"",IF(INDEX('OneCause_Paste'!$A$1002:$AZ$1002,1,OC_Pay)="","",INDEX('OneCause_Paste'!$A$1002:$AZ$1002,1,OC_Pay)))</f>
        <v/>
      </c>
      <c r="N1002">
        <f>IF(I1002="","",IF(ISNUMBER(I1002),INT(I1002),IFERROR(INT(DATEVALUE(I1002)),IFERROR(INT(VALUE(I1002)),"bad"))))</f>
        <v/>
      </c>
      <c r="O1002">
        <f>IF(J1002="","",IF(ISNUMBER(J1002),ROUND(J1002,2),IFERROR(ROUND(VALUE(SUBSTITUTE(SUBSTITUTE(SUBSTITUTE(J1002,"$",""),",","")," ","")),2),"bad")))</f>
        <v/>
      </c>
      <c r="P1002">
        <f>IF(TRIM(K1002)="","",IFERROR(MATCH(LOWER(TRIM(K1002)),'Students'!$AH$2:$AH$701,0),IFERROR(MATCH(LOWER(TRIM(K1002)),'Students'!$AF$2:$AF$701,0),IFERROR(MATCH(LOWER(TRIM(K1002)),'Students'!$AG$2:$AG$701,0),""))))</f>
        <v/>
      </c>
      <c r="R1002">
        <f>IF(P1002="","",INDEX('Students'!$AD$2:$AD$701,P1002))</f>
        <v/>
      </c>
      <c r="S1002">
        <f>IF(H1002="OK",O1002,0)</f>
        <v/>
      </c>
      <c r="T1002">
        <f>IF(H1002="OK",N1002,"")</f>
        <v/>
      </c>
      <c r="U1002">
        <f>IF(OC_Donor=0,"",IF(INDEX('OneCause_Paste'!$A$1002:$AZ$1002,1,OC_Donor)="","",INDEX('OneCause_Paste'!$A$1002:$AZ$1002,1,OC_Donor)))</f>
        <v/>
      </c>
    </row>
    <row r="1003">
      <c r="A1003" s="62">
        <f>IF(H1003="","",IF(ISNUMBER(N1003),N1003,I1003))</f>
        <v/>
      </c>
      <c r="B1003">
        <f>IF(H1003="","",U1003)</f>
        <v/>
      </c>
      <c r="C1003">
        <f>IF(H1003="","",IF(P1003="",K1003,INDEX('Students'!$A$2:$A$701,P1003)))</f>
        <v/>
      </c>
      <c r="D1003">
        <f>IF(OR(H1003="",P1003=""),"",INDEX('Students'!$B$2:$B$701,P1003))</f>
        <v/>
      </c>
      <c r="E1003">
        <f>IF(OR(H1003="",P1003=""),"",INDEX('Students'!$C$2:$C$701,P1003))</f>
        <v/>
      </c>
      <c r="F1003" s="48">
        <f>IF(H1003="","",IF(ISNUMBER(O1003),O1003,J1003))</f>
        <v/>
      </c>
      <c r="G1003">
        <f>IF(H1003="","","OneCause")</f>
        <v/>
      </c>
      <c r="H1003">
        <f>IF(AND(I1003="",J1003="",K1003=""),"",IF(NOT(ISNUMBER(O1003)),"Bad amount",IF(O1003&lt;0,"Refund (not counted)",IF(O1003=0,"Zero amount",IF(NOT(ISNUMBER(N1003)),"Bad date",IF(P1003="","NAME NOT ON ROSTER",IF(L1003="","OK",IF(MATCH(L1003,$L$2:$L$3001,0)&lt;ROW()-1,"Duplicate (ignored)","OK"))))))))</f>
        <v/>
      </c>
      <c r="I1003">
        <f>IF(OC_Date=0,"",IF(INDEX('OneCause_Paste'!$A$1003:$AZ$1003,1,OC_Date)="","",INDEX('OneCause_Paste'!$A$1003:$AZ$1003,1,OC_Date)))</f>
        <v/>
      </c>
      <c r="J1003">
        <f>IF(OC_Amt=0,"",IF(INDEX('OneCause_Paste'!$A$1003:$AZ$1003,1,OC_Amt)="","",INDEX('OneCause_Paste'!$A$1003:$AZ$1003,1,OC_Amt)))</f>
        <v/>
      </c>
      <c r="K1003">
        <f>IF(OC_Name=0,"",IF(INDEX('OneCause_Paste'!$A$1003:$AZ$1003,1,OC_Name)="","",INDEX('OneCause_Paste'!$A$1003:$AZ$1003,1,OC_Name)))</f>
        <v/>
      </c>
      <c r="L1003">
        <f>IF(OC_Txn=0,"",IF(INDEX('OneCause_Paste'!$A$1003:$AZ$1003,1,OC_Txn)="","",INDEX('OneCause_Paste'!$A$1003:$AZ$1003,1,OC_Txn)))</f>
        <v/>
      </c>
      <c r="M1003">
        <f>IF(OC_Pay=0,"",IF(INDEX('OneCause_Paste'!$A$1003:$AZ$1003,1,OC_Pay)="","",INDEX('OneCause_Paste'!$A$1003:$AZ$1003,1,OC_Pay)))</f>
        <v/>
      </c>
      <c r="N1003">
        <f>IF(I1003="","",IF(ISNUMBER(I1003),INT(I1003),IFERROR(INT(DATEVALUE(I1003)),IFERROR(INT(VALUE(I1003)),"bad"))))</f>
        <v/>
      </c>
      <c r="O1003">
        <f>IF(J1003="","",IF(ISNUMBER(J1003),ROUND(J1003,2),IFERROR(ROUND(VALUE(SUBSTITUTE(SUBSTITUTE(SUBSTITUTE(J1003,"$",""),",","")," ","")),2),"bad")))</f>
        <v/>
      </c>
      <c r="P1003">
        <f>IF(TRIM(K1003)="","",IFERROR(MATCH(LOWER(TRIM(K1003)),'Students'!$AH$2:$AH$701,0),IFERROR(MATCH(LOWER(TRIM(K1003)),'Students'!$AF$2:$AF$701,0),IFERROR(MATCH(LOWER(TRIM(K1003)),'Students'!$AG$2:$AG$701,0),""))))</f>
        <v/>
      </c>
      <c r="R1003">
        <f>IF(P1003="","",INDEX('Students'!$AD$2:$AD$701,P1003))</f>
        <v/>
      </c>
      <c r="S1003">
        <f>IF(H1003="OK",O1003,0)</f>
        <v/>
      </c>
      <c r="T1003">
        <f>IF(H1003="OK",N1003,"")</f>
        <v/>
      </c>
      <c r="U1003">
        <f>IF(OC_Donor=0,"",IF(INDEX('OneCause_Paste'!$A$1003:$AZ$1003,1,OC_Donor)="","",INDEX('OneCause_Paste'!$A$1003:$AZ$1003,1,OC_Donor)))</f>
        <v/>
      </c>
    </row>
    <row r="1004">
      <c r="A1004" s="62">
        <f>IF(H1004="","",IF(ISNUMBER(N1004),N1004,I1004))</f>
        <v/>
      </c>
      <c r="B1004">
        <f>IF(H1004="","",U1004)</f>
        <v/>
      </c>
      <c r="C1004">
        <f>IF(H1004="","",IF(P1004="",K1004,INDEX('Students'!$A$2:$A$701,P1004)))</f>
        <v/>
      </c>
      <c r="D1004">
        <f>IF(OR(H1004="",P1004=""),"",INDEX('Students'!$B$2:$B$701,P1004))</f>
        <v/>
      </c>
      <c r="E1004">
        <f>IF(OR(H1004="",P1004=""),"",INDEX('Students'!$C$2:$C$701,P1004))</f>
        <v/>
      </c>
      <c r="F1004" s="48">
        <f>IF(H1004="","",IF(ISNUMBER(O1004),O1004,J1004))</f>
        <v/>
      </c>
      <c r="G1004">
        <f>IF(H1004="","","OneCause")</f>
        <v/>
      </c>
      <c r="H1004">
        <f>IF(AND(I1004="",J1004="",K1004=""),"",IF(NOT(ISNUMBER(O1004)),"Bad amount",IF(O1004&lt;0,"Refund (not counted)",IF(O1004=0,"Zero amount",IF(NOT(ISNUMBER(N1004)),"Bad date",IF(P1004="","NAME NOT ON ROSTER",IF(L1004="","OK",IF(MATCH(L1004,$L$2:$L$3001,0)&lt;ROW()-1,"Duplicate (ignored)","OK"))))))))</f>
        <v/>
      </c>
      <c r="I1004">
        <f>IF(OC_Date=0,"",IF(INDEX('OneCause_Paste'!$A$1004:$AZ$1004,1,OC_Date)="","",INDEX('OneCause_Paste'!$A$1004:$AZ$1004,1,OC_Date)))</f>
        <v/>
      </c>
      <c r="J1004">
        <f>IF(OC_Amt=0,"",IF(INDEX('OneCause_Paste'!$A$1004:$AZ$1004,1,OC_Amt)="","",INDEX('OneCause_Paste'!$A$1004:$AZ$1004,1,OC_Amt)))</f>
        <v/>
      </c>
      <c r="K1004">
        <f>IF(OC_Name=0,"",IF(INDEX('OneCause_Paste'!$A$1004:$AZ$1004,1,OC_Name)="","",INDEX('OneCause_Paste'!$A$1004:$AZ$1004,1,OC_Name)))</f>
        <v/>
      </c>
      <c r="L1004">
        <f>IF(OC_Txn=0,"",IF(INDEX('OneCause_Paste'!$A$1004:$AZ$1004,1,OC_Txn)="","",INDEX('OneCause_Paste'!$A$1004:$AZ$1004,1,OC_Txn)))</f>
        <v/>
      </c>
      <c r="M1004">
        <f>IF(OC_Pay=0,"",IF(INDEX('OneCause_Paste'!$A$1004:$AZ$1004,1,OC_Pay)="","",INDEX('OneCause_Paste'!$A$1004:$AZ$1004,1,OC_Pay)))</f>
        <v/>
      </c>
      <c r="N1004">
        <f>IF(I1004="","",IF(ISNUMBER(I1004),INT(I1004),IFERROR(INT(DATEVALUE(I1004)),IFERROR(INT(VALUE(I1004)),"bad"))))</f>
        <v/>
      </c>
      <c r="O1004">
        <f>IF(J1004="","",IF(ISNUMBER(J1004),ROUND(J1004,2),IFERROR(ROUND(VALUE(SUBSTITUTE(SUBSTITUTE(SUBSTITUTE(J1004,"$",""),",","")," ","")),2),"bad")))</f>
        <v/>
      </c>
      <c r="P1004">
        <f>IF(TRIM(K1004)="","",IFERROR(MATCH(LOWER(TRIM(K1004)),'Students'!$AH$2:$AH$701,0),IFERROR(MATCH(LOWER(TRIM(K1004)),'Students'!$AF$2:$AF$701,0),IFERROR(MATCH(LOWER(TRIM(K1004)),'Students'!$AG$2:$AG$701,0),""))))</f>
        <v/>
      </c>
      <c r="R1004">
        <f>IF(P1004="","",INDEX('Students'!$AD$2:$AD$701,P1004))</f>
        <v/>
      </c>
      <c r="S1004">
        <f>IF(H1004="OK",O1004,0)</f>
        <v/>
      </c>
      <c r="T1004">
        <f>IF(H1004="OK",N1004,"")</f>
        <v/>
      </c>
      <c r="U1004">
        <f>IF(OC_Donor=0,"",IF(INDEX('OneCause_Paste'!$A$1004:$AZ$1004,1,OC_Donor)="","",INDEX('OneCause_Paste'!$A$1004:$AZ$1004,1,OC_Donor)))</f>
        <v/>
      </c>
    </row>
    <row r="1005">
      <c r="A1005" s="62">
        <f>IF(H1005="","",IF(ISNUMBER(N1005),N1005,I1005))</f>
        <v/>
      </c>
      <c r="B1005">
        <f>IF(H1005="","",U1005)</f>
        <v/>
      </c>
      <c r="C1005">
        <f>IF(H1005="","",IF(P1005="",K1005,INDEX('Students'!$A$2:$A$701,P1005)))</f>
        <v/>
      </c>
      <c r="D1005">
        <f>IF(OR(H1005="",P1005=""),"",INDEX('Students'!$B$2:$B$701,P1005))</f>
        <v/>
      </c>
      <c r="E1005">
        <f>IF(OR(H1005="",P1005=""),"",INDEX('Students'!$C$2:$C$701,P1005))</f>
        <v/>
      </c>
      <c r="F1005" s="48">
        <f>IF(H1005="","",IF(ISNUMBER(O1005),O1005,J1005))</f>
        <v/>
      </c>
      <c r="G1005">
        <f>IF(H1005="","","OneCause")</f>
        <v/>
      </c>
      <c r="H1005">
        <f>IF(AND(I1005="",J1005="",K1005=""),"",IF(NOT(ISNUMBER(O1005)),"Bad amount",IF(O1005&lt;0,"Refund (not counted)",IF(O1005=0,"Zero amount",IF(NOT(ISNUMBER(N1005)),"Bad date",IF(P1005="","NAME NOT ON ROSTER",IF(L1005="","OK",IF(MATCH(L1005,$L$2:$L$3001,0)&lt;ROW()-1,"Duplicate (ignored)","OK"))))))))</f>
        <v/>
      </c>
      <c r="I1005">
        <f>IF(OC_Date=0,"",IF(INDEX('OneCause_Paste'!$A$1005:$AZ$1005,1,OC_Date)="","",INDEX('OneCause_Paste'!$A$1005:$AZ$1005,1,OC_Date)))</f>
        <v/>
      </c>
      <c r="J1005">
        <f>IF(OC_Amt=0,"",IF(INDEX('OneCause_Paste'!$A$1005:$AZ$1005,1,OC_Amt)="","",INDEX('OneCause_Paste'!$A$1005:$AZ$1005,1,OC_Amt)))</f>
        <v/>
      </c>
      <c r="K1005">
        <f>IF(OC_Name=0,"",IF(INDEX('OneCause_Paste'!$A$1005:$AZ$1005,1,OC_Name)="","",INDEX('OneCause_Paste'!$A$1005:$AZ$1005,1,OC_Name)))</f>
        <v/>
      </c>
      <c r="L1005">
        <f>IF(OC_Txn=0,"",IF(INDEX('OneCause_Paste'!$A$1005:$AZ$1005,1,OC_Txn)="","",INDEX('OneCause_Paste'!$A$1005:$AZ$1005,1,OC_Txn)))</f>
        <v/>
      </c>
      <c r="M1005">
        <f>IF(OC_Pay=0,"",IF(INDEX('OneCause_Paste'!$A$1005:$AZ$1005,1,OC_Pay)="","",INDEX('OneCause_Paste'!$A$1005:$AZ$1005,1,OC_Pay)))</f>
        <v/>
      </c>
      <c r="N1005">
        <f>IF(I1005="","",IF(ISNUMBER(I1005),INT(I1005),IFERROR(INT(DATEVALUE(I1005)),IFERROR(INT(VALUE(I1005)),"bad"))))</f>
        <v/>
      </c>
      <c r="O1005">
        <f>IF(J1005="","",IF(ISNUMBER(J1005),ROUND(J1005,2),IFERROR(ROUND(VALUE(SUBSTITUTE(SUBSTITUTE(SUBSTITUTE(J1005,"$",""),",","")," ","")),2),"bad")))</f>
        <v/>
      </c>
      <c r="P1005">
        <f>IF(TRIM(K1005)="","",IFERROR(MATCH(LOWER(TRIM(K1005)),'Students'!$AH$2:$AH$701,0),IFERROR(MATCH(LOWER(TRIM(K1005)),'Students'!$AF$2:$AF$701,0),IFERROR(MATCH(LOWER(TRIM(K1005)),'Students'!$AG$2:$AG$701,0),""))))</f>
        <v/>
      </c>
      <c r="R1005">
        <f>IF(P1005="","",INDEX('Students'!$AD$2:$AD$701,P1005))</f>
        <v/>
      </c>
      <c r="S1005">
        <f>IF(H1005="OK",O1005,0)</f>
        <v/>
      </c>
      <c r="T1005">
        <f>IF(H1005="OK",N1005,"")</f>
        <v/>
      </c>
      <c r="U1005">
        <f>IF(OC_Donor=0,"",IF(INDEX('OneCause_Paste'!$A$1005:$AZ$1005,1,OC_Donor)="","",INDEX('OneCause_Paste'!$A$1005:$AZ$1005,1,OC_Donor)))</f>
        <v/>
      </c>
    </row>
    <row r="1006">
      <c r="A1006" s="62">
        <f>IF(H1006="","",IF(ISNUMBER(N1006),N1006,I1006))</f>
        <v/>
      </c>
      <c r="B1006">
        <f>IF(H1006="","",U1006)</f>
        <v/>
      </c>
      <c r="C1006">
        <f>IF(H1006="","",IF(P1006="",K1006,INDEX('Students'!$A$2:$A$701,P1006)))</f>
        <v/>
      </c>
      <c r="D1006">
        <f>IF(OR(H1006="",P1006=""),"",INDEX('Students'!$B$2:$B$701,P1006))</f>
        <v/>
      </c>
      <c r="E1006">
        <f>IF(OR(H1006="",P1006=""),"",INDEX('Students'!$C$2:$C$701,P1006))</f>
        <v/>
      </c>
      <c r="F1006" s="48">
        <f>IF(H1006="","",IF(ISNUMBER(O1006),O1006,J1006))</f>
        <v/>
      </c>
      <c r="G1006">
        <f>IF(H1006="","","OneCause")</f>
        <v/>
      </c>
      <c r="H1006">
        <f>IF(AND(I1006="",J1006="",K1006=""),"",IF(NOT(ISNUMBER(O1006)),"Bad amount",IF(O1006&lt;0,"Refund (not counted)",IF(O1006=0,"Zero amount",IF(NOT(ISNUMBER(N1006)),"Bad date",IF(P1006="","NAME NOT ON ROSTER",IF(L1006="","OK",IF(MATCH(L1006,$L$2:$L$3001,0)&lt;ROW()-1,"Duplicate (ignored)","OK"))))))))</f>
        <v/>
      </c>
      <c r="I1006">
        <f>IF(OC_Date=0,"",IF(INDEX('OneCause_Paste'!$A$1006:$AZ$1006,1,OC_Date)="","",INDEX('OneCause_Paste'!$A$1006:$AZ$1006,1,OC_Date)))</f>
        <v/>
      </c>
      <c r="J1006">
        <f>IF(OC_Amt=0,"",IF(INDEX('OneCause_Paste'!$A$1006:$AZ$1006,1,OC_Amt)="","",INDEX('OneCause_Paste'!$A$1006:$AZ$1006,1,OC_Amt)))</f>
        <v/>
      </c>
      <c r="K1006">
        <f>IF(OC_Name=0,"",IF(INDEX('OneCause_Paste'!$A$1006:$AZ$1006,1,OC_Name)="","",INDEX('OneCause_Paste'!$A$1006:$AZ$1006,1,OC_Name)))</f>
        <v/>
      </c>
      <c r="L1006">
        <f>IF(OC_Txn=0,"",IF(INDEX('OneCause_Paste'!$A$1006:$AZ$1006,1,OC_Txn)="","",INDEX('OneCause_Paste'!$A$1006:$AZ$1006,1,OC_Txn)))</f>
        <v/>
      </c>
      <c r="M1006">
        <f>IF(OC_Pay=0,"",IF(INDEX('OneCause_Paste'!$A$1006:$AZ$1006,1,OC_Pay)="","",INDEX('OneCause_Paste'!$A$1006:$AZ$1006,1,OC_Pay)))</f>
        <v/>
      </c>
      <c r="N1006">
        <f>IF(I1006="","",IF(ISNUMBER(I1006),INT(I1006),IFERROR(INT(DATEVALUE(I1006)),IFERROR(INT(VALUE(I1006)),"bad"))))</f>
        <v/>
      </c>
      <c r="O1006">
        <f>IF(J1006="","",IF(ISNUMBER(J1006),ROUND(J1006,2),IFERROR(ROUND(VALUE(SUBSTITUTE(SUBSTITUTE(SUBSTITUTE(J1006,"$",""),",","")," ","")),2),"bad")))</f>
        <v/>
      </c>
      <c r="P1006">
        <f>IF(TRIM(K1006)="","",IFERROR(MATCH(LOWER(TRIM(K1006)),'Students'!$AH$2:$AH$701,0),IFERROR(MATCH(LOWER(TRIM(K1006)),'Students'!$AF$2:$AF$701,0),IFERROR(MATCH(LOWER(TRIM(K1006)),'Students'!$AG$2:$AG$701,0),""))))</f>
        <v/>
      </c>
      <c r="R1006">
        <f>IF(P1006="","",INDEX('Students'!$AD$2:$AD$701,P1006))</f>
        <v/>
      </c>
      <c r="S1006">
        <f>IF(H1006="OK",O1006,0)</f>
        <v/>
      </c>
      <c r="T1006">
        <f>IF(H1006="OK",N1006,"")</f>
        <v/>
      </c>
      <c r="U1006">
        <f>IF(OC_Donor=0,"",IF(INDEX('OneCause_Paste'!$A$1006:$AZ$1006,1,OC_Donor)="","",INDEX('OneCause_Paste'!$A$1006:$AZ$1006,1,OC_Donor)))</f>
        <v/>
      </c>
    </row>
    <row r="1007">
      <c r="A1007" s="62">
        <f>IF(H1007="","",IF(ISNUMBER(N1007),N1007,I1007))</f>
        <v/>
      </c>
      <c r="B1007">
        <f>IF(H1007="","",U1007)</f>
        <v/>
      </c>
      <c r="C1007">
        <f>IF(H1007="","",IF(P1007="",K1007,INDEX('Students'!$A$2:$A$701,P1007)))</f>
        <v/>
      </c>
      <c r="D1007">
        <f>IF(OR(H1007="",P1007=""),"",INDEX('Students'!$B$2:$B$701,P1007))</f>
        <v/>
      </c>
      <c r="E1007">
        <f>IF(OR(H1007="",P1007=""),"",INDEX('Students'!$C$2:$C$701,P1007))</f>
        <v/>
      </c>
      <c r="F1007" s="48">
        <f>IF(H1007="","",IF(ISNUMBER(O1007),O1007,J1007))</f>
        <v/>
      </c>
      <c r="G1007">
        <f>IF(H1007="","","OneCause")</f>
        <v/>
      </c>
      <c r="H1007">
        <f>IF(AND(I1007="",J1007="",K1007=""),"",IF(NOT(ISNUMBER(O1007)),"Bad amount",IF(O1007&lt;0,"Refund (not counted)",IF(O1007=0,"Zero amount",IF(NOT(ISNUMBER(N1007)),"Bad date",IF(P1007="","NAME NOT ON ROSTER",IF(L1007="","OK",IF(MATCH(L1007,$L$2:$L$3001,0)&lt;ROW()-1,"Duplicate (ignored)","OK"))))))))</f>
        <v/>
      </c>
      <c r="I1007">
        <f>IF(OC_Date=0,"",IF(INDEX('OneCause_Paste'!$A$1007:$AZ$1007,1,OC_Date)="","",INDEX('OneCause_Paste'!$A$1007:$AZ$1007,1,OC_Date)))</f>
        <v/>
      </c>
      <c r="J1007">
        <f>IF(OC_Amt=0,"",IF(INDEX('OneCause_Paste'!$A$1007:$AZ$1007,1,OC_Amt)="","",INDEX('OneCause_Paste'!$A$1007:$AZ$1007,1,OC_Amt)))</f>
        <v/>
      </c>
      <c r="K1007">
        <f>IF(OC_Name=0,"",IF(INDEX('OneCause_Paste'!$A$1007:$AZ$1007,1,OC_Name)="","",INDEX('OneCause_Paste'!$A$1007:$AZ$1007,1,OC_Name)))</f>
        <v/>
      </c>
      <c r="L1007">
        <f>IF(OC_Txn=0,"",IF(INDEX('OneCause_Paste'!$A$1007:$AZ$1007,1,OC_Txn)="","",INDEX('OneCause_Paste'!$A$1007:$AZ$1007,1,OC_Txn)))</f>
        <v/>
      </c>
      <c r="M1007">
        <f>IF(OC_Pay=0,"",IF(INDEX('OneCause_Paste'!$A$1007:$AZ$1007,1,OC_Pay)="","",INDEX('OneCause_Paste'!$A$1007:$AZ$1007,1,OC_Pay)))</f>
        <v/>
      </c>
      <c r="N1007">
        <f>IF(I1007="","",IF(ISNUMBER(I1007),INT(I1007),IFERROR(INT(DATEVALUE(I1007)),IFERROR(INT(VALUE(I1007)),"bad"))))</f>
        <v/>
      </c>
      <c r="O1007">
        <f>IF(J1007="","",IF(ISNUMBER(J1007),ROUND(J1007,2),IFERROR(ROUND(VALUE(SUBSTITUTE(SUBSTITUTE(SUBSTITUTE(J1007,"$",""),",","")," ","")),2),"bad")))</f>
        <v/>
      </c>
      <c r="P1007">
        <f>IF(TRIM(K1007)="","",IFERROR(MATCH(LOWER(TRIM(K1007)),'Students'!$AH$2:$AH$701,0),IFERROR(MATCH(LOWER(TRIM(K1007)),'Students'!$AF$2:$AF$701,0),IFERROR(MATCH(LOWER(TRIM(K1007)),'Students'!$AG$2:$AG$701,0),""))))</f>
        <v/>
      </c>
      <c r="R1007">
        <f>IF(P1007="","",INDEX('Students'!$AD$2:$AD$701,P1007))</f>
        <v/>
      </c>
      <c r="S1007">
        <f>IF(H1007="OK",O1007,0)</f>
        <v/>
      </c>
      <c r="T1007">
        <f>IF(H1007="OK",N1007,"")</f>
        <v/>
      </c>
      <c r="U1007">
        <f>IF(OC_Donor=0,"",IF(INDEX('OneCause_Paste'!$A$1007:$AZ$1007,1,OC_Donor)="","",INDEX('OneCause_Paste'!$A$1007:$AZ$1007,1,OC_Donor)))</f>
        <v/>
      </c>
    </row>
    <row r="1008">
      <c r="A1008" s="62">
        <f>IF(H1008="","",IF(ISNUMBER(N1008),N1008,I1008))</f>
        <v/>
      </c>
      <c r="B1008">
        <f>IF(H1008="","",U1008)</f>
        <v/>
      </c>
      <c r="C1008">
        <f>IF(H1008="","",IF(P1008="",K1008,INDEX('Students'!$A$2:$A$701,P1008)))</f>
        <v/>
      </c>
      <c r="D1008">
        <f>IF(OR(H1008="",P1008=""),"",INDEX('Students'!$B$2:$B$701,P1008))</f>
        <v/>
      </c>
      <c r="E1008">
        <f>IF(OR(H1008="",P1008=""),"",INDEX('Students'!$C$2:$C$701,P1008))</f>
        <v/>
      </c>
      <c r="F1008" s="48">
        <f>IF(H1008="","",IF(ISNUMBER(O1008),O1008,J1008))</f>
        <v/>
      </c>
      <c r="G1008">
        <f>IF(H1008="","","OneCause")</f>
        <v/>
      </c>
      <c r="H1008">
        <f>IF(AND(I1008="",J1008="",K1008=""),"",IF(NOT(ISNUMBER(O1008)),"Bad amount",IF(O1008&lt;0,"Refund (not counted)",IF(O1008=0,"Zero amount",IF(NOT(ISNUMBER(N1008)),"Bad date",IF(P1008="","NAME NOT ON ROSTER",IF(L1008="","OK",IF(MATCH(L1008,$L$2:$L$3001,0)&lt;ROW()-1,"Duplicate (ignored)","OK"))))))))</f>
        <v/>
      </c>
      <c r="I1008">
        <f>IF(OC_Date=0,"",IF(INDEX('OneCause_Paste'!$A$1008:$AZ$1008,1,OC_Date)="","",INDEX('OneCause_Paste'!$A$1008:$AZ$1008,1,OC_Date)))</f>
        <v/>
      </c>
      <c r="J1008">
        <f>IF(OC_Amt=0,"",IF(INDEX('OneCause_Paste'!$A$1008:$AZ$1008,1,OC_Amt)="","",INDEX('OneCause_Paste'!$A$1008:$AZ$1008,1,OC_Amt)))</f>
        <v/>
      </c>
      <c r="K1008">
        <f>IF(OC_Name=0,"",IF(INDEX('OneCause_Paste'!$A$1008:$AZ$1008,1,OC_Name)="","",INDEX('OneCause_Paste'!$A$1008:$AZ$1008,1,OC_Name)))</f>
        <v/>
      </c>
      <c r="L1008">
        <f>IF(OC_Txn=0,"",IF(INDEX('OneCause_Paste'!$A$1008:$AZ$1008,1,OC_Txn)="","",INDEX('OneCause_Paste'!$A$1008:$AZ$1008,1,OC_Txn)))</f>
        <v/>
      </c>
      <c r="M1008">
        <f>IF(OC_Pay=0,"",IF(INDEX('OneCause_Paste'!$A$1008:$AZ$1008,1,OC_Pay)="","",INDEX('OneCause_Paste'!$A$1008:$AZ$1008,1,OC_Pay)))</f>
        <v/>
      </c>
      <c r="N1008">
        <f>IF(I1008="","",IF(ISNUMBER(I1008),INT(I1008),IFERROR(INT(DATEVALUE(I1008)),IFERROR(INT(VALUE(I1008)),"bad"))))</f>
        <v/>
      </c>
      <c r="O1008">
        <f>IF(J1008="","",IF(ISNUMBER(J1008),ROUND(J1008,2),IFERROR(ROUND(VALUE(SUBSTITUTE(SUBSTITUTE(SUBSTITUTE(J1008,"$",""),",","")," ","")),2),"bad")))</f>
        <v/>
      </c>
      <c r="P1008">
        <f>IF(TRIM(K1008)="","",IFERROR(MATCH(LOWER(TRIM(K1008)),'Students'!$AH$2:$AH$701,0),IFERROR(MATCH(LOWER(TRIM(K1008)),'Students'!$AF$2:$AF$701,0),IFERROR(MATCH(LOWER(TRIM(K1008)),'Students'!$AG$2:$AG$701,0),""))))</f>
        <v/>
      </c>
      <c r="R1008">
        <f>IF(P1008="","",INDEX('Students'!$AD$2:$AD$701,P1008))</f>
        <v/>
      </c>
      <c r="S1008">
        <f>IF(H1008="OK",O1008,0)</f>
        <v/>
      </c>
      <c r="T1008">
        <f>IF(H1008="OK",N1008,"")</f>
        <v/>
      </c>
      <c r="U1008">
        <f>IF(OC_Donor=0,"",IF(INDEX('OneCause_Paste'!$A$1008:$AZ$1008,1,OC_Donor)="","",INDEX('OneCause_Paste'!$A$1008:$AZ$1008,1,OC_Donor)))</f>
        <v/>
      </c>
    </row>
    <row r="1009">
      <c r="A1009" s="62">
        <f>IF(H1009="","",IF(ISNUMBER(N1009),N1009,I1009))</f>
        <v/>
      </c>
      <c r="B1009">
        <f>IF(H1009="","",U1009)</f>
        <v/>
      </c>
      <c r="C1009">
        <f>IF(H1009="","",IF(P1009="",K1009,INDEX('Students'!$A$2:$A$701,P1009)))</f>
        <v/>
      </c>
      <c r="D1009">
        <f>IF(OR(H1009="",P1009=""),"",INDEX('Students'!$B$2:$B$701,P1009))</f>
        <v/>
      </c>
      <c r="E1009">
        <f>IF(OR(H1009="",P1009=""),"",INDEX('Students'!$C$2:$C$701,P1009))</f>
        <v/>
      </c>
      <c r="F1009" s="48">
        <f>IF(H1009="","",IF(ISNUMBER(O1009),O1009,J1009))</f>
        <v/>
      </c>
      <c r="G1009">
        <f>IF(H1009="","","OneCause")</f>
        <v/>
      </c>
      <c r="H1009">
        <f>IF(AND(I1009="",J1009="",K1009=""),"",IF(NOT(ISNUMBER(O1009)),"Bad amount",IF(O1009&lt;0,"Refund (not counted)",IF(O1009=0,"Zero amount",IF(NOT(ISNUMBER(N1009)),"Bad date",IF(P1009="","NAME NOT ON ROSTER",IF(L1009="","OK",IF(MATCH(L1009,$L$2:$L$3001,0)&lt;ROW()-1,"Duplicate (ignored)","OK"))))))))</f>
        <v/>
      </c>
      <c r="I1009">
        <f>IF(OC_Date=0,"",IF(INDEX('OneCause_Paste'!$A$1009:$AZ$1009,1,OC_Date)="","",INDEX('OneCause_Paste'!$A$1009:$AZ$1009,1,OC_Date)))</f>
        <v/>
      </c>
      <c r="J1009">
        <f>IF(OC_Amt=0,"",IF(INDEX('OneCause_Paste'!$A$1009:$AZ$1009,1,OC_Amt)="","",INDEX('OneCause_Paste'!$A$1009:$AZ$1009,1,OC_Amt)))</f>
        <v/>
      </c>
      <c r="K1009">
        <f>IF(OC_Name=0,"",IF(INDEX('OneCause_Paste'!$A$1009:$AZ$1009,1,OC_Name)="","",INDEX('OneCause_Paste'!$A$1009:$AZ$1009,1,OC_Name)))</f>
        <v/>
      </c>
      <c r="L1009">
        <f>IF(OC_Txn=0,"",IF(INDEX('OneCause_Paste'!$A$1009:$AZ$1009,1,OC_Txn)="","",INDEX('OneCause_Paste'!$A$1009:$AZ$1009,1,OC_Txn)))</f>
        <v/>
      </c>
      <c r="M1009">
        <f>IF(OC_Pay=0,"",IF(INDEX('OneCause_Paste'!$A$1009:$AZ$1009,1,OC_Pay)="","",INDEX('OneCause_Paste'!$A$1009:$AZ$1009,1,OC_Pay)))</f>
        <v/>
      </c>
      <c r="N1009">
        <f>IF(I1009="","",IF(ISNUMBER(I1009),INT(I1009),IFERROR(INT(DATEVALUE(I1009)),IFERROR(INT(VALUE(I1009)),"bad"))))</f>
        <v/>
      </c>
      <c r="O1009">
        <f>IF(J1009="","",IF(ISNUMBER(J1009),ROUND(J1009,2),IFERROR(ROUND(VALUE(SUBSTITUTE(SUBSTITUTE(SUBSTITUTE(J1009,"$",""),",","")," ","")),2),"bad")))</f>
        <v/>
      </c>
      <c r="P1009">
        <f>IF(TRIM(K1009)="","",IFERROR(MATCH(LOWER(TRIM(K1009)),'Students'!$AH$2:$AH$701,0),IFERROR(MATCH(LOWER(TRIM(K1009)),'Students'!$AF$2:$AF$701,0),IFERROR(MATCH(LOWER(TRIM(K1009)),'Students'!$AG$2:$AG$701,0),""))))</f>
        <v/>
      </c>
      <c r="R1009">
        <f>IF(P1009="","",INDEX('Students'!$AD$2:$AD$701,P1009))</f>
        <v/>
      </c>
      <c r="S1009">
        <f>IF(H1009="OK",O1009,0)</f>
        <v/>
      </c>
      <c r="T1009">
        <f>IF(H1009="OK",N1009,"")</f>
        <v/>
      </c>
      <c r="U1009">
        <f>IF(OC_Donor=0,"",IF(INDEX('OneCause_Paste'!$A$1009:$AZ$1009,1,OC_Donor)="","",INDEX('OneCause_Paste'!$A$1009:$AZ$1009,1,OC_Donor)))</f>
        <v/>
      </c>
    </row>
    <row r="1010">
      <c r="A1010" s="62">
        <f>IF(H1010="","",IF(ISNUMBER(N1010),N1010,I1010))</f>
        <v/>
      </c>
      <c r="B1010">
        <f>IF(H1010="","",U1010)</f>
        <v/>
      </c>
      <c r="C1010">
        <f>IF(H1010="","",IF(P1010="",K1010,INDEX('Students'!$A$2:$A$701,P1010)))</f>
        <v/>
      </c>
      <c r="D1010">
        <f>IF(OR(H1010="",P1010=""),"",INDEX('Students'!$B$2:$B$701,P1010))</f>
        <v/>
      </c>
      <c r="E1010">
        <f>IF(OR(H1010="",P1010=""),"",INDEX('Students'!$C$2:$C$701,P1010))</f>
        <v/>
      </c>
      <c r="F1010" s="48">
        <f>IF(H1010="","",IF(ISNUMBER(O1010),O1010,J1010))</f>
        <v/>
      </c>
      <c r="G1010">
        <f>IF(H1010="","","OneCause")</f>
        <v/>
      </c>
      <c r="H1010">
        <f>IF(AND(I1010="",J1010="",K1010=""),"",IF(NOT(ISNUMBER(O1010)),"Bad amount",IF(O1010&lt;0,"Refund (not counted)",IF(O1010=0,"Zero amount",IF(NOT(ISNUMBER(N1010)),"Bad date",IF(P1010="","NAME NOT ON ROSTER",IF(L1010="","OK",IF(MATCH(L1010,$L$2:$L$3001,0)&lt;ROW()-1,"Duplicate (ignored)","OK"))))))))</f>
        <v/>
      </c>
      <c r="I1010">
        <f>IF(OC_Date=0,"",IF(INDEX('OneCause_Paste'!$A$1010:$AZ$1010,1,OC_Date)="","",INDEX('OneCause_Paste'!$A$1010:$AZ$1010,1,OC_Date)))</f>
        <v/>
      </c>
      <c r="J1010">
        <f>IF(OC_Amt=0,"",IF(INDEX('OneCause_Paste'!$A$1010:$AZ$1010,1,OC_Amt)="","",INDEX('OneCause_Paste'!$A$1010:$AZ$1010,1,OC_Amt)))</f>
        <v/>
      </c>
      <c r="K1010">
        <f>IF(OC_Name=0,"",IF(INDEX('OneCause_Paste'!$A$1010:$AZ$1010,1,OC_Name)="","",INDEX('OneCause_Paste'!$A$1010:$AZ$1010,1,OC_Name)))</f>
        <v/>
      </c>
      <c r="L1010">
        <f>IF(OC_Txn=0,"",IF(INDEX('OneCause_Paste'!$A$1010:$AZ$1010,1,OC_Txn)="","",INDEX('OneCause_Paste'!$A$1010:$AZ$1010,1,OC_Txn)))</f>
        <v/>
      </c>
      <c r="M1010">
        <f>IF(OC_Pay=0,"",IF(INDEX('OneCause_Paste'!$A$1010:$AZ$1010,1,OC_Pay)="","",INDEX('OneCause_Paste'!$A$1010:$AZ$1010,1,OC_Pay)))</f>
        <v/>
      </c>
      <c r="N1010">
        <f>IF(I1010="","",IF(ISNUMBER(I1010),INT(I1010),IFERROR(INT(DATEVALUE(I1010)),IFERROR(INT(VALUE(I1010)),"bad"))))</f>
        <v/>
      </c>
      <c r="O1010">
        <f>IF(J1010="","",IF(ISNUMBER(J1010),ROUND(J1010,2),IFERROR(ROUND(VALUE(SUBSTITUTE(SUBSTITUTE(SUBSTITUTE(J1010,"$",""),",","")," ","")),2),"bad")))</f>
        <v/>
      </c>
      <c r="P1010">
        <f>IF(TRIM(K1010)="","",IFERROR(MATCH(LOWER(TRIM(K1010)),'Students'!$AH$2:$AH$701,0),IFERROR(MATCH(LOWER(TRIM(K1010)),'Students'!$AF$2:$AF$701,0),IFERROR(MATCH(LOWER(TRIM(K1010)),'Students'!$AG$2:$AG$701,0),""))))</f>
        <v/>
      </c>
      <c r="R1010">
        <f>IF(P1010="","",INDEX('Students'!$AD$2:$AD$701,P1010))</f>
        <v/>
      </c>
      <c r="S1010">
        <f>IF(H1010="OK",O1010,0)</f>
        <v/>
      </c>
      <c r="T1010">
        <f>IF(H1010="OK",N1010,"")</f>
        <v/>
      </c>
      <c r="U1010">
        <f>IF(OC_Donor=0,"",IF(INDEX('OneCause_Paste'!$A$1010:$AZ$1010,1,OC_Donor)="","",INDEX('OneCause_Paste'!$A$1010:$AZ$1010,1,OC_Donor)))</f>
        <v/>
      </c>
    </row>
    <row r="1011">
      <c r="A1011" s="62">
        <f>IF(H1011="","",IF(ISNUMBER(N1011),N1011,I1011))</f>
        <v/>
      </c>
      <c r="B1011">
        <f>IF(H1011="","",U1011)</f>
        <v/>
      </c>
      <c r="C1011">
        <f>IF(H1011="","",IF(P1011="",K1011,INDEX('Students'!$A$2:$A$701,P1011)))</f>
        <v/>
      </c>
      <c r="D1011">
        <f>IF(OR(H1011="",P1011=""),"",INDEX('Students'!$B$2:$B$701,P1011))</f>
        <v/>
      </c>
      <c r="E1011">
        <f>IF(OR(H1011="",P1011=""),"",INDEX('Students'!$C$2:$C$701,P1011))</f>
        <v/>
      </c>
      <c r="F1011" s="48">
        <f>IF(H1011="","",IF(ISNUMBER(O1011),O1011,J1011))</f>
        <v/>
      </c>
      <c r="G1011">
        <f>IF(H1011="","","OneCause")</f>
        <v/>
      </c>
      <c r="H1011">
        <f>IF(AND(I1011="",J1011="",K1011=""),"",IF(NOT(ISNUMBER(O1011)),"Bad amount",IF(O1011&lt;0,"Refund (not counted)",IF(O1011=0,"Zero amount",IF(NOT(ISNUMBER(N1011)),"Bad date",IF(P1011="","NAME NOT ON ROSTER",IF(L1011="","OK",IF(MATCH(L1011,$L$2:$L$3001,0)&lt;ROW()-1,"Duplicate (ignored)","OK"))))))))</f>
        <v/>
      </c>
      <c r="I1011">
        <f>IF(OC_Date=0,"",IF(INDEX('OneCause_Paste'!$A$1011:$AZ$1011,1,OC_Date)="","",INDEX('OneCause_Paste'!$A$1011:$AZ$1011,1,OC_Date)))</f>
        <v/>
      </c>
      <c r="J1011">
        <f>IF(OC_Amt=0,"",IF(INDEX('OneCause_Paste'!$A$1011:$AZ$1011,1,OC_Amt)="","",INDEX('OneCause_Paste'!$A$1011:$AZ$1011,1,OC_Amt)))</f>
        <v/>
      </c>
      <c r="K1011">
        <f>IF(OC_Name=0,"",IF(INDEX('OneCause_Paste'!$A$1011:$AZ$1011,1,OC_Name)="","",INDEX('OneCause_Paste'!$A$1011:$AZ$1011,1,OC_Name)))</f>
        <v/>
      </c>
      <c r="L1011">
        <f>IF(OC_Txn=0,"",IF(INDEX('OneCause_Paste'!$A$1011:$AZ$1011,1,OC_Txn)="","",INDEX('OneCause_Paste'!$A$1011:$AZ$1011,1,OC_Txn)))</f>
        <v/>
      </c>
      <c r="M1011">
        <f>IF(OC_Pay=0,"",IF(INDEX('OneCause_Paste'!$A$1011:$AZ$1011,1,OC_Pay)="","",INDEX('OneCause_Paste'!$A$1011:$AZ$1011,1,OC_Pay)))</f>
        <v/>
      </c>
      <c r="N1011">
        <f>IF(I1011="","",IF(ISNUMBER(I1011),INT(I1011),IFERROR(INT(DATEVALUE(I1011)),IFERROR(INT(VALUE(I1011)),"bad"))))</f>
        <v/>
      </c>
      <c r="O1011">
        <f>IF(J1011="","",IF(ISNUMBER(J1011),ROUND(J1011,2),IFERROR(ROUND(VALUE(SUBSTITUTE(SUBSTITUTE(SUBSTITUTE(J1011,"$",""),",","")," ","")),2),"bad")))</f>
        <v/>
      </c>
      <c r="P1011">
        <f>IF(TRIM(K1011)="","",IFERROR(MATCH(LOWER(TRIM(K1011)),'Students'!$AH$2:$AH$701,0),IFERROR(MATCH(LOWER(TRIM(K1011)),'Students'!$AF$2:$AF$701,0),IFERROR(MATCH(LOWER(TRIM(K1011)),'Students'!$AG$2:$AG$701,0),""))))</f>
        <v/>
      </c>
      <c r="R1011">
        <f>IF(P1011="","",INDEX('Students'!$AD$2:$AD$701,P1011))</f>
        <v/>
      </c>
      <c r="S1011">
        <f>IF(H1011="OK",O1011,0)</f>
        <v/>
      </c>
      <c r="T1011">
        <f>IF(H1011="OK",N1011,"")</f>
        <v/>
      </c>
      <c r="U1011">
        <f>IF(OC_Donor=0,"",IF(INDEX('OneCause_Paste'!$A$1011:$AZ$1011,1,OC_Donor)="","",INDEX('OneCause_Paste'!$A$1011:$AZ$1011,1,OC_Donor)))</f>
        <v/>
      </c>
    </row>
    <row r="1012">
      <c r="A1012" s="62">
        <f>IF(H1012="","",IF(ISNUMBER(N1012),N1012,I1012))</f>
        <v/>
      </c>
      <c r="B1012">
        <f>IF(H1012="","",U1012)</f>
        <v/>
      </c>
      <c r="C1012">
        <f>IF(H1012="","",IF(P1012="",K1012,INDEX('Students'!$A$2:$A$701,P1012)))</f>
        <v/>
      </c>
      <c r="D1012">
        <f>IF(OR(H1012="",P1012=""),"",INDEX('Students'!$B$2:$B$701,P1012))</f>
        <v/>
      </c>
      <c r="E1012">
        <f>IF(OR(H1012="",P1012=""),"",INDEX('Students'!$C$2:$C$701,P1012))</f>
        <v/>
      </c>
      <c r="F1012" s="48">
        <f>IF(H1012="","",IF(ISNUMBER(O1012),O1012,J1012))</f>
        <v/>
      </c>
      <c r="G1012">
        <f>IF(H1012="","","OneCause")</f>
        <v/>
      </c>
      <c r="H1012">
        <f>IF(AND(I1012="",J1012="",K1012=""),"",IF(NOT(ISNUMBER(O1012)),"Bad amount",IF(O1012&lt;0,"Refund (not counted)",IF(O1012=0,"Zero amount",IF(NOT(ISNUMBER(N1012)),"Bad date",IF(P1012="","NAME NOT ON ROSTER",IF(L1012="","OK",IF(MATCH(L1012,$L$2:$L$3001,0)&lt;ROW()-1,"Duplicate (ignored)","OK"))))))))</f>
        <v/>
      </c>
      <c r="I1012">
        <f>IF(OC_Date=0,"",IF(INDEX('OneCause_Paste'!$A$1012:$AZ$1012,1,OC_Date)="","",INDEX('OneCause_Paste'!$A$1012:$AZ$1012,1,OC_Date)))</f>
        <v/>
      </c>
      <c r="J1012">
        <f>IF(OC_Amt=0,"",IF(INDEX('OneCause_Paste'!$A$1012:$AZ$1012,1,OC_Amt)="","",INDEX('OneCause_Paste'!$A$1012:$AZ$1012,1,OC_Amt)))</f>
        <v/>
      </c>
      <c r="K1012">
        <f>IF(OC_Name=0,"",IF(INDEX('OneCause_Paste'!$A$1012:$AZ$1012,1,OC_Name)="","",INDEX('OneCause_Paste'!$A$1012:$AZ$1012,1,OC_Name)))</f>
        <v/>
      </c>
      <c r="L1012">
        <f>IF(OC_Txn=0,"",IF(INDEX('OneCause_Paste'!$A$1012:$AZ$1012,1,OC_Txn)="","",INDEX('OneCause_Paste'!$A$1012:$AZ$1012,1,OC_Txn)))</f>
        <v/>
      </c>
      <c r="M1012">
        <f>IF(OC_Pay=0,"",IF(INDEX('OneCause_Paste'!$A$1012:$AZ$1012,1,OC_Pay)="","",INDEX('OneCause_Paste'!$A$1012:$AZ$1012,1,OC_Pay)))</f>
        <v/>
      </c>
      <c r="N1012">
        <f>IF(I1012="","",IF(ISNUMBER(I1012),INT(I1012),IFERROR(INT(DATEVALUE(I1012)),IFERROR(INT(VALUE(I1012)),"bad"))))</f>
        <v/>
      </c>
      <c r="O1012">
        <f>IF(J1012="","",IF(ISNUMBER(J1012),ROUND(J1012,2),IFERROR(ROUND(VALUE(SUBSTITUTE(SUBSTITUTE(SUBSTITUTE(J1012,"$",""),",","")," ","")),2),"bad")))</f>
        <v/>
      </c>
      <c r="P1012">
        <f>IF(TRIM(K1012)="","",IFERROR(MATCH(LOWER(TRIM(K1012)),'Students'!$AH$2:$AH$701,0),IFERROR(MATCH(LOWER(TRIM(K1012)),'Students'!$AF$2:$AF$701,0),IFERROR(MATCH(LOWER(TRIM(K1012)),'Students'!$AG$2:$AG$701,0),""))))</f>
        <v/>
      </c>
      <c r="R1012">
        <f>IF(P1012="","",INDEX('Students'!$AD$2:$AD$701,P1012))</f>
        <v/>
      </c>
      <c r="S1012">
        <f>IF(H1012="OK",O1012,0)</f>
        <v/>
      </c>
      <c r="T1012">
        <f>IF(H1012="OK",N1012,"")</f>
        <v/>
      </c>
      <c r="U1012">
        <f>IF(OC_Donor=0,"",IF(INDEX('OneCause_Paste'!$A$1012:$AZ$1012,1,OC_Donor)="","",INDEX('OneCause_Paste'!$A$1012:$AZ$1012,1,OC_Donor)))</f>
        <v/>
      </c>
    </row>
    <row r="1013">
      <c r="A1013" s="62">
        <f>IF(H1013="","",IF(ISNUMBER(N1013),N1013,I1013))</f>
        <v/>
      </c>
      <c r="B1013">
        <f>IF(H1013="","",U1013)</f>
        <v/>
      </c>
      <c r="C1013">
        <f>IF(H1013="","",IF(P1013="",K1013,INDEX('Students'!$A$2:$A$701,P1013)))</f>
        <v/>
      </c>
      <c r="D1013">
        <f>IF(OR(H1013="",P1013=""),"",INDEX('Students'!$B$2:$B$701,P1013))</f>
        <v/>
      </c>
      <c r="E1013">
        <f>IF(OR(H1013="",P1013=""),"",INDEX('Students'!$C$2:$C$701,P1013))</f>
        <v/>
      </c>
      <c r="F1013" s="48">
        <f>IF(H1013="","",IF(ISNUMBER(O1013),O1013,J1013))</f>
        <v/>
      </c>
      <c r="G1013">
        <f>IF(H1013="","","OneCause")</f>
        <v/>
      </c>
      <c r="H1013">
        <f>IF(AND(I1013="",J1013="",K1013=""),"",IF(NOT(ISNUMBER(O1013)),"Bad amount",IF(O1013&lt;0,"Refund (not counted)",IF(O1013=0,"Zero amount",IF(NOT(ISNUMBER(N1013)),"Bad date",IF(P1013="","NAME NOT ON ROSTER",IF(L1013="","OK",IF(MATCH(L1013,$L$2:$L$3001,0)&lt;ROW()-1,"Duplicate (ignored)","OK"))))))))</f>
        <v/>
      </c>
      <c r="I1013">
        <f>IF(OC_Date=0,"",IF(INDEX('OneCause_Paste'!$A$1013:$AZ$1013,1,OC_Date)="","",INDEX('OneCause_Paste'!$A$1013:$AZ$1013,1,OC_Date)))</f>
        <v/>
      </c>
      <c r="J1013">
        <f>IF(OC_Amt=0,"",IF(INDEX('OneCause_Paste'!$A$1013:$AZ$1013,1,OC_Amt)="","",INDEX('OneCause_Paste'!$A$1013:$AZ$1013,1,OC_Amt)))</f>
        <v/>
      </c>
      <c r="K1013">
        <f>IF(OC_Name=0,"",IF(INDEX('OneCause_Paste'!$A$1013:$AZ$1013,1,OC_Name)="","",INDEX('OneCause_Paste'!$A$1013:$AZ$1013,1,OC_Name)))</f>
        <v/>
      </c>
      <c r="L1013">
        <f>IF(OC_Txn=0,"",IF(INDEX('OneCause_Paste'!$A$1013:$AZ$1013,1,OC_Txn)="","",INDEX('OneCause_Paste'!$A$1013:$AZ$1013,1,OC_Txn)))</f>
        <v/>
      </c>
      <c r="M1013">
        <f>IF(OC_Pay=0,"",IF(INDEX('OneCause_Paste'!$A$1013:$AZ$1013,1,OC_Pay)="","",INDEX('OneCause_Paste'!$A$1013:$AZ$1013,1,OC_Pay)))</f>
        <v/>
      </c>
      <c r="N1013">
        <f>IF(I1013="","",IF(ISNUMBER(I1013),INT(I1013),IFERROR(INT(DATEVALUE(I1013)),IFERROR(INT(VALUE(I1013)),"bad"))))</f>
        <v/>
      </c>
      <c r="O1013">
        <f>IF(J1013="","",IF(ISNUMBER(J1013),ROUND(J1013,2),IFERROR(ROUND(VALUE(SUBSTITUTE(SUBSTITUTE(SUBSTITUTE(J1013,"$",""),",","")," ","")),2),"bad")))</f>
        <v/>
      </c>
      <c r="P1013">
        <f>IF(TRIM(K1013)="","",IFERROR(MATCH(LOWER(TRIM(K1013)),'Students'!$AH$2:$AH$701,0),IFERROR(MATCH(LOWER(TRIM(K1013)),'Students'!$AF$2:$AF$701,0),IFERROR(MATCH(LOWER(TRIM(K1013)),'Students'!$AG$2:$AG$701,0),""))))</f>
        <v/>
      </c>
      <c r="R1013">
        <f>IF(P1013="","",INDEX('Students'!$AD$2:$AD$701,P1013))</f>
        <v/>
      </c>
      <c r="S1013">
        <f>IF(H1013="OK",O1013,0)</f>
        <v/>
      </c>
      <c r="T1013">
        <f>IF(H1013="OK",N1013,"")</f>
        <v/>
      </c>
      <c r="U1013">
        <f>IF(OC_Donor=0,"",IF(INDEX('OneCause_Paste'!$A$1013:$AZ$1013,1,OC_Donor)="","",INDEX('OneCause_Paste'!$A$1013:$AZ$1013,1,OC_Donor)))</f>
        <v/>
      </c>
    </row>
    <row r="1014">
      <c r="A1014" s="62">
        <f>IF(H1014="","",IF(ISNUMBER(N1014),N1014,I1014))</f>
        <v/>
      </c>
      <c r="B1014">
        <f>IF(H1014="","",U1014)</f>
        <v/>
      </c>
      <c r="C1014">
        <f>IF(H1014="","",IF(P1014="",K1014,INDEX('Students'!$A$2:$A$701,P1014)))</f>
        <v/>
      </c>
      <c r="D1014">
        <f>IF(OR(H1014="",P1014=""),"",INDEX('Students'!$B$2:$B$701,P1014))</f>
        <v/>
      </c>
      <c r="E1014">
        <f>IF(OR(H1014="",P1014=""),"",INDEX('Students'!$C$2:$C$701,P1014))</f>
        <v/>
      </c>
      <c r="F1014" s="48">
        <f>IF(H1014="","",IF(ISNUMBER(O1014),O1014,J1014))</f>
        <v/>
      </c>
      <c r="G1014">
        <f>IF(H1014="","","OneCause")</f>
        <v/>
      </c>
      <c r="H1014">
        <f>IF(AND(I1014="",J1014="",K1014=""),"",IF(NOT(ISNUMBER(O1014)),"Bad amount",IF(O1014&lt;0,"Refund (not counted)",IF(O1014=0,"Zero amount",IF(NOT(ISNUMBER(N1014)),"Bad date",IF(P1014="","NAME NOT ON ROSTER",IF(L1014="","OK",IF(MATCH(L1014,$L$2:$L$3001,0)&lt;ROW()-1,"Duplicate (ignored)","OK"))))))))</f>
        <v/>
      </c>
      <c r="I1014">
        <f>IF(OC_Date=0,"",IF(INDEX('OneCause_Paste'!$A$1014:$AZ$1014,1,OC_Date)="","",INDEX('OneCause_Paste'!$A$1014:$AZ$1014,1,OC_Date)))</f>
        <v/>
      </c>
      <c r="J1014">
        <f>IF(OC_Amt=0,"",IF(INDEX('OneCause_Paste'!$A$1014:$AZ$1014,1,OC_Amt)="","",INDEX('OneCause_Paste'!$A$1014:$AZ$1014,1,OC_Amt)))</f>
        <v/>
      </c>
      <c r="K1014">
        <f>IF(OC_Name=0,"",IF(INDEX('OneCause_Paste'!$A$1014:$AZ$1014,1,OC_Name)="","",INDEX('OneCause_Paste'!$A$1014:$AZ$1014,1,OC_Name)))</f>
        <v/>
      </c>
      <c r="L1014">
        <f>IF(OC_Txn=0,"",IF(INDEX('OneCause_Paste'!$A$1014:$AZ$1014,1,OC_Txn)="","",INDEX('OneCause_Paste'!$A$1014:$AZ$1014,1,OC_Txn)))</f>
        <v/>
      </c>
      <c r="M1014">
        <f>IF(OC_Pay=0,"",IF(INDEX('OneCause_Paste'!$A$1014:$AZ$1014,1,OC_Pay)="","",INDEX('OneCause_Paste'!$A$1014:$AZ$1014,1,OC_Pay)))</f>
        <v/>
      </c>
      <c r="N1014">
        <f>IF(I1014="","",IF(ISNUMBER(I1014),INT(I1014),IFERROR(INT(DATEVALUE(I1014)),IFERROR(INT(VALUE(I1014)),"bad"))))</f>
        <v/>
      </c>
      <c r="O1014">
        <f>IF(J1014="","",IF(ISNUMBER(J1014),ROUND(J1014,2),IFERROR(ROUND(VALUE(SUBSTITUTE(SUBSTITUTE(SUBSTITUTE(J1014,"$",""),",","")," ","")),2),"bad")))</f>
        <v/>
      </c>
      <c r="P1014">
        <f>IF(TRIM(K1014)="","",IFERROR(MATCH(LOWER(TRIM(K1014)),'Students'!$AH$2:$AH$701,0),IFERROR(MATCH(LOWER(TRIM(K1014)),'Students'!$AF$2:$AF$701,0),IFERROR(MATCH(LOWER(TRIM(K1014)),'Students'!$AG$2:$AG$701,0),""))))</f>
        <v/>
      </c>
      <c r="R1014">
        <f>IF(P1014="","",INDEX('Students'!$AD$2:$AD$701,P1014))</f>
        <v/>
      </c>
      <c r="S1014">
        <f>IF(H1014="OK",O1014,0)</f>
        <v/>
      </c>
      <c r="T1014">
        <f>IF(H1014="OK",N1014,"")</f>
        <v/>
      </c>
      <c r="U1014">
        <f>IF(OC_Donor=0,"",IF(INDEX('OneCause_Paste'!$A$1014:$AZ$1014,1,OC_Donor)="","",INDEX('OneCause_Paste'!$A$1014:$AZ$1014,1,OC_Donor)))</f>
        <v/>
      </c>
    </row>
    <row r="1015">
      <c r="A1015" s="62">
        <f>IF(H1015="","",IF(ISNUMBER(N1015),N1015,I1015))</f>
        <v/>
      </c>
      <c r="B1015">
        <f>IF(H1015="","",U1015)</f>
        <v/>
      </c>
      <c r="C1015">
        <f>IF(H1015="","",IF(P1015="",K1015,INDEX('Students'!$A$2:$A$701,P1015)))</f>
        <v/>
      </c>
      <c r="D1015">
        <f>IF(OR(H1015="",P1015=""),"",INDEX('Students'!$B$2:$B$701,P1015))</f>
        <v/>
      </c>
      <c r="E1015">
        <f>IF(OR(H1015="",P1015=""),"",INDEX('Students'!$C$2:$C$701,P1015))</f>
        <v/>
      </c>
      <c r="F1015" s="48">
        <f>IF(H1015="","",IF(ISNUMBER(O1015),O1015,J1015))</f>
        <v/>
      </c>
      <c r="G1015">
        <f>IF(H1015="","","OneCause")</f>
        <v/>
      </c>
      <c r="H1015">
        <f>IF(AND(I1015="",J1015="",K1015=""),"",IF(NOT(ISNUMBER(O1015)),"Bad amount",IF(O1015&lt;0,"Refund (not counted)",IF(O1015=0,"Zero amount",IF(NOT(ISNUMBER(N1015)),"Bad date",IF(P1015="","NAME NOT ON ROSTER",IF(L1015="","OK",IF(MATCH(L1015,$L$2:$L$3001,0)&lt;ROW()-1,"Duplicate (ignored)","OK"))))))))</f>
        <v/>
      </c>
      <c r="I1015">
        <f>IF(OC_Date=0,"",IF(INDEX('OneCause_Paste'!$A$1015:$AZ$1015,1,OC_Date)="","",INDEX('OneCause_Paste'!$A$1015:$AZ$1015,1,OC_Date)))</f>
        <v/>
      </c>
      <c r="J1015">
        <f>IF(OC_Amt=0,"",IF(INDEX('OneCause_Paste'!$A$1015:$AZ$1015,1,OC_Amt)="","",INDEX('OneCause_Paste'!$A$1015:$AZ$1015,1,OC_Amt)))</f>
        <v/>
      </c>
      <c r="K1015">
        <f>IF(OC_Name=0,"",IF(INDEX('OneCause_Paste'!$A$1015:$AZ$1015,1,OC_Name)="","",INDEX('OneCause_Paste'!$A$1015:$AZ$1015,1,OC_Name)))</f>
        <v/>
      </c>
      <c r="L1015">
        <f>IF(OC_Txn=0,"",IF(INDEX('OneCause_Paste'!$A$1015:$AZ$1015,1,OC_Txn)="","",INDEX('OneCause_Paste'!$A$1015:$AZ$1015,1,OC_Txn)))</f>
        <v/>
      </c>
      <c r="M1015">
        <f>IF(OC_Pay=0,"",IF(INDEX('OneCause_Paste'!$A$1015:$AZ$1015,1,OC_Pay)="","",INDEX('OneCause_Paste'!$A$1015:$AZ$1015,1,OC_Pay)))</f>
        <v/>
      </c>
      <c r="N1015">
        <f>IF(I1015="","",IF(ISNUMBER(I1015),INT(I1015),IFERROR(INT(DATEVALUE(I1015)),IFERROR(INT(VALUE(I1015)),"bad"))))</f>
        <v/>
      </c>
      <c r="O1015">
        <f>IF(J1015="","",IF(ISNUMBER(J1015),ROUND(J1015,2),IFERROR(ROUND(VALUE(SUBSTITUTE(SUBSTITUTE(SUBSTITUTE(J1015,"$",""),",","")," ","")),2),"bad")))</f>
        <v/>
      </c>
      <c r="P1015">
        <f>IF(TRIM(K1015)="","",IFERROR(MATCH(LOWER(TRIM(K1015)),'Students'!$AH$2:$AH$701,0),IFERROR(MATCH(LOWER(TRIM(K1015)),'Students'!$AF$2:$AF$701,0),IFERROR(MATCH(LOWER(TRIM(K1015)),'Students'!$AG$2:$AG$701,0),""))))</f>
        <v/>
      </c>
      <c r="R1015">
        <f>IF(P1015="","",INDEX('Students'!$AD$2:$AD$701,P1015))</f>
        <v/>
      </c>
      <c r="S1015">
        <f>IF(H1015="OK",O1015,0)</f>
        <v/>
      </c>
      <c r="T1015">
        <f>IF(H1015="OK",N1015,"")</f>
        <v/>
      </c>
      <c r="U1015">
        <f>IF(OC_Donor=0,"",IF(INDEX('OneCause_Paste'!$A$1015:$AZ$1015,1,OC_Donor)="","",INDEX('OneCause_Paste'!$A$1015:$AZ$1015,1,OC_Donor)))</f>
        <v/>
      </c>
    </row>
    <row r="1016">
      <c r="A1016" s="62">
        <f>IF(H1016="","",IF(ISNUMBER(N1016),N1016,I1016))</f>
        <v/>
      </c>
      <c r="B1016">
        <f>IF(H1016="","",U1016)</f>
        <v/>
      </c>
      <c r="C1016">
        <f>IF(H1016="","",IF(P1016="",K1016,INDEX('Students'!$A$2:$A$701,P1016)))</f>
        <v/>
      </c>
      <c r="D1016">
        <f>IF(OR(H1016="",P1016=""),"",INDEX('Students'!$B$2:$B$701,P1016))</f>
        <v/>
      </c>
      <c r="E1016">
        <f>IF(OR(H1016="",P1016=""),"",INDEX('Students'!$C$2:$C$701,P1016))</f>
        <v/>
      </c>
      <c r="F1016" s="48">
        <f>IF(H1016="","",IF(ISNUMBER(O1016),O1016,J1016))</f>
        <v/>
      </c>
      <c r="G1016">
        <f>IF(H1016="","","OneCause")</f>
        <v/>
      </c>
      <c r="H1016">
        <f>IF(AND(I1016="",J1016="",K1016=""),"",IF(NOT(ISNUMBER(O1016)),"Bad amount",IF(O1016&lt;0,"Refund (not counted)",IF(O1016=0,"Zero amount",IF(NOT(ISNUMBER(N1016)),"Bad date",IF(P1016="","NAME NOT ON ROSTER",IF(L1016="","OK",IF(MATCH(L1016,$L$2:$L$3001,0)&lt;ROW()-1,"Duplicate (ignored)","OK"))))))))</f>
        <v/>
      </c>
      <c r="I1016">
        <f>IF(OC_Date=0,"",IF(INDEX('OneCause_Paste'!$A$1016:$AZ$1016,1,OC_Date)="","",INDEX('OneCause_Paste'!$A$1016:$AZ$1016,1,OC_Date)))</f>
        <v/>
      </c>
      <c r="J1016">
        <f>IF(OC_Amt=0,"",IF(INDEX('OneCause_Paste'!$A$1016:$AZ$1016,1,OC_Amt)="","",INDEX('OneCause_Paste'!$A$1016:$AZ$1016,1,OC_Amt)))</f>
        <v/>
      </c>
      <c r="K1016">
        <f>IF(OC_Name=0,"",IF(INDEX('OneCause_Paste'!$A$1016:$AZ$1016,1,OC_Name)="","",INDEX('OneCause_Paste'!$A$1016:$AZ$1016,1,OC_Name)))</f>
        <v/>
      </c>
      <c r="L1016">
        <f>IF(OC_Txn=0,"",IF(INDEX('OneCause_Paste'!$A$1016:$AZ$1016,1,OC_Txn)="","",INDEX('OneCause_Paste'!$A$1016:$AZ$1016,1,OC_Txn)))</f>
        <v/>
      </c>
      <c r="M1016">
        <f>IF(OC_Pay=0,"",IF(INDEX('OneCause_Paste'!$A$1016:$AZ$1016,1,OC_Pay)="","",INDEX('OneCause_Paste'!$A$1016:$AZ$1016,1,OC_Pay)))</f>
        <v/>
      </c>
      <c r="N1016">
        <f>IF(I1016="","",IF(ISNUMBER(I1016),INT(I1016),IFERROR(INT(DATEVALUE(I1016)),IFERROR(INT(VALUE(I1016)),"bad"))))</f>
        <v/>
      </c>
      <c r="O1016">
        <f>IF(J1016="","",IF(ISNUMBER(J1016),ROUND(J1016,2),IFERROR(ROUND(VALUE(SUBSTITUTE(SUBSTITUTE(SUBSTITUTE(J1016,"$",""),",","")," ","")),2),"bad")))</f>
        <v/>
      </c>
      <c r="P1016">
        <f>IF(TRIM(K1016)="","",IFERROR(MATCH(LOWER(TRIM(K1016)),'Students'!$AH$2:$AH$701,0),IFERROR(MATCH(LOWER(TRIM(K1016)),'Students'!$AF$2:$AF$701,0),IFERROR(MATCH(LOWER(TRIM(K1016)),'Students'!$AG$2:$AG$701,0),""))))</f>
        <v/>
      </c>
      <c r="R1016">
        <f>IF(P1016="","",INDEX('Students'!$AD$2:$AD$701,P1016))</f>
        <v/>
      </c>
      <c r="S1016">
        <f>IF(H1016="OK",O1016,0)</f>
        <v/>
      </c>
      <c r="T1016">
        <f>IF(H1016="OK",N1016,"")</f>
        <v/>
      </c>
      <c r="U1016">
        <f>IF(OC_Donor=0,"",IF(INDEX('OneCause_Paste'!$A$1016:$AZ$1016,1,OC_Donor)="","",INDEX('OneCause_Paste'!$A$1016:$AZ$1016,1,OC_Donor)))</f>
        <v/>
      </c>
    </row>
    <row r="1017">
      <c r="A1017" s="62">
        <f>IF(H1017="","",IF(ISNUMBER(N1017),N1017,I1017))</f>
        <v/>
      </c>
      <c r="B1017">
        <f>IF(H1017="","",U1017)</f>
        <v/>
      </c>
      <c r="C1017">
        <f>IF(H1017="","",IF(P1017="",K1017,INDEX('Students'!$A$2:$A$701,P1017)))</f>
        <v/>
      </c>
      <c r="D1017">
        <f>IF(OR(H1017="",P1017=""),"",INDEX('Students'!$B$2:$B$701,P1017))</f>
        <v/>
      </c>
      <c r="E1017">
        <f>IF(OR(H1017="",P1017=""),"",INDEX('Students'!$C$2:$C$701,P1017))</f>
        <v/>
      </c>
      <c r="F1017" s="48">
        <f>IF(H1017="","",IF(ISNUMBER(O1017),O1017,J1017))</f>
        <v/>
      </c>
      <c r="G1017">
        <f>IF(H1017="","","OneCause")</f>
        <v/>
      </c>
      <c r="H1017">
        <f>IF(AND(I1017="",J1017="",K1017=""),"",IF(NOT(ISNUMBER(O1017)),"Bad amount",IF(O1017&lt;0,"Refund (not counted)",IF(O1017=0,"Zero amount",IF(NOT(ISNUMBER(N1017)),"Bad date",IF(P1017="","NAME NOT ON ROSTER",IF(L1017="","OK",IF(MATCH(L1017,$L$2:$L$3001,0)&lt;ROW()-1,"Duplicate (ignored)","OK"))))))))</f>
        <v/>
      </c>
      <c r="I1017">
        <f>IF(OC_Date=0,"",IF(INDEX('OneCause_Paste'!$A$1017:$AZ$1017,1,OC_Date)="","",INDEX('OneCause_Paste'!$A$1017:$AZ$1017,1,OC_Date)))</f>
        <v/>
      </c>
      <c r="J1017">
        <f>IF(OC_Amt=0,"",IF(INDEX('OneCause_Paste'!$A$1017:$AZ$1017,1,OC_Amt)="","",INDEX('OneCause_Paste'!$A$1017:$AZ$1017,1,OC_Amt)))</f>
        <v/>
      </c>
      <c r="K1017">
        <f>IF(OC_Name=0,"",IF(INDEX('OneCause_Paste'!$A$1017:$AZ$1017,1,OC_Name)="","",INDEX('OneCause_Paste'!$A$1017:$AZ$1017,1,OC_Name)))</f>
        <v/>
      </c>
      <c r="L1017">
        <f>IF(OC_Txn=0,"",IF(INDEX('OneCause_Paste'!$A$1017:$AZ$1017,1,OC_Txn)="","",INDEX('OneCause_Paste'!$A$1017:$AZ$1017,1,OC_Txn)))</f>
        <v/>
      </c>
      <c r="M1017">
        <f>IF(OC_Pay=0,"",IF(INDEX('OneCause_Paste'!$A$1017:$AZ$1017,1,OC_Pay)="","",INDEX('OneCause_Paste'!$A$1017:$AZ$1017,1,OC_Pay)))</f>
        <v/>
      </c>
      <c r="N1017">
        <f>IF(I1017="","",IF(ISNUMBER(I1017),INT(I1017),IFERROR(INT(DATEVALUE(I1017)),IFERROR(INT(VALUE(I1017)),"bad"))))</f>
        <v/>
      </c>
      <c r="O1017">
        <f>IF(J1017="","",IF(ISNUMBER(J1017),ROUND(J1017,2),IFERROR(ROUND(VALUE(SUBSTITUTE(SUBSTITUTE(SUBSTITUTE(J1017,"$",""),",","")," ","")),2),"bad")))</f>
        <v/>
      </c>
      <c r="P1017">
        <f>IF(TRIM(K1017)="","",IFERROR(MATCH(LOWER(TRIM(K1017)),'Students'!$AH$2:$AH$701,0),IFERROR(MATCH(LOWER(TRIM(K1017)),'Students'!$AF$2:$AF$701,0),IFERROR(MATCH(LOWER(TRIM(K1017)),'Students'!$AG$2:$AG$701,0),""))))</f>
        <v/>
      </c>
      <c r="R1017">
        <f>IF(P1017="","",INDEX('Students'!$AD$2:$AD$701,P1017))</f>
        <v/>
      </c>
      <c r="S1017">
        <f>IF(H1017="OK",O1017,0)</f>
        <v/>
      </c>
      <c r="T1017">
        <f>IF(H1017="OK",N1017,"")</f>
        <v/>
      </c>
      <c r="U1017">
        <f>IF(OC_Donor=0,"",IF(INDEX('OneCause_Paste'!$A$1017:$AZ$1017,1,OC_Donor)="","",INDEX('OneCause_Paste'!$A$1017:$AZ$1017,1,OC_Donor)))</f>
        <v/>
      </c>
    </row>
    <row r="1018">
      <c r="A1018" s="62">
        <f>IF(H1018="","",IF(ISNUMBER(N1018),N1018,I1018))</f>
        <v/>
      </c>
      <c r="B1018">
        <f>IF(H1018="","",U1018)</f>
        <v/>
      </c>
      <c r="C1018">
        <f>IF(H1018="","",IF(P1018="",K1018,INDEX('Students'!$A$2:$A$701,P1018)))</f>
        <v/>
      </c>
      <c r="D1018">
        <f>IF(OR(H1018="",P1018=""),"",INDEX('Students'!$B$2:$B$701,P1018))</f>
        <v/>
      </c>
      <c r="E1018">
        <f>IF(OR(H1018="",P1018=""),"",INDEX('Students'!$C$2:$C$701,P1018))</f>
        <v/>
      </c>
      <c r="F1018" s="48">
        <f>IF(H1018="","",IF(ISNUMBER(O1018),O1018,J1018))</f>
        <v/>
      </c>
      <c r="G1018">
        <f>IF(H1018="","","OneCause")</f>
        <v/>
      </c>
      <c r="H1018">
        <f>IF(AND(I1018="",J1018="",K1018=""),"",IF(NOT(ISNUMBER(O1018)),"Bad amount",IF(O1018&lt;0,"Refund (not counted)",IF(O1018=0,"Zero amount",IF(NOT(ISNUMBER(N1018)),"Bad date",IF(P1018="","NAME NOT ON ROSTER",IF(L1018="","OK",IF(MATCH(L1018,$L$2:$L$3001,0)&lt;ROW()-1,"Duplicate (ignored)","OK"))))))))</f>
        <v/>
      </c>
      <c r="I1018">
        <f>IF(OC_Date=0,"",IF(INDEX('OneCause_Paste'!$A$1018:$AZ$1018,1,OC_Date)="","",INDEX('OneCause_Paste'!$A$1018:$AZ$1018,1,OC_Date)))</f>
        <v/>
      </c>
      <c r="J1018">
        <f>IF(OC_Amt=0,"",IF(INDEX('OneCause_Paste'!$A$1018:$AZ$1018,1,OC_Amt)="","",INDEX('OneCause_Paste'!$A$1018:$AZ$1018,1,OC_Amt)))</f>
        <v/>
      </c>
      <c r="K1018">
        <f>IF(OC_Name=0,"",IF(INDEX('OneCause_Paste'!$A$1018:$AZ$1018,1,OC_Name)="","",INDEX('OneCause_Paste'!$A$1018:$AZ$1018,1,OC_Name)))</f>
        <v/>
      </c>
      <c r="L1018">
        <f>IF(OC_Txn=0,"",IF(INDEX('OneCause_Paste'!$A$1018:$AZ$1018,1,OC_Txn)="","",INDEX('OneCause_Paste'!$A$1018:$AZ$1018,1,OC_Txn)))</f>
        <v/>
      </c>
      <c r="M1018">
        <f>IF(OC_Pay=0,"",IF(INDEX('OneCause_Paste'!$A$1018:$AZ$1018,1,OC_Pay)="","",INDEX('OneCause_Paste'!$A$1018:$AZ$1018,1,OC_Pay)))</f>
        <v/>
      </c>
      <c r="N1018">
        <f>IF(I1018="","",IF(ISNUMBER(I1018),INT(I1018),IFERROR(INT(DATEVALUE(I1018)),IFERROR(INT(VALUE(I1018)),"bad"))))</f>
        <v/>
      </c>
      <c r="O1018">
        <f>IF(J1018="","",IF(ISNUMBER(J1018),ROUND(J1018,2),IFERROR(ROUND(VALUE(SUBSTITUTE(SUBSTITUTE(SUBSTITUTE(J1018,"$",""),",","")," ","")),2),"bad")))</f>
        <v/>
      </c>
      <c r="P1018">
        <f>IF(TRIM(K1018)="","",IFERROR(MATCH(LOWER(TRIM(K1018)),'Students'!$AH$2:$AH$701,0),IFERROR(MATCH(LOWER(TRIM(K1018)),'Students'!$AF$2:$AF$701,0),IFERROR(MATCH(LOWER(TRIM(K1018)),'Students'!$AG$2:$AG$701,0),""))))</f>
        <v/>
      </c>
      <c r="R1018">
        <f>IF(P1018="","",INDEX('Students'!$AD$2:$AD$701,P1018))</f>
        <v/>
      </c>
      <c r="S1018">
        <f>IF(H1018="OK",O1018,0)</f>
        <v/>
      </c>
      <c r="T1018">
        <f>IF(H1018="OK",N1018,"")</f>
        <v/>
      </c>
      <c r="U1018">
        <f>IF(OC_Donor=0,"",IF(INDEX('OneCause_Paste'!$A$1018:$AZ$1018,1,OC_Donor)="","",INDEX('OneCause_Paste'!$A$1018:$AZ$1018,1,OC_Donor)))</f>
        <v/>
      </c>
    </row>
    <row r="1019">
      <c r="A1019" s="62">
        <f>IF(H1019="","",IF(ISNUMBER(N1019),N1019,I1019))</f>
        <v/>
      </c>
      <c r="B1019">
        <f>IF(H1019="","",U1019)</f>
        <v/>
      </c>
      <c r="C1019">
        <f>IF(H1019="","",IF(P1019="",K1019,INDEX('Students'!$A$2:$A$701,P1019)))</f>
        <v/>
      </c>
      <c r="D1019">
        <f>IF(OR(H1019="",P1019=""),"",INDEX('Students'!$B$2:$B$701,P1019))</f>
        <v/>
      </c>
      <c r="E1019">
        <f>IF(OR(H1019="",P1019=""),"",INDEX('Students'!$C$2:$C$701,P1019))</f>
        <v/>
      </c>
      <c r="F1019" s="48">
        <f>IF(H1019="","",IF(ISNUMBER(O1019),O1019,J1019))</f>
        <v/>
      </c>
      <c r="G1019">
        <f>IF(H1019="","","OneCause")</f>
        <v/>
      </c>
      <c r="H1019">
        <f>IF(AND(I1019="",J1019="",K1019=""),"",IF(NOT(ISNUMBER(O1019)),"Bad amount",IF(O1019&lt;0,"Refund (not counted)",IF(O1019=0,"Zero amount",IF(NOT(ISNUMBER(N1019)),"Bad date",IF(P1019="","NAME NOT ON ROSTER",IF(L1019="","OK",IF(MATCH(L1019,$L$2:$L$3001,0)&lt;ROW()-1,"Duplicate (ignored)","OK"))))))))</f>
        <v/>
      </c>
      <c r="I1019">
        <f>IF(OC_Date=0,"",IF(INDEX('OneCause_Paste'!$A$1019:$AZ$1019,1,OC_Date)="","",INDEX('OneCause_Paste'!$A$1019:$AZ$1019,1,OC_Date)))</f>
        <v/>
      </c>
      <c r="J1019">
        <f>IF(OC_Amt=0,"",IF(INDEX('OneCause_Paste'!$A$1019:$AZ$1019,1,OC_Amt)="","",INDEX('OneCause_Paste'!$A$1019:$AZ$1019,1,OC_Amt)))</f>
        <v/>
      </c>
      <c r="K1019">
        <f>IF(OC_Name=0,"",IF(INDEX('OneCause_Paste'!$A$1019:$AZ$1019,1,OC_Name)="","",INDEX('OneCause_Paste'!$A$1019:$AZ$1019,1,OC_Name)))</f>
        <v/>
      </c>
      <c r="L1019">
        <f>IF(OC_Txn=0,"",IF(INDEX('OneCause_Paste'!$A$1019:$AZ$1019,1,OC_Txn)="","",INDEX('OneCause_Paste'!$A$1019:$AZ$1019,1,OC_Txn)))</f>
        <v/>
      </c>
      <c r="M1019">
        <f>IF(OC_Pay=0,"",IF(INDEX('OneCause_Paste'!$A$1019:$AZ$1019,1,OC_Pay)="","",INDEX('OneCause_Paste'!$A$1019:$AZ$1019,1,OC_Pay)))</f>
        <v/>
      </c>
      <c r="N1019">
        <f>IF(I1019="","",IF(ISNUMBER(I1019),INT(I1019),IFERROR(INT(DATEVALUE(I1019)),IFERROR(INT(VALUE(I1019)),"bad"))))</f>
        <v/>
      </c>
      <c r="O1019">
        <f>IF(J1019="","",IF(ISNUMBER(J1019),ROUND(J1019,2),IFERROR(ROUND(VALUE(SUBSTITUTE(SUBSTITUTE(SUBSTITUTE(J1019,"$",""),",","")," ","")),2),"bad")))</f>
        <v/>
      </c>
      <c r="P1019">
        <f>IF(TRIM(K1019)="","",IFERROR(MATCH(LOWER(TRIM(K1019)),'Students'!$AH$2:$AH$701,0),IFERROR(MATCH(LOWER(TRIM(K1019)),'Students'!$AF$2:$AF$701,0),IFERROR(MATCH(LOWER(TRIM(K1019)),'Students'!$AG$2:$AG$701,0),""))))</f>
        <v/>
      </c>
      <c r="R1019">
        <f>IF(P1019="","",INDEX('Students'!$AD$2:$AD$701,P1019))</f>
        <v/>
      </c>
      <c r="S1019">
        <f>IF(H1019="OK",O1019,0)</f>
        <v/>
      </c>
      <c r="T1019">
        <f>IF(H1019="OK",N1019,"")</f>
        <v/>
      </c>
      <c r="U1019">
        <f>IF(OC_Donor=0,"",IF(INDEX('OneCause_Paste'!$A$1019:$AZ$1019,1,OC_Donor)="","",INDEX('OneCause_Paste'!$A$1019:$AZ$1019,1,OC_Donor)))</f>
        <v/>
      </c>
    </row>
    <row r="1020">
      <c r="A1020" s="62">
        <f>IF(H1020="","",IF(ISNUMBER(N1020),N1020,I1020))</f>
        <v/>
      </c>
      <c r="B1020">
        <f>IF(H1020="","",U1020)</f>
        <v/>
      </c>
      <c r="C1020">
        <f>IF(H1020="","",IF(P1020="",K1020,INDEX('Students'!$A$2:$A$701,P1020)))</f>
        <v/>
      </c>
      <c r="D1020">
        <f>IF(OR(H1020="",P1020=""),"",INDEX('Students'!$B$2:$B$701,P1020))</f>
        <v/>
      </c>
      <c r="E1020">
        <f>IF(OR(H1020="",P1020=""),"",INDEX('Students'!$C$2:$C$701,P1020))</f>
        <v/>
      </c>
      <c r="F1020" s="48">
        <f>IF(H1020="","",IF(ISNUMBER(O1020),O1020,J1020))</f>
        <v/>
      </c>
      <c r="G1020">
        <f>IF(H1020="","","OneCause")</f>
        <v/>
      </c>
      <c r="H1020">
        <f>IF(AND(I1020="",J1020="",K1020=""),"",IF(NOT(ISNUMBER(O1020)),"Bad amount",IF(O1020&lt;0,"Refund (not counted)",IF(O1020=0,"Zero amount",IF(NOT(ISNUMBER(N1020)),"Bad date",IF(P1020="","NAME NOT ON ROSTER",IF(L1020="","OK",IF(MATCH(L1020,$L$2:$L$3001,0)&lt;ROW()-1,"Duplicate (ignored)","OK"))))))))</f>
        <v/>
      </c>
      <c r="I1020">
        <f>IF(OC_Date=0,"",IF(INDEX('OneCause_Paste'!$A$1020:$AZ$1020,1,OC_Date)="","",INDEX('OneCause_Paste'!$A$1020:$AZ$1020,1,OC_Date)))</f>
        <v/>
      </c>
      <c r="J1020">
        <f>IF(OC_Amt=0,"",IF(INDEX('OneCause_Paste'!$A$1020:$AZ$1020,1,OC_Amt)="","",INDEX('OneCause_Paste'!$A$1020:$AZ$1020,1,OC_Amt)))</f>
        <v/>
      </c>
      <c r="K1020">
        <f>IF(OC_Name=0,"",IF(INDEX('OneCause_Paste'!$A$1020:$AZ$1020,1,OC_Name)="","",INDEX('OneCause_Paste'!$A$1020:$AZ$1020,1,OC_Name)))</f>
        <v/>
      </c>
      <c r="L1020">
        <f>IF(OC_Txn=0,"",IF(INDEX('OneCause_Paste'!$A$1020:$AZ$1020,1,OC_Txn)="","",INDEX('OneCause_Paste'!$A$1020:$AZ$1020,1,OC_Txn)))</f>
        <v/>
      </c>
      <c r="M1020">
        <f>IF(OC_Pay=0,"",IF(INDEX('OneCause_Paste'!$A$1020:$AZ$1020,1,OC_Pay)="","",INDEX('OneCause_Paste'!$A$1020:$AZ$1020,1,OC_Pay)))</f>
        <v/>
      </c>
      <c r="N1020">
        <f>IF(I1020="","",IF(ISNUMBER(I1020),INT(I1020),IFERROR(INT(DATEVALUE(I1020)),IFERROR(INT(VALUE(I1020)),"bad"))))</f>
        <v/>
      </c>
      <c r="O1020">
        <f>IF(J1020="","",IF(ISNUMBER(J1020),ROUND(J1020,2),IFERROR(ROUND(VALUE(SUBSTITUTE(SUBSTITUTE(SUBSTITUTE(J1020,"$",""),",","")," ","")),2),"bad")))</f>
        <v/>
      </c>
      <c r="P1020">
        <f>IF(TRIM(K1020)="","",IFERROR(MATCH(LOWER(TRIM(K1020)),'Students'!$AH$2:$AH$701,0),IFERROR(MATCH(LOWER(TRIM(K1020)),'Students'!$AF$2:$AF$701,0),IFERROR(MATCH(LOWER(TRIM(K1020)),'Students'!$AG$2:$AG$701,0),""))))</f>
        <v/>
      </c>
      <c r="R1020">
        <f>IF(P1020="","",INDEX('Students'!$AD$2:$AD$701,P1020))</f>
        <v/>
      </c>
      <c r="S1020">
        <f>IF(H1020="OK",O1020,0)</f>
        <v/>
      </c>
      <c r="T1020">
        <f>IF(H1020="OK",N1020,"")</f>
        <v/>
      </c>
      <c r="U1020">
        <f>IF(OC_Donor=0,"",IF(INDEX('OneCause_Paste'!$A$1020:$AZ$1020,1,OC_Donor)="","",INDEX('OneCause_Paste'!$A$1020:$AZ$1020,1,OC_Donor)))</f>
        <v/>
      </c>
    </row>
    <row r="1021">
      <c r="A1021" s="62">
        <f>IF(H1021="","",IF(ISNUMBER(N1021),N1021,I1021))</f>
        <v/>
      </c>
      <c r="B1021">
        <f>IF(H1021="","",U1021)</f>
        <v/>
      </c>
      <c r="C1021">
        <f>IF(H1021="","",IF(P1021="",K1021,INDEX('Students'!$A$2:$A$701,P1021)))</f>
        <v/>
      </c>
      <c r="D1021">
        <f>IF(OR(H1021="",P1021=""),"",INDEX('Students'!$B$2:$B$701,P1021))</f>
        <v/>
      </c>
      <c r="E1021">
        <f>IF(OR(H1021="",P1021=""),"",INDEX('Students'!$C$2:$C$701,P1021))</f>
        <v/>
      </c>
      <c r="F1021" s="48">
        <f>IF(H1021="","",IF(ISNUMBER(O1021),O1021,J1021))</f>
        <v/>
      </c>
      <c r="G1021">
        <f>IF(H1021="","","OneCause")</f>
        <v/>
      </c>
      <c r="H1021">
        <f>IF(AND(I1021="",J1021="",K1021=""),"",IF(NOT(ISNUMBER(O1021)),"Bad amount",IF(O1021&lt;0,"Refund (not counted)",IF(O1021=0,"Zero amount",IF(NOT(ISNUMBER(N1021)),"Bad date",IF(P1021="","NAME NOT ON ROSTER",IF(L1021="","OK",IF(MATCH(L1021,$L$2:$L$3001,0)&lt;ROW()-1,"Duplicate (ignored)","OK"))))))))</f>
        <v/>
      </c>
      <c r="I1021">
        <f>IF(OC_Date=0,"",IF(INDEX('OneCause_Paste'!$A$1021:$AZ$1021,1,OC_Date)="","",INDEX('OneCause_Paste'!$A$1021:$AZ$1021,1,OC_Date)))</f>
        <v/>
      </c>
      <c r="J1021">
        <f>IF(OC_Amt=0,"",IF(INDEX('OneCause_Paste'!$A$1021:$AZ$1021,1,OC_Amt)="","",INDEX('OneCause_Paste'!$A$1021:$AZ$1021,1,OC_Amt)))</f>
        <v/>
      </c>
      <c r="K1021">
        <f>IF(OC_Name=0,"",IF(INDEX('OneCause_Paste'!$A$1021:$AZ$1021,1,OC_Name)="","",INDEX('OneCause_Paste'!$A$1021:$AZ$1021,1,OC_Name)))</f>
        <v/>
      </c>
      <c r="L1021">
        <f>IF(OC_Txn=0,"",IF(INDEX('OneCause_Paste'!$A$1021:$AZ$1021,1,OC_Txn)="","",INDEX('OneCause_Paste'!$A$1021:$AZ$1021,1,OC_Txn)))</f>
        <v/>
      </c>
      <c r="M1021">
        <f>IF(OC_Pay=0,"",IF(INDEX('OneCause_Paste'!$A$1021:$AZ$1021,1,OC_Pay)="","",INDEX('OneCause_Paste'!$A$1021:$AZ$1021,1,OC_Pay)))</f>
        <v/>
      </c>
      <c r="N1021">
        <f>IF(I1021="","",IF(ISNUMBER(I1021),INT(I1021),IFERROR(INT(DATEVALUE(I1021)),IFERROR(INT(VALUE(I1021)),"bad"))))</f>
        <v/>
      </c>
      <c r="O1021">
        <f>IF(J1021="","",IF(ISNUMBER(J1021),ROUND(J1021,2),IFERROR(ROUND(VALUE(SUBSTITUTE(SUBSTITUTE(SUBSTITUTE(J1021,"$",""),",","")," ","")),2),"bad")))</f>
        <v/>
      </c>
      <c r="P1021">
        <f>IF(TRIM(K1021)="","",IFERROR(MATCH(LOWER(TRIM(K1021)),'Students'!$AH$2:$AH$701,0),IFERROR(MATCH(LOWER(TRIM(K1021)),'Students'!$AF$2:$AF$701,0),IFERROR(MATCH(LOWER(TRIM(K1021)),'Students'!$AG$2:$AG$701,0),""))))</f>
        <v/>
      </c>
      <c r="R1021">
        <f>IF(P1021="","",INDEX('Students'!$AD$2:$AD$701,P1021))</f>
        <v/>
      </c>
      <c r="S1021">
        <f>IF(H1021="OK",O1021,0)</f>
        <v/>
      </c>
      <c r="T1021">
        <f>IF(H1021="OK",N1021,"")</f>
        <v/>
      </c>
      <c r="U1021">
        <f>IF(OC_Donor=0,"",IF(INDEX('OneCause_Paste'!$A$1021:$AZ$1021,1,OC_Donor)="","",INDEX('OneCause_Paste'!$A$1021:$AZ$1021,1,OC_Donor)))</f>
        <v/>
      </c>
    </row>
    <row r="1022">
      <c r="A1022" s="62">
        <f>IF(H1022="","",IF(ISNUMBER(N1022),N1022,I1022))</f>
        <v/>
      </c>
      <c r="B1022">
        <f>IF(H1022="","",U1022)</f>
        <v/>
      </c>
      <c r="C1022">
        <f>IF(H1022="","",IF(P1022="",K1022,INDEX('Students'!$A$2:$A$701,P1022)))</f>
        <v/>
      </c>
      <c r="D1022">
        <f>IF(OR(H1022="",P1022=""),"",INDEX('Students'!$B$2:$B$701,P1022))</f>
        <v/>
      </c>
      <c r="E1022">
        <f>IF(OR(H1022="",P1022=""),"",INDEX('Students'!$C$2:$C$701,P1022))</f>
        <v/>
      </c>
      <c r="F1022" s="48">
        <f>IF(H1022="","",IF(ISNUMBER(O1022),O1022,J1022))</f>
        <v/>
      </c>
      <c r="G1022">
        <f>IF(H1022="","","OneCause")</f>
        <v/>
      </c>
      <c r="H1022">
        <f>IF(AND(I1022="",J1022="",K1022=""),"",IF(NOT(ISNUMBER(O1022)),"Bad amount",IF(O1022&lt;0,"Refund (not counted)",IF(O1022=0,"Zero amount",IF(NOT(ISNUMBER(N1022)),"Bad date",IF(P1022="","NAME NOT ON ROSTER",IF(L1022="","OK",IF(MATCH(L1022,$L$2:$L$3001,0)&lt;ROW()-1,"Duplicate (ignored)","OK"))))))))</f>
        <v/>
      </c>
      <c r="I1022">
        <f>IF(OC_Date=0,"",IF(INDEX('OneCause_Paste'!$A$1022:$AZ$1022,1,OC_Date)="","",INDEX('OneCause_Paste'!$A$1022:$AZ$1022,1,OC_Date)))</f>
        <v/>
      </c>
      <c r="J1022">
        <f>IF(OC_Amt=0,"",IF(INDEX('OneCause_Paste'!$A$1022:$AZ$1022,1,OC_Amt)="","",INDEX('OneCause_Paste'!$A$1022:$AZ$1022,1,OC_Amt)))</f>
        <v/>
      </c>
      <c r="K1022">
        <f>IF(OC_Name=0,"",IF(INDEX('OneCause_Paste'!$A$1022:$AZ$1022,1,OC_Name)="","",INDEX('OneCause_Paste'!$A$1022:$AZ$1022,1,OC_Name)))</f>
        <v/>
      </c>
      <c r="L1022">
        <f>IF(OC_Txn=0,"",IF(INDEX('OneCause_Paste'!$A$1022:$AZ$1022,1,OC_Txn)="","",INDEX('OneCause_Paste'!$A$1022:$AZ$1022,1,OC_Txn)))</f>
        <v/>
      </c>
      <c r="M1022">
        <f>IF(OC_Pay=0,"",IF(INDEX('OneCause_Paste'!$A$1022:$AZ$1022,1,OC_Pay)="","",INDEX('OneCause_Paste'!$A$1022:$AZ$1022,1,OC_Pay)))</f>
        <v/>
      </c>
      <c r="N1022">
        <f>IF(I1022="","",IF(ISNUMBER(I1022),INT(I1022),IFERROR(INT(DATEVALUE(I1022)),IFERROR(INT(VALUE(I1022)),"bad"))))</f>
        <v/>
      </c>
      <c r="O1022">
        <f>IF(J1022="","",IF(ISNUMBER(J1022),ROUND(J1022,2),IFERROR(ROUND(VALUE(SUBSTITUTE(SUBSTITUTE(SUBSTITUTE(J1022,"$",""),",","")," ","")),2),"bad")))</f>
        <v/>
      </c>
      <c r="P1022">
        <f>IF(TRIM(K1022)="","",IFERROR(MATCH(LOWER(TRIM(K1022)),'Students'!$AH$2:$AH$701,0),IFERROR(MATCH(LOWER(TRIM(K1022)),'Students'!$AF$2:$AF$701,0),IFERROR(MATCH(LOWER(TRIM(K1022)),'Students'!$AG$2:$AG$701,0),""))))</f>
        <v/>
      </c>
      <c r="R1022">
        <f>IF(P1022="","",INDEX('Students'!$AD$2:$AD$701,P1022))</f>
        <v/>
      </c>
      <c r="S1022">
        <f>IF(H1022="OK",O1022,0)</f>
        <v/>
      </c>
      <c r="T1022">
        <f>IF(H1022="OK",N1022,"")</f>
        <v/>
      </c>
      <c r="U1022">
        <f>IF(OC_Donor=0,"",IF(INDEX('OneCause_Paste'!$A$1022:$AZ$1022,1,OC_Donor)="","",INDEX('OneCause_Paste'!$A$1022:$AZ$1022,1,OC_Donor)))</f>
        <v/>
      </c>
    </row>
    <row r="1023">
      <c r="A1023" s="62">
        <f>IF(H1023="","",IF(ISNUMBER(N1023),N1023,I1023))</f>
        <v/>
      </c>
      <c r="B1023">
        <f>IF(H1023="","",U1023)</f>
        <v/>
      </c>
      <c r="C1023">
        <f>IF(H1023="","",IF(P1023="",K1023,INDEX('Students'!$A$2:$A$701,P1023)))</f>
        <v/>
      </c>
      <c r="D1023">
        <f>IF(OR(H1023="",P1023=""),"",INDEX('Students'!$B$2:$B$701,P1023))</f>
        <v/>
      </c>
      <c r="E1023">
        <f>IF(OR(H1023="",P1023=""),"",INDEX('Students'!$C$2:$C$701,P1023))</f>
        <v/>
      </c>
      <c r="F1023" s="48">
        <f>IF(H1023="","",IF(ISNUMBER(O1023),O1023,J1023))</f>
        <v/>
      </c>
      <c r="G1023">
        <f>IF(H1023="","","OneCause")</f>
        <v/>
      </c>
      <c r="H1023">
        <f>IF(AND(I1023="",J1023="",K1023=""),"",IF(NOT(ISNUMBER(O1023)),"Bad amount",IF(O1023&lt;0,"Refund (not counted)",IF(O1023=0,"Zero amount",IF(NOT(ISNUMBER(N1023)),"Bad date",IF(P1023="","NAME NOT ON ROSTER",IF(L1023="","OK",IF(MATCH(L1023,$L$2:$L$3001,0)&lt;ROW()-1,"Duplicate (ignored)","OK"))))))))</f>
        <v/>
      </c>
      <c r="I1023">
        <f>IF(OC_Date=0,"",IF(INDEX('OneCause_Paste'!$A$1023:$AZ$1023,1,OC_Date)="","",INDEX('OneCause_Paste'!$A$1023:$AZ$1023,1,OC_Date)))</f>
        <v/>
      </c>
      <c r="J1023">
        <f>IF(OC_Amt=0,"",IF(INDEX('OneCause_Paste'!$A$1023:$AZ$1023,1,OC_Amt)="","",INDEX('OneCause_Paste'!$A$1023:$AZ$1023,1,OC_Amt)))</f>
        <v/>
      </c>
      <c r="K1023">
        <f>IF(OC_Name=0,"",IF(INDEX('OneCause_Paste'!$A$1023:$AZ$1023,1,OC_Name)="","",INDEX('OneCause_Paste'!$A$1023:$AZ$1023,1,OC_Name)))</f>
        <v/>
      </c>
      <c r="L1023">
        <f>IF(OC_Txn=0,"",IF(INDEX('OneCause_Paste'!$A$1023:$AZ$1023,1,OC_Txn)="","",INDEX('OneCause_Paste'!$A$1023:$AZ$1023,1,OC_Txn)))</f>
        <v/>
      </c>
      <c r="M1023">
        <f>IF(OC_Pay=0,"",IF(INDEX('OneCause_Paste'!$A$1023:$AZ$1023,1,OC_Pay)="","",INDEX('OneCause_Paste'!$A$1023:$AZ$1023,1,OC_Pay)))</f>
        <v/>
      </c>
      <c r="N1023">
        <f>IF(I1023="","",IF(ISNUMBER(I1023),INT(I1023),IFERROR(INT(DATEVALUE(I1023)),IFERROR(INT(VALUE(I1023)),"bad"))))</f>
        <v/>
      </c>
      <c r="O1023">
        <f>IF(J1023="","",IF(ISNUMBER(J1023),ROUND(J1023,2),IFERROR(ROUND(VALUE(SUBSTITUTE(SUBSTITUTE(SUBSTITUTE(J1023,"$",""),",","")," ","")),2),"bad")))</f>
        <v/>
      </c>
      <c r="P1023">
        <f>IF(TRIM(K1023)="","",IFERROR(MATCH(LOWER(TRIM(K1023)),'Students'!$AH$2:$AH$701,0),IFERROR(MATCH(LOWER(TRIM(K1023)),'Students'!$AF$2:$AF$701,0),IFERROR(MATCH(LOWER(TRIM(K1023)),'Students'!$AG$2:$AG$701,0),""))))</f>
        <v/>
      </c>
      <c r="R1023">
        <f>IF(P1023="","",INDEX('Students'!$AD$2:$AD$701,P1023))</f>
        <v/>
      </c>
      <c r="S1023">
        <f>IF(H1023="OK",O1023,0)</f>
        <v/>
      </c>
      <c r="T1023">
        <f>IF(H1023="OK",N1023,"")</f>
        <v/>
      </c>
      <c r="U1023">
        <f>IF(OC_Donor=0,"",IF(INDEX('OneCause_Paste'!$A$1023:$AZ$1023,1,OC_Donor)="","",INDEX('OneCause_Paste'!$A$1023:$AZ$1023,1,OC_Donor)))</f>
        <v/>
      </c>
    </row>
    <row r="1024">
      <c r="A1024" s="62">
        <f>IF(H1024="","",IF(ISNUMBER(N1024),N1024,I1024))</f>
        <v/>
      </c>
      <c r="B1024">
        <f>IF(H1024="","",U1024)</f>
        <v/>
      </c>
      <c r="C1024">
        <f>IF(H1024="","",IF(P1024="",K1024,INDEX('Students'!$A$2:$A$701,P1024)))</f>
        <v/>
      </c>
      <c r="D1024">
        <f>IF(OR(H1024="",P1024=""),"",INDEX('Students'!$B$2:$B$701,P1024))</f>
        <v/>
      </c>
      <c r="E1024">
        <f>IF(OR(H1024="",P1024=""),"",INDEX('Students'!$C$2:$C$701,P1024))</f>
        <v/>
      </c>
      <c r="F1024" s="48">
        <f>IF(H1024="","",IF(ISNUMBER(O1024),O1024,J1024))</f>
        <v/>
      </c>
      <c r="G1024">
        <f>IF(H1024="","","OneCause")</f>
        <v/>
      </c>
      <c r="H1024">
        <f>IF(AND(I1024="",J1024="",K1024=""),"",IF(NOT(ISNUMBER(O1024)),"Bad amount",IF(O1024&lt;0,"Refund (not counted)",IF(O1024=0,"Zero amount",IF(NOT(ISNUMBER(N1024)),"Bad date",IF(P1024="","NAME NOT ON ROSTER",IF(L1024="","OK",IF(MATCH(L1024,$L$2:$L$3001,0)&lt;ROW()-1,"Duplicate (ignored)","OK"))))))))</f>
        <v/>
      </c>
      <c r="I1024">
        <f>IF(OC_Date=0,"",IF(INDEX('OneCause_Paste'!$A$1024:$AZ$1024,1,OC_Date)="","",INDEX('OneCause_Paste'!$A$1024:$AZ$1024,1,OC_Date)))</f>
        <v/>
      </c>
      <c r="J1024">
        <f>IF(OC_Amt=0,"",IF(INDEX('OneCause_Paste'!$A$1024:$AZ$1024,1,OC_Amt)="","",INDEX('OneCause_Paste'!$A$1024:$AZ$1024,1,OC_Amt)))</f>
        <v/>
      </c>
      <c r="K1024">
        <f>IF(OC_Name=0,"",IF(INDEX('OneCause_Paste'!$A$1024:$AZ$1024,1,OC_Name)="","",INDEX('OneCause_Paste'!$A$1024:$AZ$1024,1,OC_Name)))</f>
        <v/>
      </c>
      <c r="L1024">
        <f>IF(OC_Txn=0,"",IF(INDEX('OneCause_Paste'!$A$1024:$AZ$1024,1,OC_Txn)="","",INDEX('OneCause_Paste'!$A$1024:$AZ$1024,1,OC_Txn)))</f>
        <v/>
      </c>
      <c r="M1024">
        <f>IF(OC_Pay=0,"",IF(INDEX('OneCause_Paste'!$A$1024:$AZ$1024,1,OC_Pay)="","",INDEX('OneCause_Paste'!$A$1024:$AZ$1024,1,OC_Pay)))</f>
        <v/>
      </c>
      <c r="N1024">
        <f>IF(I1024="","",IF(ISNUMBER(I1024),INT(I1024),IFERROR(INT(DATEVALUE(I1024)),IFERROR(INT(VALUE(I1024)),"bad"))))</f>
        <v/>
      </c>
      <c r="O1024">
        <f>IF(J1024="","",IF(ISNUMBER(J1024),ROUND(J1024,2),IFERROR(ROUND(VALUE(SUBSTITUTE(SUBSTITUTE(SUBSTITUTE(J1024,"$",""),",","")," ","")),2),"bad")))</f>
        <v/>
      </c>
      <c r="P1024">
        <f>IF(TRIM(K1024)="","",IFERROR(MATCH(LOWER(TRIM(K1024)),'Students'!$AH$2:$AH$701,0),IFERROR(MATCH(LOWER(TRIM(K1024)),'Students'!$AF$2:$AF$701,0),IFERROR(MATCH(LOWER(TRIM(K1024)),'Students'!$AG$2:$AG$701,0),""))))</f>
        <v/>
      </c>
      <c r="R1024">
        <f>IF(P1024="","",INDEX('Students'!$AD$2:$AD$701,P1024))</f>
        <v/>
      </c>
      <c r="S1024">
        <f>IF(H1024="OK",O1024,0)</f>
        <v/>
      </c>
      <c r="T1024">
        <f>IF(H1024="OK",N1024,"")</f>
        <v/>
      </c>
      <c r="U1024">
        <f>IF(OC_Donor=0,"",IF(INDEX('OneCause_Paste'!$A$1024:$AZ$1024,1,OC_Donor)="","",INDEX('OneCause_Paste'!$A$1024:$AZ$1024,1,OC_Donor)))</f>
        <v/>
      </c>
    </row>
    <row r="1025">
      <c r="A1025" s="62">
        <f>IF(H1025="","",IF(ISNUMBER(N1025),N1025,I1025))</f>
        <v/>
      </c>
      <c r="B1025">
        <f>IF(H1025="","",U1025)</f>
        <v/>
      </c>
      <c r="C1025">
        <f>IF(H1025="","",IF(P1025="",K1025,INDEX('Students'!$A$2:$A$701,P1025)))</f>
        <v/>
      </c>
      <c r="D1025">
        <f>IF(OR(H1025="",P1025=""),"",INDEX('Students'!$B$2:$B$701,P1025))</f>
        <v/>
      </c>
      <c r="E1025">
        <f>IF(OR(H1025="",P1025=""),"",INDEX('Students'!$C$2:$C$701,P1025))</f>
        <v/>
      </c>
      <c r="F1025" s="48">
        <f>IF(H1025="","",IF(ISNUMBER(O1025),O1025,J1025))</f>
        <v/>
      </c>
      <c r="G1025">
        <f>IF(H1025="","","OneCause")</f>
        <v/>
      </c>
      <c r="H1025">
        <f>IF(AND(I1025="",J1025="",K1025=""),"",IF(NOT(ISNUMBER(O1025)),"Bad amount",IF(O1025&lt;0,"Refund (not counted)",IF(O1025=0,"Zero amount",IF(NOT(ISNUMBER(N1025)),"Bad date",IF(P1025="","NAME NOT ON ROSTER",IF(L1025="","OK",IF(MATCH(L1025,$L$2:$L$3001,0)&lt;ROW()-1,"Duplicate (ignored)","OK"))))))))</f>
        <v/>
      </c>
      <c r="I1025">
        <f>IF(OC_Date=0,"",IF(INDEX('OneCause_Paste'!$A$1025:$AZ$1025,1,OC_Date)="","",INDEX('OneCause_Paste'!$A$1025:$AZ$1025,1,OC_Date)))</f>
        <v/>
      </c>
      <c r="J1025">
        <f>IF(OC_Amt=0,"",IF(INDEX('OneCause_Paste'!$A$1025:$AZ$1025,1,OC_Amt)="","",INDEX('OneCause_Paste'!$A$1025:$AZ$1025,1,OC_Amt)))</f>
        <v/>
      </c>
      <c r="K1025">
        <f>IF(OC_Name=0,"",IF(INDEX('OneCause_Paste'!$A$1025:$AZ$1025,1,OC_Name)="","",INDEX('OneCause_Paste'!$A$1025:$AZ$1025,1,OC_Name)))</f>
        <v/>
      </c>
      <c r="L1025">
        <f>IF(OC_Txn=0,"",IF(INDEX('OneCause_Paste'!$A$1025:$AZ$1025,1,OC_Txn)="","",INDEX('OneCause_Paste'!$A$1025:$AZ$1025,1,OC_Txn)))</f>
        <v/>
      </c>
      <c r="M1025">
        <f>IF(OC_Pay=0,"",IF(INDEX('OneCause_Paste'!$A$1025:$AZ$1025,1,OC_Pay)="","",INDEX('OneCause_Paste'!$A$1025:$AZ$1025,1,OC_Pay)))</f>
        <v/>
      </c>
      <c r="N1025">
        <f>IF(I1025="","",IF(ISNUMBER(I1025),INT(I1025),IFERROR(INT(DATEVALUE(I1025)),IFERROR(INT(VALUE(I1025)),"bad"))))</f>
        <v/>
      </c>
      <c r="O1025">
        <f>IF(J1025="","",IF(ISNUMBER(J1025),ROUND(J1025,2),IFERROR(ROUND(VALUE(SUBSTITUTE(SUBSTITUTE(SUBSTITUTE(J1025,"$",""),",","")," ","")),2),"bad")))</f>
        <v/>
      </c>
      <c r="P1025">
        <f>IF(TRIM(K1025)="","",IFERROR(MATCH(LOWER(TRIM(K1025)),'Students'!$AH$2:$AH$701,0),IFERROR(MATCH(LOWER(TRIM(K1025)),'Students'!$AF$2:$AF$701,0),IFERROR(MATCH(LOWER(TRIM(K1025)),'Students'!$AG$2:$AG$701,0),""))))</f>
        <v/>
      </c>
      <c r="R1025">
        <f>IF(P1025="","",INDEX('Students'!$AD$2:$AD$701,P1025))</f>
        <v/>
      </c>
      <c r="S1025">
        <f>IF(H1025="OK",O1025,0)</f>
        <v/>
      </c>
      <c r="T1025">
        <f>IF(H1025="OK",N1025,"")</f>
        <v/>
      </c>
      <c r="U1025">
        <f>IF(OC_Donor=0,"",IF(INDEX('OneCause_Paste'!$A$1025:$AZ$1025,1,OC_Donor)="","",INDEX('OneCause_Paste'!$A$1025:$AZ$1025,1,OC_Donor)))</f>
        <v/>
      </c>
    </row>
    <row r="1026">
      <c r="A1026" s="62">
        <f>IF(H1026="","",IF(ISNUMBER(N1026),N1026,I1026))</f>
        <v/>
      </c>
      <c r="B1026">
        <f>IF(H1026="","",U1026)</f>
        <v/>
      </c>
      <c r="C1026">
        <f>IF(H1026="","",IF(P1026="",K1026,INDEX('Students'!$A$2:$A$701,P1026)))</f>
        <v/>
      </c>
      <c r="D1026">
        <f>IF(OR(H1026="",P1026=""),"",INDEX('Students'!$B$2:$B$701,P1026))</f>
        <v/>
      </c>
      <c r="E1026">
        <f>IF(OR(H1026="",P1026=""),"",INDEX('Students'!$C$2:$C$701,P1026))</f>
        <v/>
      </c>
      <c r="F1026" s="48">
        <f>IF(H1026="","",IF(ISNUMBER(O1026),O1026,J1026))</f>
        <v/>
      </c>
      <c r="G1026">
        <f>IF(H1026="","","OneCause")</f>
        <v/>
      </c>
      <c r="H1026">
        <f>IF(AND(I1026="",J1026="",K1026=""),"",IF(NOT(ISNUMBER(O1026)),"Bad amount",IF(O1026&lt;0,"Refund (not counted)",IF(O1026=0,"Zero amount",IF(NOT(ISNUMBER(N1026)),"Bad date",IF(P1026="","NAME NOT ON ROSTER",IF(L1026="","OK",IF(MATCH(L1026,$L$2:$L$3001,0)&lt;ROW()-1,"Duplicate (ignored)","OK"))))))))</f>
        <v/>
      </c>
      <c r="I1026">
        <f>IF(OC_Date=0,"",IF(INDEX('OneCause_Paste'!$A$1026:$AZ$1026,1,OC_Date)="","",INDEX('OneCause_Paste'!$A$1026:$AZ$1026,1,OC_Date)))</f>
        <v/>
      </c>
      <c r="J1026">
        <f>IF(OC_Amt=0,"",IF(INDEX('OneCause_Paste'!$A$1026:$AZ$1026,1,OC_Amt)="","",INDEX('OneCause_Paste'!$A$1026:$AZ$1026,1,OC_Amt)))</f>
        <v/>
      </c>
      <c r="K1026">
        <f>IF(OC_Name=0,"",IF(INDEX('OneCause_Paste'!$A$1026:$AZ$1026,1,OC_Name)="","",INDEX('OneCause_Paste'!$A$1026:$AZ$1026,1,OC_Name)))</f>
        <v/>
      </c>
      <c r="L1026">
        <f>IF(OC_Txn=0,"",IF(INDEX('OneCause_Paste'!$A$1026:$AZ$1026,1,OC_Txn)="","",INDEX('OneCause_Paste'!$A$1026:$AZ$1026,1,OC_Txn)))</f>
        <v/>
      </c>
      <c r="M1026">
        <f>IF(OC_Pay=0,"",IF(INDEX('OneCause_Paste'!$A$1026:$AZ$1026,1,OC_Pay)="","",INDEX('OneCause_Paste'!$A$1026:$AZ$1026,1,OC_Pay)))</f>
        <v/>
      </c>
      <c r="N1026">
        <f>IF(I1026="","",IF(ISNUMBER(I1026),INT(I1026),IFERROR(INT(DATEVALUE(I1026)),IFERROR(INT(VALUE(I1026)),"bad"))))</f>
        <v/>
      </c>
      <c r="O1026">
        <f>IF(J1026="","",IF(ISNUMBER(J1026),ROUND(J1026,2),IFERROR(ROUND(VALUE(SUBSTITUTE(SUBSTITUTE(SUBSTITUTE(J1026,"$",""),",","")," ","")),2),"bad")))</f>
        <v/>
      </c>
      <c r="P1026">
        <f>IF(TRIM(K1026)="","",IFERROR(MATCH(LOWER(TRIM(K1026)),'Students'!$AH$2:$AH$701,0),IFERROR(MATCH(LOWER(TRIM(K1026)),'Students'!$AF$2:$AF$701,0),IFERROR(MATCH(LOWER(TRIM(K1026)),'Students'!$AG$2:$AG$701,0),""))))</f>
        <v/>
      </c>
      <c r="R1026">
        <f>IF(P1026="","",INDEX('Students'!$AD$2:$AD$701,P1026))</f>
        <v/>
      </c>
      <c r="S1026">
        <f>IF(H1026="OK",O1026,0)</f>
        <v/>
      </c>
      <c r="T1026">
        <f>IF(H1026="OK",N1026,"")</f>
        <v/>
      </c>
      <c r="U1026">
        <f>IF(OC_Donor=0,"",IF(INDEX('OneCause_Paste'!$A$1026:$AZ$1026,1,OC_Donor)="","",INDEX('OneCause_Paste'!$A$1026:$AZ$1026,1,OC_Donor)))</f>
        <v/>
      </c>
    </row>
    <row r="1027">
      <c r="A1027" s="62">
        <f>IF(H1027="","",IF(ISNUMBER(N1027),N1027,I1027))</f>
        <v/>
      </c>
      <c r="B1027">
        <f>IF(H1027="","",U1027)</f>
        <v/>
      </c>
      <c r="C1027">
        <f>IF(H1027="","",IF(P1027="",K1027,INDEX('Students'!$A$2:$A$701,P1027)))</f>
        <v/>
      </c>
      <c r="D1027">
        <f>IF(OR(H1027="",P1027=""),"",INDEX('Students'!$B$2:$B$701,P1027))</f>
        <v/>
      </c>
      <c r="E1027">
        <f>IF(OR(H1027="",P1027=""),"",INDEX('Students'!$C$2:$C$701,P1027))</f>
        <v/>
      </c>
      <c r="F1027" s="48">
        <f>IF(H1027="","",IF(ISNUMBER(O1027),O1027,J1027))</f>
        <v/>
      </c>
      <c r="G1027">
        <f>IF(H1027="","","OneCause")</f>
        <v/>
      </c>
      <c r="H1027">
        <f>IF(AND(I1027="",J1027="",K1027=""),"",IF(NOT(ISNUMBER(O1027)),"Bad amount",IF(O1027&lt;0,"Refund (not counted)",IF(O1027=0,"Zero amount",IF(NOT(ISNUMBER(N1027)),"Bad date",IF(P1027="","NAME NOT ON ROSTER",IF(L1027="","OK",IF(MATCH(L1027,$L$2:$L$3001,0)&lt;ROW()-1,"Duplicate (ignored)","OK"))))))))</f>
        <v/>
      </c>
      <c r="I1027">
        <f>IF(OC_Date=0,"",IF(INDEX('OneCause_Paste'!$A$1027:$AZ$1027,1,OC_Date)="","",INDEX('OneCause_Paste'!$A$1027:$AZ$1027,1,OC_Date)))</f>
        <v/>
      </c>
      <c r="J1027">
        <f>IF(OC_Amt=0,"",IF(INDEX('OneCause_Paste'!$A$1027:$AZ$1027,1,OC_Amt)="","",INDEX('OneCause_Paste'!$A$1027:$AZ$1027,1,OC_Amt)))</f>
        <v/>
      </c>
      <c r="K1027">
        <f>IF(OC_Name=0,"",IF(INDEX('OneCause_Paste'!$A$1027:$AZ$1027,1,OC_Name)="","",INDEX('OneCause_Paste'!$A$1027:$AZ$1027,1,OC_Name)))</f>
        <v/>
      </c>
      <c r="L1027">
        <f>IF(OC_Txn=0,"",IF(INDEX('OneCause_Paste'!$A$1027:$AZ$1027,1,OC_Txn)="","",INDEX('OneCause_Paste'!$A$1027:$AZ$1027,1,OC_Txn)))</f>
        <v/>
      </c>
      <c r="M1027">
        <f>IF(OC_Pay=0,"",IF(INDEX('OneCause_Paste'!$A$1027:$AZ$1027,1,OC_Pay)="","",INDEX('OneCause_Paste'!$A$1027:$AZ$1027,1,OC_Pay)))</f>
        <v/>
      </c>
      <c r="N1027">
        <f>IF(I1027="","",IF(ISNUMBER(I1027),INT(I1027),IFERROR(INT(DATEVALUE(I1027)),IFERROR(INT(VALUE(I1027)),"bad"))))</f>
        <v/>
      </c>
      <c r="O1027">
        <f>IF(J1027="","",IF(ISNUMBER(J1027),ROUND(J1027,2),IFERROR(ROUND(VALUE(SUBSTITUTE(SUBSTITUTE(SUBSTITUTE(J1027,"$",""),",","")," ","")),2),"bad")))</f>
        <v/>
      </c>
      <c r="P1027">
        <f>IF(TRIM(K1027)="","",IFERROR(MATCH(LOWER(TRIM(K1027)),'Students'!$AH$2:$AH$701,0),IFERROR(MATCH(LOWER(TRIM(K1027)),'Students'!$AF$2:$AF$701,0),IFERROR(MATCH(LOWER(TRIM(K1027)),'Students'!$AG$2:$AG$701,0),""))))</f>
        <v/>
      </c>
      <c r="R1027">
        <f>IF(P1027="","",INDEX('Students'!$AD$2:$AD$701,P1027))</f>
        <v/>
      </c>
      <c r="S1027">
        <f>IF(H1027="OK",O1027,0)</f>
        <v/>
      </c>
      <c r="T1027">
        <f>IF(H1027="OK",N1027,"")</f>
        <v/>
      </c>
      <c r="U1027">
        <f>IF(OC_Donor=0,"",IF(INDEX('OneCause_Paste'!$A$1027:$AZ$1027,1,OC_Donor)="","",INDEX('OneCause_Paste'!$A$1027:$AZ$1027,1,OC_Donor)))</f>
        <v/>
      </c>
    </row>
    <row r="1028">
      <c r="A1028" s="62">
        <f>IF(H1028="","",IF(ISNUMBER(N1028),N1028,I1028))</f>
        <v/>
      </c>
      <c r="B1028">
        <f>IF(H1028="","",U1028)</f>
        <v/>
      </c>
      <c r="C1028">
        <f>IF(H1028="","",IF(P1028="",K1028,INDEX('Students'!$A$2:$A$701,P1028)))</f>
        <v/>
      </c>
      <c r="D1028">
        <f>IF(OR(H1028="",P1028=""),"",INDEX('Students'!$B$2:$B$701,P1028))</f>
        <v/>
      </c>
      <c r="E1028">
        <f>IF(OR(H1028="",P1028=""),"",INDEX('Students'!$C$2:$C$701,P1028))</f>
        <v/>
      </c>
      <c r="F1028" s="48">
        <f>IF(H1028="","",IF(ISNUMBER(O1028),O1028,J1028))</f>
        <v/>
      </c>
      <c r="G1028">
        <f>IF(H1028="","","OneCause")</f>
        <v/>
      </c>
      <c r="H1028">
        <f>IF(AND(I1028="",J1028="",K1028=""),"",IF(NOT(ISNUMBER(O1028)),"Bad amount",IF(O1028&lt;0,"Refund (not counted)",IF(O1028=0,"Zero amount",IF(NOT(ISNUMBER(N1028)),"Bad date",IF(P1028="","NAME NOT ON ROSTER",IF(L1028="","OK",IF(MATCH(L1028,$L$2:$L$3001,0)&lt;ROW()-1,"Duplicate (ignored)","OK"))))))))</f>
        <v/>
      </c>
      <c r="I1028">
        <f>IF(OC_Date=0,"",IF(INDEX('OneCause_Paste'!$A$1028:$AZ$1028,1,OC_Date)="","",INDEX('OneCause_Paste'!$A$1028:$AZ$1028,1,OC_Date)))</f>
        <v/>
      </c>
      <c r="J1028">
        <f>IF(OC_Amt=0,"",IF(INDEX('OneCause_Paste'!$A$1028:$AZ$1028,1,OC_Amt)="","",INDEX('OneCause_Paste'!$A$1028:$AZ$1028,1,OC_Amt)))</f>
        <v/>
      </c>
      <c r="K1028">
        <f>IF(OC_Name=0,"",IF(INDEX('OneCause_Paste'!$A$1028:$AZ$1028,1,OC_Name)="","",INDEX('OneCause_Paste'!$A$1028:$AZ$1028,1,OC_Name)))</f>
        <v/>
      </c>
      <c r="L1028">
        <f>IF(OC_Txn=0,"",IF(INDEX('OneCause_Paste'!$A$1028:$AZ$1028,1,OC_Txn)="","",INDEX('OneCause_Paste'!$A$1028:$AZ$1028,1,OC_Txn)))</f>
        <v/>
      </c>
      <c r="M1028">
        <f>IF(OC_Pay=0,"",IF(INDEX('OneCause_Paste'!$A$1028:$AZ$1028,1,OC_Pay)="","",INDEX('OneCause_Paste'!$A$1028:$AZ$1028,1,OC_Pay)))</f>
        <v/>
      </c>
      <c r="N1028">
        <f>IF(I1028="","",IF(ISNUMBER(I1028),INT(I1028),IFERROR(INT(DATEVALUE(I1028)),IFERROR(INT(VALUE(I1028)),"bad"))))</f>
        <v/>
      </c>
      <c r="O1028">
        <f>IF(J1028="","",IF(ISNUMBER(J1028),ROUND(J1028,2),IFERROR(ROUND(VALUE(SUBSTITUTE(SUBSTITUTE(SUBSTITUTE(J1028,"$",""),",","")," ","")),2),"bad")))</f>
        <v/>
      </c>
      <c r="P1028">
        <f>IF(TRIM(K1028)="","",IFERROR(MATCH(LOWER(TRIM(K1028)),'Students'!$AH$2:$AH$701,0),IFERROR(MATCH(LOWER(TRIM(K1028)),'Students'!$AF$2:$AF$701,0),IFERROR(MATCH(LOWER(TRIM(K1028)),'Students'!$AG$2:$AG$701,0),""))))</f>
        <v/>
      </c>
      <c r="R1028">
        <f>IF(P1028="","",INDEX('Students'!$AD$2:$AD$701,P1028))</f>
        <v/>
      </c>
      <c r="S1028">
        <f>IF(H1028="OK",O1028,0)</f>
        <v/>
      </c>
      <c r="T1028">
        <f>IF(H1028="OK",N1028,"")</f>
        <v/>
      </c>
      <c r="U1028">
        <f>IF(OC_Donor=0,"",IF(INDEX('OneCause_Paste'!$A$1028:$AZ$1028,1,OC_Donor)="","",INDEX('OneCause_Paste'!$A$1028:$AZ$1028,1,OC_Donor)))</f>
        <v/>
      </c>
    </row>
    <row r="1029">
      <c r="A1029" s="62">
        <f>IF(H1029="","",IF(ISNUMBER(N1029),N1029,I1029))</f>
        <v/>
      </c>
      <c r="B1029">
        <f>IF(H1029="","",U1029)</f>
        <v/>
      </c>
      <c r="C1029">
        <f>IF(H1029="","",IF(P1029="",K1029,INDEX('Students'!$A$2:$A$701,P1029)))</f>
        <v/>
      </c>
      <c r="D1029">
        <f>IF(OR(H1029="",P1029=""),"",INDEX('Students'!$B$2:$B$701,P1029))</f>
        <v/>
      </c>
      <c r="E1029">
        <f>IF(OR(H1029="",P1029=""),"",INDEX('Students'!$C$2:$C$701,P1029))</f>
        <v/>
      </c>
      <c r="F1029" s="48">
        <f>IF(H1029="","",IF(ISNUMBER(O1029),O1029,J1029))</f>
        <v/>
      </c>
      <c r="G1029">
        <f>IF(H1029="","","OneCause")</f>
        <v/>
      </c>
      <c r="H1029">
        <f>IF(AND(I1029="",J1029="",K1029=""),"",IF(NOT(ISNUMBER(O1029)),"Bad amount",IF(O1029&lt;0,"Refund (not counted)",IF(O1029=0,"Zero amount",IF(NOT(ISNUMBER(N1029)),"Bad date",IF(P1029="","NAME NOT ON ROSTER",IF(L1029="","OK",IF(MATCH(L1029,$L$2:$L$3001,0)&lt;ROW()-1,"Duplicate (ignored)","OK"))))))))</f>
        <v/>
      </c>
      <c r="I1029">
        <f>IF(OC_Date=0,"",IF(INDEX('OneCause_Paste'!$A$1029:$AZ$1029,1,OC_Date)="","",INDEX('OneCause_Paste'!$A$1029:$AZ$1029,1,OC_Date)))</f>
        <v/>
      </c>
      <c r="J1029">
        <f>IF(OC_Amt=0,"",IF(INDEX('OneCause_Paste'!$A$1029:$AZ$1029,1,OC_Amt)="","",INDEX('OneCause_Paste'!$A$1029:$AZ$1029,1,OC_Amt)))</f>
        <v/>
      </c>
      <c r="K1029">
        <f>IF(OC_Name=0,"",IF(INDEX('OneCause_Paste'!$A$1029:$AZ$1029,1,OC_Name)="","",INDEX('OneCause_Paste'!$A$1029:$AZ$1029,1,OC_Name)))</f>
        <v/>
      </c>
      <c r="L1029">
        <f>IF(OC_Txn=0,"",IF(INDEX('OneCause_Paste'!$A$1029:$AZ$1029,1,OC_Txn)="","",INDEX('OneCause_Paste'!$A$1029:$AZ$1029,1,OC_Txn)))</f>
        <v/>
      </c>
      <c r="M1029">
        <f>IF(OC_Pay=0,"",IF(INDEX('OneCause_Paste'!$A$1029:$AZ$1029,1,OC_Pay)="","",INDEX('OneCause_Paste'!$A$1029:$AZ$1029,1,OC_Pay)))</f>
        <v/>
      </c>
      <c r="N1029">
        <f>IF(I1029="","",IF(ISNUMBER(I1029),INT(I1029),IFERROR(INT(DATEVALUE(I1029)),IFERROR(INT(VALUE(I1029)),"bad"))))</f>
        <v/>
      </c>
      <c r="O1029">
        <f>IF(J1029="","",IF(ISNUMBER(J1029),ROUND(J1029,2),IFERROR(ROUND(VALUE(SUBSTITUTE(SUBSTITUTE(SUBSTITUTE(J1029,"$",""),",","")," ","")),2),"bad")))</f>
        <v/>
      </c>
      <c r="P1029">
        <f>IF(TRIM(K1029)="","",IFERROR(MATCH(LOWER(TRIM(K1029)),'Students'!$AH$2:$AH$701,0),IFERROR(MATCH(LOWER(TRIM(K1029)),'Students'!$AF$2:$AF$701,0),IFERROR(MATCH(LOWER(TRIM(K1029)),'Students'!$AG$2:$AG$701,0),""))))</f>
        <v/>
      </c>
      <c r="R1029">
        <f>IF(P1029="","",INDEX('Students'!$AD$2:$AD$701,P1029))</f>
        <v/>
      </c>
      <c r="S1029">
        <f>IF(H1029="OK",O1029,0)</f>
        <v/>
      </c>
      <c r="T1029">
        <f>IF(H1029="OK",N1029,"")</f>
        <v/>
      </c>
      <c r="U1029">
        <f>IF(OC_Donor=0,"",IF(INDEX('OneCause_Paste'!$A$1029:$AZ$1029,1,OC_Donor)="","",INDEX('OneCause_Paste'!$A$1029:$AZ$1029,1,OC_Donor)))</f>
        <v/>
      </c>
    </row>
    <row r="1030">
      <c r="A1030" s="62">
        <f>IF(H1030="","",IF(ISNUMBER(N1030),N1030,I1030))</f>
        <v/>
      </c>
      <c r="B1030">
        <f>IF(H1030="","",U1030)</f>
        <v/>
      </c>
      <c r="C1030">
        <f>IF(H1030="","",IF(P1030="",K1030,INDEX('Students'!$A$2:$A$701,P1030)))</f>
        <v/>
      </c>
      <c r="D1030">
        <f>IF(OR(H1030="",P1030=""),"",INDEX('Students'!$B$2:$B$701,P1030))</f>
        <v/>
      </c>
      <c r="E1030">
        <f>IF(OR(H1030="",P1030=""),"",INDEX('Students'!$C$2:$C$701,P1030))</f>
        <v/>
      </c>
      <c r="F1030" s="48">
        <f>IF(H1030="","",IF(ISNUMBER(O1030),O1030,J1030))</f>
        <v/>
      </c>
      <c r="G1030">
        <f>IF(H1030="","","OneCause")</f>
        <v/>
      </c>
      <c r="H1030">
        <f>IF(AND(I1030="",J1030="",K1030=""),"",IF(NOT(ISNUMBER(O1030)),"Bad amount",IF(O1030&lt;0,"Refund (not counted)",IF(O1030=0,"Zero amount",IF(NOT(ISNUMBER(N1030)),"Bad date",IF(P1030="","NAME NOT ON ROSTER",IF(L1030="","OK",IF(MATCH(L1030,$L$2:$L$3001,0)&lt;ROW()-1,"Duplicate (ignored)","OK"))))))))</f>
        <v/>
      </c>
      <c r="I1030">
        <f>IF(OC_Date=0,"",IF(INDEX('OneCause_Paste'!$A$1030:$AZ$1030,1,OC_Date)="","",INDEX('OneCause_Paste'!$A$1030:$AZ$1030,1,OC_Date)))</f>
        <v/>
      </c>
      <c r="J1030">
        <f>IF(OC_Amt=0,"",IF(INDEX('OneCause_Paste'!$A$1030:$AZ$1030,1,OC_Amt)="","",INDEX('OneCause_Paste'!$A$1030:$AZ$1030,1,OC_Amt)))</f>
        <v/>
      </c>
      <c r="K1030">
        <f>IF(OC_Name=0,"",IF(INDEX('OneCause_Paste'!$A$1030:$AZ$1030,1,OC_Name)="","",INDEX('OneCause_Paste'!$A$1030:$AZ$1030,1,OC_Name)))</f>
        <v/>
      </c>
      <c r="L1030">
        <f>IF(OC_Txn=0,"",IF(INDEX('OneCause_Paste'!$A$1030:$AZ$1030,1,OC_Txn)="","",INDEX('OneCause_Paste'!$A$1030:$AZ$1030,1,OC_Txn)))</f>
        <v/>
      </c>
      <c r="M1030">
        <f>IF(OC_Pay=0,"",IF(INDEX('OneCause_Paste'!$A$1030:$AZ$1030,1,OC_Pay)="","",INDEX('OneCause_Paste'!$A$1030:$AZ$1030,1,OC_Pay)))</f>
        <v/>
      </c>
      <c r="N1030">
        <f>IF(I1030="","",IF(ISNUMBER(I1030),INT(I1030),IFERROR(INT(DATEVALUE(I1030)),IFERROR(INT(VALUE(I1030)),"bad"))))</f>
        <v/>
      </c>
      <c r="O1030">
        <f>IF(J1030="","",IF(ISNUMBER(J1030),ROUND(J1030,2),IFERROR(ROUND(VALUE(SUBSTITUTE(SUBSTITUTE(SUBSTITUTE(J1030,"$",""),",","")," ","")),2),"bad")))</f>
        <v/>
      </c>
      <c r="P1030">
        <f>IF(TRIM(K1030)="","",IFERROR(MATCH(LOWER(TRIM(K1030)),'Students'!$AH$2:$AH$701,0),IFERROR(MATCH(LOWER(TRIM(K1030)),'Students'!$AF$2:$AF$701,0),IFERROR(MATCH(LOWER(TRIM(K1030)),'Students'!$AG$2:$AG$701,0),""))))</f>
        <v/>
      </c>
      <c r="R1030">
        <f>IF(P1030="","",INDEX('Students'!$AD$2:$AD$701,P1030))</f>
        <v/>
      </c>
      <c r="S1030">
        <f>IF(H1030="OK",O1030,0)</f>
        <v/>
      </c>
      <c r="T1030">
        <f>IF(H1030="OK",N1030,"")</f>
        <v/>
      </c>
      <c r="U1030">
        <f>IF(OC_Donor=0,"",IF(INDEX('OneCause_Paste'!$A$1030:$AZ$1030,1,OC_Donor)="","",INDEX('OneCause_Paste'!$A$1030:$AZ$1030,1,OC_Donor)))</f>
        <v/>
      </c>
    </row>
    <row r="1031">
      <c r="A1031" s="62">
        <f>IF(H1031="","",IF(ISNUMBER(N1031),N1031,I1031))</f>
        <v/>
      </c>
      <c r="B1031">
        <f>IF(H1031="","",U1031)</f>
        <v/>
      </c>
      <c r="C1031">
        <f>IF(H1031="","",IF(P1031="",K1031,INDEX('Students'!$A$2:$A$701,P1031)))</f>
        <v/>
      </c>
      <c r="D1031">
        <f>IF(OR(H1031="",P1031=""),"",INDEX('Students'!$B$2:$B$701,P1031))</f>
        <v/>
      </c>
      <c r="E1031">
        <f>IF(OR(H1031="",P1031=""),"",INDEX('Students'!$C$2:$C$701,P1031))</f>
        <v/>
      </c>
      <c r="F1031" s="48">
        <f>IF(H1031="","",IF(ISNUMBER(O1031),O1031,J1031))</f>
        <v/>
      </c>
      <c r="G1031">
        <f>IF(H1031="","","OneCause")</f>
        <v/>
      </c>
      <c r="H1031">
        <f>IF(AND(I1031="",J1031="",K1031=""),"",IF(NOT(ISNUMBER(O1031)),"Bad amount",IF(O1031&lt;0,"Refund (not counted)",IF(O1031=0,"Zero amount",IF(NOT(ISNUMBER(N1031)),"Bad date",IF(P1031="","NAME NOT ON ROSTER",IF(L1031="","OK",IF(MATCH(L1031,$L$2:$L$3001,0)&lt;ROW()-1,"Duplicate (ignored)","OK"))))))))</f>
        <v/>
      </c>
      <c r="I1031">
        <f>IF(OC_Date=0,"",IF(INDEX('OneCause_Paste'!$A$1031:$AZ$1031,1,OC_Date)="","",INDEX('OneCause_Paste'!$A$1031:$AZ$1031,1,OC_Date)))</f>
        <v/>
      </c>
      <c r="J1031">
        <f>IF(OC_Amt=0,"",IF(INDEX('OneCause_Paste'!$A$1031:$AZ$1031,1,OC_Amt)="","",INDEX('OneCause_Paste'!$A$1031:$AZ$1031,1,OC_Amt)))</f>
        <v/>
      </c>
      <c r="K1031">
        <f>IF(OC_Name=0,"",IF(INDEX('OneCause_Paste'!$A$1031:$AZ$1031,1,OC_Name)="","",INDEX('OneCause_Paste'!$A$1031:$AZ$1031,1,OC_Name)))</f>
        <v/>
      </c>
      <c r="L1031">
        <f>IF(OC_Txn=0,"",IF(INDEX('OneCause_Paste'!$A$1031:$AZ$1031,1,OC_Txn)="","",INDEX('OneCause_Paste'!$A$1031:$AZ$1031,1,OC_Txn)))</f>
        <v/>
      </c>
      <c r="M1031">
        <f>IF(OC_Pay=0,"",IF(INDEX('OneCause_Paste'!$A$1031:$AZ$1031,1,OC_Pay)="","",INDEX('OneCause_Paste'!$A$1031:$AZ$1031,1,OC_Pay)))</f>
        <v/>
      </c>
      <c r="N1031">
        <f>IF(I1031="","",IF(ISNUMBER(I1031),INT(I1031),IFERROR(INT(DATEVALUE(I1031)),IFERROR(INT(VALUE(I1031)),"bad"))))</f>
        <v/>
      </c>
      <c r="O1031">
        <f>IF(J1031="","",IF(ISNUMBER(J1031),ROUND(J1031,2),IFERROR(ROUND(VALUE(SUBSTITUTE(SUBSTITUTE(SUBSTITUTE(J1031,"$",""),",","")," ","")),2),"bad")))</f>
        <v/>
      </c>
      <c r="P1031">
        <f>IF(TRIM(K1031)="","",IFERROR(MATCH(LOWER(TRIM(K1031)),'Students'!$AH$2:$AH$701,0),IFERROR(MATCH(LOWER(TRIM(K1031)),'Students'!$AF$2:$AF$701,0),IFERROR(MATCH(LOWER(TRIM(K1031)),'Students'!$AG$2:$AG$701,0),""))))</f>
        <v/>
      </c>
      <c r="R1031">
        <f>IF(P1031="","",INDEX('Students'!$AD$2:$AD$701,P1031))</f>
        <v/>
      </c>
      <c r="S1031">
        <f>IF(H1031="OK",O1031,0)</f>
        <v/>
      </c>
      <c r="T1031">
        <f>IF(H1031="OK",N1031,"")</f>
        <v/>
      </c>
      <c r="U1031">
        <f>IF(OC_Donor=0,"",IF(INDEX('OneCause_Paste'!$A$1031:$AZ$1031,1,OC_Donor)="","",INDEX('OneCause_Paste'!$A$1031:$AZ$1031,1,OC_Donor)))</f>
        <v/>
      </c>
    </row>
    <row r="1032">
      <c r="A1032" s="62">
        <f>IF(H1032="","",IF(ISNUMBER(N1032),N1032,I1032))</f>
        <v/>
      </c>
      <c r="B1032">
        <f>IF(H1032="","",U1032)</f>
        <v/>
      </c>
      <c r="C1032">
        <f>IF(H1032="","",IF(P1032="",K1032,INDEX('Students'!$A$2:$A$701,P1032)))</f>
        <v/>
      </c>
      <c r="D1032">
        <f>IF(OR(H1032="",P1032=""),"",INDEX('Students'!$B$2:$B$701,P1032))</f>
        <v/>
      </c>
      <c r="E1032">
        <f>IF(OR(H1032="",P1032=""),"",INDEX('Students'!$C$2:$C$701,P1032))</f>
        <v/>
      </c>
      <c r="F1032" s="48">
        <f>IF(H1032="","",IF(ISNUMBER(O1032),O1032,J1032))</f>
        <v/>
      </c>
      <c r="G1032">
        <f>IF(H1032="","","OneCause")</f>
        <v/>
      </c>
      <c r="H1032">
        <f>IF(AND(I1032="",J1032="",K1032=""),"",IF(NOT(ISNUMBER(O1032)),"Bad amount",IF(O1032&lt;0,"Refund (not counted)",IF(O1032=0,"Zero amount",IF(NOT(ISNUMBER(N1032)),"Bad date",IF(P1032="","NAME NOT ON ROSTER",IF(L1032="","OK",IF(MATCH(L1032,$L$2:$L$3001,0)&lt;ROW()-1,"Duplicate (ignored)","OK"))))))))</f>
        <v/>
      </c>
      <c r="I1032">
        <f>IF(OC_Date=0,"",IF(INDEX('OneCause_Paste'!$A$1032:$AZ$1032,1,OC_Date)="","",INDEX('OneCause_Paste'!$A$1032:$AZ$1032,1,OC_Date)))</f>
        <v/>
      </c>
      <c r="J1032">
        <f>IF(OC_Amt=0,"",IF(INDEX('OneCause_Paste'!$A$1032:$AZ$1032,1,OC_Amt)="","",INDEX('OneCause_Paste'!$A$1032:$AZ$1032,1,OC_Amt)))</f>
        <v/>
      </c>
      <c r="K1032">
        <f>IF(OC_Name=0,"",IF(INDEX('OneCause_Paste'!$A$1032:$AZ$1032,1,OC_Name)="","",INDEX('OneCause_Paste'!$A$1032:$AZ$1032,1,OC_Name)))</f>
        <v/>
      </c>
      <c r="L1032">
        <f>IF(OC_Txn=0,"",IF(INDEX('OneCause_Paste'!$A$1032:$AZ$1032,1,OC_Txn)="","",INDEX('OneCause_Paste'!$A$1032:$AZ$1032,1,OC_Txn)))</f>
        <v/>
      </c>
      <c r="M1032">
        <f>IF(OC_Pay=0,"",IF(INDEX('OneCause_Paste'!$A$1032:$AZ$1032,1,OC_Pay)="","",INDEX('OneCause_Paste'!$A$1032:$AZ$1032,1,OC_Pay)))</f>
        <v/>
      </c>
      <c r="N1032">
        <f>IF(I1032="","",IF(ISNUMBER(I1032),INT(I1032),IFERROR(INT(DATEVALUE(I1032)),IFERROR(INT(VALUE(I1032)),"bad"))))</f>
        <v/>
      </c>
      <c r="O1032">
        <f>IF(J1032="","",IF(ISNUMBER(J1032),ROUND(J1032,2),IFERROR(ROUND(VALUE(SUBSTITUTE(SUBSTITUTE(SUBSTITUTE(J1032,"$",""),",","")," ","")),2),"bad")))</f>
        <v/>
      </c>
      <c r="P1032">
        <f>IF(TRIM(K1032)="","",IFERROR(MATCH(LOWER(TRIM(K1032)),'Students'!$AH$2:$AH$701,0),IFERROR(MATCH(LOWER(TRIM(K1032)),'Students'!$AF$2:$AF$701,0),IFERROR(MATCH(LOWER(TRIM(K1032)),'Students'!$AG$2:$AG$701,0),""))))</f>
        <v/>
      </c>
      <c r="R1032">
        <f>IF(P1032="","",INDEX('Students'!$AD$2:$AD$701,P1032))</f>
        <v/>
      </c>
      <c r="S1032">
        <f>IF(H1032="OK",O1032,0)</f>
        <v/>
      </c>
      <c r="T1032">
        <f>IF(H1032="OK",N1032,"")</f>
        <v/>
      </c>
      <c r="U1032">
        <f>IF(OC_Donor=0,"",IF(INDEX('OneCause_Paste'!$A$1032:$AZ$1032,1,OC_Donor)="","",INDEX('OneCause_Paste'!$A$1032:$AZ$1032,1,OC_Donor)))</f>
        <v/>
      </c>
    </row>
    <row r="1033">
      <c r="A1033" s="62">
        <f>IF(H1033="","",IF(ISNUMBER(N1033),N1033,I1033))</f>
        <v/>
      </c>
      <c r="B1033">
        <f>IF(H1033="","",U1033)</f>
        <v/>
      </c>
      <c r="C1033">
        <f>IF(H1033="","",IF(P1033="",K1033,INDEX('Students'!$A$2:$A$701,P1033)))</f>
        <v/>
      </c>
      <c r="D1033">
        <f>IF(OR(H1033="",P1033=""),"",INDEX('Students'!$B$2:$B$701,P1033))</f>
        <v/>
      </c>
      <c r="E1033">
        <f>IF(OR(H1033="",P1033=""),"",INDEX('Students'!$C$2:$C$701,P1033))</f>
        <v/>
      </c>
      <c r="F1033" s="48">
        <f>IF(H1033="","",IF(ISNUMBER(O1033),O1033,J1033))</f>
        <v/>
      </c>
      <c r="G1033">
        <f>IF(H1033="","","OneCause")</f>
        <v/>
      </c>
      <c r="H1033">
        <f>IF(AND(I1033="",J1033="",K1033=""),"",IF(NOT(ISNUMBER(O1033)),"Bad amount",IF(O1033&lt;0,"Refund (not counted)",IF(O1033=0,"Zero amount",IF(NOT(ISNUMBER(N1033)),"Bad date",IF(P1033="","NAME NOT ON ROSTER",IF(L1033="","OK",IF(MATCH(L1033,$L$2:$L$3001,0)&lt;ROW()-1,"Duplicate (ignored)","OK"))))))))</f>
        <v/>
      </c>
      <c r="I1033">
        <f>IF(OC_Date=0,"",IF(INDEX('OneCause_Paste'!$A$1033:$AZ$1033,1,OC_Date)="","",INDEX('OneCause_Paste'!$A$1033:$AZ$1033,1,OC_Date)))</f>
        <v/>
      </c>
      <c r="J1033">
        <f>IF(OC_Amt=0,"",IF(INDEX('OneCause_Paste'!$A$1033:$AZ$1033,1,OC_Amt)="","",INDEX('OneCause_Paste'!$A$1033:$AZ$1033,1,OC_Amt)))</f>
        <v/>
      </c>
      <c r="K1033">
        <f>IF(OC_Name=0,"",IF(INDEX('OneCause_Paste'!$A$1033:$AZ$1033,1,OC_Name)="","",INDEX('OneCause_Paste'!$A$1033:$AZ$1033,1,OC_Name)))</f>
        <v/>
      </c>
      <c r="L1033">
        <f>IF(OC_Txn=0,"",IF(INDEX('OneCause_Paste'!$A$1033:$AZ$1033,1,OC_Txn)="","",INDEX('OneCause_Paste'!$A$1033:$AZ$1033,1,OC_Txn)))</f>
        <v/>
      </c>
      <c r="M1033">
        <f>IF(OC_Pay=0,"",IF(INDEX('OneCause_Paste'!$A$1033:$AZ$1033,1,OC_Pay)="","",INDEX('OneCause_Paste'!$A$1033:$AZ$1033,1,OC_Pay)))</f>
        <v/>
      </c>
      <c r="N1033">
        <f>IF(I1033="","",IF(ISNUMBER(I1033),INT(I1033),IFERROR(INT(DATEVALUE(I1033)),IFERROR(INT(VALUE(I1033)),"bad"))))</f>
        <v/>
      </c>
      <c r="O1033">
        <f>IF(J1033="","",IF(ISNUMBER(J1033),ROUND(J1033,2),IFERROR(ROUND(VALUE(SUBSTITUTE(SUBSTITUTE(SUBSTITUTE(J1033,"$",""),",","")," ","")),2),"bad")))</f>
        <v/>
      </c>
      <c r="P1033">
        <f>IF(TRIM(K1033)="","",IFERROR(MATCH(LOWER(TRIM(K1033)),'Students'!$AH$2:$AH$701,0),IFERROR(MATCH(LOWER(TRIM(K1033)),'Students'!$AF$2:$AF$701,0),IFERROR(MATCH(LOWER(TRIM(K1033)),'Students'!$AG$2:$AG$701,0),""))))</f>
        <v/>
      </c>
      <c r="R1033">
        <f>IF(P1033="","",INDEX('Students'!$AD$2:$AD$701,P1033))</f>
        <v/>
      </c>
      <c r="S1033">
        <f>IF(H1033="OK",O1033,0)</f>
        <v/>
      </c>
      <c r="T1033">
        <f>IF(H1033="OK",N1033,"")</f>
        <v/>
      </c>
      <c r="U1033">
        <f>IF(OC_Donor=0,"",IF(INDEX('OneCause_Paste'!$A$1033:$AZ$1033,1,OC_Donor)="","",INDEX('OneCause_Paste'!$A$1033:$AZ$1033,1,OC_Donor)))</f>
        <v/>
      </c>
    </row>
    <row r="1034">
      <c r="A1034" s="62">
        <f>IF(H1034="","",IF(ISNUMBER(N1034),N1034,I1034))</f>
        <v/>
      </c>
      <c r="B1034">
        <f>IF(H1034="","",U1034)</f>
        <v/>
      </c>
      <c r="C1034">
        <f>IF(H1034="","",IF(P1034="",K1034,INDEX('Students'!$A$2:$A$701,P1034)))</f>
        <v/>
      </c>
      <c r="D1034">
        <f>IF(OR(H1034="",P1034=""),"",INDEX('Students'!$B$2:$B$701,P1034))</f>
        <v/>
      </c>
      <c r="E1034">
        <f>IF(OR(H1034="",P1034=""),"",INDEX('Students'!$C$2:$C$701,P1034))</f>
        <v/>
      </c>
      <c r="F1034" s="48">
        <f>IF(H1034="","",IF(ISNUMBER(O1034),O1034,J1034))</f>
        <v/>
      </c>
      <c r="G1034">
        <f>IF(H1034="","","OneCause")</f>
        <v/>
      </c>
      <c r="H1034">
        <f>IF(AND(I1034="",J1034="",K1034=""),"",IF(NOT(ISNUMBER(O1034)),"Bad amount",IF(O1034&lt;0,"Refund (not counted)",IF(O1034=0,"Zero amount",IF(NOT(ISNUMBER(N1034)),"Bad date",IF(P1034="","NAME NOT ON ROSTER",IF(L1034="","OK",IF(MATCH(L1034,$L$2:$L$3001,0)&lt;ROW()-1,"Duplicate (ignored)","OK"))))))))</f>
        <v/>
      </c>
      <c r="I1034">
        <f>IF(OC_Date=0,"",IF(INDEX('OneCause_Paste'!$A$1034:$AZ$1034,1,OC_Date)="","",INDEX('OneCause_Paste'!$A$1034:$AZ$1034,1,OC_Date)))</f>
        <v/>
      </c>
      <c r="J1034">
        <f>IF(OC_Amt=0,"",IF(INDEX('OneCause_Paste'!$A$1034:$AZ$1034,1,OC_Amt)="","",INDEX('OneCause_Paste'!$A$1034:$AZ$1034,1,OC_Amt)))</f>
        <v/>
      </c>
      <c r="K1034">
        <f>IF(OC_Name=0,"",IF(INDEX('OneCause_Paste'!$A$1034:$AZ$1034,1,OC_Name)="","",INDEX('OneCause_Paste'!$A$1034:$AZ$1034,1,OC_Name)))</f>
        <v/>
      </c>
      <c r="L1034">
        <f>IF(OC_Txn=0,"",IF(INDEX('OneCause_Paste'!$A$1034:$AZ$1034,1,OC_Txn)="","",INDEX('OneCause_Paste'!$A$1034:$AZ$1034,1,OC_Txn)))</f>
        <v/>
      </c>
      <c r="M1034">
        <f>IF(OC_Pay=0,"",IF(INDEX('OneCause_Paste'!$A$1034:$AZ$1034,1,OC_Pay)="","",INDEX('OneCause_Paste'!$A$1034:$AZ$1034,1,OC_Pay)))</f>
        <v/>
      </c>
      <c r="N1034">
        <f>IF(I1034="","",IF(ISNUMBER(I1034),INT(I1034),IFERROR(INT(DATEVALUE(I1034)),IFERROR(INT(VALUE(I1034)),"bad"))))</f>
        <v/>
      </c>
      <c r="O1034">
        <f>IF(J1034="","",IF(ISNUMBER(J1034),ROUND(J1034,2),IFERROR(ROUND(VALUE(SUBSTITUTE(SUBSTITUTE(SUBSTITUTE(J1034,"$",""),",","")," ","")),2),"bad")))</f>
        <v/>
      </c>
      <c r="P1034">
        <f>IF(TRIM(K1034)="","",IFERROR(MATCH(LOWER(TRIM(K1034)),'Students'!$AH$2:$AH$701,0),IFERROR(MATCH(LOWER(TRIM(K1034)),'Students'!$AF$2:$AF$701,0),IFERROR(MATCH(LOWER(TRIM(K1034)),'Students'!$AG$2:$AG$701,0),""))))</f>
        <v/>
      </c>
      <c r="R1034">
        <f>IF(P1034="","",INDEX('Students'!$AD$2:$AD$701,P1034))</f>
        <v/>
      </c>
      <c r="S1034">
        <f>IF(H1034="OK",O1034,0)</f>
        <v/>
      </c>
      <c r="T1034">
        <f>IF(H1034="OK",N1034,"")</f>
        <v/>
      </c>
      <c r="U1034">
        <f>IF(OC_Donor=0,"",IF(INDEX('OneCause_Paste'!$A$1034:$AZ$1034,1,OC_Donor)="","",INDEX('OneCause_Paste'!$A$1034:$AZ$1034,1,OC_Donor)))</f>
        <v/>
      </c>
    </row>
    <row r="1035">
      <c r="A1035" s="62">
        <f>IF(H1035="","",IF(ISNUMBER(N1035),N1035,I1035))</f>
        <v/>
      </c>
      <c r="B1035">
        <f>IF(H1035="","",U1035)</f>
        <v/>
      </c>
      <c r="C1035">
        <f>IF(H1035="","",IF(P1035="",K1035,INDEX('Students'!$A$2:$A$701,P1035)))</f>
        <v/>
      </c>
      <c r="D1035">
        <f>IF(OR(H1035="",P1035=""),"",INDEX('Students'!$B$2:$B$701,P1035))</f>
        <v/>
      </c>
      <c r="E1035">
        <f>IF(OR(H1035="",P1035=""),"",INDEX('Students'!$C$2:$C$701,P1035))</f>
        <v/>
      </c>
      <c r="F1035" s="48">
        <f>IF(H1035="","",IF(ISNUMBER(O1035),O1035,J1035))</f>
        <v/>
      </c>
      <c r="G1035">
        <f>IF(H1035="","","OneCause")</f>
        <v/>
      </c>
      <c r="H1035">
        <f>IF(AND(I1035="",J1035="",K1035=""),"",IF(NOT(ISNUMBER(O1035)),"Bad amount",IF(O1035&lt;0,"Refund (not counted)",IF(O1035=0,"Zero amount",IF(NOT(ISNUMBER(N1035)),"Bad date",IF(P1035="","NAME NOT ON ROSTER",IF(L1035="","OK",IF(MATCH(L1035,$L$2:$L$3001,0)&lt;ROW()-1,"Duplicate (ignored)","OK"))))))))</f>
        <v/>
      </c>
      <c r="I1035">
        <f>IF(OC_Date=0,"",IF(INDEX('OneCause_Paste'!$A$1035:$AZ$1035,1,OC_Date)="","",INDEX('OneCause_Paste'!$A$1035:$AZ$1035,1,OC_Date)))</f>
        <v/>
      </c>
      <c r="J1035">
        <f>IF(OC_Amt=0,"",IF(INDEX('OneCause_Paste'!$A$1035:$AZ$1035,1,OC_Amt)="","",INDEX('OneCause_Paste'!$A$1035:$AZ$1035,1,OC_Amt)))</f>
        <v/>
      </c>
      <c r="K1035">
        <f>IF(OC_Name=0,"",IF(INDEX('OneCause_Paste'!$A$1035:$AZ$1035,1,OC_Name)="","",INDEX('OneCause_Paste'!$A$1035:$AZ$1035,1,OC_Name)))</f>
        <v/>
      </c>
      <c r="L1035">
        <f>IF(OC_Txn=0,"",IF(INDEX('OneCause_Paste'!$A$1035:$AZ$1035,1,OC_Txn)="","",INDEX('OneCause_Paste'!$A$1035:$AZ$1035,1,OC_Txn)))</f>
        <v/>
      </c>
      <c r="M1035">
        <f>IF(OC_Pay=0,"",IF(INDEX('OneCause_Paste'!$A$1035:$AZ$1035,1,OC_Pay)="","",INDEX('OneCause_Paste'!$A$1035:$AZ$1035,1,OC_Pay)))</f>
        <v/>
      </c>
      <c r="N1035">
        <f>IF(I1035="","",IF(ISNUMBER(I1035),INT(I1035),IFERROR(INT(DATEVALUE(I1035)),IFERROR(INT(VALUE(I1035)),"bad"))))</f>
        <v/>
      </c>
      <c r="O1035">
        <f>IF(J1035="","",IF(ISNUMBER(J1035),ROUND(J1035,2),IFERROR(ROUND(VALUE(SUBSTITUTE(SUBSTITUTE(SUBSTITUTE(J1035,"$",""),",","")," ","")),2),"bad")))</f>
        <v/>
      </c>
      <c r="P1035">
        <f>IF(TRIM(K1035)="","",IFERROR(MATCH(LOWER(TRIM(K1035)),'Students'!$AH$2:$AH$701,0),IFERROR(MATCH(LOWER(TRIM(K1035)),'Students'!$AF$2:$AF$701,0),IFERROR(MATCH(LOWER(TRIM(K1035)),'Students'!$AG$2:$AG$701,0),""))))</f>
        <v/>
      </c>
      <c r="R1035">
        <f>IF(P1035="","",INDEX('Students'!$AD$2:$AD$701,P1035))</f>
        <v/>
      </c>
      <c r="S1035">
        <f>IF(H1035="OK",O1035,0)</f>
        <v/>
      </c>
      <c r="T1035">
        <f>IF(H1035="OK",N1035,"")</f>
        <v/>
      </c>
      <c r="U1035">
        <f>IF(OC_Donor=0,"",IF(INDEX('OneCause_Paste'!$A$1035:$AZ$1035,1,OC_Donor)="","",INDEX('OneCause_Paste'!$A$1035:$AZ$1035,1,OC_Donor)))</f>
        <v/>
      </c>
    </row>
    <row r="1036">
      <c r="A1036" s="62">
        <f>IF(H1036="","",IF(ISNUMBER(N1036),N1036,I1036))</f>
        <v/>
      </c>
      <c r="B1036">
        <f>IF(H1036="","",U1036)</f>
        <v/>
      </c>
      <c r="C1036">
        <f>IF(H1036="","",IF(P1036="",K1036,INDEX('Students'!$A$2:$A$701,P1036)))</f>
        <v/>
      </c>
      <c r="D1036">
        <f>IF(OR(H1036="",P1036=""),"",INDEX('Students'!$B$2:$B$701,P1036))</f>
        <v/>
      </c>
      <c r="E1036">
        <f>IF(OR(H1036="",P1036=""),"",INDEX('Students'!$C$2:$C$701,P1036))</f>
        <v/>
      </c>
      <c r="F1036" s="48">
        <f>IF(H1036="","",IF(ISNUMBER(O1036),O1036,J1036))</f>
        <v/>
      </c>
      <c r="G1036">
        <f>IF(H1036="","","OneCause")</f>
        <v/>
      </c>
      <c r="H1036">
        <f>IF(AND(I1036="",J1036="",K1036=""),"",IF(NOT(ISNUMBER(O1036)),"Bad amount",IF(O1036&lt;0,"Refund (not counted)",IF(O1036=0,"Zero amount",IF(NOT(ISNUMBER(N1036)),"Bad date",IF(P1036="","NAME NOT ON ROSTER",IF(L1036="","OK",IF(MATCH(L1036,$L$2:$L$3001,0)&lt;ROW()-1,"Duplicate (ignored)","OK"))))))))</f>
        <v/>
      </c>
      <c r="I1036">
        <f>IF(OC_Date=0,"",IF(INDEX('OneCause_Paste'!$A$1036:$AZ$1036,1,OC_Date)="","",INDEX('OneCause_Paste'!$A$1036:$AZ$1036,1,OC_Date)))</f>
        <v/>
      </c>
      <c r="J1036">
        <f>IF(OC_Amt=0,"",IF(INDEX('OneCause_Paste'!$A$1036:$AZ$1036,1,OC_Amt)="","",INDEX('OneCause_Paste'!$A$1036:$AZ$1036,1,OC_Amt)))</f>
        <v/>
      </c>
      <c r="K1036">
        <f>IF(OC_Name=0,"",IF(INDEX('OneCause_Paste'!$A$1036:$AZ$1036,1,OC_Name)="","",INDEX('OneCause_Paste'!$A$1036:$AZ$1036,1,OC_Name)))</f>
        <v/>
      </c>
      <c r="L1036">
        <f>IF(OC_Txn=0,"",IF(INDEX('OneCause_Paste'!$A$1036:$AZ$1036,1,OC_Txn)="","",INDEX('OneCause_Paste'!$A$1036:$AZ$1036,1,OC_Txn)))</f>
        <v/>
      </c>
      <c r="M1036">
        <f>IF(OC_Pay=0,"",IF(INDEX('OneCause_Paste'!$A$1036:$AZ$1036,1,OC_Pay)="","",INDEX('OneCause_Paste'!$A$1036:$AZ$1036,1,OC_Pay)))</f>
        <v/>
      </c>
      <c r="N1036">
        <f>IF(I1036="","",IF(ISNUMBER(I1036),INT(I1036),IFERROR(INT(DATEVALUE(I1036)),IFERROR(INT(VALUE(I1036)),"bad"))))</f>
        <v/>
      </c>
      <c r="O1036">
        <f>IF(J1036="","",IF(ISNUMBER(J1036),ROUND(J1036,2),IFERROR(ROUND(VALUE(SUBSTITUTE(SUBSTITUTE(SUBSTITUTE(J1036,"$",""),",","")," ","")),2),"bad")))</f>
        <v/>
      </c>
      <c r="P1036">
        <f>IF(TRIM(K1036)="","",IFERROR(MATCH(LOWER(TRIM(K1036)),'Students'!$AH$2:$AH$701,0),IFERROR(MATCH(LOWER(TRIM(K1036)),'Students'!$AF$2:$AF$701,0),IFERROR(MATCH(LOWER(TRIM(K1036)),'Students'!$AG$2:$AG$701,0),""))))</f>
        <v/>
      </c>
      <c r="R1036">
        <f>IF(P1036="","",INDEX('Students'!$AD$2:$AD$701,P1036))</f>
        <v/>
      </c>
      <c r="S1036">
        <f>IF(H1036="OK",O1036,0)</f>
        <v/>
      </c>
      <c r="T1036">
        <f>IF(H1036="OK",N1036,"")</f>
        <v/>
      </c>
      <c r="U1036">
        <f>IF(OC_Donor=0,"",IF(INDEX('OneCause_Paste'!$A$1036:$AZ$1036,1,OC_Donor)="","",INDEX('OneCause_Paste'!$A$1036:$AZ$1036,1,OC_Donor)))</f>
        <v/>
      </c>
    </row>
    <row r="1037">
      <c r="A1037" s="62">
        <f>IF(H1037="","",IF(ISNUMBER(N1037),N1037,I1037))</f>
        <v/>
      </c>
      <c r="B1037">
        <f>IF(H1037="","",U1037)</f>
        <v/>
      </c>
      <c r="C1037">
        <f>IF(H1037="","",IF(P1037="",K1037,INDEX('Students'!$A$2:$A$701,P1037)))</f>
        <v/>
      </c>
      <c r="D1037">
        <f>IF(OR(H1037="",P1037=""),"",INDEX('Students'!$B$2:$B$701,P1037))</f>
        <v/>
      </c>
      <c r="E1037">
        <f>IF(OR(H1037="",P1037=""),"",INDEX('Students'!$C$2:$C$701,P1037))</f>
        <v/>
      </c>
      <c r="F1037" s="48">
        <f>IF(H1037="","",IF(ISNUMBER(O1037),O1037,J1037))</f>
        <v/>
      </c>
      <c r="G1037">
        <f>IF(H1037="","","OneCause")</f>
        <v/>
      </c>
      <c r="H1037">
        <f>IF(AND(I1037="",J1037="",K1037=""),"",IF(NOT(ISNUMBER(O1037)),"Bad amount",IF(O1037&lt;0,"Refund (not counted)",IF(O1037=0,"Zero amount",IF(NOT(ISNUMBER(N1037)),"Bad date",IF(P1037="","NAME NOT ON ROSTER",IF(L1037="","OK",IF(MATCH(L1037,$L$2:$L$3001,0)&lt;ROW()-1,"Duplicate (ignored)","OK"))))))))</f>
        <v/>
      </c>
      <c r="I1037">
        <f>IF(OC_Date=0,"",IF(INDEX('OneCause_Paste'!$A$1037:$AZ$1037,1,OC_Date)="","",INDEX('OneCause_Paste'!$A$1037:$AZ$1037,1,OC_Date)))</f>
        <v/>
      </c>
      <c r="J1037">
        <f>IF(OC_Amt=0,"",IF(INDEX('OneCause_Paste'!$A$1037:$AZ$1037,1,OC_Amt)="","",INDEX('OneCause_Paste'!$A$1037:$AZ$1037,1,OC_Amt)))</f>
        <v/>
      </c>
      <c r="K1037">
        <f>IF(OC_Name=0,"",IF(INDEX('OneCause_Paste'!$A$1037:$AZ$1037,1,OC_Name)="","",INDEX('OneCause_Paste'!$A$1037:$AZ$1037,1,OC_Name)))</f>
        <v/>
      </c>
      <c r="L1037">
        <f>IF(OC_Txn=0,"",IF(INDEX('OneCause_Paste'!$A$1037:$AZ$1037,1,OC_Txn)="","",INDEX('OneCause_Paste'!$A$1037:$AZ$1037,1,OC_Txn)))</f>
        <v/>
      </c>
      <c r="M1037">
        <f>IF(OC_Pay=0,"",IF(INDEX('OneCause_Paste'!$A$1037:$AZ$1037,1,OC_Pay)="","",INDEX('OneCause_Paste'!$A$1037:$AZ$1037,1,OC_Pay)))</f>
        <v/>
      </c>
      <c r="N1037">
        <f>IF(I1037="","",IF(ISNUMBER(I1037),INT(I1037),IFERROR(INT(DATEVALUE(I1037)),IFERROR(INT(VALUE(I1037)),"bad"))))</f>
        <v/>
      </c>
      <c r="O1037">
        <f>IF(J1037="","",IF(ISNUMBER(J1037),ROUND(J1037,2),IFERROR(ROUND(VALUE(SUBSTITUTE(SUBSTITUTE(SUBSTITUTE(J1037,"$",""),",","")," ","")),2),"bad")))</f>
        <v/>
      </c>
      <c r="P1037">
        <f>IF(TRIM(K1037)="","",IFERROR(MATCH(LOWER(TRIM(K1037)),'Students'!$AH$2:$AH$701,0),IFERROR(MATCH(LOWER(TRIM(K1037)),'Students'!$AF$2:$AF$701,0),IFERROR(MATCH(LOWER(TRIM(K1037)),'Students'!$AG$2:$AG$701,0),""))))</f>
        <v/>
      </c>
      <c r="R1037">
        <f>IF(P1037="","",INDEX('Students'!$AD$2:$AD$701,P1037))</f>
        <v/>
      </c>
      <c r="S1037">
        <f>IF(H1037="OK",O1037,0)</f>
        <v/>
      </c>
      <c r="T1037">
        <f>IF(H1037="OK",N1037,"")</f>
        <v/>
      </c>
      <c r="U1037">
        <f>IF(OC_Donor=0,"",IF(INDEX('OneCause_Paste'!$A$1037:$AZ$1037,1,OC_Donor)="","",INDEX('OneCause_Paste'!$A$1037:$AZ$1037,1,OC_Donor)))</f>
        <v/>
      </c>
    </row>
    <row r="1038">
      <c r="A1038" s="62">
        <f>IF(H1038="","",IF(ISNUMBER(N1038),N1038,I1038))</f>
        <v/>
      </c>
      <c r="B1038">
        <f>IF(H1038="","",U1038)</f>
        <v/>
      </c>
      <c r="C1038">
        <f>IF(H1038="","",IF(P1038="",K1038,INDEX('Students'!$A$2:$A$701,P1038)))</f>
        <v/>
      </c>
      <c r="D1038">
        <f>IF(OR(H1038="",P1038=""),"",INDEX('Students'!$B$2:$B$701,P1038))</f>
        <v/>
      </c>
      <c r="E1038">
        <f>IF(OR(H1038="",P1038=""),"",INDEX('Students'!$C$2:$C$701,P1038))</f>
        <v/>
      </c>
      <c r="F1038" s="48">
        <f>IF(H1038="","",IF(ISNUMBER(O1038),O1038,J1038))</f>
        <v/>
      </c>
      <c r="G1038">
        <f>IF(H1038="","","OneCause")</f>
        <v/>
      </c>
      <c r="H1038">
        <f>IF(AND(I1038="",J1038="",K1038=""),"",IF(NOT(ISNUMBER(O1038)),"Bad amount",IF(O1038&lt;0,"Refund (not counted)",IF(O1038=0,"Zero amount",IF(NOT(ISNUMBER(N1038)),"Bad date",IF(P1038="","NAME NOT ON ROSTER",IF(L1038="","OK",IF(MATCH(L1038,$L$2:$L$3001,0)&lt;ROW()-1,"Duplicate (ignored)","OK"))))))))</f>
        <v/>
      </c>
      <c r="I1038">
        <f>IF(OC_Date=0,"",IF(INDEX('OneCause_Paste'!$A$1038:$AZ$1038,1,OC_Date)="","",INDEX('OneCause_Paste'!$A$1038:$AZ$1038,1,OC_Date)))</f>
        <v/>
      </c>
      <c r="J1038">
        <f>IF(OC_Amt=0,"",IF(INDEX('OneCause_Paste'!$A$1038:$AZ$1038,1,OC_Amt)="","",INDEX('OneCause_Paste'!$A$1038:$AZ$1038,1,OC_Amt)))</f>
        <v/>
      </c>
      <c r="K1038">
        <f>IF(OC_Name=0,"",IF(INDEX('OneCause_Paste'!$A$1038:$AZ$1038,1,OC_Name)="","",INDEX('OneCause_Paste'!$A$1038:$AZ$1038,1,OC_Name)))</f>
        <v/>
      </c>
      <c r="L1038">
        <f>IF(OC_Txn=0,"",IF(INDEX('OneCause_Paste'!$A$1038:$AZ$1038,1,OC_Txn)="","",INDEX('OneCause_Paste'!$A$1038:$AZ$1038,1,OC_Txn)))</f>
        <v/>
      </c>
      <c r="M1038">
        <f>IF(OC_Pay=0,"",IF(INDEX('OneCause_Paste'!$A$1038:$AZ$1038,1,OC_Pay)="","",INDEX('OneCause_Paste'!$A$1038:$AZ$1038,1,OC_Pay)))</f>
        <v/>
      </c>
      <c r="N1038">
        <f>IF(I1038="","",IF(ISNUMBER(I1038),INT(I1038),IFERROR(INT(DATEVALUE(I1038)),IFERROR(INT(VALUE(I1038)),"bad"))))</f>
        <v/>
      </c>
      <c r="O1038">
        <f>IF(J1038="","",IF(ISNUMBER(J1038),ROUND(J1038,2),IFERROR(ROUND(VALUE(SUBSTITUTE(SUBSTITUTE(SUBSTITUTE(J1038,"$",""),",","")," ","")),2),"bad")))</f>
        <v/>
      </c>
      <c r="P1038">
        <f>IF(TRIM(K1038)="","",IFERROR(MATCH(LOWER(TRIM(K1038)),'Students'!$AH$2:$AH$701,0),IFERROR(MATCH(LOWER(TRIM(K1038)),'Students'!$AF$2:$AF$701,0),IFERROR(MATCH(LOWER(TRIM(K1038)),'Students'!$AG$2:$AG$701,0),""))))</f>
        <v/>
      </c>
      <c r="R1038">
        <f>IF(P1038="","",INDEX('Students'!$AD$2:$AD$701,P1038))</f>
        <v/>
      </c>
      <c r="S1038">
        <f>IF(H1038="OK",O1038,0)</f>
        <v/>
      </c>
      <c r="T1038">
        <f>IF(H1038="OK",N1038,"")</f>
        <v/>
      </c>
      <c r="U1038">
        <f>IF(OC_Donor=0,"",IF(INDEX('OneCause_Paste'!$A$1038:$AZ$1038,1,OC_Donor)="","",INDEX('OneCause_Paste'!$A$1038:$AZ$1038,1,OC_Donor)))</f>
        <v/>
      </c>
    </row>
    <row r="1039">
      <c r="A1039" s="62">
        <f>IF(H1039="","",IF(ISNUMBER(N1039),N1039,I1039))</f>
        <v/>
      </c>
      <c r="B1039">
        <f>IF(H1039="","",U1039)</f>
        <v/>
      </c>
      <c r="C1039">
        <f>IF(H1039="","",IF(P1039="",K1039,INDEX('Students'!$A$2:$A$701,P1039)))</f>
        <v/>
      </c>
      <c r="D1039">
        <f>IF(OR(H1039="",P1039=""),"",INDEX('Students'!$B$2:$B$701,P1039))</f>
        <v/>
      </c>
      <c r="E1039">
        <f>IF(OR(H1039="",P1039=""),"",INDEX('Students'!$C$2:$C$701,P1039))</f>
        <v/>
      </c>
      <c r="F1039" s="48">
        <f>IF(H1039="","",IF(ISNUMBER(O1039),O1039,J1039))</f>
        <v/>
      </c>
      <c r="G1039">
        <f>IF(H1039="","","OneCause")</f>
        <v/>
      </c>
      <c r="H1039">
        <f>IF(AND(I1039="",J1039="",K1039=""),"",IF(NOT(ISNUMBER(O1039)),"Bad amount",IF(O1039&lt;0,"Refund (not counted)",IF(O1039=0,"Zero amount",IF(NOT(ISNUMBER(N1039)),"Bad date",IF(P1039="","NAME NOT ON ROSTER",IF(L1039="","OK",IF(MATCH(L1039,$L$2:$L$3001,0)&lt;ROW()-1,"Duplicate (ignored)","OK"))))))))</f>
        <v/>
      </c>
      <c r="I1039">
        <f>IF(OC_Date=0,"",IF(INDEX('OneCause_Paste'!$A$1039:$AZ$1039,1,OC_Date)="","",INDEX('OneCause_Paste'!$A$1039:$AZ$1039,1,OC_Date)))</f>
        <v/>
      </c>
      <c r="J1039">
        <f>IF(OC_Amt=0,"",IF(INDEX('OneCause_Paste'!$A$1039:$AZ$1039,1,OC_Amt)="","",INDEX('OneCause_Paste'!$A$1039:$AZ$1039,1,OC_Amt)))</f>
        <v/>
      </c>
      <c r="K1039">
        <f>IF(OC_Name=0,"",IF(INDEX('OneCause_Paste'!$A$1039:$AZ$1039,1,OC_Name)="","",INDEX('OneCause_Paste'!$A$1039:$AZ$1039,1,OC_Name)))</f>
        <v/>
      </c>
      <c r="L1039">
        <f>IF(OC_Txn=0,"",IF(INDEX('OneCause_Paste'!$A$1039:$AZ$1039,1,OC_Txn)="","",INDEX('OneCause_Paste'!$A$1039:$AZ$1039,1,OC_Txn)))</f>
        <v/>
      </c>
      <c r="M1039">
        <f>IF(OC_Pay=0,"",IF(INDEX('OneCause_Paste'!$A$1039:$AZ$1039,1,OC_Pay)="","",INDEX('OneCause_Paste'!$A$1039:$AZ$1039,1,OC_Pay)))</f>
        <v/>
      </c>
      <c r="N1039">
        <f>IF(I1039="","",IF(ISNUMBER(I1039),INT(I1039),IFERROR(INT(DATEVALUE(I1039)),IFERROR(INT(VALUE(I1039)),"bad"))))</f>
        <v/>
      </c>
      <c r="O1039">
        <f>IF(J1039="","",IF(ISNUMBER(J1039),ROUND(J1039,2),IFERROR(ROUND(VALUE(SUBSTITUTE(SUBSTITUTE(SUBSTITUTE(J1039,"$",""),",","")," ","")),2),"bad")))</f>
        <v/>
      </c>
      <c r="P1039">
        <f>IF(TRIM(K1039)="","",IFERROR(MATCH(LOWER(TRIM(K1039)),'Students'!$AH$2:$AH$701,0),IFERROR(MATCH(LOWER(TRIM(K1039)),'Students'!$AF$2:$AF$701,0),IFERROR(MATCH(LOWER(TRIM(K1039)),'Students'!$AG$2:$AG$701,0),""))))</f>
        <v/>
      </c>
      <c r="R1039">
        <f>IF(P1039="","",INDEX('Students'!$AD$2:$AD$701,P1039))</f>
        <v/>
      </c>
      <c r="S1039">
        <f>IF(H1039="OK",O1039,0)</f>
        <v/>
      </c>
      <c r="T1039">
        <f>IF(H1039="OK",N1039,"")</f>
        <v/>
      </c>
      <c r="U1039">
        <f>IF(OC_Donor=0,"",IF(INDEX('OneCause_Paste'!$A$1039:$AZ$1039,1,OC_Donor)="","",INDEX('OneCause_Paste'!$A$1039:$AZ$1039,1,OC_Donor)))</f>
        <v/>
      </c>
    </row>
    <row r="1040">
      <c r="A1040" s="62">
        <f>IF(H1040="","",IF(ISNUMBER(N1040),N1040,I1040))</f>
        <v/>
      </c>
      <c r="B1040">
        <f>IF(H1040="","",U1040)</f>
        <v/>
      </c>
      <c r="C1040">
        <f>IF(H1040="","",IF(P1040="",K1040,INDEX('Students'!$A$2:$A$701,P1040)))</f>
        <v/>
      </c>
      <c r="D1040">
        <f>IF(OR(H1040="",P1040=""),"",INDEX('Students'!$B$2:$B$701,P1040))</f>
        <v/>
      </c>
      <c r="E1040">
        <f>IF(OR(H1040="",P1040=""),"",INDEX('Students'!$C$2:$C$701,P1040))</f>
        <v/>
      </c>
      <c r="F1040" s="48">
        <f>IF(H1040="","",IF(ISNUMBER(O1040),O1040,J1040))</f>
        <v/>
      </c>
      <c r="G1040">
        <f>IF(H1040="","","OneCause")</f>
        <v/>
      </c>
      <c r="H1040">
        <f>IF(AND(I1040="",J1040="",K1040=""),"",IF(NOT(ISNUMBER(O1040)),"Bad amount",IF(O1040&lt;0,"Refund (not counted)",IF(O1040=0,"Zero amount",IF(NOT(ISNUMBER(N1040)),"Bad date",IF(P1040="","NAME NOT ON ROSTER",IF(L1040="","OK",IF(MATCH(L1040,$L$2:$L$3001,0)&lt;ROW()-1,"Duplicate (ignored)","OK"))))))))</f>
        <v/>
      </c>
      <c r="I1040">
        <f>IF(OC_Date=0,"",IF(INDEX('OneCause_Paste'!$A$1040:$AZ$1040,1,OC_Date)="","",INDEX('OneCause_Paste'!$A$1040:$AZ$1040,1,OC_Date)))</f>
        <v/>
      </c>
      <c r="J1040">
        <f>IF(OC_Amt=0,"",IF(INDEX('OneCause_Paste'!$A$1040:$AZ$1040,1,OC_Amt)="","",INDEX('OneCause_Paste'!$A$1040:$AZ$1040,1,OC_Amt)))</f>
        <v/>
      </c>
      <c r="K1040">
        <f>IF(OC_Name=0,"",IF(INDEX('OneCause_Paste'!$A$1040:$AZ$1040,1,OC_Name)="","",INDEX('OneCause_Paste'!$A$1040:$AZ$1040,1,OC_Name)))</f>
        <v/>
      </c>
      <c r="L1040">
        <f>IF(OC_Txn=0,"",IF(INDEX('OneCause_Paste'!$A$1040:$AZ$1040,1,OC_Txn)="","",INDEX('OneCause_Paste'!$A$1040:$AZ$1040,1,OC_Txn)))</f>
        <v/>
      </c>
      <c r="M1040">
        <f>IF(OC_Pay=0,"",IF(INDEX('OneCause_Paste'!$A$1040:$AZ$1040,1,OC_Pay)="","",INDEX('OneCause_Paste'!$A$1040:$AZ$1040,1,OC_Pay)))</f>
        <v/>
      </c>
      <c r="N1040">
        <f>IF(I1040="","",IF(ISNUMBER(I1040),INT(I1040),IFERROR(INT(DATEVALUE(I1040)),IFERROR(INT(VALUE(I1040)),"bad"))))</f>
        <v/>
      </c>
      <c r="O1040">
        <f>IF(J1040="","",IF(ISNUMBER(J1040),ROUND(J1040,2),IFERROR(ROUND(VALUE(SUBSTITUTE(SUBSTITUTE(SUBSTITUTE(J1040,"$",""),",","")," ","")),2),"bad")))</f>
        <v/>
      </c>
      <c r="P1040">
        <f>IF(TRIM(K1040)="","",IFERROR(MATCH(LOWER(TRIM(K1040)),'Students'!$AH$2:$AH$701,0),IFERROR(MATCH(LOWER(TRIM(K1040)),'Students'!$AF$2:$AF$701,0),IFERROR(MATCH(LOWER(TRIM(K1040)),'Students'!$AG$2:$AG$701,0),""))))</f>
        <v/>
      </c>
      <c r="R1040">
        <f>IF(P1040="","",INDEX('Students'!$AD$2:$AD$701,P1040))</f>
        <v/>
      </c>
      <c r="S1040">
        <f>IF(H1040="OK",O1040,0)</f>
        <v/>
      </c>
      <c r="T1040">
        <f>IF(H1040="OK",N1040,"")</f>
        <v/>
      </c>
      <c r="U1040">
        <f>IF(OC_Donor=0,"",IF(INDEX('OneCause_Paste'!$A$1040:$AZ$1040,1,OC_Donor)="","",INDEX('OneCause_Paste'!$A$1040:$AZ$1040,1,OC_Donor)))</f>
        <v/>
      </c>
    </row>
    <row r="1041">
      <c r="A1041" s="62">
        <f>IF(H1041="","",IF(ISNUMBER(N1041),N1041,I1041))</f>
        <v/>
      </c>
      <c r="B1041">
        <f>IF(H1041="","",U1041)</f>
        <v/>
      </c>
      <c r="C1041">
        <f>IF(H1041="","",IF(P1041="",K1041,INDEX('Students'!$A$2:$A$701,P1041)))</f>
        <v/>
      </c>
      <c r="D1041">
        <f>IF(OR(H1041="",P1041=""),"",INDEX('Students'!$B$2:$B$701,P1041))</f>
        <v/>
      </c>
      <c r="E1041">
        <f>IF(OR(H1041="",P1041=""),"",INDEX('Students'!$C$2:$C$701,P1041))</f>
        <v/>
      </c>
      <c r="F1041" s="48">
        <f>IF(H1041="","",IF(ISNUMBER(O1041),O1041,J1041))</f>
        <v/>
      </c>
      <c r="G1041">
        <f>IF(H1041="","","OneCause")</f>
        <v/>
      </c>
      <c r="H1041">
        <f>IF(AND(I1041="",J1041="",K1041=""),"",IF(NOT(ISNUMBER(O1041)),"Bad amount",IF(O1041&lt;0,"Refund (not counted)",IF(O1041=0,"Zero amount",IF(NOT(ISNUMBER(N1041)),"Bad date",IF(P1041="","NAME NOT ON ROSTER",IF(L1041="","OK",IF(MATCH(L1041,$L$2:$L$3001,0)&lt;ROW()-1,"Duplicate (ignored)","OK"))))))))</f>
        <v/>
      </c>
      <c r="I1041">
        <f>IF(OC_Date=0,"",IF(INDEX('OneCause_Paste'!$A$1041:$AZ$1041,1,OC_Date)="","",INDEX('OneCause_Paste'!$A$1041:$AZ$1041,1,OC_Date)))</f>
        <v/>
      </c>
      <c r="J1041">
        <f>IF(OC_Amt=0,"",IF(INDEX('OneCause_Paste'!$A$1041:$AZ$1041,1,OC_Amt)="","",INDEX('OneCause_Paste'!$A$1041:$AZ$1041,1,OC_Amt)))</f>
        <v/>
      </c>
      <c r="K1041">
        <f>IF(OC_Name=0,"",IF(INDEX('OneCause_Paste'!$A$1041:$AZ$1041,1,OC_Name)="","",INDEX('OneCause_Paste'!$A$1041:$AZ$1041,1,OC_Name)))</f>
        <v/>
      </c>
      <c r="L1041">
        <f>IF(OC_Txn=0,"",IF(INDEX('OneCause_Paste'!$A$1041:$AZ$1041,1,OC_Txn)="","",INDEX('OneCause_Paste'!$A$1041:$AZ$1041,1,OC_Txn)))</f>
        <v/>
      </c>
      <c r="M1041">
        <f>IF(OC_Pay=0,"",IF(INDEX('OneCause_Paste'!$A$1041:$AZ$1041,1,OC_Pay)="","",INDEX('OneCause_Paste'!$A$1041:$AZ$1041,1,OC_Pay)))</f>
        <v/>
      </c>
      <c r="N1041">
        <f>IF(I1041="","",IF(ISNUMBER(I1041),INT(I1041),IFERROR(INT(DATEVALUE(I1041)),IFERROR(INT(VALUE(I1041)),"bad"))))</f>
        <v/>
      </c>
      <c r="O1041">
        <f>IF(J1041="","",IF(ISNUMBER(J1041),ROUND(J1041,2),IFERROR(ROUND(VALUE(SUBSTITUTE(SUBSTITUTE(SUBSTITUTE(J1041,"$",""),",","")," ","")),2),"bad")))</f>
        <v/>
      </c>
      <c r="P1041">
        <f>IF(TRIM(K1041)="","",IFERROR(MATCH(LOWER(TRIM(K1041)),'Students'!$AH$2:$AH$701,0),IFERROR(MATCH(LOWER(TRIM(K1041)),'Students'!$AF$2:$AF$701,0),IFERROR(MATCH(LOWER(TRIM(K1041)),'Students'!$AG$2:$AG$701,0),""))))</f>
        <v/>
      </c>
      <c r="R1041">
        <f>IF(P1041="","",INDEX('Students'!$AD$2:$AD$701,P1041))</f>
        <v/>
      </c>
      <c r="S1041">
        <f>IF(H1041="OK",O1041,0)</f>
        <v/>
      </c>
      <c r="T1041">
        <f>IF(H1041="OK",N1041,"")</f>
        <v/>
      </c>
      <c r="U1041">
        <f>IF(OC_Donor=0,"",IF(INDEX('OneCause_Paste'!$A$1041:$AZ$1041,1,OC_Donor)="","",INDEX('OneCause_Paste'!$A$1041:$AZ$1041,1,OC_Donor)))</f>
        <v/>
      </c>
    </row>
    <row r="1042">
      <c r="A1042" s="62">
        <f>IF(H1042="","",IF(ISNUMBER(N1042),N1042,I1042))</f>
        <v/>
      </c>
      <c r="B1042">
        <f>IF(H1042="","",U1042)</f>
        <v/>
      </c>
      <c r="C1042">
        <f>IF(H1042="","",IF(P1042="",K1042,INDEX('Students'!$A$2:$A$701,P1042)))</f>
        <v/>
      </c>
      <c r="D1042">
        <f>IF(OR(H1042="",P1042=""),"",INDEX('Students'!$B$2:$B$701,P1042))</f>
        <v/>
      </c>
      <c r="E1042">
        <f>IF(OR(H1042="",P1042=""),"",INDEX('Students'!$C$2:$C$701,P1042))</f>
        <v/>
      </c>
      <c r="F1042" s="48">
        <f>IF(H1042="","",IF(ISNUMBER(O1042),O1042,J1042))</f>
        <v/>
      </c>
      <c r="G1042">
        <f>IF(H1042="","","OneCause")</f>
        <v/>
      </c>
      <c r="H1042">
        <f>IF(AND(I1042="",J1042="",K1042=""),"",IF(NOT(ISNUMBER(O1042)),"Bad amount",IF(O1042&lt;0,"Refund (not counted)",IF(O1042=0,"Zero amount",IF(NOT(ISNUMBER(N1042)),"Bad date",IF(P1042="","NAME NOT ON ROSTER",IF(L1042="","OK",IF(MATCH(L1042,$L$2:$L$3001,0)&lt;ROW()-1,"Duplicate (ignored)","OK"))))))))</f>
        <v/>
      </c>
      <c r="I1042">
        <f>IF(OC_Date=0,"",IF(INDEX('OneCause_Paste'!$A$1042:$AZ$1042,1,OC_Date)="","",INDEX('OneCause_Paste'!$A$1042:$AZ$1042,1,OC_Date)))</f>
        <v/>
      </c>
      <c r="J1042">
        <f>IF(OC_Amt=0,"",IF(INDEX('OneCause_Paste'!$A$1042:$AZ$1042,1,OC_Amt)="","",INDEX('OneCause_Paste'!$A$1042:$AZ$1042,1,OC_Amt)))</f>
        <v/>
      </c>
      <c r="K1042">
        <f>IF(OC_Name=0,"",IF(INDEX('OneCause_Paste'!$A$1042:$AZ$1042,1,OC_Name)="","",INDEX('OneCause_Paste'!$A$1042:$AZ$1042,1,OC_Name)))</f>
        <v/>
      </c>
      <c r="L1042">
        <f>IF(OC_Txn=0,"",IF(INDEX('OneCause_Paste'!$A$1042:$AZ$1042,1,OC_Txn)="","",INDEX('OneCause_Paste'!$A$1042:$AZ$1042,1,OC_Txn)))</f>
        <v/>
      </c>
      <c r="M1042">
        <f>IF(OC_Pay=0,"",IF(INDEX('OneCause_Paste'!$A$1042:$AZ$1042,1,OC_Pay)="","",INDEX('OneCause_Paste'!$A$1042:$AZ$1042,1,OC_Pay)))</f>
        <v/>
      </c>
      <c r="N1042">
        <f>IF(I1042="","",IF(ISNUMBER(I1042),INT(I1042),IFERROR(INT(DATEVALUE(I1042)),IFERROR(INT(VALUE(I1042)),"bad"))))</f>
        <v/>
      </c>
      <c r="O1042">
        <f>IF(J1042="","",IF(ISNUMBER(J1042),ROUND(J1042,2),IFERROR(ROUND(VALUE(SUBSTITUTE(SUBSTITUTE(SUBSTITUTE(J1042,"$",""),",","")," ","")),2),"bad")))</f>
        <v/>
      </c>
      <c r="P1042">
        <f>IF(TRIM(K1042)="","",IFERROR(MATCH(LOWER(TRIM(K1042)),'Students'!$AH$2:$AH$701,0),IFERROR(MATCH(LOWER(TRIM(K1042)),'Students'!$AF$2:$AF$701,0),IFERROR(MATCH(LOWER(TRIM(K1042)),'Students'!$AG$2:$AG$701,0),""))))</f>
        <v/>
      </c>
      <c r="R1042">
        <f>IF(P1042="","",INDEX('Students'!$AD$2:$AD$701,P1042))</f>
        <v/>
      </c>
      <c r="S1042">
        <f>IF(H1042="OK",O1042,0)</f>
        <v/>
      </c>
      <c r="T1042">
        <f>IF(H1042="OK",N1042,"")</f>
        <v/>
      </c>
      <c r="U1042">
        <f>IF(OC_Donor=0,"",IF(INDEX('OneCause_Paste'!$A$1042:$AZ$1042,1,OC_Donor)="","",INDEX('OneCause_Paste'!$A$1042:$AZ$1042,1,OC_Donor)))</f>
        <v/>
      </c>
    </row>
    <row r="1043">
      <c r="A1043" s="62">
        <f>IF(H1043="","",IF(ISNUMBER(N1043),N1043,I1043))</f>
        <v/>
      </c>
      <c r="B1043">
        <f>IF(H1043="","",U1043)</f>
        <v/>
      </c>
      <c r="C1043">
        <f>IF(H1043="","",IF(P1043="",K1043,INDEX('Students'!$A$2:$A$701,P1043)))</f>
        <v/>
      </c>
      <c r="D1043">
        <f>IF(OR(H1043="",P1043=""),"",INDEX('Students'!$B$2:$B$701,P1043))</f>
        <v/>
      </c>
      <c r="E1043">
        <f>IF(OR(H1043="",P1043=""),"",INDEX('Students'!$C$2:$C$701,P1043))</f>
        <v/>
      </c>
      <c r="F1043" s="48">
        <f>IF(H1043="","",IF(ISNUMBER(O1043),O1043,J1043))</f>
        <v/>
      </c>
      <c r="G1043">
        <f>IF(H1043="","","OneCause")</f>
        <v/>
      </c>
      <c r="H1043">
        <f>IF(AND(I1043="",J1043="",K1043=""),"",IF(NOT(ISNUMBER(O1043)),"Bad amount",IF(O1043&lt;0,"Refund (not counted)",IF(O1043=0,"Zero amount",IF(NOT(ISNUMBER(N1043)),"Bad date",IF(P1043="","NAME NOT ON ROSTER",IF(L1043="","OK",IF(MATCH(L1043,$L$2:$L$3001,0)&lt;ROW()-1,"Duplicate (ignored)","OK"))))))))</f>
        <v/>
      </c>
      <c r="I1043">
        <f>IF(OC_Date=0,"",IF(INDEX('OneCause_Paste'!$A$1043:$AZ$1043,1,OC_Date)="","",INDEX('OneCause_Paste'!$A$1043:$AZ$1043,1,OC_Date)))</f>
        <v/>
      </c>
      <c r="J1043">
        <f>IF(OC_Amt=0,"",IF(INDEX('OneCause_Paste'!$A$1043:$AZ$1043,1,OC_Amt)="","",INDEX('OneCause_Paste'!$A$1043:$AZ$1043,1,OC_Amt)))</f>
        <v/>
      </c>
      <c r="K1043">
        <f>IF(OC_Name=0,"",IF(INDEX('OneCause_Paste'!$A$1043:$AZ$1043,1,OC_Name)="","",INDEX('OneCause_Paste'!$A$1043:$AZ$1043,1,OC_Name)))</f>
        <v/>
      </c>
      <c r="L1043">
        <f>IF(OC_Txn=0,"",IF(INDEX('OneCause_Paste'!$A$1043:$AZ$1043,1,OC_Txn)="","",INDEX('OneCause_Paste'!$A$1043:$AZ$1043,1,OC_Txn)))</f>
        <v/>
      </c>
      <c r="M1043">
        <f>IF(OC_Pay=0,"",IF(INDEX('OneCause_Paste'!$A$1043:$AZ$1043,1,OC_Pay)="","",INDEX('OneCause_Paste'!$A$1043:$AZ$1043,1,OC_Pay)))</f>
        <v/>
      </c>
      <c r="N1043">
        <f>IF(I1043="","",IF(ISNUMBER(I1043),INT(I1043),IFERROR(INT(DATEVALUE(I1043)),IFERROR(INT(VALUE(I1043)),"bad"))))</f>
        <v/>
      </c>
      <c r="O1043">
        <f>IF(J1043="","",IF(ISNUMBER(J1043),ROUND(J1043,2),IFERROR(ROUND(VALUE(SUBSTITUTE(SUBSTITUTE(SUBSTITUTE(J1043,"$",""),",","")," ","")),2),"bad")))</f>
        <v/>
      </c>
      <c r="P1043">
        <f>IF(TRIM(K1043)="","",IFERROR(MATCH(LOWER(TRIM(K1043)),'Students'!$AH$2:$AH$701,0),IFERROR(MATCH(LOWER(TRIM(K1043)),'Students'!$AF$2:$AF$701,0),IFERROR(MATCH(LOWER(TRIM(K1043)),'Students'!$AG$2:$AG$701,0),""))))</f>
        <v/>
      </c>
      <c r="R1043">
        <f>IF(P1043="","",INDEX('Students'!$AD$2:$AD$701,P1043))</f>
        <v/>
      </c>
      <c r="S1043">
        <f>IF(H1043="OK",O1043,0)</f>
        <v/>
      </c>
      <c r="T1043">
        <f>IF(H1043="OK",N1043,"")</f>
        <v/>
      </c>
      <c r="U1043">
        <f>IF(OC_Donor=0,"",IF(INDEX('OneCause_Paste'!$A$1043:$AZ$1043,1,OC_Donor)="","",INDEX('OneCause_Paste'!$A$1043:$AZ$1043,1,OC_Donor)))</f>
        <v/>
      </c>
    </row>
    <row r="1044">
      <c r="A1044" s="62">
        <f>IF(H1044="","",IF(ISNUMBER(N1044),N1044,I1044))</f>
        <v/>
      </c>
      <c r="B1044">
        <f>IF(H1044="","",U1044)</f>
        <v/>
      </c>
      <c r="C1044">
        <f>IF(H1044="","",IF(P1044="",K1044,INDEX('Students'!$A$2:$A$701,P1044)))</f>
        <v/>
      </c>
      <c r="D1044">
        <f>IF(OR(H1044="",P1044=""),"",INDEX('Students'!$B$2:$B$701,P1044))</f>
        <v/>
      </c>
      <c r="E1044">
        <f>IF(OR(H1044="",P1044=""),"",INDEX('Students'!$C$2:$C$701,P1044))</f>
        <v/>
      </c>
      <c r="F1044" s="48">
        <f>IF(H1044="","",IF(ISNUMBER(O1044),O1044,J1044))</f>
        <v/>
      </c>
      <c r="G1044">
        <f>IF(H1044="","","OneCause")</f>
        <v/>
      </c>
      <c r="H1044">
        <f>IF(AND(I1044="",J1044="",K1044=""),"",IF(NOT(ISNUMBER(O1044)),"Bad amount",IF(O1044&lt;0,"Refund (not counted)",IF(O1044=0,"Zero amount",IF(NOT(ISNUMBER(N1044)),"Bad date",IF(P1044="","NAME NOT ON ROSTER",IF(L1044="","OK",IF(MATCH(L1044,$L$2:$L$3001,0)&lt;ROW()-1,"Duplicate (ignored)","OK"))))))))</f>
        <v/>
      </c>
      <c r="I1044">
        <f>IF(OC_Date=0,"",IF(INDEX('OneCause_Paste'!$A$1044:$AZ$1044,1,OC_Date)="","",INDEX('OneCause_Paste'!$A$1044:$AZ$1044,1,OC_Date)))</f>
        <v/>
      </c>
      <c r="J1044">
        <f>IF(OC_Amt=0,"",IF(INDEX('OneCause_Paste'!$A$1044:$AZ$1044,1,OC_Amt)="","",INDEX('OneCause_Paste'!$A$1044:$AZ$1044,1,OC_Amt)))</f>
        <v/>
      </c>
      <c r="K1044">
        <f>IF(OC_Name=0,"",IF(INDEX('OneCause_Paste'!$A$1044:$AZ$1044,1,OC_Name)="","",INDEX('OneCause_Paste'!$A$1044:$AZ$1044,1,OC_Name)))</f>
        <v/>
      </c>
      <c r="L1044">
        <f>IF(OC_Txn=0,"",IF(INDEX('OneCause_Paste'!$A$1044:$AZ$1044,1,OC_Txn)="","",INDEX('OneCause_Paste'!$A$1044:$AZ$1044,1,OC_Txn)))</f>
        <v/>
      </c>
      <c r="M1044">
        <f>IF(OC_Pay=0,"",IF(INDEX('OneCause_Paste'!$A$1044:$AZ$1044,1,OC_Pay)="","",INDEX('OneCause_Paste'!$A$1044:$AZ$1044,1,OC_Pay)))</f>
        <v/>
      </c>
      <c r="N1044">
        <f>IF(I1044="","",IF(ISNUMBER(I1044),INT(I1044),IFERROR(INT(DATEVALUE(I1044)),IFERROR(INT(VALUE(I1044)),"bad"))))</f>
        <v/>
      </c>
      <c r="O1044">
        <f>IF(J1044="","",IF(ISNUMBER(J1044),ROUND(J1044,2),IFERROR(ROUND(VALUE(SUBSTITUTE(SUBSTITUTE(SUBSTITUTE(J1044,"$",""),",","")," ","")),2),"bad")))</f>
        <v/>
      </c>
      <c r="P1044">
        <f>IF(TRIM(K1044)="","",IFERROR(MATCH(LOWER(TRIM(K1044)),'Students'!$AH$2:$AH$701,0),IFERROR(MATCH(LOWER(TRIM(K1044)),'Students'!$AF$2:$AF$701,0),IFERROR(MATCH(LOWER(TRIM(K1044)),'Students'!$AG$2:$AG$701,0),""))))</f>
        <v/>
      </c>
      <c r="R1044">
        <f>IF(P1044="","",INDEX('Students'!$AD$2:$AD$701,P1044))</f>
        <v/>
      </c>
      <c r="S1044">
        <f>IF(H1044="OK",O1044,0)</f>
        <v/>
      </c>
      <c r="T1044">
        <f>IF(H1044="OK",N1044,"")</f>
        <v/>
      </c>
      <c r="U1044">
        <f>IF(OC_Donor=0,"",IF(INDEX('OneCause_Paste'!$A$1044:$AZ$1044,1,OC_Donor)="","",INDEX('OneCause_Paste'!$A$1044:$AZ$1044,1,OC_Donor)))</f>
        <v/>
      </c>
    </row>
    <row r="1045">
      <c r="A1045" s="62">
        <f>IF(H1045="","",IF(ISNUMBER(N1045),N1045,I1045))</f>
        <v/>
      </c>
      <c r="B1045">
        <f>IF(H1045="","",U1045)</f>
        <v/>
      </c>
      <c r="C1045">
        <f>IF(H1045="","",IF(P1045="",K1045,INDEX('Students'!$A$2:$A$701,P1045)))</f>
        <v/>
      </c>
      <c r="D1045">
        <f>IF(OR(H1045="",P1045=""),"",INDEX('Students'!$B$2:$B$701,P1045))</f>
        <v/>
      </c>
      <c r="E1045">
        <f>IF(OR(H1045="",P1045=""),"",INDEX('Students'!$C$2:$C$701,P1045))</f>
        <v/>
      </c>
      <c r="F1045" s="48">
        <f>IF(H1045="","",IF(ISNUMBER(O1045),O1045,J1045))</f>
        <v/>
      </c>
      <c r="G1045">
        <f>IF(H1045="","","OneCause")</f>
        <v/>
      </c>
      <c r="H1045">
        <f>IF(AND(I1045="",J1045="",K1045=""),"",IF(NOT(ISNUMBER(O1045)),"Bad amount",IF(O1045&lt;0,"Refund (not counted)",IF(O1045=0,"Zero amount",IF(NOT(ISNUMBER(N1045)),"Bad date",IF(P1045="","NAME NOT ON ROSTER",IF(L1045="","OK",IF(MATCH(L1045,$L$2:$L$3001,0)&lt;ROW()-1,"Duplicate (ignored)","OK"))))))))</f>
        <v/>
      </c>
      <c r="I1045">
        <f>IF(OC_Date=0,"",IF(INDEX('OneCause_Paste'!$A$1045:$AZ$1045,1,OC_Date)="","",INDEX('OneCause_Paste'!$A$1045:$AZ$1045,1,OC_Date)))</f>
        <v/>
      </c>
      <c r="J1045">
        <f>IF(OC_Amt=0,"",IF(INDEX('OneCause_Paste'!$A$1045:$AZ$1045,1,OC_Amt)="","",INDEX('OneCause_Paste'!$A$1045:$AZ$1045,1,OC_Amt)))</f>
        <v/>
      </c>
      <c r="K1045">
        <f>IF(OC_Name=0,"",IF(INDEX('OneCause_Paste'!$A$1045:$AZ$1045,1,OC_Name)="","",INDEX('OneCause_Paste'!$A$1045:$AZ$1045,1,OC_Name)))</f>
        <v/>
      </c>
      <c r="L1045">
        <f>IF(OC_Txn=0,"",IF(INDEX('OneCause_Paste'!$A$1045:$AZ$1045,1,OC_Txn)="","",INDEX('OneCause_Paste'!$A$1045:$AZ$1045,1,OC_Txn)))</f>
        <v/>
      </c>
      <c r="M1045">
        <f>IF(OC_Pay=0,"",IF(INDEX('OneCause_Paste'!$A$1045:$AZ$1045,1,OC_Pay)="","",INDEX('OneCause_Paste'!$A$1045:$AZ$1045,1,OC_Pay)))</f>
        <v/>
      </c>
      <c r="N1045">
        <f>IF(I1045="","",IF(ISNUMBER(I1045),INT(I1045),IFERROR(INT(DATEVALUE(I1045)),IFERROR(INT(VALUE(I1045)),"bad"))))</f>
        <v/>
      </c>
      <c r="O1045">
        <f>IF(J1045="","",IF(ISNUMBER(J1045),ROUND(J1045,2),IFERROR(ROUND(VALUE(SUBSTITUTE(SUBSTITUTE(SUBSTITUTE(J1045,"$",""),",","")," ","")),2),"bad")))</f>
        <v/>
      </c>
      <c r="P1045">
        <f>IF(TRIM(K1045)="","",IFERROR(MATCH(LOWER(TRIM(K1045)),'Students'!$AH$2:$AH$701,0),IFERROR(MATCH(LOWER(TRIM(K1045)),'Students'!$AF$2:$AF$701,0),IFERROR(MATCH(LOWER(TRIM(K1045)),'Students'!$AG$2:$AG$701,0),""))))</f>
        <v/>
      </c>
      <c r="R1045">
        <f>IF(P1045="","",INDEX('Students'!$AD$2:$AD$701,P1045))</f>
        <v/>
      </c>
      <c r="S1045">
        <f>IF(H1045="OK",O1045,0)</f>
        <v/>
      </c>
      <c r="T1045">
        <f>IF(H1045="OK",N1045,"")</f>
        <v/>
      </c>
      <c r="U1045">
        <f>IF(OC_Donor=0,"",IF(INDEX('OneCause_Paste'!$A$1045:$AZ$1045,1,OC_Donor)="","",INDEX('OneCause_Paste'!$A$1045:$AZ$1045,1,OC_Donor)))</f>
        <v/>
      </c>
    </row>
    <row r="1046">
      <c r="A1046" s="62">
        <f>IF(H1046="","",IF(ISNUMBER(N1046),N1046,I1046))</f>
        <v/>
      </c>
      <c r="B1046">
        <f>IF(H1046="","",U1046)</f>
        <v/>
      </c>
      <c r="C1046">
        <f>IF(H1046="","",IF(P1046="",K1046,INDEX('Students'!$A$2:$A$701,P1046)))</f>
        <v/>
      </c>
      <c r="D1046">
        <f>IF(OR(H1046="",P1046=""),"",INDEX('Students'!$B$2:$B$701,P1046))</f>
        <v/>
      </c>
      <c r="E1046">
        <f>IF(OR(H1046="",P1046=""),"",INDEX('Students'!$C$2:$C$701,P1046))</f>
        <v/>
      </c>
      <c r="F1046" s="48">
        <f>IF(H1046="","",IF(ISNUMBER(O1046),O1046,J1046))</f>
        <v/>
      </c>
      <c r="G1046">
        <f>IF(H1046="","","OneCause")</f>
        <v/>
      </c>
      <c r="H1046">
        <f>IF(AND(I1046="",J1046="",K1046=""),"",IF(NOT(ISNUMBER(O1046)),"Bad amount",IF(O1046&lt;0,"Refund (not counted)",IF(O1046=0,"Zero amount",IF(NOT(ISNUMBER(N1046)),"Bad date",IF(P1046="","NAME NOT ON ROSTER",IF(L1046="","OK",IF(MATCH(L1046,$L$2:$L$3001,0)&lt;ROW()-1,"Duplicate (ignored)","OK"))))))))</f>
        <v/>
      </c>
      <c r="I1046">
        <f>IF(OC_Date=0,"",IF(INDEX('OneCause_Paste'!$A$1046:$AZ$1046,1,OC_Date)="","",INDEX('OneCause_Paste'!$A$1046:$AZ$1046,1,OC_Date)))</f>
        <v/>
      </c>
      <c r="J1046">
        <f>IF(OC_Amt=0,"",IF(INDEX('OneCause_Paste'!$A$1046:$AZ$1046,1,OC_Amt)="","",INDEX('OneCause_Paste'!$A$1046:$AZ$1046,1,OC_Amt)))</f>
        <v/>
      </c>
      <c r="K1046">
        <f>IF(OC_Name=0,"",IF(INDEX('OneCause_Paste'!$A$1046:$AZ$1046,1,OC_Name)="","",INDEX('OneCause_Paste'!$A$1046:$AZ$1046,1,OC_Name)))</f>
        <v/>
      </c>
      <c r="L1046">
        <f>IF(OC_Txn=0,"",IF(INDEX('OneCause_Paste'!$A$1046:$AZ$1046,1,OC_Txn)="","",INDEX('OneCause_Paste'!$A$1046:$AZ$1046,1,OC_Txn)))</f>
        <v/>
      </c>
      <c r="M1046">
        <f>IF(OC_Pay=0,"",IF(INDEX('OneCause_Paste'!$A$1046:$AZ$1046,1,OC_Pay)="","",INDEX('OneCause_Paste'!$A$1046:$AZ$1046,1,OC_Pay)))</f>
        <v/>
      </c>
      <c r="N1046">
        <f>IF(I1046="","",IF(ISNUMBER(I1046),INT(I1046),IFERROR(INT(DATEVALUE(I1046)),IFERROR(INT(VALUE(I1046)),"bad"))))</f>
        <v/>
      </c>
      <c r="O1046">
        <f>IF(J1046="","",IF(ISNUMBER(J1046),ROUND(J1046,2),IFERROR(ROUND(VALUE(SUBSTITUTE(SUBSTITUTE(SUBSTITUTE(J1046,"$",""),",","")," ","")),2),"bad")))</f>
        <v/>
      </c>
      <c r="P1046">
        <f>IF(TRIM(K1046)="","",IFERROR(MATCH(LOWER(TRIM(K1046)),'Students'!$AH$2:$AH$701,0),IFERROR(MATCH(LOWER(TRIM(K1046)),'Students'!$AF$2:$AF$701,0),IFERROR(MATCH(LOWER(TRIM(K1046)),'Students'!$AG$2:$AG$701,0),""))))</f>
        <v/>
      </c>
      <c r="R1046">
        <f>IF(P1046="","",INDEX('Students'!$AD$2:$AD$701,P1046))</f>
        <v/>
      </c>
      <c r="S1046">
        <f>IF(H1046="OK",O1046,0)</f>
        <v/>
      </c>
      <c r="T1046">
        <f>IF(H1046="OK",N1046,"")</f>
        <v/>
      </c>
      <c r="U1046">
        <f>IF(OC_Donor=0,"",IF(INDEX('OneCause_Paste'!$A$1046:$AZ$1046,1,OC_Donor)="","",INDEX('OneCause_Paste'!$A$1046:$AZ$1046,1,OC_Donor)))</f>
        <v/>
      </c>
    </row>
    <row r="1047">
      <c r="A1047" s="62">
        <f>IF(H1047="","",IF(ISNUMBER(N1047),N1047,I1047))</f>
        <v/>
      </c>
      <c r="B1047">
        <f>IF(H1047="","",U1047)</f>
        <v/>
      </c>
      <c r="C1047">
        <f>IF(H1047="","",IF(P1047="",K1047,INDEX('Students'!$A$2:$A$701,P1047)))</f>
        <v/>
      </c>
      <c r="D1047">
        <f>IF(OR(H1047="",P1047=""),"",INDEX('Students'!$B$2:$B$701,P1047))</f>
        <v/>
      </c>
      <c r="E1047">
        <f>IF(OR(H1047="",P1047=""),"",INDEX('Students'!$C$2:$C$701,P1047))</f>
        <v/>
      </c>
      <c r="F1047" s="48">
        <f>IF(H1047="","",IF(ISNUMBER(O1047),O1047,J1047))</f>
        <v/>
      </c>
      <c r="G1047">
        <f>IF(H1047="","","OneCause")</f>
        <v/>
      </c>
      <c r="H1047">
        <f>IF(AND(I1047="",J1047="",K1047=""),"",IF(NOT(ISNUMBER(O1047)),"Bad amount",IF(O1047&lt;0,"Refund (not counted)",IF(O1047=0,"Zero amount",IF(NOT(ISNUMBER(N1047)),"Bad date",IF(P1047="","NAME NOT ON ROSTER",IF(L1047="","OK",IF(MATCH(L1047,$L$2:$L$3001,0)&lt;ROW()-1,"Duplicate (ignored)","OK"))))))))</f>
        <v/>
      </c>
      <c r="I1047">
        <f>IF(OC_Date=0,"",IF(INDEX('OneCause_Paste'!$A$1047:$AZ$1047,1,OC_Date)="","",INDEX('OneCause_Paste'!$A$1047:$AZ$1047,1,OC_Date)))</f>
        <v/>
      </c>
      <c r="J1047">
        <f>IF(OC_Amt=0,"",IF(INDEX('OneCause_Paste'!$A$1047:$AZ$1047,1,OC_Amt)="","",INDEX('OneCause_Paste'!$A$1047:$AZ$1047,1,OC_Amt)))</f>
        <v/>
      </c>
      <c r="K1047">
        <f>IF(OC_Name=0,"",IF(INDEX('OneCause_Paste'!$A$1047:$AZ$1047,1,OC_Name)="","",INDEX('OneCause_Paste'!$A$1047:$AZ$1047,1,OC_Name)))</f>
        <v/>
      </c>
      <c r="L1047">
        <f>IF(OC_Txn=0,"",IF(INDEX('OneCause_Paste'!$A$1047:$AZ$1047,1,OC_Txn)="","",INDEX('OneCause_Paste'!$A$1047:$AZ$1047,1,OC_Txn)))</f>
        <v/>
      </c>
      <c r="M1047">
        <f>IF(OC_Pay=0,"",IF(INDEX('OneCause_Paste'!$A$1047:$AZ$1047,1,OC_Pay)="","",INDEX('OneCause_Paste'!$A$1047:$AZ$1047,1,OC_Pay)))</f>
        <v/>
      </c>
      <c r="N1047">
        <f>IF(I1047="","",IF(ISNUMBER(I1047),INT(I1047),IFERROR(INT(DATEVALUE(I1047)),IFERROR(INT(VALUE(I1047)),"bad"))))</f>
        <v/>
      </c>
      <c r="O1047">
        <f>IF(J1047="","",IF(ISNUMBER(J1047),ROUND(J1047,2),IFERROR(ROUND(VALUE(SUBSTITUTE(SUBSTITUTE(SUBSTITUTE(J1047,"$",""),",","")," ","")),2),"bad")))</f>
        <v/>
      </c>
      <c r="P1047">
        <f>IF(TRIM(K1047)="","",IFERROR(MATCH(LOWER(TRIM(K1047)),'Students'!$AH$2:$AH$701,0),IFERROR(MATCH(LOWER(TRIM(K1047)),'Students'!$AF$2:$AF$701,0),IFERROR(MATCH(LOWER(TRIM(K1047)),'Students'!$AG$2:$AG$701,0),""))))</f>
        <v/>
      </c>
      <c r="R1047">
        <f>IF(P1047="","",INDEX('Students'!$AD$2:$AD$701,P1047))</f>
        <v/>
      </c>
      <c r="S1047">
        <f>IF(H1047="OK",O1047,0)</f>
        <v/>
      </c>
      <c r="T1047">
        <f>IF(H1047="OK",N1047,"")</f>
        <v/>
      </c>
      <c r="U1047">
        <f>IF(OC_Donor=0,"",IF(INDEX('OneCause_Paste'!$A$1047:$AZ$1047,1,OC_Donor)="","",INDEX('OneCause_Paste'!$A$1047:$AZ$1047,1,OC_Donor)))</f>
        <v/>
      </c>
    </row>
    <row r="1048">
      <c r="A1048" s="62">
        <f>IF(H1048="","",IF(ISNUMBER(N1048),N1048,I1048))</f>
        <v/>
      </c>
      <c r="B1048">
        <f>IF(H1048="","",U1048)</f>
        <v/>
      </c>
      <c r="C1048">
        <f>IF(H1048="","",IF(P1048="",K1048,INDEX('Students'!$A$2:$A$701,P1048)))</f>
        <v/>
      </c>
      <c r="D1048">
        <f>IF(OR(H1048="",P1048=""),"",INDEX('Students'!$B$2:$B$701,P1048))</f>
        <v/>
      </c>
      <c r="E1048">
        <f>IF(OR(H1048="",P1048=""),"",INDEX('Students'!$C$2:$C$701,P1048))</f>
        <v/>
      </c>
      <c r="F1048" s="48">
        <f>IF(H1048="","",IF(ISNUMBER(O1048),O1048,J1048))</f>
        <v/>
      </c>
      <c r="G1048">
        <f>IF(H1048="","","OneCause")</f>
        <v/>
      </c>
      <c r="H1048">
        <f>IF(AND(I1048="",J1048="",K1048=""),"",IF(NOT(ISNUMBER(O1048)),"Bad amount",IF(O1048&lt;0,"Refund (not counted)",IF(O1048=0,"Zero amount",IF(NOT(ISNUMBER(N1048)),"Bad date",IF(P1048="","NAME NOT ON ROSTER",IF(L1048="","OK",IF(MATCH(L1048,$L$2:$L$3001,0)&lt;ROW()-1,"Duplicate (ignored)","OK"))))))))</f>
        <v/>
      </c>
      <c r="I1048">
        <f>IF(OC_Date=0,"",IF(INDEX('OneCause_Paste'!$A$1048:$AZ$1048,1,OC_Date)="","",INDEX('OneCause_Paste'!$A$1048:$AZ$1048,1,OC_Date)))</f>
        <v/>
      </c>
      <c r="J1048">
        <f>IF(OC_Amt=0,"",IF(INDEX('OneCause_Paste'!$A$1048:$AZ$1048,1,OC_Amt)="","",INDEX('OneCause_Paste'!$A$1048:$AZ$1048,1,OC_Amt)))</f>
        <v/>
      </c>
      <c r="K1048">
        <f>IF(OC_Name=0,"",IF(INDEX('OneCause_Paste'!$A$1048:$AZ$1048,1,OC_Name)="","",INDEX('OneCause_Paste'!$A$1048:$AZ$1048,1,OC_Name)))</f>
        <v/>
      </c>
      <c r="L1048">
        <f>IF(OC_Txn=0,"",IF(INDEX('OneCause_Paste'!$A$1048:$AZ$1048,1,OC_Txn)="","",INDEX('OneCause_Paste'!$A$1048:$AZ$1048,1,OC_Txn)))</f>
        <v/>
      </c>
      <c r="M1048">
        <f>IF(OC_Pay=0,"",IF(INDEX('OneCause_Paste'!$A$1048:$AZ$1048,1,OC_Pay)="","",INDEX('OneCause_Paste'!$A$1048:$AZ$1048,1,OC_Pay)))</f>
        <v/>
      </c>
      <c r="N1048">
        <f>IF(I1048="","",IF(ISNUMBER(I1048),INT(I1048),IFERROR(INT(DATEVALUE(I1048)),IFERROR(INT(VALUE(I1048)),"bad"))))</f>
        <v/>
      </c>
      <c r="O1048">
        <f>IF(J1048="","",IF(ISNUMBER(J1048),ROUND(J1048,2),IFERROR(ROUND(VALUE(SUBSTITUTE(SUBSTITUTE(SUBSTITUTE(J1048,"$",""),",","")," ","")),2),"bad")))</f>
        <v/>
      </c>
      <c r="P1048">
        <f>IF(TRIM(K1048)="","",IFERROR(MATCH(LOWER(TRIM(K1048)),'Students'!$AH$2:$AH$701,0),IFERROR(MATCH(LOWER(TRIM(K1048)),'Students'!$AF$2:$AF$701,0),IFERROR(MATCH(LOWER(TRIM(K1048)),'Students'!$AG$2:$AG$701,0),""))))</f>
        <v/>
      </c>
      <c r="R1048">
        <f>IF(P1048="","",INDEX('Students'!$AD$2:$AD$701,P1048))</f>
        <v/>
      </c>
      <c r="S1048">
        <f>IF(H1048="OK",O1048,0)</f>
        <v/>
      </c>
      <c r="T1048">
        <f>IF(H1048="OK",N1048,"")</f>
        <v/>
      </c>
      <c r="U1048">
        <f>IF(OC_Donor=0,"",IF(INDEX('OneCause_Paste'!$A$1048:$AZ$1048,1,OC_Donor)="","",INDEX('OneCause_Paste'!$A$1048:$AZ$1048,1,OC_Donor)))</f>
        <v/>
      </c>
    </row>
    <row r="1049">
      <c r="A1049" s="62">
        <f>IF(H1049="","",IF(ISNUMBER(N1049),N1049,I1049))</f>
        <v/>
      </c>
      <c r="B1049">
        <f>IF(H1049="","",U1049)</f>
        <v/>
      </c>
      <c r="C1049">
        <f>IF(H1049="","",IF(P1049="",K1049,INDEX('Students'!$A$2:$A$701,P1049)))</f>
        <v/>
      </c>
      <c r="D1049">
        <f>IF(OR(H1049="",P1049=""),"",INDEX('Students'!$B$2:$B$701,P1049))</f>
        <v/>
      </c>
      <c r="E1049">
        <f>IF(OR(H1049="",P1049=""),"",INDEX('Students'!$C$2:$C$701,P1049))</f>
        <v/>
      </c>
      <c r="F1049" s="48">
        <f>IF(H1049="","",IF(ISNUMBER(O1049),O1049,J1049))</f>
        <v/>
      </c>
      <c r="G1049">
        <f>IF(H1049="","","OneCause")</f>
        <v/>
      </c>
      <c r="H1049">
        <f>IF(AND(I1049="",J1049="",K1049=""),"",IF(NOT(ISNUMBER(O1049)),"Bad amount",IF(O1049&lt;0,"Refund (not counted)",IF(O1049=0,"Zero amount",IF(NOT(ISNUMBER(N1049)),"Bad date",IF(P1049="","NAME NOT ON ROSTER",IF(L1049="","OK",IF(MATCH(L1049,$L$2:$L$3001,0)&lt;ROW()-1,"Duplicate (ignored)","OK"))))))))</f>
        <v/>
      </c>
      <c r="I1049">
        <f>IF(OC_Date=0,"",IF(INDEX('OneCause_Paste'!$A$1049:$AZ$1049,1,OC_Date)="","",INDEX('OneCause_Paste'!$A$1049:$AZ$1049,1,OC_Date)))</f>
        <v/>
      </c>
      <c r="J1049">
        <f>IF(OC_Amt=0,"",IF(INDEX('OneCause_Paste'!$A$1049:$AZ$1049,1,OC_Amt)="","",INDEX('OneCause_Paste'!$A$1049:$AZ$1049,1,OC_Amt)))</f>
        <v/>
      </c>
      <c r="K1049">
        <f>IF(OC_Name=0,"",IF(INDEX('OneCause_Paste'!$A$1049:$AZ$1049,1,OC_Name)="","",INDEX('OneCause_Paste'!$A$1049:$AZ$1049,1,OC_Name)))</f>
        <v/>
      </c>
      <c r="L1049">
        <f>IF(OC_Txn=0,"",IF(INDEX('OneCause_Paste'!$A$1049:$AZ$1049,1,OC_Txn)="","",INDEX('OneCause_Paste'!$A$1049:$AZ$1049,1,OC_Txn)))</f>
        <v/>
      </c>
      <c r="M1049">
        <f>IF(OC_Pay=0,"",IF(INDEX('OneCause_Paste'!$A$1049:$AZ$1049,1,OC_Pay)="","",INDEX('OneCause_Paste'!$A$1049:$AZ$1049,1,OC_Pay)))</f>
        <v/>
      </c>
      <c r="N1049">
        <f>IF(I1049="","",IF(ISNUMBER(I1049),INT(I1049),IFERROR(INT(DATEVALUE(I1049)),IFERROR(INT(VALUE(I1049)),"bad"))))</f>
        <v/>
      </c>
      <c r="O1049">
        <f>IF(J1049="","",IF(ISNUMBER(J1049),ROUND(J1049,2),IFERROR(ROUND(VALUE(SUBSTITUTE(SUBSTITUTE(SUBSTITUTE(J1049,"$",""),",","")," ","")),2),"bad")))</f>
        <v/>
      </c>
      <c r="P1049">
        <f>IF(TRIM(K1049)="","",IFERROR(MATCH(LOWER(TRIM(K1049)),'Students'!$AH$2:$AH$701,0),IFERROR(MATCH(LOWER(TRIM(K1049)),'Students'!$AF$2:$AF$701,0),IFERROR(MATCH(LOWER(TRIM(K1049)),'Students'!$AG$2:$AG$701,0),""))))</f>
        <v/>
      </c>
      <c r="R1049">
        <f>IF(P1049="","",INDEX('Students'!$AD$2:$AD$701,P1049))</f>
        <v/>
      </c>
      <c r="S1049">
        <f>IF(H1049="OK",O1049,0)</f>
        <v/>
      </c>
      <c r="T1049">
        <f>IF(H1049="OK",N1049,"")</f>
        <v/>
      </c>
      <c r="U1049">
        <f>IF(OC_Donor=0,"",IF(INDEX('OneCause_Paste'!$A$1049:$AZ$1049,1,OC_Donor)="","",INDEX('OneCause_Paste'!$A$1049:$AZ$1049,1,OC_Donor)))</f>
        <v/>
      </c>
    </row>
    <row r="1050">
      <c r="A1050" s="62">
        <f>IF(H1050="","",IF(ISNUMBER(N1050),N1050,I1050))</f>
        <v/>
      </c>
      <c r="B1050">
        <f>IF(H1050="","",U1050)</f>
        <v/>
      </c>
      <c r="C1050">
        <f>IF(H1050="","",IF(P1050="",K1050,INDEX('Students'!$A$2:$A$701,P1050)))</f>
        <v/>
      </c>
      <c r="D1050">
        <f>IF(OR(H1050="",P1050=""),"",INDEX('Students'!$B$2:$B$701,P1050))</f>
        <v/>
      </c>
      <c r="E1050">
        <f>IF(OR(H1050="",P1050=""),"",INDEX('Students'!$C$2:$C$701,P1050))</f>
        <v/>
      </c>
      <c r="F1050" s="48">
        <f>IF(H1050="","",IF(ISNUMBER(O1050),O1050,J1050))</f>
        <v/>
      </c>
      <c r="G1050">
        <f>IF(H1050="","","OneCause")</f>
        <v/>
      </c>
      <c r="H1050">
        <f>IF(AND(I1050="",J1050="",K1050=""),"",IF(NOT(ISNUMBER(O1050)),"Bad amount",IF(O1050&lt;0,"Refund (not counted)",IF(O1050=0,"Zero amount",IF(NOT(ISNUMBER(N1050)),"Bad date",IF(P1050="","NAME NOT ON ROSTER",IF(L1050="","OK",IF(MATCH(L1050,$L$2:$L$3001,0)&lt;ROW()-1,"Duplicate (ignored)","OK"))))))))</f>
        <v/>
      </c>
      <c r="I1050">
        <f>IF(OC_Date=0,"",IF(INDEX('OneCause_Paste'!$A$1050:$AZ$1050,1,OC_Date)="","",INDEX('OneCause_Paste'!$A$1050:$AZ$1050,1,OC_Date)))</f>
        <v/>
      </c>
      <c r="J1050">
        <f>IF(OC_Amt=0,"",IF(INDEX('OneCause_Paste'!$A$1050:$AZ$1050,1,OC_Amt)="","",INDEX('OneCause_Paste'!$A$1050:$AZ$1050,1,OC_Amt)))</f>
        <v/>
      </c>
      <c r="K1050">
        <f>IF(OC_Name=0,"",IF(INDEX('OneCause_Paste'!$A$1050:$AZ$1050,1,OC_Name)="","",INDEX('OneCause_Paste'!$A$1050:$AZ$1050,1,OC_Name)))</f>
        <v/>
      </c>
      <c r="L1050">
        <f>IF(OC_Txn=0,"",IF(INDEX('OneCause_Paste'!$A$1050:$AZ$1050,1,OC_Txn)="","",INDEX('OneCause_Paste'!$A$1050:$AZ$1050,1,OC_Txn)))</f>
        <v/>
      </c>
      <c r="M1050">
        <f>IF(OC_Pay=0,"",IF(INDEX('OneCause_Paste'!$A$1050:$AZ$1050,1,OC_Pay)="","",INDEX('OneCause_Paste'!$A$1050:$AZ$1050,1,OC_Pay)))</f>
        <v/>
      </c>
      <c r="N1050">
        <f>IF(I1050="","",IF(ISNUMBER(I1050),INT(I1050),IFERROR(INT(DATEVALUE(I1050)),IFERROR(INT(VALUE(I1050)),"bad"))))</f>
        <v/>
      </c>
      <c r="O1050">
        <f>IF(J1050="","",IF(ISNUMBER(J1050),ROUND(J1050,2),IFERROR(ROUND(VALUE(SUBSTITUTE(SUBSTITUTE(SUBSTITUTE(J1050,"$",""),",","")," ","")),2),"bad")))</f>
        <v/>
      </c>
      <c r="P1050">
        <f>IF(TRIM(K1050)="","",IFERROR(MATCH(LOWER(TRIM(K1050)),'Students'!$AH$2:$AH$701,0),IFERROR(MATCH(LOWER(TRIM(K1050)),'Students'!$AF$2:$AF$701,0),IFERROR(MATCH(LOWER(TRIM(K1050)),'Students'!$AG$2:$AG$701,0),""))))</f>
        <v/>
      </c>
      <c r="R1050">
        <f>IF(P1050="","",INDEX('Students'!$AD$2:$AD$701,P1050))</f>
        <v/>
      </c>
      <c r="S1050">
        <f>IF(H1050="OK",O1050,0)</f>
        <v/>
      </c>
      <c r="T1050">
        <f>IF(H1050="OK",N1050,"")</f>
        <v/>
      </c>
      <c r="U1050">
        <f>IF(OC_Donor=0,"",IF(INDEX('OneCause_Paste'!$A$1050:$AZ$1050,1,OC_Donor)="","",INDEX('OneCause_Paste'!$A$1050:$AZ$1050,1,OC_Donor)))</f>
        <v/>
      </c>
    </row>
    <row r="1051">
      <c r="A1051" s="62">
        <f>IF(H1051="","",IF(ISNUMBER(N1051),N1051,I1051))</f>
        <v/>
      </c>
      <c r="B1051">
        <f>IF(H1051="","",U1051)</f>
        <v/>
      </c>
      <c r="C1051">
        <f>IF(H1051="","",IF(P1051="",K1051,INDEX('Students'!$A$2:$A$701,P1051)))</f>
        <v/>
      </c>
      <c r="D1051">
        <f>IF(OR(H1051="",P1051=""),"",INDEX('Students'!$B$2:$B$701,P1051))</f>
        <v/>
      </c>
      <c r="E1051">
        <f>IF(OR(H1051="",P1051=""),"",INDEX('Students'!$C$2:$C$701,P1051))</f>
        <v/>
      </c>
      <c r="F1051" s="48">
        <f>IF(H1051="","",IF(ISNUMBER(O1051),O1051,J1051))</f>
        <v/>
      </c>
      <c r="G1051">
        <f>IF(H1051="","","OneCause")</f>
        <v/>
      </c>
      <c r="H1051">
        <f>IF(AND(I1051="",J1051="",K1051=""),"",IF(NOT(ISNUMBER(O1051)),"Bad amount",IF(O1051&lt;0,"Refund (not counted)",IF(O1051=0,"Zero amount",IF(NOT(ISNUMBER(N1051)),"Bad date",IF(P1051="","NAME NOT ON ROSTER",IF(L1051="","OK",IF(MATCH(L1051,$L$2:$L$3001,0)&lt;ROW()-1,"Duplicate (ignored)","OK"))))))))</f>
        <v/>
      </c>
      <c r="I1051">
        <f>IF(OC_Date=0,"",IF(INDEX('OneCause_Paste'!$A$1051:$AZ$1051,1,OC_Date)="","",INDEX('OneCause_Paste'!$A$1051:$AZ$1051,1,OC_Date)))</f>
        <v/>
      </c>
      <c r="J1051">
        <f>IF(OC_Amt=0,"",IF(INDEX('OneCause_Paste'!$A$1051:$AZ$1051,1,OC_Amt)="","",INDEX('OneCause_Paste'!$A$1051:$AZ$1051,1,OC_Amt)))</f>
        <v/>
      </c>
      <c r="K1051">
        <f>IF(OC_Name=0,"",IF(INDEX('OneCause_Paste'!$A$1051:$AZ$1051,1,OC_Name)="","",INDEX('OneCause_Paste'!$A$1051:$AZ$1051,1,OC_Name)))</f>
        <v/>
      </c>
      <c r="L1051">
        <f>IF(OC_Txn=0,"",IF(INDEX('OneCause_Paste'!$A$1051:$AZ$1051,1,OC_Txn)="","",INDEX('OneCause_Paste'!$A$1051:$AZ$1051,1,OC_Txn)))</f>
        <v/>
      </c>
      <c r="M1051">
        <f>IF(OC_Pay=0,"",IF(INDEX('OneCause_Paste'!$A$1051:$AZ$1051,1,OC_Pay)="","",INDEX('OneCause_Paste'!$A$1051:$AZ$1051,1,OC_Pay)))</f>
        <v/>
      </c>
      <c r="N1051">
        <f>IF(I1051="","",IF(ISNUMBER(I1051),INT(I1051),IFERROR(INT(DATEVALUE(I1051)),IFERROR(INT(VALUE(I1051)),"bad"))))</f>
        <v/>
      </c>
      <c r="O1051">
        <f>IF(J1051="","",IF(ISNUMBER(J1051),ROUND(J1051,2),IFERROR(ROUND(VALUE(SUBSTITUTE(SUBSTITUTE(SUBSTITUTE(J1051,"$",""),",","")," ","")),2),"bad")))</f>
        <v/>
      </c>
      <c r="P1051">
        <f>IF(TRIM(K1051)="","",IFERROR(MATCH(LOWER(TRIM(K1051)),'Students'!$AH$2:$AH$701,0),IFERROR(MATCH(LOWER(TRIM(K1051)),'Students'!$AF$2:$AF$701,0),IFERROR(MATCH(LOWER(TRIM(K1051)),'Students'!$AG$2:$AG$701,0),""))))</f>
        <v/>
      </c>
      <c r="R1051">
        <f>IF(P1051="","",INDEX('Students'!$AD$2:$AD$701,P1051))</f>
        <v/>
      </c>
      <c r="S1051">
        <f>IF(H1051="OK",O1051,0)</f>
        <v/>
      </c>
      <c r="T1051">
        <f>IF(H1051="OK",N1051,"")</f>
        <v/>
      </c>
      <c r="U1051">
        <f>IF(OC_Donor=0,"",IF(INDEX('OneCause_Paste'!$A$1051:$AZ$1051,1,OC_Donor)="","",INDEX('OneCause_Paste'!$A$1051:$AZ$1051,1,OC_Donor)))</f>
        <v/>
      </c>
    </row>
    <row r="1052">
      <c r="A1052" s="62">
        <f>IF(H1052="","",IF(ISNUMBER(N1052),N1052,I1052))</f>
        <v/>
      </c>
      <c r="B1052">
        <f>IF(H1052="","",U1052)</f>
        <v/>
      </c>
      <c r="C1052">
        <f>IF(H1052="","",IF(P1052="",K1052,INDEX('Students'!$A$2:$A$701,P1052)))</f>
        <v/>
      </c>
      <c r="D1052">
        <f>IF(OR(H1052="",P1052=""),"",INDEX('Students'!$B$2:$B$701,P1052))</f>
        <v/>
      </c>
      <c r="E1052">
        <f>IF(OR(H1052="",P1052=""),"",INDEX('Students'!$C$2:$C$701,P1052))</f>
        <v/>
      </c>
      <c r="F1052" s="48">
        <f>IF(H1052="","",IF(ISNUMBER(O1052),O1052,J1052))</f>
        <v/>
      </c>
      <c r="G1052">
        <f>IF(H1052="","","OneCause")</f>
        <v/>
      </c>
      <c r="H1052">
        <f>IF(AND(I1052="",J1052="",K1052=""),"",IF(NOT(ISNUMBER(O1052)),"Bad amount",IF(O1052&lt;0,"Refund (not counted)",IF(O1052=0,"Zero amount",IF(NOT(ISNUMBER(N1052)),"Bad date",IF(P1052="","NAME NOT ON ROSTER",IF(L1052="","OK",IF(MATCH(L1052,$L$2:$L$3001,0)&lt;ROW()-1,"Duplicate (ignored)","OK"))))))))</f>
        <v/>
      </c>
      <c r="I1052">
        <f>IF(OC_Date=0,"",IF(INDEX('OneCause_Paste'!$A$1052:$AZ$1052,1,OC_Date)="","",INDEX('OneCause_Paste'!$A$1052:$AZ$1052,1,OC_Date)))</f>
        <v/>
      </c>
      <c r="J1052">
        <f>IF(OC_Amt=0,"",IF(INDEX('OneCause_Paste'!$A$1052:$AZ$1052,1,OC_Amt)="","",INDEX('OneCause_Paste'!$A$1052:$AZ$1052,1,OC_Amt)))</f>
        <v/>
      </c>
      <c r="K1052">
        <f>IF(OC_Name=0,"",IF(INDEX('OneCause_Paste'!$A$1052:$AZ$1052,1,OC_Name)="","",INDEX('OneCause_Paste'!$A$1052:$AZ$1052,1,OC_Name)))</f>
        <v/>
      </c>
      <c r="L1052">
        <f>IF(OC_Txn=0,"",IF(INDEX('OneCause_Paste'!$A$1052:$AZ$1052,1,OC_Txn)="","",INDEX('OneCause_Paste'!$A$1052:$AZ$1052,1,OC_Txn)))</f>
        <v/>
      </c>
      <c r="M1052">
        <f>IF(OC_Pay=0,"",IF(INDEX('OneCause_Paste'!$A$1052:$AZ$1052,1,OC_Pay)="","",INDEX('OneCause_Paste'!$A$1052:$AZ$1052,1,OC_Pay)))</f>
        <v/>
      </c>
      <c r="N1052">
        <f>IF(I1052="","",IF(ISNUMBER(I1052),INT(I1052),IFERROR(INT(DATEVALUE(I1052)),IFERROR(INT(VALUE(I1052)),"bad"))))</f>
        <v/>
      </c>
      <c r="O1052">
        <f>IF(J1052="","",IF(ISNUMBER(J1052),ROUND(J1052,2),IFERROR(ROUND(VALUE(SUBSTITUTE(SUBSTITUTE(SUBSTITUTE(J1052,"$",""),",","")," ","")),2),"bad")))</f>
        <v/>
      </c>
      <c r="P1052">
        <f>IF(TRIM(K1052)="","",IFERROR(MATCH(LOWER(TRIM(K1052)),'Students'!$AH$2:$AH$701,0),IFERROR(MATCH(LOWER(TRIM(K1052)),'Students'!$AF$2:$AF$701,0),IFERROR(MATCH(LOWER(TRIM(K1052)),'Students'!$AG$2:$AG$701,0),""))))</f>
        <v/>
      </c>
      <c r="R1052">
        <f>IF(P1052="","",INDEX('Students'!$AD$2:$AD$701,P1052))</f>
        <v/>
      </c>
      <c r="S1052">
        <f>IF(H1052="OK",O1052,0)</f>
        <v/>
      </c>
      <c r="T1052">
        <f>IF(H1052="OK",N1052,"")</f>
        <v/>
      </c>
      <c r="U1052">
        <f>IF(OC_Donor=0,"",IF(INDEX('OneCause_Paste'!$A$1052:$AZ$1052,1,OC_Donor)="","",INDEX('OneCause_Paste'!$A$1052:$AZ$1052,1,OC_Donor)))</f>
        <v/>
      </c>
    </row>
    <row r="1053">
      <c r="A1053" s="62">
        <f>IF(H1053="","",IF(ISNUMBER(N1053),N1053,I1053))</f>
        <v/>
      </c>
      <c r="B1053">
        <f>IF(H1053="","",U1053)</f>
        <v/>
      </c>
      <c r="C1053">
        <f>IF(H1053="","",IF(P1053="",K1053,INDEX('Students'!$A$2:$A$701,P1053)))</f>
        <v/>
      </c>
      <c r="D1053">
        <f>IF(OR(H1053="",P1053=""),"",INDEX('Students'!$B$2:$B$701,P1053))</f>
        <v/>
      </c>
      <c r="E1053">
        <f>IF(OR(H1053="",P1053=""),"",INDEX('Students'!$C$2:$C$701,P1053))</f>
        <v/>
      </c>
      <c r="F1053" s="48">
        <f>IF(H1053="","",IF(ISNUMBER(O1053),O1053,J1053))</f>
        <v/>
      </c>
      <c r="G1053">
        <f>IF(H1053="","","OneCause")</f>
        <v/>
      </c>
      <c r="H1053">
        <f>IF(AND(I1053="",J1053="",K1053=""),"",IF(NOT(ISNUMBER(O1053)),"Bad amount",IF(O1053&lt;0,"Refund (not counted)",IF(O1053=0,"Zero amount",IF(NOT(ISNUMBER(N1053)),"Bad date",IF(P1053="","NAME NOT ON ROSTER",IF(L1053="","OK",IF(MATCH(L1053,$L$2:$L$3001,0)&lt;ROW()-1,"Duplicate (ignored)","OK"))))))))</f>
        <v/>
      </c>
      <c r="I1053">
        <f>IF(OC_Date=0,"",IF(INDEX('OneCause_Paste'!$A$1053:$AZ$1053,1,OC_Date)="","",INDEX('OneCause_Paste'!$A$1053:$AZ$1053,1,OC_Date)))</f>
        <v/>
      </c>
      <c r="J1053">
        <f>IF(OC_Amt=0,"",IF(INDEX('OneCause_Paste'!$A$1053:$AZ$1053,1,OC_Amt)="","",INDEX('OneCause_Paste'!$A$1053:$AZ$1053,1,OC_Amt)))</f>
        <v/>
      </c>
      <c r="K1053">
        <f>IF(OC_Name=0,"",IF(INDEX('OneCause_Paste'!$A$1053:$AZ$1053,1,OC_Name)="","",INDEX('OneCause_Paste'!$A$1053:$AZ$1053,1,OC_Name)))</f>
        <v/>
      </c>
      <c r="L1053">
        <f>IF(OC_Txn=0,"",IF(INDEX('OneCause_Paste'!$A$1053:$AZ$1053,1,OC_Txn)="","",INDEX('OneCause_Paste'!$A$1053:$AZ$1053,1,OC_Txn)))</f>
        <v/>
      </c>
      <c r="M1053">
        <f>IF(OC_Pay=0,"",IF(INDEX('OneCause_Paste'!$A$1053:$AZ$1053,1,OC_Pay)="","",INDEX('OneCause_Paste'!$A$1053:$AZ$1053,1,OC_Pay)))</f>
        <v/>
      </c>
      <c r="N1053">
        <f>IF(I1053="","",IF(ISNUMBER(I1053),INT(I1053),IFERROR(INT(DATEVALUE(I1053)),IFERROR(INT(VALUE(I1053)),"bad"))))</f>
        <v/>
      </c>
      <c r="O1053">
        <f>IF(J1053="","",IF(ISNUMBER(J1053),ROUND(J1053,2),IFERROR(ROUND(VALUE(SUBSTITUTE(SUBSTITUTE(SUBSTITUTE(J1053,"$",""),",","")," ","")),2),"bad")))</f>
        <v/>
      </c>
      <c r="P1053">
        <f>IF(TRIM(K1053)="","",IFERROR(MATCH(LOWER(TRIM(K1053)),'Students'!$AH$2:$AH$701,0),IFERROR(MATCH(LOWER(TRIM(K1053)),'Students'!$AF$2:$AF$701,0),IFERROR(MATCH(LOWER(TRIM(K1053)),'Students'!$AG$2:$AG$701,0),""))))</f>
        <v/>
      </c>
      <c r="R1053">
        <f>IF(P1053="","",INDEX('Students'!$AD$2:$AD$701,P1053))</f>
        <v/>
      </c>
      <c r="S1053">
        <f>IF(H1053="OK",O1053,0)</f>
        <v/>
      </c>
      <c r="T1053">
        <f>IF(H1053="OK",N1053,"")</f>
        <v/>
      </c>
      <c r="U1053">
        <f>IF(OC_Donor=0,"",IF(INDEX('OneCause_Paste'!$A$1053:$AZ$1053,1,OC_Donor)="","",INDEX('OneCause_Paste'!$A$1053:$AZ$1053,1,OC_Donor)))</f>
        <v/>
      </c>
    </row>
    <row r="1054">
      <c r="A1054" s="62">
        <f>IF(H1054="","",IF(ISNUMBER(N1054),N1054,I1054))</f>
        <v/>
      </c>
      <c r="B1054">
        <f>IF(H1054="","",U1054)</f>
        <v/>
      </c>
      <c r="C1054">
        <f>IF(H1054="","",IF(P1054="",K1054,INDEX('Students'!$A$2:$A$701,P1054)))</f>
        <v/>
      </c>
      <c r="D1054">
        <f>IF(OR(H1054="",P1054=""),"",INDEX('Students'!$B$2:$B$701,P1054))</f>
        <v/>
      </c>
      <c r="E1054">
        <f>IF(OR(H1054="",P1054=""),"",INDEX('Students'!$C$2:$C$701,P1054))</f>
        <v/>
      </c>
      <c r="F1054" s="48">
        <f>IF(H1054="","",IF(ISNUMBER(O1054),O1054,J1054))</f>
        <v/>
      </c>
      <c r="G1054">
        <f>IF(H1054="","","OneCause")</f>
        <v/>
      </c>
      <c r="H1054">
        <f>IF(AND(I1054="",J1054="",K1054=""),"",IF(NOT(ISNUMBER(O1054)),"Bad amount",IF(O1054&lt;0,"Refund (not counted)",IF(O1054=0,"Zero amount",IF(NOT(ISNUMBER(N1054)),"Bad date",IF(P1054="","NAME NOT ON ROSTER",IF(L1054="","OK",IF(MATCH(L1054,$L$2:$L$3001,0)&lt;ROW()-1,"Duplicate (ignored)","OK"))))))))</f>
        <v/>
      </c>
      <c r="I1054">
        <f>IF(OC_Date=0,"",IF(INDEX('OneCause_Paste'!$A$1054:$AZ$1054,1,OC_Date)="","",INDEX('OneCause_Paste'!$A$1054:$AZ$1054,1,OC_Date)))</f>
        <v/>
      </c>
      <c r="J1054">
        <f>IF(OC_Amt=0,"",IF(INDEX('OneCause_Paste'!$A$1054:$AZ$1054,1,OC_Amt)="","",INDEX('OneCause_Paste'!$A$1054:$AZ$1054,1,OC_Amt)))</f>
        <v/>
      </c>
      <c r="K1054">
        <f>IF(OC_Name=0,"",IF(INDEX('OneCause_Paste'!$A$1054:$AZ$1054,1,OC_Name)="","",INDEX('OneCause_Paste'!$A$1054:$AZ$1054,1,OC_Name)))</f>
        <v/>
      </c>
      <c r="L1054">
        <f>IF(OC_Txn=0,"",IF(INDEX('OneCause_Paste'!$A$1054:$AZ$1054,1,OC_Txn)="","",INDEX('OneCause_Paste'!$A$1054:$AZ$1054,1,OC_Txn)))</f>
        <v/>
      </c>
      <c r="M1054">
        <f>IF(OC_Pay=0,"",IF(INDEX('OneCause_Paste'!$A$1054:$AZ$1054,1,OC_Pay)="","",INDEX('OneCause_Paste'!$A$1054:$AZ$1054,1,OC_Pay)))</f>
        <v/>
      </c>
      <c r="N1054">
        <f>IF(I1054="","",IF(ISNUMBER(I1054),INT(I1054),IFERROR(INT(DATEVALUE(I1054)),IFERROR(INT(VALUE(I1054)),"bad"))))</f>
        <v/>
      </c>
      <c r="O1054">
        <f>IF(J1054="","",IF(ISNUMBER(J1054),ROUND(J1054,2),IFERROR(ROUND(VALUE(SUBSTITUTE(SUBSTITUTE(SUBSTITUTE(J1054,"$",""),",","")," ","")),2),"bad")))</f>
        <v/>
      </c>
      <c r="P1054">
        <f>IF(TRIM(K1054)="","",IFERROR(MATCH(LOWER(TRIM(K1054)),'Students'!$AH$2:$AH$701,0),IFERROR(MATCH(LOWER(TRIM(K1054)),'Students'!$AF$2:$AF$701,0),IFERROR(MATCH(LOWER(TRIM(K1054)),'Students'!$AG$2:$AG$701,0),""))))</f>
        <v/>
      </c>
      <c r="R1054">
        <f>IF(P1054="","",INDEX('Students'!$AD$2:$AD$701,P1054))</f>
        <v/>
      </c>
      <c r="S1054">
        <f>IF(H1054="OK",O1054,0)</f>
        <v/>
      </c>
      <c r="T1054">
        <f>IF(H1054="OK",N1054,"")</f>
        <v/>
      </c>
      <c r="U1054">
        <f>IF(OC_Donor=0,"",IF(INDEX('OneCause_Paste'!$A$1054:$AZ$1054,1,OC_Donor)="","",INDEX('OneCause_Paste'!$A$1054:$AZ$1054,1,OC_Donor)))</f>
        <v/>
      </c>
    </row>
    <row r="1055">
      <c r="A1055" s="62">
        <f>IF(H1055="","",IF(ISNUMBER(N1055),N1055,I1055))</f>
        <v/>
      </c>
      <c r="B1055">
        <f>IF(H1055="","",U1055)</f>
        <v/>
      </c>
      <c r="C1055">
        <f>IF(H1055="","",IF(P1055="",K1055,INDEX('Students'!$A$2:$A$701,P1055)))</f>
        <v/>
      </c>
      <c r="D1055">
        <f>IF(OR(H1055="",P1055=""),"",INDEX('Students'!$B$2:$B$701,P1055))</f>
        <v/>
      </c>
      <c r="E1055">
        <f>IF(OR(H1055="",P1055=""),"",INDEX('Students'!$C$2:$C$701,P1055))</f>
        <v/>
      </c>
      <c r="F1055" s="48">
        <f>IF(H1055="","",IF(ISNUMBER(O1055),O1055,J1055))</f>
        <v/>
      </c>
      <c r="G1055">
        <f>IF(H1055="","","OneCause")</f>
        <v/>
      </c>
      <c r="H1055">
        <f>IF(AND(I1055="",J1055="",K1055=""),"",IF(NOT(ISNUMBER(O1055)),"Bad amount",IF(O1055&lt;0,"Refund (not counted)",IF(O1055=0,"Zero amount",IF(NOT(ISNUMBER(N1055)),"Bad date",IF(P1055="","NAME NOT ON ROSTER",IF(L1055="","OK",IF(MATCH(L1055,$L$2:$L$3001,0)&lt;ROW()-1,"Duplicate (ignored)","OK"))))))))</f>
        <v/>
      </c>
      <c r="I1055">
        <f>IF(OC_Date=0,"",IF(INDEX('OneCause_Paste'!$A$1055:$AZ$1055,1,OC_Date)="","",INDEX('OneCause_Paste'!$A$1055:$AZ$1055,1,OC_Date)))</f>
        <v/>
      </c>
      <c r="J1055">
        <f>IF(OC_Amt=0,"",IF(INDEX('OneCause_Paste'!$A$1055:$AZ$1055,1,OC_Amt)="","",INDEX('OneCause_Paste'!$A$1055:$AZ$1055,1,OC_Amt)))</f>
        <v/>
      </c>
      <c r="K1055">
        <f>IF(OC_Name=0,"",IF(INDEX('OneCause_Paste'!$A$1055:$AZ$1055,1,OC_Name)="","",INDEX('OneCause_Paste'!$A$1055:$AZ$1055,1,OC_Name)))</f>
        <v/>
      </c>
      <c r="L1055">
        <f>IF(OC_Txn=0,"",IF(INDEX('OneCause_Paste'!$A$1055:$AZ$1055,1,OC_Txn)="","",INDEX('OneCause_Paste'!$A$1055:$AZ$1055,1,OC_Txn)))</f>
        <v/>
      </c>
      <c r="M1055">
        <f>IF(OC_Pay=0,"",IF(INDEX('OneCause_Paste'!$A$1055:$AZ$1055,1,OC_Pay)="","",INDEX('OneCause_Paste'!$A$1055:$AZ$1055,1,OC_Pay)))</f>
        <v/>
      </c>
      <c r="N1055">
        <f>IF(I1055="","",IF(ISNUMBER(I1055),INT(I1055),IFERROR(INT(DATEVALUE(I1055)),IFERROR(INT(VALUE(I1055)),"bad"))))</f>
        <v/>
      </c>
      <c r="O1055">
        <f>IF(J1055="","",IF(ISNUMBER(J1055),ROUND(J1055,2),IFERROR(ROUND(VALUE(SUBSTITUTE(SUBSTITUTE(SUBSTITUTE(J1055,"$",""),",","")," ","")),2),"bad")))</f>
        <v/>
      </c>
      <c r="P1055">
        <f>IF(TRIM(K1055)="","",IFERROR(MATCH(LOWER(TRIM(K1055)),'Students'!$AH$2:$AH$701,0),IFERROR(MATCH(LOWER(TRIM(K1055)),'Students'!$AF$2:$AF$701,0),IFERROR(MATCH(LOWER(TRIM(K1055)),'Students'!$AG$2:$AG$701,0),""))))</f>
        <v/>
      </c>
      <c r="R1055">
        <f>IF(P1055="","",INDEX('Students'!$AD$2:$AD$701,P1055))</f>
        <v/>
      </c>
      <c r="S1055">
        <f>IF(H1055="OK",O1055,0)</f>
        <v/>
      </c>
      <c r="T1055">
        <f>IF(H1055="OK",N1055,"")</f>
        <v/>
      </c>
      <c r="U1055">
        <f>IF(OC_Donor=0,"",IF(INDEX('OneCause_Paste'!$A$1055:$AZ$1055,1,OC_Donor)="","",INDEX('OneCause_Paste'!$A$1055:$AZ$1055,1,OC_Donor)))</f>
        <v/>
      </c>
    </row>
    <row r="1056">
      <c r="A1056" s="62">
        <f>IF(H1056="","",IF(ISNUMBER(N1056),N1056,I1056))</f>
        <v/>
      </c>
      <c r="B1056">
        <f>IF(H1056="","",U1056)</f>
        <v/>
      </c>
      <c r="C1056">
        <f>IF(H1056="","",IF(P1056="",K1056,INDEX('Students'!$A$2:$A$701,P1056)))</f>
        <v/>
      </c>
      <c r="D1056">
        <f>IF(OR(H1056="",P1056=""),"",INDEX('Students'!$B$2:$B$701,P1056))</f>
        <v/>
      </c>
      <c r="E1056">
        <f>IF(OR(H1056="",P1056=""),"",INDEX('Students'!$C$2:$C$701,P1056))</f>
        <v/>
      </c>
      <c r="F1056" s="48">
        <f>IF(H1056="","",IF(ISNUMBER(O1056),O1056,J1056))</f>
        <v/>
      </c>
      <c r="G1056">
        <f>IF(H1056="","","OneCause")</f>
        <v/>
      </c>
      <c r="H1056">
        <f>IF(AND(I1056="",J1056="",K1056=""),"",IF(NOT(ISNUMBER(O1056)),"Bad amount",IF(O1056&lt;0,"Refund (not counted)",IF(O1056=0,"Zero amount",IF(NOT(ISNUMBER(N1056)),"Bad date",IF(P1056="","NAME NOT ON ROSTER",IF(L1056="","OK",IF(MATCH(L1056,$L$2:$L$3001,0)&lt;ROW()-1,"Duplicate (ignored)","OK"))))))))</f>
        <v/>
      </c>
      <c r="I1056">
        <f>IF(OC_Date=0,"",IF(INDEX('OneCause_Paste'!$A$1056:$AZ$1056,1,OC_Date)="","",INDEX('OneCause_Paste'!$A$1056:$AZ$1056,1,OC_Date)))</f>
        <v/>
      </c>
      <c r="J1056">
        <f>IF(OC_Amt=0,"",IF(INDEX('OneCause_Paste'!$A$1056:$AZ$1056,1,OC_Amt)="","",INDEX('OneCause_Paste'!$A$1056:$AZ$1056,1,OC_Amt)))</f>
        <v/>
      </c>
      <c r="K1056">
        <f>IF(OC_Name=0,"",IF(INDEX('OneCause_Paste'!$A$1056:$AZ$1056,1,OC_Name)="","",INDEX('OneCause_Paste'!$A$1056:$AZ$1056,1,OC_Name)))</f>
        <v/>
      </c>
      <c r="L1056">
        <f>IF(OC_Txn=0,"",IF(INDEX('OneCause_Paste'!$A$1056:$AZ$1056,1,OC_Txn)="","",INDEX('OneCause_Paste'!$A$1056:$AZ$1056,1,OC_Txn)))</f>
        <v/>
      </c>
      <c r="M1056">
        <f>IF(OC_Pay=0,"",IF(INDEX('OneCause_Paste'!$A$1056:$AZ$1056,1,OC_Pay)="","",INDEX('OneCause_Paste'!$A$1056:$AZ$1056,1,OC_Pay)))</f>
        <v/>
      </c>
      <c r="N1056">
        <f>IF(I1056="","",IF(ISNUMBER(I1056),INT(I1056),IFERROR(INT(DATEVALUE(I1056)),IFERROR(INT(VALUE(I1056)),"bad"))))</f>
        <v/>
      </c>
      <c r="O1056">
        <f>IF(J1056="","",IF(ISNUMBER(J1056),ROUND(J1056,2),IFERROR(ROUND(VALUE(SUBSTITUTE(SUBSTITUTE(SUBSTITUTE(J1056,"$",""),",","")," ","")),2),"bad")))</f>
        <v/>
      </c>
      <c r="P1056">
        <f>IF(TRIM(K1056)="","",IFERROR(MATCH(LOWER(TRIM(K1056)),'Students'!$AH$2:$AH$701,0),IFERROR(MATCH(LOWER(TRIM(K1056)),'Students'!$AF$2:$AF$701,0),IFERROR(MATCH(LOWER(TRIM(K1056)),'Students'!$AG$2:$AG$701,0),""))))</f>
        <v/>
      </c>
      <c r="R1056">
        <f>IF(P1056="","",INDEX('Students'!$AD$2:$AD$701,P1056))</f>
        <v/>
      </c>
      <c r="S1056">
        <f>IF(H1056="OK",O1056,0)</f>
        <v/>
      </c>
      <c r="T1056">
        <f>IF(H1056="OK",N1056,"")</f>
        <v/>
      </c>
      <c r="U1056">
        <f>IF(OC_Donor=0,"",IF(INDEX('OneCause_Paste'!$A$1056:$AZ$1056,1,OC_Donor)="","",INDEX('OneCause_Paste'!$A$1056:$AZ$1056,1,OC_Donor)))</f>
        <v/>
      </c>
    </row>
    <row r="1057">
      <c r="A1057" s="62">
        <f>IF(H1057="","",IF(ISNUMBER(N1057),N1057,I1057))</f>
        <v/>
      </c>
      <c r="B1057">
        <f>IF(H1057="","",U1057)</f>
        <v/>
      </c>
      <c r="C1057">
        <f>IF(H1057="","",IF(P1057="",K1057,INDEX('Students'!$A$2:$A$701,P1057)))</f>
        <v/>
      </c>
      <c r="D1057">
        <f>IF(OR(H1057="",P1057=""),"",INDEX('Students'!$B$2:$B$701,P1057))</f>
        <v/>
      </c>
      <c r="E1057">
        <f>IF(OR(H1057="",P1057=""),"",INDEX('Students'!$C$2:$C$701,P1057))</f>
        <v/>
      </c>
      <c r="F1057" s="48">
        <f>IF(H1057="","",IF(ISNUMBER(O1057),O1057,J1057))</f>
        <v/>
      </c>
      <c r="G1057">
        <f>IF(H1057="","","OneCause")</f>
        <v/>
      </c>
      <c r="H1057">
        <f>IF(AND(I1057="",J1057="",K1057=""),"",IF(NOT(ISNUMBER(O1057)),"Bad amount",IF(O1057&lt;0,"Refund (not counted)",IF(O1057=0,"Zero amount",IF(NOT(ISNUMBER(N1057)),"Bad date",IF(P1057="","NAME NOT ON ROSTER",IF(L1057="","OK",IF(MATCH(L1057,$L$2:$L$3001,0)&lt;ROW()-1,"Duplicate (ignored)","OK"))))))))</f>
        <v/>
      </c>
      <c r="I1057">
        <f>IF(OC_Date=0,"",IF(INDEX('OneCause_Paste'!$A$1057:$AZ$1057,1,OC_Date)="","",INDEX('OneCause_Paste'!$A$1057:$AZ$1057,1,OC_Date)))</f>
        <v/>
      </c>
      <c r="J1057">
        <f>IF(OC_Amt=0,"",IF(INDEX('OneCause_Paste'!$A$1057:$AZ$1057,1,OC_Amt)="","",INDEX('OneCause_Paste'!$A$1057:$AZ$1057,1,OC_Amt)))</f>
        <v/>
      </c>
      <c r="K1057">
        <f>IF(OC_Name=0,"",IF(INDEX('OneCause_Paste'!$A$1057:$AZ$1057,1,OC_Name)="","",INDEX('OneCause_Paste'!$A$1057:$AZ$1057,1,OC_Name)))</f>
        <v/>
      </c>
      <c r="L1057">
        <f>IF(OC_Txn=0,"",IF(INDEX('OneCause_Paste'!$A$1057:$AZ$1057,1,OC_Txn)="","",INDEX('OneCause_Paste'!$A$1057:$AZ$1057,1,OC_Txn)))</f>
        <v/>
      </c>
      <c r="M1057">
        <f>IF(OC_Pay=0,"",IF(INDEX('OneCause_Paste'!$A$1057:$AZ$1057,1,OC_Pay)="","",INDEX('OneCause_Paste'!$A$1057:$AZ$1057,1,OC_Pay)))</f>
        <v/>
      </c>
      <c r="N1057">
        <f>IF(I1057="","",IF(ISNUMBER(I1057),INT(I1057),IFERROR(INT(DATEVALUE(I1057)),IFERROR(INT(VALUE(I1057)),"bad"))))</f>
        <v/>
      </c>
      <c r="O1057">
        <f>IF(J1057="","",IF(ISNUMBER(J1057),ROUND(J1057,2),IFERROR(ROUND(VALUE(SUBSTITUTE(SUBSTITUTE(SUBSTITUTE(J1057,"$",""),",","")," ","")),2),"bad")))</f>
        <v/>
      </c>
      <c r="P1057">
        <f>IF(TRIM(K1057)="","",IFERROR(MATCH(LOWER(TRIM(K1057)),'Students'!$AH$2:$AH$701,0),IFERROR(MATCH(LOWER(TRIM(K1057)),'Students'!$AF$2:$AF$701,0),IFERROR(MATCH(LOWER(TRIM(K1057)),'Students'!$AG$2:$AG$701,0),""))))</f>
        <v/>
      </c>
      <c r="R1057">
        <f>IF(P1057="","",INDEX('Students'!$AD$2:$AD$701,P1057))</f>
        <v/>
      </c>
      <c r="S1057">
        <f>IF(H1057="OK",O1057,0)</f>
        <v/>
      </c>
      <c r="T1057">
        <f>IF(H1057="OK",N1057,"")</f>
        <v/>
      </c>
      <c r="U1057">
        <f>IF(OC_Donor=0,"",IF(INDEX('OneCause_Paste'!$A$1057:$AZ$1057,1,OC_Donor)="","",INDEX('OneCause_Paste'!$A$1057:$AZ$1057,1,OC_Donor)))</f>
        <v/>
      </c>
    </row>
    <row r="1058">
      <c r="A1058" s="62">
        <f>IF(H1058="","",IF(ISNUMBER(N1058),N1058,I1058))</f>
        <v/>
      </c>
      <c r="B1058">
        <f>IF(H1058="","",U1058)</f>
        <v/>
      </c>
      <c r="C1058">
        <f>IF(H1058="","",IF(P1058="",K1058,INDEX('Students'!$A$2:$A$701,P1058)))</f>
        <v/>
      </c>
      <c r="D1058">
        <f>IF(OR(H1058="",P1058=""),"",INDEX('Students'!$B$2:$B$701,P1058))</f>
        <v/>
      </c>
      <c r="E1058">
        <f>IF(OR(H1058="",P1058=""),"",INDEX('Students'!$C$2:$C$701,P1058))</f>
        <v/>
      </c>
      <c r="F1058" s="48">
        <f>IF(H1058="","",IF(ISNUMBER(O1058),O1058,J1058))</f>
        <v/>
      </c>
      <c r="G1058">
        <f>IF(H1058="","","OneCause")</f>
        <v/>
      </c>
      <c r="H1058">
        <f>IF(AND(I1058="",J1058="",K1058=""),"",IF(NOT(ISNUMBER(O1058)),"Bad amount",IF(O1058&lt;0,"Refund (not counted)",IF(O1058=0,"Zero amount",IF(NOT(ISNUMBER(N1058)),"Bad date",IF(P1058="","NAME NOT ON ROSTER",IF(L1058="","OK",IF(MATCH(L1058,$L$2:$L$3001,0)&lt;ROW()-1,"Duplicate (ignored)","OK"))))))))</f>
        <v/>
      </c>
      <c r="I1058">
        <f>IF(OC_Date=0,"",IF(INDEX('OneCause_Paste'!$A$1058:$AZ$1058,1,OC_Date)="","",INDEX('OneCause_Paste'!$A$1058:$AZ$1058,1,OC_Date)))</f>
        <v/>
      </c>
      <c r="J1058">
        <f>IF(OC_Amt=0,"",IF(INDEX('OneCause_Paste'!$A$1058:$AZ$1058,1,OC_Amt)="","",INDEX('OneCause_Paste'!$A$1058:$AZ$1058,1,OC_Amt)))</f>
        <v/>
      </c>
      <c r="K1058">
        <f>IF(OC_Name=0,"",IF(INDEX('OneCause_Paste'!$A$1058:$AZ$1058,1,OC_Name)="","",INDEX('OneCause_Paste'!$A$1058:$AZ$1058,1,OC_Name)))</f>
        <v/>
      </c>
      <c r="L1058">
        <f>IF(OC_Txn=0,"",IF(INDEX('OneCause_Paste'!$A$1058:$AZ$1058,1,OC_Txn)="","",INDEX('OneCause_Paste'!$A$1058:$AZ$1058,1,OC_Txn)))</f>
        <v/>
      </c>
      <c r="M1058">
        <f>IF(OC_Pay=0,"",IF(INDEX('OneCause_Paste'!$A$1058:$AZ$1058,1,OC_Pay)="","",INDEX('OneCause_Paste'!$A$1058:$AZ$1058,1,OC_Pay)))</f>
        <v/>
      </c>
      <c r="N1058">
        <f>IF(I1058="","",IF(ISNUMBER(I1058),INT(I1058),IFERROR(INT(DATEVALUE(I1058)),IFERROR(INT(VALUE(I1058)),"bad"))))</f>
        <v/>
      </c>
      <c r="O1058">
        <f>IF(J1058="","",IF(ISNUMBER(J1058),ROUND(J1058,2),IFERROR(ROUND(VALUE(SUBSTITUTE(SUBSTITUTE(SUBSTITUTE(J1058,"$",""),",","")," ","")),2),"bad")))</f>
        <v/>
      </c>
      <c r="P1058">
        <f>IF(TRIM(K1058)="","",IFERROR(MATCH(LOWER(TRIM(K1058)),'Students'!$AH$2:$AH$701,0),IFERROR(MATCH(LOWER(TRIM(K1058)),'Students'!$AF$2:$AF$701,0),IFERROR(MATCH(LOWER(TRIM(K1058)),'Students'!$AG$2:$AG$701,0),""))))</f>
        <v/>
      </c>
      <c r="R1058">
        <f>IF(P1058="","",INDEX('Students'!$AD$2:$AD$701,P1058))</f>
        <v/>
      </c>
      <c r="S1058">
        <f>IF(H1058="OK",O1058,0)</f>
        <v/>
      </c>
      <c r="T1058">
        <f>IF(H1058="OK",N1058,"")</f>
        <v/>
      </c>
      <c r="U1058">
        <f>IF(OC_Donor=0,"",IF(INDEX('OneCause_Paste'!$A$1058:$AZ$1058,1,OC_Donor)="","",INDEX('OneCause_Paste'!$A$1058:$AZ$1058,1,OC_Donor)))</f>
        <v/>
      </c>
    </row>
    <row r="1059">
      <c r="A1059" s="62">
        <f>IF(H1059="","",IF(ISNUMBER(N1059),N1059,I1059))</f>
        <v/>
      </c>
      <c r="B1059">
        <f>IF(H1059="","",U1059)</f>
        <v/>
      </c>
      <c r="C1059">
        <f>IF(H1059="","",IF(P1059="",K1059,INDEX('Students'!$A$2:$A$701,P1059)))</f>
        <v/>
      </c>
      <c r="D1059">
        <f>IF(OR(H1059="",P1059=""),"",INDEX('Students'!$B$2:$B$701,P1059))</f>
        <v/>
      </c>
      <c r="E1059">
        <f>IF(OR(H1059="",P1059=""),"",INDEX('Students'!$C$2:$C$701,P1059))</f>
        <v/>
      </c>
      <c r="F1059" s="48">
        <f>IF(H1059="","",IF(ISNUMBER(O1059),O1059,J1059))</f>
        <v/>
      </c>
      <c r="G1059">
        <f>IF(H1059="","","OneCause")</f>
        <v/>
      </c>
      <c r="H1059">
        <f>IF(AND(I1059="",J1059="",K1059=""),"",IF(NOT(ISNUMBER(O1059)),"Bad amount",IF(O1059&lt;0,"Refund (not counted)",IF(O1059=0,"Zero amount",IF(NOT(ISNUMBER(N1059)),"Bad date",IF(P1059="","NAME NOT ON ROSTER",IF(L1059="","OK",IF(MATCH(L1059,$L$2:$L$3001,0)&lt;ROW()-1,"Duplicate (ignored)","OK"))))))))</f>
        <v/>
      </c>
      <c r="I1059">
        <f>IF(OC_Date=0,"",IF(INDEX('OneCause_Paste'!$A$1059:$AZ$1059,1,OC_Date)="","",INDEX('OneCause_Paste'!$A$1059:$AZ$1059,1,OC_Date)))</f>
        <v/>
      </c>
      <c r="J1059">
        <f>IF(OC_Amt=0,"",IF(INDEX('OneCause_Paste'!$A$1059:$AZ$1059,1,OC_Amt)="","",INDEX('OneCause_Paste'!$A$1059:$AZ$1059,1,OC_Amt)))</f>
        <v/>
      </c>
      <c r="K1059">
        <f>IF(OC_Name=0,"",IF(INDEX('OneCause_Paste'!$A$1059:$AZ$1059,1,OC_Name)="","",INDEX('OneCause_Paste'!$A$1059:$AZ$1059,1,OC_Name)))</f>
        <v/>
      </c>
      <c r="L1059">
        <f>IF(OC_Txn=0,"",IF(INDEX('OneCause_Paste'!$A$1059:$AZ$1059,1,OC_Txn)="","",INDEX('OneCause_Paste'!$A$1059:$AZ$1059,1,OC_Txn)))</f>
        <v/>
      </c>
      <c r="M1059">
        <f>IF(OC_Pay=0,"",IF(INDEX('OneCause_Paste'!$A$1059:$AZ$1059,1,OC_Pay)="","",INDEX('OneCause_Paste'!$A$1059:$AZ$1059,1,OC_Pay)))</f>
        <v/>
      </c>
      <c r="N1059">
        <f>IF(I1059="","",IF(ISNUMBER(I1059),INT(I1059),IFERROR(INT(DATEVALUE(I1059)),IFERROR(INT(VALUE(I1059)),"bad"))))</f>
        <v/>
      </c>
      <c r="O1059">
        <f>IF(J1059="","",IF(ISNUMBER(J1059),ROUND(J1059,2),IFERROR(ROUND(VALUE(SUBSTITUTE(SUBSTITUTE(SUBSTITUTE(J1059,"$",""),",","")," ","")),2),"bad")))</f>
        <v/>
      </c>
      <c r="P1059">
        <f>IF(TRIM(K1059)="","",IFERROR(MATCH(LOWER(TRIM(K1059)),'Students'!$AH$2:$AH$701,0),IFERROR(MATCH(LOWER(TRIM(K1059)),'Students'!$AF$2:$AF$701,0),IFERROR(MATCH(LOWER(TRIM(K1059)),'Students'!$AG$2:$AG$701,0),""))))</f>
        <v/>
      </c>
      <c r="R1059">
        <f>IF(P1059="","",INDEX('Students'!$AD$2:$AD$701,P1059))</f>
        <v/>
      </c>
      <c r="S1059">
        <f>IF(H1059="OK",O1059,0)</f>
        <v/>
      </c>
      <c r="T1059">
        <f>IF(H1059="OK",N1059,"")</f>
        <v/>
      </c>
      <c r="U1059">
        <f>IF(OC_Donor=0,"",IF(INDEX('OneCause_Paste'!$A$1059:$AZ$1059,1,OC_Donor)="","",INDEX('OneCause_Paste'!$A$1059:$AZ$1059,1,OC_Donor)))</f>
        <v/>
      </c>
    </row>
    <row r="1060">
      <c r="A1060" s="62">
        <f>IF(H1060="","",IF(ISNUMBER(N1060),N1060,I1060))</f>
        <v/>
      </c>
      <c r="B1060">
        <f>IF(H1060="","",U1060)</f>
        <v/>
      </c>
      <c r="C1060">
        <f>IF(H1060="","",IF(P1060="",K1060,INDEX('Students'!$A$2:$A$701,P1060)))</f>
        <v/>
      </c>
      <c r="D1060">
        <f>IF(OR(H1060="",P1060=""),"",INDEX('Students'!$B$2:$B$701,P1060))</f>
        <v/>
      </c>
      <c r="E1060">
        <f>IF(OR(H1060="",P1060=""),"",INDEX('Students'!$C$2:$C$701,P1060))</f>
        <v/>
      </c>
      <c r="F1060" s="48">
        <f>IF(H1060="","",IF(ISNUMBER(O1060),O1060,J1060))</f>
        <v/>
      </c>
      <c r="G1060">
        <f>IF(H1060="","","OneCause")</f>
        <v/>
      </c>
      <c r="H1060">
        <f>IF(AND(I1060="",J1060="",K1060=""),"",IF(NOT(ISNUMBER(O1060)),"Bad amount",IF(O1060&lt;0,"Refund (not counted)",IF(O1060=0,"Zero amount",IF(NOT(ISNUMBER(N1060)),"Bad date",IF(P1060="","NAME NOT ON ROSTER",IF(L1060="","OK",IF(MATCH(L1060,$L$2:$L$3001,0)&lt;ROW()-1,"Duplicate (ignored)","OK"))))))))</f>
        <v/>
      </c>
      <c r="I1060">
        <f>IF(OC_Date=0,"",IF(INDEX('OneCause_Paste'!$A$1060:$AZ$1060,1,OC_Date)="","",INDEX('OneCause_Paste'!$A$1060:$AZ$1060,1,OC_Date)))</f>
        <v/>
      </c>
      <c r="J1060">
        <f>IF(OC_Amt=0,"",IF(INDEX('OneCause_Paste'!$A$1060:$AZ$1060,1,OC_Amt)="","",INDEX('OneCause_Paste'!$A$1060:$AZ$1060,1,OC_Amt)))</f>
        <v/>
      </c>
      <c r="K1060">
        <f>IF(OC_Name=0,"",IF(INDEX('OneCause_Paste'!$A$1060:$AZ$1060,1,OC_Name)="","",INDEX('OneCause_Paste'!$A$1060:$AZ$1060,1,OC_Name)))</f>
        <v/>
      </c>
      <c r="L1060">
        <f>IF(OC_Txn=0,"",IF(INDEX('OneCause_Paste'!$A$1060:$AZ$1060,1,OC_Txn)="","",INDEX('OneCause_Paste'!$A$1060:$AZ$1060,1,OC_Txn)))</f>
        <v/>
      </c>
      <c r="M1060">
        <f>IF(OC_Pay=0,"",IF(INDEX('OneCause_Paste'!$A$1060:$AZ$1060,1,OC_Pay)="","",INDEX('OneCause_Paste'!$A$1060:$AZ$1060,1,OC_Pay)))</f>
        <v/>
      </c>
      <c r="N1060">
        <f>IF(I1060="","",IF(ISNUMBER(I1060),INT(I1060),IFERROR(INT(DATEVALUE(I1060)),IFERROR(INT(VALUE(I1060)),"bad"))))</f>
        <v/>
      </c>
      <c r="O1060">
        <f>IF(J1060="","",IF(ISNUMBER(J1060),ROUND(J1060,2),IFERROR(ROUND(VALUE(SUBSTITUTE(SUBSTITUTE(SUBSTITUTE(J1060,"$",""),",","")," ","")),2),"bad")))</f>
        <v/>
      </c>
      <c r="P1060">
        <f>IF(TRIM(K1060)="","",IFERROR(MATCH(LOWER(TRIM(K1060)),'Students'!$AH$2:$AH$701,0),IFERROR(MATCH(LOWER(TRIM(K1060)),'Students'!$AF$2:$AF$701,0),IFERROR(MATCH(LOWER(TRIM(K1060)),'Students'!$AG$2:$AG$701,0),""))))</f>
        <v/>
      </c>
      <c r="R1060">
        <f>IF(P1060="","",INDEX('Students'!$AD$2:$AD$701,P1060))</f>
        <v/>
      </c>
      <c r="S1060">
        <f>IF(H1060="OK",O1060,0)</f>
        <v/>
      </c>
      <c r="T1060">
        <f>IF(H1060="OK",N1060,"")</f>
        <v/>
      </c>
      <c r="U1060">
        <f>IF(OC_Donor=0,"",IF(INDEX('OneCause_Paste'!$A$1060:$AZ$1060,1,OC_Donor)="","",INDEX('OneCause_Paste'!$A$1060:$AZ$1060,1,OC_Donor)))</f>
        <v/>
      </c>
    </row>
    <row r="1061">
      <c r="A1061" s="62">
        <f>IF(H1061="","",IF(ISNUMBER(N1061),N1061,I1061))</f>
        <v/>
      </c>
      <c r="B1061">
        <f>IF(H1061="","",U1061)</f>
        <v/>
      </c>
      <c r="C1061">
        <f>IF(H1061="","",IF(P1061="",K1061,INDEX('Students'!$A$2:$A$701,P1061)))</f>
        <v/>
      </c>
      <c r="D1061">
        <f>IF(OR(H1061="",P1061=""),"",INDEX('Students'!$B$2:$B$701,P1061))</f>
        <v/>
      </c>
      <c r="E1061">
        <f>IF(OR(H1061="",P1061=""),"",INDEX('Students'!$C$2:$C$701,P1061))</f>
        <v/>
      </c>
      <c r="F1061" s="48">
        <f>IF(H1061="","",IF(ISNUMBER(O1061),O1061,J1061))</f>
        <v/>
      </c>
      <c r="G1061">
        <f>IF(H1061="","","OneCause")</f>
        <v/>
      </c>
      <c r="H1061">
        <f>IF(AND(I1061="",J1061="",K1061=""),"",IF(NOT(ISNUMBER(O1061)),"Bad amount",IF(O1061&lt;0,"Refund (not counted)",IF(O1061=0,"Zero amount",IF(NOT(ISNUMBER(N1061)),"Bad date",IF(P1061="","NAME NOT ON ROSTER",IF(L1061="","OK",IF(MATCH(L1061,$L$2:$L$3001,0)&lt;ROW()-1,"Duplicate (ignored)","OK"))))))))</f>
        <v/>
      </c>
      <c r="I1061">
        <f>IF(OC_Date=0,"",IF(INDEX('OneCause_Paste'!$A$1061:$AZ$1061,1,OC_Date)="","",INDEX('OneCause_Paste'!$A$1061:$AZ$1061,1,OC_Date)))</f>
        <v/>
      </c>
      <c r="J1061">
        <f>IF(OC_Amt=0,"",IF(INDEX('OneCause_Paste'!$A$1061:$AZ$1061,1,OC_Amt)="","",INDEX('OneCause_Paste'!$A$1061:$AZ$1061,1,OC_Amt)))</f>
        <v/>
      </c>
      <c r="K1061">
        <f>IF(OC_Name=0,"",IF(INDEX('OneCause_Paste'!$A$1061:$AZ$1061,1,OC_Name)="","",INDEX('OneCause_Paste'!$A$1061:$AZ$1061,1,OC_Name)))</f>
        <v/>
      </c>
      <c r="L1061">
        <f>IF(OC_Txn=0,"",IF(INDEX('OneCause_Paste'!$A$1061:$AZ$1061,1,OC_Txn)="","",INDEX('OneCause_Paste'!$A$1061:$AZ$1061,1,OC_Txn)))</f>
        <v/>
      </c>
      <c r="M1061">
        <f>IF(OC_Pay=0,"",IF(INDEX('OneCause_Paste'!$A$1061:$AZ$1061,1,OC_Pay)="","",INDEX('OneCause_Paste'!$A$1061:$AZ$1061,1,OC_Pay)))</f>
        <v/>
      </c>
      <c r="N1061">
        <f>IF(I1061="","",IF(ISNUMBER(I1061),INT(I1061),IFERROR(INT(DATEVALUE(I1061)),IFERROR(INT(VALUE(I1061)),"bad"))))</f>
        <v/>
      </c>
      <c r="O1061">
        <f>IF(J1061="","",IF(ISNUMBER(J1061),ROUND(J1061,2),IFERROR(ROUND(VALUE(SUBSTITUTE(SUBSTITUTE(SUBSTITUTE(J1061,"$",""),",","")," ","")),2),"bad")))</f>
        <v/>
      </c>
      <c r="P1061">
        <f>IF(TRIM(K1061)="","",IFERROR(MATCH(LOWER(TRIM(K1061)),'Students'!$AH$2:$AH$701,0),IFERROR(MATCH(LOWER(TRIM(K1061)),'Students'!$AF$2:$AF$701,0),IFERROR(MATCH(LOWER(TRIM(K1061)),'Students'!$AG$2:$AG$701,0),""))))</f>
        <v/>
      </c>
      <c r="R1061">
        <f>IF(P1061="","",INDEX('Students'!$AD$2:$AD$701,P1061))</f>
        <v/>
      </c>
      <c r="S1061">
        <f>IF(H1061="OK",O1061,0)</f>
        <v/>
      </c>
      <c r="T1061">
        <f>IF(H1061="OK",N1061,"")</f>
        <v/>
      </c>
      <c r="U1061">
        <f>IF(OC_Donor=0,"",IF(INDEX('OneCause_Paste'!$A$1061:$AZ$1061,1,OC_Donor)="","",INDEX('OneCause_Paste'!$A$1061:$AZ$1061,1,OC_Donor)))</f>
        <v/>
      </c>
    </row>
    <row r="1062">
      <c r="A1062" s="62">
        <f>IF(H1062="","",IF(ISNUMBER(N1062),N1062,I1062))</f>
        <v/>
      </c>
      <c r="B1062">
        <f>IF(H1062="","",U1062)</f>
        <v/>
      </c>
      <c r="C1062">
        <f>IF(H1062="","",IF(P1062="",K1062,INDEX('Students'!$A$2:$A$701,P1062)))</f>
        <v/>
      </c>
      <c r="D1062">
        <f>IF(OR(H1062="",P1062=""),"",INDEX('Students'!$B$2:$B$701,P1062))</f>
        <v/>
      </c>
      <c r="E1062">
        <f>IF(OR(H1062="",P1062=""),"",INDEX('Students'!$C$2:$C$701,P1062))</f>
        <v/>
      </c>
      <c r="F1062" s="48">
        <f>IF(H1062="","",IF(ISNUMBER(O1062),O1062,J1062))</f>
        <v/>
      </c>
      <c r="G1062">
        <f>IF(H1062="","","OneCause")</f>
        <v/>
      </c>
      <c r="H1062">
        <f>IF(AND(I1062="",J1062="",K1062=""),"",IF(NOT(ISNUMBER(O1062)),"Bad amount",IF(O1062&lt;0,"Refund (not counted)",IF(O1062=0,"Zero amount",IF(NOT(ISNUMBER(N1062)),"Bad date",IF(P1062="","NAME NOT ON ROSTER",IF(L1062="","OK",IF(MATCH(L1062,$L$2:$L$3001,0)&lt;ROW()-1,"Duplicate (ignored)","OK"))))))))</f>
        <v/>
      </c>
      <c r="I1062">
        <f>IF(OC_Date=0,"",IF(INDEX('OneCause_Paste'!$A$1062:$AZ$1062,1,OC_Date)="","",INDEX('OneCause_Paste'!$A$1062:$AZ$1062,1,OC_Date)))</f>
        <v/>
      </c>
      <c r="J1062">
        <f>IF(OC_Amt=0,"",IF(INDEX('OneCause_Paste'!$A$1062:$AZ$1062,1,OC_Amt)="","",INDEX('OneCause_Paste'!$A$1062:$AZ$1062,1,OC_Amt)))</f>
        <v/>
      </c>
      <c r="K1062">
        <f>IF(OC_Name=0,"",IF(INDEX('OneCause_Paste'!$A$1062:$AZ$1062,1,OC_Name)="","",INDEX('OneCause_Paste'!$A$1062:$AZ$1062,1,OC_Name)))</f>
        <v/>
      </c>
      <c r="L1062">
        <f>IF(OC_Txn=0,"",IF(INDEX('OneCause_Paste'!$A$1062:$AZ$1062,1,OC_Txn)="","",INDEX('OneCause_Paste'!$A$1062:$AZ$1062,1,OC_Txn)))</f>
        <v/>
      </c>
      <c r="M1062">
        <f>IF(OC_Pay=0,"",IF(INDEX('OneCause_Paste'!$A$1062:$AZ$1062,1,OC_Pay)="","",INDEX('OneCause_Paste'!$A$1062:$AZ$1062,1,OC_Pay)))</f>
        <v/>
      </c>
      <c r="N1062">
        <f>IF(I1062="","",IF(ISNUMBER(I1062),INT(I1062),IFERROR(INT(DATEVALUE(I1062)),IFERROR(INT(VALUE(I1062)),"bad"))))</f>
        <v/>
      </c>
      <c r="O1062">
        <f>IF(J1062="","",IF(ISNUMBER(J1062),ROUND(J1062,2),IFERROR(ROUND(VALUE(SUBSTITUTE(SUBSTITUTE(SUBSTITUTE(J1062,"$",""),",","")," ","")),2),"bad")))</f>
        <v/>
      </c>
      <c r="P1062">
        <f>IF(TRIM(K1062)="","",IFERROR(MATCH(LOWER(TRIM(K1062)),'Students'!$AH$2:$AH$701,0),IFERROR(MATCH(LOWER(TRIM(K1062)),'Students'!$AF$2:$AF$701,0),IFERROR(MATCH(LOWER(TRIM(K1062)),'Students'!$AG$2:$AG$701,0),""))))</f>
        <v/>
      </c>
      <c r="R1062">
        <f>IF(P1062="","",INDEX('Students'!$AD$2:$AD$701,P1062))</f>
        <v/>
      </c>
      <c r="S1062">
        <f>IF(H1062="OK",O1062,0)</f>
        <v/>
      </c>
      <c r="T1062">
        <f>IF(H1062="OK",N1062,"")</f>
        <v/>
      </c>
      <c r="U1062">
        <f>IF(OC_Donor=0,"",IF(INDEX('OneCause_Paste'!$A$1062:$AZ$1062,1,OC_Donor)="","",INDEX('OneCause_Paste'!$A$1062:$AZ$1062,1,OC_Donor)))</f>
        <v/>
      </c>
    </row>
    <row r="1063">
      <c r="A1063" s="62">
        <f>IF(H1063="","",IF(ISNUMBER(N1063),N1063,I1063))</f>
        <v/>
      </c>
      <c r="B1063">
        <f>IF(H1063="","",U1063)</f>
        <v/>
      </c>
      <c r="C1063">
        <f>IF(H1063="","",IF(P1063="",K1063,INDEX('Students'!$A$2:$A$701,P1063)))</f>
        <v/>
      </c>
      <c r="D1063">
        <f>IF(OR(H1063="",P1063=""),"",INDEX('Students'!$B$2:$B$701,P1063))</f>
        <v/>
      </c>
      <c r="E1063">
        <f>IF(OR(H1063="",P1063=""),"",INDEX('Students'!$C$2:$C$701,P1063))</f>
        <v/>
      </c>
      <c r="F1063" s="48">
        <f>IF(H1063="","",IF(ISNUMBER(O1063),O1063,J1063))</f>
        <v/>
      </c>
      <c r="G1063">
        <f>IF(H1063="","","OneCause")</f>
        <v/>
      </c>
      <c r="H1063">
        <f>IF(AND(I1063="",J1063="",K1063=""),"",IF(NOT(ISNUMBER(O1063)),"Bad amount",IF(O1063&lt;0,"Refund (not counted)",IF(O1063=0,"Zero amount",IF(NOT(ISNUMBER(N1063)),"Bad date",IF(P1063="","NAME NOT ON ROSTER",IF(L1063="","OK",IF(MATCH(L1063,$L$2:$L$3001,0)&lt;ROW()-1,"Duplicate (ignored)","OK"))))))))</f>
        <v/>
      </c>
      <c r="I1063">
        <f>IF(OC_Date=0,"",IF(INDEX('OneCause_Paste'!$A$1063:$AZ$1063,1,OC_Date)="","",INDEX('OneCause_Paste'!$A$1063:$AZ$1063,1,OC_Date)))</f>
        <v/>
      </c>
      <c r="J1063">
        <f>IF(OC_Amt=0,"",IF(INDEX('OneCause_Paste'!$A$1063:$AZ$1063,1,OC_Amt)="","",INDEX('OneCause_Paste'!$A$1063:$AZ$1063,1,OC_Amt)))</f>
        <v/>
      </c>
      <c r="K1063">
        <f>IF(OC_Name=0,"",IF(INDEX('OneCause_Paste'!$A$1063:$AZ$1063,1,OC_Name)="","",INDEX('OneCause_Paste'!$A$1063:$AZ$1063,1,OC_Name)))</f>
        <v/>
      </c>
      <c r="L1063">
        <f>IF(OC_Txn=0,"",IF(INDEX('OneCause_Paste'!$A$1063:$AZ$1063,1,OC_Txn)="","",INDEX('OneCause_Paste'!$A$1063:$AZ$1063,1,OC_Txn)))</f>
        <v/>
      </c>
      <c r="M1063">
        <f>IF(OC_Pay=0,"",IF(INDEX('OneCause_Paste'!$A$1063:$AZ$1063,1,OC_Pay)="","",INDEX('OneCause_Paste'!$A$1063:$AZ$1063,1,OC_Pay)))</f>
        <v/>
      </c>
      <c r="N1063">
        <f>IF(I1063="","",IF(ISNUMBER(I1063),INT(I1063),IFERROR(INT(DATEVALUE(I1063)),IFERROR(INT(VALUE(I1063)),"bad"))))</f>
        <v/>
      </c>
      <c r="O1063">
        <f>IF(J1063="","",IF(ISNUMBER(J1063),ROUND(J1063,2),IFERROR(ROUND(VALUE(SUBSTITUTE(SUBSTITUTE(SUBSTITUTE(J1063,"$",""),",","")," ","")),2),"bad")))</f>
        <v/>
      </c>
      <c r="P1063">
        <f>IF(TRIM(K1063)="","",IFERROR(MATCH(LOWER(TRIM(K1063)),'Students'!$AH$2:$AH$701,0),IFERROR(MATCH(LOWER(TRIM(K1063)),'Students'!$AF$2:$AF$701,0),IFERROR(MATCH(LOWER(TRIM(K1063)),'Students'!$AG$2:$AG$701,0),""))))</f>
        <v/>
      </c>
      <c r="R1063">
        <f>IF(P1063="","",INDEX('Students'!$AD$2:$AD$701,P1063))</f>
        <v/>
      </c>
      <c r="S1063">
        <f>IF(H1063="OK",O1063,0)</f>
        <v/>
      </c>
      <c r="T1063">
        <f>IF(H1063="OK",N1063,"")</f>
        <v/>
      </c>
      <c r="U1063">
        <f>IF(OC_Donor=0,"",IF(INDEX('OneCause_Paste'!$A$1063:$AZ$1063,1,OC_Donor)="","",INDEX('OneCause_Paste'!$A$1063:$AZ$1063,1,OC_Donor)))</f>
        <v/>
      </c>
    </row>
    <row r="1064">
      <c r="A1064" s="62">
        <f>IF(H1064="","",IF(ISNUMBER(N1064),N1064,I1064))</f>
        <v/>
      </c>
      <c r="B1064">
        <f>IF(H1064="","",U1064)</f>
        <v/>
      </c>
      <c r="C1064">
        <f>IF(H1064="","",IF(P1064="",K1064,INDEX('Students'!$A$2:$A$701,P1064)))</f>
        <v/>
      </c>
      <c r="D1064">
        <f>IF(OR(H1064="",P1064=""),"",INDEX('Students'!$B$2:$B$701,P1064))</f>
        <v/>
      </c>
      <c r="E1064">
        <f>IF(OR(H1064="",P1064=""),"",INDEX('Students'!$C$2:$C$701,P1064))</f>
        <v/>
      </c>
      <c r="F1064" s="48">
        <f>IF(H1064="","",IF(ISNUMBER(O1064),O1064,J1064))</f>
        <v/>
      </c>
      <c r="G1064">
        <f>IF(H1064="","","OneCause")</f>
        <v/>
      </c>
      <c r="H1064">
        <f>IF(AND(I1064="",J1064="",K1064=""),"",IF(NOT(ISNUMBER(O1064)),"Bad amount",IF(O1064&lt;0,"Refund (not counted)",IF(O1064=0,"Zero amount",IF(NOT(ISNUMBER(N1064)),"Bad date",IF(P1064="","NAME NOT ON ROSTER",IF(L1064="","OK",IF(MATCH(L1064,$L$2:$L$3001,0)&lt;ROW()-1,"Duplicate (ignored)","OK"))))))))</f>
        <v/>
      </c>
      <c r="I1064">
        <f>IF(OC_Date=0,"",IF(INDEX('OneCause_Paste'!$A$1064:$AZ$1064,1,OC_Date)="","",INDEX('OneCause_Paste'!$A$1064:$AZ$1064,1,OC_Date)))</f>
        <v/>
      </c>
      <c r="J1064">
        <f>IF(OC_Amt=0,"",IF(INDEX('OneCause_Paste'!$A$1064:$AZ$1064,1,OC_Amt)="","",INDEX('OneCause_Paste'!$A$1064:$AZ$1064,1,OC_Amt)))</f>
        <v/>
      </c>
      <c r="K1064">
        <f>IF(OC_Name=0,"",IF(INDEX('OneCause_Paste'!$A$1064:$AZ$1064,1,OC_Name)="","",INDEX('OneCause_Paste'!$A$1064:$AZ$1064,1,OC_Name)))</f>
        <v/>
      </c>
      <c r="L1064">
        <f>IF(OC_Txn=0,"",IF(INDEX('OneCause_Paste'!$A$1064:$AZ$1064,1,OC_Txn)="","",INDEX('OneCause_Paste'!$A$1064:$AZ$1064,1,OC_Txn)))</f>
        <v/>
      </c>
      <c r="M1064">
        <f>IF(OC_Pay=0,"",IF(INDEX('OneCause_Paste'!$A$1064:$AZ$1064,1,OC_Pay)="","",INDEX('OneCause_Paste'!$A$1064:$AZ$1064,1,OC_Pay)))</f>
        <v/>
      </c>
      <c r="N1064">
        <f>IF(I1064="","",IF(ISNUMBER(I1064),INT(I1064),IFERROR(INT(DATEVALUE(I1064)),IFERROR(INT(VALUE(I1064)),"bad"))))</f>
        <v/>
      </c>
      <c r="O1064">
        <f>IF(J1064="","",IF(ISNUMBER(J1064),ROUND(J1064,2),IFERROR(ROUND(VALUE(SUBSTITUTE(SUBSTITUTE(SUBSTITUTE(J1064,"$",""),",","")," ","")),2),"bad")))</f>
        <v/>
      </c>
      <c r="P1064">
        <f>IF(TRIM(K1064)="","",IFERROR(MATCH(LOWER(TRIM(K1064)),'Students'!$AH$2:$AH$701,0),IFERROR(MATCH(LOWER(TRIM(K1064)),'Students'!$AF$2:$AF$701,0),IFERROR(MATCH(LOWER(TRIM(K1064)),'Students'!$AG$2:$AG$701,0),""))))</f>
        <v/>
      </c>
      <c r="R1064">
        <f>IF(P1064="","",INDEX('Students'!$AD$2:$AD$701,P1064))</f>
        <v/>
      </c>
      <c r="S1064">
        <f>IF(H1064="OK",O1064,0)</f>
        <v/>
      </c>
      <c r="T1064">
        <f>IF(H1064="OK",N1064,"")</f>
        <v/>
      </c>
      <c r="U1064">
        <f>IF(OC_Donor=0,"",IF(INDEX('OneCause_Paste'!$A$1064:$AZ$1064,1,OC_Donor)="","",INDEX('OneCause_Paste'!$A$1064:$AZ$1064,1,OC_Donor)))</f>
        <v/>
      </c>
    </row>
    <row r="1065">
      <c r="A1065" s="62">
        <f>IF(H1065="","",IF(ISNUMBER(N1065),N1065,I1065))</f>
        <v/>
      </c>
      <c r="B1065">
        <f>IF(H1065="","",U1065)</f>
        <v/>
      </c>
      <c r="C1065">
        <f>IF(H1065="","",IF(P1065="",K1065,INDEX('Students'!$A$2:$A$701,P1065)))</f>
        <v/>
      </c>
      <c r="D1065">
        <f>IF(OR(H1065="",P1065=""),"",INDEX('Students'!$B$2:$B$701,P1065))</f>
        <v/>
      </c>
      <c r="E1065">
        <f>IF(OR(H1065="",P1065=""),"",INDEX('Students'!$C$2:$C$701,P1065))</f>
        <v/>
      </c>
      <c r="F1065" s="48">
        <f>IF(H1065="","",IF(ISNUMBER(O1065),O1065,J1065))</f>
        <v/>
      </c>
      <c r="G1065">
        <f>IF(H1065="","","OneCause")</f>
        <v/>
      </c>
      <c r="H1065">
        <f>IF(AND(I1065="",J1065="",K1065=""),"",IF(NOT(ISNUMBER(O1065)),"Bad amount",IF(O1065&lt;0,"Refund (not counted)",IF(O1065=0,"Zero amount",IF(NOT(ISNUMBER(N1065)),"Bad date",IF(P1065="","NAME NOT ON ROSTER",IF(L1065="","OK",IF(MATCH(L1065,$L$2:$L$3001,0)&lt;ROW()-1,"Duplicate (ignored)","OK"))))))))</f>
        <v/>
      </c>
      <c r="I1065">
        <f>IF(OC_Date=0,"",IF(INDEX('OneCause_Paste'!$A$1065:$AZ$1065,1,OC_Date)="","",INDEX('OneCause_Paste'!$A$1065:$AZ$1065,1,OC_Date)))</f>
        <v/>
      </c>
      <c r="J1065">
        <f>IF(OC_Amt=0,"",IF(INDEX('OneCause_Paste'!$A$1065:$AZ$1065,1,OC_Amt)="","",INDEX('OneCause_Paste'!$A$1065:$AZ$1065,1,OC_Amt)))</f>
        <v/>
      </c>
      <c r="K1065">
        <f>IF(OC_Name=0,"",IF(INDEX('OneCause_Paste'!$A$1065:$AZ$1065,1,OC_Name)="","",INDEX('OneCause_Paste'!$A$1065:$AZ$1065,1,OC_Name)))</f>
        <v/>
      </c>
      <c r="L1065">
        <f>IF(OC_Txn=0,"",IF(INDEX('OneCause_Paste'!$A$1065:$AZ$1065,1,OC_Txn)="","",INDEX('OneCause_Paste'!$A$1065:$AZ$1065,1,OC_Txn)))</f>
        <v/>
      </c>
      <c r="M1065">
        <f>IF(OC_Pay=0,"",IF(INDEX('OneCause_Paste'!$A$1065:$AZ$1065,1,OC_Pay)="","",INDEX('OneCause_Paste'!$A$1065:$AZ$1065,1,OC_Pay)))</f>
        <v/>
      </c>
      <c r="N1065">
        <f>IF(I1065="","",IF(ISNUMBER(I1065),INT(I1065),IFERROR(INT(DATEVALUE(I1065)),IFERROR(INT(VALUE(I1065)),"bad"))))</f>
        <v/>
      </c>
      <c r="O1065">
        <f>IF(J1065="","",IF(ISNUMBER(J1065),ROUND(J1065,2),IFERROR(ROUND(VALUE(SUBSTITUTE(SUBSTITUTE(SUBSTITUTE(J1065,"$",""),",","")," ","")),2),"bad")))</f>
        <v/>
      </c>
      <c r="P1065">
        <f>IF(TRIM(K1065)="","",IFERROR(MATCH(LOWER(TRIM(K1065)),'Students'!$AH$2:$AH$701,0),IFERROR(MATCH(LOWER(TRIM(K1065)),'Students'!$AF$2:$AF$701,0),IFERROR(MATCH(LOWER(TRIM(K1065)),'Students'!$AG$2:$AG$701,0),""))))</f>
        <v/>
      </c>
      <c r="R1065">
        <f>IF(P1065="","",INDEX('Students'!$AD$2:$AD$701,P1065))</f>
        <v/>
      </c>
      <c r="S1065">
        <f>IF(H1065="OK",O1065,0)</f>
        <v/>
      </c>
      <c r="T1065">
        <f>IF(H1065="OK",N1065,"")</f>
        <v/>
      </c>
      <c r="U1065">
        <f>IF(OC_Donor=0,"",IF(INDEX('OneCause_Paste'!$A$1065:$AZ$1065,1,OC_Donor)="","",INDEX('OneCause_Paste'!$A$1065:$AZ$1065,1,OC_Donor)))</f>
        <v/>
      </c>
    </row>
    <row r="1066">
      <c r="A1066" s="62">
        <f>IF(H1066="","",IF(ISNUMBER(N1066),N1066,I1066))</f>
        <v/>
      </c>
      <c r="B1066">
        <f>IF(H1066="","",U1066)</f>
        <v/>
      </c>
      <c r="C1066">
        <f>IF(H1066="","",IF(P1066="",K1066,INDEX('Students'!$A$2:$A$701,P1066)))</f>
        <v/>
      </c>
      <c r="D1066">
        <f>IF(OR(H1066="",P1066=""),"",INDEX('Students'!$B$2:$B$701,P1066))</f>
        <v/>
      </c>
      <c r="E1066">
        <f>IF(OR(H1066="",P1066=""),"",INDEX('Students'!$C$2:$C$701,P1066))</f>
        <v/>
      </c>
      <c r="F1066" s="48">
        <f>IF(H1066="","",IF(ISNUMBER(O1066),O1066,J1066))</f>
        <v/>
      </c>
      <c r="G1066">
        <f>IF(H1066="","","OneCause")</f>
        <v/>
      </c>
      <c r="H1066">
        <f>IF(AND(I1066="",J1066="",K1066=""),"",IF(NOT(ISNUMBER(O1066)),"Bad amount",IF(O1066&lt;0,"Refund (not counted)",IF(O1066=0,"Zero amount",IF(NOT(ISNUMBER(N1066)),"Bad date",IF(P1066="","NAME NOT ON ROSTER",IF(L1066="","OK",IF(MATCH(L1066,$L$2:$L$3001,0)&lt;ROW()-1,"Duplicate (ignored)","OK"))))))))</f>
        <v/>
      </c>
      <c r="I1066">
        <f>IF(OC_Date=0,"",IF(INDEX('OneCause_Paste'!$A$1066:$AZ$1066,1,OC_Date)="","",INDEX('OneCause_Paste'!$A$1066:$AZ$1066,1,OC_Date)))</f>
        <v/>
      </c>
      <c r="J1066">
        <f>IF(OC_Amt=0,"",IF(INDEX('OneCause_Paste'!$A$1066:$AZ$1066,1,OC_Amt)="","",INDEX('OneCause_Paste'!$A$1066:$AZ$1066,1,OC_Amt)))</f>
        <v/>
      </c>
      <c r="K1066">
        <f>IF(OC_Name=0,"",IF(INDEX('OneCause_Paste'!$A$1066:$AZ$1066,1,OC_Name)="","",INDEX('OneCause_Paste'!$A$1066:$AZ$1066,1,OC_Name)))</f>
        <v/>
      </c>
      <c r="L1066">
        <f>IF(OC_Txn=0,"",IF(INDEX('OneCause_Paste'!$A$1066:$AZ$1066,1,OC_Txn)="","",INDEX('OneCause_Paste'!$A$1066:$AZ$1066,1,OC_Txn)))</f>
        <v/>
      </c>
      <c r="M1066">
        <f>IF(OC_Pay=0,"",IF(INDEX('OneCause_Paste'!$A$1066:$AZ$1066,1,OC_Pay)="","",INDEX('OneCause_Paste'!$A$1066:$AZ$1066,1,OC_Pay)))</f>
        <v/>
      </c>
      <c r="N1066">
        <f>IF(I1066="","",IF(ISNUMBER(I1066),INT(I1066),IFERROR(INT(DATEVALUE(I1066)),IFERROR(INT(VALUE(I1066)),"bad"))))</f>
        <v/>
      </c>
      <c r="O1066">
        <f>IF(J1066="","",IF(ISNUMBER(J1066),ROUND(J1066,2),IFERROR(ROUND(VALUE(SUBSTITUTE(SUBSTITUTE(SUBSTITUTE(J1066,"$",""),",","")," ","")),2),"bad")))</f>
        <v/>
      </c>
      <c r="P1066">
        <f>IF(TRIM(K1066)="","",IFERROR(MATCH(LOWER(TRIM(K1066)),'Students'!$AH$2:$AH$701,0),IFERROR(MATCH(LOWER(TRIM(K1066)),'Students'!$AF$2:$AF$701,0),IFERROR(MATCH(LOWER(TRIM(K1066)),'Students'!$AG$2:$AG$701,0),""))))</f>
        <v/>
      </c>
      <c r="R1066">
        <f>IF(P1066="","",INDEX('Students'!$AD$2:$AD$701,P1066))</f>
        <v/>
      </c>
      <c r="S1066">
        <f>IF(H1066="OK",O1066,0)</f>
        <v/>
      </c>
      <c r="T1066">
        <f>IF(H1066="OK",N1066,"")</f>
        <v/>
      </c>
      <c r="U1066">
        <f>IF(OC_Donor=0,"",IF(INDEX('OneCause_Paste'!$A$1066:$AZ$1066,1,OC_Donor)="","",INDEX('OneCause_Paste'!$A$1066:$AZ$1066,1,OC_Donor)))</f>
        <v/>
      </c>
    </row>
    <row r="1067">
      <c r="A1067" s="62">
        <f>IF(H1067="","",IF(ISNUMBER(N1067),N1067,I1067))</f>
        <v/>
      </c>
      <c r="B1067">
        <f>IF(H1067="","",U1067)</f>
        <v/>
      </c>
      <c r="C1067">
        <f>IF(H1067="","",IF(P1067="",K1067,INDEX('Students'!$A$2:$A$701,P1067)))</f>
        <v/>
      </c>
      <c r="D1067">
        <f>IF(OR(H1067="",P1067=""),"",INDEX('Students'!$B$2:$B$701,P1067))</f>
        <v/>
      </c>
      <c r="E1067">
        <f>IF(OR(H1067="",P1067=""),"",INDEX('Students'!$C$2:$C$701,P1067))</f>
        <v/>
      </c>
      <c r="F1067" s="48">
        <f>IF(H1067="","",IF(ISNUMBER(O1067),O1067,J1067))</f>
        <v/>
      </c>
      <c r="G1067">
        <f>IF(H1067="","","OneCause")</f>
        <v/>
      </c>
      <c r="H1067">
        <f>IF(AND(I1067="",J1067="",K1067=""),"",IF(NOT(ISNUMBER(O1067)),"Bad amount",IF(O1067&lt;0,"Refund (not counted)",IF(O1067=0,"Zero amount",IF(NOT(ISNUMBER(N1067)),"Bad date",IF(P1067="","NAME NOT ON ROSTER",IF(L1067="","OK",IF(MATCH(L1067,$L$2:$L$3001,0)&lt;ROW()-1,"Duplicate (ignored)","OK"))))))))</f>
        <v/>
      </c>
      <c r="I1067">
        <f>IF(OC_Date=0,"",IF(INDEX('OneCause_Paste'!$A$1067:$AZ$1067,1,OC_Date)="","",INDEX('OneCause_Paste'!$A$1067:$AZ$1067,1,OC_Date)))</f>
        <v/>
      </c>
      <c r="J1067">
        <f>IF(OC_Amt=0,"",IF(INDEX('OneCause_Paste'!$A$1067:$AZ$1067,1,OC_Amt)="","",INDEX('OneCause_Paste'!$A$1067:$AZ$1067,1,OC_Amt)))</f>
        <v/>
      </c>
      <c r="K1067">
        <f>IF(OC_Name=0,"",IF(INDEX('OneCause_Paste'!$A$1067:$AZ$1067,1,OC_Name)="","",INDEX('OneCause_Paste'!$A$1067:$AZ$1067,1,OC_Name)))</f>
        <v/>
      </c>
      <c r="L1067">
        <f>IF(OC_Txn=0,"",IF(INDEX('OneCause_Paste'!$A$1067:$AZ$1067,1,OC_Txn)="","",INDEX('OneCause_Paste'!$A$1067:$AZ$1067,1,OC_Txn)))</f>
        <v/>
      </c>
      <c r="M1067">
        <f>IF(OC_Pay=0,"",IF(INDEX('OneCause_Paste'!$A$1067:$AZ$1067,1,OC_Pay)="","",INDEX('OneCause_Paste'!$A$1067:$AZ$1067,1,OC_Pay)))</f>
        <v/>
      </c>
      <c r="N1067">
        <f>IF(I1067="","",IF(ISNUMBER(I1067),INT(I1067),IFERROR(INT(DATEVALUE(I1067)),IFERROR(INT(VALUE(I1067)),"bad"))))</f>
        <v/>
      </c>
      <c r="O1067">
        <f>IF(J1067="","",IF(ISNUMBER(J1067),ROUND(J1067,2),IFERROR(ROUND(VALUE(SUBSTITUTE(SUBSTITUTE(SUBSTITUTE(J1067,"$",""),",","")," ","")),2),"bad")))</f>
        <v/>
      </c>
      <c r="P1067">
        <f>IF(TRIM(K1067)="","",IFERROR(MATCH(LOWER(TRIM(K1067)),'Students'!$AH$2:$AH$701,0),IFERROR(MATCH(LOWER(TRIM(K1067)),'Students'!$AF$2:$AF$701,0),IFERROR(MATCH(LOWER(TRIM(K1067)),'Students'!$AG$2:$AG$701,0),""))))</f>
        <v/>
      </c>
      <c r="R1067">
        <f>IF(P1067="","",INDEX('Students'!$AD$2:$AD$701,P1067))</f>
        <v/>
      </c>
      <c r="S1067">
        <f>IF(H1067="OK",O1067,0)</f>
        <v/>
      </c>
      <c r="T1067">
        <f>IF(H1067="OK",N1067,"")</f>
        <v/>
      </c>
      <c r="U1067">
        <f>IF(OC_Donor=0,"",IF(INDEX('OneCause_Paste'!$A$1067:$AZ$1067,1,OC_Donor)="","",INDEX('OneCause_Paste'!$A$1067:$AZ$1067,1,OC_Donor)))</f>
        <v/>
      </c>
    </row>
    <row r="1068">
      <c r="A1068" s="62">
        <f>IF(H1068="","",IF(ISNUMBER(N1068),N1068,I1068))</f>
        <v/>
      </c>
      <c r="B1068">
        <f>IF(H1068="","",U1068)</f>
        <v/>
      </c>
      <c r="C1068">
        <f>IF(H1068="","",IF(P1068="",K1068,INDEX('Students'!$A$2:$A$701,P1068)))</f>
        <v/>
      </c>
      <c r="D1068">
        <f>IF(OR(H1068="",P1068=""),"",INDEX('Students'!$B$2:$B$701,P1068))</f>
        <v/>
      </c>
      <c r="E1068">
        <f>IF(OR(H1068="",P1068=""),"",INDEX('Students'!$C$2:$C$701,P1068))</f>
        <v/>
      </c>
      <c r="F1068" s="48">
        <f>IF(H1068="","",IF(ISNUMBER(O1068),O1068,J1068))</f>
        <v/>
      </c>
      <c r="G1068">
        <f>IF(H1068="","","OneCause")</f>
        <v/>
      </c>
      <c r="H1068">
        <f>IF(AND(I1068="",J1068="",K1068=""),"",IF(NOT(ISNUMBER(O1068)),"Bad amount",IF(O1068&lt;0,"Refund (not counted)",IF(O1068=0,"Zero amount",IF(NOT(ISNUMBER(N1068)),"Bad date",IF(P1068="","NAME NOT ON ROSTER",IF(L1068="","OK",IF(MATCH(L1068,$L$2:$L$3001,0)&lt;ROW()-1,"Duplicate (ignored)","OK"))))))))</f>
        <v/>
      </c>
      <c r="I1068">
        <f>IF(OC_Date=0,"",IF(INDEX('OneCause_Paste'!$A$1068:$AZ$1068,1,OC_Date)="","",INDEX('OneCause_Paste'!$A$1068:$AZ$1068,1,OC_Date)))</f>
        <v/>
      </c>
      <c r="J1068">
        <f>IF(OC_Amt=0,"",IF(INDEX('OneCause_Paste'!$A$1068:$AZ$1068,1,OC_Amt)="","",INDEX('OneCause_Paste'!$A$1068:$AZ$1068,1,OC_Amt)))</f>
        <v/>
      </c>
      <c r="K1068">
        <f>IF(OC_Name=0,"",IF(INDEX('OneCause_Paste'!$A$1068:$AZ$1068,1,OC_Name)="","",INDEX('OneCause_Paste'!$A$1068:$AZ$1068,1,OC_Name)))</f>
        <v/>
      </c>
      <c r="L1068">
        <f>IF(OC_Txn=0,"",IF(INDEX('OneCause_Paste'!$A$1068:$AZ$1068,1,OC_Txn)="","",INDEX('OneCause_Paste'!$A$1068:$AZ$1068,1,OC_Txn)))</f>
        <v/>
      </c>
      <c r="M1068">
        <f>IF(OC_Pay=0,"",IF(INDEX('OneCause_Paste'!$A$1068:$AZ$1068,1,OC_Pay)="","",INDEX('OneCause_Paste'!$A$1068:$AZ$1068,1,OC_Pay)))</f>
        <v/>
      </c>
      <c r="N1068">
        <f>IF(I1068="","",IF(ISNUMBER(I1068),INT(I1068),IFERROR(INT(DATEVALUE(I1068)),IFERROR(INT(VALUE(I1068)),"bad"))))</f>
        <v/>
      </c>
      <c r="O1068">
        <f>IF(J1068="","",IF(ISNUMBER(J1068),ROUND(J1068,2),IFERROR(ROUND(VALUE(SUBSTITUTE(SUBSTITUTE(SUBSTITUTE(J1068,"$",""),",","")," ","")),2),"bad")))</f>
        <v/>
      </c>
      <c r="P1068">
        <f>IF(TRIM(K1068)="","",IFERROR(MATCH(LOWER(TRIM(K1068)),'Students'!$AH$2:$AH$701,0),IFERROR(MATCH(LOWER(TRIM(K1068)),'Students'!$AF$2:$AF$701,0),IFERROR(MATCH(LOWER(TRIM(K1068)),'Students'!$AG$2:$AG$701,0),""))))</f>
        <v/>
      </c>
      <c r="R1068">
        <f>IF(P1068="","",INDEX('Students'!$AD$2:$AD$701,P1068))</f>
        <v/>
      </c>
      <c r="S1068">
        <f>IF(H1068="OK",O1068,0)</f>
        <v/>
      </c>
      <c r="T1068">
        <f>IF(H1068="OK",N1068,"")</f>
        <v/>
      </c>
      <c r="U1068">
        <f>IF(OC_Donor=0,"",IF(INDEX('OneCause_Paste'!$A$1068:$AZ$1068,1,OC_Donor)="","",INDEX('OneCause_Paste'!$A$1068:$AZ$1068,1,OC_Donor)))</f>
        <v/>
      </c>
    </row>
    <row r="1069">
      <c r="A1069" s="62">
        <f>IF(H1069="","",IF(ISNUMBER(N1069),N1069,I1069))</f>
        <v/>
      </c>
      <c r="B1069">
        <f>IF(H1069="","",U1069)</f>
        <v/>
      </c>
      <c r="C1069">
        <f>IF(H1069="","",IF(P1069="",K1069,INDEX('Students'!$A$2:$A$701,P1069)))</f>
        <v/>
      </c>
      <c r="D1069">
        <f>IF(OR(H1069="",P1069=""),"",INDEX('Students'!$B$2:$B$701,P1069))</f>
        <v/>
      </c>
      <c r="E1069">
        <f>IF(OR(H1069="",P1069=""),"",INDEX('Students'!$C$2:$C$701,P1069))</f>
        <v/>
      </c>
      <c r="F1069" s="48">
        <f>IF(H1069="","",IF(ISNUMBER(O1069),O1069,J1069))</f>
        <v/>
      </c>
      <c r="G1069">
        <f>IF(H1069="","","OneCause")</f>
        <v/>
      </c>
      <c r="H1069">
        <f>IF(AND(I1069="",J1069="",K1069=""),"",IF(NOT(ISNUMBER(O1069)),"Bad amount",IF(O1069&lt;0,"Refund (not counted)",IF(O1069=0,"Zero amount",IF(NOT(ISNUMBER(N1069)),"Bad date",IF(P1069="","NAME NOT ON ROSTER",IF(L1069="","OK",IF(MATCH(L1069,$L$2:$L$3001,0)&lt;ROW()-1,"Duplicate (ignored)","OK"))))))))</f>
        <v/>
      </c>
      <c r="I1069">
        <f>IF(OC_Date=0,"",IF(INDEX('OneCause_Paste'!$A$1069:$AZ$1069,1,OC_Date)="","",INDEX('OneCause_Paste'!$A$1069:$AZ$1069,1,OC_Date)))</f>
        <v/>
      </c>
      <c r="J1069">
        <f>IF(OC_Amt=0,"",IF(INDEX('OneCause_Paste'!$A$1069:$AZ$1069,1,OC_Amt)="","",INDEX('OneCause_Paste'!$A$1069:$AZ$1069,1,OC_Amt)))</f>
        <v/>
      </c>
      <c r="K1069">
        <f>IF(OC_Name=0,"",IF(INDEX('OneCause_Paste'!$A$1069:$AZ$1069,1,OC_Name)="","",INDEX('OneCause_Paste'!$A$1069:$AZ$1069,1,OC_Name)))</f>
        <v/>
      </c>
      <c r="L1069">
        <f>IF(OC_Txn=0,"",IF(INDEX('OneCause_Paste'!$A$1069:$AZ$1069,1,OC_Txn)="","",INDEX('OneCause_Paste'!$A$1069:$AZ$1069,1,OC_Txn)))</f>
        <v/>
      </c>
      <c r="M1069">
        <f>IF(OC_Pay=0,"",IF(INDEX('OneCause_Paste'!$A$1069:$AZ$1069,1,OC_Pay)="","",INDEX('OneCause_Paste'!$A$1069:$AZ$1069,1,OC_Pay)))</f>
        <v/>
      </c>
      <c r="N1069">
        <f>IF(I1069="","",IF(ISNUMBER(I1069),INT(I1069),IFERROR(INT(DATEVALUE(I1069)),IFERROR(INT(VALUE(I1069)),"bad"))))</f>
        <v/>
      </c>
      <c r="O1069">
        <f>IF(J1069="","",IF(ISNUMBER(J1069),ROUND(J1069,2),IFERROR(ROUND(VALUE(SUBSTITUTE(SUBSTITUTE(SUBSTITUTE(J1069,"$",""),",","")," ","")),2),"bad")))</f>
        <v/>
      </c>
      <c r="P1069">
        <f>IF(TRIM(K1069)="","",IFERROR(MATCH(LOWER(TRIM(K1069)),'Students'!$AH$2:$AH$701,0),IFERROR(MATCH(LOWER(TRIM(K1069)),'Students'!$AF$2:$AF$701,0),IFERROR(MATCH(LOWER(TRIM(K1069)),'Students'!$AG$2:$AG$701,0),""))))</f>
        <v/>
      </c>
      <c r="R1069">
        <f>IF(P1069="","",INDEX('Students'!$AD$2:$AD$701,P1069))</f>
        <v/>
      </c>
      <c r="S1069">
        <f>IF(H1069="OK",O1069,0)</f>
        <v/>
      </c>
      <c r="T1069">
        <f>IF(H1069="OK",N1069,"")</f>
        <v/>
      </c>
      <c r="U1069">
        <f>IF(OC_Donor=0,"",IF(INDEX('OneCause_Paste'!$A$1069:$AZ$1069,1,OC_Donor)="","",INDEX('OneCause_Paste'!$A$1069:$AZ$1069,1,OC_Donor)))</f>
        <v/>
      </c>
    </row>
    <row r="1070">
      <c r="A1070" s="62">
        <f>IF(H1070="","",IF(ISNUMBER(N1070),N1070,I1070))</f>
        <v/>
      </c>
      <c r="B1070">
        <f>IF(H1070="","",U1070)</f>
        <v/>
      </c>
      <c r="C1070">
        <f>IF(H1070="","",IF(P1070="",K1070,INDEX('Students'!$A$2:$A$701,P1070)))</f>
        <v/>
      </c>
      <c r="D1070">
        <f>IF(OR(H1070="",P1070=""),"",INDEX('Students'!$B$2:$B$701,P1070))</f>
        <v/>
      </c>
      <c r="E1070">
        <f>IF(OR(H1070="",P1070=""),"",INDEX('Students'!$C$2:$C$701,P1070))</f>
        <v/>
      </c>
      <c r="F1070" s="48">
        <f>IF(H1070="","",IF(ISNUMBER(O1070),O1070,J1070))</f>
        <v/>
      </c>
      <c r="G1070">
        <f>IF(H1070="","","OneCause")</f>
        <v/>
      </c>
      <c r="H1070">
        <f>IF(AND(I1070="",J1070="",K1070=""),"",IF(NOT(ISNUMBER(O1070)),"Bad amount",IF(O1070&lt;0,"Refund (not counted)",IF(O1070=0,"Zero amount",IF(NOT(ISNUMBER(N1070)),"Bad date",IF(P1070="","NAME NOT ON ROSTER",IF(L1070="","OK",IF(MATCH(L1070,$L$2:$L$3001,0)&lt;ROW()-1,"Duplicate (ignored)","OK"))))))))</f>
        <v/>
      </c>
      <c r="I1070">
        <f>IF(OC_Date=0,"",IF(INDEX('OneCause_Paste'!$A$1070:$AZ$1070,1,OC_Date)="","",INDEX('OneCause_Paste'!$A$1070:$AZ$1070,1,OC_Date)))</f>
        <v/>
      </c>
      <c r="J1070">
        <f>IF(OC_Amt=0,"",IF(INDEX('OneCause_Paste'!$A$1070:$AZ$1070,1,OC_Amt)="","",INDEX('OneCause_Paste'!$A$1070:$AZ$1070,1,OC_Amt)))</f>
        <v/>
      </c>
      <c r="K1070">
        <f>IF(OC_Name=0,"",IF(INDEX('OneCause_Paste'!$A$1070:$AZ$1070,1,OC_Name)="","",INDEX('OneCause_Paste'!$A$1070:$AZ$1070,1,OC_Name)))</f>
        <v/>
      </c>
      <c r="L1070">
        <f>IF(OC_Txn=0,"",IF(INDEX('OneCause_Paste'!$A$1070:$AZ$1070,1,OC_Txn)="","",INDEX('OneCause_Paste'!$A$1070:$AZ$1070,1,OC_Txn)))</f>
        <v/>
      </c>
      <c r="M1070">
        <f>IF(OC_Pay=0,"",IF(INDEX('OneCause_Paste'!$A$1070:$AZ$1070,1,OC_Pay)="","",INDEX('OneCause_Paste'!$A$1070:$AZ$1070,1,OC_Pay)))</f>
        <v/>
      </c>
      <c r="N1070">
        <f>IF(I1070="","",IF(ISNUMBER(I1070),INT(I1070),IFERROR(INT(DATEVALUE(I1070)),IFERROR(INT(VALUE(I1070)),"bad"))))</f>
        <v/>
      </c>
      <c r="O1070">
        <f>IF(J1070="","",IF(ISNUMBER(J1070),ROUND(J1070,2),IFERROR(ROUND(VALUE(SUBSTITUTE(SUBSTITUTE(SUBSTITUTE(J1070,"$",""),",","")," ","")),2),"bad")))</f>
        <v/>
      </c>
      <c r="P1070">
        <f>IF(TRIM(K1070)="","",IFERROR(MATCH(LOWER(TRIM(K1070)),'Students'!$AH$2:$AH$701,0),IFERROR(MATCH(LOWER(TRIM(K1070)),'Students'!$AF$2:$AF$701,0),IFERROR(MATCH(LOWER(TRIM(K1070)),'Students'!$AG$2:$AG$701,0),""))))</f>
        <v/>
      </c>
      <c r="R1070">
        <f>IF(P1070="","",INDEX('Students'!$AD$2:$AD$701,P1070))</f>
        <v/>
      </c>
      <c r="S1070">
        <f>IF(H1070="OK",O1070,0)</f>
        <v/>
      </c>
      <c r="T1070">
        <f>IF(H1070="OK",N1070,"")</f>
        <v/>
      </c>
      <c r="U1070">
        <f>IF(OC_Donor=0,"",IF(INDEX('OneCause_Paste'!$A$1070:$AZ$1070,1,OC_Donor)="","",INDEX('OneCause_Paste'!$A$1070:$AZ$1070,1,OC_Donor)))</f>
        <v/>
      </c>
    </row>
    <row r="1071">
      <c r="A1071" s="62">
        <f>IF(H1071="","",IF(ISNUMBER(N1071),N1071,I1071))</f>
        <v/>
      </c>
      <c r="B1071">
        <f>IF(H1071="","",U1071)</f>
        <v/>
      </c>
      <c r="C1071">
        <f>IF(H1071="","",IF(P1071="",K1071,INDEX('Students'!$A$2:$A$701,P1071)))</f>
        <v/>
      </c>
      <c r="D1071">
        <f>IF(OR(H1071="",P1071=""),"",INDEX('Students'!$B$2:$B$701,P1071))</f>
        <v/>
      </c>
      <c r="E1071">
        <f>IF(OR(H1071="",P1071=""),"",INDEX('Students'!$C$2:$C$701,P1071))</f>
        <v/>
      </c>
      <c r="F1071" s="48">
        <f>IF(H1071="","",IF(ISNUMBER(O1071),O1071,J1071))</f>
        <v/>
      </c>
      <c r="G1071">
        <f>IF(H1071="","","OneCause")</f>
        <v/>
      </c>
      <c r="H1071">
        <f>IF(AND(I1071="",J1071="",K1071=""),"",IF(NOT(ISNUMBER(O1071)),"Bad amount",IF(O1071&lt;0,"Refund (not counted)",IF(O1071=0,"Zero amount",IF(NOT(ISNUMBER(N1071)),"Bad date",IF(P1071="","NAME NOT ON ROSTER",IF(L1071="","OK",IF(MATCH(L1071,$L$2:$L$3001,0)&lt;ROW()-1,"Duplicate (ignored)","OK"))))))))</f>
        <v/>
      </c>
      <c r="I1071">
        <f>IF(OC_Date=0,"",IF(INDEX('OneCause_Paste'!$A$1071:$AZ$1071,1,OC_Date)="","",INDEX('OneCause_Paste'!$A$1071:$AZ$1071,1,OC_Date)))</f>
        <v/>
      </c>
      <c r="J1071">
        <f>IF(OC_Amt=0,"",IF(INDEX('OneCause_Paste'!$A$1071:$AZ$1071,1,OC_Amt)="","",INDEX('OneCause_Paste'!$A$1071:$AZ$1071,1,OC_Amt)))</f>
        <v/>
      </c>
      <c r="K1071">
        <f>IF(OC_Name=0,"",IF(INDEX('OneCause_Paste'!$A$1071:$AZ$1071,1,OC_Name)="","",INDEX('OneCause_Paste'!$A$1071:$AZ$1071,1,OC_Name)))</f>
        <v/>
      </c>
      <c r="L1071">
        <f>IF(OC_Txn=0,"",IF(INDEX('OneCause_Paste'!$A$1071:$AZ$1071,1,OC_Txn)="","",INDEX('OneCause_Paste'!$A$1071:$AZ$1071,1,OC_Txn)))</f>
        <v/>
      </c>
      <c r="M1071">
        <f>IF(OC_Pay=0,"",IF(INDEX('OneCause_Paste'!$A$1071:$AZ$1071,1,OC_Pay)="","",INDEX('OneCause_Paste'!$A$1071:$AZ$1071,1,OC_Pay)))</f>
        <v/>
      </c>
      <c r="N1071">
        <f>IF(I1071="","",IF(ISNUMBER(I1071),INT(I1071),IFERROR(INT(DATEVALUE(I1071)),IFERROR(INT(VALUE(I1071)),"bad"))))</f>
        <v/>
      </c>
      <c r="O1071">
        <f>IF(J1071="","",IF(ISNUMBER(J1071),ROUND(J1071,2),IFERROR(ROUND(VALUE(SUBSTITUTE(SUBSTITUTE(SUBSTITUTE(J1071,"$",""),",","")," ","")),2),"bad")))</f>
        <v/>
      </c>
      <c r="P1071">
        <f>IF(TRIM(K1071)="","",IFERROR(MATCH(LOWER(TRIM(K1071)),'Students'!$AH$2:$AH$701,0),IFERROR(MATCH(LOWER(TRIM(K1071)),'Students'!$AF$2:$AF$701,0),IFERROR(MATCH(LOWER(TRIM(K1071)),'Students'!$AG$2:$AG$701,0),""))))</f>
        <v/>
      </c>
      <c r="R1071">
        <f>IF(P1071="","",INDEX('Students'!$AD$2:$AD$701,P1071))</f>
        <v/>
      </c>
      <c r="S1071">
        <f>IF(H1071="OK",O1071,0)</f>
        <v/>
      </c>
      <c r="T1071">
        <f>IF(H1071="OK",N1071,"")</f>
        <v/>
      </c>
      <c r="U1071">
        <f>IF(OC_Donor=0,"",IF(INDEX('OneCause_Paste'!$A$1071:$AZ$1071,1,OC_Donor)="","",INDEX('OneCause_Paste'!$A$1071:$AZ$1071,1,OC_Donor)))</f>
        <v/>
      </c>
    </row>
    <row r="1072">
      <c r="A1072" s="62">
        <f>IF(H1072="","",IF(ISNUMBER(N1072),N1072,I1072))</f>
        <v/>
      </c>
      <c r="B1072">
        <f>IF(H1072="","",U1072)</f>
        <v/>
      </c>
      <c r="C1072">
        <f>IF(H1072="","",IF(P1072="",K1072,INDEX('Students'!$A$2:$A$701,P1072)))</f>
        <v/>
      </c>
      <c r="D1072">
        <f>IF(OR(H1072="",P1072=""),"",INDEX('Students'!$B$2:$B$701,P1072))</f>
        <v/>
      </c>
      <c r="E1072">
        <f>IF(OR(H1072="",P1072=""),"",INDEX('Students'!$C$2:$C$701,P1072))</f>
        <v/>
      </c>
      <c r="F1072" s="48">
        <f>IF(H1072="","",IF(ISNUMBER(O1072),O1072,J1072))</f>
        <v/>
      </c>
      <c r="G1072">
        <f>IF(H1072="","","OneCause")</f>
        <v/>
      </c>
      <c r="H1072">
        <f>IF(AND(I1072="",J1072="",K1072=""),"",IF(NOT(ISNUMBER(O1072)),"Bad amount",IF(O1072&lt;0,"Refund (not counted)",IF(O1072=0,"Zero amount",IF(NOT(ISNUMBER(N1072)),"Bad date",IF(P1072="","NAME NOT ON ROSTER",IF(L1072="","OK",IF(MATCH(L1072,$L$2:$L$3001,0)&lt;ROW()-1,"Duplicate (ignored)","OK"))))))))</f>
        <v/>
      </c>
      <c r="I1072">
        <f>IF(OC_Date=0,"",IF(INDEX('OneCause_Paste'!$A$1072:$AZ$1072,1,OC_Date)="","",INDEX('OneCause_Paste'!$A$1072:$AZ$1072,1,OC_Date)))</f>
        <v/>
      </c>
      <c r="J1072">
        <f>IF(OC_Amt=0,"",IF(INDEX('OneCause_Paste'!$A$1072:$AZ$1072,1,OC_Amt)="","",INDEX('OneCause_Paste'!$A$1072:$AZ$1072,1,OC_Amt)))</f>
        <v/>
      </c>
      <c r="K1072">
        <f>IF(OC_Name=0,"",IF(INDEX('OneCause_Paste'!$A$1072:$AZ$1072,1,OC_Name)="","",INDEX('OneCause_Paste'!$A$1072:$AZ$1072,1,OC_Name)))</f>
        <v/>
      </c>
      <c r="L1072">
        <f>IF(OC_Txn=0,"",IF(INDEX('OneCause_Paste'!$A$1072:$AZ$1072,1,OC_Txn)="","",INDEX('OneCause_Paste'!$A$1072:$AZ$1072,1,OC_Txn)))</f>
        <v/>
      </c>
      <c r="M1072">
        <f>IF(OC_Pay=0,"",IF(INDEX('OneCause_Paste'!$A$1072:$AZ$1072,1,OC_Pay)="","",INDEX('OneCause_Paste'!$A$1072:$AZ$1072,1,OC_Pay)))</f>
        <v/>
      </c>
      <c r="N1072">
        <f>IF(I1072="","",IF(ISNUMBER(I1072),INT(I1072),IFERROR(INT(DATEVALUE(I1072)),IFERROR(INT(VALUE(I1072)),"bad"))))</f>
        <v/>
      </c>
      <c r="O1072">
        <f>IF(J1072="","",IF(ISNUMBER(J1072),ROUND(J1072,2),IFERROR(ROUND(VALUE(SUBSTITUTE(SUBSTITUTE(SUBSTITUTE(J1072,"$",""),",","")," ","")),2),"bad")))</f>
        <v/>
      </c>
      <c r="P1072">
        <f>IF(TRIM(K1072)="","",IFERROR(MATCH(LOWER(TRIM(K1072)),'Students'!$AH$2:$AH$701,0),IFERROR(MATCH(LOWER(TRIM(K1072)),'Students'!$AF$2:$AF$701,0),IFERROR(MATCH(LOWER(TRIM(K1072)),'Students'!$AG$2:$AG$701,0),""))))</f>
        <v/>
      </c>
      <c r="R1072">
        <f>IF(P1072="","",INDEX('Students'!$AD$2:$AD$701,P1072))</f>
        <v/>
      </c>
      <c r="S1072">
        <f>IF(H1072="OK",O1072,0)</f>
        <v/>
      </c>
      <c r="T1072">
        <f>IF(H1072="OK",N1072,"")</f>
        <v/>
      </c>
      <c r="U1072">
        <f>IF(OC_Donor=0,"",IF(INDEX('OneCause_Paste'!$A$1072:$AZ$1072,1,OC_Donor)="","",INDEX('OneCause_Paste'!$A$1072:$AZ$1072,1,OC_Donor)))</f>
        <v/>
      </c>
    </row>
    <row r="1073">
      <c r="A1073" s="62">
        <f>IF(H1073="","",IF(ISNUMBER(N1073),N1073,I1073))</f>
        <v/>
      </c>
      <c r="B1073">
        <f>IF(H1073="","",U1073)</f>
        <v/>
      </c>
      <c r="C1073">
        <f>IF(H1073="","",IF(P1073="",K1073,INDEX('Students'!$A$2:$A$701,P1073)))</f>
        <v/>
      </c>
      <c r="D1073">
        <f>IF(OR(H1073="",P1073=""),"",INDEX('Students'!$B$2:$B$701,P1073))</f>
        <v/>
      </c>
      <c r="E1073">
        <f>IF(OR(H1073="",P1073=""),"",INDEX('Students'!$C$2:$C$701,P1073))</f>
        <v/>
      </c>
      <c r="F1073" s="48">
        <f>IF(H1073="","",IF(ISNUMBER(O1073),O1073,J1073))</f>
        <v/>
      </c>
      <c r="G1073">
        <f>IF(H1073="","","OneCause")</f>
        <v/>
      </c>
      <c r="H1073">
        <f>IF(AND(I1073="",J1073="",K1073=""),"",IF(NOT(ISNUMBER(O1073)),"Bad amount",IF(O1073&lt;0,"Refund (not counted)",IF(O1073=0,"Zero amount",IF(NOT(ISNUMBER(N1073)),"Bad date",IF(P1073="","NAME NOT ON ROSTER",IF(L1073="","OK",IF(MATCH(L1073,$L$2:$L$3001,0)&lt;ROW()-1,"Duplicate (ignored)","OK"))))))))</f>
        <v/>
      </c>
      <c r="I1073">
        <f>IF(OC_Date=0,"",IF(INDEX('OneCause_Paste'!$A$1073:$AZ$1073,1,OC_Date)="","",INDEX('OneCause_Paste'!$A$1073:$AZ$1073,1,OC_Date)))</f>
        <v/>
      </c>
      <c r="J1073">
        <f>IF(OC_Amt=0,"",IF(INDEX('OneCause_Paste'!$A$1073:$AZ$1073,1,OC_Amt)="","",INDEX('OneCause_Paste'!$A$1073:$AZ$1073,1,OC_Amt)))</f>
        <v/>
      </c>
      <c r="K1073">
        <f>IF(OC_Name=0,"",IF(INDEX('OneCause_Paste'!$A$1073:$AZ$1073,1,OC_Name)="","",INDEX('OneCause_Paste'!$A$1073:$AZ$1073,1,OC_Name)))</f>
        <v/>
      </c>
      <c r="L1073">
        <f>IF(OC_Txn=0,"",IF(INDEX('OneCause_Paste'!$A$1073:$AZ$1073,1,OC_Txn)="","",INDEX('OneCause_Paste'!$A$1073:$AZ$1073,1,OC_Txn)))</f>
        <v/>
      </c>
      <c r="M1073">
        <f>IF(OC_Pay=0,"",IF(INDEX('OneCause_Paste'!$A$1073:$AZ$1073,1,OC_Pay)="","",INDEX('OneCause_Paste'!$A$1073:$AZ$1073,1,OC_Pay)))</f>
        <v/>
      </c>
      <c r="N1073">
        <f>IF(I1073="","",IF(ISNUMBER(I1073),INT(I1073),IFERROR(INT(DATEVALUE(I1073)),IFERROR(INT(VALUE(I1073)),"bad"))))</f>
        <v/>
      </c>
      <c r="O1073">
        <f>IF(J1073="","",IF(ISNUMBER(J1073),ROUND(J1073,2),IFERROR(ROUND(VALUE(SUBSTITUTE(SUBSTITUTE(SUBSTITUTE(J1073,"$",""),",","")," ","")),2),"bad")))</f>
        <v/>
      </c>
      <c r="P1073">
        <f>IF(TRIM(K1073)="","",IFERROR(MATCH(LOWER(TRIM(K1073)),'Students'!$AH$2:$AH$701,0),IFERROR(MATCH(LOWER(TRIM(K1073)),'Students'!$AF$2:$AF$701,0),IFERROR(MATCH(LOWER(TRIM(K1073)),'Students'!$AG$2:$AG$701,0),""))))</f>
        <v/>
      </c>
      <c r="R1073">
        <f>IF(P1073="","",INDEX('Students'!$AD$2:$AD$701,P1073))</f>
        <v/>
      </c>
      <c r="S1073">
        <f>IF(H1073="OK",O1073,0)</f>
        <v/>
      </c>
      <c r="T1073">
        <f>IF(H1073="OK",N1073,"")</f>
        <v/>
      </c>
      <c r="U1073">
        <f>IF(OC_Donor=0,"",IF(INDEX('OneCause_Paste'!$A$1073:$AZ$1073,1,OC_Donor)="","",INDEX('OneCause_Paste'!$A$1073:$AZ$1073,1,OC_Donor)))</f>
        <v/>
      </c>
    </row>
    <row r="1074">
      <c r="A1074" s="62">
        <f>IF(H1074="","",IF(ISNUMBER(N1074),N1074,I1074))</f>
        <v/>
      </c>
      <c r="B1074">
        <f>IF(H1074="","",U1074)</f>
        <v/>
      </c>
      <c r="C1074">
        <f>IF(H1074="","",IF(P1074="",K1074,INDEX('Students'!$A$2:$A$701,P1074)))</f>
        <v/>
      </c>
      <c r="D1074">
        <f>IF(OR(H1074="",P1074=""),"",INDEX('Students'!$B$2:$B$701,P1074))</f>
        <v/>
      </c>
      <c r="E1074">
        <f>IF(OR(H1074="",P1074=""),"",INDEX('Students'!$C$2:$C$701,P1074))</f>
        <v/>
      </c>
      <c r="F1074" s="48">
        <f>IF(H1074="","",IF(ISNUMBER(O1074),O1074,J1074))</f>
        <v/>
      </c>
      <c r="G1074">
        <f>IF(H1074="","","OneCause")</f>
        <v/>
      </c>
      <c r="H1074">
        <f>IF(AND(I1074="",J1074="",K1074=""),"",IF(NOT(ISNUMBER(O1074)),"Bad amount",IF(O1074&lt;0,"Refund (not counted)",IF(O1074=0,"Zero amount",IF(NOT(ISNUMBER(N1074)),"Bad date",IF(P1074="","NAME NOT ON ROSTER",IF(L1074="","OK",IF(MATCH(L1074,$L$2:$L$3001,0)&lt;ROW()-1,"Duplicate (ignored)","OK"))))))))</f>
        <v/>
      </c>
      <c r="I1074">
        <f>IF(OC_Date=0,"",IF(INDEX('OneCause_Paste'!$A$1074:$AZ$1074,1,OC_Date)="","",INDEX('OneCause_Paste'!$A$1074:$AZ$1074,1,OC_Date)))</f>
        <v/>
      </c>
      <c r="J1074">
        <f>IF(OC_Amt=0,"",IF(INDEX('OneCause_Paste'!$A$1074:$AZ$1074,1,OC_Amt)="","",INDEX('OneCause_Paste'!$A$1074:$AZ$1074,1,OC_Amt)))</f>
        <v/>
      </c>
      <c r="K1074">
        <f>IF(OC_Name=0,"",IF(INDEX('OneCause_Paste'!$A$1074:$AZ$1074,1,OC_Name)="","",INDEX('OneCause_Paste'!$A$1074:$AZ$1074,1,OC_Name)))</f>
        <v/>
      </c>
      <c r="L1074">
        <f>IF(OC_Txn=0,"",IF(INDEX('OneCause_Paste'!$A$1074:$AZ$1074,1,OC_Txn)="","",INDEX('OneCause_Paste'!$A$1074:$AZ$1074,1,OC_Txn)))</f>
        <v/>
      </c>
      <c r="M1074">
        <f>IF(OC_Pay=0,"",IF(INDEX('OneCause_Paste'!$A$1074:$AZ$1074,1,OC_Pay)="","",INDEX('OneCause_Paste'!$A$1074:$AZ$1074,1,OC_Pay)))</f>
        <v/>
      </c>
      <c r="N1074">
        <f>IF(I1074="","",IF(ISNUMBER(I1074),INT(I1074),IFERROR(INT(DATEVALUE(I1074)),IFERROR(INT(VALUE(I1074)),"bad"))))</f>
        <v/>
      </c>
      <c r="O1074">
        <f>IF(J1074="","",IF(ISNUMBER(J1074),ROUND(J1074,2),IFERROR(ROUND(VALUE(SUBSTITUTE(SUBSTITUTE(SUBSTITUTE(J1074,"$",""),",","")," ","")),2),"bad")))</f>
        <v/>
      </c>
      <c r="P1074">
        <f>IF(TRIM(K1074)="","",IFERROR(MATCH(LOWER(TRIM(K1074)),'Students'!$AH$2:$AH$701,0),IFERROR(MATCH(LOWER(TRIM(K1074)),'Students'!$AF$2:$AF$701,0),IFERROR(MATCH(LOWER(TRIM(K1074)),'Students'!$AG$2:$AG$701,0),""))))</f>
        <v/>
      </c>
      <c r="R1074">
        <f>IF(P1074="","",INDEX('Students'!$AD$2:$AD$701,P1074))</f>
        <v/>
      </c>
      <c r="S1074">
        <f>IF(H1074="OK",O1074,0)</f>
        <v/>
      </c>
      <c r="T1074">
        <f>IF(H1074="OK",N1074,"")</f>
        <v/>
      </c>
      <c r="U1074">
        <f>IF(OC_Donor=0,"",IF(INDEX('OneCause_Paste'!$A$1074:$AZ$1074,1,OC_Donor)="","",INDEX('OneCause_Paste'!$A$1074:$AZ$1074,1,OC_Donor)))</f>
        <v/>
      </c>
    </row>
    <row r="1075">
      <c r="A1075" s="62">
        <f>IF(H1075="","",IF(ISNUMBER(N1075),N1075,I1075))</f>
        <v/>
      </c>
      <c r="B1075">
        <f>IF(H1075="","",U1075)</f>
        <v/>
      </c>
      <c r="C1075">
        <f>IF(H1075="","",IF(P1075="",K1075,INDEX('Students'!$A$2:$A$701,P1075)))</f>
        <v/>
      </c>
      <c r="D1075">
        <f>IF(OR(H1075="",P1075=""),"",INDEX('Students'!$B$2:$B$701,P1075))</f>
        <v/>
      </c>
      <c r="E1075">
        <f>IF(OR(H1075="",P1075=""),"",INDEX('Students'!$C$2:$C$701,P1075))</f>
        <v/>
      </c>
      <c r="F1075" s="48">
        <f>IF(H1075="","",IF(ISNUMBER(O1075),O1075,J1075))</f>
        <v/>
      </c>
      <c r="G1075">
        <f>IF(H1075="","","OneCause")</f>
        <v/>
      </c>
      <c r="H1075">
        <f>IF(AND(I1075="",J1075="",K1075=""),"",IF(NOT(ISNUMBER(O1075)),"Bad amount",IF(O1075&lt;0,"Refund (not counted)",IF(O1075=0,"Zero amount",IF(NOT(ISNUMBER(N1075)),"Bad date",IF(P1075="","NAME NOT ON ROSTER",IF(L1075="","OK",IF(MATCH(L1075,$L$2:$L$3001,0)&lt;ROW()-1,"Duplicate (ignored)","OK"))))))))</f>
        <v/>
      </c>
      <c r="I1075">
        <f>IF(OC_Date=0,"",IF(INDEX('OneCause_Paste'!$A$1075:$AZ$1075,1,OC_Date)="","",INDEX('OneCause_Paste'!$A$1075:$AZ$1075,1,OC_Date)))</f>
        <v/>
      </c>
      <c r="J1075">
        <f>IF(OC_Amt=0,"",IF(INDEX('OneCause_Paste'!$A$1075:$AZ$1075,1,OC_Amt)="","",INDEX('OneCause_Paste'!$A$1075:$AZ$1075,1,OC_Amt)))</f>
        <v/>
      </c>
      <c r="K1075">
        <f>IF(OC_Name=0,"",IF(INDEX('OneCause_Paste'!$A$1075:$AZ$1075,1,OC_Name)="","",INDEX('OneCause_Paste'!$A$1075:$AZ$1075,1,OC_Name)))</f>
        <v/>
      </c>
      <c r="L1075">
        <f>IF(OC_Txn=0,"",IF(INDEX('OneCause_Paste'!$A$1075:$AZ$1075,1,OC_Txn)="","",INDEX('OneCause_Paste'!$A$1075:$AZ$1075,1,OC_Txn)))</f>
        <v/>
      </c>
      <c r="M1075">
        <f>IF(OC_Pay=0,"",IF(INDEX('OneCause_Paste'!$A$1075:$AZ$1075,1,OC_Pay)="","",INDEX('OneCause_Paste'!$A$1075:$AZ$1075,1,OC_Pay)))</f>
        <v/>
      </c>
      <c r="N1075">
        <f>IF(I1075="","",IF(ISNUMBER(I1075),INT(I1075),IFERROR(INT(DATEVALUE(I1075)),IFERROR(INT(VALUE(I1075)),"bad"))))</f>
        <v/>
      </c>
      <c r="O1075">
        <f>IF(J1075="","",IF(ISNUMBER(J1075),ROUND(J1075,2),IFERROR(ROUND(VALUE(SUBSTITUTE(SUBSTITUTE(SUBSTITUTE(J1075,"$",""),",","")," ","")),2),"bad")))</f>
        <v/>
      </c>
      <c r="P1075">
        <f>IF(TRIM(K1075)="","",IFERROR(MATCH(LOWER(TRIM(K1075)),'Students'!$AH$2:$AH$701,0),IFERROR(MATCH(LOWER(TRIM(K1075)),'Students'!$AF$2:$AF$701,0),IFERROR(MATCH(LOWER(TRIM(K1075)),'Students'!$AG$2:$AG$701,0),""))))</f>
        <v/>
      </c>
      <c r="R1075">
        <f>IF(P1075="","",INDEX('Students'!$AD$2:$AD$701,P1075))</f>
        <v/>
      </c>
      <c r="S1075">
        <f>IF(H1075="OK",O1075,0)</f>
        <v/>
      </c>
      <c r="T1075">
        <f>IF(H1075="OK",N1075,"")</f>
        <v/>
      </c>
      <c r="U1075">
        <f>IF(OC_Donor=0,"",IF(INDEX('OneCause_Paste'!$A$1075:$AZ$1075,1,OC_Donor)="","",INDEX('OneCause_Paste'!$A$1075:$AZ$1075,1,OC_Donor)))</f>
        <v/>
      </c>
    </row>
    <row r="1076">
      <c r="A1076" s="62">
        <f>IF(H1076="","",IF(ISNUMBER(N1076),N1076,I1076))</f>
        <v/>
      </c>
      <c r="B1076">
        <f>IF(H1076="","",U1076)</f>
        <v/>
      </c>
      <c r="C1076">
        <f>IF(H1076="","",IF(P1076="",K1076,INDEX('Students'!$A$2:$A$701,P1076)))</f>
        <v/>
      </c>
      <c r="D1076">
        <f>IF(OR(H1076="",P1076=""),"",INDEX('Students'!$B$2:$B$701,P1076))</f>
        <v/>
      </c>
      <c r="E1076">
        <f>IF(OR(H1076="",P1076=""),"",INDEX('Students'!$C$2:$C$701,P1076))</f>
        <v/>
      </c>
      <c r="F1076" s="48">
        <f>IF(H1076="","",IF(ISNUMBER(O1076),O1076,J1076))</f>
        <v/>
      </c>
      <c r="G1076">
        <f>IF(H1076="","","OneCause")</f>
        <v/>
      </c>
      <c r="H1076">
        <f>IF(AND(I1076="",J1076="",K1076=""),"",IF(NOT(ISNUMBER(O1076)),"Bad amount",IF(O1076&lt;0,"Refund (not counted)",IF(O1076=0,"Zero amount",IF(NOT(ISNUMBER(N1076)),"Bad date",IF(P1076="","NAME NOT ON ROSTER",IF(L1076="","OK",IF(MATCH(L1076,$L$2:$L$3001,0)&lt;ROW()-1,"Duplicate (ignored)","OK"))))))))</f>
        <v/>
      </c>
      <c r="I1076">
        <f>IF(OC_Date=0,"",IF(INDEX('OneCause_Paste'!$A$1076:$AZ$1076,1,OC_Date)="","",INDEX('OneCause_Paste'!$A$1076:$AZ$1076,1,OC_Date)))</f>
        <v/>
      </c>
      <c r="J1076">
        <f>IF(OC_Amt=0,"",IF(INDEX('OneCause_Paste'!$A$1076:$AZ$1076,1,OC_Amt)="","",INDEX('OneCause_Paste'!$A$1076:$AZ$1076,1,OC_Amt)))</f>
        <v/>
      </c>
      <c r="K1076">
        <f>IF(OC_Name=0,"",IF(INDEX('OneCause_Paste'!$A$1076:$AZ$1076,1,OC_Name)="","",INDEX('OneCause_Paste'!$A$1076:$AZ$1076,1,OC_Name)))</f>
        <v/>
      </c>
      <c r="L1076">
        <f>IF(OC_Txn=0,"",IF(INDEX('OneCause_Paste'!$A$1076:$AZ$1076,1,OC_Txn)="","",INDEX('OneCause_Paste'!$A$1076:$AZ$1076,1,OC_Txn)))</f>
        <v/>
      </c>
      <c r="M1076">
        <f>IF(OC_Pay=0,"",IF(INDEX('OneCause_Paste'!$A$1076:$AZ$1076,1,OC_Pay)="","",INDEX('OneCause_Paste'!$A$1076:$AZ$1076,1,OC_Pay)))</f>
        <v/>
      </c>
      <c r="N1076">
        <f>IF(I1076="","",IF(ISNUMBER(I1076),INT(I1076),IFERROR(INT(DATEVALUE(I1076)),IFERROR(INT(VALUE(I1076)),"bad"))))</f>
        <v/>
      </c>
      <c r="O1076">
        <f>IF(J1076="","",IF(ISNUMBER(J1076),ROUND(J1076,2),IFERROR(ROUND(VALUE(SUBSTITUTE(SUBSTITUTE(SUBSTITUTE(J1076,"$",""),",","")," ","")),2),"bad")))</f>
        <v/>
      </c>
      <c r="P1076">
        <f>IF(TRIM(K1076)="","",IFERROR(MATCH(LOWER(TRIM(K1076)),'Students'!$AH$2:$AH$701,0),IFERROR(MATCH(LOWER(TRIM(K1076)),'Students'!$AF$2:$AF$701,0),IFERROR(MATCH(LOWER(TRIM(K1076)),'Students'!$AG$2:$AG$701,0),""))))</f>
        <v/>
      </c>
      <c r="R1076">
        <f>IF(P1076="","",INDEX('Students'!$AD$2:$AD$701,P1076))</f>
        <v/>
      </c>
      <c r="S1076">
        <f>IF(H1076="OK",O1076,0)</f>
        <v/>
      </c>
      <c r="T1076">
        <f>IF(H1076="OK",N1076,"")</f>
        <v/>
      </c>
      <c r="U1076">
        <f>IF(OC_Donor=0,"",IF(INDEX('OneCause_Paste'!$A$1076:$AZ$1076,1,OC_Donor)="","",INDEX('OneCause_Paste'!$A$1076:$AZ$1076,1,OC_Donor)))</f>
        <v/>
      </c>
    </row>
    <row r="1077">
      <c r="A1077" s="62">
        <f>IF(H1077="","",IF(ISNUMBER(N1077),N1077,I1077))</f>
        <v/>
      </c>
      <c r="B1077">
        <f>IF(H1077="","",U1077)</f>
        <v/>
      </c>
      <c r="C1077">
        <f>IF(H1077="","",IF(P1077="",K1077,INDEX('Students'!$A$2:$A$701,P1077)))</f>
        <v/>
      </c>
      <c r="D1077">
        <f>IF(OR(H1077="",P1077=""),"",INDEX('Students'!$B$2:$B$701,P1077))</f>
        <v/>
      </c>
      <c r="E1077">
        <f>IF(OR(H1077="",P1077=""),"",INDEX('Students'!$C$2:$C$701,P1077))</f>
        <v/>
      </c>
      <c r="F1077" s="48">
        <f>IF(H1077="","",IF(ISNUMBER(O1077),O1077,J1077))</f>
        <v/>
      </c>
      <c r="G1077">
        <f>IF(H1077="","","OneCause")</f>
        <v/>
      </c>
      <c r="H1077">
        <f>IF(AND(I1077="",J1077="",K1077=""),"",IF(NOT(ISNUMBER(O1077)),"Bad amount",IF(O1077&lt;0,"Refund (not counted)",IF(O1077=0,"Zero amount",IF(NOT(ISNUMBER(N1077)),"Bad date",IF(P1077="","NAME NOT ON ROSTER",IF(L1077="","OK",IF(MATCH(L1077,$L$2:$L$3001,0)&lt;ROW()-1,"Duplicate (ignored)","OK"))))))))</f>
        <v/>
      </c>
      <c r="I1077">
        <f>IF(OC_Date=0,"",IF(INDEX('OneCause_Paste'!$A$1077:$AZ$1077,1,OC_Date)="","",INDEX('OneCause_Paste'!$A$1077:$AZ$1077,1,OC_Date)))</f>
        <v/>
      </c>
      <c r="J1077">
        <f>IF(OC_Amt=0,"",IF(INDEX('OneCause_Paste'!$A$1077:$AZ$1077,1,OC_Amt)="","",INDEX('OneCause_Paste'!$A$1077:$AZ$1077,1,OC_Amt)))</f>
        <v/>
      </c>
      <c r="K1077">
        <f>IF(OC_Name=0,"",IF(INDEX('OneCause_Paste'!$A$1077:$AZ$1077,1,OC_Name)="","",INDEX('OneCause_Paste'!$A$1077:$AZ$1077,1,OC_Name)))</f>
        <v/>
      </c>
      <c r="L1077">
        <f>IF(OC_Txn=0,"",IF(INDEX('OneCause_Paste'!$A$1077:$AZ$1077,1,OC_Txn)="","",INDEX('OneCause_Paste'!$A$1077:$AZ$1077,1,OC_Txn)))</f>
        <v/>
      </c>
      <c r="M1077">
        <f>IF(OC_Pay=0,"",IF(INDEX('OneCause_Paste'!$A$1077:$AZ$1077,1,OC_Pay)="","",INDEX('OneCause_Paste'!$A$1077:$AZ$1077,1,OC_Pay)))</f>
        <v/>
      </c>
      <c r="N1077">
        <f>IF(I1077="","",IF(ISNUMBER(I1077),INT(I1077),IFERROR(INT(DATEVALUE(I1077)),IFERROR(INT(VALUE(I1077)),"bad"))))</f>
        <v/>
      </c>
      <c r="O1077">
        <f>IF(J1077="","",IF(ISNUMBER(J1077),ROUND(J1077,2),IFERROR(ROUND(VALUE(SUBSTITUTE(SUBSTITUTE(SUBSTITUTE(J1077,"$",""),",","")," ","")),2),"bad")))</f>
        <v/>
      </c>
      <c r="P1077">
        <f>IF(TRIM(K1077)="","",IFERROR(MATCH(LOWER(TRIM(K1077)),'Students'!$AH$2:$AH$701,0),IFERROR(MATCH(LOWER(TRIM(K1077)),'Students'!$AF$2:$AF$701,0),IFERROR(MATCH(LOWER(TRIM(K1077)),'Students'!$AG$2:$AG$701,0),""))))</f>
        <v/>
      </c>
      <c r="R1077">
        <f>IF(P1077="","",INDEX('Students'!$AD$2:$AD$701,P1077))</f>
        <v/>
      </c>
      <c r="S1077">
        <f>IF(H1077="OK",O1077,0)</f>
        <v/>
      </c>
      <c r="T1077">
        <f>IF(H1077="OK",N1077,"")</f>
        <v/>
      </c>
      <c r="U1077">
        <f>IF(OC_Donor=0,"",IF(INDEX('OneCause_Paste'!$A$1077:$AZ$1077,1,OC_Donor)="","",INDEX('OneCause_Paste'!$A$1077:$AZ$1077,1,OC_Donor)))</f>
        <v/>
      </c>
    </row>
    <row r="1078">
      <c r="A1078" s="62">
        <f>IF(H1078="","",IF(ISNUMBER(N1078),N1078,I1078))</f>
        <v/>
      </c>
      <c r="B1078">
        <f>IF(H1078="","",U1078)</f>
        <v/>
      </c>
      <c r="C1078">
        <f>IF(H1078="","",IF(P1078="",K1078,INDEX('Students'!$A$2:$A$701,P1078)))</f>
        <v/>
      </c>
      <c r="D1078">
        <f>IF(OR(H1078="",P1078=""),"",INDEX('Students'!$B$2:$B$701,P1078))</f>
        <v/>
      </c>
      <c r="E1078">
        <f>IF(OR(H1078="",P1078=""),"",INDEX('Students'!$C$2:$C$701,P1078))</f>
        <v/>
      </c>
      <c r="F1078" s="48">
        <f>IF(H1078="","",IF(ISNUMBER(O1078),O1078,J1078))</f>
        <v/>
      </c>
      <c r="G1078">
        <f>IF(H1078="","","OneCause")</f>
        <v/>
      </c>
      <c r="H1078">
        <f>IF(AND(I1078="",J1078="",K1078=""),"",IF(NOT(ISNUMBER(O1078)),"Bad amount",IF(O1078&lt;0,"Refund (not counted)",IF(O1078=0,"Zero amount",IF(NOT(ISNUMBER(N1078)),"Bad date",IF(P1078="","NAME NOT ON ROSTER",IF(L1078="","OK",IF(MATCH(L1078,$L$2:$L$3001,0)&lt;ROW()-1,"Duplicate (ignored)","OK"))))))))</f>
        <v/>
      </c>
      <c r="I1078">
        <f>IF(OC_Date=0,"",IF(INDEX('OneCause_Paste'!$A$1078:$AZ$1078,1,OC_Date)="","",INDEX('OneCause_Paste'!$A$1078:$AZ$1078,1,OC_Date)))</f>
        <v/>
      </c>
      <c r="J1078">
        <f>IF(OC_Amt=0,"",IF(INDEX('OneCause_Paste'!$A$1078:$AZ$1078,1,OC_Amt)="","",INDEX('OneCause_Paste'!$A$1078:$AZ$1078,1,OC_Amt)))</f>
        <v/>
      </c>
      <c r="K1078">
        <f>IF(OC_Name=0,"",IF(INDEX('OneCause_Paste'!$A$1078:$AZ$1078,1,OC_Name)="","",INDEX('OneCause_Paste'!$A$1078:$AZ$1078,1,OC_Name)))</f>
        <v/>
      </c>
      <c r="L1078">
        <f>IF(OC_Txn=0,"",IF(INDEX('OneCause_Paste'!$A$1078:$AZ$1078,1,OC_Txn)="","",INDEX('OneCause_Paste'!$A$1078:$AZ$1078,1,OC_Txn)))</f>
        <v/>
      </c>
      <c r="M1078">
        <f>IF(OC_Pay=0,"",IF(INDEX('OneCause_Paste'!$A$1078:$AZ$1078,1,OC_Pay)="","",INDEX('OneCause_Paste'!$A$1078:$AZ$1078,1,OC_Pay)))</f>
        <v/>
      </c>
      <c r="N1078">
        <f>IF(I1078="","",IF(ISNUMBER(I1078),INT(I1078),IFERROR(INT(DATEVALUE(I1078)),IFERROR(INT(VALUE(I1078)),"bad"))))</f>
        <v/>
      </c>
      <c r="O1078">
        <f>IF(J1078="","",IF(ISNUMBER(J1078),ROUND(J1078,2),IFERROR(ROUND(VALUE(SUBSTITUTE(SUBSTITUTE(SUBSTITUTE(J1078,"$",""),",","")," ","")),2),"bad")))</f>
        <v/>
      </c>
      <c r="P1078">
        <f>IF(TRIM(K1078)="","",IFERROR(MATCH(LOWER(TRIM(K1078)),'Students'!$AH$2:$AH$701,0),IFERROR(MATCH(LOWER(TRIM(K1078)),'Students'!$AF$2:$AF$701,0),IFERROR(MATCH(LOWER(TRIM(K1078)),'Students'!$AG$2:$AG$701,0),""))))</f>
        <v/>
      </c>
      <c r="R1078">
        <f>IF(P1078="","",INDEX('Students'!$AD$2:$AD$701,P1078))</f>
        <v/>
      </c>
      <c r="S1078">
        <f>IF(H1078="OK",O1078,0)</f>
        <v/>
      </c>
      <c r="T1078">
        <f>IF(H1078="OK",N1078,"")</f>
        <v/>
      </c>
      <c r="U1078">
        <f>IF(OC_Donor=0,"",IF(INDEX('OneCause_Paste'!$A$1078:$AZ$1078,1,OC_Donor)="","",INDEX('OneCause_Paste'!$A$1078:$AZ$1078,1,OC_Donor)))</f>
        <v/>
      </c>
    </row>
    <row r="1079">
      <c r="A1079" s="62">
        <f>IF(H1079="","",IF(ISNUMBER(N1079),N1079,I1079))</f>
        <v/>
      </c>
      <c r="B1079">
        <f>IF(H1079="","",U1079)</f>
        <v/>
      </c>
      <c r="C1079">
        <f>IF(H1079="","",IF(P1079="",K1079,INDEX('Students'!$A$2:$A$701,P1079)))</f>
        <v/>
      </c>
      <c r="D1079">
        <f>IF(OR(H1079="",P1079=""),"",INDEX('Students'!$B$2:$B$701,P1079))</f>
        <v/>
      </c>
      <c r="E1079">
        <f>IF(OR(H1079="",P1079=""),"",INDEX('Students'!$C$2:$C$701,P1079))</f>
        <v/>
      </c>
      <c r="F1079" s="48">
        <f>IF(H1079="","",IF(ISNUMBER(O1079),O1079,J1079))</f>
        <v/>
      </c>
      <c r="G1079">
        <f>IF(H1079="","","OneCause")</f>
        <v/>
      </c>
      <c r="H1079">
        <f>IF(AND(I1079="",J1079="",K1079=""),"",IF(NOT(ISNUMBER(O1079)),"Bad amount",IF(O1079&lt;0,"Refund (not counted)",IF(O1079=0,"Zero amount",IF(NOT(ISNUMBER(N1079)),"Bad date",IF(P1079="","NAME NOT ON ROSTER",IF(L1079="","OK",IF(MATCH(L1079,$L$2:$L$3001,0)&lt;ROW()-1,"Duplicate (ignored)","OK"))))))))</f>
        <v/>
      </c>
      <c r="I1079">
        <f>IF(OC_Date=0,"",IF(INDEX('OneCause_Paste'!$A$1079:$AZ$1079,1,OC_Date)="","",INDEX('OneCause_Paste'!$A$1079:$AZ$1079,1,OC_Date)))</f>
        <v/>
      </c>
      <c r="J1079">
        <f>IF(OC_Amt=0,"",IF(INDEX('OneCause_Paste'!$A$1079:$AZ$1079,1,OC_Amt)="","",INDEX('OneCause_Paste'!$A$1079:$AZ$1079,1,OC_Amt)))</f>
        <v/>
      </c>
      <c r="K1079">
        <f>IF(OC_Name=0,"",IF(INDEX('OneCause_Paste'!$A$1079:$AZ$1079,1,OC_Name)="","",INDEX('OneCause_Paste'!$A$1079:$AZ$1079,1,OC_Name)))</f>
        <v/>
      </c>
      <c r="L1079">
        <f>IF(OC_Txn=0,"",IF(INDEX('OneCause_Paste'!$A$1079:$AZ$1079,1,OC_Txn)="","",INDEX('OneCause_Paste'!$A$1079:$AZ$1079,1,OC_Txn)))</f>
        <v/>
      </c>
      <c r="M1079">
        <f>IF(OC_Pay=0,"",IF(INDEX('OneCause_Paste'!$A$1079:$AZ$1079,1,OC_Pay)="","",INDEX('OneCause_Paste'!$A$1079:$AZ$1079,1,OC_Pay)))</f>
        <v/>
      </c>
      <c r="N1079">
        <f>IF(I1079="","",IF(ISNUMBER(I1079),INT(I1079),IFERROR(INT(DATEVALUE(I1079)),IFERROR(INT(VALUE(I1079)),"bad"))))</f>
        <v/>
      </c>
      <c r="O1079">
        <f>IF(J1079="","",IF(ISNUMBER(J1079),ROUND(J1079,2),IFERROR(ROUND(VALUE(SUBSTITUTE(SUBSTITUTE(SUBSTITUTE(J1079,"$",""),",","")," ","")),2),"bad")))</f>
        <v/>
      </c>
      <c r="P1079">
        <f>IF(TRIM(K1079)="","",IFERROR(MATCH(LOWER(TRIM(K1079)),'Students'!$AH$2:$AH$701,0),IFERROR(MATCH(LOWER(TRIM(K1079)),'Students'!$AF$2:$AF$701,0),IFERROR(MATCH(LOWER(TRIM(K1079)),'Students'!$AG$2:$AG$701,0),""))))</f>
        <v/>
      </c>
      <c r="R1079">
        <f>IF(P1079="","",INDEX('Students'!$AD$2:$AD$701,P1079))</f>
        <v/>
      </c>
      <c r="S1079">
        <f>IF(H1079="OK",O1079,0)</f>
        <v/>
      </c>
      <c r="T1079">
        <f>IF(H1079="OK",N1079,"")</f>
        <v/>
      </c>
      <c r="U1079">
        <f>IF(OC_Donor=0,"",IF(INDEX('OneCause_Paste'!$A$1079:$AZ$1079,1,OC_Donor)="","",INDEX('OneCause_Paste'!$A$1079:$AZ$1079,1,OC_Donor)))</f>
        <v/>
      </c>
    </row>
    <row r="1080">
      <c r="A1080" s="62">
        <f>IF(H1080="","",IF(ISNUMBER(N1080),N1080,I1080))</f>
        <v/>
      </c>
      <c r="B1080">
        <f>IF(H1080="","",U1080)</f>
        <v/>
      </c>
      <c r="C1080">
        <f>IF(H1080="","",IF(P1080="",K1080,INDEX('Students'!$A$2:$A$701,P1080)))</f>
        <v/>
      </c>
      <c r="D1080">
        <f>IF(OR(H1080="",P1080=""),"",INDEX('Students'!$B$2:$B$701,P1080))</f>
        <v/>
      </c>
      <c r="E1080">
        <f>IF(OR(H1080="",P1080=""),"",INDEX('Students'!$C$2:$C$701,P1080))</f>
        <v/>
      </c>
      <c r="F1080" s="48">
        <f>IF(H1080="","",IF(ISNUMBER(O1080),O1080,J1080))</f>
        <v/>
      </c>
      <c r="G1080">
        <f>IF(H1080="","","OneCause")</f>
        <v/>
      </c>
      <c r="H1080">
        <f>IF(AND(I1080="",J1080="",K1080=""),"",IF(NOT(ISNUMBER(O1080)),"Bad amount",IF(O1080&lt;0,"Refund (not counted)",IF(O1080=0,"Zero amount",IF(NOT(ISNUMBER(N1080)),"Bad date",IF(P1080="","NAME NOT ON ROSTER",IF(L1080="","OK",IF(MATCH(L1080,$L$2:$L$3001,0)&lt;ROW()-1,"Duplicate (ignored)","OK"))))))))</f>
        <v/>
      </c>
      <c r="I1080">
        <f>IF(OC_Date=0,"",IF(INDEX('OneCause_Paste'!$A$1080:$AZ$1080,1,OC_Date)="","",INDEX('OneCause_Paste'!$A$1080:$AZ$1080,1,OC_Date)))</f>
        <v/>
      </c>
      <c r="J1080">
        <f>IF(OC_Amt=0,"",IF(INDEX('OneCause_Paste'!$A$1080:$AZ$1080,1,OC_Amt)="","",INDEX('OneCause_Paste'!$A$1080:$AZ$1080,1,OC_Amt)))</f>
        <v/>
      </c>
      <c r="K1080">
        <f>IF(OC_Name=0,"",IF(INDEX('OneCause_Paste'!$A$1080:$AZ$1080,1,OC_Name)="","",INDEX('OneCause_Paste'!$A$1080:$AZ$1080,1,OC_Name)))</f>
        <v/>
      </c>
      <c r="L1080">
        <f>IF(OC_Txn=0,"",IF(INDEX('OneCause_Paste'!$A$1080:$AZ$1080,1,OC_Txn)="","",INDEX('OneCause_Paste'!$A$1080:$AZ$1080,1,OC_Txn)))</f>
        <v/>
      </c>
      <c r="M1080">
        <f>IF(OC_Pay=0,"",IF(INDEX('OneCause_Paste'!$A$1080:$AZ$1080,1,OC_Pay)="","",INDEX('OneCause_Paste'!$A$1080:$AZ$1080,1,OC_Pay)))</f>
        <v/>
      </c>
      <c r="N1080">
        <f>IF(I1080="","",IF(ISNUMBER(I1080),INT(I1080),IFERROR(INT(DATEVALUE(I1080)),IFERROR(INT(VALUE(I1080)),"bad"))))</f>
        <v/>
      </c>
      <c r="O1080">
        <f>IF(J1080="","",IF(ISNUMBER(J1080),ROUND(J1080,2),IFERROR(ROUND(VALUE(SUBSTITUTE(SUBSTITUTE(SUBSTITUTE(J1080,"$",""),",","")," ","")),2),"bad")))</f>
        <v/>
      </c>
      <c r="P1080">
        <f>IF(TRIM(K1080)="","",IFERROR(MATCH(LOWER(TRIM(K1080)),'Students'!$AH$2:$AH$701,0),IFERROR(MATCH(LOWER(TRIM(K1080)),'Students'!$AF$2:$AF$701,0),IFERROR(MATCH(LOWER(TRIM(K1080)),'Students'!$AG$2:$AG$701,0),""))))</f>
        <v/>
      </c>
      <c r="R1080">
        <f>IF(P1080="","",INDEX('Students'!$AD$2:$AD$701,P1080))</f>
        <v/>
      </c>
      <c r="S1080">
        <f>IF(H1080="OK",O1080,0)</f>
        <v/>
      </c>
      <c r="T1080">
        <f>IF(H1080="OK",N1080,"")</f>
        <v/>
      </c>
      <c r="U1080">
        <f>IF(OC_Donor=0,"",IF(INDEX('OneCause_Paste'!$A$1080:$AZ$1080,1,OC_Donor)="","",INDEX('OneCause_Paste'!$A$1080:$AZ$1080,1,OC_Donor)))</f>
        <v/>
      </c>
    </row>
    <row r="1081">
      <c r="A1081" s="62">
        <f>IF(H1081="","",IF(ISNUMBER(N1081),N1081,I1081))</f>
        <v/>
      </c>
      <c r="B1081">
        <f>IF(H1081="","",U1081)</f>
        <v/>
      </c>
      <c r="C1081">
        <f>IF(H1081="","",IF(P1081="",K1081,INDEX('Students'!$A$2:$A$701,P1081)))</f>
        <v/>
      </c>
      <c r="D1081">
        <f>IF(OR(H1081="",P1081=""),"",INDEX('Students'!$B$2:$B$701,P1081))</f>
        <v/>
      </c>
      <c r="E1081">
        <f>IF(OR(H1081="",P1081=""),"",INDEX('Students'!$C$2:$C$701,P1081))</f>
        <v/>
      </c>
      <c r="F1081" s="48">
        <f>IF(H1081="","",IF(ISNUMBER(O1081),O1081,J1081))</f>
        <v/>
      </c>
      <c r="G1081">
        <f>IF(H1081="","","OneCause")</f>
        <v/>
      </c>
      <c r="H1081">
        <f>IF(AND(I1081="",J1081="",K1081=""),"",IF(NOT(ISNUMBER(O1081)),"Bad amount",IF(O1081&lt;0,"Refund (not counted)",IF(O1081=0,"Zero amount",IF(NOT(ISNUMBER(N1081)),"Bad date",IF(P1081="","NAME NOT ON ROSTER",IF(L1081="","OK",IF(MATCH(L1081,$L$2:$L$3001,0)&lt;ROW()-1,"Duplicate (ignored)","OK"))))))))</f>
        <v/>
      </c>
      <c r="I1081">
        <f>IF(OC_Date=0,"",IF(INDEX('OneCause_Paste'!$A$1081:$AZ$1081,1,OC_Date)="","",INDEX('OneCause_Paste'!$A$1081:$AZ$1081,1,OC_Date)))</f>
        <v/>
      </c>
      <c r="J1081">
        <f>IF(OC_Amt=0,"",IF(INDEX('OneCause_Paste'!$A$1081:$AZ$1081,1,OC_Amt)="","",INDEX('OneCause_Paste'!$A$1081:$AZ$1081,1,OC_Amt)))</f>
        <v/>
      </c>
      <c r="K1081">
        <f>IF(OC_Name=0,"",IF(INDEX('OneCause_Paste'!$A$1081:$AZ$1081,1,OC_Name)="","",INDEX('OneCause_Paste'!$A$1081:$AZ$1081,1,OC_Name)))</f>
        <v/>
      </c>
      <c r="L1081">
        <f>IF(OC_Txn=0,"",IF(INDEX('OneCause_Paste'!$A$1081:$AZ$1081,1,OC_Txn)="","",INDEX('OneCause_Paste'!$A$1081:$AZ$1081,1,OC_Txn)))</f>
        <v/>
      </c>
      <c r="M1081">
        <f>IF(OC_Pay=0,"",IF(INDEX('OneCause_Paste'!$A$1081:$AZ$1081,1,OC_Pay)="","",INDEX('OneCause_Paste'!$A$1081:$AZ$1081,1,OC_Pay)))</f>
        <v/>
      </c>
      <c r="N1081">
        <f>IF(I1081="","",IF(ISNUMBER(I1081),INT(I1081),IFERROR(INT(DATEVALUE(I1081)),IFERROR(INT(VALUE(I1081)),"bad"))))</f>
        <v/>
      </c>
      <c r="O1081">
        <f>IF(J1081="","",IF(ISNUMBER(J1081),ROUND(J1081,2),IFERROR(ROUND(VALUE(SUBSTITUTE(SUBSTITUTE(SUBSTITUTE(J1081,"$",""),",","")," ","")),2),"bad")))</f>
        <v/>
      </c>
      <c r="P1081">
        <f>IF(TRIM(K1081)="","",IFERROR(MATCH(LOWER(TRIM(K1081)),'Students'!$AH$2:$AH$701,0),IFERROR(MATCH(LOWER(TRIM(K1081)),'Students'!$AF$2:$AF$701,0),IFERROR(MATCH(LOWER(TRIM(K1081)),'Students'!$AG$2:$AG$701,0),""))))</f>
        <v/>
      </c>
      <c r="R1081">
        <f>IF(P1081="","",INDEX('Students'!$AD$2:$AD$701,P1081))</f>
        <v/>
      </c>
      <c r="S1081">
        <f>IF(H1081="OK",O1081,0)</f>
        <v/>
      </c>
      <c r="T1081">
        <f>IF(H1081="OK",N1081,"")</f>
        <v/>
      </c>
      <c r="U1081">
        <f>IF(OC_Donor=0,"",IF(INDEX('OneCause_Paste'!$A$1081:$AZ$1081,1,OC_Donor)="","",INDEX('OneCause_Paste'!$A$1081:$AZ$1081,1,OC_Donor)))</f>
        <v/>
      </c>
    </row>
    <row r="1082">
      <c r="A1082" s="62">
        <f>IF(H1082="","",IF(ISNUMBER(N1082),N1082,I1082))</f>
        <v/>
      </c>
      <c r="B1082">
        <f>IF(H1082="","",U1082)</f>
        <v/>
      </c>
      <c r="C1082">
        <f>IF(H1082="","",IF(P1082="",K1082,INDEX('Students'!$A$2:$A$701,P1082)))</f>
        <v/>
      </c>
      <c r="D1082">
        <f>IF(OR(H1082="",P1082=""),"",INDEX('Students'!$B$2:$B$701,P1082))</f>
        <v/>
      </c>
      <c r="E1082">
        <f>IF(OR(H1082="",P1082=""),"",INDEX('Students'!$C$2:$C$701,P1082))</f>
        <v/>
      </c>
      <c r="F1082" s="48">
        <f>IF(H1082="","",IF(ISNUMBER(O1082),O1082,J1082))</f>
        <v/>
      </c>
      <c r="G1082">
        <f>IF(H1082="","","OneCause")</f>
        <v/>
      </c>
      <c r="H1082">
        <f>IF(AND(I1082="",J1082="",K1082=""),"",IF(NOT(ISNUMBER(O1082)),"Bad amount",IF(O1082&lt;0,"Refund (not counted)",IF(O1082=0,"Zero amount",IF(NOT(ISNUMBER(N1082)),"Bad date",IF(P1082="","NAME NOT ON ROSTER",IF(L1082="","OK",IF(MATCH(L1082,$L$2:$L$3001,0)&lt;ROW()-1,"Duplicate (ignored)","OK"))))))))</f>
        <v/>
      </c>
      <c r="I1082">
        <f>IF(OC_Date=0,"",IF(INDEX('OneCause_Paste'!$A$1082:$AZ$1082,1,OC_Date)="","",INDEX('OneCause_Paste'!$A$1082:$AZ$1082,1,OC_Date)))</f>
        <v/>
      </c>
      <c r="J1082">
        <f>IF(OC_Amt=0,"",IF(INDEX('OneCause_Paste'!$A$1082:$AZ$1082,1,OC_Amt)="","",INDEX('OneCause_Paste'!$A$1082:$AZ$1082,1,OC_Amt)))</f>
        <v/>
      </c>
      <c r="K1082">
        <f>IF(OC_Name=0,"",IF(INDEX('OneCause_Paste'!$A$1082:$AZ$1082,1,OC_Name)="","",INDEX('OneCause_Paste'!$A$1082:$AZ$1082,1,OC_Name)))</f>
        <v/>
      </c>
      <c r="L1082">
        <f>IF(OC_Txn=0,"",IF(INDEX('OneCause_Paste'!$A$1082:$AZ$1082,1,OC_Txn)="","",INDEX('OneCause_Paste'!$A$1082:$AZ$1082,1,OC_Txn)))</f>
        <v/>
      </c>
      <c r="M1082">
        <f>IF(OC_Pay=0,"",IF(INDEX('OneCause_Paste'!$A$1082:$AZ$1082,1,OC_Pay)="","",INDEX('OneCause_Paste'!$A$1082:$AZ$1082,1,OC_Pay)))</f>
        <v/>
      </c>
      <c r="N1082">
        <f>IF(I1082="","",IF(ISNUMBER(I1082),INT(I1082),IFERROR(INT(DATEVALUE(I1082)),IFERROR(INT(VALUE(I1082)),"bad"))))</f>
        <v/>
      </c>
      <c r="O1082">
        <f>IF(J1082="","",IF(ISNUMBER(J1082),ROUND(J1082,2),IFERROR(ROUND(VALUE(SUBSTITUTE(SUBSTITUTE(SUBSTITUTE(J1082,"$",""),",","")," ","")),2),"bad")))</f>
        <v/>
      </c>
      <c r="P1082">
        <f>IF(TRIM(K1082)="","",IFERROR(MATCH(LOWER(TRIM(K1082)),'Students'!$AH$2:$AH$701,0),IFERROR(MATCH(LOWER(TRIM(K1082)),'Students'!$AF$2:$AF$701,0),IFERROR(MATCH(LOWER(TRIM(K1082)),'Students'!$AG$2:$AG$701,0),""))))</f>
        <v/>
      </c>
      <c r="R1082">
        <f>IF(P1082="","",INDEX('Students'!$AD$2:$AD$701,P1082))</f>
        <v/>
      </c>
      <c r="S1082">
        <f>IF(H1082="OK",O1082,0)</f>
        <v/>
      </c>
      <c r="T1082">
        <f>IF(H1082="OK",N1082,"")</f>
        <v/>
      </c>
      <c r="U1082">
        <f>IF(OC_Donor=0,"",IF(INDEX('OneCause_Paste'!$A$1082:$AZ$1082,1,OC_Donor)="","",INDEX('OneCause_Paste'!$A$1082:$AZ$1082,1,OC_Donor)))</f>
        <v/>
      </c>
    </row>
    <row r="1083">
      <c r="A1083" s="62">
        <f>IF(H1083="","",IF(ISNUMBER(N1083),N1083,I1083))</f>
        <v/>
      </c>
      <c r="B1083">
        <f>IF(H1083="","",U1083)</f>
        <v/>
      </c>
      <c r="C1083">
        <f>IF(H1083="","",IF(P1083="",K1083,INDEX('Students'!$A$2:$A$701,P1083)))</f>
        <v/>
      </c>
      <c r="D1083">
        <f>IF(OR(H1083="",P1083=""),"",INDEX('Students'!$B$2:$B$701,P1083))</f>
        <v/>
      </c>
      <c r="E1083">
        <f>IF(OR(H1083="",P1083=""),"",INDEX('Students'!$C$2:$C$701,P1083))</f>
        <v/>
      </c>
      <c r="F1083" s="48">
        <f>IF(H1083="","",IF(ISNUMBER(O1083),O1083,J1083))</f>
        <v/>
      </c>
      <c r="G1083">
        <f>IF(H1083="","","OneCause")</f>
        <v/>
      </c>
      <c r="H1083">
        <f>IF(AND(I1083="",J1083="",K1083=""),"",IF(NOT(ISNUMBER(O1083)),"Bad amount",IF(O1083&lt;0,"Refund (not counted)",IF(O1083=0,"Zero amount",IF(NOT(ISNUMBER(N1083)),"Bad date",IF(P1083="","NAME NOT ON ROSTER",IF(L1083="","OK",IF(MATCH(L1083,$L$2:$L$3001,0)&lt;ROW()-1,"Duplicate (ignored)","OK"))))))))</f>
        <v/>
      </c>
      <c r="I1083">
        <f>IF(OC_Date=0,"",IF(INDEX('OneCause_Paste'!$A$1083:$AZ$1083,1,OC_Date)="","",INDEX('OneCause_Paste'!$A$1083:$AZ$1083,1,OC_Date)))</f>
        <v/>
      </c>
      <c r="J1083">
        <f>IF(OC_Amt=0,"",IF(INDEX('OneCause_Paste'!$A$1083:$AZ$1083,1,OC_Amt)="","",INDEX('OneCause_Paste'!$A$1083:$AZ$1083,1,OC_Amt)))</f>
        <v/>
      </c>
      <c r="K1083">
        <f>IF(OC_Name=0,"",IF(INDEX('OneCause_Paste'!$A$1083:$AZ$1083,1,OC_Name)="","",INDEX('OneCause_Paste'!$A$1083:$AZ$1083,1,OC_Name)))</f>
        <v/>
      </c>
      <c r="L1083">
        <f>IF(OC_Txn=0,"",IF(INDEX('OneCause_Paste'!$A$1083:$AZ$1083,1,OC_Txn)="","",INDEX('OneCause_Paste'!$A$1083:$AZ$1083,1,OC_Txn)))</f>
        <v/>
      </c>
      <c r="M1083">
        <f>IF(OC_Pay=0,"",IF(INDEX('OneCause_Paste'!$A$1083:$AZ$1083,1,OC_Pay)="","",INDEX('OneCause_Paste'!$A$1083:$AZ$1083,1,OC_Pay)))</f>
        <v/>
      </c>
      <c r="N1083">
        <f>IF(I1083="","",IF(ISNUMBER(I1083),INT(I1083),IFERROR(INT(DATEVALUE(I1083)),IFERROR(INT(VALUE(I1083)),"bad"))))</f>
        <v/>
      </c>
      <c r="O1083">
        <f>IF(J1083="","",IF(ISNUMBER(J1083),ROUND(J1083,2),IFERROR(ROUND(VALUE(SUBSTITUTE(SUBSTITUTE(SUBSTITUTE(J1083,"$",""),",","")," ","")),2),"bad")))</f>
        <v/>
      </c>
      <c r="P1083">
        <f>IF(TRIM(K1083)="","",IFERROR(MATCH(LOWER(TRIM(K1083)),'Students'!$AH$2:$AH$701,0),IFERROR(MATCH(LOWER(TRIM(K1083)),'Students'!$AF$2:$AF$701,0),IFERROR(MATCH(LOWER(TRIM(K1083)),'Students'!$AG$2:$AG$701,0),""))))</f>
        <v/>
      </c>
      <c r="R1083">
        <f>IF(P1083="","",INDEX('Students'!$AD$2:$AD$701,P1083))</f>
        <v/>
      </c>
      <c r="S1083">
        <f>IF(H1083="OK",O1083,0)</f>
        <v/>
      </c>
      <c r="T1083">
        <f>IF(H1083="OK",N1083,"")</f>
        <v/>
      </c>
      <c r="U1083">
        <f>IF(OC_Donor=0,"",IF(INDEX('OneCause_Paste'!$A$1083:$AZ$1083,1,OC_Donor)="","",INDEX('OneCause_Paste'!$A$1083:$AZ$1083,1,OC_Donor)))</f>
        <v/>
      </c>
    </row>
    <row r="1084">
      <c r="A1084" s="62">
        <f>IF(H1084="","",IF(ISNUMBER(N1084),N1084,I1084))</f>
        <v/>
      </c>
      <c r="B1084">
        <f>IF(H1084="","",U1084)</f>
        <v/>
      </c>
      <c r="C1084">
        <f>IF(H1084="","",IF(P1084="",K1084,INDEX('Students'!$A$2:$A$701,P1084)))</f>
        <v/>
      </c>
      <c r="D1084">
        <f>IF(OR(H1084="",P1084=""),"",INDEX('Students'!$B$2:$B$701,P1084))</f>
        <v/>
      </c>
      <c r="E1084">
        <f>IF(OR(H1084="",P1084=""),"",INDEX('Students'!$C$2:$C$701,P1084))</f>
        <v/>
      </c>
      <c r="F1084" s="48">
        <f>IF(H1084="","",IF(ISNUMBER(O1084),O1084,J1084))</f>
        <v/>
      </c>
      <c r="G1084">
        <f>IF(H1084="","","OneCause")</f>
        <v/>
      </c>
      <c r="H1084">
        <f>IF(AND(I1084="",J1084="",K1084=""),"",IF(NOT(ISNUMBER(O1084)),"Bad amount",IF(O1084&lt;0,"Refund (not counted)",IF(O1084=0,"Zero amount",IF(NOT(ISNUMBER(N1084)),"Bad date",IF(P1084="","NAME NOT ON ROSTER",IF(L1084="","OK",IF(MATCH(L1084,$L$2:$L$3001,0)&lt;ROW()-1,"Duplicate (ignored)","OK"))))))))</f>
        <v/>
      </c>
      <c r="I1084">
        <f>IF(OC_Date=0,"",IF(INDEX('OneCause_Paste'!$A$1084:$AZ$1084,1,OC_Date)="","",INDEX('OneCause_Paste'!$A$1084:$AZ$1084,1,OC_Date)))</f>
        <v/>
      </c>
      <c r="J1084">
        <f>IF(OC_Amt=0,"",IF(INDEX('OneCause_Paste'!$A$1084:$AZ$1084,1,OC_Amt)="","",INDEX('OneCause_Paste'!$A$1084:$AZ$1084,1,OC_Amt)))</f>
        <v/>
      </c>
      <c r="K1084">
        <f>IF(OC_Name=0,"",IF(INDEX('OneCause_Paste'!$A$1084:$AZ$1084,1,OC_Name)="","",INDEX('OneCause_Paste'!$A$1084:$AZ$1084,1,OC_Name)))</f>
        <v/>
      </c>
      <c r="L1084">
        <f>IF(OC_Txn=0,"",IF(INDEX('OneCause_Paste'!$A$1084:$AZ$1084,1,OC_Txn)="","",INDEX('OneCause_Paste'!$A$1084:$AZ$1084,1,OC_Txn)))</f>
        <v/>
      </c>
      <c r="M1084">
        <f>IF(OC_Pay=0,"",IF(INDEX('OneCause_Paste'!$A$1084:$AZ$1084,1,OC_Pay)="","",INDEX('OneCause_Paste'!$A$1084:$AZ$1084,1,OC_Pay)))</f>
        <v/>
      </c>
      <c r="N1084">
        <f>IF(I1084="","",IF(ISNUMBER(I1084),INT(I1084),IFERROR(INT(DATEVALUE(I1084)),IFERROR(INT(VALUE(I1084)),"bad"))))</f>
        <v/>
      </c>
      <c r="O1084">
        <f>IF(J1084="","",IF(ISNUMBER(J1084),ROUND(J1084,2),IFERROR(ROUND(VALUE(SUBSTITUTE(SUBSTITUTE(SUBSTITUTE(J1084,"$",""),",","")," ","")),2),"bad")))</f>
        <v/>
      </c>
      <c r="P1084">
        <f>IF(TRIM(K1084)="","",IFERROR(MATCH(LOWER(TRIM(K1084)),'Students'!$AH$2:$AH$701,0),IFERROR(MATCH(LOWER(TRIM(K1084)),'Students'!$AF$2:$AF$701,0),IFERROR(MATCH(LOWER(TRIM(K1084)),'Students'!$AG$2:$AG$701,0),""))))</f>
        <v/>
      </c>
      <c r="R1084">
        <f>IF(P1084="","",INDEX('Students'!$AD$2:$AD$701,P1084))</f>
        <v/>
      </c>
      <c r="S1084">
        <f>IF(H1084="OK",O1084,0)</f>
        <v/>
      </c>
      <c r="T1084">
        <f>IF(H1084="OK",N1084,"")</f>
        <v/>
      </c>
      <c r="U1084">
        <f>IF(OC_Donor=0,"",IF(INDEX('OneCause_Paste'!$A$1084:$AZ$1084,1,OC_Donor)="","",INDEX('OneCause_Paste'!$A$1084:$AZ$1084,1,OC_Donor)))</f>
        <v/>
      </c>
    </row>
    <row r="1085">
      <c r="A1085" s="62">
        <f>IF(H1085="","",IF(ISNUMBER(N1085),N1085,I1085))</f>
        <v/>
      </c>
      <c r="B1085">
        <f>IF(H1085="","",U1085)</f>
        <v/>
      </c>
      <c r="C1085">
        <f>IF(H1085="","",IF(P1085="",K1085,INDEX('Students'!$A$2:$A$701,P1085)))</f>
        <v/>
      </c>
      <c r="D1085">
        <f>IF(OR(H1085="",P1085=""),"",INDEX('Students'!$B$2:$B$701,P1085))</f>
        <v/>
      </c>
      <c r="E1085">
        <f>IF(OR(H1085="",P1085=""),"",INDEX('Students'!$C$2:$C$701,P1085))</f>
        <v/>
      </c>
      <c r="F1085" s="48">
        <f>IF(H1085="","",IF(ISNUMBER(O1085),O1085,J1085))</f>
        <v/>
      </c>
      <c r="G1085">
        <f>IF(H1085="","","OneCause")</f>
        <v/>
      </c>
      <c r="H1085">
        <f>IF(AND(I1085="",J1085="",K1085=""),"",IF(NOT(ISNUMBER(O1085)),"Bad amount",IF(O1085&lt;0,"Refund (not counted)",IF(O1085=0,"Zero amount",IF(NOT(ISNUMBER(N1085)),"Bad date",IF(P1085="","NAME NOT ON ROSTER",IF(L1085="","OK",IF(MATCH(L1085,$L$2:$L$3001,0)&lt;ROW()-1,"Duplicate (ignored)","OK"))))))))</f>
        <v/>
      </c>
      <c r="I1085">
        <f>IF(OC_Date=0,"",IF(INDEX('OneCause_Paste'!$A$1085:$AZ$1085,1,OC_Date)="","",INDEX('OneCause_Paste'!$A$1085:$AZ$1085,1,OC_Date)))</f>
        <v/>
      </c>
      <c r="J1085">
        <f>IF(OC_Amt=0,"",IF(INDEX('OneCause_Paste'!$A$1085:$AZ$1085,1,OC_Amt)="","",INDEX('OneCause_Paste'!$A$1085:$AZ$1085,1,OC_Amt)))</f>
        <v/>
      </c>
      <c r="K1085">
        <f>IF(OC_Name=0,"",IF(INDEX('OneCause_Paste'!$A$1085:$AZ$1085,1,OC_Name)="","",INDEX('OneCause_Paste'!$A$1085:$AZ$1085,1,OC_Name)))</f>
        <v/>
      </c>
      <c r="L1085">
        <f>IF(OC_Txn=0,"",IF(INDEX('OneCause_Paste'!$A$1085:$AZ$1085,1,OC_Txn)="","",INDEX('OneCause_Paste'!$A$1085:$AZ$1085,1,OC_Txn)))</f>
        <v/>
      </c>
      <c r="M1085">
        <f>IF(OC_Pay=0,"",IF(INDEX('OneCause_Paste'!$A$1085:$AZ$1085,1,OC_Pay)="","",INDEX('OneCause_Paste'!$A$1085:$AZ$1085,1,OC_Pay)))</f>
        <v/>
      </c>
      <c r="N1085">
        <f>IF(I1085="","",IF(ISNUMBER(I1085),INT(I1085),IFERROR(INT(DATEVALUE(I1085)),IFERROR(INT(VALUE(I1085)),"bad"))))</f>
        <v/>
      </c>
      <c r="O1085">
        <f>IF(J1085="","",IF(ISNUMBER(J1085),ROUND(J1085,2),IFERROR(ROUND(VALUE(SUBSTITUTE(SUBSTITUTE(SUBSTITUTE(J1085,"$",""),",","")," ","")),2),"bad")))</f>
        <v/>
      </c>
      <c r="P1085">
        <f>IF(TRIM(K1085)="","",IFERROR(MATCH(LOWER(TRIM(K1085)),'Students'!$AH$2:$AH$701,0),IFERROR(MATCH(LOWER(TRIM(K1085)),'Students'!$AF$2:$AF$701,0),IFERROR(MATCH(LOWER(TRIM(K1085)),'Students'!$AG$2:$AG$701,0),""))))</f>
        <v/>
      </c>
      <c r="R1085">
        <f>IF(P1085="","",INDEX('Students'!$AD$2:$AD$701,P1085))</f>
        <v/>
      </c>
      <c r="S1085">
        <f>IF(H1085="OK",O1085,0)</f>
        <v/>
      </c>
      <c r="T1085">
        <f>IF(H1085="OK",N1085,"")</f>
        <v/>
      </c>
      <c r="U1085">
        <f>IF(OC_Donor=0,"",IF(INDEX('OneCause_Paste'!$A$1085:$AZ$1085,1,OC_Donor)="","",INDEX('OneCause_Paste'!$A$1085:$AZ$1085,1,OC_Donor)))</f>
        <v/>
      </c>
    </row>
    <row r="1086">
      <c r="A1086" s="62">
        <f>IF(H1086="","",IF(ISNUMBER(N1086),N1086,I1086))</f>
        <v/>
      </c>
      <c r="B1086">
        <f>IF(H1086="","",U1086)</f>
        <v/>
      </c>
      <c r="C1086">
        <f>IF(H1086="","",IF(P1086="",K1086,INDEX('Students'!$A$2:$A$701,P1086)))</f>
        <v/>
      </c>
      <c r="D1086">
        <f>IF(OR(H1086="",P1086=""),"",INDEX('Students'!$B$2:$B$701,P1086))</f>
        <v/>
      </c>
      <c r="E1086">
        <f>IF(OR(H1086="",P1086=""),"",INDEX('Students'!$C$2:$C$701,P1086))</f>
        <v/>
      </c>
      <c r="F1086" s="48">
        <f>IF(H1086="","",IF(ISNUMBER(O1086),O1086,J1086))</f>
        <v/>
      </c>
      <c r="G1086">
        <f>IF(H1086="","","OneCause")</f>
        <v/>
      </c>
      <c r="H1086">
        <f>IF(AND(I1086="",J1086="",K1086=""),"",IF(NOT(ISNUMBER(O1086)),"Bad amount",IF(O1086&lt;0,"Refund (not counted)",IF(O1086=0,"Zero amount",IF(NOT(ISNUMBER(N1086)),"Bad date",IF(P1086="","NAME NOT ON ROSTER",IF(L1086="","OK",IF(MATCH(L1086,$L$2:$L$3001,0)&lt;ROW()-1,"Duplicate (ignored)","OK"))))))))</f>
        <v/>
      </c>
      <c r="I1086">
        <f>IF(OC_Date=0,"",IF(INDEX('OneCause_Paste'!$A$1086:$AZ$1086,1,OC_Date)="","",INDEX('OneCause_Paste'!$A$1086:$AZ$1086,1,OC_Date)))</f>
        <v/>
      </c>
      <c r="J1086">
        <f>IF(OC_Amt=0,"",IF(INDEX('OneCause_Paste'!$A$1086:$AZ$1086,1,OC_Amt)="","",INDEX('OneCause_Paste'!$A$1086:$AZ$1086,1,OC_Amt)))</f>
        <v/>
      </c>
      <c r="K1086">
        <f>IF(OC_Name=0,"",IF(INDEX('OneCause_Paste'!$A$1086:$AZ$1086,1,OC_Name)="","",INDEX('OneCause_Paste'!$A$1086:$AZ$1086,1,OC_Name)))</f>
        <v/>
      </c>
      <c r="L1086">
        <f>IF(OC_Txn=0,"",IF(INDEX('OneCause_Paste'!$A$1086:$AZ$1086,1,OC_Txn)="","",INDEX('OneCause_Paste'!$A$1086:$AZ$1086,1,OC_Txn)))</f>
        <v/>
      </c>
      <c r="M1086">
        <f>IF(OC_Pay=0,"",IF(INDEX('OneCause_Paste'!$A$1086:$AZ$1086,1,OC_Pay)="","",INDEX('OneCause_Paste'!$A$1086:$AZ$1086,1,OC_Pay)))</f>
        <v/>
      </c>
      <c r="N1086">
        <f>IF(I1086="","",IF(ISNUMBER(I1086),INT(I1086),IFERROR(INT(DATEVALUE(I1086)),IFERROR(INT(VALUE(I1086)),"bad"))))</f>
        <v/>
      </c>
      <c r="O1086">
        <f>IF(J1086="","",IF(ISNUMBER(J1086),ROUND(J1086,2),IFERROR(ROUND(VALUE(SUBSTITUTE(SUBSTITUTE(SUBSTITUTE(J1086,"$",""),",","")," ","")),2),"bad")))</f>
        <v/>
      </c>
      <c r="P1086">
        <f>IF(TRIM(K1086)="","",IFERROR(MATCH(LOWER(TRIM(K1086)),'Students'!$AH$2:$AH$701,0),IFERROR(MATCH(LOWER(TRIM(K1086)),'Students'!$AF$2:$AF$701,0),IFERROR(MATCH(LOWER(TRIM(K1086)),'Students'!$AG$2:$AG$701,0),""))))</f>
        <v/>
      </c>
      <c r="R1086">
        <f>IF(P1086="","",INDEX('Students'!$AD$2:$AD$701,P1086))</f>
        <v/>
      </c>
      <c r="S1086">
        <f>IF(H1086="OK",O1086,0)</f>
        <v/>
      </c>
      <c r="T1086">
        <f>IF(H1086="OK",N1086,"")</f>
        <v/>
      </c>
      <c r="U1086">
        <f>IF(OC_Donor=0,"",IF(INDEX('OneCause_Paste'!$A$1086:$AZ$1086,1,OC_Donor)="","",INDEX('OneCause_Paste'!$A$1086:$AZ$1086,1,OC_Donor)))</f>
        <v/>
      </c>
    </row>
    <row r="1087">
      <c r="A1087" s="62">
        <f>IF(H1087="","",IF(ISNUMBER(N1087),N1087,I1087))</f>
        <v/>
      </c>
      <c r="B1087">
        <f>IF(H1087="","",U1087)</f>
        <v/>
      </c>
      <c r="C1087">
        <f>IF(H1087="","",IF(P1087="",K1087,INDEX('Students'!$A$2:$A$701,P1087)))</f>
        <v/>
      </c>
      <c r="D1087">
        <f>IF(OR(H1087="",P1087=""),"",INDEX('Students'!$B$2:$B$701,P1087))</f>
        <v/>
      </c>
      <c r="E1087">
        <f>IF(OR(H1087="",P1087=""),"",INDEX('Students'!$C$2:$C$701,P1087))</f>
        <v/>
      </c>
      <c r="F1087" s="48">
        <f>IF(H1087="","",IF(ISNUMBER(O1087),O1087,J1087))</f>
        <v/>
      </c>
      <c r="G1087">
        <f>IF(H1087="","","OneCause")</f>
        <v/>
      </c>
      <c r="H1087">
        <f>IF(AND(I1087="",J1087="",K1087=""),"",IF(NOT(ISNUMBER(O1087)),"Bad amount",IF(O1087&lt;0,"Refund (not counted)",IF(O1087=0,"Zero amount",IF(NOT(ISNUMBER(N1087)),"Bad date",IF(P1087="","NAME NOT ON ROSTER",IF(L1087="","OK",IF(MATCH(L1087,$L$2:$L$3001,0)&lt;ROW()-1,"Duplicate (ignored)","OK"))))))))</f>
        <v/>
      </c>
      <c r="I1087">
        <f>IF(OC_Date=0,"",IF(INDEX('OneCause_Paste'!$A$1087:$AZ$1087,1,OC_Date)="","",INDEX('OneCause_Paste'!$A$1087:$AZ$1087,1,OC_Date)))</f>
        <v/>
      </c>
      <c r="J1087">
        <f>IF(OC_Amt=0,"",IF(INDEX('OneCause_Paste'!$A$1087:$AZ$1087,1,OC_Amt)="","",INDEX('OneCause_Paste'!$A$1087:$AZ$1087,1,OC_Amt)))</f>
        <v/>
      </c>
      <c r="K1087">
        <f>IF(OC_Name=0,"",IF(INDEX('OneCause_Paste'!$A$1087:$AZ$1087,1,OC_Name)="","",INDEX('OneCause_Paste'!$A$1087:$AZ$1087,1,OC_Name)))</f>
        <v/>
      </c>
      <c r="L1087">
        <f>IF(OC_Txn=0,"",IF(INDEX('OneCause_Paste'!$A$1087:$AZ$1087,1,OC_Txn)="","",INDEX('OneCause_Paste'!$A$1087:$AZ$1087,1,OC_Txn)))</f>
        <v/>
      </c>
      <c r="M1087">
        <f>IF(OC_Pay=0,"",IF(INDEX('OneCause_Paste'!$A$1087:$AZ$1087,1,OC_Pay)="","",INDEX('OneCause_Paste'!$A$1087:$AZ$1087,1,OC_Pay)))</f>
        <v/>
      </c>
      <c r="N1087">
        <f>IF(I1087="","",IF(ISNUMBER(I1087),INT(I1087),IFERROR(INT(DATEVALUE(I1087)),IFERROR(INT(VALUE(I1087)),"bad"))))</f>
        <v/>
      </c>
      <c r="O1087">
        <f>IF(J1087="","",IF(ISNUMBER(J1087),ROUND(J1087,2),IFERROR(ROUND(VALUE(SUBSTITUTE(SUBSTITUTE(SUBSTITUTE(J1087,"$",""),",","")," ","")),2),"bad")))</f>
        <v/>
      </c>
      <c r="P1087">
        <f>IF(TRIM(K1087)="","",IFERROR(MATCH(LOWER(TRIM(K1087)),'Students'!$AH$2:$AH$701,0),IFERROR(MATCH(LOWER(TRIM(K1087)),'Students'!$AF$2:$AF$701,0),IFERROR(MATCH(LOWER(TRIM(K1087)),'Students'!$AG$2:$AG$701,0),""))))</f>
        <v/>
      </c>
      <c r="R1087">
        <f>IF(P1087="","",INDEX('Students'!$AD$2:$AD$701,P1087))</f>
        <v/>
      </c>
      <c r="S1087">
        <f>IF(H1087="OK",O1087,0)</f>
        <v/>
      </c>
      <c r="T1087">
        <f>IF(H1087="OK",N1087,"")</f>
        <v/>
      </c>
      <c r="U1087">
        <f>IF(OC_Donor=0,"",IF(INDEX('OneCause_Paste'!$A$1087:$AZ$1087,1,OC_Donor)="","",INDEX('OneCause_Paste'!$A$1087:$AZ$1087,1,OC_Donor)))</f>
        <v/>
      </c>
    </row>
    <row r="1088">
      <c r="A1088" s="62">
        <f>IF(H1088="","",IF(ISNUMBER(N1088),N1088,I1088))</f>
        <v/>
      </c>
      <c r="B1088">
        <f>IF(H1088="","",U1088)</f>
        <v/>
      </c>
      <c r="C1088">
        <f>IF(H1088="","",IF(P1088="",K1088,INDEX('Students'!$A$2:$A$701,P1088)))</f>
        <v/>
      </c>
      <c r="D1088">
        <f>IF(OR(H1088="",P1088=""),"",INDEX('Students'!$B$2:$B$701,P1088))</f>
        <v/>
      </c>
      <c r="E1088">
        <f>IF(OR(H1088="",P1088=""),"",INDEX('Students'!$C$2:$C$701,P1088))</f>
        <v/>
      </c>
      <c r="F1088" s="48">
        <f>IF(H1088="","",IF(ISNUMBER(O1088),O1088,J1088))</f>
        <v/>
      </c>
      <c r="G1088">
        <f>IF(H1088="","","OneCause")</f>
        <v/>
      </c>
      <c r="H1088">
        <f>IF(AND(I1088="",J1088="",K1088=""),"",IF(NOT(ISNUMBER(O1088)),"Bad amount",IF(O1088&lt;0,"Refund (not counted)",IF(O1088=0,"Zero amount",IF(NOT(ISNUMBER(N1088)),"Bad date",IF(P1088="","NAME NOT ON ROSTER",IF(L1088="","OK",IF(MATCH(L1088,$L$2:$L$3001,0)&lt;ROW()-1,"Duplicate (ignored)","OK"))))))))</f>
        <v/>
      </c>
      <c r="I1088">
        <f>IF(OC_Date=0,"",IF(INDEX('OneCause_Paste'!$A$1088:$AZ$1088,1,OC_Date)="","",INDEX('OneCause_Paste'!$A$1088:$AZ$1088,1,OC_Date)))</f>
        <v/>
      </c>
      <c r="J1088">
        <f>IF(OC_Amt=0,"",IF(INDEX('OneCause_Paste'!$A$1088:$AZ$1088,1,OC_Amt)="","",INDEX('OneCause_Paste'!$A$1088:$AZ$1088,1,OC_Amt)))</f>
        <v/>
      </c>
      <c r="K1088">
        <f>IF(OC_Name=0,"",IF(INDEX('OneCause_Paste'!$A$1088:$AZ$1088,1,OC_Name)="","",INDEX('OneCause_Paste'!$A$1088:$AZ$1088,1,OC_Name)))</f>
        <v/>
      </c>
      <c r="L1088">
        <f>IF(OC_Txn=0,"",IF(INDEX('OneCause_Paste'!$A$1088:$AZ$1088,1,OC_Txn)="","",INDEX('OneCause_Paste'!$A$1088:$AZ$1088,1,OC_Txn)))</f>
        <v/>
      </c>
      <c r="M1088">
        <f>IF(OC_Pay=0,"",IF(INDEX('OneCause_Paste'!$A$1088:$AZ$1088,1,OC_Pay)="","",INDEX('OneCause_Paste'!$A$1088:$AZ$1088,1,OC_Pay)))</f>
        <v/>
      </c>
      <c r="N1088">
        <f>IF(I1088="","",IF(ISNUMBER(I1088),INT(I1088),IFERROR(INT(DATEVALUE(I1088)),IFERROR(INT(VALUE(I1088)),"bad"))))</f>
        <v/>
      </c>
      <c r="O1088">
        <f>IF(J1088="","",IF(ISNUMBER(J1088),ROUND(J1088,2),IFERROR(ROUND(VALUE(SUBSTITUTE(SUBSTITUTE(SUBSTITUTE(J1088,"$",""),",","")," ","")),2),"bad")))</f>
        <v/>
      </c>
      <c r="P1088">
        <f>IF(TRIM(K1088)="","",IFERROR(MATCH(LOWER(TRIM(K1088)),'Students'!$AH$2:$AH$701,0),IFERROR(MATCH(LOWER(TRIM(K1088)),'Students'!$AF$2:$AF$701,0),IFERROR(MATCH(LOWER(TRIM(K1088)),'Students'!$AG$2:$AG$701,0),""))))</f>
        <v/>
      </c>
      <c r="R1088">
        <f>IF(P1088="","",INDEX('Students'!$AD$2:$AD$701,P1088))</f>
        <v/>
      </c>
      <c r="S1088">
        <f>IF(H1088="OK",O1088,0)</f>
        <v/>
      </c>
      <c r="T1088">
        <f>IF(H1088="OK",N1088,"")</f>
        <v/>
      </c>
      <c r="U1088">
        <f>IF(OC_Donor=0,"",IF(INDEX('OneCause_Paste'!$A$1088:$AZ$1088,1,OC_Donor)="","",INDEX('OneCause_Paste'!$A$1088:$AZ$1088,1,OC_Donor)))</f>
        <v/>
      </c>
    </row>
    <row r="1089">
      <c r="A1089" s="62">
        <f>IF(H1089="","",IF(ISNUMBER(N1089),N1089,I1089))</f>
        <v/>
      </c>
      <c r="B1089">
        <f>IF(H1089="","",U1089)</f>
        <v/>
      </c>
      <c r="C1089">
        <f>IF(H1089="","",IF(P1089="",K1089,INDEX('Students'!$A$2:$A$701,P1089)))</f>
        <v/>
      </c>
      <c r="D1089">
        <f>IF(OR(H1089="",P1089=""),"",INDEX('Students'!$B$2:$B$701,P1089))</f>
        <v/>
      </c>
      <c r="E1089">
        <f>IF(OR(H1089="",P1089=""),"",INDEX('Students'!$C$2:$C$701,P1089))</f>
        <v/>
      </c>
      <c r="F1089" s="48">
        <f>IF(H1089="","",IF(ISNUMBER(O1089),O1089,J1089))</f>
        <v/>
      </c>
      <c r="G1089">
        <f>IF(H1089="","","OneCause")</f>
        <v/>
      </c>
      <c r="H1089">
        <f>IF(AND(I1089="",J1089="",K1089=""),"",IF(NOT(ISNUMBER(O1089)),"Bad amount",IF(O1089&lt;0,"Refund (not counted)",IF(O1089=0,"Zero amount",IF(NOT(ISNUMBER(N1089)),"Bad date",IF(P1089="","NAME NOT ON ROSTER",IF(L1089="","OK",IF(MATCH(L1089,$L$2:$L$3001,0)&lt;ROW()-1,"Duplicate (ignored)","OK"))))))))</f>
        <v/>
      </c>
      <c r="I1089">
        <f>IF(OC_Date=0,"",IF(INDEX('OneCause_Paste'!$A$1089:$AZ$1089,1,OC_Date)="","",INDEX('OneCause_Paste'!$A$1089:$AZ$1089,1,OC_Date)))</f>
        <v/>
      </c>
      <c r="J1089">
        <f>IF(OC_Amt=0,"",IF(INDEX('OneCause_Paste'!$A$1089:$AZ$1089,1,OC_Amt)="","",INDEX('OneCause_Paste'!$A$1089:$AZ$1089,1,OC_Amt)))</f>
        <v/>
      </c>
      <c r="K1089">
        <f>IF(OC_Name=0,"",IF(INDEX('OneCause_Paste'!$A$1089:$AZ$1089,1,OC_Name)="","",INDEX('OneCause_Paste'!$A$1089:$AZ$1089,1,OC_Name)))</f>
        <v/>
      </c>
      <c r="L1089">
        <f>IF(OC_Txn=0,"",IF(INDEX('OneCause_Paste'!$A$1089:$AZ$1089,1,OC_Txn)="","",INDEX('OneCause_Paste'!$A$1089:$AZ$1089,1,OC_Txn)))</f>
        <v/>
      </c>
      <c r="M1089">
        <f>IF(OC_Pay=0,"",IF(INDEX('OneCause_Paste'!$A$1089:$AZ$1089,1,OC_Pay)="","",INDEX('OneCause_Paste'!$A$1089:$AZ$1089,1,OC_Pay)))</f>
        <v/>
      </c>
      <c r="N1089">
        <f>IF(I1089="","",IF(ISNUMBER(I1089),INT(I1089),IFERROR(INT(DATEVALUE(I1089)),IFERROR(INT(VALUE(I1089)),"bad"))))</f>
        <v/>
      </c>
      <c r="O1089">
        <f>IF(J1089="","",IF(ISNUMBER(J1089),ROUND(J1089,2),IFERROR(ROUND(VALUE(SUBSTITUTE(SUBSTITUTE(SUBSTITUTE(J1089,"$",""),",","")," ","")),2),"bad")))</f>
        <v/>
      </c>
      <c r="P1089">
        <f>IF(TRIM(K1089)="","",IFERROR(MATCH(LOWER(TRIM(K1089)),'Students'!$AH$2:$AH$701,0),IFERROR(MATCH(LOWER(TRIM(K1089)),'Students'!$AF$2:$AF$701,0),IFERROR(MATCH(LOWER(TRIM(K1089)),'Students'!$AG$2:$AG$701,0),""))))</f>
        <v/>
      </c>
      <c r="R1089">
        <f>IF(P1089="","",INDEX('Students'!$AD$2:$AD$701,P1089))</f>
        <v/>
      </c>
      <c r="S1089">
        <f>IF(H1089="OK",O1089,0)</f>
        <v/>
      </c>
      <c r="T1089">
        <f>IF(H1089="OK",N1089,"")</f>
        <v/>
      </c>
      <c r="U1089">
        <f>IF(OC_Donor=0,"",IF(INDEX('OneCause_Paste'!$A$1089:$AZ$1089,1,OC_Donor)="","",INDEX('OneCause_Paste'!$A$1089:$AZ$1089,1,OC_Donor)))</f>
        <v/>
      </c>
    </row>
    <row r="1090">
      <c r="A1090" s="62">
        <f>IF(H1090="","",IF(ISNUMBER(N1090),N1090,I1090))</f>
        <v/>
      </c>
      <c r="B1090">
        <f>IF(H1090="","",U1090)</f>
        <v/>
      </c>
      <c r="C1090">
        <f>IF(H1090="","",IF(P1090="",K1090,INDEX('Students'!$A$2:$A$701,P1090)))</f>
        <v/>
      </c>
      <c r="D1090">
        <f>IF(OR(H1090="",P1090=""),"",INDEX('Students'!$B$2:$B$701,P1090))</f>
        <v/>
      </c>
      <c r="E1090">
        <f>IF(OR(H1090="",P1090=""),"",INDEX('Students'!$C$2:$C$701,P1090))</f>
        <v/>
      </c>
      <c r="F1090" s="48">
        <f>IF(H1090="","",IF(ISNUMBER(O1090),O1090,J1090))</f>
        <v/>
      </c>
      <c r="G1090">
        <f>IF(H1090="","","OneCause")</f>
        <v/>
      </c>
      <c r="H1090">
        <f>IF(AND(I1090="",J1090="",K1090=""),"",IF(NOT(ISNUMBER(O1090)),"Bad amount",IF(O1090&lt;0,"Refund (not counted)",IF(O1090=0,"Zero amount",IF(NOT(ISNUMBER(N1090)),"Bad date",IF(P1090="","NAME NOT ON ROSTER",IF(L1090="","OK",IF(MATCH(L1090,$L$2:$L$3001,0)&lt;ROW()-1,"Duplicate (ignored)","OK"))))))))</f>
        <v/>
      </c>
      <c r="I1090">
        <f>IF(OC_Date=0,"",IF(INDEX('OneCause_Paste'!$A$1090:$AZ$1090,1,OC_Date)="","",INDEX('OneCause_Paste'!$A$1090:$AZ$1090,1,OC_Date)))</f>
        <v/>
      </c>
      <c r="J1090">
        <f>IF(OC_Amt=0,"",IF(INDEX('OneCause_Paste'!$A$1090:$AZ$1090,1,OC_Amt)="","",INDEX('OneCause_Paste'!$A$1090:$AZ$1090,1,OC_Amt)))</f>
        <v/>
      </c>
      <c r="K1090">
        <f>IF(OC_Name=0,"",IF(INDEX('OneCause_Paste'!$A$1090:$AZ$1090,1,OC_Name)="","",INDEX('OneCause_Paste'!$A$1090:$AZ$1090,1,OC_Name)))</f>
        <v/>
      </c>
      <c r="L1090">
        <f>IF(OC_Txn=0,"",IF(INDEX('OneCause_Paste'!$A$1090:$AZ$1090,1,OC_Txn)="","",INDEX('OneCause_Paste'!$A$1090:$AZ$1090,1,OC_Txn)))</f>
        <v/>
      </c>
      <c r="M1090">
        <f>IF(OC_Pay=0,"",IF(INDEX('OneCause_Paste'!$A$1090:$AZ$1090,1,OC_Pay)="","",INDEX('OneCause_Paste'!$A$1090:$AZ$1090,1,OC_Pay)))</f>
        <v/>
      </c>
      <c r="N1090">
        <f>IF(I1090="","",IF(ISNUMBER(I1090),INT(I1090),IFERROR(INT(DATEVALUE(I1090)),IFERROR(INT(VALUE(I1090)),"bad"))))</f>
        <v/>
      </c>
      <c r="O1090">
        <f>IF(J1090="","",IF(ISNUMBER(J1090),ROUND(J1090,2),IFERROR(ROUND(VALUE(SUBSTITUTE(SUBSTITUTE(SUBSTITUTE(J1090,"$",""),",","")," ","")),2),"bad")))</f>
        <v/>
      </c>
      <c r="P1090">
        <f>IF(TRIM(K1090)="","",IFERROR(MATCH(LOWER(TRIM(K1090)),'Students'!$AH$2:$AH$701,0),IFERROR(MATCH(LOWER(TRIM(K1090)),'Students'!$AF$2:$AF$701,0),IFERROR(MATCH(LOWER(TRIM(K1090)),'Students'!$AG$2:$AG$701,0),""))))</f>
        <v/>
      </c>
      <c r="R1090">
        <f>IF(P1090="","",INDEX('Students'!$AD$2:$AD$701,P1090))</f>
        <v/>
      </c>
      <c r="S1090">
        <f>IF(H1090="OK",O1090,0)</f>
        <v/>
      </c>
      <c r="T1090">
        <f>IF(H1090="OK",N1090,"")</f>
        <v/>
      </c>
      <c r="U1090">
        <f>IF(OC_Donor=0,"",IF(INDEX('OneCause_Paste'!$A$1090:$AZ$1090,1,OC_Donor)="","",INDEX('OneCause_Paste'!$A$1090:$AZ$1090,1,OC_Donor)))</f>
        <v/>
      </c>
    </row>
    <row r="1091">
      <c r="A1091" s="62">
        <f>IF(H1091="","",IF(ISNUMBER(N1091),N1091,I1091))</f>
        <v/>
      </c>
      <c r="B1091">
        <f>IF(H1091="","",U1091)</f>
        <v/>
      </c>
      <c r="C1091">
        <f>IF(H1091="","",IF(P1091="",K1091,INDEX('Students'!$A$2:$A$701,P1091)))</f>
        <v/>
      </c>
      <c r="D1091">
        <f>IF(OR(H1091="",P1091=""),"",INDEX('Students'!$B$2:$B$701,P1091))</f>
        <v/>
      </c>
      <c r="E1091">
        <f>IF(OR(H1091="",P1091=""),"",INDEX('Students'!$C$2:$C$701,P1091))</f>
        <v/>
      </c>
      <c r="F1091" s="48">
        <f>IF(H1091="","",IF(ISNUMBER(O1091),O1091,J1091))</f>
        <v/>
      </c>
      <c r="G1091">
        <f>IF(H1091="","","OneCause")</f>
        <v/>
      </c>
      <c r="H1091">
        <f>IF(AND(I1091="",J1091="",K1091=""),"",IF(NOT(ISNUMBER(O1091)),"Bad amount",IF(O1091&lt;0,"Refund (not counted)",IF(O1091=0,"Zero amount",IF(NOT(ISNUMBER(N1091)),"Bad date",IF(P1091="","NAME NOT ON ROSTER",IF(L1091="","OK",IF(MATCH(L1091,$L$2:$L$3001,0)&lt;ROW()-1,"Duplicate (ignored)","OK"))))))))</f>
        <v/>
      </c>
      <c r="I1091">
        <f>IF(OC_Date=0,"",IF(INDEX('OneCause_Paste'!$A$1091:$AZ$1091,1,OC_Date)="","",INDEX('OneCause_Paste'!$A$1091:$AZ$1091,1,OC_Date)))</f>
        <v/>
      </c>
      <c r="J1091">
        <f>IF(OC_Amt=0,"",IF(INDEX('OneCause_Paste'!$A$1091:$AZ$1091,1,OC_Amt)="","",INDEX('OneCause_Paste'!$A$1091:$AZ$1091,1,OC_Amt)))</f>
        <v/>
      </c>
      <c r="K1091">
        <f>IF(OC_Name=0,"",IF(INDEX('OneCause_Paste'!$A$1091:$AZ$1091,1,OC_Name)="","",INDEX('OneCause_Paste'!$A$1091:$AZ$1091,1,OC_Name)))</f>
        <v/>
      </c>
      <c r="L1091">
        <f>IF(OC_Txn=0,"",IF(INDEX('OneCause_Paste'!$A$1091:$AZ$1091,1,OC_Txn)="","",INDEX('OneCause_Paste'!$A$1091:$AZ$1091,1,OC_Txn)))</f>
        <v/>
      </c>
      <c r="M1091">
        <f>IF(OC_Pay=0,"",IF(INDEX('OneCause_Paste'!$A$1091:$AZ$1091,1,OC_Pay)="","",INDEX('OneCause_Paste'!$A$1091:$AZ$1091,1,OC_Pay)))</f>
        <v/>
      </c>
      <c r="N1091">
        <f>IF(I1091="","",IF(ISNUMBER(I1091),INT(I1091),IFERROR(INT(DATEVALUE(I1091)),IFERROR(INT(VALUE(I1091)),"bad"))))</f>
        <v/>
      </c>
      <c r="O1091">
        <f>IF(J1091="","",IF(ISNUMBER(J1091),ROUND(J1091,2),IFERROR(ROUND(VALUE(SUBSTITUTE(SUBSTITUTE(SUBSTITUTE(J1091,"$",""),",","")," ","")),2),"bad")))</f>
        <v/>
      </c>
      <c r="P1091">
        <f>IF(TRIM(K1091)="","",IFERROR(MATCH(LOWER(TRIM(K1091)),'Students'!$AH$2:$AH$701,0),IFERROR(MATCH(LOWER(TRIM(K1091)),'Students'!$AF$2:$AF$701,0),IFERROR(MATCH(LOWER(TRIM(K1091)),'Students'!$AG$2:$AG$701,0),""))))</f>
        <v/>
      </c>
      <c r="R1091">
        <f>IF(P1091="","",INDEX('Students'!$AD$2:$AD$701,P1091))</f>
        <v/>
      </c>
      <c r="S1091">
        <f>IF(H1091="OK",O1091,0)</f>
        <v/>
      </c>
      <c r="T1091">
        <f>IF(H1091="OK",N1091,"")</f>
        <v/>
      </c>
      <c r="U1091">
        <f>IF(OC_Donor=0,"",IF(INDEX('OneCause_Paste'!$A$1091:$AZ$1091,1,OC_Donor)="","",INDEX('OneCause_Paste'!$A$1091:$AZ$1091,1,OC_Donor)))</f>
        <v/>
      </c>
    </row>
    <row r="1092">
      <c r="A1092" s="62">
        <f>IF(H1092="","",IF(ISNUMBER(N1092),N1092,I1092))</f>
        <v/>
      </c>
      <c r="B1092">
        <f>IF(H1092="","",U1092)</f>
        <v/>
      </c>
      <c r="C1092">
        <f>IF(H1092="","",IF(P1092="",K1092,INDEX('Students'!$A$2:$A$701,P1092)))</f>
        <v/>
      </c>
      <c r="D1092">
        <f>IF(OR(H1092="",P1092=""),"",INDEX('Students'!$B$2:$B$701,P1092))</f>
        <v/>
      </c>
      <c r="E1092">
        <f>IF(OR(H1092="",P1092=""),"",INDEX('Students'!$C$2:$C$701,P1092))</f>
        <v/>
      </c>
      <c r="F1092" s="48">
        <f>IF(H1092="","",IF(ISNUMBER(O1092),O1092,J1092))</f>
        <v/>
      </c>
      <c r="G1092">
        <f>IF(H1092="","","OneCause")</f>
        <v/>
      </c>
      <c r="H1092">
        <f>IF(AND(I1092="",J1092="",K1092=""),"",IF(NOT(ISNUMBER(O1092)),"Bad amount",IF(O1092&lt;0,"Refund (not counted)",IF(O1092=0,"Zero amount",IF(NOT(ISNUMBER(N1092)),"Bad date",IF(P1092="","NAME NOT ON ROSTER",IF(L1092="","OK",IF(MATCH(L1092,$L$2:$L$3001,0)&lt;ROW()-1,"Duplicate (ignored)","OK"))))))))</f>
        <v/>
      </c>
      <c r="I1092">
        <f>IF(OC_Date=0,"",IF(INDEX('OneCause_Paste'!$A$1092:$AZ$1092,1,OC_Date)="","",INDEX('OneCause_Paste'!$A$1092:$AZ$1092,1,OC_Date)))</f>
        <v/>
      </c>
      <c r="J1092">
        <f>IF(OC_Amt=0,"",IF(INDEX('OneCause_Paste'!$A$1092:$AZ$1092,1,OC_Amt)="","",INDEX('OneCause_Paste'!$A$1092:$AZ$1092,1,OC_Amt)))</f>
        <v/>
      </c>
      <c r="K1092">
        <f>IF(OC_Name=0,"",IF(INDEX('OneCause_Paste'!$A$1092:$AZ$1092,1,OC_Name)="","",INDEX('OneCause_Paste'!$A$1092:$AZ$1092,1,OC_Name)))</f>
        <v/>
      </c>
      <c r="L1092">
        <f>IF(OC_Txn=0,"",IF(INDEX('OneCause_Paste'!$A$1092:$AZ$1092,1,OC_Txn)="","",INDEX('OneCause_Paste'!$A$1092:$AZ$1092,1,OC_Txn)))</f>
        <v/>
      </c>
      <c r="M1092">
        <f>IF(OC_Pay=0,"",IF(INDEX('OneCause_Paste'!$A$1092:$AZ$1092,1,OC_Pay)="","",INDEX('OneCause_Paste'!$A$1092:$AZ$1092,1,OC_Pay)))</f>
        <v/>
      </c>
      <c r="N1092">
        <f>IF(I1092="","",IF(ISNUMBER(I1092),INT(I1092),IFERROR(INT(DATEVALUE(I1092)),IFERROR(INT(VALUE(I1092)),"bad"))))</f>
        <v/>
      </c>
      <c r="O1092">
        <f>IF(J1092="","",IF(ISNUMBER(J1092),ROUND(J1092,2),IFERROR(ROUND(VALUE(SUBSTITUTE(SUBSTITUTE(SUBSTITUTE(J1092,"$",""),",","")," ","")),2),"bad")))</f>
        <v/>
      </c>
      <c r="P1092">
        <f>IF(TRIM(K1092)="","",IFERROR(MATCH(LOWER(TRIM(K1092)),'Students'!$AH$2:$AH$701,0),IFERROR(MATCH(LOWER(TRIM(K1092)),'Students'!$AF$2:$AF$701,0),IFERROR(MATCH(LOWER(TRIM(K1092)),'Students'!$AG$2:$AG$701,0),""))))</f>
        <v/>
      </c>
      <c r="R1092">
        <f>IF(P1092="","",INDEX('Students'!$AD$2:$AD$701,P1092))</f>
        <v/>
      </c>
      <c r="S1092">
        <f>IF(H1092="OK",O1092,0)</f>
        <v/>
      </c>
      <c r="T1092">
        <f>IF(H1092="OK",N1092,"")</f>
        <v/>
      </c>
      <c r="U1092">
        <f>IF(OC_Donor=0,"",IF(INDEX('OneCause_Paste'!$A$1092:$AZ$1092,1,OC_Donor)="","",INDEX('OneCause_Paste'!$A$1092:$AZ$1092,1,OC_Donor)))</f>
        <v/>
      </c>
    </row>
    <row r="1093">
      <c r="A1093" s="62">
        <f>IF(H1093="","",IF(ISNUMBER(N1093),N1093,I1093))</f>
        <v/>
      </c>
      <c r="B1093">
        <f>IF(H1093="","",U1093)</f>
        <v/>
      </c>
      <c r="C1093">
        <f>IF(H1093="","",IF(P1093="",K1093,INDEX('Students'!$A$2:$A$701,P1093)))</f>
        <v/>
      </c>
      <c r="D1093">
        <f>IF(OR(H1093="",P1093=""),"",INDEX('Students'!$B$2:$B$701,P1093))</f>
        <v/>
      </c>
      <c r="E1093">
        <f>IF(OR(H1093="",P1093=""),"",INDEX('Students'!$C$2:$C$701,P1093))</f>
        <v/>
      </c>
      <c r="F1093" s="48">
        <f>IF(H1093="","",IF(ISNUMBER(O1093),O1093,J1093))</f>
        <v/>
      </c>
      <c r="G1093">
        <f>IF(H1093="","","OneCause")</f>
        <v/>
      </c>
      <c r="H1093">
        <f>IF(AND(I1093="",J1093="",K1093=""),"",IF(NOT(ISNUMBER(O1093)),"Bad amount",IF(O1093&lt;0,"Refund (not counted)",IF(O1093=0,"Zero amount",IF(NOT(ISNUMBER(N1093)),"Bad date",IF(P1093="","NAME NOT ON ROSTER",IF(L1093="","OK",IF(MATCH(L1093,$L$2:$L$3001,0)&lt;ROW()-1,"Duplicate (ignored)","OK"))))))))</f>
        <v/>
      </c>
      <c r="I1093">
        <f>IF(OC_Date=0,"",IF(INDEX('OneCause_Paste'!$A$1093:$AZ$1093,1,OC_Date)="","",INDEX('OneCause_Paste'!$A$1093:$AZ$1093,1,OC_Date)))</f>
        <v/>
      </c>
      <c r="J1093">
        <f>IF(OC_Amt=0,"",IF(INDEX('OneCause_Paste'!$A$1093:$AZ$1093,1,OC_Amt)="","",INDEX('OneCause_Paste'!$A$1093:$AZ$1093,1,OC_Amt)))</f>
        <v/>
      </c>
      <c r="K1093">
        <f>IF(OC_Name=0,"",IF(INDEX('OneCause_Paste'!$A$1093:$AZ$1093,1,OC_Name)="","",INDEX('OneCause_Paste'!$A$1093:$AZ$1093,1,OC_Name)))</f>
        <v/>
      </c>
      <c r="L1093">
        <f>IF(OC_Txn=0,"",IF(INDEX('OneCause_Paste'!$A$1093:$AZ$1093,1,OC_Txn)="","",INDEX('OneCause_Paste'!$A$1093:$AZ$1093,1,OC_Txn)))</f>
        <v/>
      </c>
      <c r="M1093">
        <f>IF(OC_Pay=0,"",IF(INDEX('OneCause_Paste'!$A$1093:$AZ$1093,1,OC_Pay)="","",INDEX('OneCause_Paste'!$A$1093:$AZ$1093,1,OC_Pay)))</f>
        <v/>
      </c>
      <c r="N1093">
        <f>IF(I1093="","",IF(ISNUMBER(I1093),INT(I1093),IFERROR(INT(DATEVALUE(I1093)),IFERROR(INT(VALUE(I1093)),"bad"))))</f>
        <v/>
      </c>
      <c r="O1093">
        <f>IF(J1093="","",IF(ISNUMBER(J1093),ROUND(J1093,2),IFERROR(ROUND(VALUE(SUBSTITUTE(SUBSTITUTE(SUBSTITUTE(J1093,"$",""),",","")," ","")),2),"bad")))</f>
        <v/>
      </c>
      <c r="P1093">
        <f>IF(TRIM(K1093)="","",IFERROR(MATCH(LOWER(TRIM(K1093)),'Students'!$AH$2:$AH$701,0),IFERROR(MATCH(LOWER(TRIM(K1093)),'Students'!$AF$2:$AF$701,0),IFERROR(MATCH(LOWER(TRIM(K1093)),'Students'!$AG$2:$AG$701,0),""))))</f>
        <v/>
      </c>
      <c r="R1093">
        <f>IF(P1093="","",INDEX('Students'!$AD$2:$AD$701,P1093))</f>
        <v/>
      </c>
      <c r="S1093">
        <f>IF(H1093="OK",O1093,0)</f>
        <v/>
      </c>
      <c r="T1093">
        <f>IF(H1093="OK",N1093,"")</f>
        <v/>
      </c>
      <c r="U1093">
        <f>IF(OC_Donor=0,"",IF(INDEX('OneCause_Paste'!$A$1093:$AZ$1093,1,OC_Donor)="","",INDEX('OneCause_Paste'!$A$1093:$AZ$1093,1,OC_Donor)))</f>
        <v/>
      </c>
    </row>
    <row r="1094">
      <c r="A1094" s="62">
        <f>IF(H1094="","",IF(ISNUMBER(N1094),N1094,I1094))</f>
        <v/>
      </c>
      <c r="B1094">
        <f>IF(H1094="","",U1094)</f>
        <v/>
      </c>
      <c r="C1094">
        <f>IF(H1094="","",IF(P1094="",K1094,INDEX('Students'!$A$2:$A$701,P1094)))</f>
        <v/>
      </c>
      <c r="D1094">
        <f>IF(OR(H1094="",P1094=""),"",INDEX('Students'!$B$2:$B$701,P1094))</f>
        <v/>
      </c>
      <c r="E1094">
        <f>IF(OR(H1094="",P1094=""),"",INDEX('Students'!$C$2:$C$701,P1094))</f>
        <v/>
      </c>
      <c r="F1094" s="48">
        <f>IF(H1094="","",IF(ISNUMBER(O1094),O1094,J1094))</f>
        <v/>
      </c>
      <c r="G1094">
        <f>IF(H1094="","","OneCause")</f>
        <v/>
      </c>
      <c r="H1094">
        <f>IF(AND(I1094="",J1094="",K1094=""),"",IF(NOT(ISNUMBER(O1094)),"Bad amount",IF(O1094&lt;0,"Refund (not counted)",IF(O1094=0,"Zero amount",IF(NOT(ISNUMBER(N1094)),"Bad date",IF(P1094="","NAME NOT ON ROSTER",IF(L1094="","OK",IF(MATCH(L1094,$L$2:$L$3001,0)&lt;ROW()-1,"Duplicate (ignored)","OK"))))))))</f>
        <v/>
      </c>
      <c r="I1094">
        <f>IF(OC_Date=0,"",IF(INDEX('OneCause_Paste'!$A$1094:$AZ$1094,1,OC_Date)="","",INDEX('OneCause_Paste'!$A$1094:$AZ$1094,1,OC_Date)))</f>
        <v/>
      </c>
      <c r="J1094">
        <f>IF(OC_Amt=0,"",IF(INDEX('OneCause_Paste'!$A$1094:$AZ$1094,1,OC_Amt)="","",INDEX('OneCause_Paste'!$A$1094:$AZ$1094,1,OC_Amt)))</f>
        <v/>
      </c>
      <c r="K1094">
        <f>IF(OC_Name=0,"",IF(INDEX('OneCause_Paste'!$A$1094:$AZ$1094,1,OC_Name)="","",INDEX('OneCause_Paste'!$A$1094:$AZ$1094,1,OC_Name)))</f>
        <v/>
      </c>
      <c r="L1094">
        <f>IF(OC_Txn=0,"",IF(INDEX('OneCause_Paste'!$A$1094:$AZ$1094,1,OC_Txn)="","",INDEX('OneCause_Paste'!$A$1094:$AZ$1094,1,OC_Txn)))</f>
        <v/>
      </c>
      <c r="M1094">
        <f>IF(OC_Pay=0,"",IF(INDEX('OneCause_Paste'!$A$1094:$AZ$1094,1,OC_Pay)="","",INDEX('OneCause_Paste'!$A$1094:$AZ$1094,1,OC_Pay)))</f>
        <v/>
      </c>
      <c r="N1094">
        <f>IF(I1094="","",IF(ISNUMBER(I1094),INT(I1094),IFERROR(INT(DATEVALUE(I1094)),IFERROR(INT(VALUE(I1094)),"bad"))))</f>
        <v/>
      </c>
      <c r="O1094">
        <f>IF(J1094="","",IF(ISNUMBER(J1094),ROUND(J1094,2),IFERROR(ROUND(VALUE(SUBSTITUTE(SUBSTITUTE(SUBSTITUTE(J1094,"$",""),",","")," ","")),2),"bad")))</f>
        <v/>
      </c>
      <c r="P1094">
        <f>IF(TRIM(K1094)="","",IFERROR(MATCH(LOWER(TRIM(K1094)),'Students'!$AH$2:$AH$701,0),IFERROR(MATCH(LOWER(TRIM(K1094)),'Students'!$AF$2:$AF$701,0),IFERROR(MATCH(LOWER(TRIM(K1094)),'Students'!$AG$2:$AG$701,0),""))))</f>
        <v/>
      </c>
      <c r="R1094">
        <f>IF(P1094="","",INDEX('Students'!$AD$2:$AD$701,P1094))</f>
        <v/>
      </c>
      <c r="S1094">
        <f>IF(H1094="OK",O1094,0)</f>
        <v/>
      </c>
      <c r="T1094">
        <f>IF(H1094="OK",N1094,"")</f>
        <v/>
      </c>
      <c r="U1094">
        <f>IF(OC_Donor=0,"",IF(INDEX('OneCause_Paste'!$A$1094:$AZ$1094,1,OC_Donor)="","",INDEX('OneCause_Paste'!$A$1094:$AZ$1094,1,OC_Donor)))</f>
        <v/>
      </c>
    </row>
    <row r="1095">
      <c r="A1095" s="62">
        <f>IF(H1095="","",IF(ISNUMBER(N1095),N1095,I1095))</f>
        <v/>
      </c>
      <c r="B1095">
        <f>IF(H1095="","",U1095)</f>
        <v/>
      </c>
      <c r="C1095">
        <f>IF(H1095="","",IF(P1095="",K1095,INDEX('Students'!$A$2:$A$701,P1095)))</f>
        <v/>
      </c>
      <c r="D1095">
        <f>IF(OR(H1095="",P1095=""),"",INDEX('Students'!$B$2:$B$701,P1095))</f>
        <v/>
      </c>
      <c r="E1095">
        <f>IF(OR(H1095="",P1095=""),"",INDEX('Students'!$C$2:$C$701,P1095))</f>
        <v/>
      </c>
      <c r="F1095" s="48">
        <f>IF(H1095="","",IF(ISNUMBER(O1095),O1095,J1095))</f>
        <v/>
      </c>
      <c r="G1095">
        <f>IF(H1095="","","OneCause")</f>
        <v/>
      </c>
      <c r="H1095">
        <f>IF(AND(I1095="",J1095="",K1095=""),"",IF(NOT(ISNUMBER(O1095)),"Bad amount",IF(O1095&lt;0,"Refund (not counted)",IF(O1095=0,"Zero amount",IF(NOT(ISNUMBER(N1095)),"Bad date",IF(P1095="","NAME NOT ON ROSTER",IF(L1095="","OK",IF(MATCH(L1095,$L$2:$L$3001,0)&lt;ROW()-1,"Duplicate (ignored)","OK"))))))))</f>
        <v/>
      </c>
      <c r="I1095">
        <f>IF(OC_Date=0,"",IF(INDEX('OneCause_Paste'!$A$1095:$AZ$1095,1,OC_Date)="","",INDEX('OneCause_Paste'!$A$1095:$AZ$1095,1,OC_Date)))</f>
        <v/>
      </c>
      <c r="J1095">
        <f>IF(OC_Amt=0,"",IF(INDEX('OneCause_Paste'!$A$1095:$AZ$1095,1,OC_Amt)="","",INDEX('OneCause_Paste'!$A$1095:$AZ$1095,1,OC_Amt)))</f>
        <v/>
      </c>
      <c r="K1095">
        <f>IF(OC_Name=0,"",IF(INDEX('OneCause_Paste'!$A$1095:$AZ$1095,1,OC_Name)="","",INDEX('OneCause_Paste'!$A$1095:$AZ$1095,1,OC_Name)))</f>
        <v/>
      </c>
      <c r="L1095">
        <f>IF(OC_Txn=0,"",IF(INDEX('OneCause_Paste'!$A$1095:$AZ$1095,1,OC_Txn)="","",INDEX('OneCause_Paste'!$A$1095:$AZ$1095,1,OC_Txn)))</f>
        <v/>
      </c>
      <c r="M1095">
        <f>IF(OC_Pay=0,"",IF(INDEX('OneCause_Paste'!$A$1095:$AZ$1095,1,OC_Pay)="","",INDEX('OneCause_Paste'!$A$1095:$AZ$1095,1,OC_Pay)))</f>
        <v/>
      </c>
      <c r="N1095">
        <f>IF(I1095="","",IF(ISNUMBER(I1095),INT(I1095),IFERROR(INT(DATEVALUE(I1095)),IFERROR(INT(VALUE(I1095)),"bad"))))</f>
        <v/>
      </c>
      <c r="O1095">
        <f>IF(J1095="","",IF(ISNUMBER(J1095),ROUND(J1095,2),IFERROR(ROUND(VALUE(SUBSTITUTE(SUBSTITUTE(SUBSTITUTE(J1095,"$",""),",","")," ","")),2),"bad")))</f>
        <v/>
      </c>
      <c r="P1095">
        <f>IF(TRIM(K1095)="","",IFERROR(MATCH(LOWER(TRIM(K1095)),'Students'!$AH$2:$AH$701,0),IFERROR(MATCH(LOWER(TRIM(K1095)),'Students'!$AF$2:$AF$701,0),IFERROR(MATCH(LOWER(TRIM(K1095)),'Students'!$AG$2:$AG$701,0),""))))</f>
        <v/>
      </c>
      <c r="R1095">
        <f>IF(P1095="","",INDEX('Students'!$AD$2:$AD$701,P1095))</f>
        <v/>
      </c>
      <c r="S1095">
        <f>IF(H1095="OK",O1095,0)</f>
        <v/>
      </c>
      <c r="T1095">
        <f>IF(H1095="OK",N1095,"")</f>
        <v/>
      </c>
      <c r="U1095">
        <f>IF(OC_Donor=0,"",IF(INDEX('OneCause_Paste'!$A$1095:$AZ$1095,1,OC_Donor)="","",INDEX('OneCause_Paste'!$A$1095:$AZ$1095,1,OC_Donor)))</f>
        <v/>
      </c>
    </row>
    <row r="1096">
      <c r="A1096" s="62">
        <f>IF(H1096="","",IF(ISNUMBER(N1096),N1096,I1096))</f>
        <v/>
      </c>
      <c r="B1096">
        <f>IF(H1096="","",U1096)</f>
        <v/>
      </c>
      <c r="C1096">
        <f>IF(H1096="","",IF(P1096="",K1096,INDEX('Students'!$A$2:$A$701,P1096)))</f>
        <v/>
      </c>
      <c r="D1096">
        <f>IF(OR(H1096="",P1096=""),"",INDEX('Students'!$B$2:$B$701,P1096))</f>
        <v/>
      </c>
      <c r="E1096">
        <f>IF(OR(H1096="",P1096=""),"",INDEX('Students'!$C$2:$C$701,P1096))</f>
        <v/>
      </c>
      <c r="F1096" s="48">
        <f>IF(H1096="","",IF(ISNUMBER(O1096),O1096,J1096))</f>
        <v/>
      </c>
      <c r="G1096">
        <f>IF(H1096="","","OneCause")</f>
        <v/>
      </c>
      <c r="H1096">
        <f>IF(AND(I1096="",J1096="",K1096=""),"",IF(NOT(ISNUMBER(O1096)),"Bad amount",IF(O1096&lt;0,"Refund (not counted)",IF(O1096=0,"Zero amount",IF(NOT(ISNUMBER(N1096)),"Bad date",IF(P1096="","NAME NOT ON ROSTER",IF(L1096="","OK",IF(MATCH(L1096,$L$2:$L$3001,0)&lt;ROW()-1,"Duplicate (ignored)","OK"))))))))</f>
        <v/>
      </c>
      <c r="I1096">
        <f>IF(OC_Date=0,"",IF(INDEX('OneCause_Paste'!$A$1096:$AZ$1096,1,OC_Date)="","",INDEX('OneCause_Paste'!$A$1096:$AZ$1096,1,OC_Date)))</f>
        <v/>
      </c>
      <c r="J1096">
        <f>IF(OC_Amt=0,"",IF(INDEX('OneCause_Paste'!$A$1096:$AZ$1096,1,OC_Amt)="","",INDEX('OneCause_Paste'!$A$1096:$AZ$1096,1,OC_Amt)))</f>
        <v/>
      </c>
      <c r="K1096">
        <f>IF(OC_Name=0,"",IF(INDEX('OneCause_Paste'!$A$1096:$AZ$1096,1,OC_Name)="","",INDEX('OneCause_Paste'!$A$1096:$AZ$1096,1,OC_Name)))</f>
        <v/>
      </c>
      <c r="L1096">
        <f>IF(OC_Txn=0,"",IF(INDEX('OneCause_Paste'!$A$1096:$AZ$1096,1,OC_Txn)="","",INDEX('OneCause_Paste'!$A$1096:$AZ$1096,1,OC_Txn)))</f>
        <v/>
      </c>
      <c r="M1096">
        <f>IF(OC_Pay=0,"",IF(INDEX('OneCause_Paste'!$A$1096:$AZ$1096,1,OC_Pay)="","",INDEX('OneCause_Paste'!$A$1096:$AZ$1096,1,OC_Pay)))</f>
        <v/>
      </c>
      <c r="N1096">
        <f>IF(I1096="","",IF(ISNUMBER(I1096),INT(I1096),IFERROR(INT(DATEVALUE(I1096)),IFERROR(INT(VALUE(I1096)),"bad"))))</f>
        <v/>
      </c>
      <c r="O1096">
        <f>IF(J1096="","",IF(ISNUMBER(J1096),ROUND(J1096,2),IFERROR(ROUND(VALUE(SUBSTITUTE(SUBSTITUTE(SUBSTITUTE(J1096,"$",""),",","")," ","")),2),"bad")))</f>
        <v/>
      </c>
      <c r="P1096">
        <f>IF(TRIM(K1096)="","",IFERROR(MATCH(LOWER(TRIM(K1096)),'Students'!$AH$2:$AH$701,0),IFERROR(MATCH(LOWER(TRIM(K1096)),'Students'!$AF$2:$AF$701,0),IFERROR(MATCH(LOWER(TRIM(K1096)),'Students'!$AG$2:$AG$701,0),""))))</f>
        <v/>
      </c>
      <c r="R1096">
        <f>IF(P1096="","",INDEX('Students'!$AD$2:$AD$701,P1096))</f>
        <v/>
      </c>
      <c r="S1096">
        <f>IF(H1096="OK",O1096,0)</f>
        <v/>
      </c>
      <c r="T1096">
        <f>IF(H1096="OK",N1096,"")</f>
        <v/>
      </c>
      <c r="U1096">
        <f>IF(OC_Donor=0,"",IF(INDEX('OneCause_Paste'!$A$1096:$AZ$1096,1,OC_Donor)="","",INDEX('OneCause_Paste'!$A$1096:$AZ$1096,1,OC_Donor)))</f>
        <v/>
      </c>
    </row>
    <row r="1097">
      <c r="A1097" s="62">
        <f>IF(H1097="","",IF(ISNUMBER(N1097),N1097,I1097))</f>
        <v/>
      </c>
      <c r="B1097">
        <f>IF(H1097="","",U1097)</f>
        <v/>
      </c>
      <c r="C1097">
        <f>IF(H1097="","",IF(P1097="",K1097,INDEX('Students'!$A$2:$A$701,P1097)))</f>
        <v/>
      </c>
      <c r="D1097">
        <f>IF(OR(H1097="",P1097=""),"",INDEX('Students'!$B$2:$B$701,P1097))</f>
        <v/>
      </c>
      <c r="E1097">
        <f>IF(OR(H1097="",P1097=""),"",INDEX('Students'!$C$2:$C$701,P1097))</f>
        <v/>
      </c>
      <c r="F1097" s="48">
        <f>IF(H1097="","",IF(ISNUMBER(O1097),O1097,J1097))</f>
        <v/>
      </c>
      <c r="G1097">
        <f>IF(H1097="","","OneCause")</f>
        <v/>
      </c>
      <c r="H1097">
        <f>IF(AND(I1097="",J1097="",K1097=""),"",IF(NOT(ISNUMBER(O1097)),"Bad amount",IF(O1097&lt;0,"Refund (not counted)",IF(O1097=0,"Zero amount",IF(NOT(ISNUMBER(N1097)),"Bad date",IF(P1097="","NAME NOT ON ROSTER",IF(L1097="","OK",IF(MATCH(L1097,$L$2:$L$3001,0)&lt;ROW()-1,"Duplicate (ignored)","OK"))))))))</f>
        <v/>
      </c>
      <c r="I1097">
        <f>IF(OC_Date=0,"",IF(INDEX('OneCause_Paste'!$A$1097:$AZ$1097,1,OC_Date)="","",INDEX('OneCause_Paste'!$A$1097:$AZ$1097,1,OC_Date)))</f>
        <v/>
      </c>
      <c r="J1097">
        <f>IF(OC_Amt=0,"",IF(INDEX('OneCause_Paste'!$A$1097:$AZ$1097,1,OC_Amt)="","",INDEX('OneCause_Paste'!$A$1097:$AZ$1097,1,OC_Amt)))</f>
        <v/>
      </c>
      <c r="K1097">
        <f>IF(OC_Name=0,"",IF(INDEX('OneCause_Paste'!$A$1097:$AZ$1097,1,OC_Name)="","",INDEX('OneCause_Paste'!$A$1097:$AZ$1097,1,OC_Name)))</f>
        <v/>
      </c>
      <c r="L1097">
        <f>IF(OC_Txn=0,"",IF(INDEX('OneCause_Paste'!$A$1097:$AZ$1097,1,OC_Txn)="","",INDEX('OneCause_Paste'!$A$1097:$AZ$1097,1,OC_Txn)))</f>
        <v/>
      </c>
      <c r="M1097">
        <f>IF(OC_Pay=0,"",IF(INDEX('OneCause_Paste'!$A$1097:$AZ$1097,1,OC_Pay)="","",INDEX('OneCause_Paste'!$A$1097:$AZ$1097,1,OC_Pay)))</f>
        <v/>
      </c>
      <c r="N1097">
        <f>IF(I1097="","",IF(ISNUMBER(I1097),INT(I1097),IFERROR(INT(DATEVALUE(I1097)),IFERROR(INT(VALUE(I1097)),"bad"))))</f>
        <v/>
      </c>
      <c r="O1097">
        <f>IF(J1097="","",IF(ISNUMBER(J1097),ROUND(J1097,2),IFERROR(ROUND(VALUE(SUBSTITUTE(SUBSTITUTE(SUBSTITUTE(J1097,"$",""),",","")," ","")),2),"bad")))</f>
        <v/>
      </c>
      <c r="P1097">
        <f>IF(TRIM(K1097)="","",IFERROR(MATCH(LOWER(TRIM(K1097)),'Students'!$AH$2:$AH$701,0),IFERROR(MATCH(LOWER(TRIM(K1097)),'Students'!$AF$2:$AF$701,0),IFERROR(MATCH(LOWER(TRIM(K1097)),'Students'!$AG$2:$AG$701,0),""))))</f>
        <v/>
      </c>
      <c r="R1097">
        <f>IF(P1097="","",INDEX('Students'!$AD$2:$AD$701,P1097))</f>
        <v/>
      </c>
      <c r="S1097">
        <f>IF(H1097="OK",O1097,0)</f>
        <v/>
      </c>
      <c r="T1097">
        <f>IF(H1097="OK",N1097,"")</f>
        <v/>
      </c>
      <c r="U1097">
        <f>IF(OC_Donor=0,"",IF(INDEX('OneCause_Paste'!$A$1097:$AZ$1097,1,OC_Donor)="","",INDEX('OneCause_Paste'!$A$1097:$AZ$1097,1,OC_Donor)))</f>
        <v/>
      </c>
    </row>
    <row r="1098">
      <c r="A1098" s="62">
        <f>IF(H1098="","",IF(ISNUMBER(N1098),N1098,I1098))</f>
        <v/>
      </c>
      <c r="B1098">
        <f>IF(H1098="","",U1098)</f>
        <v/>
      </c>
      <c r="C1098">
        <f>IF(H1098="","",IF(P1098="",K1098,INDEX('Students'!$A$2:$A$701,P1098)))</f>
        <v/>
      </c>
      <c r="D1098">
        <f>IF(OR(H1098="",P1098=""),"",INDEX('Students'!$B$2:$B$701,P1098))</f>
        <v/>
      </c>
      <c r="E1098">
        <f>IF(OR(H1098="",P1098=""),"",INDEX('Students'!$C$2:$C$701,P1098))</f>
        <v/>
      </c>
      <c r="F1098" s="48">
        <f>IF(H1098="","",IF(ISNUMBER(O1098),O1098,J1098))</f>
        <v/>
      </c>
      <c r="G1098">
        <f>IF(H1098="","","OneCause")</f>
        <v/>
      </c>
      <c r="H1098">
        <f>IF(AND(I1098="",J1098="",K1098=""),"",IF(NOT(ISNUMBER(O1098)),"Bad amount",IF(O1098&lt;0,"Refund (not counted)",IF(O1098=0,"Zero amount",IF(NOT(ISNUMBER(N1098)),"Bad date",IF(P1098="","NAME NOT ON ROSTER",IF(L1098="","OK",IF(MATCH(L1098,$L$2:$L$3001,0)&lt;ROW()-1,"Duplicate (ignored)","OK"))))))))</f>
        <v/>
      </c>
      <c r="I1098">
        <f>IF(OC_Date=0,"",IF(INDEX('OneCause_Paste'!$A$1098:$AZ$1098,1,OC_Date)="","",INDEX('OneCause_Paste'!$A$1098:$AZ$1098,1,OC_Date)))</f>
        <v/>
      </c>
      <c r="J1098">
        <f>IF(OC_Amt=0,"",IF(INDEX('OneCause_Paste'!$A$1098:$AZ$1098,1,OC_Amt)="","",INDEX('OneCause_Paste'!$A$1098:$AZ$1098,1,OC_Amt)))</f>
        <v/>
      </c>
      <c r="K1098">
        <f>IF(OC_Name=0,"",IF(INDEX('OneCause_Paste'!$A$1098:$AZ$1098,1,OC_Name)="","",INDEX('OneCause_Paste'!$A$1098:$AZ$1098,1,OC_Name)))</f>
        <v/>
      </c>
      <c r="L1098">
        <f>IF(OC_Txn=0,"",IF(INDEX('OneCause_Paste'!$A$1098:$AZ$1098,1,OC_Txn)="","",INDEX('OneCause_Paste'!$A$1098:$AZ$1098,1,OC_Txn)))</f>
        <v/>
      </c>
      <c r="M1098">
        <f>IF(OC_Pay=0,"",IF(INDEX('OneCause_Paste'!$A$1098:$AZ$1098,1,OC_Pay)="","",INDEX('OneCause_Paste'!$A$1098:$AZ$1098,1,OC_Pay)))</f>
        <v/>
      </c>
      <c r="N1098">
        <f>IF(I1098="","",IF(ISNUMBER(I1098),INT(I1098),IFERROR(INT(DATEVALUE(I1098)),IFERROR(INT(VALUE(I1098)),"bad"))))</f>
        <v/>
      </c>
      <c r="O1098">
        <f>IF(J1098="","",IF(ISNUMBER(J1098),ROUND(J1098,2),IFERROR(ROUND(VALUE(SUBSTITUTE(SUBSTITUTE(SUBSTITUTE(J1098,"$",""),",","")," ","")),2),"bad")))</f>
        <v/>
      </c>
      <c r="P1098">
        <f>IF(TRIM(K1098)="","",IFERROR(MATCH(LOWER(TRIM(K1098)),'Students'!$AH$2:$AH$701,0),IFERROR(MATCH(LOWER(TRIM(K1098)),'Students'!$AF$2:$AF$701,0),IFERROR(MATCH(LOWER(TRIM(K1098)),'Students'!$AG$2:$AG$701,0),""))))</f>
        <v/>
      </c>
      <c r="R1098">
        <f>IF(P1098="","",INDEX('Students'!$AD$2:$AD$701,P1098))</f>
        <v/>
      </c>
      <c r="S1098">
        <f>IF(H1098="OK",O1098,0)</f>
        <v/>
      </c>
      <c r="T1098">
        <f>IF(H1098="OK",N1098,"")</f>
        <v/>
      </c>
      <c r="U1098">
        <f>IF(OC_Donor=0,"",IF(INDEX('OneCause_Paste'!$A$1098:$AZ$1098,1,OC_Donor)="","",INDEX('OneCause_Paste'!$A$1098:$AZ$1098,1,OC_Donor)))</f>
        <v/>
      </c>
    </row>
    <row r="1099">
      <c r="A1099" s="62">
        <f>IF(H1099="","",IF(ISNUMBER(N1099),N1099,I1099))</f>
        <v/>
      </c>
      <c r="B1099">
        <f>IF(H1099="","",U1099)</f>
        <v/>
      </c>
      <c r="C1099">
        <f>IF(H1099="","",IF(P1099="",K1099,INDEX('Students'!$A$2:$A$701,P1099)))</f>
        <v/>
      </c>
      <c r="D1099">
        <f>IF(OR(H1099="",P1099=""),"",INDEX('Students'!$B$2:$B$701,P1099))</f>
        <v/>
      </c>
      <c r="E1099">
        <f>IF(OR(H1099="",P1099=""),"",INDEX('Students'!$C$2:$C$701,P1099))</f>
        <v/>
      </c>
      <c r="F1099" s="48">
        <f>IF(H1099="","",IF(ISNUMBER(O1099),O1099,J1099))</f>
        <v/>
      </c>
      <c r="G1099">
        <f>IF(H1099="","","OneCause")</f>
        <v/>
      </c>
      <c r="H1099">
        <f>IF(AND(I1099="",J1099="",K1099=""),"",IF(NOT(ISNUMBER(O1099)),"Bad amount",IF(O1099&lt;0,"Refund (not counted)",IF(O1099=0,"Zero amount",IF(NOT(ISNUMBER(N1099)),"Bad date",IF(P1099="","NAME NOT ON ROSTER",IF(L1099="","OK",IF(MATCH(L1099,$L$2:$L$3001,0)&lt;ROW()-1,"Duplicate (ignored)","OK"))))))))</f>
        <v/>
      </c>
      <c r="I1099">
        <f>IF(OC_Date=0,"",IF(INDEX('OneCause_Paste'!$A$1099:$AZ$1099,1,OC_Date)="","",INDEX('OneCause_Paste'!$A$1099:$AZ$1099,1,OC_Date)))</f>
        <v/>
      </c>
      <c r="J1099">
        <f>IF(OC_Amt=0,"",IF(INDEX('OneCause_Paste'!$A$1099:$AZ$1099,1,OC_Amt)="","",INDEX('OneCause_Paste'!$A$1099:$AZ$1099,1,OC_Amt)))</f>
        <v/>
      </c>
      <c r="K1099">
        <f>IF(OC_Name=0,"",IF(INDEX('OneCause_Paste'!$A$1099:$AZ$1099,1,OC_Name)="","",INDEX('OneCause_Paste'!$A$1099:$AZ$1099,1,OC_Name)))</f>
        <v/>
      </c>
      <c r="L1099">
        <f>IF(OC_Txn=0,"",IF(INDEX('OneCause_Paste'!$A$1099:$AZ$1099,1,OC_Txn)="","",INDEX('OneCause_Paste'!$A$1099:$AZ$1099,1,OC_Txn)))</f>
        <v/>
      </c>
      <c r="M1099">
        <f>IF(OC_Pay=0,"",IF(INDEX('OneCause_Paste'!$A$1099:$AZ$1099,1,OC_Pay)="","",INDEX('OneCause_Paste'!$A$1099:$AZ$1099,1,OC_Pay)))</f>
        <v/>
      </c>
      <c r="N1099">
        <f>IF(I1099="","",IF(ISNUMBER(I1099),INT(I1099),IFERROR(INT(DATEVALUE(I1099)),IFERROR(INT(VALUE(I1099)),"bad"))))</f>
        <v/>
      </c>
      <c r="O1099">
        <f>IF(J1099="","",IF(ISNUMBER(J1099),ROUND(J1099,2),IFERROR(ROUND(VALUE(SUBSTITUTE(SUBSTITUTE(SUBSTITUTE(J1099,"$",""),",","")," ","")),2),"bad")))</f>
        <v/>
      </c>
      <c r="P1099">
        <f>IF(TRIM(K1099)="","",IFERROR(MATCH(LOWER(TRIM(K1099)),'Students'!$AH$2:$AH$701,0),IFERROR(MATCH(LOWER(TRIM(K1099)),'Students'!$AF$2:$AF$701,0),IFERROR(MATCH(LOWER(TRIM(K1099)),'Students'!$AG$2:$AG$701,0),""))))</f>
        <v/>
      </c>
      <c r="R1099">
        <f>IF(P1099="","",INDEX('Students'!$AD$2:$AD$701,P1099))</f>
        <v/>
      </c>
      <c r="S1099">
        <f>IF(H1099="OK",O1099,0)</f>
        <v/>
      </c>
      <c r="T1099">
        <f>IF(H1099="OK",N1099,"")</f>
        <v/>
      </c>
      <c r="U1099">
        <f>IF(OC_Donor=0,"",IF(INDEX('OneCause_Paste'!$A$1099:$AZ$1099,1,OC_Donor)="","",INDEX('OneCause_Paste'!$A$1099:$AZ$1099,1,OC_Donor)))</f>
        <v/>
      </c>
    </row>
    <row r="1100">
      <c r="A1100" s="62">
        <f>IF(H1100="","",IF(ISNUMBER(N1100),N1100,I1100))</f>
        <v/>
      </c>
      <c r="B1100">
        <f>IF(H1100="","",U1100)</f>
        <v/>
      </c>
      <c r="C1100">
        <f>IF(H1100="","",IF(P1100="",K1100,INDEX('Students'!$A$2:$A$701,P1100)))</f>
        <v/>
      </c>
      <c r="D1100">
        <f>IF(OR(H1100="",P1100=""),"",INDEX('Students'!$B$2:$B$701,P1100))</f>
        <v/>
      </c>
      <c r="E1100">
        <f>IF(OR(H1100="",P1100=""),"",INDEX('Students'!$C$2:$C$701,P1100))</f>
        <v/>
      </c>
      <c r="F1100" s="48">
        <f>IF(H1100="","",IF(ISNUMBER(O1100),O1100,J1100))</f>
        <v/>
      </c>
      <c r="G1100">
        <f>IF(H1100="","","OneCause")</f>
        <v/>
      </c>
      <c r="H1100">
        <f>IF(AND(I1100="",J1100="",K1100=""),"",IF(NOT(ISNUMBER(O1100)),"Bad amount",IF(O1100&lt;0,"Refund (not counted)",IF(O1100=0,"Zero amount",IF(NOT(ISNUMBER(N1100)),"Bad date",IF(P1100="","NAME NOT ON ROSTER",IF(L1100="","OK",IF(MATCH(L1100,$L$2:$L$3001,0)&lt;ROW()-1,"Duplicate (ignored)","OK"))))))))</f>
        <v/>
      </c>
      <c r="I1100">
        <f>IF(OC_Date=0,"",IF(INDEX('OneCause_Paste'!$A$1100:$AZ$1100,1,OC_Date)="","",INDEX('OneCause_Paste'!$A$1100:$AZ$1100,1,OC_Date)))</f>
        <v/>
      </c>
      <c r="J1100">
        <f>IF(OC_Amt=0,"",IF(INDEX('OneCause_Paste'!$A$1100:$AZ$1100,1,OC_Amt)="","",INDEX('OneCause_Paste'!$A$1100:$AZ$1100,1,OC_Amt)))</f>
        <v/>
      </c>
      <c r="K1100">
        <f>IF(OC_Name=0,"",IF(INDEX('OneCause_Paste'!$A$1100:$AZ$1100,1,OC_Name)="","",INDEX('OneCause_Paste'!$A$1100:$AZ$1100,1,OC_Name)))</f>
        <v/>
      </c>
      <c r="L1100">
        <f>IF(OC_Txn=0,"",IF(INDEX('OneCause_Paste'!$A$1100:$AZ$1100,1,OC_Txn)="","",INDEX('OneCause_Paste'!$A$1100:$AZ$1100,1,OC_Txn)))</f>
        <v/>
      </c>
      <c r="M1100">
        <f>IF(OC_Pay=0,"",IF(INDEX('OneCause_Paste'!$A$1100:$AZ$1100,1,OC_Pay)="","",INDEX('OneCause_Paste'!$A$1100:$AZ$1100,1,OC_Pay)))</f>
        <v/>
      </c>
      <c r="N1100">
        <f>IF(I1100="","",IF(ISNUMBER(I1100),INT(I1100),IFERROR(INT(DATEVALUE(I1100)),IFERROR(INT(VALUE(I1100)),"bad"))))</f>
        <v/>
      </c>
      <c r="O1100">
        <f>IF(J1100="","",IF(ISNUMBER(J1100),ROUND(J1100,2),IFERROR(ROUND(VALUE(SUBSTITUTE(SUBSTITUTE(SUBSTITUTE(J1100,"$",""),",","")," ","")),2),"bad")))</f>
        <v/>
      </c>
      <c r="P1100">
        <f>IF(TRIM(K1100)="","",IFERROR(MATCH(LOWER(TRIM(K1100)),'Students'!$AH$2:$AH$701,0),IFERROR(MATCH(LOWER(TRIM(K1100)),'Students'!$AF$2:$AF$701,0),IFERROR(MATCH(LOWER(TRIM(K1100)),'Students'!$AG$2:$AG$701,0),""))))</f>
        <v/>
      </c>
      <c r="R1100">
        <f>IF(P1100="","",INDEX('Students'!$AD$2:$AD$701,P1100))</f>
        <v/>
      </c>
      <c r="S1100">
        <f>IF(H1100="OK",O1100,0)</f>
        <v/>
      </c>
      <c r="T1100">
        <f>IF(H1100="OK",N1100,"")</f>
        <v/>
      </c>
      <c r="U1100">
        <f>IF(OC_Donor=0,"",IF(INDEX('OneCause_Paste'!$A$1100:$AZ$1100,1,OC_Donor)="","",INDEX('OneCause_Paste'!$A$1100:$AZ$1100,1,OC_Donor)))</f>
        <v/>
      </c>
    </row>
    <row r="1101">
      <c r="A1101" s="62">
        <f>IF(H1101="","",IF(ISNUMBER(N1101),N1101,I1101))</f>
        <v/>
      </c>
      <c r="B1101">
        <f>IF(H1101="","",U1101)</f>
        <v/>
      </c>
      <c r="C1101">
        <f>IF(H1101="","",IF(P1101="",K1101,INDEX('Students'!$A$2:$A$701,P1101)))</f>
        <v/>
      </c>
      <c r="D1101">
        <f>IF(OR(H1101="",P1101=""),"",INDEX('Students'!$B$2:$B$701,P1101))</f>
        <v/>
      </c>
      <c r="E1101">
        <f>IF(OR(H1101="",P1101=""),"",INDEX('Students'!$C$2:$C$701,P1101))</f>
        <v/>
      </c>
      <c r="F1101" s="48">
        <f>IF(H1101="","",IF(ISNUMBER(O1101),O1101,J1101))</f>
        <v/>
      </c>
      <c r="G1101">
        <f>IF(H1101="","","OneCause")</f>
        <v/>
      </c>
      <c r="H1101">
        <f>IF(AND(I1101="",J1101="",K1101=""),"",IF(NOT(ISNUMBER(O1101)),"Bad amount",IF(O1101&lt;0,"Refund (not counted)",IF(O1101=0,"Zero amount",IF(NOT(ISNUMBER(N1101)),"Bad date",IF(P1101="","NAME NOT ON ROSTER",IF(L1101="","OK",IF(MATCH(L1101,$L$2:$L$3001,0)&lt;ROW()-1,"Duplicate (ignored)","OK"))))))))</f>
        <v/>
      </c>
      <c r="I1101">
        <f>IF(OC_Date=0,"",IF(INDEX('OneCause_Paste'!$A$1101:$AZ$1101,1,OC_Date)="","",INDEX('OneCause_Paste'!$A$1101:$AZ$1101,1,OC_Date)))</f>
        <v/>
      </c>
      <c r="J1101">
        <f>IF(OC_Amt=0,"",IF(INDEX('OneCause_Paste'!$A$1101:$AZ$1101,1,OC_Amt)="","",INDEX('OneCause_Paste'!$A$1101:$AZ$1101,1,OC_Amt)))</f>
        <v/>
      </c>
      <c r="K1101">
        <f>IF(OC_Name=0,"",IF(INDEX('OneCause_Paste'!$A$1101:$AZ$1101,1,OC_Name)="","",INDEX('OneCause_Paste'!$A$1101:$AZ$1101,1,OC_Name)))</f>
        <v/>
      </c>
      <c r="L1101">
        <f>IF(OC_Txn=0,"",IF(INDEX('OneCause_Paste'!$A$1101:$AZ$1101,1,OC_Txn)="","",INDEX('OneCause_Paste'!$A$1101:$AZ$1101,1,OC_Txn)))</f>
        <v/>
      </c>
      <c r="M1101">
        <f>IF(OC_Pay=0,"",IF(INDEX('OneCause_Paste'!$A$1101:$AZ$1101,1,OC_Pay)="","",INDEX('OneCause_Paste'!$A$1101:$AZ$1101,1,OC_Pay)))</f>
        <v/>
      </c>
      <c r="N1101">
        <f>IF(I1101="","",IF(ISNUMBER(I1101),INT(I1101),IFERROR(INT(DATEVALUE(I1101)),IFERROR(INT(VALUE(I1101)),"bad"))))</f>
        <v/>
      </c>
      <c r="O1101">
        <f>IF(J1101="","",IF(ISNUMBER(J1101),ROUND(J1101,2),IFERROR(ROUND(VALUE(SUBSTITUTE(SUBSTITUTE(SUBSTITUTE(J1101,"$",""),",","")," ","")),2),"bad")))</f>
        <v/>
      </c>
      <c r="P1101">
        <f>IF(TRIM(K1101)="","",IFERROR(MATCH(LOWER(TRIM(K1101)),'Students'!$AH$2:$AH$701,0),IFERROR(MATCH(LOWER(TRIM(K1101)),'Students'!$AF$2:$AF$701,0),IFERROR(MATCH(LOWER(TRIM(K1101)),'Students'!$AG$2:$AG$701,0),""))))</f>
        <v/>
      </c>
      <c r="R1101">
        <f>IF(P1101="","",INDEX('Students'!$AD$2:$AD$701,P1101))</f>
        <v/>
      </c>
      <c r="S1101">
        <f>IF(H1101="OK",O1101,0)</f>
        <v/>
      </c>
      <c r="T1101">
        <f>IF(H1101="OK",N1101,"")</f>
        <v/>
      </c>
      <c r="U1101">
        <f>IF(OC_Donor=0,"",IF(INDEX('OneCause_Paste'!$A$1101:$AZ$1101,1,OC_Donor)="","",INDEX('OneCause_Paste'!$A$1101:$AZ$1101,1,OC_Donor)))</f>
        <v/>
      </c>
    </row>
    <row r="1102">
      <c r="A1102" s="62">
        <f>IF(H1102="","",IF(ISNUMBER(N1102),N1102,I1102))</f>
        <v/>
      </c>
      <c r="B1102">
        <f>IF(H1102="","",U1102)</f>
        <v/>
      </c>
      <c r="C1102">
        <f>IF(H1102="","",IF(P1102="",K1102,INDEX('Students'!$A$2:$A$701,P1102)))</f>
        <v/>
      </c>
      <c r="D1102">
        <f>IF(OR(H1102="",P1102=""),"",INDEX('Students'!$B$2:$B$701,P1102))</f>
        <v/>
      </c>
      <c r="E1102">
        <f>IF(OR(H1102="",P1102=""),"",INDEX('Students'!$C$2:$C$701,P1102))</f>
        <v/>
      </c>
      <c r="F1102" s="48">
        <f>IF(H1102="","",IF(ISNUMBER(O1102),O1102,J1102))</f>
        <v/>
      </c>
      <c r="G1102">
        <f>IF(H1102="","","OneCause")</f>
        <v/>
      </c>
      <c r="H1102">
        <f>IF(AND(I1102="",J1102="",K1102=""),"",IF(NOT(ISNUMBER(O1102)),"Bad amount",IF(O1102&lt;0,"Refund (not counted)",IF(O1102=0,"Zero amount",IF(NOT(ISNUMBER(N1102)),"Bad date",IF(P1102="","NAME NOT ON ROSTER",IF(L1102="","OK",IF(MATCH(L1102,$L$2:$L$3001,0)&lt;ROW()-1,"Duplicate (ignored)","OK"))))))))</f>
        <v/>
      </c>
      <c r="I1102">
        <f>IF(OC_Date=0,"",IF(INDEX('OneCause_Paste'!$A$1102:$AZ$1102,1,OC_Date)="","",INDEX('OneCause_Paste'!$A$1102:$AZ$1102,1,OC_Date)))</f>
        <v/>
      </c>
      <c r="J1102">
        <f>IF(OC_Amt=0,"",IF(INDEX('OneCause_Paste'!$A$1102:$AZ$1102,1,OC_Amt)="","",INDEX('OneCause_Paste'!$A$1102:$AZ$1102,1,OC_Amt)))</f>
        <v/>
      </c>
      <c r="K1102">
        <f>IF(OC_Name=0,"",IF(INDEX('OneCause_Paste'!$A$1102:$AZ$1102,1,OC_Name)="","",INDEX('OneCause_Paste'!$A$1102:$AZ$1102,1,OC_Name)))</f>
        <v/>
      </c>
      <c r="L1102">
        <f>IF(OC_Txn=0,"",IF(INDEX('OneCause_Paste'!$A$1102:$AZ$1102,1,OC_Txn)="","",INDEX('OneCause_Paste'!$A$1102:$AZ$1102,1,OC_Txn)))</f>
        <v/>
      </c>
      <c r="M1102">
        <f>IF(OC_Pay=0,"",IF(INDEX('OneCause_Paste'!$A$1102:$AZ$1102,1,OC_Pay)="","",INDEX('OneCause_Paste'!$A$1102:$AZ$1102,1,OC_Pay)))</f>
        <v/>
      </c>
      <c r="N1102">
        <f>IF(I1102="","",IF(ISNUMBER(I1102),INT(I1102),IFERROR(INT(DATEVALUE(I1102)),IFERROR(INT(VALUE(I1102)),"bad"))))</f>
        <v/>
      </c>
      <c r="O1102">
        <f>IF(J1102="","",IF(ISNUMBER(J1102),ROUND(J1102,2),IFERROR(ROUND(VALUE(SUBSTITUTE(SUBSTITUTE(SUBSTITUTE(J1102,"$",""),",","")," ","")),2),"bad")))</f>
        <v/>
      </c>
      <c r="P1102">
        <f>IF(TRIM(K1102)="","",IFERROR(MATCH(LOWER(TRIM(K1102)),'Students'!$AH$2:$AH$701,0),IFERROR(MATCH(LOWER(TRIM(K1102)),'Students'!$AF$2:$AF$701,0),IFERROR(MATCH(LOWER(TRIM(K1102)),'Students'!$AG$2:$AG$701,0),""))))</f>
        <v/>
      </c>
      <c r="R1102">
        <f>IF(P1102="","",INDEX('Students'!$AD$2:$AD$701,P1102))</f>
        <v/>
      </c>
      <c r="S1102">
        <f>IF(H1102="OK",O1102,0)</f>
        <v/>
      </c>
      <c r="T1102">
        <f>IF(H1102="OK",N1102,"")</f>
        <v/>
      </c>
      <c r="U1102">
        <f>IF(OC_Donor=0,"",IF(INDEX('OneCause_Paste'!$A$1102:$AZ$1102,1,OC_Donor)="","",INDEX('OneCause_Paste'!$A$1102:$AZ$1102,1,OC_Donor)))</f>
        <v/>
      </c>
    </row>
    <row r="1103">
      <c r="A1103" s="62">
        <f>IF(H1103="","",IF(ISNUMBER(N1103),N1103,I1103))</f>
        <v/>
      </c>
      <c r="B1103">
        <f>IF(H1103="","",U1103)</f>
        <v/>
      </c>
      <c r="C1103">
        <f>IF(H1103="","",IF(P1103="",K1103,INDEX('Students'!$A$2:$A$701,P1103)))</f>
        <v/>
      </c>
      <c r="D1103">
        <f>IF(OR(H1103="",P1103=""),"",INDEX('Students'!$B$2:$B$701,P1103))</f>
        <v/>
      </c>
      <c r="E1103">
        <f>IF(OR(H1103="",P1103=""),"",INDEX('Students'!$C$2:$C$701,P1103))</f>
        <v/>
      </c>
      <c r="F1103" s="48">
        <f>IF(H1103="","",IF(ISNUMBER(O1103),O1103,J1103))</f>
        <v/>
      </c>
      <c r="G1103">
        <f>IF(H1103="","","OneCause")</f>
        <v/>
      </c>
      <c r="H1103">
        <f>IF(AND(I1103="",J1103="",K1103=""),"",IF(NOT(ISNUMBER(O1103)),"Bad amount",IF(O1103&lt;0,"Refund (not counted)",IF(O1103=0,"Zero amount",IF(NOT(ISNUMBER(N1103)),"Bad date",IF(P1103="","NAME NOT ON ROSTER",IF(L1103="","OK",IF(MATCH(L1103,$L$2:$L$3001,0)&lt;ROW()-1,"Duplicate (ignored)","OK"))))))))</f>
        <v/>
      </c>
      <c r="I1103">
        <f>IF(OC_Date=0,"",IF(INDEX('OneCause_Paste'!$A$1103:$AZ$1103,1,OC_Date)="","",INDEX('OneCause_Paste'!$A$1103:$AZ$1103,1,OC_Date)))</f>
        <v/>
      </c>
      <c r="J1103">
        <f>IF(OC_Amt=0,"",IF(INDEX('OneCause_Paste'!$A$1103:$AZ$1103,1,OC_Amt)="","",INDEX('OneCause_Paste'!$A$1103:$AZ$1103,1,OC_Amt)))</f>
        <v/>
      </c>
      <c r="K1103">
        <f>IF(OC_Name=0,"",IF(INDEX('OneCause_Paste'!$A$1103:$AZ$1103,1,OC_Name)="","",INDEX('OneCause_Paste'!$A$1103:$AZ$1103,1,OC_Name)))</f>
        <v/>
      </c>
      <c r="L1103">
        <f>IF(OC_Txn=0,"",IF(INDEX('OneCause_Paste'!$A$1103:$AZ$1103,1,OC_Txn)="","",INDEX('OneCause_Paste'!$A$1103:$AZ$1103,1,OC_Txn)))</f>
        <v/>
      </c>
      <c r="M1103">
        <f>IF(OC_Pay=0,"",IF(INDEX('OneCause_Paste'!$A$1103:$AZ$1103,1,OC_Pay)="","",INDEX('OneCause_Paste'!$A$1103:$AZ$1103,1,OC_Pay)))</f>
        <v/>
      </c>
      <c r="N1103">
        <f>IF(I1103="","",IF(ISNUMBER(I1103),INT(I1103),IFERROR(INT(DATEVALUE(I1103)),IFERROR(INT(VALUE(I1103)),"bad"))))</f>
        <v/>
      </c>
      <c r="O1103">
        <f>IF(J1103="","",IF(ISNUMBER(J1103),ROUND(J1103,2),IFERROR(ROUND(VALUE(SUBSTITUTE(SUBSTITUTE(SUBSTITUTE(J1103,"$",""),",","")," ","")),2),"bad")))</f>
        <v/>
      </c>
      <c r="P1103">
        <f>IF(TRIM(K1103)="","",IFERROR(MATCH(LOWER(TRIM(K1103)),'Students'!$AH$2:$AH$701,0),IFERROR(MATCH(LOWER(TRIM(K1103)),'Students'!$AF$2:$AF$701,0),IFERROR(MATCH(LOWER(TRIM(K1103)),'Students'!$AG$2:$AG$701,0),""))))</f>
        <v/>
      </c>
      <c r="R1103">
        <f>IF(P1103="","",INDEX('Students'!$AD$2:$AD$701,P1103))</f>
        <v/>
      </c>
      <c r="S1103">
        <f>IF(H1103="OK",O1103,0)</f>
        <v/>
      </c>
      <c r="T1103">
        <f>IF(H1103="OK",N1103,"")</f>
        <v/>
      </c>
      <c r="U1103">
        <f>IF(OC_Donor=0,"",IF(INDEX('OneCause_Paste'!$A$1103:$AZ$1103,1,OC_Donor)="","",INDEX('OneCause_Paste'!$A$1103:$AZ$1103,1,OC_Donor)))</f>
        <v/>
      </c>
    </row>
    <row r="1104">
      <c r="A1104" s="62">
        <f>IF(H1104="","",IF(ISNUMBER(N1104),N1104,I1104))</f>
        <v/>
      </c>
      <c r="B1104">
        <f>IF(H1104="","",U1104)</f>
        <v/>
      </c>
      <c r="C1104">
        <f>IF(H1104="","",IF(P1104="",K1104,INDEX('Students'!$A$2:$A$701,P1104)))</f>
        <v/>
      </c>
      <c r="D1104">
        <f>IF(OR(H1104="",P1104=""),"",INDEX('Students'!$B$2:$B$701,P1104))</f>
        <v/>
      </c>
      <c r="E1104">
        <f>IF(OR(H1104="",P1104=""),"",INDEX('Students'!$C$2:$C$701,P1104))</f>
        <v/>
      </c>
      <c r="F1104" s="48">
        <f>IF(H1104="","",IF(ISNUMBER(O1104),O1104,J1104))</f>
        <v/>
      </c>
      <c r="G1104">
        <f>IF(H1104="","","OneCause")</f>
        <v/>
      </c>
      <c r="H1104">
        <f>IF(AND(I1104="",J1104="",K1104=""),"",IF(NOT(ISNUMBER(O1104)),"Bad amount",IF(O1104&lt;0,"Refund (not counted)",IF(O1104=0,"Zero amount",IF(NOT(ISNUMBER(N1104)),"Bad date",IF(P1104="","NAME NOT ON ROSTER",IF(L1104="","OK",IF(MATCH(L1104,$L$2:$L$3001,0)&lt;ROW()-1,"Duplicate (ignored)","OK"))))))))</f>
        <v/>
      </c>
      <c r="I1104">
        <f>IF(OC_Date=0,"",IF(INDEX('OneCause_Paste'!$A$1104:$AZ$1104,1,OC_Date)="","",INDEX('OneCause_Paste'!$A$1104:$AZ$1104,1,OC_Date)))</f>
        <v/>
      </c>
      <c r="J1104">
        <f>IF(OC_Amt=0,"",IF(INDEX('OneCause_Paste'!$A$1104:$AZ$1104,1,OC_Amt)="","",INDEX('OneCause_Paste'!$A$1104:$AZ$1104,1,OC_Amt)))</f>
        <v/>
      </c>
      <c r="K1104">
        <f>IF(OC_Name=0,"",IF(INDEX('OneCause_Paste'!$A$1104:$AZ$1104,1,OC_Name)="","",INDEX('OneCause_Paste'!$A$1104:$AZ$1104,1,OC_Name)))</f>
        <v/>
      </c>
      <c r="L1104">
        <f>IF(OC_Txn=0,"",IF(INDEX('OneCause_Paste'!$A$1104:$AZ$1104,1,OC_Txn)="","",INDEX('OneCause_Paste'!$A$1104:$AZ$1104,1,OC_Txn)))</f>
        <v/>
      </c>
      <c r="M1104">
        <f>IF(OC_Pay=0,"",IF(INDEX('OneCause_Paste'!$A$1104:$AZ$1104,1,OC_Pay)="","",INDEX('OneCause_Paste'!$A$1104:$AZ$1104,1,OC_Pay)))</f>
        <v/>
      </c>
      <c r="N1104">
        <f>IF(I1104="","",IF(ISNUMBER(I1104),INT(I1104),IFERROR(INT(DATEVALUE(I1104)),IFERROR(INT(VALUE(I1104)),"bad"))))</f>
        <v/>
      </c>
      <c r="O1104">
        <f>IF(J1104="","",IF(ISNUMBER(J1104),ROUND(J1104,2),IFERROR(ROUND(VALUE(SUBSTITUTE(SUBSTITUTE(SUBSTITUTE(J1104,"$",""),",","")," ","")),2),"bad")))</f>
        <v/>
      </c>
      <c r="P1104">
        <f>IF(TRIM(K1104)="","",IFERROR(MATCH(LOWER(TRIM(K1104)),'Students'!$AH$2:$AH$701,0),IFERROR(MATCH(LOWER(TRIM(K1104)),'Students'!$AF$2:$AF$701,0),IFERROR(MATCH(LOWER(TRIM(K1104)),'Students'!$AG$2:$AG$701,0),""))))</f>
        <v/>
      </c>
      <c r="R1104">
        <f>IF(P1104="","",INDEX('Students'!$AD$2:$AD$701,P1104))</f>
        <v/>
      </c>
      <c r="S1104">
        <f>IF(H1104="OK",O1104,0)</f>
        <v/>
      </c>
      <c r="T1104">
        <f>IF(H1104="OK",N1104,"")</f>
        <v/>
      </c>
      <c r="U1104">
        <f>IF(OC_Donor=0,"",IF(INDEX('OneCause_Paste'!$A$1104:$AZ$1104,1,OC_Donor)="","",INDEX('OneCause_Paste'!$A$1104:$AZ$1104,1,OC_Donor)))</f>
        <v/>
      </c>
    </row>
    <row r="1105">
      <c r="A1105" s="62">
        <f>IF(H1105="","",IF(ISNUMBER(N1105),N1105,I1105))</f>
        <v/>
      </c>
      <c r="B1105">
        <f>IF(H1105="","",U1105)</f>
        <v/>
      </c>
      <c r="C1105">
        <f>IF(H1105="","",IF(P1105="",K1105,INDEX('Students'!$A$2:$A$701,P1105)))</f>
        <v/>
      </c>
      <c r="D1105">
        <f>IF(OR(H1105="",P1105=""),"",INDEX('Students'!$B$2:$B$701,P1105))</f>
        <v/>
      </c>
      <c r="E1105">
        <f>IF(OR(H1105="",P1105=""),"",INDEX('Students'!$C$2:$C$701,P1105))</f>
        <v/>
      </c>
      <c r="F1105" s="48">
        <f>IF(H1105="","",IF(ISNUMBER(O1105),O1105,J1105))</f>
        <v/>
      </c>
      <c r="G1105">
        <f>IF(H1105="","","OneCause")</f>
        <v/>
      </c>
      <c r="H1105">
        <f>IF(AND(I1105="",J1105="",K1105=""),"",IF(NOT(ISNUMBER(O1105)),"Bad amount",IF(O1105&lt;0,"Refund (not counted)",IF(O1105=0,"Zero amount",IF(NOT(ISNUMBER(N1105)),"Bad date",IF(P1105="","NAME NOT ON ROSTER",IF(L1105="","OK",IF(MATCH(L1105,$L$2:$L$3001,0)&lt;ROW()-1,"Duplicate (ignored)","OK"))))))))</f>
        <v/>
      </c>
      <c r="I1105">
        <f>IF(OC_Date=0,"",IF(INDEX('OneCause_Paste'!$A$1105:$AZ$1105,1,OC_Date)="","",INDEX('OneCause_Paste'!$A$1105:$AZ$1105,1,OC_Date)))</f>
        <v/>
      </c>
      <c r="J1105">
        <f>IF(OC_Amt=0,"",IF(INDEX('OneCause_Paste'!$A$1105:$AZ$1105,1,OC_Amt)="","",INDEX('OneCause_Paste'!$A$1105:$AZ$1105,1,OC_Amt)))</f>
        <v/>
      </c>
      <c r="K1105">
        <f>IF(OC_Name=0,"",IF(INDEX('OneCause_Paste'!$A$1105:$AZ$1105,1,OC_Name)="","",INDEX('OneCause_Paste'!$A$1105:$AZ$1105,1,OC_Name)))</f>
        <v/>
      </c>
      <c r="L1105">
        <f>IF(OC_Txn=0,"",IF(INDEX('OneCause_Paste'!$A$1105:$AZ$1105,1,OC_Txn)="","",INDEX('OneCause_Paste'!$A$1105:$AZ$1105,1,OC_Txn)))</f>
        <v/>
      </c>
      <c r="M1105">
        <f>IF(OC_Pay=0,"",IF(INDEX('OneCause_Paste'!$A$1105:$AZ$1105,1,OC_Pay)="","",INDEX('OneCause_Paste'!$A$1105:$AZ$1105,1,OC_Pay)))</f>
        <v/>
      </c>
      <c r="N1105">
        <f>IF(I1105="","",IF(ISNUMBER(I1105),INT(I1105),IFERROR(INT(DATEVALUE(I1105)),IFERROR(INT(VALUE(I1105)),"bad"))))</f>
        <v/>
      </c>
      <c r="O1105">
        <f>IF(J1105="","",IF(ISNUMBER(J1105),ROUND(J1105,2),IFERROR(ROUND(VALUE(SUBSTITUTE(SUBSTITUTE(SUBSTITUTE(J1105,"$",""),",","")," ","")),2),"bad")))</f>
        <v/>
      </c>
      <c r="P1105">
        <f>IF(TRIM(K1105)="","",IFERROR(MATCH(LOWER(TRIM(K1105)),'Students'!$AH$2:$AH$701,0),IFERROR(MATCH(LOWER(TRIM(K1105)),'Students'!$AF$2:$AF$701,0),IFERROR(MATCH(LOWER(TRIM(K1105)),'Students'!$AG$2:$AG$701,0),""))))</f>
        <v/>
      </c>
      <c r="R1105">
        <f>IF(P1105="","",INDEX('Students'!$AD$2:$AD$701,P1105))</f>
        <v/>
      </c>
      <c r="S1105">
        <f>IF(H1105="OK",O1105,0)</f>
        <v/>
      </c>
      <c r="T1105">
        <f>IF(H1105="OK",N1105,"")</f>
        <v/>
      </c>
      <c r="U1105">
        <f>IF(OC_Donor=0,"",IF(INDEX('OneCause_Paste'!$A$1105:$AZ$1105,1,OC_Donor)="","",INDEX('OneCause_Paste'!$A$1105:$AZ$1105,1,OC_Donor)))</f>
        <v/>
      </c>
    </row>
    <row r="1106">
      <c r="A1106" s="62">
        <f>IF(H1106="","",IF(ISNUMBER(N1106),N1106,I1106))</f>
        <v/>
      </c>
      <c r="B1106">
        <f>IF(H1106="","",U1106)</f>
        <v/>
      </c>
      <c r="C1106">
        <f>IF(H1106="","",IF(P1106="",K1106,INDEX('Students'!$A$2:$A$701,P1106)))</f>
        <v/>
      </c>
      <c r="D1106">
        <f>IF(OR(H1106="",P1106=""),"",INDEX('Students'!$B$2:$B$701,P1106))</f>
        <v/>
      </c>
      <c r="E1106">
        <f>IF(OR(H1106="",P1106=""),"",INDEX('Students'!$C$2:$C$701,P1106))</f>
        <v/>
      </c>
      <c r="F1106" s="48">
        <f>IF(H1106="","",IF(ISNUMBER(O1106),O1106,J1106))</f>
        <v/>
      </c>
      <c r="G1106">
        <f>IF(H1106="","","OneCause")</f>
        <v/>
      </c>
      <c r="H1106">
        <f>IF(AND(I1106="",J1106="",K1106=""),"",IF(NOT(ISNUMBER(O1106)),"Bad amount",IF(O1106&lt;0,"Refund (not counted)",IF(O1106=0,"Zero amount",IF(NOT(ISNUMBER(N1106)),"Bad date",IF(P1106="","NAME NOT ON ROSTER",IF(L1106="","OK",IF(MATCH(L1106,$L$2:$L$3001,0)&lt;ROW()-1,"Duplicate (ignored)","OK"))))))))</f>
        <v/>
      </c>
      <c r="I1106">
        <f>IF(OC_Date=0,"",IF(INDEX('OneCause_Paste'!$A$1106:$AZ$1106,1,OC_Date)="","",INDEX('OneCause_Paste'!$A$1106:$AZ$1106,1,OC_Date)))</f>
        <v/>
      </c>
      <c r="J1106">
        <f>IF(OC_Amt=0,"",IF(INDEX('OneCause_Paste'!$A$1106:$AZ$1106,1,OC_Amt)="","",INDEX('OneCause_Paste'!$A$1106:$AZ$1106,1,OC_Amt)))</f>
        <v/>
      </c>
      <c r="K1106">
        <f>IF(OC_Name=0,"",IF(INDEX('OneCause_Paste'!$A$1106:$AZ$1106,1,OC_Name)="","",INDEX('OneCause_Paste'!$A$1106:$AZ$1106,1,OC_Name)))</f>
        <v/>
      </c>
      <c r="L1106">
        <f>IF(OC_Txn=0,"",IF(INDEX('OneCause_Paste'!$A$1106:$AZ$1106,1,OC_Txn)="","",INDEX('OneCause_Paste'!$A$1106:$AZ$1106,1,OC_Txn)))</f>
        <v/>
      </c>
      <c r="M1106">
        <f>IF(OC_Pay=0,"",IF(INDEX('OneCause_Paste'!$A$1106:$AZ$1106,1,OC_Pay)="","",INDEX('OneCause_Paste'!$A$1106:$AZ$1106,1,OC_Pay)))</f>
        <v/>
      </c>
      <c r="N1106">
        <f>IF(I1106="","",IF(ISNUMBER(I1106),INT(I1106),IFERROR(INT(DATEVALUE(I1106)),IFERROR(INT(VALUE(I1106)),"bad"))))</f>
        <v/>
      </c>
      <c r="O1106">
        <f>IF(J1106="","",IF(ISNUMBER(J1106),ROUND(J1106,2),IFERROR(ROUND(VALUE(SUBSTITUTE(SUBSTITUTE(SUBSTITUTE(J1106,"$",""),",","")," ","")),2),"bad")))</f>
        <v/>
      </c>
      <c r="P1106">
        <f>IF(TRIM(K1106)="","",IFERROR(MATCH(LOWER(TRIM(K1106)),'Students'!$AH$2:$AH$701,0),IFERROR(MATCH(LOWER(TRIM(K1106)),'Students'!$AF$2:$AF$701,0),IFERROR(MATCH(LOWER(TRIM(K1106)),'Students'!$AG$2:$AG$701,0),""))))</f>
        <v/>
      </c>
      <c r="R1106">
        <f>IF(P1106="","",INDEX('Students'!$AD$2:$AD$701,P1106))</f>
        <v/>
      </c>
      <c r="S1106">
        <f>IF(H1106="OK",O1106,0)</f>
        <v/>
      </c>
      <c r="T1106">
        <f>IF(H1106="OK",N1106,"")</f>
        <v/>
      </c>
      <c r="U1106">
        <f>IF(OC_Donor=0,"",IF(INDEX('OneCause_Paste'!$A$1106:$AZ$1106,1,OC_Donor)="","",INDEX('OneCause_Paste'!$A$1106:$AZ$1106,1,OC_Donor)))</f>
        <v/>
      </c>
    </row>
    <row r="1107">
      <c r="A1107" s="62">
        <f>IF(H1107="","",IF(ISNUMBER(N1107),N1107,I1107))</f>
        <v/>
      </c>
      <c r="B1107">
        <f>IF(H1107="","",U1107)</f>
        <v/>
      </c>
      <c r="C1107">
        <f>IF(H1107="","",IF(P1107="",K1107,INDEX('Students'!$A$2:$A$701,P1107)))</f>
        <v/>
      </c>
      <c r="D1107">
        <f>IF(OR(H1107="",P1107=""),"",INDEX('Students'!$B$2:$B$701,P1107))</f>
        <v/>
      </c>
      <c r="E1107">
        <f>IF(OR(H1107="",P1107=""),"",INDEX('Students'!$C$2:$C$701,P1107))</f>
        <v/>
      </c>
      <c r="F1107" s="48">
        <f>IF(H1107="","",IF(ISNUMBER(O1107),O1107,J1107))</f>
        <v/>
      </c>
      <c r="G1107">
        <f>IF(H1107="","","OneCause")</f>
        <v/>
      </c>
      <c r="H1107">
        <f>IF(AND(I1107="",J1107="",K1107=""),"",IF(NOT(ISNUMBER(O1107)),"Bad amount",IF(O1107&lt;0,"Refund (not counted)",IF(O1107=0,"Zero amount",IF(NOT(ISNUMBER(N1107)),"Bad date",IF(P1107="","NAME NOT ON ROSTER",IF(L1107="","OK",IF(MATCH(L1107,$L$2:$L$3001,0)&lt;ROW()-1,"Duplicate (ignored)","OK"))))))))</f>
        <v/>
      </c>
      <c r="I1107">
        <f>IF(OC_Date=0,"",IF(INDEX('OneCause_Paste'!$A$1107:$AZ$1107,1,OC_Date)="","",INDEX('OneCause_Paste'!$A$1107:$AZ$1107,1,OC_Date)))</f>
        <v/>
      </c>
      <c r="J1107">
        <f>IF(OC_Amt=0,"",IF(INDEX('OneCause_Paste'!$A$1107:$AZ$1107,1,OC_Amt)="","",INDEX('OneCause_Paste'!$A$1107:$AZ$1107,1,OC_Amt)))</f>
        <v/>
      </c>
      <c r="K1107">
        <f>IF(OC_Name=0,"",IF(INDEX('OneCause_Paste'!$A$1107:$AZ$1107,1,OC_Name)="","",INDEX('OneCause_Paste'!$A$1107:$AZ$1107,1,OC_Name)))</f>
        <v/>
      </c>
      <c r="L1107">
        <f>IF(OC_Txn=0,"",IF(INDEX('OneCause_Paste'!$A$1107:$AZ$1107,1,OC_Txn)="","",INDEX('OneCause_Paste'!$A$1107:$AZ$1107,1,OC_Txn)))</f>
        <v/>
      </c>
      <c r="M1107">
        <f>IF(OC_Pay=0,"",IF(INDEX('OneCause_Paste'!$A$1107:$AZ$1107,1,OC_Pay)="","",INDEX('OneCause_Paste'!$A$1107:$AZ$1107,1,OC_Pay)))</f>
        <v/>
      </c>
      <c r="N1107">
        <f>IF(I1107="","",IF(ISNUMBER(I1107),INT(I1107),IFERROR(INT(DATEVALUE(I1107)),IFERROR(INT(VALUE(I1107)),"bad"))))</f>
        <v/>
      </c>
      <c r="O1107">
        <f>IF(J1107="","",IF(ISNUMBER(J1107),ROUND(J1107,2),IFERROR(ROUND(VALUE(SUBSTITUTE(SUBSTITUTE(SUBSTITUTE(J1107,"$",""),",","")," ","")),2),"bad")))</f>
        <v/>
      </c>
      <c r="P1107">
        <f>IF(TRIM(K1107)="","",IFERROR(MATCH(LOWER(TRIM(K1107)),'Students'!$AH$2:$AH$701,0),IFERROR(MATCH(LOWER(TRIM(K1107)),'Students'!$AF$2:$AF$701,0),IFERROR(MATCH(LOWER(TRIM(K1107)),'Students'!$AG$2:$AG$701,0),""))))</f>
        <v/>
      </c>
      <c r="R1107">
        <f>IF(P1107="","",INDEX('Students'!$AD$2:$AD$701,P1107))</f>
        <v/>
      </c>
      <c r="S1107">
        <f>IF(H1107="OK",O1107,0)</f>
        <v/>
      </c>
      <c r="T1107">
        <f>IF(H1107="OK",N1107,"")</f>
        <v/>
      </c>
      <c r="U1107">
        <f>IF(OC_Donor=0,"",IF(INDEX('OneCause_Paste'!$A$1107:$AZ$1107,1,OC_Donor)="","",INDEX('OneCause_Paste'!$A$1107:$AZ$1107,1,OC_Donor)))</f>
        <v/>
      </c>
    </row>
    <row r="1108">
      <c r="A1108" s="62">
        <f>IF(H1108="","",IF(ISNUMBER(N1108),N1108,I1108))</f>
        <v/>
      </c>
      <c r="B1108">
        <f>IF(H1108="","",U1108)</f>
        <v/>
      </c>
      <c r="C1108">
        <f>IF(H1108="","",IF(P1108="",K1108,INDEX('Students'!$A$2:$A$701,P1108)))</f>
        <v/>
      </c>
      <c r="D1108">
        <f>IF(OR(H1108="",P1108=""),"",INDEX('Students'!$B$2:$B$701,P1108))</f>
        <v/>
      </c>
      <c r="E1108">
        <f>IF(OR(H1108="",P1108=""),"",INDEX('Students'!$C$2:$C$701,P1108))</f>
        <v/>
      </c>
      <c r="F1108" s="48">
        <f>IF(H1108="","",IF(ISNUMBER(O1108),O1108,J1108))</f>
        <v/>
      </c>
      <c r="G1108">
        <f>IF(H1108="","","OneCause")</f>
        <v/>
      </c>
      <c r="H1108">
        <f>IF(AND(I1108="",J1108="",K1108=""),"",IF(NOT(ISNUMBER(O1108)),"Bad amount",IF(O1108&lt;0,"Refund (not counted)",IF(O1108=0,"Zero amount",IF(NOT(ISNUMBER(N1108)),"Bad date",IF(P1108="","NAME NOT ON ROSTER",IF(L1108="","OK",IF(MATCH(L1108,$L$2:$L$3001,0)&lt;ROW()-1,"Duplicate (ignored)","OK"))))))))</f>
        <v/>
      </c>
      <c r="I1108">
        <f>IF(OC_Date=0,"",IF(INDEX('OneCause_Paste'!$A$1108:$AZ$1108,1,OC_Date)="","",INDEX('OneCause_Paste'!$A$1108:$AZ$1108,1,OC_Date)))</f>
        <v/>
      </c>
      <c r="J1108">
        <f>IF(OC_Amt=0,"",IF(INDEX('OneCause_Paste'!$A$1108:$AZ$1108,1,OC_Amt)="","",INDEX('OneCause_Paste'!$A$1108:$AZ$1108,1,OC_Amt)))</f>
        <v/>
      </c>
      <c r="K1108">
        <f>IF(OC_Name=0,"",IF(INDEX('OneCause_Paste'!$A$1108:$AZ$1108,1,OC_Name)="","",INDEX('OneCause_Paste'!$A$1108:$AZ$1108,1,OC_Name)))</f>
        <v/>
      </c>
      <c r="L1108">
        <f>IF(OC_Txn=0,"",IF(INDEX('OneCause_Paste'!$A$1108:$AZ$1108,1,OC_Txn)="","",INDEX('OneCause_Paste'!$A$1108:$AZ$1108,1,OC_Txn)))</f>
        <v/>
      </c>
      <c r="M1108">
        <f>IF(OC_Pay=0,"",IF(INDEX('OneCause_Paste'!$A$1108:$AZ$1108,1,OC_Pay)="","",INDEX('OneCause_Paste'!$A$1108:$AZ$1108,1,OC_Pay)))</f>
        <v/>
      </c>
      <c r="N1108">
        <f>IF(I1108="","",IF(ISNUMBER(I1108),INT(I1108),IFERROR(INT(DATEVALUE(I1108)),IFERROR(INT(VALUE(I1108)),"bad"))))</f>
        <v/>
      </c>
      <c r="O1108">
        <f>IF(J1108="","",IF(ISNUMBER(J1108),ROUND(J1108,2),IFERROR(ROUND(VALUE(SUBSTITUTE(SUBSTITUTE(SUBSTITUTE(J1108,"$",""),",","")," ","")),2),"bad")))</f>
        <v/>
      </c>
      <c r="P1108">
        <f>IF(TRIM(K1108)="","",IFERROR(MATCH(LOWER(TRIM(K1108)),'Students'!$AH$2:$AH$701,0),IFERROR(MATCH(LOWER(TRIM(K1108)),'Students'!$AF$2:$AF$701,0),IFERROR(MATCH(LOWER(TRIM(K1108)),'Students'!$AG$2:$AG$701,0),""))))</f>
        <v/>
      </c>
      <c r="R1108">
        <f>IF(P1108="","",INDEX('Students'!$AD$2:$AD$701,P1108))</f>
        <v/>
      </c>
      <c r="S1108">
        <f>IF(H1108="OK",O1108,0)</f>
        <v/>
      </c>
      <c r="T1108">
        <f>IF(H1108="OK",N1108,"")</f>
        <v/>
      </c>
      <c r="U1108">
        <f>IF(OC_Donor=0,"",IF(INDEX('OneCause_Paste'!$A$1108:$AZ$1108,1,OC_Donor)="","",INDEX('OneCause_Paste'!$A$1108:$AZ$1108,1,OC_Donor)))</f>
        <v/>
      </c>
    </row>
    <row r="1109">
      <c r="A1109" s="62">
        <f>IF(H1109="","",IF(ISNUMBER(N1109),N1109,I1109))</f>
        <v/>
      </c>
      <c r="B1109">
        <f>IF(H1109="","",U1109)</f>
        <v/>
      </c>
      <c r="C1109">
        <f>IF(H1109="","",IF(P1109="",K1109,INDEX('Students'!$A$2:$A$701,P1109)))</f>
        <v/>
      </c>
      <c r="D1109">
        <f>IF(OR(H1109="",P1109=""),"",INDEX('Students'!$B$2:$B$701,P1109))</f>
        <v/>
      </c>
      <c r="E1109">
        <f>IF(OR(H1109="",P1109=""),"",INDEX('Students'!$C$2:$C$701,P1109))</f>
        <v/>
      </c>
      <c r="F1109" s="48">
        <f>IF(H1109="","",IF(ISNUMBER(O1109),O1109,J1109))</f>
        <v/>
      </c>
      <c r="G1109">
        <f>IF(H1109="","","OneCause")</f>
        <v/>
      </c>
      <c r="H1109">
        <f>IF(AND(I1109="",J1109="",K1109=""),"",IF(NOT(ISNUMBER(O1109)),"Bad amount",IF(O1109&lt;0,"Refund (not counted)",IF(O1109=0,"Zero amount",IF(NOT(ISNUMBER(N1109)),"Bad date",IF(P1109="","NAME NOT ON ROSTER",IF(L1109="","OK",IF(MATCH(L1109,$L$2:$L$3001,0)&lt;ROW()-1,"Duplicate (ignored)","OK"))))))))</f>
        <v/>
      </c>
      <c r="I1109">
        <f>IF(OC_Date=0,"",IF(INDEX('OneCause_Paste'!$A$1109:$AZ$1109,1,OC_Date)="","",INDEX('OneCause_Paste'!$A$1109:$AZ$1109,1,OC_Date)))</f>
        <v/>
      </c>
      <c r="J1109">
        <f>IF(OC_Amt=0,"",IF(INDEX('OneCause_Paste'!$A$1109:$AZ$1109,1,OC_Amt)="","",INDEX('OneCause_Paste'!$A$1109:$AZ$1109,1,OC_Amt)))</f>
        <v/>
      </c>
      <c r="K1109">
        <f>IF(OC_Name=0,"",IF(INDEX('OneCause_Paste'!$A$1109:$AZ$1109,1,OC_Name)="","",INDEX('OneCause_Paste'!$A$1109:$AZ$1109,1,OC_Name)))</f>
        <v/>
      </c>
      <c r="L1109">
        <f>IF(OC_Txn=0,"",IF(INDEX('OneCause_Paste'!$A$1109:$AZ$1109,1,OC_Txn)="","",INDEX('OneCause_Paste'!$A$1109:$AZ$1109,1,OC_Txn)))</f>
        <v/>
      </c>
      <c r="M1109">
        <f>IF(OC_Pay=0,"",IF(INDEX('OneCause_Paste'!$A$1109:$AZ$1109,1,OC_Pay)="","",INDEX('OneCause_Paste'!$A$1109:$AZ$1109,1,OC_Pay)))</f>
        <v/>
      </c>
      <c r="N1109">
        <f>IF(I1109="","",IF(ISNUMBER(I1109),INT(I1109),IFERROR(INT(DATEVALUE(I1109)),IFERROR(INT(VALUE(I1109)),"bad"))))</f>
        <v/>
      </c>
      <c r="O1109">
        <f>IF(J1109="","",IF(ISNUMBER(J1109),ROUND(J1109,2),IFERROR(ROUND(VALUE(SUBSTITUTE(SUBSTITUTE(SUBSTITUTE(J1109,"$",""),",","")," ","")),2),"bad")))</f>
        <v/>
      </c>
      <c r="P1109">
        <f>IF(TRIM(K1109)="","",IFERROR(MATCH(LOWER(TRIM(K1109)),'Students'!$AH$2:$AH$701,0),IFERROR(MATCH(LOWER(TRIM(K1109)),'Students'!$AF$2:$AF$701,0),IFERROR(MATCH(LOWER(TRIM(K1109)),'Students'!$AG$2:$AG$701,0),""))))</f>
        <v/>
      </c>
      <c r="R1109">
        <f>IF(P1109="","",INDEX('Students'!$AD$2:$AD$701,P1109))</f>
        <v/>
      </c>
      <c r="S1109">
        <f>IF(H1109="OK",O1109,0)</f>
        <v/>
      </c>
      <c r="T1109">
        <f>IF(H1109="OK",N1109,"")</f>
        <v/>
      </c>
      <c r="U1109">
        <f>IF(OC_Donor=0,"",IF(INDEX('OneCause_Paste'!$A$1109:$AZ$1109,1,OC_Donor)="","",INDEX('OneCause_Paste'!$A$1109:$AZ$1109,1,OC_Donor)))</f>
        <v/>
      </c>
    </row>
    <row r="1110">
      <c r="A1110" s="62">
        <f>IF(H1110="","",IF(ISNUMBER(N1110),N1110,I1110))</f>
        <v/>
      </c>
      <c r="B1110">
        <f>IF(H1110="","",U1110)</f>
        <v/>
      </c>
      <c r="C1110">
        <f>IF(H1110="","",IF(P1110="",K1110,INDEX('Students'!$A$2:$A$701,P1110)))</f>
        <v/>
      </c>
      <c r="D1110">
        <f>IF(OR(H1110="",P1110=""),"",INDEX('Students'!$B$2:$B$701,P1110))</f>
        <v/>
      </c>
      <c r="E1110">
        <f>IF(OR(H1110="",P1110=""),"",INDEX('Students'!$C$2:$C$701,P1110))</f>
        <v/>
      </c>
      <c r="F1110" s="48">
        <f>IF(H1110="","",IF(ISNUMBER(O1110),O1110,J1110))</f>
        <v/>
      </c>
      <c r="G1110">
        <f>IF(H1110="","","OneCause")</f>
        <v/>
      </c>
      <c r="H1110">
        <f>IF(AND(I1110="",J1110="",K1110=""),"",IF(NOT(ISNUMBER(O1110)),"Bad amount",IF(O1110&lt;0,"Refund (not counted)",IF(O1110=0,"Zero amount",IF(NOT(ISNUMBER(N1110)),"Bad date",IF(P1110="","NAME NOT ON ROSTER",IF(L1110="","OK",IF(MATCH(L1110,$L$2:$L$3001,0)&lt;ROW()-1,"Duplicate (ignored)","OK"))))))))</f>
        <v/>
      </c>
      <c r="I1110">
        <f>IF(OC_Date=0,"",IF(INDEX('OneCause_Paste'!$A$1110:$AZ$1110,1,OC_Date)="","",INDEX('OneCause_Paste'!$A$1110:$AZ$1110,1,OC_Date)))</f>
        <v/>
      </c>
      <c r="J1110">
        <f>IF(OC_Amt=0,"",IF(INDEX('OneCause_Paste'!$A$1110:$AZ$1110,1,OC_Amt)="","",INDEX('OneCause_Paste'!$A$1110:$AZ$1110,1,OC_Amt)))</f>
        <v/>
      </c>
      <c r="K1110">
        <f>IF(OC_Name=0,"",IF(INDEX('OneCause_Paste'!$A$1110:$AZ$1110,1,OC_Name)="","",INDEX('OneCause_Paste'!$A$1110:$AZ$1110,1,OC_Name)))</f>
        <v/>
      </c>
      <c r="L1110">
        <f>IF(OC_Txn=0,"",IF(INDEX('OneCause_Paste'!$A$1110:$AZ$1110,1,OC_Txn)="","",INDEX('OneCause_Paste'!$A$1110:$AZ$1110,1,OC_Txn)))</f>
        <v/>
      </c>
      <c r="M1110">
        <f>IF(OC_Pay=0,"",IF(INDEX('OneCause_Paste'!$A$1110:$AZ$1110,1,OC_Pay)="","",INDEX('OneCause_Paste'!$A$1110:$AZ$1110,1,OC_Pay)))</f>
        <v/>
      </c>
      <c r="N1110">
        <f>IF(I1110="","",IF(ISNUMBER(I1110),INT(I1110),IFERROR(INT(DATEVALUE(I1110)),IFERROR(INT(VALUE(I1110)),"bad"))))</f>
        <v/>
      </c>
      <c r="O1110">
        <f>IF(J1110="","",IF(ISNUMBER(J1110),ROUND(J1110,2),IFERROR(ROUND(VALUE(SUBSTITUTE(SUBSTITUTE(SUBSTITUTE(J1110,"$",""),",","")," ","")),2),"bad")))</f>
        <v/>
      </c>
      <c r="P1110">
        <f>IF(TRIM(K1110)="","",IFERROR(MATCH(LOWER(TRIM(K1110)),'Students'!$AH$2:$AH$701,0),IFERROR(MATCH(LOWER(TRIM(K1110)),'Students'!$AF$2:$AF$701,0),IFERROR(MATCH(LOWER(TRIM(K1110)),'Students'!$AG$2:$AG$701,0),""))))</f>
        <v/>
      </c>
      <c r="R1110">
        <f>IF(P1110="","",INDEX('Students'!$AD$2:$AD$701,P1110))</f>
        <v/>
      </c>
      <c r="S1110">
        <f>IF(H1110="OK",O1110,0)</f>
        <v/>
      </c>
      <c r="T1110">
        <f>IF(H1110="OK",N1110,"")</f>
        <v/>
      </c>
      <c r="U1110">
        <f>IF(OC_Donor=0,"",IF(INDEX('OneCause_Paste'!$A$1110:$AZ$1110,1,OC_Donor)="","",INDEX('OneCause_Paste'!$A$1110:$AZ$1110,1,OC_Donor)))</f>
        <v/>
      </c>
    </row>
    <row r="1111">
      <c r="A1111" s="62">
        <f>IF(H1111="","",IF(ISNUMBER(N1111),N1111,I1111))</f>
        <v/>
      </c>
      <c r="B1111">
        <f>IF(H1111="","",U1111)</f>
        <v/>
      </c>
      <c r="C1111">
        <f>IF(H1111="","",IF(P1111="",K1111,INDEX('Students'!$A$2:$A$701,P1111)))</f>
        <v/>
      </c>
      <c r="D1111">
        <f>IF(OR(H1111="",P1111=""),"",INDEX('Students'!$B$2:$B$701,P1111))</f>
        <v/>
      </c>
      <c r="E1111">
        <f>IF(OR(H1111="",P1111=""),"",INDEX('Students'!$C$2:$C$701,P1111))</f>
        <v/>
      </c>
      <c r="F1111" s="48">
        <f>IF(H1111="","",IF(ISNUMBER(O1111),O1111,J1111))</f>
        <v/>
      </c>
      <c r="G1111">
        <f>IF(H1111="","","OneCause")</f>
        <v/>
      </c>
      <c r="H1111">
        <f>IF(AND(I1111="",J1111="",K1111=""),"",IF(NOT(ISNUMBER(O1111)),"Bad amount",IF(O1111&lt;0,"Refund (not counted)",IF(O1111=0,"Zero amount",IF(NOT(ISNUMBER(N1111)),"Bad date",IF(P1111="","NAME NOT ON ROSTER",IF(L1111="","OK",IF(MATCH(L1111,$L$2:$L$3001,0)&lt;ROW()-1,"Duplicate (ignored)","OK"))))))))</f>
        <v/>
      </c>
      <c r="I1111">
        <f>IF(OC_Date=0,"",IF(INDEX('OneCause_Paste'!$A$1111:$AZ$1111,1,OC_Date)="","",INDEX('OneCause_Paste'!$A$1111:$AZ$1111,1,OC_Date)))</f>
        <v/>
      </c>
      <c r="J1111">
        <f>IF(OC_Amt=0,"",IF(INDEX('OneCause_Paste'!$A$1111:$AZ$1111,1,OC_Amt)="","",INDEX('OneCause_Paste'!$A$1111:$AZ$1111,1,OC_Amt)))</f>
        <v/>
      </c>
      <c r="K1111">
        <f>IF(OC_Name=0,"",IF(INDEX('OneCause_Paste'!$A$1111:$AZ$1111,1,OC_Name)="","",INDEX('OneCause_Paste'!$A$1111:$AZ$1111,1,OC_Name)))</f>
        <v/>
      </c>
      <c r="L1111">
        <f>IF(OC_Txn=0,"",IF(INDEX('OneCause_Paste'!$A$1111:$AZ$1111,1,OC_Txn)="","",INDEX('OneCause_Paste'!$A$1111:$AZ$1111,1,OC_Txn)))</f>
        <v/>
      </c>
      <c r="M1111">
        <f>IF(OC_Pay=0,"",IF(INDEX('OneCause_Paste'!$A$1111:$AZ$1111,1,OC_Pay)="","",INDEX('OneCause_Paste'!$A$1111:$AZ$1111,1,OC_Pay)))</f>
        <v/>
      </c>
      <c r="N1111">
        <f>IF(I1111="","",IF(ISNUMBER(I1111),INT(I1111),IFERROR(INT(DATEVALUE(I1111)),IFERROR(INT(VALUE(I1111)),"bad"))))</f>
        <v/>
      </c>
      <c r="O1111">
        <f>IF(J1111="","",IF(ISNUMBER(J1111),ROUND(J1111,2),IFERROR(ROUND(VALUE(SUBSTITUTE(SUBSTITUTE(SUBSTITUTE(J1111,"$",""),",","")," ","")),2),"bad")))</f>
        <v/>
      </c>
      <c r="P1111">
        <f>IF(TRIM(K1111)="","",IFERROR(MATCH(LOWER(TRIM(K1111)),'Students'!$AH$2:$AH$701,0),IFERROR(MATCH(LOWER(TRIM(K1111)),'Students'!$AF$2:$AF$701,0),IFERROR(MATCH(LOWER(TRIM(K1111)),'Students'!$AG$2:$AG$701,0),""))))</f>
        <v/>
      </c>
      <c r="R1111">
        <f>IF(P1111="","",INDEX('Students'!$AD$2:$AD$701,P1111))</f>
        <v/>
      </c>
      <c r="S1111">
        <f>IF(H1111="OK",O1111,0)</f>
        <v/>
      </c>
      <c r="T1111">
        <f>IF(H1111="OK",N1111,"")</f>
        <v/>
      </c>
      <c r="U1111">
        <f>IF(OC_Donor=0,"",IF(INDEX('OneCause_Paste'!$A$1111:$AZ$1111,1,OC_Donor)="","",INDEX('OneCause_Paste'!$A$1111:$AZ$1111,1,OC_Donor)))</f>
        <v/>
      </c>
    </row>
    <row r="1112">
      <c r="A1112" s="62">
        <f>IF(H1112="","",IF(ISNUMBER(N1112),N1112,I1112))</f>
        <v/>
      </c>
      <c r="B1112">
        <f>IF(H1112="","",U1112)</f>
        <v/>
      </c>
      <c r="C1112">
        <f>IF(H1112="","",IF(P1112="",K1112,INDEX('Students'!$A$2:$A$701,P1112)))</f>
        <v/>
      </c>
      <c r="D1112">
        <f>IF(OR(H1112="",P1112=""),"",INDEX('Students'!$B$2:$B$701,P1112))</f>
        <v/>
      </c>
      <c r="E1112">
        <f>IF(OR(H1112="",P1112=""),"",INDEX('Students'!$C$2:$C$701,P1112))</f>
        <v/>
      </c>
      <c r="F1112" s="48">
        <f>IF(H1112="","",IF(ISNUMBER(O1112),O1112,J1112))</f>
        <v/>
      </c>
      <c r="G1112">
        <f>IF(H1112="","","OneCause")</f>
        <v/>
      </c>
      <c r="H1112">
        <f>IF(AND(I1112="",J1112="",K1112=""),"",IF(NOT(ISNUMBER(O1112)),"Bad amount",IF(O1112&lt;0,"Refund (not counted)",IF(O1112=0,"Zero amount",IF(NOT(ISNUMBER(N1112)),"Bad date",IF(P1112="","NAME NOT ON ROSTER",IF(L1112="","OK",IF(MATCH(L1112,$L$2:$L$3001,0)&lt;ROW()-1,"Duplicate (ignored)","OK"))))))))</f>
        <v/>
      </c>
      <c r="I1112">
        <f>IF(OC_Date=0,"",IF(INDEX('OneCause_Paste'!$A$1112:$AZ$1112,1,OC_Date)="","",INDEX('OneCause_Paste'!$A$1112:$AZ$1112,1,OC_Date)))</f>
        <v/>
      </c>
      <c r="J1112">
        <f>IF(OC_Amt=0,"",IF(INDEX('OneCause_Paste'!$A$1112:$AZ$1112,1,OC_Amt)="","",INDEX('OneCause_Paste'!$A$1112:$AZ$1112,1,OC_Amt)))</f>
        <v/>
      </c>
      <c r="K1112">
        <f>IF(OC_Name=0,"",IF(INDEX('OneCause_Paste'!$A$1112:$AZ$1112,1,OC_Name)="","",INDEX('OneCause_Paste'!$A$1112:$AZ$1112,1,OC_Name)))</f>
        <v/>
      </c>
      <c r="L1112">
        <f>IF(OC_Txn=0,"",IF(INDEX('OneCause_Paste'!$A$1112:$AZ$1112,1,OC_Txn)="","",INDEX('OneCause_Paste'!$A$1112:$AZ$1112,1,OC_Txn)))</f>
        <v/>
      </c>
      <c r="M1112">
        <f>IF(OC_Pay=0,"",IF(INDEX('OneCause_Paste'!$A$1112:$AZ$1112,1,OC_Pay)="","",INDEX('OneCause_Paste'!$A$1112:$AZ$1112,1,OC_Pay)))</f>
        <v/>
      </c>
      <c r="N1112">
        <f>IF(I1112="","",IF(ISNUMBER(I1112),INT(I1112),IFERROR(INT(DATEVALUE(I1112)),IFERROR(INT(VALUE(I1112)),"bad"))))</f>
        <v/>
      </c>
      <c r="O1112">
        <f>IF(J1112="","",IF(ISNUMBER(J1112),ROUND(J1112,2),IFERROR(ROUND(VALUE(SUBSTITUTE(SUBSTITUTE(SUBSTITUTE(J1112,"$",""),",","")," ","")),2),"bad")))</f>
        <v/>
      </c>
      <c r="P1112">
        <f>IF(TRIM(K1112)="","",IFERROR(MATCH(LOWER(TRIM(K1112)),'Students'!$AH$2:$AH$701,0),IFERROR(MATCH(LOWER(TRIM(K1112)),'Students'!$AF$2:$AF$701,0),IFERROR(MATCH(LOWER(TRIM(K1112)),'Students'!$AG$2:$AG$701,0),""))))</f>
        <v/>
      </c>
      <c r="R1112">
        <f>IF(P1112="","",INDEX('Students'!$AD$2:$AD$701,P1112))</f>
        <v/>
      </c>
      <c r="S1112">
        <f>IF(H1112="OK",O1112,0)</f>
        <v/>
      </c>
      <c r="T1112">
        <f>IF(H1112="OK",N1112,"")</f>
        <v/>
      </c>
      <c r="U1112">
        <f>IF(OC_Donor=0,"",IF(INDEX('OneCause_Paste'!$A$1112:$AZ$1112,1,OC_Donor)="","",INDEX('OneCause_Paste'!$A$1112:$AZ$1112,1,OC_Donor)))</f>
        <v/>
      </c>
    </row>
    <row r="1113">
      <c r="A1113" s="62">
        <f>IF(H1113="","",IF(ISNUMBER(N1113),N1113,I1113))</f>
        <v/>
      </c>
      <c r="B1113">
        <f>IF(H1113="","",U1113)</f>
        <v/>
      </c>
      <c r="C1113">
        <f>IF(H1113="","",IF(P1113="",K1113,INDEX('Students'!$A$2:$A$701,P1113)))</f>
        <v/>
      </c>
      <c r="D1113">
        <f>IF(OR(H1113="",P1113=""),"",INDEX('Students'!$B$2:$B$701,P1113))</f>
        <v/>
      </c>
      <c r="E1113">
        <f>IF(OR(H1113="",P1113=""),"",INDEX('Students'!$C$2:$C$701,P1113))</f>
        <v/>
      </c>
      <c r="F1113" s="48">
        <f>IF(H1113="","",IF(ISNUMBER(O1113),O1113,J1113))</f>
        <v/>
      </c>
      <c r="G1113">
        <f>IF(H1113="","","OneCause")</f>
        <v/>
      </c>
      <c r="H1113">
        <f>IF(AND(I1113="",J1113="",K1113=""),"",IF(NOT(ISNUMBER(O1113)),"Bad amount",IF(O1113&lt;0,"Refund (not counted)",IF(O1113=0,"Zero amount",IF(NOT(ISNUMBER(N1113)),"Bad date",IF(P1113="","NAME NOT ON ROSTER",IF(L1113="","OK",IF(MATCH(L1113,$L$2:$L$3001,0)&lt;ROW()-1,"Duplicate (ignored)","OK"))))))))</f>
        <v/>
      </c>
      <c r="I1113">
        <f>IF(OC_Date=0,"",IF(INDEX('OneCause_Paste'!$A$1113:$AZ$1113,1,OC_Date)="","",INDEX('OneCause_Paste'!$A$1113:$AZ$1113,1,OC_Date)))</f>
        <v/>
      </c>
      <c r="J1113">
        <f>IF(OC_Amt=0,"",IF(INDEX('OneCause_Paste'!$A$1113:$AZ$1113,1,OC_Amt)="","",INDEX('OneCause_Paste'!$A$1113:$AZ$1113,1,OC_Amt)))</f>
        <v/>
      </c>
      <c r="K1113">
        <f>IF(OC_Name=0,"",IF(INDEX('OneCause_Paste'!$A$1113:$AZ$1113,1,OC_Name)="","",INDEX('OneCause_Paste'!$A$1113:$AZ$1113,1,OC_Name)))</f>
        <v/>
      </c>
      <c r="L1113">
        <f>IF(OC_Txn=0,"",IF(INDEX('OneCause_Paste'!$A$1113:$AZ$1113,1,OC_Txn)="","",INDEX('OneCause_Paste'!$A$1113:$AZ$1113,1,OC_Txn)))</f>
        <v/>
      </c>
      <c r="M1113">
        <f>IF(OC_Pay=0,"",IF(INDEX('OneCause_Paste'!$A$1113:$AZ$1113,1,OC_Pay)="","",INDEX('OneCause_Paste'!$A$1113:$AZ$1113,1,OC_Pay)))</f>
        <v/>
      </c>
      <c r="N1113">
        <f>IF(I1113="","",IF(ISNUMBER(I1113),INT(I1113),IFERROR(INT(DATEVALUE(I1113)),IFERROR(INT(VALUE(I1113)),"bad"))))</f>
        <v/>
      </c>
      <c r="O1113">
        <f>IF(J1113="","",IF(ISNUMBER(J1113),ROUND(J1113,2),IFERROR(ROUND(VALUE(SUBSTITUTE(SUBSTITUTE(SUBSTITUTE(J1113,"$",""),",","")," ","")),2),"bad")))</f>
        <v/>
      </c>
      <c r="P1113">
        <f>IF(TRIM(K1113)="","",IFERROR(MATCH(LOWER(TRIM(K1113)),'Students'!$AH$2:$AH$701,0),IFERROR(MATCH(LOWER(TRIM(K1113)),'Students'!$AF$2:$AF$701,0),IFERROR(MATCH(LOWER(TRIM(K1113)),'Students'!$AG$2:$AG$701,0),""))))</f>
        <v/>
      </c>
      <c r="R1113">
        <f>IF(P1113="","",INDEX('Students'!$AD$2:$AD$701,P1113))</f>
        <v/>
      </c>
      <c r="S1113">
        <f>IF(H1113="OK",O1113,0)</f>
        <v/>
      </c>
      <c r="T1113">
        <f>IF(H1113="OK",N1113,"")</f>
        <v/>
      </c>
      <c r="U1113">
        <f>IF(OC_Donor=0,"",IF(INDEX('OneCause_Paste'!$A$1113:$AZ$1113,1,OC_Donor)="","",INDEX('OneCause_Paste'!$A$1113:$AZ$1113,1,OC_Donor)))</f>
        <v/>
      </c>
    </row>
    <row r="1114">
      <c r="A1114" s="62">
        <f>IF(H1114="","",IF(ISNUMBER(N1114),N1114,I1114))</f>
        <v/>
      </c>
      <c r="B1114">
        <f>IF(H1114="","",U1114)</f>
        <v/>
      </c>
      <c r="C1114">
        <f>IF(H1114="","",IF(P1114="",K1114,INDEX('Students'!$A$2:$A$701,P1114)))</f>
        <v/>
      </c>
      <c r="D1114">
        <f>IF(OR(H1114="",P1114=""),"",INDEX('Students'!$B$2:$B$701,P1114))</f>
        <v/>
      </c>
      <c r="E1114">
        <f>IF(OR(H1114="",P1114=""),"",INDEX('Students'!$C$2:$C$701,P1114))</f>
        <v/>
      </c>
      <c r="F1114" s="48">
        <f>IF(H1114="","",IF(ISNUMBER(O1114),O1114,J1114))</f>
        <v/>
      </c>
      <c r="G1114">
        <f>IF(H1114="","","OneCause")</f>
        <v/>
      </c>
      <c r="H1114">
        <f>IF(AND(I1114="",J1114="",K1114=""),"",IF(NOT(ISNUMBER(O1114)),"Bad amount",IF(O1114&lt;0,"Refund (not counted)",IF(O1114=0,"Zero amount",IF(NOT(ISNUMBER(N1114)),"Bad date",IF(P1114="","NAME NOT ON ROSTER",IF(L1114="","OK",IF(MATCH(L1114,$L$2:$L$3001,0)&lt;ROW()-1,"Duplicate (ignored)","OK"))))))))</f>
        <v/>
      </c>
      <c r="I1114">
        <f>IF(OC_Date=0,"",IF(INDEX('OneCause_Paste'!$A$1114:$AZ$1114,1,OC_Date)="","",INDEX('OneCause_Paste'!$A$1114:$AZ$1114,1,OC_Date)))</f>
        <v/>
      </c>
      <c r="J1114">
        <f>IF(OC_Amt=0,"",IF(INDEX('OneCause_Paste'!$A$1114:$AZ$1114,1,OC_Amt)="","",INDEX('OneCause_Paste'!$A$1114:$AZ$1114,1,OC_Amt)))</f>
        <v/>
      </c>
      <c r="K1114">
        <f>IF(OC_Name=0,"",IF(INDEX('OneCause_Paste'!$A$1114:$AZ$1114,1,OC_Name)="","",INDEX('OneCause_Paste'!$A$1114:$AZ$1114,1,OC_Name)))</f>
        <v/>
      </c>
      <c r="L1114">
        <f>IF(OC_Txn=0,"",IF(INDEX('OneCause_Paste'!$A$1114:$AZ$1114,1,OC_Txn)="","",INDEX('OneCause_Paste'!$A$1114:$AZ$1114,1,OC_Txn)))</f>
        <v/>
      </c>
      <c r="M1114">
        <f>IF(OC_Pay=0,"",IF(INDEX('OneCause_Paste'!$A$1114:$AZ$1114,1,OC_Pay)="","",INDEX('OneCause_Paste'!$A$1114:$AZ$1114,1,OC_Pay)))</f>
        <v/>
      </c>
      <c r="N1114">
        <f>IF(I1114="","",IF(ISNUMBER(I1114),INT(I1114),IFERROR(INT(DATEVALUE(I1114)),IFERROR(INT(VALUE(I1114)),"bad"))))</f>
        <v/>
      </c>
      <c r="O1114">
        <f>IF(J1114="","",IF(ISNUMBER(J1114),ROUND(J1114,2),IFERROR(ROUND(VALUE(SUBSTITUTE(SUBSTITUTE(SUBSTITUTE(J1114,"$",""),",","")," ","")),2),"bad")))</f>
        <v/>
      </c>
      <c r="P1114">
        <f>IF(TRIM(K1114)="","",IFERROR(MATCH(LOWER(TRIM(K1114)),'Students'!$AH$2:$AH$701,0),IFERROR(MATCH(LOWER(TRIM(K1114)),'Students'!$AF$2:$AF$701,0),IFERROR(MATCH(LOWER(TRIM(K1114)),'Students'!$AG$2:$AG$701,0),""))))</f>
        <v/>
      </c>
      <c r="R1114">
        <f>IF(P1114="","",INDEX('Students'!$AD$2:$AD$701,P1114))</f>
        <v/>
      </c>
      <c r="S1114">
        <f>IF(H1114="OK",O1114,0)</f>
        <v/>
      </c>
      <c r="T1114">
        <f>IF(H1114="OK",N1114,"")</f>
        <v/>
      </c>
      <c r="U1114">
        <f>IF(OC_Donor=0,"",IF(INDEX('OneCause_Paste'!$A$1114:$AZ$1114,1,OC_Donor)="","",INDEX('OneCause_Paste'!$A$1114:$AZ$1114,1,OC_Donor)))</f>
        <v/>
      </c>
    </row>
    <row r="1115">
      <c r="A1115" s="62">
        <f>IF(H1115="","",IF(ISNUMBER(N1115),N1115,I1115))</f>
        <v/>
      </c>
      <c r="B1115">
        <f>IF(H1115="","",U1115)</f>
        <v/>
      </c>
      <c r="C1115">
        <f>IF(H1115="","",IF(P1115="",K1115,INDEX('Students'!$A$2:$A$701,P1115)))</f>
        <v/>
      </c>
      <c r="D1115">
        <f>IF(OR(H1115="",P1115=""),"",INDEX('Students'!$B$2:$B$701,P1115))</f>
        <v/>
      </c>
      <c r="E1115">
        <f>IF(OR(H1115="",P1115=""),"",INDEX('Students'!$C$2:$C$701,P1115))</f>
        <v/>
      </c>
      <c r="F1115" s="48">
        <f>IF(H1115="","",IF(ISNUMBER(O1115),O1115,J1115))</f>
        <v/>
      </c>
      <c r="G1115">
        <f>IF(H1115="","","OneCause")</f>
        <v/>
      </c>
      <c r="H1115">
        <f>IF(AND(I1115="",J1115="",K1115=""),"",IF(NOT(ISNUMBER(O1115)),"Bad amount",IF(O1115&lt;0,"Refund (not counted)",IF(O1115=0,"Zero amount",IF(NOT(ISNUMBER(N1115)),"Bad date",IF(P1115="","NAME NOT ON ROSTER",IF(L1115="","OK",IF(MATCH(L1115,$L$2:$L$3001,0)&lt;ROW()-1,"Duplicate (ignored)","OK"))))))))</f>
        <v/>
      </c>
      <c r="I1115">
        <f>IF(OC_Date=0,"",IF(INDEX('OneCause_Paste'!$A$1115:$AZ$1115,1,OC_Date)="","",INDEX('OneCause_Paste'!$A$1115:$AZ$1115,1,OC_Date)))</f>
        <v/>
      </c>
      <c r="J1115">
        <f>IF(OC_Amt=0,"",IF(INDEX('OneCause_Paste'!$A$1115:$AZ$1115,1,OC_Amt)="","",INDEX('OneCause_Paste'!$A$1115:$AZ$1115,1,OC_Amt)))</f>
        <v/>
      </c>
      <c r="K1115">
        <f>IF(OC_Name=0,"",IF(INDEX('OneCause_Paste'!$A$1115:$AZ$1115,1,OC_Name)="","",INDEX('OneCause_Paste'!$A$1115:$AZ$1115,1,OC_Name)))</f>
        <v/>
      </c>
      <c r="L1115">
        <f>IF(OC_Txn=0,"",IF(INDEX('OneCause_Paste'!$A$1115:$AZ$1115,1,OC_Txn)="","",INDEX('OneCause_Paste'!$A$1115:$AZ$1115,1,OC_Txn)))</f>
        <v/>
      </c>
      <c r="M1115">
        <f>IF(OC_Pay=0,"",IF(INDEX('OneCause_Paste'!$A$1115:$AZ$1115,1,OC_Pay)="","",INDEX('OneCause_Paste'!$A$1115:$AZ$1115,1,OC_Pay)))</f>
        <v/>
      </c>
      <c r="N1115">
        <f>IF(I1115="","",IF(ISNUMBER(I1115),INT(I1115),IFERROR(INT(DATEVALUE(I1115)),IFERROR(INT(VALUE(I1115)),"bad"))))</f>
        <v/>
      </c>
      <c r="O1115">
        <f>IF(J1115="","",IF(ISNUMBER(J1115),ROUND(J1115,2),IFERROR(ROUND(VALUE(SUBSTITUTE(SUBSTITUTE(SUBSTITUTE(J1115,"$",""),",","")," ","")),2),"bad")))</f>
        <v/>
      </c>
      <c r="P1115">
        <f>IF(TRIM(K1115)="","",IFERROR(MATCH(LOWER(TRIM(K1115)),'Students'!$AH$2:$AH$701,0),IFERROR(MATCH(LOWER(TRIM(K1115)),'Students'!$AF$2:$AF$701,0),IFERROR(MATCH(LOWER(TRIM(K1115)),'Students'!$AG$2:$AG$701,0),""))))</f>
        <v/>
      </c>
      <c r="R1115">
        <f>IF(P1115="","",INDEX('Students'!$AD$2:$AD$701,P1115))</f>
        <v/>
      </c>
      <c r="S1115">
        <f>IF(H1115="OK",O1115,0)</f>
        <v/>
      </c>
      <c r="T1115">
        <f>IF(H1115="OK",N1115,"")</f>
        <v/>
      </c>
      <c r="U1115">
        <f>IF(OC_Donor=0,"",IF(INDEX('OneCause_Paste'!$A$1115:$AZ$1115,1,OC_Donor)="","",INDEX('OneCause_Paste'!$A$1115:$AZ$1115,1,OC_Donor)))</f>
        <v/>
      </c>
    </row>
    <row r="1116">
      <c r="A1116" s="62">
        <f>IF(H1116="","",IF(ISNUMBER(N1116),N1116,I1116))</f>
        <v/>
      </c>
      <c r="B1116">
        <f>IF(H1116="","",U1116)</f>
        <v/>
      </c>
      <c r="C1116">
        <f>IF(H1116="","",IF(P1116="",K1116,INDEX('Students'!$A$2:$A$701,P1116)))</f>
        <v/>
      </c>
      <c r="D1116">
        <f>IF(OR(H1116="",P1116=""),"",INDEX('Students'!$B$2:$B$701,P1116))</f>
        <v/>
      </c>
      <c r="E1116">
        <f>IF(OR(H1116="",P1116=""),"",INDEX('Students'!$C$2:$C$701,P1116))</f>
        <v/>
      </c>
      <c r="F1116" s="48">
        <f>IF(H1116="","",IF(ISNUMBER(O1116),O1116,J1116))</f>
        <v/>
      </c>
      <c r="G1116">
        <f>IF(H1116="","","OneCause")</f>
        <v/>
      </c>
      <c r="H1116">
        <f>IF(AND(I1116="",J1116="",K1116=""),"",IF(NOT(ISNUMBER(O1116)),"Bad amount",IF(O1116&lt;0,"Refund (not counted)",IF(O1116=0,"Zero amount",IF(NOT(ISNUMBER(N1116)),"Bad date",IF(P1116="","NAME NOT ON ROSTER",IF(L1116="","OK",IF(MATCH(L1116,$L$2:$L$3001,0)&lt;ROW()-1,"Duplicate (ignored)","OK"))))))))</f>
        <v/>
      </c>
      <c r="I1116">
        <f>IF(OC_Date=0,"",IF(INDEX('OneCause_Paste'!$A$1116:$AZ$1116,1,OC_Date)="","",INDEX('OneCause_Paste'!$A$1116:$AZ$1116,1,OC_Date)))</f>
        <v/>
      </c>
      <c r="J1116">
        <f>IF(OC_Amt=0,"",IF(INDEX('OneCause_Paste'!$A$1116:$AZ$1116,1,OC_Amt)="","",INDEX('OneCause_Paste'!$A$1116:$AZ$1116,1,OC_Amt)))</f>
        <v/>
      </c>
      <c r="K1116">
        <f>IF(OC_Name=0,"",IF(INDEX('OneCause_Paste'!$A$1116:$AZ$1116,1,OC_Name)="","",INDEX('OneCause_Paste'!$A$1116:$AZ$1116,1,OC_Name)))</f>
        <v/>
      </c>
      <c r="L1116">
        <f>IF(OC_Txn=0,"",IF(INDEX('OneCause_Paste'!$A$1116:$AZ$1116,1,OC_Txn)="","",INDEX('OneCause_Paste'!$A$1116:$AZ$1116,1,OC_Txn)))</f>
        <v/>
      </c>
      <c r="M1116">
        <f>IF(OC_Pay=0,"",IF(INDEX('OneCause_Paste'!$A$1116:$AZ$1116,1,OC_Pay)="","",INDEX('OneCause_Paste'!$A$1116:$AZ$1116,1,OC_Pay)))</f>
        <v/>
      </c>
      <c r="N1116">
        <f>IF(I1116="","",IF(ISNUMBER(I1116),INT(I1116),IFERROR(INT(DATEVALUE(I1116)),IFERROR(INT(VALUE(I1116)),"bad"))))</f>
        <v/>
      </c>
      <c r="O1116">
        <f>IF(J1116="","",IF(ISNUMBER(J1116),ROUND(J1116,2),IFERROR(ROUND(VALUE(SUBSTITUTE(SUBSTITUTE(SUBSTITUTE(J1116,"$",""),",","")," ","")),2),"bad")))</f>
        <v/>
      </c>
      <c r="P1116">
        <f>IF(TRIM(K1116)="","",IFERROR(MATCH(LOWER(TRIM(K1116)),'Students'!$AH$2:$AH$701,0),IFERROR(MATCH(LOWER(TRIM(K1116)),'Students'!$AF$2:$AF$701,0),IFERROR(MATCH(LOWER(TRIM(K1116)),'Students'!$AG$2:$AG$701,0),""))))</f>
        <v/>
      </c>
      <c r="R1116">
        <f>IF(P1116="","",INDEX('Students'!$AD$2:$AD$701,P1116))</f>
        <v/>
      </c>
      <c r="S1116">
        <f>IF(H1116="OK",O1116,0)</f>
        <v/>
      </c>
      <c r="T1116">
        <f>IF(H1116="OK",N1116,"")</f>
        <v/>
      </c>
      <c r="U1116">
        <f>IF(OC_Donor=0,"",IF(INDEX('OneCause_Paste'!$A$1116:$AZ$1116,1,OC_Donor)="","",INDEX('OneCause_Paste'!$A$1116:$AZ$1116,1,OC_Donor)))</f>
        <v/>
      </c>
    </row>
    <row r="1117">
      <c r="A1117" s="62">
        <f>IF(H1117="","",IF(ISNUMBER(N1117),N1117,I1117))</f>
        <v/>
      </c>
      <c r="B1117">
        <f>IF(H1117="","",U1117)</f>
        <v/>
      </c>
      <c r="C1117">
        <f>IF(H1117="","",IF(P1117="",K1117,INDEX('Students'!$A$2:$A$701,P1117)))</f>
        <v/>
      </c>
      <c r="D1117">
        <f>IF(OR(H1117="",P1117=""),"",INDEX('Students'!$B$2:$B$701,P1117))</f>
        <v/>
      </c>
      <c r="E1117">
        <f>IF(OR(H1117="",P1117=""),"",INDEX('Students'!$C$2:$C$701,P1117))</f>
        <v/>
      </c>
      <c r="F1117" s="48">
        <f>IF(H1117="","",IF(ISNUMBER(O1117),O1117,J1117))</f>
        <v/>
      </c>
      <c r="G1117">
        <f>IF(H1117="","","OneCause")</f>
        <v/>
      </c>
      <c r="H1117">
        <f>IF(AND(I1117="",J1117="",K1117=""),"",IF(NOT(ISNUMBER(O1117)),"Bad amount",IF(O1117&lt;0,"Refund (not counted)",IF(O1117=0,"Zero amount",IF(NOT(ISNUMBER(N1117)),"Bad date",IF(P1117="","NAME NOT ON ROSTER",IF(L1117="","OK",IF(MATCH(L1117,$L$2:$L$3001,0)&lt;ROW()-1,"Duplicate (ignored)","OK"))))))))</f>
        <v/>
      </c>
      <c r="I1117">
        <f>IF(OC_Date=0,"",IF(INDEX('OneCause_Paste'!$A$1117:$AZ$1117,1,OC_Date)="","",INDEX('OneCause_Paste'!$A$1117:$AZ$1117,1,OC_Date)))</f>
        <v/>
      </c>
      <c r="J1117">
        <f>IF(OC_Amt=0,"",IF(INDEX('OneCause_Paste'!$A$1117:$AZ$1117,1,OC_Amt)="","",INDEX('OneCause_Paste'!$A$1117:$AZ$1117,1,OC_Amt)))</f>
        <v/>
      </c>
      <c r="K1117">
        <f>IF(OC_Name=0,"",IF(INDEX('OneCause_Paste'!$A$1117:$AZ$1117,1,OC_Name)="","",INDEX('OneCause_Paste'!$A$1117:$AZ$1117,1,OC_Name)))</f>
        <v/>
      </c>
      <c r="L1117">
        <f>IF(OC_Txn=0,"",IF(INDEX('OneCause_Paste'!$A$1117:$AZ$1117,1,OC_Txn)="","",INDEX('OneCause_Paste'!$A$1117:$AZ$1117,1,OC_Txn)))</f>
        <v/>
      </c>
      <c r="M1117">
        <f>IF(OC_Pay=0,"",IF(INDEX('OneCause_Paste'!$A$1117:$AZ$1117,1,OC_Pay)="","",INDEX('OneCause_Paste'!$A$1117:$AZ$1117,1,OC_Pay)))</f>
        <v/>
      </c>
      <c r="N1117">
        <f>IF(I1117="","",IF(ISNUMBER(I1117),INT(I1117),IFERROR(INT(DATEVALUE(I1117)),IFERROR(INT(VALUE(I1117)),"bad"))))</f>
        <v/>
      </c>
      <c r="O1117">
        <f>IF(J1117="","",IF(ISNUMBER(J1117),ROUND(J1117,2),IFERROR(ROUND(VALUE(SUBSTITUTE(SUBSTITUTE(SUBSTITUTE(J1117,"$",""),",","")," ","")),2),"bad")))</f>
        <v/>
      </c>
      <c r="P1117">
        <f>IF(TRIM(K1117)="","",IFERROR(MATCH(LOWER(TRIM(K1117)),'Students'!$AH$2:$AH$701,0),IFERROR(MATCH(LOWER(TRIM(K1117)),'Students'!$AF$2:$AF$701,0),IFERROR(MATCH(LOWER(TRIM(K1117)),'Students'!$AG$2:$AG$701,0),""))))</f>
        <v/>
      </c>
      <c r="R1117">
        <f>IF(P1117="","",INDEX('Students'!$AD$2:$AD$701,P1117))</f>
        <v/>
      </c>
      <c r="S1117">
        <f>IF(H1117="OK",O1117,0)</f>
        <v/>
      </c>
      <c r="T1117">
        <f>IF(H1117="OK",N1117,"")</f>
        <v/>
      </c>
      <c r="U1117">
        <f>IF(OC_Donor=0,"",IF(INDEX('OneCause_Paste'!$A$1117:$AZ$1117,1,OC_Donor)="","",INDEX('OneCause_Paste'!$A$1117:$AZ$1117,1,OC_Donor)))</f>
        <v/>
      </c>
    </row>
    <row r="1118">
      <c r="A1118" s="62">
        <f>IF(H1118="","",IF(ISNUMBER(N1118),N1118,I1118))</f>
        <v/>
      </c>
      <c r="B1118">
        <f>IF(H1118="","",U1118)</f>
        <v/>
      </c>
      <c r="C1118">
        <f>IF(H1118="","",IF(P1118="",K1118,INDEX('Students'!$A$2:$A$701,P1118)))</f>
        <v/>
      </c>
      <c r="D1118">
        <f>IF(OR(H1118="",P1118=""),"",INDEX('Students'!$B$2:$B$701,P1118))</f>
        <v/>
      </c>
      <c r="E1118">
        <f>IF(OR(H1118="",P1118=""),"",INDEX('Students'!$C$2:$C$701,P1118))</f>
        <v/>
      </c>
      <c r="F1118" s="48">
        <f>IF(H1118="","",IF(ISNUMBER(O1118),O1118,J1118))</f>
        <v/>
      </c>
      <c r="G1118">
        <f>IF(H1118="","","OneCause")</f>
        <v/>
      </c>
      <c r="H1118">
        <f>IF(AND(I1118="",J1118="",K1118=""),"",IF(NOT(ISNUMBER(O1118)),"Bad amount",IF(O1118&lt;0,"Refund (not counted)",IF(O1118=0,"Zero amount",IF(NOT(ISNUMBER(N1118)),"Bad date",IF(P1118="","NAME NOT ON ROSTER",IF(L1118="","OK",IF(MATCH(L1118,$L$2:$L$3001,0)&lt;ROW()-1,"Duplicate (ignored)","OK"))))))))</f>
        <v/>
      </c>
      <c r="I1118">
        <f>IF(OC_Date=0,"",IF(INDEX('OneCause_Paste'!$A$1118:$AZ$1118,1,OC_Date)="","",INDEX('OneCause_Paste'!$A$1118:$AZ$1118,1,OC_Date)))</f>
        <v/>
      </c>
      <c r="J1118">
        <f>IF(OC_Amt=0,"",IF(INDEX('OneCause_Paste'!$A$1118:$AZ$1118,1,OC_Amt)="","",INDEX('OneCause_Paste'!$A$1118:$AZ$1118,1,OC_Amt)))</f>
        <v/>
      </c>
      <c r="K1118">
        <f>IF(OC_Name=0,"",IF(INDEX('OneCause_Paste'!$A$1118:$AZ$1118,1,OC_Name)="","",INDEX('OneCause_Paste'!$A$1118:$AZ$1118,1,OC_Name)))</f>
        <v/>
      </c>
      <c r="L1118">
        <f>IF(OC_Txn=0,"",IF(INDEX('OneCause_Paste'!$A$1118:$AZ$1118,1,OC_Txn)="","",INDEX('OneCause_Paste'!$A$1118:$AZ$1118,1,OC_Txn)))</f>
        <v/>
      </c>
      <c r="M1118">
        <f>IF(OC_Pay=0,"",IF(INDEX('OneCause_Paste'!$A$1118:$AZ$1118,1,OC_Pay)="","",INDEX('OneCause_Paste'!$A$1118:$AZ$1118,1,OC_Pay)))</f>
        <v/>
      </c>
      <c r="N1118">
        <f>IF(I1118="","",IF(ISNUMBER(I1118),INT(I1118),IFERROR(INT(DATEVALUE(I1118)),IFERROR(INT(VALUE(I1118)),"bad"))))</f>
        <v/>
      </c>
      <c r="O1118">
        <f>IF(J1118="","",IF(ISNUMBER(J1118),ROUND(J1118,2),IFERROR(ROUND(VALUE(SUBSTITUTE(SUBSTITUTE(SUBSTITUTE(J1118,"$",""),",","")," ","")),2),"bad")))</f>
        <v/>
      </c>
      <c r="P1118">
        <f>IF(TRIM(K1118)="","",IFERROR(MATCH(LOWER(TRIM(K1118)),'Students'!$AH$2:$AH$701,0),IFERROR(MATCH(LOWER(TRIM(K1118)),'Students'!$AF$2:$AF$701,0),IFERROR(MATCH(LOWER(TRIM(K1118)),'Students'!$AG$2:$AG$701,0),""))))</f>
        <v/>
      </c>
      <c r="R1118">
        <f>IF(P1118="","",INDEX('Students'!$AD$2:$AD$701,P1118))</f>
        <v/>
      </c>
      <c r="S1118">
        <f>IF(H1118="OK",O1118,0)</f>
        <v/>
      </c>
      <c r="T1118">
        <f>IF(H1118="OK",N1118,"")</f>
        <v/>
      </c>
      <c r="U1118">
        <f>IF(OC_Donor=0,"",IF(INDEX('OneCause_Paste'!$A$1118:$AZ$1118,1,OC_Donor)="","",INDEX('OneCause_Paste'!$A$1118:$AZ$1118,1,OC_Donor)))</f>
        <v/>
      </c>
    </row>
    <row r="1119">
      <c r="A1119" s="62">
        <f>IF(H1119="","",IF(ISNUMBER(N1119),N1119,I1119))</f>
        <v/>
      </c>
      <c r="B1119">
        <f>IF(H1119="","",U1119)</f>
        <v/>
      </c>
      <c r="C1119">
        <f>IF(H1119="","",IF(P1119="",K1119,INDEX('Students'!$A$2:$A$701,P1119)))</f>
        <v/>
      </c>
      <c r="D1119">
        <f>IF(OR(H1119="",P1119=""),"",INDEX('Students'!$B$2:$B$701,P1119))</f>
        <v/>
      </c>
      <c r="E1119">
        <f>IF(OR(H1119="",P1119=""),"",INDEX('Students'!$C$2:$C$701,P1119))</f>
        <v/>
      </c>
      <c r="F1119" s="48">
        <f>IF(H1119="","",IF(ISNUMBER(O1119),O1119,J1119))</f>
        <v/>
      </c>
      <c r="G1119">
        <f>IF(H1119="","","OneCause")</f>
        <v/>
      </c>
      <c r="H1119">
        <f>IF(AND(I1119="",J1119="",K1119=""),"",IF(NOT(ISNUMBER(O1119)),"Bad amount",IF(O1119&lt;0,"Refund (not counted)",IF(O1119=0,"Zero amount",IF(NOT(ISNUMBER(N1119)),"Bad date",IF(P1119="","NAME NOT ON ROSTER",IF(L1119="","OK",IF(MATCH(L1119,$L$2:$L$3001,0)&lt;ROW()-1,"Duplicate (ignored)","OK"))))))))</f>
        <v/>
      </c>
      <c r="I1119">
        <f>IF(OC_Date=0,"",IF(INDEX('OneCause_Paste'!$A$1119:$AZ$1119,1,OC_Date)="","",INDEX('OneCause_Paste'!$A$1119:$AZ$1119,1,OC_Date)))</f>
        <v/>
      </c>
      <c r="J1119">
        <f>IF(OC_Amt=0,"",IF(INDEX('OneCause_Paste'!$A$1119:$AZ$1119,1,OC_Amt)="","",INDEX('OneCause_Paste'!$A$1119:$AZ$1119,1,OC_Amt)))</f>
        <v/>
      </c>
      <c r="K1119">
        <f>IF(OC_Name=0,"",IF(INDEX('OneCause_Paste'!$A$1119:$AZ$1119,1,OC_Name)="","",INDEX('OneCause_Paste'!$A$1119:$AZ$1119,1,OC_Name)))</f>
        <v/>
      </c>
      <c r="L1119">
        <f>IF(OC_Txn=0,"",IF(INDEX('OneCause_Paste'!$A$1119:$AZ$1119,1,OC_Txn)="","",INDEX('OneCause_Paste'!$A$1119:$AZ$1119,1,OC_Txn)))</f>
        <v/>
      </c>
      <c r="M1119">
        <f>IF(OC_Pay=0,"",IF(INDEX('OneCause_Paste'!$A$1119:$AZ$1119,1,OC_Pay)="","",INDEX('OneCause_Paste'!$A$1119:$AZ$1119,1,OC_Pay)))</f>
        <v/>
      </c>
      <c r="N1119">
        <f>IF(I1119="","",IF(ISNUMBER(I1119),INT(I1119),IFERROR(INT(DATEVALUE(I1119)),IFERROR(INT(VALUE(I1119)),"bad"))))</f>
        <v/>
      </c>
      <c r="O1119">
        <f>IF(J1119="","",IF(ISNUMBER(J1119),ROUND(J1119,2),IFERROR(ROUND(VALUE(SUBSTITUTE(SUBSTITUTE(SUBSTITUTE(J1119,"$",""),",","")," ","")),2),"bad")))</f>
        <v/>
      </c>
      <c r="P1119">
        <f>IF(TRIM(K1119)="","",IFERROR(MATCH(LOWER(TRIM(K1119)),'Students'!$AH$2:$AH$701,0),IFERROR(MATCH(LOWER(TRIM(K1119)),'Students'!$AF$2:$AF$701,0),IFERROR(MATCH(LOWER(TRIM(K1119)),'Students'!$AG$2:$AG$701,0),""))))</f>
        <v/>
      </c>
      <c r="R1119">
        <f>IF(P1119="","",INDEX('Students'!$AD$2:$AD$701,P1119))</f>
        <v/>
      </c>
      <c r="S1119">
        <f>IF(H1119="OK",O1119,0)</f>
        <v/>
      </c>
      <c r="T1119">
        <f>IF(H1119="OK",N1119,"")</f>
        <v/>
      </c>
      <c r="U1119">
        <f>IF(OC_Donor=0,"",IF(INDEX('OneCause_Paste'!$A$1119:$AZ$1119,1,OC_Donor)="","",INDEX('OneCause_Paste'!$A$1119:$AZ$1119,1,OC_Donor)))</f>
        <v/>
      </c>
    </row>
    <row r="1120">
      <c r="A1120" s="62">
        <f>IF(H1120="","",IF(ISNUMBER(N1120),N1120,I1120))</f>
        <v/>
      </c>
      <c r="B1120">
        <f>IF(H1120="","",U1120)</f>
        <v/>
      </c>
      <c r="C1120">
        <f>IF(H1120="","",IF(P1120="",K1120,INDEX('Students'!$A$2:$A$701,P1120)))</f>
        <v/>
      </c>
      <c r="D1120">
        <f>IF(OR(H1120="",P1120=""),"",INDEX('Students'!$B$2:$B$701,P1120))</f>
        <v/>
      </c>
      <c r="E1120">
        <f>IF(OR(H1120="",P1120=""),"",INDEX('Students'!$C$2:$C$701,P1120))</f>
        <v/>
      </c>
      <c r="F1120" s="48">
        <f>IF(H1120="","",IF(ISNUMBER(O1120),O1120,J1120))</f>
        <v/>
      </c>
      <c r="G1120">
        <f>IF(H1120="","","OneCause")</f>
        <v/>
      </c>
      <c r="H1120">
        <f>IF(AND(I1120="",J1120="",K1120=""),"",IF(NOT(ISNUMBER(O1120)),"Bad amount",IF(O1120&lt;0,"Refund (not counted)",IF(O1120=0,"Zero amount",IF(NOT(ISNUMBER(N1120)),"Bad date",IF(P1120="","NAME NOT ON ROSTER",IF(L1120="","OK",IF(MATCH(L1120,$L$2:$L$3001,0)&lt;ROW()-1,"Duplicate (ignored)","OK"))))))))</f>
        <v/>
      </c>
      <c r="I1120">
        <f>IF(OC_Date=0,"",IF(INDEX('OneCause_Paste'!$A$1120:$AZ$1120,1,OC_Date)="","",INDEX('OneCause_Paste'!$A$1120:$AZ$1120,1,OC_Date)))</f>
        <v/>
      </c>
      <c r="J1120">
        <f>IF(OC_Amt=0,"",IF(INDEX('OneCause_Paste'!$A$1120:$AZ$1120,1,OC_Amt)="","",INDEX('OneCause_Paste'!$A$1120:$AZ$1120,1,OC_Amt)))</f>
        <v/>
      </c>
      <c r="K1120">
        <f>IF(OC_Name=0,"",IF(INDEX('OneCause_Paste'!$A$1120:$AZ$1120,1,OC_Name)="","",INDEX('OneCause_Paste'!$A$1120:$AZ$1120,1,OC_Name)))</f>
        <v/>
      </c>
      <c r="L1120">
        <f>IF(OC_Txn=0,"",IF(INDEX('OneCause_Paste'!$A$1120:$AZ$1120,1,OC_Txn)="","",INDEX('OneCause_Paste'!$A$1120:$AZ$1120,1,OC_Txn)))</f>
        <v/>
      </c>
      <c r="M1120">
        <f>IF(OC_Pay=0,"",IF(INDEX('OneCause_Paste'!$A$1120:$AZ$1120,1,OC_Pay)="","",INDEX('OneCause_Paste'!$A$1120:$AZ$1120,1,OC_Pay)))</f>
        <v/>
      </c>
      <c r="N1120">
        <f>IF(I1120="","",IF(ISNUMBER(I1120),INT(I1120),IFERROR(INT(DATEVALUE(I1120)),IFERROR(INT(VALUE(I1120)),"bad"))))</f>
        <v/>
      </c>
      <c r="O1120">
        <f>IF(J1120="","",IF(ISNUMBER(J1120),ROUND(J1120,2),IFERROR(ROUND(VALUE(SUBSTITUTE(SUBSTITUTE(SUBSTITUTE(J1120,"$",""),",","")," ","")),2),"bad")))</f>
        <v/>
      </c>
      <c r="P1120">
        <f>IF(TRIM(K1120)="","",IFERROR(MATCH(LOWER(TRIM(K1120)),'Students'!$AH$2:$AH$701,0),IFERROR(MATCH(LOWER(TRIM(K1120)),'Students'!$AF$2:$AF$701,0),IFERROR(MATCH(LOWER(TRIM(K1120)),'Students'!$AG$2:$AG$701,0),""))))</f>
        <v/>
      </c>
      <c r="R1120">
        <f>IF(P1120="","",INDEX('Students'!$AD$2:$AD$701,P1120))</f>
        <v/>
      </c>
      <c r="S1120">
        <f>IF(H1120="OK",O1120,0)</f>
        <v/>
      </c>
      <c r="T1120">
        <f>IF(H1120="OK",N1120,"")</f>
        <v/>
      </c>
      <c r="U1120">
        <f>IF(OC_Donor=0,"",IF(INDEX('OneCause_Paste'!$A$1120:$AZ$1120,1,OC_Donor)="","",INDEX('OneCause_Paste'!$A$1120:$AZ$1120,1,OC_Donor)))</f>
        <v/>
      </c>
    </row>
    <row r="1121">
      <c r="A1121" s="62">
        <f>IF(H1121="","",IF(ISNUMBER(N1121),N1121,I1121))</f>
        <v/>
      </c>
      <c r="B1121">
        <f>IF(H1121="","",U1121)</f>
        <v/>
      </c>
      <c r="C1121">
        <f>IF(H1121="","",IF(P1121="",K1121,INDEX('Students'!$A$2:$A$701,P1121)))</f>
        <v/>
      </c>
      <c r="D1121">
        <f>IF(OR(H1121="",P1121=""),"",INDEX('Students'!$B$2:$B$701,P1121))</f>
        <v/>
      </c>
      <c r="E1121">
        <f>IF(OR(H1121="",P1121=""),"",INDEX('Students'!$C$2:$C$701,P1121))</f>
        <v/>
      </c>
      <c r="F1121" s="48">
        <f>IF(H1121="","",IF(ISNUMBER(O1121),O1121,J1121))</f>
        <v/>
      </c>
      <c r="G1121">
        <f>IF(H1121="","","OneCause")</f>
        <v/>
      </c>
      <c r="H1121">
        <f>IF(AND(I1121="",J1121="",K1121=""),"",IF(NOT(ISNUMBER(O1121)),"Bad amount",IF(O1121&lt;0,"Refund (not counted)",IF(O1121=0,"Zero amount",IF(NOT(ISNUMBER(N1121)),"Bad date",IF(P1121="","NAME NOT ON ROSTER",IF(L1121="","OK",IF(MATCH(L1121,$L$2:$L$3001,0)&lt;ROW()-1,"Duplicate (ignored)","OK"))))))))</f>
        <v/>
      </c>
      <c r="I1121">
        <f>IF(OC_Date=0,"",IF(INDEX('OneCause_Paste'!$A$1121:$AZ$1121,1,OC_Date)="","",INDEX('OneCause_Paste'!$A$1121:$AZ$1121,1,OC_Date)))</f>
        <v/>
      </c>
      <c r="J1121">
        <f>IF(OC_Amt=0,"",IF(INDEX('OneCause_Paste'!$A$1121:$AZ$1121,1,OC_Amt)="","",INDEX('OneCause_Paste'!$A$1121:$AZ$1121,1,OC_Amt)))</f>
        <v/>
      </c>
      <c r="K1121">
        <f>IF(OC_Name=0,"",IF(INDEX('OneCause_Paste'!$A$1121:$AZ$1121,1,OC_Name)="","",INDEX('OneCause_Paste'!$A$1121:$AZ$1121,1,OC_Name)))</f>
        <v/>
      </c>
      <c r="L1121">
        <f>IF(OC_Txn=0,"",IF(INDEX('OneCause_Paste'!$A$1121:$AZ$1121,1,OC_Txn)="","",INDEX('OneCause_Paste'!$A$1121:$AZ$1121,1,OC_Txn)))</f>
        <v/>
      </c>
      <c r="M1121">
        <f>IF(OC_Pay=0,"",IF(INDEX('OneCause_Paste'!$A$1121:$AZ$1121,1,OC_Pay)="","",INDEX('OneCause_Paste'!$A$1121:$AZ$1121,1,OC_Pay)))</f>
        <v/>
      </c>
      <c r="N1121">
        <f>IF(I1121="","",IF(ISNUMBER(I1121),INT(I1121),IFERROR(INT(DATEVALUE(I1121)),IFERROR(INT(VALUE(I1121)),"bad"))))</f>
        <v/>
      </c>
      <c r="O1121">
        <f>IF(J1121="","",IF(ISNUMBER(J1121),ROUND(J1121,2),IFERROR(ROUND(VALUE(SUBSTITUTE(SUBSTITUTE(SUBSTITUTE(J1121,"$",""),",","")," ","")),2),"bad")))</f>
        <v/>
      </c>
      <c r="P1121">
        <f>IF(TRIM(K1121)="","",IFERROR(MATCH(LOWER(TRIM(K1121)),'Students'!$AH$2:$AH$701,0),IFERROR(MATCH(LOWER(TRIM(K1121)),'Students'!$AF$2:$AF$701,0),IFERROR(MATCH(LOWER(TRIM(K1121)),'Students'!$AG$2:$AG$701,0),""))))</f>
        <v/>
      </c>
      <c r="R1121">
        <f>IF(P1121="","",INDEX('Students'!$AD$2:$AD$701,P1121))</f>
        <v/>
      </c>
      <c r="S1121">
        <f>IF(H1121="OK",O1121,0)</f>
        <v/>
      </c>
      <c r="T1121">
        <f>IF(H1121="OK",N1121,"")</f>
        <v/>
      </c>
      <c r="U1121">
        <f>IF(OC_Donor=0,"",IF(INDEX('OneCause_Paste'!$A$1121:$AZ$1121,1,OC_Donor)="","",INDEX('OneCause_Paste'!$A$1121:$AZ$1121,1,OC_Donor)))</f>
        <v/>
      </c>
    </row>
    <row r="1122">
      <c r="A1122" s="62">
        <f>IF(H1122="","",IF(ISNUMBER(N1122),N1122,I1122))</f>
        <v/>
      </c>
      <c r="B1122">
        <f>IF(H1122="","",U1122)</f>
        <v/>
      </c>
      <c r="C1122">
        <f>IF(H1122="","",IF(P1122="",K1122,INDEX('Students'!$A$2:$A$701,P1122)))</f>
        <v/>
      </c>
      <c r="D1122">
        <f>IF(OR(H1122="",P1122=""),"",INDEX('Students'!$B$2:$B$701,P1122))</f>
        <v/>
      </c>
      <c r="E1122">
        <f>IF(OR(H1122="",P1122=""),"",INDEX('Students'!$C$2:$C$701,P1122))</f>
        <v/>
      </c>
      <c r="F1122" s="48">
        <f>IF(H1122="","",IF(ISNUMBER(O1122),O1122,J1122))</f>
        <v/>
      </c>
      <c r="G1122">
        <f>IF(H1122="","","OneCause")</f>
        <v/>
      </c>
      <c r="H1122">
        <f>IF(AND(I1122="",J1122="",K1122=""),"",IF(NOT(ISNUMBER(O1122)),"Bad amount",IF(O1122&lt;0,"Refund (not counted)",IF(O1122=0,"Zero amount",IF(NOT(ISNUMBER(N1122)),"Bad date",IF(P1122="","NAME NOT ON ROSTER",IF(L1122="","OK",IF(MATCH(L1122,$L$2:$L$3001,0)&lt;ROW()-1,"Duplicate (ignored)","OK"))))))))</f>
        <v/>
      </c>
      <c r="I1122">
        <f>IF(OC_Date=0,"",IF(INDEX('OneCause_Paste'!$A$1122:$AZ$1122,1,OC_Date)="","",INDEX('OneCause_Paste'!$A$1122:$AZ$1122,1,OC_Date)))</f>
        <v/>
      </c>
      <c r="J1122">
        <f>IF(OC_Amt=0,"",IF(INDEX('OneCause_Paste'!$A$1122:$AZ$1122,1,OC_Amt)="","",INDEX('OneCause_Paste'!$A$1122:$AZ$1122,1,OC_Amt)))</f>
        <v/>
      </c>
      <c r="K1122">
        <f>IF(OC_Name=0,"",IF(INDEX('OneCause_Paste'!$A$1122:$AZ$1122,1,OC_Name)="","",INDEX('OneCause_Paste'!$A$1122:$AZ$1122,1,OC_Name)))</f>
        <v/>
      </c>
      <c r="L1122">
        <f>IF(OC_Txn=0,"",IF(INDEX('OneCause_Paste'!$A$1122:$AZ$1122,1,OC_Txn)="","",INDEX('OneCause_Paste'!$A$1122:$AZ$1122,1,OC_Txn)))</f>
        <v/>
      </c>
      <c r="M1122">
        <f>IF(OC_Pay=0,"",IF(INDEX('OneCause_Paste'!$A$1122:$AZ$1122,1,OC_Pay)="","",INDEX('OneCause_Paste'!$A$1122:$AZ$1122,1,OC_Pay)))</f>
        <v/>
      </c>
      <c r="N1122">
        <f>IF(I1122="","",IF(ISNUMBER(I1122),INT(I1122),IFERROR(INT(DATEVALUE(I1122)),IFERROR(INT(VALUE(I1122)),"bad"))))</f>
        <v/>
      </c>
      <c r="O1122">
        <f>IF(J1122="","",IF(ISNUMBER(J1122),ROUND(J1122,2),IFERROR(ROUND(VALUE(SUBSTITUTE(SUBSTITUTE(SUBSTITUTE(J1122,"$",""),",","")," ","")),2),"bad")))</f>
        <v/>
      </c>
      <c r="P1122">
        <f>IF(TRIM(K1122)="","",IFERROR(MATCH(LOWER(TRIM(K1122)),'Students'!$AH$2:$AH$701,0),IFERROR(MATCH(LOWER(TRIM(K1122)),'Students'!$AF$2:$AF$701,0),IFERROR(MATCH(LOWER(TRIM(K1122)),'Students'!$AG$2:$AG$701,0),""))))</f>
        <v/>
      </c>
      <c r="R1122">
        <f>IF(P1122="","",INDEX('Students'!$AD$2:$AD$701,P1122))</f>
        <v/>
      </c>
      <c r="S1122">
        <f>IF(H1122="OK",O1122,0)</f>
        <v/>
      </c>
      <c r="T1122">
        <f>IF(H1122="OK",N1122,"")</f>
        <v/>
      </c>
      <c r="U1122">
        <f>IF(OC_Donor=0,"",IF(INDEX('OneCause_Paste'!$A$1122:$AZ$1122,1,OC_Donor)="","",INDEX('OneCause_Paste'!$A$1122:$AZ$1122,1,OC_Donor)))</f>
        <v/>
      </c>
    </row>
    <row r="1123">
      <c r="A1123" s="62">
        <f>IF(H1123="","",IF(ISNUMBER(N1123),N1123,I1123))</f>
        <v/>
      </c>
      <c r="B1123">
        <f>IF(H1123="","",U1123)</f>
        <v/>
      </c>
      <c r="C1123">
        <f>IF(H1123="","",IF(P1123="",K1123,INDEX('Students'!$A$2:$A$701,P1123)))</f>
        <v/>
      </c>
      <c r="D1123">
        <f>IF(OR(H1123="",P1123=""),"",INDEX('Students'!$B$2:$B$701,P1123))</f>
        <v/>
      </c>
      <c r="E1123">
        <f>IF(OR(H1123="",P1123=""),"",INDEX('Students'!$C$2:$C$701,P1123))</f>
        <v/>
      </c>
      <c r="F1123" s="48">
        <f>IF(H1123="","",IF(ISNUMBER(O1123),O1123,J1123))</f>
        <v/>
      </c>
      <c r="G1123">
        <f>IF(H1123="","","OneCause")</f>
        <v/>
      </c>
      <c r="H1123">
        <f>IF(AND(I1123="",J1123="",K1123=""),"",IF(NOT(ISNUMBER(O1123)),"Bad amount",IF(O1123&lt;0,"Refund (not counted)",IF(O1123=0,"Zero amount",IF(NOT(ISNUMBER(N1123)),"Bad date",IF(P1123="","NAME NOT ON ROSTER",IF(L1123="","OK",IF(MATCH(L1123,$L$2:$L$3001,0)&lt;ROW()-1,"Duplicate (ignored)","OK"))))))))</f>
        <v/>
      </c>
      <c r="I1123">
        <f>IF(OC_Date=0,"",IF(INDEX('OneCause_Paste'!$A$1123:$AZ$1123,1,OC_Date)="","",INDEX('OneCause_Paste'!$A$1123:$AZ$1123,1,OC_Date)))</f>
        <v/>
      </c>
      <c r="J1123">
        <f>IF(OC_Amt=0,"",IF(INDEX('OneCause_Paste'!$A$1123:$AZ$1123,1,OC_Amt)="","",INDEX('OneCause_Paste'!$A$1123:$AZ$1123,1,OC_Amt)))</f>
        <v/>
      </c>
      <c r="K1123">
        <f>IF(OC_Name=0,"",IF(INDEX('OneCause_Paste'!$A$1123:$AZ$1123,1,OC_Name)="","",INDEX('OneCause_Paste'!$A$1123:$AZ$1123,1,OC_Name)))</f>
        <v/>
      </c>
      <c r="L1123">
        <f>IF(OC_Txn=0,"",IF(INDEX('OneCause_Paste'!$A$1123:$AZ$1123,1,OC_Txn)="","",INDEX('OneCause_Paste'!$A$1123:$AZ$1123,1,OC_Txn)))</f>
        <v/>
      </c>
      <c r="M1123">
        <f>IF(OC_Pay=0,"",IF(INDEX('OneCause_Paste'!$A$1123:$AZ$1123,1,OC_Pay)="","",INDEX('OneCause_Paste'!$A$1123:$AZ$1123,1,OC_Pay)))</f>
        <v/>
      </c>
      <c r="N1123">
        <f>IF(I1123="","",IF(ISNUMBER(I1123),INT(I1123),IFERROR(INT(DATEVALUE(I1123)),IFERROR(INT(VALUE(I1123)),"bad"))))</f>
        <v/>
      </c>
      <c r="O1123">
        <f>IF(J1123="","",IF(ISNUMBER(J1123),ROUND(J1123,2),IFERROR(ROUND(VALUE(SUBSTITUTE(SUBSTITUTE(SUBSTITUTE(J1123,"$",""),",","")," ","")),2),"bad")))</f>
        <v/>
      </c>
      <c r="P1123">
        <f>IF(TRIM(K1123)="","",IFERROR(MATCH(LOWER(TRIM(K1123)),'Students'!$AH$2:$AH$701,0),IFERROR(MATCH(LOWER(TRIM(K1123)),'Students'!$AF$2:$AF$701,0),IFERROR(MATCH(LOWER(TRIM(K1123)),'Students'!$AG$2:$AG$701,0),""))))</f>
        <v/>
      </c>
      <c r="R1123">
        <f>IF(P1123="","",INDEX('Students'!$AD$2:$AD$701,P1123))</f>
        <v/>
      </c>
      <c r="S1123">
        <f>IF(H1123="OK",O1123,0)</f>
        <v/>
      </c>
      <c r="T1123">
        <f>IF(H1123="OK",N1123,"")</f>
        <v/>
      </c>
      <c r="U1123">
        <f>IF(OC_Donor=0,"",IF(INDEX('OneCause_Paste'!$A$1123:$AZ$1123,1,OC_Donor)="","",INDEX('OneCause_Paste'!$A$1123:$AZ$1123,1,OC_Donor)))</f>
        <v/>
      </c>
    </row>
    <row r="1124">
      <c r="A1124" s="62">
        <f>IF(H1124="","",IF(ISNUMBER(N1124),N1124,I1124))</f>
        <v/>
      </c>
      <c r="B1124">
        <f>IF(H1124="","",U1124)</f>
        <v/>
      </c>
      <c r="C1124">
        <f>IF(H1124="","",IF(P1124="",K1124,INDEX('Students'!$A$2:$A$701,P1124)))</f>
        <v/>
      </c>
      <c r="D1124">
        <f>IF(OR(H1124="",P1124=""),"",INDEX('Students'!$B$2:$B$701,P1124))</f>
        <v/>
      </c>
      <c r="E1124">
        <f>IF(OR(H1124="",P1124=""),"",INDEX('Students'!$C$2:$C$701,P1124))</f>
        <v/>
      </c>
      <c r="F1124" s="48">
        <f>IF(H1124="","",IF(ISNUMBER(O1124),O1124,J1124))</f>
        <v/>
      </c>
      <c r="G1124">
        <f>IF(H1124="","","OneCause")</f>
        <v/>
      </c>
      <c r="H1124">
        <f>IF(AND(I1124="",J1124="",K1124=""),"",IF(NOT(ISNUMBER(O1124)),"Bad amount",IF(O1124&lt;0,"Refund (not counted)",IF(O1124=0,"Zero amount",IF(NOT(ISNUMBER(N1124)),"Bad date",IF(P1124="","NAME NOT ON ROSTER",IF(L1124="","OK",IF(MATCH(L1124,$L$2:$L$3001,0)&lt;ROW()-1,"Duplicate (ignored)","OK"))))))))</f>
        <v/>
      </c>
      <c r="I1124">
        <f>IF(OC_Date=0,"",IF(INDEX('OneCause_Paste'!$A$1124:$AZ$1124,1,OC_Date)="","",INDEX('OneCause_Paste'!$A$1124:$AZ$1124,1,OC_Date)))</f>
        <v/>
      </c>
      <c r="J1124">
        <f>IF(OC_Amt=0,"",IF(INDEX('OneCause_Paste'!$A$1124:$AZ$1124,1,OC_Amt)="","",INDEX('OneCause_Paste'!$A$1124:$AZ$1124,1,OC_Amt)))</f>
        <v/>
      </c>
      <c r="K1124">
        <f>IF(OC_Name=0,"",IF(INDEX('OneCause_Paste'!$A$1124:$AZ$1124,1,OC_Name)="","",INDEX('OneCause_Paste'!$A$1124:$AZ$1124,1,OC_Name)))</f>
        <v/>
      </c>
      <c r="L1124">
        <f>IF(OC_Txn=0,"",IF(INDEX('OneCause_Paste'!$A$1124:$AZ$1124,1,OC_Txn)="","",INDEX('OneCause_Paste'!$A$1124:$AZ$1124,1,OC_Txn)))</f>
        <v/>
      </c>
      <c r="M1124">
        <f>IF(OC_Pay=0,"",IF(INDEX('OneCause_Paste'!$A$1124:$AZ$1124,1,OC_Pay)="","",INDEX('OneCause_Paste'!$A$1124:$AZ$1124,1,OC_Pay)))</f>
        <v/>
      </c>
      <c r="N1124">
        <f>IF(I1124="","",IF(ISNUMBER(I1124),INT(I1124),IFERROR(INT(DATEVALUE(I1124)),IFERROR(INT(VALUE(I1124)),"bad"))))</f>
        <v/>
      </c>
      <c r="O1124">
        <f>IF(J1124="","",IF(ISNUMBER(J1124),ROUND(J1124,2),IFERROR(ROUND(VALUE(SUBSTITUTE(SUBSTITUTE(SUBSTITUTE(J1124,"$",""),",","")," ","")),2),"bad")))</f>
        <v/>
      </c>
      <c r="P1124">
        <f>IF(TRIM(K1124)="","",IFERROR(MATCH(LOWER(TRIM(K1124)),'Students'!$AH$2:$AH$701,0),IFERROR(MATCH(LOWER(TRIM(K1124)),'Students'!$AF$2:$AF$701,0),IFERROR(MATCH(LOWER(TRIM(K1124)),'Students'!$AG$2:$AG$701,0),""))))</f>
        <v/>
      </c>
      <c r="R1124">
        <f>IF(P1124="","",INDEX('Students'!$AD$2:$AD$701,P1124))</f>
        <v/>
      </c>
      <c r="S1124">
        <f>IF(H1124="OK",O1124,0)</f>
        <v/>
      </c>
      <c r="T1124">
        <f>IF(H1124="OK",N1124,"")</f>
        <v/>
      </c>
      <c r="U1124">
        <f>IF(OC_Donor=0,"",IF(INDEX('OneCause_Paste'!$A$1124:$AZ$1124,1,OC_Donor)="","",INDEX('OneCause_Paste'!$A$1124:$AZ$1124,1,OC_Donor)))</f>
        <v/>
      </c>
    </row>
    <row r="1125">
      <c r="A1125" s="62">
        <f>IF(H1125="","",IF(ISNUMBER(N1125),N1125,I1125))</f>
        <v/>
      </c>
      <c r="B1125">
        <f>IF(H1125="","",U1125)</f>
        <v/>
      </c>
      <c r="C1125">
        <f>IF(H1125="","",IF(P1125="",K1125,INDEX('Students'!$A$2:$A$701,P1125)))</f>
        <v/>
      </c>
      <c r="D1125">
        <f>IF(OR(H1125="",P1125=""),"",INDEX('Students'!$B$2:$B$701,P1125))</f>
        <v/>
      </c>
      <c r="E1125">
        <f>IF(OR(H1125="",P1125=""),"",INDEX('Students'!$C$2:$C$701,P1125))</f>
        <v/>
      </c>
      <c r="F1125" s="48">
        <f>IF(H1125="","",IF(ISNUMBER(O1125),O1125,J1125))</f>
        <v/>
      </c>
      <c r="G1125">
        <f>IF(H1125="","","OneCause")</f>
        <v/>
      </c>
      <c r="H1125">
        <f>IF(AND(I1125="",J1125="",K1125=""),"",IF(NOT(ISNUMBER(O1125)),"Bad amount",IF(O1125&lt;0,"Refund (not counted)",IF(O1125=0,"Zero amount",IF(NOT(ISNUMBER(N1125)),"Bad date",IF(P1125="","NAME NOT ON ROSTER",IF(L1125="","OK",IF(MATCH(L1125,$L$2:$L$3001,0)&lt;ROW()-1,"Duplicate (ignored)","OK"))))))))</f>
        <v/>
      </c>
      <c r="I1125">
        <f>IF(OC_Date=0,"",IF(INDEX('OneCause_Paste'!$A$1125:$AZ$1125,1,OC_Date)="","",INDEX('OneCause_Paste'!$A$1125:$AZ$1125,1,OC_Date)))</f>
        <v/>
      </c>
      <c r="J1125">
        <f>IF(OC_Amt=0,"",IF(INDEX('OneCause_Paste'!$A$1125:$AZ$1125,1,OC_Amt)="","",INDEX('OneCause_Paste'!$A$1125:$AZ$1125,1,OC_Amt)))</f>
        <v/>
      </c>
      <c r="K1125">
        <f>IF(OC_Name=0,"",IF(INDEX('OneCause_Paste'!$A$1125:$AZ$1125,1,OC_Name)="","",INDEX('OneCause_Paste'!$A$1125:$AZ$1125,1,OC_Name)))</f>
        <v/>
      </c>
      <c r="L1125">
        <f>IF(OC_Txn=0,"",IF(INDEX('OneCause_Paste'!$A$1125:$AZ$1125,1,OC_Txn)="","",INDEX('OneCause_Paste'!$A$1125:$AZ$1125,1,OC_Txn)))</f>
        <v/>
      </c>
      <c r="M1125">
        <f>IF(OC_Pay=0,"",IF(INDEX('OneCause_Paste'!$A$1125:$AZ$1125,1,OC_Pay)="","",INDEX('OneCause_Paste'!$A$1125:$AZ$1125,1,OC_Pay)))</f>
        <v/>
      </c>
      <c r="N1125">
        <f>IF(I1125="","",IF(ISNUMBER(I1125),INT(I1125),IFERROR(INT(DATEVALUE(I1125)),IFERROR(INT(VALUE(I1125)),"bad"))))</f>
        <v/>
      </c>
      <c r="O1125">
        <f>IF(J1125="","",IF(ISNUMBER(J1125),ROUND(J1125,2),IFERROR(ROUND(VALUE(SUBSTITUTE(SUBSTITUTE(SUBSTITUTE(J1125,"$",""),",","")," ","")),2),"bad")))</f>
        <v/>
      </c>
      <c r="P1125">
        <f>IF(TRIM(K1125)="","",IFERROR(MATCH(LOWER(TRIM(K1125)),'Students'!$AH$2:$AH$701,0),IFERROR(MATCH(LOWER(TRIM(K1125)),'Students'!$AF$2:$AF$701,0),IFERROR(MATCH(LOWER(TRIM(K1125)),'Students'!$AG$2:$AG$701,0),""))))</f>
        <v/>
      </c>
      <c r="R1125">
        <f>IF(P1125="","",INDEX('Students'!$AD$2:$AD$701,P1125))</f>
        <v/>
      </c>
      <c r="S1125">
        <f>IF(H1125="OK",O1125,0)</f>
        <v/>
      </c>
      <c r="T1125">
        <f>IF(H1125="OK",N1125,"")</f>
        <v/>
      </c>
      <c r="U1125">
        <f>IF(OC_Donor=0,"",IF(INDEX('OneCause_Paste'!$A$1125:$AZ$1125,1,OC_Donor)="","",INDEX('OneCause_Paste'!$A$1125:$AZ$1125,1,OC_Donor)))</f>
        <v/>
      </c>
    </row>
    <row r="1126">
      <c r="A1126" s="62">
        <f>IF(H1126="","",IF(ISNUMBER(N1126),N1126,I1126))</f>
        <v/>
      </c>
      <c r="B1126">
        <f>IF(H1126="","",U1126)</f>
        <v/>
      </c>
      <c r="C1126">
        <f>IF(H1126="","",IF(P1126="",K1126,INDEX('Students'!$A$2:$A$701,P1126)))</f>
        <v/>
      </c>
      <c r="D1126">
        <f>IF(OR(H1126="",P1126=""),"",INDEX('Students'!$B$2:$B$701,P1126))</f>
        <v/>
      </c>
      <c r="E1126">
        <f>IF(OR(H1126="",P1126=""),"",INDEX('Students'!$C$2:$C$701,P1126))</f>
        <v/>
      </c>
      <c r="F1126" s="48">
        <f>IF(H1126="","",IF(ISNUMBER(O1126),O1126,J1126))</f>
        <v/>
      </c>
      <c r="G1126">
        <f>IF(H1126="","","OneCause")</f>
        <v/>
      </c>
      <c r="H1126">
        <f>IF(AND(I1126="",J1126="",K1126=""),"",IF(NOT(ISNUMBER(O1126)),"Bad amount",IF(O1126&lt;0,"Refund (not counted)",IF(O1126=0,"Zero amount",IF(NOT(ISNUMBER(N1126)),"Bad date",IF(P1126="","NAME NOT ON ROSTER",IF(L1126="","OK",IF(MATCH(L1126,$L$2:$L$3001,0)&lt;ROW()-1,"Duplicate (ignored)","OK"))))))))</f>
        <v/>
      </c>
      <c r="I1126">
        <f>IF(OC_Date=0,"",IF(INDEX('OneCause_Paste'!$A$1126:$AZ$1126,1,OC_Date)="","",INDEX('OneCause_Paste'!$A$1126:$AZ$1126,1,OC_Date)))</f>
        <v/>
      </c>
      <c r="J1126">
        <f>IF(OC_Amt=0,"",IF(INDEX('OneCause_Paste'!$A$1126:$AZ$1126,1,OC_Amt)="","",INDEX('OneCause_Paste'!$A$1126:$AZ$1126,1,OC_Amt)))</f>
        <v/>
      </c>
      <c r="K1126">
        <f>IF(OC_Name=0,"",IF(INDEX('OneCause_Paste'!$A$1126:$AZ$1126,1,OC_Name)="","",INDEX('OneCause_Paste'!$A$1126:$AZ$1126,1,OC_Name)))</f>
        <v/>
      </c>
      <c r="L1126">
        <f>IF(OC_Txn=0,"",IF(INDEX('OneCause_Paste'!$A$1126:$AZ$1126,1,OC_Txn)="","",INDEX('OneCause_Paste'!$A$1126:$AZ$1126,1,OC_Txn)))</f>
        <v/>
      </c>
      <c r="M1126">
        <f>IF(OC_Pay=0,"",IF(INDEX('OneCause_Paste'!$A$1126:$AZ$1126,1,OC_Pay)="","",INDEX('OneCause_Paste'!$A$1126:$AZ$1126,1,OC_Pay)))</f>
        <v/>
      </c>
      <c r="N1126">
        <f>IF(I1126="","",IF(ISNUMBER(I1126),INT(I1126),IFERROR(INT(DATEVALUE(I1126)),IFERROR(INT(VALUE(I1126)),"bad"))))</f>
        <v/>
      </c>
      <c r="O1126">
        <f>IF(J1126="","",IF(ISNUMBER(J1126),ROUND(J1126,2),IFERROR(ROUND(VALUE(SUBSTITUTE(SUBSTITUTE(SUBSTITUTE(J1126,"$",""),",","")," ","")),2),"bad")))</f>
        <v/>
      </c>
      <c r="P1126">
        <f>IF(TRIM(K1126)="","",IFERROR(MATCH(LOWER(TRIM(K1126)),'Students'!$AH$2:$AH$701,0),IFERROR(MATCH(LOWER(TRIM(K1126)),'Students'!$AF$2:$AF$701,0),IFERROR(MATCH(LOWER(TRIM(K1126)),'Students'!$AG$2:$AG$701,0),""))))</f>
        <v/>
      </c>
      <c r="R1126">
        <f>IF(P1126="","",INDEX('Students'!$AD$2:$AD$701,P1126))</f>
        <v/>
      </c>
      <c r="S1126">
        <f>IF(H1126="OK",O1126,0)</f>
        <v/>
      </c>
      <c r="T1126">
        <f>IF(H1126="OK",N1126,"")</f>
        <v/>
      </c>
      <c r="U1126">
        <f>IF(OC_Donor=0,"",IF(INDEX('OneCause_Paste'!$A$1126:$AZ$1126,1,OC_Donor)="","",INDEX('OneCause_Paste'!$A$1126:$AZ$1126,1,OC_Donor)))</f>
        <v/>
      </c>
    </row>
    <row r="1127">
      <c r="A1127" s="62">
        <f>IF(H1127="","",IF(ISNUMBER(N1127),N1127,I1127))</f>
        <v/>
      </c>
      <c r="B1127">
        <f>IF(H1127="","",U1127)</f>
        <v/>
      </c>
      <c r="C1127">
        <f>IF(H1127="","",IF(P1127="",K1127,INDEX('Students'!$A$2:$A$701,P1127)))</f>
        <v/>
      </c>
      <c r="D1127">
        <f>IF(OR(H1127="",P1127=""),"",INDEX('Students'!$B$2:$B$701,P1127))</f>
        <v/>
      </c>
      <c r="E1127">
        <f>IF(OR(H1127="",P1127=""),"",INDEX('Students'!$C$2:$C$701,P1127))</f>
        <v/>
      </c>
      <c r="F1127" s="48">
        <f>IF(H1127="","",IF(ISNUMBER(O1127),O1127,J1127))</f>
        <v/>
      </c>
      <c r="G1127">
        <f>IF(H1127="","","OneCause")</f>
        <v/>
      </c>
      <c r="H1127">
        <f>IF(AND(I1127="",J1127="",K1127=""),"",IF(NOT(ISNUMBER(O1127)),"Bad amount",IF(O1127&lt;0,"Refund (not counted)",IF(O1127=0,"Zero amount",IF(NOT(ISNUMBER(N1127)),"Bad date",IF(P1127="","NAME NOT ON ROSTER",IF(L1127="","OK",IF(MATCH(L1127,$L$2:$L$3001,0)&lt;ROW()-1,"Duplicate (ignored)","OK"))))))))</f>
        <v/>
      </c>
      <c r="I1127">
        <f>IF(OC_Date=0,"",IF(INDEX('OneCause_Paste'!$A$1127:$AZ$1127,1,OC_Date)="","",INDEX('OneCause_Paste'!$A$1127:$AZ$1127,1,OC_Date)))</f>
        <v/>
      </c>
      <c r="J1127">
        <f>IF(OC_Amt=0,"",IF(INDEX('OneCause_Paste'!$A$1127:$AZ$1127,1,OC_Amt)="","",INDEX('OneCause_Paste'!$A$1127:$AZ$1127,1,OC_Amt)))</f>
        <v/>
      </c>
      <c r="K1127">
        <f>IF(OC_Name=0,"",IF(INDEX('OneCause_Paste'!$A$1127:$AZ$1127,1,OC_Name)="","",INDEX('OneCause_Paste'!$A$1127:$AZ$1127,1,OC_Name)))</f>
        <v/>
      </c>
      <c r="L1127">
        <f>IF(OC_Txn=0,"",IF(INDEX('OneCause_Paste'!$A$1127:$AZ$1127,1,OC_Txn)="","",INDEX('OneCause_Paste'!$A$1127:$AZ$1127,1,OC_Txn)))</f>
        <v/>
      </c>
      <c r="M1127">
        <f>IF(OC_Pay=0,"",IF(INDEX('OneCause_Paste'!$A$1127:$AZ$1127,1,OC_Pay)="","",INDEX('OneCause_Paste'!$A$1127:$AZ$1127,1,OC_Pay)))</f>
        <v/>
      </c>
      <c r="N1127">
        <f>IF(I1127="","",IF(ISNUMBER(I1127),INT(I1127),IFERROR(INT(DATEVALUE(I1127)),IFERROR(INT(VALUE(I1127)),"bad"))))</f>
        <v/>
      </c>
      <c r="O1127">
        <f>IF(J1127="","",IF(ISNUMBER(J1127),ROUND(J1127,2),IFERROR(ROUND(VALUE(SUBSTITUTE(SUBSTITUTE(SUBSTITUTE(J1127,"$",""),",","")," ","")),2),"bad")))</f>
        <v/>
      </c>
      <c r="P1127">
        <f>IF(TRIM(K1127)="","",IFERROR(MATCH(LOWER(TRIM(K1127)),'Students'!$AH$2:$AH$701,0),IFERROR(MATCH(LOWER(TRIM(K1127)),'Students'!$AF$2:$AF$701,0),IFERROR(MATCH(LOWER(TRIM(K1127)),'Students'!$AG$2:$AG$701,0),""))))</f>
        <v/>
      </c>
      <c r="R1127">
        <f>IF(P1127="","",INDEX('Students'!$AD$2:$AD$701,P1127))</f>
        <v/>
      </c>
      <c r="S1127">
        <f>IF(H1127="OK",O1127,0)</f>
        <v/>
      </c>
      <c r="T1127">
        <f>IF(H1127="OK",N1127,"")</f>
        <v/>
      </c>
      <c r="U1127">
        <f>IF(OC_Donor=0,"",IF(INDEX('OneCause_Paste'!$A$1127:$AZ$1127,1,OC_Donor)="","",INDEX('OneCause_Paste'!$A$1127:$AZ$1127,1,OC_Donor)))</f>
        <v/>
      </c>
    </row>
    <row r="1128">
      <c r="A1128" s="62">
        <f>IF(H1128="","",IF(ISNUMBER(N1128),N1128,I1128))</f>
        <v/>
      </c>
      <c r="B1128">
        <f>IF(H1128="","",U1128)</f>
        <v/>
      </c>
      <c r="C1128">
        <f>IF(H1128="","",IF(P1128="",K1128,INDEX('Students'!$A$2:$A$701,P1128)))</f>
        <v/>
      </c>
      <c r="D1128">
        <f>IF(OR(H1128="",P1128=""),"",INDEX('Students'!$B$2:$B$701,P1128))</f>
        <v/>
      </c>
      <c r="E1128">
        <f>IF(OR(H1128="",P1128=""),"",INDEX('Students'!$C$2:$C$701,P1128))</f>
        <v/>
      </c>
      <c r="F1128" s="48">
        <f>IF(H1128="","",IF(ISNUMBER(O1128),O1128,J1128))</f>
        <v/>
      </c>
      <c r="G1128">
        <f>IF(H1128="","","OneCause")</f>
        <v/>
      </c>
      <c r="H1128">
        <f>IF(AND(I1128="",J1128="",K1128=""),"",IF(NOT(ISNUMBER(O1128)),"Bad amount",IF(O1128&lt;0,"Refund (not counted)",IF(O1128=0,"Zero amount",IF(NOT(ISNUMBER(N1128)),"Bad date",IF(P1128="","NAME NOT ON ROSTER",IF(L1128="","OK",IF(MATCH(L1128,$L$2:$L$3001,0)&lt;ROW()-1,"Duplicate (ignored)","OK"))))))))</f>
        <v/>
      </c>
      <c r="I1128">
        <f>IF(OC_Date=0,"",IF(INDEX('OneCause_Paste'!$A$1128:$AZ$1128,1,OC_Date)="","",INDEX('OneCause_Paste'!$A$1128:$AZ$1128,1,OC_Date)))</f>
        <v/>
      </c>
      <c r="J1128">
        <f>IF(OC_Amt=0,"",IF(INDEX('OneCause_Paste'!$A$1128:$AZ$1128,1,OC_Amt)="","",INDEX('OneCause_Paste'!$A$1128:$AZ$1128,1,OC_Amt)))</f>
        <v/>
      </c>
      <c r="K1128">
        <f>IF(OC_Name=0,"",IF(INDEX('OneCause_Paste'!$A$1128:$AZ$1128,1,OC_Name)="","",INDEX('OneCause_Paste'!$A$1128:$AZ$1128,1,OC_Name)))</f>
        <v/>
      </c>
      <c r="L1128">
        <f>IF(OC_Txn=0,"",IF(INDEX('OneCause_Paste'!$A$1128:$AZ$1128,1,OC_Txn)="","",INDEX('OneCause_Paste'!$A$1128:$AZ$1128,1,OC_Txn)))</f>
        <v/>
      </c>
      <c r="M1128">
        <f>IF(OC_Pay=0,"",IF(INDEX('OneCause_Paste'!$A$1128:$AZ$1128,1,OC_Pay)="","",INDEX('OneCause_Paste'!$A$1128:$AZ$1128,1,OC_Pay)))</f>
        <v/>
      </c>
      <c r="N1128">
        <f>IF(I1128="","",IF(ISNUMBER(I1128),INT(I1128),IFERROR(INT(DATEVALUE(I1128)),IFERROR(INT(VALUE(I1128)),"bad"))))</f>
        <v/>
      </c>
      <c r="O1128">
        <f>IF(J1128="","",IF(ISNUMBER(J1128),ROUND(J1128,2),IFERROR(ROUND(VALUE(SUBSTITUTE(SUBSTITUTE(SUBSTITUTE(J1128,"$",""),",","")," ","")),2),"bad")))</f>
        <v/>
      </c>
      <c r="P1128">
        <f>IF(TRIM(K1128)="","",IFERROR(MATCH(LOWER(TRIM(K1128)),'Students'!$AH$2:$AH$701,0),IFERROR(MATCH(LOWER(TRIM(K1128)),'Students'!$AF$2:$AF$701,0),IFERROR(MATCH(LOWER(TRIM(K1128)),'Students'!$AG$2:$AG$701,0),""))))</f>
        <v/>
      </c>
      <c r="R1128">
        <f>IF(P1128="","",INDEX('Students'!$AD$2:$AD$701,P1128))</f>
        <v/>
      </c>
      <c r="S1128">
        <f>IF(H1128="OK",O1128,0)</f>
        <v/>
      </c>
      <c r="T1128">
        <f>IF(H1128="OK",N1128,"")</f>
        <v/>
      </c>
      <c r="U1128">
        <f>IF(OC_Donor=0,"",IF(INDEX('OneCause_Paste'!$A$1128:$AZ$1128,1,OC_Donor)="","",INDEX('OneCause_Paste'!$A$1128:$AZ$1128,1,OC_Donor)))</f>
        <v/>
      </c>
    </row>
    <row r="1129">
      <c r="A1129" s="62">
        <f>IF(H1129="","",IF(ISNUMBER(N1129),N1129,I1129))</f>
        <v/>
      </c>
      <c r="B1129">
        <f>IF(H1129="","",U1129)</f>
        <v/>
      </c>
      <c r="C1129">
        <f>IF(H1129="","",IF(P1129="",K1129,INDEX('Students'!$A$2:$A$701,P1129)))</f>
        <v/>
      </c>
      <c r="D1129">
        <f>IF(OR(H1129="",P1129=""),"",INDEX('Students'!$B$2:$B$701,P1129))</f>
        <v/>
      </c>
      <c r="E1129">
        <f>IF(OR(H1129="",P1129=""),"",INDEX('Students'!$C$2:$C$701,P1129))</f>
        <v/>
      </c>
      <c r="F1129" s="48">
        <f>IF(H1129="","",IF(ISNUMBER(O1129),O1129,J1129))</f>
        <v/>
      </c>
      <c r="G1129">
        <f>IF(H1129="","","OneCause")</f>
        <v/>
      </c>
      <c r="H1129">
        <f>IF(AND(I1129="",J1129="",K1129=""),"",IF(NOT(ISNUMBER(O1129)),"Bad amount",IF(O1129&lt;0,"Refund (not counted)",IF(O1129=0,"Zero amount",IF(NOT(ISNUMBER(N1129)),"Bad date",IF(P1129="","NAME NOT ON ROSTER",IF(L1129="","OK",IF(MATCH(L1129,$L$2:$L$3001,0)&lt;ROW()-1,"Duplicate (ignored)","OK"))))))))</f>
        <v/>
      </c>
      <c r="I1129">
        <f>IF(OC_Date=0,"",IF(INDEX('OneCause_Paste'!$A$1129:$AZ$1129,1,OC_Date)="","",INDEX('OneCause_Paste'!$A$1129:$AZ$1129,1,OC_Date)))</f>
        <v/>
      </c>
      <c r="J1129">
        <f>IF(OC_Amt=0,"",IF(INDEX('OneCause_Paste'!$A$1129:$AZ$1129,1,OC_Amt)="","",INDEX('OneCause_Paste'!$A$1129:$AZ$1129,1,OC_Amt)))</f>
        <v/>
      </c>
      <c r="K1129">
        <f>IF(OC_Name=0,"",IF(INDEX('OneCause_Paste'!$A$1129:$AZ$1129,1,OC_Name)="","",INDEX('OneCause_Paste'!$A$1129:$AZ$1129,1,OC_Name)))</f>
        <v/>
      </c>
      <c r="L1129">
        <f>IF(OC_Txn=0,"",IF(INDEX('OneCause_Paste'!$A$1129:$AZ$1129,1,OC_Txn)="","",INDEX('OneCause_Paste'!$A$1129:$AZ$1129,1,OC_Txn)))</f>
        <v/>
      </c>
      <c r="M1129">
        <f>IF(OC_Pay=0,"",IF(INDEX('OneCause_Paste'!$A$1129:$AZ$1129,1,OC_Pay)="","",INDEX('OneCause_Paste'!$A$1129:$AZ$1129,1,OC_Pay)))</f>
        <v/>
      </c>
      <c r="N1129">
        <f>IF(I1129="","",IF(ISNUMBER(I1129),INT(I1129),IFERROR(INT(DATEVALUE(I1129)),IFERROR(INT(VALUE(I1129)),"bad"))))</f>
        <v/>
      </c>
      <c r="O1129">
        <f>IF(J1129="","",IF(ISNUMBER(J1129),ROUND(J1129,2),IFERROR(ROUND(VALUE(SUBSTITUTE(SUBSTITUTE(SUBSTITUTE(J1129,"$",""),",","")," ","")),2),"bad")))</f>
        <v/>
      </c>
      <c r="P1129">
        <f>IF(TRIM(K1129)="","",IFERROR(MATCH(LOWER(TRIM(K1129)),'Students'!$AH$2:$AH$701,0),IFERROR(MATCH(LOWER(TRIM(K1129)),'Students'!$AF$2:$AF$701,0),IFERROR(MATCH(LOWER(TRIM(K1129)),'Students'!$AG$2:$AG$701,0),""))))</f>
        <v/>
      </c>
      <c r="R1129">
        <f>IF(P1129="","",INDEX('Students'!$AD$2:$AD$701,P1129))</f>
        <v/>
      </c>
      <c r="S1129">
        <f>IF(H1129="OK",O1129,0)</f>
        <v/>
      </c>
      <c r="T1129">
        <f>IF(H1129="OK",N1129,"")</f>
        <v/>
      </c>
      <c r="U1129">
        <f>IF(OC_Donor=0,"",IF(INDEX('OneCause_Paste'!$A$1129:$AZ$1129,1,OC_Donor)="","",INDEX('OneCause_Paste'!$A$1129:$AZ$1129,1,OC_Donor)))</f>
        <v/>
      </c>
    </row>
    <row r="1130">
      <c r="A1130" s="62">
        <f>IF(H1130="","",IF(ISNUMBER(N1130),N1130,I1130))</f>
        <v/>
      </c>
      <c r="B1130">
        <f>IF(H1130="","",U1130)</f>
        <v/>
      </c>
      <c r="C1130">
        <f>IF(H1130="","",IF(P1130="",K1130,INDEX('Students'!$A$2:$A$701,P1130)))</f>
        <v/>
      </c>
      <c r="D1130">
        <f>IF(OR(H1130="",P1130=""),"",INDEX('Students'!$B$2:$B$701,P1130))</f>
        <v/>
      </c>
      <c r="E1130">
        <f>IF(OR(H1130="",P1130=""),"",INDEX('Students'!$C$2:$C$701,P1130))</f>
        <v/>
      </c>
      <c r="F1130" s="48">
        <f>IF(H1130="","",IF(ISNUMBER(O1130),O1130,J1130))</f>
        <v/>
      </c>
      <c r="G1130">
        <f>IF(H1130="","","OneCause")</f>
        <v/>
      </c>
      <c r="H1130">
        <f>IF(AND(I1130="",J1130="",K1130=""),"",IF(NOT(ISNUMBER(O1130)),"Bad amount",IF(O1130&lt;0,"Refund (not counted)",IF(O1130=0,"Zero amount",IF(NOT(ISNUMBER(N1130)),"Bad date",IF(P1130="","NAME NOT ON ROSTER",IF(L1130="","OK",IF(MATCH(L1130,$L$2:$L$3001,0)&lt;ROW()-1,"Duplicate (ignored)","OK"))))))))</f>
        <v/>
      </c>
      <c r="I1130">
        <f>IF(OC_Date=0,"",IF(INDEX('OneCause_Paste'!$A$1130:$AZ$1130,1,OC_Date)="","",INDEX('OneCause_Paste'!$A$1130:$AZ$1130,1,OC_Date)))</f>
        <v/>
      </c>
      <c r="J1130">
        <f>IF(OC_Amt=0,"",IF(INDEX('OneCause_Paste'!$A$1130:$AZ$1130,1,OC_Amt)="","",INDEX('OneCause_Paste'!$A$1130:$AZ$1130,1,OC_Amt)))</f>
        <v/>
      </c>
      <c r="K1130">
        <f>IF(OC_Name=0,"",IF(INDEX('OneCause_Paste'!$A$1130:$AZ$1130,1,OC_Name)="","",INDEX('OneCause_Paste'!$A$1130:$AZ$1130,1,OC_Name)))</f>
        <v/>
      </c>
      <c r="L1130">
        <f>IF(OC_Txn=0,"",IF(INDEX('OneCause_Paste'!$A$1130:$AZ$1130,1,OC_Txn)="","",INDEX('OneCause_Paste'!$A$1130:$AZ$1130,1,OC_Txn)))</f>
        <v/>
      </c>
      <c r="M1130">
        <f>IF(OC_Pay=0,"",IF(INDEX('OneCause_Paste'!$A$1130:$AZ$1130,1,OC_Pay)="","",INDEX('OneCause_Paste'!$A$1130:$AZ$1130,1,OC_Pay)))</f>
        <v/>
      </c>
      <c r="N1130">
        <f>IF(I1130="","",IF(ISNUMBER(I1130),INT(I1130),IFERROR(INT(DATEVALUE(I1130)),IFERROR(INT(VALUE(I1130)),"bad"))))</f>
        <v/>
      </c>
      <c r="O1130">
        <f>IF(J1130="","",IF(ISNUMBER(J1130),ROUND(J1130,2),IFERROR(ROUND(VALUE(SUBSTITUTE(SUBSTITUTE(SUBSTITUTE(J1130,"$",""),",","")," ","")),2),"bad")))</f>
        <v/>
      </c>
      <c r="P1130">
        <f>IF(TRIM(K1130)="","",IFERROR(MATCH(LOWER(TRIM(K1130)),'Students'!$AH$2:$AH$701,0),IFERROR(MATCH(LOWER(TRIM(K1130)),'Students'!$AF$2:$AF$701,0),IFERROR(MATCH(LOWER(TRIM(K1130)),'Students'!$AG$2:$AG$701,0),""))))</f>
        <v/>
      </c>
      <c r="R1130">
        <f>IF(P1130="","",INDEX('Students'!$AD$2:$AD$701,P1130))</f>
        <v/>
      </c>
      <c r="S1130">
        <f>IF(H1130="OK",O1130,0)</f>
        <v/>
      </c>
      <c r="T1130">
        <f>IF(H1130="OK",N1130,"")</f>
        <v/>
      </c>
      <c r="U1130">
        <f>IF(OC_Donor=0,"",IF(INDEX('OneCause_Paste'!$A$1130:$AZ$1130,1,OC_Donor)="","",INDEX('OneCause_Paste'!$A$1130:$AZ$1130,1,OC_Donor)))</f>
        <v/>
      </c>
    </row>
    <row r="1131">
      <c r="A1131" s="62">
        <f>IF(H1131="","",IF(ISNUMBER(N1131),N1131,I1131))</f>
        <v/>
      </c>
      <c r="B1131">
        <f>IF(H1131="","",U1131)</f>
        <v/>
      </c>
      <c r="C1131">
        <f>IF(H1131="","",IF(P1131="",K1131,INDEX('Students'!$A$2:$A$701,P1131)))</f>
        <v/>
      </c>
      <c r="D1131">
        <f>IF(OR(H1131="",P1131=""),"",INDEX('Students'!$B$2:$B$701,P1131))</f>
        <v/>
      </c>
      <c r="E1131">
        <f>IF(OR(H1131="",P1131=""),"",INDEX('Students'!$C$2:$C$701,P1131))</f>
        <v/>
      </c>
      <c r="F1131" s="48">
        <f>IF(H1131="","",IF(ISNUMBER(O1131),O1131,J1131))</f>
        <v/>
      </c>
      <c r="G1131">
        <f>IF(H1131="","","OneCause")</f>
        <v/>
      </c>
      <c r="H1131">
        <f>IF(AND(I1131="",J1131="",K1131=""),"",IF(NOT(ISNUMBER(O1131)),"Bad amount",IF(O1131&lt;0,"Refund (not counted)",IF(O1131=0,"Zero amount",IF(NOT(ISNUMBER(N1131)),"Bad date",IF(P1131="","NAME NOT ON ROSTER",IF(L1131="","OK",IF(MATCH(L1131,$L$2:$L$3001,0)&lt;ROW()-1,"Duplicate (ignored)","OK"))))))))</f>
        <v/>
      </c>
      <c r="I1131">
        <f>IF(OC_Date=0,"",IF(INDEX('OneCause_Paste'!$A$1131:$AZ$1131,1,OC_Date)="","",INDEX('OneCause_Paste'!$A$1131:$AZ$1131,1,OC_Date)))</f>
        <v/>
      </c>
      <c r="J1131">
        <f>IF(OC_Amt=0,"",IF(INDEX('OneCause_Paste'!$A$1131:$AZ$1131,1,OC_Amt)="","",INDEX('OneCause_Paste'!$A$1131:$AZ$1131,1,OC_Amt)))</f>
        <v/>
      </c>
      <c r="K1131">
        <f>IF(OC_Name=0,"",IF(INDEX('OneCause_Paste'!$A$1131:$AZ$1131,1,OC_Name)="","",INDEX('OneCause_Paste'!$A$1131:$AZ$1131,1,OC_Name)))</f>
        <v/>
      </c>
      <c r="L1131">
        <f>IF(OC_Txn=0,"",IF(INDEX('OneCause_Paste'!$A$1131:$AZ$1131,1,OC_Txn)="","",INDEX('OneCause_Paste'!$A$1131:$AZ$1131,1,OC_Txn)))</f>
        <v/>
      </c>
      <c r="M1131">
        <f>IF(OC_Pay=0,"",IF(INDEX('OneCause_Paste'!$A$1131:$AZ$1131,1,OC_Pay)="","",INDEX('OneCause_Paste'!$A$1131:$AZ$1131,1,OC_Pay)))</f>
        <v/>
      </c>
      <c r="N1131">
        <f>IF(I1131="","",IF(ISNUMBER(I1131),INT(I1131),IFERROR(INT(DATEVALUE(I1131)),IFERROR(INT(VALUE(I1131)),"bad"))))</f>
        <v/>
      </c>
      <c r="O1131">
        <f>IF(J1131="","",IF(ISNUMBER(J1131),ROUND(J1131,2),IFERROR(ROUND(VALUE(SUBSTITUTE(SUBSTITUTE(SUBSTITUTE(J1131,"$",""),",","")," ","")),2),"bad")))</f>
        <v/>
      </c>
      <c r="P1131">
        <f>IF(TRIM(K1131)="","",IFERROR(MATCH(LOWER(TRIM(K1131)),'Students'!$AH$2:$AH$701,0),IFERROR(MATCH(LOWER(TRIM(K1131)),'Students'!$AF$2:$AF$701,0),IFERROR(MATCH(LOWER(TRIM(K1131)),'Students'!$AG$2:$AG$701,0),""))))</f>
        <v/>
      </c>
      <c r="R1131">
        <f>IF(P1131="","",INDEX('Students'!$AD$2:$AD$701,P1131))</f>
        <v/>
      </c>
      <c r="S1131">
        <f>IF(H1131="OK",O1131,0)</f>
        <v/>
      </c>
      <c r="T1131">
        <f>IF(H1131="OK",N1131,"")</f>
        <v/>
      </c>
      <c r="U1131">
        <f>IF(OC_Donor=0,"",IF(INDEX('OneCause_Paste'!$A$1131:$AZ$1131,1,OC_Donor)="","",INDEX('OneCause_Paste'!$A$1131:$AZ$1131,1,OC_Donor)))</f>
        <v/>
      </c>
    </row>
    <row r="1132">
      <c r="A1132" s="62">
        <f>IF(H1132="","",IF(ISNUMBER(N1132),N1132,I1132))</f>
        <v/>
      </c>
      <c r="B1132">
        <f>IF(H1132="","",U1132)</f>
        <v/>
      </c>
      <c r="C1132">
        <f>IF(H1132="","",IF(P1132="",K1132,INDEX('Students'!$A$2:$A$701,P1132)))</f>
        <v/>
      </c>
      <c r="D1132">
        <f>IF(OR(H1132="",P1132=""),"",INDEX('Students'!$B$2:$B$701,P1132))</f>
        <v/>
      </c>
      <c r="E1132">
        <f>IF(OR(H1132="",P1132=""),"",INDEX('Students'!$C$2:$C$701,P1132))</f>
        <v/>
      </c>
      <c r="F1132" s="48">
        <f>IF(H1132="","",IF(ISNUMBER(O1132),O1132,J1132))</f>
        <v/>
      </c>
      <c r="G1132">
        <f>IF(H1132="","","OneCause")</f>
        <v/>
      </c>
      <c r="H1132">
        <f>IF(AND(I1132="",J1132="",K1132=""),"",IF(NOT(ISNUMBER(O1132)),"Bad amount",IF(O1132&lt;0,"Refund (not counted)",IF(O1132=0,"Zero amount",IF(NOT(ISNUMBER(N1132)),"Bad date",IF(P1132="","NAME NOT ON ROSTER",IF(L1132="","OK",IF(MATCH(L1132,$L$2:$L$3001,0)&lt;ROW()-1,"Duplicate (ignored)","OK"))))))))</f>
        <v/>
      </c>
      <c r="I1132">
        <f>IF(OC_Date=0,"",IF(INDEX('OneCause_Paste'!$A$1132:$AZ$1132,1,OC_Date)="","",INDEX('OneCause_Paste'!$A$1132:$AZ$1132,1,OC_Date)))</f>
        <v/>
      </c>
      <c r="J1132">
        <f>IF(OC_Amt=0,"",IF(INDEX('OneCause_Paste'!$A$1132:$AZ$1132,1,OC_Amt)="","",INDEX('OneCause_Paste'!$A$1132:$AZ$1132,1,OC_Amt)))</f>
        <v/>
      </c>
      <c r="K1132">
        <f>IF(OC_Name=0,"",IF(INDEX('OneCause_Paste'!$A$1132:$AZ$1132,1,OC_Name)="","",INDEX('OneCause_Paste'!$A$1132:$AZ$1132,1,OC_Name)))</f>
        <v/>
      </c>
      <c r="L1132">
        <f>IF(OC_Txn=0,"",IF(INDEX('OneCause_Paste'!$A$1132:$AZ$1132,1,OC_Txn)="","",INDEX('OneCause_Paste'!$A$1132:$AZ$1132,1,OC_Txn)))</f>
        <v/>
      </c>
      <c r="M1132">
        <f>IF(OC_Pay=0,"",IF(INDEX('OneCause_Paste'!$A$1132:$AZ$1132,1,OC_Pay)="","",INDEX('OneCause_Paste'!$A$1132:$AZ$1132,1,OC_Pay)))</f>
        <v/>
      </c>
      <c r="N1132">
        <f>IF(I1132="","",IF(ISNUMBER(I1132),INT(I1132),IFERROR(INT(DATEVALUE(I1132)),IFERROR(INT(VALUE(I1132)),"bad"))))</f>
        <v/>
      </c>
      <c r="O1132">
        <f>IF(J1132="","",IF(ISNUMBER(J1132),ROUND(J1132,2),IFERROR(ROUND(VALUE(SUBSTITUTE(SUBSTITUTE(SUBSTITUTE(J1132,"$",""),",","")," ","")),2),"bad")))</f>
        <v/>
      </c>
      <c r="P1132">
        <f>IF(TRIM(K1132)="","",IFERROR(MATCH(LOWER(TRIM(K1132)),'Students'!$AH$2:$AH$701,0),IFERROR(MATCH(LOWER(TRIM(K1132)),'Students'!$AF$2:$AF$701,0),IFERROR(MATCH(LOWER(TRIM(K1132)),'Students'!$AG$2:$AG$701,0),""))))</f>
        <v/>
      </c>
      <c r="R1132">
        <f>IF(P1132="","",INDEX('Students'!$AD$2:$AD$701,P1132))</f>
        <v/>
      </c>
      <c r="S1132">
        <f>IF(H1132="OK",O1132,0)</f>
        <v/>
      </c>
      <c r="T1132">
        <f>IF(H1132="OK",N1132,"")</f>
        <v/>
      </c>
      <c r="U1132">
        <f>IF(OC_Donor=0,"",IF(INDEX('OneCause_Paste'!$A$1132:$AZ$1132,1,OC_Donor)="","",INDEX('OneCause_Paste'!$A$1132:$AZ$1132,1,OC_Donor)))</f>
        <v/>
      </c>
    </row>
    <row r="1133">
      <c r="A1133" s="62">
        <f>IF(H1133="","",IF(ISNUMBER(N1133),N1133,I1133))</f>
        <v/>
      </c>
      <c r="B1133">
        <f>IF(H1133="","",U1133)</f>
        <v/>
      </c>
      <c r="C1133">
        <f>IF(H1133="","",IF(P1133="",K1133,INDEX('Students'!$A$2:$A$701,P1133)))</f>
        <v/>
      </c>
      <c r="D1133">
        <f>IF(OR(H1133="",P1133=""),"",INDEX('Students'!$B$2:$B$701,P1133))</f>
        <v/>
      </c>
      <c r="E1133">
        <f>IF(OR(H1133="",P1133=""),"",INDEX('Students'!$C$2:$C$701,P1133))</f>
        <v/>
      </c>
      <c r="F1133" s="48">
        <f>IF(H1133="","",IF(ISNUMBER(O1133),O1133,J1133))</f>
        <v/>
      </c>
      <c r="G1133">
        <f>IF(H1133="","","OneCause")</f>
        <v/>
      </c>
      <c r="H1133">
        <f>IF(AND(I1133="",J1133="",K1133=""),"",IF(NOT(ISNUMBER(O1133)),"Bad amount",IF(O1133&lt;0,"Refund (not counted)",IF(O1133=0,"Zero amount",IF(NOT(ISNUMBER(N1133)),"Bad date",IF(P1133="","NAME NOT ON ROSTER",IF(L1133="","OK",IF(MATCH(L1133,$L$2:$L$3001,0)&lt;ROW()-1,"Duplicate (ignored)","OK"))))))))</f>
        <v/>
      </c>
      <c r="I1133">
        <f>IF(OC_Date=0,"",IF(INDEX('OneCause_Paste'!$A$1133:$AZ$1133,1,OC_Date)="","",INDEX('OneCause_Paste'!$A$1133:$AZ$1133,1,OC_Date)))</f>
        <v/>
      </c>
      <c r="J1133">
        <f>IF(OC_Amt=0,"",IF(INDEX('OneCause_Paste'!$A$1133:$AZ$1133,1,OC_Amt)="","",INDEX('OneCause_Paste'!$A$1133:$AZ$1133,1,OC_Amt)))</f>
        <v/>
      </c>
      <c r="K1133">
        <f>IF(OC_Name=0,"",IF(INDEX('OneCause_Paste'!$A$1133:$AZ$1133,1,OC_Name)="","",INDEX('OneCause_Paste'!$A$1133:$AZ$1133,1,OC_Name)))</f>
        <v/>
      </c>
      <c r="L1133">
        <f>IF(OC_Txn=0,"",IF(INDEX('OneCause_Paste'!$A$1133:$AZ$1133,1,OC_Txn)="","",INDEX('OneCause_Paste'!$A$1133:$AZ$1133,1,OC_Txn)))</f>
        <v/>
      </c>
      <c r="M1133">
        <f>IF(OC_Pay=0,"",IF(INDEX('OneCause_Paste'!$A$1133:$AZ$1133,1,OC_Pay)="","",INDEX('OneCause_Paste'!$A$1133:$AZ$1133,1,OC_Pay)))</f>
        <v/>
      </c>
      <c r="N1133">
        <f>IF(I1133="","",IF(ISNUMBER(I1133),INT(I1133),IFERROR(INT(DATEVALUE(I1133)),IFERROR(INT(VALUE(I1133)),"bad"))))</f>
        <v/>
      </c>
      <c r="O1133">
        <f>IF(J1133="","",IF(ISNUMBER(J1133),ROUND(J1133,2),IFERROR(ROUND(VALUE(SUBSTITUTE(SUBSTITUTE(SUBSTITUTE(J1133,"$",""),",","")," ","")),2),"bad")))</f>
        <v/>
      </c>
      <c r="P1133">
        <f>IF(TRIM(K1133)="","",IFERROR(MATCH(LOWER(TRIM(K1133)),'Students'!$AH$2:$AH$701,0),IFERROR(MATCH(LOWER(TRIM(K1133)),'Students'!$AF$2:$AF$701,0),IFERROR(MATCH(LOWER(TRIM(K1133)),'Students'!$AG$2:$AG$701,0),""))))</f>
        <v/>
      </c>
      <c r="R1133">
        <f>IF(P1133="","",INDEX('Students'!$AD$2:$AD$701,P1133))</f>
        <v/>
      </c>
      <c r="S1133">
        <f>IF(H1133="OK",O1133,0)</f>
        <v/>
      </c>
      <c r="T1133">
        <f>IF(H1133="OK",N1133,"")</f>
        <v/>
      </c>
      <c r="U1133">
        <f>IF(OC_Donor=0,"",IF(INDEX('OneCause_Paste'!$A$1133:$AZ$1133,1,OC_Donor)="","",INDEX('OneCause_Paste'!$A$1133:$AZ$1133,1,OC_Donor)))</f>
        <v/>
      </c>
    </row>
    <row r="1134">
      <c r="A1134" s="62">
        <f>IF(H1134="","",IF(ISNUMBER(N1134),N1134,I1134))</f>
        <v/>
      </c>
      <c r="B1134">
        <f>IF(H1134="","",U1134)</f>
        <v/>
      </c>
      <c r="C1134">
        <f>IF(H1134="","",IF(P1134="",K1134,INDEX('Students'!$A$2:$A$701,P1134)))</f>
        <v/>
      </c>
      <c r="D1134">
        <f>IF(OR(H1134="",P1134=""),"",INDEX('Students'!$B$2:$B$701,P1134))</f>
        <v/>
      </c>
      <c r="E1134">
        <f>IF(OR(H1134="",P1134=""),"",INDEX('Students'!$C$2:$C$701,P1134))</f>
        <v/>
      </c>
      <c r="F1134" s="48">
        <f>IF(H1134="","",IF(ISNUMBER(O1134),O1134,J1134))</f>
        <v/>
      </c>
      <c r="G1134">
        <f>IF(H1134="","","OneCause")</f>
        <v/>
      </c>
      <c r="H1134">
        <f>IF(AND(I1134="",J1134="",K1134=""),"",IF(NOT(ISNUMBER(O1134)),"Bad amount",IF(O1134&lt;0,"Refund (not counted)",IF(O1134=0,"Zero amount",IF(NOT(ISNUMBER(N1134)),"Bad date",IF(P1134="","NAME NOT ON ROSTER",IF(L1134="","OK",IF(MATCH(L1134,$L$2:$L$3001,0)&lt;ROW()-1,"Duplicate (ignored)","OK"))))))))</f>
        <v/>
      </c>
      <c r="I1134">
        <f>IF(OC_Date=0,"",IF(INDEX('OneCause_Paste'!$A$1134:$AZ$1134,1,OC_Date)="","",INDEX('OneCause_Paste'!$A$1134:$AZ$1134,1,OC_Date)))</f>
        <v/>
      </c>
      <c r="J1134">
        <f>IF(OC_Amt=0,"",IF(INDEX('OneCause_Paste'!$A$1134:$AZ$1134,1,OC_Amt)="","",INDEX('OneCause_Paste'!$A$1134:$AZ$1134,1,OC_Amt)))</f>
        <v/>
      </c>
      <c r="K1134">
        <f>IF(OC_Name=0,"",IF(INDEX('OneCause_Paste'!$A$1134:$AZ$1134,1,OC_Name)="","",INDEX('OneCause_Paste'!$A$1134:$AZ$1134,1,OC_Name)))</f>
        <v/>
      </c>
      <c r="L1134">
        <f>IF(OC_Txn=0,"",IF(INDEX('OneCause_Paste'!$A$1134:$AZ$1134,1,OC_Txn)="","",INDEX('OneCause_Paste'!$A$1134:$AZ$1134,1,OC_Txn)))</f>
        <v/>
      </c>
      <c r="M1134">
        <f>IF(OC_Pay=0,"",IF(INDEX('OneCause_Paste'!$A$1134:$AZ$1134,1,OC_Pay)="","",INDEX('OneCause_Paste'!$A$1134:$AZ$1134,1,OC_Pay)))</f>
        <v/>
      </c>
      <c r="N1134">
        <f>IF(I1134="","",IF(ISNUMBER(I1134),INT(I1134),IFERROR(INT(DATEVALUE(I1134)),IFERROR(INT(VALUE(I1134)),"bad"))))</f>
        <v/>
      </c>
      <c r="O1134">
        <f>IF(J1134="","",IF(ISNUMBER(J1134),ROUND(J1134,2),IFERROR(ROUND(VALUE(SUBSTITUTE(SUBSTITUTE(SUBSTITUTE(J1134,"$",""),",","")," ","")),2),"bad")))</f>
        <v/>
      </c>
      <c r="P1134">
        <f>IF(TRIM(K1134)="","",IFERROR(MATCH(LOWER(TRIM(K1134)),'Students'!$AH$2:$AH$701,0),IFERROR(MATCH(LOWER(TRIM(K1134)),'Students'!$AF$2:$AF$701,0),IFERROR(MATCH(LOWER(TRIM(K1134)),'Students'!$AG$2:$AG$701,0),""))))</f>
        <v/>
      </c>
      <c r="R1134">
        <f>IF(P1134="","",INDEX('Students'!$AD$2:$AD$701,P1134))</f>
        <v/>
      </c>
      <c r="S1134">
        <f>IF(H1134="OK",O1134,0)</f>
        <v/>
      </c>
      <c r="T1134">
        <f>IF(H1134="OK",N1134,"")</f>
        <v/>
      </c>
      <c r="U1134">
        <f>IF(OC_Donor=0,"",IF(INDEX('OneCause_Paste'!$A$1134:$AZ$1134,1,OC_Donor)="","",INDEX('OneCause_Paste'!$A$1134:$AZ$1134,1,OC_Donor)))</f>
        <v/>
      </c>
    </row>
    <row r="1135">
      <c r="A1135" s="62">
        <f>IF(H1135="","",IF(ISNUMBER(N1135),N1135,I1135))</f>
        <v/>
      </c>
      <c r="B1135">
        <f>IF(H1135="","",U1135)</f>
        <v/>
      </c>
      <c r="C1135">
        <f>IF(H1135="","",IF(P1135="",K1135,INDEX('Students'!$A$2:$A$701,P1135)))</f>
        <v/>
      </c>
      <c r="D1135">
        <f>IF(OR(H1135="",P1135=""),"",INDEX('Students'!$B$2:$B$701,P1135))</f>
        <v/>
      </c>
      <c r="E1135">
        <f>IF(OR(H1135="",P1135=""),"",INDEX('Students'!$C$2:$C$701,P1135))</f>
        <v/>
      </c>
      <c r="F1135" s="48">
        <f>IF(H1135="","",IF(ISNUMBER(O1135),O1135,J1135))</f>
        <v/>
      </c>
      <c r="G1135">
        <f>IF(H1135="","","OneCause")</f>
        <v/>
      </c>
      <c r="H1135">
        <f>IF(AND(I1135="",J1135="",K1135=""),"",IF(NOT(ISNUMBER(O1135)),"Bad amount",IF(O1135&lt;0,"Refund (not counted)",IF(O1135=0,"Zero amount",IF(NOT(ISNUMBER(N1135)),"Bad date",IF(P1135="","NAME NOT ON ROSTER",IF(L1135="","OK",IF(MATCH(L1135,$L$2:$L$3001,0)&lt;ROW()-1,"Duplicate (ignored)","OK"))))))))</f>
        <v/>
      </c>
      <c r="I1135">
        <f>IF(OC_Date=0,"",IF(INDEX('OneCause_Paste'!$A$1135:$AZ$1135,1,OC_Date)="","",INDEX('OneCause_Paste'!$A$1135:$AZ$1135,1,OC_Date)))</f>
        <v/>
      </c>
      <c r="J1135">
        <f>IF(OC_Amt=0,"",IF(INDEX('OneCause_Paste'!$A$1135:$AZ$1135,1,OC_Amt)="","",INDEX('OneCause_Paste'!$A$1135:$AZ$1135,1,OC_Amt)))</f>
        <v/>
      </c>
      <c r="K1135">
        <f>IF(OC_Name=0,"",IF(INDEX('OneCause_Paste'!$A$1135:$AZ$1135,1,OC_Name)="","",INDEX('OneCause_Paste'!$A$1135:$AZ$1135,1,OC_Name)))</f>
        <v/>
      </c>
      <c r="L1135">
        <f>IF(OC_Txn=0,"",IF(INDEX('OneCause_Paste'!$A$1135:$AZ$1135,1,OC_Txn)="","",INDEX('OneCause_Paste'!$A$1135:$AZ$1135,1,OC_Txn)))</f>
        <v/>
      </c>
      <c r="M1135">
        <f>IF(OC_Pay=0,"",IF(INDEX('OneCause_Paste'!$A$1135:$AZ$1135,1,OC_Pay)="","",INDEX('OneCause_Paste'!$A$1135:$AZ$1135,1,OC_Pay)))</f>
        <v/>
      </c>
      <c r="N1135">
        <f>IF(I1135="","",IF(ISNUMBER(I1135),INT(I1135),IFERROR(INT(DATEVALUE(I1135)),IFERROR(INT(VALUE(I1135)),"bad"))))</f>
        <v/>
      </c>
      <c r="O1135">
        <f>IF(J1135="","",IF(ISNUMBER(J1135),ROUND(J1135,2),IFERROR(ROUND(VALUE(SUBSTITUTE(SUBSTITUTE(SUBSTITUTE(J1135,"$",""),",","")," ","")),2),"bad")))</f>
        <v/>
      </c>
      <c r="P1135">
        <f>IF(TRIM(K1135)="","",IFERROR(MATCH(LOWER(TRIM(K1135)),'Students'!$AH$2:$AH$701,0),IFERROR(MATCH(LOWER(TRIM(K1135)),'Students'!$AF$2:$AF$701,0),IFERROR(MATCH(LOWER(TRIM(K1135)),'Students'!$AG$2:$AG$701,0),""))))</f>
        <v/>
      </c>
      <c r="R1135">
        <f>IF(P1135="","",INDEX('Students'!$AD$2:$AD$701,P1135))</f>
        <v/>
      </c>
      <c r="S1135">
        <f>IF(H1135="OK",O1135,0)</f>
        <v/>
      </c>
      <c r="T1135">
        <f>IF(H1135="OK",N1135,"")</f>
        <v/>
      </c>
      <c r="U1135">
        <f>IF(OC_Donor=0,"",IF(INDEX('OneCause_Paste'!$A$1135:$AZ$1135,1,OC_Donor)="","",INDEX('OneCause_Paste'!$A$1135:$AZ$1135,1,OC_Donor)))</f>
        <v/>
      </c>
    </row>
    <row r="1136">
      <c r="A1136" s="62">
        <f>IF(H1136="","",IF(ISNUMBER(N1136),N1136,I1136))</f>
        <v/>
      </c>
      <c r="B1136">
        <f>IF(H1136="","",U1136)</f>
        <v/>
      </c>
      <c r="C1136">
        <f>IF(H1136="","",IF(P1136="",K1136,INDEX('Students'!$A$2:$A$701,P1136)))</f>
        <v/>
      </c>
      <c r="D1136">
        <f>IF(OR(H1136="",P1136=""),"",INDEX('Students'!$B$2:$B$701,P1136))</f>
        <v/>
      </c>
      <c r="E1136">
        <f>IF(OR(H1136="",P1136=""),"",INDEX('Students'!$C$2:$C$701,P1136))</f>
        <v/>
      </c>
      <c r="F1136" s="48">
        <f>IF(H1136="","",IF(ISNUMBER(O1136),O1136,J1136))</f>
        <v/>
      </c>
      <c r="G1136">
        <f>IF(H1136="","","OneCause")</f>
        <v/>
      </c>
      <c r="H1136">
        <f>IF(AND(I1136="",J1136="",K1136=""),"",IF(NOT(ISNUMBER(O1136)),"Bad amount",IF(O1136&lt;0,"Refund (not counted)",IF(O1136=0,"Zero amount",IF(NOT(ISNUMBER(N1136)),"Bad date",IF(P1136="","NAME NOT ON ROSTER",IF(L1136="","OK",IF(MATCH(L1136,$L$2:$L$3001,0)&lt;ROW()-1,"Duplicate (ignored)","OK"))))))))</f>
        <v/>
      </c>
      <c r="I1136">
        <f>IF(OC_Date=0,"",IF(INDEX('OneCause_Paste'!$A$1136:$AZ$1136,1,OC_Date)="","",INDEX('OneCause_Paste'!$A$1136:$AZ$1136,1,OC_Date)))</f>
        <v/>
      </c>
      <c r="J1136">
        <f>IF(OC_Amt=0,"",IF(INDEX('OneCause_Paste'!$A$1136:$AZ$1136,1,OC_Amt)="","",INDEX('OneCause_Paste'!$A$1136:$AZ$1136,1,OC_Amt)))</f>
        <v/>
      </c>
      <c r="K1136">
        <f>IF(OC_Name=0,"",IF(INDEX('OneCause_Paste'!$A$1136:$AZ$1136,1,OC_Name)="","",INDEX('OneCause_Paste'!$A$1136:$AZ$1136,1,OC_Name)))</f>
        <v/>
      </c>
      <c r="L1136">
        <f>IF(OC_Txn=0,"",IF(INDEX('OneCause_Paste'!$A$1136:$AZ$1136,1,OC_Txn)="","",INDEX('OneCause_Paste'!$A$1136:$AZ$1136,1,OC_Txn)))</f>
        <v/>
      </c>
      <c r="M1136">
        <f>IF(OC_Pay=0,"",IF(INDEX('OneCause_Paste'!$A$1136:$AZ$1136,1,OC_Pay)="","",INDEX('OneCause_Paste'!$A$1136:$AZ$1136,1,OC_Pay)))</f>
        <v/>
      </c>
      <c r="N1136">
        <f>IF(I1136="","",IF(ISNUMBER(I1136),INT(I1136),IFERROR(INT(DATEVALUE(I1136)),IFERROR(INT(VALUE(I1136)),"bad"))))</f>
        <v/>
      </c>
      <c r="O1136">
        <f>IF(J1136="","",IF(ISNUMBER(J1136),ROUND(J1136,2),IFERROR(ROUND(VALUE(SUBSTITUTE(SUBSTITUTE(SUBSTITUTE(J1136,"$",""),",","")," ","")),2),"bad")))</f>
        <v/>
      </c>
      <c r="P1136">
        <f>IF(TRIM(K1136)="","",IFERROR(MATCH(LOWER(TRIM(K1136)),'Students'!$AH$2:$AH$701,0),IFERROR(MATCH(LOWER(TRIM(K1136)),'Students'!$AF$2:$AF$701,0),IFERROR(MATCH(LOWER(TRIM(K1136)),'Students'!$AG$2:$AG$701,0),""))))</f>
        <v/>
      </c>
      <c r="R1136">
        <f>IF(P1136="","",INDEX('Students'!$AD$2:$AD$701,P1136))</f>
        <v/>
      </c>
      <c r="S1136">
        <f>IF(H1136="OK",O1136,0)</f>
        <v/>
      </c>
      <c r="T1136">
        <f>IF(H1136="OK",N1136,"")</f>
        <v/>
      </c>
      <c r="U1136">
        <f>IF(OC_Donor=0,"",IF(INDEX('OneCause_Paste'!$A$1136:$AZ$1136,1,OC_Donor)="","",INDEX('OneCause_Paste'!$A$1136:$AZ$1136,1,OC_Donor)))</f>
        <v/>
      </c>
    </row>
    <row r="1137">
      <c r="A1137" s="62">
        <f>IF(H1137="","",IF(ISNUMBER(N1137),N1137,I1137))</f>
        <v/>
      </c>
      <c r="B1137">
        <f>IF(H1137="","",U1137)</f>
        <v/>
      </c>
      <c r="C1137">
        <f>IF(H1137="","",IF(P1137="",K1137,INDEX('Students'!$A$2:$A$701,P1137)))</f>
        <v/>
      </c>
      <c r="D1137">
        <f>IF(OR(H1137="",P1137=""),"",INDEX('Students'!$B$2:$B$701,P1137))</f>
        <v/>
      </c>
      <c r="E1137">
        <f>IF(OR(H1137="",P1137=""),"",INDEX('Students'!$C$2:$C$701,P1137))</f>
        <v/>
      </c>
      <c r="F1137" s="48">
        <f>IF(H1137="","",IF(ISNUMBER(O1137),O1137,J1137))</f>
        <v/>
      </c>
      <c r="G1137">
        <f>IF(H1137="","","OneCause")</f>
        <v/>
      </c>
      <c r="H1137">
        <f>IF(AND(I1137="",J1137="",K1137=""),"",IF(NOT(ISNUMBER(O1137)),"Bad amount",IF(O1137&lt;0,"Refund (not counted)",IF(O1137=0,"Zero amount",IF(NOT(ISNUMBER(N1137)),"Bad date",IF(P1137="","NAME NOT ON ROSTER",IF(L1137="","OK",IF(MATCH(L1137,$L$2:$L$3001,0)&lt;ROW()-1,"Duplicate (ignored)","OK"))))))))</f>
        <v/>
      </c>
      <c r="I1137">
        <f>IF(OC_Date=0,"",IF(INDEX('OneCause_Paste'!$A$1137:$AZ$1137,1,OC_Date)="","",INDEX('OneCause_Paste'!$A$1137:$AZ$1137,1,OC_Date)))</f>
        <v/>
      </c>
      <c r="J1137">
        <f>IF(OC_Amt=0,"",IF(INDEX('OneCause_Paste'!$A$1137:$AZ$1137,1,OC_Amt)="","",INDEX('OneCause_Paste'!$A$1137:$AZ$1137,1,OC_Amt)))</f>
        <v/>
      </c>
      <c r="K1137">
        <f>IF(OC_Name=0,"",IF(INDEX('OneCause_Paste'!$A$1137:$AZ$1137,1,OC_Name)="","",INDEX('OneCause_Paste'!$A$1137:$AZ$1137,1,OC_Name)))</f>
        <v/>
      </c>
      <c r="L1137">
        <f>IF(OC_Txn=0,"",IF(INDEX('OneCause_Paste'!$A$1137:$AZ$1137,1,OC_Txn)="","",INDEX('OneCause_Paste'!$A$1137:$AZ$1137,1,OC_Txn)))</f>
        <v/>
      </c>
      <c r="M1137">
        <f>IF(OC_Pay=0,"",IF(INDEX('OneCause_Paste'!$A$1137:$AZ$1137,1,OC_Pay)="","",INDEX('OneCause_Paste'!$A$1137:$AZ$1137,1,OC_Pay)))</f>
        <v/>
      </c>
      <c r="N1137">
        <f>IF(I1137="","",IF(ISNUMBER(I1137),INT(I1137),IFERROR(INT(DATEVALUE(I1137)),IFERROR(INT(VALUE(I1137)),"bad"))))</f>
        <v/>
      </c>
      <c r="O1137">
        <f>IF(J1137="","",IF(ISNUMBER(J1137),ROUND(J1137,2),IFERROR(ROUND(VALUE(SUBSTITUTE(SUBSTITUTE(SUBSTITUTE(J1137,"$",""),",","")," ","")),2),"bad")))</f>
        <v/>
      </c>
      <c r="P1137">
        <f>IF(TRIM(K1137)="","",IFERROR(MATCH(LOWER(TRIM(K1137)),'Students'!$AH$2:$AH$701,0),IFERROR(MATCH(LOWER(TRIM(K1137)),'Students'!$AF$2:$AF$701,0),IFERROR(MATCH(LOWER(TRIM(K1137)),'Students'!$AG$2:$AG$701,0),""))))</f>
        <v/>
      </c>
      <c r="R1137">
        <f>IF(P1137="","",INDEX('Students'!$AD$2:$AD$701,P1137))</f>
        <v/>
      </c>
      <c r="S1137">
        <f>IF(H1137="OK",O1137,0)</f>
        <v/>
      </c>
      <c r="T1137">
        <f>IF(H1137="OK",N1137,"")</f>
        <v/>
      </c>
      <c r="U1137">
        <f>IF(OC_Donor=0,"",IF(INDEX('OneCause_Paste'!$A$1137:$AZ$1137,1,OC_Donor)="","",INDEX('OneCause_Paste'!$A$1137:$AZ$1137,1,OC_Donor)))</f>
        <v/>
      </c>
    </row>
    <row r="1138">
      <c r="A1138" s="62">
        <f>IF(H1138="","",IF(ISNUMBER(N1138),N1138,I1138))</f>
        <v/>
      </c>
      <c r="B1138">
        <f>IF(H1138="","",U1138)</f>
        <v/>
      </c>
      <c r="C1138">
        <f>IF(H1138="","",IF(P1138="",K1138,INDEX('Students'!$A$2:$A$701,P1138)))</f>
        <v/>
      </c>
      <c r="D1138">
        <f>IF(OR(H1138="",P1138=""),"",INDEX('Students'!$B$2:$B$701,P1138))</f>
        <v/>
      </c>
      <c r="E1138">
        <f>IF(OR(H1138="",P1138=""),"",INDEX('Students'!$C$2:$C$701,P1138))</f>
        <v/>
      </c>
      <c r="F1138" s="48">
        <f>IF(H1138="","",IF(ISNUMBER(O1138),O1138,J1138))</f>
        <v/>
      </c>
      <c r="G1138">
        <f>IF(H1138="","","OneCause")</f>
        <v/>
      </c>
      <c r="H1138">
        <f>IF(AND(I1138="",J1138="",K1138=""),"",IF(NOT(ISNUMBER(O1138)),"Bad amount",IF(O1138&lt;0,"Refund (not counted)",IF(O1138=0,"Zero amount",IF(NOT(ISNUMBER(N1138)),"Bad date",IF(P1138="","NAME NOT ON ROSTER",IF(L1138="","OK",IF(MATCH(L1138,$L$2:$L$3001,0)&lt;ROW()-1,"Duplicate (ignored)","OK"))))))))</f>
        <v/>
      </c>
      <c r="I1138">
        <f>IF(OC_Date=0,"",IF(INDEX('OneCause_Paste'!$A$1138:$AZ$1138,1,OC_Date)="","",INDEX('OneCause_Paste'!$A$1138:$AZ$1138,1,OC_Date)))</f>
        <v/>
      </c>
      <c r="J1138">
        <f>IF(OC_Amt=0,"",IF(INDEX('OneCause_Paste'!$A$1138:$AZ$1138,1,OC_Amt)="","",INDEX('OneCause_Paste'!$A$1138:$AZ$1138,1,OC_Amt)))</f>
        <v/>
      </c>
      <c r="K1138">
        <f>IF(OC_Name=0,"",IF(INDEX('OneCause_Paste'!$A$1138:$AZ$1138,1,OC_Name)="","",INDEX('OneCause_Paste'!$A$1138:$AZ$1138,1,OC_Name)))</f>
        <v/>
      </c>
      <c r="L1138">
        <f>IF(OC_Txn=0,"",IF(INDEX('OneCause_Paste'!$A$1138:$AZ$1138,1,OC_Txn)="","",INDEX('OneCause_Paste'!$A$1138:$AZ$1138,1,OC_Txn)))</f>
        <v/>
      </c>
      <c r="M1138">
        <f>IF(OC_Pay=0,"",IF(INDEX('OneCause_Paste'!$A$1138:$AZ$1138,1,OC_Pay)="","",INDEX('OneCause_Paste'!$A$1138:$AZ$1138,1,OC_Pay)))</f>
        <v/>
      </c>
      <c r="N1138">
        <f>IF(I1138="","",IF(ISNUMBER(I1138),INT(I1138),IFERROR(INT(DATEVALUE(I1138)),IFERROR(INT(VALUE(I1138)),"bad"))))</f>
        <v/>
      </c>
      <c r="O1138">
        <f>IF(J1138="","",IF(ISNUMBER(J1138),ROUND(J1138,2),IFERROR(ROUND(VALUE(SUBSTITUTE(SUBSTITUTE(SUBSTITUTE(J1138,"$",""),",","")," ","")),2),"bad")))</f>
        <v/>
      </c>
      <c r="P1138">
        <f>IF(TRIM(K1138)="","",IFERROR(MATCH(LOWER(TRIM(K1138)),'Students'!$AH$2:$AH$701,0),IFERROR(MATCH(LOWER(TRIM(K1138)),'Students'!$AF$2:$AF$701,0),IFERROR(MATCH(LOWER(TRIM(K1138)),'Students'!$AG$2:$AG$701,0),""))))</f>
        <v/>
      </c>
      <c r="R1138">
        <f>IF(P1138="","",INDEX('Students'!$AD$2:$AD$701,P1138))</f>
        <v/>
      </c>
      <c r="S1138">
        <f>IF(H1138="OK",O1138,0)</f>
        <v/>
      </c>
      <c r="T1138">
        <f>IF(H1138="OK",N1138,"")</f>
        <v/>
      </c>
      <c r="U1138">
        <f>IF(OC_Donor=0,"",IF(INDEX('OneCause_Paste'!$A$1138:$AZ$1138,1,OC_Donor)="","",INDEX('OneCause_Paste'!$A$1138:$AZ$1138,1,OC_Donor)))</f>
        <v/>
      </c>
    </row>
    <row r="1139">
      <c r="A1139" s="62">
        <f>IF(H1139="","",IF(ISNUMBER(N1139),N1139,I1139))</f>
        <v/>
      </c>
      <c r="B1139">
        <f>IF(H1139="","",U1139)</f>
        <v/>
      </c>
      <c r="C1139">
        <f>IF(H1139="","",IF(P1139="",K1139,INDEX('Students'!$A$2:$A$701,P1139)))</f>
        <v/>
      </c>
      <c r="D1139">
        <f>IF(OR(H1139="",P1139=""),"",INDEX('Students'!$B$2:$B$701,P1139))</f>
        <v/>
      </c>
      <c r="E1139">
        <f>IF(OR(H1139="",P1139=""),"",INDEX('Students'!$C$2:$C$701,P1139))</f>
        <v/>
      </c>
      <c r="F1139" s="48">
        <f>IF(H1139="","",IF(ISNUMBER(O1139),O1139,J1139))</f>
        <v/>
      </c>
      <c r="G1139">
        <f>IF(H1139="","","OneCause")</f>
        <v/>
      </c>
      <c r="H1139">
        <f>IF(AND(I1139="",J1139="",K1139=""),"",IF(NOT(ISNUMBER(O1139)),"Bad amount",IF(O1139&lt;0,"Refund (not counted)",IF(O1139=0,"Zero amount",IF(NOT(ISNUMBER(N1139)),"Bad date",IF(P1139="","NAME NOT ON ROSTER",IF(L1139="","OK",IF(MATCH(L1139,$L$2:$L$3001,0)&lt;ROW()-1,"Duplicate (ignored)","OK"))))))))</f>
        <v/>
      </c>
      <c r="I1139">
        <f>IF(OC_Date=0,"",IF(INDEX('OneCause_Paste'!$A$1139:$AZ$1139,1,OC_Date)="","",INDEX('OneCause_Paste'!$A$1139:$AZ$1139,1,OC_Date)))</f>
        <v/>
      </c>
      <c r="J1139">
        <f>IF(OC_Amt=0,"",IF(INDEX('OneCause_Paste'!$A$1139:$AZ$1139,1,OC_Amt)="","",INDEX('OneCause_Paste'!$A$1139:$AZ$1139,1,OC_Amt)))</f>
        <v/>
      </c>
      <c r="K1139">
        <f>IF(OC_Name=0,"",IF(INDEX('OneCause_Paste'!$A$1139:$AZ$1139,1,OC_Name)="","",INDEX('OneCause_Paste'!$A$1139:$AZ$1139,1,OC_Name)))</f>
        <v/>
      </c>
      <c r="L1139">
        <f>IF(OC_Txn=0,"",IF(INDEX('OneCause_Paste'!$A$1139:$AZ$1139,1,OC_Txn)="","",INDEX('OneCause_Paste'!$A$1139:$AZ$1139,1,OC_Txn)))</f>
        <v/>
      </c>
      <c r="M1139">
        <f>IF(OC_Pay=0,"",IF(INDEX('OneCause_Paste'!$A$1139:$AZ$1139,1,OC_Pay)="","",INDEX('OneCause_Paste'!$A$1139:$AZ$1139,1,OC_Pay)))</f>
        <v/>
      </c>
      <c r="N1139">
        <f>IF(I1139="","",IF(ISNUMBER(I1139),INT(I1139),IFERROR(INT(DATEVALUE(I1139)),IFERROR(INT(VALUE(I1139)),"bad"))))</f>
        <v/>
      </c>
      <c r="O1139">
        <f>IF(J1139="","",IF(ISNUMBER(J1139),ROUND(J1139,2),IFERROR(ROUND(VALUE(SUBSTITUTE(SUBSTITUTE(SUBSTITUTE(J1139,"$",""),",","")," ","")),2),"bad")))</f>
        <v/>
      </c>
      <c r="P1139">
        <f>IF(TRIM(K1139)="","",IFERROR(MATCH(LOWER(TRIM(K1139)),'Students'!$AH$2:$AH$701,0),IFERROR(MATCH(LOWER(TRIM(K1139)),'Students'!$AF$2:$AF$701,0),IFERROR(MATCH(LOWER(TRIM(K1139)),'Students'!$AG$2:$AG$701,0),""))))</f>
        <v/>
      </c>
      <c r="R1139">
        <f>IF(P1139="","",INDEX('Students'!$AD$2:$AD$701,P1139))</f>
        <v/>
      </c>
      <c r="S1139">
        <f>IF(H1139="OK",O1139,0)</f>
        <v/>
      </c>
      <c r="T1139">
        <f>IF(H1139="OK",N1139,"")</f>
        <v/>
      </c>
      <c r="U1139">
        <f>IF(OC_Donor=0,"",IF(INDEX('OneCause_Paste'!$A$1139:$AZ$1139,1,OC_Donor)="","",INDEX('OneCause_Paste'!$A$1139:$AZ$1139,1,OC_Donor)))</f>
        <v/>
      </c>
    </row>
    <row r="1140">
      <c r="A1140" s="62">
        <f>IF(H1140="","",IF(ISNUMBER(N1140),N1140,I1140))</f>
        <v/>
      </c>
      <c r="B1140">
        <f>IF(H1140="","",U1140)</f>
        <v/>
      </c>
      <c r="C1140">
        <f>IF(H1140="","",IF(P1140="",K1140,INDEX('Students'!$A$2:$A$701,P1140)))</f>
        <v/>
      </c>
      <c r="D1140">
        <f>IF(OR(H1140="",P1140=""),"",INDEX('Students'!$B$2:$B$701,P1140))</f>
        <v/>
      </c>
      <c r="E1140">
        <f>IF(OR(H1140="",P1140=""),"",INDEX('Students'!$C$2:$C$701,P1140))</f>
        <v/>
      </c>
      <c r="F1140" s="48">
        <f>IF(H1140="","",IF(ISNUMBER(O1140),O1140,J1140))</f>
        <v/>
      </c>
      <c r="G1140">
        <f>IF(H1140="","","OneCause")</f>
        <v/>
      </c>
      <c r="H1140">
        <f>IF(AND(I1140="",J1140="",K1140=""),"",IF(NOT(ISNUMBER(O1140)),"Bad amount",IF(O1140&lt;0,"Refund (not counted)",IF(O1140=0,"Zero amount",IF(NOT(ISNUMBER(N1140)),"Bad date",IF(P1140="","NAME NOT ON ROSTER",IF(L1140="","OK",IF(MATCH(L1140,$L$2:$L$3001,0)&lt;ROW()-1,"Duplicate (ignored)","OK"))))))))</f>
        <v/>
      </c>
      <c r="I1140">
        <f>IF(OC_Date=0,"",IF(INDEX('OneCause_Paste'!$A$1140:$AZ$1140,1,OC_Date)="","",INDEX('OneCause_Paste'!$A$1140:$AZ$1140,1,OC_Date)))</f>
        <v/>
      </c>
      <c r="J1140">
        <f>IF(OC_Amt=0,"",IF(INDEX('OneCause_Paste'!$A$1140:$AZ$1140,1,OC_Amt)="","",INDEX('OneCause_Paste'!$A$1140:$AZ$1140,1,OC_Amt)))</f>
        <v/>
      </c>
      <c r="K1140">
        <f>IF(OC_Name=0,"",IF(INDEX('OneCause_Paste'!$A$1140:$AZ$1140,1,OC_Name)="","",INDEX('OneCause_Paste'!$A$1140:$AZ$1140,1,OC_Name)))</f>
        <v/>
      </c>
      <c r="L1140">
        <f>IF(OC_Txn=0,"",IF(INDEX('OneCause_Paste'!$A$1140:$AZ$1140,1,OC_Txn)="","",INDEX('OneCause_Paste'!$A$1140:$AZ$1140,1,OC_Txn)))</f>
        <v/>
      </c>
      <c r="M1140">
        <f>IF(OC_Pay=0,"",IF(INDEX('OneCause_Paste'!$A$1140:$AZ$1140,1,OC_Pay)="","",INDEX('OneCause_Paste'!$A$1140:$AZ$1140,1,OC_Pay)))</f>
        <v/>
      </c>
      <c r="N1140">
        <f>IF(I1140="","",IF(ISNUMBER(I1140),INT(I1140),IFERROR(INT(DATEVALUE(I1140)),IFERROR(INT(VALUE(I1140)),"bad"))))</f>
        <v/>
      </c>
      <c r="O1140">
        <f>IF(J1140="","",IF(ISNUMBER(J1140),ROUND(J1140,2),IFERROR(ROUND(VALUE(SUBSTITUTE(SUBSTITUTE(SUBSTITUTE(J1140,"$",""),",","")," ","")),2),"bad")))</f>
        <v/>
      </c>
      <c r="P1140">
        <f>IF(TRIM(K1140)="","",IFERROR(MATCH(LOWER(TRIM(K1140)),'Students'!$AH$2:$AH$701,0),IFERROR(MATCH(LOWER(TRIM(K1140)),'Students'!$AF$2:$AF$701,0),IFERROR(MATCH(LOWER(TRIM(K1140)),'Students'!$AG$2:$AG$701,0),""))))</f>
        <v/>
      </c>
      <c r="R1140">
        <f>IF(P1140="","",INDEX('Students'!$AD$2:$AD$701,P1140))</f>
        <v/>
      </c>
      <c r="S1140">
        <f>IF(H1140="OK",O1140,0)</f>
        <v/>
      </c>
      <c r="T1140">
        <f>IF(H1140="OK",N1140,"")</f>
        <v/>
      </c>
      <c r="U1140">
        <f>IF(OC_Donor=0,"",IF(INDEX('OneCause_Paste'!$A$1140:$AZ$1140,1,OC_Donor)="","",INDEX('OneCause_Paste'!$A$1140:$AZ$1140,1,OC_Donor)))</f>
        <v/>
      </c>
    </row>
    <row r="1141">
      <c r="A1141" s="62">
        <f>IF(H1141="","",IF(ISNUMBER(N1141),N1141,I1141))</f>
        <v/>
      </c>
      <c r="B1141">
        <f>IF(H1141="","",U1141)</f>
        <v/>
      </c>
      <c r="C1141">
        <f>IF(H1141="","",IF(P1141="",K1141,INDEX('Students'!$A$2:$A$701,P1141)))</f>
        <v/>
      </c>
      <c r="D1141">
        <f>IF(OR(H1141="",P1141=""),"",INDEX('Students'!$B$2:$B$701,P1141))</f>
        <v/>
      </c>
      <c r="E1141">
        <f>IF(OR(H1141="",P1141=""),"",INDEX('Students'!$C$2:$C$701,P1141))</f>
        <v/>
      </c>
      <c r="F1141" s="48">
        <f>IF(H1141="","",IF(ISNUMBER(O1141),O1141,J1141))</f>
        <v/>
      </c>
      <c r="G1141">
        <f>IF(H1141="","","OneCause")</f>
        <v/>
      </c>
      <c r="H1141">
        <f>IF(AND(I1141="",J1141="",K1141=""),"",IF(NOT(ISNUMBER(O1141)),"Bad amount",IF(O1141&lt;0,"Refund (not counted)",IF(O1141=0,"Zero amount",IF(NOT(ISNUMBER(N1141)),"Bad date",IF(P1141="","NAME NOT ON ROSTER",IF(L1141="","OK",IF(MATCH(L1141,$L$2:$L$3001,0)&lt;ROW()-1,"Duplicate (ignored)","OK"))))))))</f>
        <v/>
      </c>
      <c r="I1141">
        <f>IF(OC_Date=0,"",IF(INDEX('OneCause_Paste'!$A$1141:$AZ$1141,1,OC_Date)="","",INDEX('OneCause_Paste'!$A$1141:$AZ$1141,1,OC_Date)))</f>
        <v/>
      </c>
      <c r="J1141">
        <f>IF(OC_Amt=0,"",IF(INDEX('OneCause_Paste'!$A$1141:$AZ$1141,1,OC_Amt)="","",INDEX('OneCause_Paste'!$A$1141:$AZ$1141,1,OC_Amt)))</f>
        <v/>
      </c>
      <c r="K1141">
        <f>IF(OC_Name=0,"",IF(INDEX('OneCause_Paste'!$A$1141:$AZ$1141,1,OC_Name)="","",INDEX('OneCause_Paste'!$A$1141:$AZ$1141,1,OC_Name)))</f>
        <v/>
      </c>
      <c r="L1141">
        <f>IF(OC_Txn=0,"",IF(INDEX('OneCause_Paste'!$A$1141:$AZ$1141,1,OC_Txn)="","",INDEX('OneCause_Paste'!$A$1141:$AZ$1141,1,OC_Txn)))</f>
        <v/>
      </c>
      <c r="M1141">
        <f>IF(OC_Pay=0,"",IF(INDEX('OneCause_Paste'!$A$1141:$AZ$1141,1,OC_Pay)="","",INDEX('OneCause_Paste'!$A$1141:$AZ$1141,1,OC_Pay)))</f>
        <v/>
      </c>
      <c r="N1141">
        <f>IF(I1141="","",IF(ISNUMBER(I1141),INT(I1141),IFERROR(INT(DATEVALUE(I1141)),IFERROR(INT(VALUE(I1141)),"bad"))))</f>
        <v/>
      </c>
      <c r="O1141">
        <f>IF(J1141="","",IF(ISNUMBER(J1141),ROUND(J1141,2),IFERROR(ROUND(VALUE(SUBSTITUTE(SUBSTITUTE(SUBSTITUTE(J1141,"$",""),",","")," ","")),2),"bad")))</f>
        <v/>
      </c>
      <c r="P1141">
        <f>IF(TRIM(K1141)="","",IFERROR(MATCH(LOWER(TRIM(K1141)),'Students'!$AH$2:$AH$701,0),IFERROR(MATCH(LOWER(TRIM(K1141)),'Students'!$AF$2:$AF$701,0),IFERROR(MATCH(LOWER(TRIM(K1141)),'Students'!$AG$2:$AG$701,0),""))))</f>
        <v/>
      </c>
      <c r="R1141">
        <f>IF(P1141="","",INDEX('Students'!$AD$2:$AD$701,P1141))</f>
        <v/>
      </c>
      <c r="S1141">
        <f>IF(H1141="OK",O1141,0)</f>
        <v/>
      </c>
      <c r="T1141">
        <f>IF(H1141="OK",N1141,"")</f>
        <v/>
      </c>
      <c r="U1141">
        <f>IF(OC_Donor=0,"",IF(INDEX('OneCause_Paste'!$A$1141:$AZ$1141,1,OC_Donor)="","",INDEX('OneCause_Paste'!$A$1141:$AZ$1141,1,OC_Donor)))</f>
        <v/>
      </c>
    </row>
    <row r="1142">
      <c r="A1142" s="62">
        <f>IF(H1142="","",IF(ISNUMBER(N1142),N1142,I1142))</f>
        <v/>
      </c>
      <c r="B1142">
        <f>IF(H1142="","",U1142)</f>
        <v/>
      </c>
      <c r="C1142">
        <f>IF(H1142="","",IF(P1142="",K1142,INDEX('Students'!$A$2:$A$701,P1142)))</f>
        <v/>
      </c>
      <c r="D1142">
        <f>IF(OR(H1142="",P1142=""),"",INDEX('Students'!$B$2:$B$701,P1142))</f>
        <v/>
      </c>
      <c r="E1142">
        <f>IF(OR(H1142="",P1142=""),"",INDEX('Students'!$C$2:$C$701,P1142))</f>
        <v/>
      </c>
      <c r="F1142" s="48">
        <f>IF(H1142="","",IF(ISNUMBER(O1142),O1142,J1142))</f>
        <v/>
      </c>
      <c r="G1142">
        <f>IF(H1142="","","OneCause")</f>
        <v/>
      </c>
      <c r="H1142">
        <f>IF(AND(I1142="",J1142="",K1142=""),"",IF(NOT(ISNUMBER(O1142)),"Bad amount",IF(O1142&lt;0,"Refund (not counted)",IF(O1142=0,"Zero amount",IF(NOT(ISNUMBER(N1142)),"Bad date",IF(P1142="","NAME NOT ON ROSTER",IF(L1142="","OK",IF(MATCH(L1142,$L$2:$L$3001,0)&lt;ROW()-1,"Duplicate (ignored)","OK"))))))))</f>
        <v/>
      </c>
      <c r="I1142">
        <f>IF(OC_Date=0,"",IF(INDEX('OneCause_Paste'!$A$1142:$AZ$1142,1,OC_Date)="","",INDEX('OneCause_Paste'!$A$1142:$AZ$1142,1,OC_Date)))</f>
        <v/>
      </c>
      <c r="J1142">
        <f>IF(OC_Amt=0,"",IF(INDEX('OneCause_Paste'!$A$1142:$AZ$1142,1,OC_Amt)="","",INDEX('OneCause_Paste'!$A$1142:$AZ$1142,1,OC_Amt)))</f>
        <v/>
      </c>
      <c r="K1142">
        <f>IF(OC_Name=0,"",IF(INDEX('OneCause_Paste'!$A$1142:$AZ$1142,1,OC_Name)="","",INDEX('OneCause_Paste'!$A$1142:$AZ$1142,1,OC_Name)))</f>
        <v/>
      </c>
      <c r="L1142">
        <f>IF(OC_Txn=0,"",IF(INDEX('OneCause_Paste'!$A$1142:$AZ$1142,1,OC_Txn)="","",INDEX('OneCause_Paste'!$A$1142:$AZ$1142,1,OC_Txn)))</f>
        <v/>
      </c>
      <c r="M1142">
        <f>IF(OC_Pay=0,"",IF(INDEX('OneCause_Paste'!$A$1142:$AZ$1142,1,OC_Pay)="","",INDEX('OneCause_Paste'!$A$1142:$AZ$1142,1,OC_Pay)))</f>
        <v/>
      </c>
      <c r="N1142">
        <f>IF(I1142="","",IF(ISNUMBER(I1142),INT(I1142),IFERROR(INT(DATEVALUE(I1142)),IFERROR(INT(VALUE(I1142)),"bad"))))</f>
        <v/>
      </c>
      <c r="O1142">
        <f>IF(J1142="","",IF(ISNUMBER(J1142),ROUND(J1142,2),IFERROR(ROUND(VALUE(SUBSTITUTE(SUBSTITUTE(SUBSTITUTE(J1142,"$",""),",","")," ","")),2),"bad")))</f>
        <v/>
      </c>
      <c r="P1142">
        <f>IF(TRIM(K1142)="","",IFERROR(MATCH(LOWER(TRIM(K1142)),'Students'!$AH$2:$AH$701,0),IFERROR(MATCH(LOWER(TRIM(K1142)),'Students'!$AF$2:$AF$701,0),IFERROR(MATCH(LOWER(TRIM(K1142)),'Students'!$AG$2:$AG$701,0),""))))</f>
        <v/>
      </c>
      <c r="R1142">
        <f>IF(P1142="","",INDEX('Students'!$AD$2:$AD$701,P1142))</f>
        <v/>
      </c>
      <c r="S1142">
        <f>IF(H1142="OK",O1142,0)</f>
        <v/>
      </c>
      <c r="T1142">
        <f>IF(H1142="OK",N1142,"")</f>
        <v/>
      </c>
      <c r="U1142">
        <f>IF(OC_Donor=0,"",IF(INDEX('OneCause_Paste'!$A$1142:$AZ$1142,1,OC_Donor)="","",INDEX('OneCause_Paste'!$A$1142:$AZ$1142,1,OC_Donor)))</f>
        <v/>
      </c>
    </row>
    <row r="1143">
      <c r="A1143" s="62">
        <f>IF(H1143="","",IF(ISNUMBER(N1143),N1143,I1143))</f>
        <v/>
      </c>
      <c r="B1143">
        <f>IF(H1143="","",U1143)</f>
        <v/>
      </c>
      <c r="C1143">
        <f>IF(H1143="","",IF(P1143="",K1143,INDEX('Students'!$A$2:$A$701,P1143)))</f>
        <v/>
      </c>
      <c r="D1143">
        <f>IF(OR(H1143="",P1143=""),"",INDEX('Students'!$B$2:$B$701,P1143))</f>
        <v/>
      </c>
      <c r="E1143">
        <f>IF(OR(H1143="",P1143=""),"",INDEX('Students'!$C$2:$C$701,P1143))</f>
        <v/>
      </c>
      <c r="F1143" s="48">
        <f>IF(H1143="","",IF(ISNUMBER(O1143),O1143,J1143))</f>
        <v/>
      </c>
      <c r="G1143">
        <f>IF(H1143="","","OneCause")</f>
        <v/>
      </c>
      <c r="H1143">
        <f>IF(AND(I1143="",J1143="",K1143=""),"",IF(NOT(ISNUMBER(O1143)),"Bad amount",IF(O1143&lt;0,"Refund (not counted)",IF(O1143=0,"Zero amount",IF(NOT(ISNUMBER(N1143)),"Bad date",IF(P1143="","NAME NOT ON ROSTER",IF(L1143="","OK",IF(MATCH(L1143,$L$2:$L$3001,0)&lt;ROW()-1,"Duplicate (ignored)","OK"))))))))</f>
        <v/>
      </c>
      <c r="I1143">
        <f>IF(OC_Date=0,"",IF(INDEX('OneCause_Paste'!$A$1143:$AZ$1143,1,OC_Date)="","",INDEX('OneCause_Paste'!$A$1143:$AZ$1143,1,OC_Date)))</f>
        <v/>
      </c>
      <c r="J1143">
        <f>IF(OC_Amt=0,"",IF(INDEX('OneCause_Paste'!$A$1143:$AZ$1143,1,OC_Amt)="","",INDEX('OneCause_Paste'!$A$1143:$AZ$1143,1,OC_Amt)))</f>
        <v/>
      </c>
      <c r="K1143">
        <f>IF(OC_Name=0,"",IF(INDEX('OneCause_Paste'!$A$1143:$AZ$1143,1,OC_Name)="","",INDEX('OneCause_Paste'!$A$1143:$AZ$1143,1,OC_Name)))</f>
        <v/>
      </c>
      <c r="L1143">
        <f>IF(OC_Txn=0,"",IF(INDEX('OneCause_Paste'!$A$1143:$AZ$1143,1,OC_Txn)="","",INDEX('OneCause_Paste'!$A$1143:$AZ$1143,1,OC_Txn)))</f>
        <v/>
      </c>
      <c r="M1143">
        <f>IF(OC_Pay=0,"",IF(INDEX('OneCause_Paste'!$A$1143:$AZ$1143,1,OC_Pay)="","",INDEX('OneCause_Paste'!$A$1143:$AZ$1143,1,OC_Pay)))</f>
        <v/>
      </c>
      <c r="N1143">
        <f>IF(I1143="","",IF(ISNUMBER(I1143),INT(I1143),IFERROR(INT(DATEVALUE(I1143)),IFERROR(INT(VALUE(I1143)),"bad"))))</f>
        <v/>
      </c>
      <c r="O1143">
        <f>IF(J1143="","",IF(ISNUMBER(J1143),ROUND(J1143,2),IFERROR(ROUND(VALUE(SUBSTITUTE(SUBSTITUTE(SUBSTITUTE(J1143,"$",""),",","")," ","")),2),"bad")))</f>
        <v/>
      </c>
      <c r="P1143">
        <f>IF(TRIM(K1143)="","",IFERROR(MATCH(LOWER(TRIM(K1143)),'Students'!$AH$2:$AH$701,0),IFERROR(MATCH(LOWER(TRIM(K1143)),'Students'!$AF$2:$AF$701,0),IFERROR(MATCH(LOWER(TRIM(K1143)),'Students'!$AG$2:$AG$701,0),""))))</f>
        <v/>
      </c>
      <c r="R1143">
        <f>IF(P1143="","",INDEX('Students'!$AD$2:$AD$701,P1143))</f>
        <v/>
      </c>
      <c r="S1143">
        <f>IF(H1143="OK",O1143,0)</f>
        <v/>
      </c>
      <c r="T1143">
        <f>IF(H1143="OK",N1143,"")</f>
        <v/>
      </c>
      <c r="U1143">
        <f>IF(OC_Donor=0,"",IF(INDEX('OneCause_Paste'!$A$1143:$AZ$1143,1,OC_Donor)="","",INDEX('OneCause_Paste'!$A$1143:$AZ$1143,1,OC_Donor)))</f>
        <v/>
      </c>
    </row>
    <row r="1144">
      <c r="A1144" s="62">
        <f>IF(H1144="","",IF(ISNUMBER(N1144),N1144,I1144))</f>
        <v/>
      </c>
      <c r="B1144">
        <f>IF(H1144="","",U1144)</f>
        <v/>
      </c>
      <c r="C1144">
        <f>IF(H1144="","",IF(P1144="",K1144,INDEX('Students'!$A$2:$A$701,P1144)))</f>
        <v/>
      </c>
      <c r="D1144">
        <f>IF(OR(H1144="",P1144=""),"",INDEX('Students'!$B$2:$B$701,P1144))</f>
        <v/>
      </c>
      <c r="E1144">
        <f>IF(OR(H1144="",P1144=""),"",INDEX('Students'!$C$2:$C$701,P1144))</f>
        <v/>
      </c>
      <c r="F1144" s="48">
        <f>IF(H1144="","",IF(ISNUMBER(O1144),O1144,J1144))</f>
        <v/>
      </c>
      <c r="G1144">
        <f>IF(H1144="","","OneCause")</f>
        <v/>
      </c>
      <c r="H1144">
        <f>IF(AND(I1144="",J1144="",K1144=""),"",IF(NOT(ISNUMBER(O1144)),"Bad amount",IF(O1144&lt;0,"Refund (not counted)",IF(O1144=0,"Zero amount",IF(NOT(ISNUMBER(N1144)),"Bad date",IF(P1144="","NAME NOT ON ROSTER",IF(L1144="","OK",IF(MATCH(L1144,$L$2:$L$3001,0)&lt;ROW()-1,"Duplicate (ignored)","OK"))))))))</f>
        <v/>
      </c>
      <c r="I1144">
        <f>IF(OC_Date=0,"",IF(INDEX('OneCause_Paste'!$A$1144:$AZ$1144,1,OC_Date)="","",INDEX('OneCause_Paste'!$A$1144:$AZ$1144,1,OC_Date)))</f>
        <v/>
      </c>
      <c r="J1144">
        <f>IF(OC_Amt=0,"",IF(INDEX('OneCause_Paste'!$A$1144:$AZ$1144,1,OC_Amt)="","",INDEX('OneCause_Paste'!$A$1144:$AZ$1144,1,OC_Amt)))</f>
        <v/>
      </c>
      <c r="K1144">
        <f>IF(OC_Name=0,"",IF(INDEX('OneCause_Paste'!$A$1144:$AZ$1144,1,OC_Name)="","",INDEX('OneCause_Paste'!$A$1144:$AZ$1144,1,OC_Name)))</f>
        <v/>
      </c>
      <c r="L1144">
        <f>IF(OC_Txn=0,"",IF(INDEX('OneCause_Paste'!$A$1144:$AZ$1144,1,OC_Txn)="","",INDEX('OneCause_Paste'!$A$1144:$AZ$1144,1,OC_Txn)))</f>
        <v/>
      </c>
      <c r="M1144">
        <f>IF(OC_Pay=0,"",IF(INDEX('OneCause_Paste'!$A$1144:$AZ$1144,1,OC_Pay)="","",INDEX('OneCause_Paste'!$A$1144:$AZ$1144,1,OC_Pay)))</f>
        <v/>
      </c>
      <c r="N1144">
        <f>IF(I1144="","",IF(ISNUMBER(I1144),INT(I1144),IFERROR(INT(DATEVALUE(I1144)),IFERROR(INT(VALUE(I1144)),"bad"))))</f>
        <v/>
      </c>
      <c r="O1144">
        <f>IF(J1144="","",IF(ISNUMBER(J1144),ROUND(J1144,2),IFERROR(ROUND(VALUE(SUBSTITUTE(SUBSTITUTE(SUBSTITUTE(J1144,"$",""),",","")," ","")),2),"bad")))</f>
        <v/>
      </c>
      <c r="P1144">
        <f>IF(TRIM(K1144)="","",IFERROR(MATCH(LOWER(TRIM(K1144)),'Students'!$AH$2:$AH$701,0),IFERROR(MATCH(LOWER(TRIM(K1144)),'Students'!$AF$2:$AF$701,0),IFERROR(MATCH(LOWER(TRIM(K1144)),'Students'!$AG$2:$AG$701,0),""))))</f>
        <v/>
      </c>
      <c r="R1144">
        <f>IF(P1144="","",INDEX('Students'!$AD$2:$AD$701,P1144))</f>
        <v/>
      </c>
      <c r="S1144">
        <f>IF(H1144="OK",O1144,0)</f>
        <v/>
      </c>
      <c r="T1144">
        <f>IF(H1144="OK",N1144,"")</f>
        <v/>
      </c>
      <c r="U1144">
        <f>IF(OC_Donor=0,"",IF(INDEX('OneCause_Paste'!$A$1144:$AZ$1144,1,OC_Donor)="","",INDEX('OneCause_Paste'!$A$1144:$AZ$1144,1,OC_Donor)))</f>
        <v/>
      </c>
    </row>
    <row r="1145">
      <c r="A1145" s="62">
        <f>IF(H1145="","",IF(ISNUMBER(N1145),N1145,I1145))</f>
        <v/>
      </c>
      <c r="B1145">
        <f>IF(H1145="","",U1145)</f>
        <v/>
      </c>
      <c r="C1145">
        <f>IF(H1145="","",IF(P1145="",K1145,INDEX('Students'!$A$2:$A$701,P1145)))</f>
        <v/>
      </c>
      <c r="D1145">
        <f>IF(OR(H1145="",P1145=""),"",INDEX('Students'!$B$2:$B$701,P1145))</f>
        <v/>
      </c>
      <c r="E1145">
        <f>IF(OR(H1145="",P1145=""),"",INDEX('Students'!$C$2:$C$701,P1145))</f>
        <v/>
      </c>
      <c r="F1145" s="48">
        <f>IF(H1145="","",IF(ISNUMBER(O1145),O1145,J1145))</f>
        <v/>
      </c>
      <c r="G1145">
        <f>IF(H1145="","","OneCause")</f>
        <v/>
      </c>
      <c r="H1145">
        <f>IF(AND(I1145="",J1145="",K1145=""),"",IF(NOT(ISNUMBER(O1145)),"Bad amount",IF(O1145&lt;0,"Refund (not counted)",IF(O1145=0,"Zero amount",IF(NOT(ISNUMBER(N1145)),"Bad date",IF(P1145="","NAME NOT ON ROSTER",IF(L1145="","OK",IF(MATCH(L1145,$L$2:$L$3001,0)&lt;ROW()-1,"Duplicate (ignored)","OK"))))))))</f>
        <v/>
      </c>
      <c r="I1145">
        <f>IF(OC_Date=0,"",IF(INDEX('OneCause_Paste'!$A$1145:$AZ$1145,1,OC_Date)="","",INDEX('OneCause_Paste'!$A$1145:$AZ$1145,1,OC_Date)))</f>
        <v/>
      </c>
      <c r="J1145">
        <f>IF(OC_Amt=0,"",IF(INDEX('OneCause_Paste'!$A$1145:$AZ$1145,1,OC_Amt)="","",INDEX('OneCause_Paste'!$A$1145:$AZ$1145,1,OC_Amt)))</f>
        <v/>
      </c>
      <c r="K1145">
        <f>IF(OC_Name=0,"",IF(INDEX('OneCause_Paste'!$A$1145:$AZ$1145,1,OC_Name)="","",INDEX('OneCause_Paste'!$A$1145:$AZ$1145,1,OC_Name)))</f>
        <v/>
      </c>
      <c r="L1145">
        <f>IF(OC_Txn=0,"",IF(INDEX('OneCause_Paste'!$A$1145:$AZ$1145,1,OC_Txn)="","",INDEX('OneCause_Paste'!$A$1145:$AZ$1145,1,OC_Txn)))</f>
        <v/>
      </c>
      <c r="M1145">
        <f>IF(OC_Pay=0,"",IF(INDEX('OneCause_Paste'!$A$1145:$AZ$1145,1,OC_Pay)="","",INDEX('OneCause_Paste'!$A$1145:$AZ$1145,1,OC_Pay)))</f>
        <v/>
      </c>
      <c r="N1145">
        <f>IF(I1145="","",IF(ISNUMBER(I1145),INT(I1145),IFERROR(INT(DATEVALUE(I1145)),IFERROR(INT(VALUE(I1145)),"bad"))))</f>
        <v/>
      </c>
      <c r="O1145">
        <f>IF(J1145="","",IF(ISNUMBER(J1145),ROUND(J1145,2),IFERROR(ROUND(VALUE(SUBSTITUTE(SUBSTITUTE(SUBSTITUTE(J1145,"$",""),",","")," ","")),2),"bad")))</f>
        <v/>
      </c>
      <c r="P1145">
        <f>IF(TRIM(K1145)="","",IFERROR(MATCH(LOWER(TRIM(K1145)),'Students'!$AH$2:$AH$701,0),IFERROR(MATCH(LOWER(TRIM(K1145)),'Students'!$AF$2:$AF$701,0),IFERROR(MATCH(LOWER(TRIM(K1145)),'Students'!$AG$2:$AG$701,0),""))))</f>
        <v/>
      </c>
      <c r="R1145">
        <f>IF(P1145="","",INDEX('Students'!$AD$2:$AD$701,P1145))</f>
        <v/>
      </c>
      <c r="S1145">
        <f>IF(H1145="OK",O1145,0)</f>
        <v/>
      </c>
      <c r="T1145">
        <f>IF(H1145="OK",N1145,"")</f>
        <v/>
      </c>
      <c r="U1145">
        <f>IF(OC_Donor=0,"",IF(INDEX('OneCause_Paste'!$A$1145:$AZ$1145,1,OC_Donor)="","",INDEX('OneCause_Paste'!$A$1145:$AZ$1145,1,OC_Donor)))</f>
        <v/>
      </c>
    </row>
    <row r="1146">
      <c r="A1146" s="62">
        <f>IF(H1146="","",IF(ISNUMBER(N1146),N1146,I1146))</f>
        <v/>
      </c>
      <c r="B1146">
        <f>IF(H1146="","",U1146)</f>
        <v/>
      </c>
      <c r="C1146">
        <f>IF(H1146="","",IF(P1146="",K1146,INDEX('Students'!$A$2:$A$701,P1146)))</f>
        <v/>
      </c>
      <c r="D1146">
        <f>IF(OR(H1146="",P1146=""),"",INDEX('Students'!$B$2:$B$701,P1146))</f>
        <v/>
      </c>
      <c r="E1146">
        <f>IF(OR(H1146="",P1146=""),"",INDEX('Students'!$C$2:$C$701,P1146))</f>
        <v/>
      </c>
      <c r="F1146" s="48">
        <f>IF(H1146="","",IF(ISNUMBER(O1146),O1146,J1146))</f>
        <v/>
      </c>
      <c r="G1146">
        <f>IF(H1146="","","OneCause")</f>
        <v/>
      </c>
      <c r="H1146">
        <f>IF(AND(I1146="",J1146="",K1146=""),"",IF(NOT(ISNUMBER(O1146)),"Bad amount",IF(O1146&lt;0,"Refund (not counted)",IF(O1146=0,"Zero amount",IF(NOT(ISNUMBER(N1146)),"Bad date",IF(P1146="","NAME NOT ON ROSTER",IF(L1146="","OK",IF(MATCH(L1146,$L$2:$L$3001,0)&lt;ROW()-1,"Duplicate (ignored)","OK"))))))))</f>
        <v/>
      </c>
      <c r="I1146">
        <f>IF(OC_Date=0,"",IF(INDEX('OneCause_Paste'!$A$1146:$AZ$1146,1,OC_Date)="","",INDEX('OneCause_Paste'!$A$1146:$AZ$1146,1,OC_Date)))</f>
        <v/>
      </c>
      <c r="J1146">
        <f>IF(OC_Amt=0,"",IF(INDEX('OneCause_Paste'!$A$1146:$AZ$1146,1,OC_Amt)="","",INDEX('OneCause_Paste'!$A$1146:$AZ$1146,1,OC_Amt)))</f>
        <v/>
      </c>
      <c r="K1146">
        <f>IF(OC_Name=0,"",IF(INDEX('OneCause_Paste'!$A$1146:$AZ$1146,1,OC_Name)="","",INDEX('OneCause_Paste'!$A$1146:$AZ$1146,1,OC_Name)))</f>
        <v/>
      </c>
      <c r="L1146">
        <f>IF(OC_Txn=0,"",IF(INDEX('OneCause_Paste'!$A$1146:$AZ$1146,1,OC_Txn)="","",INDEX('OneCause_Paste'!$A$1146:$AZ$1146,1,OC_Txn)))</f>
        <v/>
      </c>
      <c r="M1146">
        <f>IF(OC_Pay=0,"",IF(INDEX('OneCause_Paste'!$A$1146:$AZ$1146,1,OC_Pay)="","",INDEX('OneCause_Paste'!$A$1146:$AZ$1146,1,OC_Pay)))</f>
        <v/>
      </c>
      <c r="N1146">
        <f>IF(I1146="","",IF(ISNUMBER(I1146),INT(I1146),IFERROR(INT(DATEVALUE(I1146)),IFERROR(INT(VALUE(I1146)),"bad"))))</f>
        <v/>
      </c>
      <c r="O1146">
        <f>IF(J1146="","",IF(ISNUMBER(J1146),ROUND(J1146,2),IFERROR(ROUND(VALUE(SUBSTITUTE(SUBSTITUTE(SUBSTITUTE(J1146,"$",""),",","")," ","")),2),"bad")))</f>
        <v/>
      </c>
      <c r="P1146">
        <f>IF(TRIM(K1146)="","",IFERROR(MATCH(LOWER(TRIM(K1146)),'Students'!$AH$2:$AH$701,0),IFERROR(MATCH(LOWER(TRIM(K1146)),'Students'!$AF$2:$AF$701,0),IFERROR(MATCH(LOWER(TRIM(K1146)),'Students'!$AG$2:$AG$701,0),""))))</f>
        <v/>
      </c>
      <c r="R1146">
        <f>IF(P1146="","",INDEX('Students'!$AD$2:$AD$701,P1146))</f>
        <v/>
      </c>
      <c r="S1146">
        <f>IF(H1146="OK",O1146,0)</f>
        <v/>
      </c>
      <c r="T1146">
        <f>IF(H1146="OK",N1146,"")</f>
        <v/>
      </c>
      <c r="U1146">
        <f>IF(OC_Donor=0,"",IF(INDEX('OneCause_Paste'!$A$1146:$AZ$1146,1,OC_Donor)="","",INDEX('OneCause_Paste'!$A$1146:$AZ$1146,1,OC_Donor)))</f>
        <v/>
      </c>
    </row>
    <row r="1147">
      <c r="A1147" s="62">
        <f>IF(H1147="","",IF(ISNUMBER(N1147),N1147,I1147))</f>
        <v/>
      </c>
      <c r="B1147">
        <f>IF(H1147="","",U1147)</f>
        <v/>
      </c>
      <c r="C1147">
        <f>IF(H1147="","",IF(P1147="",K1147,INDEX('Students'!$A$2:$A$701,P1147)))</f>
        <v/>
      </c>
      <c r="D1147">
        <f>IF(OR(H1147="",P1147=""),"",INDEX('Students'!$B$2:$B$701,P1147))</f>
        <v/>
      </c>
      <c r="E1147">
        <f>IF(OR(H1147="",P1147=""),"",INDEX('Students'!$C$2:$C$701,P1147))</f>
        <v/>
      </c>
      <c r="F1147" s="48">
        <f>IF(H1147="","",IF(ISNUMBER(O1147),O1147,J1147))</f>
        <v/>
      </c>
      <c r="G1147">
        <f>IF(H1147="","","OneCause")</f>
        <v/>
      </c>
      <c r="H1147">
        <f>IF(AND(I1147="",J1147="",K1147=""),"",IF(NOT(ISNUMBER(O1147)),"Bad amount",IF(O1147&lt;0,"Refund (not counted)",IF(O1147=0,"Zero amount",IF(NOT(ISNUMBER(N1147)),"Bad date",IF(P1147="","NAME NOT ON ROSTER",IF(L1147="","OK",IF(MATCH(L1147,$L$2:$L$3001,0)&lt;ROW()-1,"Duplicate (ignored)","OK"))))))))</f>
        <v/>
      </c>
      <c r="I1147">
        <f>IF(OC_Date=0,"",IF(INDEX('OneCause_Paste'!$A$1147:$AZ$1147,1,OC_Date)="","",INDEX('OneCause_Paste'!$A$1147:$AZ$1147,1,OC_Date)))</f>
        <v/>
      </c>
      <c r="J1147">
        <f>IF(OC_Amt=0,"",IF(INDEX('OneCause_Paste'!$A$1147:$AZ$1147,1,OC_Amt)="","",INDEX('OneCause_Paste'!$A$1147:$AZ$1147,1,OC_Amt)))</f>
        <v/>
      </c>
      <c r="K1147">
        <f>IF(OC_Name=0,"",IF(INDEX('OneCause_Paste'!$A$1147:$AZ$1147,1,OC_Name)="","",INDEX('OneCause_Paste'!$A$1147:$AZ$1147,1,OC_Name)))</f>
        <v/>
      </c>
      <c r="L1147">
        <f>IF(OC_Txn=0,"",IF(INDEX('OneCause_Paste'!$A$1147:$AZ$1147,1,OC_Txn)="","",INDEX('OneCause_Paste'!$A$1147:$AZ$1147,1,OC_Txn)))</f>
        <v/>
      </c>
      <c r="M1147">
        <f>IF(OC_Pay=0,"",IF(INDEX('OneCause_Paste'!$A$1147:$AZ$1147,1,OC_Pay)="","",INDEX('OneCause_Paste'!$A$1147:$AZ$1147,1,OC_Pay)))</f>
        <v/>
      </c>
      <c r="N1147">
        <f>IF(I1147="","",IF(ISNUMBER(I1147),INT(I1147),IFERROR(INT(DATEVALUE(I1147)),IFERROR(INT(VALUE(I1147)),"bad"))))</f>
        <v/>
      </c>
      <c r="O1147">
        <f>IF(J1147="","",IF(ISNUMBER(J1147),ROUND(J1147,2),IFERROR(ROUND(VALUE(SUBSTITUTE(SUBSTITUTE(SUBSTITUTE(J1147,"$",""),",","")," ","")),2),"bad")))</f>
        <v/>
      </c>
      <c r="P1147">
        <f>IF(TRIM(K1147)="","",IFERROR(MATCH(LOWER(TRIM(K1147)),'Students'!$AH$2:$AH$701,0),IFERROR(MATCH(LOWER(TRIM(K1147)),'Students'!$AF$2:$AF$701,0),IFERROR(MATCH(LOWER(TRIM(K1147)),'Students'!$AG$2:$AG$701,0),""))))</f>
        <v/>
      </c>
      <c r="R1147">
        <f>IF(P1147="","",INDEX('Students'!$AD$2:$AD$701,P1147))</f>
        <v/>
      </c>
      <c r="S1147">
        <f>IF(H1147="OK",O1147,0)</f>
        <v/>
      </c>
      <c r="T1147">
        <f>IF(H1147="OK",N1147,"")</f>
        <v/>
      </c>
      <c r="U1147">
        <f>IF(OC_Donor=0,"",IF(INDEX('OneCause_Paste'!$A$1147:$AZ$1147,1,OC_Donor)="","",INDEX('OneCause_Paste'!$A$1147:$AZ$1147,1,OC_Donor)))</f>
        <v/>
      </c>
    </row>
    <row r="1148">
      <c r="A1148" s="62">
        <f>IF(H1148="","",IF(ISNUMBER(N1148),N1148,I1148))</f>
        <v/>
      </c>
      <c r="B1148">
        <f>IF(H1148="","",U1148)</f>
        <v/>
      </c>
      <c r="C1148">
        <f>IF(H1148="","",IF(P1148="",K1148,INDEX('Students'!$A$2:$A$701,P1148)))</f>
        <v/>
      </c>
      <c r="D1148">
        <f>IF(OR(H1148="",P1148=""),"",INDEX('Students'!$B$2:$B$701,P1148))</f>
        <v/>
      </c>
      <c r="E1148">
        <f>IF(OR(H1148="",P1148=""),"",INDEX('Students'!$C$2:$C$701,P1148))</f>
        <v/>
      </c>
      <c r="F1148" s="48">
        <f>IF(H1148="","",IF(ISNUMBER(O1148),O1148,J1148))</f>
        <v/>
      </c>
      <c r="G1148">
        <f>IF(H1148="","","OneCause")</f>
        <v/>
      </c>
      <c r="H1148">
        <f>IF(AND(I1148="",J1148="",K1148=""),"",IF(NOT(ISNUMBER(O1148)),"Bad amount",IF(O1148&lt;0,"Refund (not counted)",IF(O1148=0,"Zero amount",IF(NOT(ISNUMBER(N1148)),"Bad date",IF(P1148="","NAME NOT ON ROSTER",IF(L1148="","OK",IF(MATCH(L1148,$L$2:$L$3001,0)&lt;ROW()-1,"Duplicate (ignored)","OK"))))))))</f>
        <v/>
      </c>
      <c r="I1148">
        <f>IF(OC_Date=0,"",IF(INDEX('OneCause_Paste'!$A$1148:$AZ$1148,1,OC_Date)="","",INDEX('OneCause_Paste'!$A$1148:$AZ$1148,1,OC_Date)))</f>
        <v/>
      </c>
      <c r="J1148">
        <f>IF(OC_Amt=0,"",IF(INDEX('OneCause_Paste'!$A$1148:$AZ$1148,1,OC_Amt)="","",INDEX('OneCause_Paste'!$A$1148:$AZ$1148,1,OC_Amt)))</f>
        <v/>
      </c>
      <c r="K1148">
        <f>IF(OC_Name=0,"",IF(INDEX('OneCause_Paste'!$A$1148:$AZ$1148,1,OC_Name)="","",INDEX('OneCause_Paste'!$A$1148:$AZ$1148,1,OC_Name)))</f>
        <v/>
      </c>
      <c r="L1148">
        <f>IF(OC_Txn=0,"",IF(INDEX('OneCause_Paste'!$A$1148:$AZ$1148,1,OC_Txn)="","",INDEX('OneCause_Paste'!$A$1148:$AZ$1148,1,OC_Txn)))</f>
        <v/>
      </c>
      <c r="M1148">
        <f>IF(OC_Pay=0,"",IF(INDEX('OneCause_Paste'!$A$1148:$AZ$1148,1,OC_Pay)="","",INDEX('OneCause_Paste'!$A$1148:$AZ$1148,1,OC_Pay)))</f>
        <v/>
      </c>
      <c r="N1148">
        <f>IF(I1148="","",IF(ISNUMBER(I1148),INT(I1148),IFERROR(INT(DATEVALUE(I1148)),IFERROR(INT(VALUE(I1148)),"bad"))))</f>
        <v/>
      </c>
      <c r="O1148">
        <f>IF(J1148="","",IF(ISNUMBER(J1148),ROUND(J1148,2),IFERROR(ROUND(VALUE(SUBSTITUTE(SUBSTITUTE(SUBSTITUTE(J1148,"$",""),",","")," ","")),2),"bad")))</f>
        <v/>
      </c>
      <c r="P1148">
        <f>IF(TRIM(K1148)="","",IFERROR(MATCH(LOWER(TRIM(K1148)),'Students'!$AH$2:$AH$701,0),IFERROR(MATCH(LOWER(TRIM(K1148)),'Students'!$AF$2:$AF$701,0),IFERROR(MATCH(LOWER(TRIM(K1148)),'Students'!$AG$2:$AG$701,0),""))))</f>
        <v/>
      </c>
      <c r="R1148">
        <f>IF(P1148="","",INDEX('Students'!$AD$2:$AD$701,P1148))</f>
        <v/>
      </c>
      <c r="S1148">
        <f>IF(H1148="OK",O1148,0)</f>
        <v/>
      </c>
      <c r="T1148">
        <f>IF(H1148="OK",N1148,"")</f>
        <v/>
      </c>
      <c r="U1148">
        <f>IF(OC_Donor=0,"",IF(INDEX('OneCause_Paste'!$A$1148:$AZ$1148,1,OC_Donor)="","",INDEX('OneCause_Paste'!$A$1148:$AZ$1148,1,OC_Donor)))</f>
        <v/>
      </c>
    </row>
    <row r="1149">
      <c r="A1149" s="62">
        <f>IF(H1149="","",IF(ISNUMBER(N1149),N1149,I1149))</f>
        <v/>
      </c>
      <c r="B1149">
        <f>IF(H1149="","",U1149)</f>
        <v/>
      </c>
      <c r="C1149">
        <f>IF(H1149="","",IF(P1149="",K1149,INDEX('Students'!$A$2:$A$701,P1149)))</f>
        <v/>
      </c>
      <c r="D1149">
        <f>IF(OR(H1149="",P1149=""),"",INDEX('Students'!$B$2:$B$701,P1149))</f>
        <v/>
      </c>
      <c r="E1149">
        <f>IF(OR(H1149="",P1149=""),"",INDEX('Students'!$C$2:$C$701,P1149))</f>
        <v/>
      </c>
      <c r="F1149" s="48">
        <f>IF(H1149="","",IF(ISNUMBER(O1149),O1149,J1149))</f>
        <v/>
      </c>
      <c r="G1149">
        <f>IF(H1149="","","OneCause")</f>
        <v/>
      </c>
      <c r="H1149">
        <f>IF(AND(I1149="",J1149="",K1149=""),"",IF(NOT(ISNUMBER(O1149)),"Bad amount",IF(O1149&lt;0,"Refund (not counted)",IF(O1149=0,"Zero amount",IF(NOT(ISNUMBER(N1149)),"Bad date",IF(P1149="","NAME NOT ON ROSTER",IF(L1149="","OK",IF(MATCH(L1149,$L$2:$L$3001,0)&lt;ROW()-1,"Duplicate (ignored)","OK"))))))))</f>
        <v/>
      </c>
      <c r="I1149">
        <f>IF(OC_Date=0,"",IF(INDEX('OneCause_Paste'!$A$1149:$AZ$1149,1,OC_Date)="","",INDEX('OneCause_Paste'!$A$1149:$AZ$1149,1,OC_Date)))</f>
        <v/>
      </c>
      <c r="J1149">
        <f>IF(OC_Amt=0,"",IF(INDEX('OneCause_Paste'!$A$1149:$AZ$1149,1,OC_Amt)="","",INDEX('OneCause_Paste'!$A$1149:$AZ$1149,1,OC_Amt)))</f>
        <v/>
      </c>
      <c r="K1149">
        <f>IF(OC_Name=0,"",IF(INDEX('OneCause_Paste'!$A$1149:$AZ$1149,1,OC_Name)="","",INDEX('OneCause_Paste'!$A$1149:$AZ$1149,1,OC_Name)))</f>
        <v/>
      </c>
      <c r="L1149">
        <f>IF(OC_Txn=0,"",IF(INDEX('OneCause_Paste'!$A$1149:$AZ$1149,1,OC_Txn)="","",INDEX('OneCause_Paste'!$A$1149:$AZ$1149,1,OC_Txn)))</f>
        <v/>
      </c>
      <c r="M1149">
        <f>IF(OC_Pay=0,"",IF(INDEX('OneCause_Paste'!$A$1149:$AZ$1149,1,OC_Pay)="","",INDEX('OneCause_Paste'!$A$1149:$AZ$1149,1,OC_Pay)))</f>
        <v/>
      </c>
      <c r="N1149">
        <f>IF(I1149="","",IF(ISNUMBER(I1149),INT(I1149),IFERROR(INT(DATEVALUE(I1149)),IFERROR(INT(VALUE(I1149)),"bad"))))</f>
        <v/>
      </c>
      <c r="O1149">
        <f>IF(J1149="","",IF(ISNUMBER(J1149),ROUND(J1149,2),IFERROR(ROUND(VALUE(SUBSTITUTE(SUBSTITUTE(SUBSTITUTE(J1149,"$",""),",","")," ","")),2),"bad")))</f>
        <v/>
      </c>
      <c r="P1149">
        <f>IF(TRIM(K1149)="","",IFERROR(MATCH(LOWER(TRIM(K1149)),'Students'!$AH$2:$AH$701,0),IFERROR(MATCH(LOWER(TRIM(K1149)),'Students'!$AF$2:$AF$701,0),IFERROR(MATCH(LOWER(TRIM(K1149)),'Students'!$AG$2:$AG$701,0),""))))</f>
        <v/>
      </c>
      <c r="R1149">
        <f>IF(P1149="","",INDEX('Students'!$AD$2:$AD$701,P1149))</f>
        <v/>
      </c>
      <c r="S1149">
        <f>IF(H1149="OK",O1149,0)</f>
        <v/>
      </c>
      <c r="T1149">
        <f>IF(H1149="OK",N1149,"")</f>
        <v/>
      </c>
      <c r="U1149">
        <f>IF(OC_Donor=0,"",IF(INDEX('OneCause_Paste'!$A$1149:$AZ$1149,1,OC_Donor)="","",INDEX('OneCause_Paste'!$A$1149:$AZ$1149,1,OC_Donor)))</f>
        <v/>
      </c>
    </row>
    <row r="1150">
      <c r="A1150" s="62">
        <f>IF(H1150="","",IF(ISNUMBER(N1150),N1150,I1150))</f>
        <v/>
      </c>
      <c r="B1150">
        <f>IF(H1150="","",U1150)</f>
        <v/>
      </c>
      <c r="C1150">
        <f>IF(H1150="","",IF(P1150="",K1150,INDEX('Students'!$A$2:$A$701,P1150)))</f>
        <v/>
      </c>
      <c r="D1150">
        <f>IF(OR(H1150="",P1150=""),"",INDEX('Students'!$B$2:$B$701,P1150))</f>
        <v/>
      </c>
      <c r="E1150">
        <f>IF(OR(H1150="",P1150=""),"",INDEX('Students'!$C$2:$C$701,P1150))</f>
        <v/>
      </c>
      <c r="F1150" s="48">
        <f>IF(H1150="","",IF(ISNUMBER(O1150),O1150,J1150))</f>
        <v/>
      </c>
      <c r="G1150">
        <f>IF(H1150="","","OneCause")</f>
        <v/>
      </c>
      <c r="H1150">
        <f>IF(AND(I1150="",J1150="",K1150=""),"",IF(NOT(ISNUMBER(O1150)),"Bad amount",IF(O1150&lt;0,"Refund (not counted)",IF(O1150=0,"Zero amount",IF(NOT(ISNUMBER(N1150)),"Bad date",IF(P1150="","NAME NOT ON ROSTER",IF(L1150="","OK",IF(MATCH(L1150,$L$2:$L$3001,0)&lt;ROW()-1,"Duplicate (ignored)","OK"))))))))</f>
        <v/>
      </c>
      <c r="I1150">
        <f>IF(OC_Date=0,"",IF(INDEX('OneCause_Paste'!$A$1150:$AZ$1150,1,OC_Date)="","",INDEX('OneCause_Paste'!$A$1150:$AZ$1150,1,OC_Date)))</f>
        <v/>
      </c>
      <c r="J1150">
        <f>IF(OC_Amt=0,"",IF(INDEX('OneCause_Paste'!$A$1150:$AZ$1150,1,OC_Amt)="","",INDEX('OneCause_Paste'!$A$1150:$AZ$1150,1,OC_Amt)))</f>
        <v/>
      </c>
      <c r="K1150">
        <f>IF(OC_Name=0,"",IF(INDEX('OneCause_Paste'!$A$1150:$AZ$1150,1,OC_Name)="","",INDEX('OneCause_Paste'!$A$1150:$AZ$1150,1,OC_Name)))</f>
        <v/>
      </c>
      <c r="L1150">
        <f>IF(OC_Txn=0,"",IF(INDEX('OneCause_Paste'!$A$1150:$AZ$1150,1,OC_Txn)="","",INDEX('OneCause_Paste'!$A$1150:$AZ$1150,1,OC_Txn)))</f>
        <v/>
      </c>
      <c r="M1150">
        <f>IF(OC_Pay=0,"",IF(INDEX('OneCause_Paste'!$A$1150:$AZ$1150,1,OC_Pay)="","",INDEX('OneCause_Paste'!$A$1150:$AZ$1150,1,OC_Pay)))</f>
        <v/>
      </c>
      <c r="N1150">
        <f>IF(I1150="","",IF(ISNUMBER(I1150),INT(I1150),IFERROR(INT(DATEVALUE(I1150)),IFERROR(INT(VALUE(I1150)),"bad"))))</f>
        <v/>
      </c>
      <c r="O1150">
        <f>IF(J1150="","",IF(ISNUMBER(J1150),ROUND(J1150,2),IFERROR(ROUND(VALUE(SUBSTITUTE(SUBSTITUTE(SUBSTITUTE(J1150,"$",""),",","")," ","")),2),"bad")))</f>
        <v/>
      </c>
      <c r="P1150">
        <f>IF(TRIM(K1150)="","",IFERROR(MATCH(LOWER(TRIM(K1150)),'Students'!$AH$2:$AH$701,0),IFERROR(MATCH(LOWER(TRIM(K1150)),'Students'!$AF$2:$AF$701,0),IFERROR(MATCH(LOWER(TRIM(K1150)),'Students'!$AG$2:$AG$701,0),""))))</f>
        <v/>
      </c>
      <c r="R1150">
        <f>IF(P1150="","",INDEX('Students'!$AD$2:$AD$701,P1150))</f>
        <v/>
      </c>
      <c r="S1150">
        <f>IF(H1150="OK",O1150,0)</f>
        <v/>
      </c>
      <c r="T1150">
        <f>IF(H1150="OK",N1150,"")</f>
        <v/>
      </c>
      <c r="U1150">
        <f>IF(OC_Donor=0,"",IF(INDEX('OneCause_Paste'!$A$1150:$AZ$1150,1,OC_Donor)="","",INDEX('OneCause_Paste'!$A$1150:$AZ$1150,1,OC_Donor)))</f>
        <v/>
      </c>
    </row>
    <row r="1151">
      <c r="A1151" s="62">
        <f>IF(H1151="","",IF(ISNUMBER(N1151),N1151,I1151))</f>
        <v/>
      </c>
      <c r="B1151">
        <f>IF(H1151="","",U1151)</f>
        <v/>
      </c>
      <c r="C1151">
        <f>IF(H1151="","",IF(P1151="",K1151,INDEX('Students'!$A$2:$A$701,P1151)))</f>
        <v/>
      </c>
      <c r="D1151">
        <f>IF(OR(H1151="",P1151=""),"",INDEX('Students'!$B$2:$B$701,P1151))</f>
        <v/>
      </c>
      <c r="E1151">
        <f>IF(OR(H1151="",P1151=""),"",INDEX('Students'!$C$2:$C$701,P1151))</f>
        <v/>
      </c>
      <c r="F1151" s="48">
        <f>IF(H1151="","",IF(ISNUMBER(O1151),O1151,J1151))</f>
        <v/>
      </c>
      <c r="G1151">
        <f>IF(H1151="","","OneCause")</f>
        <v/>
      </c>
      <c r="H1151">
        <f>IF(AND(I1151="",J1151="",K1151=""),"",IF(NOT(ISNUMBER(O1151)),"Bad amount",IF(O1151&lt;0,"Refund (not counted)",IF(O1151=0,"Zero amount",IF(NOT(ISNUMBER(N1151)),"Bad date",IF(P1151="","NAME NOT ON ROSTER",IF(L1151="","OK",IF(MATCH(L1151,$L$2:$L$3001,0)&lt;ROW()-1,"Duplicate (ignored)","OK"))))))))</f>
        <v/>
      </c>
      <c r="I1151">
        <f>IF(OC_Date=0,"",IF(INDEX('OneCause_Paste'!$A$1151:$AZ$1151,1,OC_Date)="","",INDEX('OneCause_Paste'!$A$1151:$AZ$1151,1,OC_Date)))</f>
        <v/>
      </c>
      <c r="J1151">
        <f>IF(OC_Amt=0,"",IF(INDEX('OneCause_Paste'!$A$1151:$AZ$1151,1,OC_Amt)="","",INDEX('OneCause_Paste'!$A$1151:$AZ$1151,1,OC_Amt)))</f>
        <v/>
      </c>
      <c r="K1151">
        <f>IF(OC_Name=0,"",IF(INDEX('OneCause_Paste'!$A$1151:$AZ$1151,1,OC_Name)="","",INDEX('OneCause_Paste'!$A$1151:$AZ$1151,1,OC_Name)))</f>
        <v/>
      </c>
      <c r="L1151">
        <f>IF(OC_Txn=0,"",IF(INDEX('OneCause_Paste'!$A$1151:$AZ$1151,1,OC_Txn)="","",INDEX('OneCause_Paste'!$A$1151:$AZ$1151,1,OC_Txn)))</f>
        <v/>
      </c>
      <c r="M1151">
        <f>IF(OC_Pay=0,"",IF(INDEX('OneCause_Paste'!$A$1151:$AZ$1151,1,OC_Pay)="","",INDEX('OneCause_Paste'!$A$1151:$AZ$1151,1,OC_Pay)))</f>
        <v/>
      </c>
      <c r="N1151">
        <f>IF(I1151="","",IF(ISNUMBER(I1151),INT(I1151),IFERROR(INT(DATEVALUE(I1151)),IFERROR(INT(VALUE(I1151)),"bad"))))</f>
        <v/>
      </c>
      <c r="O1151">
        <f>IF(J1151="","",IF(ISNUMBER(J1151),ROUND(J1151,2),IFERROR(ROUND(VALUE(SUBSTITUTE(SUBSTITUTE(SUBSTITUTE(J1151,"$",""),",","")," ","")),2),"bad")))</f>
        <v/>
      </c>
      <c r="P1151">
        <f>IF(TRIM(K1151)="","",IFERROR(MATCH(LOWER(TRIM(K1151)),'Students'!$AH$2:$AH$701,0),IFERROR(MATCH(LOWER(TRIM(K1151)),'Students'!$AF$2:$AF$701,0),IFERROR(MATCH(LOWER(TRIM(K1151)),'Students'!$AG$2:$AG$701,0),""))))</f>
        <v/>
      </c>
      <c r="R1151">
        <f>IF(P1151="","",INDEX('Students'!$AD$2:$AD$701,P1151))</f>
        <v/>
      </c>
      <c r="S1151">
        <f>IF(H1151="OK",O1151,0)</f>
        <v/>
      </c>
      <c r="T1151">
        <f>IF(H1151="OK",N1151,"")</f>
        <v/>
      </c>
      <c r="U1151">
        <f>IF(OC_Donor=0,"",IF(INDEX('OneCause_Paste'!$A$1151:$AZ$1151,1,OC_Donor)="","",INDEX('OneCause_Paste'!$A$1151:$AZ$1151,1,OC_Donor)))</f>
        <v/>
      </c>
    </row>
    <row r="1152">
      <c r="A1152" s="62">
        <f>IF(H1152="","",IF(ISNUMBER(N1152),N1152,I1152))</f>
        <v/>
      </c>
      <c r="B1152">
        <f>IF(H1152="","",U1152)</f>
        <v/>
      </c>
      <c r="C1152">
        <f>IF(H1152="","",IF(P1152="",K1152,INDEX('Students'!$A$2:$A$701,P1152)))</f>
        <v/>
      </c>
      <c r="D1152">
        <f>IF(OR(H1152="",P1152=""),"",INDEX('Students'!$B$2:$B$701,P1152))</f>
        <v/>
      </c>
      <c r="E1152">
        <f>IF(OR(H1152="",P1152=""),"",INDEX('Students'!$C$2:$C$701,P1152))</f>
        <v/>
      </c>
      <c r="F1152" s="48">
        <f>IF(H1152="","",IF(ISNUMBER(O1152),O1152,J1152))</f>
        <v/>
      </c>
      <c r="G1152">
        <f>IF(H1152="","","OneCause")</f>
        <v/>
      </c>
      <c r="H1152">
        <f>IF(AND(I1152="",J1152="",K1152=""),"",IF(NOT(ISNUMBER(O1152)),"Bad amount",IF(O1152&lt;0,"Refund (not counted)",IF(O1152=0,"Zero amount",IF(NOT(ISNUMBER(N1152)),"Bad date",IF(P1152="","NAME NOT ON ROSTER",IF(L1152="","OK",IF(MATCH(L1152,$L$2:$L$3001,0)&lt;ROW()-1,"Duplicate (ignored)","OK"))))))))</f>
        <v/>
      </c>
      <c r="I1152">
        <f>IF(OC_Date=0,"",IF(INDEX('OneCause_Paste'!$A$1152:$AZ$1152,1,OC_Date)="","",INDEX('OneCause_Paste'!$A$1152:$AZ$1152,1,OC_Date)))</f>
        <v/>
      </c>
      <c r="J1152">
        <f>IF(OC_Amt=0,"",IF(INDEX('OneCause_Paste'!$A$1152:$AZ$1152,1,OC_Amt)="","",INDEX('OneCause_Paste'!$A$1152:$AZ$1152,1,OC_Amt)))</f>
        <v/>
      </c>
      <c r="K1152">
        <f>IF(OC_Name=0,"",IF(INDEX('OneCause_Paste'!$A$1152:$AZ$1152,1,OC_Name)="","",INDEX('OneCause_Paste'!$A$1152:$AZ$1152,1,OC_Name)))</f>
        <v/>
      </c>
      <c r="L1152">
        <f>IF(OC_Txn=0,"",IF(INDEX('OneCause_Paste'!$A$1152:$AZ$1152,1,OC_Txn)="","",INDEX('OneCause_Paste'!$A$1152:$AZ$1152,1,OC_Txn)))</f>
        <v/>
      </c>
      <c r="M1152">
        <f>IF(OC_Pay=0,"",IF(INDEX('OneCause_Paste'!$A$1152:$AZ$1152,1,OC_Pay)="","",INDEX('OneCause_Paste'!$A$1152:$AZ$1152,1,OC_Pay)))</f>
        <v/>
      </c>
      <c r="N1152">
        <f>IF(I1152="","",IF(ISNUMBER(I1152),INT(I1152),IFERROR(INT(DATEVALUE(I1152)),IFERROR(INT(VALUE(I1152)),"bad"))))</f>
        <v/>
      </c>
      <c r="O1152">
        <f>IF(J1152="","",IF(ISNUMBER(J1152),ROUND(J1152,2),IFERROR(ROUND(VALUE(SUBSTITUTE(SUBSTITUTE(SUBSTITUTE(J1152,"$",""),",","")," ","")),2),"bad")))</f>
        <v/>
      </c>
      <c r="P1152">
        <f>IF(TRIM(K1152)="","",IFERROR(MATCH(LOWER(TRIM(K1152)),'Students'!$AH$2:$AH$701,0),IFERROR(MATCH(LOWER(TRIM(K1152)),'Students'!$AF$2:$AF$701,0),IFERROR(MATCH(LOWER(TRIM(K1152)),'Students'!$AG$2:$AG$701,0),""))))</f>
        <v/>
      </c>
      <c r="R1152">
        <f>IF(P1152="","",INDEX('Students'!$AD$2:$AD$701,P1152))</f>
        <v/>
      </c>
      <c r="S1152">
        <f>IF(H1152="OK",O1152,0)</f>
        <v/>
      </c>
      <c r="T1152">
        <f>IF(H1152="OK",N1152,"")</f>
        <v/>
      </c>
      <c r="U1152">
        <f>IF(OC_Donor=0,"",IF(INDEX('OneCause_Paste'!$A$1152:$AZ$1152,1,OC_Donor)="","",INDEX('OneCause_Paste'!$A$1152:$AZ$1152,1,OC_Donor)))</f>
        <v/>
      </c>
    </row>
    <row r="1153">
      <c r="A1153" s="62">
        <f>IF(H1153="","",IF(ISNUMBER(N1153),N1153,I1153))</f>
        <v/>
      </c>
      <c r="B1153">
        <f>IF(H1153="","",U1153)</f>
        <v/>
      </c>
      <c r="C1153">
        <f>IF(H1153="","",IF(P1153="",K1153,INDEX('Students'!$A$2:$A$701,P1153)))</f>
        <v/>
      </c>
      <c r="D1153">
        <f>IF(OR(H1153="",P1153=""),"",INDEX('Students'!$B$2:$B$701,P1153))</f>
        <v/>
      </c>
      <c r="E1153">
        <f>IF(OR(H1153="",P1153=""),"",INDEX('Students'!$C$2:$C$701,P1153))</f>
        <v/>
      </c>
      <c r="F1153" s="48">
        <f>IF(H1153="","",IF(ISNUMBER(O1153),O1153,J1153))</f>
        <v/>
      </c>
      <c r="G1153">
        <f>IF(H1153="","","OneCause")</f>
        <v/>
      </c>
      <c r="H1153">
        <f>IF(AND(I1153="",J1153="",K1153=""),"",IF(NOT(ISNUMBER(O1153)),"Bad amount",IF(O1153&lt;0,"Refund (not counted)",IF(O1153=0,"Zero amount",IF(NOT(ISNUMBER(N1153)),"Bad date",IF(P1153="","NAME NOT ON ROSTER",IF(L1153="","OK",IF(MATCH(L1153,$L$2:$L$3001,0)&lt;ROW()-1,"Duplicate (ignored)","OK"))))))))</f>
        <v/>
      </c>
      <c r="I1153">
        <f>IF(OC_Date=0,"",IF(INDEX('OneCause_Paste'!$A$1153:$AZ$1153,1,OC_Date)="","",INDEX('OneCause_Paste'!$A$1153:$AZ$1153,1,OC_Date)))</f>
        <v/>
      </c>
      <c r="J1153">
        <f>IF(OC_Amt=0,"",IF(INDEX('OneCause_Paste'!$A$1153:$AZ$1153,1,OC_Amt)="","",INDEX('OneCause_Paste'!$A$1153:$AZ$1153,1,OC_Amt)))</f>
        <v/>
      </c>
      <c r="K1153">
        <f>IF(OC_Name=0,"",IF(INDEX('OneCause_Paste'!$A$1153:$AZ$1153,1,OC_Name)="","",INDEX('OneCause_Paste'!$A$1153:$AZ$1153,1,OC_Name)))</f>
        <v/>
      </c>
      <c r="L1153">
        <f>IF(OC_Txn=0,"",IF(INDEX('OneCause_Paste'!$A$1153:$AZ$1153,1,OC_Txn)="","",INDEX('OneCause_Paste'!$A$1153:$AZ$1153,1,OC_Txn)))</f>
        <v/>
      </c>
      <c r="M1153">
        <f>IF(OC_Pay=0,"",IF(INDEX('OneCause_Paste'!$A$1153:$AZ$1153,1,OC_Pay)="","",INDEX('OneCause_Paste'!$A$1153:$AZ$1153,1,OC_Pay)))</f>
        <v/>
      </c>
      <c r="N1153">
        <f>IF(I1153="","",IF(ISNUMBER(I1153),INT(I1153),IFERROR(INT(DATEVALUE(I1153)),IFERROR(INT(VALUE(I1153)),"bad"))))</f>
        <v/>
      </c>
      <c r="O1153">
        <f>IF(J1153="","",IF(ISNUMBER(J1153),ROUND(J1153,2),IFERROR(ROUND(VALUE(SUBSTITUTE(SUBSTITUTE(SUBSTITUTE(J1153,"$",""),",","")," ","")),2),"bad")))</f>
        <v/>
      </c>
      <c r="P1153">
        <f>IF(TRIM(K1153)="","",IFERROR(MATCH(LOWER(TRIM(K1153)),'Students'!$AH$2:$AH$701,0),IFERROR(MATCH(LOWER(TRIM(K1153)),'Students'!$AF$2:$AF$701,0),IFERROR(MATCH(LOWER(TRIM(K1153)),'Students'!$AG$2:$AG$701,0),""))))</f>
        <v/>
      </c>
      <c r="R1153">
        <f>IF(P1153="","",INDEX('Students'!$AD$2:$AD$701,P1153))</f>
        <v/>
      </c>
      <c r="S1153">
        <f>IF(H1153="OK",O1153,0)</f>
        <v/>
      </c>
      <c r="T1153">
        <f>IF(H1153="OK",N1153,"")</f>
        <v/>
      </c>
      <c r="U1153">
        <f>IF(OC_Donor=0,"",IF(INDEX('OneCause_Paste'!$A$1153:$AZ$1153,1,OC_Donor)="","",INDEX('OneCause_Paste'!$A$1153:$AZ$1153,1,OC_Donor)))</f>
        <v/>
      </c>
    </row>
    <row r="1154">
      <c r="A1154" s="62">
        <f>IF(H1154="","",IF(ISNUMBER(N1154),N1154,I1154))</f>
        <v/>
      </c>
      <c r="B1154">
        <f>IF(H1154="","",U1154)</f>
        <v/>
      </c>
      <c r="C1154">
        <f>IF(H1154="","",IF(P1154="",K1154,INDEX('Students'!$A$2:$A$701,P1154)))</f>
        <v/>
      </c>
      <c r="D1154">
        <f>IF(OR(H1154="",P1154=""),"",INDEX('Students'!$B$2:$B$701,P1154))</f>
        <v/>
      </c>
      <c r="E1154">
        <f>IF(OR(H1154="",P1154=""),"",INDEX('Students'!$C$2:$C$701,P1154))</f>
        <v/>
      </c>
      <c r="F1154" s="48">
        <f>IF(H1154="","",IF(ISNUMBER(O1154),O1154,J1154))</f>
        <v/>
      </c>
      <c r="G1154">
        <f>IF(H1154="","","OneCause")</f>
        <v/>
      </c>
      <c r="H1154">
        <f>IF(AND(I1154="",J1154="",K1154=""),"",IF(NOT(ISNUMBER(O1154)),"Bad amount",IF(O1154&lt;0,"Refund (not counted)",IF(O1154=0,"Zero amount",IF(NOT(ISNUMBER(N1154)),"Bad date",IF(P1154="","NAME NOT ON ROSTER",IF(L1154="","OK",IF(MATCH(L1154,$L$2:$L$3001,0)&lt;ROW()-1,"Duplicate (ignored)","OK"))))))))</f>
        <v/>
      </c>
      <c r="I1154">
        <f>IF(OC_Date=0,"",IF(INDEX('OneCause_Paste'!$A$1154:$AZ$1154,1,OC_Date)="","",INDEX('OneCause_Paste'!$A$1154:$AZ$1154,1,OC_Date)))</f>
        <v/>
      </c>
      <c r="J1154">
        <f>IF(OC_Amt=0,"",IF(INDEX('OneCause_Paste'!$A$1154:$AZ$1154,1,OC_Amt)="","",INDEX('OneCause_Paste'!$A$1154:$AZ$1154,1,OC_Amt)))</f>
        <v/>
      </c>
      <c r="K1154">
        <f>IF(OC_Name=0,"",IF(INDEX('OneCause_Paste'!$A$1154:$AZ$1154,1,OC_Name)="","",INDEX('OneCause_Paste'!$A$1154:$AZ$1154,1,OC_Name)))</f>
        <v/>
      </c>
      <c r="L1154">
        <f>IF(OC_Txn=0,"",IF(INDEX('OneCause_Paste'!$A$1154:$AZ$1154,1,OC_Txn)="","",INDEX('OneCause_Paste'!$A$1154:$AZ$1154,1,OC_Txn)))</f>
        <v/>
      </c>
      <c r="M1154">
        <f>IF(OC_Pay=0,"",IF(INDEX('OneCause_Paste'!$A$1154:$AZ$1154,1,OC_Pay)="","",INDEX('OneCause_Paste'!$A$1154:$AZ$1154,1,OC_Pay)))</f>
        <v/>
      </c>
      <c r="N1154">
        <f>IF(I1154="","",IF(ISNUMBER(I1154),INT(I1154),IFERROR(INT(DATEVALUE(I1154)),IFERROR(INT(VALUE(I1154)),"bad"))))</f>
        <v/>
      </c>
      <c r="O1154">
        <f>IF(J1154="","",IF(ISNUMBER(J1154),ROUND(J1154,2),IFERROR(ROUND(VALUE(SUBSTITUTE(SUBSTITUTE(SUBSTITUTE(J1154,"$",""),",","")," ","")),2),"bad")))</f>
        <v/>
      </c>
      <c r="P1154">
        <f>IF(TRIM(K1154)="","",IFERROR(MATCH(LOWER(TRIM(K1154)),'Students'!$AH$2:$AH$701,0),IFERROR(MATCH(LOWER(TRIM(K1154)),'Students'!$AF$2:$AF$701,0),IFERROR(MATCH(LOWER(TRIM(K1154)),'Students'!$AG$2:$AG$701,0),""))))</f>
        <v/>
      </c>
      <c r="R1154">
        <f>IF(P1154="","",INDEX('Students'!$AD$2:$AD$701,P1154))</f>
        <v/>
      </c>
      <c r="S1154">
        <f>IF(H1154="OK",O1154,0)</f>
        <v/>
      </c>
      <c r="T1154">
        <f>IF(H1154="OK",N1154,"")</f>
        <v/>
      </c>
      <c r="U1154">
        <f>IF(OC_Donor=0,"",IF(INDEX('OneCause_Paste'!$A$1154:$AZ$1154,1,OC_Donor)="","",INDEX('OneCause_Paste'!$A$1154:$AZ$1154,1,OC_Donor)))</f>
        <v/>
      </c>
    </row>
    <row r="1155">
      <c r="A1155" s="62">
        <f>IF(H1155="","",IF(ISNUMBER(N1155),N1155,I1155))</f>
        <v/>
      </c>
      <c r="B1155">
        <f>IF(H1155="","",U1155)</f>
        <v/>
      </c>
      <c r="C1155">
        <f>IF(H1155="","",IF(P1155="",K1155,INDEX('Students'!$A$2:$A$701,P1155)))</f>
        <v/>
      </c>
      <c r="D1155">
        <f>IF(OR(H1155="",P1155=""),"",INDEX('Students'!$B$2:$B$701,P1155))</f>
        <v/>
      </c>
      <c r="E1155">
        <f>IF(OR(H1155="",P1155=""),"",INDEX('Students'!$C$2:$C$701,P1155))</f>
        <v/>
      </c>
      <c r="F1155" s="48">
        <f>IF(H1155="","",IF(ISNUMBER(O1155),O1155,J1155))</f>
        <v/>
      </c>
      <c r="G1155">
        <f>IF(H1155="","","OneCause")</f>
        <v/>
      </c>
      <c r="H1155">
        <f>IF(AND(I1155="",J1155="",K1155=""),"",IF(NOT(ISNUMBER(O1155)),"Bad amount",IF(O1155&lt;0,"Refund (not counted)",IF(O1155=0,"Zero amount",IF(NOT(ISNUMBER(N1155)),"Bad date",IF(P1155="","NAME NOT ON ROSTER",IF(L1155="","OK",IF(MATCH(L1155,$L$2:$L$3001,0)&lt;ROW()-1,"Duplicate (ignored)","OK"))))))))</f>
        <v/>
      </c>
      <c r="I1155">
        <f>IF(OC_Date=0,"",IF(INDEX('OneCause_Paste'!$A$1155:$AZ$1155,1,OC_Date)="","",INDEX('OneCause_Paste'!$A$1155:$AZ$1155,1,OC_Date)))</f>
        <v/>
      </c>
      <c r="J1155">
        <f>IF(OC_Amt=0,"",IF(INDEX('OneCause_Paste'!$A$1155:$AZ$1155,1,OC_Amt)="","",INDEX('OneCause_Paste'!$A$1155:$AZ$1155,1,OC_Amt)))</f>
        <v/>
      </c>
      <c r="K1155">
        <f>IF(OC_Name=0,"",IF(INDEX('OneCause_Paste'!$A$1155:$AZ$1155,1,OC_Name)="","",INDEX('OneCause_Paste'!$A$1155:$AZ$1155,1,OC_Name)))</f>
        <v/>
      </c>
      <c r="L1155">
        <f>IF(OC_Txn=0,"",IF(INDEX('OneCause_Paste'!$A$1155:$AZ$1155,1,OC_Txn)="","",INDEX('OneCause_Paste'!$A$1155:$AZ$1155,1,OC_Txn)))</f>
        <v/>
      </c>
      <c r="M1155">
        <f>IF(OC_Pay=0,"",IF(INDEX('OneCause_Paste'!$A$1155:$AZ$1155,1,OC_Pay)="","",INDEX('OneCause_Paste'!$A$1155:$AZ$1155,1,OC_Pay)))</f>
        <v/>
      </c>
      <c r="N1155">
        <f>IF(I1155="","",IF(ISNUMBER(I1155),INT(I1155),IFERROR(INT(DATEVALUE(I1155)),IFERROR(INT(VALUE(I1155)),"bad"))))</f>
        <v/>
      </c>
      <c r="O1155">
        <f>IF(J1155="","",IF(ISNUMBER(J1155),ROUND(J1155,2),IFERROR(ROUND(VALUE(SUBSTITUTE(SUBSTITUTE(SUBSTITUTE(J1155,"$",""),",","")," ","")),2),"bad")))</f>
        <v/>
      </c>
      <c r="P1155">
        <f>IF(TRIM(K1155)="","",IFERROR(MATCH(LOWER(TRIM(K1155)),'Students'!$AH$2:$AH$701,0),IFERROR(MATCH(LOWER(TRIM(K1155)),'Students'!$AF$2:$AF$701,0),IFERROR(MATCH(LOWER(TRIM(K1155)),'Students'!$AG$2:$AG$701,0),""))))</f>
        <v/>
      </c>
      <c r="R1155">
        <f>IF(P1155="","",INDEX('Students'!$AD$2:$AD$701,P1155))</f>
        <v/>
      </c>
      <c r="S1155">
        <f>IF(H1155="OK",O1155,0)</f>
        <v/>
      </c>
      <c r="T1155">
        <f>IF(H1155="OK",N1155,"")</f>
        <v/>
      </c>
      <c r="U1155">
        <f>IF(OC_Donor=0,"",IF(INDEX('OneCause_Paste'!$A$1155:$AZ$1155,1,OC_Donor)="","",INDEX('OneCause_Paste'!$A$1155:$AZ$1155,1,OC_Donor)))</f>
        <v/>
      </c>
    </row>
    <row r="1156">
      <c r="A1156" s="62">
        <f>IF(H1156="","",IF(ISNUMBER(N1156),N1156,I1156))</f>
        <v/>
      </c>
      <c r="B1156">
        <f>IF(H1156="","",U1156)</f>
        <v/>
      </c>
      <c r="C1156">
        <f>IF(H1156="","",IF(P1156="",K1156,INDEX('Students'!$A$2:$A$701,P1156)))</f>
        <v/>
      </c>
      <c r="D1156">
        <f>IF(OR(H1156="",P1156=""),"",INDEX('Students'!$B$2:$B$701,P1156))</f>
        <v/>
      </c>
      <c r="E1156">
        <f>IF(OR(H1156="",P1156=""),"",INDEX('Students'!$C$2:$C$701,P1156))</f>
        <v/>
      </c>
      <c r="F1156" s="48">
        <f>IF(H1156="","",IF(ISNUMBER(O1156),O1156,J1156))</f>
        <v/>
      </c>
      <c r="G1156">
        <f>IF(H1156="","","OneCause")</f>
        <v/>
      </c>
      <c r="H1156">
        <f>IF(AND(I1156="",J1156="",K1156=""),"",IF(NOT(ISNUMBER(O1156)),"Bad amount",IF(O1156&lt;0,"Refund (not counted)",IF(O1156=0,"Zero amount",IF(NOT(ISNUMBER(N1156)),"Bad date",IF(P1156="","NAME NOT ON ROSTER",IF(L1156="","OK",IF(MATCH(L1156,$L$2:$L$3001,0)&lt;ROW()-1,"Duplicate (ignored)","OK"))))))))</f>
        <v/>
      </c>
      <c r="I1156">
        <f>IF(OC_Date=0,"",IF(INDEX('OneCause_Paste'!$A$1156:$AZ$1156,1,OC_Date)="","",INDEX('OneCause_Paste'!$A$1156:$AZ$1156,1,OC_Date)))</f>
        <v/>
      </c>
      <c r="J1156">
        <f>IF(OC_Amt=0,"",IF(INDEX('OneCause_Paste'!$A$1156:$AZ$1156,1,OC_Amt)="","",INDEX('OneCause_Paste'!$A$1156:$AZ$1156,1,OC_Amt)))</f>
        <v/>
      </c>
      <c r="K1156">
        <f>IF(OC_Name=0,"",IF(INDEX('OneCause_Paste'!$A$1156:$AZ$1156,1,OC_Name)="","",INDEX('OneCause_Paste'!$A$1156:$AZ$1156,1,OC_Name)))</f>
        <v/>
      </c>
      <c r="L1156">
        <f>IF(OC_Txn=0,"",IF(INDEX('OneCause_Paste'!$A$1156:$AZ$1156,1,OC_Txn)="","",INDEX('OneCause_Paste'!$A$1156:$AZ$1156,1,OC_Txn)))</f>
        <v/>
      </c>
      <c r="M1156">
        <f>IF(OC_Pay=0,"",IF(INDEX('OneCause_Paste'!$A$1156:$AZ$1156,1,OC_Pay)="","",INDEX('OneCause_Paste'!$A$1156:$AZ$1156,1,OC_Pay)))</f>
        <v/>
      </c>
      <c r="N1156">
        <f>IF(I1156="","",IF(ISNUMBER(I1156),INT(I1156),IFERROR(INT(DATEVALUE(I1156)),IFERROR(INT(VALUE(I1156)),"bad"))))</f>
        <v/>
      </c>
      <c r="O1156">
        <f>IF(J1156="","",IF(ISNUMBER(J1156),ROUND(J1156,2),IFERROR(ROUND(VALUE(SUBSTITUTE(SUBSTITUTE(SUBSTITUTE(J1156,"$",""),",","")," ","")),2),"bad")))</f>
        <v/>
      </c>
      <c r="P1156">
        <f>IF(TRIM(K1156)="","",IFERROR(MATCH(LOWER(TRIM(K1156)),'Students'!$AH$2:$AH$701,0),IFERROR(MATCH(LOWER(TRIM(K1156)),'Students'!$AF$2:$AF$701,0),IFERROR(MATCH(LOWER(TRIM(K1156)),'Students'!$AG$2:$AG$701,0),""))))</f>
        <v/>
      </c>
      <c r="R1156">
        <f>IF(P1156="","",INDEX('Students'!$AD$2:$AD$701,P1156))</f>
        <v/>
      </c>
      <c r="S1156">
        <f>IF(H1156="OK",O1156,0)</f>
        <v/>
      </c>
      <c r="T1156">
        <f>IF(H1156="OK",N1156,"")</f>
        <v/>
      </c>
      <c r="U1156">
        <f>IF(OC_Donor=0,"",IF(INDEX('OneCause_Paste'!$A$1156:$AZ$1156,1,OC_Donor)="","",INDEX('OneCause_Paste'!$A$1156:$AZ$1156,1,OC_Donor)))</f>
        <v/>
      </c>
    </row>
    <row r="1157">
      <c r="A1157" s="62">
        <f>IF(H1157="","",IF(ISNUMBER(N1157),N1157,I1157))</f>
        <v/>
      </c>
      <c r="B1157">
        <f>IF(H1157="","",U1157)</f>
        <v/>
      </c>
      <c r="C1157">
        <f>IF(H1157="","",IF(P1157="",K1157,INDEX('Students'!$A$2:$A$701,P1157)))</f>
        <v/>
      </c>
      <c r="D1157">
        <f>IF(OR(H1157="",P1157=""),"",INDEX('Students'!$B$2:$B$701,P1157))</f>
        <v/>
      </c>
      <c r="E1157">
        <f>IF(OR(H1157="",P1157=""),"",INDEX('Students'!$C$2:$C$701,P1157))</f>
        <v/>
      </c>
      <c r="F1157" s="48">
        <f>IF(H1157="","",IF(ISNUMBER(O1157),O1157,J1157))</f>
        <v/>
      </c>
      <c r="G1157">
        <f>IF(H1157="","","OneCause")</f>
        <v/>
      </c>
      <c r="H1157">
        <f>IF(AND(I1157="",J1157="",K1157=""),"",IF(NOT(ISNUMBER(O1157)),"Bad amount",IF(O1157&lt;0,"Refund (not counted)",IF(O1157=0,"Zero amount",IF(NOT(ISNUMBER(N1157)),"Bad date",IF(P1157="","NAME NOT ON ROSTER",IF(L1157="","OK",IF(MATCH(L1157,$L$2:$L$3001,0)&lt;ROW()-1,"Duplicate (ignored)","OK"))))))))</f>
        <v/>
      </c>
      <c r="I1157">
        <f>IF(OC_Date=0,"",IF(INDEX('OneCause_Paste'!$A$1157:$AZ$1157,1,OC_Date)="","",INDEX('OneCause_Paste'!$A$1157:$AZ$1157,1,OC_Date)))</f>
        <v/>
      </c>
      <c r="J1157">
        <f>IF(OC_Amt=0,"",IF(INDEX('OneCause_Paste'!$A$1157:$AZ$1157,1,OC_Amt)="","",INDEX('OneCause_Paste'!$A$1157:$AZ$1157,1,OC_Amt)))</f>
        <v/>
      </c>
      <c r="K1157">
        <f>IF(OC_Name=0,"",IF(INDEX('OneCause_Paste'!$A$1157:$AZ$1157,1,OC_Name)="","",INDEX('OneCause_Paste'!$A$1157:$AZ$1157,1,OC_Name)))</f>
        <v/>
      </c>
      <c r="L1157">
        <f>IF(OC_Txn=0,"",IF(INDEX('OneCause_Paste'!$A$1157:$AZ$1157,1,OC_Txn)="","",INDEX('OneCause_Paste'!$A$1157:$AZ$1157,1,OC_Txn)))</f>
        <v/>
      </c>
      <c r="M1157">
        <f>IF(OC_Pay=0,"",IF(INDEX('OneCause_Paste'!$A$1157:$AZ$1157,1,OC_Pay)="","",INDEX('OneCause_Paste'!$A$1157:$AZ$1157,1,OC_Pay)))</f>
        <v/>
      </c>
      <c r="N1157">
        <f>IF(I1157="","",IF(ISNUMBER(I1157),INT(I1157),IFERROR(INT(DATEVALUE(I1157)),IFERROR(INT(VALUE(I1157)),"bad"))))</f>
        <v/>
      </c>
      <c r="O1157">
        <f>IF(J1157="","",IF(ISNUMBER(J1157),ROUND(J1157,2),IFERROR(ROUND(VALUE(SUBSTITUTE(SUBSTITUTE(SUBSTITUTE(J1157,"$",""),",","")," ","")),2),"bad")))</f>
        <v/>
      </c>
      <c r="P1157">
        <f>IF(TRIM(K1157)="","",IFERROR(MATCH(LOWER(TRIM(K1157)),'Students'!$AH$2:$AH$701,0),IFERROR(MATCH(LOWER(TRIM(K1157)),'Students'!$AF$2:$AF$701,0),IFERROR(MATCH(LOWER(TRIM(K1157)),'Students'!$AG$2:$AG$701,0),""))))</f>
        <v/>
      </c>
      <c r="R1157">
        <f>IF(P1157="","",INDEX('Students'!$AD$2:$AD$701,P1157))</f>
        <v/>
      </c>
      <c r="S1157">
        <f>IF(H1157="OK",O1157,0)</f>
        <v/>
      </c>
      <c r="T1157">
        <f>IF(H1157="OK",N1157,"")</f>
        <v/>
      </c>
      <c r="U1157">
        <f>IF(OC_Donor=0,"",IF(INDEX('OneCause_Paste'!$A$1157:$AZ$1157,1,OC_Donor)="","",INDEX('OneCause_Paste'!$A$1157:$AZ$1157,1,OC_Donor)))</f>
        <v/>
      </c>
    </row>
    <row r="1158">
      <c r="A1158" s="62">
        <f>IF(H1158="","",IF(ISNUMBER(N1158),N1158,I1158))</f>
        <v/>
      </c>
      <c r="B1158">
        <f>IF(H1158="","",U1158)</f>
        <v/>
      </c>
      <c r="C1158">
        <f>IF(H1158="","",IF(P1158="",K1158,INDEX('Students'!$A$2:$A$701,P1158)))</f>
        <v/>
      </c>
      <c r="D1158">
        <f>IF(OR(H1158="",P1158=""),"",INDEX('Students'!$B$2:$B$701,P1158))</f>
        <v/>
      </c>
      <c r="E1158">
        <f>IF(OR(H1158="",P1158=""),"",INDEX('Students'!$C$2:$C$701,P1158))</f>
        <v/>
      </c>
      <c r="F1158" s="48">
        <f>IF(H1158="","",IF(ISNUMBER(O1158),O1158,J1158))</f>
        <v/>
      </c>
      <c r="G1158">
        <f>IF(H1158="","","OneCause")</f>
        <v/>
      </c>
      <c r="H1158">
        <f>IF(AND(I1158="",J1158="",K1158=""),"",IF(NOT(ISNUMBER(O1158)),"Bad amount",IF(O1158&lt;0,"Refund (not counted)",IF(O1158=0,"Zero amount",IF(NOT(ISNUMBER(N1158)),"Bad date",IF(P1158="","NAME NOT ON ROSTER",IF(L1158="","OK",IF(MATCH(L1158,$L$2:$L$3001,0)&lt;ROW()-1,"Duplicate (ignored)","OK"))))))))</f>
        <v/>
      </c>
      <c r="I1158">
        <f>IF(OC_Date=0,"",IF(INDEX('OneCause_Paste'!$A$1158:$AZ$1158,1,OC_Date)="","",INDEX('OneCause_Paste'!$A$1158:$AZ$1158,1,OC_Date)))</f>
        <v/>
      </c>
      <c r="J1158">
        <f>IF(OC_Amt=0,"",IF(INDEX('OneCause_Paste'!$A$1158:$AZ$1158,1,OC_Amt)="","",INDEX('OneCause_Paste'!$A$1158:$AZ$1158,1,OC_Amt)))</f>
        <v/>
      </c>
      <c r="K1158">
        <f>IF(OC_Name=0,"",IF(INDEX('OneCause_Paste'!$A$1158:$AZ$1158,1,OC_Name)="","",INDEX('OneCause_Paste'!$A$1158:$AZ$1158,1,OC_Name)))</f>
        <v/>
      </c>
      <c r="L1158">
        <f>IF(OC_Txn=0,"",IF(INDEX('OneCause_Paste'!$A$1158:$AZ$1158,1,OC_Txn)="","",INDEX('OneCause_Paste'!$A$1158:$AZ$1158,1,OC_Txn)))</f>
        <v/>
      </c>
      <c r="M1158">
        <f>IF(OC_Pay=0,"",IF(INDEX('OneCause_Paste'!$A$1158:$AZ$1158,1,OC_Pay)="","",INDEX('OneCause_Paste'!$A$1158:$AZ$1158,1,OC_Pay)))</f>
        <v/>
      </c>
      <c r="N1158">
        <f>IF(I1158="","",IF(ISNUMBER(I1158),INT(I1158),IFERROR(INT(DATEVALUE(I1158)),IFERROR(INT(VALUE(I1158)),"bad"))))</f>
        <v/>
      </c>
      <c r="O1158">
        <f>IF(J1158="","",IF(ISNUMBER(J1158),ROUND(J1158,2),IFERROR(ROUND(VALUE(SUBSTITUTE(SUBSTITUTE(SUBSTITUTE(J1158,"$",""),",","")," ","")),2),"bad")))</f>
        <v/>
      </c>
      <c r="P1158">
        <f>IF(TRIM(K1158)="","",IFERROR(MATCH(LOWER(TRIM(K1158)),'Students'!$AH$2:$AH$701,0),IFERROR(MATCH(LOWER(TRIM(K1158)),'Students'!$AF$2:$AF$701,0),IFERROR(MATCH(LOWER(TRIM(K1158)),'Students'!$AG$2:$AG$701,0),""))))</f>
        <v/>
      </c>
      <c r="R1158">
        <f>IF(P1158="","",INDEX('Students'!$AD$2:$AD$701,P1158))</f>
        <v/>
      </c>
      <c r="S1158">
        <f>IF(H1158="OK",O1158,0)</f>
        <v/>
      </c>
      <c r="T1158">
        <f>IF(H1158="OK",N1158,"")</f>
        <v/>
      </c>
      <c r="U1158">
        <f>IF(OC_Donor=0,"",IF(INDEX('OneCause_Paste'!$A$1158:$AZ$1158,1,OC_Donor)="","",INDEX('OneCause_Paste'!$A$1158:$AZ$1158,1,OC_Donor)))</f>
        <v/>
      </c>
    </row>
    <row r="1159">
      <c r="A1159" s="62">
        <f>IF(H1159="","",IF(ISNUMBER(N1159),N1159,I1159))</f>
        <v/>
      </c>
      <c r="B1159">
        <f>IF(H1159="","",U1159)</f>
        <v/>
      </c>
      <c r="C1159">
        <f>IF(H1159="","",IF(P1159="",K1159,INDEX('Students'!$A$2:$A$701,P1159)))</f>
        <v/>
      </c>
      <c r="D1159">
        <f>IF(OR(H1159="",P1159=""),"",INDEX('Students'!$B$2:$B$701,P1159))</f>
        <v/>
      </c>
      <c r="E1159">
        <f>IF(OR(H1159="",P1159=""),"",INDEX('Students'!$C$2:$C$701,P1159))</f>
        <v/>
      </c>
      <c r="F1159" s="48">
        <f>IF(H1159="","",IF(ISNUMBER(O1159),O1159,J1159))</f>
        <v/>
      </c>
      <c r="G1159">
        <f>IF(H1159="","","OneCause")</f>
        <v/>
      </c>
      <c r="H1159">
        <f>IF(AND(I1159="",J1159="",K1159=""),"",IF(NOT(ISNUMBER(O1159)),"Bad amount",IF(O1159&lt;0,"Refund (not counted)",IF(O1159=0,"Zero amount",IF(NOT(ISNUMBER(N1159)),"Bad date",IF(P1159="","NAME NOT ON ROSTER",IF(L1159="","OK",IF(MATCH(L1159,$L$2:$L$3001,0)&lt;ROW()-1,"Duplicate (ignored)","OK"))))))))</f>
        <v/>
      </c>
      <c r="I1159">
        <f>IF(OC_Date=0,"",IF(INDEX('OneCause_Paste'!$A$1159:$AZ$1159,1,OC_Date)="","",INDEX('OneCause_Paste'!$A$1159:$AZ$1159,1,OC_Date)))</f>
        <v/>
      </c>
      <c r="J1159">
        <f>IF(OC_Amt=0,"",IF(INDEX('OneCause_Paste'!$A$1159:$AZ$1159,1,OC_Amt)="","",INDEX('OneCause_Paste'!$A$1159:$AZ$1159,1,OC_Amt)))</f>
        <v/>
      </c>
      <c r="K1159">
        <f>IF(OC_Name=0,"",IF(INDEX('OneCause_Paste'!$A$1159:$AZ$1159,1,OC_Name)="","",INDEX('OneCause_Paste'!$A$1159:$AZ$1159,1,OC_Name)))</f>
        <v/>
      </c>
      <c r="L1159">
        <f>IF(OC_Txn=0,"",IF(INDEX('OneCause_Paste'!$A$1159:$AZ$1159,1,OC_Txn)="","",INDEX('OneCause_Paste'!$A$1159:$AZ$1159,1,OC_Txn)))</f>
        <v/>
      </c>
      <c r="M1159">
        <f>IF(OC_Pay=0,"",IF(INDEX('OneCause_Paste'!$A$1159:$AZ$1159,1,OC_Pay)="","",INDEX('OneCause_Paste'!$A$1159:$AZ$1159,1,OC_Pay)))</f>
        <v/>
      </c>
      <c r="N1159">
        <f>IF(I1159="","",IF(ISNUMBER(I1159),INT(I1159),IFERROR(INT(DATEVALUE(I1159)),IFERROR(INT(VALUE(I1159)),"bad"))))</f>
        <v/>
      </c>
      <c r="O1159">
        <f>IF(J1159="","",IF(ISNUMBER(J1159),ROUND(J1159,2),IFERROR(ROUND(VALUE(SUBSTITUTE(SUBSTITUTE(SUBSTITUTE(J1159,"$",""),",","")," ","")),2),"bad")))</f>
        <v/>
      </c>
      <c r="P1159">
        <f>IF(TRIM(K1159)="","",IFERROR(MATCH(LOWER(TRIM(K1159)),'Students'!$AH$2:$AH$701,0),IFERROR(MATCH(LOWER(TRIM(K1159)),'Students'!$AF$2:$AF$701,0),IFERROR(MATCH(LOWER(TRIM(K1159)),'Students'!$AG$2:$AG$701,0),""))))</f>
        <v/>
      </c>
      <c r="R1159">
        <f>IF(P1159="","",INDEX('Students'!$AD$2:$AD$701,P1159))</f>
        <v/>
      </c>
      <c r="S1159">
        <f>IF(H1159="OK",O1159,0)</f>
        <v/>
      </c>
      <c r="T1159">
        <f>IF(H1159="OK",N1159,"")</f>
        <v/>
      </c>
      <c r="U1159">
        <f>IF(OC_Donor=0,"",IF(INDEX('OneCause_Paste'!$A$1159:$AZ$1159,1,OC_Donor)="","",INDEX('OneCause_Paste'!$A$1159:$AZ$1159,1,OC_Donor)))</f>
        <v/>
      </c>
    </row>
    <row r="1160">
      <c r="A1160" s="62">
        <f>IF(H1160="","",IF(ISNUMBER(N1160),N1160,I1160))</f>
        <v/>
      </c>
      <c r="B1160">
        <f>IF(H1160="","",U1160)</f>
        <v/>
      </c>
      <c r="C1160">
        <f>IF(H1160="","",IF(P1160="",K1160,INDEX('Students'!$A$2:$A$701,P1160)))</f>
        <v/>
      </c>
      <c r="D1160">
        <f>IF(OR(H1160="",P1160=""),"",INDEX('Students'!$B$2:$B$701,P1160))</f>
        <v/>
      </c>
      <c r="E1160">
        <f>IF(OR(H1160="",P1160=""),"",INDEX('Students'!$C$2:$C$701,P1160))</f>
        <v/>
      </c>
      <c r="F1160" s="48">
        <f>IF(H1160="","",IF(ISNUMBER(O1160),O1160,J1160))</f>
        <v/>
      </c>
      <c r="G1160">
        <f>IF(H1160="","","OneCause")</f>
        <v/>
      </c>
      <c r="H1160">
        <f>IF(AND(I1160="",J1160="",K1160=""),"",IF(NOT(ISNUMBER(O1160)),"Bad amount",IF(O1160&lt;0,"Refund (not counted)",IF(O1160=0,"Zero amount",IF(NOT(ISNUMBER(N1160)),"Bad date",IF(P1160="","NAME NOT ON ROSTER",IF(L1160="","OK",IF(MATCH(L1160,$L$2:$L$3001,0)&lt;ROW()-1,"Duplicate (ignored)","OK"))))))))</f>
        <v/>
      </c>
      <c r="I1160">
        <f>IF(OC_Date=0,"",IF(INDEX('OneCause_Paste'!$A$1160:$AZ$1160,1,OC_Date)="","",INDEX('OneCause_Paste'!$A$1160:$AZ$1160,1,OC_Date)))</f>
        <v/>
      </c>
      <c r="J1160">
        <f>IF(OC_Amt=0,"",IF(INDEX('OneCause_Paste'!$A$1160:$AZ$1160,1,OC_Amt)="","",INDEX('OneCause_Paste'!$A$1160:$AZ$1160,1,OC_Amt)))</f>
        <v/>
      </c>
      <c r="K1160">
        <f>IF(OC_Name=0,"",IF(INDEX('OneCause_Paste'!$A$1160:$AZ$1160,1,OC_Name)="","",INDEX('OneCause_Paste'!$A$1160:$AZ$1160,1,OC_Name)))</f>
        <v/>
      </c>
      <c r="L1160">
        <f>IF(OC_Txn=0,"",IF(INDEX('OneCause_Paste'!$A$1160:$AZ$1160,1,OC_Txn)="","",INDEX('OneCause_Paste'!$A$1160:$AZ$1160,1,OC_Txn)))</f>
        <v/>
      </c>
      <c r="M1160">
        <f>IF(OC_Pay=0,"",IF(INDEX('OneCause_Paste'!$A$1160:$AZ$1160,1,OC_Pay)="","",INDEX('OneCause_Paste'!$A$1160:$AZ$1160,1,OC_Pay)))</f>
        <v/>
      </c>
      <c r="N1160">
        <f>IF(I1160="","",IF(ISNUMBER(I1160),INT(I1160),IFERROR(INT(DATEVALUE(I1160)),IFERROR(INT(VALUE(I1160)),"bad"))))</f>
        <v/>
      </c>
      <c r="O1160">
        <f>IF(J1160="","",IF(ISNUMBER(J1160),ROUND(J1160,2),IFERROR(ROUND(VALUE(SUBSTITUTE(SUBSTITUTE(SUBSTITUTE(J1160,"$",""),",","")," ","")),2),"bad")))</f>
        <v/>
      </c>
      <c r="P1160">
        <f>IF(TRIM(K1160)="","",IFERROR(MATCH(LOWER(TRIM(K1160)),'Students'!$AH$2:$AH$701,0),IFERROR(MATCH(LOWER(TRIM(K1160)),'Students'!$AF$2:$AF$701,0),IFERROR(MATCH(LOWER(TRIM(K1160)),'Students'!$AG$2:$AG$701,0),""))))</f>
        <v/>
      </c>
      <c r="R1160">
        <f>IF(P1160="","",INDEX('Students'!$AD$2:$AD$701,P1160))</f>
        <v/>
      </c>
      <c r="S1160">
        <f>IF(H1160="OK",O1160,0)</f>
        <v/>
      </c>
      <c r="T1160">
        <f>IF(H1160="OK",N1160,"")</f>
        <v/>
      </c>
      <c r="U1160">
        <f>IF(OC_Donor=0,"",IF(INDEX('OneCause_Paste'!$A$1160:$AZ$1160,1,OC_Donor)="","",INDEX('OneCause_Paste'!$A$1160:$AZ$1160,1,OC_Donor)))</f>
        <v/>
      </c>
    </row>
    <row r="1161">
      <c r="A1161" s="62">
        <f>IF(H1161="","",IF(ISNUMBER(N1161),N1161,I1161))</f>
        <v/>
      </c>
      <c r="B1161">
        <f>IF(H1161="","",U1161)</f>
        <v/>
      </c>
      <c r="C1161">
        <f>IF(H1161="","",IF(P1161="",K1161,INDEX('Students'!$A$2:$A$701,P1161)))</f>
        <v/>
      </c>
      <c r="D1161">
        <f>IF(OR(H1161="",P1161=""),"",INDEX('Students'!$B$2:$B$701,P1161))</f>
        <v/>
      </c>
      <c r="E1161">
        <f>IF(OR(H1161="",P1161=""),"",INDEX('Students'!$C$2:$C$701,P1161))</f>
        <v/>
      </c>
      <c r="F1161" s="48">
        <f>IF(H1161="","",IF(ISNUMBER(O1161),O1161,J1161))</f>
        <v/>
      </c>
      <c r="G1161">
        <f>IF(H1161="","","OneCause")</f>
        <v/>
      </c>
      <c r="H1161">
        <f>IF(AND(I1161="",J1161="",K1161=""),"",IF(NOT(ISNUMBER(O1161)),"Bad amount",IF(O1161&lt;0,"Refund (not counted)",IF(O1161=0,"Zero amount",IF(NOT(ISNUMBER(N1161)),"Bad date",IF(P1161="","NAME NOT ON ROSTER",IF(L1161="","OK",IF(MATCH(L1161,$L$2:$L$3001,0)&lt;ROW()-1,"Duplicate (ignored)","OK"))))))))</f>
        <v/>
      </c>
      <c r="I1161">
        <f>IF(OC_Date=0,"",IF(INDEX('OneCause_Paste'!$A$1161:$AZ$1161,1,OC_Date)="","",INDEX('OneCause_Paste'!$A$1161:$AZ$1161,1,OC_Date)))</f>
        <v/>
      </c>
      <c r="J1161">
        <f>IF(OC_Amt=0,"",IF(INDEX('OneCause_Paste'!$A$1161:$AZ$1161,1,OC_Amt)="","",INDEX('OneCause_Paste'!$A$1161:$AZ$1161,1,OC_Amt)))</f>
        <v/>
      </c>
      <c r="K1161">
        <f>IF(OC_Name=0,"",IF(INDEX('OneCause_Paste'!$A$1161:$AZ$1161,1,OC_Name)="","",INDEX('OneCause_Paste'!$A$1161:$AZ$1161,1,OC_Name)))</f>
        <v/>
      </c>
      <c r="L1161">
        <f>IF(OC_Txn=0,"",IF(INDEX('OneCause_Paste'!$A$1161:$AZ$1161,1,OC_Txn)="","",INDEX('OneCause_Paste'!$A$1161:$AZ$1161,1,OC_Txn)))</f>
        <v/>
      </c>
      <c r="M1161">
        <f>IF(OC_Pay=0,"",IF(INDEX('OneCause_Paste'!$A$1161:$AZ$1161,1,OC_Pay)="","",INDEX('OneCause_Paste'!$A$1161:$AZ$1161,1,OC_Pay)))</f>
        <v/>
      </c>
      <c r="N1161">
        <f>IF(I1161="","",IF(ISNUMBER(I1161),INT(I1161),IFERROR(INT(DATEVALUE(I1161)),IFERROR(INT(VALUE(I1161)),"bad"))))</f>
        <v/>
      </c>
      <c r="O1161">
        <f>IF(J1161="","",IF(ISNUMBER(J1161),ROUND(J1161,2),IFERROR(ROUND(VALUE(SUBSTITUTE(SUBSTITUTE(SUBSTITUTE(J1161,"$",""),",","")," ","")),2),"bad")))</f>
        <v/>
      </c>
      <c r="P1161">
        <f>IF(TRIM(K1161)="","",IFERROR(MATCH(LOWER(TRIM(K1161)),'Students'!$AH$2:$AH$701,0),IFERROR(MATCH(LOWER(TRIM(K1161)),'Students'!$AF$2:$AF$701,0),IFERROR(MATCH(LOWER(TRIM(K1161)),'Students'!$AG$2:$AG$701,0),""))))</f>
        <v/>
      </c>
      <c r="R1161">
        <f>IF(P1161="","",INDEX('Students'!$AD$2:$AD$701,P1161))</f>
        <v/>
      </c>
      <c r="S1161">
        <f>IF(H1161="OK",O1161,0)</f>
        <v/>
      </c>
      <c r="T1161">
        <f>IF(H1161="OK",N1161,"")</f>
        <v/>
      </c>
      <c r="U1161">
        <f>IF(OC_Donor=0,"",IF(INDEX('OneCause_Paste'!$A$1161:$AZ$1161,1,OC_Donor)="","",INDEX('OneCause_Paste'!$A$1161:$AZ$1161,1,OC_Donor)))</f>
        <v/>
      </c>
    </row>
    <row r="1162">
      <c r="A1162" s="62">
        <f>IF(H1162="","",IF(ISNUMBER(N1162),N1162,I1162))</f>
        <v/>
      </c>
      <c r="B1162">
        <f>IF(H1162="","",U1162)</f>
        <v/>
      </c>
      <c r="C1162">
        <f>IF(H1162="","",IF(P1162="",K1162,INDEX('Students'!$A$2:$A$701,P1162)))</f>
        <v/>
      </c>
      <c r="D1162">
        <f>IF(OR(H1162="",P1162=""),"",INDEX('Students'!$B$2:$B$701,P1162))</f>
        <v/>
      </c>
      <c r="E1162">
        <f>IF(OR(H1162="",P1162=""),"",INDEX('Students'!$C$2:$C$701,P1162))</f>
        <v/>
      </c>
      <c r="F1162" s="48">
        <f>IF(H1162="","",IF(ISNUMBER(O1162),O1162,J1162))</f>
        <v/>
      </c>
      <c r="G1162">
        <f>IF(H1162="","","OneCause")</f>
        <v/>
      </c>
      <c r="H1162">
        <f>IF(AND(I1162="",J1162="",K1162=""),"",IF(NOT(ISNUMBER(O1162)),"Bad amount",IF(O1162&lt;0,"Refund (not counted)",IF(O1162=0,"Zero amount",IF(NOT(ISNUMBER(N1162)),"Bad date",IF(P1162="","NAME NOT ON ROSTER",IF(L1162="","OK",IF(MATCH(L1162,$L$2:$L$3001,0)&lt;ROW()-1,"Duplicate (ignored)","OK"))))))))</f>
        <v/>
      </c>
      <c r="I1162">
        <f>IF(OC_Date=0,"",IF(INDEX('OneCause_Paste'!$A$1162:$AZ$1162,1,OC_Date)="","",INDEX('OneCause_Paste'!$A$1162:$AZ$1162,1,OC_Date)))</f>
        <v/>
      </c>
      <c r="J1162">
        <f>IF(OC_Amt=0,"",IF(INDEX('OneCause_Paste'!$A$1162:$AZ$1162,1,OC_Amt)="","",INDEX('OneCause_Paste'!$A$1162:$AZ$1162,1,OC_Amt)))</f>
        <v/>
      </c>
      <c r="K1162">
        <f>IF(OC_Name=0,"",IF(INDEX('OneCause_Paste'!$A$1162:$AZ$1162,1,OC_Name)="","",INDEX('OneCause_Paste'!$A$1162:$AZ$1162,1,OC_Name)))</f>
        <v/>
      </c>
      <c r="L1162">
        <f>IF(OC_Txn=0,"",IF(INDEX('OneCause_Paste'!$A$1162:$AZ$1162,1,OC_Txn)="","",INDEX('OneCause_Paste'!$A$1162:$AZ$1162,1,OC_Txn)))</f>
        <v/>
      </c>
      <c r="M1162">
        <f>IF(OC_Pay=0,"",IF(INDEX('OneCause_Paste'!$A$1162:$AZ$1162,1,OC_Pay)="","",INDEX('OneCause_Paste'!$A$1162:$AZ$1162,1,OC_Pay)))</f>
        <v/>
      </c>
      <c r="N1162">
        <f>IF(I1162="","",IF(ISNUMBER(I1162),INT(I1162),IFERROR(INT(DATEVALUE(I1162)),IFERROR(INT(VALUE(I1162)),"bad"))))</f>
        <v/>
      </c>
      <c r="O1162">
        <f>IF(J1162="","",IF(ISNUMBER(J1162),ROUND(J1162,2),IFERROR(ROUND(VALUE(SUBSTITUTE(SUBSTITUTE(SUBSTITUTE(J1162,"$",""),",","")," ","")),2),"bad")))</f>
        <v/>
      </c>
      <c r="P1162">
        <f>IF(TRIM(K1162)="","",IFERROR(MATCH(LOWER(TRIM(K1162)),'Students'!$AH$2:$AH$701,0),IFERROR(MATCH(LOWER(TRIM(K1162)),'Students'!$AF$2:$AF$701,0),IFERROR(MATCH(LOWER(TRIM(K1162)),'Students'!$AG$2:$AG$701,0),""))))</f>
        <v/>
      </c>
      <c r="R1162">
        <f>IF(P1162="","",INDEX('Students'!$AD$2:$AD$701,P1162))</f>
        <v/>
      </c>
      <c r="S1162">
        <f>IF(H1162="OK",O1162,0)</f>
        <v/>
      </c>
      <c r="T1162">
        <f>IF(H1162="OK",N1162,"")</f>
        <v/>
      </c>
      <c r="U1162">
        <f>IF(OC_Donor=0,"",IF(INDEX('OneCause_Paste'!$A$1162:$AZ$1162,1,OC_Donor)="","",INDEX('OneCause_Paste'!$A$1162:$AZ$1162,1,OC_Donor)))</f>
        <v/>
      </c>
    </row>
    <row r="1163">
      <c r="A1163" s="62">
        <f>IF(H1163="","",IF(ISNUMBER(N1163),N1163,I1163))</f>
        <v/>
      </c>
      <c r="B1163">
        <f>IF(H1163="","",U1163)</f>
        <v/>
      </c>
      <c r="C1163">
        <f>IF(H1163="","",IF(P1163="",K1163,INDEX('Students'!$A$2:$A$701,P1163)))</f>
        <v/>
      </c>
      <c r="D1163">
        <f>IF(OR(H1163="",P1163=""),"",INDEX('Students'!$B$2:$B$701,P1163))</f>
        <v/>
      </c>
      <c r="E1163">
        <f>IF(OR(H1163="",P1163=""),"",INDEX('Students'!$C$2:$C$701,P1163))</f>
        <v/>
      </c>
      <c r="F1163" s="48">
        <f>IF(H1163="","",IF(ISNUMBER(O1163),O1163,J1163))</f>
        <v/>
      </c>
      <c r="G1163">
        <f>IF(H1163="","","OneCause")</f>
        <v/>
      </c>
      <c r="H1163">
        <f>IF(AND(I1163="",J1163="",K1163=""),"",IF(NOT(ISNUMBER(O1163)),"Bad amount",IF(O1163&lt;0,"Refund (not counted)",IF(O1163=0,"Zero amount",IF(NOT(ISNUMBER(N1163)),"Bad date",IF(P1163="","NAME NOT ON ROSTER",IF(L1163="","OK",IF(MATCH(L1163,$L$2:$L$3001,0)&lt;ROW()-1,"Duplicate (ignored)","OK"))))))))</f>
        <v/>
      </c>
      <c r="I1163">
        <f>IF(OC_Date=0,"",IF(INDEX('OneCause_Paste'!$A$1163:$AZ$1163,1,OC_Date)="","",INDEX('OneCause_Paste'!$A$1163:$AZ$1163,1,OC_Date)))</f>
        <v/>
      </c>
      <c r="J1163">
        <f>IF(OC_Amt=0,"",IF(INDEX('OneCause_Paste'!$A$1163:$AZ$1163,1,OC_Amt)="","",INDEX('OneCause_Paste'!$A$1163:$AZ$1163,1,OC_Amt)))</f>
        <v/>
      </c>
      <c r="K1163">
        <f>IF(OC_Name=0,"",IF(INDEX('OneCause_Paste'!$A$1163:$AZ$1163,1,OC_Name)="","",INDEX('OneCause_Paste'!$A$1163:$AZ$1163,1,OC_Name)))</f>
        <v/>
      </c>
      <c r="L1163">
        <f>IF(OC_Txn=0,"",IF(INDEX('OneCause_Paste'!$A$1163:$AZ$1163,1,OC_Txn)="","",INDEX('OneCause_Paste'!$A$1163:$AZ$1163,1,OC_Txn)))</f>
        <v/>
      </c>
      <c r="M1163">
        <f>IF(OC_Pay=0,"",IF(INDEX('OneCause_Paste'!$A$1163:$AZ$1163,1,OC_Pay)="","",INDEX('OneCause_Paste'!$A$1163:$AZ$1163,1,OC_Pay)))</f>
        <v/>
      </c>
      <c r="N1163">
        <f>IF(I1163="","",IF(ISNUMBER(I1163),INT(I1163),IFERROR(INT(DATEVALUE(I1163)),IFERROR(INT(VALUE(I1163)),"bad"))))</f>
        <v/>
      </c>
      <c r="O1163">
        <f>IF(J1163="","",IF(ISNUMBER(J1163),ROUND(J1163,2),IFERROR(ROUND(VALUE(SUBSTITUTE(SUBSTITUTE(SUBSTITUTE(J1163,"$",""),",","")," ","")),2),"bad")))</f>
        <v/>
      </c>
      <c r="P1163">
        <f>IF(TRIM(K1163)="","",IFERROR(MATCH(LOWER(TRIM(K1163)),'Students'!$AH$2:$AH$701,0),IFERROR(MATCH(LOWER(TRIM(K1163)),'Students'!$AF$2:$AF$701,0),IFERROR(MATCH(LOWER(TRIM(K1163)),'Students'!$AG$2:$AG$701,0),""))))</f>
        <v/>
      </c>
      <c r="R1163">
        <f>IF(P1163="","",INDEX('Students'!$AD$2:$AD$701,P1163))</f>
        <v/>
      </c>
      <c r="S1163">
        <f>IF(H1163="OK",O1163,0)</f>
        <v/>
      </c>
      <c r="T1163">
        <f>IF(H1163="OK",N1163,"")</f>
        <v/>
      </c>
      <c r="U1163">
        <f>IF(OC_Donor=0,"",IF(INDEX('OneCause_Paste'!$A$1163:$AZ$1163,1,OC_Donor)="","",INDEX('OneCause_Paste'!$A$1163:$AZ$1163,1,OC_Donor)))</f>
        <v/>
      </c>
    </row>
    <row r="1164">
      <c r="A1164" s="62">
        <f>IF(H1164="","",IF(ISNUMBER(N1164),N1164,I1164))</f>
        <v/>
      </c>
      <c r="B1164">
        <f>IF(H1164="","",U1164)</f>
        <v/>
      </c>
      <c r="C1164">
        <f>IF(H1164="","",IF(P1164="",K1164,INDEX('Students'!$A$2:$A$701,P1164)))</f>
        <v/>
      </c>
      <c r="D1164">
        <f>IF(OR(H1164="",P1164=""),"",INDEX('Students'!$B$2:$B$701,P1164))</f>
        <v/>
      </c>
      <c r="E1164">
        <f>IF(OR(H1164="",P1164=""),"",INDEX('Students'!$C$2:$C$701,P1164))</f>
        <v/>
      </c>
      <c r="F1164" s="48">
        <f>IF(H1164="","",IF(ISNUMBER(O1164),O1164,J1164))</f>
        <v/>
      </c>
      <c r="G1164">
        <f>IF(H1164="","","OneCause")</f>
        <v/>
      </c>
      <c r="H1164">
        <f>IF(AND(I1164="",J1164="",K1164=""),"",IF(NOT(ISNUMBER(O1164)),"Bad amount",IF(O1164&lt;0,"Refund (not counted)",IF(O1164=0,"Zero amount",IF(NOT(ISNUMBER(N1164)),"Bad date",IF(P1164="","NAME NOT ON ROSTER",IF(L1164="","OK",IF(MATCH(L1164,$L$2:$L$3001,0)&lt;ROW()-1,"Duplicate (ignored)","OK"))))))))</f>
        <v/>
      </c>
      <c r="I1164">
        <f>IF(OC_Date=0,"",IF(INDEX('OneCause_Paste'!$A$1164:$AZ$1164,1,OC_Date)="","",INDEX('OneCause_Paste'!$A$1164:$AZ$1164,1,OC_Date)))</f>
        <v/>
      </c>
      <c r="J1164">
        <f>IF(OC_Amt=0,"",IF(INDEX('OneCause_Paste'!$A$1164:$AZ$1164,1,OC_Amt)="","",INDEX('OneCause_Paste'!$A$1164:$AZ$1164,1,OC_Amt)))</f>
        <v/>
      </c>
      <c r="K1164">
        <f>IF(OC_Name=0,"",IF(INDEX('OneCause_Paste'!$A$1164:$AZ$1164,1,OC_Name)="","",INDEX('OneCause_Paste'!$A$1164:$AZ$1164,1,OC_Name)))</f>
        <v/>
      </c>
      <c r="L1164">
        <f>IF(OC_Txn=0,"",IF(INDEX('OneCause_Paste'!$A$1164:$AZ$1164,1,OC_Txn)="","",INDEX('OneCause_Paste'!$A$1164:$AZ$1164,1,OC_Txn)))</f>
        <v/>
      </c>
      <c r="M1164">
        <f>IF(OC_Pay=0,"",IF(INDEX('OneCause_Paste'!$A$1164:$AZ$1164,1,OC_Pay)="","",INDEX('OneCause_Paste'!$A$1164:$AZ$1164,1,OC_Pay)))</f>
        <v/>
      </c>
      <c r="N1164">
        <f>IF(I1164="","",IF(ISNUMBER(I1164),INT(I1164),IFERROR(INT(DATEVALUE(I1164)),IFERROR(INT(VALUE(I1164)),"bad"))))</f>
        <v/>
      </c>
      <c r="O1164">
        <f>IF(J1164="","",IF(ISNUMBER(J1164),ROUND(J1164,2),IFERROR(ROUND(VALUE(SUBSTITUTE(SUBSTITUTE(SUBSTITUTE(J1164,"$",""),",","")," ","")),2),"bad")))</f>
        <v/>
      </c>
      <c r="P1164">
        <f>IF(TRIM(K1164)="","",IFERROR(MATCH(LOWER(TRIM(K1164)),'Students'!$AH$2:$AH$701,0),IFERROR(MATCH(LOWER(TRIM(K1164)),'Students'!$AF$2:$AF$701,0),IFERROR(MATCH(LOWER(TRIM(K1164)),'Students'!$AG$2:$AG$701,0),""))))</f>
        <v/>
      </c>
      <c r="R1164">
        <f>IF(P1164="","",INDEX('Students'!$AD$2:$AD$701,P1164))</f>
        <v/>
      </c>
      <c r="S1164">
        <f>IF(H1164="OK",O1164,0)</f>
        <v/>
      </c>
      <c r="T1164">
        <f>IF(H1164="OK",N1164,"")</f>
        <v/>
      </c>
      <c r="U1164">
        <f>IF(OC_Donor=0,"",IF(INDEX('OneCause_Paste'!$A$1164:$AZ$1164,1,OC_Donor)="","",INDEX('OneCause_Paste'!$A$1164:$AZ$1164,1,OC_Donor)))</f>
        <v/>
      </c>
    </row>
    <row r="1165">
      <c r="A1165" s="62">
        <f>IF(H1165="","",IF(ISNUMBER(N1165),N1165,I1165))</f>
        <v/>
      </c>
      <c r="B1165">
        <f>IF(H1165="","",U1165)</f>
        <v/>
      </c>
      <c r="C1165">
        <f>IF(H1165="","",IF(P1165="",K1165,INDEX('Students'!$A$2:$A$701,P1165)))</f>
        <v/>
      </c>
      <c r="D1165">
        <f>IF(OR(H1165="",P1165=""),"",INDEX('Students'!$B$2:$B$701,P1165))</f>
        <v/>
      </c>
      <c r="E1165">
        <f>IF(OR(H1165="",P1165=""),"",INDEX('Students'!$C$2:$C$701,P1165))</f>
        <v/>
      </c>
      <c r="F1165" s="48">
        <f>IF(H1165="","",IF(ISNUMBER(O1165),O1165,J1165))</f>
        <v/>
      </c>
      <c r="G1165">
        <f>IF(H1165="","","OneCause")</f>
        <v/>
      </c>
      <c r="H1165">
        <f>IF(AND(I1165="",J1165="",K1165=""),"",IF(NOT(ISNUMBER(O1165)),"Bad amount",IF(O1165&lt;0,"Refund (not counted)",IF(O1165=0,"Zero amount",IF(NOT(ISNUMBER(N1165)),"Bad date",IF(P1165="","NAME NOT ON ROSTER",IF(L1165="","OK",IF(MATCH(L1165,$L$2:$L$3001,0)&lt;ROW()-1,"Duplicate (ignored)","OK"))))))))</f>
        <v/>
      </c>
      <c r="I1165">
        <f>IF(OC_Date=0,"",IF(INDEX('OneCause_Paste'!$A$1165:$AZ$1165,1,OC_Date)="","",INDEX('OneCause_Paste'!$A$1165:$AZ$1165,1,OC_Date)))</f>
        <v/>
      </c>
      <c r="J1165">
        <f>IF(OC_Amt=0,"",IF(INDEX('OneCause_Paste'!$A$1165:$AZ$1165,1,OC_Amt)="","",INDEX('OneCause_Paste'!$A$1165:$AZ$1165,1,OC_Amt)))</f>
        <v/>
      </c>
      <c r="K1165">
        <f>IF(OC_Name=0,"",IF(INDEX('OneCause_Paste'!$A$1165:$AZ$1165,1,OC_Name)="","",INDEX('OneCause_Paste'!$A$1165:$AZ$1165,1,OC_Name)))</f>
        <v/>
      </c>
      <c r="L1165">
        <f>IF(OC_Txn=0,"",IF(INDEX('OneCause_Paste'!$A$1165:$AZ$1165,1,OC_Txn)="","",INDEX('OneCause_Paste'!$A$1165:$AZ$1165,1,OC_Txn)))</f>
        <v/>
      </c>
      <c r="M1165">
        <f>IF(OC_Pay=0,"",IF(INDEX('OneCause_Paste'!$A$1165:$AZ$1165,1,OC_Pay)="","",INDEX('OneCause_Paste'!$A$1165:$AZ$1165,1,OC_Pay)))</f>
        <v/>
      </c>
      <c r="N1165">
        <f>IF(I1165="","",IF(ISNUMBER(I1165),INT(I1165),IFERROR(INT(DATEVALUE(I1165)),IFERROR(INT(VALUE(I1165)),"bad"))))</f>
        <v/>
      </c>
      <c r="O1165">
        <f>IF(J1165="","",IF(ISNUMBER(J1165),ROUND(J1165,2),IFERROR(ROUND(VALUE(SUBSTITUTE(SUBSTITUTE(SUBSTITUTE(J1165,"$",""),",","")," ","")),2),"bad")))</f>
        <v/>
      </c>
      <c r="P1165">
        <f>IF(TRIM(K1165)="","",IFERROR(MATCH(LOWER(TRIM(K1165)),'Students'!$AH$2:$AH$701,0),IFERROR(MATCH(LOWER(TRIM(K1165)),'Students'!$AF$2:$AF$701,0),IFERROR(MATCH(LOWER(TRIM(K1165)),'Students'!$AG$2:$AG$701,0),""))))</f>
        <v/>
      </c>
      <c r="R1165">
        <f>IF(P1165="","",INDEX('Students'!$AD$2:$AD$701,P1165))</f>
        <v/>
      </c>
      <c r="S1165">
        <f>IF(H1165="OK",O1165,0)</f>
        <v/>
      </c>
      <c r="T1165">
        <f>IF(H1165="OK",N1165,"")</f>
        <v/>
      </c>
      <c r="U1165">
        <f>IF(OC_Donor=0,"",IF(INDEX('OneCause_Paste'!$A$1165:$AZ$1165,1,OC_Donor)="","",INDEX('OneCause_Paste'!$A$1165:$AZ$1165,1,OC_Donor)))</f>
        <v/>
      </c>
    </row>
    <row r="1166">
      <c r="A1166" s="62">
        <f>IF(H1166="","",IF(ISNUMBER(N1166),N1166,I1166))</f>
        <v/>
      </c>
      <c r="B1166">
        <f>IF(H1166="","",U1166)</f>
        <v/>
      </c>
      <c r="C1166">
        <f>IF(H1166="","",IF(P1166="",K1166,INDEX('Students'!$A$2:$A$701,P1166)))</f>
        <v/>
      </c>
      <c r="D1166">
        <f>IF(OR(H1166="",P1166=""),"",INDEX('Students'!$B$2:$B$701,P1166))</f>
        <v/>
      </c>
      <c r="E1166">
        <f>IF(OR(H1166="",P1166=""),"",INDEX('Students'!$C$2:$C$701,P1166))</f>
        <v/>
      </c>
      <c r="F1166" s="48">
        <f>IF(H1166="","",IF(ISNUMBER(O1166),O1166,J1166))</f>
        <v/>
      </c>
      <c r="G1166">
        <f>IF(H1166="","","OneCause")</f>
        <v/>
      </c>
      <c r="H1166">
        <f>IF(AND(I1166="",J1166="",K1166=""),"",IF(NOT(ISNUMBER(O1166)),"Bad amount",IF(O1166&lt;0,"Refund (not counted)",IF(O1166=0,"Zero amount",IF(NOT(ISNUMBER(N1166)),"Bad date",IF(P1166="","NAME NOT ON ROSTER",IF(L1166="","OK",IF(MATCH(L1166,$L$2:$L$3001,0)&lt;ROW()-1,"Duplicate (ignored)","OK"))))))))</f>
        <v/>
      </c>
      <c r="I1166">
        <f>IF(OC_Date=0,"",IF(INDEX('OneCause_Paste'!$A$1166:$AZ$1166,1,OC_Date)="","",INDEX('OneCause_Paste'!$A$1166:$AZ$1166,1,OC_Date)))</f>
        <v/>
      </c>
      <c r="J1166">
        <f>IF(OC_Amt=0,"",IF(INDEX('OneCause_Paste'!$A$1166:$AZ$1166,1,OC_Amt)="","",INDEX('OneCause_Paste'!$A$1166:$AZ$1166,1,OC_Amt)))</f>
        <v/>
      </c>
      <c r="K1166">
        <f>IF(OC_Name=0,"",IF(INDEX('OneCause_Paste'!$A$1166:$AZ$1166,1,OC_Name)="","",INDEX('OneCause_Paste'!$A$1166:$AZ$1166,1,OC_Name)))</f>
        <v/>
      </c>
      <c r="L1166">
        <f>IF(OC_Txn=0,"",IF(INDEX('OneCause_Paste'!$A$1166:$AZ$1166,1,OC_Txn)="","",INDEX('OneCause_Paste'!$A$1166:$AZ$1166,1,OC_Txn)))</f>
        <v/>
      </c>
      <c r="M1166">
        <f>IF(OC_Pay=0,"",IF(INDEX('OneCause_Paste'!$A$1166:$AZ$1166,1,OC_Pay)="","",INDEX('OneCause_Paste'!$A$1166:$AZ$1166,1,OC_Pay)))</f>
        <v/>
      </c>
      <c r="N1166">
        <f>IF(I1166="","",IF(ISNUMBER(I1166),INT(I1166),IFERROR(INT(DATEVALUE(I1166)),IFERROR(INT(VALUE(I1166)),"bad"))))</f>
        <v/>
      </c>
      <c r="O1166">
        <f>IF(J1166="","",IF(ISNUMBER(J1166),ROUND(J1166,2),IFERROR(ROUND(VALUE(SUBSTITUTE(SUBSTITUTE(SUBSTITUTE(J1166,"$",""),",","")," ","")),2),"bad")))</f>
        <v/>
      </c>
      <c r="P1166">
        <f>IF(TRIM(K1166)="","",IFERROR(MATCH(LOWER(TRIM(K1166)),'Students'!$AH$2:$AH$701,0),IFERROR(MATCH(LOWER(TRIM(K1166)),'Students'!$AF$2:$AF$701,0),IFERROR(MATCH(LOWER(TRIM(K1166)),'Students'!$AG$2:$AG$701,0),""))))</f>
        <v/>
      </c>
      <c r="R1166">
        <f>IF(P1166="","",INDEX('Students'!$AD$2:$AD$701,P1166))</f>
        <v/>
      </c>
      <c r="S1166">
        <f>IF(H1166="OK",O1166,0)</f>
        <v/>
      </c>
      <c r="T1166">
        <f>IF(H1166="OK",N1166,"")</f>
        <v/>
      </c>
      <c r="U1166">
        <f>IF(OC_Donor=0,"",IF(INDEX('OneCause_Paste'!$A$1166:$AZ$1166,1,OC_Donor)="","",INDEX('OneCause_Paste'!$A$1166:$AZ$1166,1,OC_Donor)))</f>
        <v/>
      </c>
    </row>
    <row r="1167">
      <c r="A1167" s="62">
        <f>IF(H1167="","",IF(ISNUMBER(N1167),N1167,I1167))</f>
        <v/>
      </c>
      <c r="B1167">
        <f>IF(H1167="","",U1167)</f>
        <v/>
      </c>
      <c r="C1167">
        <f>IF(H1167="","",IF(P1167="",K1167,INDEX('Students'!$A$2:$A$701,P1167)))</f>
        <v/>
      </c>
      <c r="D1167">
        <f>IF(OR(H1167="",P1167=""),"",INDEX('Students'!$B$2:$B$701,P1167))</f>
        <v/>
      </c>
      <c r="E1167">
        <f>IF(OR(H1167="",P1167=""),"",INDEX('Students'!$C$2:$C$701,P1167))</f>
        <v/>
      </c>
      <c r="F1167" s="48">
        <f>IF(H1167="","",IF(ISNUMBER(O1167),O1167,J1167))</f>
        <v/>
      </c>
      <c r="G1167">
        <f>IF(H1167="","","OneCause")</f>
        <v/>
      </c>
      <c r="H1167">
        <f>IF(AND(I1167="",J1167="",K1167=""),"",IF(NOT(ISNUMBER(O1167)),"Bad amount",IF(O1167&lt;0,"Refund (not counted)",IF(O1167=0,"Zero amount",IF(NOT(ISNUMBER(N1167)),"Bad date",IF(P1167="","NAME NOT ON ROSTER",IF(L1167="","OK",IF(MATCH(L1167,$L$2:$L$3001,0)&lt;ROW()-1,"Duplicate (ignored)","OK"))))))))</f>
        <v/>
      </c>
      <c r="I1167">
        <f>IF(OC_Date=0,"",IF(INDEX('OneCause_Paste'!$A$1167:$AZ$1167,1,OC_Date)="","",INDEX('OneCause_Paste'!$A$1167:$AZ$1167,1,OC_Date)))</f>
        <v/>
      </c>
      <c r="J1167">
        <f>IF(OC_Amt=0,"",IF(INDEX('OneCause_Paste'!$A$1167:$AZ$1167,1,OC_Amt)="","",INDEX('OneCause_Paste'!$A$1167:$AZ$1167,1,OC_Amt)))</f>
        <v/>
      </c>
      <c r="K1167">
        <f>IF(OC_Name=0,"",IF(INDEX('OneCause_Paste'!$A$1167:$AZ$1167,1,OC_Name)="","",INDEX('OneCause_Paste'!$A$1167:$AZ$1167,1,OC_Name)))</f>
        <v/>
      </c>
      <c r="L1167">
        <f>IF(OC_Txn=0,"",IF(INDEX('OneCause_Paste'!$A$1167:$AZ$1167,1,OC_Txn)="","",INDEX('OneCause_Paste'!$A$1167:$AZ$1167,1,OC_Txn)))</f>
        <v/>
      </c>
      <c r="M1167">
        <f>IF(OC_Pay=0,"",IF(INDEX('OneCause_Paste'!$A$1167:$AZ$1167,1,OC_Pay)="","",INDEX('OneCause_Paste'!$A$1167:$AZ$1167,1,OC_Pay)))</f>
        <v/>
      </c>
      <c r="N1167">
        <f>IF(I1167="","",IF(ISNUMBER(I1167),INT(I1167),IFERROR(INT(DATEVALUE(I1167)),IFERROR(INT(VALUE(I1167)),"bad"))))</f>
        <v/>
      </c>
      <c r="O1167">
        <f>IF(J1167="","",IF(ISNUMBER(J1167),ROUND(J1167,2),IFERROR(ROUND(VALUE(SUBSTITUTE(SUBSTITUTE(SUBSTITUTE(J1167,"$",""),",","")," ","")),2),"bad")))</f>
        <v/>
      </c>
      <c r="P1167">
        <f>IF(TRIM(K1167)="","",IFERROR(MATCH(LOWER(TRIM(K1167)),'Students'!$AH$2:$AH$701,0),IFERROR(MATCH(LOWER(TRIM(K1167)),'Students'!$AF$2:$AF$701,0),IFERROR(MATCH(LOWER(TRIM(K1167)),'Students'!$AG$2:$AG$701,0),""))))</f>
        <v/>
      </c>
      <c r="R1167">
        <f>IF(P1167="","",INDEX('Students'!$AD$2:$AD$701,P1167))</f>
        <v/>
      </c>
      <c r="S1167">
        <f>IF(H1167="OK",O1167,0)</f>
        <v/>
      </c>
      <c r="T1167">
        <f>IF(H1167="OK",N1167,"")</f>
        <v/>
      </c>
      <c r="U1167">
        <f>IF(OC_Donor=0,"",IF(INDEX('OneCause_Paste'!$A$1167:$AZ$1167,1,OC_Donor)="","",INDEX('OneCause_Paste'!$A$1167:$AZ$1167,1,OC_Donor)))</f>
        <v/>
      </c>
    </row>
    <row r="1168">
      <c r="A1168" s="62">
        <f>IF(H1168="","",IF(ISNUMBER(N1168),N1168,I1168))</f>
        <v/>
      </c>
      <c r="B1168">
        <f>IF(H1168="","",U1168)</f>
        <v/>
      </c>
      <c r="C1168">
        <f>IF(H1168="","",IF(P1168="",K1168,INDEX('Students'!$A$2:$A$701,P1168)))</f>
        <v/>
      </c>
      <c r="D1168">
        <f>IF(OR(H1168="",P1168=""),"",INDEX('Students'!$B$2:$B$701,P1168))</f>
        <v/>
      </c>
      <c r="E1168">
        <f>IF(OR(H1168="",P1168=""),"",INDEX('Students'!$C$2:$C$701,P1168))</f>
        <v/>
      </c>
      <c r="F1168" s="48">
        <f>IF(H1168="","",IF(ISNUMBER(O1168),O1168,J1168))</f>
        <v/>
      </c>
      <c r="G1168">
        <f>IF(H1168="","","OneCause")</f>
        <v/>
      </c>
      <c r="H1168">
        <f>IF(AND(I1168="",J1168="",K1168=""),"",IF(NOT(ISNUMBER(O1168)),"Bad amount",IF(O1168&lt;0,"Refund (not counted)",IF(O1168=0,"Zero amount",IF(NOT(ISNUMBER(N1168)),"Bad date",IF(P1168="","NAME NOT ON ROSTER",IF(L1168="","OK",IF(MATCH(L1168,$L$2:$L$3001,0)&lt;ROW()-1,"Duplicate (ignored)","OK"))))))))</f>
        <v/>
      </c>
      <c r="I1168">
        <f>IF(OC_Date=0,"",IF(INDEX('OneCause_Paste'!$A$1168:$AZ$1168,1,OC_Date)="","",INDEX('OneCause_Paste'!$A$1168:$AZ$1168,1,OC_Date)))</f>
        <v/>
      </c>
      <c r="J1168">
        <f>IF(OC_Amt=0,"",IF(INDEX('OneCause_Paste'!$A$1168:$AZ$1168,1,OC_Amt)="","",INDEX('OneCause_Paste'!$A$1168:$AZ$1168,1,OC_Amt)))</f>
        <v/>
      </c>
      <c r="K1168">
        <f>IF(OC_Name=0,"",IF(INDEX('OneCause_Paste'!$A$1168:$AZ$1168,1,OC_Name)="","",INDEX('OneCause_Paste'!$A$1168:$AZ$1168,1,OC_Name)))</f>
        <v/>
      </c>
      <c r="L1168">
        <f>IF(OC_Txn=0,"",IF(INDEX('OneCause_Paste'!$A$1168:$AZ$1168,1,OC_Txn)="","",INDEX('OneCause_Paste'!$A$1168:$AZ$1168,1,OC_Txn)))</f>
        <v/>
      </c>
      <c r="M1168">
        <f>IF(OC_Pay=0,"",IF(INDEX('OneCause_Paste'!$A$1168:$AZ$1168,1,OC_Pay)="","",INDEX('OneCause_Paste'!$A$1168:$AZ$1168,1,OC_Pay)))</f>
        <v/>
      </c>
      <c r="N1168">
        <f>IF(I1168="","",IF(ISNUMBER(I1168),INT(I1168),IFERROR(INT(DATEVALUE(I1168)),IFERROR(INT(VALUE(I1168)),"bad"))))</f>
        <v/>
      </c>
      <c r="O1168">
        <f>IF(J1168="","",IF(ISNUMBER(J1168),ROUND(J1168,2),IFERROR(ROUND(VALUE(SUBSTITUTE(SUBSTITUTE(SUBSTITUTE(J1168,"$",""),",","")," ","")),2),"bad")))</f>
        <v/>
      </c>
      <c r="P1168">
        <f>IF(TRIM(K1168)="","",IFERROR(MATCH(LOWER(TRIM(K1168)),'Students'!$AH$2:$AH$701,0),IFERROR(MATCH(LOWER(TRIM(K1168)),'Students'!$AF$2:$AF$701,0),IFERROR(MATCH(LOWER(TRIM(K1168)),'Students'!$AG$2:$AG$701,0),""))))</f>
        <v/>
      </c>
      <c r="R1168">
        <f>IF(P1168="","",INDEX('Students'!$AD$2:$AD$701,P1168))</f>
        <v/>
      </c>
      <c r="S1168">
        <f>IF(H1168="OK",O1168,0)</f>
        <v/>
      </c>
      <c r="T1168">
        <f>IF(H1168="OK",N1168,"")</f>
        <v/>
      </c>
      <c r="U1168">
        <f>IF(OC_Donor=0,"",IF(INDEX('OneCause_Paste'!$A$1168:$AZ$1168,1,OC_Donor)="","",INDEX('OneCause_Paste'!$A$1168:$AZ$1168,1,OC_Donor)))</f>
        <v/>
      </c>
    </row>
    <row r="1169">
      <c r="A1169" s="62">
        <f>IF(H1169="","",IF(ISNUMBER(N1169),N1169,I1169))</f>
        <v/>
      </c>
      <c r="B1169">
        <f>IF(H1169="","",U1169)</f>
        <v/>
      </c>
      <c r="C1169">
        <f>IF(H1169="","",IF(P1169="",K1169,INDEX('Students'!$A$2:$A$701,P1169)))</f>
        <v/>
      </c>
      <c r="D1169">
        <f>IF(OR(H1169="",P1169=""),"",INDEX('Students'!$B$2:$B$701,P1169))</f>
        <v/>
      </c>
      <c r="E1169">
        <f>IF(OR(H1169="",P1169=""),"",INDEX('Students'!$C$2:$C$701,P1169))</f>
        <v/>
      </c>
      <c r="F1169" s="48">
        <f>IF(H1169="","",IF(ISNUMBER(O1169),O1169,J1169))</f>
        <v/>
      </c>
      <c r="G1169">
        <f>IF(H1169="","","OneCause")</f>
        <v/>
      </c>
      <c r="H1169">
        <f>IF(AND(I1169="",J1169="",K1169=""),"",IF(NOT(ISNUMBER(O1169)),"Bad amount",IF(O1169&lt;0,"Refund (not counted)",IF(O1169=0,"Zero amount",IF(NOT(ISNUMBER(N1169)),"Bad date",IF(P1169="","NAME NOT ON ROSTER",IF(L1169="","OK",IF(MATCH(L1169,$L$2:$L$3001,0)&lt;ROW()-1,"Duplicate (ignored)","OK"))))))))</f>
        <v/>
      </c>
      <c r="I1169">
        <f>IF(OC_Date=0,"",IF(INDEX('OneCause_Paste'!$A$1169:$AZ$1169,1,OC_Date)="","",INDEX('OneCause_Paste'!$A$1169:$AZ$1169,1,OC_Date)))</f>
        <v/>
      </c>
      <c r="J1169">
        <f>IF(OC_Amt=0,"",IF(INDEX('OneCause_Paste'!$A$1169:$AZ$1169,1,OC_Amt)="","",INDEX('OneCause_Paste'!$A$1169:$AZ$1169,1,OC_Amt)))</f>
        <v/>
      </c>
      <c r="K1169">
        <f>IF(OC_Name=0,"",IF(INDEX('OneCause_Paste'!$A$1169:$AZ$1169,1,OC_Name)="","",INDEX('OneCause_Paste'!$A$1169:$AZ$1169,1,OC_Name)))</f>
        <v/>
      </c>
      <c r="L1169">
        <f>IF(OC_Txn=0,"",IF(INDEX('OneCause_Paste'!$A$1169:$AZ$1169,1,OC_Txn)="","",INDEX('OneCause_Paste'!$A$1169:$AZ$1169,1,OC_Txn)))</f>
        <v/>
      </c>
      <c r="M1169">
        <f>IF(OC_Pay=0,"",IF(INDEX('OneCause_Paste'!$A$1169:$AZ$1169,1,OC_Pay)="","",INDEX('OneCause_Paste'!$A$1169:$AZ$1169,1,OC_Pay)))</f>
        <v/>
      </c>
      <c r="N1169">
        <f>IF(I1169="","",IF(ISNUMBER(I1169),INT(I1169),IFERROR(INT(DATEVALUE(I1169)),IFERROR(INT(VALUE(I1169)),"bad"))))</f>
        <v/>
      </c>
      <c r="O1169">
        <f>IF(J1169="","",IF(ISNUMBER(J1169),ROUND(J1169,2),IFERROR(ROUND(VALUE(SUBSTITUTE(SUBSTITUTE(SUBSTITUTE(J1169,"$",""),",","")," ","")),2),"bad")))</f>
        <v/>
      </c>
      <c r="P1169">
        <f>IF(TRIM(K1169)="","",IFERROR(MATCH(LOWER(TRIM(K1169)),'Students'!$AH$2:$AH$701,0),IFERROR(MATCH(LOWER(TRIM(K1169)),'Students'!$AF$2:$AF$701,0),IFERROR(MATCH(LOWER(TRIM(K1169)),'Students'!$AG$2:$AG$701,0),""))))</f>
        <v/>
      </c>
      <c r="R1169">
        <f>IF(P1169="","",INDEX('Students'!$AD$2:$AD$701,P1169))</f>
        <v/>
      </c>
      <c r="S1169">
        <f>IF(H1169="OK",O1169,0)</f>
        <v/>
      </c>
      <c r="T1169">
        <f>IF(H1169="OK",N1169,"")</f>
        <v/>
      </c>
      <c r="U1169">
        <f>IF(OC_Donor=0,"",IF(INDEX('OneCause_Paste'!$A$1169:$AZ$1169,1,OC_Donor)="","",INDEX('OneCause_Paste'!$A$1169:$AZ$1169,1,OC_Donor)))</f>
        <v/>
      </c>
    </row>
    <row r="1170">
      <c r="A1170" s="62">
        <f>IF(H1170="","",IF(ISNUMBER(N1170),N1170,I1170))</f>
        <v/>
      </c>
      <c r="B1170">
        <f>IF(H1170="","",U1170)</f>
        <v/>
      </c>
      <c r="C1170">
        <f>IF(H1170="","",IF(P1170="",K1170,INDEX('Students'!$A$2:$A$701,P1170)))</f>
        <v/>
      </c>
      <c r="D1170">
        <f>IF(OR(H1170="",P1170=""),"",INDEX('Students'!$B$2:$B$701,P1170))</f>
        <v/>
      </c>
      <c r="E1170">
        <f>IF(OR(H1170="",P1170=""),"",INDEX('Students'!$C$2:$C$701,P1170))</f>
        <v/>
      </c>
      <c r="F1170" s="48">
        <f>IF(H1170="","",IF(ISNUMBER(O1170),O1170,J1170))</f>
        <v/>
      </c>
      <c r="G1170">
        <f>IF(H1170="","","OneCause")</f>
        <v/>
      </c>
      <c r="H1170">
        <f>IF(AND(I1170="",J1170="",K1170=""),"",IF(NOT(ISNUMBER(O1170)),"Bad amount",IF(O1170&lt;0,"Refund (not counted)",IF(O1170=0,"Zero amount",IF(NOT(ISNUMBER(N1170)),"Bad date",IF(P1170="","NAME NOT ON ROSTER",IF(L1170="","OK",IF(MATCH(L1170,$L$2:$L$3001,0)&lt;ROW()-1,"Duplicate (ignored)","OK"))))))))</f>
        <v/>
      </c>
      <c r="I1170">
        <f>IF(OC_Date=0,"",IF(INDEX('OneCause_Paste'!$A$1170:$AZ$1170,1,OC_Date)="","",INDEX('OneCause_Paste'!$A$1170:$AZ$1170,1,OC_Date)))</f>
        <v/>
      </c>
      <c r="J1170">
        <f>IF(OC_Amt=0,"",IF(INDEX('OneCause_Paste'!$A$1170:$AZ$1170,1,OC_Amt)="","",INDEX('OneCause_Paste'!$A$1170:$AZ$1170,1,OC_Amt)))</f>
        <v/>
      </c>
      <c r="K1170">
        <f>IF(OC_Name=0,"",IF(INDEX('OneCause_Paste'!$A$1170:$AZ$1170,1,OC_Name)="","",INDEX('OneCause_Paste'!$A$1170:$AZ$1170,1,OC_Name)))</f>
        <v/>
      </c>
      <c r="L1170">
        <f>IF(OC_Txn=0,"",IF(INDEX('OneCause_Paste'!$A$1170:$AZ$1170,1,OC_Txn)="","",INDEX('OneCause_Paste'!$A$1170:$AZ$1170,1,OC_Txn)))</f>
        <v/>
      </c>
      <c r="M1170">
        <f>IF(OC_Pay=0,"",IF(INDEX('OneCause_Paste'!$A$1170:$AZ$1170,1,OC_Pay)="","",INDEX('OneCause_Paste'!$A$1170:$AZ$1170,1,OC_Pay)))</f>
        <v/>
      </c>
      <c r="N1170">
        <f>IF(I1170="","",IF(ISNUMBER(I1170),INT(I1170),IFERROR(INT(DATEVALUE(I1170)),IFERROR(INT(VALUE(I1170)),"bad"))))</f>
        <v/>
      </c>
      <c r="O1170">
        <f>IF(J1170="","",IF(ISNUMBER(J1170),ROUND(J1170,2),IFERROR(ROUND(VALUE(SUBSTITUTE(SUBSTITUTE(SUBSTITUTE(J1170,"$",""),",","")," ","")),2),"bad")))</f>
        <v/>
      </c>
      <c r="P1170">
        <f>IF(TRIM(K1170)="","",IFERROR(MATCH(LOWER(TRIM(K1170)),'Students'!$AH$2:$AH$701,0),IFERROR(MATCH(LOWER(TRIM(K1170)),'Students'!$AF$2:$AF$701,0),IFERROR(MATCH(LOWER(TRIM(K1170)),'Students'!$AG$2:$AG$701,0),""))))</f>
        <v/>
      </c>
      <c r="R1170">
        <f>IF(P1170="","",INDEX('Students'!$AD$2:$AD$701,P1170))</f>
        <v/>
      </c>
      <c r="S1170">
        <f>IF(H1170="OK",O1170,0)</f>
        <v/>
      </c>
      <c r="T1170">
        <f>IF(H1170="OK",N1170,"")</f>
        <v/>
      </c>
      <c r="U1170">
        <f>IF(OC_Donor=0,"",IF(INDEX('OneCause_Paste'!$A$1170:$AZ$1170,1,OC_Donor)="","",INDEX('OneCause_Paste'!$A$1170:$AZ$1170,1,OC_Donor)))</f>
        <v/>
      </c>
    </row>
    <row r="1171">
      <c r="A1171" s="62">
        <f>IF(H1171="","",IF(ISNUMBER(N1171),N1171,I1171))</f>
        <v/>
      </c>
      <c r="B1171">
        <f>IF(H1171="","",U1171)</f>
        <v/>
      </c>
      <c r="C1171">
        <f>IF(H1171="","",IF(P1171="",K1171,INDEX('Students'!$A$2:$A$701,P1171)))</f>
        <v/>
      </c>
      <c r="D1171">
        <f>IF(OR(H1171="",P1171=""),"",INDEX('Students'!$B$2:$B$701,P1171))</f>
        <v/>
      </c>
      <c r="E1171">
        <f>IF(OR(H1171="",P1171=""),"",INDEX('Students'!$C$2:$C$701,P1171))</f>
        <v/>
      </c>
      <c r="F1171" s="48">
        <f>IF(H1171="","",IF(ISNUMBER(O1171),O1171,J1171))</f>
        <v/>
      </c>
      <c r="G1171">
        <f>IF(H1171="","","OneCause")</f>
        <v/>
      </c>
      <c r="H1171">
        <f>IF(AND(I1171="",J1171="",K1171=""),"",IF(NOT(ISNUMBER(O1171)),"Bad amount",IF(O1171&lt;0,"Refund (not counted)",IF(O1171=0,"Zero amount",IF(NOT(ISNUMBER(N1171)),"Bad date",IF(P1171="","NAME NOT ON ROSTER",IF(L1171="","OK",IF(MATCH(L1171,$L$2:$L$3001,0)&lt;ROW()-1,"Duplicate (ignored)","OK"))))))))</f>
        <v/>
      </c>
      <c r="I1171">
        <f>IF(OC_Date=0,"",IF(INDEX('OneCause_Paste'!$A$1171:$AZ$1171,1,OC_Date)="","",INDEX('OneCause_Paste'!$A$1171:$AZ$1171,1,OC_Date)))</f>
        <v/>
      </c>
      <c r="J1171">
        <f>IF(OC_Amt=0,"",IF(INDEX('OneCause_Paste'!$A$1171:$AZ$1171,1,OC_Amt)="","",INDEX('OneCause_Paste'!$A$1171:$AZ$1171,1,OC_Amt)))</f>
        <v/>
      </c>
      <c r="K1171">
        <f>IF(OC_Name=0,"",IF(INDEX('OneCause_Paste'!$A$1171:$AZ$1171,1,OC_Name)="","",INDEX('OneCause_Paste'!$A$1171:$AZ$1171,1,OC_Name)))</f>
        <v/>
      </c>
      <c r="L1171">
        <f>IF(OC_Txn=0,"",IF(INDEX('OneCause_Paste'!$A$1171:$AZ$1171,1,OC_Txn)="","",INDEX('OneCause_Paste'!$A$1171:$AZ$1171,1,OC_Txn)))</f>
        <v/>
      </c>
      <c r="M1171">
        <f>IF(OC_Pay=0,"",IF(INDEX('OneCause_Paste'!$A$1171:$AZ$1171,1,OC_Pay)="","",INDEX('OneCause_Paste'!$A$1171:$AZ$1171,1,OC_Pay)))</f>
        <v/>
      </c>
      <c r="N1171">
        <f>IF(I1171="","",IF(ISNUMBER(I1171),INT(I1171),IFERROR(INT(DATEVALUE(I1171)),IFERROR(INT(VALUE(I1171)),"bad"))))</f>
        <v/>
      </c>
      <c r="O1171">
        <f>IF(J1171="","",IF(ISNUMBER(J1171),ROUND(J1171,2),IFERROR(ROUND(VALUE(SUBSTITUTE(SUBSTITUTE(SUBSTITUTE(J1171,"$",""),",","")," ","")),2),"bad")))</f>
        <v/>
      </c>
      <c r="P1171">
        <f>IF(TRIM(K1171)="","",IFERROR(MATCH(LOWER(TRIM(K1171)),'Students'!$AH$2:$AH$701,0),IFERROR(MATCH(LOWER(TRIM(K1171)),'Students'!$AF$2:$AF$701,0),IFERROR(MATCH(LOWER(TRIM(K1171)),'Students'!$AG$2:$AG$701,0),""))))</f>
        <v/>
      </c>
      <c r="R1171">
        <f>IF(P1171="","",INDEX('Students'!$AD$2:$AD$701,P1171))</f>
        <v/>
      </c>
      <c r="S1171">
        <f>IF(H1171="OK",O1171,0)</f>
        <v/>
      </c>
      <c r="T1171">
        <f>IF(H1171="OK",N1171,"")</f>
        <v/>
      </c>
      <c r="U1171">
        <f>IF(OC_Donor=0,"",IF(INDEX('OneCause_Paste'!$A$1171:$AZ$1171,1,OC_Donor)="","",INDEX('OneCause_Paste'!$A$1171:$AZ$1171,1,OC_Donor)))</f>
        <v/>
      </c>
    </row>
    <row r="1172">
      <c r="A1172" s="62">
        <f>IF(H1172="","",IF(ISNUMBER(N1172),N1172,I1172))</f>
        <v/>
      </c>
      <c r="B1172">
        <f>IF(H1172="","",U1172)</f>
        <v/>
      </c>
      <c r="C1172">
        <f>IF(H1172="","",IF(P1172="",K1172,INDEX('Students'!$A$2:$A$701,P1172)))</f>
        <v/>
      </c>
      <c r="D1172">
        <f>IF(OR(H1172="",P1172=""),"",INDEX('Students'!$B$2:$B$701,P1172))</f>
        <v/>
      </c>
      <c r="E1172">
        <f>IF(OR(H1172="",P1172=""),"",INDEX('Students'!$C$2:$C$701,P1172))</f>
        <v/>
      </c>
      <c r="F1172" s="48">
        <f>IF(H1172="","",IF(ISNUMBER(O1172),O1172,J1172))</f>
        <v/>
      </c>
      <c r="G1172">
        <f>IF(H1172="","","OneCause")</f>
        <v/>
      </c>
      <c r="H1172">
        <f>IF(AND(I1172="",J1172="",K1172=""),"",IF(NOT(ISNUMBER(O1172)),"Bad amount",IF(O1172&lt;0,"Refund (not counted)",IF(O1172=0,"Zero amount",IF(NOT(ISNUMBER(N1172)),"Bad date",IF(P1172="","NAME NOT ON ROSTER",IF(L1172="","OK",IF(MATCH(L1172,$L$2:$L$3001,0)&lt;ROW()-1,"Duplicate (ignored)","OK"))))))))</f>
        <v/>
      </c>
      <c r="I1172">
        <f>IF(OC_Date=0,"",IF(INDEX('OneCause_Paste'!$A$1172:$AZ$1172,1,OC_Date)="","",INDEX('OneCause_Paste'!$A$1172:$AZ$1172,1,OC_Date)))</f>
        <v/>
      </c>
      <c r="J1172">
        <f>IF(OC_Amt=0,"",IF(INDEX('OneCause_Paste'!$A$1172:$AZ$1172,1,OC_Amt)="","",INDEX('OneCause_Paste'!$A$1172:$AZ$1172,1,OC_Amt)))</f>
        <v/>
      </c>
      <c r="K1172">
        <f>IF(OC_Name=0,"",IF(INDEX('OneCause_Paste'!$A$1172:$AZ$1172,1,OC_Name)="","",INDEX('OneCause_Paste'!$A$1172:$AZ$1172,1,OC_Name)))</f>
        <v/>
      </c>
      <c r="L1172">
        <f>IF(OC_Txn=0,"",IF(INDEX('OneCause_Paste'!$A$1172:$AZ$1172,1,OC_Txn)="","",INDEX('OneCause_Paste'!$A$1172:$AZ$1172,1,OC_Txn)))</f>
        <v/>
      </c>
      <c r="M1172">
        <f>IF(OC_Pay=0,"",IF(INDEX('OneCause_Paste'!$A$1172:$AZ$1172,1,OC_Pay)="","",INDEX('OneCause_Paste'!$A$1172:$AZ$1172,1,OC_Pay)))</f>
        <v/>
      </c>
      <c r="N1172">
        <f>IF(I1172="","",IF(ISNUMBER(I1172),INT(I1172),IFERROR(INT(DATEVALUE(I1172)),IFERROR(INT(VALUE(I1172)),"bad"))))</f>
        <v/>
      </c>
      <c r="O1172">
        <f>IF(J1172="","",IF(ISNUMBER(J1172),ROUND(J1172,2),IFERROR(ROUND(VALUE(SUBSTITUTE(SUBSTITUTE(SUBSTITUTE(J1172,"$",""),",","")," ","")),2),"bad")))</f>
        <v/>
      </c>
      <c r="P1172">
        <f>IF(TRIM(K1172)="","",IFERROR(MATCH(LOWER(TRIM(K1172)),'Students'!$AH$2:$AH$701,0),IFERROR(MATCH(LOWER(TRIM(K1172)),'Students'!$AF$2:$AF$701,0),IFERROR(MATCH(LOWER(TRIM(K1172)),'Students'!$AG$2:$AG$701,0),""))))</f>
        <v/>
      </c>
      <c r="R1172">
        <f>IF(P1172="","",INDEX('Students'!$AD$2:$AD$701,P1172))</f>
        <v/>
      </c>
      <c r="S1172">
        <f>IF(H1172="OK",O1172,0)</f>
        <v/>
      </c>
      <c r="T1172">
        <f>IF(H1172="OK",N1172,"")</f>
        <v/>
      </c>
      <c r="U1172">
        <f>IF(OC_Donor=0,"",IF(INDEX('OneCause_Paste'!$A$1172:$AZ$1172,1,OC_Donor)="","",INDEX('OneCause_Paste'!$A$1172:$AZ$1172,1,OC_Donor)))</f>
        <v/>
      </c>
    </row>
    <row r="1173">
      <c r="A1173" s="62">
        <f>IF(H1173="","",IF(ISNUMBER(N1173),N1173,I1173))</f>
        <v/>
      </c>
      <c r="B1173">
        <f>IF(H1173="","",U1173)</f>
        <v/>
      </c>
      <c r="C1173">
        <f>IF(H1173="","",IF(P1173="",K1173,INDEX('Students'!$A$2:$A$701,P1173)))</f>
        <v/>
      </c>
      <c r="D1173">
        <f>IF(OR(H1173="",P1173=""),"",INDEX('Students'!$B$2:$B$701,P1173))</f>
        <v/>
      </c>
      <c r="E1173">
        <f>IF(OR(H1173="",P1173=""),"",INDEX('Students'!$C$2:$C$701,P1173))</f>
        <v/>
      </c>
      <c r="F1173" s="48">
        <f>IF(H1173="","",IF(ISNUMBER(O1173),O1173,J1173))</f>
        <v/>
      </c>
      <c r="G1173">
        <f>IF(H1173="","","OneCause")</f>
        <v/>
      </c>
      <c r="H1173">
        <f>IF(AND(I1173="",J1173="",K1173=""),"",IF(NOT(ISNUMBER(O1173)),"Bad amount",IF(O1173&lt;0,"Refund (not counted)",IF(O1173=0,"Zero amount",IF(NOT(ISNUMBER(N1173)),"Bad date",IF(P1173="","NAME NOT ON ROSTER",IF(L1173="","OK",IF(MATCH(L1173,$L$2:$L$3001,0)&lt;ROW()-1,"Duplicate (ignored)","OK"))))))))</f>
        <v/>
      </c>
      <c r="I1173">
        <f>IF(OC_Date=0,"",IF(INDEX('OneCause_Paste'!$A$1173:$AZ$1173,1,OC_Date)="","",INDEX('OneCause_Paste'!$A$1173:$AZ$1173,1,OC_Date)))</f>
        <v/>
      </c>
      <c r="J1173">
        <f>IF(OC_Amt=0,"",IF(INDEX('OneCause_Paste'!$A$1173:$AZ$1173,1,OC_Amt)="","",INDEX('OneCause_Paste'!$A$1173:$AZ$1173,1,OC_Amt)))</f>
        <v/>
      </c>
      <c r="K1173">
        <f>IF(OC_Name=0,"",IF(INDEX('OneCause_Paste'!$A$1173:$AZ$1173,1,OC_Name)="","",INDEX('OneCause_Paste'!$A$1173:$AZ$1173,1,OC_Name)))</f>
        <v/>
      </c>
      <c r="L1173">
        <f>IF(OC_Txn=0,"",IF(INDEX('OneCause_Paste'!$A$1173:$AZ$1173,1,OC_Txn)="","",INDEX('OneCause_Paste'!$A$1173:$AZ$1173,1,OC_Txn)))</f>
        <v/>
      </c>
      <c r="M1173">
        <f>IF(OC_Pay=0,"",IF(INDEX('OneCause_Paste'!$A$1173:$AZ$1173,1,OC_Pay)="","",INDEX('OneCause_Paste'!$A$1173:$AZ$1173,1,OC_Pay)))</f>
        <v/>
      </c>
      <c r="N1173">
        <f>IF(I1173="","",IF(ISNUMBER(I1173),INT(I1173),IFERROR(INT(DATEVALUE(I1173)),IFERROR(INT(VALUE(I1173)),"bad"))))</f>
        <v/>
      </c>
      <c r="O1173">
        <f>IF(J1173="","",IF(ISNUMBER(J1173),ROUND(J1173,2),IFERROR(ROUND(VALUE(SUBSTITUTE(SUBSTITUTE(SUBSTITUTE(J1173,"$",""),",","")," ","")),2),"bad")))</f>
        <v/>
      </c>
      <c r="P1173">
        <f>IF(TRIM(K1173)="","",IFERROR(MATCH(LOWER(TRIM(K1173)),'Students'!$AH$2:$AH$701,0),IFERROR(MATCH(LOWER(TRIM(K1173)),'Students'!$AF$2:$AF$701,0),IFERROR(MATCH(LOWER(TRIM(K1173)),'Students'!$AG$2:$AG$701,0),""))))</f>
        <v/>
      </c>
      <c r="R1173">
        <f>IF(P1173="","",INDEX('Students'!$AD$2:$AD$701,P1173))</f>
        <v/>
      </c>
      <c r="S1173">
        <f>IF(H1173="OK",O1173,0)</f>
        <v/>
      </c>
      <c r="T1173">
        <f>IF(H1173="OK",N1173,"")</f>
        <v/>
      </c>
      <c r="U1173">
        <f>IF(OC_Donor=0,"",IF(INDEX('OneCause_Paste'!$A$1173:$AZ$1173,1,OC_Donor)="","",INDEX('OneCause_Paste'!$A$1173:$AZ$1173,1,OC_Donor)))</f>
        <v/>
      </c>
    </row>
    <row r="1174">
      <c r="A1174" s="62">
        <f>IF(H1174="","",IF(ISNUMBER(N1174),N1174,I1174))</f>
        <v/>
      </c>
      <c r="B1174">
        <f>IF(H1174="","",U1174)</f>
        <v/>
      </c>
      <c r="C1174">
        <f>IF(H1174="","",IF(P1174="",K1174,INDEX('Students'!$A$2:$A$701,P1174)))</f>
        <v/>
      </c>
      <c r="D1174">
        <f>IF(OR(H1174="",P1174=""),"",INDEX('Students'!$B$2:$B$701,P1174))</f>
        <v/>
      </c>
      <c r="E1174">
        <f>IF(OR(H1174="",P1174=""),"",INDEX('Students'!$C$2:$C$701,P1174))</f>
        <v/>
      </c>
      <c r="F1174" s="48">
        <f>IF(H1174="","",IF(ISNUMBER(O1174),O1174,J1174))</f>
        <v/>
      </c>
      <c r="G1174">
        <f>IF(H1174="","","OneCause")</f>
        <v/>
      </c>
      <c r="H1174">
        <f>IF(AND(I1174="",J1174="",K1174=""),"",IF(NOT(ISNUMBER(O1174)),"Bad amount",IF(O1174&lt;0,"Refund (not counted)",IF(O1174=0,"Zero amount",IF(NOT(ISNUMBER(N1174)),"Bad date",IF(P1174="","NAME NOT ON ROSTER",IF(L1174="","OK",IF(MATCH(L1174,$L$2:$L$3001,0)&lt;ROW()-1,"Duplicate (ignored)","OK"))))))))</f>
        <v/>
      </c>
      <c r="I1174">
        <f>IF(OC_Date=0,"",IF(INDEX('OneCause_Paste'!$A$1174:$AZ$1174,1,OC_Date)="","",INDEX('OneCause_Paste'!$A$1174:$AZ$1174,1,OC_Date)))</f>
        <v/>
      </c>
      <c r="J1174">
        <f>IF(OC_Amt=0,"",IF(INDEX('OneCause_Paste'!$A$1174:$AZ$1174,1,OC_Amt)="","",INDEX('OneCause_Paste'!$A$1174:$AZ$1174,1,OC_Amt)))</f>
        <v/>
      </c>
      <c r="K1174">
        <f>IF(OC_Name=0,"",IF(INDEX('OneCause_Paste'!$A$1174:$AZ$1174,1,OC_Name)="","",INDEX('OneCause_Paste'!$A$1174:$AZ$1174,1,OC_Name)))</f>
        <v/>
      </c>
      <c r="L1174">
        <f>IF(OC_Txn=0,"",IF(INDEX('OneCause_Paste'!$A$1174:$AZ$1174,1,OC_Txn)="","",INDEX('OneCause_Paste'!$A$1174:$AZ$1174,1,OC_Txn)))</f>
        <v/>
      </c>
      <c r="M1174">
        <f>IF(OC_Pay=0,"",IF(INDEX('OneCause_Paste'!$A$1174:$AZ$1174,1,OC_Pay)="","",INDEX('OneCause_Paste'!$A$1174:$AZ$1174,1,OC_Pay)))</f>
        <v/>
      </c>
      <c r="N1174">
        <f>IF(I1174="","",IF(ISNUMBER(I1174),INT(I1174),IFERROR(INT(DATEVALUE(I1174)),IFERROR(INT(VALUE(I1174)),"bad"))))</f>
        <v/>
      </c>
      <c r="O1174">
        <f>IF(J1174="","",IF(ISNUMBER(J1174),ROUND(J1174,2),IFERROR(ROUND(VALUE(SUBSTITUTE(SUBSTITUTE(SUBSTITUTE(J1174,"$",""),",","")," ","")),2),"bad")))</f>
        <v/>
      </c>
      <c r="P1174">
        <f>IF(TRIM(K1174)="","",IFERROR(MATCH(LOWER(TRIM(K1174)),'Students'!$AH$2:$AH$701,0),IFERROR(MATCH(LOWER(TRIM(K1174)),'Students'!$AF$2:$AF$701,0),IFERROR(MATCH(LOWER(TRIM(K1174)),'Students'!$AG$2:$AG$701,0),""))))</f>
        <v/>
      </c>
      <c r="R1174">
        <f>IF(P1174="","",INDEX('Students'!$AD$2:$AD$701,P1174))</f>
        <v/>
      </c>
      <c r="S1174">
        <f>IF(H1174="OK",O1174,0)</f>
        <v/>
      </c>
      <c r="T1174">
        <f>IF(H1174="OK",N1174,"")</f>
        <v/>
      </c>
      <c r="U1174">
        <f>IF(OC_Donor=0,"",IF(INDEX('OneCause_Paste'!$A$1174:$AZ$1174,1,OC_Donor)="","",INDEX('OneCause_Paste'!$A$1174:$AZ$1174,1,OC_Donor)))</f>
        <v/>
      </c>
    </row>
    <row r="1175">
      <c r="A1175" s="62">
        <f>IF(H1175="","",IF(ISNUMBER(N1175),N1175,I1175))</f>
        <v/>
      </c>
      <c r="B1175">
        <f>IF(H1175="","",U1175)</f>
        <v/>
      </c>
      <c r="C1175">
        <f>IF(H1175="","",IF(P1175="",K1175,INDEX('Students'!$A$2:$A$701,P1175)))</f>
        <v/>
      </c>
      <c r="D1175">
        <f>IF(OR(H1175="",P1175=""),"",INDEX('Students'!$B$2:$B$701,P1175))</f>
        <v/>
      </c>
      <c r="E1175">
        <f>IF(OR(H1175="",P1175=""),"",INDEX('Students'!$C$2:$C$701,P1175))</f>
        <v/>
      </c>
      <c r="F1175" s="48">
        <f>IF(H1175="","",IF(ISNUMBER(O1175),O1175,J1175))</f>
        <v/>
      </c>
      <c r="G1175">
        <f>IF(H1175="","","OneCause")</f>
        <v/>
      </c>
      <c r="H1175">
        <f>IF(AND(I1175="",J1175="",K1175=""),"",IF(NOT(ISNUMBER(O1175)),"Bad amount",IF(O1175&lt;0,"Refund (not counted)",IF(O1175=0,"Zero amount",IF(NOT(ISNUMBER(N1175)),"Bad date",IF(P1175="","NAME NOT ON ROSTER",IF(L1175="","OK",IF(MATCH(L1175,$L$2:$L$3001,0)&lt;ROW()-1,"Duplicate (ignored)","OK"))))))))</f>
        <v/>
      </c>
      <c r="I1175">
        <f>IF(OC_Date=0,"",IF(INDEX('OneCause_Paste'!$A$1175:$AZ$1175,1,OC_Date)="","",INDEX('OneCause_Paste'!$A$1175:$AZ$1175,1,OC_Date)))</f>
        <v/>
      </c>
      <c r="J1175">
        <f>IF(OC_Amt=0,"",IF(INDEX('OneCause_Paste'!$A$1175:$AZ$1175,1,OC_Amt)="","",INDEX('OneCause_Paste'!$A$1175:$AZ$1175,1,OC_Amt)))</f>
        <v/>
      </c>
      <c r="K1175">
        <f>IF(OC_Name=0,"",IF(INDEX('OneCause_Paste'!$A$1175:$AZ$1175,1,OC_Name)="","",INDEX('OneCause_Paste'!$A$1175:$AZ$1175,1,OC_Name)))</f>
        <v/>
      </c>
      <c r="L1175">
        <f>IF(OC_Txn=0,"",IF(INDEX('OneCause_Paste'!$A$1175:$AZ$1175,1,OC_Txn)="","",INDEX('OneCause_Paste'!$A$1175:$AZ$1175,1,OC_Txn)))</f>
        <v/>
      </c>
      <c r="M1175">
        <f>IF(OC_Pay=0,"",IF(INDEX('OneCause_Paste'!$A$1175:$AZ$1175,1,OC_Pay)="","",INDEX('OneCause_Paste'!$A$1175:$AZ$1175,1,OC_Pay)))</f>
        <v/>
      </c>
      <c r="N1175">
        <f>IF(I1175="","",IF(ISNUMBER(I1175),INT(I1175),IFERROR(INT(DATEVALUE(I1175)),IFERROR(INT(VALUE(I1175)),"bad"))))</f>
        <v/>
      </c>
      <c r="O1175">
        <f>IF(J1175="","",IF(ISNUMBER(J1175),ROUND(J1175,2),IFERROR(ROUND(VALUE(SUBSTITUTE(SUBSTITUTE(SUBSTITUTE(J1175,"$",""),",","")," ","")),2),"bad")))</f>
        <v/>
      </c>
      <c r="P1175">
        <f>IF(TRIM(K1175)="","",IFERROR(MATCH(LOWER(TRIM(K1175)),'Students'!$AH$2:$AH$701,0),IFERROR(MATCH(LOWER(TRIM(K1175)),'Students'!$AF$2:$AF$701,0),IFERROR(MATCH(LOWER(TRIM(K1175)),'Students'!$AG$2:$AG$701,0),""))))</f>
        <v/>
      </c>
      <c r="R1175">
        <f>IF(P1175="","",INDEX('Students'!$AD$2:$AD$701,P1175))</f>
        <v/>
      </c>
      <c r="S1175">
        <f>IF(H1175="OK",O1175,0)</f>
        <v/>
      </c>
      <c r="T1175">
        <f>IF(H1175="OK",N1175,"")</f>
        <v/>
      </c>
      <c r="U1175">
        <f>IF(OC_Donor=0,"",IF(INDEX('OneCause_Paste'!$A$1175:$AZ$1175,1,OC_Donor)="","",INDEX('OneCause_Paste'!$A$1175:$AZ$1175,1,OC_Donor)))</f>
        <v/>
      </c>
    </row>
    <row r="1176">
      <c r="A1176" s="62">
        <f>IF(H1176="","",IF(ISNUMBER(N1176),N1176,I1176))</f>
        <v/>
      </c>
      <c r="B1176">
        <f>IF(H1176="","",U1176)</f>
        <v/>
      </c>
      <c r="C1176">
        <f>IF(H1176="","",IF(P1176="",K1176,INDEX('Students'!$A$2:$A$701,P1176)))</f>
        <v/>
      </c>
      <c r="D1176">
        <f>IF(OR(H1176="",P1176=""),"",INDEX('Students'!$B$2:$B$701,P1176))</f>
        <v/>
      </c>
      <c r="E1176">
        <f>IF(OR(H1176="",P1176=""),"",INDEX('Students'!$C$2:$C$701,P1176))</f>
        <v/>
      </c>
      <c r="F1176" s="48">
        <f>IF(H1176="","",IF(ISNUMBER(O1176),O1176,J1176))</f>
        <v/>
      </c>
      <c r="G1176">
        <f>IF(H1176="","","OneCause")</f>
        <v/>
      </c>
      <c r="H1176">
        <f>IF(AND(I1176="",J1176="",K1176=""),"",IF(NOT(ISNUMBER(O1176)),"Bad amount",IF(O1176&lt;0,"Refund (not counted)",IF(O1176=0,"Zero amount",IF(NOT(ISNUMBER(N1176)),"Bad date",IF(P1176="","NAME NOT ON ROSTER",IF(L1176="","OK",IF(MATCH(L1176,$L$2:$L$3001,0)&lt;ROW()-1,"Duplicate (ignored)","OK"))))))))</f>
        <v/>
      </c>
      <c r="I1176">
        <f>IF(OC_Date=0,"",IF(INDEX('OneCause_Paste'!$A$1176:$AZ$1176,1,OC_Date)="","",INDEX('OneCause_Paste'!$A$1176:$AZ$1176,1,OC_Date)))</f>
        <v/>
      </c>
      <c r="J1176">
        <f>IF(OC_Amt=0,"",IF(INDEX('OneCause_Paste'!$A$1176:$AZ$1176,1,OC_Amt)="","",INDEX('OneCause_Paste'!$A$1176:$AZ$1176,1,OC_Amt)))</f>
        <v/>
      </c>
      <c r="K1176">
        <f>IF(OC_Name=0,"",IF(INDEX('OneCause_Paste'!$A$1176:$AZ$1176,1,OC_Name)="","",INDEX('OneCause_Paste'!$A$1176:$AZ$1176,1,OC_Name)))</f>
        <v/>
      </c>
      <c r="L1176">
        <f>IF(OC_Txn=0,"",IF(INDEX('OneCause_Paste'!$A$1176:$AZ$1176,1,OC_Txn)="","",INDEX('OneCause_Paste'!$A$1176:$AZ$1176,1,OC_Txn)))</f>
        <v/>
      </c>
      <c r="M1176">
        <f>IF(OC_Pay=0,"",IF(INDEX('OneCause_Paste'!$A$1176:$AZ$1176,1,OC_Pay)="","",INDEX('OneCause_Paste'!$A$1176:$AZ$1176,1,OC_Pay)))</f>
        <v/>
      </c>
      <c r="N1176">
        <f>IF(I1176="","",IF(ISNUMBER(I1176),INT(I1176),IFERROR(INT(DATEVALUE(I1176)),IFERROR(INT(VALUE(I1176)),"bad"))))</f>
        <v/>
      </c>
      <c r="O1176">
        <f>IF(J1176="","",IF(ISNUMBER(J1176),ROUND(J1176,2),IFERROR(ROUND(VALUE(SUBSTITUTE(SUBSTITUTE(SUBSTITUTE(J1176,"$",""),",","")," ","")),2),"bad")))</f>
        <v/>
      </c>
      <c r="P1176">
        <f>IF(TRIM(K1176)="","",IFERROR(MATCH(LOWER(TRIM(K1176)),'Students'!$AH$2:$AH$701,0),IFERROR(MATCH(LOWER(TRIM(K1176)),'Students'!$AF$2:$AF$701,0),IFERROR(MATCH(LOWER(TRIM(K1176)),'Students'!$AG$2:$AG$701,0),""))))</f>
        <v/>
      </c>
      <c r="R1176">
        <f>IF(P1176="","",INDEX('Students'!$AD$2:$AD$701,P1176))</f>
        <v/>
      </c>
      <c r="S1176">
        <f>IF(H1176="OK",O1176,0)</f>
        <v/>
      </c>
      <c r="T1176">
        <f>IF(H1176="OK",N1176,"")</f>
        <v/>
      </c>
      <c r="U1176">
        <f>IF(OC_Donor=0,"",IF(INDEX('OneCause_Paste'!$A$1176:$AZ$1176,1,OC_Donor)="","",INDEX('OneCause_Paste'!$A$1176:$AZ$1176,1,OC_Donor)))</f>
        <v/>
      </c>
    </row>
    <row r="1177">
      <c r="A1177" s="62">
        <f>IF(H1177="","",IF(ISNUMBER(N1177),N1177,I1177))</f>
        <v/>
      </c>
      <c r="B1177">
        <f>IF(H1177="","",U1177)</f>
        <v/>
      </c>
      <c r="C1177">
        <f>IF(H1177="","",IF(P1177="",K1177,INDEX('Students'!$A$2:$A$701,P1177)))</f>
        <v/>
      </c>
      <c r="D1177">
        <f>IF(OR(H1177="",P1177=""),"",INDEX('Students'!$B$2:$B$701,P1177))</f>
        <v/>
      </c>
      <c r="E1177">
        <f>IF(OR(H1177="",P1177=""),"",INDEX('Students'!$C$2:$C$701,P1177))</f>
        <v/>
      </c>
      <c r="F1177" s="48">
        <f>IF(H1177="","",IF(ISNUMBER(O1177),O1177,J1177))</f>
        <v/>
      </c>
      <c r="G1177">
        <f>IF(H1177="","","OneCause")</f>
        <v/>
      </c>
      <c r="H1177">
        <f>IF(AND(I1177="",J1177="",K1177=""),"",IF(NOT(ISNUMBER(O1177)),"Bad amount",IF(O1177&lt;0,"Refund (not counted)",IF(O1177=0,"Zero amount",IF(NOT(ISNUMBER(N1177)),"Bad date",IF(P1177="","NAME NOT ON ROSTER",IF(L1177="","OK",IF(MATCH(L1177,$L$2:$L$3001,0)&lt;ROW()-1,"Duplicate (ignored)","OK"))))))))</f>
        <v/>
      </c>
      <c r="I1177">
        <f>IF(OC_Date=0,"",IF(INDEX('OneCause_Paste'!$A$1177:$AZ$1177,1,OC_Date)="","",INDEX('OneCause_Paste'!$A$1177:$AZ$1177,1,OC_Date)))</f>
        <v/>
      </c>
      <c r="J1177">
        <f>IF(OC_Amt=0,"",IF(INDEX('OneCause_Paste'!$A$1177:$AZ$1177,1,OC_Amt)="","",INDEX('OneCause_Paste'!$A$1177:$AZ$1177,1,OC_Amt)))</f>
        <v/>
      </c>
      <c r="K1177">
        <f>IF(OC_Name=0,"",IF(INDEX('OneCause_Paste'!$A$1177:$AZ$1177,1,OC_Name)="","",INDEX('OneCause_Paste'!$A$1177:$AZ$1177,1,OC_Name)))</f>
        <v/>
      </c>
      <c r="L1177">
        <f>IF(OC_Txn=0,"",IF(INDEX('OneCause_Paste'!$A$1177:$AZ$1177,1,OC_Txn)="","",INDEX('OneCause_Paste'!$A$1177:$AZ$1177,1,OC_Txn)))</f>
        <v/>
      </c>
      <c r="M1177">
        <f>IF(OC_Pay=0,"",IF(INDEX('OneCause_Paste'!$A$1177:$AZ$1177,1,OC_Pay)="","",INDEX('OneCause_Paste'!$A$1177:$AZ$1177,1,OC_Pay)))</f>
        <v/>
      </c>
      <c r="N1177">
        <f>IF(I1177="","",IF(ISNUMBER(I1177),INT(I1177),IFERROR(INT(DATEVALUE(I1177)),IFERROR(INT(VALUE(I1177)),"bad"))))</f>
        <v/>
      </c>
      <c r="O1177">
        <f>IF(J1177="","",IF(ISNUMBER(J1177),ROUND(J1177,2),IFERROR(ROUND(VALUE(SUBSTITUTE(SUBSTITUTE(SUBSTITUTE(J1177,"$",""),",","")," ","")),2),"bad")))</f>
        <v/>
      </c>
      <c r="P1177">
        <f>IF(TRIM(K1177)="","",IFERROR(MATCH(LOWER(TRIM(K1177)),'Students'!$AH$2:$AH$701,0),IFERROR(MATCH(LOWER(TRIM(K1177)),'Students'!$AF$2:$AF$701,0),IFERROR(MATCH(LOWER(TRIM(K1177)),'Students'!$AG$2:$AG$701,0),""))))</f>
        <v/>
      </c>
      <c r="R1177">
        <f>IF(P1177="","",INDEX('Students'!$AD$2:$AD$701,P1177))</f>
        <v/>
      </c>
      <c r="S1177">
        <f>IF(H1177="OK",O1177,0)</f>
        <v/>
      </c>
      <c r="T1177">
        <f>IF(H1177="OK",N1177,"")</f>
        <v/>
      </c>
      <c r="U1177">
        <f>IF(OC_Donor=0,"",IF(INDEX('OneCause_Paste'!$A$1177:$AZ$1177,1,OC_Donor)="","",INDEX('OneCause_Paste'!$A$1177:$AZ$1177,1,OC_Donor)))</f>
        <v/>
      </c>
    </row>
    <row r="1178">
      <c r="A1178" s="62">
        <f>IF(H1178="","",IF(ISNUMBER(N1178),N1178,I1178))</f>
        <v/>
      </c>
      <c r="B1178">
        <f>IF(H1178="","",U1178)</f>
        <v/>
      </c>
      <c r="C1178">
        <f>IF(H1178="","",IF(P1178="",K1178,INDEX('Students'!$A$2:$A$701,P1178)))</f>
        <v/>
      </c>
      <c r="D1178">
        <f>IF(OR(H1178="",P1178=""),"",INDEX('Students'!$B$2:$B$701,P1178))</f>
        <v/>
      </c>
      <c r="E1178">
        <f>IF(OR(H1178="",P1178=""),"",INDEX('Students'!$C$2:$C$701,P1178))</f>
        <v/>
      </c>
      <c r="F1178" s="48">
        <f>IF(H1178="","",IF(ISNUMBER(O1178),O1178,J1178))</f>
        <v/>
      </c>
      <c r="G1178">
        <f>IF(H1178="","","OneCause")</f>
        <v/>
      </c>
      <c r="H1178">
        <f>IF(AND(I1178="",J1178="",K1178=""),"",IF(NOT(ISNUMBER(O1178)),"Bad amount",IF(O1178&lt;0,"Refund (not counted)",IF(O1178=0,"Zero amount",IF(NOT(ISNUMBER(N1178)),"Bad date",IF(P1178="","NAME NOT ON ROSTER",IF(L1178="","OK",IF(MATCH(L1178,$L$2:$L$3001,0)&lt;ROW()-1,"Duplicate (ignored)","OK"))))))))</f>
        <v/>
      </c>
      <c r="I1178">
        <f>IF(OC_Date=0,"",IF(INDEX('OneCause_Paste'!$A$1178:$AZ$1178,1,OC_Date)="","",INDEX('OneCause_Paste'!$A$1178:$AZ$1178,1,OC_Date)))</f>
        <v/>
      </c>
      <c r="J1178">
        <f>IF(OC_Amt=0,"",IF(INDEX('OneCause_Paste'!$A$1178:$AZ$1178,1,OC_Amt)="","",INDEX('OneCause_Paste'!$A$1178:$AZ$1178,1,OC_Amt)))</f>
        <v/>
      </c>
      <c r="K1178">
        <f>IF(OC_Name=0,"",IF(INDEX('OneCause_Paste'!$A$1178:$AZ$1178,1,OC_Name)="","",INDEX('OneCause_Paste'!$A$1178:$AZ$1178,1,OC_Name)))</f>
        <v/>
      </c>
      <c r="L1178">
        <f>IF(OC_Txn=0,"",IF(INDEX('OneCause_Paste'!$A$1178:$AZ$1178,1,OC_Txn)="","",INDEX('OneCause_Paste'!$A$1178:$AZ$1178,1,OC_Txn)))</f>
        <v/>
      </c>
      <c r="M1178">
        <f>IF(OC_Pay=0,"",IF(INDEX('OneCause_Paste'!$A$1178:$AZ$1178,1,OC_Pay)="","",INDEX('OneCause_Paste'!$A$1178:$AZ$1178,1,OC_Pay)))</f>
        <v/>
      </c>
      <c r="N1178">
        <f>IF(I1178="","",IF(ISNUMBER(I1178),INT(I1178),IFERROR(INT(DATEVALUE(I1178)),IFERROR(INT(VALUE(I1178)),"bad"))))</f>
        <v/>
      </c>
      <c r="O1178">
        <f>IF(J1178="","",IF(ISNUMBER(J1178),ROUND(J1178,2),IFERROR(ROUND(VALUE(SUBSTITUTE(SUBSTITUTE(SUBSTITUTE(J1178,"$",""),",","")," ","")),2),"bad")))</f>
        <v/>
      </c>
      <c r="P1178">
        <f>IF(TRIM(K1178)="","",IFERROR(MATCH(LOWER(TRIM(K1178)),'Students'!$AH$2:$AH$701,0),IFERROR(MATCH(LOWER(TRIM(K1178)),'Students'!$AF$2:$AF$701,0),IFERROR(MATCH(LOWER(TRIM(K1178)),'Students'!$AG$2:$AG$701,0),""))))</f>
        <v/>
      </c>
      <c r="R1178">
        <f>IF(P1178="","",INDEX('Students'!$AD$2:$AD$701,P1178))</f>
        <v/>
      </c>
      <c r="S1178">
        <f>IF(H1178="OK",O1178,0)</f>
        <v/>
      </c>
      <c r="T1178">
        <f>IF(H1178="OK",N1178,"")</f>
        <v/>
      </c>
      <c r="U1178">
        <f>IF(OC_Donor=0,"",IF(INDEX('OneCause_Paste'!$A$1178:$AZ$1178,1,OC_Donor)="","",INDEX('OneCause_Paste'!$A$1178:$AZ$1178,1,OC_Donor)))</f>
        <v/>
      </c>
    </row>
    <row r="1179">
      <c r="A1179" s="62">
        <f>IF(H1179="","",IF(ISNUMBER(N1179),N1179,I1179))</f>
        <v/>
      </c>
      <c r="B1179">
        <f>IF(H1179="","",U1179)</f>
        <v/>
      </c>
      <c r="C1179">
        <f>IF(H1179="","",IF(P1179="",K1179,INDEX('Students'!$A$2:$A$701,P1179)))</f>
        <v/>
      </c>
      <c r="D1179">
        <f>IF(OR(H1179="",P1179=""),"",INDEX('Students'!$B$2:$B$701,P1179))</f>
        <v/>
      </c>
      <c r="E1179">
        <f>IF(OR(H1179="",P1179=""),"",INDEX('Students'!$C$2:$C$701,P1179))</f>
        <v/>
      </c>
      <c r="F1179" s="48">
        <f>IF(H1179="","",IF(ISNUMBER(O1179),O1179,J1179))</f>
        <v/>
      </c>
      <c r="G1179">
        <f>IF(H1179="","","OneCause")</f>
        <v/>
      </c>
      <c r="H1179">
        <f>IF(AND(I1179="",J1179="",K1179=""),"",IF(NOT(ISNUMBER(O1179)),"Bad amount",IF(O1179&lt;0,"Refund (not counted)",IF(O1179=0,"Zero amount",IF(NOT(ISNUMBER(N1179)),"Bad date",IF(P1179="","NAME NOT ON ROSTER",IF(L1179="","OK",IF(MATCH(L1179,$L$2:$L$3001,0)&lt;ROW()-1,"Duplicate (ignored)","OK"))))))))</f>
        <v/>
      </c>
      <c r="I1179">
        <f>IF(OC_Date=0,"",IF(INDEX('OneCause_Paste'!$A$1179:$AZ$1179,1,OC_Date)="","",INDEX('OneCause_Paste'!$A$1179:$AZ$1179,1,OC_Date)))</f>
        <v/>
      </c>
      <c r="J1179">
        <f>IF(OC_Amt=0,"",IF(INDEX('OneCause_Paste'!$A$1179:$AZ$1179,1,OC_Amt)="","",INDEX('OneCause_Paste'!$A$1179:$AZ$1179,1,OC_Amt)))</f>
        <v/>
      </c>
      <c r="K1179">
        <f>IF(OC_Name=0,"",IF(INDEX('OneCause_Paste'!$A$1179:$AZ$1179,1,OC_Name)="","",INDEX('OneCause_Paste'!$A$1179:$AZ$1179,1,OC_Name)))</f>
        <v/>
      </c>
      <c r="L1179">
        <f>IF(OC_Txn=0,"",IF(INDEX('OneCause_Paste'!$A$1179:$AZ$1179,1,OC_Txn)="","",INDEX('OneCause_Paste'!$A$1179:$AZ$1179,1,OC_Txn)))</f>
        <v/>
      </c>
      <c r="M1179">
        <f>IF(OC_Pay=0,"",IF(INDEX('OneCause_Paste'!$A$1179:$AZ$1179,1,OC_Pay)="","",INDEX('OneCause_Paste'!$A$1179:$AZ$1179,1,OC_Pay)))</f>
        <v/>
      </c>
      <c r="N1179">
        <f>IF(I1179="","",IF(ISNUMBER(I1179),INT(I1179),IFERROR(INT(DATEVALUE(I1179)),IFERROR(INT(VALUE(I1179)),"bad"))))</f>
        <v/>
      </c>
      <c r="O1179">
        <f>IF(J1179="","",IF(ISNUMBER(J1179),ROUND(J1179,2),IFERROR(ROUND(VALUE(SUBSTITUTE(SUBSTITUTE(SUBSTITUTE(J1179,"$",""),",","")," ","")),2),"bad")))</f>
        <v/>
      </c>
      <c r="P1179">
        <f>IF(TRIM(K1179)="","",IFERROR(MATCH(LOWER(TRIM(K1179)),'Students'!$AH$2:$AH$701,0),IFERROR(MATCH(LOWER(TRIM(K1179)),'Students'!$AF$2:$AF$701,0),IFERROR(MATCH(LOWER(TRIM(K1179)),'Students'!$AG$2:$AG$701,0),""))))</f>
        <v/>
      </c>
      <c r="R1179">
        <f>IF(P1179="","",INDEX('Students'!$AD$2:$AD$701,P1179))</f>
        <v/>
      </c>
      <c r="S1179">
        <f>IF(H1179="OK",O1179,0)</f>
        <v/>
      </c>
      <c r="T1179">
        <f>IF(H1179="OK",N1179,"")</f>
        <v/>
      </c>
      <c r="U1179">
        <f>IF(OC_Donor=0,"",IF(INDEX('OneCause_Paste'!$A$1179:$AZ$1179,1,OC_Donor)="","",INDEX('OneCause_Paste'!$A$1179:$AZ$1179,1,OC_Donor)))</f>
        <v/>
      </c>
    </row>
    <row r="1180">
      <c r="A1180" s="62">
        <f>IF(H1180="","",IF(ISNUMBER(N1180),N1180,I1180))</f>
        <v/>
      </c>
      <c r="B1180">
        <f>IF(H1180="","",U1180)</f>
        <v/>
      </c>
      <c r="C1180">
        <f>IF(H1180="","",IF(P1180="",K1180,INDEX('Students'!$A$2:$A$701,P1180)))</f>
        <v/>
      </c>
      <c r="D1180">
        <f>IF(OR(H1180="",P1180=""),"",INDEX('Students'!$B$2:$B$701,P1180))</f>
        <v/>
      </c>
      <c r="E1180">
        <f>IF(OR(H1180="",P1180=""),"",INDEX('Students'!$C$2:$C$701,P1180))</f>
        <v/>
      </c>
      <c r="F1180" s="48">
        <f>IF(H1180="","",IF(ISNUMBER(O1180),O1180,J1180))</f>
        <v/>
      </c>
      <c r="G1180">
        <f>IF(H1180="","","OneCause")</f>
        <v/>
      </c>
      <c r="H1180">
        <f>IF(AND(I1180="",J1180="",K1180=""),"",IF(NOT(ISNUMBER(O1180)),"Bad amount",IF(O1180&lt;0,"Refund (not counted)",IF(O1180=0,"Zero amount",IF(NOT(ISNUMBER(N1180)),"Bad date",IF(P1180="","NAME NOT ON ROSTER",IF(L1180="","OK",IF(MATCH(L1180,$L$2:$L$3001,0)&lt;ROW()-1,"Duplicate (ignored)","OK"))))))))</f>
        <v/>
      </c>
      <c r="I1180">
        <f>IF(OC_Date=0,"",IF(INDEX('OneCause_Paste'!$A$1180:$AZ$1180,1,OC_Date)="","",INDEX('OneCause_Paste'!$A$1180:$AZ$1180,1,OC_Date)))</f>
        <v/>
      </c>
      <c r="J1180">
        <f>IF(OC_Amt=0,"",IF(INDEX('OneCause_Paste'!$A$1180:$AZ$1180,1,OC_Amt)="","",INDEX('OneCause_Paste'!$A$1180:$AZ$1180,1,OC_Amt)))</f>
        <v/>
      </c>
      <c r="K1180">
        <f>IF(OC_Name=0,"",IF(INDEX('OneCause_Paste'!$A$1180:$AZ$1180,1,OC_Name)="","",INDEX('OneCause_Paste'!$A$1180:$AZ$1180,1,OC_Name)))</f>
        <v/>
      </c>
      <c r="L1180">
        <f>IF(OC_Txn=0,"",IF(INDEX('OneCause_Paste'!$A$1180:$AZ$1180,1,OC_Txn)="","",INDEX('OneCause_Paste'!$A$1180:$AZ$1180,1,OC_Txn)))</f>
        <v/>
      </c>
      <c r="M1180">
        <f>IF(OC_Pay=0,"",IF(INDEX('OneCause_Paste'!$A$1180:$AZ$1180,1,OC_Pay)="","",INDEX('OneCause_Paste'!$A$1180:$AZ$1180,1,OC_Pay)))</f>
        <v/>
      </c>
      <c r="N1180">
        <f>IF(I1180="","",IF(ISNUMBER(I1180),INT(I1180),IFERROR(INT(DATEVALUE(I1180)),IFERROR(INT(VALUE(I1180)),"bad"))))</f>
        <v/>
      </c>
      <c r="O1180">
        <f>IF(J1180="","",IF(ISNUMBER(J1180),ROUND(J1180,2),IFERROR(ROUND(VALUE(SUBSTITUTE(SUBSTITUTE(SUBSTITUTE(J1180,"$",""),",","")," ","")),2),"bad")))</f>
        <v/>
      </c>
      <c r="P1180">
        <f>IF(TRIM(K1180)="","",IFERROR(MATCH(LOWER(TRIM(K1180)),'Students'!$AH$2:$AH$701,0),IFERROR(MATCH(LOWER(TRIM(K1180)),'Students'!$AF$2:$AF$701,0),IFERROR(MATCH(LOWER(TRIM(K1180)),'Students'!$AG$2:$AG$701,0),""))))</f>
        <v/>
      </c>
      <c r="R1180">
        <f>IF(P1180="","",INDEX('Students'!$AD$2:$AD$701,P1180))</f>
        <v/>
      </c>
      <c r="S1180">
        <f>IF(H1180="OK",O1180,0)</f>
        <v/>
      </c>
      <c r="T1180">
        <f>IF(H1180="OK",N1180,"")</f>
        <v/>
      </c>
      <c r="U1180">
        <f>IF(OC_Donor=0,"",IF(INDEX('OneCause_Paste'!$A$1180:$AZ$1180,1,OC_Donor)="","",INDEX('OneCause_Paste'!$A$1180:$AZ$1180,1,OC_Donor)))</f>
        <v/>
      </c>
    </row>
    <row r="1181">
      <c r="A1181" s="62">
        <f>IF(H1181="","",IF(ISNUMBER(N1181),N1181,I1181))</f>
        <v/>
      </c>
      <c r="B1181">
        <f>IF(H1181="","",U1181)</f>
        <v/>
      </c>
      <c r="C1181">
        <f>IF(H1181="","",IF(P1181="",K1181,INDEX('Students'!$A$2:$A$701,P1181)))</f>
        <v/>
      </c>
      <c r="D1181">
        <f>IF(OR(H1181="",P1181=""),"",INDEX('Students'!$B$2:$B$701,P1181))</f>
        <v/>
      </c>
      <c r="E1181">
        <f>IF(OR(H1181="",P1181=""),"",INDEX('Students'!$C$2:$C$701,P1181))</f>
        <v/>
      </c>
      <c r="F1181" s="48">
        <f>IF(H1181="","",IF(ISNUMBER(O1181),O1181,J1181))</f>
        <v/>
      </c>
      <c r="G1181">
        <f>IF(H1181="","","OneCause")</f>
        <v/>
      </c>
      <c r="H1181">
        <f>IF(AND(I1181="",J1181="",K1181=""),"",IF(NOT(ISNUMBER(O1181)),"Bad amount",IF(O1181&lt;0,"Refund (not counted)",IF(O1181=0,"Zero amount",IF(NOT(ISNUMBER(N1181)),"Bad date",IF(P1181="","NAME NOT ON ROSTER",IF(L1181="","OK",IF(MATCH(L1181,$L$2:$L$3001,0)&lt;ROW()-1,"Duplicate (ignored)","OK"))))))))</f>
        <v/>
      </c>
      <c r="I1181">
        <f>IF(OC_Date=0,"",IF(INDEX('OneCause_Paste'!$A$1181:$AZ$1181,1,OC_Date)="","",INDEX('OneCause_Paste'!$A$1181:$AZ$1181,1,OC_Date)))</f>
        <v/>
      </c>
      <c r="J1181">
        <f>IF(OC_Amt=0,"",IF(INDEX('OneCause_Paste'!$A$1181:$AZ$1181,1,OC_Amt)="","",INDEX('OneCause_Paste'!$A$1181:$AZ$1181,1,OC_Amt)))</f>
        <v/>
      </c>
      <c r="K1181">
        <f>IF(OC_Name=0,"",IF(INDEX('OneCause_Paste'!$A$1181:$AZ$1181,1,OC_Name)="","",INDEX('OneCause_Paste'!$A$1181:$AZ$1181,1,OC_Name)))</f>
        <v/>
      </c>
      <c r="L1181">
        <f>IF(OC_Txn=0,"",IF(INDEX('OneCause_Paste'!$A$1181:$AZ$1181,1,OC_Txn)="","",INDEX('OneCause_Paste'!$A$1181:$AZ$1181,1,OC_Txn)))</f>
        <v/>
      </c>
      <c r="M1181">
        <f>IF(OC_Pay=0,"",IF(INDEX('OneCause_Paste'!$A$1181:$AZ$1181,1,OC_Pay)="","",INDEX('OneCause_Paste'!$A$1181:$AZ$1181,1,OC_Pay)))</f>
        <v/>
      </c>
      <c r="N1181">
        <f>IF(I1181="","",IF(ISNUMBER(I1181),INT(I1181),IFERROR(INT(DATEVALUE(I1181)),IFERROR(INT(VALUE(I1181)),"bad"))))</f>
        <v/>
      </c>
      <c r="O1181">
        <f>IF(J1181="","",IF(ISNUMBER(J1181),ROUND(J1181,2),IFERROR(ROUND(VALUE(SUBSTITUTE(SUBSTITUTE(SUBSTITUTE(J1181,"$",""),",","")," ","")),2),"bad")))</f>
        <v/>
      </c>
      <c r="P1181">
        <f>IF(TRIM(K1181)="","",IFERROR(MATCH(LOWER(TRIM(K1181)),'Students'!$AH$2:$AH$701,0),IFERROR(MATCH(LOWER(TRIM(K1181)),'Students'!$AF$2:$AF$701,0),IFERROR(MATCH(LOWER(TRIM(K1181)),'Students'!$AG$2:$AG$701,0),""))))</f>
        <v/>
      </c>
      <c r="R1181">
        <f>IF(P1181="","",INDEX('Students'!$AD$2:$AD$701,P1181))</f>
        <v/>
      </c>
      <c r="S1181">
        <f>IF(H1181="OK",O1181,0)</f>
        <v/>
      </c>
      <c r="T1181">
        <f>IF(H1181="OK",N1181,"")</f>
        <v/>
      </c>
      <c r="U1181">
        <f>IF(OC_Donor=0,"",IF(INDEX('OneCause_Paste'!$A$1181:$AZ$1181,1,OC_Donor)="","",INDEX('OneCause_Paste'!$A$1181:$AZ$1181,1,OC_Donor)))</f>
        <v/>
      </c>
    </row>
    <row r="1182">
      <c r="A1182" s="62">
        <f>IF(H1182="","",IF(ISNUMBER(N1182),N1182,I1182))</f>
        <v/>
      </c>
      <c r="B1182">
        <f>IF(H1182="","",U1182)</f>
        <v/>
      </c>
      <c r="C1182">
        <f>IF(H1182="","",IF(P1182="",K1182,INDEX('Students'!$A$2:$A$701,P1182)))</f>
        <v/>
      </c>
      <c r="D1182">
        <f>IF(OR(H1182="",P1182=""),"",INDEX('Students'!$B$2:$B$701,P1182))</f>
        <v/>
      </c>
      <c r="E1182">
        <f>IF(OR(H1182="",P1182=""),"",INDEX('Students'!$C$2:$C$701,P1182))</f>
        <v/>
      </c>
      <c r="F1182" s="48">
        <f>IF(H1182="","",IF(ISNUMBER(O1182),O1182,J1182))</f>
        <v/>
      </c>
      <c r="G1182">
        <f>IF(H1182="","","OneCause")</f>
        <v/>
      </c>
      <c r="H1182">
        <f>IF(AND(I1182="",J1182="",K1182=""),"",IF(NOT(ISNUMBER(O1182)),"Bad amount",IF(O1182&lt;0,"Refund (not counted)",IF(O1182=0,"Zero amount",IF(NOT(ISNUMBER(N1182)),"Bad date",IF(P1182="","NAME NOT ON ROSTER",IF(L1182="","OK",IF(MATCH(L1182,$L$2:$L$3001,0)&lt;ROW()-1,"Duplicate (ignored)","OK"))))))))</f>
        <v/>
      </c>
      <c r="I1182">
        <f>IF(OC_Date=0,"",IF(INDEX('OneCause_Paste'!$A$1182:$AZ$1182,1,OC_Date)="","",INDEX('OneCause_Paste'!$A$1182:$AZ$1182,1,OC_Date)))</f>
        <v/>
      </c>
      <c r="J1182">
        <f>IF(OC_Amt=0,"",IF(INDEX('OneCause_Paste'!$A$1182:$AZ$1182,1,OC_Amt)="","",INDEX('OneCause_Paste'!$A$1182:$AZ$1182,1,OC_Amt)))</f>
        <v/>
      </c>
      <c r="K1182">
        <f>IF(OC_Name=0,"",IF(INDEX('OneCause_Paste'!$A$1182:$AZ$1182,1,OC_Name)="","",INDEX('OneCause_Paste'!$A$1182:$AZ$1182,1,OC_Name)))</f>
        <v/>
      </c>
      <c r="L1182">
        <f>IF(OC_Txn=0,"",IF(INDEX('OneCause_Paste'!$A$1182:$AZ$1182,1,OC_Txn)="","",INDEX('OneCause_Paste'!$A$1182:$AZ$1182,1,OC_Txn)))</f>
        <v/>
      </c>
      <c r="M1182">
        <f>IF(OC_Pay=0,"",IF(INDEX('OneCause_Paste'!$A$1182:$AZ$1182,1,OC_Pay)="","",INDEX('OneCause_Paste'!$A$1182:$AZ$1182,1,OC_Pay)))</f>
        <v/>
      </c>
      <c r="N1182">
        <f>IF(I1182="","",IF(ISNUMBER(I1182),INT(I1182),IFERROR(INT(DATEVALUE(I1182)),IFERROR(INT(VALUE(I1182)),"bad"))))</f>
        <v/>
      </c>
      <c r="O1182">
        <f>IF(J1182="","",IF(ISNUMBER(J1182),ROUND(J1182,2),IFERROR(ROUND(VALUE(SUBSTITUTE(SUBSTITUTE(SUBSTITUTE(J1182,"$",""),",","")," ","")),2),"bad")))</f>
        <v/>
      </c>
      <c r="P1182">
        <f>IF(TRIM(K1182)="","",IFERROR(MATCH(LOWER(TRIM(K1182)),'Students'!$AH$2:$AH$701,0),IFERROR(MATCH(LOWER(TRIM(K1182)),'Students'!$AF$2:$AF$701,0),IFERROR(MATCH(LOWER(TRIM(K1182)),'Students'!$AG$2:$AG$701,0),""))))</f>
        <v/>
      </c>
      <c r="R1182">
        <f>IF(P1182="","",INDEX('Students'!$AD$2:$AD$701,P1182))</f>
        <v/>
      </c>
      <c r="S1182">
        <f>IF(H1182="OK",O1182,0)</f>
        <v/>
      </c>
      <c r="T1182">
        <f>IF(H1182="OK",N1182,"")</f>
        <v/>
      </c>
      <c r="U1182">
        <f>IF(OC_Donor=0,"",IF(INDEX('OneCause_Paste'!$A$1182:$AZ$1182,1,OC_Donor)="","",INDEX('OneCause_Paste'!$A$1182:$AZ$1182,1,OC_Donor)))</f>
        <v/>
      </c>
    </row>
    <row r="1183">
      <c r="A1183" s="62">
        <f>IF(H1183="","",IF(ISNUMBER(N1183),N1183,I1183))</f>
        <v/>
      </c>
      <c r="B1183">
        <f>IF(H1183="","",U1183)</f>
        <v/>
      </c>
      <c r="C1183">
        <f>IF(H1183="","",IF(P1183="",K1183,INDEX('Students'!$A$2:$A$701,P1183)))</f>
        <v/>
      </c>
      <c r="D1183">
        <f>IF(OR(H1183="",P1183=""),"",INDEX('Students'!$B$2:$B$701,P1183))</f>
        <v/>
      </c>
      <c r="E1183">
        <f>IF(OR(H1183="",P1183=""),"",INDEX('Students'!$C$2:$C$701,P1183))</f>
        <v/>
      </c>
      <c r="F1183" s="48">
        <f>IF(H1183="","",IF(ISNUMBER(O1183),O1183,J1183))</f>
        <v/>
      </c>
      <c r="G1183">
        <f>IF(H1183="","","OneCause")</f>
        <v/>
      </c>
      <c r="H1183">
        <f>IF(AND(I1183="",J1183="",K1183=""),"",IF(NOT(ISNUMBER(O1183)),"Bad amount",IF(O1183&lt;0,"Refund (not counted)",IF(O1183=0,"Zero amount",IF(NOT(ISNUMBER(N1183)),"Bad date",IF(P1183="","NAME NOT ON ROSTER",IF(L1183="","OK",IF(MATCH(L1183,$L$2:$L$3001,0)&lt;ROW()-1,"Duplicate (ignored)","OK"))))))))</f>
        <v/>
      </c>
      <c r="I1183">
        <f>IF(OC_Date=0,"",IF(INDEX('OneCause_Paste'!$A$1183:$AZ$1183,1,OC_Date)="","",INDEX('OneCause_Paste'!$A$1183:$AZ$1183,1,OC_Date)))</f>
        <v/>
      </c>
      <c r="J1183">
        <f>IF(OC_Amt=0,"",IF(INDEX('OneCause_Paste'!$A$1183:$AZ$1183,1,OC_Amt)="","",INDEX('OneCause_Paste'!$A$1183:$AZ$1183,1,OC_Amt)))</f>
        <v/>
      </c>
      <c r="K1183">
        <f>IF(OC_Name=0,"",IF(INDEX('OneCause_Paste'!$A$1183:$AZ$1183,1,OC_Name)="","",INDEX('OneCause_Paste'!$A$1183:$AZ$1183,1,OC_Name)))</f>
        <v/>
      </c>
      <c r="L1183">
        <f>IF(OC_Txn=0,"",IF(INDEX('OneCause_Paste'!$A$1183:$AZ$1183,1,OC_Txn)="","",INDEX('OneCause_Paste'!$A$1183:$AZ$1183,1,OC_Txn)))</f>
        <v/>
      </c>
      <c r="M1183">
        <f>IF(OC_Pay=0,"",IF(INDEX('OneCause_Paste'!$A$1183:$AZ$1183,1,OC_Pay)="","",INDEX('OneCause_Paste'!$A$1183:$AZ$1183,1,OC_Pay)))</f>
        <v/>
      </c>
      <c r="N1183">
        <f>IF(I1183="","",IF(ISNUMBER(I1183),INT(I1183),IFERROR(INT(DATEVALUE(I1183)),IFERROR(INT(VALUE(I1183)),"bad"))))</f>
        <v/>
      </c>
      <c r="O1183">
        <f>IF(J1183="","",IF(ISNUMBER(J1183),ROUND(J1183,2),IFERROR(ROUND(VALUE(SUBSTITUTE(SUBSTITUTE(SUBSTITUTE(J1183,"$",""),",","")," ","")),2),"bad")))</f>
        <v/>
      </c>
      <c r="P1183">
        <f>IF(TRIM(K1183)="","",IFERROR(MATCH(LOWER(TRIM(K1183)),'Students'!$AH$2:$AH$701,0),IFERROR(MATCH(LOWER(TRIM(K1183)),'Students'!$AF$2:$AF$701,0),IFERROR(MATCH(LOWER(TRIM(K1183)),'Students'!$AG$2:$AG$701,0),""))))</f>
        <v/>
      </c>
      <c r="R1183">
        <f>IF(P1183="","",INDEX('Students'!$AD$2:$AD$701,P1183))</f>
        <v/>
      </c>
      <c r="S1183">
        <f>IF(H1183="OK",O1183,0)</f>
        <v/>
      </c>
      <c r="T1183">
        <f>IF(H1183="OK",N1183,"")</f>
        <v/>
      </c>
      <c r="U1183">
        <f>IF(OC_Donor=0,"",IF(INDEX('OneCause_Paste'!$A$1183:$AZ$1183,1,OC_Donor)="","",INDEX('OneCause_Paste'!$A$1183:$AZ$1183,1,OC_Donor)))</f>
        <v/>
      </c>
    </row>
    <row r="1184">
      <c r="A1184" s="62">
        <f>IF(H1184="","",IF(ISNUMBER(N1184),N1184,I1184))</f>
        <v/>
      </c>
      <c r="B1184">
        <f>IF(H1184="","",U1184)</f>
        <v/>
      </c>
      <c r="C1184">
        <f>IF(H1184="","",IF(P1184="",K1184,INDEX('Students'!$A$2:$A$701,P1184)))</f>
        <v/>
      </c>
      <c r="D1184">
        <f>IF(OR(H1184="",P1184=""),"",INDEX('Students'!$B$2:$B$701,P1184))</f>
        <v/>
      </c>
      <c r="E1184">
        <f>IF(OR(H1184="",P1184=""),"",INDEX('Students'!$C$2:$C$701,P1184))</f>
        <v/>
      </c>
      <c r="F1184" s="48">
        <f>IF(H1184="","",IF(ISNUMBER(O1184),O1184,J1184))</f>
        <v/>
      </c>
      <c r="G1184">
        <f>IF(H1184="","","OneCause")</f>
        <v/>
      </c>
      <c r="H1184">
        <f>IF(AND(I1184="",J1184="",K1184=""),"",IF(NOT(ISNUMBER(O1184)),"Bad amount",IF(O1184&lt;0,"Refund (not counted)",IF(O1184=0,"Zero amount",IF(NOT(ISNUMBER(N1184)),"Bad date",IF(P1184="","NAME NOT ON ROSTER",IF(L1184="","OK",IF(MATCH(L1184,$L$2:$L$3001,0)&lt;ROW()-1,"Duplicate (ignored)","OK"))))))))</f>
        <v/>
      </c>
      <c r="I1184">
        <f>IF(OC_Date=0,"",IF(INDEX('OneCause_Paste'!$A$1184:$AZ$1184,1,OC_Date)="","",INDEX('OneCause_Paste'!$A$1184:$AZ$1184,1,OC_Date)))</f>
        <v/>
      </c>
      <c r="J1184">
        <f>IF(OC_Amt=0,"",IF(INDEX('OneCause_Paste'!$A$1184:$AZ$1184,1,OC_Amt)="","",INDEX('OneCause_Paste'!$A$1184:$AZ$1184,1,OC_Amt)))</f>
        <v/>
      </c>
      <c r="K1184">
        <f>IF(OC_Name=0,"",IF(INDEX('OneCause_Paste'!$A$1184:$AZ$1184,1,OC_Name)="","",INDEX('OneCause_Paste'!$A$1184:$AZ$1184,1,OC_Name)))</f>
        <v/>
      </c>
      <c r="L1184">
        <f>IF(OC_Txn=0,"",IF(INDEX('OneCause_Paste'!$A$1184:$AZ$1184,1,OC_Txn)="","",INDEX('OneCause_Paste'!$A$1184:$AZ$1184,1,OC_Txn)))</f>
        <v/>
      </c>
      <c r="M1184">
        <f>IF(OC_Pay=0,"",IF(INDEX('OneCause_Paste'!$A$1184:$AZ$1184,1,OC_Pay)="","",INDEX('OneCause_Paste'!$A$1184:$AZ$1184,1,OC_Pay)))</f>
        <v/>
      </c>
      <c r="N1184">
        <f>IF(I1184="","",IF(ISNUMBER(I1184),INT(I1184),IFERROR(INT(DATEVALUE(I1184)),IFERROR(INT(VALUE(I1184)),"bad"))))</f>
        <v/>
      </c>
      <c r="O1184">
        <f>IF(J1184="","",IF(ISNUMBER(J1184),ROUND(J1184,2),IFERROR(ROUND(VALUE(SUBSTITUTE(SUBSTITUTE(SUBSTITUTE(J1184,"$",""),",","")," ","")),2),"bad")))</f>
        <v/>
      </c>
      <c r="P1184">
        <f>IF(TRIM(K1184)="","",IFERROR(MATCH(LOWER(TRIM(K1184)),'Students'!$AH$2:$AH$701,0),IFERROR(MATCH(LOWER(TRIM(K1184)),'Students'!$AF$2:$AF$701,0),IFERROR(MATCH(LOWER(TRIM(K1184)),'Students'!$AG$2:$AG$701,0),""))))</f>
        <v/>
      </c>
      <c r="R1184">
        <f>IF(P1184="","",INDEX('Students'!$AD$2:$AD$701,P1184))</f>
        <v/>
      </c>
      <c r="S1184">
        <f>IF(H1184="OK",O1184,0)</f>
        <v/>
      </c>
      <c r="T1184">
        <f>IF(H1184="OK",N1184,"")</f>
        <v/>
      </c>
      <c r="U1184">
        <f>IF(OC_Donor=0,"",IF(INDEX('OneCause_Paste'!$A$1184:$AZ$1184,1,OC_Donor)="","",INDEX('OneCause_Paste'!$A$1184:$AZ$1184,1,OC_Donor)))</f>
        <v/>
      </c>
    </row>
    <row r="1185">
      <c r="A1185" s="62">
        <f>IF(H1185="","",IF(ISNUMBER(N1185),N1185,I1185))</f>
        <v/>
      </c>
      <c r="B1185">
        <f>IF(H1185="","",U1185)</f>
        <v/>
      </c>
      <c r="C1185">
        <f>IF(H1185="","",IF(P1185="",K1185,INDEX('Students'!$A$2:$A$701,P1185)))</f>
        <v/>
      </c>
      <c r="D1185">
        <f>IF(OR(H1185="",P1185=""),"",INDEX('Students'!$B$2:$B$701,P1185))</f>
        <v/>
      </c>
      <c r="E1185">
        <f>IF(OR(H1185="",P1185=""),"",INDEX('Students'!$C$2:$C$701,P1185))</f>
        <v/>
      </c>
      <c r="F1185" s="48">
        <f>IF(H1185="","",IF(ISNUMBER(O1185),O1185,J1185))</f>
        <v/>
      </c>
      <c r="G1185">
        <f>IF(H1185="","","OneCause")</f>
        <v/>
      </c>
      <c r="H1185">
        <f>IF(AND(I1185="",J1185="",K1185=""),"",IF(NOT(ISNUMBER(O1185)),"Bad amount",IF(O1185&lt;0,"Refund (not counted)",IF(O1185=0,"Zero amount",IF(NOT(ISNUMBER(N1185)),"Bad date",IF(P1185="","NAME NOT ON ROSTER",IF(L1185="","OK",IF(MATCH(L1185,$L$2:$L$3001,0)&lt;ROW()-1,"Duplicate (ignored)","OK"))))))))</f>
        <v/>
      </c>
      <c r="I1185">
        <f>IF(OC_Date=0,"",IF(INDEX('OneCause_Paste'!$A$1185:$AZ$1185,1,OC_Date)="","",INDEX('OneCause_Paste'!$A$1185:$AZ$1185,1,OC_Date)))</f>
        <v/>
      </c>
      <c r="J1185">
        <f>IF(OC_Amt=0,"",IF(INDEX('OneCause_Paste'!$A$1185:$AZ$1185,1,OC_Amt)="","",INDEX('OneCause_Paste'!$A$1185:$AZ$1185,1,OC_Amt)))</f>
        <v/>
      </c>
      <c r="K1185">
        <f>IF(OC_Name=0,"",IF(INDEX('OneCause_Paste'!$A$1185:$AZ$1185,1,OC_Name)="","",INDEX('OneCause_Paste'!$A$1185:$AZ$1185,1,OC_Name)))</f>
        <v/>
      </c>
      <c r="L1185">
        <f>IF(OC_Txn=0,"",IF(INDEX('OneCause_Paste'!$A$1185:$AZ$1185,1,OC_Txn)="","",INDEX('OneCause_Paste'!$A$1185:$AZ$1185,1,OC_Txn)))</f>
        <v/>
      </c>
      <c r="M1185">
        <f>IF(OC_Pay=0,"",IF(INDEX('OneCause_Paste'!$A$1185:$AZ$1185,1,OC_Pay)="","",INDEX('OneCause_Paste'!$A$1185:$AZ$1185,1,OC_Pay)))</f>
        <v/>
      </c>
      <c r="N1185">
        <f>IF(I1185="","",IF(ISNUMBER(I1185),INT(I1185),IFERROR(INT(DATEVALUE(I1185)),IFERROR(INT(VALUE(I1185)),"bad"))))</f>
        <v/>
      </c>
      <c r="O1185">
        <f>IF(J1185="","",IF(ISNUMBER(J1185),ROUND(J1185,2),IFERROR(ROUND(VALUE(SUBSTITUTE(SUBSTITUTE(SUBSTITUTE(J1185,"$",""),",","")," ","")),2),"bad")))</f>
        <v/>
      </c>
      <c r="P1185">
        <f>IF(TRIM(K1185)="","",IFERROR(MATCH(LOWER(TRIM(K1185)),'Students'!$AH$2:$AH$701,0),IFERROR(MATCH(LOWER(TRIM(K1185)),'Students'!$AF$2:$AF$701,0),IFERROR(MATCH(LOWER(TRIM(K1185)),'Students'!$AG$2:$AG$701,0),""))))</f>
        <v/>
      </c>
      <c r="R1185">
        <f>IF(P1185="","",INDEX('Students'!$AD$2:$AD$701,P1185))</f>
        <v/>
      </c>
      <c r="S1185">
        <f>IF(H1185="OK",O1185,0)</f>
        <v/>
      </c>
      <c r="T1185">
        <f>IF(H1185="OK",N1185,"")</f>
        <v/>
      </c>
      <c r="U1185">
        <f>IF(OC_Donor=0,"",IF(INDEX('OneCause_Paste'!$A$1185:$AZ$1185,1,OC_Donor)="","",INDEX('OneCause_Paste'!$A$1185:$AZ$1185,1,OC_Donor)))</f>
        <v/>
      </c>
    </row>
    <row r="1186">
      <c r="A1186" s="62">
        <f>IF(H1186="","",IF(ISNUMBER(N1186),N1186,I1186))</f>
        <v/>
      </c>
      <c r="B1186">
        <f>IF(H1186="","",U1186)</f>
        <v/>
      </c>
      <c r="C1186">
        <f>IF(H1186="","",IF(P1186="",K1186,INDEX('Students'!$A$2:$A$701,P1186)))</f>
        <v/>
      </c>
      <c r="D1186">
        <f>IF(OR(H1186="",P1186=""),"",INDEX('Students'!$B$2:$B$701,P1186))</f>
        <v/>
      </c>
      <c r="E1186">
        <f>IF(OR(H1186="",P1186=""),"",INDEX('Students'!$C$2:$C$701,P1186))</f>
        <v/>
      </c>
      <c r="F1186" s="48">
        <f>IF(H1186="","",IF(ISNUMBER(O1186),O1186,J1186))</f>
        <v/>
      </c>
      <c r="G1186">
        <f>IF(H1186="","","OneCause")</f>
        <v/>
      </c>
      <c r="H1186">
        <f>IF(AND(I1186="",J1186="",K1186=""),"",IF(NOT(ISNUMBER(O1186)),"Bad amount",IF(O1186&lt;0,"Refund (not counted)",IF(O1186=0,"Zero amount",IF(NOT(ISNUMBER(N1186)),"Bad date",IF(P1186="","NAME NOT ON ROSTER",IF(L1186="","OK",IF(MATCH(L1186,$L$2:$L$3001,0)&lt;ROW()-1,"Duplicate (ignored)","OK"))))))))</f>
        <v/>
      </c>
      <c r="I1186">
        <f>IF(OC_Date=0,"",IF(INDEX('OneCause_Paste'!$A$1186:$AZ$1186,1,OC_Date)="","",INDEX('OneCause_Paste'!$A$1186:$AZ$1186,1,OC_Date)))</f>
        <v/>
      </c>
      <c r="J1186">
        <f>IF(OC_Amt=0,"",IF(INDEX('OneCause_Paste'!$A$1186:$AZ$1186,1,OC_Amt)="","",INDEX('OneCause_Paste'!$A$1186:$AZ$1186,1,OC_Amt)))</f>
        <v/>
      </c>
      <c r="K1186">
        <f>IF(OC_Name=0,"",IF(INDEX('OneCause_Paste'!$A$1186:$AZ$1186,1,OC_Name)="","",INDEX('OneCause_Paste'!$A$1186:$AZ$1186,1,OC_Name)))</f>
        <v/>
      </c>
      <c r="L1186">
        <f>IF(OC_Txn=0,"",IF(INDEX('OneCause_Paste'!$A$1186:$AZ$1186,1,OC_Txn)="","",INDEX('OneCause_Paste'!$A$1186:$AZ$1186,1,OC_Txn)))</f>
        <v/>
      </c>
      <c r="M1186">
        <f>IF(OC_Pay=0,"",IF(INDEX('OneCause_Paste'!$A$1186:$AZ$1186,1,OC_Pay)="","",INDEX('OneCause_Paste'!$A$1186:$AZ$1186,1,OC_Pay)))</f>
        <v/>
      </c>
      <c r="N1186">
        <f>IF(I1186="","",IF(ISNUMBER(I1186),INT(I1186),IFERROR(INT(DATEVALUE(I1186)),IFERROR(INT(VALUE(I1186)),"bad"))))</f>
        <v/>
      </c>
      <c r="O1186">
        <f>IF(J1186="","",IF(ISNUMBER(J1186),ROUND(J1186,2),IFERROR(ROUND(VALUE(SUBSTITUTE(SUBSTITUTE(SUBSTITUTE(J1186,"$",""),",","")," ","")),2),"bad")))</f>
        <v/>
      </c>
      <c r="P1186">
        <f>IF(TRIM(K1186)="","",IFERROR(MATCH(LOWER(TRIM(K1186)),'Students'!$AH$2:$AH$701,0),IFERROR(MATCH(LOWER(TRIM(K1186)),'Students'!$AF$2:$AF$701,0),IFERROR(MATCH(LOWER(TRIM(K1186)),'Students'!$AG$2:$AG$701,0),""))))</f>
        <v/>
      </c>
      <c r="R1186">
        <f>IF(P1186="","",INDEX('Students'!$AD$2:$AD$701,P1186))</f>
        <v/>
      </c>
      <c r="S1186">
        <f>IF(H1186="OK",O1186,0)</f>
        <v/>
      </c>
      <c r="T1186">
        <f>IF(H1186="OK",N1186,"")</f>
        <v/>
      </c>
      <c r="U1186">
        <f>IF(OC_Donor=0,"",IF(INDEX('OneCause_Paste'!$A$1186:$AZ$1186,1,OC_Donor)="","",INDEX('OneCause_Paste'!$A$1186:$AZ$1186,1,OC_Donor)))</f>
        <v/>
      </c>
    </row>
    <row r="1187">
      <c r="A1187" s="62">
        <f>IF(H1187="","",IF(ISNUMBER(N1187),N1187,I1187))</f>
        <v/>
      </c>
      <c r="B1187">
        <f>IF(H1187="","",U1187)</f>
        <v/>
      </c>
      <c r="C1187">
        <f>IF(H1187="","",IF(P1187="",K1187,INDEX('Students'!$A$2:$A$701,P1187)))</f>
        <v/>
      </c>
      <c r="D1187">
        <f>IF(OR(H1187="",P1187=""),"",INDEX('Students'!$B$2:$B$701,P1187))</f>
        <v/>
      </c>
      <c r="E1187">
        <f>IF(OR(H1187="",P1187=""),"",INDEX('Students'!$C$2:$C$701,P1187))</f>
        <v/>
      </c>
      <c r="F1187" s="48">
        <f>IF(H1187="","",IF(ISNUMBER(O1187),O1187,J1187))</f>
        <v/>
      </c>
      <c r="G1187">
        <f>IF(H1187="","","OneCause")</f>
        <v/>
      </c>
      <c r="H1187">
        <f>IF(AND(I1187="",J1187="",K1187=""),"",IF(NOT(ISNUMBER(O1187)),"Bad amount",IF(O1187&lt;0,"Refund (not counted)",IF(O1187=0,"Zero amount",IF(NOT(ISNUMBER(N1187)),"Bad date",IF(P1187="","NAME NOT ON ROSTER",IF(L1187="","OK",IF(MATCH(L1187,$L$2:$L$3001,0)&lt;ROW()-1,"Duplicate (ignored)","OK"))))))))</f>
        <v/>
      </c>
      <c r="I1187">
        <f>IF(OC_Date=0,"",IF(INDEX('OneCause_Paste'!$A$1187:$AZ$1187,1,OC_Date)="","",INDEX('OneCause_Paste'!$A$1187:$AZ$1187,1,OC_Date)))</f>
        <v/>
      </c>
      <c r="J1187">
        <f>IF(OC_Amt=0,"",IF(INDEX('OneCause_Paste'!$A$1187:$AZ$1187,1,OC_Amt)="","",INDEX('OneCause_Paste'!$A$1187:$AZ$1187,1,OC_Amt)))</f>
        <v/>
      </c>
      <c r="K1187">
        <f>IF(OC_Name=0,"",IF(INDEX('OneCause_Paste'!$A$1187:$AZ$1187,1,OC_Name)="","",INDEX('OneCause_Paste'!$A$1187:$AZ$1187,1,OC_Name)))</f>
        <v/>
      </c>
      <c r="L1187">
        <f>IF(OC_Txn=0,"",IF(INDEX('OneCause_Paste'!$A$1187:$AZ$1187,1,OC_Txn)="","",INDEX('OneCause_Paste'!$A$1187:$AZ$1187,1,OC_Txn)))</f>
        <v/>
      </c>
      <c r="M1187">
        <f>IF(OC_Pay=0,"",IF(INDEX('OneCause_Paste'!$A$1187:$AZ$1187,1,OC_Pay)="","",INDEX('OneCause_Paste'!$A$1187:$AZ$1187,1,OC_Pay)))</f>
        <v/>
      </c>
      <c r="N1187">
        <f>IF(I1187="","",IF(ISNUMBER(I1187),INT(I1187),IFERROR(INT(DATEVALUE(I1187)),IFERROR(INT(VALUE(I1187)),"bad"))))</f>
        <v/>
      </c>
      <c r="O1187">
        <f>IF(J1187="","",IF(ISNUMBER(J1187),ROUND(J1187,2),IFERROR(ROUND(VALUE(SUBSTITUTE(SUBSTITUTE(SUBSTITUTE(J1187,"$",""),",","")," ","")),2),"bad")))</f>
        <v/>
      </c>
      <c r="P1187">
        <f>IF(TRIM(K1187)="","",IFERROR(MATCH(LOWER(TRIM(K1187)),'Students'!$AH$2:$AH$701,0),IFERROR(MATCH(LOWER(TRIM(K1187)),'Students'!$AF$2:$AF$701,0),IFERROR(MATCH(LOWER(TRIM(K1187)),'Students'!$AG$2:$AG$701,0),""))))</f>
        <v/>
      </c>
      <c r="R1187">
        <f>IF(P1187="","",INDEX('Students'!$AD$2:$AD$701,P1187))</f>
        <v/>
      </c>
      <c r="S1187">
        <f>IF(H1187="OK",O1187,0)</f>
        <v/>
      </c>
      <c r="T1187">
        <f>IF(H1187="OK",N1187,"")</f>
        <v/>
      </c>
      <c r="U1187">
        <f>IF(OC_Donor=0,"",IF(INDEX('OneCause_Paste'!$A$1187:$AZ$1187,1,OC_Donor)="","",INDEX('OneCause_Paste'!$A$1187:$AZ$1187,1,OC_Donor)))</f>
        <v/>
      </c>
    </row>
    <row r="1188">
      <c r="A1188" s="62">
        <f>IF(H1188="","",IF(ISNUMBER(N1188),N1188,I1188))</f>
        <v/>
      </c>
      <c r="B1188">
        <f>IF(H1188="","",U1188)</f>
        <v/>
      </c>
      <c r="C1188">
        <f>IF(H1188="","",IF(P1188="",K1188,INDEX('Students'!$A$2:$A$701,P1188)))</f>
        <v/>
      </c>
      <c r="D1188">
        <f>IF(OR(H1188="",P1188=""),"",INDEX('Students'!$B$2:$B$701,P1188))</f>
        <v/>
      </c>
      <c r="E1188">
        <f>IF(OR(H1188="",P1188=""),"",INDEX('Students'!$C$2:$C$701,P1188))</f>
        <v/>
      </c>
      <c r="F1188" s="48">
        <f>IF(H1188="","",IF(ISNUMBER(O1188),O1188,J1188))</f>
        <v/>
      </c>
      <c r="G1188">
        <f>IF(H1188="","","OneCause")</f>
        <v/>
      </c>
      <c r="H1188">
        <f>IF(AND(I1188="",J1188="",K1188=""),"",IF(NOT(ISNUMBER(O1188)),"Bad amount",IF(O1188&lt;0,"Refund (not counted)",IF(O1188=0,"Zero amount",IF(NOT(ISNUMBER(N1188)),"Bad date",IF(P1188="","NAME NOT ON ROSTER",IF(L1188="","OK",IF(MATCH(L1188,$L$2:$L$3001,0)&lt;ROW()-1,"Duplicate (ignored)","OK"))))))))</f>
        <v/>
      </c>
      <c r="I1188">
        <f>IF(OC_Date=0,"",IF(INDEX('OneCause_Paste'!$A$1188:$AZ$1188,1,OC_Date)="","",INDEX('OneCause_Paste'!$A$1188:$AZ$1188,1,OC_Date)))</f>
        <v/>
      </c>
      <c r="J1188">
        <f>IF(OC_Amt=0,"",IF(INDEX('OneCause_Paste'!$A$1188:$AZ$1188,1,OC_Amt)="","",INDEX('OneCause_Paste'!$A$1188:$AZ$1188,1,OC_Amt)))</f>
        <v/>
      </c>
      <c r="K1188">
        <f>IF(OC_Name=0,"",IF(INDEX('OneCause_Paste'!$A$1188:$AZ$1188,1,OC_Name)="","",INDEX('OneCause_Paste'!$A$1188:$AZ$1188,1,OC_Name)))</f>
        <v/>
      </c>
      <c r="L1188">
        <f>IF(OC_Txn=0,"",IF(INDEX('OneCause_Paste'!$A$1188:$AZ$1188,1,OC_Txn)="","",INDEX('OneCause_Paste'!$A$1188:$AZ$1188,1,OC_Txn)))</f>
        <v/>
      </c>
      <c r="M1188">
        <f>IF(OC_Pay=0,"",IF(INDEX('OneCause_Paste'!$A$1188:$AZ$1188,1,OC_Pay)="","",INDEX('OneCause_Paste'!$A$1188:$AZ$1188,1,OC_Pay)))</f>
        <v/>
      </c>
      <c r="N1188">
        <f>IF(I1188="","",IF(ISNUMBER(I1188),INT(I1188),IFERROR(INT(DATEVALUE(I1188)),IFERROR(INT(VALUE(I1188)),"bad"))))</f>
        <v/>
      </c>
      <c r="O1188">
        <f>IF(J1188="","",IF(ISNUMBER(J1188),ROUND(J1188,2),IFERROR(ROUND(VALUE(SUBSTITUTE(SUBSTITUTE(SUBSTITUTE(J1188,"$",""),",","")," ","")),2),"bad")))</f>
        <v/>
      </c>
      <c r="P1188">
        <f>IF(TRIM(K1188)="","",IFERROR(MATCH(LOWER(TRIM(K1188)),'Students'!$AH$2:$AH$701,0),IFERROR(MATCH(LOWER(TRIM(K1188)),'Students'!$AF$2:$AF$701,0),IFERROR(MATCH(LOWER(TRIM(K1188)),'Students'!$AG$2:$AG$701,0),""))))</f>
        <v/>
      </c>
      <c r="R1188">
        <f>IF(P1188="","",INDEX('Students'!$AD$2:$AD$701,P1188))</f>
        <v/>
      </c>
      <c r="S1188">
        <f>IF(H1188="OK",O1188,0)</f>
        <v/>
      </c>
      <c r="T1188">
        <f>IF(H1188="OK",N1188,"")</f>
        <v/>
      </c>
      <c r="U1188">
        <f>IF(OC_Donor=0,"",IF(INDEX('OneCause_Paste'!$A$1188:$AZ$1188,1,OC_Donor)="","",INDEX('OneCause_Paste'!$A$1188:$AZ$1188,1,OC_Donor)))</f>
        <v/>
      </c>
    </row>
    <row r="1189">
      <c r="A1189" s="62">
        <f>IF(H1189="","",IF(ISNUMBER(N1189),N1189,I1189))</f>
        <v/>
      </c>
      <c r="B1189">
        <f>IF(H1189="","",U1189)</f>
        <v/>
      </c>
      <c r="C1189">
        <f>IF(H1189="","",IF(P1189="",K1189,INDEX('Students'!$A$2:$A$701,P1189)))</f>
        <v/>
      </c>
      <c r="D1189">
        <f>IF(OR(H1189="",P1189=""),"",INDEX('Students'!$B$2:$B$701,P1189))</f>
        <v/>
      </c>
      <c r="E1189">
        <f>IF(OR(H1189="",P1189=""),"",INDEX('Students'!$C$2:$C$701,P1189))</f>
        <v/>
      </c>
      <c r="F1189" s="48">
        <f>IF(H1189="","",IF(ISNUMBER(O1189),O1189,J1189))</f>
        <v/>
      </c>
      <c r="G1189">
        <f>IF(H1189="","","OneCause")</f>
        <v/>
      </c>
      <c r="H1189">
        <f>IF(AND(I1189="",J1189="",K1189=""),"",IF(NOT(ISNUMBER(O1189)),"Bad amount",IF(O1189&lt;0,"Refund (not counted)",IF(O1189=0,"Zero amount",IF(NOT(ISNUMBER(N1189)),"Bad date",IF(P1189="","NAME NOT ON ROSTER",IF(L1189="","OK",IF(MATCH(L1189,$L$2:$L$3001,0)&lt;ROW()-1,"Duplicate (ignored)","OK"))))))))</f>
        <v/>
      </c>
      <c r="I1189">
        <f>IF(OC_Date=0,"",IF(INDEX('OneCause_Paste'!$A$1189:$AZ$1189,1,OC_Date)="","",INDEX('OneCause_Paste'!$A$1189:$AZ$1189,1,OC_Date)))</f>
        <v/>
      </c>
      <c r="J1189">
        <f>IF(OC_Amt=0,"",IF(INDEX('OneCause_Paste'!$A$1189:$AZ$1189,1,OC_Amt)="","",INDEX('OneCause_Paste'!$A$1189:$AZ$1189,1,OC_Amt)))</f>
        <v/>
      </c>
      <c r="K1189">
        <f>IF(OC_Name=0,"",IF(INDEX('OneCause_Paste'!$A$1189:$AZ$1189,1,OC_Name)="","",INDEX('OneCause_Paste'!$A$1189:$AZ$1189,1,OC_Name)))</f>
        <v/>
      </c>
      <c r="L1189">
        <f>IF(OC_Txn=0,"",IF(INDEX('OneCause_Paste'!$A$1189:$AZ$1189,1,OC_Txn)="","",INDEX('OneCause_Paste'!$A$1189:$AZ$1189,1,OC_Txn)))</f>
        <v/>
      </c>
      <c r="M1189">
        <f>IF(OC_Pay=0,"",IF(INDEX('OneCause_Paste'!$A$1189:$AZ$1189,1,OC_Pay)="","",INDEX('OneCause_Paste'!$A$1189:$AZ$1189,1,OC_Pay)))</f>
        <v/>
      </c>
      <c r="N1189">
        <f>IF(I1189="","",IF(ISNUMBER(I1189),INT(I1189),IFERROR(INT(DATEVALUE(I1189)),IFERROR(INT(VALUE(I1189)),"bad"))))</f>
        <v/>
      </c>
      <c r="O1189">
        <f>IF(J1189="","",IF(ISNUMBER(J1189),ROUND(J1189,2),IFERROR(ROUND(VALUE(SUBSTITUTE(SUBSTITUTE(SUBSTITUTE(J1189,"$",""),",","")," ","")),2),"bad")))</f>
        <v/>
      </c>
      <c r="P1189">
        <f>IF(TRIM(K1189)="","",IFERROR(MATCH(LOWER(TRIM(K1189)),'Students'!$AH$2:$AH$701,0),IFERROR(MATCH(LOWER(TRIM(K1189)),'Students'!$AF$2:$AF$701,0),IFERROR(MATCH(LOWER(TRIM(K1189)),'Students'!$AG$2:$AG$701,0),""))))</f>
        <v/>
      </c>
      <c r="R1189">
        <f>IF(P1189="","",INDEX('Students'!$AD$2:$AD$701,P1189))</f>
        <v/>
      </c>
      <c r="S1189">
        <f>IF(H1189="OK",O1189,0)</f>
        <v/>
      </c>
      <c r="T1189">
        <f>IF(H1189="OK",N1189,"")</f>
        <v/>
      </c>
      <c r="U1189">
        <f>IF(OC_Donor=0,"",IF(INDEX('OneCause_Paste'!$A$1189:$AZ$1189,1,OC_Donor)="","",INDEX('OneCause_Paste'!$A$1189:$AZ$1189,1,OC_Donor)))</f>
        <v/>
      </c>
    </row>
    <row r="1190">
      <c r="A1190" s="62">
        <f>IF(H1190="","",IF(ISNUMBER(N1190),N1190,I1190))</f>
        <v/>
      </c>
      <c r="B1190">
        <f>IF(H1190="","",U1190)</f>
        <v/>
      </c>
      <c r="C1190">
        <f>IF(H1190="","",IF(P1190="",K1190,INDEX('Students'!$A$2:$A$701,P1190)))</f>
        <v/>
      </c>
      <c r="D1190">
        <f>IF(OR(H1190="",P1190=""),"",INDEX('Students'!$B$2:$B$701,P1190))</f>
        <v/>
      </c>
      <c r="E1190">
        <f>IF(OR(H1190="",P1190=""),"",INDEX('Students'!$C$2:$C$701,P1190))</f>
        <v/>
      </c>
      <c r="F1190" s="48">
        <f>IF(H1190="","",IF(ISNUMBER(O1190),O1190,J1190))</f>
        <v/>
      </c>
      <c r="G1190">
        <f>IF(H1190="","","OneCause")</f>
        <v/>
      </c>
      <c r="H1190">
        <f>IF(AND(I1190="",J1190="",K1190=""),"",IF(NOT(ISNUMBER(O1190)),"Bad amount",IF(O1190&lt;0,"Refund (not counted)",IF(O1190=0,"Zero amount",IF(NOT(ISNUMBER(N1190)),"Bad date",IF(P1190="","NAME NOT ON ROSTER",IF(L1190="","OK",IF(MATCH(L1190,$L$2:$L$3001,0)&lt;ROW()-1,"Duplicate (ignored)","OK"))))))))</f>
        <v/>
      </c>
      <c r="I1190">
        <f>IF(OC_Date=0,"",IF(INDEX('OneCause_Paste'!$A$1190:$AZ$1190,1,OC_Date)="","",INDEX('OneCause_Paste'!$A$1190:$AZ$1190,1,OC_Date)))</f>
        <v/>
      </c>
      <c r="J1190">
        <f>IF(OC_Amt=0,"",IF(INDEX('OneCause_Paste'!$A$1190:$AZ$1190,1,OC_Amt)="","",INDEX('OneCause_Paste'!$A$1190:$AZ$1190,1,OC_Amt)))</f>
        <v/>
      </c>
      <c r="K1190">
        <f>IF(OC_Name=0,"",IF(INDEX('OneCause_Paste'!$A$1190:$AZ$1190,1,OC_Name)="","",INDEX('OneCause_Paste'!$A$1190:$AZ$1190,1,OC_Name)))</f>
        <v/>
      </c>
      <c r="L1190">
        <f>IF(OC_Txn=0,"",IF(INDEX('OneCause_Paste'!$A$1190:$AZ$1190,1,OC_Txn)="","",INDEX('OneCause_Paste'!$A$1190:$AZ$1190,1,OC_Txn)))</f>
        <v/>
      </c>
      <c r="M1190">
        <f>IF(OC_Pay=0,"",IF(INDEX('OneCause_Paste'!$A$1190:$AZ$1190,1,OC_Pay)="","",INDEX('OneCause_Paste'!$A$1190:$AZ$1190,1,OC_Pay)))</f>
        <v/>
      </c>
      <c r="N1190">
        <f>IF(I1190="","",IF(ISNUMBER(I1190),INT(I1190),IFERROR(INT(DATEVALUE(I1190)),IFERROR(INT(VALUE(I1190)),"bad"))))</f>
        <v/>
      </c>
      <c r="O1190">
        <f>IF(J1190="","",IF(ISNUMBER(J1190),ROUND(J1190,2),IFERROR(ROUND(VALUE(SUBSTITUTE(SUBSTITUTE(SUBSTITUTE(J1190,"$",""),",","")," ","")),2),"bad")))</f>
        <v/>
      </c>
      <c r="P1190">
        <f>IF(TRIM(K1190)="","",IFERROR(MATCH(LOWER(TRIM(K1190)),'Students'!$AH$2:$AH$701,0),IFERROR(MATCH(LOWER(TRIM(K1190)),'Students'!$AF$2:$AF$701,0),IFERROR(MATCH(LOWER(TRIM(K1190)),'Students'!$AG$2:$AG$701,0),""))))</f>
        <v/>
      </c>
      <c r="R1190">
        <f>IF(P1190="","",INDEX('Students'!$AD$2:$AD$701,P1190))</f>
        <v/>
      </c>
      <c r="S1190">
        <f>IF(H1190="OK",O1190,0)</f>
        <v/>
      </c>
      <c r="T1190">
        <f>IF(H1190="OK",N1190,"")</f>
        <v/>
      </c>
      <c r="U1190">
        <f>IF(OC_Donor=0,"",IF(INDEX('OneCause_Paste'!$A$1190:$AZ$1190,1,OC_Donor)="","",INDEX('OneCause_Paste'!$A$1190:$AZ$1190,1,OC_Donor)))</f>
        <v/>
      </c>
    </row>
    <row r="1191">
      <c r="A1191" s="62">
        <f>IF(H1191="","",IF(ISNUMBER(N1191),N1191,I1191))</f>
        <v/>
      </c>
      <c r="B1191">
        <f>IF(H1191="","",U1191)</f>
        <v/>
      </c>
      <c r="C1191">
        <f>IF(H1191="","",IF(P1191="",K1191,INDEX('Students'!$A$2:$A$701,P1191)))</f>
        <v/>
      </c>
      <c r="D1191">
        <f>IF(OR(H1191="",P1191=""),"",INDEX('Students'!$B$2:$B$701,P1191))</f>
        <v/>
      </c>
      <c r="E1191">
        <f>IF(OR(H1191="",P1191=""),"",INDEX('Students'!$C$2:$C$701,P1191))</f>
        <v/>
      </c>
      <c r="F1191" s="48">
        <f>IF(H1191="","",IF(ISNUMBER(O1191),O1191,J1191))</f>
        <v/>
      </c>
      <c r="G1191">
        <f>IF(H1191="","","OneCause")</f>
        <v/>
      </c>
      <c r="H1191">
        <f>IF(AND(I1191="",J1191="",K1191=""),"",IF(NOT(ISNUMBER(O1191)),"Bad amount",IF(O1191&lt;0,"Refund (not counted)",IF(O1191=0,"Zero amount",IF(NOT(ISNUMBER(N1191)),"Bad date",IF(P1191="","NAME NOT ON ROSTER",IF(L1191="","OK",IF(MATCH(L1191,$L$2:$L$3001,0)&lt;ROW()-1,"Duplicate (ignored)","OK"))))))))</f>
        <v/>
      </c>
      <c r="I1191">
        <f>IF(OC_Date=0,"",IF(INDEX('OneCause_Paste'!$A$1191:$AZ$1191,1,OC_Date)="","",INDEX('OneCause_Paste'!$A$1191:$AZ$1191,1,OC_Date)))</f>
        <v/>
      </c>
      <c r="J1191">
        <f>IF(OC_Amt=0,"",IF(INDEX('OneCause_Paste'!$A$1191:$AZ$1191,1,OC_Amt)="","",INDEX('OneCause_Paste'!$A$1191:$AZ$1191,1,OC_Amt)))</f>
        <v/>
      </c>
      <c r="K1191">
        <f>IF(OC_Name=0,"",IF(INDEX('OneCause_Paste'!$A$1191:$AZ$1191,1,OC_Name)="","",INDEX('OneCause_Paste'!$A$1191:$AZ$1191,1,OC_Name)))</f>
        <v/>
      </c>
      <c r="L1191">
        <f>IF(OC_Txn=0,"",IF(INDEX('OneCause_Paste'!$A$1191:$AZ$1191,1,OC_Txn)="","",INDEX('OneCause_Paste'!$A$1191:$AZ$1191,1,OC_Txn)))</f>
        <v/>
      </c>
      <c r="M1191">
        <f>IF(OC_Pay=0,"",IF(INDEX('OneCause_Paste'!$A$1191:$AZ$1191,1,OC_Pay)="","",INDEX('OneCause_Paste'!$A$1191:$AZ$1191,1,OC_Pay)))</f>
        <v/>
      </c>
      <c r="N1191">
        <f>IF(I1191="","",IF(ISNUMBER(I1191),INT(I1191),IFERROR(INT(DATEVALUE(I1191)),IFERROR(INT(VALUE(I1191)),"bad"))))</f>
        <v/>
      </c>
      <c r="O1191">
        <f>IF(J1191="","",IF(ISNUMBER(J1191),ROUND(J1191,2),IFERROR(ROUND(VALUE(SUBSTITUTE(SUBSTITUTE(SUBSTITUTE(J1191,"$",""),",","")," ","")),2),"bad")))</f>
        <v/>
      </c>
      <c r="P1191">
        <f>IF(TRIM(K1191)="","",IFERROR(MATCH(LOWER(TRIM(K1191)),'Students'!$AH$2:$AH$701,0),IFERROR(MATCH(LOWER(TRIM(K1191)),'Students'!$AF$2:$AF$701,0),IFERROR(MATCH(LOWER(TRIM(K1191)),'Students'!$AG$2:$AG$701,0),""))))</f>
        <v/>
      </c>
      <c r="R1191">
        <f>IF(P1191="","",INDEX('Students'!$AD$2:$AD$701,P1191))</f>
        <v/>
      </c>
      <c r="S1191">
        <f>IF(H1191="OK",O1191,0)</f>
        <v/>
      </c>
      <c r="T1191">
        <f>IF(H1191="OK",N1191,"")</f>
        <v/>
      </c>
      <c r="U1191">
        <f>IF(OC_Donor=0,"",IF(INDEX('OneCause_Paste'!$A$1191:$AZ$1191,1,OC_Donor)="","",INDEX('OneCause_Paste'!$A$1191:$AZ$1191,1,OC_Donor)))</f>
        <v/>
      </c>
    </row>
    <row r="1192">
      <c r="A1192" s="62">
        <f>IF(H1192="","",IF(ISNUMBER(N1192),N1192,I1192))</f>
        <v/>
      </c>
      <c r="B1192">
        <f>IF(H1192="","",U1192)</f>
        <v/>
      </c>
      <c r="C1192">
        <f>IF(H1192="","",IF(P1192="",K1192,INDEX('Students'!$A$2:$A$701,P1192)))</f>
        <v/>
      </c>
      <c r="D1192">
        <f>IF(OR(H1192="",P1192=""),"",INDEX('Students'!$B$2:$B$701,P1192))</f>
        <v/>
      </c>
      <c r="E1192">
        <f>IF(OR(H1192="",P1192=""),"",INDEX('Students'!$C$2:$C$701,P1192))</f>
        <v/>
      </c>
      <c r="F1192" s="48">
        <f>IF(H1192="","",IF(ISNUMBER(O1192),O1192,J1192))</f>
        <v/>
      </c>
      <c r="G1192">
        <f>IF(H1192="","","OneCause")</f>
        <v/>
      </c>
      <c r="H1192">
        <f>IF(AND(I1192="",J1192="",K1192=""),"",IF(NOT(ISNUMBER(O1192)),"Bad amount",IF(O1192&lt;0,"Refund (not counted)",IF(O1192=0,"Zero amount",IF(NOT(ISNUMBER(N1192)),"Bad date",IF(P1192="","NAME NOT ON ROSTER",IF(L1192="","OK",IF(MATCH(L1192,$L$2:$L$3001,0)&lt;ROW()-1,"Duplicate (ignored)","OK"))))))))</f>
        <v/>
      </c>
      <c r="I1192">
        <f>IF(OC_Date=0,"",IF(INDEX('OneCause_Paste'!$A$1192:$AZ$1192,1,OC_Date)="","",INDEX('OneCause_Paste'!$A$1192:$AZ$1192,1,OC_Date)))</f>
        <v/>
      </c>
      <c r="J1192">
        <f>IF(OC_Amt=0,"",IF(INDEX('OneCause_Paste'!$A$1192:$AZ$1192,1,OC_Amt)="","",INDEX('OneCause_Paste'!$A$1192:$AZ$1192,1,OC_Amt)))</f>
        <v/>
      </c>
      <c r="K1192">
        <f>IF(OC_Name=0,"",IF(INDEX('OneCause_Paste'!$A$1192:$AZ$1192,1,OC_Name)="","",INDEX('OneCause_Paste'!$A$1192:$AZ$1192,1,OC_Name)))</f>
        <v/>
      </c>
      <c r="L1192">
        <f>IF(OC_Txn=0,"",IF(INDEX('OneCause_Paste'!$A$1192:$AZ$1192,1,OC_Txn)="","",INDEX('OneCause_Paste'!$A$1192:$AZ$1192,1,OC_Txn)))</f>
        <v/>
      </c>
      <c r="M1192">
        <f>IF(OC_Pay=0,"",IF(INDEX('OneCause_Paste'!$A$1192:$AZ$1192,1,OC_Pay)="","",INDEX('OneCause_Paste'!$A$1192:$AZ$1192,1,OC_Pay)))</f>
        <v/>
      </c>
      <c r="N1192">
        <f>IF(I1192="","",IF(ISNUMBER(I1192),INT(I1192),IFERROR(INT(DATEVALUE(I1192)),IFERROR(INT(VALUE(I1192)),"bad"))))</f>
        <v/>
      </c>
      <c r="O1192">
        <f>IF(J1192="","",IF(ISNUMBER(J1192),ROUND(J1192,2),IFERROR(ROUND(VALUE(SUBSTITUTE(SUBSTITUTE(SUBSTITUTE(J1192,"$",""),",","")," ","")),2),"bad")))</f>
        <v/>
      </c>
      <c r="P1192">
        <f>IF(TRIM(K1192)="","",IFERROR(MATCH(LOWER(TRIM(K1192)),'Students'!$AH$2:$AH$701,0),IFERROR(MATCH(LOWER(TRIM(K1192)),'Students'!$AF$2:$AF$701,0),IFERROR(MATCH(LOWER(TRIM(K1192)),'Students'!$AG$2:$AG$701,0),""))))</f>
        <v/>
      </c>
      <c r="R1192">
        <f>IF(P1192="","",INDEX('Students'!$AD$2:$AD$701,P1192))</f>
        <v/>
      </c>
      <c r="S1192">
        <f>IF(H1192="OK",O1192,0)</f>
        <v/>
      </c>
      <c r="T1192">
        <f>IF(H1192="OK",N1192,"")</f>
        <v/>
      </c>
      <c r="U1192">
        <f>IF(OC_Donor=0,"",IF(INDEX('OneCause_Paste'!$A$1192:$AZ$1192,1,OC_Donor)="","",INDEX('OneCause_Paste'!$A$1192:$AZ$1192,1,OC_Donor)))</f>
        <v/>
      </c>
    </row>
    <row r="1193">
      <c r="A1193" s="62">
        <f>IF(H1193="","",IF(ISNUMBER(N1193),N1193,I1193))</f>
        <v/>
      </c>
      <c r="B1193">
        <f>IF(H1193="","",U1193)</f>
        <v/>
      </c>
      <c r="C1193">
        <f>IF(H1193="","",IF(P1193="",K1193,INDEX('Students'!$A$2:$A$701,P1193)))</f>
        <v/>
      </c>
      <c r="D1193">
        <f>IF(OR(H1193="",P1193=""),"",INDEX('Students'!$B$2:$B$701,P1193))</f>
        <v/>
      </c>
      <c r="E1193">
        <f>IF(OR(H1193="",P1193=""),"",INDEX('Students'!$C$2:$C$701,P1193))</f>
        <v/>
      </c>
      <c r="F1193" s="48">
        <f>IF(H1193="","",IF(ISNUMBER(O1193),O1193,J1193))</f>
        <v/>
      </c>
      <c r="G1193">
        <f>IF(H1193="","","OneCause")</f>
        <v/>
      </c>
      <c r="H1193">
        <f>IF(AND(I1193="",J1193="",K1193=""),"",IF(NOT(ISNUMBER(O1193)),"Bad amount",IF(O1193&lt;0,"Refund (not counted)",IF(O1193=0,"Zero amount",IF(NOT(ISNUMBER(N1193)),"Bad date",IF(P1193="","NAME NOT ON ROSTER",IF(L1193="","OK",IF(MATCH(L1193,$L$2:$L$3001,0)&lt;ROW()-1,"Duplicate (ignored)","OK"))))))))</f>
        <v/>
      </c>
      <c r="I1193">
        <f>IF(OC_Date=0,"",IF(INDEX('OneCause_Paste'!$A$1193:$AZ$1193,1,OC_Date)="","",INDEX('OneCause_Paste'!$A$1193:$AZ$1193,1,OC_Date)))</f>
        <v/>
      </c>
      <c r="J1193">
        <f>IF(OC_Amt=0,"",IF(INDEX('OneCause_Paste'!$A$1193:$AZ$1193,1,OC_Amt)="","",INDEX('OneCause_Paste'!$A$1193:$AZ$1193,1,OC_Amt)))</f>
        <v/>
      </c>
      <c r="K1193">
        <f>IF(OC_Name=0,"",IF(INDEX('OneCause_Paste'!$A$1193:$AZ$1193,1,OC_Name)="","",INDEX('OneCause_Paste'!$A$1193:$AZ$1193,1,OC_Name)))</f>
        <v/>
      </c>
      <c r="L1193">
        <f>IF(OC_Txn=0,"",IF(INDEX('OneCause_Paste'!$A$1193:$AZ$1193,1,OC_Txn)="","",INDEX('OneCause_Paste'!$A$1193:$AZ$1193,1,OC_Txn)))</f>
        <v/>
      </c>
      <c r="M1193">
        <f>IF(OC_Pay=0,"",IF(INDEX('OneCause_Paste'!$A$1193:$AZ$1193,1,OC_Pay)="","",INDEX('OneCause_Paste'!$A$1193:$AZ$1193,1,OC_Pay)))</f>
        <v/>
      </c>
      <c r="N1193">
        <f>IF(I1193="","",IF(ISNUMBER(I1193),INT(I1193),IFERROR(INT(DATEVALUE(I1193)),IFERROR(INT(VALUE(I1193)),"bad"))))</f>
        <v/>
      </c>
      <c r="O1193">
        <f>IF(J1193="","",IF(ISNUMBER(J1193),ROUND(J1193,2),IFERROR(ROUND(VALUE(SUBSTITUTE(SUBSTITUTE(SUBSTITUTE(J1193,"$",""),",","")," ","")),2),"bad")))</f>
        <v/>
      </c>
      <c r="P1193">
        <f>IF(TRIM(K1193)="","",IFERROR(MATCH(LOWER(TRIM(K1193)),'Students'!$AH$2:$AH$701,0),IFERROR(MATCH(LOWER(TRIM(K1193)),'Students'!$AF$2:$AF$701,0),IFERROR(MATCH(LOWER(TRIM(K1193)),'Students'!$AG$2:$AG$701,0),""))))</f>
        <v/>
      </c>
      <c r="R1193">
        <f>IF(P1193="","",INDEX('Students'!$AD$2:$AD$701,P1193))</f>
        <v/>
      </c>
      <c r="S1193">
        <f>IF(H1193="OK",O1193,0)</f>
        <v/>
      </c>
      <c r="T1193">
        <f>IF(H1193="OK",N1193,"")</f>
        <v/>
      </c>
      <c r="U1193">
        <f>IF(OC_Donor=0,"",IF(INDEX('OneCause_Paste'!$A$1193:$AZ$1193,1,OC_Donor)="","",INDEX('OneCause_Paste'!$A$1193:$AZ$1193,1,OC_Donor)))</f>
        <v/>
      </c>
    </row>
    <row r="1194">
      <c r="A1194" s="62">
        <f>IF(H1194="","",IF(ISNUMBER(N1194),N1194,I1194))</f>
        <v/>
      </c>
      <c r="B1194">
        <f>IF(H1194="","",U1194)</f>
        <v/>
      </c>
      <c r="C1194">
        <f>IF(H1194="","",IF(P1194="",K1194,INDEX('Students'!$A$2:$A$701,P1194)))</f>
        <v/>
      </c>
      <c r="D1194">
        <f>IF(OR(H1194="",P1194=""),"",INDEX('Students'!$B$2:$B$701,P1194))</f>
        <v/>
      </c>
      <c r="E1194">
        <f>IF(OR(H1194="",P1194=""),"",INDEX('Students'!$C$2:$C$701,P1194))</f>
        <v/>
      </c>
      <c r="F1194" s="48">
        <f>IF(H1194="","",IF(ISNUMBER(O1194),O1194,J1194))</f>
        <v/>
      </c>
      <c r="G1194">
        <f>IF(H1194="","","OneCause")</f>
        <v/>
      </c>
      <c r="H1194">
        <f>IF(AND(I1194="",J1194="",K1194=""),"",IF(NOT(ISNUMBER(O1194)),"Bad amount",IF(O1194&lt;0,"Refund (not counted)",IF(O1194=0,"Zero amount",IF(NOT(ISNUMBER(N1194)),"Bad date",IF(P1194="","NAME NOT ON ROSTER",IF(L1194="","OK",IF(MATCH(L1194,$L$2:$L$3001,0)&lt;ROW()-1,"Duplicate (ignored)","OK"))))))))</f>
        <v/>
      </c>
      <c r="I1194">
        <f>IF(OC_Date=0,"",IF(INDEX('OneCause_Paste'!$A$1194:$AZ$1194,1,OC_Date)="","",INDEX('OneCause_Paste'!$A$1194:$AZ$1194,1,OC_Date)))</f>
        <v/>
      </c>
      <c r="J1194">
        <f>IF(OC_Amt=0,"",IF(INDEX('OneCause_Paste'!$A$1194:$AZ$1194,1,OC_Amt)="","",INDEX('OneCause_Paste'!$A$1194:$AZ$1194,1,OC_Amt)))</f>
        <v/>
      </c>
      <c r="K1194">
        <f>IF(OC_Name=0,"",IF(INDEX('OneCause_Paste'!$A$1194:$AZ$1194,1,OC_Name)="","",INDEX('OneCause_Paste'!$A$1194:$AZ$1194,1,OC_Name)))</f>
        <v/>
      </c>
      <c r="L1194">
        <f>IF(OC_Txn=0,"",IF(INDEX('OneCause_Paste'!$A$1194:$AZ$1194,1,OC_Txn)="","",INDEX('OneCause_Paste'!$A$1194:$AZ$1194,1,OC_Txn)))</f>
        <v/>
      </c>
      <c r="M1194">
        <f>IF(OC_Pay=0,"",IF(INDEX('OneCause_Paste'!$A$1194:$AZ$1194,1,OC_Pay)="","",INDEX('OneCause_Paste'!$A$1194:$AZ$1194,1,OC_Pay)))</f>
        <v/>
      </c>
      <c r="N1194">
        <f>IF(I1194="","",IF(ISNUMBER(I1194),INT(I1194),IFERROR(INT(DATEVALUE(I1194)),IFERROR(INT(VALUE(I1194)),"bad"))))</f>
        <v/>
      </c>
      <c r="O1194">
        <f>IF(J1194="","",IF(ISNUMBER(J1194),ROUND(J1194,2),IFERROR(ROUND(VALUE(SUBSTITUTE(SUBSTITUTE(SUBSTITUTE(J1194,"$",""),",","")," ","")),2),"bad")))</f>
        <v/>
      </c>
      <c r="P1194">
        <f>IF(TRIM(K1194)="","",IFERROR(MATCH(LOWER(TRIM(K1194)),'Students'!$AH$2:$AH$701,0),IFERROR(MATCH(LOWER(TRIM(K1194)),'Students'!$AF$2:$AF$701,0),IFERROR(MATCH(LOWER(TRIM(K1194)),'Students'!$AG$2:$AG$701,0),""))))</f>
        <v/>
      </c>
      <c r="R1194">
        <f>IF(P1194="","",INDEX('Students'!$AD$2:$AD$701,P1194))</f>
        <v/>
      </c>
      <c r="S1194">
        <f>IF(H1194="OK",O1194,0)</f>
        <v/>
      </c>
      <c r="T1194">
        <f>IF(H1194="OK",N1194,"")</f>
        <v/>
      </c>
      <c r="U1194">
        <f>IF(OC_Donor=0,"",IF(INDEX('OneCause_Paste'!$A$1194:$AZ$1194,1,OC_Donor)="","",INDEX('OneCause_Paste'!$A$1194:$AZ$1194,1,OC_Donor)))</f>
        <v/>
      </c>
    </row>
    <row r="1195">
      <c r="A1195" s="62">
        <f>IF(H1195="","",IF(ISNUMBER(N1195),N1195,I1195))</f>
        <v/>
      </c>
      <c r="B1195">
        <f>IF(H1195="","",U1195)</f>
        <v/>
      </c>
      <c r="C1195">
        <f>IF(H1195="","",IF(P1195="",K1195,INDEX('Students'!$A$2:$A$701,P1195)))</f>
        <v/>
      </c>
      <c r="D1195">
        <f>IF(OR(H1195="",P1195=""),"",INDEX('Students'!$B$2:$B$701,P1195))</f>
        <v/>
      </c>
      <c r="E1195">
        <f>IF(OR(H1195="",P1195=""),"",INDEX('Students'!$C$2:$C$701,P1195))</f>
        <v/>
      </c>
      <c r="F1195" s="48">
        <f>IF(H1195="","",IF(ISNUMBER(O1195),O1195,J1195))</f>
        <v/>
      </c>
      <c r="G1195">
        <f>IF(H1195="","","OneCause")</f>
        <v/>
      </c>
      <c r="H1195">
        <f>IF(AND(I1195="",J1195="",K1195=""),"",IF(NOT(ISNUMBER(O1195)),"Bad amount",IF(O1195&lt;0,"Refund (not counted)",IF(O1195=0,"Zero amount",IF(NOT(ISNUMBER(N1195)),"Bad date",IF(P1195="","NAME NOT ON ROSTER",IF(L1195="","OK",IF(MATCH(L1195,$L$2:$L$3001,0)&lt;ROW()-1,"Duplicate (ignored)","OK"))))))))</f>
        <v/>
      </c>
      <c r="I1195">
        <f>IF(OC_Date=0,"",IF(INDEX('OneCause_Paste'!$A$1195:$AZ$1195,1,OC_Date)="","",INDEX('OneCause_Paste'!$A$1195:$AZ$1195,1,OC_Date)))</f>
        <v/>
      </c>
      <c r="J1195">
        <f>IF(OC_Amt=0,"",IF(INDEX('OneCause_Paste'!$A$1195:$AZ$1195,1,OC_Amt)="","",INDEX('OneCause_Paste'!$A$1195:$AZ$1195,1,OC_Amt)))</f>
        <v/>
      </c>
      <c r="K1195">
        <f>IF(OC_Name=0,"",IF(INDEX('OneCause_Paste'!$A$1195:$AZ$1195,1,OC_Name)="","",INDEX('OneCause_Paste'!$A$1195:$AZ$1195,1,OC_Name)))</f>
        <v/>
      </c>
      <c r="L1195">
        <f>IF(OC_Txn=0,"",IF(INDEX('OneCause_Paste'!$A$1195:$AZ$1195,1,OC_Txn)="","",INDEX('OneCause_Paste'!$A$1195:$AZ$1195,1,OC_Txn)))</f>
        <v/>
      </c>
      <c r="M1195">
        <f>IF(OC_Pay=0,"",IF(INDEX('OneCause_Paste'!$A$1195:$AZ$1195,1,OC_Pay)="","",INDEX('OneCause_Paste'!$A$1195:$AZ$1195,1,OC_Pay)))</f>
        <v/>
      </c>
      <c r="N1195">
        <f>IF(I1195="","",IF(ISNUMBER(I1195),INT(I1195),IFERROR(INT(DATEVALUE(I1195)),IFERROR(INT(VALUE(I1195)),"bad"))))</f>
        <v/>
      </c>
      <c r="O1195">
        <f>IF(J1195="","",IF(ISNUMBER(J1195),ROUND(J1195,2),IFERROR(ROUND(VALUE(SUBSTITUTE(SUBSTITUTE(SUBSTITUTE(J1195,"$",""),",","")," ","")),2),"bad")))</f>
        <v/>
      </c>
      <c r="P1195">
        <f>IF(TRIM(K1195)="","",IFERROR(MATCH(LOWER(TRIM(K1195)),'Students'!$AH$2:$AH$701,0),IFERROR(MATCH(LOWER(TRIM(K1195)),'Students'!$AF$2:$AF$701,0),IFERROR(MATCH(LOWER(TRIM(K1195)),'Students'!$AG$2:$AG$701,0),""))))</f>
        <v/>
      </c>
      <c r="R1195">
        <f>IF(P1195="","",INDEX('Students'!$AD$2:$AD$701,P1195))</f>
        <v/>
      </c>
      <c r="S1195">
        <f>IF(H1195="OK",O1195,0)</f>
        <v/>
      </c>
      <c r="T1195">
        <f>IF(H1195="OK",N1195,"")</f>
        <v/>
      </c>
      <c r="U1195">
        <f>IF(OC_Donor=0,"",IF(INDEX('OneCause_Paste'!$A$1195:$AZ$1195,1,OC_Donor)="","",INDEX('OneCause_Paste'!$A$1195:$AZ$1195,1,OC_Donor)))</f>
        <v/>
      </c>
    </row>
    <row r="1196">
      <c r="A1196" s="62">
        <f>IF(H1196="","",IF(ISNUMBER(N1196),N1196,I1196))</f>
        <v/>
      </c>
      <c r="B1196">
        <f>IF(H1196="","",U1196)</f>
        <v/>
      </c>
      <c r="C1196">
        <f>IF(H1196="","",IF(P1196="",K1196,INDEX('Students'!$A$2:$A$701,P1196)))</f>
        <v/>
      </c>
      <c r="D1196">
        <f>IF(OR(H1196="",P1196=""),"",INDEX('Students'!$B$2:$B$701,P1196))</f>
        <v/>
      </c>
      <c r="E1196">
        <f>IF(OR(H1196="",P1196=""),"",INDEX('Students'!$C$2:$C$701,P1196))</f>
        <v/>
      </c>
      <c r="F1196" s="48">
        <f>IF(H1196="","",IF(ISNUMBER(O1196),O1196,J1196))</f>
        <v/>
      </c>
      <c r="G1196">
        <f>IF(H1196="","","OneCause")</f>
        <v/>
      </c>
      <c r="H1196">
        <f>IF(AND(I1196="",J1196="",K1196=""),"",IF(NOT(ISNUMBER(O1196)),"Bad amount",IF(O1196&lt;0,"Refund (not counted)",IF(O1196=0,"Zero amount",IF(NOT(ISNUMBER(N1196)),"Bad date",IF(P1196="","NAME NOT ON ROSTER",IF(L1196="","OK",IF(MATCH(L1196,$L$2:$L$3001,0)&lt;ROW()-1,"Duplicate (ignored)","OK"))))))))</f>
        <v/>
      </c>
      <c r="I1196">
        <f>IF(OC_Date=0,"",IF(INDEX('OneCause_Paste'!$A$1196:$AZ$1196,1,OC_Date)="","",INDEX('OneCause_Paste'!$A$1196:$AZ$1196,1,OC_Date)))</f>
        <v/>
      </c>
      <c r="J1196">
        <f>IF(OC_Amt=0,"",IF(INDEX('OneCause_Paste'!$A$1196:$AZ$1196,1,OC_Amt)="","",INDEX('OneCause_Paste'!$A$1196:$AZ$1196,1,OC_Amt)))</f>
        <v/>
      </c>
      <c r="K1196">
        <f>IF(OC_Name=0,"",IF(INDEX('OneCause_Paste'!$A$1196:$AZ$1196,1,OC_Name)="","",INDEX('OneCause_Paste'!$A$1196:$AZ$1196,1,OC_Name)))</f>
        <v/>
      </c>
      <c r="L1196">
        <f>IF(OC_Txn=0,"",IF(INDEX('OneCause_Paste'!$A$1196:$AZ$1196,1,OC_Txn)="","",INDEX('OneCause_Paste'!$A$1196:$AZ$1196,1,OC_Txn)))</f>
        <v/>
      </c>
      <c r="M1196">
        <f>IF(OC_Pay=0,"",IF(INDEX('OneCause_Paste'!$A$1196:$AZ$1196,1,OC_Pay)="","",INDEX('OneCause_Paste'!$A$1196:$AZ$1196,1,OC_Pay)))</f>
        <v/>
      </c>
      <c r="N1196">
        <f>IF(I1196="","",IF(ISNUMBER(I1196),INT(I1196),IFERROR(INT(DATEVALUE(I1196)),IFERROR(INT(VALUE(I1196)),"bad"))))</f>
        <v/>
      </c>
      <c r="O1196">
        <f>IF(J1196="","",IF(ISNUMBER(J1196),ROUND(J1196,2),IFERROR(ROUND(VALUE(SUBSTITUTE(SUBSTITUTE(SUBSTITUTE(J1196,"$",""),",","")," ","")),2),"bad")))</f>
        <v/>
      </c>
      <c r="P1196">
        <f>IF(TRIM(K1196)="","",IFERROR(MATCH(LOWER(TRIM(K1196)),'Students'!$AH$2:$AH$701,0),IFERROR(MATCH(LOWER(TRIM(K1196)),'Students'!$AF$2:$AF$701,0),IFERROR(MATCH(LOWER(TRIM(K1196)),'Students'!$AG$2:$AG$701,0),""))))</f>
        <v/>
      </c>
      <c r="R1196">
        <f>IF(P1196="","",INDEX('Students'!$AD$2:$AD$701,P1196))</f>
        <v/>
      </c>
      <c r="S1196">
        <f>IF(H1196="OK",O1196,0)</f>
        <v/>
      </c>
      <c r="T1196">
        <f>IF(H1196="OK",N1196,"")</f>
        <v/>
      </c>
      <c r="U1196">
        <f>IF(OC_Donor=0,"",IF(INDEX('OneCause_Paste'!$A$1196:$AZ$1196,1,OC_Donor)="","",INDEX('OneCause_Paste'!$A$1196:$AZ$1196,1,OC_Donor)))</f>
        <v/>
      </c>
    </row>
    <row r="1197">
      <c r="A1197" s="62">
        <f>IF(H1197="","",IF(ISNUMBER(N1197),N1197,I1197))</f>
        <v/>
      </c>
      <c r="B1197">
        <f>IF(H1197="","",U1197)</f>
        <v/>
      </c>
      <c r="C1197">
        <f>IF(H1197="","",IF(P1197="",K1197,INDEX('Students'!$A$2:$A$701,P1197)))</f>
        <v/>
      </c>
      <c r="D1197">
        <f>IF(OR(H1197="",P1197=""),"",INDEX('Students'!$B$2:$B$701,P1197))</f>
        <v/>
      </c>
      <c r="E1197">
        <f>IF(OR(H1197="",P1197=""),"",INDEX('Students'!$C$2:$C$701,P1197))</f>
        <v/>
      </c>
      <c r="F1197" s="48">
        <f>IF(H1197="","",IF(ISNUMBER(O1197),O1197,J1197))</f>
        <v/>
      </c>
      <c r="G1197">
        <f>IF(H1197="","","OneCause")</f>
        <v/>
      </c>
      <c r="H1197">
        <f>IF(AND(I1197="",J1197="",K1197=""),"",IF(NOT(ISNUMBER(O1197)),"Bad amount",IF(O1197&lt;0,"Refund (not counted)",IF(O1197=0,"Zero amount",IF(NOT(ISNUMBER(N1197)),"Bad date",IF(P1197="","NAME NOT ON ROSTER",IF(L1197="","OK",IF(MATCH(L1197,$L$2:$L$3001,0)&lt;ROW()-1,"Duplicate (ignored)","OK"))))))))</f>
        <v/>
      </c>
      <c r="I1197">
        <f>IF(OC_Date=0,"",IF(INDEX('OneCause_Paste'!$A$1197:$AZ$1197,1,OC_Date)="","",INDEX('OneCause_Paste'!$A$1197:$AZ$1197,1,OC_Date)))</f>
        <v/>
      </c>
      <c r="J1197">
        <f>IF(OC_Amt=0,"",IF(INDEX('OneCause_Paste'!$A$1197:$AZ$1197,1,OC_Amt)="","",INDEX('OneCause_Paste'!$A$1197:$AZ$1197,1,OC_Amt)))</f>
        <v/>
      </c>
      <c r="K1197">
        <f>IF(OC_Name=0,"",IF(INDEX('OneCause_Paste'!$A$1197:$AZ$1197,1,OC_Name)="","",INDEX('OneCause_Paste'!$A$1197:$AZ$1197,1,OC_Name)))</f>
        <v/>
      </c>
      <c r="L1197">
        <f>IF(OC_Txn=0,"",IF(INDEX('OneCause_Paste'!$A$1197:$AZ$1197,1,OC_Txn)="","",INDEX('OneCause_Paste'!$A$1197:$AZ$1197,1,OC_Txn)))</f>
        <v/>
      </c>
      <c r="M1197">
        <f>IF(OC_Pay=0,"",IF(INDEX('OneCause_Paste'!$A$1197:$AZ$1197,1,OC_Pay)="","",INDEX('OneCause_Paste'!$A$1197:$AZ$1197,1,OC_Pay)))</f>
        <v/>
      </c>
      <c r="N1197">
        <f>IF(I1197="","",IF(ISNUMBER(I1197),INT(I1197),IFERROR(INT(DATEVALUE(I1197)),IFERROR(INT(VALUE(I1197)),"bad"))))</f>
        <v/>
      </c>
      <c r="O1197">
        <f>IF(J1197="","",IF(ISNUMBER(J1197),ROUND(J1197,2),IFERROR(ROUND(VALUE(SUBSTITUTE(SUBSTITUTE(SUBSTITUTE(J1197,"$",""),",","")," ","")),2),"bad")))</f>
        <v/>
      </c>
      <c r="P1197">
        <f>IF(TRIM(K1197)="","",IFERROR(MATCH(LOWER(TRIM(K1197)),'Students'!$AH$2:$AH$701,0),IFERROR(MATCH(LOWER(TRIM(K1197)),'Students'!$AF$2:$AF$701,0),IFERROR(MATCH(LOWER(TRIM(K1197)),'Students'!$AG$2:$AG$701,0),""))))</f>
        <v/>
      </c>
      <c r="R1197">
        <f>IF(P1197="","",INDEX('Students'!$AD$2:$AD$701,P1197))</f>
        <v/>
      </c>
      <c r="S1197">
        <f>IF(H1197="OK",O1197,0)</f>
        <v/>
      </c>
      <c r="T1197">
        <f>IF(H1197="OK",N1197,"")</f>
        <v/>
      </c>
      <c r="U1197">
        <f>IF(OC_Donor=0,"",IF(INDEX('OneCause_Paste'!$A$1197:$AZ$1197,1,OC_Donor)="","",INDEX('OneCause_Paste'!$A$1197:$AZ$1197,1,OC_Donor)))</f>
        <v/>
      </c>
    </row>
    <row r="1198">
      <c r="A1198" s="62">
        <f>IF(H1198="","",IF(ISNUMBER(N1198),N1198,I1198))</f>
        <v/>
      </c>
      <c r="B1198">
        <f>IF(H1198="","",U1198)</f>
        <v/>
      </c>
      <c r="C1198">
        <f>IF(H1198="","",IF(P1198="",K1198,INDEX('Students'!$A$2:$A$701,P1198)))</f>
        <v/>
      </c>
      <c r="D1198">
        <f>IF(OR(H1198="",P1198=""),"",INDEX('Students'!$B$2:$B$701,P1198))</f>
        <v/>
      </c>
      <c r="E1198">
        <f>IF(OR(H1198="",P1198=""),"",INDEX('Students'!$C$2:$C$701,P1198))</f>
        <v/>
      </c>
      <c r="F1198" s="48">
        <f>IF(H1198="","",IF(ISNUMBER(O1198),O1198,J1198))</f>
        <v/>
      </c>
      <c r="G1198">
        <f>IF(H1198="","","OneCause")</f>
        <v/>
      </c>
      <c r="H1198">
        <f>IF(AND(I1198="",J1198="",K1198=""),"",IF(NOT(ISNUMBER(O1198)),"Bad amount",IF(O1198&lt;0,"Refund (not counted)",IF(O1198=0,"Zero amount",IF(NOT(ISNUMBER(N1198)),"Bad date",IF(P1198="","NAME NOT ON ROSTER",IF(L1198="","OK",IF(MATCH(L1198,$L$2:$L$3001,0)&lt;ROW()-1,"Duplicate (ignored)","OK"))))))))</f>
        <v/>
      </c>
      <c r="I1198">
        <f>IF(OC_Date=0,"",IF(INDEX('OneCause_Paste'!$A$1198:$AZ$1198,1,OC_Date)="","",INDEX('OneCause_Paste'!$A$1198:$AZ$1198,1,OC_Date)))</f>
        <v/>
      </c>
      <c r="J1198">
        <f>IF(OC_Amt=0,"",IF(INDEX('OneCause_Paste'!$A$1198:$AZ$1198,1,OC_Amt)="","",INDEX('OneCause_Paste'!$A$1198:$AZ$1198,1,OC_Amt)))</f>
        <v/>
      </c>
      <c r="K1198">
        <f>IF(OC_Name=0,"",IF(INDEX('OneCause_Paste'!$A$1198:$AZ$1198,1,OC_Name)="","",INDEX('OneCause_Paste'!$A$1198:$AZ$1198,1,OC_Name)))</f>
        <v/>
      </c>
      <c r="L1198">
        <f>IF(OC_Txn=0,"",IF(INDEX('OneCause_Paste'!$A$1198:$AZ$1198,1,OC_Txn)="","",INDEX('OneCause_Paste'!$A$1198:$AZ$1198,1,OC_Txn)))</f>
        <v/>
      </c>
      <c r="M1198">
        <f>IF(OC_Pay=0,"",IF(INDEX('OneCause_Paste'!$A$1198:$AZ$1198,1,OC_Pay)="","",INDEX('OneCause_Paste'!$A$1198:$AZ$1198,1,OC_Pay)))</f>
        <v/>
      </c>
      <c r="N1198">
        <f>IF(I1198="","",IF(ISNUMBER(I1198),INT(I1198),IFERROR(INT(DATEVALUE(I1198)),IFERROR(INT(VALUE(I1198)),"bad"))))</f>
        <v/>
      </c>
      <c r="O1198">
        <f>IF(J1198="","",IF(ISNUMBER(J1198),ROUND(J1198,2),IFERROR(ROUND(VALUE(SUBSTITUTE(SUBSTITUTE(SUBSTITUTE(J1198,"$",""),",","")," ","")),2),"bad")))</f>
        <v/>
      </c>
      <c r="P1198">
        <f>IF(TRIM(K1198)="","",IFERROR(MATCH(LOWER(TRIM(K1198)),'Students'!$AH$2:$AH$701,0),IFERROR(MATCH(LOWER(TRIM(K1198)),'Students'!$AF$2:$AF$701,0),IFERROR(MATCH(LOWER(TRIM(K1198)),'Students'!$AG$2:$AG$701,0),""))))</f>
        <v/>
      </c>
      <c r="R1198">
        <f>IF(P1198="","",INDEX('Students'!$AD$2:$AD$701,P1198))</f>
        <v/>
      </c>
      <c r="S1198">
        <f>IF(H1198="OK",O1198,0)</f>
        <v/>
      </c>
      <c r="T1198">
        <f>IF(H1198="OK",N1198,"")</f>
        <v/>
      </c>
      <c r="U1198">
        <f>IF(OC_Donor=0,"",IF(INDEX('OneCause_Paste'!$A$1198:$AZ$1198,1,OC_Donor)="","",INDEX('OneCause_Paste'!$A$1198:$AZ$1198,1,OC_Donor)))</f>
        <v/>
      </c>
    </row>
    <row r="1199">
      <c r="A1199" s="62">
        <f>IF(H1199="","",IF(ISNUMBER(N1199),N1199,I1199))</f>
        <v/>
      </c>
      <c r="B1199">
        <f>IF(H1199="","",U1199)</f>
        <v/>
      </c>
      <c r="C1199">
        <f>IF(H1199="","",IF(P1199="",K1199,INDEX('Students'!$A$2:$A$701,P1199)))</f>
        <v/>
      </c>
      <c r="D1199">
        <f>IF(OR(H1199="",P1199=""),"",INDEX('Students'!$B$2:$B$701,P1199))</f>
        <v/>
      </c>
      <c r="E1199">
        <f>IF(OR(H1199="",P1199=""),"",INDEX('Students'!$C$2:$C$701,P1199))</f>
        <v/>
      </c>
      <c r="F1199" s="48">
        <f>IF(H1199="","",IF(ISNUMBER(O1199),O1199,J1199))</f>
        <v/>
      </c>
      <c r="G1199">
        <f>IF(H1199="","","OneCause")</f>
        <v/>
      </c>
      <c r="H1199">
        <f>IF(AND(I1199="",J1199="",K1199=""),"",IF(NOT(ISNUMBER(O1199)),"Bad amount",IF(O1199&lt;0,"Refund (not counted)",IF(O1199=0,"Zero amount",IF(NOT(ISNUMBER(N1199)),"Bad date",IF(P1199="","NAME NOT ON ROSTER",IF(L1199="","OK",IF(MATCH(L1199,$L$2:$L$3001,0)&lt;ROW()-1,"Duplicate (ignored)","OK"))))))))</f>
        <v/>
      </c>
      <c r="I1199">
        <f>IF(OC_Date=0,"",IF(INDEX('OneCause_Paste'!$A$1199:$AZ$1199,1,OC_Date)="","",INDEX('OneCause_Paste'!$A$1199:$AZ$1199,1,OC_Date)))</f>
        <v/>
      </c>
      <c r="J1199">
        <f>IF(OC_Amt=0,"",IF(INDEX('OneCause_Paste'!$A$1199:$AZ$1199,1,OC_Amt)="","",INDEX('OneCause_Paste'!$A$1199:$AZ$1199,1,OC_Amt)))</f>
        <v/>
      </c>
      <c r="K1199">
        <f>IF(OC_Name=0,"",IF(INDEX('OneCause_Paste'!$A$1199:$AZ$1199,1,OC_Name)="","",INDEX('OneCause_Paste'!$A$1199:$AZ$1199,1,OC_Name)))</f>
        <v/>
      </c>
      <c r="L1199">
        <f>IF(OC_Txn=0,"",IF(INDEX('OneCause_Paste'!$A$1199:$AZ$1199,1,OC_Txn)="","",INDEX('OneCause_Paste'!$A$1199:$AZ$1199,1,OC_Txn)))</f>
        <v/>
      </c>
      <c r="M1199">
        <f>IF(OC_Pay=0,"",IF(INDEX('OneCause_Paste'!$A$1199:$AZ$1199,1,OC_Pay)="","",INDEX('OneCause_Paste'!$A$1199:$AZ$1199,1,OC_Pay)))</f>
        <v/>
      </c>
      <c r="N1199">
        <f>IF(I1199="","",IF(ISNUMBER(I1199),INT(I1199),IFERROR(INT(DATEVALUE(I1199)),IFERROR(INT(VALUE(I1199)),"bad"))))</f>
        <v/>
      </c>
      <c r="O1199">
        <f>IF(J1199="","",IF(ISNUMBER(J1199),ROUND(J1199,2),IFERROR(ROUND(VALUE(SUBSTITUTE(SUBSTITUTE(SUBSTITUTE(J1199,"$",""),",","")," ","")),2),"bad")))</f>
        <v/>
      </c>
      <c r="P1199">
        <f>IF(TRIM(K1199)="","",IFERROR(MATCH(LOWER(TRIM(K1199)),'Students'!$AH$2:$AH$701,0),IFERROR(MATCH(LOWER(TRIM(K1199)),'Students'!$AF$2:$AF$701,0),IFERROR(MATCH(LOWER(TRIM(K1199)),'Students'!$AG$2:$AG$701,0),""))))</f>
        <v/>
      </c>
      <c r="R1199">
        <f>IF(P1199="","",INDEX('Students'!$AD$2:$AD$701,P1199))</f>
        <v/>
      </c>
      <c r="S1199">
        <f>IF(H1199="OK",O1199,0)</f>
        <v/>
      </c>
      <c r="T1199">
        <f>IF(H1199="OK",N1199,"")</f>
        <v/>
      </c>
      <c r="U1199">
        <f>IF(OC_Donor=0,"",IF(INDEX('OneCause_Paste'!$A$1199:$AZ$1199,1,OC_Donor)="","",INDEX('OneCause_Paste'!$A$1199:$AZ$1199,1,OC_Donor)))</f>
        <v/>
      </c>
    </row>
    <row r="1200">
      <c r="A1200" s="62">
        <f>IF(H1200="","",IF(ISNUMBER(N1200),N1200,I1200))</f>
        <v/>
      </c>
      <c r="B1200">
        <f>IF(H1200="","",U1200)</f>
        <v/>
      </c>
      <c r="C1200">
        <f>IF(H1200="","",IF(P1200="",K1200,INDEX('Students'!$A$2:$A$701,P1200)))</f>
        <v/>
      </c>
      <c r="D1200">
        <f>IF(OR(H1200="",P1200=""),"",INDEX('Students'!$B$2:$B$701,P1200))</f>
        <v/>
      </c>
      <c r="E1200">
        <f>IF(OR(H1200="",P1200=""),"",INDEX('Students'!$C$2:$C$701,P1200))</f>
        <v/>
      </c>
      <c r="F1200" s="48">
        <f>IF(H1200="","",IF(ISNUMBER(O1200),O1200,J1200))</f>
        <v/>
      </c>
      <c r="G1200">
        <f>IF(H1200="","","OneCause")</f>
        <v/>
      </c>
      <c r="H1200">
        <f>IF(AND(I1200="",J1200="",K1200=""),"",IF(NOT(ISNUMBER(O1200)),"Bad amount",IF(O1200&lt;0,"Refund (not counted)",IF(O1200=0,"Zero amount",IF(NOT(ISNUMBER(N1200)),"Bad date",IF(P1200="","NAME NOT ON ROSTER",IF(L1200="","OK",IF(MATCH(L1200,$L$2:$L$3001,0)&lt;ROW()-1,"Duplicate (ignored)","OK"))))))))</f>
        <v/>
      </c>
      <c r="I1200">
        <f>IF(OC_Date=0,"",IF(INDEX('OneCause_Paste'!$A$1200:$AZ$1200,1,OC_Date)="","",INDEX('OneCause_Paste'!$A$1200:$AZ$1200,1,OC_Date)))</f>
        <v/>
      </c>
      <c r="J1200">
        <f>IF(OC_Amt=0,"",IF(INDEX('OneCause_Paste'!$A$1200:$AZ$1200,1,OC_Amt)="","",INDEX('OneCause_Paste'!$A$1200:$AZ$1200,1,OC_Amt)))</f>
        <v/>
      </c>
      <c r="K1200">
        <f>IF(OC_Name=0,"",IF(INDEX('OneCause_Paste'!$A$1200:$AZ$1200,1,OC_Name)="","",INDEX('OneCause_Paste'!$A$1200:$AZ$1200,1,OC_Name)))</f>
        <v/>
      </c>
      <c r="L1200">
        <f>IF(OC_Txn=0,"",IF(INDEX('OneCause_Paste'!$A$1200:$AZ$1200,1,OC_Txn)="","",INDEX('OneCause_Paste'!$A$1200:$AZ$1200,1,OC_Txn)))</f>
        <v/>
      </c>
      <c r="M1200">
        <f>IF(OC_Pay=0,"",IF(INDEX('OneCause_Paste'!$A$1200:$AZ$1200,1,OC_Pay)="","",INDEX('OneCause_Paste'!$A$1200:$AZ$1200,1,OC_Pay)))</f>
        <v/>
      </c>
      <c r="N1200">
        <f>IF(I1200="","",IF(ISNUMBER(I1200),INT(I1200),IFERROR(INT(DATEVALUE(I1200)),IFERROR(INT(VALUE(I1200)),"bad"))))</f>
        <v/>
      </c>
      <c r="O1200">
        <f>IF(J1200="","",IF(ISNUMBER(J1200),ROUND(J1200,2),IFERROR(ROUND(VALUE(SUBSTITUTE(SUBSTITUTE(SUBSTITUTE(J1200,"$",""),",","")," ","")),2),"bad")))</f>
        <v/>
      </c>
      <c r="P1200">
        <f>IF(TRIM(K1200)="","",IFERROR(MATCH(LOWER(TRIM(K1200)),'Students'!$AH$2:$AH$701,0),IFERROR(MATCH(LOWER(TRIM(K1200)),'Students'!$AF$2:$AF$701,0),IFERROR(MATCH(LOWER(TRIM(K1200)),'Students'!$AG$2:$AG$701,0),""))))</f>
        <v/>
      </c>
      <c r="R1200">
        <f>IF(P1200="","",INDEX('Students'!$AD$2:$AD$701,P1200))</f>
        <v/>
      </c>
      <c r="S1200">
        <f>IF(H1200="OK",O1200,0)</f>
        <v/>
      </c>
      <c r="T1200">
        <f>IF(H1200="OK",N1200,"")</f>
        <v/>
      </c>
      <c r="U1200">
        <f>IF(OC_Donor=0,"",IF(INDEX('OneCause_Paste'!$A$1200:$AZ$1200,1,OC_Donor)="","",INDEX('OneCause_Paste'!$A$1200:$AZ$1200,1,OC_Donor)))</f>
        <v/>
      </c>
    </row>
    <row r="1201">
      <c r="A1201" s="62">
        <f>IF(H1201="","",IF(ISNUMBER(N1201),N1201,I1201))</f>
        <v/>
      </c>
      <c r="B1201">
        <f>IF(H1201="","",U1201)</f>
        <v/>
      </c>
      <c r="C1201">
        <f>IF(H1201="","",IF(P1201="",K1201,INDEX('Students'!$A$2:$A$701,P1201)))</f>
        <v/>
      </c>
      <c r="D1201">
        <f>IF(OR(H1201="",P1201=""),"",INDEX('Students'!$B$2:$B$701,P1201))</f>
        <v/>
      </c>
      <c r="E1201">
        <f>IF(OR(H1201="",P1201=""),"",INDEX('Students'!$C$2:$C$701,P1201))</f>
        <v/>
      </c>
      <c r="F1201" s="48">
        <f>IF(H1201="","",IF(ISNUMBER(O1201),O1201,J1201))</f>
        <v/>
      </c>
      <c r="G1201">
        <f>IF(H1201="","","OneCause")</f>
        <v/>
      </c>
      <c r="H1201">
        <f>IF(AND(I1201="",J1201="",K1201=""),"",IF(NOT(ISNUMBER(O1201)),"Bad amount",IF(O1201&lt;0,"Refund (not counted)",IF(O1201=0,"Zero amount",IF(NOT(ISNUMBER(N1201)),"Bad date",IF(P1201="","NAME NOT ON ROSTER",IF(L1201="","OK",IF(MATCH(L1201,$L$2:$L$3001,0)&lt;ROW()-1,"Duplicate (ignored)","OK"))))))))</f>
        <v/>
      </c>
      <c r="I1201">
        <f>IF(OC_Date=0,"",IF(INDEX('OneCause_Paste'!$A$1201:$AZ$1201,1,OC_Date)="","",INDEX('OneCause_Paste'!$A$1201:$AZ$1201,1,OC_Date)))</f>
        <v/>
      </c>
      <c r="J1201">
        <f>IF(OC_Amt=0,"",IF(INDEX('OneCause_Paste'!$A$1201:$AZ$1201,1,OC_Amt)="","",INDEX('OneCause_Paste'!$A$1201:$AZ$1201,1,OC_Amt)))</f>
        <v/>
      </c>
      <c r="K1201">
        <f>IF(OC_Name=0,"",IF(INDEX('OneCause_Paste'!$A$1201:$AZ$1201,1,OC_Name)="","",INDEX('OneCause_Paste'!$A$1201:$AZ$1201,1,OC_Name)))</f>
        <v/>
      </c>
      <c r="L1201">
        <f>IF(OC_Txn=0,"",IF(INDEX('OneCause_Paste'!$A$1201:$AZ$1201,1,OC_Txn)="","",INDEX('OneCause_Paste'!$A$1201:$AZ$1201,1,OC_Txn)))</f>
        <v/>
      </c>
      <c r="M1201">
        <f>IF(OC_Pay=0,"",IF(INDEX('OneCause_Paste'!$A$1201:$AZ$1201,1,OC_Pay)="","",INDEX('OneCause_Paste'!$A$1201:$AZ$1201,1,OC_Pay)))</f>
        <v/>
      </c>
      <c r="N1201">
        <f>IF(I1201="","",IF(ISNUMBER(I1201),INT(I1201),IFERROR(INT(DATEVALUE(I1201)),IFERROR(INT(VALUE(I1201)),"bad"))))</f>
        <v/>
      </c>
      <c r="O1201">
        <f>IF(J1201="","",IF(ISNUMBER(J1201),ROUND(J1201,2),IFERROR(ROUND(VALUE(SUBSTITUTE(SUBSTITUTE(SUBSTITUTE(J1201,"$",""),",","")," ","")),2),"bad")))</f>
        <v/>
      </c>
      <c r="P1201">
        <f>IF(TRIM(K1201)="","",IFERROR(MATCH(LOWER(TRIM(K1201)),'Students'!$AH$2:$AH$701,0),IFERROR(MATCH(LOWER(TRIM(K1201)),'Students'!$AF$2:$AF$701,0),IFERROR(MATCH(LOWER(TRIM(K1201)),'Students'!$AG$2:$AG$701,0),""))))</f>
        <v/>
      </c>
      <c r="R1201">
        <f>IF(P1201="","",INDEX('Students'!$AD$2:$AD$701,P1201))</f>
        <v/>
      </c>
      <c r="S1201">
        <f>IF(H1201="OK",O1201,0)</f>
        <v/>
      </c>
      <c r="T1201">
        <f>IF(H1201="OK",N1201,"")</f>
        <v/>
      </c>
      <c r="U1201">
        <f>IF(OC_Donor=0,"",IF(INDEX('OneCause_Paste'!$A$1201:$AZ$1201,1,OC_Donor)="","",INDEX('OneCause_Paste'!$A$1201:$AZ$1201,1,OC_Donor)))</f>
        <v/>
      </c>
    </row>
    <row r="1202">
      <c r="A1202" s="62">
        <f>IF(H1202="","",IF(ISNUMBER(N1202),N1202,I1202))</f>
        <v/>
      </c>
      <c r="B1202">
        <f>IF(H1202="","",U1202)</f>
        <v/>
      </c>
      <c r="C1202">
        <f>IF(H1202="","",IF(P1202="",K1202,INDEX('Students'!$A$2:$A$701,P1202)))</f>
        <v/>
      </c>
      <c r="D1202">
        <f>IF(OR(H1202="",P1202=""),"",INDEX('Students'!$B$2:$B$701,P1202))</f>
        <v/>
      </c>
      <c r="E1202">
        <f>IF(OR(H1202="",P1202=""),"",INDEX('Students'!$C$2:$C$701,P1202))</f>
        <v/>
      </c>
      <c r="F1202" s="48">
        <f>IF(H1202="","",IF(ISNUMBER(O1202),O1202,J1202))</f>
        <v/>
      </c>
      <c r="G1202">
        <f>IF(H1202="","","OneCause")</f>
        <v/>
      </c>
      <c r="H1202">
        <f>IF(AND(I1202="",J1202="",K1202=""),"",IF(NOT(ISNUMBER(O1202)),"Bad amount",IF(O1202&lt;0,"Refund (not counted)",IF(O1202=0,"Zero amount",IF(NOT(ISNUMBER(N1202)),"Bad date",IF(P1202="","NAME NOT ON ROSTER",IF(L1202="","OK",IF(MATCH(L1202,$L$2:$L$3001,0)&lt;ROW()-1,"Duplicate (ignored)","OK"))))))))</f>
        <v/>
      </c>
      <c r="I1202">
        <f>IF(OC_Date=0,"",IF(INDEX('OneCause_Paste'!$A$1202:$AZ$1202,1,OC_Date)="","",INDEX('OneCause_Paste'!$A$1202:$AZ$1202,1,OC_Date)))</f>
        <v/>
      </c>
      <c r="J1202">
        <f>IF(OC_Amt=0,"",IF(INDEX('OneCause_Paste'!$A$1202:$AZ$1202,1,OC_Amt)="","",INDEX('OneCause_Paste'!$A$1202:$AZ$1202,1,OC_Amt)))</f>
        <v/>
      </c>
      <c r="K1202">
        <f>IF(OC_Name=0,"",IF(INDEX('OneCause_Paste'!$A$1202:$AZ$1202,1,OC_Name)="","",INDEX('OneCause_Paste'!$A$1202:$AZ$1202,1,OC_Name)))</f>
        <v/>
      </c>
      <c r="L1202">
        <f>IF(OC_Txn=0,"",IF(INDEX('OneCause_Paste'!$A$1202:$AZ$1202,1,OC_Txn)="","",INDEX('OneCause_Paste'!$A$1202:$AZ$1202,1,OC_Txn)))</f>
        <v/>
      </c>
      <c r="M1202">
        <f>IF(OC_Pay=0,"",IF(INDEX('OneCause_Paste'!$A$1202:$AZ$1202,1,OC_Pay)="","",INDEX('OneCause_Paste'!$A$1202:$AZ$1202,1,OC_Pay)))</f>
        <v/>
      </c>
      <c r="N1202">
        <f>IF(I1202="","",IF(ISNUMBER(I1202),INT(I1202),IFERROR(INT(DATEVALUE(I1202)),IFERROR(INT(VALUE(I1202)),"bad"))))</f>
        <v/>
      </c>
      <c r="O1202">
        <f>IF(J1202="","",IF(ISNUMBER(J1202),ROUND(J1202,2),IFERROR(ROUND(VALUE(SUBSTITUTE(SUBSTITUTE(SUBSTITUTE(J1202,"$",""),",","")," ","")),2),"bad")))</f>
        <v/>
      </c>
      <c r="P1202">
        <f>IF(TRIM(K1202)="","",IFERROR(MATCH(LOWER(TRIM(K1202)),'Students'!$AH$2:$AH$701,0),IFERROR(MATCH(LOWER(TRIM(K1202)),'Students'!$AF$2:$AF$701,0),IFERROR(MATCH(LOWER(TRIM(K1202)),'Students'!$AG$2:$AG$701,0),""))))</f>
        <v/>
      </c>
      <c r="R1202">
        <f>IF(P1202="","",INDEX('Students'!$AD$2:$AD$701,P1202))</f>
        <v/>
      </c>
      <c r="S1202">
        <f>IF(H1202="OK",O1202,0)</f>
        <v/>
      </c>
      <c r="T1202">
        <f>IF(H1202="OK",N1202,"")</f>
        <v/>
      </c>
      <c r="U1202">
        <f>IF(OC_Donor=0,"",IF(INDEX('OneCause_Paste'!$A$1202:$AZ$1202,1,OC_Donor)="","",INDEX('OneCause_Paste'!$A$1202:$AZ$1202,1,OC_Donor)))</f>
        <v/>
      </c>
    </row>
    <row r="1203">
      <c r="A1203" s="62">
        <f>IF(H1203="","",IF(ISNUMBER(N1203),N1203,I1203))</f>
        <v/>
      </c>
      <c r="B1203">
        <f>IF(H1203="","",U1203)</f>
        <v/>
      </c>
      <c r="C1203">
        <f>IF(H1203="","",IF(P1203="",K1203,INDEX('Students'!$A$2:$A$701,P1203)))</f>
        <v/>
      </c>
      <c r="D1203">
        <f>IF(OR(H1203="",P1203=""),"",INDEX('Students'!$B$2:$B$701,P1203))</f>
        <v/>
      </c>
      <c r="E1203">
        <f>IF(OR(H1203="",P1203=""),"",INDEX('Students'!$C$2:$C$701,P1203))</f>
        <v/>
      </c>
      <c r="F1203" s="48">
        <f>IF(H1203="","",IF(ISNUMBER(O1203),O1203,J1203))</f>
        <v/>
      </c>
      <c r="G1203">
        <f>IF(H1203="","","OneCause")</f>
        <v/>
      </c>
      <c r="H1203">
        <f>IF(AND(I1203="",J1203="",K1203=""),"",IF(NOT(ISNUMBER(O1203)),"Bad amount",IF(O1203&lt;0,"Refund (not counted)",IF(O1203=0,"Zero amount",IF(NOT(ISNUMBER(N1203)),"Bad date",IF(P1203="","NAME NOT ON ROSTER",IF(L1203="","OK",IF(MATCH(L1203,$L$2:$L$3001,0)&lt;ROW()-1,"Duplicate (ignored)","OK"))))))))</f>
        <v/>
      </c>
      <c r="I1203">
        <f>IF(OC_Date=0,"",IF(INDEX('OneCause_Paste'!$A$1203:$AZ$1203,1,OC_Date)="","",INDEX('OneCause_Paste'!$A$1203:$AZ$1203,1,OC_Date)))</f>
        <v/>
      </c>
      <c r="J1203">
        <f>IF(OC_Amt=0,"",IF(INDEX('OneCause_Paste'!$A$1203:$AZ$1203,1,OC_Amt)="","",INDEX('OneCause_Paste'!$A$1203:$AZ$1203,1,OC_Amt)))</f>
        <v/>
      </c>
      <c r="K1203">
        <f>IF(OC_Name=0,"",IF(INDEX('OneCause_Paste'!$A$1203:$AZ$1203,1,OC_Name)="","",INDEX('OneCause_Paste'!$A$1203:$AZ$1203,1,OC_Name)))</f>
        <v/>
      </c>
      <c r="L1203">
        <f>IF(OC_Txn=0,"",IF(INDEX('OneCause_Paste'!$A$1203:$AZ$1203,1,OC_Txn)="","",INDEX('OneCause_Paste'!$A$1203:$AZ$1203,1,OC_Txn)))</f>
        <v/>
      </c>
      <c r="M1203">
        <f>IF(OC_Pay=0,"",IF(INDEX('OneCause_Paste'!$A$1203:$AZ$1203,1,OC_Pay)="","",INDEX('OneCause_Paste'!$A$1203:$AZ$1203,1,OC_Pay)))</f>
        <v/>
      </c>
      <c r="N1203">
        <f>IF(I1203="","",IF(ISNUMBER(I1203),INT(I1203),IFERROR(INT(DATEVALUE(I1203)),IFERROR(INT(VALUE(I1203)),"bad"))))</f>
        <v/>
      </c>
      <c r="O1203">
        <f>IF(J1203="","",IF(ISNUMBER(J1203),ROUND(J1203,2),IFERROR(ROUND(VALUE(SUBSTITUTE(SUBSTITUTE(SUBSTITUTE(J1203,"$",""),",","")," ","")),2),"bad")))</f>
        <v/>
      </c>
      <c r="P1203">
        <f>IF(TRIM(K1203)="","",IFERROR(MATCH(LOWER(TRIM(K1203)),'Students'!$AH$2:$AH$701,0),IFERROR(MATCH(LOWER(TRIM(K1203)),'Students'!$AF$2:$AF$701,0),IFERROR(MATCH(LOWER(TRIM(K1203)),'Students'!$AG$2:$AG$701,0),""))))</f>
        <v/>
      </c>
      <c r="R1203">
        <f>IF(P1203="","",INDEX('Students'!$AD$2:$AD$701,P1203))</f>
        <v/>
      </c>
      <c r="S1203">
        <f>IF(H1203="OK",O1203,0)</f>
        <v/>
      </c>
      <c r="T1203">
        <f>IF(H1203="OK",N1203,"")</f>
        <v/>
      </c>
      <c r="U1203">
        <f>IF(OC_Donor=0,"",IF(INDEX('OneCause_Paste'!$A$1203:$AZ$1203,1,OC_Donor)="","",INDEX('OneCause_Paste'!$A$1203:$AZ$1203,1,OC_Donor)))</f>
        <v/>
      </c>
    </row>
    <row r="1204">
      <c r="A1204" s="62">
        <f>IF(H1204="","",IF(ISNUMBER(N1204),N1204,I1204))</f>
        <v/>
      </c>
      <c r="B1204">
        <f>IF(H1204="","",U1204)</f>
        <v/>
      </c>
      <c r="C1204">
        <f>IF(H1204="","",IF(P1204="",K1204,INDEX('Students'!$A$2:$A$701,P1204)))</f>
        <v/>
      </c>
      <c r="D1204">
        <f>IF(OR(H1204="",P1204=""),"",INDEX('Students'!$B$2:$B$701,P1204))</f>
        <v/>
      </c>
      <c r="E1204">
        <f>IF(OR(H1204="",P1204=""),"",INDEX('Students'!$C$2:$C$701,P1204))</f>
        <v/>
      </c>
      <c r="F1204" s="48">
        <f>IF(H1204="","",IF(ISNUMBER(O1204),O1204,J1204))</f>
        <v/>
      </c>
      <c r="G1204">
        <f>IF(H1204="","","OneCause")</f>
        <v/>
      </c>
      <c r="H1204">
        <f>IF(AND(I1204="",J1204="",K1204=""),"",IF(NOT(ISNUMBER(O1204)),"Bad amount",IF(O1204&lt;0,"Refund (not counted)",IF(O1204=0,"Zero amount",IF(NOT(ISNUMBER(N1204)),"Bad date",IF(P1204="","NAME NOT ON ROSTER",IF(L1204="","OK",IF(MATCH(L1204,$L$2:$L$3001,0)&lt;ROW()-1,"Duplicate (ignored)","OK"))))))))</f>
        <v/>
      </c>
      <c r="I1204">
        <f>IF(OC_Date=0,"",IF(INDEX('OneCause_Paste'!$A$1204:$AZ$1204,1,OC_Date)="","",INDEX('OneCause_Paste'!$A$1204:$AZ$1204,1,OC_Date)))</f>
        <v/>
      </c>
      <c r="J1204">
        <f>IF(OC_Amt=0,"",IF(INDEX('OneCause_Paste'!$A$1204:$AZ$1204,1,OC_Amt)="","",INDEX('OneCause_Paste'!$A$1204:$AZ$1204,1,OC_Amt)))</f>
        <v/>
      </c>
      <c r="K1204">
        <f>IF(OC_Name=0,"",IF(INDEX('OneCause_Paste'!$A$1204:$AZ$1204,1,OC_Name)="","",INDEX('OneCause_Paste'!$A$1204:$AZ$1204,1,OC_Name)))</f>
        <v/>
      </c>
      <c r="L1204">
        <f>IF(OC_Txn=0,"",IF(INDEX('OneCause_Paste'!$A$1204:$AZ$1204,1,OC_Txn)="","",INDEX('OneCause_Paste'!$A$1204:$AZ$1204,1,OC_Txn)))</f>
        <v/>
      </c>
      <c r="M1204">
        <f>IF(OC_Pay=0,"",IF(INDEX('OneCause_Paste'!$A$1204:$AZ$1204,1,OC_Pay)="","",INDEX('OneCause_Paste'!$A$1204:$AZ$1204,1,OC_Pay)))</f>
        <v/>
      </c>
      <c r="N1204">
        <f>IF(I1204="","",IF(ISNUMBER(I1204),INT(I1204),IFERROR(INT(DATEVALUE(I1204)),IFERROR(INT(VALUE(I1204)),"bad"))))</f>
        <v/>
      </c>
      <c r="O1204">
        <f>IF(J1204="","",IF(ISNUMBER(J1204),ROUND(J1204,2),IFERROR(ROUND(VALUE(SUBSTITUTE(SUBSTITUTE(SUBSTITUTE(J1204,"$",""),",","")," ","")),2),"bad")))</f>
        <v/>
      </c>
      <c r="P1204">
        <f>IF(TRIM(K1204)="","",IFERROR(MATCH(LOWER(TRIM(K1204)),'Students'!$AH$2:$AH$701,0),IFERROR(MATCH(LOWER(TRIM(K1204)),'Students'!$AF$2:$AF$701,0),IFERROR(MATCH(LOWER(TRIM(K1204)),'Students'!$AG$2:$AG$701,0),""))))</f>
        <v/>
      </c>
      <c r="R1204">
        <f>IF(P1204="","",INDEX('Students'!$AD$2:$AD$701,P1204))</f>
        <v/>
      </c>
      <c r="S1204">
        <f>IF(H1204="OK",O1204,0)</f>
        <v/>
      </c>
      <c r="T1204">
        <f>IF(H1204="OK",N1204,"")</f>
        <v/>
      </c>
      <c r="U1204">
        <f>IF(OC_Donor=0,"",IF(INDEX('OneCause_Paste'!$A$1204:$AZ$1204,1,OC_Donor)="","",INDEX('OneCause_Paste'!$A$1204:$AZ$1204,1,OC_Donor)))</f>
        <v/>
      </c>
    </row>
    <row r="1205">
      <c r="A1205" s="62">
        <f>IF(H1205="","",IF(ISNUMBER(N1205),N1205,I1205))</f>
        <v/>
      </c>
      <c r="B1205">
        <f>IF(H1205="","",U1205)</f>
        <v/>
      </c>
      <c r="C1205">
        <f>IF(H1205="","",IF(P1205="",K1205,INDEX('Students'!$A$2:$A$701,P1205)))</f>
        <v/>
      </c>
      <c r="D1205">
        <f>IF(OR(H1205="",P1205=""),"",INDEX('Students'!$B$2:$B$701,P1205))</f>
        <v/>
      </c>
      <c r="E1205">
        <f>IF(OR(H1205="",P1205=""),"",INDEX('Students'!$C$2:$C$701,P1205))</f>
        <v/>
      </c>
      <c r="F1205" s="48">
        <f>IF(H1205="","",IF(ISNUMBER(O1205),O1205,J1205))</f>
        <v/>
      </c>
      <c r="G1205">
        <f>IF(H1205="","","OneCause")</f>
        <v/>
      </c>
      <c r="H1205">
        <f>IF(AND(I1205="",J1205="",K1205=""),"",IF(NOT(ISNUMBER(O1205)),"Bad amount",IF(O1205&lt;0,"Refund (not counted)",IF(O1205=0,"Zero amount",IF(NOT(ISNUMBER(N1205)),"Bad date",IF(P1205="","NAME NOT ON ROSTER",IF(L1205="","OK",IF(MATCH(L1205,$L$2:$L$3001,0)&lt;ROW()-1,"Duplicate (ignored)","OK"))))))))</f>
        <v/>
      </c>
      <c r="I1205">
        <f>IF(OC_Date=0,"",IF(INDEX('OneCause_Paste'!$A$1205:$AZ$1205,1,OC_Date)="","",INDEX('OneCause_Paste'!$A$1205:$AZ$1205,1,OC_Date)))</f>
        <v/>
      </c>
      <c r="J1205">
        <f>IF(OC_Amt=0,"",IF(INDEX('OneCause_Paste'!$A$1205:$AZ$1205,1,OC_Amt)="","",INDEX('OneCause_Paste'!$A$1205:$AZ$1205,1,OC_Amt)))</f>
        <v/>
      </c>
      <c r="K1205">
        <f>IF(OC_Name=0,"",IF(INDEX('OneCause_Paste'!$A$1205:$AZ$1205,1,OC_Name)="","",INDEX('OneCause_Paste'!$A$1205:$AZ$1205,1,OC_Name)))</f>
        <v/>
      </c>
      <c r="L1205">
        <f>IF(OC_Txn=0,"",IF(INDEX('OneCause_Paste'!$A$1205:$AZ$1205,1,OC_Txn)="","",INDEX('OneCause_Paste'!$A$1205:$AZ$1205,1,OC_Txn)))</f>
        <v/>
      </c>
      <c r="M1205">
        <f>IF(OC_Pay=0,"",IF(INDEX('OneCause_Paste'!$A$1205:$AZ$1205,1,OC_Pay)="","",INDEX('OneCause_Paste'!$A$1205:$AZ$1205,1,OC_Pay)))</f>
        <v/>
      </c>
      <c r="N1205">
        <f>IF(I1205="","",IF(ISNUMBER(I1205),INT(I1205),IFERROR(INT(DATEVALUE(I1205)),IFERROR(INT(VALUE(I1205)),"bad"))))</f>
        <v/>
      </c>
      <c r="O1205">
        <f>IF(J1205="","",IF(ISNUMBER(J1205),ROUND(J1205,2),IFERROR(ROUND(VALUE(SUBSTITUTE(SUBSTITUTE(SUBSTITUTE(J1205,"$",""),",","")," ","")),2),"bad")))</f>
        <v/>
      </c>
      <c r="P1205">
        <f>IF(TRIM(K1205)="","",IFERROR(MATCH(LOWER(TRIM(K1205)),'Students'!$AH$2:$AH$701,0),IFERROR(MATCH(LOWER(TRIM(K1205)),'Students'!$AF$2:$AF$701,0),IFERROR(MATCH(LOWER(TRIM(K1205)),'Students'!$AG$2:$AG$701,0),""))))</f>
        <v/>
      </c>
      <c r="R1205">
        <f>IF(P1205="","",INDEX('Students'!$AD$2:$AD$701,P1205))</f>
        <v/>
      </c>
      <c r="S1205">
        <f>IF(H1205="OK",O1205,0)</f>
        <v/>
      </c>
      <c r="T1205">
        <f>IF(H1205="OK",N1205,"")</f>
        <v/>
      </c>
      <c r="U1205">
        <f>IF(OC_Donor=0,"",IF(INDEX('OneCause_Paste'!$A$1205:$AZ$1205,1,OC_Donor)="","",INDEX('OneCause_Paste'!$A$1205:$AZ$1205,1,OC_Donor)))</f>
        <v/>
      </c>
    </row>
    <row r="1206">
      <c r="A1206" s="62">
        <f>IF(H1206="","",IF(ISNUMBER(N1206),N1206,I1206))</f>
        <v/>
      </c>
      <c r="B1206">
        <f>IF(H1206="","",U1206)</f>
        <v/>
      </c>
      <c r="C1206">
        <f>IF(H1206="","",IF(P1206="",K1206,INDEX('Students'!$A$2:$A$701,P1206)))</f>
        <v/>
      </c>
      <c r="D1206">
        <f>IF(OR(H1206="",P1206=""),"",INDEX('Students'!$B$2:$B$701,P1206))</f>
        <v/>
      </c>
      <c r="E1206">
        <f>IF(OR(H1206="",P1206=""),"",INDEX('Students'!$C$2:$C$701,P1206))</f>
        <v/>
      </c>
      <c r="F1206" s="48">
        <f>IF(H1206="","",IF(ISNUMBER(O1206),O1206,J1206))</f>
        <v/>
      </c>
      <c r="G1206">
        <f>IF(H1206="","","OneCause")</f>
        <v/>
      </c>
      <c r="H1206">
        <f>IF(AND(I1206="",J1206="",K1206=""),"",IF(NOT(ISNUMBER(O1206)),"Bad amount",IF(O1206&lt;0,"Refund (not counted)",IF(O1206=0,"Zero amount",IF(NOT(ISNUMBER(N1206)),"Bad date",IF(P1206="","NAME NOT ON ROSTER",IF(L1206="","OK",IF(MATCH(L1206,$L$2:$L$3001,0)&lt;ROW()-1,"Duplicate (ignored)","OK"))))))))</f>
        <v/>
      </c>
      <c r="I1206">
        <f>IF(OC_Date=0,"",IF(INDEX('OneCause_Paste'!$A$1206:$AZ$1206,1,OC_Date)="","",INDEX('OneCause_Paste'!$A$1206:$AZ$1206,1,OC_Date)))</f>
        <v/>
      </c>
      <c r="J1206">
        <f>IF(OC_Amt=0,"",IF(INDEX('OneCause_Paste'!$A$1206:$AZ$1206,1,OC_Amt)="","",INDEX('OneCause_Paste'!$A$1206:$AZ$1206,1,OC_Amt)))</f>
        <v/>
      </c>
      <c r="K1206">
        <f>IF(OC_Name=0,"",IF(INDEX('OneCause_Paste'!$A$1206:$AZ$1206,1,OC_Name)="","",INDEX('OneCause_Paste'!$A$1206:$AZ$1206,1,OC_Name)))</f>
        <v/>
      </c>
      <c r="L1206">
        <f>IF(OC_Txn=0,"",IF(INDEX('OneCause_Paste'!$A$1206:$AZ$1206,1,OC_Txn)="","",INDEX('OneCause_Paste'!$A$1206:$AZ$1206,1,OC_Txn)))</f>
        <v/>
      </c>
      <c r="M1206">
        <f>IF(OC_Pay=0,"",IF(INDEX('OneCause_Paste'!$A$1206:$AZ$1206,1,OC_Pay)="","",INDEX('OneCause_Paste'!$A$1206:$AZ$1206,1,OC_Pay)))</f>
        <v/>
      </c>
      <c r="N1206">
        <f>IF(I1206="","",IF(ISNUMBER(I1206),INT(I1206),IFERROR(INT(DATEVALUE(I1206)),IFERROR(INT(VALUE(I1206)),"bad"))))</f>
        <v/>
      </c>
      <c r="O1206">
        <f>IF(J1206="","",IF(ISNUMBER(J1206),ROUND(J1206,2),IFERROR(ROUND(VALUE(SUBSTITUTE(SUBSTITUTE(SUBSTITUTE(J1206,"$",""),",","")," ","")),2),"bad")))</f>
        <v/>
      </c>
      <c r="P1206">
        <f>IF(TRIM(K1206)="","",IFERROR(MATCH(LOWER(TRIM(K1206)),'Students'!$AH$2:$AH$701,0),IFERROR(MATCH(LOWER(TRIM(K1206)),'Students'!$AF$2:$AF$701,0),IFERROR(MATCH(LOWER(TRIM(K1206)),'Students'!$AG$2:$AG$701,0),""))))</f>
        <v/>
      </c>
      <c r="R1206">
        <f>IF(P1206="","",INDEX('Students'!$AD$2:$AD$701,P1206))</f>
        <v/>
      </c>
      <c r="S1206">
        <f>IF(H1206="OK",O1206,0)</f>
        <v/>
      </c>
      <c r="T1206">
        <f>IF(H1206="OK",N1206,"")</f>
        <v/>
      </c>
      <c r="U1206">
        <f>IF(OC_Donor=0,"",IF(INDEX('OneCause_Paste'!$A$1206:$AZ$1206,1,OC_Donor)="","",INDEX('OneCause_Paste'!$A$1206:$AZ$1206,1,OC_Donor)))</f>
        <v/>
      </c>
    </row>
    <row r="1207">
      <c r="A1207" s="62">
        <f>IF(H1207="","",IF(ISNUMBER(N1207),N1207,I1207))</f>
        <v/>
      </c>
      <c r="B1207">
        <f>IF(H1207="","",U1207)</f>
        <v/>
      </c>
      <c r="C1207">
        <f>IF(H1207="","",IF(P1207="",K1207,INDEX('Students'!$A$2:$A$701,P1207)))</f>
        <v/>
      </c>
      <c r="D1207">
        <f>IF(OR(H1207="",P1207=""),"",INDEX('Students'!$B$2:$B$701,P1207))</f>
        <v/>
      </c>
      <c r="E1207">
        <f>IF(OR(H1207="",P1207=""),"",INDEX('Students'!$C$2:$C$701,P1207))</f>
        <v/>
      </c>
      <c r="F1207" s="48">
        <f>IF(H1207="","",IF(ISNUMBER(O1207),O1207,J1207))</f>
        <v/>
      </c>
      <c r="G1207">
        <f>IF(H1207="","","OneCause")</f>
        <v/>
      </c>
      <c r="H1207">
        <f>IF(AND(I1207="",J1207="",K1207=""),"",IF(NOT(ISNUMBER(O1207)),"Bad amount",IF(O1207&lt;0,"Refund (not counted)",IF(O1207=0,"Zero amount",IF(NOT(ISNUMBER(N1207)),"Bad date",IF(P1207="","NAME NOT ON ROSTER",IF(L1207="","OK",IF(MATCH(L1207,$L$2:$L$3001,0)&lt;ROW()-1,"Duplicate (ignored)","OK"))))))))</f>
        <v/>
      </c>
      <c r="I1207">
        <f>IF(OC_Date=0,"",IF(INDEX('OneCause_Paste'!$A$1207:$AZ$1207,1,OC_Date)="","",INDEX('OneCause_Paste'!$A$1207:$AZ$1207,1,OC_Date)))</f>
        <v/>
      </c>
      <c r="J1207">
        <f>IF(OC_Amt=0,"",IF(INDEX('OneCause_Paste'!$A$1207:$AZ$1207,1,OC_Amt)="","",INDEX('OneCause_Paste'!$A$1207:$AZ$1207,1,OC_Amt)))</f>
        <v/>
      </c>
      <c r="K1207">
        <f>IF(OC_Name=0,"",IF(INDEX('OneCause_Paste'!$A$1207:$AZ$1207,1,OC_Name)="","",INDEX('OneCause_Paste'!$A$1207:$AZ$1207,1,OC_Name)))</f>
        <v/>
      </c>
      <c r="L1207">
        <f>IF(OC_Txn=0,"",IF(INDEX('OneCause_Paste'!$A$1207:$AZ$1207,1,OC_Txn)="","",INDEX('OneCause_Paste'!$A$1207:$AZ$1207,1,OC_Txn)))</f>
        <v/>
      </c>
      <c r="M1207">
        <f>IF(OC_Pay=0,"",IF(INDEX('OneCause_Paste'!$A$1207:$AZ$1207,1,OC_Pay)="","",INDEX('OneCause_Paste'!$A$1207:$AZ$1207,1,OC_Pay)))</f>
        <v/>
      </c>
      <c r="N1207">
        <f>IF(I1207="","",IF(ISNUMBER(I1207),INT(I1207),IFERROR(INT(DATEVALUE(I1207)),IFERROR(INT(VALUE(I1207)),"bad"))))</f>
        <v/>
      </c>
      <c r="O1207">
        <f>IF(J1207="","",IF(ISNUMBER(J1207),ROUND(J1207,2),IFERROR(ROUND(VALUE(SUBSTITUTE(SUBSTITUTE(SUBSTITUTE(J1207,"$",""),",","")," ","")),2),"bad")))</f>
        <v/>
      </c>
      <c r="P1207">
        <f>IF(TRIM(K1207)="","",IFERROR(MATCH(LOWER(TRIM(K1207)),'Students'!$AH$2:$AH$701,0),IFERROR(MATCH(LOWER(TRIM(K1207)),'Students'!$AF$2:$AF$701,0),IFERROR(MATCH(LOWER(TRIM(K1207)),'Students'!$AG$2:$AG$701,0),""))))</f>
        <v/>
      </c>
      <c r="R1207">
        <f>IF(P1207="","",INDEX('Students'!$AD$2:$AD$701,P1207))</f>
        <v/>
      </c>
      <c r="S1207">
        <f>IF(H1207="OK",O1207,0)</f>
        <v/>
      </c>
      <c r="T1207">
        <f>IF(H1207="OK",N1207,"")</f>
        <v/>
      </c>
      <c r="U1207">
        <f>IF(OC_Donor=0,"",IF(INDEX('OneCause_Paste'!$A$1207:$AZ$1207,1,OC_Donor)="","",INDEX('OneCause_Paste'!$A$1207:$AZ$1207,1,OC_Donor)))</f>
        <v/>
      </c>
    </row>
    <row r="1208">
      <c r="A1208" s="62">
        <f>IF(H1208="","",IF(ISNUMBER(N1208),N1208,I1208))</f>
        <v/>
      </c>
      <c r="B1208">
        <f>IF(H1208="","",U1208)</f>
        <v/>
      </c>
      <c r="C1208">
        <f>IF(H1208="","",IF(P1208="",K1208,INDEX('Students'!$A$2:$A$701,P1208)))</f>
        <v/>
      </c>
      <c r="D1208">
        <f>IF(OR(H1208="",P1208=""),"",INDEX('Students'!$B$2:$B$701,P1208))</f>
        <v/>
      </c>
      <c r="E1208">
        <f>IF(OR(H1208="",P1208=""),"",INDEX('Students'!$C$2:$C$701,P1208))</f>
        <v/>
      </c>
      <c r="F1208" s="48">
        <f>IF(H1208="","",IF(ISNUMBER(O1208),O1208,J1208))</f>
        <v/>
      </c>
      <c r="G1208">
        <f>IF(H1208="","","OneCause")</f>
        <v/>
      </c>
      <c r="H1208">
        <f>IF(AND(I1208="",J1208="",K1208=""),"",IF(NOT(ISNUMBER(O1208)),"Bad amount",IF(O1208&lt;0,"Refund (not counted)",IF(O1208=0,"Zero amount",IF(NOT(ISNUMBER(N1208)),"Bad date",IF(P1208="","NAME NOT ON ROSTER",IF(L1208="","OK",IF(MATCH(L1208,$L$2:$L$3001,0)&lt;ROW()-1,"Duplicate (ignored)","OK"))))))))</f>
        <v/>
      </c>
      <c r="I1208">
        <f>IF(OC_Date=0,"",IF(INDEX('OneCause_Paste'!$A$1208:$AZ$1208,1,OC_Date)="","",INDEX('OneCause_Paste'!$A$1208:$AZ$1208,1,OC_Date)))</f>
        <v/>
      </c>
      <c r="J1208">
        <f>IF(OC_Amt=0,"",IF(INDEX('OneCause_Paste'!$A$1208:$AZ$1208,1,OC_Amt)="","",INDEX('OneCause_Paste'!$A$1208:$AZ$1208,1,OC_Amt)))</f>
        <v/>
      </c>
      <c r="K1208">
        <f>IF(OC_Name=0,"",IF(INDEX('OneCause_Paste'!$A$1208:$AZ$1208,1,OC_Name)="","",INDEX('OneCause_Paste'!$A$1208:$AZ$1208,1,OC_Name)))</f>
        <v/>
      </c>
      <c r="L1208">
        <f>IF(OC_Txn=0,"",IF(INDEX('OneCause_Paste'!$A$1208:$AZ$1208,1,OC_Txn)="","",INDEX('OneCause_Paste'!$A$1208:$AZ$1208,1,OC_Txn)))</f>
        <v/>
      </c>
      <c r="M1208">
        <f>IF(OC_Pay=0,"",IF(INDEX('OneCause_Paste'!$A$1208:$AZ$1208,1,OC_Pay)="","",INDEX('OneCause_Paste'!$A$1208:$AZ$1208,1,OC_Pay)))</f>
        <v/>
      </c>
      <c r="N1208">
        <f>IF(I1208="","",IF(ISNUMBER(I1208),INT(I1208),IFERROR(INT(DATEVALUE(I1208)),IFERROR(INT(VALUE(I1208)),"bad"))))</f>
        <v/>
      </c>
      <c r="O1208">
        <f>IF(J1208="","",IF(ISNUMBER(J1208),ROUND(J1208,2),IFERROR(ROUND(VALUE(SUBSTITUTE(SUBSTITUTE(SUBSTITUTE(J1208,"$",""),",","")," ","")),2),"bad")))</f>
        <v/>
      </c>
      <c r="P1208">
        <f>IF(TRIM(K1208)="","",IFERROR(MATCH(LOWER(TRIM(K1208)),'Students'!$AH$2:$AH$701,0),IFERROR(MATCH(LOWER(TRIM(K1208)),'Students'!$AF$2:$AF$701,0),IFERROR(MATCH(LOWER(TRIM(K1208)),'Students'!$AG$2:$AG$701,0),""))))</f>
        <v/>
      </c>
      <c r="R1208">
        <f>IF(P1208="","",INDEX('Students'!$AD$2:$AD$701,P1208))</f>
        <v/>
      </c>
      <c r="S1208">
        <f>IF(H1208="OK",O1208,0)</f>
        <v/>
      </c>
      <c r="T1208">
        <f>IF(H1208="OK",N1208,"")</f>
        <v/>
      </c>
      <c r="U1208">
        <f>IF(OC_Donor=0,"",IF(INDEX('OneCause_Paste'!$A$1208:$AZ$1208,1,OC_Donor)="","",INDEX('OneCause_Paste'!$A$1208:$AZ$1208,1,OC_Donor)))</f>
        <v/>
      </c>
    </row>
    <row r="1209">
      <c r="A1209" s="62">
        <f>IF(H1209="","",IF(ISNUMBER(N1209),N1209,I1209))</f>
        <v/>
      </c>
      <c r="B1209">
        <f>IF(H1209="","",U1209)</f>
        <v/>
      </c>
      <c r="C1209">
        <f>IF(H1209="","",IF(P1209="",K1209,INDEX('Students'!$A$2:$A$701,P1209)))</f>
        <v/>
      </c>
      <c r="D1209">
        <f>IF(OR(H1209="",P1209=""),"",INDEX('Students'!$B$2:$B$701,P1209))</f>
        <v/>
      </c>
      <c r="E1209">
        <f>IF(OR(H1209="",P1209=""),"",INDEX('Students'!$C$2:$C$701,P1209))</f>
        <v/>
      </c>
      <c r="F1209" s="48">
        <f>IF(H1209="","",IF(ISNUMBER(O1209),O1209,J1209))</f>
        <v/>
      </c>
      <c r="G1209">
        <f>IF(H1209="","","OneCause")</f>
        <v/>
      </c>
      <c r="H1209">
        <f>IF(AND(I1209="",J1209="",K1209=""),"",IF(NOT(ISNUMBER(O1209)),"Bad amount",IF(O1209&lt;0,"Refund (not counted)",IF(O1209=0,"Zero amount",IF(NOT(ISNUMBER(N1209)),"Bad date",IF(P1209="","NAME NOT ON ROSTER",IF(L1209="","OK",IF(MATCH(L1209,$L$2:$L$3001,0)&lt;ROW()-1,"Duplicate (ignored)","OK"))))))))</f>
        <v/>
      </c>
      <c r="I1209">
        <f>IF(OC_Date=0,"",IF(INDEX('OneCause_Paste'!$A$1209:$AZ$1209,1,OC_Date)="","",INDEX('OneCause_Paste'!$A$1209:$AZ$1209,1,OC_Date)))</f>
        <v/>
      </c>
      <c r="J1209">
        <f>IF(OC_Amt=0,"",IF(INDEX('OneCause_Paste'!$A$1209:$AZ$1209,1,OC_Amt)="","",INDEX('OneCause_Paste'!$A$1209:$AZ$1209,1,OC_Amt)))</f>
        <v/>
      </c>
      <c r="K1209">
        <f>IF(OC_Name=0,"",IF(INDEX('OneCause_Paste'!$A$1209:$AZ$1209,1,OC_Name)="","",INDEX('OneCause_Paste'!$A$1209:$AZ$1209,1,OC_Name)))</f>
        <v/>
      </c>
      <c r="L1209">
        <f>IF(OC_Txn=0,"",IF(INDEX('OneCause_Paste'!$A$1209:$AZ$1209,1,OC_Txn)="","",INDEX('OneCause_Paste'!$A$1209:$AZ$1209,1,OC_Txn)))</f>
        <v/>
      </c>
      <c r="M1209">
        <f>IF(OC_Pay=0,"",IF(INDEX('OneCause_Paste'!$A$1209:$AZ$1209,1,OC_Pay)="","",INDEX('OneCause_Paste'!$A$1209:$AZ$1209,1,OC_Pay)))</f>
        <v/>
      </c>
      <c r="N1209">
        <f>IF(I1209="","",IF(ISNUMBER(I1209),INT(I1209),IFERROR(INT(DATEVALUE(I1209)),IFERROR(INT(VALUE(I1209)),"bad"))))</f>
        <v/>
      </c>
      <c r="O1209">
        <f>IF(J1209="","",IF(ISNUMBER(J1209),ROUND(J1209,2),IFERROR(ROUND(VALUE(SUBSTITUTE(SUBSTITUTE(SUBSTITUTE(J1209,"$",""),",","")," ","")),2),"bad")))</f>
        <v/>
      </c>
      <c r="P1209">
        <f>IF(TRIM(K1209)="","",IFERROR(MATCH(LOWER(TRIM(K1209)),'Students'!$AH$2:$AH$701,0),IFERROR(MATCH(LOWER(TRIM(K1209)),'Students'!$AF$2:$AF$701,0),IFERROR(MATCH(LOWER(TRIM(K1209)),'Students'!$AG$2:$AG$701,0),""))))</f>
        <v/>
      </c>
      <c r="R1209">
        <f>IF(P1209="","",INDEX('Students'!$AD$2:$AD$701,P1209))</f>
        <v/>
      </c>
      <c r="S1209">
        <f>IF(H1209="OK",O1209,0)</f>
        <v/>
      </c>
      <c r="T1209">
        <f>IF(H1209="OK",N1209,"")</f>
        <v/>
      </c>
      <c r="U1209">
        <f>IF(OC_Donor=0,"",IF(INDEX('OneCause_Paste'!$A$1209:$AZ$1209,1,OC_Donor)="","",INDEX('OneCause_Paste'!$A$1209:$AZ$1209,1,OC_Donor)))</f>
        <v/>
      </c>
    </row>
    <row r="1210">
      <c r="A1210" s="62">
        <f>IF(H1210="","",IF(ISNUMBER(N1210),N1210,I1210))</f>
        <v/>
      </c>
      <c r="B1210">
        <f>IF(H1210="","",U1210)</f>
        <v/>
      </c>
      <c r="C1210">
        <f>IF(H1210="","",IF(P1210="",K1210,INDEX('Students'!$A$2:$A$701,P1210)))</f>
        <v/>
      </c>
      <c r="D1210">
        <f>IF(OR(H1210="",P1210=""),"",INDEX('Students'!$B$2:$B$701,P1210))</f>
        <v/>
      </c>
      <c r="E1210">
        <f>IF(OR(H1210="",P1210=""),"",INDEX('Students'!$C$2:$C$701,P1210))</f>
        <v/>
      </c>
      <c r="F1210" s="48">
        <f>IF(H1210="","",IF(ISNUMBER(O1210),O1210,J1210))</f>
        <v/>
      </c>
      <c r="G1210">
        <f>IF(H1210="","","OneCause")</f>
        <v/>
      </c>
      <c r="H1210">
        <f>IF(AND(I1210="",J1210="",K1210=""),"",IF(NOT(ISNUMBER(O1210)),"Bad amount",IF(O1210&lt;0,"Refund (not counted)",IF(O1210=0,"Zero amount",IF(NOT(ISNUMBER(N1210)),"Bad date",IF(P1210="","NAME NOT ON ROSTER",IF(L1210="","OK",IF(MATCH(L1210,$L$2:$L$3001,0)&lt;ROW()-1,"Duplicate (ignored)","OK"))))))))</f>
        <v/>
      </c>
      <c r="I1210">
        <f>IF(OC_Date=0,"",IF(INDEX('OneCause_Paste'!$A$1210:$AZ$1210,1,OC_Date)="","",INDEX('OneCause_Paste'!$A$1210:$AZ$1210,1,OC_Date)))</f>
        <v/>
      </c>
      <c r="J1210">
        <f>IF(OC_Amt=0,"",IF(INDEX('OneCause_Paste'!$A$1210:$AZ$1210,1,OC_Amt)="","",INDEX('OneCause_Paste'!$A$1210:$AZ$1210,1,OC_Amt)))</f>
        <v/>
      </c>
      <c r="K1210">
        <f>IF(OC_Name=0,"",IF(INDEX('OneCause_Paste'!$A$1210:$AZ$1210,1,OC_Name)="","",INDEX('OneCause_Paste'!$A$1210:$AZ$1210,1,OC_Name)))</f>
        <v/>
      </c>
      <c r="L1210">
        <f>IF(OC_Txn=0,"",IF(INDEX('OneCause_Paste'!$A$1210:$AZ$1210,1,OC_Txn)="","",INDEX('OneCause_Paste'!$A$1210:$AZ$1210,1,OC_Txn)))</f>
        <v/>
      </c>
      <c r="M1210">
        <f>IF(OC_Pay=0,"",IF(INDEX('OneCause_Paste'!$A$1210:$AZ$1210,1,OC_Pay)="","",INDEX('OneCause_Paste'!$A$1210:$AZ$1210,1,OC_Pay)))</f>
        <v/>
      </c>
      <c r="N1210">
        <f>IF(I1210="","",IF(ISNUMBER(I1210),INT(I1210),IFERROR(INT(DATEVALUE(I1210)),IFERROR(INT(VALUE(I1210)),"bad"))))</f>
        <v/>
      </c>
      <c r="O1210">
        <f>IF(J1210="","",IF(ISNUMBER(J1210),ROUND(J1210,2),IFERROR(ROUND(VALUE(SUBSTITUTE(SUBSTITUTE(SUBSTITUTE(J1210,"$",""),",","")," ","")),2),"bad")))</f>
        <v/>
      </c>
      <c r="P1210">
        <f>IF(TRIM(K1210)="","",IFERROR(MATCH(LOWER(TRIM(K1210)),'Students'!$AH$2:$AH$701,0),IFERROR(MATCH(LOWER(TRIM(K1210)),'Students'!$AF$2:$AF$701,0),IFERROR(MATCH(LOWER(TRIM(K1210)),'Students'!$AG$2:$AG$701,0),""))))</f>
        <v/>
      </c>
      <c r="R1210">
        <f>IF(P1210="","",INDEX('Students'!$AD$2:$AD$701,P1210))</f>
        <v/>
      </c>
      <c r="S1210">
        <f>IF(H1210="OK",O1210,0)</f>
        <v/>
      </c>
      <c r="T1210">
        <f>IF(H1210="OK",N1210,"")</f>
        <v/>
      </c>
      <c r="U1210">
        <f>IF(OC_Donor=0,"",IF(INDEX('OneCause_Paste'!$A$1210:$AZ$1210,1,OC_Donor)="","",INDEX('OneCause_Paste'!$A$1210:$AZ$1210,1,OC_Donor)))</f>
        <v/>
      </c>
    </row>
    <row r="1211">
      <c r="A1211" s="62">
        <f>IF(H1211="","",IF(ISNUMBER(N1211),N1211,I1211))</f>
        <v/>
      </c>
      <c r="B1211">
        <f>IF(H1211="","",U1211)</f>
        <v/>
      </c>
      <c r="C1211">
        <f>IF(H1211="","",IF(P1211="",K1211,INDEX('Students'!$A$2:$A$701,P1211)))</f>
        <v/>
      </c>
      <c r="D1211">
        <f>IF(OR(H1211="",P1211=""),"",INDEX('Students'!$B$2:$B$701,P1211))</f>
        <v/>
      </c>
      <c r="E1211">
        <f>IF(OR(H1211="",P1211=""),"",INDEX('Students'!$C$2:$C$701,P1211))</f>
        <v/>
      </c>
      <c r="F1211" s="48">
        <f>IF(H1211="","",IF(ISNUMBER(O1211),O1211,J1211))</f>
        <v/>
      </c>
      <c r="G1211">
        <f>IF(H1211="","","OneCause")</f>
        <v/>
      </c>
      <c r="H1211">
        <f>IF(AND(I1211="",J1211="",K1211=""),"",IF(NOT(ISNUMBER(O1211)),"Bad amount",IF(O1211&lt;0,"Refund (not counted)",IF(O1211=0,"Zero amount",IF(NOT(ISNUMBER(N1211)),"Bad date",IF(P1211="","NAME NOT ON ROSTER",IF(L1211="","OK",IF(MATCH(L1211,$L$2:$L$3001,0)&lt;ROW()-1,"Duplicate (ignored)","OK"))))))))</f>
        <v/>
      </c>
      <c r="I1211">
        <f>IF(OC_Date=0,"",IF(INDEX('OneCause_Paste'!$A$1211:$AZ$1211,1,OC_Date)="","",INDEX('OneCause_Paste'!$A$1211:$AZ$1211,1,OC_Date)))</f>
        <v/>
      </c>
      <c r="J1211">
        <f>IF(OC_Amt=0,"",IF(INDEX('OneCause_Paste'!$A$1211:$AZ$1211,1,OC_Amt)="","",INDEX('OneCause_Paste'!$A$1211:$AZ$1211,1,OC_Amt)))</f>
        <v/>
      </c>
      <c r="K1211">
        <f>IF(OC_Name=0,"",IF(INDEX('OneCause_Paste'!$A$1211:$AZ$1211,1,OC_Name)="","",INDEX('OneCause_Paste'!$A$1211:$AZ$1211,1,OC_Name)))</f>
        <v/>
      </c>
      <c r="L1211">
        <f>IF(OC_Txn=0,"",IF(INDEX('OneCause_Paste'!$A$1211:$AZ$1211,1,OC_Txn)="","",INDEX('OneCause_Paste'!$A$1211:$AZ$1211,1,OC_Txn)))</f>
        <v/>
      </c>
      <c r="M1211">
        <f>IF(OC_Pay=0,"",IF(INDEX('OneCause_Paste'!$A$1211:$AZ$1211,1,OC_Pay)="","",INDEX('OneCause_Paste'!$A$1211:$AZ$1211,1,OC_Pay)))</f>
        <v/>
      </c>
      <c r="N1211">
        <f>IF(I1211="","",IF(ISNUMBER(I1211),INT(I1211),IFERROR(INT(DATEVALUE(I1211)),IFERROR(INT(VALUE(I1211)),"bad"))))</f>
        <v/>
      </c>
      <c r="O1211">
        <f>IF(J1211="","",IF(ISNUMBER(J1211),ROUND(J1211,2),IFERROR(ROUND(VALUE(SUBSTITUTE(SUBSTITUTE(SUBSTITUTE(J1211,"$",""),",","")," ","")),2),"bad")))</f>
        <v/>
      </c>
      <c r="P1211">
        <f>IF(TRIM(K1211)="","",IFERROR(MATCH(LOWER(TRIM(K1211)),'Students'!$AH$2:$AH$701,0),IFERROR(MATCH(LOWER(TRIM(K1211)),'Students'!$AF$2:$AF$701,0),IFERROR(MATCH(LOWER(TRIM(K1211)),'Students'!$AG$2:$AG$701,0),""))))</f>
        <v/>
      </c>
      <c r="R1211">
        <f>IF(P1211="","",INDEX('Students'!$AD$2:$AD$701,P1211))</f>
        <v/>
      </c>
      <c r="S1211">
        <f>IF(H1211="OK",O1211,0)</f>
        <v/>
      </c>
      <c r="T1211">
        <f>IF(H1211="OK",N1211,"")</f>
        <v/>
      </c>
      <c r="U1211">
        <f>IF(OC_Donor=0,"",IF(INDEX('OneCause_Paste'!$A$1211:$AZ$1211,1,OC_Donor)="","",INDEX('OneCause_Paste'!$A$1211:$AZ$1211,1,OC_Donor)))</f>
        <v/>
      </c>
    </row>
    <row r="1212">
      <c r="A1212" s="62">
        <f>IF(H1212="","",IF(ISNUMBER(N1212),N1212,I1212))</f>
        <v/>
      </c>
      <c r="B1212">
        <f>IF(H1212="","",U1212)</f>
        <v/>
      </c>
      <c r="C1212">
        <f>IF(H1212="","",IF(P1212="",K1212,INDEX('Students'!$A$2:$A$701,P1212)))</f>
        <v/>
      </c>
      <c r="D1212">
        <f>IF(OR(H1212="",P1212=""),"",INDEX('Students'!$B$2:$B$701,P1212))</f>
        <v/>
      </c>
      <c r="E1212">
        <f>IF(OR(H1212="",P1212=""),"",INDEX('Students'!$C$2:$C$701,P1212))</f>
        <v/>
      </c>
      <c r="F1212" s="48">
        <f>IF(H1212="","",IF(ISNUMBER(O1212),O1212,J1212))</f>
        <v/>
      </c>
      <c r="G1212">
        <f>IF(H1212="","","OneCause")</f>
        <v/>
      </c>
      <c r="H1212">
        <f>IF(AND(I1212="",J1212="",K1212=""),"",IF(NOT(ISNUMBER(O1212)),"Bad amount",IF(O1212&lt;0,"Refund (not counted)",IF(O1212=0,"Zero amount",IF(NOT(ISNUMBER(N1212)),"Bad date",IF(P1212="","NAME NOT ON ROSTER",IF(L1212="","OK",IF(MATCH(L1212,$L$2:$L$3001,0)&lt;ROW()-1,"Duplicate (ignored)","OK"))))))))</f>
        <v/>
      </c>
      <c r="I1212">
        <f>IF(OC_Date=0,"",IF(INDEX('OneCause_Paste'!$A$1212:$AZ$1212,1,OC_Date)="","",INDEX('OneCause_Paste'!$A$1212:$AZ$1212,1,OC_Date)))</f>
        <v/>
      </c>
      <c r="J1212">
        <f>IF(OC_Amt=0,"",IF(INDEX('OneCause_Paste'!$A$1212:$AZ$1212,1,OC_Amt)="","",INDEX('OneCause_Paste'!$A$1212:$AZ$1212,1,OC_Amt)))</f>
        <v/>
      </c>
      <c r="K1212">
        <f>IF(OC_Name=0,"",IF(INDEX('OneCause_Paste'!$A$1212:$AZ$1212,1,OC_Name)="","",INDEX('OneCause_Paste'!$A$1212:$AZ$1212,1,OC_Name)))</f>
        <v/>
      </c>
      <c r="L1212">
        <f>IF(OC_Txn=0,"",IF(INDEX('OneCause_Paste'!$A$1212:$AZ$1212,1,OC_Txn)="","",INDEX('OneCause_Paste'!$A$1212:$AZ$1212,1,OC_Txn)))</f>
        <v/>
      </c>
      <c r="M1212">
        <f>IF(OC_Pay=0,"",IF(INDEX('OneCause_Paste'!$A$1212:$AZ$1212,1,OC_Pay)="","",INDEX('OneCause_Paste'!$A$1212:$AZ$1212,1,OC_Pay)))</f>
        <v/>
      </c>
      <c r="N1212">
        <f>IF(I1212="","",IF(ISNUMBER(I1212),INT(I1212),IFERROR(INT(DATEVALUE(I1212)),IFERROR(INT(VALUE(I1212)),"bad"))))</f>
        <v/>
      </c>
      <c r="O1212">
        <f>IF(J1212="","",IF(ISNUMBER(J1212),ROUND(J1212,2),IFERROR(ROUND(VALUE(SUBSTITUTE(SUBSTITUTE(SUBSTITUTE(J1212,"$",""),",","")," ","")),2),"bad")))</f>
        <v/>
      </c>
      <c r="P1212">
        <f>IF(TRIM(K1212)="","",IFERROR(MATCH(LOWER(TRIM(K1212)),'Students'!$AH$2:$AH$701,0),IFERROR(MATCH(LOWER(TRIM(K1212)),'Students'!$AF$2:$AF$701,0),IFERROR(MATCH(LOWER(TRIM(K1212)),'Students'!$AG$2:$AG$701,0),""))))</f>
        <v/>
      </c>
      <c r="R1212">
        <f>IF(P1212="","",INDEX('Students'!$AD$2:$AD$701,P1212))</f>
        <v/>
      </c>
      <c r="S1212">
        <f>IF(H1212="OK",O1212,0)</f>
        <v/>
      </c>
      <c r="T1212">
        <f>IF(H1212="OK",N1212,"")</f>
        <v/>
      </c>
      <c r="U1212">
        <f>IF(OC_Donor=0,"",IF(INDEX('OneCause_Paste'!$A$1212:$AZ$1212,1,OC_Donor)="","",INDEX('OneCause_Paste'!$A$1212:$AZ$1212,1,OC_Donor)))</f>
        <v/>
      </c>
    </row>
    <row r="1213">
      <c r="A1213" s="62">
        <f>IF(H1213="","",IF(ISNUMBER(N1213),N1213,I1213))</f>
        <v/>
      </c>
      <c r="B1213">
        <f>IF(H1213="","",U1213)</f>
        <v/>
      </c>
      <c r="C1213">
        <f>IF(H1213="","",IF(P1213="",K1213,INDEX('Students'!$A$2:$A$701,P1213)))</f>
        <v/>
      </c>
      <c r="D1213">
        <f>IF(OR(H1213="",P1213=""),"",INDEX('Students'!$B$2:$B$701,P1213))</f>
        <v/>
      </c>
      <c r="E1213">
        <f>IF(OR(H1213="",P1213=""),"",INDEX('Students'!$C$2:$C$701,P1213))</f>
        <v/>
      </c>
      <c r="F1213" s="48">
        <f>IF(H1213="","",IF(ISNUMBER(O1213),O1213,J1213))</f>
        <v/>
      </c>
      <c r="G1213">
        <f>IF(H1213="","","OneCause")</f>
        <v/>
      </c>
      <c r="H1213">
        <f>IF(AND(I1213="",J1213="",K1213=""),"",IF(NOT(ISNUMBER(O1213)),"Bad amount",IF(O1213&lt;0,"Refund (not counted)",IF(O1213=0,"Zero amount",IF(NOT(ISNUMBER(N1213)),"Bad date",IF(P1213="","NAME NOT ON ROSTER",IF(L1213="","OK",IF(MATCH(L1213,$L$2:$L$3001,0)&lt;ROW()-1,"Duplicate (ignored)","OK"))))))))</f>
        <v/>
      </c>
      <c r="I1213">
        <f>IF(OC_Date=0,"",IF(INDEX('OneCause_Paste'!$A$1213:$AZ$1213,1,OC_Date)="","",INDEX('OneCause_Paste'!$A$1213:$AZ$1213,1,OC_Date)))</f>
        <v/>
      </c>
      <c r="J1213">
        <f>IF(OC_Amt=0,"",IF(INDEX('OneCause_Paste'!$A$1213:$AZ$1213,1,OC_Amt)="","",INDEX('OneCause_Paste'!$A$1213:$AZ$1213,1,OC_Amt)))</f>
        <v/>
      </c>
      <c r="K1213">
        <f>IF(OC_Name=0,"",IF(INDEX('OneCause_Paste'!$A$1213:$AZ$1213,1,OC_Name)="","",INDEX('OneCause_Paste'!$A$1213:$AZ$1213,1,OC_Name)))</f>
        <v/>
      </c>
      <c r="L1213">
        <f>IF(OC_Txn=0,"",IF(INDEX('OneCause_Paste'!$A$1213:$AZ$1213,1,OC_Txn)="","",INDEX('OneCause_Paste'!$A$1213:$AZ$1213,1,OC_Txn)))</f>
        <v/>
      </c>
      <c r="M1213">
        <f>IF(OC_Pay=0,"",IF(INDEX('OneCause_Paste'!$A$1213:$AZ$1213,1,OC_Pay)="","",INDEX('OneCause_Paste'!$A$1213:$AZ$1213,1,OC_Pay)))</f>
        <v/>
      </c>
      <c r="N1213">
        <f>IF(I1213="","",IF(ISNUMBER(I1213),INT(I1213),IFERROR(INT(DATEVALUE(I1213)),IFERROR(INT(VALUE(I1213)),"bad"))))</f>
        <v/>
      </c>
      <c r="O1213">
        <f>IF(J1213="","",IF(ISNUMBER(J1213),ROUND(J1213,2),IFERROR(ROUND(VALUE(SUBSTITUTE(SUBSTITUTE(SUBSTITUTE(J1213,"$",""),",","")," ","")),2),"bad")))</f>
        <v/>
      </c>
      <c r="P1213">
        <f>IF(TRIM(K1213)="","",IFERROR(MATCH(LOWER(TRIM(K1213)),'Students'!$AH$2:$AH$701,0),IFERROR(MATCH(LOWER(TRIM(K1213)),'Students'!$AF$2:$AF$701,0),IFERROR(MATCH(LOWER(TRIM(K1213)),'Students'!$AG$2:$AG$701,0),""))))</f>
        <v/>
      </c>
      <c r="R1213">
        <f>IF(P1213="","",INDEX('Students'!$AD$2:$AD$701,P1213))</f>
        <v/>
      </c>
      <c r="S1213">
        <f>IF(H1213="OK",O1213,0)</f>
        <v/>
      </c>
      <c r="T1213">
        <f>IF(H1213="OK",N1213,"")</f>
        <v/>
      </c>
      <c r="U1213">
        <f>IF(OC_Donor=0,"",IF(INDEX('OneCause_Paste'!$A$1213:$AZ$1213,1,OC_Donor)="","",INDEX('OneCause_Paste'!$A$1213:$AZ$1213,1,OC_Donor)))</f>
        <v/>
      </c>
    </row>
    <row r="1214">
      <c r="A1214" s="62">
        <f>IF(H1214="","",IF(ISNUMBER(N1214),N1214,I1214))</f>
        <v/>
      </c>
      <c r="B1214">
        <f>IF(H1214="","",U1214)</f>
        <v/>
      </c>
      <c r="C1214">
        <f>IF(H1214="","",IF(P1214="",K1214,INDEX('Students'!$A$2:$A$701,P1214)))</f>
        <v/>
      </c>
      <c r="D1214">
        <f>IF(OR(H1214="",P1214=""),"",INDEX('Students'!$B$2:$B$701,P1214))</f>
        <v/>
      </c>
      <c r="E1214">
        <f>IF(OR(H1214="",P1214=""),"",INDEX('Students'!$C$2:$C$701,P1214))</f>
        <v/>
      </c>
      <c r="F1214" s="48">
        <f>IF(H1214="","",IF(ISNUMBER(O1214),O1214,J1214))</f>
        <v/>
      </c>
      <c r="G1214">
        <f>IF(H1214="","","OneCause")</f>
        <v/>
      </c>
      <c r="H1214">
        <f>IF(AND(I1214="",J1214="",K1214=""),"",IF(NOT(ISNUMBER(O1214)),"Bad amount",IF(O1214&lt;0,"Refund (not counted)",IF(O1214=0,"Zero amount",IF(NOT(ISNUMBER(N1214)),"Bad date",IF(P1214="","NAME NOT ON ROSTER",IF(L1214="","OK",IF(MATCH(L1214,$L$2:$L$3001,0)&lt;ROW()-1,"Duplicate (ignored)","OK"))))))))</f>
        <v/>
      </c>
      <c r="I1214">
        <f>IF(OC_Date=0,"",IF(INDEX('OneCause_Paste'!$A$1214:$AZ$1214,1,OC_Date)="","",INDEX('OneCause_Paste'!$A$1214:$AZ$1214,1,OC_Date)))</f>
        <v/>
      </c>
      <c r="J1214">
        <f>IF(OC_Amt=0,"",IF(INDEX('OneCause_Paste'!$A$1214:$AZ$1214,1,OC_Amt)="","",INDEX('OneCause_Paste'!$A$1214:$AZ$1214,1,OC_Amt)))</f>
        <v/>
      </c>
      <c r="K1214">
        <f>IF(OC_Name=0,"",IF(INDEX('OneCause_Paste'!$A$1214:$AZ$1214,1,OC_Name)="","",INDEX('OneCause_Paste'!$A$1214:$AZ$1214,1,OC_Name)))</f>
        <v/>
      </c>
      <c r="L1214">
        <f>IF(OC_Txn=0,"",IF(INDEX('OneCause_Paste'!$A$1214:$AZ$1214,1,OC_Txn)="","",INDEX('OneCause_Paste'!$A$1214:$AZ$1214,1,OC_Txn)))</f>
        <v/>
      </c>
      <c r="M1214">
        <f>IF(OC_Pay=0,"",IF(INDEX('OneCause_Paste'!$A$1214:$AZ$1214,1,OC_Pay)="","",INDEX('OneCause_Paste'!$A$1214:$AZ$1214,1,OC_Pay)))</f>
        <v/>
      </c>
      <c r="N1214">
        <f>IF(I1214="","",IF(ISNUMBER(I1214),INT(I1214),IFERROR(INT(DATEVALUE(I1214)),IFERROR(INT(VALUE(I1214)),"bad"))))</f>
        <v/>
      </c>
      <c r="O1214">
        <f>IF(J1214="","",IF(ISNUMBER(J1214),ROUND(J1214,2),IFERROR(ROUND(VALUE(SUBSTITUTE(SUBSTITUTE(SUBSTITUTE(J1214,"$",""),",","")," ","")),2),"bad")))</f>
        <v/>
      </c>
      <c r="P1214">
        <f>IF(TRIM(K1214)="","",IFERROR(MATCH(LOWER(TRIM(K1214)),'Students'!$AH$2:$AH$701,0),IFERROR(MATCH(LOWER(TRIM(K1214)),'Students'!$AF$2:$AF$701,0),IFERROR(MATCH(LOWER(TRIM(K1214)),'Students'!$AG$2:$AG$701,0),""))))</f>
        <v/>
      </c>
      <c r="R1214">
        <f>IF(P1214="","",INDEX('Students'!$AD$2:$AD$701,P1214))</f>
        <v/>
      </c>
      <c r="S1214">
        <f>IF(H1214="OK",O1214,0)</f>
        <v/>
      </c>
      <c r="T1214">
        <f>IF(H1214="OK",N1214,"")</f>
        <v/>
      </c>
      <c r="U1214">
        <f>IF(OC_Donor=0,"",IF(INDEX('OneCause_Paste'!$A$1214:$AZ$1214,1,OC_Donor)="","",INDEX('OneCause_Paste'!$A$1214:$AZ$1214,1,OC_Donor)))</f>
        <v/>
      </c>
    </row>
    <row r="1215">
      <c r="A1215" s="62">
        <f>IF(H1215="","",IF(ISNUMBER(N1215),N1215,I1215))</f>
        <v/>
      </c>
      <c r="B1215">
        <f>IF(H1215="","",U1215)</f>
        <v/>
      </c>
      <c r="C1215">
        <f>IF(H1215="","",IF(P1215="",K1215,INDEX('Students'!$A$2:$A$701,P1215)))</f>
        <v/>
      </c>
      <c r="D1215">
        <f>IF(OR(H1215="",P1215=""),"",INDEX('Students'!$B$2:$B$701,P1215))</f>
        <v/>
      </c>
      <c r="E1215">
        <f>IF(OR(H1215="",P1215=""),"",INDEX('Students'!$C$2:$C$701,P1215))</f>
        <v/>
      </c>
      <c r="F1215" s="48">
        <f>IF(H1215="","",IF(ISNUMBER(O1215),O1215,J1215))</f>
        <v/>
      </c>
      <c r="G1215">
        <f>IF(H1215="","","OneCause")</f>
        <v/>
      </c>
      <c r="H1215">
        <f>IF(AND(I1215="",J1215="",K1215=""),"",IF(NOT(ISNUMBER(O1215)),"Bad amount",IF(O1215&lt;0,"Refund (not counted)",IF(O1215=0,"Zero amount",IF(NOT(ISNUMBER(N1215)),"Bad date",IF(P1215="","NAME NOT ON ROSTER",IF(L1215="","OK",IF(MATCH(L1215,$L$2:$L$3001,0)&lt;ROW()-1,"Duplicate (ignored)","OK"))))))))</f>
        <v/>
      </c>
      <c r="I1215">
        <f>IF(OC_Date=0,"",IF(INDEX('OneCause_Paste'!$A$1215:$AZ$1215,1,OC_Date)="","",INDEX('OneCause_Paste'!$A$1215:$AZ$1215,1,OC_Date)))</f>
        <v/>
      </c>
      <c r="J1215">
        <f>IF(OC_Amt=0,"",IF(INDEX('OneCause_Paste'!$A$1215:$AZ$1215,1,OC_Amt)="","",INDEX('OneCause_Paste'!$A$1215:$AZ$1215,1,OC_Amt)))</f>
        <v/>
      </c>
      <c r="K1215">
        <f>IF(OC_Name=0,"",IF(INDEX('OneCause_Paste'!$A$1215:$AZ$1215,1,OC_Name)="","",INDEX('OneCause_Paste'!$A$1215:$AZ$1215,1,OC_Name)))</f>
        <v/>
      </c>
      <c r="L1215">
        <f>IF(OC_Txn=0,"",IF(INDEX('OneCause_Paste'!$A$1215:$AZ$1215,1,OC_Txn)="","",INDEX('OneCause_Paste'!$A$1215:$AZ$1215,1,OC_Txn)))</f>
        <v/>
      </c>
      <c r="M1215">
        <f>IF(OC_Pay=0,"",IF(INDEX('OneCause_Paste'!$A$1215:$AZ$1215,1,OC_Pay)="","",INDEX('OneCause_Paste'!$A$1215:$AZ$1215,1,OC_Pay)))</f>
        <v/>
      </c>
      <c r="N1215">
        <f>IF(I1215="","",IF(ISNUMBER(I1215),INT(I1215),IFERROR(INT(DATEVALUE(I1215)),IFERROR(INT(VALUE(I1215)),"bad"))))</f>
        <v/>
      </c>
      <c r="O1215">
        <f>IF(J1215="","",IF(ISNUMBER(J1215),ROUND(J1215,2),IFERROR(ROUND(VALUE(SUBSTITUTE(SUBSTITUTE(SUBSTITUTE(J1215,"$",""),",","")," ","")),2),"bad")))</f>
        <v/>
      </c>
      <c r="P1215">
        <f>IF(TRIM(K1215)="","",IFERROR(MATCH(LOWER(TRIM(K1215)),'Students'!$AH$2:$AH$701,0),IFERROR(MATCH(LOWER(TRIM(K1215)),'Students'!$AF$2:$AF$701,0),IFERROR(MATCH(LOWER(TRIM(K1215)),'Students'!$AG$2:$AG$701,0),""))))</f>
        <v/>
      </c>
      <c r="R1215">
        <f>IF(P1215="","",INDEX('Students'!$AD$2:$AD$701,P1215))</f>
        <v/>
      </c>
      <c r="S1215">
        <f>IF(H1215="OK",O1215,0)</f>
        <v/>
      </c>
      <c r="T1215">
        <f>IF(H1215="OK",N1215,"")</f>
        <v/>
      </c>
      <c r="U1215">
        <f>IF(OC_Donor=0,"",IF(INDEX('OneCause_Paste'!$A$1215:$AZ$1215,1,OC_Donor)="","",INDEX('OneCause_Paste'!$A$1215:$AZ$1215,1,OC_Donor)))</f>
        <v/>
      </c>
    </row>
    <row r="1216">
      <c r="A1216" s="62">
        <f>IF(H1216="","",IF(ISNUMBER(N1216),N1216,I1216))</f>
        <v/>
      </c>
      <c r="B1216">
        <f>IF(H1216="","",U1216)</f>
        <v/>
      </c>
      <c r="C1216">
        <f>IF(H1216="","",IF(P1216="",K1216,INDEX('Students'!$A$2:$A$701,P1216)))</f>
        <v/>
      </c>
      <c r="D1216">
        <f>IF(OR(H1216="",P1216=""),"",INDEX('Students'!$B$2:$B$701,P1216))</f>
        <v/>
      </c>
      <c r="E1216">
        <f>IF(OR(H1216="",P1216=""),"",INDEX('Students'!$C$2:$C$701,P1216))</f>
        <v/>
      </c>
      <c r="F1216" s="48">
        <f>IF(H1216="","",IF(ISNUMBER(O1216),O1216,J1216))</f>
        <v/>
      </c>
      <c r="G1216">
        <f>IF(H1216="","","OneCause")</f>
        <v/>
      </c>
      <c r="H1216">
        <f>IF(AND(I1216="",J1216="",K1216=""),"",IF(NOT(ISNUMBER(O1216)),"Bad amount",IF(O1216&lt;0,"Refund (not counted)",IF(O1216=0,"Zero amount",IF(NOT(ISNUMBER(N1216)),"Bad date",IF(P1216="","NAME NOT ON ROSTER",IF(L1216="","OK",IF(MATCH(L1216,$L$2:$L$3001,0)&lt;ROW()-1,"Duplicate (ignored)","OK"))))))))</f>
        <v/>
      </c>
      <c r="I1216">
        <f>IF(OC_Date=0,"",IF(INDEX('OneCause_Paste'!$A$1216:$AZ$1216,1,OC_Date)="","",INDEX('OneCause_Paste'!$A$1216:$AZ$1216,1,OC_Date)))</f>
        <v/>
      </c>
      <c r="J1216">
        <f>IF(OC_Amt=0,"",IF(INDEX('OneCause_Paste'!$A$1216:$AZ$1216,1,OC_Amt)="","",INDEX('OneCause_Paste'!$A$1216:$AZ$1216,1,OC_Amt)))</f>
        <v/>
      </c>
      <c r="K1216">
        <f>IF(OC_Name=0,"",IF(INDEX('OneCause_Paste'!$A$1216:$AZ$1216,1,OC_Name)="","",INDEX('OneCause_Paste'!$A$1216:$AZ$1216,1,OC_Name)))</f>
        <v/>
      </c>
      <c r="L1216">
        <f>IF(OC_Txn=0,"",IF(INDEX('OneCause_Paste'!$A$1216:$AZ$1216,1,OC_Txn)="","",INDEX('OneCause_Paste'!$A$1216:$AZ$1216,1,OC_Txn)))</f>
        <v/>
      </c>
      <c r="M1216">
        <f>IF(OC_Pay=0,"",IF(INDEX('OneCause_Paste'!$A$1216:$AZ$1216,1,OC_Pay)="","",INDEX('OneCause_Paste'!$A$1216:$AZ$1216,1,OC_Pay)))</f>
        <v/>
      </c>
      <c r="N1216">
        <f>IF(I1216="","",IF(ISNUMBER(I1216),INT(I1216),IFERROR(INT(DATEVALUE(I1216)),IFERROR(INT(VALUE(I1216)),"bad"))))</f>
        <v/>
      </c>
      <c r="O1216">
        <f>IF(J1216="","",IF(ISNUMBER(J1216),ROUND(J1216,2),IFERROR(ROUND(VALUE(SUBSTITUTE(SUBSTITUTE(SUBSTITUTE(J1216,"$",""),",","")," ","")),2),"bad")))</f>
        <v/>
      </c>
      <c r="P1216">
        <f>IF(TRIM(K1216)="","",IFERROR(MATCH(LOWER(TRIM(K1216)),'Students'!$AH$2:$AH$701,0),IFERROR(MATCH(LOWER(TRIM(K1216)),'Students'!$AF$2:$AF$701,0),IFERROR(MATCH(LOWER(TRIM(K1216)),'Students'!$AG$2:$AG$701,0),""))))</f>
        <v/>
      </c>
      <c r="R1216">
        <f>IF(P1216="","",INDEX('Students'!$AD$2:$AD$701,P1216))</f>
        <v/>
      </c>
      <c r="S1216">
        <f>IF(H1216="OK",O1216,0)</f>
        <v/>
      </c>
      <c r="T1216">
        <f>IF(H1216="OK",N1216,"")</f>
        <v/>
      </c>
      <c r="U1216">
        <f>IF(OC_Donor=0,"",IF(INDEX('OneCause_Paste'!$A$1216:$AZ$1216,1,OC_Donor)="","",INDEX('OneCause_Paste'!$A$1216:$AZ$1216,1,OC_Donor)))</f>
        <v/>
      </c>
    </row>
    <row r="1217">
      <c r="A1217" s="62">
        <f>IF(H1217="","",IF(ISNUMBER(N1217),N1217,I1217))</f>
        <v/>
      </c>
      <c r="B1217">
        <f>IF(H1217="","",U1217)</f>
        <v/>
      </c>
      <c r="C1217">
        <f>IF(H1217="","",IF(P1217="",K1217,INDEX('Students'!$A$2:$A$701,P1217)))</f>
        <v/>
      </c>
      <c r="D1217">
        <f>IF(OR(H1217="",P1217=""),"",INDEX('Students'!$B$2:$B$701,P1217))</f>
        <v/>
      </c>
      <c r="E1217">
        <f>IF(OR(H1217="",P1217=""),"",INDEX('Students'!$C$2:$C$701,P1217))</f>
        <v/>
      </c>
      <c r="F1217" s="48">
        <f>IF(H1217="","",IF(ISNUMBER(O1217),O1217,J1217))</f>
        <v/>
      </c>
      <c r="G1217">
        <f>IF(H1217="","","OneCause")</f>
        <v/>
      </c>
      <c r="H1217">
        <f>IF(AND(I1217="",J1217="",K1217=""),"",IF(NOT(ISNUMBER(O1217)),"Bad amount",IF(O1217&lt;0,"Refund (not counted)",IF(O1217=0,"Zero amount",IF(NOT(ISNUMBER(N1217)),"Bad date",IF(P1217="","NAME NOT ON ROSTER",IF(L1217="","OK",IF(MATCH(L1217,$L$2:$L$3001,0)&lt;ROW()-1,"Duplicate (ignored)","OK"))))))))</f>
        <v/>
      </c>
      <c r="I1217">
        <f>IF(OC_Date=0,"",IF(INDEX('OneCause_Paste'!$A$1217:$AZ$1217,1,OC_Date)="","",INDEX('OneCause_Paste'!$A$1217:$AZ$1217,1,OC_Date)))</f>
        <v/>
      </c>
      <c r="J1217">
        <f>IF(OC_Amt=0,"",IF(INDEX('OneCause_Paste'!$A$1217:$AZ$1217,1,OC_Amt)="","",INDEX('OneCause_Paste'!$A$1217:$AZ$1217,1,OC_Amt)))</f>
        <v/>
      </c>
      <c r="K1217">
        <f>IF(OC_Name=0,"",IF(INDEX('OneCause_Paste'!$A$1217:$AZ$1217,1,OC_Name)="","",INDEX('OneCause_Paste'!$A$1217:$AZ$1217,1,OC_Name)))</f>
        <v/>
      </c>
      <c r="L1217">
        <f>IF(OC_Txn=0,"",IF(INDEX('OneCause_Paste'!$A$1217:$AZ$1217,1,OC_Txn)="","",INDEX('OneCause_Paste'!$A$1217:$AZ$1217,1,OC_Txn)))</f>
        <v/>
      </c>
      <c r="M1217">
        <f>IF(OC_Pay=0,"",IF(INDEX('OneCause_Paste'!$A$1217:$AZ$1217,1,OC_Pay)="","",INDEX('OneCause_Paste'!$A$1217:$AZ$1217,1,OC_Pay)))</f>
        <v/>
      </c>
      <c r="N1217">
        <f>IF(I1217="","",IF(ISNUMBER(I1217),INT(I1217),IFERROR(INT(DATEVALUE(I1217)),IFERROR(INT(VALUE(I1217)),"bad"))))</f>
        <v/>
      </c>
      <c r="O1217">
        <f>IF(J1217="","",IF(ISNUMBER(J1217),ROUND(J1217,2),IFERROR(ROUND(VALUE(SUBSTITUTE(SUBSTITUTE(SUBSTITUTE(J1217,"$",""),",","")," ","")),2),"bad")))</f>
        <v/>
      </c>
      <c r="P1217">
        <f>IF(TRIM(K1217)="","",IFERROR(MATCH(LOWER(TRIM(K1217)),'Students'!$AH$2:$AH$701,0),IFERROR(MATCH(LOWER(TRIM(K1217)),'Students'!$AF$2:$AF$701,0),IFERROR(MATCH(LOWER(TRIM(K1217)),'Students'!$AG$2:$AG$701,0),""))))</f>
        <v/>
      </c>
      <c r="R1217">
        <f>IF(P1217="","",INDEX('Students'!$AD$2:$AD$701,P1217))</f>
        <v/>
      </c>
      <c r="S1217">
        <f>IF(H1217="OK",O1217,0)</f>
        <v/>
      </c>
      <c r="T1217">
        <f>IF(H1217="OK",N1217,"")</f>
        <v/>
      </c>
      <c r="U1217">
        <f>IF(OC_Donor=0,"",IF(INDEX('OneCause_Paste'!$A$1217:$AZ$1217,1,OC_Donor)="","",INDEX('OneCause_Paste'!$A$1217:$AZ$1217,1,OC_Donor)))</f>
        <v/>
      </c>
    </row>
    <row r="1218">
      <c r="A1218" s="62">
        <f>IF(H1218="","",IF(ISNUMBER(N1218),N1218,I1218))</f>
        <v/>
      </c>
      <c r="B1218">
        <f>IF(H1218="","",U1218)</f>
        <v/>
      </c>
      <c r="C1218">
        <f>IF(H1218="","",IF(P1218="",K1218,INDEX('Students'!$A$2:$A$701,P1218)))</f>
        <v/>
      </c>
      <c r="D1218">
        <f>IF(OR(H1218="",P1218=""),"",INDEX('Students'!$B$2:$B$701,P1218))</f>
        <v/>
      </c>
      <c r="E1218">
        <f>IF(OR(H1218="",P1218=""),"",INDEX('Students'!$C$2:$C$701,P1218))</f>
        <v/>
      </c>
      <c r="F1218" s="48">
        <f>IF(H1218="","",IF(ISNUMBER(O1218),O1218,J1218))</f>
        <v/>
      </c>
      <c r="G1218">
        <f>IF(H1218="","","OneCause")</f>
        <v/>
      </c>
      <c r="H1218">
        <f>IF(AND(I1218="",J1218="",K1218=""),"",IF(NOT(ISNUMBER(O1218)),"Bad amount",IF(O1218&lt;0,"Refund (not counted)",IF(O1218=0,"Zero amount",IF(NOT(ISNUMBER(N1218)),"Bad date",IF(P1218="","NAME NOT ON ROSTER",IF(L1218="","OK",IF(MATCH(L1218,$L$2:$L$3001,0)&lt;ROW()-1,"Duplicate (ignored)","OK"))))))))</f>
        <v/>
      </c>
      <c r="I1218">
        <f>IF(OC_Date=0,"",IF(INDEX('OneCause_Paste'!$A$1218:$AZ$1218,1,OC_Date)="","",INDEX('OneCause_Paste'!$A$1218:$AZ$1218,1,OC_Date)))</f>
        <v/>
      </c>
      <c r="J1218">
        <f>IF(OC_Amt=0,"",IF(INDEX('OneCause_Paste'!$A$1218:$AZ$1218,1,OC_Amt)="","",INDEX('OneCause_Paste'!$A$1218:$AZ$1218,1,OC_Amt)))</f>
        <v/>
      </c>
      <c r="K1218">
        <f>IF(OC_Name=0,"",IF(INDEX('OneCause_Paste'!$A$1218:$AZ$1218,1,OC_Name)="","",INDEX('OneCause_Paste'!$A$1218:$AZ$1218,1,OC_Name)))</f>
        <v/>
      </c>
      <c r="L1218">
        <f>IF(OC_Txn=0,"",IF(INDEX('OneCause_Paste'!$A$1218:$AZ$1218,1,OC_Txn)="","",INDEX('OneCause_Paste'!$A$1218:$AZ$1218,1,OC_Txn)))</f>
        <v/>
      </c>
      <c r="M1218">
        <f>IF(OC_Pay=0,"",IF(INDEX('OneCause_Paste'!$A$1218:$AZ$1218,1,OC_Pay)="","",INDEX('OneCause_Paste'!$A$1218:$AZ$1218,1,OC_Pay)))</f>
        <v/>
      </c>
      <c r="N1218">
        <f>IF(I1218="","",IF(ISNUMBER(I1218),INT(I1218),IFERROR(INT(DATEVALUE(I1218)),IFERROR(INT(VALUE(I1218)),"bad"))))</f>
        <v/>
      </c>
      <c r="O1218">
        <f>IF(J1218="","",IF(ISNUMBER(J1218),ROUND(J1218,2),IFERROR(ROUND(VALUE(SUBSTITUTE(SUBSTITUTE(SUBSTITUTE(J1218,"$",""),",","")," ","")),2),"bad")))</f>
        <v/>
      </c>
      <c r="P1218">
        <f>IF(TRIM(K1218)="","",IFERROR(MATCH(LOWER(TRIM(K1218)),'Students'!$AH$2:$AH$701,0),IFERROR(MATCH(LOWER(TRIM(K1218)),'Students'!$AF$2:$AF$701,0),IFERROR(MATCH(LOWER(TRIM(K1218)),'Students'!$AG$2:$AG$701,0),""))))</f>
        <v/>
      </c>
      <c r="R1218">
        <f>IF(P1218="","",INDEX('Students'!$AD$2:$AD$701,P1218))</f>
        <v/>
      </c>
      <c r="S1218">
        <f>IF(H1218="OK",O1218,0)</f>
        <v/>
      </c>
      <c r="T1218">
        <f>IF(H1218="OK",N1218,"")</f>
        <v/>
      </c>
      <c r="U1218">
        <f>IF(OC_Donor=0,"",IF(INDEX('OneCause_Paste'!$A$1218:$AZ$1218,1,OC_Donor)="","",INDEX('OneCause_Paste'!$A$1218:$AZ$1218,1,OC_Donor)))</f>
        <v/>
      </c>
    </row>
    <row r="1219">
      <c r="A1219" s="62">
        <f>IF(H1219="","",IF(ISNUMBER(N1219),N1219,I1219))</f>
        <v/>
      </c>
      <c r="B1219">
        <f>IF(H1219="","",U1219)</f>
        <v/>
      </c>
      <c r="C1219">
        <f>IF(H1219="","",IF(P1219="",K1219,INDEX('Students'!$A$2:$A$701,P1219)))</f>
        <v/>
      </c>
      <c r="D1219">
        <f>IF(OR(H1219="",P1219=""),"",INDEX('Students'!$B$2:$B$701,P1219))</f>
        <v/>
      </c>
      <c r="E1219">
        <f>IF(OR(H1219="",P1219=""),"",INDEX('Students'!$C$2:$C$701,P1219))</f>
        <v/>
      </c>
      <c r="F1219" s="48">
        <f>IF(H1219="","",IF(ISNUMBER(O1219),O1219,J1219))</f>
        <v/>
      </c>
      <c r="G1219">
        <f>IF(H1219="","","OneCause")</f>
        <v/>
      </c>
      <c r="H1219">
        <f>IF(AND(I1219="",J1219="",K1219=""),"",IF(NOT(ISNUMBER(O1219)),"Bad amount",IF(O1219&lt;0,"Refund (not counted)",IF(O1219=0,"Zero amount",IF(NOT(ISNUMBER(N1219)),"Bad date",IF(P1219="","NAME NOT ON ROSTER",IF(L1219="","OK",IF(MATCH(L1219,$L$2:$L$3001,0)&lt;ROW()-1,"Duplicate (ignored)","OK"))))))))</f>
        <v/>
      </c>
      <c r="I1219">
        <f>IF(OC_Date=0,"",IF(INDEX('OneCause_Paste'!$A$1219:$AZ$1219,1,OC_Date)="","",INDEX('OneCause_Paste'!$A$1219:$AZ$1219,1,OC_Date)))</f>
        <v/>
      </c>
      <c r="J1219">
        <f>IF(OC_Amt=0,"",IF(INDEX('OneCause_Paste'!$A$1219:$AZ$1219,1,OC_Amt)="","",INDEX('OneCause_Paste'!$A$1219:$AZ$1219,1,OC_Amt)))</f>
        <v/>
      </c>
      <c r="K1219">
        <f>IF(OC_Name=0,"",IF(INDEX('OneCause_Paste'!$A$1219:$AZ$1219,1,OC_Name)="","",INDEX('OneCause_Paste'!$A$1219:$AZ$1219,1,OC_Name)))</f>
        <v/>
      </c>
      <c r="L1219">
        <f>IF(OC_Txn=0,"",IF(INDEX('OneCause_Paste'!$A$1219:$AZ$1219,1,OC_Txn)="","",INDEX('OneCause_Paste'!$A$1219:$AZ$1219,1,OC_Txn)))</f>
        <v/>
      </c>
      <c r="M1219">
        <f>IF(OC_Pay=0,"",IF(INDEX('OneCause_Paste'!$A$1219:$AZ$1219,1,OC_Pay)="","",INDEX('OneCause_Paste'!$A$1219:$AZ$1219,1,OC_Pay)))</f>
        <v/>
      </c>
      <c r="N1219">
        <f>IF(I1219="","",IF(ISNUMBER(I1219),INT(I1219),IFERROR(INT(DATEVALUE(I1219)),IFERROR(INT(VALUE(I1219)),"bad"))))</f>
        <v/>
      </c>
      <c r="O1219">
        <f>IF(J1219="","",IF(ISNUMBER(J1219),ROUND(J1219,2),IFERROR(ROUND(VALUE(SUBSTITUTE(SUBSTITUTE(SUBSTITUTE(J1219,"$",""),",","")," ","")),2),"bad")))</f>
        <v/>
      </c>
      <c r="P1219">
        <f>IF(TRIM(K1219)="","",IFERROR(MATCH(LOWER(TRIM(K1219)),'Students'!$AH$2:$AH$701,0),IFERROR(MATCH(LOWER(TRIM(K1219)),'Students'!$AF$2:$AF$701,0),IFERROR(MATCH(LOWER(TRIM(K1219)),'Students'!$AG$2:$AG$701,0),""))))</f>
        <v/>
      </c>
      <c r="R1219">
        <f>IF(P1219="","",INDEX('Students'!$AD$2:$AD$701,P1219))</f>
        <v/>
      </c>
      <c r="S1219">
        <f>IF(H1219="OK",O1219,0)</f>
        <v/>
      </c>
      <c r="T1219">
        <f>IF(H1219="OK",N1219,"")</f>
        <v/>
      </c>
      <c r="U1219">
        <f>IF(OC_Donor=0,"",IF(INDEX('OneCause_Paste'!$A$1219:$AZ$1219,1,OC_Donor)="","",INDEX('OneCause_Paste'!$A$1219:$AZ$1219,1,OC_Donor)))</f>
        <v/>
      </c>
    </row>
    <row r="1220">
      <c r="A1220" s="62">
        <f>IF(H1220="","",IF(ISNUMBER(N1220),N1220,I1220))</f>
        <v/>
      </c>
      <c r="B1220">
        <f>IF(H1220="","",U1220)</f>
        <v/>
      </c>
      <c r="C1220">
        <f>IF(H1220="","",IF(P1220="",K1220,INDEX('Students'!$A$2:$A$701,P1220)))</f>
        <v/>
      </c>
      <c r="D1220">
        <f>IF(OR(H1220="",P1220=""),"",INDEX('Students'!$B$2:$B$701,P1220))</f>
        <v/>
      </c>
      <c r="E1220">
        <f>IF(OR(H1220="",P1220=""),"",INDEX('Students'!$C$2:$C$701,P1220))</f>
        <v/>
      </c>
      <c r="F1220" s="48">
        <f>IF(H1220="","",IF(ISNUMBER(O1220),O1220,J1220))</f>
        <v/>
      </c>
      <c r="G1220">
        <f>IF(H1220="","","OneCause")</f>
        <v/>
      </c>
      <c r="H1220">
        <f>IF(AND(I1220="",J1220="",K1220=""),"",IF(NOT(ISNUMBER(O1220)),"Bad amount",IF(O1220&lt;0,"Refund (not counted)",IF(O1220=0,"Zero amount",IF(NOT(ISNUMBER(N1220)),"Bad date",IF(P1220="","NAME NOT ON ROSTER",IF(L1220="","OK",IF(MATCH(L1220,$L$2:$L$3001,0)&lt;ROW()-1,"Duplicate (ignored)","OK"))))))))</f>
        <v/>
      </c>
      <c r="I1220">
        <f>IF(OC_Date=0,"",IF(INDEX('OneCause_Paste'!$A$1220:$AZ$1220,1,OC_Date)="","",INDEX('OneCause_Paste'!$A$1220:$AZ$1220,1,OC_Date)))</f>
        <v/>
      </c>
      <c r="J1220">
        <f>IF(OC_Amt=0,"",IF(INDEX('OneCause_Paste'!$A$1220:$AZ$1220,1,OC_Amt)="","",INDEX('OneCause_Paste'!$A$1220:$AZ$1220,1,OC_Amt)))</f>
        <v/>
      </c>
      <c r="K1220">
        <f>IF(OC_Name=0,"",IF(INDEX('OneCause_Paste'!$A$1220:$AZ$1220,1,OC_Name)="","",INDEX('OneCause_Paste'!$A$1220:$AZ$1220,1,OC_Name)))</f>
        <v/>
      </c>
      <c r="L1220">
        <f>IF(OC_Txn=0,"",IF(INDEX('OneCause_Paste'!$A$1220:$AZ$1220,1,OC_Txn)="","",INDEX('OneCause_Paste'!$A$1220:$AZ$1220,1,OC_Txn)))</f>
        <v/>
      </c>
      <c r="M1220">
        <f>IF(OC_Pay=0,"",IF(INDEX('OneCause_Paste'!$A$1220:$AZ$1220,1,OC_Pay)="","",INDEX('OneCause_Paste'!$A$1220:$AZ$1220,1,OC_Pay)))</f>
        <v/>
      </c>
      <c r="N1220">
        <f>IF(I1220="","",IF(ISNUMBER(I1220),INT(I1220),IFERROR(INT(DATEVALUE(I1220)),IFERROR(INT(VALUE(I1220)),"bad"))))</f>
        <v/>
      </c>
      <c r="O1220">
        <f>IF(J1220="","",IF(ISNUMBER(J1220),ROUND(J1220,2),IFERROR(ROUND(VALUE(SUBSTITUTE(SUBSTITUTE(SUBSTITUTE(J1220,"$",""),",","")," ","")),2),"bad")))</f>
        <v/>
      </c>
      <c r="P1220">
        <f>IF(TRIM(K1220)="","",IFERROR(MATCH(LOWER(TRIM(K1220)),'Students'!$AH$2:$AH$701,0),IFERROR(MATCH(LOWER(TRIM(K1220)),'Students'!$AF$2:$AF$701,0),IFERROR(MATCH(LOWER(TRIM(K1220)),'Students'!$AG$2:$AG$701,0),""))))</f>
        <v/>
      </c>
      <c r="R1220">
        <f>IF(P1220="","",INDEX('Students'!$AD$2:$AD$701,P1220))</f>
        <v/>
      </c>
      <c r="S1220">
        <f>IF(H1220="OK",O1220,0)</f>
        <v/>
      </c>
      <c r="T1220">
        <f>IF(H1220="OK",N1220,"")</f>
        <v/>
      </c>
      <c r="U1220">
        <f>IF(OC_Donor=0,"",IF(INDEX('OneCause_Paste'!$A$1220:$AZ$1220,1,OC_Donor)="","",INDEX('OneCause_Paste'!$A$1220:$AZ$1220,1,OC_Donor)))</f>
        <v/>
      </c>
    </row>
    <row r="1221">
      <c r="A1221" s="62">
        <f>IF(H1221="","",IF(ISNUMBER(N1221),N1221,I1221))</f>
        <v/>
      </c>
      <c r="B1221">
        <f>IF(H1221="","",U1221)</f>
        <v/>
      </c>
      <c r="C1221">
        <f>IF(H1221="","",IF(P1221="",K1221,INDEX('Students'!$A$2:$A$701,P1221)))</f>
        <v/>
      </c>
      <c r="D1221">
        <f>IF(OR(H1221="",P1221=""),"",INDEX('Students'!$B$2:$B$701,P1221))</f>
        <v/>
      </c>
      <c r="E1221">
        <f>IF(OR(H1221="",P1221=""),"",INDEX('Students'!$C$2:$C$701,P1221))</f>
        <v/>
      </c>
      <c r="F1221" s="48">
        <f>IF(H1221="","",IF(ISNUMBER(O1221),O1221,J1221))</f>
        <v/>
      </c>
      <c r="G1221">
        <f>IF(H1221="","","OneCause")</f>
        <v/>
      </c>
      <c r="H1221">
        <f>IF(AND(I1221="",J1221="",K1221=""),"",IF(NOT(ISNUMBER(O1221)),"Bad amount",IF(O1221&lt;0,"Refund (not counted)",IF(O1221=0,"Zero amount",IF(NOT(ISNUMBER(N1221)),"Bad date",IF(P1221="","NAME NOT ON ROSTER",IF(L1221="","OK",IF(MATCH(L1221,$L$2:$L$3001,0)&lt;ROW()-1,"Duplicate (ignored)","OK"))))))))</f>
        <v/>
      </c>
      <c r="I1221">
        <f>IF(OC_Date=0,"",IF(INDEX('OneCause_Paste'!$A$1221:$AZ$1221,1,OC_Date)="","",INDEX('OneCause_Paste'!$A$1221:$AZ$1221,1,OC_Date)))</f>
        <v/>
      </c>
      <c r="J1221">
        <f>IF(OC_Amt=0,"",IF(INDEX('OneCause_Paste'!$A$1221:$AZ$1221,1,OC_Amt)="","",INDEX('OneCause_Paste'!$A$1221:$AZ$1221,1,OC_Amt)))</f>
        <v/>
      </c>
      <c r="K1221">
        <f>IF(OC_Name=0,"",IF(INDEX('OneCause_Paste'!$A$1221:$AZ$1221,1,OC_Name)="","",INDEX('OneCause_Paste'!$A$1221:$AZ$1221,1,OC_Name)))</f>
        <v/>
      </c>
      <c r="L1221">
        <f>IF(OC_Txn=0,"",IF(INDEX('OneCause_Paste'!$A$1221:$AZ$1221,1,OC_Txn)="","",INDEX('OneCause_Paste'!$A$1221:$AZ$1221,1,OC_Txn)))</f>
        <v/>
      </c>
      <c r="M1221">
        <f>IF(OC_Pay=0,"",IF(INDEX('OneCause_Paste'!$A$1221:$AZ$1221,1,OC_Pay)="","",INDEX('OneCause_Paste'!$A$1221:$AZ$1221,1,OC_Pay)))</f>
        <v/>
      </c>
      <c r="N1221">
        <f>IF(I1221="","",IF(ISNUMBER(I1221),INT(I1221),IFERROR(INT(DATEVALUE(I1221)),IFERROR(INT(VALUE(I1221)),"bad"))))</f>
        <v/>
      </c>
      <c r="O1221">
        <f>IF(J1221="","",IF(ISNUMBER(J1221),ROUND(J1221,2),IFERROR(ROUND(VALUE(SUBSTITUTE(SUBSTITUTE(SUBSTITUTE(J1221,"$",""),",","")," ","")),2),"bad")))</f>
        <v/>
      </c>
      <c r="P1221">
        <f>IF(TRIM(K1221)="","",IFERROR(MATCH(LOWER(TRIM(K1221)),'Students'!$AH$2:$AH$701,0),IFERROR(MATCH(LOWER(TRIM(K1221)),'Students'!$AF$2:$AF$701,0),IFERROR(MATCH(LOWER(TRIM(K1221)),'Students'!$AG$2:$AG$701,0),""))))</f>
        <v/>
      </c>
      <c r="R1221">
        <f>IF(P1221="","",INDEX('Students'!$AD$2:$AD$701,P1221))</f>
        <v/>
      </c>
      <c r="S1221">
        <f>IF(H1221="OK",O1221,0)</f>
        <v/>
      </c>
      <c r="T1221">
        <f>IF(H1221="OK",N1221,"")</f>
        <v/>
      </c>
      <c r="U1221">
        <f>IF(OC_Donor=0,"",IF(INDEX('OneCause_Paste'!$A$1221:$AZ$1221,1,OC_Donor)="","",INDEX('OneCause_Paste'!$A$1221:$AZ$1221,1,OC_Donor)))</f>
        <v/>
      </c>
    </row>
    <row r="1222">
      <c r="A1222" s="62">
        <f>IF(H1222="","",IF(ISNUMBER(N1222),N1222,I1222))</f>
        <v/>
      </c>
      <c r="B1222">
        <f>IF(H1222="","",U1222)</f>
        <v/>
      </c>
      <c r="C1222">
        <f>IF(H1222="","",IF(P1222="",K1222,INDEX('Students'!$A$2:$A$701,P1222)))</f>
        <v/>
      </c>
      <c r="D1222">
        <f>IF(OR(H1222="",P1222=""),"",INDEX('Students'!$B$2:$B$701,P1222))</f>
        <v/>
      </c>
      <c r="E1222">
        <f>IF(OR(H1222="",P1222=""),"",INDEX('Students'!$C$2:$C$701,P1222))</f>
        <v/>
      </c>
      <c r="F1222" s="48">
        <f>IF(H1222="","",IF(ISNUMBER(O1222),O1222,J1222))</f>
        <v/>
      </c>
      <c r="G1222">
        <f>IF(H1222="","","OneCause")</f>
        <v/>
      </c>
      <c r="H1222">
        <f>IF(AND(I1222="",J1222="",K1222=""),"",IF(NOT(ISNUMBER(O1222)),"Bad amount",IF(O1222&lt;0,"Refund (not counted)",IF(O1222=0,"Zero amount",IF(NOT(ISNUMBER(N1222)),"Bad date",IF(P1222="","NAME NOT ON ROSTER",IF(L1222="","OK",IF(MATCH(L1222,$L$2:$L$3001,0)&lt;ROW()-1,"Duplicate (ignored)","OK"))))))))</f>
        <v/>
      </c>
      <c r="I1222">
        <f>IF(OC_Date=0,"",IF(INDEX('OneCause_Paste'!$A$1222:$AZ$1222,1,OC_Date)="","",INDEX('OneCause_Paste'!$A$1222:$AZ$1222,1,OC_Date)))</f>
        <v/>
      </c>
      <c r="J1222">
        <f>IF(OC_Amt=0,"",IF(INDEX('OneCause_Paste'!$A$1222:$AZ$1222,1,OC_Amt)="","",INDEX('OneCause_Paste'!$A$1222:$AZ$1222,1,OC_Amt)))</f>
        <v/>
      </c>
      <c r="K1222">
        <f>IF(OC_Name=0,"",IF(INDEX('OneCause_Paste'!$A$1222:$AZ$1222,1,OC_Name)="","",INDEX('OneCause_Paste'!$A$1222:$AZ$1222,1,OC_Name)))</f>
        <v/>
      </c>
      <c r="L1222">
        <f>IF(OC_Txn=0,"",IF(INDEX('OneCause_Paste'!$A$1222:$AZ$1222,1,OC_Txn)="","",INDEX('OneCause_Paste'!$A$1222:$AZ$1222,1,OC_Txn)))</f>
        <v/>
      </c>
      <c r="M1222">
        <f>IF(OC_Pay=0,"",IF(INDEX('OneCause_Paste'!$A$1222:$AZ$1222,1,OC_Pay)="","",INDEX('OneCause_Paste'!$A$1222:$AZ$1222,1,OC_Pay)))</f>
        <v/>
      </c>
      <c r="N1222">
        <f>IF(I1222="","",IF(ISNUMBER(I1222),INT(I1222),IFERROR(INT(DATEVALUE(I1222)),IFERROR(INT(VALUE(I1222)),"bad"))))</f>
        <v/>
      </c>
      <c r="O1222">
        <f>IF(J1222="","",IF(ISNUMBER(J1222),ROUND(J1222,2),IFERROR(ROUND(VALUE(SUBSTITUTE(SUBSTITUTE(SUBSTITUTE(J1222,"$",""),",","")," ","")),2),"bad")))</f>
        <v/>
      </c>
      <c r="P1222">
        <f>IF(TRIM(K1222)="","",IFERROR(MATCH(LOWER(TRIM(K1222)),'Students'!$AH$2:$AH$701,0),IFERROR(MATCH(LOWER(TRIM(K1222)),'Students'!$AF$2:$AF$701,0),IFERROR(MATCH(LOWER(TRIM(K1222)),'Students'!$AG$2:$AG$701,0),""))))</f>
        <v/>
      </c>
      <c r="R1222">
        <f>IF(P1222="","",INDEX('Students'!$AD$2:$AD$701,P1222))</f>
        <v/>
      </c>
      <c r="S1222">
        <f>IF(H1222="OK",O1222,0)</f>
        <v/>
      </c>
      <c r="T1222">
        <f>IF(H1222="OK",N1222,"")</f>
        <v/>
      </c>
      <c r="U1222">
        <f>IF(OC_Donor=0,"",IF(INDEX('OneCause_Paste'!$A$1222:$AZ$1222,1,OC_Donor)="","",INDEX('OneCause_Paste'!$A$1222:$AZ$1222,1,OC_Donor)))</f>
        <v/>
      </c>
    </row>
    <row r="1223">
      <c r="A1223" s="62">
        <f>IF(H1223="","",IF(ISNUMBER(N1223),N1223,I1223))</f>
        <v/>
      </c>
      <c r="B1223">
        <f>IF(H1223="","",U1223)</f>
        <v/>
      </c>
      <c r="C1223">
        <f>IF(H1223="","",IF(P1223="",K1223,INDEX('Students'!$A$2:$A$701,P1223)))</f>
        <v/>
      </c>
      <c r="D1223">
        <f>IF(OR(H1223="",P1223=""),"",INDEX('Students'!$B$2:$B$701,P1223))</f>
        <v/>
      </c>
      <c r="E1223">
        <f>IF(OR(H1223="",P1223=""),"",INDEX('Students'!$C$2:$C$701,P1223))</f>
        <v/>
      </c>
      <c r="F1223" s="48">
        <f>IF(H1223="","",IF(ISNUMBER(O1223),O1223,J1223))</f>
        <v/>
      </c>
      <c r="G1223">
        <f>IF(H1223="","","OneCause")</f>
        <v/>
      </c>
      <c r="H1223">
        <f>IF(AND(I1223="",J1223="",K1223=""),"",IF(NOT(ISNUMBER(O1223)),"Bad amount",IF(O1223&lt;0,"Refund (not counted)",IF(O1223=0,"Zero amount",IF(NOT(ISNUMBER(N1223)),"Bad date",IF(P1223="","NAME NOT ON ROSTER",IF(L1223="","OK",IF(MATCH(L1223,$L$2:$L$3001,0)&lt;ROW()-1,"Duplicate (ignored)","OK"))))))))</f>
        <v/>
      </c>
      <c r="I1223">
        <f>IF(OC_Date=0,"",IF(INDEX('OneCause_Paste'!$A$1223:$AZ$1223,1,OC_Date)="","",INDEX('OneCause_Paste'!$A$1223:$AZ$1223,1,OC_Date)))</f>
        <v/>
      </c>
      <c r="J1223">
        <f>IF(OC_Amt=0,"",IF(INDEX('OneCause_Paste'!$A$1223:$AZ$1223,1,OC_Amt)="","",INDEX('OneCause_Paste'!$A$1223:$AZ$1223,1,OC_Amt)))</f>
        <v/>
      </c>
      <c r="K1223">
        <f>IF(OC_Name=0,"",IF(INDEX('OneCause_Paste'!$A$1223:$AZ$1223,1,OC_Name)="","",INDEX('OneCause_Paste'!$A$1223:$AZ$1223,1,OC_Name)))</f>
        <v/>
      </c>
      <c r="L1223">
        <f>IF(OC_Txn=0,"",IF(INDEX('OneCause_Paste'!$A$1223:$AZ$1223,1,OC_Txn)="","",INDEX('OneCause_Paste'!$A$1223:$AZ$1223,1,OC_Txn)))</f>
        <v/>
      </c>
      <c r="M1223">
        <f>IF(OC_Pay=0,"",IF(INDEX('OneCause_Paste'!$A$1223:$AZ$1223,1,OC_Pay)="","",INDEX('OneCause_Paste'!$A$1223:$AZ$1223,1,OC_Pay)))</f>
        <v/>
      </c>
      <c r="N1223">
        <f>IF(I1223="","",IF(ISNUMBER(I1223),INT(I1223),IFERROR(INT(DATEVALUE(I1223)),IFERROR(INT(VALUE(I1223)),"bad"))))</f>
        <v/>
      </c>
      <c r="O1223">
        <f>IF(J1223="","",IF(ISNUMBER(J1223),ROUND(J1223,2),IFERROR(ROUND(VALUE(SUBSTITUTE(SUBSTITUTE(SUBSTITUTE(J1223,"$",""),",","")," ","")),2),"bad")))</f>
        <v/>
      </c>
      <c r="P1223">
        <f>IF(TRIM(K1223)="","",IFERROR(MATCH(LOWER(TRIM(K1223)),'Students'!$AH$2:$AH$701,0),IFERROR(MATCH(LOWER(TRIM(K1223)),'Students'!$AF$2:$AF$701,0),IFERROR(MATCH(LOWER(TRIM(K1223)),'Students'!$AG$2:$AG$701,0),""))))</f>
        <v/>
      </c>
      <c r="R1223">
        <f>IF(P1223="","",INDEX('Students'!$AD$2:$AD$701,P1223))</f>
        <v/>
      </c>
      <c r="S1223">
        <f>IF(H1223="OK",O1223,0)</f>
        <v/>
      </c>
      <c r="T1223">
        <f>IF(H1223="OK",N1223,"")</f>
        <v/>
      </c>
      <c r="U1223">
        <f>IF(OC_Donor=0,"",IF(INDEX('OneCause_Paste'!$A$1223:$AZ$1223,1,OC_Donor)="","",INDEX('OneCause_Paste'!$A$1223:$AZ$1223,1,OC_Donor)))</f>
        <v/>
      </c>
    </row>
    <row r="1224">
      <c r="A1224" s="62">
        <f>IF(H1224="","",IF(ISNUMBER(N1224),N1224,I1224))</f>
        <v/>
      </c>
      <c r="B1224">
        <f>IF(H1224="","",U1224)</f>
        <v/>
      </c>
      <c r="C1224">
        <f>IF(H1224="","",IF(P1224="",K1224,INDEX('Students'!$A$2:$A$701,P1224)))</f>
        <v/>
      </c>
      <c r="D1224">
        <f>IF(OR(H1224="",P1224=""),"",INDEX('Students'!$B$2:$B$701,P1224))</f>
        <v/>
      </c>
      <c r="E1224">
        <f>IF(OR(H1224="",P1224=""),"",INDEX('Students'!$C$2:$C$701,P1224))</f>
        <v/>
      </c>
      <c r="F1224" s="48">
        <f>IF(H1224="","",IF(ISNUMBER(O1224),O1224,J1224))</f>
        <v/>
      </c>
      <c r="G1224">
        <f>IF(H1224="","","OneCause")</f>
        <v/>
      </c>
      <c r="H1224">
        <f>IF(AND(I1224="",J1224="",K1224=""),"",IF(NOT(ISNUMBER(O1224)),"Bad amount",IF(O1224&lt;0,"Refund (not counted)",IF(O1224=0,"Zero amount",IF(NOT(ISNUMBER(N1224)),"Bad date",IF(P1224="","NAME NOT ON ROSTER",IF(L1224="","OK",IF(MATCH(L1224,$L$2:$L$3001,0)&lt;ROW()-1,"Duplicate (ignored)","OK"))))))))</f>
        <v/>
      </c>
      <c r="I1224">
        <f>IF(OC_Date=0,"",IF(INDEX('OneCause_Paste'!$A$1224:$AZ$1224,1,OC_Date)="","",INDEX('OneCause_Paste'!$A$1224:$AZ$1224,1,OC_Date)))</f>
        <v/>
      </c>
      <c r="J1224">
        <f>IF(OC_Amt=0,"",IF(INDEX('OneCause_Paste'!$A$1224:$AZ$1224,1,OC_Amt)="","",INDEX('OneCause_Paste'!$A$1224:$AZ$1224,1,OC_Amt)))</f>
        <v/>
      </c>
      <c r="K1224">
        <f>IF(OC_Name=0,"",IF(INDEX('OneCause_Paste'!$A$1224:$AZ$1224,1,OC_Name)="","",INDEX('OneCause_Paste'!$A$1224:$AZ$1224,1,OC_Name)))</f>
        <v/>
      </c>
      <c r="L1224">
        <f>IF(OC_Txn=0,"",IF(INDEX('OneCause_Paste'!$A$1224:$AZ$1224,1,OC_Txn)="","",INDEX('OneCause_Paste'!$A$1224:$AZ$1224,1,OC_Txn)))</f>
        <v/>
      </c>
      <c r="M1224">
        <f>IF(OC_Pay=0,"",IF(INDEX('OneCause_Paste'!$A$1224:$AZ$1224,1,OC_Pay)="","",INDEX('OneCause_Paste'!$A$1224:$AZ$1224,1,OC_Pay)))</f>
        <v/>
      </c>
      <c r="N1224">
        <f>IF(I1224="","",IF(ISNUMBER(I1224),INT(I1224),IFERROR(INT(DATEVALUE(I1224)),IFERROR(INT(VALUE(I1224)),"bad"))))</f>
        <v/>
      </c>
      <c r="O1224">
        <f>IF(J1224="","",IF(ISNUMBER(J1224),ROUND(J1224,2),IFERROR(ROUND(VALUE(SUBSTITUTE(SUBSTITUTE(SUBSTITUTE(J1224,"$",""),",","")," ","")),2),"bad")))</f>
        <v/>
      </c>
      <c r="P1224">
        <f>IF(TRIM(K1224)="","",IFERROR(MATCH(LOWER(TRIM(K1224)),'Students'!$AH$2:$AH$701,0),IFERROR(MATCH(LOWER(TRIM(K1224)),'Students'!$AF$2:$AF$701,0),IFERROR(MATCH(LOWER(TRIM(K1224)),'Students'!$AG$2:$AG$701,0),""))))</f>
        <v/>
      </c>
      <c r="R1224">
        <f>IF(P1224="","",INDEX('Students'!$AD$2:$AD$701,P1224))</f>
        <v/>
      </c>
      <c r="S1224">
        <f>IF(H1224="OK",O1224,0)</f>
        <v/>
      </c>
      <c r="T1224">
        <f>IF(H1224="OK",N1224,"")</f>
        <v/>
      </c>
      <c r="U1224">
        <f>IF(OC_Donor=0,"",IF(INDEX('OneCause_Paste'!$A$1224:$AZ$1224,1,OC_Donor)="","",INDEX('OneCause_Paste'!$A$1224:$AZ$1224,1,OC_Donor)))</f>
        <v/>
      </c>
    </row>
    <row r="1225">
      <c r="A1225" s="62">
        <f>IF(H1225="","",IF(ISNUMBER(N1225),N1225,I1225))</f>
        <v/>
      </c>
      <c r="B1225">
        <f>IF(H1225="","",U1225)</f>
        <v/>
      </c>
      <c r="C1225">
        <f>IF(H1225="","",IF(P1225="",K1225,INDEX('Students'!$A$2:$A$701,P1225)))</f>
        <v/>
      </c>
      <c r="D1225">
        <f>IF(OR(H1225="",P1225=""),"",INDEX('Students'!$B$2:$B$701,P1225))</f>
        <v/>
      </c>
      <c r="E1225">
        <f>IF(OR(H1225="",P1225=""),"",INDEX('Students'!$C$2:$C$701,P1225))</f>
        <v/>
      </c>
      <c r="F1225" s="48">
        <f>IF(H1225="","",IF(ISNUMBER(O1225),O1225,J1225))</f>
        <v/>
      </c>
      <c r="G1225">
        <f>IF(H1225="","","OneCause")</f>
        <v/>
      </c>
      <c r="H1225">
        <f>IF(AND(I1225="",J1225="",K1225=""),"",IF(NOT(ISNUMBER(O1225)),"Bad amount",IF(O1225&lt;0,"Refund (not counted)",IF(O1225=0,"Zero amount",IF(NOT(ISNUMBER(N1225)),"Bad date",IF(P1225="","NAME NOT ON ROSTER",IF(L1225="","OK",IF(MATCH(L1225,$L$2:$L$3001,0)&lt;ROW()-1,"Duplicate (ignored)","OK"))))))))</f>
        <v/>
      </c>
      <c r="I1225">
        <f>IF(OC_Date=0,"",IF(INDEX('OneCause_Paste'!$A$1225:$AZ$1225,1,OC_Date)="","",INDEX('OneCause_Paste'!$A$1225:$AZ$1225,1,OC_Date)))</f>
        <v/>
      </c>
      <c r="J1225">
        <f>IF(OC_Amt=0,"",IF(INDEX('OneCause_Paste'!$A$1225:$AZ$1225,1,OC_Amt)="","",INDEX('OneCause_Paste'!$A$1225:$AZ$1225,1,OC_Amt)))</f>
        <v/>
      </c>
      <c r="K1225">
        <f>IF(OC_Name=0,"",IF(INDEX('OneCause_Paste'!$A$1225:$AZ$1225,1,OC_Name)="","",INDEX('OneCause_Paste'!$A$1225:$AZ$1225,1,OC_Name)))</f>
        <v/>
      </c>
      <c r="L1225">
        <f>IF(OC_Txn=0,"",IF(INDEX('OneCause_Paste'!$A$1225:$AZ$1225,1,OC_Txn)="","",INDEX('OneCause_Paste'!$A$1225:$AZ$1225,1,OC_Txn)))</f>
        <v/>
      </c>
      <c r="M1225">
        <f>IF(OC_Pay=0,"",IF(INDEX('OneCause_Paste'!$A$1225:$AZ$1225,1,OC_Pay)="","",INDEX('OneCause_Paste'!$A$1225:$AZ$1225,1,OC_Pay)))</f>
        <v/>
      </c>
      <c r="N1225">
        <f>IF(I1225="","",IF(ISNUMBER(I1225),INT(I1225),IFERROR(INT(DATEVALUE(I1225)),IFERROR(INT(VALUE(I1225)),"bad"))))</f>
        <v/>
      </c>
      <c r="O1225">
        <f>IF(J1225="","",IF(ISNUMBER(J1225),ROUND(J1225,2),IFERROR(ROUND(VALUE(SUBSTITUTE(SUBSTITUTE(SUBSTITUTE(J1225,"$",""),",","")," ","")),2),"bad")))</f>
        <v/>
      </c>
      <c r="P1225">
        <f>IF(TRIM(K1225)="","",IFERROR(MATCH(LOWER(TRIM(K1225)),'Students'!$AH$2:$AH$701,0),IFERROR(MATCH(LOWER(TRIM(K1225)),'Students'!$AF$2:$AF$701,0),IFERROR(MATCH(LOWER(TRIM(K1225)),'Students'!$AG$2:$AG$701,0),""))))</f>
        <v/>
      </c>
      <c r="R1225">
        <f>IF(P1225="","",INDEX('Students'!$AD$2:$AD$701,P1225))</f>
        <v/>
      </c>
      <c r="S1225">
        <f>IF(H1225="OK",O1225,0)</f>
        <v/>
      </c>
      <c r="T1225">
        <f>IF(H1225="OK",N1225,"")</f>
        <v/>
      </c>
      <c r="U1225">
        <f>IF(OC_Donor=0,"",IF(INDEX('OneCause_Paste'!$A$1225:$AZ$1225,1,OC_Donor)="","",INDEX('OneCause_Paste'!$A$1225:$AZ$1225,1,OC_Donor)))</f>
        <v/>
      </c>
    </row>
    <row r="1226">
      <c r="A1226" s="62">
        <f>IF(H1226="","",IF(ISNUMBER(N1226),N1226,I1226))</f>
        <v/>
      </c>
      <c r="B1226">
        <f>IF(H1226="","",U1226)</f>
        <v/>
      </c>
      <c r="C1226">
        <f>IF(H1226="","",IF(P1226="",K1226,INDEX('Students'!$A$2:$A$701,P1226)))</f>
        <v/>
      </c>
      <c r="D1226">
        <f>IF(OR(H1226="",P1226=""),"",INDEX('Students'!$B$2:$B$701,P1226))</f>
        <v/>
      </c>
      <c r="E1226">
        <f>IF(OR(H1226="",P1226=""),"",INDEX('Students'!$C$2:$C$701,P1226))</f>
        <v/>
      </c>
      <c r="F1226" s="48">
        <f>IF(H1226="","",IF(ISNUMBER(O1226),O1226,J1226))</f>
        <v/>
      </c>
      <c r="G1226">
        <f>IF(H1226="","","OneCause")</f>
        <v/>
      </c>
      <c r="H1226">
        <f>IF(AND(I1226="",J1226="",K1226=""),"",IF(NOT(ISNUMBER(O1226)),"Bad amount",IF(O1226&lt;0,"Refund (not counted)",IF(O1226=0,"Zero amount",IF(NOT(ISNUMBER(N1226)),"Bad date",IF(P1226="","NAME NOT ON ROSTER",IF(L1226="","OK",IF(MATCH(L1226,$L$2:$L$3001,0)&lt;ROW()-1,"Duplicate (ignored)","OK"))))))))</f>
        <v/>
      </c>
      <c r="I1226">
        <f>IF(OC_Date=0,"",IF(INDEX('OneCause_Paste'!$A$1226:$AZ$1226,1,OC_Date)="","",INDEX('OneCause_Paste'!$A$1226:$AZ$1226,1,OC_Date)))</f>
        <v/>
      </c>
      <c r="J1226">
        <f>IF(OC_Amt=0,"",IF(INDEX('OneCause_Paste'!$A$1226:$AZ$1226,1,OC_Amt)="","",INDEX('OneCause_Paste'!$A$1226:$AZ$1226,1,OC_Amt)))</f>
        <v/>
      </c>
      <c r="K1226">
        <f>IF(OC_Name=0,"",IF(INDEX('OneCause_Paste'!$A$1226:$AZ$1226,1,OC_Name)="","",INDEX('OneCause_Paste'!$A$1226:$AZ$1226,1,OC_Name)))</f>
        <v/>
      </c>
      <c r="L1226">
        <f>IF(OC_Txn=0,"",IF(INDEX('OneCause_Paste'!$A$1226:$AZ$1226,1,OC_Txn)="","",INDEX('OneCause_Paste'!$A$1226:$AZ$1226,1,OC_Txn)))</f>
        <v/>
      </c>
      <c r="M1226">
        <f>IF(OC_Pay=0,"",IF(INDEX('OneCause_Paste'!$A$1226:$AZ$1226,1,OC_Pay)="","",INDEX('OneCause_Paste'!$A$1226:$AZ$1226,1,OC_Pay)))</f>
        <v/>
      </c>
      <c r="N1226">
        <f>IF(I1226="","",IF(ISNUMBER(I1226),INT(I1226),IFERROR(INT(DATEVALUE(I1226)),IFERROR(INT(VALUE(I1226)),"bad"))))</f>
        <v/>
      </c>
      <c r="O1226">
        <f>IF(J1226="","",IF(ISNUMBER(J1226),ROUND(J1226,2),IFERROR(ROUND(VALUE(SUBSTITUTE(SUBSTITUTE(SUBSTITUTE(J1226,"$",""),",","")," ","")),2),"bad")))</f>
        <v/>
      </c>
      <c r="P1226">
        <f>IF(TRIM(K1226)="","",IFERROR(MATCH(LOWER(TRIM(K1226)),'Students'!$AH$2:$AH$701,0),IFERROR(MATCH(LOWER(TRIM(K1226)),'Students'!$AF$2:$AF$701,0),IFERROR(MATCH(LOWER(TRIM(K1226)),'Students'!$AG$2:$AG$701,0),""))))</f>
        <v/>
      </c>
      <c r="R1226">
        <f>IF(P1226="","",INDEX('Students'!$AD$2:$AD$701,P1226))</f>
        <v/>
      </c>
      <c r="S1226">
        <f>IF(H1226="OK",O1226,0)</f>
        <v/>
      </c>
      <c r="T1226">
        <f>IF(H1226="OK",N1226,"")</f>
        <v/>
      </c>
      <c r="U1226">
        <f>IF(OC_Donor=0,"",IF(INDEX('OneCause_Paste'!$A$1226:$AZ$1226,1,OC_Donor)="","",INDEX('OneCause_Paste'!$A$1226:$AZ$1226,1,OC_Donor)))</f>
        <v/>
      </c>
    </row>
    <row r="1227">
      <c r="A1227" s="62">
        <f>IF(H1227="","",IF(ISNUMBER(N1227),N1227,I1227))</f>
        <v/>
      </c>
      <c r="B1227">
        <f>IF(H1227="","",U1227)</f>
        <v/>
      </c>
      <c r="C1227">
        <f>IF(H1227="","",IF(P1227="",K1227,INDEX('Students'!$A$2:$A$701,P1227)))</f>
        <v/>
      </c>
      <c r="D1227">
        <f>IF(OR(H1227="",P1227=""),"",INDEX('Students'!$B$2:$B$701,P1227))</f>
        <v/>
      </c>
      <c r="E1227">
        <f>IF(OR(H1227="",P1227=""),"",INDEX('Students'!$C$2:$C$701,P1227))</f>
        <v/>
      </c>
      <c r="F1227" s="48">
        <f>IF(H1227="","",IF(ISNUMBER(O1227),O1227,J1227))</f>
        <v/>
      </c>
      <c r="G1227">
        <f>IF(H1227="","","OneCause")</f>
        <v/>
      </c>
      <c r="H1227">
        <f>IF(AND(I1227="",J1227="",K1227=""),"",IF(NOT(ISNUMBER(O1227)),"Bad amount",IF(O1227&lt;0,"Refund (not counted)",IF(O1227=0,"Zero amount",IF(NOT(ISNUMBER(N1227)),"Bad date",IF(P1227="","NAME NOT ON ROSTER",IF(L1227="","OK",IF(MATCH(L1227,$L$2:$L$3001,0)&lt;ROW()-1,"Duplicate (ignored)","OK"))))))))</f>
        <v/>
      </c>
      <c r="I1227">
        <f>IF(OC_Date=0,"",IF(INDEX('OneCause_Paste'!$A$1227:$AZ$1227,1,OC_Date)="","",INDEX('OneCause_Paste'!$A$1227:$AZ$1227,1,OC_Date)))</f>
        <v/>
      </c>
      <c r="J1227">
        <f>IF(OC_Amt=0,"",IF(INDEX('OneCause_Paste'!$A$1227:$AZ$1227,1,OC_Amt)="","",INDEX('OneCause_Paste'!$A$1227:$AZ$1227,1,OC_Amt)))</f>
        <v/>
      </c>
      <c r="K1227">
        <f>IF(OC_Name=0,"",IF(INDEX('OneCause_Paste'!$A$1227:$AZ$1227,1,OC_Name)="","",INDEX('OneCause_Paste'!$A$1227:$AZ$1227,1,OC_Name)))</f>
        <v/>
      </c>
      <c r="L1227">
        <f>IF(OC_Txn=0,"",IF(INDEX('OneCause_Paste'!$A$1227:$AZ$1227,1,OC_Txn)="","",INDEX('OneCause_Paste'!$A$1227:$AZ$1227,1,OC_Txn)))</f>
        <v/>
      </c>
      <c r="M1227">
        <f>IF(OC_Pay=0,"",IF(INDEX('OneCause_Paste'!$A$1227:$AZ$1227,1,OC_Pay)="","",INDEX('OneCause_Paste'!$A$1227:$AZ$1227,1,OC_Pay)))</f>
        <v/>
      </c>
      <c r="N1227">
        <f>IF(I1227="","",IF(ISNUMBER(I1227),INT(I1227),IFERROR(INT(DATEVALUE(I1227)),IFERROR(INT(VALUE(I1227)),"bad"))))</f>
        <v/>
      </c>
      <c r="O1227">
        <f>IF(J1227="","",IF(ISNUMBER(J1227),ROUND(J1227,2),IFERROR(ROUND(VALUE(SUBSTITUTE(SUBSTITUTE(SUBSTITUTE(J1227,"$",""),",","")," ","")),2),"bad")))</f>
        <v/>
      </c>
      <c r="P1227">
        <f>IF(TRIM(K1227)="","",IFERROR(MATCH(LOWER(TRIM(K1227)),'Students'!$AH$2:$AH$701,0),IFERROR(MATCH(LOWER(TRIM(K1227)),'Students'!$AF$2:$AF$701,0),IFERROR(MATCH(LOWER(TRIM(K1227)),'Students'!$AG$2:$AG$701,0),""))))</f>
        <v/>
      </c>
      <c r="R1227">
        <f>IF(P1227="","",INDEX('Students'!$AD$2:$AD$701,P1227))</f>
        <v/>
      </c>
      <c r="S1227">
        <f>IF(H1227="OK",O1227,0)</f>
        <v/>
      </c>
      <c r="T1227">
        <f>IF(H1227="OK",N1227,"")</f>
        <v/>
      </c>
      <c r="U1227">
        <f>IF(OC_Donor=0,"",IF(INDEX('OneCause_Paste'!$A$1227:$AZ$1227,1,OC_Donor)="","",INDEX('OneCause_Paste'!$A$1227:$AZ$1227,1,OC_Donor)))</f>
        <v/>
      </c>
    </row>
    <row r="1228">
      <c r="A1228" s="62">
        <f>IF(H1228="","",IF(ISNUMBER(N1228),N1228,I1228))</f>
        <v/>
      </c>
      <c r="B1228">
        <f>IF(H1228="","",U1228)</f>
        <v/>
      </c>
      <c r="C1228">
        <f>IF(H1228="","",IF(P1228="",K1228,INDEX('Students'!$A$2:$A$701,P1228)))</f>
        <v/>
      </c>
      <c r="D1228">
        <f>IF(OR(H1228="",P1228=""),"",INDEX('Students'!$B$2:$B$701,P1228))</f>
        <v/>
      </c>
      <c r="E1228">
        <f>IF(OR(H1228="",P1228=""),"",INDEX('Students'!$C$2:$C$701,P1228))</f>
        <v/>
      </c>
      <c r="F1228" s="48">
        <f>IF(H1228="","",IF(ISNUMBER(O1228),O1228,J1228))</f>
        <v/>
      </c>
      <c r="G1228">
        <f>IF(H1228="","","OneCause")</f>
        <v/>
      </c>
      <c r="H1228">
        <f>IF(AND(I1228="",J1228="",K1228=""),"",IF(NOT(ISNUMBER(O1228)),"Bad amount",IF(O1228&lt;0,"Refund (not counted)",IF(O1228=0,"Zero amount",IF(NOT(ISNUMBER(N1228)),"Bad date",IF(P1228="","NAME NOT ON ROSTER",IF(L1228="","OK",IF(MATCH(L1228,$L$2:$L$3001,0)&lt;ROW()-1,"Duplicate (ignored)","OK"))))))))</f>
        <v/>
      </c>
      <c r="I1228">
        <f>IF(OC_Date=0,"",IF(INDEX('OneCause_Paste'!$A$1228:$AZ$1228,1,OC_Date)="","",INDEX('OneCause_Paste'!$A$1228:$AZ$1228,1,OC_Date)))</f>
        <v/>
      </c>
      <c r="J1228">
        <f>IF(OC_Amt=0,"",IF(INDEX('OneCause_Paste'!$A$1228:$AZ$1228,1,OC_Amt)="","",INDEX('OneCause_Paste'!$A$1228:$AZ$1228,1,OC_Amt)))</f>
        <v/>
      </c>
      <c r="K1228">
        <f>IF(OC_Name=0,"",IF(INDEX('OneCause_Paste'!$A$1228:$AZ$1228,1,OC_Name)="","",INDEX('OneCause_Paste'!$A$1228:$AZ$1228,1,OC_Name)))</f>
        <v/>
      </c>
      <c r="L1228">
        <f>IF(OC_Txn=0,"",IF(INDEX('OneCause_Paste'!$A$1228:$AZ$1228,1,OC_Txn)="","",INDEX('OneCause_Paste'!$A$1228:$AZ$1228,1,OC_Txn)))</f>
        <v/>
      </c>
      <c r="M1228">
        <f>IF(OC_Pay=0,"",IF(INDEX('OneCause_Paste'!$A$1228:$AZ$1228,1,OC_Pay)="","",INDEX('OneCause_Paste'!$A$1228:$AZ$1228,1,OC_Pay)))</f>
        <v/>
      </c>
      <c r="N1228">
        <f>IF(I1228="","",IF(ISNUMBER(I1228),INT(I1228),IFERROR(INT(DATEVALUE(I1228)),IFERROR(INT(VALUE(I1228)),"bad"))))</f>
        <v/>
      </c>
      <c r="O1228">
        <f>IF(J1228="","",IF(ISNUMBER(J1228),ROUND(J1228,2),IFERROR(ROUND(VALUE(SUBSTITUTE(SUBSTITUTE(SUBSTITUTE(J1228,"$",""),",","")," ","")),2),"bad")))</f>
        <v/>
      </c>
      <c r="P1228">
        <f>IF(TRIM(K1228)="","",IFERROR(MATCH(LOWER(TRIM(K1228)),'Students'!$AH$2:$AH$701,0),IFERROR(MATCH(LOWER(TRIM(K1228)),'Students'!$AF$2:$AF$701,0),IFERROR(MATCH(LOWER(TRIM(K1228)),'Students'!$AG$2:$AG$701,0),""))))</f>
        <v/>
      </c>
      <c r="R1228">
        <f>IF(P1228="","",INDEX('Students'!$AD$2:$AD$701,P1228))</f>
        <v/>
      </c>
      <c r="S1228">
        <f>IF(H1228="OK",O1228,0)</f>
        <v/>
      </c>
      <c r="T1228">
        <f>IF(H1228="OK",N1228,"")</f>
        <v/>
      </c>
      <c r="U1228">
        <f>IF(OC_Donor=0,"",IF(INDEX('OneCause_Paste'!$A$1228:$AZ$1228,1,OC_Donor)="","",INDEX('OneCause_Paste'!$A$1228:$AZ$1228,1,OC_Donor)))</f>
        <v/>
      </c>
    </row>
    <row r="1229">
      <c r="A1229" s="62">
        <f>IF(H1229="","",IF(ISNUMBER(N1229),N1229,I1229))</f>
        <v/>
      </c>
      <c r="B1229">
        <f>IF(H1229="","",U1229)</f>
        <v/>
      </c>
      <c r="C1229">
        <f>IF(H1229="","",IF(P1229="",K1229,INDEX('Students'!$A$2:$A$701,P1229)))</f>
        <v/>
      </c>
      <c r="D1229">
        <f>IF(OR(H1229="",P1229=""),"",INDEX('Students'!$B$2:$B$701,P1229))</f>
        <v/>
      </c>
      <c r="E1229">
        <f>IF(OR(H1229="",P1229=""),"",INDEX('Students'!$C$2:$C$701,P1229))</f>
        <v/>
      </c>
      <c r="F1229" s="48">
        <f>IF(H1229="","",IF(ISNUMBER(O1229),O1229,J1229))</f>
        <v/>
      </c>
      <c r="G1229">
        <f>IF(H1229="","","OneCause")</f>
        <v/>
      </c>
      <c r="H1229">
        <f>IF(AND(I1229="",J1229="",K1229=""),"",IF(NOT(ISNUMBER(O1229)),"Bad amount",IF(O1229&lt;0,"Refund (not counted)",IF(O1229=0,"Zero amount",IF(NOT(ISNUMBER(N1229)),"Bad date",IF(P1229="","NAME NOT ON ROSTER",IF(L1229="","OK",IF(MATCH(L1229,$L$2:$L$3001,0)&lt;ROW()-1,"Duplicate (ignored)","OK"))))))))</f>
        <v/>
      </c>
      <c r="I1229">
        <f>IF(OC_Date=0,"",IF(INDEX('OneCause_Paste'!$A$1229:$AZ$1229,1,OC_Date)="","",INDEX('OneCause_Paste'!$A$1229:$AZ$1229,1,OC_Date)))</f>
        <v/>
      </c>
      <c r="J1229">
        <f>IF(OC_Amt=0,"",IF(INDEX('OneCause_Paste'!$A$1229:$AZ$1229,1,OC_Amt)="","",INDEX('OneCause_Paste'!$A$1229:$AZ$1229,1,OC_Amt)))</f>
        <v/>
      </c>
      <c r="K1229">
        <f>IF(OC_Name=0,"",IF(INDEX('OneCause_Paste'!$A$1229:$AZ$1229,1,OC_Name)="","",INDEX('OneCause_Paste'!$A$1229:$AZ$1229,1,OC_Name)))</f>
        <v/>
      </c>
      <c r="L1229">
        <f>IF(OC_Txn=0,"",IF(INDEX('OneCause_Paste'!$A$1229:$AZ$1229,1,OC_Txn)="","",INDEX('OneCause_Paste'!$A$1229:$AZ$1229,1,OC_Txn)))</f>
        <v/>
      </c>
      <c r="M1229">
        <f>IF(OC_Pay=0,"",IF(INDEX('OneCause_Paste'!$A$1229:$AZ$1229,1,OC_Pay)="","",INDEX('OneCause_Paste'!$A$1229:$AZ$1229,1,OC_Pay)))</f>
        <v/>
      </c>
      <c r="N1229">
        <f>IF(I1229="","",IF(ISNUMBER(I1229),INT(I1229),IFERROR(INT(DATEVALUE(I1229)),IFERROR(INT(VALUE(I1229)),"bad"))))</f>
        <v/>
      </c>
      <c r="O1229">
        <f>IF(J1229="","",IF(ISNUMBER(J1229),ROUND(J1229,2),IFERROR(ROUND(VALUE(SUBSTITUTE(SUBSTITUTE(SUBSTITUTE(J1229,"$",""),",","")," ","")),2),"bad")))</f>
        <v/>
      </c>
      <c r="P1229">
        <f>IF(TRIM(K1229)="","",IFERROR(MATCH(LOWER(TRIM(K1229)),'Students'!$AH$2:$AH$701,0),IFERROR(MATCH(LOWER(TRIM(K1229)),'Students'!$AF$2:$AF$701,0),IFERROR(MATCH(LOWER(TRIM(K1229)),'Students'!$AG$2:$AG$701,0),""))))</f>
        <v/>
      </c>
      <c r="R1229">
        <f>IF(P1229="","",INDEX('Students'!$AD$2:$AD$701,P1229))</f>
        <v/>
      </c>
      <c r="S1229">
        <f>IF(H1229="OK",O1229,0)</f>
        <v/>
      </c>
      <c r="T1229">
        <f>IF(H1229="OK",N1229,"")</f>
        <v/>
      </c>
      <c r="U1229">
        <f>IF(OC_Donor=0,"",IF(INDEX('OneCause_Paste'!$A$1229:$AZ$1229,1,OC_Donor)="","",INDEX('OneCause_Paste'!$A$1229:$AZ$1229,1,OC_Donor)))</f>
        <v/>
      </c>
    </row>
    <row r="1230">
      <c r="A1230" s="62">
        <f>IF(H1230="","",IF(ISNUMBER(N1230),N1230,I1230))</f>
        <v/>
      </c>
      <c r="B1230">
        <f>IF(H1230="","",U1230)</f>
        <v/>
      </c>
      <c r="C1230">
        <f>IF(H1230="","",IF(P1230="",K1230,INDEX('Students'!$A$2:$A$701,P1230)))</f>
        <v/>
      </c>
      <c r="D1230">
        <f>IF(OR(H1230="",P1230=""),"",INDEX('Students'!$B$2:$B$701,P1230))</f>
        <v/>
      </c>
      <c r="E1230">
        <f>IF(OR(H1230="",P1230=""),"",INDEX('Students'!$C$2:$C$701,P1230))</f>
        <v/>
      </c>
      <c r="F1230" s="48">
        <f>IF(H1230="","",IF(ISNUMBER(O1230),O1230,J1230))</f>
        <v/>
      </c>
      <c r="G1230">
        <f>IF(H1230="","","OneCause")</f>
        <v/>
      </c>
      <c r="H1230">
        <f>IF(AND(I1230="",J1230="",K1230=""),"",IF(NOT(ISNUMBER(O1230)),"Bad amount",IF(O1230&lt;0,"Refund (not counted)",IF(O1230=0,"Zero amount",IF(NOT(ISNUMBER(N1230)),"Bad date",IF(P1230="","NAME NOT ON ROSTER",IF(L1230="","OK",IF(MATCH(L1230,$L$2:$L$3001,0)&lt;ROW()-1,"Duplicate (ignored)","OK"))))))))</f>
        <v/>
      </c>
      <c r="I1230">
        <f>IF(OC_Date=0,"",IF(INDEX('OneCause_Paste'!$A$1230:$AZ$1230,1,OC_Date)="","",INDEX('OneCause_Paste'!$A$1230:$AZ$1230,1,OC_Date)))</f>
        <v/>
      </c>
      <c r="J1230">
        <f>IF(OC_Amt=0,"",IF(INDEX('OneCause_Paste'!$A$1230:$AZ$1230,1,OC_Amt)="","",INDEX('OneCause_Paste'!$A$1230:$AZ$1230,1,OC_Amt)))</f>
        <v/>
      </c>
      <c r="K1230">
        <f>IF(OC_Name=0,"",IF(INDEX('OneCause_Paste'!$A$1230:$AZ$1230,1,OC_Name)="","",INDEX('OneCause_Paste'!$A$1230:$AZ$1230,1,OC_Name)))</f>
        <v/>
      </c>
      <c r="L1230">
        <f>IF(OC_Txn=0,"",IF(INDEX('OneCause_Paste'!$A$1230:$AZ$1230,1,OC_Txn)="","",INDEX('OneCause_Paste'!$A$1230:$AZ$1230,1,OC_Txn)))</f>
        <v/>
      </c>
      <c r="M1230">
        <f>IF(OC_Pay=0,"",IF(INDEX('OneCause_Paste'!$A$1230:$AZ$1230,1,OC_Pay)="","",INDEX('OneCause_Paste'!$A$1230:$AZ$1230,1,OC_Pay)))</f>
        <v/>
      </c>
      <c r="N1230">
        <f>IF(I1230="","",IF(ISNUMBER(I1230),INT(I1230),IFERROR(INT(DATEVALUE(I1230)),IFERROR(INT(VALUE(I1230)),"bad"))))</f>
        <v/>
      </c>
      <c r="O1230">
        <f>IF(J1230="","",IF(ISNUMBER(J1230),ROUND(J1230,2),IFERROR(ROUND(VALUE(SUBSTITUTE(SUBSTITUTE(SUBSTITUTE(J1230,"$",""),",","")," ","")),2),"bad")))</f>
        <v/>
      </c>
      <c r="P1230">
        <f>IF(TRIM(K1230)="","",IFERROR(MATCH(LOWER(TRIM(K1230)),'Students'!$AH$2:$AH$701,0),IFERROR(MATCH(LOWER(TRIM(K1230)),'Students'!$AF$2:$AF$701,0),IFERROR(MATCH(LOWER(TRIM(K1230)),'Students'!$AG$2:$AG$701,0),""))))</f>
        <v/>
      </c>
      <c r="R1230">
        <f>IF(P1230="","",INDEX('Students'!$AD$2:$AD$701,P1230))</f>
        <v/>
      </c>
      <c r="S1230">
        <f>IF(H1230="OK",O1230,0)</f>
        <v/>
      </c>
      <c r="T1230">
        <f>IF(H1230="OK",N1230,"")</f>
        <v/>
      </c>
      <c r="U1230">
        <f>IF(OC_Donor=0,"",IF(INDEX('OneCause_Paste'!$A$1230:$AZ$1230,1,OC_Donor)="","",INDEX('OneCause_Paste'!$A$1230:$AZ$1230,1,OC_Donor)))</f>
        <v/>
      </c>
    </row>
    <row r="1231">
      <c r="A1231" s="62">
        <f>IF(H1231="","",IF(ISNUMBER(N1231),N1231,I1231))</f>
        <v/>
      </c>
      <c r="B1231">
        <f>IF(H1231="","",U1231)</f>
        <v/>
      </c>
      <c r="C1231">
        <f>IF(H1231="","",IF(P1231="",K1231,INDEX('Students'!$A$2:$A$701,P1231)))</f>
        <v/>
      </c>
      <c r="D1231">
        <f>IF(OR(H1231="",P1231=""),"",INDEX('Students'!$B$2:$B$701,P1231))</f>
        <v/>
      </c>
      <c r="E1231">
        <f>IF(OR(H1231="",P1231=""),"",INDEX('Students'!$C$2:$C$701,P1231))</f>
        <v/>
      </c>
      <c r="F1231" s="48">
        <f>IF(H1231="","",IF(ISNUMBER(O1231),O1231,J1231))</f>
        <v/>
      </c>
      <c r="G1231">
        <f>IF(H1231="","","OneCause")</f>
        <v/>
      </c>
      <c r="H1231">
        <f>IF(AND(I1231="",J1231="",K1231=""),"",IF(NOT(ISNUMBER(O1231)),"Bad amount",IF(O1231&lt;0,"Refund (not counted)",IF(O1231=0,"Zero amount",IF(NOT(ISNUMBER(N1231)),"Bad date",IF(P1231="","NAME NOT ON ROSTER",IF(L1231="","OK",IF(MATCH(L1231,$L$2:$L$3001,0)&lt;ROW()-1,"Duplicate (ignored)","OK"))))))))</f>
        <v/>
      </c>
      <c r="I1231">
        <f>IF(OC_Date=0,"",IF(INDEX('OneCause_Paste'!$A$1231:$AZ$1231,1,OC_Date)="","",INDEX('OneCause_Paste'!$A$1231:$AZ$1231,1,OC_Date)))</f>
        <v/>
      </c>
      <c r="J1231">
        <f>IF(OC_Amt=0,"",IF(INDEX('OneCause_Paste'!$A$1231:$AZ$1231,1,OC_Amt)="","",INDEX('OneCause_Paste'!$A$1231:$AZ$1231,1,OC_Amt)))</f>
        <v/>
      </c>
      <c r="K1231">
        <f>IF(OC_Name=0,"",IF(INDEX('OneCause_Paste'!$A$1231:$AZ$1231,1,OC_Name)="","",INDEX('OneCause_Paste'!$A$1231:$AZ$1231,1,OC_Name)))</f>
        <v/>
      </c>
      <c r="L1231">
        <f>IF(OC_Txn=0,"",IF(INDEX('OneCause_Paste'!$A$1231:$AZ$1231,1,OC_Txn)="","",INDEX('OneCause_Paste'!$A$1231:$AZ$1231,1,OC_Txn)))</f>
        <v/>
      </c>
      <c r="M1231">
        <f>IF(OC_Pay=0,"",IF(INDEX('OneCause_Paste'!$A$1231:$AZ$1231,1,OC_Pay)="","",INDEX('OneCause_Paste'!$A$1231:$AZ$1231,1,OC_Pay)))</f>
        <v/>
      </c>
      <c r="N1231">
        <f>IF(I1231="","",IF(ISNUMBER(I1231),INT(I1231),IFERROR(INT(DATEVALUE(I1231)),IFERROR(INT(VALUE(I1231)),"bad"))))</f>
        <v/>
      </c>
      <c r="O1231">
        <f>IF(J1231="","",IF(ISNUMBER(J1231),ROUND(J1231,2),IFERROR(ROUND(VALUE(SUBSTITUTE(SUBSTITUTE(SUBSTITUTE(J1231,"$",""),",","")," ","")),2),"bad")))</f>
        <v/>
      </c>
      <c r="P1231">
        <f>IF(TRIM(K1231)="","",IFERROR(MATCH(LOWER(TRIM(K1231)),'Students'!$AH$2:$AH$701,0),IFERROR(MATCH(LOWER(TRIM(K1231)),'Students'!$AF$2:$AF$701,0),IFERROR(MATCH(LOWER(TRIM(K1231)),'Students'!$AG$2:$AG$701,0),""))))</f>
        <v/>
      </c>
      <c r="R1231">
        <f>IF(P1231="","",INDEX('Students'!$AD$2:$AD$701,P1231))</f>
        <v/>
      </c>
      <c r="S1231">
        <f>IF(H1231="OK",O1231,0)</f>
        <v/>
      </c>
      <c r="T1231">
        <f>IF(H1231="OK",N1231,"")</f>
        <v/>
      </c>
      <c r="U1231">
        <f>IF(OC_Donor=0,"",IF(INDEX('OneCause_Paste'!$A$1231:$AZ$1231,1,OC_Donor)="","",INDEX('OneCause_Paste'!$A$1231:$AZ$1231,1,OC_Donor)))</f>
        <v/>
      </c>
    </row>
    <row r="1232">
      <c r="A1232" s="62">
        <f>IF(H1232="","",IF(ISNUMBER(N1232),N1232,I1232))</f>
        <v/>
      </c>
      <c r="B1232">
        <f>IF(H1232="","",U1232)</f>
        <v/>
      </c>
      <c r="C1232">
        <f>IF(H1232="","",IF(P1232="",K1232,INDEX('Students'!$A$2:$A$701,P1232)))</f>
        <v/>
      </c>
      <c r="D1232">
        <f>IF(OR(H1232="",P1232=""),"",INDEX('Students'!$B$2:$B$701,P1232))</f>
        <v/>
      </c>
      <c r="E1232">
        <f>IF(OR(H1232="",P1232=""),"",INDEX('Students'!$C$2:$C$701,P1232))</f>
        <v/>
      </c>
      <c r="F1232" s="48">
        <f>IF(H1232="","",IF(ISNUMBER(O1232),O1232,J1232))</f>
        <v/>
      </c>
      <c r="G1232">
        <f>IF(H1232="","","OneCause")</f>
        <v/>
      </c>
      <c r="H1232">
        <f>IF(AND(I1232="",J1232="",K1232=""),"",IF(NOT(ISNUMBER(O1232)),"Bad amount",IF(O1232&lt;0,"Refund (not counted)",IF(O1232=0,"Zero amount",IF(NOT(ISNUMBER(N1232)),"Bad date",IF(P1232="","NAME NOT ON ROSTER",IF(L1232="","OK",IF(MATCH(L1232,$L$2:$L$3001,0)&lt;ROW()-1,"Duplicate (ignored)","OK"))))))))</f>
        <v/>
      </c>
      <c r="I1232">
        <f>IF(OC_Date=0,"",IF(INDEX('OneCause_Paste'!$A$1232:$AZ$1232,1,OC_Date)="","",INDEX('OneCause_Paste'!$A$1232:$AZ$1232,1,OC_Date)))</f>
        <v/>
      </c>
      <c r="J1232">
        <f>IF(OC_Amt=0,"",IF(INDEX('OneCause_Paste'!$A$1232:$AZ$1232,1,OC_Amt)="","",INDEX('OneCause_Paste'!$A$1232:$AZ$1232,1,OC_Amt)))</f>
        <v/>
      </c>
      <c r="K1232">
        <f>IF(OC_Name=0,"",IF(INDEX('OneCause_Paste'!$A$1232:$AZ$1232,1,OC_Name)="","",INDEX('OneCause_Paste'!$A$1232:$AZ$1232,1,OC_Name)))</f>
        <v/>
      </c>
      <c r="L1232">
        <f>IF(OC_Txn=0,"",IF(INDEX('OneCause_Paste'!$A$1232:$AZ$1232,1,OC_Txn)="","",INDEX('OneCause_Paste'!$A$1232:$AZ$1232,1,OC_Txn)))</f>
        <v/>
      </c>
      <c r="M1232">
        <f>IF(OC_Pay=0,"",IF(INDEX('OneCause_Paste'!$A$1232:$AZ$1232,1,OC_Pay)="","",INDEX('OneCause_Paste'!$A$1232:$AZ$1232,1,OC_Pay)))</f>
        <v/>
      </c>
      <c r="N1232">
        <f>IF(I1232="","",IF(ISNUMBER(I1232),INT(I1232),IFERROR(INT(DATEVALUE(I1232)),IFERROR(INT(VALUE(I1232)),"bad"))))</f>
        <v/>
      </c>
      <c r="O1232">
        <f>IF(J1232="","",IF(ISNUMBER(J1232),ROUND(J1232,2),IFERROR(ROUND(VALUE(SUBSTITUTE(SUBSTITUTE(SUBSTITUTE(J1232,"$",""),",","")," ","")),2),"bad")))</f>
        <v/>
      </c>
      <c r="P1232">
        <f>IF(TRIM(K1232)="","",IFERROR(MATCH(LOWER(TRIM(K1232)),'Students'!$AH$2:$AH$701,0),IFERROR(MATCH(LOWER(TRIM(K1232)),'Students'!$AF$2:$AF$701,0),IFERROR(MATCH(LOWER(TRIM(K1232)),'Students'!$AG$2:$AG$701,0),""))))</f>
        <v/>
      </c>
      <c r="R1232">
        <f>IF(P1232="","",INDEX('Students'!$AD$2:$AD$701,P1232))</f>
        <v/>
      </c>
      <c r="S1232">
        <f>IF(H1232="OK",O1232,0)</f>
        <v/>
      </c>
      <c r="T1232">
        <f>IF(H1232="OK",N1232,"")</f>
        <v/>
      </c>
      <c r="U1232">
        <f>IF(OC_Donor=0,"",IF(INDEX('OneCause_Paste'!$A$1232:$AZ$1232,1,OC_Donor)="","",INDEX('OneCause_Paste'!$A$1232:$AZ$1232,1,OC_Donor)))</f>
        <v/>
      </c>
    </row>
    <row r="1233">
      <c r="A1233" s="62">
        <f>IF(H1233="","",IF(ISNUMBER(N1233),N1233,I1233))</f>
        <v/>
      </c>
      <c r="B1233">
        <f>IF(H1233="","",U1233)</f>
        <v/>
      </c>
      <c r="C1233">
        <f>IF(H1233="","",IF(P1233="",K1233,INDEX('Students'!$A$2:$A$701,P1233)))</f>
        <v/>
      </c>
      <c r="D1233">
        <f>IF(OR(H1233="",P1233=""),"",INDEX('Students'!$B$2:$B$701,P1233))</f>
        <v/>
      </c>
      <c r="E1233">
        <f>IF(OR(H1233="",P1233=""),"",INDEX('Students'!$C$2:$C$701,P1233))</f>
        <v/>
      </c>
      <c r="F1233" s="48">
        <f>IF(H1233="","",IF(ISNUMBER(O1233),O1233,J1233))</f>
        <v/>
      </c>
      <c r="G1233">
        <f>IF(H1233="","","OneCause")</f>
        <v/>
      </c>
      <c r="H1233">
        <f>IF(AND(I1233="",J1233="",K1233=""),"",IF(NOT(ISNUMBER(O1233)),"Bad amount",IF(O1233&lt;0,"Refund (not counted)",IF(O1233=0,"Zero amount",IF(NOT(ISNUMBER(N1233)),"Bad date",IF(P1233="","NAME NOT ON ROSTER",IF(L1233="","OK",IF(MATCH(L1233,$L$2:$L$3001,0)&lt;ROW()-1,"Duplicate (ignored)","OK"))))))))</f>
        <v/>
      </c>
      <c r="I1233">
        <f>IF(OC_Date=0,"",IF(INDEX('OneCause_Paste'!$A$1233:$AZ$1233,1,OC_Date)="","",INDEX('OneCause_Paste'!$A$1233:$AZ$1233,1,OC_Date)))</f>
        <v/>
      </c>
      <c r="J1233">
        <f>IF(OC_Amt=0,"",IF(INDEX('OneCause_Paste'!$A$1233:$AZ$1233,1,OC_Amt)="","",INDEX('OneCause_Paste'!$A$1233:$AZ$1233,1,OC_Amt)))</f>
        <v/>
      </c>
      <c r="K1233">
        <f>IF(OC_Name=0,"",IF(INDEX('OneCause_Paste'!$A$1233:$AZ$1233,1,OC_Name)="","",INDEX('OneCause_Paste'!$A$1233:$AZ$1233,1,OC_Name)))</f>
        <v/>
      </c>
      <c r="L1233">
        <f>IF(OC_Txn=0,"",IF(INDEX('OneCause_Paste'!$A$1233:$AZ$1233,1,OC_Txn)="","",INDEX('OneCause_Paste'!$A$1233:$AZ$1233,1,OC_Txn)))</f>
        <v/>
      </c>
      <c r="M1233">
        <f>IF(OC_Pay=0,"",IF(INDEX('OneCause_Paste'!$A$1233:$AZ$1233,1,OC_Pay)="","",INDEX('OneCause_Paste'!$A$1233:$AZ$1233,1,OC_Pay)))</f>
        <v/>
      </c>
      <c r="N1233">
        <f>IF(I1233="","",IF(ISNUMBER(I1233),INT(I1233),IFERROR(INT(DATEVALUE(I1233)),IFERROR(INT(VALUE(I1233)),"bad"))))</f>
        <v/>
      </c>
      <c r="O1233">
        <f>IF(J1233="","",IF(ISNUMBER(J1233),ROUND(J1233,2),IFERROR(ROUND(VALUE(SUBSTITUTE(SUBSTITUTE(SUBSTITUTE(J1233,"$",""),",","")," ","")),2),"bad")))</f>
        <v/>
      </c>
      <c r="P1233">
        <f>IF(TRIM(K1233)="","",IFERROR(MATCH(LOWER(TRIM(K1233)),'Students'!$AH$2:$AH$701,0),IFERROR(MATCH(LOWER(TRIM(K1233)),'Students'!$AF$2:$AF$701,0),IFERROR(MATCH(LOWER(TRIM(K1233)),'Students'!$AG$2:$AG$701,0),""))))</f>
        <v/>
      </c>
      <c r="R1233">
        <f>IF(P1233="","",INDEX('Students'!$AD$2:$AD$701,P1233))</f>
        <v/>
      </c>
      <c r="S1233">
        <f>IF(H1233="OK",O1233,0)</f>
        <v/>
      </c>
      <c r="T1233">
        <f>IF(H1233="OK",N1233,"")</f>
        <v/>
      </c>
      <c r="U1233">
        <f>IF(OC_Donor=0,"",IF(INDEX('OneCause_Paste'!$A$1233:$AZ$1233,1,OC_Donor)="","",INDEX('OneCause_Paste'!$A$1233:$AZ$1233,1,OC_Donor)))</f>
        <v/>
      </c>
    </row>
    <row r="1234">
      <c r="A1234" s="62">
        <f>IF(H1234="","",IF(ISNUMBER(N1234),N1234,I1234))</f>
        <v/>
      </c>
      <c r="B1234">
        <f>IF(H1234="","",U1234)</f>
        <v/>
      </c>
      <c r="C1234">
        <f>IF(H1234="","",IF(P1234="",K1234,INDEX('Students'!$A$2:$A$701,P1234)))</f>
        <v/>
      </c>
      <c r="D1234">
        <f>IF(OR(H1234="",P1234=""),"",INDEX('Students'!$B$2:$B$701,P1234))</f>
        <v/>
      </c>
      <c r="E1234">
        <f>IF(OR(H1234="",P1234=""),"",INDEX('Students'!$C$2:$C$701,P1234))</f>
        <v/>
      </c>
      <c r="F1234" s="48">
        <f>IF(H1234="","",IF(ISNUMBER(O1234),O1234,J1234))</f>
        <v/>
      </c>
      <c r="G1234">
        <f>IF(H1234="","","OneCause")</f>
        <v/>
      </c>
      <c r="H1234">
        <f>IF(AND(I1234="",J1234="",K1234=""),"",IF(NOT(ISNUMBER(O1234)),"Bad amount",IF(O1234&lt;0,"Refund (not counted)",IF(O1234=0,"Zero amount",IF(NOT(ISNUMBER(N1234)),"Bad date",IF(P1234="","NAME NOT ON ROSTER",IF(L1234="","OK",IF(MATCH(L1234,$L$2:$L$3001,0)&lt;ROW()-1,"Duplicate (ignored)","OK"))))))))</f>
        <v/>
      </c>
      <c r="I1234">
        <f>IF(OC_Date=0,"",IF(INDEX('OneCause_Paste'!$A$1234:$AZ$1234,1,OC_Date)="","",INDEX('OneCause_Paste'!$A$1234:$AZ$1234,1,OC_Date)))</f>
        <v/>
      </c>
      <c r="J1234">
        <f>IF(OC_Amt=0,"",IF(INDEX('OneCause_Paste'!$A$1234:$AZ$1234,1,OC_Amt)="","",INDEX('OneCause_Paste'!$A$1234:$AZ$1234,1,OC_Amt)))</f>
        <v/>
      </c>
      <c r="K1234">
        <f>IF(OC_Name=0,"",IF(INDEX('OneCause_Paste'!$A$1234:$AZ$1234,1,OC_Name)="","",INDEX('OneCause_Paste'!$A$1234:$AZ$1234,1,OC_Name)))</f>
        <v/>
      </c>
      <c r="L1234">
        <f>IF(OC_Txn=0,"",IF(INDEX('OneCause_Paste'!$A$1234:$AZ$1234,1,OC_Txn)="","",INDEX('OneCause_Paste'!$A$1234:$AZ$1234,1,OC_Txn)))</f>
        <v/>
      </c>
      <c r="M1234">
        <f>IF(OC_Pay=0,"",IF(INDEX('OneCause_Paste'!$A$1234:$AZ$1234,1,OC_Pay)="","",INDEX('OneCause_Paste'!$A$1234:$AZ$1234,1,OC_Pay)))</f>
        <v/>
      </c>
      <c r="N1234">
        <f>IF(I1234="","",IF(ISNUMBER(I1234),INT(I1234),IFERROR(INT(DATEVALUE(I1234)),IFERROR(INT(VALUE(I1234)),"bad"))))</f>
        <v/>
      </c>
      <c r="O1234">
        <f>IF(J1234="","",IF(ISNUMBER(J1234),ROUND(J1234,2),IFERROR(ROUND(VALUE(SUBSTITUTE(SUBSTITUTE(SUBSTITUTE(J1234,"$",""),",","")," ","")),2),"bad")))</f>
        <v/>
      </c>
      <c r="P1234">
        <f>IF(TRIM(K1234)="","",IFERROR(MATCH(LOWER(TRIM(K1234)),'Students'!$AH$2:$AH$701,0),IFERROR(MATCH(LOWER(TRIM(K1234)),'Students'!$AF$2:$AF$701,0),IFERROR(MATCH(LOWER(TRIM(K1234)),'Students'!$AG$2:$AG$701,0),""))))</f>
        <v/>
      </c>
      <c r="R1234">
        <f>IF(P1234="","",INDEX('Students'!$AD$2:$AD$701,P1234))</f>
        <v/>
      </c>
      <c r="S1234">
        <f>IF(H1234="OK",O1234,0)</f>
        <v/>
      </c>
      <c r="T1234">
        <f>IF(H1234="OK",N1234,"")</f>
        <v/>
      </c>
      <c r="U1234">
        <f>IF(OC_Donor=0,"",IF(INDEX('OneCause_Paste'!$A$1234:$AZ$1234,1,OC_Donor)="","",INDEX('OneCause_Paste'!$A$1234:$AZ$1234,1,OC_Donor)))</f>
        <v/>
      </c>
    </row>
    <row r="1235">
      <c r="A1235" s="62">
        <f>IF(H1235="","",IF(ISNUMBER(N1235),N1235,I1235))</f>
        <v/>
      </c>
      <c r="B1235">
        <f>IF(H1235="","",U1235)</f>
        <v/>
      </c>
      <c r="C1235">
        <f>IF(H1235="","",IF(P1235="",K1235,INDEX('Students'!$A$2:$A$701,P1235)))</f>
        <v/>
      </c>
      <c r="D1235">
        <f>IF(OR(H1235="",P1235=""),"",INDEX('Students'!$B$2:$B$701,P1235))</f>
        <v/>
      </c>
      <c r="E1235">
        <f>IF(OR(H1235="",P1235=""),"",INDEX('Students'!$C$2:$C$701,P1235))</f>
        <v/>
      </c>
      <c r="F1235" s="48">
        <f>IF(H1235="","",IF(ISNUMBER(O1235),O1235,J1235))</f>
        <v/>
      </c>
      <c r="G1235">
        <f>IF(H1235="","","OneCause")</f>
        <v/>
      </c>
      <c r="H1235">
        <f>IF(AND(I1235="",J1235="",K1235=""),"",IF(NOT(ISNUMBER(O1235)),"Bad amount",IF(O1235&lt;0,"Refund (not counted)",IF(O1235=0,"Zero amount",IF(NOT(ISNUMBER(N1235)),"Bad date",IF(P1235="","NAME NOT ON ROSTER",IF(L1235="","OK",IF(MATCH(L1235,$L$2:$L$3001,0)&lt;ROW()-1,"Duplicate (ignored)","OK"))))))))</f>
        <v/>
      </c>
      <c r="I1235">
        <f>IF(OC_Date=0,"",IF(INDEX('OneCause_Paste'!$A$1235:$AZ$1235,1,OC_Date)="","",INDEX('OneCause_Paste'!$A$1235:$AZ$1235,1,OC_Date)))</f>
        <v/>
      </c>
      <c r="J1235">
        <f>IF(OC_Amt=0,"",IF(INDEX('OneCause_Paste'!$A$1235:$AZ$1235,1,OC_Amt)="","",INDEX('OneCause_Paste'!$A$1235:$AZ$1235,1,OC_Amt)))</f>
        <v/>
      </c>
      <c r="K1235">
        <f>IF(OC_Name=0,"",IF(INDEX('OneCause_Paste'!$A$1235:$AZ$1235,1,OC_Name)="","",INDEX('OneCause_Paste'!$A$1235:$AZ$1235,1,OC_Name)))</f>
        <v/>
      </c>
      <c r="L1235">
        <f>IF(OC_Txn=0,"",IF(INDEX('OneCause_Paste'!$A$1235:$AZ$1235,1,OC_Txn)="","",INDEX('OneCause_Paste'!$A$1235:$AZ$1235,1,OC_Txn)))</f>
        <v/>
      </c>
      <c r="M1235">
        <f>IF(OC_Pay=0,"",IF(INDEX('OneCause_Paste'!$A$1235:$AZ$1235,1,OC_Pay)="","",INDEX('OneCause_Paste'!$A$1235:$AZ$1235,1,OC_Pay)))</f>
        <v/>
      </c>
      <c r="N1235">
        <f>IF(I1235="","",IF(ISNUMBER(I1235),INT(I1235),IFERROR(INT(DATEVALUE(I1235)),IFERROR(INT(VALUE(I1235)),"bad"))))</f>
        <v/>
      </c>
      <c r="O1235">
        <f>IF(J1235="","",IF(ISNUMBER(J1235),ROUND(J1235,2),IFERROR(ROUND(VALUE(SUBSTITUTE(SUBSTITUTE(SUBSTITUTE(J1235,"$",""),",","")," ","")),2),"bad")))</f>
        <v/>
      </c>
      <c r="P1235">
        <f>IF(TRIM(K1235)="","",IFERROR(MATCH(LOWER(TRIM(K1235)),'Students'!$AH$2:$AH$701,0),IFERROR(MATCH(LOWER(TRIM(K1235)),'Students'!$AF$2:$AF$701,0),IFERROR(MATCH(LOWER(TRIM(K1235)),'Students'!$AG$2:$AG$701,0),""))))</f>
        <v/>
      </c>
      <c r="R1235">
        <f>IF(P1235="","",INDEX('Students'!$AD$2:$AD$701,P1235))</f>
        <v/>
      </c>
      <c r="S1235">
        <f>IF(H1235="OK",O1235,0)</f>
        <v/>
      </c>
      <c r="T1235">
        <f>IF(H1235="OK",N1235,"")</f>
        <v/>
      </c>
      <c r="U1235">
        <f>IF(OC_Donor=0,"",IF(INDEX('OneCause_Paste'!$A$1235:$AZ$1235,1,OC_Donor)="","",INDEX('OneCause_Paste'!$A$1235:$AZ$1235,1,OC_Donor)))</f>
        <v/>
      </c>
    </row>
    <row r="1236">
      <c r="A1236" s="62">
        <f>IF(H1236="","",IF(ISNUMBER(N1236),N1236,I1236))</f>
        <v/>
      </c>
      <c r="B1236">
        <f>IF(H1236="","",U1236)</f>
        <v/>
      </c>
      <c r="C1236">
        <f>IF(H1236="","",IF(P1236="",K1236,INDEX('Students'!$A$2:$A$701,P1236)))</f>
        <v/>
      </c>
      <c r="D1236">
        <f>IF(OR(H1236="",P1236=""),"",INDEX('Students'!$B$2:$B$701,P1236))</f>
        <v/>
      </c>
      <c r="E1236">
        <f>IF(OR(H1236="",P1236=""),"",INDEX('Students'!$C$2:$C$701,P1236))</f>
        <v/>
      </c>
      <c r="F1236" s="48">
        <f>IF(H1236="","",IF(ISNUMBER(O1236),O1236,J1236))</f>
        <v/>
      </c>
      <c r="G1236">
        <f>IF(H1236="","","OneCause")</f>
        <v/>
      </c>
      <c r="H1236">
        <f>IF(AND(I1236="",J1236="",K1236=""),"",IF(NOT(ISNUMBER(O1236)),"Bad amount",IF(O1236&lt;0,"Refund (not counted)",IF(O1236=0,"Zero amount",IF(NOT(ISNUMBER(N1236)),"Bad date",IF(P1236="","NAME NOT ON ROSTER",IF(L1236="","OK",IF(MATCH(L1236,$L$2:$L$3001,0)&lt;ROW()-1,"Duplicate (ignored)","OK"))))))))</f>
        <v/>
      </c>
      <c r="I1236">
        <f>IF(OC_Date=0,"",IF(INDEX('OneCause_Paste'!$A$1236:$AZ$1236,1,OC_Date)="","",INDEX('OneCause_Paste'!$A$1236:$AZ$1236,1,OC_Date)))</f>
        <v/>
      </c>
      <c r="J1236">
        <f>IF(OC_Amt=0,"",IF(INDEX('OneCause_Paste'!$A$1236:$AZ$1236,1,OC_Amt)="","",INDEX('OneCause_Paste'!$A$1236:$AZ$1236,1,OC_Amt)))</f>
        <v/>
      </c>
      <c r="K1236">
        <f>IF(OC_Name=0,"",IF(INDEX('OneCause_Paste'!$A$1236:$AZ$1236,1,OC_Name)="","",INDEX('OneCause_Paste'!$A$1236:$AZ$1236,1,OC_Name)))</f>
        <v/>
      </c>
      <c r="L1236">
        <f>IF(OC_Txn=0,"",IF(INDEX('OneCause_Paste'!$A$1236:$AZ$1236,1,OC_Txn)="","",INDEX('OneCause_Paste'!$A$1236:$AZ$1236,1,OC_Txn)))</f>
        <v/>
      </c>
      <c r="M1236">
        <f>IF(OC_Pay=0,"",IF(INDEX('OneCause_Paste'!$A$1236:$AZ$1236,1,OC_Pay)="","",INDEX('OneCause_Paste'!$A$1236:$AZ$1236,1,OC_Pay)))</f>
        <v/>
      </c>
      <c r="N1236">
        <f>IF(I1236="","",IF(ISNUMBER(I1236),INT(I1236),IFERROR(INT(DATEVALUE(I1236)),IFERROR(INT(VALUE(I1236)),"bad"))))</f>
        <v/>
      </c>
      <c r="O1236">
        <f>IF(J1236="","",IF(ISNUMBER(J1236),ROUND(J1236,2),IFERROR(ROUND(VALUE(SUBSTITUTE(SUBSTITUTE(SUBSTITUTE(J1236,"$",""),",","")," ","")),2),"bad")))</f>
        <v/>
      </c>
      <c r="P1236">
        <f>IF(TRIM(K1236)="","",IFERROR(MATCH(LOWER(TRIM(K1236)),'Students'!$AH$2:$AH$701,0),IFERROR(MATCH(LOWER(TRIM(K1236)),'Students'!$AF$2:$AF$701,0),IFERROR(MATCH(LOWER(TRIM(K1236)),'Students'!$AG$2:$AG$701,0),""))))</f>
        <v/>
      </c>
      <c r="R1236">
        <f>IF(P1236="","",INDEX('Students'!$AD$2:$AD$701,P1236))</f>
        <v/>
      </c>
      <c r="S1236">
        <f>IF(H1236="OK",O1236,0)</f>
        <v/>
      </c>
      <c r="T1236">
        <f>IF(H1236="OK",N1236,"")</f>
        <v/>
      </c>
      <c r="U1236">
        <f>IF(OC_Donor=0,"",IF(INDEX('OneCause_Paste'!$A$1236:$AZ$1236,1,OC_Donor)="","",INDEX('OneCause_Paste'!$A$1236:$AZ$1236,1,OC_Donor)))</f>
        <v/>
      </c>
    </row>
    <row r="1237">
      <c r="A1237" s="62">
        <f>IF(H1237="","",IF(ISNUMBER(N1237),N1237,I1237))</f>
        <v/>
      </c>
      <c r="B1237">
        <f>IF(H1237="","",U1237)</f>
        <v/>
      </c>
      <c r="C1237">
        <f>IF(H1237="","",IF(P1237="",K1237,INDEX('Students'!$A$2:$A$701,P1237)))</f>
        <v/>
      </c>
      <c r="D1237">
        <f>IF(OR(H1237="",P1237=""),"",INDEX('Students'!$B$2:$B$701,P1237))</f>
        <v/>
      </c>
      <c r="E1237">
        <f>IF(OR(H1237="",P1237=""),"",INDEX('Students'!$C$2:$C$701,P1237))</f>
        <v/>
      </c>
      <c r="F1237" s="48">
        <f>IF(H1237="","",IF(ISNUMBER(O1237),O1237,J1237))</f>
        <v/>
      </c>
      <c r="G1237">
        <f>IF(H1237="","","OneCause")</f>
        <v/>
      </c>
      <c r="H1237">
        <f>IF(AND(I1237="",J1237="",K1237=""),"",IF(NOT(ISNUMBER(O1237)),"Bad amount",IF(O1237&lt;0,"Refund (not counted)",IF(O1237=0,"Zero amount",IF(NOT(ISNUMBER(N1237)),"Bad date",IF(P1237="","NAME NOT ON ROSTER",IF(L1237="","OK",IF(MATCH(L1237,$L$2:$L$3001,0)&lt;ROW()-1,"Duplicate (ignored)","OK"))))))))</f>
        <v/>
      </c>
      <c r="I1237">
        <f>IF(OC_Date=0,"",IF(INDEX('OneCause_Paste'!$A$1237:$AZ$1237,1,OC_Date)="","",INDEX('OneCause_Paste'!$A$1237:$AZ$1237,1,OC_Date)))</f>
        <v/>
      </c>
      <c r="J1237">
        <f>IF(OC_Amt=0,"",IF(INDEX('OneCause_Paste'!$A$1237:$AZ$1237,1,OC_Amt)="","",INDEX('OneCause_Paste'!$A$1237:$AZ$1237,1,OC_Amt)))</f>
        <v/>
      </c>
      <c r="K1237">
        <f>IF(OC_Name=0,"",IF(INDEX('OneCause_Paste'!$A$1237:$AZ$1237,1,OC_Name)="","",INDEX('OneCause_Paste'!$A$1237:$AZ$1237,1,OC_Name)))</f>
        <v/>
      </c>
      <c r="L1237">
        <f>IF(OC_Txn=0,"",IF(INDEX('OneCause_Paste'!$A$1237:$AZ$1237,1,OC_Txn)="","",INDEX('OneCause_Paste'!$A$1237:$AZ$1237,1,OC_Txn)))</f>
        <v/>
      </c>
      <c r="M1237">
        <f>IF(OC_Pay=0,"",IF(INDEX('OneCause_Paste'!$A$1237:$AZ$1237,1,OC_Pay)="","",INDEX('OneCause_Paste'!$A$1237:$AZ$1237,1,OC_Pay)))</f>
        <v/>
      </c>
      <c r="N1237">
        <f>IF(I1237="","",IF(ISNUMBER(I1237),INT(I1237),IFERROR(INT(DATEVALUE(I1237)),IFERROR(INT(VALUE(I1237)),"bad"))))</f>
        <v/>
      </c>
      <c r="O1237">
        <f>IF(J1237="","",IF(ISNUMBER(J1237),ROUND(J1237,2),IFERROR(ROUND(VALUE(SUBSTITUTE(SUBSTITUTE(SUBSTITUTE(J1237,"$",""),",","")," ","")),2),"bad")))</f>
        <v/>
      </c>
      <c r="P1237">
        <f>IF(TRIM(K1237)="","",IFERROR(MATCH(LOWER(TRIM(K1237)),'Students'!$AH$2:$AH$701,0),IFERROR(MATCH(LOWER(TRIM(K1237)),'Students'!$AF$2:$AF$701,0),IFERROR(MATCH(LOWER(TRIM(K1237)),'Students'!$AG$2:$AG$701,0),""))))</f>
        <v/>
      </c>
      <c r="R1237">
        <f>IF(P1237="","",INDEX('Students'!$AD$2:$AD$701,P1237))</f>
        <v/>
      </c>
      <c r="S1237">
        <f>IF(H1237="OK",O1237,0)</f>
        <v/>
      </c>
      <c r="T1237">
        <f>IF(H1237="OK",N1237,"")</f>
        <v/>
      </c>
      <c r="U1237">
        <f>IF(OC_Donor=0,"",IF(INDEX('OneCause_Paste'!$A$1237:$AZ$1237,1,OC_Donor)="","",INDEX('OneCause_Paste'!$A$1237:$AZ$1237,1,OC_Donor)))</f>
        <v/>
      </c>
    </row>
    <row r="1238">
      <c r="A1238" s="62">
        <f>IF(H1238="","",IF(ISNUMBER(N1238),N1238,I1238))</f>
        <v/>
      </c>
      <c r="B1238">
        <f>IF(H1238="","",U1238)</f>
        <v/>
      </c>
      <c r="C1238">
        <f>IF(H1238="","",IF(P1238="",K1238,INDEX('Students'!$A$2:$A$701,P1238)))</f>
        <v/>
      </c>
      <c r="D1238">
        <f>IF(OR(H1238="",P1238=""),"",INDEX('Students'!$B$2:$B$701,P1238))</f>
        <v/>
      </c>
      <c r="E1238">
        <f>IF(OR(H1238="",P1238=""),"",INDEX('Students'!$C$2:$C$701,P1238))</f>
        <v/>
      </c>
      <c r="F1238" s="48">
        <f>IF(H1238="","",IF(ISNUMBER(O1238),O1238,J1238))</f>
        <v/>
      </c>
      <c r="G1238">
        <f>IF(H1238="","","OneCause")</f>
        <v/>
      </c>
      <c r="H1238">
        <f>IF(AND(I1238="",J1238="",K1238=""),"",IF(NOT(ISNUMBER(O1238)),"Bad amount",IF(O1238&lt;0,"Refund (not counted)",IF(O1238=0,"Zero amount",IF(NOT(ISNUMBER(N1238)),"Bad date",IF(P1238="","NAME NOT ON ROSTER",IF(L1238="","OK",IF(MATCH(L1238,$L$2:$L$3001,0)&lt;ROW()-1,"Duplicate (ignored)","OK"))))))))</f>
        <v/>
      </c>
      <c r="I1238">
        <f>IF(OC_Date=0,"",IF(INDEX('OneCause_Paste'!$A$1238:$AZ$1238,1,OC_Date)="","",INDEX('OneCause_Paste'!$A$1238:$AZ$1238,1,OC_Date)))</f>
        <v/>
      </c>
      <c r="J1238">
        <f>IF(OC_Amt=0,"",IF(INDEX('OneCause_Paste'!$A$1238:$AZ$1238,1,OC_Amt)="","",INDEX('OneCause_Paste'!$A$1238:$AZ$1238,1,OC_Amt)))</f>
        <v/>
      </c>
      <c r="K1238">
        <f>IF(OC_Name=0,"",IF(INDEX('OneCause_Paste'!$A$1238:$AZ$1238,1,OC_Name)="","",INDEX('OneCause_Paste'!$A$1238:$AZ$1238,1,OC_Name)))</f>
        <v/>
      </c>
      <c r="L1238">
        <f>IF(OC_Txn=0,"",IF(INDEX('OneCause_Paste'!$A$1238:$AZ$1238,1,OC_Txn)="","",INDEX('OneCause_Paste'!$A$1238:$AZ$1238,1,OC_Txn)))</f>
        <v/>
      </c>
      <c r="M1238">
        <f>IF(OC_Pay=0,"",IF(INDEX('OneCause_Paste'!$A$1238:$AZ$1238,1,OC_Pay)="","",INDEX('OneCause_Paste'!$A$1238:$AZ$1238,1,OC_Pay)))</f>
        <v/>
      </c>
      <c r="N1238">
        <f>IF(I1238="","",IF(ISNUMBER(I1238),INT(I1238),IFERROR(INT(DATEVALUE(I1238)),IFERROR(INT(VALUE(I1238)),"bad"))))</f>
        <v/>
      </c>
      <c r="O1238">
        <f>IF(J1238="","",IF(ISNUMBER(J1238),ROUND(J1238,2),IFERROR(ROUND(VALUE(SUBSTITUTE(SUBSTITUTE(SUBSTITUTE(J1238,"$",""),",","")," ","")),2),"bad")))</f>
        <v/>
      </c>
      <c r="P1238">
        <f>IF(TRIM(K1238)="","",IFERROR(MATCH(LOWER(TRIM(K1238)),'Students'!$AH$2:$AH$701,0),IFERROR(MATCH(LOWER(TRIM(K1238)),'Students'!$AF$2:$AF$701,0),IFERROR(MATCH(LOWER(TRIM(K1238)),'Students'!$AG$2:$AG$701,0),""))))</f>
        <v/>
      </c>
      <c r="R1238">
        <f>IF(P1238="","",INDEX('Students'!$AD$2:$AD$701,P1238))</f>
        <v/>
      </c>
      <c r="S1238">
        <f>IF(H1238="OK",O1238,0)</f>
        <v/>
      </c>
      <c r="T1238">
        <f>IF(H1238="OK",N1238,"")</f>
        <v/>
      </c>
      <c r="U1238">
        <f>IF(OC_Donor=0,"",IF(INDEX('OneCause_Paste'!$A$1238:$AZ$1238,1,OC_Donor)="","",INDEX('OneCause_Paste'!$A$1238:$AZ$1238,1,OC_Donor)))</f>
        <v/>
      </c>
    </row>
    <row r="1239">
      <c r="A1239" s="62">
        <f>IF(H1239="","",IF(ISNUMBER(N1239),N1239,I1239))</f>
        <v/>
      </c>
      <c r="B1239">
        <f>IF(H1239="","",U1239)</f>
        <v/>
      </c>
      <c r="C1239">
        <f>IF(H1239="","",IF(P1239="",K1239,INDEX('Students'!$A$2:$A$701,P1239)))</f>
        <v/>
      </c>
      <c r="D1239">
        <f>IF(OR(H1239="",P1239=""),"",INDEX('Students'!$B$2:$B$701,P1239))</f>
        <v/>
      </c>
      <c r="E1239">
        <f>IF(OR(H1239="",P1239=""),"",INDEX('Students'!$C$2:$C$701,P1239))</f>
        <v/>
      </c>
      <c r="F1239" s="48">
        <f>IF(H1239="","",IF(ISNUMBER(O1239),O1239,J1239))</f>
        <v/>
      </c>
      <c r="G1239">
        <f>IF(H1239="","","OneCause")</f>
        <v/>
      </c>
      <c r="H1239">
        <f>IF(AND(I1239="",J1239="",K1239=""),"",IF(NOT(ISNUMBER(O1239)),"Bad amount",IF(O1239&lt;0,"Refund (not counted)",IF(O1239=0,"Zero amount",IF(NOT(ISNUMBER(N1239)),"Bad date",IF(P1239="","NAME NOT ON ROSTER",IF(L1239="","OK",IF(MATCH(L1239,$L$2:$L$3001,0)&lt;ROW()-1,"Duplicate (ignored)","OK"))))))))</f>
        <v/>
      </c>
      <c r="I1239">
        <f>IF(OC_Date=0,"",IF(INDEX('OneCause_Paste'!$A$1239:$AZ$1239,1,OC_Date)="","",INDEX('OneCause_Paste'!$A$1239:$AZ$1239,1,OC_Date)))</f>
        <v/>
      </c>
      <c r="J1239">
        <f>IF(OC_Amt=0,"",IF(INDEX('OneCause_Paste'!$A$1239:$AZ$1239,1,OC_Amt)="","",INDEX('OneCause_Paste'!$A$1239:$AZ$1239,1,OC_Amt)))</f>
        <v/>
      </c>
      <c r="K1239">
        <f>IF(OC_Name=0,"",IF(INDEX('OneCause_Paste'!$A$1239:$AZ$1239,1,OC_Name)="","",INDEX('OneCause_Paste'!$A$1239:$AZ$1239,1,OC_Name)))</f>
        <v/>
      </c>
      <c r="L1239">
        <f>IF(OC_Txn=0,"",IF(INDEX('OneCause_Paste'!$A$1239:$AZ$1239,1,OC_Txn)="","",INDEX('OneCause_Paste'!$A$1239:$AZ$1239,1,OC_Txn)))</f>
        <v/>
      </c>
      <c r="M1239">
        <f>IF(OC_Pay=0,"",IF(INDEX('OneCause_Paste'!$A$1239:$AZ$1239,1,OC_Pay)="","",INDEX('OneCause_Paste'!$A$1239:$AZ$1239,1,OC_Pay)))</f>
        <v/>
      </c>
      <c r="N1239">
        <f>IF(I1239="","",IF(ISNUMBER(I1239),INT(I1239),IFERROR(INT(DATEVALUE(I1239)),IFERROR(INT(VALUE(I1239)),"bad"))))</f>
        <v/>
      </c>
      <c r="O1239">
        <f>IF(J1239="","",IF(ISNUMBER(J1239),ROUND(J1239,2),IFERROR(ROUND(VALUE(SUBSTITUTE(SUBSTITUTE(SUBSTITUTE(J1239,"$",""),",","")," ","")),2),"bad")))</f>
        <v/>
      </c>
      <c r="P1239">
        <f>IF(TRIM(K1239)="","",IFERROR(MATCH(LOWER(TRIM(K1239)),'Students'!$AH$2:$AH$701,0),IFERROR(MATCH(LOWER(TRIM(K1239)),'Students'!$AF$2:$AF$701,0),IFERROR(MATCH(LOWER(TRIM(K1239)),'Students'!$AG$2:$AG$701,0),""))))</f>
        <v/>
      </c>
      <c r="R1239">
        <f>IF(P1239="","",INDEX('Students'!$AD$2:$AD$701,P1239))</f>
        <v/>
      </c>
      <c r="S1239">
        <f>IF(H1239="OK",O1239,0)</f>
        <v/>
      </c>
      <c r="T1239">
        <f>IF(H1239="OK",N1239,"")</f>
        <v/>
      </c>
      <c r="U1239">
        <f>IF(OC_Donor=0,"",IF(INDEX('OneCause_Paste'!$A$1239:$AZ$1239,1,OC_Donor)="","",INDEX('OneCause_Paste'!$A$1239:$AZ$1239,1,OC_Donor)))</f>
        <v/>
      </c>
    </row>
    <row r="1240">
      <c r="A1240" s="62">
        <f>IF(H1240="","",IF(ISNUMBER(N1240),N1240,I1240))</f>
        <v/>
      </c>
      <c r="B1240">
        <f>IF(H1240="","",U1240)</f>
        <v/>
      </c>
      <c r="C1240">
        <f>IF(H1240="","",IF(P1240="",K1240,INDEX('Students'!$A$2:$A$701,P1240)))</f>
        <v/>
      </c>
      <c r="D1240">
        <f>IF(OR(H1240="",P1240=""),"",INDEX('Students'!$B$2:$B$701,P1240))</f>
        <v/>
      </c>
      <c r="E1240">
        <f>IF(OR(H1240="",P1240=""),"",INDEX('Students'!$C$2:$C$701,P1240))</f>
        <v/>
      </c>
      <c r="F1240" s="48">
        <f>IF(H1240="","",IF(ISNUMBER(O1240),O1240,J1240))</f>
        <v/>
      </c>
      <c r="G1240">
        <f>IF(H1240="","","OneCause")</f>
        <v/>
      </c>
      <c r="H1240">
        <f>IF(AND(I1240="",J1240="",K1240=""),"",IF(NOT(ISNUMBER(O1240)),"Bad amount",IF(O1240&lt;0,"Refund (not counted)",IF(O1240=0,"Zero amount",IF(NOT(ISNUMBER(N1240)),"Bad date",IF(P1240="","NAME NOT ON ROSTER",IF(L1240="","OK",IF(MATCH(L1240,$L$2:$L$3001,0)&lt;ROW()-1,"Duplicate (ignored)","OK"))))))))</f>
        <v/>
      </c>
      <c r="I1240">
        <f>IF(OC_Date=0,"",IF(INDEX('OneCause_Paste'!$A$1240:$AZ$1240,1,OC_Date)="","",INDEX('OneCause_Paste'!$A$1240:$AZ$1240,1,OC_Date)))</f>
        <v/>
      </c>
      <c r="J1240">
        <f>IF(OC_Amt=0,"",IF(INDEX('OneCause_Paste'!$A$1240:$AZ$1240,1,OC_Amt)="","",INDEX('OneCause_Paste'!$A$1240:$AZ$1240,1,OC_Amt)))</f>
        <v/>
      </c>
      <c r="K1240">
        <f>IF(OC_Name=0,"",IF(INDEX('OneCause_Paste'!$A$1240:$AZ$1240,1,OC_Name)="","",INDEX('OneCause_Paste'!$A$1240:$AZ$1240,1,OC_Name)))</f>
        <v/>
      </c>
      <c r="L1240">
        <f>IF(OC_Txn=0,"",IF(INDEX('OneCause_Paste'!$A$1240:$AZ$1240,1,OC_Txn)="","",INDEX('OneCause_Paste'!$A$1240:$AZ$1240,1,OC_Txn)))</f>
        <v/>
      </c>
      <c r="M1240">
        <f>IF(OC_Pay=0,"",IF(INDEX('OneCause_Paste'!$A$1240:$AZ$1240,1,OC_Pay)="","",INDEX('OneCause_Paste'!$A$1240:$AZ$1240,1,OC_Pay)))</f>
        <v/>
      </c>
      <c r="N1240">
        <f>IF(I1240="","",IF(ISNUMBER(I1240),INT(I1240),IFERROR(INT(DATEVALUE(I1240)),IFERROR(INT(VALUE(I1240)),"bad"))))</f>
        <v/>
      </c>
      <c r="O1240">
        <f>IF(J1240="","",IF(ISNUMBER(J1240),ROUND(J1240,2),IFERROR(ROUND(VALUE(SUBSTITUTE(SUBSTITUTE(SUBSTITUTE(J1240,"$",""),",","")," ","")),2),"bad")))</f>
        <v/>
      </c>
      <c r="P1240">
        <f>IF(TRIM(K1240)="","",IFERROR(MATCH(LOWER(TRIM(K1240)),'Students'!$AH$2:$AH$701,0),IFERROR(MATCH(LOWER(TRIM(K1240)),'Students'!$AF$2:$AF$701,0),IFERROR(MATCH(LOWER(TRIM(K1240)),'Students'!$AG$2:$AG$701,0),""))))</f>
        <v/>
      </c>
      <c r="R1240">
        <f>IF(P1240="","",INDEX('Students'!$AD$2:$AD$701,P1240))</f>
        <v/>
      </c>
      <c r="S1240">
        <f>IF(H1240="OK",O1240,0)</f>
        <v/>
      </c>
      <c r="T1240">
        <f>IF(H1240="OK",N1240,"")</f>
        <v/>
      </c>
      <c r="U1240">
        <f>IF(OC_Donor=0,"",IF(INDEX('OneCause_Paste'!$A$1240:$AZ$1240,1,OC_Donor)="","",INDEX('OneCause_Paste'!$A$1240:$AZ$1240,1,OC_Donor)))</f>
        <v/>
      </c>
    </row>
    <row r="1241">
      <c r="A1241" s="62">
        <f>IF(H1241="","",IF(ISNUMBER(N1241),N1241,I1241))</f>
        <v/>
      </c>
      <c r="B1241">
        <f>IF(H1241="","",U1241)</f>
        <v/>
      </c>
      <c r="C1241">
        <f>IF(H1241="","",IF(P1241="",K1241,INDEX('Students'!$A$2:$A$701,P1241)))</f>
        <v/>
      </c>
      <c r="D1241">
        <f>IF(OR(H1241="",P1241=""),"",INDEX('Students'!$B$2:$B$701,P1241))</f>
        <v/>
      </c>
      <c r="E1241">
        <f>IF(OR(H1241="",P1241=""),"",INDEX('Students'!$C$2:$C$701,P1241))</f>
        <v/>
      </c>
      <c r="F1241" s="48">
        <f>IF(H1241="","",IF(ISNUMBER(O1241),O1241,J1241))</f>
        <v/>
      </c>
      <c r="G1241">
        <f>IF(H1241="","","OneCause")</f>
        <v/>
      </c>
      <c r="H1241">
        <f>IF(AND(I1241="",J1241="",K1241=""),"",IF(NOT(ISNUMBER(O1241)),"Bad amount",IF(O1241&lt;0,"Refund (not counted)",IF(O1241=0,"Zero amount",IF(NOT(ISNUMBER(N1241)),"Bad date",IF(P1241="","NAME NOT ON ROSTER",IF(L1241="","OK",IF(MATCH(L1241,$L$2:$L$3001,0)&lt;ROW()-1,"Duplicate (ignored)","OK"))))))))</f>
        <v/>
      </c>
      <c r="I1241">
        <f>IF(OC_Date=0,"",IF(INDEX('OneCause_Paste'!$A$1241:$AZ$1241,1,OC_Date)="","",INDEX('OneCause_Paste'!$A$1241:$AZ$1241,1,OC_Date)))</f>
        <v/>
      </c>
      <c r="J1241">
        <f>IF(OC_Amt=0,"",IF(INDEX('OneCause_Paste'!$A$1241:$AZ$1241,1,OC_Amt)="","",INDEX('OneCause_Paste'!$A$1241:$AZ$1241,1,OC_Amt)))</f>
        <v/>
      </c>
      <c r="K1241">
        <f>IF(OC_Name=0,"",IF(INDEX('OneCause_Paste'!$A$1241:$AZ$1241,1,OC_Name)="","",INDEX('OneCause_Paste'!$A$1241:$AZ$1241,1,OC_Name)))</f>
        <v/>
      </c>
      <c r="L1241">
        <f>IF(OC_Txn=0,"",IF(INDEX('OneCause_Paste'!$A$1241:$AZ$1241,1,OC_Txn)="","",INDEX('OneCause_Paste'!$A$1241:$AZ$1241,1,OC_Txn)))</f>
        <v/>
      </c>
      <c r="M1241">
        <f>IF(OC_Pay=0,"",IF(INDEX('OneCause_Paste'!$A$1241:$AZ$1241,1,OC_Pay)="","",INDEX('OneCause_Paste'!$A$1241:$AZ$1241,1,OC_Pay)))</f>
        <v/>
      </c>
      <c r="N1241">
        <f>IF(I1241="","",IF(ISNUMBER(I1241),INT(I1241),IFERROR(INT(DATEVALUE(I1241)),IFERROR(INT(VALUE(I1241)),"bad"))))</f>
        <v/>
      </c>
      <c r="O1241">
        <f>IF(J1241="","",IF(ISNUMBER(J1241),ROUND(J1241,2),IFERROR(ROUND(VALUE(SUBSTITUTE(SUBSTITUTE(SUBSTITUTE(J1241,"$",""),",","")," ","")),2),"bad")))</f>
        <v/>
      </c>
      <c r="P1241">
        <f>IF(TRIM(K1241)="","",IFERROR(MATCH(LOWER(TRIM(K1241)),'Students'!$AH$2:$AH$701,0),IFERROR(MATCH(LOWER(TRIM(K1241)),'Students'!$AF$2:$AF$701,0),IFERROR(MATCH(LOWER(TRIM(K1241)),'Students'!$AG$2:$AG$701,0),""))))</f>
        <v/>
      </c>
      <c r="R1241">
        <f>IF(P1241="","",INDEX('Students'!$AD$2:$AD$701,P1241))</f>
        <v/>
      </c>
      <c r="S1241">
        <f>IF(H1241="OK",O1241,0)</f>
        <v/>
      </c>
      <c r="T1241">
        <f>IF(H1241="OK",N1241,"")</f>
        <v/>
      </c>
      <c r="U1241">
        <f>IF(OC_Donor=0,"",IF(INDEX('OneCause_Paste'!$A$1241:$AZ$1241,1,OC_Donor)="","",INDEX('OneCause_Paste'!$A$1241:$AZ$1241,1,OC_Donor)))</f>
        <v/>
      </c>
    </row>
    <row r="1242">
      <c r="A1242" s="62">
        <f>IF(H1242="","",IF(ISNUMBER(N1242),N1242,I1242))</f>
        <v/>
      </c>
      <c r="B1242">
        <f>IF(H1242="","",U1242)</f>
        <v/>
      </c>
      <c r="C1242">
        <f>IF(H1242="","",IF(P1242="",K1242,INDEX('Students'!$A$2:$A$701,P1242)))</f>
        <v/>
      </c>
      <c r="D1242">
        <f>IF(OR(H1242="",P1242=""),"",INDEX('Students'!$B$2:$B$701,P1242))</f>
        <v/>
      </c>
      <c r="E1242">
        <f>IF(OR(H1242="",P1242=""),"",INDEX('Students'!$C$2:$C$701,P1242))</f>
        <v/>
      </c>
      <c r="F1242" s="48">
        <f>IF(H1242="","",IF(ISNUMBER(O1242),O1242,J1242))</f>
        <v/>
      </c>
      <c r="G1242">
        <f>IF(H1242="","","OneCause")</f>
        <v/>
      </c>
      <c r="H1242">
        <f>IF(AND(I1242="",J1242="",K1242=""),"",IF(NOT(ISNUMBER(O1242)),"Bad amount",IF(O1242&lt;0,"Refund (not counted)",IF(O1242=0,"Zero amount",IF(NOT(ISNUMBER(N1242)),"Bad date",IF(P1242="","NAME NOT ON ROSTER",IF(L1242="","OK",IF(MATCH(L1242,$L$2:$L$3001,0)&lt;ROW()-1,"Duplicate (ignored)","OK"))))))))</f>
        <v/>
      </c>
      <c r="I1242">
        <f>IF(OC_Date=0,"",IF(INDEX('OneCause_Paste'!$A$1242:$AZ$1242,1,OC_Date)="","",INDEX('OneCause_Paste'!$A$1242:$AZ$1242,1,OC_Date)))</f>
        <v/>
      </c>
      <c r="J1242">
        <f>IF(OC_Amt=0,"",IF(INDEX('OneCause_Paste'!$A$1242:$AZ$1242,1,OC_Amt)="","",INDEX('OneCause_Paste'!$A$1242:$AZ$1242,1,OC_Amt)))</f>
        <v/>
      </c>
      <c r="K1242">
        <f>IF(OC_Name=0,"",IF(INDEX('OneCause_Paste'!$A$1242:$AZ$1242,1,OC_Name)="","",INDEX('OneCause_Paste'!$A$1242:$AZ$1242,1,OC_Name)))</f>
        <v/>
      </c>
      <c r="L1242">
        <f>IF(OC_Txn=0,"",IF(INDEX('OneCause_Paste'!$A$1242:$AZ$1242,1,OC_Txn)="","",INDEX('OneCause_Paste'!$A$1242:$AZ$1242,1,OC_Txn)))</f>
        <v/>
      </c>
      <c r="M1242">
        <f>IF(OC_Pay=0,"",IF(INDEX('OneCause_Paste'!$A$1242:$AZ$1242,1,OC_Pay)="","",INDEX('OneCause_Paste'!$A$1242:$AZ$1242,1,OC_Pay)))</f>
        <v/>
      </c>
      <c r="N1242">
        <f>IF(I1242="","",IF(ISNUMBER(I1242),INT(I1242),IFERROR(INT(DATEVALUE(I1242)),IFERROR(INT(VALUE(I1242)),"bad"))))</f>
        <v/>
      </c>
      <c r="O1242">
        <f>IF(J1242="","",IF(ISNUMBER(J1242),ROUND(J1242,2),IFERROR(ROUND(VALUE(SUBSTITUTE(SUBSTITUTE(SUBSTITUTE(J1242,"$",""),",","")," ","")),2),"bad")))</f>
        <v/>
      </c>
      <c r="P1242">
        <f>IF(TRIM(K1242)="","",IFERROR(MATCH(LOWER(TRIM(K1242)),'Students'!$AH$2:$AH$701,0),IFERROR(MATCH(LOWER(TRIM(K1242)),'Students'!$AF$2:$AF$701,0),IFERROR(MATCH(LOWER(TRIM(K1242)),'Students'!$AG$2:$AG$701,0),""))))</f>
        <v/>
      </c>
      <c r="R1242">
        <f>IF(P1242="","",INDEX('Students'!$AD$2:$AD$701,P1242))</f>
        <v/>
      </c>
      <c r="S1242">
        <f>IF(H1242="OK",O1242,0)</f>
        <v/>
      </c>
      <c r="T1242">
        <f>IF(H1242="OK",N1242,"")</f>
        <v/>
      </c>
      <c r="U1242">
        <f>IF(OC_Donor=0,"",IF(INDEX('OneCause_Paste'!$A$1242:$AZ$1242,1,OC_Donor)="","",INDEX('OneCause_Paste'!$A$1242:$AZ$1242,1,OC_Donor)))</f>
        <v/>
      </c>
    </row>
    <row r="1243">
      <c r="A1243" s="62">
        <f>IF(H1243="","",IF(ISNUMBER(N1243),N1243,I1243))</f>
        <v/>
      </c>
      <c r="B1243">
        <f>IF(H1243="","",U1243)</f>
        <v/>
      </c>
      <c r="C1243">
        <f>IF(H1243="","",IF(P1243="",K1243,INDEX('Students'!$A$2:$A$701,P1243)))</f>
        <v/>
      </c>
      <c r="D1243">
        <f>IF(OR(H1243="",P1243=""),"",INDEX('Students'!$B$2:$B$701,P1243))</f>
        <v/>
      </c>
      <c r="E1243">
        <f>IF(OR(H1243="",P1243=""),"",INDEX('Students'!$C$2:$C$701,P1243))</f>
        <v/>
      </c>
      <c r="F1243" s="48">
        <f>IF(H1243="","",IF(ISNUMBER(O1243),O1243,J1243))</f>
        <v/>
      </c>
      <c r="G1243">
        <f>IF(H1243="","","OneCause")</f>
        <v/>
      </c>
      <c r="H1243">
        <f>IF(AND(I1243="",J1243="",K1243=""),"",IF(NOT(ISNUMBER(O1243)),"Bad amount",IF(O1243&lt;0,"Refund (not counted)",IF(O1243=0,"Zero amount",IF(NOT(ISNUMBER(N1243)),"Bad date",IF(P1243="","NAME NOT ON ROSTER",IF(L1243="","OK",IF(MATCH(L1243,$L$2:$L$3001,0)&lt;ROW()-1,"Duplicate (ignored)","OK"))))))))</f>
        <v/>
      </c>
      <c r="I1243">
        <f>IF(OC_Date=0,"",IF(INDEX('OneCause_Paste'!$A$1243:$AZ$1243,1,OC_Date)="","",INDEX('OneCause_Paste'!$A$1243:$AZ$1243,1,OC_Date)))</f>
        <v/>
      </c>
      <c r="J1243">
        <f>IF(OC_Amt=0,"",IF(INDEX('OneCause_Paste'!$A$1243:$AZ$1243,1,OC_Amt)="","",INDEX('OneCause_Paste'!$A$1243:$AZ$1243,1,OC_Amt)))</f>
        <v/>
      </c>
      <c r="K1243">
        <f>IF(OC_Name=0,"",IF(INDEX('OneCause_Paste'!$A$1243:$AZ$1243,1,OC_Name)="","",INDEX('OneCause_Paste'!$A$1243:$AZ$1243,1,OC_Name)))</f>
        <v/>
      </c>
      <c r="L1243">
        <f>IF(OC_Txn=0,"",IF(INDEX('OneCause_Paste'!$A$1243:$AZ$1243,1,OC_Txn)="","",INDEX('OneCause_Paste'!$A$1243:$AZ$1243,1,OC_Txn)))</f>
        <v/>
      </c>
      <c r="M1243">
        <f>IF(OC_Pay=0,"",IF(INDEX('OneCause_Paste'!$A$1243:$AZ$1243,1,OC_Pay)="","",INDEX('OneCause_Paste'!$A$1243:$AZ$1243,1,OC_Pay)))</f>
        <v/>
      </c>
      <c r="N1243">
        <f>IF(I1243="","",IF(ISNUMBER(I1243),INT(I1243),IFERROR(INT(DATEVALUE(I1243)),IFERROR(INT(VALUE(I1243)),"bad"))))</f>
        <v/>
      </c>
      <c r="O1243">
        <f>IF(J1243="","",IF(ISNUMBER(J1243),ROUND(J1243,2),IFERROR(ROUND(VALUE(SUBSTITUTE(SUBSTITUTE(SUBSTITUTE(J1243,"$",""),",","")," ","")),2),"bad")))</f>
        <v/>
      </c>
      <c r="P1243">
        <f>IF(TRIM(K1243)="","",IFERROR(MATCH(LOWER(TRIM(K1243)),'Students'!$AH$2:$AH$701,0),IFERROR(MATCH(LOWER(TRIM(K1243)),'Students'!$AF$2:$AF$701,0),IFERROR(MATCH(LOWER(TRIM(K1243)),'Students'!$AG$2:$AG$701,0),""))))</f>
        <v/>
      </c>
      <c r="R1243">
        <f>IF(P1243="","",INDEX('Students'!$AD$2:$AD$701,P1243))</f>
        <v/>
      </c>
      <c r="S1243">
        <f>IF(H1243="OK",O1243,0)</f>
        <v/>
      </c>
      <c r="T1243">
        <f>IF(H1243="OK",N1243,"")</f>
        <v/>
      </c>
      <c r="U1243">
        <f>IF(OC_Donor=0,"",IF(INDEX('OneCause_Paste'!$A$1243:$AZ$1243,1,OC_Donor)="","",INDEX('OneCause_Paste'!$A$1243:$AZ$1243,1,OC_Donor)))</f>
        <v/>
      </c>
    </row>
    <row r="1244">
      <c r="A1244" s="62">
        <f>IF(H1244="","",IF(ISNUMBER(N1244),N1244,I1244))</f>
        <v/>
      </c>
      <c r="B1244">
        <f>IF(H1244="","",U1244)</f>
        <v/>
      </c>
      <c r="C1244">
        <f>IF(H1244="","",IF(P1244="",K1244,INDEX('Students'!$A$2:$A$701,P1244)))</f>
        <v/>
      </c>
      <c r="D1244">
        <f>IF(OR(H1244="",P1244=""),"",INDEX('Students'!$B$2:$B$701,P1244))</f>
        <v/>
      </c>
      <c r="E1244">
        <f>IF(OR(H1244="",P1244=""),"",INDEX('Students'!$C$2:$C$701,P1244))</f>
        <v/>
      </c>
      <c r="F1244" s="48">
        <f>IF(H1244="","",IF(ISNUMBER(O1244),O1244,J1244))</f>
        <v/>
      </c>
      <c r="G1244">
        <f>IF(H1244="","","OneCause")</f>
        <v/>
      </c>
      <c r="H1244">
        <f>IF(AND(I1244="",J1244="",K1244=""),"",IF(NOT(ISNUMBER(O1244)),"Bad amount",IF(O1244&lt;0,"Refund (not counted)",IF(O1244=0,"Zero amount",IF(NOT(ISNUMBER(N1244)),"Bad date",IF(P1244="","NAME NOT ON ROSTER",IF(L1244="","OK",IF(MATCH(L1244,$L$2:$L$3001,0)&lt;ROW()-1,"Duplicate (ignored)","OK"))))))))</f>
        <v/>
      </c>
      <c r="I1244">
        <f>IF(OC_Date=0,"",IF(INDEX('OneCause_Paste'!$A$1244:$AZ$1244,1,OC_Date)="","",INDEX('OneCause_Paste'!$A$1244:$AZ$1244,1,OC_Date)))</f>
        <v/>
      </c>
      <c r="J1244">
        <f>IF(OC_Amt=0,"",IF(INDEX('OneCause_Paste'!$A$1244:$AZ$1244,1,OC_Amt)="","",INDEX('OneCause_Paste'!$A$1244:$AZ$1244,1,OC_Amt)))</f>
        <v/>
      </c>
      <c r="K1244">
        <f>IF(OC_Name=0,"",IF(INDEX('OneCause_Paste'!$A$1244:$AZ$1244,1,OC_Name)="","",INDEX('OneCause_Paste'!$A$1244:$AZ$1244,1,OC_Name)))</f>
        <v/>
      </c>
      <c r="L1244">
        <f>IF(OC_Txn=0,"",IF(INDEX('OneCause_Paste'!$A$1244:$AZ$1244,1,OC_Txn)="","",INDEX('OneCause_Paste'!$A$1244:$AZ$1244,1,OC_Txn)))</f>
        <v/>
      </c>
      <c r="M1244">
        <f>IF(OC_Pay=0,"",IF(INDEX('OneCause_Paste'!$A$1244:$AZ$1244,1,OC_Pay)="","",INDEX('OneCause_Paste'!$A$1244:$AZ$1244,1,OC_Pay)))</f>
        <v/>
      </c>
      <c r="N1244">
        <f>IF(I1244="","",IF(ISNUMBER(I1244),INT(I1244),IFERROR(INT(DATEVALUE(I1244)),IFERROR(INT(VALUE(I1244)),"bad"))))</f>
        <v/>
      </c>
      <c r="O1244">
        <f>IF(J1244="","",IF(ISNUMBER(J1244),ROUND(J1244,2),IFERROR(ROUND(VALUE(SUBSTITUTE(SUBSTITUTE(SUBSTITUTE(J1244,"$",""),",","")," ","")),2),"bad")))</f>
        <v/>
      </c>
      <c r="P1244">
        <f>IF(TRIM(K1244)="","",IFERROR(MATCH(LOWER(TRIM(K1244)),'Students'!$AH$2:$AH$701,0),IFERROR(MATCH(LOWER(TRIM(K1244)),'Students'!$AF$2:$AF$701,0),IFERROR(MATCH(LOWER(TRIM(K1244)),'Students'!$AG$2:$AG$701,0),""))))</f>
        <v/>
      </c>
      <c r="R1244">
        <f>IF(P1244="","",INDEX('Students'!$AD$2:$AD$701,P1244))</f>
        <v/>
      </c>
      <c r="S1244">
        <f>IF(H1244="OK",O1244,0)</f>
        <v/>
      </c>
      <c r="T1244">
        <f>IF(H1244="OK",N1244,"")</f>
        <v/>
      </c>
      <c r="U1244">
        <f>IF(OC_Donor=0,"",IF(INDEX('OneCause_Paste'!$A$1244:$AZ$1244,1,OC_Donor)="","",INDEX('OneCause_Paste'!$A$1244:$AZ$1244,1,OC_Donor)))</f>
        <v/>
      </c>
    </row>
    <row r="1245">
      <c r="A1245" s="62">
        <f>IF(H1245="","",IF(ISNUMBER(N1245),N1245,I1245))</f>
        <v/>
      </c>
      <c r="B1245">
        <f>IF(H1245="","",U1245)</f>
        <v/>
      </c>
      <c r="C1245">
        <f>IF(H1245="","",IF(P1245="",K1245,INDEX('Students'!$A$2:$A$701,P1245)))</f>
        <v/>
      </c>
      <c r="D1245">
        <f>IF(OR(H1245="",P1245=""),"",INDEX('Students'!$B$2:$B$701,P1245))</f>
        <v/>
      </c>
      <c r="E1245">
        <f>IF(OR(H1245="",P1245=""),"",INDEX('Students'!$C$2:$C$701,P1245))</f>
        <v/>
      </c>
      <c r="F1245" s="48">
        <f>IF(H1245="","",IF(ISNUMBER(O1245),O1245,J1245))</f>
        <v/>
      </c>
      <c r="G1245">
        <f>IF(H1245="","","OneCause")</f>
        <v/>
      </c>
      <c r="H1245">
        <f>IF(AND(I1245="",J1245="",K1245=""),"",IF(NOT(ISNUMBER(O1245)),"Bad amount",IF(O1245&lt;0,"Refund (not counted)",IF(O1245=0,"Zero amount",IF(NOT(ISNUMBER(N1245)),"Bad date",IF(P1245="","NAME NOT ON ROSTER",IF(L1245="","OK",IF(MATCH(L1245,$L$2:$L$3001,0)&lt;ROW()-1,"Duplicate (ignored)","OK"))))))))</f>
        <v/>
      </c>
      <c r="I1245">
        <f>IF(OC_Date=0,"",IF(INDEX('OneCause_Paste'!$A$1245:$AZ$1245,1,OC_Date)="","",INDEX('OneCause_Paste'!$A$1245:$AZ$1245,1,OC_Date)))</f>
        <v/>
      </c>
      <c r="J1245">
        <f>IF(OC_Amt=0,"",IF(INDEX('OneCause_Paste'!$A$1245:$AZ$1245,1,OC_Amt)="","",INDEX('OneCause_Paste'!$A$1245:$AZ$1245,1,OC_Amt)))</f>
        <v/>
      </c>
      <c r="K1245">
        <f>IF(OC_Name=0,"",IF(INDEX('OneCause_Paste'!$A$1245:$AZ$1245,1,OC_Name)="","",INDEX('OneCause_Paste'!$A$1245:$AZ$1245,1,OC_Name)))</f>
        <v/>
      </c>
      <c r="L1245">
        <f>IF(OC_Txn=0,"",IF(INDEX('OneCause_Paste'!$A$1245:$AZ$1245,1,OC_Txn)="","",INDEX('OneCause_Paste'!$A$1245:$AZ$1245,1,OC_Txn)))</f>
        <v/>
      </c>
      <c r="M1245">
        <f>IF(OC_Pay=0,"",IF(INDEX('OneCause_Paste'!$A$1245:$AZ$1245,1,OC_Pay)="","",INDEX('OneCause_Paste'!$A$1245:$AZ$1245,1,OC_Pay)))</f>
        <v/>
      </c>
      <c r="N1245">
        <f>IF(I1245="","",IF(ISNUMBER(I1245),INT(I1245),IFERROR(INT(DATEVALUE(I1245)),IFERROR(INT(VALUE(I1245)),"bad"))))</f>
        <v/>
      </c>
      <c r="O1245">
        <f>IF(J1245="","",IF(ISNUMBER(J1245),ROUND(J1245,2),IFERROR(ROUND(VALUE(SUBSTITUTE(SUBSTITUTE(SUBSTITUTE(J1245,"$",""),",","")," ","")),2),"bad")))</f>
        <v/>
      </c>
      <c r="P1245">
        <f>IF(TRIM(K1245)="","",IFERROR(MATCH(LOWER(TRIM(K1245)),'Students'!$AH$2:$AH$701,0),IFERROR(MATCH(LOWER(TRIM(K1245)),'Students'!$AF$2:$AF$701,0),IFERROR(MATCH(LOWER(TRIM(K1245)),'Students'!$AG$2:$AG$701,0),""))))</f>
        <v/>
      </c>
      <c r="R1245">
        <f>IF(P1245="","",INDEX('Students'!$AD$2:$AD$701,P1245))</f>
        <v/>
      </c>
      <c r="S1245">
        <f>IF(H1245="OK",O1245,0)</f>
        <v/>
      </c>
      <c r="T1245">
        <f>IF(H1245="OK",N1245,"")</f>
        <v/>
      </c>
      <c r="U1245">
        <f>IF(OC_Donor=0,"",IF(INDEX('OneCause_Paste'!$A$1245:$AZ$1245,1,OC_Donor)="","",INDEX('OneCause_Paste'!$A$1245:$AZ$1245,1,OC_Donor)))</f>
        <v/>
      </c>
    </row>
    <row r="1246">
      <c r="A1246" s="62">
        <f>IF(H1246="","",IF(ISNUMBER(N1246),N1246,I1246))</f>
        <v/>
      </c>
      <c r="B1246">
        <f>IF(H1246="","",U1246)</f>
        <v/>
      </c>
      <c r="C1246">
        <f>IF(H1246="","",IF(P1246="",K1246,INDEX('Students'!$A$2:$A$701,P1246)))</f>
        <v/>
      </c>
      <c r="D1246">
        <f>IF(OR(H1246="",P1246=""),"",INDEX('Students'!$B$2:$B$701,P1246))</f>
        <v/>
      </c>
      <c r="E1246">
        <f>IF(OR(H1246="",P1246=""),"",INDEX('Students'!$C$2:$C$701,P1246))</f>
        <v/>
      </c>
      <c r="F1246" s="48">
        <f>IF(H1246="","",IF(ISNUMBER(O1246),O1246,J1246))</f>
        <v/>
      </c>
      <c r="G1246">
        <f>IF(H1246="","","OneCause")</f>
        <v/>
      </c>
      <c r="H1246">
        <f>IF(AND(I1246="",J1246="",K1246=""),"",IF(NOT(ISNUMBER(O1246)),"Bad amount",IF(O1246&lt;0,"Refund (not counted)",IF(O1246=0,"Zero amount",IF(NOT(ISNUMBER(N1246)),"Bad date",IF(P1246="","NAME NOT ON ROSTER",IF(L1246="","OK",IF(MATCH(L1246,$L$2:$L$3001,0)&lt;ROW()-1,"Duplicate (ignored)","OK"))))))))</f>
        <v/>
      </c>
      <c r="I1246">
        <f>IF(OC_Date=0,"",IF(INDEX('OneCause_Paste'!$A$1246:$AZ$1246,1,OC_Date)="","",INDEX('OneCause_Paste'!$A$1246:$AZ$1246,1,OC_Date)))</f>
        <v/>
      </c>
      <c r="J1246">
        <f>IF(OC_Amt=0,"",IF(INDEX('OneCause_Paste'!$A$1246:$AZ$1246,1,OC_Amt)="","",INDEX('OneCause_Paste'!$A$1246:$AZ$1246,1,OC_Amt)))</f>
        <v/>
      </c>
      <c r="K1246">
        <f>IF(OC_Name=0,"",IF(INDEX('OneCause_Paste'!$A$1246:$AZ$1246,1,OC_Name)="","",INDEX('OneCause_Paste'!$A$1246:$AZ$1246,1,OC_Name)))</f>
        <v/>
      </c>
      <c r="L1246">
        <f>IF(OC_Txn=0,"",IF(INDEX('OneCause_Paste'!$A$1246:$AZ$1246,1,OC_Txn)="","",INDEX('OneCause_Paste'!$A$1246:$AZ$1246,1,OC_Txn)))</f>
        <v/>
      </c>
      <c r="M1246">
        <f>IF(OC_Pay=0,"",IF(INDEX('OneCause_Paste'!$A$1246:$AZ$1246,1,OC_Pay)="","",INDEX('OneCause_Paste'!$A$1246:$AZ$1246,1,OC_Pay)))</f>
        <v/>
      </c>
      <c r="N1246">
        <f>IF(I1246="","",IF(ISNUMBER(I1246),INT(I1246),IFERROR(INT(DATEVALUE(I1246)),IFERROR(INT(VALUE(I1246)),"bad"))))</f>
        <v/>
      </c>
      <c r="O1246">
        <f>IF(J1246="","",IF(ISNUMBER(J1246),ROUND(J1246,2),IFERROR(ROUND(VALUE(SUBSTITUTE(SUBSTITUTE(SUBSTITUTE(J1246,"$",""),",","")," ","")),2),"bad")))</f>
        <v/>
      </c>
      <c r="P1246">
        <f>IF(TRIM(K1246)="","",IFERROR(MATCH(LOWER(TRIM(K1246)),'Students'!$AH$2:$AH$701,0),IFERROR(MATCH(LOWER(TRIM(K1246)),'Students'!$AF$2:$AF$701,0),IFERROR(MATCH(LOWER(TRIM(K1246)),'Students'!$AG$2:$AG$701,0),""))))</f>
        <v/>
      </c>
      <c r="R1246">
        <f>IF(P1246="","",INDEX('Students'!$AD$2:$AD$701,P1246))</f>
        <v/>
      </c>
      <c r="S1246">
        <f>IF(H1246="OK",O1246,0)</f>
        <v/>
      </c>
      <c r="T1246">
        <f>IF(H1246="OK",N1246,"")</f>
        <v/>
      </c>
      <c r="U1246">
        <f>IF(OC_Donor=0,"",IF(INDEX('OneCause_Paste'!$A$1246:$AZ$1246,1,OC_Donor)="","",INDEX('OneCause_Paste'!$A$1246:$AZ$1246,1,OC_Donor)))</f>
        <v/>
      </c>
    </row>
    <row r="1247">
      <c r="A1247" s="62">
        <f>IF(H1247="","",IF(ISNUMBER(N1247),N1247,I1247))</f>
        <v/>
      </c>
      <c r="B1247">
        <f>IF(H1247="","",U1247)</f>
        <v/>
      </c>
      <c r="C1247">
        <f>IF(H1247="","",IF(P1247="",K1247,INDEX('Students'!$A$2:$A$701,P1247)))</f>
        <v/>
      </c>
      <c r="D1247">
        <f>IF(OR(H1247="",P1247=""),"",INDEX('Students'!$B$2:$B$701,P1247))</f>
        <v/>
      </c>
      <c r="E1247">
        <f>IF(OR(H1247="",P1247=""),"",INDEX('Students'!$C$2:$C$701,P1247))</f>
        <v/>
      </c>
      <c r="F1247" s="48">
        <f>IF(H1247="","",IF(ISNUMBER(O1247),O1247,J1247))</f>
        <v/>
      </c>
      <c r="G1247">
        <f>IF(H1247="","","OneCause")</f>
        <v/>
      </c>
      <c r="H1247">
        <f>IF(AND(I1247="",J1247="",K1247=""),"",IF(NOT(ISNUMBER(O1247)),"Bad amount",IF(O1247&lt;0,"Refund (not counted)",IF(O1247=0,"Zero amount",IF(NOT(ISNUMBER(N1247)),"Bad date",IF(P1247="","NAME NOT ON ROSTER",IF(L1247="","OK",IF(MATCH(L1247,$L$2:$L$3001,0)&lt;ROW()-1,"Duplicate (ignored)","OK"))))))))</f>
        <v/>
      </c>
      <c r="I1247">
        <f>IF(OC_Date=0,"",IF(INDEX('OneCause_Paste'!$A$1247:$AZ$1247,1,OC_Date)="","",INDEX('OneCause_Paste'!$A$1247:$AZ$1247,1,OC_Date)))</f>
        <v/>
      </c>
      <c r="J1247">
        <f>IF(OC_Amt=0,"",IF(INDEX('OneCause_Paste'!$A$1247:$AZ$1247,1,OC_Amt)="","",INDEX('OneCause_Paste'!$A$1247:$AZ$1247,1,OC_Amt)))</f>
        <v/>
      </c>
      <c r="K1247">
        <f>IF(OC_Name=0,"",IF(INDEX('OneCause_Paste'!$A$1247:$AZ$1247,1,OC_Name)="","",INDEX('OneCause_Paste'!$A$1247:$AZ$1247,1,OC_Name)))</f>
        <v/>
      </c>
      <c r="L1247">
        <f>IF(OC_Txn=0,"",IF(INDEX('OneCause_Paste'!$A$1247:$AZ$1247,1,OC_Txn)="","",INDEX('OneCause_Paste'!$A$1247:$AZ$1247,1,OC_Txn)))</f>
        <v/>
      </c>
      <c r="M1247">
        <f>IF(OC_Pay=0,"",IF(INDEX('OneCause_Paste'!$A$1247:$AZ$1247,1,OC_Pay)="","",INDEX('OneCause_Paste'!$A$1247:$AZ$1247,1,OC_Pay)))</f>
        <v/>
      </c>
      <c r="N1247">
        <f>IF(I1247="","",IF(ISNUMBER(I1247),INT(I1247),IFERROR(INT(DATEVALUE(I1247)),IFERROR(INT(VALUE(I1247)),"bad"))))</f>
        <v/>
      </c>
      <c r="O1247">
        <f>IF(J1247="","",IF(ISNUMBER(J1247),ROUND(J1247,2),IFERROR(ROUND(VALUE(SUBSTITUTE(SUBSTITUTE(SUBSTITUTE(J1247,"$",""),",","")," ","")),2),"bad")))</f>
        <v/>
      </c>
      <c r="P1247">
        <f>IF(TRIM(K1247)="","",IFERROR(MATCH(LOWER(TRIM(K1247)),'Students'!$AH$2:$AH$701,0),IFERROR(MATCH(LOWER(TRIM(K1247)),'Students'!$AF$2:$AF$701,0),IFERROR(MATCH(LOWER(TRIM(K1247)),'Students'!$AG$2:$AG$701,0),""))))</f>
        <v/>
      </c>
      <c r="R1247">
        <f>IF(P1247="","",INDEX('Students'!$AD$2:$AD$701,P1247))</f>
        <v/>
      </c>
      <c r="S1247">
        <f>IF(H1247="OK",O1247,0)</f>
        <v/>
      </c>
      <c r="T1247">
        <f>IF(H1247="OK",N1247,"")</f>
        <v/>
      </c>
      <c r="U1247">
        <f>IF(OC_Donor=0,"",IF(INDEX('OneCause_Paste'!$A$1247:$AZ$1247,1,OC_Donor)="","",INDEX('OneCause_Paste'!$A$1247:$AZ$1247,1,OC_Donor)))</f>
        <v/>
      </c>
    </row>
    <row r="1248">
      <c r="A1248" s="62">
        <f>IF(H1248="","",IF(ISNUMBER(N1248),N1248,I1248))</f>
        <v/>
      </c>
      <c r="B1248">
        <f>IF(H1248="","",U1248)</f>
        <v/>
      </c>
      <c r="C1248">
        <f>IF(H1248="","",IF(P1248="",K1248,INDEX('Students'!$A$2:$A$701,P1248)))</f>
        <v/>
      </c>
      <c r="D1248">
        <f>IF(OR(H1248="",P1248=""),"",INDEX('Students'!$B$2:$B$701,P1248))</f>
        <v/>
      </c>
      <c r="E1248">
        <f>IF(OR(H1248="",P1248=""),"",INDEX('Students'!$C$2:$C$701,P1248))</f>
        <v/>
      </c>
      <c r="F1248" s="48">
        <f>IF(H1248="","",IF(ISNUMBER(O1248),O1248,J1248))</f>
        <v/>
      </c>
      <c r="G1248">
        <f>IF(H1248="","","OneCause")</f>
        <v/>
      </c>
      <c r="H1248">
        <f>IF(AND(I1248="",J1248="",K1248=""),"",IF(NOT(ISNUMBER(O1248)),"Bad amount",IF(O1248&lt;0,"Refund (not counted)",IF(O1248=0,"Zero amount",IF(NOT(ISNUMBER(N1248)),"Bad date",IF(P1248="","NAME NOT ON ROSTER",IF(L1248="","OK",IF(MATCH(L1248,$L$2:$L$3001,0)&lt;ROW()-1,"Duplicate (ignored)","OK"))))))))</f>
        <v/>
      </c>
      <c r="I1248">
        <f>IF(OC_Date=0,"",IF(INDEX('OneCause_Paste'!$A$1248:$AZ$1248,1,OC_Date)="","",INDEX('OneCause_Paste'!$A$1248:$AZ$1248,1,OC_Date)))</f>
        <v/>
      </c>
      <c r="J1248">
        <f>IF(OC_Amt=0,"",IF(INDEX('OneCause_Paste'!$A$1248:$AZ$1248,1,OC_Amt)="","",INDEX('OneCause_Paste'!$A$1248:$AZ$1248,1,OC_Amt)))</f>
        <v/>
      </c>
      <c r="K1248">
        <f>IF(OC_Name=0,"",IF(INDEX('OneCause_Paste'!$A$1248:$AZ$1248,1,OC_Name)="","",INDEX('OneCause_Paste'!$A$1248:$AZ$1248,1,OC_Name)))</f>
        <v/>
      </c>
      <c r="L1248">
        <f>IF(OC_Txn=0,"",IF(INDEX('OneCause_Paste'!$A$1248:$AZ$1248,1,OC_Txn)="","",INDEX('OneCause_Paste'!$A$1248:$AZ$1248,1,OC_Txn)))</f>
        <v/>
      </c>
      <c r="M1248">
        <f>IF(OC_Pay=0,"",IF(INDEX('OneCause_Paste'!$A$1248:$AZ$1248,1,OC_Pay)="","",INDEX('OneCause_Paste'!$A$1248:$AZ$1248,1,OC_Pay)))</f>
        <v/>
      </c>
      <c r="N1248">
        <f>IF(I1248="","",IF(ISNUMBER(I1248),INT(I1248),IFERROR(INT(DATEVALUE(I1248)),IFERROR(INT(VALUE(I1248)),"bad"))))</f>
        <v/>
      </c>
      <c r="O1248">
        <f>IF(J1248="","",IF(ISNUMBER(J1248),ROUND(J1248,2),IFERROR(ROUND(VALUE(SUBSTITUTE(SUBSTITUTE(SUBSTITUTE(J1248,"$",""),",","")," ","")),2),"bad")))</f>
        <v/>
      </c>
      <c r="P1248">
        <f>IF(TRIM(K1248)="","",IFERROR(MATCH(LOWER(TRIM(K1248)),'Students'!$AH$2:$AH$701,0),IFERROR(MATCH(LOWER(TRIM(K1248)),'Students'!$AF$2:$AF$701,0),IFERROR(MATCH(LOWER(TRIM(K1248)),'Students'!$AG$2:$AG$701,0),""))))</f>
        <v/>
      </c>
      <c r="R1248">
        <f>IF(P1248="","",INDEX('Students'!$AD$2:$AD$701,P1248))</f>
        <v/>
      </c>
      <c r="S1248">
        <f>IF(H1248="OK",O1248,0)</f>
        <v/>
      </c>
      <c r="T1248">
        <f>IF(H1248="OK",N1248,"")</f>
        <v/>
      </c>
      <c r="U1248">
        <f>IF(OC_Donor=0,"",IF(INDEX('OneCause_Paste'!$A$1248:$AZ$1248,1,OC_Donor)="","",INDEX('OneCause_Paste'!$A$1248:$AZ$1248,1,OC_Donor)))</f>
        <v/>
      </c>
    </row>
    <row r="1249">
      <c r="A1249" s="62">
        <f>IF(H1249="","",IF(ISNUMBER(N1249),N1249,I1249))</f>
        <v/>
      </c>
      <c r="B1249">
        <f>IF(H1249="","",U1249)</f>
        <v/>
      </c>
      <c r="C1249">
        <f>IF(H1249="","",IF(P1249="",K1249,INDEX('Students'!$A$2:$A$701,P1249)))</f>
        <v/>
      </c>
      <c r="D1249">
        <f>IF(OR(H1249="",P1249=""),"",INDEX('Students'!$B$2:$B$701,P1249))</f>
        <v/>
      </c>
      <c r="E1249">
        <f>IF(OR(H1249="",P1249=""),"",INDEX('Students'!$C$2:$C$701,P1249))</f>
        <v/>
      </c>
      <c r="F1249" s="48">
        <f>IF(H1249="","",IF(ISNUMBER(O1249),O1249,J1249))</f>
        <v/>
      </c>
      <c r="G1249">
        <f>IF(H1249="","","OneCause")</f>
        <v/>
      </c>
      <c r="H1249">
        <f>IF(AND(I1249="",J1249="",K1249=""),"",IF(NOT(ISNUMBER(O1249)),"Bad amount",IF(O1249&lt;0,"Refund (not counted)",IF(O1249=0,"Zero amount",IF(NOT(ISNUMBER(N1249)),"Bad date",IF(P1249="","NAME NOT ON ROSTER",IF(L1249="","OK",IF(MATCH(L1249,$L$2:$L$3001,0)&lt;ROW()-1,"Duplicate (ignored)","OK"))))))))</f>
        <v/>
      </c>
      <c r="I1249">
        <f>IF(OC_Date=0,"",IF(INDEX('OneCause_Paste'!$A$1249:$AZ$1249,1,OC_Date)="","",INDEX('OneCause_Paste'!$A$1249:$AZ$1249,1,OC_Date)))</f>
        <v/>
      </c>
      <c r="J1249">
        <f>IF(OC_Amt=0,"",IF(INDEX('OneCause_Paste'!$A$1249:$AZ$1249,1,OC_Amt)="","",INDEX('OneCause_Paste'!$A$1249:$AZ$1249,1,OC_Amt)))</f>
        <v/>
      </c>
      <c r="K1249">
        <f>IF(OC_Name=0,"",IF(INDEX('OneCause_Paste'!$A$1249:$AZ$1249,1,OC_Name)="","",INDEX('OneCause_Paste'!$A$1249:$AZ$1249,1,OC_Name)))</f>
        <v/>
      </c>
      <c r="L1249">
        <f>IF(OC_Txn=0,"",IF(INDEX('OneCause_Paste'!$A$1249:$AZ$1249,1,OC_Txn)="","",INDEX('OneCause_Paste'!$A$1249:$AZ$1249,1,OC_Txn)))</f>
        <v/>
      </c>
      <c r="M1249">
        <f>IF(OC_Pay=0,"",IF(INDEX('OneCause_Paste'!$A$1249:$AZ$1249,1,OC_Pay)="","",INDEX('OneCause_Paste'!$A$1249:$AZ$1249,1,OC_Pay)))</f>
        <v/>
      </c>
      <c r="N1249">
        <f>IF(I1249="","",IF(ISNUMBER(I1249),INT(I1249),IFERROR(INT(DATEVALUE(I1249)),IFERROR(INT(VALUE(I1249)),"bad"))))</f>
        <v/>
      </c>
      <c r="O1249">
        <f>IF(J1249="","",IF(ISNUMBER(J1249),ROUND(J1249,2),IFERROR(ROUND(VALUE(SUBSTITUTE(SUBSTITUTE(SUBSTITUTE(J1249,"$",""),",","")," ","")),2),"bad")))</f>
        <v/>
      </c>
      <c r="P1249">
        <f>IF(TRIM(K1249)="","",IFERROR(MATCH(LOWER(TRIM(K1249)),'Students'!$AH$2:$AH$701,0),IFERROR(MATCH(LOWER(TRIM(K1249)),'Students'!$AF$2:$AF$701,0),IFERROR(MATCH(LOWER(TRIM(K1249)),'Students'!$AG$2:$AG$701,0),""))))</f>
        <v/>
      </c>
      <c r="R1249">
        <f>IF(P1249="","",INDEX('Students'!$AD$2:$AD$701,P1249))</f>
        <v/>
      </c>
      <c r="S1249">
        <f>IF(H1249="OK",O1249,0)</f>
        <v/>
      </c>
      <c r="T1249">
        <f>IF(H1249="OK",N1249,"")</f>
        <v/>
      </c>
      <c r="U1249">
        <f>IF(OC_Donor=0,"",IF(INDEX('OneCause_Paste'!$A$1249:$AZ$1249,1,OC_Donor)="","",INDEX('OneCause_Paste'!$A$1249:$AZ$1249,1,OC_Donor)))</f>
        <v/>
      </c>
    </row>
    <row r="1250">
      <c r="A1250" s="62">
        <f>IF(H1250="","",IF(ISNUMBER(N1250),N1250,I1250))</f>
        <v/>
      </c>
      <c r="B1250">
        <f>IF(H1250="","",U1250)</f>
        <v/>
      </c>
      <c r="C1250">
        <f>IF(H1250="","",IF(P1250="",K1250,INDEX('Students'!$A$2:$A$701,P1250)))</f>
        <v/>
      </c>
      <c r="D1250">
        <f>IF(OR(H1250="",P1250=""),"",INDEX('Students'!$B$2:$B$701,P1250))</f>
        <v/>
      </c>
      <c r="E1250">
        <f>IF(OR(H1250="",P1250=""),"",INDEX('Students'!$C$2:$C$701,P1250))</f>
        <v/>
      </c>
      <c r="F1250" s="48">
        <f>IF(H1250="","",IF(ISNUMBER(O1250),O1250,J1250))</f>
        <v/>
      </c>
      <c r="G1250">
        <f>IF(H1250="","","OneCause")</f>
        <v/>
      </c>
      <c r="H1250">
        <f>IF(AND(I1250="",J1250="",K1250=""),"",IF(NOT(ISNUMBER(O1250)),"Bad amount",IF(O1250&lt;0,"Refund (not counted)",IF(O1250=0,"Zero amount",IF(NOT(ISNUMBER(N1250)),"Bad date",IF(P1250="","NAME NOT ON ROSTER",IF(L1250="","OK",IF(MATCH(L1250,$L$2:$L$3001,0)&lt;ROW()-1,"Duplicate (ignored)","OK"))))))))</f>
        <v/>
      </c>
      <c r="I1250">
        <f>IF(OC_Date=0,"",IF(INDEX('OneCause_Paste'!$A$1250:$AZ$1250,1,OC_Date)="","",INDEX('OneCause_Paste'!$A$1250:$AZ$1250,1,OC_Date)))</f>
        <v/>
      </c>
      <c r="J1250">
        <f>IF(OC_Amt=0,"",IF(INDEX('OneCause_Paste'!$A$1250:$AZ$1250,1,OC_Amt)="","",INDEX('OneCause_Paste'!$A$1250:$AZ$1250,1,OC_Amt)))</f>
        <v/>
      </c>
      <c r="K1250">
        <f>IF(OC_Name=0,"",IF(INDEX('OneCause_Paste'!$A$1250:$AZ$1250,1,OC_Name)="","",INDEX('OneCause_Paste'!$A$1250:$AZ$1250,1,OC_Name)))</f>
        <v/>
      </c>
      <c r="L1250">
        <f>IF(OC_Txn=0,"",IF(INDEX('OneCause_Paste'!$A$1250:$AZ$1250,1,OC_Txn)="","",INDEX('OneCause_Paste'!$A$1250:$AZ$1250,1,OC_Txn)))</f>
        <v/>
      </c>
      <c r="M1250">
        <f>IF(OC_Pay=0,"",IF(INDEX('OneCause_Paste'!$A$1250:$AZ$1250,1,OC_Pay)="","",INDEX('OneCause_Paste'!$A$1250:$AZ$1250,1,OC_Pay)))</f>
        <v/>
      </c>
      <c r="N1250">
        <f>IF(I1250="","",IF(ISNUMBER(I1250),INT(I1250),IFERROR(INT(DATEVALUE(I1250)),IFERROR(INT(VALUE(I1250)),"bad"))))</f>
        <v/>
      </c>
      <c r="O1250">
        <f>IF(J1250="","",IF(ISNUMBER(J1250),ROUND(J1250,2),IFERROR(ROUND(VALUE(SUBSTITUTE(SUBSTITUTE(SUBSTITUTE(J1250,"$",""),",","")," ","")),2),"bad")))</f>
        <v/>
      </c>
      <c r="P1250">
        <f>IF(TRIM(K1250)="","",IFERROR(MATCH(LOWER(TRIM(K1250)),'Students'!$AH$2:$AH$701,0),IFERROR(MATCH(LOWER(TRIM(K1250)),'Students'!$AF$2:$AF$701,0),IFERROR(MATCH(LOWER(TRIM(K1250)),'Students'!$AG$2:$AG$701,0),""))))</f>
        <v/>
      </c>
      <c r="R1250">
        <f>IF(P1250="","",INDEX('Students'!$AD$2:$AD$701,P1250))</f>
        <v/>
      </c>
      <c r="S1250">
        <f>IF(H1250="OK",O1250,0)</f>
        <v/>
      </c>
      <c r="T1250">
        <f>IF(H1250="OK",N1250,"")</f>
        <v/>
      </c>
      <c r="U1250">
        <f>IF(OC_Donor=0,"",IF(INDEX('OneCause_Paste'!$A$1250:$AZ$1250,1,OC_Donor)="","",INDEX('OneCause_Paste'!$A$1250:$AZ$1250,1,OC_Donor)))</f>
        <v/>
      </c>
    </row>
    <row r="1251">
      <c r="A1251" s="62">
        <f>IF(H1251="","",IF(ISNUMBER(N1251),N1251,I1251))</f>
        <v/>
      </c>
      <c r="B1251">
        <f>IF(H1251="","",U1251)</f>
        <v/>
      </c>
      <c r="C1251">
        <f>IF(H1251="","",IF(P1251="",K1251,INDEX('Students'!$A$2:$A$701,P1251)))</f>
        <v/>
      </c>
      <c r="D1251">
        <f>IF(OR(H1251="",P1251=""),"",INDEX('Students'!$B$2:$B$701,P1251))</f>
        <v/>
      </c>
      <c r="E1251">
        <f>IF(OR(H1251="",P1251=""),"",INDEX('Students'!$C$2:$C$701,P1251))</f>
        <v/>
      </c>
      <c r="F1251" s="48">
        <f>IF(H1251="","",IF(ISNUMBER(O1251),O1251,J1251))</f>
        <v/>
      </c>
      <c r="G1251">
        <f>IF(H1251="","","OneCause")</f>
        <v/>
      </c>
      <c r="H1251">
        <f>IF(AND(I1251="",J1251="",K1251=""),"",IF(NOT(ISNUMBER(O1251)),"Bad amount",IF(O1251&lt;0,"Refund (not counted)",IF(O1251=0,"Zero amount",IF(NOT(ISNUMBER(N1251)),"Bad date",IF(P1251="","NAME NOT ON ROSTER",IF(L1251="","OK",IF(MATCH(L1251,$L$2:$L$3001,0)&lt;ROW()-1,"Duplicate (ignored)","OK"))))))))</f>
        <v/>
      </c>
      <c r="I1251">
        <f>IF(OC_Date=0,"",IF(INDEX('OneCause_Paste'!$A$1251:$AZ$1251,1,OC_Date)="","",INDEX('OneCause_Paste'!$A$1251:$AZ$1251,1,OC_Date)))</f>
        <v/>
      </c>
      <c r="J1251">
        <f>IF(OC_Amt=0,"",IF(INDEX('OneCause_Paste'!$A$1251:$AZ$1251,1,OC_Amt)="","",INDEX('OneCause_Paste'!$A$1251:$AZ$1251,1,OC_Amt)))</f>
        <v/>
      </c>
      <c r="K1251">
        <f>IF(OC_Name=0,"",IF(INDEX('OneCause_Paste'!$A$1251:$AZ$1251,1,OC_Name)="","",INDEX('OneCause_Paste'!$A$1251:$AZ$1251,1,OC_Name)))</f>
        <v/>
      </c>
      <c r="L1251">
        <f>IF(OC_Txn=0,"",IF(INDEX('OneCause_Paste'!$A$1251:$AZ$1251,1,OC_Txn)="","",INDEX('OneCause_Paste'!$A$1251:$AZ$1251,1,OC_Txn)))</f>
        <v/>
      </c>
      <c r="M1251">
        <f>IF(OC_Pay=0,"",IF(INDEX('OneCause_Paste'!$A$1251:$AZ$1251,1,OC_Pay)="","",INDEX('OneCause_Paste'!$A$1251:$AZ$1251,1,OC_Pay)))</f>
        <v/>
      </c>
      <c r="N1251">
        <f>IF(I1251="","",IF(ISNUMBER(I1251),INT(I1251),IFERROR(INT(DATEVALUE(I1251)),IFERROR(INT(VALUE(I1251)),"bad"))))</f>
        <v/>
      </c>
      <c r="O1251">
        <f>IF(J1251="","",IF(ISNUMBER(J1251),ROUND(J1251,2),IFERROR(ROUND(VALUE(SUBSTITUTE(SUBSTITUTE(SUBSTITUTE(J1251,"$",""),",","")," ","")),2),"bad")))</f>
        <v/>
      </c>
      <c r="P1251">
        <f>IF(TRIM(K1251)="","",IFERROR(MATCH(LOWER(TRIM(K1251)),'Students'!$AH$2:$AH$701,0),IFERROR(MATCH(LOWER(TRIM(K1251)),'Students'!$AF$2:$AF$701,0),IFERROR(MATCH(LOWER(TRIM(K1251)),'Students'!$AG$2:$AG$701,0),""))))</f>
        <v/>
      </c>
      <c r="R1251">
        <f>IF(P1251="","",INDEX('Students'!$AD$2:$AD$701,P1251))</f>
        <v/>
      </c>
      <c r="S1251">
        <f>IF(H1251="OK",O1251,0)</f>
        <v/>
      </c>
      <c r="T1251">
        <f>IF(H1251="OK",N1251,"")</f>
        <v/>
      </c>
      <c r="U1251">
        <f>IF(OC_Donor=0,"",IF(INDEX('OneCause_Paste'!$A$1251:$AZ$1251,1,OC_Donor)="","",INDEX('OneCause_Paste'!$A$1251:$AZ$1251,1,OC_Donor)))</f>
        <v/>
      </c>
    </row>
    <row r="1252">
      <c r="A1252" s="62">
        <f>IF(H1252="","",IF(ISNUMBER(N1252),N1252,I1252))</f>
        <v/>
      </c>
      <c r="B1252">
        <f>IF(H1252="","",U1252)</f>
        <v/>
      </c>
      <c r="C1252">
        <f>IF(H1252="","",IF(P1252="",K1252,INDEX('Students'!$A$2:$A$701,P1252)))</f>
        <v/>
      </c>
      <c r="D1252">
        <f>IF(OR(H1252="",P1252=""),"",INDEX('Students'!$B$2:$B$701,P1252))</f>
        <v/>
      </c>
      <c r="E1252">
        <f>IF(OR(H1252="",P1252=""),"",INDEX('Students'!$C$2:$C$701,P1252))</f>
        <v/>
      </c>
      <c r="F1252" s="48">
        <f>IF(H1252="","",IF(ISNUMBER(O1252),O1252,J1252))</f>
        <v/>
      </c>
      <c r="G1252">
        <f>IF(H1252="","","OneCause")</f>
        <v/>
      </c>
      <c r="H1252">
        <f>IF(AND(I1252="",J1252="",K1252=""),"",IF(NOT(ISNUMBER(O1252)),"Bad amount",IF(O1252&lt;0,"Refund (not counted)",IF(O1252=0,"Zero amount",IF(NOT(ISNUMBER(N1252)),"Bad date",IF(P1252="","NAME NOT ON ROSTER",IF(L1252="","OK",IF(MATCH(L1252,$L$2:$L$3001,0)&lt;ROW()-1,"Duplicate (ignored)","OK"))))))))</f>
        <v/>
      </c>
      <c r="I1252">
        <f>IF(OC_Date=0,"",IF(INDEX('OneCause_Paste'!$A$1252:$AZ$1252,1,OC_Date)="","",INDEX('OneCause_Paste'!$A$1252:$AZ$1252,1,OC_Date)))</f>
        <v/>
      </c>
      <c r="J1252">
        <f>IF(OC_Amt=0,"",IF(INDEX('OneCause_Paste'!$A$1252:$AZ$1252,1,OC_Amt)="","",INDEX('OneCause_Paste'!$A$1252:$AZ$1252,1,OC_Amt)))</f>
        <v/>
      </c>
      <c r="K1252">
        <f>IF(OC_Name=0,"",IF(INDEX('OneCause_Paste'!$A$1252:$AZ$1252,1,OC_Name)="","",INDEX('OneCause_Paste'!$A$1252:$AZ$1252,1,OC_Name)))</f>
        <v/>
      </c>
      <c r="L1252">
        <f>IF(OC_Txn=0,"",IF(INDEX('OneCause_Paste'!$A$1252:$AZ$1252,1,OC_Txn)="","",INDEX('OneCause_Paste'!$A$1252:$AZ$1252,1,OC_Txn)))</f>
        <v/>
      </c>
      <c r="M1252">
        <f>IF(OC_Pay=0,"",IF(INDEX('OneCause_Paste'!$A$1252:$AZ$1252,1,OC_Pay)="","",INDEX('OneCause_Paste'!$A$1252:$AZ$1252,1,OC_Pay)))</f>
        <v/>
      </c>
      <c r="N1252">
        <f>IF(I1252="","",IF(ISNUMBER(I1252),INT(I1252),IFERROR(INT(DATEVALUE(I1252)),IFERROR(INT(VALUE(I1252)),"bad"))))</f>
        <v/>
      </c>
      <c r="O1252">
        <f>IF(J1252="","",IF(ISNUMBER(J1252),ROUND(J1252,2),IFERROR(ROUND(VALUE(SUBSTITUTE(SUBSTITUTE(SUBSTITUTE(J1252,"$",""),",","")," ","")),2),"bad")))</f>
        <v/>
      </c>
      <c r="P1252">
        <f>IF(TRIM(K1252)="","",IFERROR(MATCH(LOWER(TRIM(K1252)),'Students'!$AH$2:$AH$701,0),IFERROR(MATCH(LOWER(TRIM(K1252)),'Students'!$AF$2:$AF$701,0),IFERROR(MATCH(LOWER(TRIM(K1252)),'Students'!$AG$2:$AG$701,0),""))))</f>
        <v/>
      </c>
      <c r="R1252">
        <f>IF(P1252="","",INDEX('Students'!$AD$2:$AD$701,P1252))</f>
        <v/>
      </c>
      <c r="S1252">
        <f>IF(H1252="OK",O1252,0)</f>
        <v/>
      </c>
      <c r="T1252">
        <f>IF(H1252="OK",N1252,"")</f>
        <v/>
      </c>
      <c r="U1252">
        <f>IF(OC_Donor=0,"",IF(INDEX('OneCause_Paste'!$A$1252:$AZ$1252,1,OC_Donor)="","",INDEX('OneCause_Paste'!$A$1252:$AZ$1252,1,OC_Donor)))</f>
        <v/>
      </c>
    </row>
    <row r="1253">
      <c r="A1253" s="62">
        <f>IF(H1253="","",IF(ISNUMBER(N1253),N1253,I1253))</f>
        <v/>
      </c>
      <c r="B1253">
        <f>IF(H1253="","",U1253)</f>
        <v/>
      </c>
      <c r="C1253">
        <f>IF(H1253="","",IF(P1253="",K1253,INDEX('Students'!$A$2:$A$701,P1253)))</f>
        <v/>
      </c>
      <c r="D1253">
        <f>IF(OR(H1253="",P1253=""),"",INDEX('Students'!$B$2:$B$701,P1253))</f>
        <v/>
      </c>
      <c r="E1253">
        <f>IF(OR(H1253="",P1253=""),"",INDEX('Students'!$C$2:$C$701,P1253))</f>
        <v/>
      </c>
      <c r="F1253" s="48">
        <f>IF(H1253="","",IF(ISNUMBER(O1253),O1253,J1253))</f>
        <v/>
      </c>
      <c r="G1253">
        <f>IF(H1253="","","OneCause")</f>
        <v/>
      </c>
      <c r="H1253">
        <f>IF(AND(I1253="",J1253="",K1253=""),"",IF(NOT(ISNUMBER(O1253)),"Bad amount",IF(O1253&lt;0,"Refund (not counted)",IF(O1253=0,"Zero amount",IF(NOT(ISNUMBER(N1253)),"Bad date",IF(P1253="","NAME NOT ON ROSTER",IF(L1253="","OK",IF(MATCH(L1253,$L$2:$L$3001,0)&lt;ROW()-1,"Duplicate (ignored)","OK"))))))))</f>
        <v/>
      </c>
      <c r="I1253">
        <f>IF(OC_Date=0,"",IF(INDEX('OneCause_Paste'!$A$1253:$AZ$1253,1,OC_Date)="","",INDEX('OneCause_Paste'!$A$1253:$AZ$1253,1,OC_Date)))</f>
        <v/>
      </c>
      <c r="J1253">
        <f>IF(OC_Amt=0,"",IF(INDEX('OneCause_Paste'!$A$1253:$AZ$1253,1,OC_Amt)="","",INDEX('OneCause_Paste'!$A$1253:$AZ$1253,1,OC_Amt)))</f>
        <v/>
      </c>
      <c r="K1253">
        <f>IF(OC_Name=0,"",IF(INDEX('OneCause_Paste'!$A$1253:$AZ$1253,1,OC_Name)="","",INDEX('OneCause_Paste'!$A$1253:$AZ$1253,1,OC_Name)))</f>
        <v/>
      </c>
      <c r="L1253">
        <f>IF(OC_Txn=0,"",IF(INDEX('OneCause_Paste'!$A$1253:$AZ$1253,1,OC_Txn)="","",INDEX('OneCause_Paste'!$A$1253:$AZ$1253,1,OC_Txn)))</f>
        <v/>
      </c>
      <c r="M1253">
        <f>IF(OC_Pay=0,"",IF(INDEX('OneCause_Paste'!$A$1253:$AZ$1253,1,OC_Pay)="","",INDEX('OneCause_Paste'!$A$1253:$AZ$1253,1,OC_Pay)))</f>
        <v/>
      </c>
      <c r="N1253">
        <f>IF(I1253="","",IF(ISNUMBER(I1253),INT(I1253),IFERROR(INT(DATEVALUE(I1253)),IFERROR(INT(VALUE(I1253)),"bad"))))</f>
        <v/>
      </c>
      <c r="O1253">
        <f>IF(J1253="","",IF(ISNUMBER(J1253),ROUND(J1253,2),IFERROR(ROUND(VALUE(SUBSTITUTE(SUBSTITUTE(SUBSTITUTE(J1253,"$",""),",","")," ","")),2),"bad")))</f>
        <v/>
      </c>
      <c r="P1253">
        <f>IF(TRIM(K1253)="","",IFERROR(MATCH(LOWER(TRIM(K1253)),'Students'!$AH$2:$AH$701,0),IFERROR(MATCH(LOWER(TRIM(K1253)),'Students'!$AF$2:$AF$701,0),IFERROR(MATCH(LOWER(TRIM(K1253)),'Students'!$AG$2:$AG$701,0),""))))</f>
        <v/>
      </c>
      <c r="R1253">
        <f>IF(P1253="","",INDEX('Students'!$AD$2:$AD$701,P1253))</f>
        <v/>
      </c>
      <c r="S1253">
        <f>IF(H1253="OK",O1253,0)</f>
        <v/>
      </c>
      <c r="T1253">
        <f>IF(H1253="OK",N1253,"")</f>
        <v/>
      </c>
      <c r="U1253">
        <f>IF(OC_Donor=0,"",IF(INDEX('OneCause_Paste'!$A$1253:$AZ$1253,1,OC_Donor)="","",INDEX('OneCause_Paste'!$A$1253:$AZ$1253,1,OC_Donor)))</f>
        <v/>
      </c>
    </row>
    <row r="1254">
      <c r="A1254" s="62">
        <f>IF(H1254="","",IF(ISNUMBER(N1254),N1254,I1254))</f>
        <v/>
      </c>
      <c r="B1254">
        <f>IF(H1254="","",U1254)</f>
        <v/>
      </c>
      <c r="C1254">
        <f>IF(H1254="","",IF(P1254="",K1254,INDEX('Students'!$A$2:$A$701,P1254)))</f>
        <v/>
      </c>
      <c r="D1254">
        <f>IF(OR(H1254="",P1254=""),"",INDEX('Students'!$B$2:$B$701,P1254))</f>
        <v/>
      </c>
      <c r="E1254">
        <f>IF(OR(H1254="",P1254=""),"",INDEX('Students'!$C$2:$C$701,P1254))</f>
        <v/>
      </c>
      <c r="F1254" s="48">
        <f>IF(H1254="","",IF(ISNUMBER(O1254),O1254,J1254))</f>
        <v/>
      </c>
      <c r="G1254">
        <f>IF(H1254="","","OneCause")</f>
        <v/>
      </c>
      <c r="H1254">
        <f>IF(AND(I1254="",J1254="",K1254=""),"",IF(NOT(ISNUMBER(O1254)),"Bad amount",IF(O1254&lt;0,"Refund (not counted)",IF(O1254=0,"Zero amount",IF(NOT(ISNUMBER(N1254)),"Bad date",IF(P1254="","NAME NOT ON ROSTER",IF(L1254="","OK",IF(MATCH(L1254,$L$2:$L$3001,0)&lt;ROW()-1,"Duplicate (ignored)","OK"))))))))</f>
        <v/>
      </c>
      <c r="I1254">
        <f>IF(OC_Date=0,"",IF(INDEX('OneCause_Paste'!$A$1254:$AZ$1254,1,OC_Date)="","",INDEX('OneCause_Paste'!$A$1254:$AZ$1254,1,OC_Date)))</f>
        <v/>
      </c>
      <c r="J1254">
        <f>IF(OC_Amt=0,"",IF(INDEX('OneCause_Paste'!$A$1254:$AZ$1254,1,OC_Amt)="","",INDEX('OneCause_Paste'!$A$1254:$AZ$1254,1,OC_Amt)))</f>
        <v/>
      </c>
      <c r="K1254">
        <f>IF(OC_Name=0,"",IF(INDEX('OneCause_Paste'!$A$1254:$AZ$1254,1,OC_Name)="","",INDEX('OneCause_Paste'!$A$1254:$AZ$1254,1,OC_Name)))</f>
        <v/>
      </c>
      <c r="L1254">
        <f>IF(OC_Txn=0,"",IF(INDEX('OneCause_Paste'!$A$1254:$AZ$1254,1,OC_Txn)="","",INDEX('OneCause_Paste'!$A$1254:$AZ$1254,1,OC_Txn)))</f>
        <v/>
      </c>
      <c r="M1254">
        <f>IF(OC_Pay=0,"",IF(INDEX('OneCause_Paste'!$A$1254:$AZ$1254,1,OC_Pay)="","",INDEX('OneCause_Paste'!$A$1254:$AZ$1254,1,OC_Pay)))</f>
        <v/>
      </c>
      <c r="N1254">
        <f>IF(I1254="","",IF(ISNUMBER(I1254),INT(I1254),IFERROR(INT(DATEVALUE(I1254)),IFERROR(INT(VALUE(I1254)),"bad"))))</f>
        <v/>
      </c>
      <c r="O1254">
        <f>IF(J1254="","",IF(ISNUMBER(J1254),ROUND(J1254,2),IFERROR(ROUND(VALUE(SUBSTITUTE(SUBSTITUTE(SUBSTITUTE(J1254,"$",""),",","")," ","")),2),"bad")))</f>
        <v/>
      </c>
      <c r="P1254">
        <f>IF(TRIM(K1254)="","",IFERROR(MATCH(LOWER(TRIM(K1254)),'Students'!$AH$2:$AH$701,0),IFERROR(MATCH(LOWER(TRIM(K1254)),'Students'!$AF$2:$AF$701,0),IFERROR(MATCH(LOWER(TRIM(K1254)),'Students'!$AG$2:$AG$701,0),""))))</f>
        <v/>
      </c>
      <c r="R1254">
        <f>IF(P1254="","",INDEX('Students'!$AD$2:$AD$701,P1254))</f>
        <v/>
      </c>
      <c r="S1254">
        <f>IF(H1254="OK",O1254,0)</f>
        <v/>
      </c>
      <c r="T1254">
        <f>IF(H1254="OK",N1254,"")</f>
        <v/>
      </c>
      <c r="U1254">
        <f>IF(OC_Donor=0,"",IF(INDEX('OneCause_Paste'!$A$1254:$AZ$1254,1,OC_Donor)="","",INDEX('OneCause_Paste'!$A$1254:$AZ$1254,1,OC_Donor)))</f>
        <v/>
      </c>
    </row>
    <row r="1255">
      <c r="A1255" s="62">
        <f>IF(H1255="","",IF(ISNUMBER(N1255),N1255,I1255))</f>
        <v/>
      </c>
      <c r="B1255">
        <f>IF(H1255="","",U1255)</f>
        <v/>
      </c>
      <c r="C1255">
        <f>IF(H1255="","",IF(P1255="",K1255,INDEX('Students'!$A$2:$A$701,P1255)))</f>
        <v/>
      </c>
      <c r="D1255">
        <f>IF(OR(H1255="",P1255=""),"",INDEX('Students'!$B$2:$B$701,P1255))</f>
        <v/>
      </c>
      <c r="E1255">
        <f>IF(OR(H1255="",P1255=""),"",INDEX('Students'!$C$2:$C$701,P1255))</f>
        <v/>
      </c>
      <c r="F1255" s="48">
        <f>IF(H1255="","",IF(ISNUMBER(O1255),O1255,J1255))</f>
        <v/>
      </c>
      <c r="G1255">
        <f>IF(H1255="","","OneCause")</f>
        <v/>
      </c>
      <c r="H1255">
        <f>IF(AND(I1255="",J1255="",K1255=""),"",IF(NOT(ISNUMBER(O1255)),"Bad amount",IF(O1255&lt;0,"Refund (not counted)",IF(O1255=0,"Zero amount",IF(NOT(ISNUMBER(N1255)),"Bad date",IF(P1255="","NAME NOT ON ROSTER",IF(L1255="","OK",IF(MATCH(L1255,$L$2:$L$3001,0)&lt;ROW()-1,"Duplicate (ignored)","OK"))))))))</f>
        <v/>
      </c>
      <c r="I1255">
        <f>IF(OC_Date=0,"",IF(INDEX('OneCause_Paste'!$A$1255:$AZ$1255,1,OC_Date)="","",INDEX('OneCause_Paste'!$A$1255:$AZ$1255,1,OC_Date)))</f>
        <v/>
      </c>
      <c r="J1255">
        <f>IF(OC_Amt=0,"",IF(INDEX('OneCause_Paste'!$A$1255:$AZ$1255,1,OC_Amt)="","",INDEX('OneCause_Paste'!$A$1255:$AZ$1255,1,OC_Amt)))</f>
        <v/>
      </c>
      <c r="K1255">
        <f>IF(OC_Name=0,"",IF(INDEX('OneCause_Paste'!$A$1255:$AZ$1255,1,OC_Name)="","",INDEX('OneCause_Paste'!$A$1255:$AZ$1255,1,OC_Name)))</f>
        <v/>
      </c>
      <c r="L1255">
        <f>IF(OC_Txn=0,"",IF(INDEX('OneCause_Paste'!$A$1255:$AZ$1255,1,OC_Txn)="","",INDEX('OneCause_Paste'!$A$1255:$AZ$1255,1,OC_Txn)))</f>
        <v/>
      </c>
      <c r="M1255">
        <f>IF(OC_Pay=0,"",IF(INDEX('OneCause_Paste'!$A$1255:$AZ$1255,1,OC_Pay)="","",INDEX('OneCause_Paste'!$A$1255:$AZ$1255,1,OC_Pay)))</f>
        <v/>
      </c>
      <c r="N1255">
        <f>IF(I1255="","",IF(ISNUMBER(I1255),INT(I1255),IFERROR(INT(DATEVALUE(I1255)),IFERROR(INT(VALUE(I1255)),"bad"))))</f>
        <v/>
      </c>
      <c r="O1255">
        <f>IF(J1255="","",IF(ISNUMBER(J1255),ROUND(J1255,2),IFERROR(ROUND(VALUE(SUBSTITUTE(SUBSTITUTE(SUBSTITUTE(J1255,"$",""),",","")," ","")),2),"bad")))</f>
        <v/>
      </c>
      <c r="P1255">
        <f>IF(TRIM(K1255)="","",IFERROR(MATCH(LOWER(TRIM(K1255)),'Students'!$AH$2:$AH$701,0),IFERROR(MATCH(LOWER(TRIM(K1255)),'Students'!$AF$2:$AF$701,0),IFERROR(MATCH(LOWER(TRIM(K1255)),'Students'!$AG$2:$AG$701,0),""))))</f>
        <v/>
      </c>
      <c r="R1255">
        <f>IF(P1255="","",INDEX('Students'!$AD$2:$AD$701,P1255))</f>
        <v/>
      </c>
      <c r="S1255">
        <f>IF(H1255="OK",O1255,0)</f>
        <v/>
      </c>
      <c r="T1255">
        <f>IF(H1255="OK",N1255,"")</f>
        <v/>
      </c>
      <c r="U1255">
        <f>IF(OC_Donor=0,"",IF(INDEX('OneCause_Paste'!$A$1255:$AZ$1255,1,OC_Donor)="","",INDEX('OneCause_Paste'!$A$1255:$AZ$1255,1,OC_Donor)))</f>
        <v/>
      </c>
    </row>
    <row r="1256">
      <c r="A1256" s="62">
        <f>IF(H1256="","",IF(ISNUMBER(N1256),N1256,I1256))</f>
        <v/>
      </c>
      <c r="B1256">
        <f>IF(H1256="","",U1256)</f>
        <v/>
      </c>
      <c r="C1256">
        <f>IF(H1256="","",IF(P1256="",K1256,INDEX('Students'!$A$2:$A$701,P1256)))</f>
        <v/>
      </c>
      <c r="D1256">
        <f>IF(OR(H1256="",P1256=""),"",INDEX('Students'!$B$2:$B$701,P1256))</f>
        <v/>
      </c>
      <c r="E1256">
        <f>IF(OR(H1256="",P1256=""),"",INDEX('Students'!$C$2:$C$701,P1256))</f>
        <v/>
      </c>
      <c r="F1256" s="48">
        <f>IF(H1256="","",IF(ISNUMBER(O1256),O1256,J1256))</f>
        <v/>
      </c>
      <c r="G1256">
        <f>IF(H1256="","","OneCause")</f>
        <v/>
      </c>
      <c r="H1256">
        <f>IF(AND(I1256="",J1256="",K1256=""),"",IF(NOT(ISNUMBER(O1256)),"Bad amount",IF(O1256&lt;0,"Refund (not counted)",IF(O1256=0,"Zero amount",IF(NOT(ISNUMBER(N1256)),"Bad date",IF(P1256="","NAME NOT ON ROSTER",IF(L1256="","OK",IF(MATCH(L1256,$L$2:$L$3001,0)&lt;ROW()-1,"Duplicate (ignored)","OK"))))))))</f>
        <v/>
      </c>
      <c r="I1256">
        <f>IF(OC_Date=0,"",IF(INDEX('OneCause_Paste'!$A$1256:$AZ$1256,1,OC_Date)="","",INDEX('OneCause_Paste'!$A$1256:$AZ$1256,1,OC_Date)))</f>
        <v/>
      </c>
      <c r="J1256">
        <f>IF(OC_Amt=0,"",IF(INDEX('OneCause_Paste'!$A$1256:$AZ$1256,1,OC_Amt)="","",INDEX('OneCause_Paste'!$A$1256:$AZ$1256,1,OC_Amt)))</f>
        <v/>
      </c>
      <c r="K1256">
        <f>IF(OC_Name=0,"",IF(INDEX('OneCause_Paste'!$A$1256:$AZ$1256,1,OC_Name)="","",INDEX('OneCause_Paste'!$A$1256:$AZ$1256,1,OC_Name)))</f>
        <v/>
      </c>
      <c r="L1256">
        <f>IF(OC_Txn=0,"",IF(INDEX('OneCause_Paste'!$A$1256:$AZ$1256,1,OC_Txn)="","",INDEX('OneCause_Paste'!$A$1256:$AZ$1256,1,OC_Txn)))</f>
        <v/>
      </c>
      <c r="M1256">
        <f>IF(OC_Pay=0,"",IF(INDEX('OneCause_Paste'!$A$1256:$AZ$1256,1,OC_Pay)="","",INDEX('OneCause_Paste'!$A$1256:$AZ$1256,1,OC_Pay)))</f>
        <v/>
      </c>
      <c r="N1256">
        <f>IF(I1256="","",IF(ISNUMBER(I1256),INT(I1256),IFERROR(INT(DATEVALUE(I1256)),IFERROR(INT(VALUE(I1256)),"bad"))))</f>
        <v/>
      </c>
      <c r="O1256">
        <f>IF(J1256="","",IF(ISNUMBER(J1256),ROUND(J1256,2),IFERROR(ROUND(VALUE(SUBSTITUTE(SUBSTITUTE(SUBSTITUTE(J1256,"$",""),",","")," ","")),2),"bad")))</f>
        <v/>
      </c>
      <c r="P1256">
        <f>IF(TRIM(K1256)="","",IFERROR(MATCH(LOWER(TRIM(K1256)),'Students'!$AH$2:$AH$701,0),IFERROR(MATCH(LOWER(TRIM(K1256)),'Students'!$AF$2:$AF$701,0),IFERROR(MATCH(LOWER(TRIM(K1256)),'Students'!$AG$2:$AG$701,0),""))))</f>
        <v/>
      </c>
      <c r="R1256">
        <f>IF(P1256="","",INDEX('Students'!$AD$2:$AD$701,P1256))</f>
        <v/>
      </c>
      <c r="S1256">
        <f>IF(H1256="OK",O1256,0)</f>
        <v/>
      </c>
      <c r="T1256">
        <f>IF(H1256="OK",N1256,"")</f>
        <v/>
      </c>
      <c r="U1256">
        <f>IF(OC_Donor=0,"",IF(INDEX('OneCause_Paste'!$A$1256:$AZ$1256,1,OC_Donor)="","",INDEX('OneCause_Paste'!$A$1256:$AZ$1256,1,OC_Donor)))</f>
        <v/>
      </c>
    </row>
    <row r="1257">
      <c r="A1257" s="62">
        <f>IF(H1257="","",IF(ISNUMBER(N1257),N1257,I1257))</f>
        <v/>
      </c>
      <c r="B1257">
        <f>IF(H1257="","",U1257)</f>
        <v/>
      </c>
      <c r="C1257">
        <f>IF(H1257="","",IF(P1257="",K1257,INDEX('Students'!$A$2:$A$701,P1257)))</f>
        <v/>
      </c>
      <c r="D1257">
        <f>IF(OR(H1257="",P1257=""),"",INDEX('Students'!$B$2:$B$701,P1257))</f>
        <v/>
      </c>
      <c r="E1257">
        <f>IF(OR(H1257="",P1257=""),"",INDEX('Students'!$C$2:$C$701,P1257))</f>
        <v/>
      </c>
      <c r="F1257" s="48">
        <f>IF(H1257="","",IF(ISNUMBER(O1257),O1257,J1257))</f>
        <v/>
      </c>
      <c r="G1257">
        <f>IF(H1257="","","OneCause")</f>
        <v/>
      </c>
      <c r="H1257">
        <f>IF(AND(I1257="",J1257="",K1257=""),"",IF(NOT(ISNUMBER(O1257)),"Bad amount",IF(O1257&lt;0,"Refund (not counted)",IF(O1257=0,"Zero amount",IF(NOT(ISNUMBER(N1257)),"Bad date",IF(P1257="","NAME NOT ON ROSTER",IF(L1257="","OK",IF(MATCH(L1257,$L$2:$L$3001,0)&lt;ROW()-1,"Duplicate (ignored)","OK"))))))))</f>
        <v/>
      </c>
      <c r="I1257">
        <f>IF(OC_Date=0,"",IF(INDEX('OneCause_Paste'!$A$1257:$AZ$1257,1,OC_Date)="","",INDEX('OneCause_Paste'!$A$1257:$AZ$1257,1,OC_Date)))</f>
        <v/>
      </c>
      <c r="J1257">
        <f>IF(OC_Amt=0,"",IF(INDEX('OneCause_Paste'!$A$1257:$AZ$1257,1,OC_Amt)="","",INDEX('OneCause_Paste'!$A$1257:$AZ$1257,1,OC_Amt)))</f>
        <v/>
      </c>
      <c r="K1257">
        <f>IF(OC_Name=0,"",IF(INDEX('OneCause_Paste'!$A$1257:$AZ$1257,1,OC_Name)="","",INDEX('OneCause_Paste'!$A$1257:$AZ$1257,1,OC_Name)))</f>
        <v/>
      </c>
      <c r="L1257">
        <f>IF(OC_Txn=0,"",IF(INDEX('OneCause_Paste'!$A$1257:$AZ$1257,1,OC_Txn)="","",INDEX('OneCause_Paste'!$A$1257:$AZ$1257,1,OC_Txn)))</f>
        <v/>
      </c>
      <c r="M1257">
        <f>IF(OC_Pay=0,"",IF(INDEX('OneCause_Paste'!$A$1257:$AZ$1257,1,OC_Pay)="","",INDEX('OneCause_Paste'!$A$1257:$AZ$1257,1,OC_Pay)))</f>
        <v/>
      </c>
      <c r="N1257">
        <f>IF(I1257="","",IF(ISNUMBER(I1257),INT(I1257),IFERROR(INT(DATEVALUE(I1257)),IFERROR(INT(VALUE(I1257)),"bad"))))</f>
        <v/>
      </c>
      <c r="O1257">
        <f>IF(J1257="","",IF(ISNUMBER(J1257),ROUND(J1257,2),IFERROR(ROUND(VALUE(SUBSTITUTE(SUBSTITUTE(SUBSTITUTE(J1257,"$",""),",","")," ","")),2),"bad")))</f>
        <v/>
      </c>
      <c r="P1257">
        <f>IF(TRIM(K1257)="","",IFERROR(MATCH(LOWER(TRIM(K1257)),'Students'!$AH$2:$AH$701,0),IFERROR(MATCH(LOWER(TRIM(K1257)),'Students'!$AF$2:$AF$701,0),IFERROR(MATCH(LOWER(TRIM(K1257)),'Students'!$AG$2:$AG$701,0),""))))</f>
        <v/>
      </c>
      <c r="R1257">
        <f>IF(P1257="","",INDEX('Students'!$AD$2:$AD$701,P1257))</f>
        <v/>
      </c>
      <c r="S1257">
        <f>IF(H1257="OK",O1257,0)</f>
        <v/>
      </c>
      <c r="T1257">
        <f>IF(H1257="OK",N1257,"")</f>
        <v/>
      </c>
      <c r="U1257">
        <f>IF(OC_Donor=0,"",IF(INDEX('OneCause_Paste'!$A$1257:$AZ$1257,1,OC_Donor)="","",INDEX('OneCause_Paste'!$A$1257:$AZ$1257,1,OC_Donor)))</f>
        <v/>
      </c>
    </row>
    <row r="1258">
      <c r="A1258" s="62">
        <f>IF(H1258="","",IF(ISNUMBER(N1258),N1258,I1258))</f>
        <v/>
      </c>
      <c r="B1258">
        <f>IF(H1258="","",U1258)</f>
        <v/>
      </c>
      <c r="C1258">
        <f>IF(H1258="","",IF(P1258="",K1258,INDEX('Students'!$A$2:$A$701,P1258)))</f>
        <v/>
      </c>
      <c r="D1258">
        <f>IF(OR(H1258="",P1258=""),"",INDEX('Students'!$B$2:$B$701,P1258))</f>
        <v/>
      </c>
      <c r="E1258">
        <f>IF(OR(H1258="",P1258=""),"",INDEX('Students'!$C$2:$C$701,P1258))</f>
        <v/>
      </c>
      <c r="F1258" s="48">
        <f>IF(H1258="","",IF(ISNUMBER(O1258),O1258,J1258))</f>
        <v/>
      </c>
      <c r="G1258">
        <f>IF(H1258="","","OneCause")</f>
        <v/>
      </c>
      <c r="H1258">
        <f>IF(AND(I1258="",J1258="",K1258=""),"",IF(NOT(ISNUMBER(O1258)),"Bad amount",IF(O1258&lt;0,"Refund (not counted)",IF(O1258=0,"Zero amount",IF(NOT(ISNUMBER(N1258)),"Bad date",IF(P1258="","NAME NOT ON ROSTER",IF(L1258="","OK",IF(MATCH(L1258,$L$2:$L$3001,0)&lt;ROW()-1,"Duplicate (ignored)","OK"))))))))</f>
        <v/>
      </c>
      <c r="I1258">
        <f>IF(OC_Date=0,"",IF(INDEX('OneCause_Paste'!$A$1258:$AZ$1258,1,OC_Date)="","",INDEX('OneCause_Paste'!$A$1258:$AZ$1258,1,OC_Date)))</f>
        <v/>
      </c>
      <c r="J1258">
        <f>IF(OC_Amt=0,"",IF(INDEX('OneCause_Paste'!$A$1258:$AZ$1258,1,OC_Amt)="","",INDEX('OneCause_Paste'!$A$1258:$AZ$1258,1,OC_Amt)))</f>
        <v/>
      </c>
      <c r="K1258">
        <f>IF(OC_Name=0,"",IF(INDEX('OneCause_Paste'!$A$1258:$AZ$1258,1,OC_Name)="","",INDEX('OneCause_Paste'!$A$1258:$AZ$1258,1,OC_Name)))</f>
        <v/>
      </c>
      <c r="L1258">
        <f>IF(OC_Txn=0,"",IF(INDEX('OneCause_Paste'!$A$1258:$AZ$1258,1,OC_Txn)="","",INDEX('OneCause_Paste'!$A$1258:$AZ$1258,1,OC_Txn)))</f>
        <v/>
      </c>
      <c r="M1258">
        <f>IF(OC_Pay=0,"",IF(INDEX('OneCause_Paste'!$A$1258:$AZ$1258,1,OC_Pay)="","",INDEX('OneCause_Paste'!$A$1258:$AZ$1258,1,OC_Pay)))</f>
        <v/>
      </c>
      <c r="N1258">
        <f>IF(I1258="","",IF(ISNUMBER(I1258),INT(I1258),IFERROR(INT(DATEVALUE(I1258)),IFERROR(INT(VALUE(I1258)),"bad"))))</f>
        <v/>
      </c>
      <c r="O1258">
        <f>IF(J1258="","",IF(ISNUMBER(J1258),ROUND(J1258,2),IFERROR(ROUND(VALUE(SUBSTITUTE(SUBSTITUTE(SUBSTITUTE(J1258,"$",""),",","")," ","")),2),"bad")))</f>
        <v/>
      </c>
      <c r="P1258">
        <f>IF(TRIM(K1258)="","",IFERROR(MATCH(LOWER(TRIM(K1258)),'Students'!$AH$2:$AH$701,0),IFERROR(MATCH(LOWER(TRIM(K1258)),'Students'!$AF$2:$AF$701,0),IFERROR(MATCH(LOWER(TRIM(K1258)),'Students'!$AG$2:$AG$701,0),""))))</f>
        <v/>
      </c>
      <c r="R1258">
        <f>IF(P1258="","",INDEX('Students'!$AD$2:$AD$701,P1258))</f>
        <v/>
      </c>
      <c r="S1258">
        <f>IF(H1258="OK",O1258,0)</f>
        <v/>
      </c>
      <c r="T1258">
        <f>IF(H1258="OK",N1258,"")</f>
        <v/>
      </c>
      <c r="U1258">
        <f>IF(OC_Donor=0,"",IF(INDEX('OneCause_Paste'!$A$1258:$AZ$1258,1,OC_Donor)="","",INDEX('OneCause_Paste'!$A$1258:$AZ$1258,1,OC_Donor)))</f>
        <v/>
      </c>
    </row>
    <row r="1259">
      <c r="A1259" s="62">
        <f>IF(H1259="","",IF(ISNUMBER(N1259),N1259,I1259))</f>
        <v/>
      </c>
      <c r="B1259">
        <f>IF(H1259="","",U1259)</f>
        <v/>
      </c>
      <c r="C1259">
        <f>IF(H1259="","",IF(P1259="",K1259,INDEX('Students'!$A$2:$A$701,P1259)))</f>
        <v/>
      </c>
      <c r="D1259">
        <f>IF(OR(H1259="",P1259=""),"",INDEX('Students'!$B$2:$B$701,P1259))</f>
        <v/>
      </c>
      <c r="E1259">
        <f>IF(OR(H1259="",P1259=""),"",INDEX('Students'!$C$2:$C$701,P1259))</f>
        <v/>
      </c>
      <c r="F1259" s="48">
        <f>IF(H1259="","",IF(ISNUMBER(O1259),O1259,J1259))</f>
        <v/>
      </c>
      <c r="G1259">
        <f>IF(H1259="","","OneCause")</f>
        <v/>
      </c>
      <c r="H1259">
        <f>IF(AND(I1259="",J1259="",K1259=""),"",IF(NOT(ISNUMBER(O1259)),"Bad amount",IF(O1259&lt;0,"Refund (not counted)",IF(O1259=0,"Zero amount",IF(NOT(ISNUMBER(N1259)),"Bad date",IF(P1259="","NAME NOT ON ROSTER",IF(L1259="","OK",IF(MATCH(L1259,$L$2:$L$3001,0)&lt;ROW()-1,"Duplicate (ignored)","OK"))))))))</f>
        <v/>
      </c>
      <c r="I1259">
        <f>IF(OC_Date=0,"",IF(INDEX('OneCause_Paste'!$A$1259:$AZ$1259,1,OC_Date)="","",INDEX('OneCause_Paste'!$A$1259:$AZ$1259,1,OC_Date)))</f>
        <v/>
      </c>
      <c r="J1259">
        <f>IF(OC_Amt=0,"",IF(INDEX('OneCause_Paste'!$A$1259:$AZ$1259,1,OC_Amt)="","",INDEX('OneCause_Paste'!$A$1259:$AZ$1259,1,OC_Amt)))</f>
        <v/>
      </c>
      <c r="K1259">
        <f>IF(OC_Name=0,"",IF(INDEX('OneCause_Paste'!$A$1259:$AZ$1259,1,OC_Name)="","",INDEX('OneCause_Paste'!$A$1259:$AZ$1259,1,OC_Name)))</f>
        <v/>
      </c>
      <c r="L1259">
        <f>IF(OC_Txn=0,"",IF(INDEX('OneCause_Paste'!$A$1259:$AZ$1259,1,OC_Txn)="","",INDEX('OneCause_Paste'!$A$1259:$AZ$1259,1,OC_Txn)))</f>
        <v/>
      </c>
      <c r="M1259">
        <f>IF(OC_Pay=0,"",IF(INDEX('OneCause_Paste'!$A$1259:$AZ$1259,1,OC_Pay)="","",INDEX('OneCause_Paste'!$A$1259:$AZ$1259,1,OC_Pay)))</f>
        <v/>
      </c>
      <c r="N1259">
        <f>IF(I1259="","",IF(ISNUMBER(I1259),INT(I1259),IFERROR(INT(DATEVALUE(I1259)),IFERROR(INT(VALUE(I1259)),"bad"))))</f>
        <v/>
      </c>
      <c r="O1259">
        <f>IF(J1259="","",IF(ISNUMBER(J1259),ROUND(J1259,2),IFERROR(ROUND(VALUE(SUBSTITUTE(SUBSTITUTE(SUBSTITUTE(J1259,"$",""),",","")," ","")),2),"bad")))</f>
        <v/>
      </c>
      <c r="P1259">
        <f>IF(TRIM(K1259)="","",IFERROR(MATCH(LOWER(TRIM(K1259)),'Students'!$AH$2:$AH$701,0),IFERROR(MATCH(LOWER(TRIM(K1259)),'Students'!$AF$2:$AF$701,0),IFERROR(MATCH(LOWER(TRIM(K1259)),'Students'!$AG$2:$AG$701,0),""))))</f>
        <v/>
      </c>
      <c r="R1259">
        <f>IF(P1259="","",INDEX('Students'!$AD$2:$AD$701,P1259))</f>
        <v/>
      </c>
      <c r="S1259">
        <f>IF(H1259="OK",O1259,0)</f>
        <v/>
      </c>
      <c r="T1259">
        <f>IF(H1259="OK",N1259,"")</f>
        <v/>
      </c>
      <c r="U1259">
        <f>IF(OC_Donor=0,"",IF(INDEX('OneCause_Paste'!$A$1259:$AZ$1259,1,OC_Donor)="","",INDEX('OneCause_Paste'!$A$1259:$AZ$1259,1,OC_Donor)))</f>
        <v/>
      </c>
    </row>
    <row r="1260">
      <c r="A1260" s="62">
        <f>IF(H1260="","",IF(ISNUMBER(N1260),N1260,I1260))</f>
        <v/>
      </c>
      <c r="B1260">
        <f>IF(H1260="","",U1260)</f>
        <v/>
      </c>
      <c r="C1260">
        <f>IF(H1260="","",IF(P1260="",K1260,INDEX('Students'!$A$2:$A$701,P1260)))</f>
        <v/>
      </c>
      <c r="D1260">
        <f>IF(OR(H1260="",P1260=""),"",INDEX('Students'!$B$2:$B$701,P1260))</f>
        <v/>
      </c>
      <c r="E1260">
        <f>IF(OR(H1260="",P1260=""),"",INDEX('Students'!$C$2:$C$701,P1260))</f>
        <v/>
      </c>
      <c r="F1260" s="48">
        <f>IF(H1260="","",IF(ISNUMBER(O1260),O1260,J1260))</f>
        <v/>
      </c>
      <c r="G1260">
        <f>IF(H1260="","","OneCause")</f>
        <v/>
      </c>
      <c r="H1260">
        <f>IF(AND(I1260="",J1260="",K1260=""),"",IF(NOT(ISNUMBER(O1260)),"Bad amount",IF(O1260&lt;0,"Refund (not counted)",IF(O1260=0,"Zero amount",IF(NOT(ISNUMBER(N1260)),"Bad date",IF(P1260="","NAME NOT ON ROSTER",IF(L1260="","OK",IF(MATCH(L1260,$L$2:$L$3001,0)&lt;ROW()-1,"Duplicate (ignored)","OK"))))))))</f>
        <v/>
      </c>
      <c r="I1260">
        <f>IF(OC_Date=0,"",IF(INDEX('OneCause_Paste'!$A$1260:$AZ$1260,1,OC_Date)="","",INDEX('OneCause_Paste'!$A$1260:$AZ$1260,1,OC_Date)))</f>
        <v/>
      </c>
      <c r="J1260">
        <f>IF(OC_Amt=0,"",IF(INDEX('OneCause_Paste'!$A$1260:$AZ$1260,1,OC_Amt)="","",INDEX('OneCause_Paste'!$A$1260:$AZ$1260,1,OC_Amt)))</f>
        <v/>
      </c>
      <c r="K1260">
        <f>IF(OC_Name=0,"",IF(INDEX('OneCause_Paste'!$A$1260:$AZ$1260,1,OC_Name)="","",INDEX('OneCause_Paste'!$A$1260:$AZ$1260,1,OC_Name)))</f>
        <v/>
      </c>
      <c r="L1260">
        <f>IF(OC_Txn=0,"",IF(INDEX('OneCause_Paste'!$A$1260:$AZ$1260,1,OC_Txn)="","",INDEX('OneCause_Paste'!$A$1260:$AZ$1260,1,OC_Txn)))</f>
        <v/>
      </c>
      <c r="M1260">
        <f>IF(OC_Pay=0,"",IF(INDEX('OneCause_Paste'!$A$1260:$AZ$1260,1,OC_Pay)="","",INDEX('OneCause_Paste'!$A$1260:$AZ$1260,1,OC_Pay)))</f>
        <v/>
      </c>
      <c r="N1260">
        <f>IF(I1260="","",IF(ISNUMBER(I1260),INT(I1260),IFERROR(INT(DATEVALUE(I1260)),IFERROR(INT(VALUE(I1260)),"bad"))))</f>
        <v/>
      </c>
      <c r="O1260">
        <f>IF(J1260="","",IF(ISNUMBER(J1260),ROUND(J1260,2),IFERROR(ROUND(VALUE(SUBSTITUTE(SUBSTITUTE(SUBSTITUTE(J1260,"$",""),",","")," ","")),2),"bad")))</f>
        <v/>
      </c>
      <c r="P1260">
        <f>IF(TRIM(K1260)="","",IFERROR(MATCH(LOWER(TRIM(K1260)),'Students'!$AH$2:$AH$701,0),IFERROR(MATCH(LOWER(TRIM(K1260)),'Students'!$AF$2:$AF$701,0),IFERROR(MATCH(LOWER(TRIM(K1260)),'Students'!$AG$2:$AG$701,0),""))))</f>
        <v/>
      </c>
      <c r="R1260">
        <f>IF(P1260="","",INDEX('Students'!$AD$2:$AD$701,P1260))</f>
        <v/>
      </c>
      <c r="S1260">
        <f>IF(H1260="OK",O1260,0)</f>
        <v/>
      </c>
      <c r="T1260">
        <f>IF(H1260="OK",N1260,"")</f>
        <v/>
      </c>
      <c r="U1260">
        <f>IF(OC_Donor=0,"",IF(INDEX('OneCause_Paste'!$A$1260:$AZ$1260,1,OC_Donor)="","",INDEX('OneCause_Paste'!$A$1260:$AZ$1260,1,OC_Donor)))</f>
        <v/>
      </c>
    </row>
    <row r="1261">
      <c r="A1261" s="62">
        <f>IF(H1261="","",IF(ISNUMBER(N1261),N1261,I1261))</f>
        <v/>
      </c>
      <c r="B1261">
        <f>IF(H1261="","",U1261)</f>
        <v/>
      </c>
      <c r="C1261">
        <f>IF(H1261="","",IF(P1261="",K1261,INDEX('Students'!$A$2:$A$701,P1261)))</f>
        <v/>
      </c>
      <c r="D1261">
        <f>IF(OR(H1261="",P1261=""),"",INDEX('Students'!$B$2:$B$701,P1261))</f>
        <v/>
      </c>
      <c r="E1261">
        <f>IF(OR(H1261="",P1261=""),"",INDEX('Students'!$C$2:$C$701,P1261))</f>
        <v/>
      </c>
      <c r="F1261" s="48">
        <f>IF(H1261="","",IF(ISNUMBER(O1261),O1261,J1261))</f>
        <v/>
      </c>
      <c r="G1261">
        <f>IF(H1261="","","OneCause")</f>
        <v/>
      </c>
      <c r="H1261">
        <f>IF(AND(I1261="",J1261="",K1261=""),"",IF(NOT(ISNUMBER(O1261)),"Bad amount",IF(O1261&lt;0,"Refund (not counted)",IF(O1261=0,"Zero amount",IF(NOT(ISNUMBER(N1261)),"Bad date",IF(P1261="","NAME NOT ON ROSTER",IF(L1261="","OK",IF(MATCH(L1261,$L$2:$L$3001,0)&lt;ROW()-1,"Duplicate (ignored)","OK"))))))))</f>
        <v/>
      </c>
      <c r="I1261">
        <f>IF(OC_Date=0,"",IF(INDEX('OneCause_Paste'!$A$1261:$AZ$1261,1,OC_Date)="","",INDEX('OneCause_Paste'!$A$1261:$AZ$1261,1,OC_Date)))</f>
        <v/>
      </c>
      <c r="J1261">
        <f>IF(OC_Amt=0,"",IF(INDEX('OneCause_Paste'!$A$1261:$AZ$1261,1,OC_Amt)="","",INDEX('OneCause_Paste'!$A$1261:$AZ$1261,1,OC_Amt)))</f>
        <v/>
      </c>
      <c r="K1261">
        <f>IF(OC_Name=0,"",IF(INDEX('OneCause_Paste'!$A$1261:$AZ$1261,1,OC_Name)="","",INDEX('OneCause_Paste'!$A$1261:$AZ$1261,1,OC_Name)))</f>
        <v/>
      </c>
      <c r="L1261">
        <f>IF(OC_Txn=0,"",IF(INDEX('OneCause_Paste'!$A$1261:$AZ$1261,1,OC_Txn)="","",INDEX('OneCause_Paste'!$A$1261:$AZ$1261,1,OC_Txn)))</f>
        <v/>
      </c>
      <c r="M1261">
        <f>IF(OC_Pay=0,"",IF(INDEX('OneCause_Paste'!$A$1261:$AZ$1261,1,OC_Pay)="","",INDEX('OneCause_Paste'!$A$1261:$AZ$1261,1,OC_Pay)))</f>
        <v/>
      </c>
      <c r="N1261">
        <f>IF(I1261="","",IF(ISNUMBER(I1261),INT(I1261),IFERROR(INT(DATEVALUE(I1261)),IFERROR(INT(VALUE(I1261)),"bad"))))</f>
        <v/>
      </c>
      <c r="O1261">
        <f>IF(J1261="","",IF(ISNUMBER(J1261),ROUND(J1261,2),IFERROR(ROUND(VALUE(SUBSTITUTE(SUBSTITUTE(SUBSTITUTE(J1261,"$",""),",","")," ","")),2),"bad")))</f>
        <v/>
      </c>
      <c r="P1261">
        <f>IF(TRIM(K1261)="","",IFERROR(MATCH(LOWER(TRIM(K1261)),'Students'!$AH$2:$AH$701,0),IFERROR(MATCH(LOWER(TRIM(K1261)),'Students'!$AF$2:$AF$701,0),IFERROR(MATCH(LOWER(TRIM(K1261)),'Students'!$AG$2:$AG$701,0),""))))</f>
        <v/>
      </c>
      <c r="R1261">
        <f>IF(P1261="","",INDEX('Students'!$AD$2:$AD$701,P1261))</f>
        <v/>
      </c>
      <c r="S1261">
        <f>IF(H1261="OK",O1261,0)</f>
        <v/>
      </c>
      <c r="T1261">
        <f>IF(H1261="OK",N1261,"")</f>
        <v/>
      </c>
      <c r="U1261">
        <f>IF(OC_Donor=0,"",IF(INDEX('OneCause_Paste'!$A$1261:$AZ$1261,1,OC_Donor)="","",INDEX('OneCause_Paste'!$A$1261:$AZ$1261,1,OC_Donor)))</f>
        <v/>
      </c>
    </row>
    <row r="1262">
      <c r="A1262" s="62">
        <f>IF(H1262="","",IF(ISNUMBER(N1262),N1262,I1262))</f>
        <v/>
      </c>
      <c r="B1262">
        <f>IF(H1262="","",U1262)</f>
        <v/>
      </c>
      <c r="C1262">
        <f>IF(H1262="","",IF(P1262="",K1262,INDEX('Students'!$A$2:$A$701,P1262)))</f>
        <v/>
      </c>
      <c r="D1262">
        <f>IF(OR(H1262="",P1262=""),"",INDEX('Students'!$B$2:$B$701,P1262))</f>
        <v/>
      </c>
      <c r="E1262">
        <f>IF(OR(H1262="",P1262=""),"",INDEX('Students'!$C$2:$C$701,P1262))</f>
        <v/>
      </c>
      <c r="F1262" s="48">
        <f>IF(H1262="","",IF(ISNUMBER(O1262),O1262,J1262))</f>
        <v/>
      </c>
      <c r="G1262">
        <f>IF(H1262="","","OneCause")</f>
        <v/>
      </c>
      <c r="H1262">
        <f>IF(AND(I1262="",J1262="",K1262=""),"",IF(NOT(ISNUMBER(O1262)),"Bad amount",IF(O1262&lt;0,"Refund (not counted)",IF(O1262=0,"Zero amount",IF(NOT(ISNUMBER(N1262)),"Bad date",IF(P1262="","NAME NOT ON ROSTER",IF(L1262="","OK",IF(MATCH(L1262,$L$2:$L$3001,0)&lt;ROW()-1,"Duplicate (ignored)","OK"))))))))</f>
        <v/>
      </c>
      <c r="I1262">
        <f>IF(OC_Date=0,"",IF(INDEX('OneCause_Paste'!$A$1262:$AZ$1262,1,OC_Date)="","",INDEX('OneCause_Paste'!$A$1262:$AZ$1262,1,OC_Date)))</f>
        <v/>
      </c>
      <c r="J1262">
        <f>IF(OC_Amt=0,"",IF(INDEX('OneCause_Paste'!$A$1262:$AZ$1262,1,OC_Amt)="","",INDEX('OneCause_Paste'!$A$1262:$AZ$1262,1,OC_Amt)))</f>
        <v/>
      </c>
      <c r="K1262">
        <f>IF(OC_Name=0,"",IF(INDEX('OneCause_Paste'!$A$1262:$AZ$1262,1,OC_Name)="","",INDEX('OneCause_Paste'!$A$1262:$AZ$1262,1,OC_Name)))</f>
        <v/>
      </c>
      <c r="L1262">
        <f>IF(OC_Txn=0,"",IF(INDEX('OneCause_Paste'!$A$1262:$AZ$1262,1,OC_Txn)="","",INDEX('OneCause_Paste'!$A$1262:$AZ$1262,1,OC_Txn)))</f>
        <v/>
      </c>
      <c r="M1262">
        <f>IF(OC_Pay=0,"",IF(INDEX('OneCause_Paste'!$A$1262:$AZ$1262,1,OC_Pay)="","",INDEX('OneCause_Paste'!$A$1262:$AZ$1262,1,OC_Pay)))</f>
        <v/>
      </c>
      <c r="N1262">
        <f>IF(I1262="","",IF(ISNUMBER(I1262),INT(I1262),IFERROR(INT(DATEVALUE(I1262)),IFERROR(INT(VALUE(I1262)),"bad"))))</f>
        <v/>
      </c>
      <c r="O1262">
        <f>IF(J1262="","",IF(ISNUMBER(J1262),ROUND(J1262,2),IFERROR(ROUND(VALUE(SUBSTITUTE(SUBSTITUTE(SUBSTITUTE(J1262,"$",""),",","")," ","")),2),"bad")))</f>
        <v/>
      </c>
      <c r="P1262">
        <f>IF(TRIM(K1262)="","",IFERROR(MATCH(LOWER(TRIM(K1262)),'Students'!$AH$2:$AH$701,0),IFERROR(MATCH(LOWER(TRIM(K1262)),'Students'!$AF$2:$AF$701,0),IFERROR(MATCH(LOWER(TRIM(K1262)),'Students'!$AG$2:$AG$701,0),""))))</f>
        <v/>
      </c>
      <c r="R1262">
        <f>IF(P1262="","",INDEX('Students'!$AD$2:$AD$701,P1262))</f>
        <v/>
      </c>
      <c r="S1262">
        <f>IF(H1262="OK",O1262,0)</f>
        <v/>
      </c>
      <c r="T1262">
        <f>IF(H1262="OK",N1262,"")</f>
        <v/>
      </c>
      <c r="U1262">
        <f>IF(OC_Donor=0,"",IF(INDEX('OneCause_Paste'!$A$1262:$AZ$1262,1,OC_Donor)="","",INDEX('OneCause_Paste'!$A$1262:$AZ$1262,1,OC_Donor)))</f>
        <v/>
      </c>
    </row>
    <row r="1263">
      <c r="A1263" s="62">
        <f>IF(H1263="","",IF(ISNUMBER(N1263),N1263,I1263))</f>
        <v/>
      </c>
      <c r="B1263">
        <f>IF(H1263="","",U1263)</f>
        <v/>
      </c>
      <c r="C1263">
        <f>IF(H1263="","",IF(P1263="",K1263,INDEX('Students'!$A$2:$A$701,P1263)))</f>
        <v/>
      </c>
      <c r="D1263">
        <f>IF(OR(H1263="",P1263=""),"",INDEX('Students'!$B$2:$B$701,P1263))</f>
        <v/>
      </c>
      <c r="E1263">
        <f>IF(OR(H1263="",P1263=""),"",INDEX('Students'!$C$2:$C$701,P1263))</f>
        <v/>
      </c>
      <c r="F1263" s="48">
        <f>IF(H1263="","",IF(ISNUMBER(O1263),O1263,J1263))</f>
        <v/>
      </c>
      <c r="G1263">
        <f>IF(H1263="","","OneCause")</f>
        <v/>
      </c>
      <c r="H1263">
        <f>IF(AND(I1263="",J1263="",K1263=""),"",IF(NOT(ISNUMBER(O1263)),"Bad amount",IF(O1263&lt;0,"Refund (not counted)",IF(O1263=0,"Zero amount",IF(NOT(ISNUMBER(N1263)),"Bad date",IF(P1263="","NAME NOT ON ROSTER",IF(L1263="","OK",IF(MATCH(L1263,$L$2:$L$3001,0)&lt;ROW()-1,"Duplicate (ignored)","OK"))))))))</f>
        <v/>
      </c>
      <c r="I1263">
        <f>IF(OC_Date=0,"",IF(INDEX('OneCause_Paste'!$A$1263:$AZ$1263,1,OC_Date)="","",INDEX('OneCause_Paste'!$A$1263:$AZ$1263,1,OC_Date)))</f>
        <v/>
      </c>
      <c r="J1263">
        <f>IF(OC_Amt=0,"",IF(INDEX('OneCause_Paste'!$A$1263:$AZ$1263,1,OC_Amt)="","",INDEX('OneCause_Paste'!$A$1263:$AZ$1263,1,OC_Amt)))</f>
        <v/>
      </c>
      <c r="K1263">
        <f>IF(OC_Name=0,"",IF(INDEX('OneCause_Paste'!$A$1263:$AZ$1263,1,OC_Name)="","",INDEX('OneCause_Paste'!$A$1263:$AZ$1263,1,OC_Name)))</f>
        <v/>
      </c>
      <c r="L1263">
        <f>IF(OC_Txn=0,"",IF(INDEX('OneCause_Paste'!$A$1263:$AZ$1263,1,OC_Txn)="","",INDEX('OneCause_Paste'!$A$1263:$AZ$1263,1,OC_Txn)))</f>
        <v/>
      </c>
      <c r="M1263">
        <f>IF(OC_Pay=0,"",IF(INDEX('OneCause_Paste'!$A$1263:$AZ$1263,1,OC_Pay)="","",INDEX('OneCause_Paste'!$A$1263:$AZ$1263,1,OC_Pay)))</f>
        <v/>
      </c>
      <c r="N1263">
        <f>IF(I1263="","",IF(ISNUMBER(I1263),INT(I1263),IFERROR(INT(DATEVALUE(I1263)),IFERROR(INT(VALUE(I1263)),"bad"))))</f>
        <v/>
      </c>
      <c r="O1263">
        <f>IF(J1263="","",IF(ISNUMBER(J1263),ROUND(J1263,2),IFERROR(ROUND(VALUE(SUBSTITUTE(SUBSTITUTE(SUBSTITUTE(J1263,"$",""),",","")," ","")),2),"bad")))</f>
        <v/>
      </c>
      <c r="P1263">
        <f>IF(TRIM(K1263)="","",IFERROR(MATCH(LOWER(TRIM(K1263)),'Students'!$AH$2:$AH$701,0),IFERROR(MATCH(LOWER(TRIM(K1263)),'Students'!$AF$2:$AF$701,0),IFERROR(MATCH(LOWER(TRIM(K1263)),'Students'!$AG$2:$AG$701,0),""))))</f>
        <v/>
      </c>
      <c r="R1263">
        <f>IF(P1263="","",INDEX('Students'!$AD$2:$AD$701,P1263))</f>
        <v/>
      </c>
      <c r="S1263">
        <f>IF(H1263="OK",O1263,0)</f>
        <v/>
      </c>
      <c r="T1263">
        <f>IF(H1263="OK",N1263,"")</f>
        <v/>
      </c>
      <c r="U1263">
        <f>IF(OC_Donor=0,"",IF(INDEX('OneCause_Paste'!$A$1263:$AZ$1263,1,OC_Donor)="","",INDEX('OneCause_Paste'!$A$1263:$AZ$1263,1,OC_Donor)))</f>
        <v/>
      </c>
    </row>
    <row r="1264">
      <c r="A1264" s="62">
        <f>IF(H1264="","",IF(ISNUMBER(N1264),N1264,I1264))</f>
        <v/>
      </c>
      <c r="B1264">
        <f>IF(H1264="","",U1264)</f>
        <v/>
      </c>
      <c r="C1264">
        <f>IF(H1264="","",IF(P1264="",K1264,INDEX('Students'!$A$2:$A$701,P1264)))</f>
        <v/>
      </c>
      <c r="D1264">
        <f>IF(OR(H1264="",P1264=""),"",INDEX('Students'!$B$2:$B$701,P1264))</f>
        <v/>
      </c>
      <c r="E1264">
        <f>IF(OR(H1264="",P1264=""),"",INDEX('Students'!$C$2:$C$701,P1264))</f>
        <v/>
      </c>
      <c r="F1264" s="48">
        <f>IF(H1264="","",IF(ISNUMBER(O1264),O1264,J1264))</f>
        <v/>
      </c>
      <c r="G1264">
        <f>IF(H1264="","","OneCause")</f>
        <v/>
      </c>
      <c r="H1264">
        <f>IF(AND(I1264="",J1264="",K1264=""),"",IF(NOT(ISNUMBER(O1264)),"Bad amount",IF(O1264&lt;0,"Refund (not counted)",IF(O1264=0,"Zero amount",IF(NOT(ISNUMBER(N1264)),"Bad date",IF(P1264="","NAME NOT ON ROSTER",IF(L1264="","OK",IF(MATCH(L1264,$L$2:$L$3001,0)&lt;ROW()-1,"Duplicate (ignored)","OK"))))))))</f>
        <v/>
      </c>
      <c r="I1264">
        <f>IF(OC_Date=0,"",IF(INDEX('OneCause_Paste'!$A$1264:$AZ$1264,1,OC_Date)="","",INDEX('OneCause_Paste'!$A$1264:$AZ$1264,1,OC_Date)))</f>
        <v/>
      </c>
      <c r="J1264">
        <f>IF(OC_Amt=0,"",IF(INDEX('OneCause_Paste'!$A$1264:$AZ$1264,1,OC_Amt)="","",INDEX('OneCause_Paste'!$A$1264:$AZ$1264,1,OC_Amt)))</f>
        <v/>
      </c>
      <c r="K1264">
        <f>IF(OC_Name=0,"",IF(INDEX('OneCause_Paste'!$A$1264:$AZ$1264,1,OC_Name)="","",INDEX('OneCause_Paste'!$A$1264:$AZ$1264,1,OC_Name)))</f>
        <v/>
      </c>
      <c r="L1264">
        <f>IF(OC_Txn=0,"",IF(INDEX('OneCause_Paste'!$A$1264:$AZ$1264,1,OC_Txn)="","",INDEX('OneCause_Paste'!$A$1264:$AZ$1264,1,OC_Txn)))</f>
        <v/>
      </c>
      <c r="M1264">
        <f>IF(OC_Pay=0,"",IF(INDEX('OneCause_Paste'!$A$1264:$AZ$1264,1,OC_Pay)="","",INDEX('OneCause_Paste'!$A$1264:$AZ$1264,1,OC_Pay)))</f>
        <v/>
      </c>
      <c r="N1264">
        <f>IF(I1264="","",IF(ISNUMBER(I1264),INT(I1264),IFERROR(INT(DATEVALUE(I1264)),IFERROR(INT(VALUE(I1264)),"bad"))))</f>
        <v/>
      </c>
      <c r="O1264">
        <f>IF(J1264="","",IF(ISNUMBER(J1264),ROUND(J1264,2),IFERROR(ROUND(VALUE(SUBSTITUTE(SUBSTITUTE(SUBSTITUTE(J1264,"$",""),",","")," ","")),2),"bad")))</f>
        <v/>
      </c>
      <c r="P1264">
        <f>IF(TRIM(K1264)="","",IFERROR(MATCH(LOWER(TRIM(K1264)),'Students'!$AH$2:$AH$701,0),IFERROR(MATCH(LOWER(TRIM(K1264)),'Students'!$AF$2:$AF$701,0),IFERROR(MATCH(LOWER(TRIM(K1264)),'Students'!$AG$2:$AG$701,0),""))))</f>
        <v/>
      </c>
      <c r="R1264">
        <f>IF(P1264="","",INDEX('Students'!$AD$2:$AD$701,P1264))</f>
        <v/>
      </c>
      <c r="S1264">
        <f>IF(H1264="OK",O1264,0)</f>
        <v/>
      </c>
      <c r="T1264">
        <f>IF(H1264="OK",N1264,"")</f>
        <v/>
      </c>
      <c r="U1264">
        <f>IF(OC_Donor=0,"",IF(INDEX('OneCause_Paste'!$A$1264:$AZ$1264,1,OC_Donor)="","",INDEX('OneCause_Paste'!$A$1264:$AZ$1264,1,OC_Donor)))</f>
        <v/>
      </c>
    </row>
    <row r="1265">
      <c r="A1265" s="62">
        <f>IF(H1265="","",IF(ISNUMBER(N1265),N1265,I1265))</f>
        <v/>
      </c>
      <c r="B1265">
        <f>IF(H1265="","",U1265)</f>
        <v/>
      </c>
      <c r="C1265">
        <f>IF(H1265="","",IF(P1265="",K1265,INDEX('Students'!$A$2:$A$701,P1265)))</f>
        <v/>
      </c>
      <c r="D1265">
        <f>IF(OR(H1265="",P1265=""),"",INDEX('Students'!$B$2:$B$701,P1265))</f>
        <v/>
      </c>
      <c r="E1265">
        <f>IF(OR(H1265="",P1265=""),"",INDEX('Students'!$C$2:$C$701,P1265))</f>
        <v/>
      </c>
      <c r="F1265" s="48">
        <f>IF(H1265="","",IF(ISNUMBER(O1265),O1265,J1265))</f>
        <v/>
      </c>
      <c r="G1265">
        <f>IF(H1265="","","OneCause")</f>
        <v/>
      </c>
      <c r="H1265">
        <f>IF(AND(I1265="",J1265="",K1265=""),"",IF(NOT(ISNUMBER(O1265)),"Bad amount",IF(O1265&lt;0,"Refund (not counted)",IF(O1265=0,"Zero amount",IF(NOT(ISNUMBER(N1265)),"Bad date",IF(P1265="","NAME NOT ON ROSTER",IF(L1265="","OK",IF(MATCH(L1265,$L$2:$L$3001,0)&lt;ROW()-1,"Duplicate (ignored)","OK"))))))))</f>
        <v/>
      </c>
      <c r="I1265">
        <f>IF(OC_Date=0,"",IF(INDEX('OneCause_Paste'!$A$1265:$AZ$1265,1,OC_Date)="","",INDEX('OneCause_Paste'!$A$1265:$AZ$1265,1,OC_Date)))</f>
        <v/>
      </c>
      <c r="J1265">
        <f>IF(OC_Amt=0,"",IF(INDEX('OneCause_Paste'!$A$1265:$AZ$1265,1,OC_Amt)="","",INDEX('OneCause_Paste'!$A$1265:$AZ$1265,1,OC_Amt)))</f>
        <v/>
      </c>
      <c r="K1265">
        <f>IF(OC_Name=0,"",IF(INDEX('OneCause_Paste'!$A$1265:$AZ$1265,1,OC_Name)="","",INDEX('OneCause_Paste'!$A$1265:$AZ$1265,1,OC_Name)))</f>
        <v/>
      </c>
      <c r="L1265">
        <f>IF(OC_Txn=0,"",IF(INDEX('OneCause_Paste'!$A$1265:$AZ$1265,1,OC_Txn)="","",INDEX('OneCause_Paste'!$A$1265:$AZ$1265,1,OC_Txn)))</f>
        <v/>
      </c>
      <c r="M1265">
        <f>IF(OC_Pay=0,"",IF(INDEX('OneCause_Paste'!$A$1265:$AZ$1265,1,OC_Pay)="","",INDEX('OneCause_Paste'!$A$1265:$AZ$1265,1,OC_Pay)))</f>
        <v/>
      </c>
      <c r="N1265">
        <f>IF(I1265="","",IF(ISNUMBER(I1265),INT(I1265),IFERROR(INT(DATEVALUE(I1265)),IFERROR(INT(VALUE(I1265)),"bad"))))</f>
        <v/>
      </c>
      <c r="O1265">
        <f>IF(J1265="","",IF(ISNUMBER(J1265),ROUND(J1265,2),IFERROR(ROUND(VALUE(SUBSTITUTE(SUBSTITUTE(SUBSTITUTE(J1265,"$",""),",","")," ","")),2),"bad")))</f>
        <v/>
      </c>
      <c r="P1265">
        <f>IF(TRIM(K1265)="","",IFERROR(MATCH(LOWER(TRIM(K1265)),'Students'!$AH$2:$AH$701,0),IFERROR(MATCH(LOWER(TRIM(K1265)),'Students'!$AF$2:$AF$701,0),IFERROR(MATCH(LOWER(TRIM(K1265)),'Students'!$AG$2:$AG$701,0),""))))</f>
        <v/>
      </c>
      <c r="R1265">
        <f>IF(P1265="","",INDEX('Students'!$AD$2:$AD$701,P1265))</f>
        <v/>
      </c>
      <c r="S1265">
        <f>IF(H1265="OK",O1265,0)</f>
        <v/>
      </c>
      <c r="T1265">
        <f>IF(H1265="OK",N1265,"")</f>
        <v/>
      </c>
      <c r="U1265">
        <f>IF(OC_Donor=0,"",IF(INDEX('OneCause_Paste'!$A$1265:$AZ$1265,1,OC_Donor)="","",INDEX('OneCause_Paste'!$A$1265:$AZ$1265,1,OC_Donor)))</f>
        <v/>
      </c>
    </row>
    <row r="1266">
      <c r="A1266" s="62">
        <f>IF(H1266="","",IF(ISNUMBER(N1266),N1266,I1266))</f>
        <v/>
      </c>
      <c r="B1266">
        <f>IF(H1266="","",U1266)</f>
        <v/>
      </c>
      <c r="C1266">
        <f>IF(H1266="","",IF(P1266="",K1266,INDEX('Students'!$A$2:$A$701,P1266)))</f>
        <v/>
      </c>
      <c r="D1266">
        <f>IF(OR(H1266="",P1266=""),"",INDEX('Students'!$B$2:$B$701,P1266))</f>
        <v/>
      </c>
      <c r="E1266">
        <f>IF(OR(H1266="",P1266=""),"",INDEX('Students'!$C$2:$C$701,P1266))</f>
        <v/>
      </c>
      <c r="F1266" s="48">
        <f>IF(H1266="","",IF(ISNUMBER(O1266),O1266,J1266))</f>
        <v/>
      </c>
      <c r="G1266">
        <f>IF(H1266="","","OneCause")</f>
        <v/>
      </c>
      <c r="H1266">
        <f>IF(AND(I1266="",J1266="",K1266=""),"",IF(NOT(ISNUMBER(O1266)),"Bad amount",IF(O1266&lt;0,"Refund (not counted)",IF(O1266=0,"Zero amount",IF(NOT(ISNUMBER(N1266)),"Bad date",IF(P1266="","NAME NOT ON ROSTER",IF(L1266="","OK",IF(MATCH(L1266,$L$2:$L$3001,0)&lt;ROW()-1,"Duplicate (ignored)","OK"))))))))</f>
        <v/>
      </c>
      <c r="I1266">
        <f>IF(OC_Date=0,"",IF(INDEX('OneCause_Paste'!$A$1266:$AZ$1266,1,OC_Date)="","",INDEX('OneCause_Paste'!$A$1266:$AZ$1266,1,OC_Date)))</f>
        <v/>
      </c>
      <c r="J1266">
        <f>IF(OC_Amt=0,"",IF(INDEX('OneCause_Paste'!$A$1266:$AZ$1266,1,OC_Amt)="","",INDEX('OneCause_Paste'!$A$1266:$AZ$1266,1,OC_Amt)))</f>
        <v/>
      </c>
      <c r="K1266">
        <f>IF(OC_Name=0,"",IF(INDEX('OneCause_Paste'!$A$1266:$AZ$1266,1,OC_Name)="","",INDEX('OneCause_Paste'!$A$1266:$AZ$1266,1,OC_Name)))</f>
        <v/>
      </c>
      <c r="L1266">
        <f>IF(OC_Txn=0,"",IF(INDEX('OneCause_Paste'!$A$1266:$AZ$1266,1,OC_Txn)="","",INDEX('OneCause_Paste'!$A$1266:$AZ$1266,1,OC_Txn)))</f>
        <v/>
      </c>
      <c r="M1266">
        <f>IF(OC_Pay=0,"",IF(INDEX('OneCause_Paste'!$A$1266:$AZ$1266,1,OC_Pay)="","",INDEX('OneCause_Paste'!$A$1266:$AZ$1266,1,OC_Pay)))</f>
        <v/>
      </c>
      <c r="N1266">
        <f>IF(I1266="","",IF(ISNUMBER(I1266),INT(I1266),IFERROR(INT(DATEVALUE(I1266)),IFERROR(INT(VALUE(I1266)),"bad"))))</f>
        <v/>
      </c>
      <c r="O1266">
        <f>IF(J1266="","",IF(ISNUMBER(J1266),ROUND(J1266,2),IFERROR(ROUND(VALUE(SUBSTITUTE(SUBSTITUTE(SUBSTITUTE(J1266,"$",""),",","")," ","")),2),"bad")))</f>
        <v/>
      </c>
      <c r="P1266">
        <f>IF(TRIM(K1266)="","",IFERROR(MATCH(LOWER(TRIM(K1266)),'Students'!$AH$2:$AH$701,0),IFERROR(MATCH(LOWER(TRIM(K1266)),'Students'!$AF$2:$AF$701,0),IFERROR(MATCH(LOWER(TRIM(K1266)),'Students'!$AG$2:$AG$701,0),""))))</f>
        <v/>
      </c>
      <c r="R1266">
        <f>IF(P1266="","",INDEX('Students'!$AD$2:$AD$701,P1266))</f>
        <v/>
      </c>
      <c r="S1266">
        <f>IF(H1266="OK",O1266,0)</f>
        <v/>
      </c>
      <c r="T1266">
        <f>IF(H1266="OK",N1266,"")</f>
        <v/>
      </c>
      <c r="U1266">
        <f>IF(OC_Donor=0,"",IF(INDEX('OneCause_Paste'!$A$1266:$AZ$1266,1,OC_Donor)="","",INDEX('OneCause_Paste'!$A$1266:$AZ$1266,1,OC_Donor)))</f>
        <v/>
      </c>
    </row>
    <row r="1267">
      <c r="A1267" s="62">
        <f>IF(H1267="","",IF(ISNUMBER(N1267),N1267,I1267))</f>
        <v/>
      </c>
      <c r="B1267">
        <f>IF(H1267="","",U1267)</f>
        <v/>
      </c>
      <c r="C1267">
        <f>IF(H1267="","",IF(P1267="",K1267,INDEX('Students'!$A$2:$A$701,P1267)))</f>
        <v/>
      </c>
      <c r="D1267">
        <f>IF(OR(H1267="",P1267=""),"",INDEX('Students'!$B$2:$B$701,P1267))</f>
        <v/>
      </c>
      <c r="E1267">
        <f>IF(OR(H1267="",P1267=""),"",INDEX('Students'!$C$2:$C$701,P1267))</f>
        <v/>
      </c>
      <c r="F1267" s="48">
        <f>IF(H1267="","",IF(ISNUMBER(O1267),O1267,J1267))</f>
        <v/>
      </c>
      <c r="G1267">
        <f>IF(H1267="","","OneCause")</f>
        <v/>
      </c>
      <c r="H1267">
        <f>IF(AND(I1267="",J1267="",K1267=""),"",IF(NOT(ISNUMBER(O1267)),"Bad amount",IF(O1267&lt;0,"Refund (not counted)",IF(O1267=0,"Zero amount",IF(NOT(ISNUMBER(N1267)),"Bad date",IF(P1267="","NAME NOT ON ROSTER",IF(L1267="","OK",IF(MATCH(L1267,$L$2:$L$3001,0)&lt;ROW()-1,"Duplicate (ignored)","OK"))))))))</f>
        <v/>
      </c>
      <c r="I1267">
        <f>IF(OC_Date=0,"",IF(INDEX('OneCause_Paste'!$A$1267:$AZ$1267,1,OC_Date)="","",INDEX('OneCause_Paste'!$A$1267:$AZ$1267,1,OC_Date)))</f>
        <v/>
      </c>
      <c r="J1267">
        <f>IF(OC_Amt=0,"",IF(INDEX('OneCause_Paste'!$A$1267:$AZ$1267,1,OC_Amt)="","",INDEX('OneCause_Paste'!$A$1267:$AZ$1267,1,OC_Amt)))</f>
        <v/>
      </c>
      <c r="K1267">
        <f>IF(OC_Name=0,"",IF(INDEX('OneCause_Paste'!$A$1267:$AZ$1267,1,OC_Name)="","",INDEX('OneCause_Paste'!$A$1267:$AZ$1267,1,OC_Name)))</f>
        <v/>
      </c>
      <c r="L1267">
        <f>IF(OC_Txn=0,"",IF(INDEX('OneCause_Paste'!$A$1267:$AZ$1267,1,OC_Txn)="","",INDEX('OneCause_Paste'!$A$1267:$AZ$1267,1,OC_Txn)))</f>
        <v/>
      </c>
      <c r="M1267">
        <f>IF(OC_Pay=0,"",IF(INDEX('OneCause_Paste'!$A$1267:$AZ$1267,1,OC_Pay)="","",INDEX('OneCause_Paste'!$A$1267:$AZ$1267,1,OC_Pay)))</f>
        <v/>
      </c>
      <c r="N1267">
        <f>IF(I1267="","",IF(ISNUMBER(I1267),INT(I1267),IFERROR(INT(DATEVALUE(I1267)),IFERROR(INT(VALUE(I1267)),"bad"))))</f>
        <v/>
      </c>
      <c r="O1267">
        <f>IF(J1267="","",IF(ISNUMBER(J1267),ROUND(J1267,2),IFERROR(ROUND(VALUE(SUBSTITUTE(SUBSTITUTE(SUBSTITUTE(J1267,"$",""),",","")," ","")),2),"bad")))</f>
        <v/>
      </c>
      <c r="P1267">
        <f>IF(TRIM(K1267)="","",IFERROR(MATCH(LOWER(TRIM(K1267)),'Students'!$AH$2:$AH$701,0),IFERROR(MATCH(LOWER(TRIM(K1267)),'Students'!$AF$2:$AF$701,0),IFERROR(MATCH(LOWER(TRIM(K1267)),'Students'!$AG$2:$AG$701,0),""))))</f>
        <v/>
      </c>
      <c r="R1267">
        <f>IF(P1267="","",INDEX('Students'!$AD$2:$AD$701,P1267))</f>
        <v/>
      </c>
      <c r="S1267">
        <f>IF(H1267="OK",O1267,0)</f>
        <v/>
      </c>
      <c r="T1267">
        <f>IF(H1267="OK",N1267,"")</f>
        <v/>
      </c>
      <c r="U1267">
        <f>IF(OC_Donor=0,"",IF(INDEX('OneCause_Paste'!$A$1267:$AZ$1267,1,OC_Donor)="","",INDEX('OneCause_Paste'!$A$1267:$AZ$1267,1,OC_Donor)))</f>
        <v/>
      </c>
    </row>
    <row r="1268">
      <c r="A1268" s="62">
        <f>IF(H1268="","",IF(ISNUMBER(N1268),N1268,I1268))</f>
        <v/>
      </c>
      <c r="B1268">
        <f>IF(H1268="","",U1268)</f>
        <v/>
      </c>
      <c r="C1268">
        <f>IF(H1268="","",IF(P1268="",K1268,INDEX('Students'!$A$2:$A$701,P1268)))</f>
        <v/>
      </c>
      <c r="D1268">
        <f>IF(OR(H1268="",P1268=""),"",INDEX('Students'!$B$2:$B$701,P1268))</f>
        <v/>
      </c>
      <c r="E1268">
        <f>IF(OR(H1268="",P1268=""),"",INDEX('Students'!$C$2:$C$701,P1268))</f>
        <v/>
      </c>
      <c r="F1268" s="48">
        <f>IF(H1268="","",IF(ISNUMBER(O1268),O1268,J1268))</f>
        <v/>
      </c>
      <c r="G1268">
        <f>IF(H1268="","","OneCause")</f>
        <v/>
      </c>
      <c r="H1268">
        <f>IF(AND(I1268="",J1268="",K1268=""),"",IF(NOT(ISNUMBER(O1268)),"Bad amount",IF(O1268&lt;0,"Refund (not counted)",IF(O1268=0,"Zero amount",IF(NOT(ISNUMBER(N1268)),"Bad date",IF(P1268="","NAME NOT ON ROSTER",IF(L1268="","OK",IF(MATCH(L1268,$L$2:$L$3001,0)&lt;ROW()-1,"Duplicate (ignored)","OK"))))))))</f>
        <v/>
      </c>
      <c r="I1268">
        <f>IF(OC_Date=0,"",IF(INDEX('OneCause_Paste'!$A$1268:$AZ$1268,1,OC_Date)="","",INDEX('OneCause_Paste'!$A$1268:$AZ$1268,1,OC_Date)))</f>
        <v/>
      </c>
      <c r="J1268">
        <f>IF(OC_Amt=0,"",IF(INDEX('OneCause_Paste'!$A$1268:$AZ$1268,1,OC_Amt)="","",INDEX('OneCause_Paste'!$A$1268:$AZ$1268,1,OC_Amt)))</f>
        <v/>
      </c>
      <c r="K1268">
        <f>IF(OC_Name=0,"",IF(INDEX('OneCause_Paste'!$A$1268:$AZ$1268,1,OC_Name)="","",INDEX('OneCause_Paste'!$A$1268:$AZ$1268,1,OC_Name)))</f>
        <v/>
      </c>
      <c r="L1268">
        <f>IF(OC_Txn=0,"",IF(INDEX('OneCause_Paste'!$A$1268:$AZ$1268,1,OC_Txn)="","",INDEX('OneCause_Paste'!$A$1268:$AZ$1268,1,OC_Txn)))</f>
        <v/>
      </c>
      <c r="M1268">
        <f>IF(OC_Pay=0,"",IF(INDEX('OneCause_Paste'!$A$1268:$AZ$1268,1,OC_Pay)="","",INDEX('OneCause_Paste'!$A$1268:$AZ$1268,1,OC_Pay)))</f>
        <v/>
      </c>
      <c r="N1268">
        <f>IF(I1268="","",IF(ISNUMBER(I1268),INT(I1268),IFERROR(INT(DATEVALUE(I1268)),IFERROR(INT(VALUE(I1268)),"bad"))))</f>
        <v/>
      </c>
      <c r="O1268">
        <f>IF(J1268="","",IF(ISNUMBER(J1268),ROUND(J1268,2),IFERROR(ROUND(VALUE(SUBSTITUTE(SUBSTITUTE(SUBSTITUTE(J1268,"$",""),",","")," ","")),2),"bad")))</f>
        <v/>
      </c>
      <c r="P1268">
        <f>IF(TRIM(K1268)="","",IFERROR(MATCH(LOWER(TRIM(K1268)),'Students'!$AH$2:$AH$701,0),IFERROR(MATCH(LOWER(TRIM(K1268)),'Students'!$AF$2:$AF$701,0),IFERROR(MATCH(LOWER(TRIM(K1268)),'Students'!$AG$2:$AG$701,0),""))))</f>
        <v/>
      </c>
      <c r="R1268">
        <f>IF(P1268="","",INDEX('Students'!$AD$2:$AD$701,P1268))</f>
        <v/>
      </c>
      <c r="S1268">
        <f>IF(H1268="OK",O1268,0)</f>
        <v/>
      </c>
      <c r="T1268">
        <f>IF(H1268="OK",N1268,"")</f>
        <v/>
      </c>
      <c r="U1268">
        <f>IF(OC_Donor=0,"",IF(INDEX('OneCause_Paste'!$A$1268:$AZ$1268,1,OC_Donor)="","",INDEX('OneCause_Paste'!$A$1268:$AZ$1268,1,OC_Donor)))</f>
        <v/>
      </c>
    </row>
    <row r="1269">
      <c r="A1269" s="62">
        <f>IF(H1269="","",IF(ISNUMBER(N1269),N1269,I1269))</f>
        <v/>
      </c>
      <c r="B1269">
        <f>IF(H1269="","",U1269)</f>
        <v/>
      </c>
      <c r="C1269">
        <f>IF(H1269="","",IF(P1269="",K1269,INDEX('Students'!$A$2:$A$701,P1269)))</f>
        <v/>
      </c>
      <c r="D1269">
        <f>IF(OR(H1269="",P1269=""),"",INDEX('Students'!$B$2:$B$701,P1269))</f>
        <v/>
      </c>
      <c r="E1269">
        <f>IF(OR(H1269="",P1269=""),"",INDEX('Students'!$C$2:$C$701,P1269))</f>
        <v/>
      </c>
      <c r="F1269" s="48">
        <f>IF(H1269="","",IF(ISNUMBER(O1269),O1269,J1269))</f>
        <v/>
      </c>
      <c r="G1269">
        <f>IF(H1269="","","OneCause")</f>
        <v/>
      </c>
      <c r="H1269">
        <f>IF(AND(I1269="",J1269="",K1269=""),"",IF(NOT(ISNUMBER(O1269)),"Bad amount",IF(O1269&lt;0,"Refund (not counted)",IF(O1269=0,"Zero amount",IF(NOT(ISNUMBER(N1269)),"Bad date",IF(P1269="","NAME NOT ON ROSTER",IF(L1269="","OK",IF(MATCH(L1269,$L$2:$L$3001,0)&lt;ROW()-1,"Duplicate (ignored)","OK"))))))))</f>
        <v/>
      </c>
      <c r="I1269">
        <f>IF(OC_Date=0,"",IF(INDEX('OneCause_Paste'!$A$1269:$AZ$1269,1,OC_Date)="","",INDEX('OneCause_Paste'!$A$1269:$AZ$1269,1,OC_Date)))</f>
        <v/>
      </c>
      <c r="J1269">
        <f>IF(OC_Amt=0,"",IF(INDEX('OneCause_Paste'!$A$1269:$AZ$1269,1,OC_Amt)="","",INDEX('OneCause_Paste'!$A$1269:$AZ$1269,1,OC_Amt)))</f>
        <v/>
      </c>
      <c r="K1269">
        <f>IF(OC_Name=0,"",IF(INDEX('OneCause_Paste'!$A$1269:$AZ$1269,1,OC_Name)="","",INDEX('OneCause_Paste'!$A$1269:$AZ$1269,1,OC_Name)))</f>
        <v/>
      </c>
      <c r="L1269">
        <f>IF(OC_Txn=0,"",IF(INDEX('OneCause_Paste'!$A$1269:$AZ$1269,1,OC_Txn)="","",INDEX('OneCause_Paste'!$A$1269:$AZ$1269,1,OC_Txn)))</f>
        <v/>
      </c>
      <c r="M1269">
        <f>IF(OC_Pay=0,"",IF(INDEX('OneCause_Paste'!$A$1269:$AZ$1269,1,OC_Pay)="","",INDEX('OneCause_Paste'!$A$1269:$AZ$1269,1,OC_Pay)))</f>
        <v/>
      </c>
      <c r="N1269">
        <f>IF(I1269="","",IF(ISNUMBER(I1269),INT(I1269),IFERROR(INT(DATEVALUE(I1269)),IFERROR(INT(VALUE(I1269)),"bad"))))</f>
        <v/>
      </c>
      <c r="O1269">
        <f>IF(J1269="","",IF(ISNUMBER(J1269),ROUND(J1269,2),IFERROR(ROUND(VALUE(SUBSTITUTE(SUBSTITUTE(SUBSTITUTE(J1269,"$",""),",","")," ","")),2),"bad")))</f>
        <v/>
      </c>
      <c r="P1269">
        <f>IF(TRIM(K1269)="","",IFERROR(MATCH(LOWER(TRIM(K1269)),'Students'!$AH$2:$AH$701,0),IFERROR(MATCH(LOWER(TRIM(K1269)),'Students'!$AF$2:$AF$701,0),IFERROR(MATCH(LOWER(TRIM(K1269)),'Students'!$AG$2:$AG$701,0),""))))</f>
        <v/>
      </c>
      <c r="R1269">
        <f>IF(P1269="","",INDEX('Students'!$AD$2:$AD$701,P1269))</f>
        <v/>
      </c>
      <c r="S1269">
        <f>IF(H1269="OK",O1269,0)</f>
        <v/>
      </c>
      <c r="T1269">
        <f>IF(H1269="OK",N1269,"")</f>
        <v/>
      </c>
      <c r="U1269">
        <f>IF(OC_Donor=0,"",IF(INDEX('OneCause_Paste'!$A$1269:$AZ$1269,1,OC_Donor)="","",INDEX('OneCause_Paste'!$A$1269:$AZ$1269,1,OC_Donor)))</f>
        <v/>
      </c>
    </row>
    <row r="1270">
      <c r="A1270" s="62">
        <f>IF(H1270="","",IF(ISNUMBER(N1270),N1270,I1270))</f>
        <v/>
      </c>
      <c r="B1270">
        <f>IF(H1270="","",U1270)</f>
        <v/>
      </c>
      <c r="C1270">
        <f>IF(H1270="","",IF(P1270="",K1270,INDEX('Students'!$A$2:$A$701,P1270)))</f>
        <v/>
      </c>
      <c r="D1270">
        <f>IF(OR(H1270="",P1270=""),"",INDEX('Students'!$B$2:$B$701,P1270))</f>
        <v/>
      </c>
      <c r="E1270">
        <f>IF(OR(H1270="",P1270=""),"",INDEX('Students'!$C$2:$C$701,P1270))</f>
        <v/>
      </c>
      <c r="F1270" s="48">
        <f>IF(H1270="","",IF(ISNUMBER(O1270),O1270,J1270))</f>
        <v/>
      </c>
      <c r="G1270">
        <f>IF(H1270="","","OneCause")</f>
        <v/>
      </c>
      <c r="H1270">
        <f>IF(AND(I1270="",J1270="",K1270=""),"",IF(NOT(ISNUMBER(O1270)),"Bad amount",IF(O1270&lt;0,"Refund (not counted)",IF(O1270=0,"Zero amount",IF(NOT(ISNUMBER(N1270)),"Bad date",IF(P1270="","NAME NOT ON ROSTER",IF(L1270="","OK",IF(MATCH(L1270,$L$2:$L$3001,0)&lt;ROW()-1,"Duplicate (ignored)","OK"))))))))</f>
        <v/>
      </c>
      <c r="I1270">
        <f>IF(OC_Date=0,"",IF(INDEX('OneCause_Paste'!$A$1270:$AZ$1270,1,OC_Date)="","",INDEX('OneCause_Paste'!$A$1270:$AZ$1270,1,OC_Date)))</f>
        <v/>
      </c>
      <c r="J1270">
        <f>IF(OC_Amt=0,"",IF(INDEX('OneCause_Paste'!$A$1270:$AZ$1270,1,OC_Amt)="","",INDEX('OneCause_Paste'!$A$1270:$AZ$1270,1,OC_Amt)))</f>
        <v/>
      </c>
      <c r="K1270">
        <f>IF(OC_Name=0,"",IF(INDEX('OneCause_Paste'!$A$1270:$AZ$1270,1,OC_Name)="","",INDEX('OneCause_Paste'!$A$1270:$AZ$1270,1,OC_Name)))</f>
        <v/>
      </c>
      <c r="L1270">
        <f>IF(OC_Txn=0,"",IF(INDEX('OneCause_Paste'!$A$1270:$AZ$1270,1,OC_Txn)="","",INDEX('OneCause_Paste'!$A$1270:$AZ$1270,1,OC_Txn)))</f>
        <v/>
      </c>
      <c r="M1270">
        <f>IF(OC_Pay=0,"",IF(INDEX('OneCause_Paste'!$A$1270:$AZ$1270,1,OC_Pay)="","",INDEX('OneCause_Paste'!$A$1270:$AZ$1270,1,OC_Pay)))</f>
        <v/>
      </c>
      <c r="N1270">
        <f>IF(I1270="","",IF(ISNUMBER(I1270),INT(I1270),IFERROR(INT(DATEVALUE(I1270)),IFERROR(INT(VALUE(I1270)),"bad"))))</f>
        <v/>
      </c>
      <c r="O1270">
        <f>IF(J1270="","",IF(ISNUMBER(J1270),ROUND(J1270,2),IFERROR(ROUND(VALUE(SUBSTITUTE(SUBSTITUTE(SUBSTITUTE(J1270,"$",""),",","")," ","")),2),"bad")))</f>
        <v/>
      </c>
      <c r="P1270">
        <f>IF(TRIM(K1270)="","",IFERROR(MATCH(LOWER(TRIM(K1270)),'Students'!$AH$2:$AH$701,0),IFERROR(MATCH(LOWER(TRIM(K1270)),'Students'!$AF$2:$AF$701,0),IFERROR(MATCH(LOWER(TRIM(K1270)),'Students'!$AG$2:$AG$701,0),""))))</f>
        <v/>
      </c>
      <c r="R1270">
        <f>IF(P1270="","",INDEX('Students'!$AD$2:$AD$701,P1270))</f>
        <v/>
      </c>
      <c r="S1270">
        <f>IF(H1270="OK",O1270,0)</f>
        <v/>
      </c>
      <c r="T1270">
        <f>IF(H1270="OK",N1270,"")</f>
        <v/>
      </c>
      <c r="U1270">
        <f>IF(OC_Donor=0,"",IF(INDEX('OneCause_Paste'!$A$1270:$AZ$1270,1,OC_Donor)="","",INDEX('OneCause_Paste'!$A$1270:$AZ$1270,1,OC_Donor)))</f>
        <v/>
      </c>
    </row>
    <row r="1271">
      <c r="A1271" s="62">
        <f>IF(H1271="","",IF(ISNUMBER(N1271),N1271,I1271))</f>
        <v/>
      </c>
      <c r="B1271">
        <f>IF(H1271="","",U1271)</f>
        <v/>
      </c>
      <c r="C1271">
        <f>IF(H1271="","",IF(P1271="",K1271,INDEX('Students'!$A$2:$A$701,P1271)))</f>
        <v/>
      </c>
      <c r="D1271">
        <f>IF(OR(H1271="",P1271=""),"",INDEX('Students'!$B$2:$B$701,P1271))</f>
        <v/>
      </c>
      <c r="E1271">
        <f>IF(OR(H1271="",P1271=""),"",INDEX('Students'!$C$2:$C$701,P1271))</f>
        <v/>
      </c>
      <c r="F1271" s="48">
        <f>IF(H1271="","",IF(ISNUMBER(O1271),O1271,J1271))</f>
        <v/>
      </c>
      <c r="G1271">
        <f>IF(H1271="","","OneCause")</f>
        <v/>
      </c>
      <c r="H1271">
        <f>IF(AND(I1271="",J1271="",K1271=""),"",IF(NOT(ISNUMBER(O1271)),"Bad amount",IF(O1271&lt;0,"Refund (not counted)",IF(O1271=0,"Zero amount",IF(NOT(ISNUMBER(N1271)),"Bad date",IF(P1271="","NAME NOT ON ROSTER",IF(L1271="","OK",IF(MATCH(L1271,$L$2:$L$3001,0)&lt;ROW()-1,"Duplicate (ignored)","OK"))))))))</f>
        <v/>
      </c>
      <c r="I1271">
        <f>IF(OC_Date=0,"",IF(INDEX('OneCause_Paste'!$A$1271:$AZ$1271,1,OC_Date)="","",INDEX('OneCause_Paste'!$A$1271:$AZ$1271,1,OC_Date)))</f>
        <v/>
      </c>
      <c r="J1271">
        <f>IF(OC_Amt=0,"",IF(INDEX('OneCause_Paste'!$A$1271:$AZ$1271,1,OC_Amt)="","",INDEX('OneCause_Paste'!$A$1271:$AZ$1271,1,OC_Amt)))</f>
        <v/>
      </c>
      <c r="K1271">
        <f>IF(OC_Name=0,"",IF(INDEX('OneCause_Paste'!$A$1271:$AZ$1271,1,OC_Name)="","",INDEX('OneCause_Paste'!$A$1271:$AZ$1271,1,OC_Name)))</f>
        <v/>
      </c>
      <c r="L1271">
        <f>IF(OC_Txn=0,"",IF(INDEX('OneCause_Paste'!$A$1271:$AZ$1271,1,OC_Txn)="","",INDEX('OneCause_Paste'!$A$1271:$AZ$1271,1,OC_Txn)))</f>
        <v/>
      </c>
      <c r="M1271">
        <f>IF(OC_Pay=0,"",IF(INDEX('OneCause_Paste'!$A$1271:$AZ$1271,1,OC_Pay)="","",INDEX('OneCause_Paste'!$A$1271:$AZ$1271,1,OC_Pay)))</f>
        <v/>
      </c>
      <c r="N1271">
        <f>IF(I1271="","",IF(ISNUMBER(I1271),INT(I1271),IFERROR(INT(DATEVALUE(I1271)),IFERROR(INT(VALUE(I1271)),"bad"))))</f>
        <v/>
      </c>
      <c r="O1271">
        <f>IF(J1271="","",IF(ISNUMBER(J1271),ROUND(J1271,2),IFERROR(ROUND(VALUE(SUBSTITUTE(SUBSTITUTE(SUBSTITUTE(J1271,"$",""),",","")," ","")),2),"bad")))</f>
        <v/>
      </c>
      <c r="P1271">
        <f>IF(TRIM(K1271)="","",IFERROR(MATCH(LOWER(TRIM(K1271)),'Students'!$AH$2:$AH$701,0),IFERROR(MATCH(LOWER(TRIM(K1271)),'Students'!$AF$2:$AF$701,0),IFERROR(MATCH(LOWER(TRIM(K1271)),'Students'!$AG$2:$AG$701,0),""))))</f>
        <v/>
      </c>
      <c r="R1271">
        <f>IF(P1271="","",INDEX('Students'!$AD$2:$AD$701,P1271))</f>
        <v/>
      </c>
      <c r="S1271">
        <f>IF(H1271="OK",O1271,0)</f>
        <v/>
      </c>
      <c r="T1271">
        <f>IF(H1271="OK",N1271,"")</f>
        <v/>
      </c>
      <c r="U1271">
        <f>IF(OC_Donor=0,"",IF(INDEX('OneCause_Paste'!$A$1271:$AZ$1271,1,OC_Donor)="","",INDEX('OneCause_Paste'!$A$1271:$AZ$1271,1,OC_Donor)))</f>
        <v/>
      </c>
    </row>
    <row r="1272">
      <c r="A1272" s="62">
        <f>IF(H1272="","",IF(ISNUMBER(N1272),N1272,I1272))</f>
        <v/>
      </c>
      <c r="B1272">
        <f>IF(H1272="","",U1272)</f>
        <v/>
      </c>
      <c r="C1272">
        <f>IF(H1272="","",IF(P1272="",K1272,INDEX('Students'!$A$2:$A$701,P1272)))</f>
        <v/>
      </c>
      <c r="D1272">
        <f>IF(OR(H1272="",P1272=""),"",INDEX('Students'!$B$2:$B$701,P1272))</f>
        <v/>
      </c>
      <c r="E1272">
        <f>IF(OR(H1272="",P1272=""),"",INDEX('Students'!$C$2:$C$701,P1272))</f>
        <v/>
      </c>
      <c r="F1272" s="48">
        <f>IF(H1272="","",IF(ISNUMBER(O1272),O1272,J1272))</f>
        <v/>
      </c>
      <c r="G1272">
        <f>IF(H1272="","","OneCause")</f>
        <v/>
      </c>
      <c r="H1272">
        <f>IF(AND(I1272="",J1272="",K1272=""),"",IF(NOT(ISNUMBER(O1272)),"Bad amount",IF(O1272&lt;0,"Refund (not counted)",IF(O1272=0,"Zero amount",IF(NOT(ISNUMBER(N1272)),"Bad date",IF(P1272="","NAME NOT ON ROSTER",IF(L1272="","OK",IF(MATCH(L1272,$L$2:$L$3001,0)&lt;ROW()-1,"Duplicate (ignored)","OK"))))))))</f>
        <v/>
      </c>
      <c r="I1272">
        <f>IF(OC_Date=0,"",IF(INDEX('OneCause_Paste'!$A$1272:$AZ$1272,1,OC_Date)="","",INDEX('OneCause_Paste'!$A$1272:$AZ$1272,1,OC_Date)))</f>
        <v/>
      </c>
      <c r="J1272">
        <f>IF(OC_Amt=0,"",IF(INDEX('OneCause_Paste'!$A$1272:$AZ$1272,1,OC_Amt)="","",INDEX('OneCause_Paste'!$A$1272:$AZ$1272,1,OC_Amt)))</f>
        <v/>
      </c>
      <c r="K1272">
        <f>IF(OC_Name=0,"",IF(INDEX('OneCause_Paste'!$A$1272:$AZ$1272,1,OC_Name)="","",INDEX('OneCause_Paste'!$A$1272:$AZ$1272,1,OC_Name)))</f>
        <v/>
      </c>
      <c r="L1272">
        <f>IF(OC_Txn=0,"",IF(INDEX('OneCause_Paste'!$A$1272:$AZ$1272,1,OC_Txn)="","",INDEX('OneCause_Paste'!$A$1272:$AZ$1272,1,OC_Txn)))</f>
        <v/>
      </c>
      <c r="M1272">
        <f>IF(OC_Pay=0,"",IF(INDEX('OneCause_Paste'!$A$1272:$AZ$1272,1,OC_Pay)="","",INDEX('OneCause_Paste'!$A$1272:$AZ$1272,1,OC_Pay)))</f>
        <v/>
      </c>
      <c r="N1272">
        <f>IF(I1272="","",IF(ISNUMBER(I1272),INT(I1272),IFERROR(INT(DATEVALUE(I1272)),IFERROR(INT(VALUE(I1272)),"bad"))))</f>
        <v/>
      </c>
      <c r="O1272">
        <f>IF(J1272="","",IF(ISNUMBER(J1272),ROUND(J1272,2),IFERROR(ROUND(VALUE(SUBSTITUTE(SUBSTITUTE(SUBSTITUTE(J1272,"$",""),",","")," ","")),2),"bad")))</f>
        <v/>
      </c>
      <c r="P1272">
        <f>IF(TRIM(K1272)="","",IFERROR(MATCH(LOWER(TRIM(K1272)),'Students'!$AH$2:$AH$701,0),IFERROR(MATCH(LOWER(TRIM(K1272)),'Students'!$AF$2:$AF$701,0),IFERROR(MATCH(LOWER(TRIM(K1272)),'Students'!$AG$2:$AG$701,0),""))))</f>
        <v/>
      </c>
      <c r="R1272">
        <f>IF(P1272="","",INDEX('Students'!$AD$2:$AD$701,P1272))</f>
        <v/>
      </c>
      <c r="S1272">
        <f>IF(H1272="OK",O1272,0)</f>
        <v/>
      </c>
      <c r="T1272">
        <f>IF(H1272="OK",N1272,"")</f>
        <v/>
      </c>
      <c r="U1272">
        <f>IF(OC_Donor=0,"",IF(INDEX('OneCause_Paste'!$A$1272:$AZ$1272,1,OC_Donor)="","",INDEX('OneCause_Paste'!$A$1272:$AZ$1272,1,OC_Donor)))</f>
        <v/>
      </c>
    </row>
    <row r="1273">
      <c r="A1273" s="62">
        <f>IF(H1273="","",IF(ISNUMBER(N1273),N1273,I1273))</f>
        <v/>
      </c>
      <c r="B1273">
        <f>IF(H1273="","",U1273)</f>
        <v/>
      </c>
      <c r="C1273">
        <f>IF(H1273="","",IF(P1273="",K1273,INDEX('Students'!$A$2:$A$701,P1273)))</f>
        <v/>
      </c>
      <c r="D1273">
        <f>IF(OR(H1273="",P1273=""),"",INDEX('Students'!$B$2:$B$701,P1273))</f>
        <v/>
      </c>
      <c r="E1273">
        <f>IF(OR(H1273="",P1273=""),"",INDEX('Students'!$C$2:$C$701,P1273))</f>
        <v/>
      </c>
      <c r="F1273" s="48">
        <f>IF(H1273="","",IF(ISNUMBER(O1273),O1273,J1273))</f>
        <v/>
      </c>
      <c r="G1273">
        <f>IF(H1273="","","OneCause")</f>
        <v/>
      </c>
      <c r="H1273">
        <f>IF(AND(I1273="",J1273="",K1273=""),"",IF(NOT(ISNUMBER(O1273)),"Bad amount",IF(O1273&lt;0,"Refund (not counted)",IF(O1273=0,"Zero amount",IF(NOT(ISNUMBER(N1273)),"Bad date",IF(P1273="","NAME NOT ON ROSTER",IF(L1273="","OK",IF(MATCH(L1273,$L$2:$L$3001,0)&lt;ROW()-1,"Duplicate (ignored)","OK"))))))))</f>
        <v/>
      </c>
      <c r="I1273">
        <f>IF(OC_Date=0,"",IF(INDEX('OneCause_Paste'!$A$1273:$AZ$1273,1,OC_Date)="","",INDEX('OneCause_Paste'!$A$1273:$AZ$1273,1,OC_Date)))</f>
        <v/>
      </c>
      <c r="J1273">
        <f>IF(OC_Amt=0,"",IF(INDEX('OneCause_Paste'!$A$1273:$AZ$1273,1,OC_Amt)="","",INDEX('OneCause_Paste'!$A$1273:$AZ$1273,1,OC_Amt)))</f>
        <v/>
      </c>
      <c r="K1273">
        <f>IF(OC_Name=0,"",IF(INDEX('OneCause_Paste'!$A$1273:$AZ$1273,1,OC_Name)="","",INDEX('OneCause_Paste'!$A$1273:$AZ$1273,1,OC_Name)))</f>
        <v/>
      </c>
      <c r="L1273">
        <f>IF(OC_Txn=0,"",IF(INDEX('OneCause_Paste'!$A$1273:$AZ$1273,1,OC_Txn)="","",INDEX('OneCause_Paste'!$A$1273:$AZ$1273,1,OC_Txn)))</f>
        <v/>
      </c>
      <c r="M1273">
        <f>IF(OC_Pay=0,"",IF(INDEX('OneCause_Paste'!$A$1273:$AZ$1273,1,OC_Pay)="","",INDEX('OneCause_Paste'!$A$1273:$AZ$1273,1,OC_Pay)))</f>
        <v/>
      </c>
      <c r="N1273">
        <f>IF(I1273="","",IF(ISNUMBER(I1273),INT(I1273),IFERROR(INT(DATEVALUE(I1273)),IFERROR(INT(VALUE(I1273)),"bad"))))</f>
        <v/>
      </c>
      <c r="O1273">
        <f>IF(J1273="","",IF(ISNUMBER(J1273),ROUND(J1273,2),IFERROR(ROUND(VALUE(SUBSTITUTE(SUBSTITUTE(SUBSTITUTE(J1273,"$",""),",","")," ","")),2),"bad")))</f>
        <v/>
      </c>
      <c r="P1273">
        <f>IF(TRIM(K1273)="","",IFERROR(MATCH(LOWER(TRIM(K1273)),'Students'!$AH$2:$AH$701,0),IFERROR(MATCH(LOWER(TRIM(K1273)),'Students'!$AF$2:$AF$701,0),IFERROR(MATCH(LOWER(TRIM(K1273)),'Students'!$AG$2:$AG$701,0),""))))</f>
        <v/>
      </c>
      <c r="R1273">
        <f>IF(P1273="","",INDEX('Students'!$AD$2:$AD$701,P1273))</f>
        <v/>
      </c>
      <c r="S1273">
        <f>IF(H1273="OK",O1273,0)</f>
        <v/>
      </c>
      <c r="T1273">
        <f>IF(H1273="OK",N1273,"")</f>
        <v/>
      </c>
      <c r="U1273">
        <f>IF(OC_Donor=0,"",IF(INDEX('OneCause_Paste'!$A$1273:$AZ$1273,1,OC_Donor)="","",INDEX('OneCause_Paste'!$A$1273:$AZ$1273,1,OC_Donor)))</f>
        <v/>
      </c>
    </row>
    <row r="1274">
      <c r="A1274" s="62">
        <f>IF(H1274="","",IF(ISNUMBER(N1274),N1274,I1274))</f>
        <v/>
      </c>
      <c r="B1274">
        <f>IF(H1274="","",U1274)</f>
        <v/>
      </c>
      <c r="C1274">
        <f>IF(H1274="","",IF(P1274="",K1274,INDEX('Students'!$A$2:$A$701,P1274)))</f>
        <v/>
      </c>
      <c r="D1274">
        <f>IF(OR(H1274="",P1274=""),"",INDEX('Students'!$B$2:$B$701,P1274))</f>
        <v/>
      </c>
      <c r="E1274">
        <f>IF(OR(H1274="",P1274=""),"",INDEX('Students'!$C$2:$C$701,P1274))</f>
        <v/>
      </c>
      <c r="F1274" s="48">
        <f>IF(H1274="","",IF(ISNUMBER(O1274),O1274,J1274))</f>
        <v/>
      </c>
      <c r="G1274">
        <f>IF(H1274="","","OneCause")</f>
        <v/>
      </c>
      <c r="H1274">
        <f>IF(AND(I1274="",J1274="",K1274=""),"",IF(NOT(ISNUMBER(O1274)),"Bad amount",IF(O1274&lt;0,"Refund (not counted)",IF(O1274=0,"Zero amount",IF(NOT(ISNUMBER(N1274)),"Bad date",IF(P1274="","NAME NOT ON ROSTER",IF(L1274="","OK",IF(MATCH(L1274,$L$2:$L$3001,0)&lt;ROW()-1,"Duplicate (ignored)","OK"))))))))</f>
        <v/>
      </c>
      <c r="I1274">
        <f>IF(OC_Date=0,"",IF(INDEX('OneCause_Paste'!$A$1274:$AZ$1274,1,OC_Date)="","",INDEX('OneCause_Paste'!$A$1274:$AZ$1274,1,OC_Date)))</f>
        <v/>
      </c>
      <c r="J1274">
        <f>IF(OC_Amt=0,"",IF(INDEX('OneCause_Paste'!$A$1274:$AZ$1274,1,OC_Amt)="","",INDEX('OneCause_Paste'!$A$1274:$AZ$1274,1,OC_Amt)))</f>
        <v/>
      </c>
      <c r="K1274">
        <f>IF(OC_Name=0,"",IF(INDEX('OneCause_Paste'!$A$1274:$AZ$1274,1,OC_Name)="","",INDEX('OneCause_Paste'!$A$1274:$AZ$1274,1,OC_Name)))</f>
        <v/>
      </c>
      <c r="L1274">
        <f>IF(OC_Txn=0,"",IF(INDEX('OneCause_Paste'!$A$1274:$AZ$1274,1,OC_Txn)="","",INDEX('OneCause_Paste'!$A$1274:$AZ$1274,1,OC_Txn)))</f>
        <v/>
      </c>
      <c r="M1274">
        <f>IF(OC_Pay=0,"",IF(INDEX('OneCause_Paste'!$A$1274:$AZ$1274,1,OC_Pay)="","",INDEX('OneCause_Paste'!$A$1274:$AZ$1274,1,OC_Pay)))</f>
        <v/>
      </c>
      <c r="N1274">
        <f>IF(I1274="","",IF(ISNUMBER(I1274),INT(I1274),IFERROR(INT(DATEVALUE(I1274)),IFERROR(INT(VALUE(I1274)),"bad"))))</f>
        <v/>
      </c>
      <c r="O1274">
        <f>IF(J1274="","",IF(ISNUMBER(J1274),ROUND(J1274,2),IFERROR(ROUND(VALUE(SUBSTITUTE(SUBSTITUTE(SUBSTITUTE(J1274,"$",""),",","")," ","")),2),"bad")))</f>
        <v/>
      </c>
      <c r="P1274">
        <f>IF(TRIM(K1274)="","",IFERROR(MATCH(LOWER(TRIM(K1274)),'Students'!$AH$2:$AH$701,0),IFERROR(MATCH(LOWER(TRIM(K1274)),'Students'!$AF$2:$AF$701,0),IFERROR(MATCH(LOWER(TRIM(K1274)),'Students'!$AG$2:$AG$701,0),""))))</f>
        <v/>
      </c>
      <c r="R1274">
        <f>IF(P1274="","",INDEX('Students'!$AD$2:$AD$701,P1274))</f>
        <v/>
      </c>
      <c r="S1274">
        <f>IF(H1274="OK",O1274,0)</f>
        <v/>
      </c>
      <c r="T1274">
        <f>IF(H1274="OK",N1274,"")</f>
        <v/>
      </c>
      <c r="U1274">
        <f>IF(OC_Donor=0,"",IF(INDEX('OneCause_Paste'!$A$1274:$AZ$1274,1,OC_Donor)="","",INDEX('OneCause_Paste'!$A$1274:$AZ$1274,1,OC_Donor)))</f>
        <v/>
      </c>
    </row>
    <row r="1275">
      <c r="A1275" s="62">
        <f>IF(H1275="","",IF(ISNUMBER(N1275),N1275,I1275))</f>
        <v/>
      </c>
      <c r="B1275">
        <f>IF(H1275="","",U1275)</f>
        <v/>
      </c>
      <c r="C1275">
        <f>IF(H1275="","",IF(P1275="",K1275,INDEX('Students'!$A$2:$A$701,P1275)))</f>
        <v/>
      </c>
      <c r="D1275">
        <f>IF(OR(H1275="",P1275=""),"",INDEX('Students'!$B$2:$B$701,P1275))</f>
        <v/>
      </c>
      <c r="E1275">
        <f>IF(OR(H1275="",P1275=""),"",INDEX('Students'!$C$2:$C$701,P1275))</f>
        <v/>
      </c>
      <c r="F1275" s="48">
        <f>IF(H1275="","",IF(ISNUMBER(O1275),O1275,J1275))</f>
        <v/>
      </c>
      <c r="G1275">
        <f>IF(H1275="","","OneCause")</f>
        <v/>
      </c>
      <c r="H1275">
        <f>IF(AND(I1275="",J1275="",K1275=""),"",IF(NOT(ISNUMBER(O1275)),"Bad amount",IF(O1275&lt;0,"Refund (not counted)",IF(O1275=0,"Zero amount",IF(NOT(ISNUMBER(N1275)),"Bad date",IF(P1275="","NAME NOT ON ROSTER",IF(L1275="","OK",IF(MATCH(L1275,$L$2:$L$3001,0)&lt;ROW()-1,"Duplicate (ignored)","OK"))))))))</f>
        <v/>
      </c>
      <c r="I1275">
        <f>IF(OC_Date=0,"",IF(INDEX('OneCause_Paste'!$A$1275:$AZ$1275,1,OC_Date)="","",INDEX('OneCause_Paste'!$A$1275:$AZ$1275,1,OC_Date)))</f>
        <v/>
      </c>
      <c r="J1275">
        <f>IF(OC_Amt=0,"",IF(INDEX('OneCause_Paste'!$A$1275:$AZ$1275,1,OC_Amt)="","",INDEX('OneCause_Paste'!$A$1275:$AZ$1275,1,OC_Amt)))</f>
        <v/>
      </c>
      <c r="K1275">
        <f>IF(OC_Name=0,"",IF(INDEX('OneCause_Paste'!$A$1275:$AZ$1275,1,OC_Name)="","",INDEX('OneCause_Paste'!$A$1275:$AZ$1275,1,OC_Name)))</f>
        <v/>
      </c>
      <c r="L1275">
        <f>IF(OC_Txn=0,"",IF(INDEX('OneCause_Paste'!$A$1275:$AZ$1275,1,OC_Txn)="","",INDEX('OneCause_Paste'!$A$1275:$AZ$1275,1,OC_Txn)))</f>
        <v/>
      </c>
      <c r="M1275">
        <f>IF(OC_Pay=0,"",IF(INDEX('OneCause_Paste'!$A$1275:$AZ$1275,1,OC_Pay)="","",INDEX('OneCause_Paste'!$A$1275:$AZ$1275,1,OC_Pay)))</f>
        <v/>
      </c>
      <c r="N1275">
        <f>IF(I1275="","",IF(ISNUMBER(I1275),INT(I1275),IFERROR(INT(DATEVALUE(I1275)),IFERROR(INT(VALUE(I1275)),"bad"))))</f>
        <v/>
      </c>
      <c r="O1275">
        <f>IF(J1275="","",IF(ISNUMBER(J1275),ROUND(J1275,2),IFERROR(ROUND(VALUE(SUBSTITUTE(SUBSTITUTE(SUBSTITUTE(J1275,"$",""),",","")," ","")),2),"bad")))</f>
        <v/>
      </c>
      <c r="P1275">
        <f>IF(TRIM(K1275)="","",IFERROR(MATCH(LOWER(TRIM(K1275)),'Students'!$AH$2:$AH$701,0),IFERROR(MATCH(LOWER(TRIM(K1275)),'Students'!$AF$2:$AF$701,0),IFERROR(MATCH(LOWER(TRIM(K1275)),'Students'!$AG$2:$AG$701,0),""))))</f>
        <v/>
      </c>
      <c r="R1275">
        <f>IF(P1275="","",INDEX('Students'!$AD$2:$AD$701,P1275))</f>
        <v/>
      </c>
      <c r="S1275">
        <f>IF(H1275="OK",O1275,0)</f>
        <v/>
      </c>
      <c r="T1275">
        <f>IF(H1275="OK",N1275,"")</f>
        <v/>
      </c>
      <c r="U1275">
        <f>IF(OC_Donor=0,"",IF(INDEX('OneCause_Paste'!$A$1275:$AZ$1275,1,OC_Donor)="","",INDEX('OneCause_Paste'!$A$1275:$AZ$1275,1,OC_Donor)))</f>
        <v/>
      </c>
    </row>
    <row r="1276">
      <c r="A1276" s="62">
        <f>IF(H1276="","",IF(ISNUMBER(N1276),N1276,I1276))</f>
        <v/>
      </c>
      <c r="B1276">
        <f>IF(H1276="","",U1276)</f>
        <v/>
      </c>
      <c r="C1276">
        <f>IF(H1276="","",IF(P1276="",K1276,INDEX('Students'!$A$2:$A$701,P1276)))</f>
        <v/>
      </c>
      <c r="D1276">
        <f>IF(OR(H1276="",P1276=""),"",INDEX('Students'!$B$2:$B$701,P1276))</f>
        <v/>
      </c>
      <c r="E1276">
        <f>IF(OR(H1276="",P1276=""),"",INDEX('Students'!$C$2:$C$701,P1276))</f>
        <v/>
      </c>
      <c r="F1276" s="48">
        <f>IF(H1276="","",IF(ISNUMBER(O1276),O1276,J1276))</f>
        <v/>
      </c>
      <c r="G1276">
        <f>IF(H1276="","","OneCause")</f>
        <v/>
      </c>
      <c r="H1276">
        <f>IF(AND(I1276="",J1276="",K1276=""),"",IF(NOT(ISNUMBER(O1276)),"Bad amount",IF(O1276&lt;0,"Refund (not counted)",IF(O1276=0,"Zero amount",IF(NOT(ISNUMBER(N1276)),"Bad date",IF(P1276="","NAME NOT ON ROSTER",IF(L1276="","OK",IF(MATCH(L1276,$L$2:$L$3001,0)&lt;ROW()-1,"Duplicate (ignored)","OK"))))))))</f>
        <v/>
      </c>
      <c r="I1276">
        <f>IF(OC_Date=0,"",IF(INDEX('OneCause_Paste'!$A$1276:$AZ$1276,1,OC_Date)="","",INDEX('OneCause_Paste'!$A$1276:$AZ$1276,1,OC_Date)))</f>
        <v/>
      </c>
      <c r="J1276">
        <f>IF(OC_Amt=0,"",IF(INDEX('OneCause_Paste'!$A$1276:$AZ$1276,1,OC_Amt)="","",INDEX('OneCause_Paste'!$A$1276:$AZ$1276,1,OC_Amt)))</f>
        <v/>
      </c>
      <c r="K1276">
        <f>IF(OC_Name=0,"",IF(INDEX('OneCause_Paste'!$A$1276:$AZ$1276,1,OC_Name)="","",INDEX('OneCause_Paste'!$A$1276:$AZ$1276,1,OC_Name)))</f>
        <v/>
      </c>
      <c r="L1276">
        <f>IF(OC_Txn=0,"",IF(INDEX('OneCause_Paste'!$A$1276:$AZ$1276,1,OC_Txn)="","",INDEX('OneCause_Paste'!$A$1276:$AZ$1276,1,OC_Txn)))</f>
        <v/>
      </c>
      <c r="M1276">
        <f>IF(OC_Pay=0,"",IF(INDEX('OneCause_Paste'!$A$1276:$AZ$1276,1,OC_Pay)="","",INDEX('OneCause_Paste'!$A$1276:$AZ$1276,1,OC_Pay)))</f>
        <v/>
      </c>
      <c r="N1276">
        <f>IF(I1276="","",IF(ISNUMBER(I1276),INT(I1276),IFERROR(INT(DATEVALUE(I1276)),IFERROR(INT(VALUE(I1276)),"bad"))))</f>
        <v/>
      </c>
      <c r="O1276">
        <f>IF(J1276="","",IF(ISNUMBER(J1276),ROUND(J1276,2),IFERROR(ROUND(VALUE(SUBSTITUTE(SUBSTITUTE(SUBSTITUTE(J1276,"$",""),",","")," ","")),2),"bad")))</f>
        <v/>
      </c>
      <c r="P1276">
        <f>IF(TRIM(K1276)="","",IFERROR(MATCH(LOWER(TRIM(K1276)),'Students'!$AH$2:$AH$701,0),IFERROR(MATCH(LOWER(TRIM(K1276)),'Students'!$AF$2:$AF$701,0),IFERROR(MATCH(LOWER(TRIM(K1276)),'Students'!$AG$2:$AG$701,0),""))))</f>
        <v/>
      </c>
      <c r="R1276">
        <f>IF(P1276="","",INDEX('Students'!$AD$2:$AD$701,P1276))</f>
        <v/>
      </c>
      <c r="S1276">
        <f>IF(H1276="OK",O1276,0)</f>
        <v/>
      </c>
      <c r="T1276">
        <f>IF(H1276="OK",N1276,"")</f>
        <v/>
      </c>
      <c r="U1276">
        <f>IF(OC_Donor=0,"",IF(INDEX('OneCause_Paste'!$A$1276:$AZ$1276,1,OC_Donor)="","",INDEX('OneCause_Paste'!$A$1276:$AZ$1276,1,OC_Donor)))</f>
        <v/>
      </c>
    </row>
    <row r="1277">
      <c r="A1277" s="62">
        <f>IF(H1277="","",IF(ISNUMBER(N1277),N1277,I1277))</f>
        <v/>
      </c>
      <c r="B1277">
        <f>IF(H1277="","",U1277)</f>
        <v/>
      </c>
      <c r="C1277">
        <f>IF(H1277="","",IF(P1277="",K1277,INDEX('Students'!$A$2:$A$701,P1277)))</f>
        <v/>
      </c>
      <c r="D1277">
        <f>IF(OR(H1277="",P1277=""),"",INDEX('Students'!$B$2:$B$701,P1277))</f>
        <v/>
      </c>
      <c r="E1277">
        <f>IF(OR(H1277="",P1277=""),"",INDEX('Students'!$C$2:$C$701,P1277))</f>
        <v/>
      </c>
      <c r="F1277" s="48">
        <f>IF(H1277="","",IF(ISNUMBER(O1277),O1277,J1277))</f>
        <v/>
      </c>
      <c r="G1277">
        <f>IF(H1277="","","OneCause")</f>
        <v/>
      </c>
      <c r="H1277">
        <f>IF(AND(I1277="",J1277="",K1277=""),"",IF(NOT(ISNUMBER(O1277)),"Bad amount",IF(O1277&lt;0,"Refund (not counted)",IF(O1277=0,"Zero amount",IF(NOT(ISNUMBER(N1277)),"Bad date",IF(P1277="","NAME NOT ON ROSTER",IF(L1277="","OK",IF(MATCH(L1277,$L$2:$L$3001,0)&lt;ROW()-1,"Duplicate (ignored)","OK"))))))))</f>
        <v/>
      </c>
      <c r="I1277">
        <f>IF(OC_Date=0,"",IF(INDEX('OneCause_Paste'!$A$1277:$AZ$1277,1,OC_Date)="","",INDEX('OneCause_Paste'!$A$1277:$AZ$1277,1,OC_Date)))</f>
        <v/>
      </c>
      <c r="J1277">
        <f>IF(OC_Amt=0,"",IF(INDEX('OneCause_Paste'!$A$1277:$AZ$1277,1,OC_Amt)="","",INDEX('OneCause_Paste'!$A$1277:$AZ$1277,1,OC_Amt)))</f>
        <v/>
      </c>
      <c r="K1277">
        <f>IF(OC_Name=0,"",IF(INDEX('OneCause_Paste'!$A$1277:$AZ$1277,1,OC_Name)="","",INDEX('OneCause_Paste'!$A$1277:$AZ$1277,1,OC_Name)))</f>
        <v/>
      </c>
      <c r="L1277">
        <f>IF(OC_Txn=0,"",IF(INDEX('OneCause_Paste'!$A$1277:$AZ$1277,1,OC_Txn)="","",INDEX('OneCause_Paste'!$A$1277:$AZ$1277,1,OC_Txn)))</f>
        <v/>
      </c>
      <c r="M1277">
        <f>IF(OC_Pay=0,"",IF(INDEX('OneCause_Paste'!$A$1277:$AZ$1277,1,OC_Pay)="","",INDEX('OneCause_Paste'!$A$1277:$AZ$1277,1,OC_Pay)))</f>
        <v/>
      </c>
      <c r="N1277">
        <f>IF(I1277="","",IF(ISNUMBER(I1277),INT(I1277),IFERROR(INT(DATEVALUE(I1277)),IFERROR(INT(VALUE(I1277)),"bad"))))</f>
        <v/>
      </c>
      <c r="O1277">
        <f>IF(J1277="","",IF(ISNUMBER(J1277),ROUND(J1277,2),IFERROR(ROUND(VALUE(SUBSTITUTE(SUBSTITUTE(SUBSTITUTE(J1277,"$",""),",","")," ","")),2),"bad")))</f>
        <v/>
      </c>
      <c r="P1277">
        <f>IF(TRIM(K1277)="","",IFERROR(MATCH(LOWER(TRIM(K1277)),'Students'!$AH$2:$AH$701,0),IFERROR(MATCH(LOWER(TRIM(K1277)),'Students'!$AF$2:$AF$701,0),IFERROR(MATCH(LOWER(TRIM(K1277)),'Students'!$AG$2:$AG$701,0),""))))</f>
        <v/>
      </c>
      <c r="R1277">
        <f>IF(P1277="","",INDEX('Students'!$AD$2:$AD$701,P1277))</f>
        <v/>
      </c>
      <c r="S1277">
        <f>IF(H1277="OK",O1277,0)</f>
        <v/>
      </c>
      <c r="T1277">
        <f>IF(H1277="OK",N1277,"")</f>
        <v/>
      </c>
      <c r="U1277">
        <f>IF(OC_Donor=0,"",IF(INDEX('OneCause_Paste'!$A$1277:$AZ$1277,1,OC_Donor)="","",INDEX('OneCause_Paste'!$A$1277:$AZ$1277,1,OC_Donor)))</f>
        <v/>
      </c>
    </row>
    <row r="1278">
      <c r="A1278" s="62">
        <f>IF(H1278="","",IF(ISNUMBER(N1278),N1278,I1278))</f>
        <v/>
      </c>
      <c r="B1278">
        <f>IF(H1278="","",U1278)</f>
        <v/>
      </c>
      <c r="C1278">
        <f>IF(H1278="","",IF(P1278="",K1278,INDEX('Students'!$A$2:$A$701,P1278)))</f>
        <v/>
      </c>
      <c r="D1278">
        <f>IF(OR(H1278="",P1278=""),"",INDEX('Students'!$B$2:$B$701,P1278))</f>
        <v/>
      </c>
      <c r="E1278">
        <f>IF(OR(H1278="",P1278=""),"",INDEX('Students'!$C$2:$C$701,P1278))</f>
        <v/>
      </c>
      <c r="F1278" s="48">
        <f>IF(H1278="","",IF(ISNUMBER(O1278),O1278,J1278))</f>
        <v/>
      </c>
      <c r="G1278">
        <f>IF(H1278="","","OneCause")</f>
        <v/>
      </c>
      <c r="H1278">
        <f>IF(AND(I1278="",J1278="",K1278=""),"",IF(NOT(ISNUMBER(O1278)),"Bad amount",IF(O1278&lt;0,"Refund (not counted)",IF(O1278=0,"Zero amount",IF(NOT(ISNUMBER(N1278)),"Bad date",IF(P1278="","NAME NOT ON ROSTER",IF(L1278="","OK",IF(MATCH(L1278,$L$2:$L$3001,0)&lt;ROW()-1,"Duplicate (ignored)","OK"))))))))</f>
        <v/>
      </c>
      <c r="I1278">
        <f>IF(OC_Date=0,"",IF(INDEX('OneCause_Paste'!$A$1278:$AZ$1278,1,OC_Date)="","",INDEX('OneCause_Paste'!$A$1278:$AZ$1278,1,OC_Date)))</f>
        <v/>
      </c>
      <c r="J1278">
        <f>IF(OC_Amt=0,"",IF(INDEX('OneCause_Paste'!$A$1278:$AZ$1278,1,OC_Amt)="","",INDEX('OneCause_Paste'!$A$1278:$AZ$1278,1,OC_Amt)))</f>
        <v/>
      </c>
      <c r="K1278">
        <f>IF(OC_Name=0,"",IF(INDEX('OneCause_Paste'!$A$1278:$AZ$1278,1,OC_Name)="","",INDEX('OneCause_Paste'!$A$1278:$AZ$1278,1,OC_Name)))</f>
        <v/>
      </c>
      <c r="L1278">
        <f>IF(OC_Txn=0,"",IF(INDEX('OneCause_Paste'!$A$1278:$AZ$1278,1,OC_Txn)="","",INDEX('OneCause_Paste'!$A$1278:$AZ$1278,1,OC_Txn)))</f>
        <v/>
      </c>
      <c r="M1278">
        <f>IF(OC_Pay=0,"",IF(INDEX('OneCause_Paste'!$A$1278:$AZ$1278,1,OC_Pay)="","",INDEX('OneCause_Paste'!$A$1278:$AZ$1278,1,OC_Pay)))</f>
        <v/>
      </c>
      <c r="N1278">
        <f>IF(I1278="","",IF(ISNUMBER(I1278),INT(I1278),IFERROR(INT(DATEVALUE(I1278)),IFERROR(INT(VALUE(I1278)),"bad"))))</f>
        <v/>
      </c>
      <c r="O1278">
        <f>IF(J1278="","",IF(ISNUMBER(J1278),ROUND(J1278,2),IFERROR(ROUND(VALUE(SUBSTITUTE(SUBSTITUTE(SUBSTITUTE(J1278,"$",""),",","")," ","")),2),"bad")))</f>
        <v/>
      </c>
      <c r="P1278">
        <f>IF(TRIM(K1278)="","",IFERROR(MATCH(LOWER(TRIM(K1278)),'Students'!$AH$2:$AH$701,0),IFERROR(MATCH(LOWER(TRIM(K1278)),'Students'!$AF$2:$AF$701,0),IFERROR(MATCH(LOWER(TRIM(K1278)),'Students'!$AG$2:$AG$701,0),""))))</f>
        <v/>
      </c>
      <c r="R1278">
        <f>IF(P1278="","",INDEX('Students'!$AD$2:$AD$701,P1278))</f>
        <v/>
      </c>
      <c r="S1278">
        <f>IF(H1278="OK",O1278,0)</f>
        <v/>
      </c>
      <c r="T1278">
        <f>IF(H1278="OK",N1278,"")</f>
        <v/>
      </c>
      <c r="U1278">
        <f>IF(OC_Donor=0,"",IF(INDEX('OneCause_Paste'!$A$1278:$AZ$1278,1,OC_Donor)="","",INDEX('OneCause_Paste'!$A$1278:$AZ$1278,1,OC_Donor)))</f>
        <v/>
      </c>
    </row>
    <row r="1279">
      <c r="A1279" s="62">
        <f>IF(H1279="","",IF(ISNUMBER(N1279),N1279,I1279))</f>
        <v/>
      </c>
      <c r="B1279">
        <f>IF(H1279="","",U1279)</f>
        <v/>
      </c>
      <c r="C1279">
        <f>IF(H1279="","",IF(P1279="",K1279,INDEX('Students'!$A$2:$A$701,P1279)))</f>
        <v/>
      </c>
      <c r="D1279">
        <f>IF(OR(H1279="",P1279=""),"",INDEX('Students'!$B$2:$B$701,P1279))</f>
        <v/>
      </c>
      <c r="E1279">
        <f>IF(OR(H1279="",P1279=""),"",INDEX('Students'!$C$2:$C$701,P1279))</f>
        <v/>
      </c>
      <c r="F1279" s="48">
        <f>IF(H1279="","",IF(ISNUMBER(O1279),O1279,J1279))</f>
        <v/>
      </c>
      <c r="G1279">
        <f>IF(H1279="","","OneCause")</f>
        <v/>
      </c>
      <c r="H1279">
        <f>IF(AND(I1279="",J1279="",K1279=""),"",IF(NOT(ISNUMBER(O1279)),"Bad amount",IF(O1279&lt;0,"Refund (not counted)",IF(O1279=0,"Zero amount",IF(NOT(ISNUMBER(N1279)),"Bad date",IF(P1279="","NAME NOT ON ROSTER",IF(L1279="","OK",IF(MATCH(L1279,$L$2:$L$3001,0)&lt;ROW()-1,"Duplicate (ignored)","OK"))))))))</f>
        <v/>
      </c>
      <c r="I1279">
        <f>IF(OC_Date=0,"",IF(INDEX('OneCause_Paste'!$A$1279:$AZ$1279,1,OC_Date)="","",INDEX('OneCause_Paste'!$A$1279:$AZ$1279,1,OC_Date)))</f>
        <v/>
      </c>
      <c r="J1279">
        <f>IF(OC_Amt=0,"",IF(INDEX('OneCause_Paste'!$A$1279:$AZ$1279,1,OC_Amt)="","",INDEX('OneCause_Paste'!$A$1279:$AZ$1279,1,OC_Amt)))</f>
        <v/>
      </c>
      <c r="K1279">
        <f>IF(OC_Name=0,"",IF(INDEX('OneCause_Paste'!$A$1279:$AZ$1279,1,OC_Name)="","",INDEX('OneCause_Paste'!$A$1279:$AZ$1279,1,OC_Name)))</f>
        <v/>
      </c>
      <c r="L1279">
        <f>IF(OC_Txn=0,"",IF(INDEX('OneCause_Paste'!$A$1279:$AZ$1279,1,OC_Txn)="","",INDEX('OneCause_Paste'!$A$1279:$AZ$1279,1,OC_Txn)))</f>
        <v/>
      </c>
      <c r="M1279">
        <f>IF(OC_Pay=0,"",IF(INDEX('OneCause_Paste'!$A$1279:$AZ$1279,1,OC_Pay)="","",INDEX('OneCause_Paste'!$A$1279:$AZ$1279,1,OC_Pay)))</f>
        <v/>
      </c>
      <c r="N1279">
        <f>IF(I1279="","",IF(ISNUMBER(I1279),INT(I1279),IFERROR(INT(DATEVALUE(I1279)),IFERROR(INT(VALUE(I1279)),"bad"))))</f>
        <v/>
      </c>
      <c r="O1279">
        <f>IF(J1279="","",IF(ISNUMBER(J1279),ROUND(J1279,2),IFERROR(ROUND(VALUE(SUBSTITUTE(SUBSTITUTE(SUBSTITUTE(J1279,"$",""),",","")," ","")),2),"bad")))</f>
        <v/>
      </c>
      <c r="P1279">
        <f>IF(TRIM(K1279)="","",IFERROR(MATCH(LOWER(TRIM(K1279)),'Students'!$AH$2:$AH$701,0),IFERROR(MATCH(LOWER(TRIM(K1279)),'Students'!$AF$2:$AF$701,0),IFERROR(MATCH(LOWER(TRIM(K1279)),'Students'!$AG$2:$AG$701,0),""))))</f>
        <v/>
      </c>
      <c r="R1279">
        <f>IF(P1279="","",INDEX('Students'!$AD$2:$AD$701,P1279))</f>
        <v/>
      </c>
      <c r="S1279">
        <f>IF(H1279="OK",O1279,0)</f>
        <v/>
      </c>
      <c r="T1279">
        <f>IF(H1279="OK",N1279,"")</f>
        <v/>
      </c>
      <c r="U1279">
        <f>IF(OC_Donor=0,"",IF(INDEX('OneCause_Paste'!$A$1279:$AZ$1279,1,OC_Donor)="","",INDEX('OneCause_Paste'!$A$1279:$AZ$1279,1,OC_Donor)))</f>
        <v/>
      </c>
    </row>
    <row r="1280">
      <c r="A1280" s="62">
        <f>IF(H1280="","",IF(ISNUMBER(N1280),N1280,I1280))</f>
        <v/>
      </c>
      <c r="B1280">
        <f>IF(H1280="","",U1280)</f>
        <v/>
      </c>
      <c r="C1280">
        <f>IF(H1280="","",IF(P1280="",K1280,INDEX('Students'!$A$2:$A$701,P1280)))</f>
        <v/>
      </c>
      <c r="D1280">
        <f>IF(OR(H1280="",P1280=""),"",INDEX('Students'!$B$2:$B$701,P1280))</f>
        <v/>
      </c>
      <c r="E1280">
        <f>IF(OR(H1280="",P1280=""),"",INDEX('Students'!$C$2:$C$701,P1280))</f>
        <v/>
      </c>
      <c r="F1280" s="48">
        <f>IF(H1280="","",IF(ISNUMBER(O1280),O1280,J1280))</f>
        <v/>
      </c>
      <c r="G1280">
        <f>IF(H1280="","","OneCause")</f>
        <v/>
      </c>
      <c r="H1280">
        <f>IF(AND(I1280="",J1280="",K1280=""),"",IF(NOT(ISNUMBER(O1280)),"Bad amount",IF(O1280&lt;0,"Refund (not counted)",IF(O1280=0,"Zero amount",IF(NOT(ISNUMBER(N1280)),"Bad date",IF(P1280="","NAME NOT ON ROSTER",IF(L1280="","OK",IF(MATCH(L1280,$L$2:$L$3001,0)&lt;ROW()-1,"Duplicate (ignored)","OK"))))))))</f>
        <v/>
      </c>
      <c r="I1280">
        <f>IF(OC_Date=0,"",IF(INDEX('OneCause_Paste'!$A$1280:$AZ$1280,1,OC_Date)="","",INDEX('OneCause_Paste'!$A$1280:$AZ$1280,1,OC_Date)))</f>
        <v/>
      </c>
      <c r="J1280">
        <f>IF(OC_Amt=0,"",IF(INDEX('OneCause_Paste'!$A$1280:$AZ$1280,1,OC_Amt)="","",INDEX('OneCause_Paste'!$A$1280:$AZ$1280,1,OC_Amt)))</f>
        <v/>
      </c>
      <c r="K1280">
        <f>IF(OC_Name=0,"",IF(INDEX('OneCause_Paste'!$A$1280:$AZ$1280,1,OC_Name)="","",INDEX('OneCause_Paste'!$A$1280:$AZ$1280,1,OC_Name)))</f>
        <v/>
      </c>
      <c r="L1280">
        <f>IF(OC_Txn=0,"",IF(INDEX('OneCause_Paste'!$A$1280:$AZ$1280,1,OC_Txn)="","",INDEX('OneCause_Paste'!$A$1280:$AZ$1280,1,OC_Txn)))</f>
        <v/>
      </c>
      <c r="M1280">
        <f>IF(OC_Pay=0,"",IF(INDEX('OneCause_Paste'!$A$1280:$AZ$1280,1,OC_Pay)="","",INDEX('OneCause_Paste'!$A$1280:$AZ$1280,1,OC_Pay)))</f>
        <v/>
      </c>
      <c r="N1280">
        <f>IF(I1280="","",IF(ISNUMBER(I1280),INT(I1280),IFERROR(INT(DATEVALUE(I1280)),IFERROR(INT(VALUE(I1280)),"bad"))))</f>
        <v/>
      </c>
      <c r="O1280">
        <f>IF(J1280="","",IF(ISNUMBER(J1280),ROUND(J1280,2),IFERROR(ROUND(VALUE(SUBSTITUTE(SUBSTITUTE(SUBSTITUTE(J1280,"$",""),",","")," ","")),2),"bad")))</f>
        <v/>
      </c>
      <c r="P1280">
        <f>IF(TRIM(K1280)="","",IFERROR(MATCH(LOWER(TRIM(K1280)),'Students'!$AH$2:$AH$701,0),IFERROR(MATCH(LOWER(TRIM(K1280)),'Students'!$AF$2:$AF$701,0),IFERROR(MATCH(LOWER(TRIM(K1280)),'Students'!$AG$2:$AG$701,0),""))))</f>
        <v/>
      </c>
      <c r="R1280">
        <f>IF(P1280="","",INDEX('Students'!$AD$2:$AD$701,P1280))</f>
        <v/>
      </c>
      <c r="S1280">
        <f>IF(H1280="OK",O1280,0)</f>
        <v/>
      </c>
      <c r="T1280">
        <f>IF(H1280="OK",N1280,"")</f>
        <v/>
      </c>
      <c r="U1280">
        <f>IF(OC_Donor=0,"",IF(INDEX('OneCause_Paste'!$A$1280:$AZ$1280,1,OC_Donor)="","",INDEX('OneCause_Paste'!$A$1280:$AZ$1280,1,OC_Donor)))</f>
        <v/>
      </c>
    </row>
    <row r="1281">
      <c r="A1281" s="62">
        <f>IF(H1281="","",IF(ISNUMBER(N1281),N1281,I1281))</f>
        <v/>
      </c>
      <c r="B1281">
        <f>IF(H1281="","",U1281)</f>
        <v/>
      </c>
      <c r="C1281">
        <f>IF(H1281="","",IF(P1281="",K1281,INDEX('Students'!$A$2:$A$701,P1281)))</f>
        <v/>
      </c>
      <c r="D1281">
        <f>IF(OR(H1281="",P1281=""),"",INDEX('Students'!$B$2:$B$701,P1281))</f>
        <v/>
      </c>
      <c r="E1281">
        <f>IF(OR(H1281="",P1281=""),"",INDEX('Students'!$C$2:$C$701,P1281))</f>
        <v/>
      </c>
      <c r="F1281" s="48">
        <f>IF(H1281="","",IF(ISNUMBER(O1281),O1281,J1281))</f>
        <v/>
      </c>
      <c r="G1281">
        <f>IF(H1281="","","OneCause")</f>
        <v/>
      </c>
      <c r="H1281">
        <f>IF(AND(I1281="",J1281="",K1281=""),"",IF(NOT(ISNUMBER(O1281)),"Bad amount",IF(O1281&lt;0,"Refund (not counted)",IF(O1281=0,"Zero amount",IF(NOT(ISNUMBER(N1281)),"Bad date",IF(P1281="","NAME NOT ON ROSTER",IF(L1281="","OK",IF(MATCH(L1281,$L$2:$L$3001,0)&lt;ROW()-1,"Duplicate (ignored)","OK"))))))))</f>
        <v/>
      </c>
      <c r="I1281">
        <f>IF(OC_Date=0,"",IF(INDEX('OneCause_Paste'!$A$1281:$AZ$1281,1,OC_Date)="","",INDEX('OneCause_Paste'!$A$1281:$AZ$1281,1,OC_Date)))</f>
        <v/>
      </c>
      <c r="J1281">
        <f>IF(OC_Amt=0,"",IF(INDEX('OneCause_Paste'!$A$1281:$AZ$1281,1,OC_Amt)="","",INDEX('OneCause_Paste'!$A$1281:$AZ$1281,1,OC_Amt)))</f>
        <v/>
      </c>
      <c r="K1281">
        <f>IF(OC_Name=0,"",IF(INDEX('OneCause_Paste'!$A$1281:$AZ$1281,1,OC_Name)="","",INDEX('OneCause_Paste'!$A$1281:$AZ$1281,1,OC_Name)))</f>
        <v/>
      </c>
      <c r="L1281">
        <f>IF(OC_Txn=0,"",IF(INDEX('OneCause_Paste'!$A$1281:$AZ$1281,1,OC_Txn)="","",INDEX('OneCause_Paste'!$A$1281:$AZ$1281,1,OC_Txn)))</f>
        <v/>
      </c>
      <c r="M1281">
        <f>IF(OC_Pay=0,"",IF(INDEX('OneCause_Paste'!$A$1281:$AZ$1281,1,OC_Pay)="","",INDEX('OneCause_Paste'!$A$1281:$AZ$1281,1,OC_Pay)))</f>
        <v/>
      </c>
      <c r="N1281">
        <f>IF(I1281="","",IF(ISNUMBER(I1281),INT(I1281),IFERROR(INT(DATEVALUE(I1281)),IFERROR(INT(VALUE(I1281)),"bad"))))</f>
        <v/>
      </c>
      <c r="O1281">
        <f>IF(J1281="","",IF(ISNUMBER(J1281),ROUND(J1281,2),IFERROR(ROUND(VALUE(SUBSTITUTE(SUBSTITUTE(SUBSTITUTE(J1281,"$",""),",","")," ","")),2),"bad")))</f>
        <v/>
      </c>
      <c r="P1281">
        <f>IF(TRIM(K1281)="","",IFERROR(MATCH(LOWER(TRIM(K1281)),'Students'!$AH$2:$AH$701,0),IFERROR(MATCH(LOWER(TRIM(K1281)),'Students'!$AF$2:$AF$701,0),IFERROR(MATCH(LOWER(TRIM(K1281)),'Students'!$AG$2:$AG$701,0),""))))</f>
        <v/>
      </c>
      <c r="R1281">
        <f>IF(P1281="","",INDEX('Students'!$AD$2:$AD$701,P1281))</f>
        <v/>
      </c>
      <c r="S1281">
        <f>IF(H1281="OK",O1281,0)</f>
        <v/>
      </c>
      <c r="T1281">
        <f>IF(H1281="OK",N1281,"")</f>
        <v/>
      </c>
      <c r="U1281">
        <f>IF(OC_Donor=0,"",IF(INDEX('OneCause_Paste'!$A$1281:$AZ$1281,1,OC_Donor)="","",INDEX('OneCause_Paste'!$A$1281:$AZ$1281,1,OC_Donor)))</f>
        <v/>
      </c>
    </row>
    <row r="1282">
      <c r="A1282" s="62">
        <f>IF(H1282="","",IF(ISNUMBER(N1282),N1282,I1282))</f>
        <v/>
      </c>
      <c r="B1282">
        <f>IF(H1282="","",U1282)</f>
        <v/>
      </c>
      <c r="C1282">
        <f>IF(H1282="","",IF(P1282="",K1282,INDEX('Students'!$A$2:$A$701,P1282)))</f>
        <v/>
      </c>
      <c r="D1282">
        <f>IF(OR(H1282="",P1282=""),"",INDEX('Students'!$B$2:$B$701,P1282))</f>
        <v/>
      </c>
      <c r="E1282">
        <f>IF(OR(H1282="",P1282=""),"",INDEX('Students'!$C$2:$C$701,P1282))</f>
        <v/>
      </c>
      <c r="F1282" s="48">
        <f>IF(H1282="","",IF(ISNUMBER(O1282),O1282,J1282))</f>
        <v/>
      </c>
      <c r="G1282">
        <f>IF(H1282="","","OneCause")</f>
        <v/>
      </c>
      <c r="H1282">
        <f>IF(AND(I1282="",J1282="",K1282=""),"",IF(NOT(ISNUMBER(O1282)),"Bad amount",IF(O1282&lt;0,"Refund (not counted)",IF(O1282=0,"Zero amount",IF(NOT(ISNUMBER(N1282)),"Bad date",IF(P1282="","NAME NOT ON ROSTER",IF(L1282="","OK",IF(MATCH(L1282,$L$2:$L$3001,0)&lt;ROW()-1,"Duplicate (ignored)","OK"))))))))</f>
        <v/>
      </c>
      <c r="I1282">
        <f>IF(OC_Date=0,"",IF(INDEX('OneCause_Paste'!$A$1282:$AZ$1282,1,OC_Date)="","",INDEX('OneCause_Paste'!$A$1282:$AZ$1282,1,OC_Date)))</f>
        <v/>
      </c>
      <c r="J1282">
        <f>IF(OC_Amt=0,"",IF(INDEX('OneCause_Paste'!$A$1282:$AZ$1282,1,OC_Amt)="","",INDEX('OneCause_Paste'!$A$1282:$AZ$1282,1,OC_Amt)))</f>
        <v/>
      </c>
      <c r="K1282">
        <f>IF(OC_Name=0,"",IF(INDEX('OneCause_Paste'!$A$1282:$AZ$1282,1,OC_Name)="","",INDEX('OneCause_Paste'!$A$1282:$AZ$1282,1,OC_Name)))</f>
        <v/>
      </c>
      <c r="L1282">
        <f>IF(OC_Txn=0,"",IF(INDEX('OneCause_Paste'!$A$1282:$AZ$1282,1,OC_Txn)="","",INDEX('OneCause_Paste'!$A$1282:$AZ$1282,1,OC_Txn)))</f>
        <v/>
      </c>
      <c r="M1282">
        <f>IF(OC_Pay=0,"",IF(INDEX('OneCause_Paste'!$A$1282:$AZ$1282,1,OC_Pay)="","",INDEX('OneCause_Paste'!$A$1282:$AZ$1282,1,OC_Pay)))</f>
        <v/>
      </c>
      <c r="N1282">
        <f>IF(I1282="","",IF(ISNUMBER(I1282),INT(I1282),IFERROR(INT(DATEVALUE(I1282)),IFERROR(INT(VALUE(I1282)),"bad"))))</f>
        <v/>
      </c>
      <c r="O1282">
        <f>IF(J1282="","",IF(ISNUMBER(J1282),ROUND(J1282,2),IFERROR(ROUND(VALUE(SUBSTITUTE(SUBSTITUTE(SUBSTITUTE(J1282,"$",""),",","")," ","")),2),"bad")))</f>
        <v/>
      </c>
      <c r="P1282">
        <f>IF(TRIM(K1282)="","",IFERROR(MATCH(LOWER(TRIM(K1282)),'Students'!$AH$2:$AH$701,0),IFERROR(MATCH(LOWER(TRIM(K1282)),'Students'!$AF$2:$AF$701,0),IFERROR(MATCH(LOWER(TRIM(K1282)),'Students'!$AG$2:$AG$701,0),""))))</f>
        <v/>
      </c>
      <c r="R1282">
        <f>IF(P1282="","",INDEX('Students'!$AD$2:$AD$701,P1282))</f>
        <v/>
      </c>
      <c r="S1282">
        <f>IF(H1282="OK",O1282,0)</f>
        <v/>
      </c>
      <c r="T1282">
        <f>IF(H1282="OK",N1282,"")</f>
        <v/>
      </c>
      <c r="U1282">
        <f>IF(OC_Donor=0,"",IF(INDEX('OneCause_Paste'!$A$1282:$AZ$1282,1,OC_Donor)="","",INDEX('OneCause_Paste'!$A$1282:$AZ$1282,1,OC_Donor)))</f>
        <v/>
      </c>
    </row>
    <row r="1283">
      <c r="A1283" s="62">
        <f>IF(H1283="","",IF(ISNUMBER(N1283),N1283,I1283))</f>
        <v/>
      </c>
      <c r="B1283">
        <f>IF(H1283="","",U1283)</f>
        <v/>
      </c>
      <c r="C1283">
        <f>IF(H1283="","",IF(P1283="",K1283,INDEX('Students'!$A$2:$A$701,P1283)))</f>
        <v/>
      </c>
      <c r="D1283">
        <f>IF(OR(H1283="",P1283=""),"",INDEX('Students'!$B$2:$B$701,P1283))</f>
        <v/>
      </c>
      <c r="E1283">
        <f>IF(OR(H1283="",P1283=""),"",INDEX('Students'!$C$2:$C$701,P1283))</f>
        <v/>
      </c>
      <c r="F1283" s="48">
        <f>IF(H1283="","",IF(ISNUMBER(O1283),O1283,J1283))</f>
        <v/>
      </c>
      <c r="G1283">
        <f>IF(H1283="","","OneCause")</f>
        <v/>
      </c>
      <c r="H1283">
        <f>IF(AND(I1283="",J1283="",K1283=""),"",IF(NOT(ISNUMBER(O1283)),"Bad amount",IF(O1283&lt;0,"Refund (not counted)",IF(O1283=0,"Zero amount",IF(NOT(ISNUMBER(N1283)),"Bad date",IF(P1283="","NAME NOT ON ROSTER",IF(L1283="","OK",IF(MATCH(L1283,$L$2:$L$3001,0)&lt;ROW()-1,"Duplicate (ignored)","OK"))))))))</f>
        <v/>
      </c>
      <c r="I1283">
        <f>IF(OC_Date=0,"",IF(INDEX('OneCause_Paste'!$A$1283:$AZ$1283,1,OC_Date)="","",INDEX('OneCause_Paste'!$A$1283:$AZ$1283,1,OC_Date)))</f>
        <v/>
      </c>
      <c r="J1283">
        <f>IF(OC_Amt=0,"",IF(INDEX('OneCause_Paste'!$A$1283:$AZ$1283,1,OC_Amt)="","",INDEX('OneCause_Paste'!$A$1283:$AZ$1283,1,OC_Amt)))</f>
        <v/>
      </c>
      <c r="K1283">
        <f>IF(OC_Name=0,"",IF(INDEX('OneCause_Paste'!$A$1283:$AZ$1283,1,OC_Name)="","",INDEX('OneCause_Paste'!$A$1283:$AZ$1283,1,OC_Name)))</f>
        <v/>
      </c>
      <c r="L1283">
        <f>IF(OC_Txn=0,"",IF(INDEX('OneCause_Paste'!$A$1283:$AZ$1283,1,OC_Txn)="","",INDEX('OneCause_Paste'!$A$1283:$AZ$1283,1,OC_Txn)))</f>
        <v/>
      </c>
      <c r="M1283">
        <f>IF(OC_Pay=0,"",IF(INDEX('OneCause_Paste'!$A$1283:$AZ$1283,1,OC_Pay)="","",INDEX('OneCause_Paste'!$A$1283:$AZ$1283,1,OC_Pay)))</f>
        <v/>
      </c>
      <c r="N1283">
        <f>IF(I1283="","",IF(ISNUMBER(I1283),INT(I1283),IFERROR(INT(DATEVALUE(I1283)),IFERROR(INT(VALUE(I1283)),"bad"))))</f>
        <v/>
      </c>
      <c r="O1283">
        <f>IF(J1283="","",IF(ISNUMBER(J1283),ROUND(J1283,2),IFERROR(ROUND(VALUE(SUBSTITUTE(SUBSTITUTE(SUBSTITUTE(J1283,"$",""),",","")," ","")),2),"bad")))</f>
        <v/>
      </c>
      <c r="P1283">
        <f>IF(TRIM(K1283)="","",IFERROR(MATCH(LOWER(TRIM(K1283)),'Students'!$AH$2:$AH$701,0),IFERROR(MATCH(LOWER(TRIM(K1283)),'Students'!$AF$2:$AF$701,0),IFERROR(MATCH(LOWER(TRIM(K1283)),'Students'!$AG$2:$AG$701,0),""))))</f>
        <v/>
      </c>
      <c r="R1283">
        <f>IF(P1283="","",INDEX('Students'!$AD$2:$AD$701,P1283))</f>
        <v/>
      </c>
      <c r="S1283">
        <f>IF(H1283="OK",O1283,0)</f>
        <v/>
      </c>
      <c r="T1283">
        <f>IF(H1283="OK",N1283,"")</f>
        <v/>
      </c>
      <c r="U1283">
        <f>IF(OC_Donor=0,"",IF(INDEX('OneCause_Paste'!$A$1283:$AZ$1283,1,OC_Donor)="","",INDEX('OneCause_Paste'!$A$1283:$AZ$1283,1,OC_Donor)))</f>
        <v/>
      </c>
    </row>
    <row r="1284">
      <c r="A1284" s="62">
        <f>IF(H1284="","",IF(ISNUMBER(N1284),N1284,I1284))</f>
        <v/>
      </c>
      <c r="B1284">
        <f>IF(H1284="","",U1284)</f>
        <v/>
      </c>
      <c r="C1284">
        <f>IF(H1284="","",IF(P1284="",K1284,INDEX('Students'!$A$2:$A$701,P1284)))</f>
        <v/>
      </c>
      <c r="D1284">
        <f>IF(OR(H1284="",P1284=""),"",INDEX('Students'!$B$2:$B$701,P1284))</f>
        <v/>
      </c>
      <c r="E1284">
        <f>IF(OR(H1284="",P1284=""),"",INDEX('Students'!$C$2:$C$701,P1284))</f>
        <v/>
      </c>
      <c r="F1284" s="48">
        <f>IF(H1284="","",IF(ISNUMBER(O1284),O1284,J1284))</f>
        <v/>
      </c>
      <c r="G1284">
        <f>IF(H1284="","","OneCause")</f>
        <v/>
      </c>
      <c r="H1284">
        <f>IF(AND(I1284="",J1284="",K1284=""),"",IF(NOT(ISNUMBER(O1284)),"Bad amount",IF(O1284&lt;0,"Refund (not counted)",IF(O1284=0,"Zero amount",IF(NOT(ISNUMBER(N1284)),"Bad date",IF(P1284="","NAME NOT ON ROSTER",IF(L1284="","OK",IF(MATCH(L1284,$L$2:$L$3001,0)&lt;ROW()-1,"Duplicate (ignored)","OK"))))))))</f>
        <v/>
      </c>
      <c r="I1284">
        <f>IF(OC_Date=0,"",IF(INDEX('OneCause_Paste'!$A$1284:$AZ$1284,1,OC_Date)="","",INDEX('OneCause_Paste'!$A$1284:$AZ$1284,1,OC_Date)))</f>
        <v/>
      </c>
      <c r="J1284">
        <f>IF(OC_Amt=0,"",IF(INDEX('OneCause_Paste'!$A$1284:$AZ$1284,1,OC_Amt)="","",INDEX('OneCause_Paste'!$A$1284:$AZ$1284,1,OC_Amt)))</f>
        <v/>
      </c>
      <c r="K1284">
        <f>IF(OC_Name=0,"",IF(INDEX('OneCause_Paste'!$A$1284:$AZ$1284,1,OC_Name)="","",INDEX('OneCause_Paste'!$A$1284:$AZ$1284,1,OC_Name)))</f>
        <v/>
      </c>
      <c r="L1284">
        <f>IF(OC_Txn=0,"",IF(INDEX('OneCause_Paste'!$A$1284:$AZ$1284,1,OC_Txn)="","",INDEX('OneCause_Paste'!$A$1284:$AZ$1284,1,OC_Txn)))</f>
        <v/>
      </c>
      <c r="M1284">
        <f>IF(OC_Pay=0,"",IF(INDEX('OneCause_Paste'!$A$1284:$AZ$1284,1,OC_Pay)="","",INDEX('OneCause_Paste'!$A$1284:$AZ$1284,1,OC_Pay)))</f>
        <v/>
      </c>
      <c r="N1284">
        <f>IF(I1284="","",IF(ISNUMBER(I1284),INT(I1284),IFERROR(INT(DATEVALUE(I1284)),IFERROR(INT(VALUE(I1284)),"bad"))))</f>
        <v/>
      </c>
      <c r="O1284">
        <f>IF(J1284="","",IF(ISNUMBER(J1284),ROUND(J1284,2),IFERROR(ROUND(VALUE(SUBSTITUTE(SUBSTITUTE(SUBSTITUTE(J1284,"$",""),",","")," ","")),2),"bad")))</f>
        <v/>
      </c>
      <c r="P1284">
        <f>IF(TRIM(K1284)="","",IFERROR(MATCH(LOWER(TRIM(K1284)),'Students'!$AH$2:$AH$701,0),IFERROR(MATCH(LOWER(TRIM(K1284)),'Students'!$AF$2:$AF$701,0),IFERROR(MATCH(LOWER(TRIM(K1284)),'Students'!$AG$2:$AG$701,0),""))))</f>
        <v/>
      </c>
      <c r="R1284">
        <f>IF(P1284="","",INDEX('Students'!$AD$2:$AD$701,P1284))</f>
        <v/>
      </c>
      <c r="S1284">
        <f>IF(H1284="OK",O1284,0)</f>
        <v/>
      </c>
      <c r="T1284">
        <f>IF(H1284="OK",N1284,"")</f>
        <v/>
      </c>
      <c r="U1284">
        <f>IF(OC_Donor=0,"",IF(INDEX('OneCause_Paste'!$A$1284:$AZ$1284,1,OC_Donor)="","",INDEX('OneCause_Paste'!$A$1284:$AZ$1284,1,OC_Donor)))</f>
        <v/>
      </c>
    </row>
    <row r="1285">
      <c r="A1285" s="62">
        <f>IF(H1285="","",IF(ISNUMBER(N1285),N1285,I1285))</f>
        <v/>
      </c>
      <c r="B1285">
        <f>IF(H1285="","",U1285)</f>
        <v/>
      </c>
      <c r="C1285">
        <f>IF(H1285="","",IF(P1285="",K1285,INDEX('Students'!$A$2:$A$701,P1285)))</f>
        <v/>
      </c>
      <c r="D1285">
        <f>IF(OR(H1285="",P1285=""),"",INDEX('Students'!$B$2:$B$701,P1285))</f>
        <v/>
      </c>
      <c r="E1285">
        <f>IF(OR(H1285="",P1285=""),"",INDEX('Students'!$C$2:$C$701,P1285))</f>
        <v/>
      </c>
      <c r="F1285" s="48">
        <f>IF(H1285="","",IF(ISNUMBER(O1285),O1285,J1285))</f>
        <v/>
      </c>
      <c r="G1285">
        <f>IF(H1285="","","OneCause")</f>
        <v/>
      </c>
      <c r="H1285">
        <f>IF(AND(I1285="",J1285="",K1285=""),"",IF(NOT(ISNUMBER(O1285)),"Bad amount",IF(O1285&lt;0,"Refund (not counted)",IF(O1285=0,"Zero amount",IF(NOT(ISNUMBER(N1285)),"Bad date",IF(P1285="","NAME NOT ON ROSTER",IF(L1285="","OK",IF(MATCH(L1285,$L$2:$L$3001,0)&lt;ROW()-1,"Duplicate (ignored)","OK"))))))))</f>
        <v/>
      </c>
      <c r="I1285">
        <f>IF(OC_Date=0,"",IF(INDEX('OneCause_Paste'!$A$1285:$AZ$1285,1,OC_Date)="","",INDEX('OneCause_Paste'!$A$1285:$AZ$1285,1,OC_Date)))</f>
        <v/>
      </c>
      <c r="J1285">
        <f>IF(OC_Amt=0,"",IF(INDEX('OneCause_Paste'!$A$1285:$AZ$1285,1,OC_Amt)="","",INDEX('OneCause_Paste'!$A$1285:$AZ$1285,1,OC_Amt)))</f>
        <v/>
      </c>
      <c r="K1285">
        <f>IF(OC_Name=0,"",IF(INDEX('OneCause_Paste'!$A$1285:$AZ$1285,1,OC_Name)="","",INDEX('OneCause_Paste'!$A$1285:$AZ$1285,1,OC_Name)))</f>
        <v/>
      </c>
      <c r="L1285">
        <f>IF(OC_Txn=0,"",IF(INDEX('OneCause_Paste'!$A$1285:$AZ$1285,1,OC_Txn)="","",INDEX('OneCause_Paste'!$A$1285:$AZ$1285,1,OC_Txn)))</f>
        <v/>
      </c>
      <c r="M1285">
        <f>IF(OC_Pay=0,"",IF(INDEX('OneCause_Paste'!$A$1285:$AZ$1285,1,OC_Pay)="","",INDEX('OneCause_Paste'!$A$1285:$AZ$1285,1,OC_Pay)))</f>
        <v/>
      </c>
      <c r="N1285">
        <f>IF(I1285="","",IF(ISNUMBER(I1285),INT(I1285),IFERROR(INT(DATEVALUE(I1285)),IFERROR(INT(VALUE(I1285)),"bad"))))</f>
        <v/>
      </c>
      <c r="O1285">
        <f>IF(J1285="","",IF(ISNUMBER(J1285),ROUND(J1285,2),IFERROR(ROUND(VALUE(SUBSTITUTE(SUBSTITUTE(SUBSTITUTE(J1285,"$",""),",","")," ","")),2),"bad")))</f>
        <v/>
      </c>
      <c r="P1285">
        <f>IF(TRIM(K1285)="","",IFERROR(MATCH(LOWER(TRIM(K1285)),'Students'!$AH$2:$AH$701,0),IFERROR(MATCH(LOWER(TRIM(K1285)),'Students'!$AF$2:$AF$701,0),IFERROR(MATCH(LOWER(TRIM(K1285)),'Students'!$AG$2:$AG$701,0),""))))</f>
        <v/>
      </c>
      <c r="R1285">
        <f>IF(P1285="","",INDEX('Students'!$AD$2:$AD$701,P1285))</f>
        <v/>
      </c>
      <c r="S1285">
        <f>IF(H1285="OK",O1285,0)</f>
        <v/>
      </c>
      <c r="T1285">
        <f>IF(H1285="OK",N1285,"")</f>
        <v/>
      </c>
      <c r="U1285">
        <f>IF(OC_Donor=0,"",IF(INDEX('OneCause_Paste'!$A$1285:$AZ$1285,1,OC_Donor)="","",INDEX('OneCause_Paste'!$A$1285:$AZ$1285,1,OC_Donor)))</f>
        <v/>
      </c>
    </row>
    <row r="1286">
      <c r="A1286" s="62">
        <f>IF(H1286="","",IF(ISNUMBER(N1286),N1286,I1286))</f>
        <v/>
      </c>
      <c r="B1286">
        <f>IF(H1286="","",U1286)</f>
        <v/>
      </c>
      <c r="C1286">
        <f>IF(H1286="","",IF(P1286="",K1286,INDEX('Students'!$A$2:$A$701,P1286)))</f>
        <v/>
      </c>
      <c r="D1286">
        <f>IF(OR(H1286="",P1286=""),"",INDEX('Students'!$B$2:$B$701,P1286))</f>
        <v/>
      </c>
      <c r="E1286">
        <f>IF(OR(H1286="",P1286=""),"",INDEX('Students'!$C$2:$C$701,P1286))</f>
        <v/>
      </c>
      <c r="F1286" s="48">
        <f>IF(H1286="","",IF(ISNUMBER(O1286),O1286,J1286))</f>
        <v/>
      </c>
      <c r="G1286">
        <f>IF(H1286="","","OneCause")</f>
        <v/>
      </c>
      <c r="H1286">
        <f>IF(AND(I1286="",J1286="",K1286=""),"",IF(NOT(ISNUMBER(O1286)),"Bad amount",IF(O1286&lt;0,"Refund (not counted)",IF(O1286=0,"Zero amount",IF(NOT(ISNUMBER(N1286)),"Bad date",IF(P1286="","NAME NOT ON ROSTER",IF(L1286="","OK",IF(MATCH(L1286,$L$2:$L$3001,0)&lt;ROW()-1,"Duplicate (ignored)","OK"))))))))</f>
        <v/>
      </c>
      <c r="I1286">
        <f>IF(OC_Date=0,"",IF(INDEX('OneCause_Paste'!$A$1286:$AZ$1286,1,OC_Date)="","",INDEX('OneCause_Paste'!$A$1286:$AZ$1286,1,OC_Date)))</f>
        <v/>
      </c>
      <c r="J1286">
        <f>IF(OC_Amt=0,"",IF(INDEX('OneCause_Paste'!$A$1286:$AZ$1286,1,OC_Amt)="","",INDEX('OneCause_Paste'!$A$1286:$AZ$1286,1,OC_Amt)))</f>
        <v/>
      </c>
      <c r="K1286">
        <f>IF(OC_Name=0,"",IF(INDEX('OneCause_Paste'!$A$1286:$AZ$1286,1,OC_Name)="","",INDEX('OneCause_Paste'!$A$1286:$AZ$1286,1,OC_Name)))</f>
        <v/>
      </c>
      <c r="L1286">
        <f>IF(OC_Txn=0,"",IF(INDEX('OneCause_Paste'!$A$1286:$AZ$1286,1,OC_Txn)="","",INDEX('OneCause_Paste'!$A$1286:$AZ$1286,1,OC_Txn)))</f>
        <v/>
      </c>
      <c r="M1286">
        <f>IF(OC_Pay=0,"",IF(INDEX('OneCause_Paste'!$A$1286:$AZ$1286,1,OC_Pay)="","",INDEX('OneCause_Paste'!$A$1286:$AZ$1286,1,OC_Pay)))</f>
        <v/>
      </c>
      <c r="N1286">
        <f>IF(I1286="","",IF(ISNUMBER(I1286),INT(I1286),IFERROR(INT(DATEVALUE(I1286)),IFERROR(INT(VALUE(I1286)),"bad"))))</f>
        <v/>
      </c>
      <c r="O1286">
        <f>IF(J1286="","",IF(ISNUMBER(J1286),ROUND(J1286,2),IFERROR(ROUND(VALUE(SUBSTITUTE(SUBSTITUTE(SUBSTITUTE(J1286,"$",""),",","")," ","")),2),"bad")))</f>
        <v/>
      </c>
      <c r="P1286">
        <f>IF(TRIM(K1286)="","",IFERROR(MATCH(LOWER(TRIM(K1286)),'Students'!$AH$2:$AH$701,0),IFERROR(MATCH(LOWER(TRIM(K1286)),'Students'!$AF$2:$AF$701,0),IFERROR(MATCH(LOWER(TRIM(K1286)),'Students'!$AG$2:$AG$701,0),""))))</f>
        <v/>
      </c>
      <c r="R1286">
        <f>IF(P1286="","",INDEX('Students'!$AD$2:$AD$701,P1286))</f>
        <v/>
      </c>
      <c r="S1286">
        <f>IF(H1286="OK",O1286,0)</f>
        <v/>
      </c>
      <c r="T1286">
        <f>IF(H1286="OK",N1286,"")</f>
        <v/>
      </c>
      <c r="U1286">
        <f>IF(OC_Donor=0,"",IF(INDEX('OneCause_Paste'!$A$1286:$AZ$1286,1,OC_Donor)="","",INDEX('OneCause_Paste'!$A$1286:$AZ$1286,1,OC_Donor)))</f>
        <v/>
      </c>
    </row>
    <row r="1287">
      <c r="A1287" s="62">
        <f>IF(H1287="","",IF(ISNUMBER(N1287),N1287,I1287))</f>
        <v/>
      </c>
      <c r="B1287">
        <f>IF(H1287="","",U1287)</f>
        <v/>
      </c>
      <c r="C1287">
        <f>IF(H1287="","",IF(P1287="",K1287,INDEX('Students'!$A$2:$A$701,P1287)))</f>
        <v/>
      </c>
      <c r="D1287">
        <f>IF(OR(H1287="",P1287=""),"",INDEX('Students'!$B$2:$B$701,P1287))</f>
        <v/>
      </c>
      <c r="E1287">
        <f>IF(OR(H1287="",P1287=""),"",INDEX('Students'!$C$2:$C$701,P1287))</f>
        <v/>
      </c>
      <c r="F1287" s="48">
        <f>IF(H1287="","",IF(ISNUMBER(O1287),O1287,J1287))</f>
        <v/>
      </c>
      <c r="G1287">
        <f>IF(H1287="","","OneCause")</f>
        <v/>
      </c>
      <c r="H1287">
        <f>IF(AND(I1287="",J1287="",K1287=""),"",IF(NOT(ISNUMBER(O1287)),"Bad amount",IF(O1287&lt;0,"Refund (not counted)",IF(O1287=0,"Zero amount",IF(NOT(ISNUMBER(N1287)),"Bad date",IF(P1287="","NAME NOT ON ROSTER",IF(L1287="","OK",IF(MATCH(L1287,$L$2:$L$3001,0)&lt;ROW()-1,"Duplicate (ignored)","OK"))))))))</f>
        <v/>
      </c>
      <c r="I1287">
        <f>IF(OC_Date=0,"",IF(INDEX('OneCause_Paste'!$A$1287:$AZ$1287,1,OC_Date)="","",INDEX('OneCause_Paste'!$A$1287:$AZ$1287,1,OC_Date)))</f>
        <v/>
      </c>
      <c r="J1287">
        <f>IF(OC_Amt=0,"",IF(INDEX('OneCause_Paste'!$A$1287:$AZ$1287,1,OC_Amt)="","",INDEX('OneCause_Paste'!$A$1287:$AZ$1287,1,OC_Amt)))</f>
        <v/>
      </c>
      <c r="K1287">
        <f>IF(OC_Name=0,"",IF(INDEX('OneCause_Paste'!$A$1287:$AZ$1287,1,OC_Name)="","",INDEX('OneCause_Paste'!$A$1287:$AZ$1287,1,OC_Name)))</f>
        <v/>
      </c>
      <c r="L1287">
        <f>IF(OC_Txn=0,"",IF(INDEX('OneCause_Paste'!$A$1287:$AZ$1287,1,OC_Txn)="","",INDEX('OneCause_Paste'!$A$1287:$AZ$1287,1,OC_Txn)))</f>
        <v/>
      </c>
      <c r="M1287">
        <f>IF(OC_Pay=0,"",IF(INDEX('OneCause_Paste'!$A$1287:$AZ$1287,1,OC_Pay)="","",INDEX('OneCause_Paste'!$A$1287:$AZ$1287,1,OC_Pay)))</f>
        <v/>
      </c>
      <c r="N1287">
        <f>IF(I1287="","",IF(ISNUMBER(I1287),INT(I1287),IFERROR(INT(DATEVALUE(I1287)),IFERROR(INT(VALUE(I1287)),"bad"))))</f>
        <v/>
      </c>
      <c r="O1287">
        <f>IF(J1287="","",IF(ISNUMBER(J1287),ROUND(J1287,2),IFERROR(ROUND(VALUE(SUBSTITUTE(SUBSTITUTE(SUBSTITUTE(J1287,"$",""),",","")," ","")),2),"bad")))</f>
        <v/>
      </c>
      <c r="P1287">
        <f>IF(TRIM(K1287)="","",IFERROR(MATCH(LOWER(TRIM(K1287)),'Students'!$AH$2:$AH$701,0),IFERROR(MATCH(LOWER(TRIM(K1287)),'Students'!$AF$2:$AF$701,0),IFERROR(MATCH(LOWER(TRIM(K1287)),'Students'!$AG$2:$AG$701,0),""))))</f>
        <v/>
      </c>
      <c r="R1287">
        <f>IF(P1287="","",INDEX('Students'!$AD$2:$AD$701,P1287))</f>
        <v/>
      </c>
      <c r="S1287">
        <f>IF(H1287="OK",O1287,0)</f>
        <v/>
      </c>
      <c r="T1287">
        <f>IF(H1287="OK",N1287,"")</f>
        <v/>
      </c>
      <c r="U1287">
        <f>IF(OC_Donor=0,"",IF(INDEX('OneCause_Paste'!$A$1287:$AZ$1287,1,OC_Donor)="","",INDEX('OneCause_Paste'!$A$1287:$AZ$1287,1,OC_Donor)))</f>
        <v/>
      </c>
    </row>
    <row r="1288">
      <c r="A1288" s="62">
        <f>IF(H1288="","",IF(ISNUMBER(N1288),N1288,I1288))</f>
        <v/>
      </c>
      <c r="B1288">
        <f>IF(H1288="","",U1288)</f>
        <v/>
      </c>
      <c r="C1288">
        <f>IF(H1288="","",IF(P1288="",K1288,INDEX('Students'!$A$2:$A$701,P1288)))</f>
        <v/>
      </c>
      <c r="D1288">
        <f>IF(OR(H1288="",P1288=""),"",INDEX('Students'!$B$2:$B$701,P1288))</f>
        <v/>
      </c>
      <c r="E1288">
        <f>IF(OR(H1288="",P1288=""),"",INDEX('Students'!$C$2:$C$701,P1288))</f>
        <v/>
      </c>
      <c r="F1288" s="48">
        <f>IF(H1288="","",IF(ISNUMBER(O1288),O1288,J1288))</f>
        <v/>
      </c>
      <c r="G1288">
        <f>IF(H1288="","","OneCause")</f>
        <v/>
      </c>
      <c r="H1288">
        <f>IF(AND(I1288="",J1288="",K1288=""),"",IF(NOT(ISNUMBER(O1288)),"Bad amount",IF(O1288&lt;0,"Refund (not counted)",IF(O1288=0,"Zero amount",IF(NOT(ISNUMBER(N1288)),"Bad date",IF(P1288="","NAME NOT ON ROSTER",IF(L1288="","OK",IF(MATCH(L1288,$L$2:$L$3001,0)&lt;ROW()-1,"Duplicate (ignored)","OK"))))))))</f>
        <v/>
      </c>
      <c r="I1288">
        <f>IF(OC_Date=0,"",IF(INDEX('OneCause_Paste'!$A$1288:$AZ$1288,1,OC_Date)="","",INDEX('OneCause_Paste'!$A$1288:$AZ$1288,1,OC_Date)))</f>
        <v/>
      </c>
      <c r="J1288">
        <f>IF(OC_Amt=0,"",IF(INDEX('OneCause_Paste'!$A$1288:$AZ$1288,1,OC_Amt)="","",INDEX('OneCause_Paste'!$A$1288:$AZ$1288,1,OC_Amt)))</f>
        <v/>
      </c>
      <c r="K1288">
        <f>IF(OC_Name=0,"",IF(INDEX('OneCause_Paste'!$A$1288:$AZ$1288,1,OC_Name)="","",INDEX('OneCause_Paste'!$A$1288:$AZ$1288,1,OC_Name)))</f>
        <v/>
      </c>
      <c r="L1288">
        <f>IF(OC_Txn=0,"",IF(INDEX('OneCause_Paste'!$A$1288:$AZ$1288,1,OC_Txn)="","",INDEX('OneCause_Paste'!$A$1288:$AZ$1288,1,OC_Txn)))</f>
        <v/>
      </c>
      <c r="M1288">
        <f>IF(OC_Pay=0,"",IF(INDEX('OneCause_Paste'!$A$1288:$AZ$1288,1,OC_Pay)="","",INDEX('OneCause_Paste'!$A$1288:$AZ$1288,1,OC_Pay)))</f>
        <v/>
      </c>
      <c r="N1288">
        <f>IF(I1288="","",IF(ISNUMBER(I1288),INT(I1288),IFERROR(INT(DATEVALUE(I1288)),IFERROR(INT(VALUE(I1288)),"bad"))))</f>
        <v/>
      </c>
      <c r="O1288">
        <f>IF(J1288="","",IF(ISNUMBER(J1288),ROUND(J1288,2),IFERROR(ROUND(VALUE(SUBSTITUTE(SUBSTITUTE(SUBSTITUTE(J1288,"$",""),",","")," ","")),2),"bad")))</f>
        <v/>
      </c>
      <c r="P1288">
        <f>IF(TRIM(K1288)="","",IFERROR(MATCH(LOWER(TRIM(K1288)),'Students'!$AH$2:$AH$701,0),IFERROR(MATCH(LOWER(TRIM(K1288)),'Students'!$AF$2:$AF$701,0),IFERROR(MATCH(LOWER(TRIM(K1288)),'Students'!$AG$2:$AG$701,0),""))))</f>
        <v/>
      </c>
      <c r="R1288">
        <f>IF(P1288="","",INDEX('Students'!$AD$2:$AD$701,P1288))</f>
        <v/>
      </c>
      <c r="S1288">
        <f>IF(H1288="OK",O1288,0)</f>
        <v/>
      </c>
      <c r="T1288">
        <f>IF(H1288="OK",N1288,"")</f>
        <v/>
      </c>
      <c r="U1288">
        <f>IF(OC_Donor=0,"",IF(INDEX('OneCause_Paste'!$A$1288:$AZ$1288,1,OC_Donor)="","",INDEX('OneCause_Paste'!$A$1288:$AZ$1288,1,OC_Donor)))</f>
        <v/>
      </c>
    </row>
    <row r="1289">
      <c r="A1289" s="62">
        <f>IF(H1289="","",IF(ISNUMBER(N1289),N1289,I1289))</f>
        <v/>
      </c>
      <c r="B1289">
        <f>IF(H1289="","",U1289)</f>
        <v/>
      </c>
      <c r="C1289">
        <f>IF(H1289="","",IF(P1289="",K1289,INDEX('Students'!$A$2:$A$701,P1289)))</f>
        <v/>
      </c>
      <c r="D1289">
        <f>IF(OR(H1289="",P1289=""),"",INDEX('Students'!$B$2:$B$701,P1289))</f>
        <v/>
      </c>
      <c r="E1289">
        <f>IF(OR(H1289="",P1289=""),"",INDEX('Students'!$C$2:$C$701,P1289))</f>
        <v/>
      </c>
      <c r="F1289" s="48">
        <f>IF(H1289="","",IF(ISNUMBER(O1289),O1289,J1289))</f>
        <v/>
      </c>
      <c r="G1289">
        <f>IF(H1289="","","OneCause")</f>
        <v/>
      </c>
      <c r="H1289">
        <f>IF(AND(I1289="",J1289="",K1289=""),"",IF(NOT(ISNUMBER(O1289)),"Bad amount",IF(O1289&lt;0,"Refund (not counted)",IF(O1289=0,"Zero amount",IF(NOT(ISNUMBER(N1289)),"Bad date",IF(P1289="","NAME NOT ON ROSTER",IF(L1289="","OK",IF(MATCH(L1289,$L$2:$L$3001,0)&lt;ROW()-1,"Duplicate (ignored)","OK"))))))))</f>
        <v/>
      </c>
      <c r="I1289">
        <f>IF(OC_Date=0,"",IF(INDEX('OneCause_Paste'!$A$1289:$AZ$1289,1,OC_Date)="","",INDEX('OneCause_Paste'!$A$1289:$AZ$1289,1,OC_Date)))</f>
        <v/>
      </c>
      <c r="J1289">
        <f>IF(OC_Amt=0,"",IF(INDEX('OneCause_Paste'!$A$1289:$AZ$1289,1,OC_Amt)="","",INDEX('OneCause_Paste'!$A$1289:$AZ$1289,1,OC_Amt)))</f>
        <v/>
      </c>
      <c r="K1289">
        <f>IF(OC_Name=0,"",IF(INDEX('OneCause_Paste'!$A$1289:$AZ$1289,1,OC_Name)="","",INDEX('OneCause_Paste'!$A$1289:$AZ$1289,1,OC_Name)))</f>
        <v/>
      </c>
      <c r="L1289">
        <f>IF(OC_Txn=0,"",IF(INDEX('OneCause_Paste'!$A$1289:$AZ$1289,1,OC_Txn)="","",INDEX('OneCause_Paste'!$A$1289:$AZ$1289,1,OC_Txn)))</f>
        <v/>
      </c>
      <c r="M1289">
        <f>IF(OC_Pay=0,"",IF(INDEX('OneCause_Paste'!$A$1289:$AZ$1289,1,OC_Pay)="","",INDEX('OneCause_Paste'!$A$1289:$AZ$1289,1,OC_Pay)))</f>
        <v/>
      </c>
      <c r="N1289">
        <f>IF(I1289="","",IF(ISNUMBER(I1289),INT(I1289),IFERROR(INT(DATEVALUE(I1289)),IFERROR(INT(VALUE(I1289)),"bad"))))</f>
        <v/>
      </c>
      <c r="O1289">
        <f>IF(J1289="","",IF(ISNUMBER(J1289),ROUND(J1289,2),IFERROR(ROUND(VALUE(SUBSTITUTE(SUBSTITUTE(SUBSTITUTE(J1289,"$",""),",","")," ","")),2),"bad")))</f>
        <v/>
      </c>
      <c r="P1289">
        <f>IF(TRIM(K1289)="","",IFERROR(MATCH(LOWER(TRIM(K1289)),'Students'!$AH$2:$AH$701,0),IFERROR(MATCH(LOWER(TRIM(K1289)),'Students'!$AF$2:$AF$701,0),IFERROR(MATCH(LOWER(TRIM(K1289)),'Students'!$AG$2:$AG$701,0),""))))</f>
        <v/>
      </c>
      <c r="R1289">
        <f>IF(P1289="","",INDEX('Students'!$AD$2:$AD$701,P1289))</f>
        <v/>
      </c>
      <c r="S1289">
        <f>IF(H1289="OK",O1289,0)</f>
        <v/>
      </c>
      <c r="T1289">
        <f>IF(H1289="OK",N1289,"")</f>
        <v/>
      </c>
      <c r="U1289">
        <f>IF(OC_Donor=0,"",IF(INDEX('OneCause_Paste'!$A$1289:$AZ$1289,1,OC_Donor)="","",INDEX('OneCause_Paste'!$A$1289:$AZ$1289,1,OC_Donor)))</f>
        <v/>
      </c>
    </row>
    <row r="1290">
      <c r="A1290" s="62">
        <f>IF(H1290="","",IF(ISNUMBER(N1290),N1290,I1290))</f>
        <v/>
      </c>
      <c r="B1290">
        <f>IF(H1290="","",U1290)</f>
        <v/>
      </c>
      <c r="C1290">
        <f>IF(H1290="","",IF(P1290="",K1290,INDEX('Students'!$A$2:$A$701,P1290)))</f>
        <v/>
      </c>
      <c r="D1290">
        <f>IF(OR(H1290="",P1290=""),"",INDEX('Students'!$B$2:$B$701,P1290))</f>
        <v/>
      </c>
      <c r="E1290">
        <f>IF(OR(H1290="",P1290=""),"",INDEX('Students'!$C$2:$C$701,P1290))</f>
        <v/>
      </c>
      <c r="F1290" s="48">
        <f>IF(H1290="","",IF(ISNUMBER(O1290),O1290,J1290))</f>
        <v/>
      </c>
      <c r="G1290">
        <f>IF(H1290="","","OneCause")</f>
        <v/>
      </c>
      <c r="H1290">
        <f>IF(AND(I1290="",J1290="",K1290=""),"",IF(NOT(ISNUMBER(O1290)),"Bad amount",IF(O1290&lt;0,"Refund (not counted)",IF(O1290=0,"Zero amount",IF(NOT(ISNUMBER(N1290)),"Bad date",IF(P1290="","NAME NOT ON ROSTER",IF(L1290="","OK",IF(MATCH(L1290,$L$2:$L$3001,0)&lt;ROW()-1,"Duplicate (ignored)","OK"))))))))</f>
        <v/>
      </c>
      <c r="I1290">
        <f>IF(OC_Date=0,"",IF(INDEX('OneCause_Paste'!$A$1290:$AZ$1290,1,OC_Date)="","",INDEX('OneCause_Paste'!$A$1290:$AZ$1290,1,OC_Date)))</f>
        <v/>
      </c>
      <c r="J1290">
        <f>IF(OC_Amt=0,"",IF(INDEX('OneCause_Paste'!$A$1290:$AZ$1290,1,OC_Amt)="","",INDEX('OneCause_Paste'!$A$1290:$AZ$1290,1,OC_Amt)))</f>
        <v/>
      </c>
      <c r="K1290">
        <f>IF(OC_Name=0,"",IF(INDEX('OneCause_Paste'!$A$1290:$AZ$1290,1,OC_Name)="","",INDEX('OneCause_Paste'!$A$1290:$AZ$1290,1,OC_Name)))</f>
        <v/>
      </c>
      <c r="L1290">
        <f>IF(OC_Txn=0,"",IF(INDEX('OneCause_Paste'!$A$1290:$AZ$1290,1,OC_Txn)="","",INDEX('OneCause_Paste'!$A$1290:$AZ$1290,1,OC_Txn)))</f>
        <v/>
      </c>
      <c r="M1290">
        <f>IF(OC_Pay=0,"",IF(INDEX('OneCause_Paste'!$A$1290:$AZ$1290,1,OC_Pay)="","",INDEX('OneCause_Paste'!$A$1290:$AZ$1290,1,OC_Pay)))</f>
        <v/>
      </c>
      <c r="N1290">
        <f>IF(I1290="","",IF(ISNUMBER(I1290),INT(I1290),IFERROR(INT(DATEVALUE(I1290)),IFERROR(INT(VALUE(I1290)),"bad"))))</f>
        <v/>
      </c>
      <c r="O1290">
        <f>IF(J1290="","",IF(ISNUMBER(J1290),ROUND(J1290,2),IFERROR(ROUND(VALUE(SUBSTITUTE(SUBSTITUTE(SUBSTITUTE(J1290,"$",""),",","")," ","")),2),"bad")))</f>
        <v/>
      </c>
      <c r="P1290">
        <f>IF(TRIM(K1290)="","",IFERROR(MATCH(LOWER(TRIM(K1290)),'Students'!$AH$2:$AH$701,0),IFERROR(MATCH(LOWER(TRIM(K1290)),'Students'!$AF$2:$AF$701,0),IFERROR(MATCH(LOWER(TRIM(K1290)),'Students'!$AG$2:$AG$701,0),""))))</f>
        <v/>
      </c>
      <c r="R1290">
        <f>IF(P1290="","",INDEX('Students'!$AD$2:$AD$701,P1290))</f>
        <v/>
      </c>
      <c r="S1290">
        <f>IF(H1290="OK",O1290,0)</f>
        <v/>
      </c>
      <c r="T1290">
        <f>IF(H1290="OK",N1290,"")</f>
        <v/>
      </c>
      <c r="U1290">
        <f>IF(OC_Donor=0,"",IF(INDEX('OneCause_Paste'!$A$1290:$AZ$1290,1,OC_Donor)="","",INDEX('OneCause_Paste'!$A$1290:$AZ$1290,1,OC_Donor)))</f>
        <v/>
      </c>
    </row>
    <row r="1291">
      <c r="A1291" s="62">
        <f>IF(H1291="","",IF(ISNUMBER(N1291),N1291,I1291))</f>
        <v/>
      </c>
      <c r="B1291">
        <f>IF(H1291="","",U1291)</f>
        <v/>
      </c>
      <c r="C1291">
        <f>IF(H1291="","",IF(P1291="",K1291,INDEX('Students'!$A$2:$A$701,P1291)))</f>
        <v/>
      </c>
      <c r="D1291">
        <f>IF(OR(H1291="",P1291=""),"",INDEX('Students'!$B$2:$B$701,P1291))</f>
        <v/>
      </c>
      <c r="E1291">
        <f>IF(OR(H1291="",P1291=""),"",INDEX('Students'!$C$2:$C$701,P1291))</f>
        <v/>
      </c>
      <c r="F1291" s="48">
        <f>IF(H1291="","",IF(ISNUMBER(O1291),O1291,J1291))</f>
        <v/>
      </c>
      <c r="G1291">
        <f>IF(H1291="","","OneCause")</f>
        <v/>
      </c>
      <c r="H1291">
        <f>IF(AND(I1291="",J1291="",K1291=""),"",IF(NOT(ISNUMBER(O1291)),"Bad amount",IF(O1291&lt;0,"Refund (not counted)",IF(O1291=0,"Zero amount",IF(NOT(ISNUMBER(N1291)),"Bad date",IF(P1291="","NAME NOT ON ROSTER",IF(L1291="","OK",IF(MATCH(L1291,$L$2:$L$3001,0)&lt;ROW()-1,"Duplicate (ignored)","OK"))))))))</f>
        <v/>
      </c>
      <c r="I1291">
        <f>IF(OC_Date=0,"",IF(INDEX('OneCause_Paste'!$A$1291:$AZ$1291,1,OC_Date)="","",INDEX('OneCause_Paste'!$A$1291:$AZ$1291,1,OC_Date)))</f>
        <v/>
      </c>
      <c r="J1291">
        <f>IF(OC_Amt=0,"",IF(INDEX('OneCause_Paste'!$A$1291:$AZ$1291,1,OC_Amt)="","",INDEX('OneCause_Paste'!$A$1291:$AZ$1291,1,OC_Amt)))</f>
        <v/>
      </c>
      <c r="K1291">
        <f>IF(OC_Name=0,"",IF(INDEX('OneCause_Paste'!$A$1291:$AZ$1291,1,OC_Name)="","",INDEX('OneCause_Paste'!$A$1291:$AZ$1291,1,OC_Name)))</f>
        <v/>
      </c>
      <c r="L1291">
        <f>IF(OC_Txn=0,"",IF(INDEX('OneCause_Paste'!$A$1291:$AZ$1291,1,OC_Txn)="","",INDEX('OneCause_Paste'!$A$1291:$AZ$1291,1,OC_Txn)))</f>
        <v/>
      </c>
      <c r="M1291">
        <f>IF(OC_Pay=0,"",IF(INDEX('OneCause_Paste'!$A$1291:$AZ$1291,1,OC_Pay)="","",INDEX('OneCause_Paste'!$A$1291:$AZ$1291,1,OC_Pay)))</f>
        <v/>
      </c>
      <c r="N1291">
        <f>IF(I1291="","",IF(ISNUMBER(I1291),INT(I1291),IFERROR(INT(DATEVALUE(I1291)),IFERROR(INT(VALUE(I1291)),"bad"))))</f>
        <v/>
      </c>
      <c r="O1291">
        <f>IF(J1291="","",IF(ISNUMBER(J1291),ROUND(J1291,2),IFERROR(ROUND(VALUE(SUBSTITUTE(SUBSTITUTE(SUBSTITUTE(J1291,"$",""),",","")," ","")),2),"bad")))</f>
        <v/>
      </c>
      <c r="P1291">
        <f>IF(TRIM(K1291)="","",IFERROR(MATCH(LOWER(TRIM(K1291)),'Students'!$AH$2:$AH$701,0),IFERROR(MATCH(LOWER(TRIM(K1291)),'Students'!$AF$2:$AF$701,0),IFERROR(MATCH(LOWER(TRIM(K1291)),'Students'!$AG$2:$AG$701,0),""))))</f>
        <v/>
      </c>
      <c r="R1291">
        <f>IF(P1291="","",INDEX('Students'!$AD$2:$AD$701,P1291))</f>
        <v/>
      </c>
      <c r="S1291">
        <f>IF(H1291="OK",O1291,0)</f>
        <v/>
      </c>
      <c r="T1291">
        <f>IF(H1291="OK",N1291,"")</f>
        <v/>
      </c>
      <c r="U1291">
        <f>IF(OC_Donor=0,"",IF(INDEX('OneCause_Paste'!$A$1291:$AZ$1291,1,OC_Donor)="","",INDEX('OneCause_Paste'!$A$1291:$AZ$1291,1,OC_Donor)))</f>
        <v/>
      </c>
    </row>
    <row r="1292">
      <c r="A1292" s="62">
        <f>IF(H1292="","",IF(ISNUMBER(N1292),N1292,I1292))</f>
        <v/>
      </c>
      <c r="B1292">
        <f>IF(H1292="","",U1292)</f>
        <v/>
      </c>
      <c r="C1292">
        <f>IF(H1292="","",IF(P1292="",K1292,INDEX('Students'!$A$2:$A$701,P1292)))</f>
        <v/>
      </c>
      <c r="D1292">
        <f>IF(OR(H1292="",P1292=""),"",INDEX('Students'!$B$2:$B$701,P1292))</f>
        <v/>
      </c>
      <c r="E1292">
        <f>IF(OR(H1292="",P1292=""),"",INDEX('Students'!$C$2:$C$701,P1292))</f>
        <v/>
      </c>
      <c r="F1292" s="48">
        <f>IF(H1292="","",IF(ISNUMBER(O1292),O1292,J1292))</f>
        <v/>
      </c>
      <c r="G1292">
        <f>IF(H1292="","","OneCause")</f>
        <v/>
      </c>
      <c r="H1292">
        <f>IF(AND(I1292="",J1292="",K1292=""),"",IF(NOT(ISNUMBER(O1292)),"Bad amount",IF(O1292&lt;0,"Refund (not counted)",IF(O1292=0,"Zero amount",IF(NOT(ISNUMBER(N1292)),"Bad date",IF(P1292="","NAME NOT ON ROSTER",IF(L1292="","OK",IF(MATCH(L1292,$L$2:$L$3001,0)&lt;ROW()-1,"Duplicate (ignored)","OK"))))))))</f>
        <v/>
      </c>
      <c r="I1292">
        <f>IF(OC_Date=0,"",IF(INDEX('OneCause_Paste'!$A$1292:$AZ$1292,1,OC_Date)="","",INDEX('OneCause_Paste'!$A$1292:$AZ$1292,1,OC_Date)))</f>
        <v/>
      </c>
      <c r="J1292">
        <f>IF(OC_Amt=0,"",IF(INDEX('OneCause_Paste'!$A$1292:$AZ$1292,1,OC_Amt)="","",INDEX('OneCause_Paste'!$A$1292:$AZ$1292,1,OC_Amt)))</f>
        <v/>
      </c>
      <c r="K1292">
        <f>IF(OC_Name=0,"",IF(INDEX('OneCause_Paste'!$A$1292:$AZ$1292,1,OC_Name)="","",INDEX('OneCause_Paste'!$A$1292:$AZ$1292,1,OC_Name)))</f>
        <v/>
      </c>
      <c r="L1292">
        <f>IF(OC_Txn=0,"",IF(INDEX('OneCause_Paste'!$A$1292:$AZ$1292,1,OC_Txn)="","",INDEX('OneCause_Paste'!$A$1292:$AZ$1292,1,OC_Txn)))</f>
        <v/>
      </c>
      <c r="M1292">
        <f>IF(OC_Pay=0,"",IF(INDEX('OneCause_Paste'!$A$1292:$AZ$1292,1,OC_Pay)="","",INDEX('OneCause_Paste'!$A$1292:$AZ$1292,1,OC_Pay)))</f>
        <v/>
      </c>
      <c r="N1292">
        <f>IF(I1292="","",IF(ISNUMBER(I1292),INT(I1292),IFERROR(INT(DATEVALUE(I1292)),IFERROR(INT(VALUE(I1292)),"bad"))))</f>
        <v/>
      </c>
      <c r="O1292">
        <f>IF(J1292="","",IF(ISNUMBER(J1292),ROUND(J1292,2),IFERROR(ROUND(VALUE(SUBSTITUTE(SUBSTITUTE(SUBSTITUTE(J1292,"$",""),",","")," ","")),2),"bad")))</f>
        <v/>
      </c>
      <c r="P1292">
        <f>IF(TRIM(K1292)="","",IFERROR(MATCH(LOWER(TRIM(K1292)),'Students'!$AH$2:$AH$701,0),IFERROR(MATCH(LOWER(TRIM(K1292)),'Students'!$AF$2:$AF$701,0),IFERROR(MATCH(LOWER(TRIM(K1292)),'Students'!$AG$2:$AG$701,0),""))))</f>
        <v/>
      </c>
      <c r="R1292">
        <f>IF(P1292="","",INDEX('Students'!$AD$2:$AD$701,P1292))</f>
        <v/>
      </c>
      <c r="S1292">
        <f>IF(H1292="OK",O1292,0)</f>
        <v/>
      </c>
      <c r="T1292">
        <f>IF(H1292="OK",N1292,"")</f>
        <v/>
      </c>
      <c r="U1292">
        <f>IF(OC_Donor=0,"",IF(INDEX('OneCause_Paste'!$A$1292:$AZ$1292,1,OC_Donor)="","",INDEX('OneCause_Paste'!$A$1292:$AZ$1292,1,OC_Donor)))</f>
        <v/>
      </c>
    </row>
    <row r="1293">
      <c r="A1293" s="62">
        <f>IF(H1293="","",IF(ISNUMBER(N1293),N1293,I1293))</f>
        <v/>
      </c>
      <c r="B1293">
        <f>IF(H1293="","",U1293)</f>
        <v/>
      </c>
      <c r="C1293">
        <f>IF(H1293="","",IF(P1293="",K1293,INDEX('Students'!$A$2:$A$701,P1293)))</f>
        <v/>
      </c>
      <c r="D1293">
        <f>IF(OR(H1293="",P1293=""),"",INDEX('Students'!$B$2:$B$701,P1293))</f>
        <v/>
      </c>
      <c r="E1293">
        <f>IF(OR(H1293="",P1293=""),"",INDEX('Students'!$C$2:$C$701,P1293))</f>
        <v/>
      </c>
      <c r="F1293" s="48">
        <f>IF(H1293="","",IF(ISNUMBER(O1293),O1293,J1293))</f>
        <v/>
      </c>
      <c r="G1293">
        <f>IF(H1293="","","OneCause")</f>
        <v/>
      </c>
      <c r="H1293">
        <f>IF(AND(I1293="",J1293="",K1293=""),"",IF(NOT(ISNUMBER(O1293)),"Bad amount",IF(O1293&lt;0,"Refund (not counted)",IF(O1293=0,"Zero amount",IF(NOT(ISNUMBER(N1293)),"Bad date",IF(P1293="","NAME NOT ON ROSTER",IF(L1293="","OK",IF(MATCH(L1293,$L$2:$L$3001,0)&lt;ROW()-1,"Duplicate (ignored)","OK"))))))))</f>
        <v/>
      </c>
      <c r="I1293">
        <f>IF(OC_Date=0,"",IF(INDEX('OneCause_Paste'!$A$1293:$AZ$1293,1,OC_Date)="","",INDEX('OneCause_Paste'!$A$1293:$AZ$1293,1,OC_Date)))</f>
        <v/>
      </c>
      <c r="J1293">
        <f>IF(OC_Amt=0,"",IF(INDEX('OneCause_Paste'!$A$1293:$AZ$1293,1,OC_Amt)="","",INDEX('OneCause_Paste'!$A$1293:$AZ$1293,1,OC_Amt)))</f>
        <v/>
      </c>
      <c r="K1293">
        <f>IF(OC_Name=0,"",IF(INDEX('OneCause_Paste'!$A$1293:$AZ$1293,1,OC_Name)="","",INDEX('OneCause_Paste'!$A$1293:$AZ$1293,1,OC_Name)))</f>
        <v/>
      </c>
      <c r="L1293">
        <f>IF(OC_Txn=0,"",IF(INDEX('OneCause_Paste'!$A$1293:$AZ$1293,1,OC_Txn)="","",INDEX('OneCause_Paste'!$A$1293:$AZ$1293,1,OC_Txn)))</f>
        <v/>
      </c>
      <c r="M1293">
        <f>IF(OC_Pay=0,"",IF(INDEX('OneCause_Paste'!$A$1293:$AZ$1293,1,OC_Pay)="","",INDEX('OneCause_Paste'!$A$1293:$AZ$1293,1,OC_Pay)))</f>
        <v/>
      </c>
      <c r="N1293">
        <f>IF(I1293="","",IF(ISNUMBER(I1293),INT(I1293),IFERROR(INT(DATEVALUE(I1293)),IFERROR(INT(VALUE(I1293)),"bad"))))</f>
        <v/>
      </c>
      <c r="O1293">
        <f>IF(J1293="","",IF(ISNUMBER(J1293),ROUND(J1293,2),IFERROR(ROUND(VALUE(SUBSTITUTE(SUBSTITUTE(SUBSTITUTE(J1293,"$",""),",","")," ","")),2),"bad")))</f>
        <v/>
      </c>
      <c r="P1293">
        <f>IF(TRIM(K1293)="","",IFERROR(MATCH(LOWER(TRIM(K1293)),'Students'!$AH$2:$AH$701,0),IFERROR(MATCH(LOWER(TRIM(K1293)),'Students'!$AF$2:$AF$701,0),IFERROR(MATCH(LOWER(TRIM(K1293)),'Students'!$AG$2:$AG$701,0),""))))</f>
        <v/>
      </c>
      <c r="R1293">
        <f>IF(P1293="","",INDEX('Students'!$AD$2:$AD$701,P1293))</f>
        <v/>
      </c>
      <c r="S1293">
        <f>IF(H1293="OK",O1293,0)</f>
        <v/>
      </c>
      <c r="T1293">
        <f>IF(H1293="OK",N1293,"")</f>
        <v/>
      </c>
      <c r="U1293">
        <f>IF(OC_Donor=0,"",IF(INDEX('OneCause_Paste'!$A$1293:$AZ$1293,1,OC_Donor)="","",INDEX('OneCause_Paste'!$A$1293:$AZ$1293,1,OC_Donor)))</f>
        <v/>
      </c>
    </row>
    <row r="1294">
      <c r="A1294" s="62">
        <f>IF(H1294="","",IF(ISNUMBER(N1294),N1294,I1294))</f>
        <v/>
      </c>
      <c r="B1294">
        <f>IF(H1294="","",U1294)</f>
        <v/>
      </c>
      <c r="C1294">
        <f>IF(H1294="","",IF(P1294="",K1294,INDEX('Students'!$A$2:$A$701,P1294)))</f>
        <v/>
      </c>
      <c r="D1294">
        <f>IF(OR(H1294="",P1294=""),"",INDEX('Students'!$B$2:$B$701,P1294))</f>
        <v/>
      </c>
      <c r="E1294">
        <f>IF(OR(H1294="",P1294=""),"",INDEX('Students'!$C$2:$C$701,P1294))</f>
        <v/>
      </c>
      <c r="F1294" s="48">
        <f>IF(H1294="","",IF(ISNUMBER(O1294),O1294,J1294))</f>
        <v/>
      </c>
      <c r="G1294">
        <f>IF(H1294="","","OneCause")</f>
        <v/>
      </c>
      <c r="H1294">
        <f>IF(AND(I1294="",J1294="",K1294=""),"",IF(NOT(ISNUMBER(O1294)),"Bad amount",IF(O1294&lt;0,"Refund (not counted)",IF(O1294=0,"Zero amount",IF(NOT(ISNUMBER(N1294)),"Bad date",IF(P1294="","NAME NOT ON ROSTER",IF(L1294="","OK",IF(MATCH(L1294,$L$2:$L$3001,0)&lt;ROW()-1,"Duplicate (ignored)","OK"))))))))</f>
        <v/>
      </c>
      <c r="I1294">
        <f>IF(OC_Date=0,"",IF(INDEX('OneCause_Paste'!$A$1294:$AZ$1294,1,OC_Date)="","",INDEX('OneCause_Paste'!$A$1294:$AZ$1294,1,OC_Date)))</f>
        <v/>
      </c>
      <c r="J1294">
        <f>IF(OC_Amt=0,"",IF(INDEX('OneCause_Paste'!$A$1294:$AZ$1294,1,OC_Amt)="","",INDEX('OneCause_Paste'!$A$1294:$AZ$1294,1,OC_Amt)))</f>
        <v/>
      </c>
      <c r="K1294">
        <f>IF(OC_Name=0,"",IF(INDEX('OneCause_Paste'!$A$1294:$AZ$1294,1,OC_Name)="","",INDEX('OneCause_Paste'!$A$1294:$AZ$1294,1,OC_Name)))</f>
        <v/>
      </c>
      <c r="L1294">
        <f>IF(OC_Txn=0,"",IF(INDEX('OneCause_Paste'!$A$1294:$AZ$1294,1,OC_Txn)="","",INDEX('OneCause_Paste'!$A$1294:$AZ$1294,1,OC_Txn)))</f>
        <v/>
      </c>
      <c r="M1294">
        <f>IF(OC_Pay=0,"",IF(INDEX('OneCause_Paste'!$A$1294:$AZ$1294,1,OC_Pay)="","",INDEX('OneCause_Paste'!$A$1294:$AZ$1294,1,OC_Pay)))</f>
        <v/>
      </c>
      <c r="N1294">
        <f>IF(I1294="","",IF(ISNUMBER(I1294),INT(I1294),IFERROR(INT(DATEVALUE(I1294)),IFERROR(INT(VALUE(I1294)),"bad"))))</f>
        <v/>
      </c>
      <c r="O1294">
        <f>IF(J1294="","",IF(ISNUMBER(J1294),ROUND(J1294,2),IFERROR(ROUND(VALUE(SUBSTITUTE(SUBSTITUTE(SUBSTITUTE(J1294,"$",""),",","")," ","")),2),"bad")))</f>
        <v/>
      </c>
      <c r="P1294">
        <f>IF(TRIM(K1294)="","",IFERROR(MATCH(LOWER(TRIM(K1294)),'Students'!$AH$2:$AH$701,0),IFERROR(MATCH(LOWER(TRIM(K1294)),'Students'!$AF$2:$AF$701,0),IFERROR(MATCH(LOWER(TRIM(K1294)),'Students'!$AG$2:$AG$701,0),""))))</f>
        <v/>
      </c>
      <c r="R1294">
        <f>IF(P1294="","",INDEX('Students'!$AD$2:$AD$701,P1294))</f>
        <v/>
      </c>
      <c r="S1294">
        <f>IF(H1294="OK",O1294,0)</f>
        <v/>
      </c>
      <c r="T1294">
        <f>IF(H1294="OK",N1294,"")</f>
        <v/>
      </c>
      <c r="U1294">
        <f>IF(OC_Donor=0,"",IF(INDEX('OneCause_Paste'!$A$1294:$AZ$1294,1,OC_Donor)="","",INDEX('OneCause_Paste'!$A$1294:$AZ$1294,1,OC_Donor)))</f>
        <v/>
      </c>
    </row>
    <row r="1295">
      <c r="A1295" s="62">
        <f>IF(H1295="","",IF(ISNUMBER(N1295),N1295,I1295))</f>
        <v/>
      </c>
      <c r="B1295">
        <f>IF(H1295="","",U1295)</f>
        <v/>
      </c>
      <c r="C1295">
        <f>IF(H1295="","",IF(P1295="",K1295,INDEX('Students'!$A$2:$A$701,P1295)))</f>
        <v/>
      </c>
      <c r="D1295">
        <f>IF(OR(H1295="",P1295=""),"",INDEX('Students'!$B$2:$B$701,P1295))</f>
        <v/>
      </c>
      <c r="E1295">
        <f>IF(OR(H1295="",P1295=""),"",INDEX('Students'!$C$2:$C$701,P1295))</f>
        <v/>
      </c>
      <c r="F1295" s="48">
        <f>IF(H1295="","",IF(ISNUMBER(O1295),O1295,J1295))</f>
        <v/>
      </c>
      <c r="G1295">
        <f>IF(H1295="","","OneCause")</f>
        <v/>
      </c>
      <c r="H1295">
        <f>IF(AND(I1295="",J1295="",K1295=""),"",IF(NOT(ISNUMBER(O1295)),"Bad amount",IF(O1295&lt;0,"Refund (not counted)",IF(O1295=0,"Zero amount",IF(NOT(ISNUMBER(N1295)),"Bad date",IF(P1295="","NAME NOT ON ROSTER",IF(L1295="","OK",IF(MATCH(L1295,$L$2:$L$3001,0)&lt;ROW()-1,"Duplicate (ignored)","OK"))))))))</f>
        <v/>
      </c>
      <c r="I1295">
        <f>IF(OC_Date=0,"",IF(INDEX('OneCause_Paste'!$A$1295:$AZ$1295,1,OC_Date)="","",INDEX('OneCause_Paste'!$A$1295:$AZ$1295,1,OC_Date)))</f>
        <v/>
      </c>
      <c r="J1295">
        <f>IF(OC_Amt=0,"",IF(INDEX('OneCause_Paste'!$A$1295:$AZ$1295,1,OC_Amt)="","",INDEX('OneCause_Paste'!$A$1295:$AZ$1295,1,OC_Amt)))</f>
        <v/>
      </c>
      <c r="K1295">
        <f>IF(OC_Name=0,"",IF(INDEX('OneCause_Paste'!$A$1295:$AZ$1295,1,OC_Name)="","",INDEX('OneCause_Paste'!$A$1295:$AZ$1295,1,OC_Name)))</f>
        <v/>
      </c>
      <c r="L1295">
        <f>IF(OC_Txn=0,"",IF(INDEX('OneCause_Paste'!$A$1295:$AZ$1295,1,OC_Txn)="","",INDEX('OneCause_Paste'!$A$1295:$AZ$1295,1,OC_Txn)))</f>
        <v/>
      </c>
      <c r="M1295">
        <f>IF(OC_Pay=0,"",IF(INDEX('OneCause_Paste'!$A$1295:$AZ$1295,1,OC_Pay)="","",INDEX('OneCause_Paste'!$A$1295:$AZ$1295,1,OC_Pay)))</f>
        <v/>
      </c>
      <c r="N1295">
        <f>IF(I1295="","",IF(ISNUMBER(I1295),INT(I1295),IFERROR(INT(DATEVALUE(I1295)),IFERROR(INT(VALUE(I1295)),"bad"))))</f>
        <v/>
      </c>
      <c r="O1295">
        <f>IF(J1295="","",IF(ISNUMBER(J1295),ROUND(J1295,2),IFERROR(ROUND(VALUE(SUBSTITUTE(SUBSTITUTE(SUBSTITUTE(J1295,"$",""),",","")," ","")),2),"bad")))</f>
        <v/>
      </c>
      <c r="P1295">
        <f>IF(TRIM(K1295)="","",IFERROR(MATCH(LOWER(TRIM(K1295)),'Students'!$AH$2:$AH$701,0),IFERROR(MATCH(LOWER(TRIM(K1295)),'Students'!$AF$2:$AF$701,0),IFERROR(MATCH(LOWER(TRIM(K1295)),'Students'!$AG$2:$AG$701,0),""))))</f>
        <v/>
      </c>
      <c r="R1295">
        <f>IF(P1295="","",INDEX('Students'!$AD$2:$AD$701,P1295))</f>
        <v/>
      </c>
      <c r="S1295">
        <f>IF(H1295="OK",O1295,0)</f>
        <v/>
      </c>
      <c r="T1295">
        <f>IF(H1295="OK",N1295,"")</f>
        <v/>
      </c>
      <c r="U1295">
        <f>IF(OC_Donor=0,"",IF(INDEX('OneCause_Paste'!$A$1295:$AZ$1295,1,OC_Donor)="","",INDEX('OneCause_Paste'!$A$1295:$AZ$1295,1,OC_Donor)))</f>
        <v/>
      </c>
    </row>
    <row r="1296">
      <c r="A1296" s="62">
        <f>IF(H1296="","",IF(ISNUMBER(N1296),N1296,I1296))</f>
        <v/>
      </c>
      <c r="B1296">
        <f>IF(H1296="","",U1296)</f>
        <v/>
      </c>
      <c r="C1296">
        <f>IF(H1296="","",IF(P1296="",K1296,INDEX('Students'!$A$2:$A$701,P1296)))</f>
        <v/>
      </c>
      <c r="D1296">
        <f>IF(OR(H1296="",P1296=""),"",INDEX('Students'!$B$2:$B$701,P1296))</f>
        <v/>
      </c>
      <c r="E1296">
        <f>IF(OR(H1296="",P1296=""),"",INDEX('Students'!$C$2:$C$701,P1296))</f>
        <v/>
      </c>
      <c r="F1296" s="48">
        <f>IF(H1296="","",IF(ISNUMBER(O1296),O1296,J1296))</f>
        <v/>
      </c>
      <c r="G1296">
        <f>IF(H1296="","","OneCause")</f>
        <v/>
      </c>
      <c r="H1296">
        <f>IF(AND(I1296="",J1296="",K1296=""),"",IF(NOT(ISNUMBER(O1296)),"Bad amount",IF(O1296&lt;0,"Refund (not counted)",IF(O1296=0,"Zero amount",IF(NOT(ISNUMBER(N1296)),"Bad date",IF(P1296="","NAME NOT ON ROSTER",IF(L1296="","OK",IF(MATCH(L1296,$L$2:$L$3001,0)&lt;ROW()-1,"Duplicate (ignored)","OK"))))))))</f>
        <v/>
      </c>
      <c r="I1296">
        <f>IF(OC_Date=0,"",IF(INDEX('OneCause_Paste'!$A$1296:$AZ$1296,1,OC_Date)="","",INDEX('OneCause_Paste'!$A$1296:$AZ$1296,1,OC_Date)))</f>
        <v/>
      </c>
      <c r="J1296">
        <f>IF(OC_Amt=0,"",IF(INDEX('OneCause_Paste'!$A$1296:$AZ$1296,1,OC_Amt)="","",INDEX('OneCause_Paste'!$A$1296:$AZ$1296,1,OC_Amt)))</f>
        <v/>
      </c>
      <c r="K1296">
        <f>IF(OC_Name=0,"",IF(INDEX('OneCause_Paste'!$A$1296:$AZ$1296,1,OC_Name)="","",INDEX('OneCause_Paste'!$A$1296:$AZ$1296,1,OC_Name)))</f>
        <v/>
      </c>
      <c r="L1296">
        <f>IF(OC_Txn=0,"",IF(INDEX('OneCause_Paste'!$A$1296:$AZ$1296,1,OC_Txn)="","",INDEX('OneCause_Paste'!$A$1296:$AZ$1296,1,OC_Txn)))</f>
        <v/>
      </c>
      <c r="M1296">
        <f>IF(OC_Pay=0,"",IF(INDEX('OneCause_Paste'!$A$1296:$AZ$1296,1,OC_Pay)="","",INDEX('OneCause_Paste'!$A$1296:$AZ$1296,1,OC_Pay)))</f>
        <v/>
      </c>
      <c r="N1296">
        <f>IF(I1296="","",IF(ISNUMBER(I1296),INT(I1296),IFERROR(INT(DATEVALUE(I1296)),IFERROR(INT(VALUE(I1296)),"bad"))))</f>
        <v/>
      </c>
      <c r="O1296">
        <f>IF(J1296="","",IF(ISNUMBER(J1296),ROUND(J1296,2),IFERROR(ROUND(VALUE(SUBSTITUTE(SUBSTITUTE(SUBSTITUTE(J1296,"$",""),",","")," ","")),2),"bad")))</f>
        <v/>
      </c>
      <c r="P1296">
        <f>IF(TRIM(K1296)="","",IFERROR(MATCH(LOWER(TRIM(K1296)),'Students'!$AH$2:$AH$701,0),IFERROR(MATCH(LOWER(TRIM(K1296)),'Students'!$AF$2:$AF$701,0),IFERROR(MATCH(LOWER(TRIM(K1296)),'Students'!$AG$2:$AG$701,0),""))))</f>
        <v/>
      </c>
      <c r="R1296">
        <f>IF(P1296="","",INDEX('Students'!$AD$2:$AD$701,P1296))</f>
        <v/>
      </c>
      <c r="S1296">
        <f>IF(H1296="OK",O1296,0)</f>
        <v/>
      </c>
      <c r="T1296">
        <f>IF(H1296="OK",N1296,"")</f>
        <v/>
      </c>
      <c r="U1296">
        <f>IF(OC_Donor=0,"",IF(INDEX('OneCause_Paste'!$A$1296:$AZ$1296,1,OC_Donor)="","",INDEX('OneCause_Paste'!$A$1296:$AZ$1296,1,OC_Donor)))</f>
        <v/>
      </c>
    </row>
    <row r="1297">
      <c r="A1297" s="62">
        <f>IF(H1297="","",IF(ISNUMBER(N1297),N1297,I1297))</f>
        <v/>
      </c>
      <c r="B1297">
        <f>IF(H1297="","",U1297)</f>
        <v/>
      </c>
      <c r="C1297">
        <f>IF(H1297="","",IF(P1297="",K1297,INDEX('Students'!$A$2:$A$701,P1297)))</f>
        <v/>
      </c>
      <c r="D1297">
        <f>IF(OR(H1297="",P1297=""),"",INDEX('Students'!$B$2:$B$701,P1297))</f>
        <v/>
      </c>
      <c r="E1297">
        <f>IF(OR(H1297="",P1297=""),"",INDEX('Students'!$C$2:$C$701,P1297))</f>
        <v/>
      </c>
      <c r="F1297" s="48">
        <f>IF(H1297="","",IF(ISNUMBER(O1297),O1297,J1297))</f>
        <v/>
      </c>
      <c r="G1297">
        <f>IF(H1297="","","OneCause")</f>
        <v/>
      </c>
      <c r="H1297">
        <f>IF(AND(I1297="",J1297="",K1297=""),"",IF(NOT(ISNUMBER(O1297)),"Bad amount",IF(O1297&lt;0,"Refund (not counted)",IF(O1297=0,"Zero amount",IF(NOT(ISNUMBER(N1297)),"Bad date",IF(P1297="","NAME NOT ON ROSTER",IF(L1297="","OK",IF(MATCH(L1297,$L$2:$L$3001,0)&lt;ROW()-1,"Duplicate (ignored)","OK"))))))))</f>
        <v/>
      </c>
      <c r="I1297">
        <f>IF(OC_Date=0,"",IF(INDEX('OneCause_Paste'!$A$1297:$AZ$1297,1,OC_Date)="","",INDEX('OneCause_Paste'!$A$1297:$AZ$1297,1,OC_Date)))</f>
        <v/>
      </c>
      <c r="J1297">
        <f>IF(OC_Amt=0,"",IF(INDEX('OneCause_Paste'!$A$1297:$AZ$1297,1,OC_Amt)="","",INDEX('OneCause_Paste'!$A$1297:$AZ$1297,1,OC_Amt)))</f>
        <v/>
      </c>
      <c r="K1297">
        <f>IF(OC_Name=0,"",IF(INDEX('OneCause_Paste'!$A$1297:$AZ$1297,1,OC_Name)="","",INDEX('OneCause_Paste'!$A$1297:$AZ$1297,1,OC_Name)))</f>
        <v/>
      </c>
      <c r="L1297">
        <f>IF(OC_Txn=0,"",IF(INDEX('OneCause_Paste'!$A$1297:$AZ$1297,1,OC_Txn)="","",INDEX('OneCause_Paste'!$A$1297:$AZ$1297,1,OC_Txn)))</f>
        <v/>
      </c>
      <c r="M1297">
        <f>IF(OC_Pay=0,"",IF(INDEX('OneCause_Paste'!$A$1297:$AZ$1297,1,OC_Pay)="","",INDEX('OneCause_Paste'!$A$1297:$AZ$1297,1,OC_Pay)))</f>
        <v/>
      </c>
      <c r="N1297">
        <f>IF(I1297="","",IF(ISNUMBER(I1297),INT(I1297),IFERROR(INT(DATEVALUE(I1297)),IFERROR(INT(VALUE(I1297)),"bad"))))</f>
        <v/>
      </c>
      <c r="O1297">
        <f>IF(J1297="","",IF(ISNUMBER(J1297),ROUND(J1297,2),IFERROR(ROUND(VALUE(SUBSTITUTE(SUBSTITUTE(SUBSTITUTE(J1297,"$",""),",","")," ","")),2),"bad")))</f>
        <v/>
      </c>
      <c r="P1297">
        <f>IF(TRIM(K1297)="","",IFERROR(MATCH(LOWER(TRIM(K1297)),'Students'!$AH$2:$AH$701,0),IFERROR(MATCH(LOWER(TRIM(K1297)),'Students'!$AF$2:$AF$701,0),IFERROR(MATCH(LOWER(TRIM(K1297)),'Students'!$AG$2:$AG$701,0),""))))</f>
        <v/>
      </c>
      <c r="R1297">
        <f>IF(P1297="","",INDEX('Students'!$AD$2:$AD$701,P1297))</f>
        <v/>
      </c>
      <c r="S1297">
        <f>IF(H1297="OK",O1297,0)</f>
        <v/>
      </c>
      <c r="T1297">
        <f>IF(H1297="OK",N1297,"")</f>
        <v/>
      </c>
      <c r="U1297">
        <f>IF(OC_Donor=0,"",IF(INDEX('OneCause_Paste'!$A$1297:$AZ$1297,1,OC_Donor)="","",INDEX('OneCause_Paste'!$A$1297:$AZ$1297,1,OC_Donor)))</f>
        <v/>
      </c>
    </row>
    <row r="1298">
      <c r="A1298" s="62">
        <f>IF(H1298="","",IF(ISNUMBER(N1298),N1298,I1298))</f>
        <v/>
      </c>
      <c r="B1298">
        <f>IF(H1298="","",U1298)</f>
        <v/>
      </c>
      <c r="C1298">
        <f>IF(H1298="","",IF(P1298="",K1298,INDEX('Students'!$A$2:$A$701,P1298)))</f>
        <v/>
      </c>
      <c r="D1298">
        <f>IF(OR(H1298="",P1298=""),"",INDEX('Students'!$B$2:$B$701,P1298))</f>
        <v/>
      </c>
      <c r="E1298">
        <f>IF(OR(H1298="",P1298=""),"",INDEX('Students'!$C$2:$C$701,P1298))</f>
        <v/>
      </c>
      <c r="F1298" s="48">
        <f>IF(H1298="","",IF(ISNUMBER(O1298),O1298,J1298))</f>
        <v/>
      </c>
      <c r="G1298">
        <f>IF(H1298="","","OneCause")</f>
        <v/>
      </c>
      <c r="H1298">
        <f>IF(AND(I1298="",J1298="",K1298=""),"",IF(NOT(ISNUMBER(O1298)),"Bad amount",IF(O1298&lt;0,"Refund (not counted)",IF(O1298=0,"Zero amount",IF(NOT(ISNUMBER(N1298)),"Bad date",IF(P1298="","NAME NOT ON ROSTER",IF(L1298="","OK",IF(MATCH(L1298,$L$2:$L$3001,0)&lt;ROW()-1,"Duplicate (ignored)","OK"))))))))</f>
        <v/>
      </c>
      <c r="I1298">
        <f>IF(OC_Date=0,"",IF(INDEX('OneCause_Paste'!$A$1298:$AZ$1298,1,OC_Date)="","",INDEX('OneCause_Paste'!$A$1298:$AZ$1298,1,OC_Date)))</f>
        <v/>
      </c>
      <c r="J1298">
        <f>IF(OC_Amt=0,"",IF(INDEX('OneCause_Paste'!$A$1298:$AZ$1298,1,OC_Amt)="","",INDEX('OneCause_Paste'!$A$1298:$AZ$1298,1,OC_Amt)))</f>
        <v/>
      </c>
      <c r="K1298">
        <f>IF(OC_Name=0,"",IF(INDEX('OneCause_Paste'!$A$1298:$AZ$1298,1,OC_Name)="","",INDEX('OneCause_Paste'!$A$1298:$AZ$1298,1,OC_Name)))</f>
        <v/>
      </c>
      <c r="L1298">
        <f>IF(OC_Txn=0,"",IF(INDEX('OneCause_Paste'!$A$1298:$AZ$1298,1,OC_Txn)="","",INDEX('OneCause_Paste'!$A$1298:$AZ$1298,1,OC_Txn)))</f>
        <v/>
      </c>
      <c r="M1298">
        <f>IF(OC_Pay=0,"",IF(INDEX('OneCause_Paste'!$A$1298:$AZ$1298,1,OC_Pay)="","",INDEX('OneCause_Paste'!$A$1298:$AZ$1298,1,OC_Pay)))</f>
        <v/>
      </c>
      <c r="N1298">
        <f>IF(I1298="","",IF(ISNUMBER(I1298),INT(I1298),IFERROR(INT(DATEVALUE(I1298)),IFERROR(INT(VALUE(I1298)),"bad"))))</f>
        <v/>
      </c>
      <c r="O1298">
        <f>IF(J1298="","",IF(ISNUMBER(J1298),ROUND(J1298,2),IFERROR(ROUND(VALUE(SUBSTITUTE(SUBSTITUTE(SUBSTITUTE(J1298,"$",""),",","")," ","")),2),"bad")))</f>
        <v/>
      </c>
      <c r="P1298">
        <f>IF(TRIM(K1298)="","",IFERROR(MATCH(LOWER(TRIM(K1298)),'Students'!$AH$2:$AH$701,0),IFERROR(MATCH(LOWER(TRIM(K1298)),'Students'!$AF$2:$AF$701,0),IFERROR(MATCH(LOWER(TRIM(K1298)),'Students'!$AG$2:$AG$701,0),""))))</f>
        <v/>
      </c>
      <c r="R1298">
        <f>IF(P1298="","",INDEX('Students'!$AD$2:$AD$701,P1298))</f>
        <v/>
      </c>
      <c r="S1298">
        <f>IF(H1298="OK",O1298,0)</f>
        <v/>
      </c>
      <c r="T1298">
        <f>IF(H1298="OK",N1298,"")</f>
        <v/>
      </c>
      <c r="U1298">
        <f>IF(OC_Donor=0,"",IF(INDEX('OneCause_Paste'!$A$1298:$AZ$1298,1,OC_Donor)="","",INDEX('OneCause_Paste'!$A$1298:$AZ$1298,1,OC_Donor)))</f>
        <v/>
      </c>
    </row>
    <row r="1299">
      <c r="A1299" s="62">
        <f>IF(H1299="","",IF(ISNUMBER(N1299),N1299,I1299))</f>
        <v/>
      </c>
      <c r="B1299">
        <f>IF(H1299="","",U1299)</f>
        <v/>
      </c>
      <c r="C1299">
        <f>IF(H1299="","",IF(P1299="",K1299,INDEX('Students'!$A$2:$A$701,P1299)))</f>
        <v/>
      </c>
      <c r="D1299">
        <f>IF(OR(H1299="",P1299=""),"",INDEX('Students'!$B$2:$B$701,P1299))</f>
        <v/>
      </c>
      <c r="E1299">
        <f>IF(OR(H1299="",P1299=""),"",INDEX('Students'!$C$2:$C$701,P1299))</f>
        <v/>
      </c>
      <c r="F1299" s="48">
        <f>IF(H1299="","",IF(ISNUMBER(O1299),O1299,J1299))</f>
        <v/>
      </c>
      <c r="G1299">
        <f>IF(H1299="","","OneCause")</f>
        <v/>
      </c>
      <c r="H1299">
        <f>IF(AND(I1299="",J1299="",K1299=""),"",IF(NOT(ISNUMBER(O1299)),"Bad amount",IF(O1299&lt;0,"Refund (not counted)",IF(O1299=0,"Zero amount",IF(NOT(ISNUMBER(N1299)),"Bad date",IF(P1299="","NAME NOT ON ROSTER",IF(L1299="","OK",IF(MATCH(L1299,$L$2:$L$3001,0)&lt;ROW()-1,"Duplicate (ignored)","OK"))))))))</f>
        <v/>
      </c>
      <c r="I1299">
        <f>IF(OC_Date=0,"",IF(INDEX('OneCause_Paste'!$A$1299:$AZ$1299,1,OC_Date)="","",INDEX('OneCause_Paste'!$A$1299:$AZ$1299,1,OC_Date)))</f>
        <v/>
      </c>
      <c r="J1299">
        <f>IF(OC_Amt=0,"",IF(INDEX('OneCause_Paste'!$A$1299:$AZ$1299,1,OC_Amt)="","",INDEX('OneCause_Paste'!$A$1299:$AZ$1299,1,OC_Amt)))</f>
        <v/>
      </c>
      <c r="K1299">
        <f>IF(OC_Name=0,"",IF(INDEX('OneCause_Paste'!$A$1299:$AZ$1299,1,OC_Name)="","",INDEX('OneCause_Paste'!$A$1299:$AZ$1299,1,OC_Name)))</f>
        <v/>
      </c>
      <c r="L1299">
        <f>IF(OC_Txn=0,"",IF(INDEX('OneCause_Paste'!$A$1299:$AZ$1299,1,OC_Txn)="","",INDEX('OneCause_Paste'!$A$1299:$AZ$1299,1,OC_Txn)))</f>
        <v/>
      </c>
      <c r="M1299">
        <f>IF(OC_Pay=0,"",IF(INDEX('OneCause_Paste'!$A$1299:$AZ$1299,1,OC_Pay)="","",INDEX('OneCause_Paste'!$A$1299:$AZ$1299,1,OC_Pay)))</f>
        <v/>
      </c>
      <c r="N1299">
        <f>IF(I1299="","",IF(ISNUMBER(I1299),INT(I1299),IFERROR(INT(DATEVALUE(I1299)),IFERROR(INT(VALUE(I1299)),"bad"))))</f>
        <v/>
      </c>
      <c r="O1299">
        <f>IF(J1299="","",IF(ISNUMBER(J1299),ROUND(J1299,2),IFERROR(ROUND(VALUE(SUBSTITUTE(SUBSTITUTE(SUBSTITUTE(J1299,"$",""),",","")," ","")),2),"bad")))</f>
        <v/>
      </c>
      <c r="P1299">
        <f>IF(TRIM(K1299)="","",IFERROR(MATCH(LOWER(TRIM(K1299)),'Students'!$AH$2:$AH$701,0),IFERROR(MATCH(LOWER(TRIM(K1299)),'Students'!$AF$2:$AF$701,0),IFERROR(MATCH(LOWER(TRIM(K1299)),'Students'!$AG$2:$AG$701,0),""))))</f>
        <v/>
      </c>
      <c r="R1299">
        <f>IF(P1299="","",INDEX('Students'!$AD$2:$AD$701,P1299))</f>
        <v/>
      </c>
      <c r="S1299">
        <f>IF(H1299="OK",O1299,0)</f>
        <v/>
      </c>
      <c r="T1299">
        <f>IF(H1299="OK",N1299,"")</f>
        <v/>
      </c>
      <c r="U1299">
        <f>IF(OC_Donor=0,"",IF(INDEX('OneCause_Paste'!$A$1299:$AZ$1299,1,OC_Donor)="","",INDEX('OneCause_Paste'!$A$1299:$AZ$1299,1,OC_Donor)))</f>
        <v/>
      </c>
    </row>
    <row r="1300">
      <c r="A1300" s="62">
        <f>IF(H1300="","",IF(ISNUMBER(N1300),N1300,I1300))</f>
        <v/>
      </c>
      <c r="B1300">
        <f>IF(H1300="","",U1300)</f>
        <v/>
      </c>
      <c r="C1300">
        <f>IF(H1300="","",IF(P1300="",K1300,INDEX('Students'!$A$2:$A$701,P1300)))</f>
        <v/>
      </c>
      <c r="D1300">
        <f>IF(OR(H1300="",P1300=""),"",INDEX('Students'!$B$2:$B$701,P1300))</f>
        <v/>
      </c>
      <c r="E1300">
        <f>IF(OR(H1300="",P1300=""),"",INDEX('Students'!$C$2:$C$701,P1300))</f>
        <v/>
      </c>
      <c r="F1300" s="48">
        <f>IF(H1300="","",IF(ISNUMBER(O1300),O1300,J1300))</f>
        <v/>
      </c>
      <c r="G1300">
        <f>IF(H1300="","","OneCause")</f>
        <v/>
      </c>
      <c r="H1300">
        <f>IF(AND(I1300="",J1300="",K1300=""),"",IF(NOT(ISNUMBER(O1300)),"Bad amount",IF(O1300&lt;0,"Refund (not counted)",IF(O1300=0,"Zero amount",IF(NOT(ISNUMBER(N1300)),"Bad date",IF(P1300="","NAME NOT ON ROSTER",IF(L1300="","OK",IF(MATCH(L1300,$L$2:$L$3001,0)&lt;ROW()-1,"Duplicate (ignored)","OK"))))))))</f>
        <v/>
      </c>
      <c r="I1300">
        <f>IF(OC_Date=0,"",IF(INDEX('OneCause_Paste'!$A$1300:$AZ$1300,1,OC_Date)="","",INDEX('OneCause_Paste'!$A$1300:$AZ$1300,1,OC_Date)))</f>
        <v/>
      </c>
      <c r="J1300">
        <f>IF(OC_Amt=0,"",IF(INDEX('OneCause_Paste'!$A$1300:$AZ$1300,1,OC_Amt)="","",INDEX('OneCause_Paste'!$A$1300:$AZ$1300,1,OC_Amt)))</f>
        <v/>
      </c>
      <c r="K1300">
        <f>IF(OC_Name=0,"",IF(INDEX('OneCause_Paste'!$A$1300:$AZ$1300,1,OC_Name)="","",INDEX('OneCause_Paste'!$A$1300:$AZ$1300,1,OC_Name)))</f>
        <v/>
      </c>
      <c r="L1300">
        <f>IF(OC_Txn=0,"",IF(INDEX('OneCause_Paste'!$A$1300:$AZ$1300,1,OC_Txn)="","",INDEX('OneCause_Paste'!$A$1300:$AZ$1300,1,OC_Txn)))</f>
        <v/>
      </c>
      <c r="M1300">
        <f>IF(OC_Pay=0,"",IF(INDEX('OneCause_Paste'!$A$1300:$AZ$1300,1,OC_Pay)="","",INDEX('OneCause_Paste'!$A$1300:$AZ$1300,1,OC_Pay)))</f>
        <v/>
      </c>
      <c r="N1300">
        <f>IF(I1300="","",IF(ISNUMBER(I1300),INT(I1300),IFERROR(INT(DATEVALUE(I1300)),IFERROR(INT(VALUE(I1300)),"bad"))))</f>
        <v/>
      </c>
      <c r="O1300">
        <f>IF(J1300="","",IF(ISNUMBER(J1300),ROUND(J1300,2),IFERROR(ROUND(VALUE(SUBSTITUTE(SUBSTITUTE(SUBSTITUTE(J1300,"$",""),",","")," ","")),2),"bad")))</f>
        <v/>
      </c>
      <c r="P1300">
        <f>IF(TRIM(K1300)="","",IFERROR(MATCH(LOWER(TRIM(K1300)),'Students'!$AH$2:$AH$701,0),IFERROR(MATCH(LOWER(TRIM(K1300)),'Students'!$AF$2:$AF$701,0),IFERROR(MATCH(LOWER(TRIM(K1300)),'Students'!$AG$2:$AG$701,0),""))))</f>
        <v/>
      </c>
      <c r="R1300">
        <f>IF(P1300="","",INDEX('Students'!$AD$2:$AD$701,P1300))</f>
        <v/>
      </c>
      <c r="S1300">
        <f>IF(H1300="OK",O1300,0)</f>
        <v/>
      </c>
      <c r="T1300">
        <f>IF(H1300="OK",N1300,"")</f>
        <v/>
      </c>
      <c r="U1300">
        <f>IF(OC_Donor=0,"",IF(INDEX('OneCause_Paste'!$A$1300:$AZ$1300,1,OC_Donor)="","",INDEX('OneCause_Paste'!$A$1300:$AZ$1300,1,OC_Donor)))</f>
        <v/>
      </c>
    </row>
    <row r="1301">
      <c r="A1301" s="62">
        <f>IF(H1301="","",IF(ISNUMBER(N1301),N1301,I1301))</f>
        <v/>
      </c>
      <c r="B1301">
        <f>IF(H1301="","",U1301)</f>
        <v/>
      </c>
      <c r="C1301">
        <f>IF(H1301="","",IF(P1301="",K1301,INDEX('Students'!$A$2:$A$701,P1301)))</f>
        <v/>
      </c>
      <c r="D1301">
        <f>IF(OR(H1301="",P1301=""),"",INDEX('Students'!$B$2:$B$701,P1301))</f>
        <v/>
      </c>
      <c r="E1301">
        <f>IF(OR(H1301="",P1301=""),"",INDEX('Students'!$C$2:$C$701,P1301))</f>
        <v/>
      </c>
      <c r="F1301" s="48">
        <f>IF(H1301="","",IF(ISNUMBER(O1301),O1301,J1301))</f>
        <v/>
      </c>
      <c r="G1301">
        <f>IF(H1301="","","OneCause")</f>
        <v/>
      </c>
      <c r="H1301">
        <f>IF(AND(I1301="",J1301="",K1301=""),"",IF(NOT(ISNUMBER(O1301)),"Bad amount",IF(O1301&lt;0,"Refund (not counted)",IF(O1301=0,"Zero amount",IF(NOT(ISNUMBER(N1301)),"Bad date",IF(P1301="","NAME NOT ON ROSTER",IF(L1301="","OK",IF(MATCH(L1301,$L$2:$L$3001,0)&lt;ROW()-1,"Duplicate (ignored)","OK"))))))))</f>
        <v/>
      </c>
      <c r="I1301">
        <f>IF(OC_Date=0,"",IF(INDEX('OneCause_Paste'!$A$1301:$AZ$1301,1,OC_Date)="","",INDEX('OneCause_Paste'!$A$1301:$AZ$1301,1,OC_Date)))</f>
        <v/>
      </c>
      <c r="J1301">
        <f>IF(OC_Amt=0,"",IF(INDEX('OneCause_Paste'!$A$1301:$AZ$1301,1,OC_Amt)="","",INDEX('OneCause_Paste'!$A$1301:$AZ$1301,1,OC_Amt)))</f>
        <v/>
      </c>
      <c r="K1301">
        <f>IF(OC_Name=0,"",IF(INDEX('OneCause_Paste'!$A$1301:$AZ$1301,1,OC_Name)="","",INDEX('OneCause_Paste'!$A$1301:$AZ$1301,1,OC_Name)))</f>
        <v/>
      </c>
      <c r="L1301">
        <f>IF(OC_Txn=0,"",IF(INDEX('OneCause_Paste'!$A$1301:$AZ$1301,1,OC_Txn)="","",INDEX('OneCause_Paste'!$A$1301:$AZ$1301,1,OC_Txn)))</f>
        <v/>
      </c>
      <c r="M1301">
        <f>IF(OC_Pay=0,"",IF(INDEX('OneCause_Paste'!$A$1301:$AZ$1301,1,OC_Pay)="","",INDEX('OneCause_Paste'!$A$1301:$AZ$1301,1,OC_Pay)))</f>
        <v/>
      </c>
      <c r="N1301">
        <f>IF(I1301="","",IF(ISNUMBER(I1301),INT(I1301),IFERROR(INT(DATEVALUE(I1301)),IFERROR(INT(VALUE(I1301)),"bad"))))</f>
        <v/>
      </c>
      <c r="O1301">
        <f>IF(J1301="","",IF(ISNUMBER(J1301),ROUND(J1301,2),IFERROR(ROUND(VALUE(SUBSTITUTE(SUBSTITUTE(SUBSTITUTE(J1301,"$",""),",","")," ","")),2),"bad")))</f>
        <v/>
      </c>
      <c r="P1301">
        <f>IF(TRIM(K1301)="","",IFERROR(MATCH(LOWER(TRIM(K1301)),'Students'!$AH$2:$AH$701,0),IFERROR(MATCH(LOWER(TRIM(K1301)),'Students'!$AF$2:$AF$701,0),IFERROR(MATCH(LOWER(TRIM(K1301)),'Students'!$AG$2:$AG$701,0),""))))</f>
        <v/>
      </c>
      <c r="R1301">
        <f>IF(P1301="","",INDEX('Students'!$AD$2:$AD$701,P1301))</f>
        <v/>
      </c>
      <c r="S1301">
        <f>IF(H1301="OK",O1301,0)</f>
        <v/>
      </c>
      <c r="T1301">
        <f>IF(H1301="OK",N1301,"")</f>
        <v/>
      </c>
      <c r="U1301">
        <f>IF(OC_Donor=0,"",IF(INDEX('OneCause_Paste'!$A$1301:$AZ$1301,1,OC_Donor)="","",INDEX('OneCause_Paste'!$A$1301:$AZ$1301,1,OC_Donor)))</f>
        <v/>
      </c>
    </row>
    <row r="1302">
      <c r="A1302" s="62">
        <f>IF(H1302="","",IF(ISNUMBER(N1302),N1302,I1302))</f>
        <v/>
      </c>
      <c r="B1302">
        <f>IF(H1302="","",U1302)</f>
        <v/>
      </c>
      <c r="C1302">
        <f>IF(H1302="","",IF(P1302="",K1302,INDEX('Students'!$A$2:$A$701,P1302)))</f>
        <v/>
      </c>
      <c r="D1302">
        <f>IF(OR(H1302="",P1302=""),"",INDEX('Students'!$B$2:$B$701,P1302))</f>
        <v/>
      </c>
      <c r="E1302">
        <f>IF(OR(H1302="",P1302=""),"",INDEX('Students'!$C$2:$C$701,P1302))</f>
        <v/>
      </c>
      <c r="F1302" s="48">
        <f>IF(H1302="","",IF(ISNUMBER(O1302),O1302,J1302))</f>
        <v/>
      </c>
      <c r="G1302">
        <f>IF(H1302="","","OneCause")</f>
        <v/>
      </c>
      <c r="H1302">
        <f>IF(AND(I1302="",J1302="",K1302=""),"",IF(NOT(ISNUMBER(O1302)),"Bad amount",IF(O1302&lt;0,"Refund (not counted)",IF(O1302=0,"Zero amount",IF(NOT(ISNUMBER(N1302)),"Bad date",IF(P1302="","NAME NOT ON ROSTER",IF(L1302="","OK",IF(MATCH(L1302,$L$2:$L$3001,0)&lt;ROW()-1,"Duplicate (ignored)","OK"))))))))</f>
        <v/>
      </c>
      <c r="I1302">
        <f>IF(OC_Date=0,"",IF(INDEX('OneCause_Paste'!$A$1302:$AZ$1302,1,OC_Date)="","",INDEX('OneCause_Paste'!$A$1302:$AZ$1302,1,OC_Date)))</f>
        <v/>
      </c>
      <c r="J1302">
        <f>IF(OC_Amt=0,"",IF(INDEX('OneCause_Paste'!$A$1302:$AZ$1302,1,OC_Amt)="","",INDEX('OneCause_Paste'!$A$1302:$AZ$1302,1,OC_Amt)))</f>
        <v/>
      </c>
      <c r="K1302">
        <f>IF(OC_Name=0,"",IF(INDEX('OneCause_Paste'!$A$1302:$AZ$1302,1,OC_Name)="","",INDEX('OneCause_Paste'!$A$1302:$AZ$1302,1,OC_Name)))</f>
        <v/>
      </c>
      <c r="L1302">
        <f>IF(OC_Txn=0,"",IF(INDEX('OneCause_Paste'!$A$1302:$AZ$1302,1,OC_Txn)="","",INDEX('OneCause_Paste'!$A$1302:$AZ$1302,1,OC_Txn)))</f>
        <v/>
      </c>
      <c r="M1302">
        <f>IF(OC_Pay=0,"",IF(INDEX('OneCause_Paste'!$A$1302:$AZ$1302,1,OC_Pay)="","",INDEX('OneCause_Paste'!$A$1302:$AZ$1302,1,OC_Pay)))</f>
        <v/>
      </c>
      <c r="N1302">
        <f>IF(I1302="","",IF(ISNUMBER(I1302),INT(I1302),IFERROR(INT(DATEVALUE(I1302)),IFERROR(INT(VALUE(I1302)),"bad"))))</f>
        <v/>
      </c>
      <c r="O1302">
        <f>IF(J1302="","",IF(ISNUMBER(J1302),ROUND(J1302,2),IFERROR(ROUND(VALUE(SUBSTITUTE(SUBSTITUTE(SUBSTITUTE(J1302,"$",""),",","")," ","")),2),"bad")))</f>
        <v/>
      </c>
      <c r="P1302">
        <f>IF(TRIM(K1302)="","",IFERROR(MATCH(LOWER(TRIM(K1302)),'Students'!$AH$2:$AH$701,0),IFERROR(MATCH(LOWER(TRIM(K1302)),'Students'!$AF$2:$AF$701,0),IFERROR(MATCH(LOWER(TRIM(K1302)),'Students'!$AG$2:$AG$701,0),""))))</f>
        <v/>
      </c>
      <c r="R1302">
        <f>IF(P1302="","",INDEX('Students'!$AD$2:$AD$701,P1302))</f>
        <v/>
      </c>
      <c r="S1302">
        <f>IF(H1302="OK",O1302,0)</f>
        <v/>
      </c>
      <c r="T1302">
        <f>IF(H1302="OK",N1302,"")</f>
        <v/>
      </c>
      <c r="U1302">
        <f>IF(OC_Donor=0,"",IF(INDEX('OneCause_Paste'!$A$1302:$AZ$1302,1,OC_Donor)="","",INDEX('OneCause_Paste'!$A$1302:$AZ$1302,1,OC_Donor)))</f>
        <v/>
      </c>
    </row>
    <row r="1303">
      <c r="A1303" s="62">
        <f>IF(H1303="","",IF(ISNUMBER(N1303),N1303,I1303))</f>
        <v/>
      </c>
      <c r="B1303">
        <f>IF(H1303="","",U1303)</f>
        <v/>
      </c>
      <c r="C1303">
        <f>IF(H1303="","",IF(P1303="",K1303,INDEX('Students'!$A$2:$A$701,P1303)))</f>
        <v/>
      </c>
      <c r="D1303">
        <f>IF(OR(H1303="",P1303=""),"",INDEX('Students'!$B$2:$B$701,P1303))</f>
        <v/>
      </c>
      <c r="E1303">
        <f>IF(OR(H1303="",P1303=""),"",INDEX('Students'!$C$2:$C$701,P1303))</f>
        <v/>
      </c>
      <c r="F1303" s="48">
        <f>IF(H1303="","",IF(ISNUMBER(O1303),O1303,J1303))</f>
        <v/>
      </c>
      <c r="G1303">
        <f>IF(H1303="","","OneCause")</f>
        <v/>
      </c>
      <c r="H1303">
        <f>IF(AND(I1303="",J1303="",K1303=""),"",IF(NOT(ISNUMBER(O1303)),"Bad amount",IF(O1303&lt;0,"Refund (not counted)",IF(O1303=0,"Zero amount",IF(NOT(ISNUMBER(N1303)),"Bad date",IF(P1303="","NAME NOT ON ROSTER",IF(L1303="","OK",IF(MATCH(L1303,$L$2:$L$3001,0)&lt;ROW()-1,"Duplicate (ignored)","OK"))))))))</f>
        <v/>
      </c>
      <c r="I1303">
        <f>IF(OC_Date=0,"",IF(INDEX('OneCause_Paste'!$A$1303:$AZ$1303,1,OC_Date)="","",INDEX('OneCause_Paste'!$A$1303:$AZ$1303,1,OC_Date)))</f>
        <v/>
      </c>
      <c r="J1303">
        <f>IF(OC_Amt=0,"",IF(INDEX('OneCause_Paste'!$A$1303:$AZ$1303,1,OC_Amt)="","",INDEX('OneCause_Paste'!$A$1303:$AZ$1303,1,OC_Amt)))</f>
        <v/>
      </c>
      <c r="K1303">
        <f>IF(OC_Name=0,"",IF(INDEX('OneCause_Paste'!$A$1303:$AZ$1303,1,OC_Name)="","",INDEX('OneCause_Paste'!$A$1303:$AZ$1303,1,OC_Name)))</f>
        <v/>
      </c>
      <c r="L1303">
        <f>IF(OC_Txn=0,"",IF(INDEX('OneCause_Paste'!$A$1303:$AZ$1303,1,OC_Txn)="","",INDEX('OneCause_Paste'!$A$1303:$AZ$1303,1,OC_Txn)))</f>
        <v/>
      </c>
      <c r="M1303">
        <f>IF(OC_Pay=0,"",IF(INDEX('OneCause_Paste'!$A$1303:$AZ$1303,1,OC_Pay)="","",INDEX('OneCause_Paste'!$A$1303:$AZ$1303,1,OC_Pay)))</f>
        <v/>
      </c>
      <c r="N1303">
        <f>IF(I1303="","",IF(ISNUMBER(I1303),INT(I1303),IFERROR(INT(DATEVALUE(I1303)),IFERROR(INT(VALUE(I1303)),"bad"))))</f>
        <v/>
      </c>
      <c r="O1303">
        <f>IF(J1303="","",IF(ISNUMBER(J1303),ROUND(J1303,2),IFERROR(ROUND(VALUE(SUBSTITUTE(SUBSTITUTE(SUBSTITUTE(J1303,"$",""),",","")," ","")),2),"bad")))</f>
        <v/>
      </c>
      <c r="P1303">
        <f>IF(TRIM(K1303)="","",IFERROR(MATCH(LOWER(TRIM(K1303)),'Students'!$AH$2:$AH$701,0),IFERROR(MATCH(LOWER(TRIM(K1303)),'Students'!$AF$2:$AF$701,0),IFERROR(MATCH(LOWER(TRIM(K1303)),'Students'!$AG$2:$AG$701,0),""))))</f>
        <v/>
      </c>
      <c r="R1303">
        <f>IF(P1303="","",INDEX('Students'!$AD$2:$AD$701,P1303))</f>
        <v/>
      </c>
      <c r="S1303">
        <f>IF(H1303="OK",O1303,0)</f>
        <v/>
      </c>
      <c r="T1303">
        <f>IF(H1303="OK",N1303,"")</f>
        <v/>
      </c>
      <c r="U1303">
        <f>IF(OC_Donor=0,"",IF(INDEX('OneCause_Paste'!$A$1303:$AZ$1303,1,OC_Donor)="","",INDEX('OneCause_Paste'!$A$1303:$AZ$1303,1,OC_Donor)))</f>
        <v/>
      </c>
    </row>
    <row r="1304">
      <c r="A1304" s="62">
        <f>IF(H1304="","",IF(ISNUMBER(N1304),N1304,I1304))</f>
        <v/>
      </c>
      <c r="B1304">
        <f>IF(H1304="","",U1304)</f>
        <v/>
      </c>
      <c r="C1304">
        <f>IF(H1304="","",IF(P1304="",K1304,INDEX('Students'!$A$2:$A$701,P1304)))</f>
        <v/>
      </c>
      <c r="D1304">
        <f>IF(OR(H1304="",P1304=""),"",INDEX('Students'!$B$2:$B$701,P1304))</f>
        <v/>
      </c>
      <c r="E1304">
        <f>IF(OR(H1304="",P1304=""),"",INDEX('Students'!$C$2:$C$701,P1304))</f>
        <v/>
      </c>
      <c r="F1304" s="48">
        <f>IF(H1304="","",IF(ISNUMBER(O1304),O1304,J1304))</f>
        <v/>
      </c>
      <c r="G1304">
        <f>IF(H1304="","","OneCause")</f>
        <v/>
      </c>
      <c r="H1304">
        <f>IF(AND(I1304="",J1304="",K1304=""),"",IF(NOT(ISNUMBER(O1304)),"Bad amount",IF(O1304&lt;0,"Refund (not counted)",IF(O1304=0,"Zero amount",IF(NOT(ISNUMBER(N1304)),"Bad date",IF(P1304="","NAME NOT ON ROSTER",IF(L1304="","OK",IF(MATCH(L1304,$L$2:$L$3001,0)&lt;ROW()-1,"Duplicate (ignored)","OK"))))))))</f>
        <v/>
      </c>
      <c r="I1304">
        <f>IF(OC_Date=0,"",IF(INDEX('OneCause_Paste'!$A$1304:$AZ$1304,1,OC_Date)="","",INDEX('OneCause_Paste'!$A$1304:$AZ$1304,1,OC_Date)))</f>
        <v/>
      </c>
      <c r="J1304">
        <f>IF(OC_Amt=0,"",IF(INDEX('OneCause_Paste'!$A$1304:$AZ$1304,1,OC_Amt)="","",INDEX('OneCause_Paste'!$A$1304:$AZ$1304,1,OC_Amt)))</f>
        <v/>
      </c>
      <c r="K1304">
        <f>IF(OC_Name=0,"",IF(INDEX('OneCause_Paste'!$A$1304:$AZ$1304,1,OC_Name)="","",INDEX('OneCause_Paste'!$A$1304:$AZ$1304,1,OC_Name)))</f>
        <v/>
      </c>
      <c r="L1304">
        <f>IF(OC_Txn=0,"",IF(INDEX('OneCause_Paste'!$A$1304:$AZ$1304,1,OC_Txn)="","",INDEX('OneCause_Paste'!$A$1304:$AZ$1304,1,OC_Txn)))</f>
        <v/>
      </c>
      <c r="M1304">
        <f>IF(OC_Pay=0,"",IF(INDEX('OneCause_Paste'!$A$1304:$AZ$1304,1,OC_Pay)="","",INDEX('OneCause_Paste'!$A$1304:$AZ$1304,1,OC_Pay)))</f>
        <v/>
      </c>
      <c r="N1304">
        <f>IF(I1304="","",IF(ISNUMBER(I1304),INT(I1304),IFERROR(INT(DATEVALUE(I1304)),IFERROR(INT(VALUE(I1304)),"bad"))))</f>
        <v/>
      </c>
      <c r="O1304">
        <f>IF(J1304="","",IF(ISNUMBER(J1304),ROUND(J1304,2),IFERROR(ROUND(VALUE(SUBSTITUTE(SUBSTITUTE(SUBSTITUTE(J1304,"$",""),",","")," ","")),2),"bad")))</f>
        <v/>
      </c>
      <c r="P1304">
        <f>IF(TRIM(K1304)="","",IFERROR(MATCH(LOWER(TRIM(K1304)),'Students'!$AH$2:$AH$701,0),IFERROR(MATCH(LOWER(TRIM(K1304)),'Students'!$AF$2:$AF$701,0),IFERROR(MATCH(LOWER(TRIM(K1304)),'Students'!$AG$2:$AG$701,0),""))))</f>
        <v/>
      </c>
      <c r="R1304">
        <f>IF(P1304="","",INDEX('Students'!$AD$2:$AD$701,P1304))</f>
        <v/>
      </c>
      <c r="S1304">
        <f>IF(H1304="OK",O1304,0)</f>
        <v/>
      </c>
      <c r="T1304">
        <f>IF(H1304="OK",N1304,"")</f>
        <v/>
      </c>
      <c r="U1304">
        <f>IF(OC_Donor=0,"",IF(INDEX('OneCause_Paste'!$A$1304:$AZ$1304,1,OC_Donor)="","",INDEX('OneCause_Paste'!$A$1304:$AZ$1304,1,OC_Donor)))</f>
        <v/>
      </c>
    </row>
    <row r="1305">
      <c r="A1305" s="62">
        <f>IF(H1305="","",IF(ISNUMBER(N1305),N1305,I1305))</f>
        <v/>
      </c>
      <c r="B1305">
        <f>IF(H1305="","",U1305)</f>
        <v/>
      </c>
      <c r="C1305">
        <f>IF(H1305="","",IF(P1305="",K1305,INDEX('Students'!$A$2:$A$701,P1305)))</f>
        <v/>
      </c>
      <c r="D1305">
        <f>IF(OR(H1305="",P1305=""),"",INDEX('Students'!$B$2:$B$701,P1305))</f>
        <v/>
      </c>
      <c r="E1305">
        <f>IF(OR(H1305="",P1305=""),"",INDEX('Students'!$C$2:$C$701,P1305))</f>
        <v/>
      </c>
      <c r="F1305" s="48">
        <f>IF(H1305="","",IF(ISNUMBER(O1305),O1305,J1305))</f>
        <v/>
      </c>
      <c r="G1305">
        <f>IF(H1305="","","OneCause")</f>
        <v/>
      </c>
      <c r="H1305">
        <f>IF(AND(I1305="",J1305="",K1305=""),"",IF(NOT(ISNUMBER(O1305)),"Bad amount",IF(O1305&lt;0,"Refund (not counted)",IF(O1305=0,"Zero amount",IF(NOT(ISNUMBER(N1305)),"Bad date",IF(P1305="","NAME NOT ON ROSTER",IF(L1305="","OK",IF(MATCH(L1305,$L$2:$L$3001,0)&lt;ROW()-1,"Duplicate (ignored)","OK"))))))))</f>
        <v/>
      </c>
      <c r="I1305">
        <f>IF(OC_Date=0,"",IF(INDEX('OneCause_Paste'!$A$1305:$AZ$1305,1,OC_Date)="","",INDEX('OneCause_Paste'!$A$1305:$AZ$1305,1,OC_Date)))</f>
        <v/>
      </c>
      <c r="J1305">
        <f>IF(OC_Amt=0,"",IF(INDEX('OneCause_Paste'!$A$1305:$AZ$1305,1,OC_Amt)="","",INDEX('OneCause_Paste'!$A$1305:$AZ$1305,1,OC_Amt)))</f>
        <v/>
      </c>
      <c r="K1305">
        <f>IF(OC_Name=0,"",IF(INDEX('OneCause_Paste'!$A$1305:$AZ$1305,1,OC_Name)="","",INDEX('OneCause_Paste'!$A$1305:$AZ$1305,1,OC_Name)))</f>
        <v/>
      </c>
      <c r="L1305">
        <f>IF(OC_Txn=0,"",IF(INDEX('OneCause_Paste'!$A$1305:$AZ$1305,1,OC_Txn)="","",INDEX('OneCause_Paste'!$A$1305:$AZ$1305,1,OC_Txn)))</f>
        <v/>
      </c>
      <c r="M1305">
        <f>IF(OC_Pay=0,"",IF(INDEX('OneCause_Paste'!$A$1305:$AZ$1305,1,OC_Pay)="","",INDEX('OneCause_Paste'!$A$1305:$AZ$1305,1,OC_Pay)))</f>
        <v/>
      </c>
      <c r="N1305">
        <f>IF(I1305="","",IF(ISNUMBER(I1305),INT(I1305),IFERROR(INT(DATEVALUE(I1305)),IFERROR(INT(VALUE(I1305)),"bad"))))</f>
        <v/>
      </c>
      <c r="O1305">
        <f>IF(J1305="","",IF(ISNUMBER(J1305),ROUND(J1305,2),IFERROR(ROUND(VALUE(SUBSTITUTE(SUBSTITUTE(SUBSTITUTE(J1305,"$",""),",","")," ","")),2),"bad")))</f>
        <v/>
      </c>
      <c r="P1305">
        <f>IF(TRIM(K1305)="","",IFERROR(MATCH(LOWER(TRIM(K1305)),'Students'!$AH$2:$AH$701,0),IFERROR(MATCH(LOWER(TRIM(K1305)),'Students'!$AF$2:$AF$701,0),IFERROR(MATCH(LOWER(TRIM(K1305)),'Students'!$AG$2:$AG$701,0),""))))</f>
        <v/>
      </c>
      <c r="R1305">
        <f>IF(P1305="","",INDEX('Students'!$AD$2:$AD$701,P1305))</f>
        <v/>
      </c>
      <c r="S1305">
        <f>IF(H1305="OK",O1305,0)</f>
        <v/>
      </c>
      <c r="T1305">
        <f>IF(H1305="OK",N1305,"")</f>
        <v/>
      </c>
      <c r="U1305">
        <f>IF(OC_Donor=0,"",IF(INDEX('OneCause_Paste'!$A$1305:$AZ$1305,1,OC_Donor)="","",INDEX('OneCause_Paste'!$A$1305:$AZ$1305,1,OC_Donor)))</f>
        <v/>
      </c>
    </row>
    <row r="1306">
      <c r="A1306" s="62">
        <f>IF(H1306="","",IF(ISNUMBER(N1306),N1306,I1306))</f>
        <v/>
      </c>
      <c r="B1306">
        <f>IF(H1306="","",U1306)</f>
        <v/>
      </c>
      <c r="C1306">
        <f>IF(H1306="","",IF(P1306="",K1306,INDEX('Students'!$A$2:$A$701,P1306)))</f>
        <v/>
      </c>
      <c r="D1306">
        <f>IF(OR(H1306="",P1306=""),"",INDEX('Students'!$B$2:$B$701,P1306))</f>
        <v/>
      </c>
      <c r="E1306">
        <f>IF(OR(H1306="",P1306=""),"",INDEX('Students'!$C$2:$C$701,P1306))</f>
        <v/>
      </c>
      <c r="F1306" s="48">
        <f>IF(H1306="","",IF(ISNUMBER(O1306),O1306,J1306))</f>
        <v/>
      </c>
      <c r="G1306">
        <f>IF(H1306="","","OneCause")</f>
        <v/>
      </c>
      <c r="H1306">
        <f>IF(AND(I1306="",J1306="",K1306=""),"",IF(NOT(ISNUMBER(O1306)),"Bad amount",IF(O1306&lt;0,"Refund (not counted)",IF(O1306=0,"Zero amount",IF(NOT(ISNUMBER(N1306)),"Bad date",IF(P1306="","NAME NOT ON ROSTER",IF(L1306="","OK",IF(MATCH(L1306,$L$2:$L$3001,0)&lt;ROW()-1,"Duplicate (ignored)","OK"))))))))</f>
        <v/>
      </c>
      <c r="I1306">
        <f>IF(OC_Date=0,"",IF(INDEX('OneCause_Paste'!$A$1306:$AZ$1306,1,OC_Date)="","",INDEX('OneCause_Paste'!$A$1306:$AZ$1306,1,OC_Date)))</f>
        <v/>
      </c>
      <c r="J1306">
        <f>IF(OC_Amt=0,"",IF(INDEX('OneCause_Paste'!$A$1306:$AZ$1306,1,OC_Amt)="","",INDEX('OneCause_Paste'!$A$1306:$AZ$1306,1,OC_Amt)))</f>
        <v/>
      </c>
      <c r="K1306">
        <f>IF(OC_Name=0,"",IF(INDEX('OneCause_Paste'!$A$1306:$AZ$1306,1,OC_Name)="","",INDEX('OneCause_Paste'!$A$1306:$AZ$1306,1,OC_Name)))</f>
        <v/>
      </c>
      <c r="L1306">
        <f>IF(OC_Txn=0,"",IF(INDEX('OneCause_Paste'!$A$1306:$AZ$1306,1,OC_Txn)="","",INDEX('OneCause_Paste'!$A$1306:$AZ$1306,1,OC_Txn)))</f>
        <v/>
      </c>
      <c r="M1306">
        <f>IF(OC_Pay=0,"",IF(INDEX('OneCause_Paste'!$A$1306:$AZ$1306,1,OC_Pay)="","",INDEX('OneCause_Paste'!$A$1306:$AZ$1306,1,OC_Pay)))</f>
        <v/>
      </c>
      <c r="N1306">
        <f>IF(I1306="","",IF(ISNUMBER(I1306),INT(I1306),IFERROR(INT(DATEVALUE(I1306)),IFERROR(INT(VALUE(I1306)),"bad"))))</f>
        <v/>
      </c>
      <c r="O1306">
        <f>IF(J1306="","",IF(ISNUMBER(J1306),ROUND(J1306,2),IFERROR(ROUND(VALUE(SUBSTITUTE(SUBSTITUTE(SUBSTITUTE(J1306,"$",""),",","")," ","")),2),"bad")))</f>
        <v/>
      </c>
      <c r="P1306">
        <f>IF(TRIM(K1306)="","",IFERROR(MATCH(LOWER(TRIM(K1306)),'Students'!$AH$2:$AH$701,0),IFERROR(MATCH(LOWER(TRIM(K1306)),'Students'!$AF$2:$AF$701,0),IFERROR(MATCH(LOWER(TRIM(K1306)),'Students'!$AG$2:$AG$701,0),""))))</f>
        <v/>
      </c>
      <c r="R1306">
        <f>IF(P1306="","",INDEX('Students'!$AD$2:$AD$701,P1306))</f>
        <v/>
      </c>
      <c r="S1306">
        <f>IF(H1306="OK",O1306,0)</f>
        <v/>
      </c>
      <c r="T1306">
        <f>IF(H1306="OK",N1306,"")</f>
        <v/>
      </c>
      <c r="U1306">
        <f>IF(OC_Donor=0,"",IF(INDEX('OneCause_Paste'!$A$1306:$AZ$1306,1,OC_Donor)="","",INDEX('OneCause_Paste'!$A$1306:$AZ$1306,1,OC_Donor)))</f>
        <v/>
      </c>
    </row>
    <row r="1307">
      <c r="A1307" s="62">
        <f>IF(H1307="","",IF(ISNUMBER(N1307),N1307,I1307))</f>
        <v/>
      </c>
      <c r="B1307">
        <f>IF(H1307="","",U1307)</f>
        <v/>
      </c>
      <c r="C1307">
        <f>IF(H1307="","",IF(P1307="",K1307,INDEX('Students'!$A$2:$A$701,P1307)))</f>
        <v/>
      </c>
      <c r="D1307">
        <f>IF(OR(H1307="",P1307=""),"",INDEX('Students'!$B$2:$B$701,P1307))</f>
        <v/>
      </c>
      <c r="E1307">
        <f>IF(OR(H1307="",P1307=""),"",INDEX('Students'!$C$2:$C$701,P1307))</f>
        <v/>
      </c>
      <c r="F1307" s="48">
        <f>IF(H1307="","",IF(ISNUMBER(O1307),O1307,J1307))</f>
        <v/>
      </c>
      <c r="G1307">
        <f>IF(H1307="","","OneCause")</f>
        <v/>
      </c>
      <c r="H1307">
        <f>IF(AND(I1307="",J1307="",K1307=""),"",IF(NOT(ISNUMBER(O1307)),"Bad amount",IF(O1307&lt;0,"Refund (not counted)",IF(O1307=0,"Zero amount",IF(NOT(ISNUMBER(N1307)),"Bad date",IF(P1307="","NAME NOT ON ROSTER",IF(L1307="","OK",IF(MATCH(L1307,$L$2:$L$3001,0)&lt;ROW()-1,"Duplicate (ignored)","OK"))))))))</f>
        <v/>
      </c>
      <c r="I1307">
        <f>IF(OC_Date=0,"",IF(INDEX('OneCause_Paste'!$A$1307:$AZ$1307,1,OC_Date)="","",INDEX('OneCause_Paste'!$A$1307:$AZ$1307,1,OC_Date)))</f>
        <v/>
      </c>
      <c r="J1307">
        <f>IF(OC_Amt=0,"",IF(INDEX('OneCause_Paste'!$A$1307:$AZ$1307,1,OC_Amt)="","",INDEX('OneCause_Paste'!$A$1307:$AZ$1307,1,OC_Amt)))</f>
        <v/>
      </c>
      <c r="K1307">
        <f>IF(OC_Name=0,"",IF(INDEX('OneCause_Paste'!$A$1307:$AZ$1307,1,OC_Name)="","",INDEX('OneCause_Paste'!$A$1307:$AZ$1307,1,OC_Name)))</f>
        <v/>
      </c>
      <c r="L1307">
        <f>IF(OC_Txn=0,"",IF(INDEX('OneCause_Paste'!$A$1307:$AZ$1307,1,OC_Txn)="","",INDEX('OneCause_Paste'!$A$1307:$AZ$1307,1,OC_Txn)))</f>
        <v/>
      </c>
      <c r="M1307">
        <f>IF(OC_Pay=0,"",IF(INDEX('OneCause_Paste'!$A$1307:$AZ$1307,1,OC_Pay)="","",INDEX('OneCause_Paste'!$A$1307:$AZ$1307,1,OC_Pay)))</f>
        <v/>
      </c>
      <c r="N1307">
        <f>IF(I1307="","",IF(ISNUMBER(I1307),INT(I1307),IFERROR(INT(DATEVALUE(I1307)),IFERROR(INT(VALUE(I1307)),"bad"))))</f>
        <v/>
      </c>
      <c r="O1307">
        <f>IF(J1307="","",IF(ISNUMBER(J1307),ROUND(J1307,2),IFERROR(ROUND(VALUE(SUBSTITUTE(SUBSTITUTE(SUBSTITUTE(J1307,"$",""),",","")," ","")),2),"bad")))</f>
        <v/>
      </c>
      <c r="P1307">
        <f>IF(TRIM(K1307)="","",IFERROR(MATCH(LOWER(TRIM(K1307)),'Students'!$AH$2:$AH$701,0),IFERROR(MATCH(LOWER(TRIM(K1307)),'Students'!$AF$2:$AF$701,0),IFERROR(MATCH(LOWER(TRIM(K1307)),'Students'!$AG$2:$AG$701,0),""))))</f>
        <v/>
      </c>
      <c r="R1307">
        <f>IF(P1307="","",INDEX('Students'!$AD$2:$AD$701,P1307))</f>
        <v/>
      </c>
      <c r="S1307">
        <f>IF(H1307="OK",O1307,0)</f>
        <v/>
      </c>
      <c r="T1307">
        <f>IF(H1307="OK",N1307,"")</f>
        <v/>
      </c>
      <c r="U1307">
        <f>IF(OC_Donor=0,"",IF(INDEX('OneCause_Paste'!$A$1307:$AZ$1307,1,OC_Donor)="","",INDEX('OneCause_Paste'!$A$1307:$AZ$1307,1,OC_Donor)))</f>
        <v/>
      </c>
    </row>
    <row r="1308">
      <c r="A1308" s="62">
        <f>IF(H1308="","",IF(ISNUMBER(N1308),N1308,I1308))</f>
        <v/>
      </c>
      <c r="B1308">
        <f>IF(H1308="","",U1308)</f>
        <v/>
      </c>
      <c r="C1308">
        <f>IF(H1308="","",IF(P1308="",K1308,INDEX('Students'!$A$2:$A$701,P1308)))</f>
        <v/>
      </c>
      <c r="D1308">
        <f>IF(OR(H1308="",P1308=""),"",INDEX('Students'!$B$2:$B$701,P1308))</f>
        <v/>
      </c>
      <c r="E1308">
        <f>IF(OR(H1308="",P1308=""),"",INDEX('Students'!$C$2:$C$701,P1308))</f>
        <v/>
      </c>
      <c r="F1308" s="48">
        <f>IF(H1308="","",IF(ISNUMBER(O1308),O1308,J1308))</f>
        <v/>
      </c>
      <c r="G1308">
        <f>IF(H1308="","","OneCause")</f>
        <v/>
      </c>
      <c r="H1308">
        <f>IF(AND(I1308="",J1308="",K1308=""),"",IF(NOT(ISNUMBER(O1308)),"Bad amount",IF(O1308&lt;0,"Refund (not counted)",IF(O1308=0,"Zero amount",IF(NOT(ISNUMBER(N1308)),"Bad date",IF(P1308="","NAME NOT ON ROSTER",IF(L1308="","OK",IF(MATCH(L1308,$L$2:$L$3001,0)&lt;ROW()-1,"Duplicate (ignored)","OK"))))))))</f>
        <v/>
      </c>
      <c r="I1308">
        <f>IF(OC_Date=0,"",IF(INDEX('OneCause_Paste'!$A$1308:$AZ$1308,1,OC_Date)="","",INDEX('OneCause_Paste'!$A$1308:$AZ$1308,1,OC_Date)))</f>
        <v/>
      </c>
      <c r="J1308">
        <f>IF(OC_Amt=0,"",IF(INDEX('OneCause_Paste'!$A$1308:$AZ$1308,1,OC_Amt)="","",INDEX('OneCause_Paste'!$A$1308:$AZ$1308,1,OC_Amt)))</f>
        <v/>
      </c>
      <c r="K1308">
        <f>IF(OC_Name=0,"",IF(INDEX('OneCause_Paste'!$A$1308:$AZ$1308,1,OC_Name)="","",INDEX('OneCause_Paste'!$A$1308:$AZ$1308,1,OC_Name)))</f>
        <v/>
      </c>
      <c r="L1308">
        <f>IF(OC_Txn=0,"",IF(INDEX('OneCause_Paste'!$A$1308:$AZ$1308,1,OC_Txn)="","",INDEX('OneCause_Paste'!$A$1308:$AZ$1308,1,OC_Txn)))</f>
        <v/>
      </c>
      <c r="M1308">
        <f>IF(OC_Pay=0,"",IF(INDEX('OneCause_Paste'!$A$1308:$AZ$1308,1,OC_Pay)="","",INDEX('OneCause_Paste'!$A$1308:$AZ$1308,1,OC_Pay)))</f>
        <v/>
      </c>
      <c r="N1308">
        <f>IF(I1308="","",IF(ISNUMBER(I1308),INT(I1308),IFERROR(INT(DATEVALUE(I1308)),IFERROR(INT(VALUE(I1308)),"bad"))))</f>
        <v/>
      </c>
      <c r="O1308">
        <f>IF(J1308="","",IF(ISNUMBER(J1308),ROUND(J1308,2),IFERROR(ROUND(VALUE(SUBSTITUTE(SUBSTITUTE(SUBSTITUTE(J1308,"$",""),",","")," ","")),2),"bad")))</f>
        <v/>
      </c>
      <c r="P1308">
        <f>IF(TRIM(K1308)="","",IFERROR(MATCH(LOWER(TRIM(K1308)),'Students'!$AH$2:$AH$701,0),IFERROR(MATCH(LOWER(TRIM(K1308)),'Students'!$AF$2:$AF$701,0),IFERROR(MATCH(LOWER(TRIM(K1308)),'Students'!$AG$2:$AG$701,0),""))))</f>
        <v/>
      </c>
      <c r="R1308">
        <f>IF(P1308="","",INDEX('Students'!$AD$2:$AD$701,P1308))</f>
        <v/>
      </c>
      <c r="S1308">
        <f>IF(H1308="OK",O1308,0)</f>
        <v/>
      </c>
      <c r="T1308">
        <f>IF(H1308="OK",N1308,"")</f>
        <v/>
      </c>
      <c r="U1308">
        <f>IF(OC_Donor=0,"",IF(INDEX('OneCause_Paste'!$A$1308:$AZ$1308,1,OC_Donor)="","",INDEX('OneCause_Paste'!$A$1308:$AZ$1308,1,OC_Donor)))</f>
        <v/>
      </c>
    </row>
    <row r="1309">
      <c r="A1309" s="62">
        <f>IF(H1309="","",IF(ISNUMBER(N1309),N1309,I1309))</f>
        <v/>
      </c>
      <c r="B1309">
        <f>IF(H1309="","",U1309)</f>
        <v/>
      </c>
      <c r="C1309">
        <f>IF(H1309="","",IF(P1309="",K1309,INDEX('Students'!$A$2:$A$701,P1309)))</f>
        <v/>
      </c>
      <c r="D1309">
        <f>IF(OR(H1309="",P1309=""),"",INDEX('Students'!$B$2:$B$701,P1309))</f>
        <v/>
      </c>
      <c r="E1309">
        <f>IF(OR(H1309="",P1309=""),"",INDEX('Students'!$C$2:$C$701,P1309))</f>
        <v/>
      </c>
      <c r="F1309" s="48">
        <f>IF(H1309="","",IF(ISNUMBER(O1309),O1309,J1309))</f>
        <v/>
      </c>
      <c r="G1309">
        <f>IF(H1309="","","OneCause")</f>
        <v/>
      </c>
      <c r="H1309">
        <f>IF(AND(I1309="",J1309="",K1309=""),"",IF(NOT(ISNUMBER(O1309)),"Bad amount",IF(O1309&lt;0,"Refund (not counted)",IF(O1309=0,"Zero amount",IF(NOT(ISNUMBER(N1309)),"Bad date",IF(P1309="","NAME NOT ON ROSTER",IF(L1309="","OK",IF(MATCH(L1309,$L$2:$L$3001,0)&lt;ROW()-1,"Duplicate (ignored)","OK"))))))))</f>
        <v/>
      </c>
      <c r="I1309">
        <f>IF(OC_Date=0,"",IF(INDEX('OneCause_Paste'!$A$1309:$AZ$1309,1,OC_Date)="","",INDEX('OneCause_Paste'!$A$1309:$AZ$1309,1,OC_Date)))</f>
        <v/>
      </c>
      <c r="J1309">
        <f>IF(OC_Amt=0,"",IF(INDEX('OneCause_Paste'!$A$1309:$AZ$1309,1,OC_Amt)="","",INDEX('OneCause_Paste'!$A$1309:$AZ$1309,1,OC_Amt)))</f>
        <v/>
      </c>
      <c r="K1309">
        <f>IF(OC_Name=0,"",IF(INDEX('OneCause_Paste'!$A$1309:$AZ$1309,1,OC_Name)="","",INDEX('OneCause_Paste'!$A$1309:$AZ$1309,1,OC_Name)))</f>
        <v/>
      </c>
      <c r="L1309">
        <f>IF(OC_Txn=0,"",IF(INDEX('OneCause_Paste'!$A$1309:$AZ$1309,1,OC_Txn)="","",INDEX('OneCause_Paste'!$A$1309:$AZ$1309,1,OC_Txn)))</f>
        <v/>
      </c>
      <c r="M1309">
        <f>IF(OC_Pay=0,"",IF(INDEX('OneCause_Paste'!$A$1309:$AZ$1309,1,OC_Pay)="","",INDEX('OneCause_Paste'!$A$1309:$AZ$1309,1,OC_Pay)))</f>
        <v/>
      </c>
      <c r="N1309">
        <f>IF(I1309="","",IF(ISNUMBER(I1309),INT(I1309),IFERROR(INT(DATEVALUE(I1309)),IFERROR(INT(VALUE(I1309)),"bad"))))</f>
        <v/>
      </c>
      <c r="O1309">
        <f>IF(J1309="","",IF(ISNUMBER(J1309),ROUND(J1309,2),IFERROR(ROUND(VALUE(SUBSTITUTE(SUBSTITUTE(SUBSTITUTE(J1309,"$",""),",","")," ","")),2),"bad")))</f>
        <v/>
      </c>
      <c r="P1309">
        <f>IF(TRIM(K1309)="","",IFERROR(MATCH(LOWER(TRIM(K1309)),'Students'!$AH$2:$AH$701,0),IFERROR(MATCH(LOWER(TRIM(K1309)),'Students'!$AF$2:$AF$701,0),IFERROR(MATCH(LOWER(TRIM(K1309)),'Students'!$AG$2:$AG$701,0),""))))</f>
        <v/>
      </c>
      <c r="R1309">
        <f>IF(P1309="","",INDEX('Students'!$AD$2:$AD$701,P1309))</f>
        <v/>
      </c>
      <c r="S1309">
        <f>IF(H1309="OK",O1309,0)</f>
        <v/>
      </c>
      <c r="T1309">
        <f>IF(H1309="OK",N1309,"")</f>
        <v/>
      </c>
      <c r="U1309">
        <f>IF(OC_Donor=0,"",IF(INDEX('OneCause_Paste'!$A$1309:$AZ$1309,1,OC_Donor)="","",INDEX('OneCause_Paste'!$A$1309:$AZ$1309,1,OC_Donor)))</f>
        <v/>
      </c>
    </row>
    <row r="1310">
      <c r="A1310" s="62">
        <f>IF(H1310="","",IF(ISNUMBER(N1310),N1310,I1310))</f>
        <v/>
      </c>
      <c r="B1310">
        <f>IF(H1310="","",U1310)</f>
        <v/>
      </c>
      <c r="C1310">
        <f>IF(H1310="","",IF(P1310="",K1310,INDEX('Students'!$A$2:$A$701,P1310)))</f>
        <v/>
      </c>
      <c r="D1310">
        <f>IF(OR(H1310="",P1310=""),"",INDEX('Students'!$B$2:$B$701,P1310))</f>
        <v/>
      </c>
      <c r="E1310">
        <f>IF(OR(H1310="",P1310=""),"",INDEX('Students'!$C$2:$C$701,P1310))</f>
        <v/>
      </c>
      <c r="F1310" s="48">
        <f>IF(H1310="","",IF(ISNUMBER(O1310),O1310,J1310))</f>
        <v/>
      </c>
      <c r="G1310">
        <f>IF(H1310="","","OneCause")</f>
        <v/>
      </c>
      <c r="H1310">
        <f>IF(AND(I1310="",J1310="",K1310=""),"",IF(NOT(ISNUMBER(O1310)),"Bad amount",IF(O1310&lt;0,"Refund (not counted)",IF(O1310=0,"Zero amount",IF(NOT(ISNUMBER(N1310)),"Bad date",IF(P1310="","NAME NOT ON ROSTER",IF(L1310="","OK",IF(MATCH(L1310,$L$2:$L$3001,0)&lt;ROW()-1,"Duplicate (ignored)","OK"))))))))</f>
        <v/>
      </c>
      <c r="I1310">
        <f>IF(OC_Date=0,"",IF(INDEX('OneCause_Paste'!$A$1310:$AZ$1310,1,OC_Date)="","",INDEX('OneCause_Paste'!$A$1310:$AZ$1310,1,OC_Date)))</f>
        <v/>
      </c>
      <c r="J1310">
        <f>IF(OC_Amt=0,"",IF(INDEX('OneCause_Paste'!$A$1310:$AZ$1310,1,OC_Amt)="","",INDEX('OneCause_Paste'!$A$1310:$AZ$1310,1,OC_Amt)))</f>
        <v/>
      </c>
      <c r="K1310">
        <f>IF(OC_Name=0,"",IF(INDEX('OneCause_Paste'!$A$1310:$AZ$1310,1,OC_Name)="","",INDEX('OneCause_Paste'!$A$1310:$AZ$1310,1,OC_Name)))</f>
        <v/>
      </c>
      <c r="L1310">
        <f>IF(OC_Txn=0,"",IF(INDEX('OneCause_Paste'!$A$1310:$AZ$1310,1,OC_Txn)="","",INDEX('OneCause_Paste'!$A$1310:$AZ$1310,1,OC_Txn)))</f>
        <v/>
      </c>
      <c r="M1310">
        <f>IF(OC_Pay=0,"",IF(INDEX('OneCause_Paste'!$A$1310:$AZ$1310,1,OC_Pay)="","",INDEX('OneCause_Paste'!$A$1310:$AZ$1310,1,OC_Pay)))</f>
        <v/>
      </c>
      <c r="N1310">
        <f>IF(I1310="","",IF(ISNUMBER(I1310),INT(I1310),IFERROR(INT(DATEVALUE(I1310)),IFERROR(INT(VALUE(I1310)),"bad"))))</f>
        <v/>
      </c>
      <c r="O1310">
        <f>IF(J1310="","",IF(ISNUMBER(J1310),ROUND(J1310,2),IFERROR(ROUND(VALUE(SUBSTITUTE(SUBSTITUTE(SUBSTITUTE(J1310,"$",""),",","")," ","")),2),"bad")))</f>
        <v/>
      </c>
      <c r="P1310">
        <f>IF(TRIM(K1310)="","",IFERROR(MATCH(LOWER(TRIM(K1310)),'Students'!$AH$2:$AH$701,0),IFERROR(MATCH(LOWER(TRIM(K1310)),'Students'!$AF$2:$AF$701,0),IFERROR(MATCH(LOWER(TRIM(K1310)),'Students'!$AG$2:$AG$701,0),""))))</f>
        <v/>
      </c>
      <c r="R1310">
        <f>IF(P1310="","",INDEX('Students'!$AD$2:$AD$701,P1310))</f>
        <v/>
      </c>
      <c r="S1310">
        <f>IF(H1310="OK",O1310,0)</f>
        <v/>
      </c>
      <c r="T1310">
        <f>IF(H1310="OK",N1310,"")</f>
        <v/>
      </c>
      <c r="U1310">
        <f>IF(OC_Donor=0,"",IF(INDEX('OneCause_Paste'!$A$1310:$AZ$1310,1,OC_Donor)="","",INDEX('OneCause_Paste'!$A$1310:$AZ$1310,1,OC_Donor)))</f>
        <v/>
      </c>
    </row>
    <row r="1311">
      <c r="A1311" s="62">
        <f>IF(H1311="","",IF(ISNUMBER(N1311),N1311,I1311))</f>
        <v/>
      </c>
      <c r="B1311">
        <f>IF(H1311="","",U1311)</f>
        <v/>
      </c>
      <c r="C1311">
        <f>IF(H1311="","",IF(P1311="",K1311,INDEX('Students'!$A$2:$A$701,P1311)))</f>
        <v/>
      </c>
      <c r="D1311">
        <f>IF(OR(H1311="",P1311=""),"",INDEX('Students'!$B$2:$B$701,P1311))</f>
        <v/>
      </c>
      <c r="E1311">
        <f>IF(OR(H1311="",P1311=""),"",INDEX('Students'!$C$2:$C$701,P1311))</f>
        <v/>
      </c>
      <c r="F1311" s="48">
        <f>IF(H1311="","",IF(ISNUMBER(O1311),O1311,J1311))</f>
        <v/>
      </c>
      <c r="G1311">
        <f>IF(H1311="","","OneCause")</f>
        <v/>
      </c>
      <c r="H1311">
        <f>IF(AND(I1311="",J1311="",K1311=""),"",IF(NOT(ISNUMBER(O1311)),"Bad amount",IF(O1311&lt;0,"Refund (not counted)",IF(O1311=0,"Zero amount",IF(NOT(ISNUMBER(N1311)),"Bad date",IF(P1311="","NAME NOT ON ROSTER",IF(L1311="","OK",IF(MATCH(L1311,$L$2:$L$3001,0)&lt;ROW()-1,"Duplicate (ignored)","OK"))))))))</f>
        <v/>
      </c>
      <c r="I1311">
        <f>IF(OC_Date=0,"",IF(INDEX('OneCause_Paste'!$A$1311:$AZ$1311,1,OC_Date)="","",INDEX('OneCause_Paste'!$A$1311:$AZ$1311,1,OC_Date)))</f>
        <v/>
      </c>
      <c r="J1311">
        <f>IF(OC_Amt=0,"",IF(INDEX('OneCause_Paste'!$A$1311:$AZ$1311,1,OC_Amt)="","",INDEX('OneCause_Paste'!$A$1311:$AZ$1311,1,OC_Amt)))</f>
        <v/>
      </c>
      <c r="K1311">
        <f>IF(OC_Name=0,"",IF(INDEX('OneCause_Paste'!$A$1311:$AZ$1311,1,OC_Name)="","",INDEX('OneCause_Paste'!$A$1311:$AZ$1311,1,OC_Name)))</f>
        <v/>
      </c>
      <c r="L1311">
        <f>IF(OC_Txn=0,"",IF(INDEX('OneCause_Paste'!$A$1311:$AZ$1311,1,OC_Txn)="","",INDEX('OneCause_Paste'!$A$1311:$AZ$1311,1,OC_Txn)))</f>
        <v/>
      </c>
      <c r="M1311">
        <f>IF(OC_Pay=0,"",IF(INDEX('OneCause_Paste'!$A$1311:$AZ$1311,1,OC_Pay)="","",INDEX('OneCause_Paste'!$A$1311:$AZ$1311,1,OC_Pay)))</f>
        <v/>
      </c>
      <c r="N1311">
        <f>IF(I1311="","",IF(ISNUMBER(I1311),INT(I1311),IFERROR(INT(DATEVALUE(I1311)),IFERROR(INT(VALUE(I1311)),"bad"))))</f>
        <v/>
      </c>
      <c r="O1311">
        <f>IF(J1311="","",IF(ISNUMBER(J1311),ROUND(J1311,2),IFERROR(ROUND(VALUE(SUBSTITUTE(SUBSTITUTE(SUBSTITUTE(J1311,"$",""),",","")," ","")),2),"bad")))</f>
        <v/>
      </c>
      <c r="P1311">
        <f>IF(TRIM(K1311)="","",IFERROR(MATCH(LOWER(TRIM(K1311)),'Students'!$AH$2:$AH$701,0),IFERROR(MATCH(LOWER(TRIM(K1311)),'Students'!$AF$2:$AF$701,0),IFERROR(MATCH(LOWER(TRIM(K1311)),'Students'!$AG$2:$AG$701,0),""))))</f>
        <v/>
      </c>
      <c r="R1311">
        <f>IF(P1311="","",INDEX('Students'!$AD$2:$AD$701,P1311))</f>
        <v/>
      </c>
      <c r="S1311">
        <f>IF(H1311="OK",O1311,0)</f>
        <v/>
      </c>
      <c r="T1311">
        <f>IF(H1311="OK",N1311,"")</f>
        <v/>
      </c>
      <c r="U1311">
        <f>IF(OC_Donor=0,"",IF(INDEX('OneCause_Paste'!$A$1311:$AZ$1311,1,OC_Donor)="","",INDEX('OneCause_Paste'!$A$1311:$AZ$1311,1,OC_Donor)))</f>
        <v/>
      </c>
    </row>
    <row r="1312">
      <c r="A1312" s="62">
        <f>IF(H1312="","",IF(ISNUMBER(N1312),N1312,I1312))</f>
        <v/>
      </c>
      <c r="B1312">
        <f>IF(H1312="","",U1312)</f>
        <v/>
      </c>
      <c r="C1312">
        <f>IF(H1312="","",IF(P1312="",K1312,INDEX('Students'!$A$2:$A$701,P1312)))</f>
        <v/>
      </c>
      <c r="D1312">
        <f>IF(OR(H1312="",P1312=""),"",INDEX('Students'!$B$2:$B$701,P1312))</f>
        <v/>
      </c>
      <c r="E1312">
        <f>IF(OR(H1312="",P1312=""),"",INDEX('Students'!$C$2:$C$701,P1312))</f>
        <v/>
      </c>
      <c r="F1312" s="48">
        <f>IF(H1312="","",IF(ISNUMBER(O1312),O1312,J1312))</f>
        <v/>
      </c>
      <c r="G1312">
        <f>IF(H1312="","","OneCause")</f>
        <v/>
      </c>
      <c r="H1312">
        <f>IF(AND(I1312="",J1312="",K1312=""),"",IF(NOT(ISNUMBER(O1312)),"Bad amount",IF(O1312&lt;0,"Refund (not counted)",IF(O1312=0,"Zero amount",IF(NOT(ISNUMBER(N1312)),"Bad date",IF(P1312="","NAME NOT ON ROSTER",IF(L1312="","OK",IF(MATCH(L1312,$L$2:$L$3001,0)&lt;ROW()-1,"Duplicate (ignored)","OK"))))))))</f>
        <v/>
      </c>
      <c r="I1312">
        <f>IF(OC_Date=0,"",IF(INDEX('OneCause_Paste'!$A$1312:$AZ$1312,1,OC_Date)="","",INDEX('OneCause_Paste'!$A$1312:$AZ$1312,1,OC_Date)))</f>
        <v/>
      </c>
      <c r="J1312">
        <f>IF(OC_Amt=0,"",IF(INDEX('OneCause_Paste'!$A$1312:$AZ$1312,1,OC_Amt)="","",INDEX('OneCause_Paste'!$A$1312:$AZ$1312,1,OC_Amt)))</f>
        <v/>
      </c>
      <c r="K1312">
        <f>IF(OC_Name=0,"",IF(INDEX('OneCause_Paste'!$A$1312:$AZ$1312,1,OC_Name)="","",INDEX('OneCause_Paste'!$A$1312:$AZ$1312,1,OC_Name)))</f>
        <v/>
      </c>
      <c r="L1312">
        <f>IF(OC_Txn=0,"",IF(INDEX('OneCause_Paste'!$A$1312:$AZ$1312,1,OC_Txn)="","",INDEX('OneCause_Paste'!$A$1312:$AZ$1312,1,OC_Txn)))</f>
        <v/>
      </c>
      <c r="M1312">
        <f>IF(OC_Pay=0,"",IF(INDEX('OneCause_Paste'!$A$1312:$AZ$1312,1,OC_Pay)="","",INDEX('OneCause_Paste'!$A$1312:$AZ$1312,1,OC_Pay)))</f>
        <v/>
      </c>
      <c r="N1312">
        <f>IF(I1312="","",IF(ISNUMBER(I1312),INT(I1312),IFERROR(INT(DATEVALUE(I1312)),IFERROR(INT(VALUE(I1312)),"bad"))))</f>
        <v/>
      </c>
      <c r="O1312">
        <f>IF(J1312="","",IF(ISNUMBER(J1312),ROUND(J1312,2),IFERROR(ROUND(VALUE(SUBSTITUTE(SUBSTITUTE(SUBSTITUTE(J1312,"$",""),",","")," ","")),2),"bad")))</f>
        <v/>
      </c>
      <c r="P1312">
        <f>IF(TRIM(K1312)="","",IFERROR(MATCH(LOWER(TRIM(K1312)),'Students'!$AH$2:$AH$701,0),IFERROR(MATCH(LOWER(TRIM(K1312)),'Students'!$AF$2:$AF$701,0),IFERROR(MATCH(LOWER(TRIM(K1312)),'Students'!$AG$2:$AG$701,0),""))))</f>
        <v/>
      </c>
      <c r="R1312">
        <f>IF(P1312="","",INDEX('Students'!$AD$2:$AD$701,P1312))</f>
        <v/>
      </c>
      <c r="S1312">
        <f>IF(H1312="OK",O1312,0)</f>
        <v/>
      </c>
      <c r="T1312">
        <f>IF(H1312="OK",N1312,"")</f>
        <v/>
      </c>
      <c r="U1312">
        <f>IF(OC_Donor=0,"",IF(INDEX('OneCause_Paste'!$A$1312:$AZ$1312,1,OC_Donor)="","",INDEX('OneCause_Paste'!$A$1312:$AZ$1312,1,OC_Donor)))</f>
        <v/>
      </c>
    </row>
    <row r="1313">
      <c r="A1313" s="62">
        <f>IF(H1313="","",IF(ISNUMBER(N1313),N1313,I1313))</f>
        <v/>
      </c>
      <c r="B1313">
        <f>IF(H1313="","",U1313)</f>
        <v/>
      </c>
      <c r="C1313">
        <f>IF(H1313="","",IF(P1313="",K1313,INDEX('Students'!$A$2:$A$701,P1313)))</f>
        <v/>
      </c>
      <c r="D1313">
        <f>IF(OR(H1313="",P1313=""),"",INDEX('Students'!$B$2:$B$701,P1313))</f>
        <v/>
      </c>
      <c r="E1313">
        <f>IF(OR(H1313="",P1313=""),"",INDEX('Students'!$C$2:$C$701,P1313))</f>
        <v/>
      </c>
      <c r="F1313" s="48">
        <f>IF(H1313="","",IF(ISNUMBER(O1313),O1313,J1313))</f>
        <v/>
      </c>
      <c r="G1313">
        <f>IF(H1313="","","OneCause")</f>
        <v/>
      </c>
      <c r="H1313">
        <f>IF(AND(I1313="",J1313="",K1313=""),"",IF(NOT(ISNUMBER(O1313)),"Bad amount",IF(O1313&lt;0,"Refund (not counted)",IF(O1313=0,"Zero amount",IF(NOT(ISNUMBER(N1313)),"Bad date",IF(P1313="","NAME NOT ON ROSTER",IF(L1313="","OK",IF(MATCH(L1313,$L$2:$L$3001,0)&lt;ROW()-1,"Duplicate (ignored)","OK"))))))))</f>
        <v/>
      </c>
      <c r="I1313">
        <f>IF(OC_Date=0,"",IF(INDEX('OneCause_Paste'!$A$1313:$AZ$1313,1,OC_Date)="","",INDEX('OneCause_Paste'!$A$1313:$AZ$1313,1,OC_Date)))</f>
        <v/>
      </c>
      <c r="J1313">
        <f>IF(OC_Amt=0,"",IF(INDEX('OneCause_Paste'!$A$1313:$AZ$1313,1,OC_Amt)="","",INDEX('OneCause_Paste'!$A$1313:$AZ$1313,1,OC_Amt)))</f>
        <v/>
      </c>
      <c r="K1313">
        <f>IF(OC_Name=0,"",IF(INDEX('OneCause_Paste'!$A$1313:$AZ$1313,1,OC_Name)="","",INDEX('OneCause_Paste'!$A$1313:$AZ$1313,1,OC_Name)))</f>
        <v/>
      </c>
      <c r="L1313">
        <f>IF(OC_Txn=0,"",IF(INDEX('OneCause_Paste'!$A$1313:$AZ$1313,1,OC_Txn)="","",INDEX('OneCause_Paste'!$A$1313:$AZ$1313,1,OC_Txn)))</f>
        <v/>
      </c>
      <c r="M1313">
        <f>IF(OC_Pay=0,"",IF(INDEX('OneCause_Paste'!$A$1313:$AZ$1313,1,OC_Pay)="","",INDEX('OneCause_Paste'!$A$1313:$AZ$1313,1,OC_Pay)))</f>
        <v/>
      </c>
      <c r="N1313">
        <f>IF(I1313="","",IF(ISNUMBER(I1313),INT(I1313),IFERROR(INT(DATEVALUE(I1313)),IFERROR(INT(VALUE(I1313)),"bad"))))</f>
        <v/>
      </c>
      <c r="O1313">
        <f>IF(J1313="","",IF(ISNUMBER(J1313),ROUND(J1313,2),IFERROR(ROUND(VALUE(SUBSTITUTE(SUBSTITUTE(SUBSTITUTE(J1313,"$",""),",","")," ","")),2),"bad")))</f>
        <v/>
      </c>
      <c r="P1313">
        <f>IF(TRIM(K1313)="","",IFERROR(MATCH(LOWER(TRIM(K1313)),'Students'!$AH$2:$AH$701,0),IFERROR(MATCH(LOWER(TRIM(K1313)),'Students'!$AF$2:$AF$701,0),IFERROR(MATCH(LOWER(TRIM(K1313)),'Students'!$AG$2:$AG$701,0),""))))</f>
        <v/>
      </c>
      <c r="R1313">
        <f>IF(P1313="","",INDEX('Students'!$AD$2:$AD$701,P1313))</f>
        <v/>
      </c>
      <c r="S1313">
        <f>IF(H1313="OK",O1313,0)</f>
        <v/>
      </c>
      <c r="T1313">
        <f>IF(H1313="OK",N1313,"")</f>
        <v/>
      </c>
      <c r="U1313">
        <f>IF(OC_Donor=0,"",IF(INDEX('OneCause_Paste'!$A$1313:$AZ$1313,1,OC_Donor)="","",INDEX('OneCause_Paste'!$A$1313:$AZ$1313,1,OC_Donor)))</f>
        <v/>
      </c>
    </row>
    <row r="1314">
      <c r="A1314" s="62">
        <f>IF(H1314="","",IF(ISNUMBER(N1314),N1314,I1314))</f>
        <v/>
      </c>
      <c r="B1314">
        <f>IF(H1314="","",U1314)</f>
        <v/>
      </c>
      <c r="C1314">
        <f>IF(H1314="","",IF(P1314="",K1314,INDEX('Students'!$A$2:$A$701,P1314)))</f>
        <v/>
      </c>
      <c r="D1314">
        <f>IF(OR(H1314="",P1314=""),"",INDEX('Students'!$B$2:$B$701,P1314))</f>
        <v/>
      </c>
      <c r="E1314">
        <f>IF(OR(H1314="",P1314=""),"",INDEX('Students'!$C$2:$C$701,P1314))</f>
        <v/>
      </c>
      <c r="F1314" s="48">
        <f>IF(H1314="","",IF(ISNUMBER(O1314),O1314,J1314))</f>
        <v/>
      </c>
      <c r="G1314">
        <f>IF(H1314="","","OneCause")</f>
        <v/>
      </c>
      <c r="H1314">
        <f>IF(AND(I1314="",J1314="",K1314=""),"",IF(NOT(ISNUMBER(O1314)),"Bad amount",IF(O1314&lt;0,"Refund (not counted)",IF(O1314=0,"Zero amount",IF(NOT(ISNUMBER(N1314)),"Bad date",IF(P1314="","NAME NOT ON ROSTER",IF(L1314="","OK",IF(MATCH(L1314,$L$2:$L$3001,0)&lt;ROW()-1,"Duplicate (ignored)","OK"))))))))</f>
        <v/>
      </c>
      <c r="I1314">
        <f>IF(OC_Date=0,"",IF(INDEX('OneCause_Paste'!$A$1314:$AZ$1314,1,OC_Date)="","",INDEX('OneCause_Paste'!$A$1314:$AZ$1314,1,OC_Date)))</f>
        <v/>
      </c>
      <c r="J1314">
        <f>IF(OC_Amt=0,"",IF(INDEX('OneCause_Paste'!$A$1314:$AZ$1314,1,OC_Amt)="","",INDEX('OneCause_Paste'!$A$1314:$AZ$1314,1,OC_Amt)))</f>
        <v/>
      </c>
      <c r="K1314">
        <f>IF(OC_Name=0,"",IF(INDEX('OneCause_Paste'!$A$1314:$AZ$1314,1,OC_Name)="","",INDEX('OneCause_Paste'!$A$1314:$AZ$1314,1,OC_Name)))</f>
        <v/>
      </c>
      <c r="L1314">
        <f>IF(OC_Txn=0,"",IF(INDEX('OneCause_Paste'!$A$1314:$AZ$1314,1,OC_Txn)="","",INDEX('OneCause_Paste'!$A$1314:$AZ$1314,1,OC_Txn)))</f>
        <v/>
      </c>
      <c r="M1314">
        <f>IF(OC_Pay=0,"",IF(INDEX('OneCause_Paste'!$A$1314:$AZ$1314,1,OC_Pay)="","",INDEX('OneCause_Paste'!$A$1314:$AZ$1314,1,OC_Pay)))</f>
        <v/>
      </c>
      <c r="N1314">
        <f>IF(I1314="","",IF(ISNUMBER(I1314),INT(I1314),IFERROR(INT(DATEVALUE(I1314)),IFERROR(INT(VALUE(I1314)),"bad"))))</f>
        <v/>
      </c>
      <c r="O1314">
        <f>IF(J1314="","",IF(ISNUMBER(J1314),ROUND(J1314,2),IFERROR(ROUND(VALUE(SUBSTITUTE(SUBSTITUTE(SUBSTITUTE(J1314,"$",""),",","")," ","")),2),"bad")))</f>
        <v/>
      </c>
      <c r="P1314">
        <f>IF(TRIM(K1314)="","",IFERROR(MATCH(LOWER(TRIM(K1314)),'Students'!$AH$2:$AH$701,0),IFERROR(MATCH(LOWER(TRIM(K1314)),'Students'!$AF$2:$AF$701,0),IFERROR(MATCH(LOWER(TRIM(K1314)),'Students'!$AG$2:$AG$701,0),""))))</f>
        <v/>
      </c>
      <c r="R1314">
        <f>IF(P1314="","",INDEX('Students'!$AD$2:$AD$701,P1314))</f>
        <v/>
      </c>
      <c r="S1314">
        <f>IF(H1314="OK",O1314,0)</f>
        <v/>
      </c>
      <c r="T1314">
        <f>IF(H1314="OK",N1314,"")</f>
        <v/>
      </c>
      <c r="U1314">
        <f>IF(OC_Donor=0,"",IF(INDEX('OneCause_Paste'!$A$1314:$AZ$1314,1,OC_Donor)="","",INDEX('OneCause_Paste'!$A$1314:$AZ$1314,1,OC_Donor)))</f>
        <v/>
      </c>
    </row>
    <row r="1315">
      <c r="A1315" s="62">
        <f>IF(H1315="","",IF(ISNUMBER(N1315),N1315,I1315))</f>
        <v/>
      </c>
      <c r="B1315">
        <f>IF(H1315="","",U1315)</f>
        <v/>
      </c>
      <c r="C1315">
        <f>IF(H1315="","",IF(P1315="",K1315,INDEX('Students'!$A$2:$A$701,P1315)))</f>
        <v/>
      </c>
      <c r="D1315">
        <f>IF(OR(H1315="",P1315=""),"",INDEX('Students'!$B$2:$B$701,P1315))</f>
        <v/>
      </c>
      <c r="E1315">
        <f>IF(OR(H1315="",P1315=""),"",INDEX('Students'!$C$2:$C$701,P1315))</f>
        <v/>
      </c>
      <c r="F1315" s="48">
        <f>IF(H1315="","",IF(ISNUMBER(O1315),O1315,J1315))</f>
        <v/>
      </c>
      <c r="G1315">
        <f>IF(H1315="","","OneCause")</f>
        <v/>
      </c>
      <c r="H1315">
        <f>IF(AND(I1315="",J1315="",K1315=""),"",IF(NOT(ISNUMBER(O1315)),"Bad amount",IF(O1315&lt;0,"Refund (not counted)",IF(O1315=0,"Zero amount",IF(NOT(ISNUMBER(N1315)),"Bad date",IF(P1315="","NAME NOT ON ROSTER",IF(L1315="","OK",IF(MATCH(L1315,$L$2:$L$3001,0)&lt;ROW()-1,"Duplicate (ignored)","OK"))))))))</f>
        <v/>
      </c>
      <c r="I1315">
        <f>IF(OC_Date=0,"",IF(INDEX('OneCause_Paste'!$A$1315:$AZ$1315,1,OC_Date)="","",INDEX('OneCause_Paste'!$A$1315:$AZ$1315,1,OC_Date)))</f>
        <v/>
      </c>
      <c r="J1315">
        <f>IF(OC_Amt=0,"",IF(INDEX('OneCause_Paste'!$A$1315:$AZ$1315,1,OC_Amt)="","",INDEX('OneCause_Paste'!$A$1315:$AZ$1315,1,OC_Amt)))</f>
        <v/>
      </c>
      <c r="K1315">
        <f>IF(OC_Name=0,"",IF(INDEX('OneCause_Paste'!$A$1315:$AZ$1315,1,OC_Name)="","",INDEX('OneCause_Paste'!$A$1315:$AZ$1315,1,OC_Name)))</f>
        <v/>
      </c>
      <c r="L1315">
        <f>IF(OC_Txn=0,"",IF(INDEX('OneCause_Paste'!$A$1315:$AZ$1315,1,OC_Txn)="","",INDEX('OneCause_Paste'!$A$1315:$AZ$1315,1,OC_Txn)))</f>
        <v/>
      </c>
      <c r="M1315">
        <f>IF(OC_Pay=0,"",IF(INDEX('OneCause_Paste'!$A$1315:$AZ$1315,1,OC_Pay)="","",INDEX('OneCause_Paste'!$A$1315:$AZ$1315,1,OC_Pay)))</f>
        <v/>
      </c>
      <c r="N1315">
        <f>IF(I1315="","",IF(ISNUMBER(I1315),INT(I1315),IFERROR(INT(DATEVALUE(I1315)),IFERROR(INT(VALUE(I1315)),"bad"))))</f>
        <v/>
      </c>
      <c r="O1315">
        <f>IF(J1315="","",IF(ISNUMBER(J1315),ROUND(J1315,2),IFERROR(ROUND(VALUE(SUBSTITUTE(SUBSTITUTE(SUBSTITUTE(J1315,"$",""),",","")," ","")),2),"bad")))</f>
        <v/>
      </c>
      <c r="P1315">
        <f>IF(TRIM(K1315)="","",IFERROR(MATCH(LOWER(TRIM(K1315)),'Students'!$AH$2:$AH$701,0),IFERROR(MATCH(LOWER(TRIM(K1315)),'Students'!$AF$2:$AF$701,0),IFERROR(MATCH(LOWER(TRIM(K1315)),'Students'!$AG$2:$AG$701,0),""))))</f>
        <v/>
      </c>
      <c r="R1315">
        <f>IF(P1315="","",INDEX('Students'!$AD$2:$AD$701,P1315))</f>
        <v/>
      </c>
      <c r="S1315">
        <f>IF(H1315="OK",O1315,0)</f>
        <v/>
      </c>
      <c r="T1315">
        <f>IF(H1315="OK",N1315,"")</f>
        <v/>
      </c>
      <c r="U1315">
        <f>IF(OC_Donor=0,"",IF(INDEX('OneCause_Paste'!$A$1315:$AZ$1315,1,OC_Donor)="","",INDEX('OneCause_Paste'!$A$1315:$AZ$1315,1,OC_Donor)))</f>
        <v/>
      </c>
    </row>
    <row r="1316">
      <c r="A1316" s="62">
        <f>IF(H1316="","",IF(ISNUMBER(N1316),N1316,I1316))</f>
        <v/>
      </c>
      <c r="B1316">
        <f>IF(H1316="","",U1316)</f>
        <v/>
      </c>
      <c r="C1316">
        <f>IF(H1316="","",IF(P1316="",K1316,INDEX('Students'!$A$2:$A$701,P1316)))</f>
        <v/>
      </c>
      <c r="D1316">
        <f>IF(OR(H1316="",P1316=""),"",INDEX('Students'!$B$2:$B$701,P1316))</f>
        <v/>
      </c>
      <c r="E1316">
        <f>IF(OR(H1316="",P1316=""),"",INDEX('Students'!$C$2:$C$701,P1316))</f>
        <v/>
      </c>
      <c r="F1316" s="48">
        <f>IF(H1316="","",IF(ISNUMBER(O1316),O1316,J1316))</f>
        <v/>
      </c>
      <c r="G1316">
        <f>IF(H1316="","","OneCause")</f>
        <v/>
      </c>
      <c r="H1316">
        <f>IF(AND(I1316="",J1316="",K1316=""),"",IF(NOT(ISNUMBER(O1316)),"Bad amount",IF(O1316&lt;0,"Refund (not counted)",IF(O1316=0,"Zero amount",IF(NOT(ISNUMBER(N1316)),"Bad date",IF(P1316="","NAME NOT ON ROSTER",IF(L1316="","OK",IF(MATCH(L1316,$L$2:$L$3001,0)&lt;ROW()-1,"Duplicate (ignored)","OK"))))))))</f>
        <v/>
      </c>
      <c r="I1316">
        <f>IF(OC_Date=0,"",IF(INDEX('OneCause_Paste'!$A$1316:$AZ$1316,1,OC_Date)="","",INDEX('OneCause_Paste'!$A$1316:$AZ$1316,1,OC_Date)))</f>
        <v/>
      </c>
      <c r="J1316">
        <f>IF(OC_Amt=0,"",IF(INDEX('OneCause_Paste'!$A$1316:$AZ$1316,1,OC_Amt)="","",INDEX('OneCause_Paste'!$A$1316:$AZ$1316,1,OC_Amt)))</f>
        <v/>
      </c>
      <c r="K1316">
        <f>IF(OC_Name=0,"",IF(INDEX('OneCause_Paste'!$A$1316:$AZ$1316,1,OC_Name)="","",INDEX('OneCause_Paste'!$A$1316:$AZ$1316,1,OC_Name)))</f>
        <v/>
      </c>
      <c r="L1316">
        <f>IF(OC_Txn=0,"",IF(INDEX('OneCause_Paste'!$A$1316:$AZ$1316,1,OC_Txn)="","",INDEX('OneCause_Paste'!$A$1316:$AZ$1316,1,OC_Txn)))</f>
        <v/>
      </c>
      <c r="M1316">
        <f>IF(OC_Pay=0,"",IF(INDEX('OneCause_Paste'!$A$1316:$AZ$1316,1,OC_Pay)="","",INDEX('OneCause_Paste'!$A$1316:$AZ$1316,1,OC_Pay)))</f>
        <v/>
      </c>
      <c r="N1316">
        <f>IF(I1316="","",IF(ISNUMBER(I1316),INT(I1316),IFERROR(INT(DATEVALUE(I1316)),IFERROR(INT(VALUE(I1316)),"bad"))))</f>
        <v/>
      </c>
      <c r="O1316">
        <f>IF(J1316="","",IF(ISNUMBER(J1316),ROUND(J1316,2),IFERROR(ROUND(VALUE(SUBSTITUTE(SUBSTITUTE(SUBSTITUTE(J1316,"$",""),",","")," ","")),2),"bad")))</f>
        <v/>
      </c>
      <c r="P1316">
        <f>IF(TRIM(K1316)="","",IFERROR(MATCH(LOWER(TRIM(K1316)),'Students'!$AH$2:$AH$701,0),IFERROR(MATCH(LOWER(TRIM(K1316)),'Students'!$AF$2:$AF$701,0),IFERROR(MATCH(LOWER(TRIM(K1316)),'Students'!$AG$2:$AG$701,0),""))))</f>
        <v/>
      </c>
      <c r="R1316">
        <f>IF(P1316="","",INDEX('Students'!$AD$2:$AD$701,P1316))</f>
        <v/>
      </c>
      <c r="S1316">
        <f>IF(H1316="OK",O1316,0)</f>
        <v/>
      </c>
      <c r="T1316">
        <f>IF(H1316="OK",N1316,"")</f>
        <v/>
      </c>
      <c r="U1316">
        <f>IF(OC_Donor=0,"",IF(INDEX('OneCause_Paste'!$A$1316:$AZ$1316,1,OC_Donor)="","",INDEX('OneCause_Paste'!$A$1316:$AZ$1316,1,OC_Donor)))</f>
        <v/>
      </c>
    </row>
    <row r="1317">
      <c r="A1317" s="62">
        <f>IF(H1317="","",IF(ISNUMBER(N1317),N1317,I1317))</f>
        <v/>
      </c>
      <c r="B1317">
        <f>IF(H1317="","",U1317)</f>
        <v/>
      </c>
      <c r="C1317">
        <f>IF(H1317="","",IF(P1317="",K1317,INDEX('Students'!$A$2:$A$701,P1317)))</f>
        <v/>
      </c>
      <c r="D1317">
        <f>IF(OR(H1317="",P1317=""),"",INDEX('Students'!$B$2:$B$701,P1317))</f>
        <v/>
      </c>
      <c r="E1317">
        <f>IF(OR(H1317="",P1317=""),"",INDEX('Students'!$C$2:$C$701,P1317))</f>
        <v/>
      </c>
      <c r="F1317" s="48">
        <f>IF(H1317="","",IF(ISNUMBER(O1317),O1317,J1317))</f>
        <v/>
      </c>
      <c r="G1317">
        <f>IF(H1317="","","OneCause")</f>
        <v/>
      </c>
      <c r="H1317">
        <f>IF(AND(I1317="",J1317="",K1317=""),"",IF(NOT(ISNUMBER(O1317)),"Bad amount",IF(O1317&lt;0,"Refund (not counted)",IF(O1317=0,"Zero amount",IF(NOT(ISNUMBER(N1317)),"Bad date",IF(P1317="","NAME NOT ON ROSTER",IF(L1317="","OK",IF(MATCH(L1317,$L$2:$L$3001,0)&lt;ROW()-1,"Duplicate (ignored)","OK"))))))))</f>
        <v/>
      </c>
      <c r="I1317">
        <f>IF(OC_Date=0,"",IF(INDEX('OneCause_Paste'!$A$1317:$AZ$1317,1,OC_Date)="","",INDEX('OneCause_Paste'!$A$1317:$AZ$1317,1,OC_Date)))</f>
        <v/>
      </c>
      <c r="J1317">
        <f>IF(OC_Amt=0,"",IF(INDEX('OneCause_Paste'!$A$1317:$AZ$1317,1,OC_Amt)="","",INDEX('OneCause_Paste'!$A$1317:$AZ$1317,1,OC_Amt)))</f>
        <v/>
      </c>
      <c r="K1317">
        <f>IF(OC_Name=0,"",IF(INDEX('OneCause_Paste'!$A$1317:$AZ$1317,1,OC_Name)="","",INDEX('OneCause_Paste'!$A$1317:$AZ$1317,1,OC_Name)))</f>
        <v/>
      </c>
      <c r="L1317">
        <f>IF(OC_Txn=0,"",IF(INDEX('OneCause_Paste'!$A$1317:$AZ$1317,1,OC_Txn)="","",INDEX('OneCause_Paste'!$A$1317:$AZ$1317,1,OC_Txn)))</f>
        <v/>
      </c>
      <c r="M1317">
        <f>IF(OC_Pay=0,"",IF(INDEX('OneCause_Paste'!$A$1317:$AZ$1317,1,OC_Pay)="","",INDEX('OneCause_Paste'!$A$1317:$AZ$1317,1,OC_Pay)))</f>
        <v/>
      </c>
      <c r="N1317">
        <f>IF(I1317="","",IF(ISNUMBER(I1317),INT(I1317),IFERROR(INT(DATEVALUE(I1317)),IFERROR(INT(VALUE(I1317)),"bad"))))</f>
        <v/>
      </c>
      <c r="O1317">
        <f>IF(J1317="","",IF(ISNUMBER(J1317),ROUND(J1317,2),IFERROR(ROUND(VALUE(SUBSTITUTE(SUBSTITUTE(SUBSTITUTE(J1317,"$",""),",","")," ","")),2),"bad")))</f>
        <v/>
      </c>
      <c r="P1317">
        <f>IF(TRIM(K1317)="","",IFERROR(MATCH(LOWER(TRIM(K1317)),'Students'!$AH$2:$AH$701,0),IFERROR(MATCH(LOWER(TRIM(K1317)),'Students'!$AF$2:$AF$701,0),IFERROR(MATCH(LOWER(TRIM(K1317)),'Students'!$AG$2:$AG$701,0),""))))</f>
        <v/>
      </c>
      <c r="R1317">
        <f>IF(P1317="","",INDEX('Students'!$AD$2:$AD$701,P1317))</f>
        <v/>
      </c>
      <c r="S1317">
        <f>IF(H1317="OK",O1317,0)</f>
        <v/>
      </c>
      <c r="T1317">
        <f>IF(H1317="OK",N1317,"")</f>
        <v/>
      </c>
      <c r="U1317">
        <f>IF(OC_Donor=0,"",IF(INDEX('OneCause_Paste'!$A$1317:$AZ$1317,1,OC_Donor)="","",INDEX('OneCause_Paste'!$A$1317:$AZ$1317,1,OC_Donor)))</f>
        <v/>
      </c>
    </row>
    <row r="1318">
      <c r="A1318" s="62">
        <f>IF(H1318="","",IF(ISNUMBER(N1318),N1318,I1318))</f>
        <v/>
      </c>
      <c r="B1318">
        <f>IF(H1318="","",U1318)</f>
        <v/>
      </c>
      <c r="C1318">
        <f>IF(H1318="","",IF(P1318="",K1318,INDEX('Students'!$A$2:$A$701,P1318)))</f>
        <v/>
      </c>
      <c r="D1318">
        <f>IF(OR(H1318="",P1318=""),"",INDEX('Students'!$B$2:$B$701,P1318))</f>
        <v/>
      </c>
      <c r="E1318">
        <f>IF(OR(H1318="",P1318=""),"",INDEX('Students'!$C$2:$C$701,P1318))</f>
        <v/>
      </c>
      <c r="F1318" s="48">
        <f>IF(H1318="","",IF(ISNUMBER(O1318),O1318,J1318))</f>
        <v/>
      </c>
      <c r="G1318">
        <f>IF(H1318="","","OneCause")</f>
        <v/>
      </c>
      <c r="H1318">
        <f>IF(AND(I1318="",J1318="",K1318=""),"",IF(NOT(ISNUMBER(O1318)),"Bad amount",IF(O1318&lt;0,"Refund (not counted)",IF(O1318=0,"Zero amount",IF(NOT(ISNUMBER(N1318)),"Bad date",IF(P1318="","NAME NOT ON ROSTER",IF(L1318="","OK",IF(MATCH(L1318,$L$2:$L$3001,0)&lt;ROW()-1,"Duplicate (ignored)","OK"))))))))</f>
        <v/>
      </c>
      <c r="I1318">
        <f>IF(OC_Date=0,"",IF(INDEX('OneCause_Paste'!$A$1318:$AZ$1318,1,OC_Date)="","",INDEX('OneCause_Paste'!$A$1318:$AZ$1318,1,OC_Date)))</f>
        <v/>
      </c>
      <c r="J1318">
        <f>IF(OC_Amt=0,"",IF(INDEX('OneCause_Paste'!$A$1318:$AZ$1318,1,OC_Amt)="","",INDEX('OneCause_Paste'!$A$1318:$AZ$1318,1,OC_Amt)))</f>
        <v/>
      </c>
      <c r="K1318">
        <f>IF(OC_Name=0,"",IF(INDEX('OneCause_Paste'!$A$1318:$AZ$1318,1,OC_Name)="","",INDEX('OneCause_Paste'!$A$1318:$AZ$1318,1,OC_Name)))</f>
        <v/>
      </c>
      <c r="L1318">
        <f>IF(OC_Txn=0,"",IF(INDEX('OneCause_Paste'!$A$1318:$AZ$1318,1,OC_Txn)="","",INDEX('OneCause_Paste'!$A$1318:$AZ$1318,1,OC_Txn)))</f>
        <v/>
      </c>
      <c r="M1318">
        <f>IF(OC_Pay=0,"",IF(INDEX('OneCause_Paste'!$A$1318:$AZ$1318,1,OC_Pay)="","",INDEX('OneCause_Paste'!$A$1318:$AZ$1318,1,OC_Pay)))</f>
        <v/>
      </c>
      <c r="N1318">
        <f>IF(I1318="","",IF(ISNUMBER(I1318),INT(I1318),IFERROR(INT(DATEVALUE(I1318)),IFERROR(INT(VALUE(I1318)),"bad"))))</f>
        <v/>
      </c>
      <c r="O1318">
        <f>IF(J1318="","",IF(ISNUMBER(J1318),ROUND(J1318,2),IFERROR(ROUND(VALUE(SUBSTITUTE(SUBSTITUTE(SUBSTITUTE(J1318,"$",""),",","")," ","")),2),"bad")))</f>
        <v/>
      </c>
      <c r="P1318">
        <f>IF(TRIM(K1318)="","",IFERROR(MATCH(LOWER(TRIM(K1318)),'Students'!$AH$2:$AH$701,0),IFERROR(MATCH(LOWER(TRIM(K1318)),'Students'!$AF$2:$AF$701,0),IFERROR(MATCH(LOWER(TRIM(K1318)),'Students'!$AG$2:$AG$701,0),""))))</f>
        <v/>
      </c>
      <c r="R1318">
        <f>IF(P1318="","",INDEX('Students'!$AD$2:$AD$701,P1318))</f>
        <v/>
      </c>
      <c r="S1318">
        <f>IF(H1318="OK",O1318,0)</f>
        <v/>
      </c>
      <c r="T1318">
        <f>IF(H1318="OK",N1318,"")</f>
        <v/>
      </c>
      <c r="U1318">
        <f>IF(OC_Donor=0,"",IF(INDEX('OneCause_Paste'!$A$1318:$AZ$1318,1,OC_Donor)="","",INDEX('OneCause_Paste'!$A$1318:$AZ$1318,1,OC_Donor)))</f>
        <v/>
      </c>
    </row>
    <row r="1319">
      <c r="A1319" s="62">
        <f>IF(H1319="","",IF(ISNUMBER(N1319),N1319,I1319))</f>
        <v/>
      </c>
      <c r="B1319">
        <f>IF(H1319="","",U1319)</f>
        <v/>
      </c>
      <c r="C1319">
        <f>IF(H1319="","",IF(P1319="",K1319,INDEX('Students'!$A$2:$A$701,P1319)))</f>
        <v/>
      </c>
      <c r="D1319">
        <f>IF(OR(H1319="",P1319=""),"",INDEX('Students'!$B$2:$B$701,P1319))</f>
        <v/>
      </c>
      <c r="E1319">
        <f>IF(OR(H1319="",P1319=""),"",INDEX('Students'!$C$2:$C$701,P1319))</f>
        <v/>
      </c>
      <c r="F1319" s="48">
        <f>IF(H1319="","",IF(ISNUMBER(O1319),O1319,J1319))</f>
        <v/>
      </c>
      <c r="G1319">
        <f>IF(H1319="","","OneCause")</f>
        <v/>
      </c>
      <c r="H1319">
        <f>IF(AND(I1319="",J1319="",K1319=""),"",IF(NOT(ISNUMBER(O1319)),"Bad amount",IF(O1319&lt;0,"Refund (not counted)",IF(O1319=0,"Zero amount",IF(NOT(ISNUMBER(N1319)),"Bad date",IF(P1319="","NAME NOT ON ROSTER",IF(L1319="","OK",IF(MATCH(L1319,$L$2:$L$3001,0)&lt;ROW()-1,"Duplicate (ignored)","OK"))))))))</f>
        <v/>
      </c>
      <c r="I1319">
        <f>IF(OC_Date=0,"",IF(INDEX('OneCause_Paste'!$A$1319:$AZ$1319,1,OC_Date)="","",INDEX('OneCause_Paste'!$A$1319:$AZ$1319,1,OC_Date)))</f>
        <v/>
      </c>
      <c r="J1319">
        <f>IF(OC_Amt=0,"",IF(INDEX('OneCause_Paste'!$A$1319:$AZ$1319,1,OC_Amt)="","",INDEX('OneCause_Paste'!$A$1319:$AZ$1319,1,OC_Amt)))</f>
        <v/>
      </c>
      <c r="K1319">
        <f>IF(OC_Name=0,"",IF(INDEX('OneCause_Paste'!$A$1319:$AZ$1319,1,OC_Name)="","",INDEX('OneCause_Paste'!$A$1319:$AZ$1319,1,OC_Name)))</f>
        <v/>
      </c>
      <c r="L1319">
        <f>IF(OC_Txn=0,"",IF(INDEX('OneCause_Paste'!$A$1319:$AZ$1319,1,OC_Txn)="","",INDEX('OneCause_Paste'!$A$1319:$AZ$1319,1,OC_Txn)))</f>
        <v/>
      </c>
      <c r="M1319">
        <f>IF(OC_Pay=0,"",IF(INDEX('OneCause_Paste'!$A$1319:$AZ$1319,1,OC_Pay)="","",INDEX('OneCause_Paste'!$A$1319:$AZ$1319,1,OC_Pay)))</f>
        <v/>
      </c>
      <c r="N1319">
        <f>IF(I1319="","",IF(ISNUMBER(I1319),INT(I1319),IFERROR(INT(DATEVALUE(I1319)),IFERROR(INT(VALUE(I1319)),"bad"))))</f>
        <v/>
      </c>
      <c r="O1319">
        <f>IF(J1319="","",IF(ISNUMBER(J1319),ROUND(J1319,2),IFERROR(ROUND(VALUE(SUBSTITUTE(SUBSTITUTE(SUBSTITUTE(J1319,"$",""),",","")," ","")),2),"bad")))</f>
        <v/>
      </c>
      <c r="P1319">
        <f>IF(TRIM(K1319)="","",IFERROR(MATCH(LOWER(TRIM(K1319)),'Students'!$AH$2:$AH$701,0),IFERROR(MATCH(LOWER(TRIM(K1319)),'Students'!$AF$2:$AF$701,0),IFERROR(MATCH(LOWER(TRIM(K1319)),'Students'!$AG$2:$AG$701,0),""))))</f>
        <v/>
      </c>
      <c r="R1319">
        <f>IF(P1319="","",INDEX('Students'!$AD$2:$AD$701,P1319))</f>
        <v/>
      </c>
      <c r="S1319">
        <f>IF(H1319="OK",O1319,0)</f>
        <v/>
      </c>
      <c r="T1319">
        <f>IF(H1319="OK",N1319,"")</f>
        <v/>
      </c>
      <c r="U1319">
        <f>IF(OC_Donor=0,"",IF(INDEX('OneCause_Paste'!$A$1319:$AZ$1319,1,OC_Donor)="","",INDEX('OneCause_Paste'!$A$1319:$AZ$1319,1,OC_Donor)))</f>
        <v/>
      </c>
    </row>
    <row r="1320">
      <c r="A1320" s="62">
        <f>IF(H1320="","",IF(ISNUMBER(N1320),N1320,I1320))</f>
        <v/>
      </c>
      <c r="B1320">
        <f>IF(H1320="","",U1320)</f>
        <v/>
      </c>
      <c r="C1320">
        <f>IF(H1320="","",IF(P1320="",K1320,INDEX('Students'!$A$2:$A$701,P1320)))</f>
        <v/>
      </c>
      <c r="D1320">
        <f>IF(OR(H1320="",P1320=""),"",INDEX('Students'!$B$2:$B$701,P1320))</f>
        <v/>
      </c>
      <c r="E1320">
        <f>IF(OR(H1320="",P1320=""),"",INDEX('Students'!$C$2:$C$701,P1320))</f>
        <v/>
      </c>
      <c r="F1320" s="48">
        <f>IF(H1320="","",IF(ISNUMBER(O1320),O1320,J1320))</f>
        <v/>
      </c>
      <c r="G1320">
        <f>IF(H1320="","","OneCause")</f>
        <v/>
      </c>
      <c r="H1320">
        <f>IF(AND(I1320="",J1320="",K1320=""),"",IF(NOT(ISNUMBER(O1320)),"Bad amount",IF(O1320&lt;0,"Refund (not counted)",IF(O1320=0,"Zero amount",IF(NOT(ISNUMBER(N1320)),"Bad date",IF(P1320="","NAME NOT ON ROSTER",IF(L1320="","OK",IF(MATCH(L1320,$L$2:$L$3001,0)&lt;ROW()-1,"Duplicate (ignored)","OK"))))))))</f>
        <v/>
      </c>
      <c r="I1320">
        <f>IF(OC_Date=0,"",IF(INDEX('OneCause_Paste'!$A$1320:$AZ$1320,1,OC_Date)="","",INDEX('OneCause_Paste'!$A$1320:$AZ$1320,1,OC_Date)))</f>
        <v/>
      </c>
      <c r="J1320">
        <f>IF(OC_Amt=0,"",IF(INDEX('OneCause_Paste'!$A$1320:$AZ$1320,1,OC_Amt)="","",INDEX('OneCause_Paste'!$A$1320:$AZ$1320,1,OC_Amt)))</f>
        <v/>
      </c>
      <c r="K1320">
        <f>IF(OC_Name=0,"",IF(INDEX('OneCause_Paste'!$A$1320:$AZ$1320,1,OC_Name)="","",INDEX('OneCause_Paste'!$A$1320:$AZ$1320,1,OC_Name)))</f>
        <v/>
      </c>
      <c r="L1320">
        <f>IF(OC_Txn=0,"",IF(INDEX('OneCause_Paste'!$A$1320:$AZ$1320,1,OC_Txn)="","",INDEX('OneCause_Paste'!$A$1320:$AZ$1320,1,OC_Txn)))</f>
        <v/>
      </c>
      <c r="M1320">
        <f>IF(OC_Pay=0,"",IF(INDEX('OneCause_Paste'!$A$1320:$AZ$1320,1,OC_Pay)="","",INDEX('OneCause_Paste'!$A$1320:$AZ$1320,1,OC_Pay)))</f>
        <v/>
      </c>
      <c r="N1320">
        <f>IF(I1320="","",IF(ISNUMBER(I1320),INT(I1320),IFERROR(INT(DATEVALUE(I1320)),IFERROR(INT(VALUE(I1320)),"bad"))))</f>
        <v/>
      </c>
      <c r="O1320">
        <f>IF(J1320="","",IF(ISNUMBER(J1320),ROUND(J1320,2),IFERROR(ROUND(VALUE(SUBSTITUTE(SUBSTITUTE(SUBSTITUTE(J1320,"$",""),",","")," ","")),2),"bad")))</f>
        <v/>
      </c>
      <c r="P1320">
        <f>IF(TRIM(K1320)="","",IFERROR(MATCH(LOWER(TRIM(K1320)),'Students'!$AH$2:$AH$701,0),IFERROR(MATCH(LOWER(TRIM(K1320)),'Students'!$AF$2:$AF$701,0),IFERROR(MATCH(LOWER(TRIM(K1320)),'Students'!$AG$2:$AG$701,0),""))))</f>
        <v/>
      </c>
      <c r="R1320">
        <f>IF(P1320="","",INDEX('Students'!$AD$2:$AD$701,P1320))</f>
        <v/>
      </c>
      <c r="S1320">
        <f>IF(H1320="OK",O1320,0)</f>
        <v/>
      </c>
      <c r="T1320">
        <f>IF(H1320="OK",N1320,"")</f>
        <v/>
      </c>
      <c r="U1320">
        <f>IF(OC_Donor=0,"",IF(INDEX('OneCause_Paste'!$A$1320:$AZ$1320,1,OC_Donor)="","",INDEX('OneCause_Paste'!$A$1320:$AZ$1320,1,OC_Donor)))</f>
        <v/>
      </c>
    </row>
    <row r="1321">
      <c r="A1321" s="62">
        <f>IF(H1321="","",IF(ISNUMBER(N1321),N1321,I1321))</f>
        <v/>
      </c>
      <c r="B1321">
        <f>IF(H1321="","",U1321)</f>
        <v/>
      </c>
      <c r="C1321">
        <f>IF(H1321="","",IF(P1321="",K1321,INDEX('Students'!$A$2:$A$701,P1321)))</f>
        <v/>
      </c>
      <c r="D1321">
        <f>IF(OR(H1321="",P1321=""),"",INDEX('Students'!$B$2:$B$701,P1321))</f>
        <v/>
      </c>
      <c r="E1321">
        <f>IF(OR(H1321="",P1321=""),"",INDEX('Students'!$C$2:$C$701,P1321))</f>
        <v/>
      </c>
      <c r="F1321" s="48">
        <f>IF(H1321="","",IF(ISNUMBER(O1321),O1321,J1321))</f>
        <v/>
      </c>
      <c r="G1321">
        <f>IF(H1321="","","OneCause")</f>
        <v/>
      </c>
      <c r="H1321">
        <f>IF(AND(I1321="",J1321="",K1321=""),"",IF(NOT(ISNUMBER(O1321)),"Bad amount",IF(O1321&lt;0,"Refund (not counted)",IF(O1321=0,"Zero amount",IF(NOT(ISNUMBER(N1321)),"Bad date",IF(P1321="","NAME NOT ON ROSTER",IF(L1321="","OK",IF(MATCH(L1321,$L$2:$L$3001,0)&lt;ROW()-1,"Duplicate (ignored)","OK"))))))))</f>
        <v/>
      </c>
      <c r="I1321">
        <f>IF(OC_Date=0,"",IF(INDEX('OneCause_Paste'!$A$1321:$AZ$1321,1,OC_Date)="","",INDEX('OneCause_Paste'!$A$1321:$AZ$1321,1,OC_Date)))</f>
        <v/>
      </c>
      <c r="J1321">
        <f>IF(OC_Amt=0,"",IF(INDEX('OneCause_Paste'!$A$1321:$AZ$1321,1,OC_Amt)="","",INDEX('OneCause_Paste'!$A$1321:$AZ$1321,1,OC_Amt)))</f>
        <v/>
      </c>
      <c r="K1321">
        <f>IF(OC_Name=0,"",IF(INDEX('OneCause_Paste'!$A$1321:$AZ$1321,1,OC_Name)="","",INDEX('OneCause_Paste'!$A$1321:$AZ$1321,1,OC_Name)))</f>
        <v/>
      </c>
      <c r="L1321">
        <f>IF(OC_Txn=0,"",IF(INDEX('OneCause_Paste'!$A$1321:$AZ$1321,1,OC_Txn)="","",INDEX('OneCause_Paste'!$A$1321:$AZ$1321,1,OC_Txn)))</f>
        <v/>
      </c>
      <c r="M1321">
        <f>IF(OC_Pay=0,"",IF(INDEX('OneCause_Paste'!$A$1321:$AZ$1321,1,OC_Pay)="","",INDEX('OneCause_Paste'!$A$1321:$AZ$1321,1,OC_Pay)))</f>
        <v/>
      </c>
      <c r="N1321">
        <f>IF(I1321="","",IF(ISNUMBER(I1321),INT(I1321),IFERROR(INT(DATEVALUE(I1321)),IFERROR(INT(VALUE(I1321)),"bad"))))</f>
        <v/>
      </c>
      <c r="O1321">
        <f>IF(J1321="","",IF(ISNUMBER(J1321),ROUND(J1321,2),IFERROR(ROUND(VALUE(SUBSTITUTE(SUBSTITUTE(SUBSTITUTE(J1321,"$",""),",","")," ","")),2),"bad")))</f>
        <v/>
      </c>
      <c r="P1321">
        <f>IF(TRIM(K1321)="","",IFERROR(MATCH(LOWER(TRIM(K1321)),'Students'!$AH$2:$AH$701,0),IFERROR(MATCH(LOWER(TRIM(K1321)),'Students'!$AF$2:$AF$701,0),IFERROR(MATCH(LOWER(TRIM(K1321)),'Students'!$AG$2:$AG$701,0),""))))</f>
        <v/>
      </c>
      <c r="R1321">
        <f>IF(P1321="","",INDEX('Students'!$AD$2:$AD$701,P1321))</f>
        <v/>
      </c>
      <c r="S1321">
        <f>IF(H1321="OK",O1321,0)</f>
        <v/>
      </c>
      <c r="T1321">
        <f>IF(H1321="OK",N1321,"")</f>
        <v/>
      </c>
      <c r="U1321">
        <f>IF(OC_Donor=0,"",IF(INDEX('OneCause_Paste'!$A$1321:$AZ$1321,1,OC_Donor)="","",INDEX('OneCause_Paste'!$A$1321:$AZ$1321,1,OC_Donor)))</f>
        <v/>
      </c>
    </row>
    <row r="1322">
      <c r="A1322" s="62">
        <f>IF(H1322="","",IF(ISNUMBER(N1322),N1322,I1322))</f>
        <v/>
      </c>
      <c r="B1322">
        <f>IF(H1322="","",U1322)</f>
        <v/>
      </c>
      <c r="C1322">
        <f>IF(H1322="","",IF(P1322="",K1322,INDEX('Students'!$A$2:$A$701,P1322)))</f>
        <v/>
      </c>
      <c r="D1322">
        <f>IF(OR(H1322="",P1322=""),"",INDEX('Students'!$B$2:$B$701,P1322))</f>
        <v/>
      </c>
      <c r="E1322">
        <f>IF(OR(H1322="",P1322=""),"",INDEX('Students'!$C$2:$C$701,P1322))</f>
        <v/>
      </c>
      <c r="F1322" s="48">
        <f>IF(H1322="","",IF(ISNUMBER(O1322),O1322,J1322))</f>
        <v/>
      </c>
      <c r="G1322">
        <f>IF(H1322="","","OneCause")</f>
        <v/>
      </c>
      <c r="H1322">
        <f>IF(AND(I1322="",J1322="",K1322=""),"",IF(NOT(ISNUMBER(O1322)),"Bad amount",IF(O1322&lt;0,"Refund (not counted)",IF(O1322=0,"Zero amount",IF(NOT(ISNUMBER(N1322)),"Bad date",IF(P1322="","NAME NOT ON ROSTER",IF(L1322="","OK",IF(MATCH(L1322,$L$2:$L$3001,0)&lt;ROW()-1,"Duplicate (ignored)","OK"))))))))</f>
        <v/>
      </c>
      <c r="I1322">
        <f>IF(OC_Date=0,"",IF(INDEX('OneCause_Paste'!$A$1322:$AZ$1322,1,OC_Date)="","",INDEX('OneCause_Paste'!$A$1322:$AZ$1322,1,OC_Date)))</f>
        <v/>
      </c>
      <c r="J1322">
        <f>IF(OC_Amt=0,"",IF(INDEX('OneCause_Paste'!$A$1322:$AZ$1322,1,OC_Amt)="","",INDEX('OneCause_Paste'!$A$1322:$AZ$1322,1,OC_Amt)))</f>
        <v/>
      </c>
      <c r="K1322">
        <f>IF(OC_Name=0,"",IF(INDEX('OneCause_Paste'!$A$1322:$AZ$1322,1,OC_Name)="","",INDEX('OneCause_Paste'!$A$1322:$AZ$1322,1,OC_Name)))</f>
        <v/>
      </c>
      <c r="L1322">
        <f>IF(OC_Txn=0,"",IF(INDEX('OneCause_Paste'!$A$1322:$AZ$1322,1,OC_Txn)="","",INDEX('OneCause_Paste'!$A$1322:$AZ$1322,1,OC_Txn)))</f>
        <v/>
      </c>
      <c r="M1322">
        <f>IF(OC_Pay=0,"",IF(INDEX('OneCause_Paste'!$A$1322:$AZ$1322,1,OC_Pay)="","",INDEX('OneCause_Paste'!$A$1322:$AZ$1322,1,OC_Pay)))</f>
        <v/>
      </c>
      <c r="N1322">
        <f>IF(I1322="","",IF(ISNUMBER(I1322),INT(I1322),IFERROR(INT(DATEVALUE(I1322)),IFERROR(INT(VALUE(I1322)),"bad"))))</f>
        <v/>
      </c>
      <c r="O1322">
        <f>IF(J1322="","",IF(ISNUMBER(J1322),ROUND(J1322,2),IFERROR(ROUND(VALUE(SUBSTITUTE(SUBSTITUTE(SUBSTITUTE(J1322,"$",""),",","")," ","")),2),"bad")))</f>
        <v/>
      </c>
      <c r="P1322">
        <f>IF(TRIM(K1322)="","",IFERROR(MATCH(LOWER(TRIM(K1322)),'Students'!$AH$2:$AH$701,0),IFERROR(MATCH(LOWER(TRIM(K1322)),'Students'!$AF$2:$AF$701,0),IFERROR(MATCH(LOWER(TRIM(K1322)),'Students'!$AG$2:$AG$701,0),""))))</f>
        <v/>
      </c>
      <c r="R1322">
        <f>IF(P1322="","",INDEX('Students'!$AD$2:$AD$701,P1322))</f>
        <v/>
      </c>
      <c r="S1322">
        <f>IF(H1322="OK",O1322,0)</f>
        <v/>
      </c>
      <c r="T1322">
        <f>IF(H1322="OK",N1322,"")</f>
        <v/>
      </c>
      <c r="U1322">
        <f>IF(OC_Donor=0,"",IF(INDEX('OneCause_Paste'!$A$1322:$AZ$1322,1,OC_Donor)="","",INDEX('OneCause_Paste'!$A$1322:$AZ$1322,1,OC_Donor)))</f>
        <v/>
      </c>
    </row>
    <row r="1323">
      <c r="A1323" s="62">
        <f>IF(H1323="","",IF(ISNUMBER(N1323),N1323,I1323))</f>
        <v/>
      </c>
      <c r="B1323">
        <f>IF(H1323="","",U1323)</f>
        <v/>
      </c>
      <c r="C1323">
        <f>IF(H1323="","",IF(P1323="",K1323,INDEX('Students'!$A$2:$A$701,P1323)))</f>
        <v/>
      </c>
      <c r="D1323">
        <f>IF(OR(H1323="",P1323=""),"",INDEX('Students'!$B$2:$B$701,P1323))</f>
        <v/>
      </c>
      <c r="E1323">
        <f>IF(OR(H1323="",P1323=""),"",INDEX('Students'!$C$2:$C$701,P1323))</f>
        <v/>
      </c>
      <c r="F1323" s="48">
        <f>IF(H1323="","",IF(ISNUMBER(O1323),O1323,J1323))</f>
        <v/>
      </c>
      <c r="G1323">
        <f>IF(H1323="","","OneCause")</f>
        <v/>
      </c>
      <c r="H1323">
        <f>IF(AND(I1323="",J1323="",K1323=""),"",IF(NOT(ISNUMBER(O1323)),"Bad amount",IF(O1323&lt;0,"Refund (not counted)",IF(O1323=0,"Zero amount",IF(NOT(ISNUMBER(N1323)),"Bad date",IF(P1323="","NAME NOT ON ROSTER",IF(L1323="","OK",IF(MATCH(L1323,$L$2:$L$3001,0)&lt;ROW()-1,"Duplicate (ignored)","OK"))))))))</f>
        <v/>
      </c>
      <c r="I1323">
        <f>IF(OC_Date=0,"",IF(INDEX('OneCause_Paste'!$A$1323:$AZ$1323,1,OC_Date)="","",INDEX('OneCause_Paste'!$A$1323:$AZ$1323,1,OC_Date)))</f>
        <v/>
      </c>
      <c r="J1323">
        <f>IF(OC_Amt=0,"",IF(INDEX('OneCause_Paste'!$A$1323:$AZ$1323,1,OC_Amt)="","",INDEX('OneCause_Paste'!$A$1323:$AZ$1323,1,OC_Amt)))</f>
        <v/>
      </c>
      <c r="K1323">
        <f>IF(OC_Name=0,"",IF(INDEX('OneCause_Paste'!$A$1323:$AZ$1323,1,OC_Name)="","",INDEX('OneCause_Paste'!$A$1323:$AZ$1323,1,OC_Name)))</f>
        <v/>
      </c>
      <c r="L1323">
        <f>IF(OC_Txn=0,"",IF(INDEX('OneCause_Paste'!$A$1323:$AZ$1323,1,OC_Txn)="","",INDEX('OneCause_Paste'!$A$1323:$AZ$1323,1,OC_Txn)))</f>
        <v/>
      </c>
      <c r="M1323">
        <f>IF(OC_Pay=0,"",IF(INDEX('OneCause_Paste'!$A$1323:$AZ$1323,1,OC_Pay)="","",INDEX('OneCause_Paste'!$A$1323:$AZ$1323,1,OC_Pay)))</f>
        <v/>
      </c>
      <c r="N1323">
        <f>IF(I1323="","",IF(ISNUMBER(I1323),INT(I1323),IFERROR(INT(DATEVALUE(I1323)),IFERROR(INT(VALUE(I1323)),"bad"))))</f>
        <v/>
      </c>
      <c r="O1323">
        <f>IF(J1323="","",IF(ISNUMBER(J1323),ROUND(J1323,2),IFERROR(ROUND(VALUE(SUBSTITUTE(SUBSTITUTE(SUBSTITUTE(J1323,"$",""),",","")," ","")),2),"bad")))</f>
        <v/>
      </c>
      <c r="P1323">
        <f>IF(TRIM(K1323)="","",IFERROR(MATCH(LOWER(TRIM(K1323)),'Students'!$AH$2:$AH$701,0),IFERROR(MATCH(LOWER(TRIM(K1323)),'Students'!$AF$2:$AF$701,0),IFERROR(MATCH(LOWER(TRIM(K1323)),'Students'!$AG$2:$AG$701,0),""))))</f>
        <v/>
      </c>
      <c r="R1323">
        <f>IF(P1323="","",INDEX('Students'!$AD$2:$AD$701,P1323))</f>
        <v/>
      </c>
      <c r="S1323">
        <f>IF(H1323="OK",O1323,0)</f>
        <v/>
      </c>
      <c r="T1323">
        <f>IF(H1323="OK",N1323,"")</f>
        <v/>
      </c>
      <c r="U1323">
        <f>IF(OC_Donor=0,"",IF(INDEX('OneCause_Paste'!$A$1323:$AZ$1323,1,OC_Donor)="","",INDEX('OneCause_Paste'!$A$1323:$AZ$1323,1,OC_Donor)))</f>
        <v/>
      </c>
    </row>
    <row r="1324">
      <c r="A1324" s="62">
        <f>IF(H1324="","",IF(ISNUMBER(N1324),N1324,I1324))</f>
        <v/>
      </c>
      <c r="B1324">
        <f>IF(H1324="","",U1324)</f>
        <v/>
      </c>
      <c r="C1324">
        <f>IF(H1324="","",IF(P1324="",K1324,INDEX('Students'!$A$2:$A$701,P1324)))</f>
        <v/>
      </c>
      <c r="D1324">
        <f>IF(OR(H1324="",P1324=""),"",INDEX('Students'!$B$2:$B$701,P1324))</f>
        <v/>
      </c>
      <c r="E1324">
        <f>IF(OR(H1324="",P1324=""),"",INDEX('Students'!$C$2:$C$701,P1324))</f>
        <v/>
      </c>
      <c r="F1324" s="48">
        <f>IF(H1324="","",IF(ISNUMBER(O1324),O1324,J1324))</f>
        <v/>
      </c>
      <c r="G1324">
        <f>IF(H1324="","","OneCause")</f>
        <v/>
      </c>
      <c r="H1324">
        <f>IF(AND(I1324="",J1324="",K1324=""),"",IF(NOT(ISNUMBER(O1324)),"Bad amount",IF(O1324&lt;0,"Refund (not counted)",IF(O1324=0,"Zero amount",IF(NOT(ISNUMBER(N1324)),"Bad date",IF(P1324="","NAME NOT ON ROSTER",IF(L1324="","OK",IF(MATCH(L1324,$L$2:$L$3001,0)&lt;ROW()-1,"Duplicate (ignored)","OK"))))))))</f>
        <v/>
      </c>
      <c r="I1324">
        <f>IF(OC_Date=0,"",IF(INDEX('OneCause_Paste'!$A$1324:$AZ$1324,1,OC_Date)="","",INDEX('OneCause_Paste'!$A$1324:$AZ$1324,1,OC_Date)))</f>
        <v/>
      </c>
      <c r="J1324">
        <f>IF(OC_Amt=0,"",IF(INDEX('OneCause_Paste'!$A$1324:$AZ$1324,1,OC_Amt)="","",INDEX('OneCause_Paste'!$A$1324:$AZ$1324,1,OC_Amt)))</f>
        <v/>
      </c>
      <c r="K1324">
        <f>IF(OC_Name=0,"",IF(INDEX('OneCause_Paste'!$A$1324:$AZ$1324,1,OC_Name)="","",INDEX('OneCause_Paste'!$A$1324:$AZ$1324,1,OC_Name)))</f>
        <v/>
      </c>
      <c r="L1324">
        <f>IF(OC_Txn=0,"",IF(INDEX('OneCause_Paste'!$A$1324:$AZ$1324,1,OC_Txn)="","",INDEX('OneCause_Paste'!$A$1324:$AZ$1324,1,OC_Txn)))</f>
        <v/>
      </c>
      <c r="M1324">
        <f>IF(OC_Pay=0,"",IF(INDEX('OneCause_Paste'!$A$1324:$AZ$1324,1,OC_Pay)="","",INDEX('OneCause_Paste'!$A$1324:$AZ$1324,1,OC_Pay)))</f>
        <v/>
      </c>
      <c r="N1324">
        <f>IF(I1324="","",IF(ISNUMBER(I1324),INT(I1324),IFERROR(INT(DATEVALUE(I1324)),IFERROR(INT(VALUE(I1324)),"bad"))))</f>
        <v/>
      </c>
      <c r="O1324">
        <f>IF(J1324="","",IF(ISNUMBER(J1324),ROUND(J1324,2),IFERROR(ROUND(VALUE(SUBSTITUTE(SUBSTITUTE(SUBSTITUTE(J1324,"$",""),",","")," ","")),2),"bad")))</f>
        <v/>
      </c>
      <c r="P1324">
        <f>IF(TRIM(K1324)="","",IFERROR(MATCH(LOWER(TRIM(K1324)),'Students'!$AH$2:$AH$701,0),IFERROR(MATCH(LOWER(TRIM(K1324)),'Students'!$AF$2:$AF$701,0),IFERROR(MATCH(LOWER(TRIM(K1324)),'Students'!$AG$2:$AG$701,0),""))))</f>
        <v/>
      </c>
      <c r="R1324">
        <f>IF(P1324="","",INDEX('Students'!$AD$2:$AD$701,P1324))</f>
        <v/>
      </c>
      <c r="S1324">
        <f>IF(H1324="OK",O1324,0)</f>
        <v/>
      </c>
      <c r="T1324">
        <f>IF(H1324="OK",N1324,"")</f>
        <v/>
      </c>
      <c r="U1324">
        <f>IF(OC_Donor=0,"",IF(INDEX('OneCause_Paste'!$A$1324:$AZ$1324,1,OC_Donor)="","",INDEX('OneCause_Paste'!$A$1324:$AZ$1324,1,OC_Donor)))</f>
        <v/>
      </c>
    </row>
    <row r="1325">
      <c r="A1325" s="62">
        <f>IF(H1325="","",IF(ISNUMBER(N1325),N1325,I1325))</f>
        <v/>
      </c>
      <c r="B1325">
        <f>IF(H1325="","",U1325)</f>
        <v/>
      </c>
      <c r="C1325">
        <f>IF(H1325="","",IF(P1325="",K1325,INDEX('Students'!$A$2:$A$701,P1325)))</f>
        <v/>
      </c>
      <c r="D1325">
        <f>IF(OR(H1325="",P1325=""),"",INDEX('Students'!$B$2:$B$701,P1325))</f>
        <v/>
      </c>
      <c r="E1325">
        <f>IF(OR(H1325="",P1325=""),"",INDEX('Students'!$C$2:$C$701,P1325))</f>
        <v/>
      </c>
      <c r="F1325" s="48">
        <f>IF(H1325="","",IF(ISNUMBER(O1325),O1325,J1325))</f>
        <v/>
      </c>
      <c r="G1325">
        <f>IF(H1325="","","OneCause")</f>
        <v/>
      </c>
      <c r="H1325">
        <f>IF(AND(I1325="",J1325="",K1325=""),"",IF(NOT(ISNUMBER(O1325)),"Bad amount",IF(O1325&lt;0,"Refund (not counted)",IF(O1325=0,"Zero amount",IF(NOT(ISNUMBER(N1325)),"Bad date",IF(P1325="","NAME NOT ON ROSTER",IF(L1325="","OK",IF(MATCH(L1325,$L$2:$L$3001,0)&lt;ROW()-1,"Duplicate (ignored)","OK"))))))))</f>
        <v/>
      </c>
      <c r="I1325">
        <f>IF(OC_Date=0,"",IF(INDEX('OneCause_Paste'!$A$1325:$AZ$1325,1,OC_Date)="","",INDEX('OneCause_Paste'!$A$1325:$AZ$1325,1,OC_Date)))</f>
        <v/>
      </c>
      <c r="J1325">
        <f>IF(OC_Amt=0,"",IF(INDEX('OneCause_Paste'!$A$1325:$AZ$1325,1,OC_Amt)="","",INDEX('OneCause_Paste'!$A$1325:$AZ$1325,1,OC_Amt)))</f>
        <v/>
      </c>
      <c r="K1325">
        <f>IF(OC_Name=0,"",IF(INDEX('OneCause_Paste'!$A$1325:$AZ$1325,1,OC_Name)="","",INDEX('OneCause_Paste'!$A$1325:$AZ$1325,1,OC_Name)))</f>
        <v/>
      </c>
      <c r="L1325">
        <f>IF(OC_Txn=0,"",IF(INDEX('OneCause_Paste'!$A$1325:$AZ$1325,1,OC_Txn)="","",INDEX('OneCause_Paste'!$A$1325:$AZ$1325,1,OC_Txn)))</f>
        <v/>
      </c>
      <c r="M1325">
        <f>IF(OC_Pay=0,"",IF(INDEX('OneCause_Paste'!$A$1325:$AZ$1325,1,OC_Pay)="","",INDEX('OneCause_Paste'!$A$1325:$AZ$1325,1,OC_Pay)))</f>
        <v/>
      </c>
      <c r="N1325">
        <f>IF(I1325="","",IF(ISNUMBER(I1325),INT(I1325),IFERROR(INT(DATEVALUE(I1325)),IFERROR(INT(VALUE(I1325)),"bad"))))</f>
        <v/>
      </c>
      <c r="O1325">
        <f>IF(J1325="","",IF(ISNUMBER(J1325),ROUND(J1325,2),IFERROR(ROUND(VALUE(SUBSTITUTE(SUBSTITUTE(SUBSTITUTE(J1325,"$",""),",","")," ","")),2),"bad")))</f>
        <v/>
      </c>
      <c r="P1325">
        <f>IF(TRIM(K1325)="","",IFERROR(MATCH(LOWER(TRIM(K1325)),'Students'!$AH$2:$AH$701,0),IFERROR(MATCH(LOWER(TRIM(K1325)),'Students'!$AF$2:$AF$701,0),IFERROR(MATCH(LOWER(TRIM(K1325)),'Students'!$AG$2:$AG$701,0),""))))</f>
        <v/>
      </c>
      <c r="R1325">
        <f>IF(P1325="","",INDEX('Students'!$AD$2:$AD$701,P1325))</f>
        <v/>
      </c>
      <c r="S1325">
        <f>IF(H1325="OK",O1325,0)</f>
        <v/>
      </c>
      <c r="T1325">
        <f>IF(H1325="OK",N1325,"")</f>
        <v/>
      </c>
      <c r="U1325">
        <f>IF(OC_Donor=0,"",IF(INDEX('OneCause_Paste'!$A$1325:$AZ$1325,1,OC_Donor)="","",INDEX('OneCause_Paste'!$A$1325:$AZ$1325,1,OC_Donor)))</f>
        <v/>
      </c>
    </row>
    <row r="1326">
      <c r="A1326" s="62">
        <f>IF(H1326="","",IF(ISNUMBER(N1326),N1326,I1326))</f>
        <v/>
      </c>
      <c r="B1326">
        <f>IF(H1326="","",U1326)</f>
        <v/>
      </c>
      <c r="C1326">
        <f>IF(H1326="","",IF(P1326="",K1326,INDEX('Students'!$A$2:$A$701,P1326)))</f>
        <v/>
      </c>
      <c r="D1326">
        <f>IF(OR(H1326="",P1326=""),"",INDEX('Students'!$B$2:$B$701,P1326))</f>
        <v/>
      </c>
      <c r="E1326">
        <f>IF(OR(H1326="",P1326=""),"",INDEX('Students'!$C$2:$C$701,P1326))</f>
        <v/>
      </c>
      <c r="F1326" s="48">
        <f>IF(H1326="","",IF(ISNUMBER(O1326),O1326,J1326))</f>
        <v/>
      </c>
      <c r="G1326">
        <f>IF(H1326="","","OneCause")</f>
        <v/>
      </c>
      <c r="H1326">
        <f>IF(AND(I1326="",J1326="",K1326=""),"",IF(NOT(ISNUMBER(O1326)),"Bad amount",IF(O1326&lt;0,"Refund (not counted)",IF(O1326=0,"Zero amount",IF(NOT(ISNUMBER(N1326)),"Bad date",IF(P1326="","NAME NOT ON ROSTER",IF(L1326="","OK",IF(MATCH(L1326,$L$2:$L$3001,0)&lt;ROW()-1,"Duplicate (ignored)","OK"))))))))</f>
        <v/>
      </c>
      <c r="I1326">
        <f>IF(OC_Date=0,"",IF(INDEX('OneCause_Paste'!$A$1326:$AZ$1326,1,OC_Date)="","",INDEX('OneCause_Paste'!$A$1326:$AZ$1326,1,OC_Date)))</f>
        <v/>
      </c>
      <c r="J1326">
        <f>IF(OC_Amt=0,"",IF(INDEX('OneCause_Paste'!$A$1326:$AZ$1326,1,OC_Amt)="","",INDEX('OneCause_Paste'!$A$1326:$AZ$1326,1,OC_Amt)))</f>
        <v/>
      </c>
      <c r="K1326">
        <f>IF(OC_Name=0,"",IF(INDEX('OneCause_Paste'!$A$1326:$AZ$1326,1,OC_Name)="","",INDEX('OneCause_Paste'!$A$1326:$AZ$1326,1,OC_Name)))</f>
        <v/>
      </c>
      <c r="L1326">
        <f>IF(OC_Txn=0,"",IF(INDEX('OneCause_Paste'!$A$1326:$AZ$1326,1,OC_Txn)="","",INDEX('OneCause_Paste'!$A$1326:$AZ$1326,1,OC_Txn)))</f>
        <v/>
      </c>
      <c r="M1326">
        <f>IF(OC_Pay=0,"",IF(INDEX('OneCause_Paste'!$A$1326:$AZ$1326,1,OC_Pay)="","",INDEX('OneCause_Paste'!$A$1326:$AZ$1326,1,OC_Pay)))</f>
        <v/>
      </c>
      <c r="N1326">
        <f>IF(I1326="","",IF(ISNUMBER(I1326),INT(I1326),IFERROR(INT(DATEVALUE(I1326)),IFERROR(INT(VALUE(I1326)),"bad"))))</f>
        <v/>
      </c>
      <c r="O1326">
        <f>IF(J1326="","",IF(ISNUMBER(J1326),ROUND(J1326,2),IFERROR(ROUND(VALUE(SUBSTITUTE(SUBSTITUTE(SUBSTITUTE(J1326,"$",""),",","")," ","")),2),"bad")))</f>
        <v/>
      </c>
      <c r="P1326">
        <f>IF(TRIM(K1326)="","",IFERROR(MATCH(LOWER(TRIM(K1326)),'Students'!$AH$2:$AH$701,0),IFERROR(MATCH(LOWER(TRIM(K1326)),'Students'!$AF$2:$AF$701,0),IFERROR(MATCH(LOWER(TRIM(K1326)),'Students'!$AG$2:$AG$701,0),""))))</f>
        <v/>
      </c>
      <c r="R1326">
        <f>IF(P1326="","",INDEX('Students'!$AD$2:$AD$701,P1326))</f>
        <v/>
      </c>
      <c r="S1326">
        <f>IF(H1326="OK",O1326,0)</f>
        <v/>
      </c>
      <c r="T1326">
        <f>IF(H1326="OK",N1326,"")</f>
        <v/>
      </c>
      <c r="U1326">
        <f>IF(OC_Donor=0,"",IF(INDEX('OneCause_Paste'!$A$1326:$AZ$1326,1,OC_Donor)="","",INDEX('OneCause_Paste'!$A$1326:$AZ$1326,1,OC_Donor)))</f>
        <v/>
      </c>
    </row>
    <row r="1327">
      <c r="A1327" s="62">
        <f>IF(H1327="","",IF(ISNUMBER(N1327),N1327,I1327))</f>
        <v/>
      </c>
      <c r="B1327">
        <f>IF(H1327="","",U1327)</f>
        <v/>
      </c>
      <c r="C1327">
        <f>IF(H1327="","",IF(P1327="",K1327,INDEX('Students'!$A$2:$A$701,P1327)))</f>
        <v/>
      </c>
      <c r="D1327">
        <f>IF(OR(H1327="",P1327=""),"",INDEX('Students'!$B$2:$B$701,P1327))</f>
        <v/>
      </c>
      <c r="E1327">
        <f>IF(OR(H1327="",P1327=""),"",INDEX('Students'!$C$2:$C$701,P1327))</f>
        <v/>
      </c>
      <c r="F1327" s="48">
        <f>IF(H1327="","",IF(ISNUMBER(O1327),O1327,J1327))</f>
        <v/>
      </c>
      <c r="G1327">
        <f>IF(H1327="","","OneCause")</f>
        <v/>
      </c>
      <c r="H1327">
        <f>IF(AND(I1327="",J1327="",K1327=""),"",IF(NOT(ISNUMBER(O1327)),"Bad amount",IF(O1327&lt;0,"Refund (not counted)",IF(O1327=0,"Zero amount",IF(NOT(ISNUMBER(N1327)),"Bad date",IF(P1327="","NAME NOT ON ROSTER",IF(L1327="","OK",IF(MATCH(L1327,$L$2:$L$3001,0)&lt;ROW()-1,"Duplicate (ignored)","OK"))))))))</f>
        <v/>
      </c>
      <c r="I1327">
        <f>IF(OC_Date=0,"",IF(INDEX('OneCause_Paste'!$A$1327:$AZ$1327,1,OC_Date)="","",INDEX('OneCause_Paste'!$A$1327:$AZ$1327,1,OC_Date)))</f>
        <v/>
      </c>
      <c r="J1327">
        <f>IF(OC_Amt=0,"",IF(INDEX('OneCause_Paste'!$A$1327:$AZ$1327,1,OC_Amt)="","",INDEX('OneCause_Paste'!$A$1327:$AZ$1327,1,OC_Amt)))</f>
        <v/>
      </c>
      <c r="K1327">
        <f>IF(OC_Name=0,"",IF(INDEX('OneCause_Paste'!$A$1327:$AZ$1327,1,OC_Name)="","",INDEX('OneCause_Paste'!$A$1327:$AZ$1327,1,OC_Name)))</f>
        <v/>
      </c>
      <c r="L1327">
        <f>IF(OC_Txn=0,"",IF(INDEX('OneCause_Paste'!$A$1327:$AZ$1327,1,OC_Txn)="","",INDEX('OneCause_Paste'!$A$1327:$AZ$1327,1,OC_Txn)))</f>
        <v/>
      </c>
      <c r="M1327">
        <f>IF(OC_Pay=0,"",IF(INDEX('OneCause_Paste'!$A$1327:$AZ$1327,1,OC_Pay)="","",INDEX('OneCause_Paste'!$A$1327:$AZ$1327,1,OC_Pay)))</f>
        <v/>
      </c>
      <c r="N1327">
        <f>IF(I1327="","",IF(ISNUMBER(I1327),INT(I1327),IFERROR(INT(DATEVALUE(I1327)),IFERROR(INT(VALUE(I1327)),"bad"))))</f>
        <v/>
      </c>
      <c r="O1327">
        <f>IF(J1327="","",IF(ISNUMBER(J1327),ROUND(J1327,2),IFERROR(ROUND(VALUE(SUBSTITUTE(SUBSTITUTE(SUBSTITUTE(J1327,"$",""),",","")," ","")),2),"bad")))</f>
        <v/>
      </c>
      <c r="P1327">
        <f>IF(TRIM(K1327)="","",IFERROR(MATCH(LOWER(TRIM(K1327)),'Students'!$AH$2:$AH$701,0),IFERROR(MATCH(LOWER(TRIM(K1327)),'Students'!$AF$2:$AF$701,0),IFERROR(MATCH(LOWER(TRIM(K1327)),'Students'!$AG$2:$AG$701,0),""))))</f>
        <v/>
      </c>
      <c r="R1327">
        <f>IF(P1327="","",INDEX('Students'!$AD$2:$AD$701,P1327))</f>
        <v/>
      </c>
      <c r="S1327">
        <f>IF(H1327="OK",O1327,0)</f>
        <v/>
      </c>
      <c r="T1327">
        <f>IF(H1327="OK",N1327,"")</f>
        <v/>
      </c>
      <c r="U1327">
        <f>IF(OC_Donor=0,"",IF(INDEX('OneCause_Paste'!$A$1327:$AZ$1327,1,OC_Donor)="","",INDEX('OneCause_Paste'!$A$1327:$AZ$1327,1,OC_Donor)))</f>
        <v/>
      </c>
    </row>
    <row r="1328">
      <c r="A1328" s="62">
        <f>IF(H1328="","",IF(ISNUMBER(N1328),N1328,I1328))</f>
        <v/>
      </c>
      <c r="B1328">
        <f>IF(H1328="","",U1328)</f>
        <v/>
      </c>
      <c r="C1328">
        <f>IF(H1328="","",IF(P1328="",K1328,INDEX('Students'!$A$2:$A$701,P1328)))</f>
        <v/>
      </c>
      <c r="D1328">
        <f>IF(OR(H1328="",P1328=""),"",INDEX('Students'!$B$2:$B$701,P1328))</f>
        <v/>
      </c>
      <c r="E1328">
        <f>IF(OR(H1328="",P1328=""),"",INDEX('Students'!$C$2:$C$701,P1328))</f>
        <v/>
      </c>
      <c r="F1328" s="48">
        <f>IF(H1328="","",IF(ISNUMBER(O1328),O1328,J1328))</f>
        <v/>
      </c>
      <c r="G1328">
        <f>IF(H1328="","","OneCause")</f>
        <v/>
      </c>
      <c r="H1328">
        <f>IF(AND(I1328="",J1328="",K1328=""),"",IF(NOT(ISNUMBER(O1328)),"Bad amount",IF(O1328&lt;0,"Refund (not counted)",IF(O1328=0,"Zero amount",IF(NOT(ISNUMBER(N1328)),"Bad date",IF(P1328="","NAME NOT ON ROSTER",IF(L1328="","OK",IF(MATCH(L1328,$L$2:$L$3001,0)&lt;ROW()-1,"Duplicate (ignored)","OK"))))))))</f>
        <v/>
      </c>
      <c r="I1328">
        <f>IF(OC_Date=0,"",IF(INDEX('OneCause_Paste'!$A$1328:$AZ$1328,1,OC_Date)="","",INDEX('OneCause_Paste'!$A$1328:$AZ$1328,1,OC_Date)))</f>
        <v/>
      </c>
      <c r="J1328">
        <f>IF(OC_Amt=0,"",IF(INDEX('OneCause_Paste'!$A$1328:$AZ$1328,1,OC_Amt)="","",INDEX('OneCause_Paste'!$A$1328:$AZ$1328,1,OC_Amt)))</f>
        <v/>
      </c>
      <c r="K1328">
        <f>IF(OC_Name=0,"",IF(INDEX('OneCause_Paste'!$A$1328:$AZ$1328,1,OC_Name)="","",INDEX('OneCause_Paste'!$A$1328:$AZ$1328,1,OC_Name)))</f>
        <v/>
      </c>
      <c r="L1328">
        <f>IF(OC_Txn=0,"",IF(INDEX('OneCause_Paste'!$A$1328:$AZ$1328,1,OC_Txn)="","",INDEX('OneCause_Paste'!$A$1328:$AZ$1328,1,OC_Txn)))</f>
        <v/>
      </c>
      <c r="M1328">
        <f>IF(OC_Pay=0,"",IF(INDEX('OneCause_Paste'!$A$1328:$AZ$1328,1,OC_Pay)="","",INDEX('OneCause_Paste'!$A$1328:$AZ$1328,1,OC_Pay)))</f>
        <v/>
      </c>
      <c r="N1328">
        <f>IF(I1328="","",IF(ISNUMBER(I1328),INT(I1328),IFERROR(INT(DATEVALUE(I1328)),IFERROR(INT(VALUE(I1328)),"bad"))))</f>
        <v/>
      </c>
      <c r="O1328">
        <f>IF(J1328="","",IF(ISNUMBER(J1328),ROUND(J1328,2),IFERROR(ROUND(VALUE(SUBSTITUTE(SUBSTITUTE(SUBSTITUTE(J1328,"$",""),",","")," ","")),2),"bad")))</f>
        <v/>
      </c>
      <c r="P1328">
        <f>IF(TRIM(K1328)="","",IFERROR(MATCH(LOWER(TRIM(K1328)),'Students'!$AH$2:$AH$701,0),IFERROR(MATCH(LOWER(TRIM(K1328)),'Students'!$AF$2:$AF$701,0),IFERROR(MATCH(LOWER(TRIM(K1328)),'Students'!$AG$2:$AG$701,0),""))))</f>
        <v/>
      </c>
      <c r="R1328">
        <f>IF(P1328="","",INDEX('Students'!$AD$2:$AD$701,P1328))</f>
        <v/>
      </c>
      <c r="S1328">
        <f>IF(H1328="OK",O1328,0)</f>
        <v/>
      </c>
      <c r="T1328">
        <f>IF(H1328="OK",N1328,"")</f>
        <v/>
      </c>
      <c r="U1328">
        <f>IF(OC_Donor=0,"",IF(INDEX('OneCause_Paste'!$A$1328:$AZ$1328,1,OC_Donor)="","",INDEX('OneCause_Paste'!$A$1328:$AZ$1328,1,OC_Donor)))</f>
        <v/>
      </c>
    </row>
    <row r="1329">
      <c r="A1329" s="62">
        <f>IF(H1329="","",IF(ISNUMBER(N1329),N1329,I1329))</f>
        <v/>
      </c>
      <c r="B1329">
        <f>IF(H1329="","",U1329)</f>
        <v/>
      </c>
      <c r="C1329">
        <f>IF(H1329="","",IF(P1329="",K1329,INDEX('Students'!$A$2:$A$701,P1329)))</f>
        <v/>
      </c>
      <c r="D1329">
        <f>IF(OR(H1329="",P1329=""),"",INDEX('Students'!$B$2:$B$701,P1329))</f>
        <v/>
      </c>
      <c r="E1329">
        <f>IF(OR(H1329="",P1329=""),"",INDEX('Students'!$C$2:$C$701,P1329))</f>
        <v/>
      </c>
      <c r="F1329" s="48">
        <f>IF(H1329="","",IF(ISNUMBER(O1329),O1329,J1329))</f>
        <v/>
      </c>
      <c r="G1329">
        <f>IF(H1329="","","OneCause")</f>
        <v/>
      </c>
      <c r="H1329">
        <f>IF(AND(I1329="",J1329="",K1329=""),"",IF(NOT(ISNUMBER(O1329)),"Bad amount",IF(O1329&lt;0,"Refund (not counted)",IF(O1329=0,"Zero amount",IF(NOT(ISNUMBER(N1329)),"Bad date",IF(P1329="","NAME NOT ON ROSTER",IF(L1329="","OK",IF(MATCH(L1329,$L$2:$L$3001,0)&lt;ROW()-1,"Duplicate (ignored)","OK"))))))))</f>
        <v/>
      </c>
      <c r="I1329">
        <f>IF(OC_Date=0,"",IF(INDEX('OneCause_Paste'!$A$1329:$AZ$1329,1,OC_Date)="","",INDEX('OneCause_Paste'!$A$1329:$AZ$1329,1,OC_Date)))</f>
        <v/>
      </c>
      <c r="J1329">
        <f>IF(OC_Amt=0,"",IF(INDEX('OneCause_Paste'!$A$1329:$AZ$1329,1,OC_Amt)="","",INDEX('OneCause_Paste'!$A$1329:$AZ$1329,1,OC_Amt)))</f>
        <v/>
      </c>
      <c r="K1329">
        <f>IF(OC_Name=0,"",IF(INDEX('OneCause_Paste'!$A$1329:$AZ$1329,1,OC_Name)="","",INDEX('OneCause_Paste'!$A$1329:$AZ$1329,1,OC_Name)))</f>
        <v/>
      </c>
      <c r="L1329">
        <f>IF(OC_Txn=0,"",IF(INDEX('OneCause_Paste'!$A$1329:$AZ$1329,1,OC_Txn)="","",INDEX('OneCause_Paste'!$A$1329:$AZ$1329,1,OC_Txn)))</f>
        <v/>
      </c>
      <c r="M1329">
        <f>IF(OC_Pay=0,"",IF(INDEX('OneCause_Paste'!$A$1329:$AZ$1329,1,OC_Pay)="","",INDEX('OneCause_Paste'!$A$1329:$AZ$1329,1,OC_Pay)))</f>
        <v/>
      </c>
      <c r="N1329">
        <f>IF(I1329="","",IF(ISNUMBER(I1329),INT(I1329),IFERROR(INT(DATEVALUE(I1329)),IFERROR(INT(VALUE(I1329)),"bad"))))</f>
        <v/>
      </c>
      <c r="O1329">
        <f>IF(J1329="","",IF(ISNUMBER(J1329),ROUND(J1329,2),IFERROR(ROUND(VALUE(SUBSTITUTE(SUBSTITUTE(SUBSTITUTE(J1329,"$",""),",","")," ","")),2),"bad")))</f>
        <v/>
      </c>
      <c r="P1329">
        <f>IF(TRIM(K1329)="","",IFERROR(MATCH(LOWER(TRIM(K1329)),'Students'!$AH$2:$AH$701,0),IFERROR(MATCH(LOWER(TRIM(K1329)),'Students'!$AF$2:$AF$701,0),IFERROR(MATCH(LOWER(TRIM(K1329)),'Students'!$AG$2:$AG$701,0),""))))</f>
        <v/>
      </c>
      <c r="R1329">
        <f>IF(P1329="","",INDEX('Students'!$AD$2:$AD$701,P1329))</f>
        <v/>
      </c>
      <c r="S1329">
        <f>IF(H1329="OK",O1329,0)</f>
        <v/>
      </c>
      <c r="T1329">
        <f>IF(H1329="OK",N1329,"")</f>
        <v/>
      </c>
      <c r="U1329">
        <f>IF(OC_Donor=0,"",IF(INDEX('OneCause_Paste'!$A$1329:$AZ$1329,1,OC_Donor)="","",INDEX('OneCause_Paste'!$A$1329:$AZ$1329,1,OC_Donor)))</f>
        <v/>
      </c>
    </row>
    <row r="1330">
      <c r="A1330" s="62">
        <f>IF(H1330="","",IF(ISNUMBER(N1330),N1330,I1330))</f>
        <v/>
      </c>
      <c r="B1330">
        <f>IF(H1330="","",U1330)</f>
        <v/>
      </c>
      <c r="C1330">
        <f>IF(H1330="","",IF(P1330="",K1330,INDEX('Students'!$A$2:$A$701,P1330)))</f>
        <v/>
      </c>
      <c r="D1330">
        <f>IF(OR(H1330="",P1330=""),"",INDEX('Students'!$B$2:$B$701,P1330))</f>
        <v/>
      </c>
      <c r="E1330">
        <f>IF(OR(H1330="",P1330=""),"",INDEX('Students'!$C$2:$C$701,P1330))</f>
        <v/>
      </c>
      <c r="F1330" s="48">
        <f>IF(H1330="","",IF(ISNUMBER(O1330),O1330,J1330))</f>
        <v/>
      </c>
      <c r="G1330">
        <f>IF(H1330="","","OneCause")</f>
        <v/>
      </c>
      <c r="H1330">
        <f>IF(AND(I1330="",J1330="",K1330=""),"",IF(NOT(ISNUMBER(O1330)),"Bad amount",IF(O1330&lt;0,"Refund (not counted)",IF(O1330=0,"Zero amount",IF(NOT(ISNUMBER(N1330)),"Bad date",IF(P1330="","NAME NOT ON ROSTER",IF(L1330="","OK",IF(MATCH(L1330,$L$2:$L$3001,0)&lt;ROW()-1,"Duplicate (ignored)","OK"))))))))</f>
        <v/>
      </c>
      <c r="I1330">
        <f>IF(OC_Date=0,"",IF(INDEX('OneCause_Paste'!$A$1330:$AZ$1330,1,OC_Date)="","",INDEX('OneCause_Paste'!$A$1330:$AZ$1330,1,OC_Date)))</f>
        <v/>
      </c>
      <c r="J1330">
        <f>IF(OC_Amt=0,"",IF(INDEX('OneCause_Paste'!$A$1330:$AZ$1330,1,OC_Amt)="","",INDEX('OneCause_Paste'!$A$1330:$AZ$1330,1,OC_Amt)))</f>
        <v/>
      </c>
      <c r="K1330">
        <f>IF(OC_Name=0,"",IF(INDEX('OneCause_Paste'!$A$1330:$AZ$1330,1,OC_Name)="","",INDEX('OneCause_Paste'!$A$1330:$AZ$1330,1,OC_Name)))</f>
        <v/>
      </c>
      <c r="L1330">
        <f>IF(OC_Txn=0,"",IF(INDEX('OneCause_Paste'!$A$1330:$AZ$1330,1,OC_Txn)="","",INDEX('OneCause_Paste'!$A$1330:$AZ$1330,1,OC_Txn)))</f>
        <v/>
      </c>
      <c r="M1330">
        <f>IF(OC_Pay=0,"",IF(INDEX('OneCause_Paste'!$A$1330:$AZ$1330,1,OC_Pay)="","",INDEX('OneCause_Paste'!$A$1330:$AZ$1330,1,OC_Pay)))</f>
        <v/>
      </c>
      <c r="N1330">
        <f>IF(I1330="","",IF(ISNUMBER(I1330),INT(I1330),IFERROR(INT(DATEVALUE(I1330)),IFERROR(INT(VALUE(I1330)),"bad"))))</f>
        <v/>
      </c>
      <c r="O1330">
        <f>IF(J1330="","",IF(ISNUMBER(J1330),ROUND(J1330,2),IFERROR(ROUND(VALUE(SUBSTITUTE(SUBSTITUTE(SUBSTITUTE(J1330,"$",""),",","")," ","")),2),"bad")))</f>
        <v/>
      </c>
      <c r="P1330">
        <f>IF(TRIM(K1330)="","",IFERROR(MATCH(LOWER(TRIM(K1330)),'Students'!$AH$2:$AH$701,0),IFERROR(MATCH(LOWER(TRIM(K1330)),'Students'!$AF$2:$AF$701,0),IFERROR(MATCH(LOWER(TRIM(K1330)),'Students'!$AG$2:$AG$701,0),""))))</f>
        <v/>
      </c>
      <c r="R1330">
        <f>IF(P1330="","",INDEX('Students'!$AD$2:$AD$701,P1330))</f>
        <v/>
      </c>
      <c r="S1330">
        <f>IF(H1330="OK",O1330,0)</f>
        <v/>
      </c>
      <c r="T1330">
        <f>IF(H1330="OK",N1330,"")</f>
        <v/>
      </c>
      <c r="U1330">
        <f>IF(OC_Donor=0,"",IF(INDEX('OneCause_Paste'!$A$1330:$AZ$1330,1,OC_Donor)="","",INDEX('OneCause_Paste'!$A$1330:$AZ$1330,1,OC_Donor)))</f>
        <v/>
      </c>
    </row>
    <row r="1331">
      <c r="A1331" s="62">
        <f>IF(H1331="","",IF(ISNUMBER(N1331),N1331,I1331))</f>
        <v/>
      </c>
      <c r="B1331">
        <f>IF(H1331="","",U1331)</f>
        <v/>
      </c>
      <c r="C1331">
        <f>IF(H1331="","",IF(P1331="",K1331,INDEX('Students'!$A$2:$A$701,P1331)))</f>
        <v/>
      </c>
      <c r="D1331">
        <f>IF(OR(H1331="",P1331=""),"",INDEX('Students'!$B$2:$B$701,P1331))</f>
        <v/>
      </c>
      <c r="E1331">
        <f>IF(OR(H1331="",P1331=""),"",INDEX('Students'!$C$2:$C$701,P1331))</f>
        <v/>
      </c>
      <c r="F1331" s="48">
        <f>IF(H1331="","",IF(ISNUMBER(O1331),O1331,J1331))</f>
        <v/>
      </c>
      <c r="G1331">
        <f>IF(H1331="","","OneCause")</f>
        <v/>
      </c>
      <c r="H1331">
        <f>IF(AND(I1331="",J1331="",K1331=""),"",IF(NOT(ISNUMBER(O1331)),"Bad amount",IF(O1331&lt;0,"Refund (not counted)",IF(O1331=0,"Zero amount",IF(NOT(ISNUMBER(N1331)),"Bad date",IF(P1331="","NAME NOT ON ROSTER",IF(L1331="","OK",IF(MATCH(L1331,$L$2:$L$3001,0)&lt;ROW()-1,"Duplicate (ignored)","OK"))))))))</f>
        <v/>
      </c>
      <c r="I1331">
        <f>IF(OC_Date=0,"",IF(INDEX('OneCause_Paste'!$A$1331:$AZ$1331,1,OC_Date)="","",INDEX('OneCause_Paste'!$A$1331:$AZ$1331,1,OC_Date)))</f>
        <v/>
      </c>
      <c r="J1331">
        <f>IF(OC_Amt=0,"",IF(INDEX('OneCause_Paste'!$A$1331:$AZ$1331,1,OC_Amt)="","",INDEX('OneCause_Paste'!$A$1331:$AZ$1331,1,OC_Amt)))</f>
        <v/>
      </c>
      <c r="K1331">
        <f>IF(OC_Name=0,"",IF(INDEX('OneCause_Paste'!$A$1331:$AZ$1331,1,OC_Name)="","",INDEX('OneCause_Paste'!$A$1331:$AZ$1331,1,OC_Name)))</f>
        <v/>
      </c>
      <c r="L1331">
        <f>IF(OC_Txn=0,"",IF(INDEX('OneCause_Paste'!$A$1331:$AZ$1331,1,OC_Txn)="","",INDEX('OneCause_Paste'!$A$1331:$AZ$1331,1,OC_Txn)))</f>
        <v/>
      </c>
      <c r="M1331">
        <f>IF(OC_Pay=0,"",IF(INDEX('OneCause_Paste'!$A$1331:$AZ$1331,1,OC_Pay)="","",INDEX('OneCause_Paste'!$A$1331:$AZ$1331,1,OC_Pay)))</f>
        <v/>
      </c>
      <c r="N1331">
        <f>IF(I1331="","",IF(ISNUMBER(I1331),INT(I1331),IFERROR(INT(DATEVALUE(I1331)),IFERROR(INT(VALUE(I1331)),"bad"))))</f>
        <v/>
      </c>
      <c r="O1331">
        <f>IF(J1331="","",IF(ISNUMBER(J1331),ROUND(J1331,2),IFERROR(ROUND(VALUE(SUBSTITUTE(SUBSTITUTE(SUBSTITUTE(J1331,"$",""),",","")," ","")),2),"bad")))</f>
        <v/>
      </c>
      <c r="P1331">
        <f>IF(TRIM(K1331)="","",IFERROR(MATCH(LOWER(TRIM(K1331)),'Students'!$AH$2:$AH$701,0),IFERROR(MATCH(LOWER(TRIM(K1331)),'Students'!$AF$2:$AF$701,0),IFERROR(MATCH(LOWER(TRIM(K1331)),'Students'!$AG$2:$AG$701,0),""))))</f>
        <v/>
      </c>
      <c r="R1331">
        <f>IF(P1331="","",INDEX('Students'!$AD$2:$AD$701,P1331))</f>
        <v/>
      </c>
      <c r="S1331">
        <f>IF(H1331="OK",O1331,0)</f>
        <v/>
      </c>
      <c r="T1331">
        <f>IF(H1331="OK",N1331,"")</f>
        <v/>
      </c>
      <c r="U1331">
        <f>IF(OC_Donor=0,"",IF(INDEX('OneCause_Paste'!$A$1331:$AZ$1331,1,OC_Donor)="","",INDEX('OneCause_Paste'!$A$1331:$AZ$1331,1,OC_Donor)))</f>
        <v/>
      </c>
    </row>
    <row r="1332">
      <c r="A1332" s="62">
        <f>IF(H1332="","",IF(ISNUMBER(N1332),N1332,I1332))</f>
        <v/>
      </c>
      <c r="B1332">
        <f>IF(H1332="","",U1332)</f>
        <v/>
      </c>
      <c r="C1332">
        <f>IF(H1332="","",IF(P1332="",K1332,INDEX('Students'!$A$2:$A$701,P1332)))</f>
        <v/>
      </c>
      <c r="D1332">
        <f>IF(OR(H1332="",P1332=""),"",INDEX('Students'!$B$2:$B$701,P1332))</f>
        <v/>
      </c>
      <c r="E1332">
        <f>IF(OR(H1332="",P1332=""),"",INDEX('Students'!$C$2:$C$701,P1332))</f>
        <v/>
      </c>
      <c r="F1332" s="48">
        <f>IF(H1332="","",IF(ISNUMBER(O1332),O1332,J1332))</f>
        <v/>
      </c>
      <c r="G1332">
        <f>IF(H1332="","","OneCause")</f>
        <v/>
      </c>
      <c r="H1332">
        <f>IF(AND(I1332="",J1332="",K1332=""),"",IF(NOT(ISNUMBER(O1332)),"Bad amount",IF(O1332&lt;0,"Refund (not counted)",IF(O1332=0,"Zero amount",IF(NOT(ISNUMBER(N1332)),"Bad date",IF(P1332="","NAME NOT ON ROSTER",IF(L1332="","OK",IF(MATCH(L1332,$L$2:$L$3001,0)&lt;ROW()-1,"Duplicate (ignored)","OK"))))))))</f>
        <v/>
      </c>
      <c r="I1332">
        <f>IF(OC_Date=0,"",IF(INDEX('OneCause_Paste'!$A$1332:$AZ$1332,1,OC_Date)="","",INDEX('OneCause_Paste'!$A$1332:$AZ$1332,1,OC_Date)))</f>
        <v/>
      </c>
      <c r="J1332">
        <f>IF(OC_Amt=0,"",IF(INDEX('OneCause_Paste'!$A$1332:$AZ$1332,1,OC_Amt)="","",INDEX('OneCause_Paste'!$A$1332:$AZ$1332,1,OC_Amt)))</f>
        <v/>
      </c>
      <c r="K1332">
        <f>IF(OC_Name=0,"",IF(INDEX('OneCause_Paste'!$A$1332:$AZ$1332,1,OC_Name)="","",INDEX('OneCause_Paste'!$A$1332:$AZ$1332,1,OC_Name)))</f>
        <v/>
      </c>
      <c r="L1332">
        <f>IF(OC_Txn=0,"",IF(INDEX('OneCause_Paste'!$A$1332:$AZ$1332,1,OC_Txn)="","",INDEX('OneCause_Paste'!$A$1332:$AZ$1332,1,OC_Txn)))</f>
        <v/>
      </c>
      <c r="M1332">
        <f>IF(OC_Pay=0,"",IF(INDEX('OneCause_Paste'!$A$1332:$AZ$1332,1,OC_Pay)="","",INDEX('OneCause_Paste'!$A$1332:$AZ$1332,1,OC_Pay)))</f>
        <v/>
      </c>
      <c r="N1332">
        <f>IF(I1332="","",IF(ISNUMBER(I1332),INT(I1332),IFERROR(INT(DATEVALUE(I1332)),IFERROR(INT(VALUE(I1332)),"bad"))))</f>
        <v/>
      </c>
      <c r="O1332">
        <f>IF(J1332="","",IF(ISNUMBER(J1332),ROUND(J1332,2),IFERROR(ROUND(VALUE(SUBSTITUTE(SUBSTITUTE(SUBSTITUTE(J1332,"$",""),",","")," ","")),2),"bad")))</f>
        <v/>
      </c>
      <c r="P1332">
        <f>IF(TRIM(K1332)="","",IFERROR(MATCH(LOWER(TRIM(K1332)),'Students'!$AH$2:$AH$701,0),IFERROR(MATCH(LOWER(TRIM(K1332)),'Students'!$AF$2:$AF$701,0),IFERROR(MATCH(LOWER(TRIM(K1332)),'Students'!$AG$2:$AG$701,0),""))))</f>
        <v/>
      </c>
      <c r="R1332">
        <f>IF(P1332="","",INDEX('Students'!$AD$2:$AD$701,P1332))</f>
        <v/>
      </c>
      <c r="S1332">
        <f>IF(H1332="OK",O1332,0)</f>
        <v/>
      </c>
      <c r="T1332">
        <f>IF(H1332="OK",N1332,"")</f>
        <v/>
      </c>
      <c r="U1332">
        <f>IF(OC_Donor=0,"",IF(INDEX('OneCause_Paste'!$A$1332:$AZ$1332,1,OC_Donor)="","",INDEX('OneCause_Paste'!$A$1332:$AZ$1332,1,OC_Donor)))</f>
        <v/>
      </c>
    </row>
    <row r="1333">
      <c r="A1333" s="62">
        <f>IF(H1333="","",IF(ISNUMBER(N1333),N1333,I1333))</f>
        <v/>
      </c>
      <c r="B1333">
        <f>IF(H1333="","",U1333)</f>
        <v/>
      </c>
      <c r="C1333">
        <f>IF(H1333="","",IF(P1333="",K1333,INDEX('Students'!$A$2:$A$701,P1333)))</f>
        <v/>
      </c>
      <c r="D1333">
        <f>IF(OR(H1333="",P1333=""),"",INDEX('Students'!$B$2:$B$701,P1333))</f>
        <v/>
      </c>
      <c r="E1333">
        <f>IF(OR(H1333="",P1333=""),"",INDEX('Students'!$C$2:$C$701,P1333))</f>
        <v/>
      </c>
      <c r="F1333" s="48">
        <f>IF(H1333="","",IF(ISNUMBER(O1333),O1333,J1333))</f>
        <v/>
      </c>
      <c r="G1333">
        <f>IF(H1333="","","OneCause")</f>
        <v/>
      </c>
      <c r="H1333">
        <f>IF(AND(I1333="",J1333="",K1333=""),"",IF(NOT(ISNUMBER(O1333)),"Bad amount",IF(O1333&lt;0,"Refund (not counted)",IF(O1333=0,"Zero amount",IF(NOT(ISNUMBER(N1333)),"Bad date",IF(P1333="","NAME NOT ON ROSTER",IF(L1333="","OK",IF(MATCH(L1333,$L$2:$L$3001,0)&lt;ROW()-1,"Duplicate (ignored)","OK"))))))))</f>
        <v/>
      </c>
      <c r="I1333">
        <f>IF(OC_Date=0,"",IF(INDEX('OneCause_Paste'!$A$1333:$AZ$1333,1,OC_Date)="","",INDEX('OneCause_Paste'!$A$1333:$AZ$1333,1,OC_Date)))</f>
        <v/>
      </c>
      <c r="J1333">
        <f>IF(OC_Amt=0,"",IF(INDEX('OneCause_Paste'!$A$1333:$AZ$1333,1,OC_Amt)="","",INDEX('OneCause_Paste'!$A$1333:$AZ$1333,1,OC_Amt)))</f>
        <v/>
      </c>
      <c r="K1333">
        <f>IF(OC_Name=0,"",IF(INDEX('OneCause_Paste'!$A$1333:$AZ$1333,1,OC_Name)="","",INDEX('OneCause_Paste'!$A$1333:$AZ$1333,1,OC_Name)))</f>
        <v/>
      </c>
      <c r="L1333">
        <f>IF(OC_Txn=0,"",IF(INDEX('OneCause_Paste'!$A$1333:$AZ$1333,1,OC_Txn)="","",INDEX('OneCause_Paste'!$A$1333:$AZ$1333,1,OC_Txn)))</f>
        <v/>
      </c>
      <c r="M1333">
        <f>IF(OC_Pay=0,"",IF(INDEX('OneCause_Paste'!$A$1333:$AZ$1333,1,OC_Pay)="","",INDEX('OneCause_Paste'!$A$1333:$AZ$1333,1,OC_Pay)))</f>
        <v/>
      </c>
      <c r="N1333">
        <f>IF(I1333="","",IF(ISNUMBER(I1333),INT(I1333),IFERROR(INT(DATEVALUE(I1333)),IFERROR(INT(VALUE(I1333)),"bad"))))</f>
        <v/>
      </c>
      <c r="O1333">
        <f>IF(J1333="","",IF(ISNUMBER(J1333),ROUND(J1333,2),IFERROR(ROUND(VALUE(SUBSTITUTE(SUBSTITUTE(SUBSTITUTE(J1333,"$",""),",","")," ","")),2),"bad")))</f>
        <v/>
      </c>
      <c r="P1333">
        <f>IF(TRIM(K1333)="","",IFERROR(MATCH(LOWER(TRIM(K1333)),'Students'!$AH$2:$AH$701,0),IFERROR(MATCH(LOWER(TRIM(K1333)),'Students'!$AF$2:$AF$701,0),IFERROR(MATCH(LOWER(TRIM(K1333)),'Students'!$AG$2:$AG$701,0),""))))</f>
        <v/>
      </c>
      <c r="R1333">
        <f>IF(P1333="","",INDEX('Students'!$AD$2:$AD$701,P1333))</f>
        <v/>
      </c>
      <c r="S1333">
        <f>IF(H1333="OK",O1333,0)</f>
        <v/>
      </c>
      <c r="T1333">
        <f>IF(H1333="OK",N1333,"")</f>
        <v/>
      </c>
      <c r="U1333">
        <f>IF(OC_Donor=0,"",IF(INDEX('OneCause_Paste'!$A$1333:$AZ$1333,1,OC_Donor)="","",INDEX('OneCause_Paste'!$A$1333:$AZ$1333,1,OC_Donor)))</f>
        <v/>
      </c>
    </row>
    <row r="1334">
      <c r="A1334" s="62">
        <f>IF(H1334="","",IF(ISNUMBER(N1334),N1334,I1334))</f>
        <v/>
      </c>
      <c r="B1334">
        <f>IF(H1334="","",U1334)</f>
        <v/>
      </c>
      <c r="C1334">
        <f>IF(H1334="","",IF(P1334="",K1334,INDEX('Students'!$A$2:$A$701,P1334)))</f>
        <v/>
      </c>
      <c r="D1334">
        <f>IF(OR(H1334="",P1334=""),"",INDEX('Students'!$B$2:$B$701,P1334))</f>
        <v/>
      </c>
      <c r="E1334">
        <f>IF(OR(H1334="",P1334=""),"",INDEX('Students'!$C$2:$C$701,P1334))</f>
        <v/>
      </c>
      <c r="F1334" s="48">
        <f>IF(H1334="","",IF(ISNUMBER(O1334),O1334,J1334))</f>
        <v/>
      </c>
      <c r="G1334">
        <f>IF(H1334="","","OneCause")</f>
        <v/>
      </c>
      <c r="H1334">
        <f>IF(AND(I1334="",J1334="",K1334=""),"",IF(NOT(ISNUMBER(O1334)),"Bad amount",IF(O1334&lt;0,"Refund (not counted)",IF(O1334=0,"Zero amount",IF(NOT(ISNUMBER(N1334)),"Bad date",IF(P1334="","NAME NOT ON ROSTER",IF(L1334="","OK",IF(MATCH(L1334,$L$2:$L$3001,0)&lt;ROW()-1,"Duplicate (ignored)","OK"))))))))</f>
        <v/>
      </c>
      <c r="I1334">
        <f>IF(OC_Date=0,"",IF(INDEX('OneCause_Paste'!$A$1334:$AZ$1334,1,OC_Date)="","",INDEX('OneCause_Paste'!$A$1334:$AZ$1334,1,OC_Date)))</f>
        <v/>
      </c>
      <c r="J1334">
        <f>IF(OC_Amt=0,"",IF(INDEX('OneCause_Paste'!$A$1334:$AZ$1334,1,OC_Amt)="","",INDEX('OneCause_Paste'!$A$1334:$AZ$1334,1,OC_Amt)))</f>
        <v/>
      </c>
      <c r="K1334">
        <f>IF(OC_Name=0,"",IF(INDEX('OneCause_Paste'!$A$1334:$AZ$1334,1,OC_Name)="","",INDEX('OneCause_Paste'!$A$1334:$AZ$1334,1,OC_Name)))</f>
        <v/>
      </c>
      <c r="L1334">
        <f>IF(OC_Txn=0,"",IF(INDEX('OneCause_Paste'!$A$1334:$AZ$1334,1,OC_Txn)="","",INDEX('OneCause_Paste'!$A$1334:$AZ$1334,1,OC_Txn)))</f>
        <v/>
      </c>
      <c r="M1334">
        <f>IF(OC_Pay=0,"",IF(INDEX('OneCause_Paste'!$A$1334:$AZ$1334,1,OC_Pay)="","",INDEX('OneCause_Paste'!$A$1334:$AZ$1334,1,OC_Pay)))</f>
        <v/>
      </c>
      <c r="N1334">
        <f>IF(I1334="","",IF(ISNUMBER(I1334),INT(I1334),IFERROR(INT(DATEVALUE(I1334)),IFERROR(INT(VALUE(I1334)),"bad"))))</f>
        <v/>
      </c>
      <c r="O1334">
        <f>IF(J1334="","",IF(ISNUMBER(J1334),ROUND(J1334,2),IFERROR(ROUND(VALUE(SUBSTITUTE(SUBSTITUTE(SUBSTITUTE(J1334,"$",""),",","")," ","")),2),"bad")))</f>
        <v/>
      </c>
      <c r="P1334">
        <f>IF(TRIM(K1334)="","",IFERROR(MATCH(LOWER(TRIM(K1334)),'Students'!$AH$2:$AH$701,0),IFERROR(MATCH(LOWER(TRIM(K1334)),'Students'!$AF$2:$AF$701,0),IFERROR(MATCH(LOWER(TRIM(K1334)),'Students'!$AG$2:$AG$701,0),""))))</f>
        <v/>
      </c>
      <c r="R1334">
        <f>IF(P1334="","",INDEX('Students'!$AD$2:$AD$701,P1334))</f>
        <v/>
      </c>
      <c r="S1334">
        <f>IF(H1334="OK",O1334,0)</f>
        <v/>
      </c>
      <c r="T1334">
        <f>IF(H1334="OK",N1334,"")</f>
        <v/>
      </c>
      <c r="U1334">
        <f>IF(OC_Donor=0,"",IF(INDEX('OneCause_Paste'!$A$1334:$AZ$1334,1,OC_Donor)="","",INDEX('OneCause_Paste'!$A$1334:$AZ$1334,1,OC_Donor)))</f>
        <v/>
      </c>
    </row>
    <row r="1335">
      <c r="A1335" s="62">
        <f>IF(H1335="","",IF(ISNUMBER(N1335),N1335,I1335))</f>
        <v/>
      </c>
      <c r="B1335">
        <f>IF(H1335="","",U1335)</f>
        <v/>
      </c>
      <c r="C1335">
        <f>IF(H1335="","",IF(P1335="",K1335,INDEX('Students'!$A$2:$A$701,P1335)))</f>
        <v/>
      </c>
      <c r="D1335">
        <f>IF(OR(H1335="",P1335=""),"",INDEX('Students'!$B$2:$B$701,P1335))</f>
        <v/>
      </c>
      <c r="E1335">
        <f>IF(OR(H1335="",P1335=""),"",INDEX('Students'!$C$2:$C$701,P1335))</f>
        <v/>
      </c>
      <c r="F1335" s="48">
        <f>IF(H1335="","",IF(ISNUMBER(O1335),O1335,J1335))</f>
        <v/>
      </c>
      <c r="G1335">
        <f>IF(H1335="","","OneCause")</f>
        <v/>
      </c>
      <c r="H1335">
        <f>IF(AND(I1335="",J1335="",K1335=""),"",IF(NOT(ISNUMBER(O1335)),"Bad amount",IF(O1335&lt;0,"Refund (not counted)",IF(O1335=0,"Zero amount",IF(NOT(ISNUMBER(N1335)),"Bad date",IF(P1335="","NAME NOT ON ROSTER",IF(L1335="","OK",IF(MATCH(L1335,$L$2:$L$3001,0)&lt;ROW()-1,"Duplicate (ignored)","OK"))))))))</f>
        <v/>
      </c>
      <c r="I1335">
        <f>IF(OC_Date=0,"",IF(INDEX('OneCause_Paste'!$A$1335:$AZ$1335,1,OC_Date)="","",INDEX('OneCause_Paste'!$A$1335:$AZ$1335,1,OC_Date)))</f>
        <v/>
      </c>
      <c r="J1335">
        <f>IF(OC_Amt=0,"",IF(INDEX('OneCause_Paste'!$A$1335:$AZ$1335,1,OC_Amt)="","",INDEX('OneCause_Paste'!$A$1335:$AZ$1335,1,OC_Amt)))</f>
        <v/>
      </c>
      <c r="K1335">
        <f>IF(OC_Name=0,"",IF(INDEX('OneCause_Paste'!$A$1335:$AZ$1335,1,OC_Name)="","",INDEX('OneCause_Paste'!$A$1335:$AZ$1335,1,OC_Name)))</f>
        <v/>
      </c>
      <c r="L1335">
        <f>IF(OC_Txn=0,"",IF(INDEX('OneCause_Paste'!$A$1335:$AZ$1335,1,OC_Txn)="","",INDEX('OneCause_Paste'!$A$1335:$AZ$1335,1,OC_Txn)))</f>
        <v/>
      </c>
      <c r="M1335">
        <f>IF(OC_Pay=0,"",IF(INDEX('OneCause_Paste'!$A$1335:$AZ$1335,1,OC_Pay)="","",INDEX('OneCause_Paste'!$A$1335:$AZ$1335,1,OC_Pay)))</f>
        <v/>
      </c>
      <c r="N1335">
        <f>IF(I1335="","",IF(ISNUMBER(I1335),INT(I1335),IFERROR(INT(DATEVALUE(I1335)),IFERROR(INT(VALUE(I1335)),"bad"))))</f>
        <v/>
      </c>
      <c r="O1335">
        <f>IF(J1335="","",IF(ISNUMBER(J1335),ROUND(J1335,2),IFERROR(ROUND(VALUE(SUBSTITUTE(SUBSTITUTE(SUBSTITUTE(J1335,"$",""),",","")," ","")),2),"bad")))</f>
        <v/>
      </c>
      <c r="P1335">
        <f>IF(TRIM(K1335)="","",IFERROR(MATCH(LOWER(TRIM(K1335)),'Students'!$AH$2:$AH$701,0),IFERROR(MATCH(LOWER(TRIM(K1335)),'Students'!$AF$2:$AF$701,0),IFERROR(MATCH(LOWER(TRIM(K1335)),'Students'!$AG$2:$AG$701,0),""))))</f>
        <v/>
      </c>
      <c r="R1335">
        <f>IF(P1335="","",INDEX('Students'!$AD$2:$AD$701,P1335))</f>
        <v/>
      </c>
      <c r="S1335">
        <f>IF(H1335="OK",O1335,0)</f>
        <v/>
      </c>
      <c r="T1335">
        <f>IF(H1335="OK",N1335,"")</f>
        <v/>
      </c>
      <c r="U1335">
        <f>IF(OC_Donor=0,"",IF(INDEX('OneCause_Paste'!$A$1335:$AZ$1335,1,OC_Donor)="","",INDEX('OneCause_Paste'!$A$1335:$AZ$1335,1,OC_Donor)))</f>
        <v/>
      </c>
    </row>
    <row r="1336">
      <c r="A1336" s="62">
        <f>IF(H1336="","",IF(ISNUMBER(N1336),N1336,I1336))</f>
        <v/>
      </c>
      <c r="B1336">
        <f>IF(H1336="","",U1336)</f>
        <v/>
      </c>
      <c r="C1336">
        <f>IF(H1336="","",IF(P1336="",K1336,INDEX('Students'!$A$2:$A$701,P1336)))</f>
        <v/>
      </c>
      <c r="D1336">
        <f>IF(OR(H1336="",P1336=""),"",INDEX('Students'!$B$2:$B$701,P1336))</f>
        <v/>
      </c>
      <c r="E1336">
        <f>IF(OR(H1336="",P1336=""),"",INDEX('Students'!$C$2:$C$701,P1336))</f>
        <v/>
      </c>
      <c r="F1336" s="48">
        <f>IF(H1336="","",IF(ISNUMBER(O1336),O1336,J1336))</f>
        <v/>
      </c>
      <c r="G1336">
        <f>IF(H1336="","","OneCause")</f>
        <v/>
      </c>
      <c r="H1336">
        <f>IF(AND(I1336="",J1336="",K1336=""),"",IF(NOT(ISNUMBER(O1336)),"Bad amount",IF(O1336&lt;0,"Refund (not counted)",IF(O1336=0,"Zero amount",IF(NOT(ISNUMBER(N1336)),"Bad date",IF(P1336="","NAME NOT ON ROSTER",IF(L1336="","OK",IF(MATCH(L1336,$L$2:$L$3001,0)&lt;ROW()-1,"Duplicate (ignored)","OK"))))))))</f>
        <v/>
      </c>
      <c r="I1336">
        <f>IF(OC_Date=0,"",IF(INDEX('OneCause_Paste'!$A$1336:$AZ$1336,1,OC_Date)="","",INDEX('OneCause_Paste'!$A$1336:$AZ$1336,1,OC_Date)))</f>
        <v/>
      </c>
      <c r="J1336">
        <f>IF(OC_Amt=0,"",IF(INDEX('OneCause_Paste'!$A$1336:$AZ$1336,1,OC_Amt)="","",INDEX('OneCause_Paste'!$A$1336:$AZ$1336,1,OC_Amt)))</f>
        <v/>
      </c>
      <c r="K1336">
        <f>IF(OC_Name=0,"",IF(INDEX('OneCause_Paste'!$A$1336:$AZ$1336,1,OC_Name)="","",INDEX('OneCause_Paste'!$A$1336:$AZ$1336,1,OC_Name)))</f>
        <v/>
      </c>
      <c r="L1336">
        <f>IF(OC_Txn=0,"",IF(INDEX('OneCause_Paste'!$A$1336:$AZ$1336,1,OC_Txn)="","",INDEX('OneCause_Paste'!$A$1336:$AZ$1336,1,OC_Txn)))</f>
        <v/>
      </c>
      <c r="M1336">
        <f>IF(OC_Pay=0,"",IF(INDEX('OneCause_Paste'!$A$1336:$AZ$1336,1,OC_Pay)="","",INDEX('OneCause_Paste'!$A$1336:$AZ$1336,1,OC_Pay)))</f>
        <v/>
      </c>
      <c r="N1336">
        <f>IF(I1336="","",IF(ISNUMBER(I1336),INT(I1336),IFERROR(INT(DATEVALUE(I1336)),IFERROR(INT(VALUE(I1336)),"bad"))))</f>
        <v/>
      </c>
      <c r="O1336">
        <f>IF(J1336="","",IF(ISNUMBER(J1336),ROUND(J1336,2),IFERROR(ROUND(VALUE(SUBSTITUTE(SUBSTITUTE(SUBSTITUTE(J1336,"$",""),",","")," ","")),2),"bad")))</f>
        <v/>
      </c>
      <c r="P1336">
        <f>IF(TRIM(K1336)="","",IFERROR(MATCH(LOWER(TRIM(K1336)),'Students'!$AH$2:$AH$701,0),IFERROR(MATCH(LOWER(TRIM(K1336)),'Students'!$AF$2:$AF$701,0),IFERROR(MATCH(LOWER(TRIM(K1336)),'Students'!$AG$2:$AG$701,0),""))))</f>
        <v/>
      </c>
      <c r="R1336">
        <f>IF(P1336="","",INDEX('Students'!$AD$2:$AD$701,P1336))</f>
        <v/>
      </c>
      <c r="S1336">
        <f>IF(H1336="OK",O1336,0)</f>
        <v/>
      </c>
      <c r="T1336">
        <f>IF(H1336="OK",N1336,"")</f>
        <v/>
      </c>
      <c r="U1336">
        <f>IF(OC_Donor=0,"",IF(INDEX('OneCause_Paste'!$A$1336:$AZ$1336,1,OC_Donor)="","",INDEX('OneCause_Paste'!$A$1336:$AZ$1336,1,OC_Donor)))</f>
        <v/>
      </c>
    </row>
    <row r="1337">
      <c r="A1337" s="62">
        <f>IF(H1337="","",IF(ISNUMBER(N1337),N1337,I1337))</f>
        <v/>
      </c>
      <c r="B1337">
        <f>IF(H1337="","",U1337)</f>
        <v/>
      </c>
      <c r="C1337">
        <f>IF(H1337="","",IF(P1337="",K1337,INDEX('Students'!$A$2:$A$701,P1337)))</f>
        <v/>
      </c>
      <c r="D1337">
        <f>IF(OR(H1337="",P1337=""),"",INDEX('Students'!$B$2:$B$701,P1337))</f>
        <v/>
      </c>
      <c r="E1337">
        <f>IF(OR(H1337="",P1337=""),"",INDEX('Students'!$C$2:$C$701,P1337))</f>
        <v/>
      </c>
      <c r="F1337" s="48">
        <f>IF(H1337="","",IF(ISNUMBER(O1337),O1337,J1337))</f>
        <v/>
      </c>
      <c r="G1337">
        <f>IF(H1337="","","OneCause")</f>
        <v/>
      </c>
      <c r="H1337">
        <f>IF(AND(I1337="",J1337="",K1337=""),"",IF(NOT(ISNUMBER(O1337)),"Bad amount",IF(O1337&lt;0,"Refund (not counted)",IF(O1337=0,"Zero amount",IF(NOT(ISNUMBER(N1337)),"Bad date",IF(P1337="","NAME NOT ON ROSTER",IF(L1337="","OK",IF(MATCH(L1337,$L$2:$L$3001,0)&lt;ROW()-1,"Duplicate (ignored)","OK"))))))))</f>
        <v/>
      </c>
      <c r="I1337">
        <f>IF(OC_Date=0,"",IF(INDEX('OneCause_Paste'!$A$1337:$AZ$1337,1,OC_Date)="","",INDEX('OneCause_Paste'!$A$1337:$AZ$1337,1,OC_Date)))</f>
        <v/>
      </c>
      <c r="J1337">
        <f>IF(OC_Amt=0,"",IF(INDEX('OneCause_Paste'!$A$1337:$AZ$1337,1,OC_Amt)="","",INDEX('OneCause_Paste'!$A$1337:$AZ$1337,1,OC_Amt)))</f>
        <v/>
      </c>
      <c r="K1337">
        <f>IF(OC_Name=0,"",IF(INDEX('OneCause_Paste'!$A$1337:$AZ$1337,1,OC_Name)="","",INDEX('OneCause_Paste'!$A$1337:$AZ$1337,1,OC_Name)))</f>
        <v/>
      </c>
      <c r="L1337">
        <f>IF(OC_Txn=0,"",IF(INDEX('OneCause_Paste'!$A$1337:$AZ$1337,1,OC_Txn)="","",INDEX('OneCause_Paste'!$A$1337:$AZ$1337,1,OC_Txn)))</f>
        <v/>
      </c>
      <c r="M1337">
        <f>IF(OC_Pay=0,"",IF(INDEX('OneCause_Paste'!$A$1337:$AZ$1337,1,OC_Pay)="","",INDEX('OneCause_Paste'!$A$1337:$AZ$1337,1,OC_Pay)))</f>
        <v/>
      </c>
      <c r="N1337">
        <f>IF(I1337="","",IF(ISNUMBER(I1337),INT(I1337),IFERROR(INT(DATEVALUE(I1337)),IFERROR(INT(VALUE(I1337)),"bad"))))</f>
        <v/>
      </c>
      <c r="O1337">
        <f>IF(J1337="","",IF(ISNUMBER(J1337),ROUND(J1337,2),IFERROR(ROUND(VALUE(SUBSTITUTE(SUBSTITUTE(SUBSTITUTE(J1337,"$",""),",","")," ","")),2),"bad")))</f>
        <v/>
      </c>
      <c r="P1337">
        <f>IF(TRIM(K1337)="","",IFERROR(MATCH(LOWER(TRIM(K1337)),'Students'!$AH$2:$AH$701,0),IFERROR(MATCH(LOWER(TRIM(K1337)),'Students'!$AF$2:$AF$701,0),IFERROR(MATCH(LOWER(TRIM(K1337)),'Students'!$AG$2:$AG$701,0),""))))</f>
        <v/>
      </c>
      <c r="R1337">
        <f>IF(P1337="","",INDEX('Students'!$AD$2:$AD$701,P1337))</f>
        <v/>
      </c>
      <c r="S1337">
        <f>IF(H1337="OK",O1337,0)</f>
        <v/>
      </c>
      <c r="T1337">
        <f>IF(H1337="OK",N1337,"")</f>
        <v/>
      </c>
      <c r="U1337">
        <f>IF(OC_Donor=0,"",IF(INDEX('OneCause_Paste'!$A$1337:$AZ$1337,1,OC_Donor)="","",INDEX('OneCause_Paste'!$A$1337:$AZ$1337,1,OC_Donor)))</f>
        <v/>
      </c>
    </row>
    <row r="1338">
      <c r="A1338" s="62">
        <f>IF(H1338="","",IF(ISNUMBER(N1338),N1338,I1338))</f>
        <v/>
      </c>
      <c r="B1338">
        <f>IF(H1338="","",U1338)</f>
        <v/>
      </c>
      <c r="C1338">
        <f>IF(H1338="","",IF(P1338="",K1338,INDEX('Students'!$A$2:$A$701,P1338)))</f>
        <v/>
      </c>
      <c r="D1338">
        <f>IF(OR(H1338="",P1338=""),"",INDEX('Students'!$B$2:$B$701,P1338))</f>
        <v/>
      </c>
      <c r="E1338">
        <f>IF(OR(H1338="",P1338=""),"",INDEX('Students'!$C$2:$C$701,P1338))</f>
        <v/>
      </c>
      <c r="F1338" s="48">
        <f>IF(H1338="","",IF(ISNUMBER(O1338),O1338,J1338))</f>
        <v/>
      </c>
      <c r="G1338">
        <f>IF(H1338="","","OneCause")</f>
        <v/>
      </c>
      <c r="H1338">
        <f>IF(AND(I1338="",J1338="",K1338=""),"",IF(NOT(ISNUMBER(O1338)),"Bad amount",IF(O1338&lt;0,"Refund (not counted)",IF(O1338=0,"Zero amount",IF(NOT(ISNUMBER(N1338)),"Bad date",IF(P1338="","NAME NOT ON ROSTER",IF(L1338="","OK",IF(MATCH(L1338,$L$2:$L$3001,0)&lt;ROW()-1,"Duplicate (ignored)","OK"))))))))</f>
        <v/>
      </c>
      <c r="I1338">
        <f>IF(OC_Date=0,"",IF(INDEX('OneCause_Paste'!$A$1338:$AZ$1338,1,OC_Date)="","",INDEX('OneCause_Paste'!$A$1338:$AZ$1338,1,OC_Date)))</f>
        <v/>
      </c>
      <c r="J1338">
        <f>IF(OC_Amt=0,"",IF(INDEX('OneCause_Paste'!$A$1338:$AZ$1338,1,OC_Amt)="","",INDEX('OneCause_Paste'!$A$1338:$AZ$1338,1,OC_Amt)))</f>
        <v/>
      </c>
      <c r="K1338">
        <f>IF(OC_Name=0,"",IF(INDEX('OneCause_Paste'!$A$1338:$AZ$1338,1,OC_Name)="","",INDEX('OneCause_Paste'!$A$1338:$AZ$1338,1,OC_Name)))</f>
        <v/>
      </c>
      <c r="L1338">
        <f>IF(OC_Txn=0,"",IF(INDEX('OneCause_Paste'!$A$1338:$AZ$1338,1,OC_Txn)="","",INDEX('OneCause_Paste'!$A$1338:$AZ$1338,1,OC_Txn)))</f>
        <v/>
      </c>
      <c r="M1338">
        <f>IF(OC_Pay=0,"",IF(INDEX('OneCause_Paste'!$A$1338:$AZ$1338,1,OC_Pay)="","",INDEX('OneCause_Paste'!$A$1338:$AZ$1338,1,OC_Pay)))</f>
        <v/>
      </c>
      <c r="N1338">
        <f>IF(I1338="","",IF(ISNUMBER(I1338),INT(I1338),IFERROR(INT(DATEVALUE(I1338)),IFERROR(INT(VALUE(I1338)),"bad"))))</f>
        <v/>
      </c>
      <c r="O1338">
        <f>IF(J1338="","",IF(ISNUMBER(J1338),ROUND(J1338,2),IFERROR(ROUND(VALUE(SUBSTITUTE(SUBSTITUTE(SUBSTITUTE(J1338,"$",""),",","")," ","")),2),"bad")))</f>
        <v/>
      </c>
      <c r="P1338">
        <f>IF(TRIM(K1338)="","",IFERROR(MATCH(LOWER(TRIM(K1338)),'Students'!$AH$2:$AH$701,0),IFERROR(MATCH(LOWER(TRIM(K1338)),'Students'!$AF$2:$AF$701,0),IFERROR(MATCH(LOWER(TRIM(K1338)),'Students'!$AG$2:$AG$701,0),""))))</f>
        <v/>
      </c>
      <c r="R1338">
        <f>IF(P1338="","",INDEX('Students'!$AD$2:$AD$701,P1338))</f>
        <v/>
      </c>
      <c r="S1338">
        <f>IF(H1338="OK",O1338,0)</f>
        <v/>
      </c>
      <c r="T1338">
        <f>IF(H1338="OK",N1338,"")</f>
        <v/>
      </c>
      <c r="U1338">
        <f>IF(OC_Donor=0,"",IF(INDEX('OneCause_Paste'!$A$1338:$AZ$1338,1,OC_Donor)="","",INDEX('OneCause_Paste'!$A$1338:$AZ$1338,1,OC_Donor)))</f>
        <v/>
      </c>
    </row>
    <row r="1339">
      <c r="A1339" s="62">
        <f>IF(H1339="","",IF(ISNUMBER(N1339),N1339,I1339))</f>
        <v/>
      </c>
      <c r="B1339">
        <f>IF(H1339="","",U1339)</f>
        <v/>
      </c>
      <c r="C1339">
        <f>IF(H1339="","",IF(P1339="",K1339,INDEX('Students'!$A$2:$A$701,P1339)))</f>
        <v/>
      </c>
      <c r="D1339">
        <f>IF(OR(H1339="",P1339=""),"",INDEX('Students'!$B$2:$B$701,P1339))</f>
        <v/>
      </c>
      <c r="E1339">
        <f>IF(OR(H1339="",P1339=""),"",INDEX('Students'!$C$2:$C$701,P1339))</f>
        <v/>
      </c>
      <c r="F1339" s="48">
        <f>IF(H1339="","",IF(ISNUMBER(O1339),O1339,J1339))</f>
        <v/>
      </c>
      <c r="G1339">
        <f>IF(H1339="","","OneCause")</f>
        <v/>
      </c>
      <c r="H1339">
        <f>IF(AND(I1339="",J1339="",K1339=""),"",IF(NOT(ISNUMBER(O1339)),"Bad amount",IF(O1339&lt;0,"Refund (not counted)",IF(O1339=0,"Zero amount",IF(NOT(ISNUMBER(N1339)),"Bad date",IF(P1339="","NAME NOT ON ROSTER",IF(L1339="","OK",IF(MATCH(L1339,$L$2:$L$3001,0)&lt;ROW()-1,"Duplicate (ignored)","OK"))))))))</f>
        <v/>
      </c>
      <c r="I1339">
        <f>IF(OC_Date=0,"",IF(INDEX('OneCause_Paste'!$A$1339:$AZ$1339,1,OC_Date)="","",INDEX('OneCause_Paste'!$A$1339:$AZ$1339,1,OC_Date)))</f>
        <v/>
      </c>
      <c r="J1339">
        <f>IF(OC_Amt=0,"",IF(INDEX('OneCause_Paste'!$A$1339:$AZ$1339,1,OC_Amt)="","",INDEX('OneCause_Paste'!$A$1339:$AZ$1339,1,OC_Amt)))</f>
        <v/>
      </c>
      <c r="K1339">
        <f>IF(OC_Name=0,"",IF(INDEX('OneCause_Paste'!$A$1339:$AZ$1339,1,OC_Name)="","",INDEX('OneCause_Paste'!$A$1339:$AZ$1339,1,OC_Name)))</f>
        <v/>
      </c>
      <c r="L1339">
        <f>IF(OC_Txn=0,"",IF(INDEX('OneCause_Paste'!$A$1339:$AZ$1339,1,OC_Txn)="","",INDEX('OneCause_Paste'!$A$1339:$AZ$1339,1,OC_Txn)))</f>
        <v/>
      </c>
      <c r="M1339">
        <f>IF(OC_Pay=0,"",IF(INDEX('OneCause_Paste'!$A$1339:$AZ$1339,1,OC_Pay)="","",INDEX('OneCause_Paste'!$A$1339:$AZ$1339,1,OC_Pay)))</f>
        <v/>
      </c>
      <c r="N1339">
        <f>IF(I1339="","",IF(ISNUMBER(I1339),INT(I1339),IFERROR(INT(DATEVALUE(I1339)),IFERROR(INT(VALUE(I1339)),"bad"))))</f>
        <v/>
      </c>
      <c r="O1339">
        <f>IF(J1339="","",IF(ISNUMBER(J1339),ROUND(J1339,2),IFERROR(ROUND(VALUE(SUBSTITUTE(SUBSTITUTE(SUBSTITUTE(J1339,"$",""),",","")," ","")),2),"bad")))</f>
        <v/>
      </c>
      <c r="P1339">
        <f>IF(TRIM(K1339)="","",IFERROR(MATCH(LOWER(TRIM(K1339)),'Students'!$AH$2:$AH$701,0),IFERROR(MATCH(LOWER(TRIM(K1339)),'Students'!$AF$2:$AF$701,0),IFERROR(MATCH(LOWER(TRIM(K1339)),'Students'!$AG$2:$AG$701,0),""))))</f>
        <v/>
      </c>
      <c r="R1339">
        <f>IF(P1339="","",INDEX('Students'!$AD$2:$AD$701,P1339))</f>
        <v/>
      </c>
      <c r="S1339">
        <f>IF(H1339="OK",O1339,0)</f>
        <v/>
      </c>
      <c r="T1339">
        <f>IF(H1339="OK",N1339,"")</f>
        <v/>
      </c>
      <c r="U1339">
        <f>IF(OC_Donor=0,"",IF(INDEX('OneCause_Paste'!$A$1339:$AZ$1339,1,OC_Donor)="","",INDEX('OneCause_Paste'!$A$1339:$AZ$1339,1,OC_Donor)))</f>
        <v/>
      </c>
    </row>
    <row r="1340">
      <c r="A1340" s="62">
        <f>IF(H1340="","",IF(ISNUMBER(N1340),N1340,I1340))</f>
        <v/>
      </c>
      <c r="B1340">
        <f>IF(H1340="","",U1340)</f>
        <v/>
      </c>
      <c r="C1340">
        <f>IF(H1340="","",IF(P1340="",K1340,INDEX('Students'!$A$2:$A$701,P1340)))</f>
        <v/>
      </c>
      <c r="D1340">
        <f>IF(OR(H1340="",P1340=""),"",INDEX('Students'!$B$2:$B$701,P1340))</f>
        <v/>
      </c>
      <c r="E1340">
        <f>IF(OR(H1340="",P1340=""),"",INDEX('Students'!$C$2:$C$701,P1340))</f>
        <v/>
      </c>
      <c r="F1340" s="48">
        <f>IF(H1340="","",IF(ISNUMBER(O1340),O1340,J1340))</f>
        <v/>
      </c>
      <c r="G1340">
        <f>IF(H1340="","","OneCause")</f>
        <v/>
      </c>
      <c r="H1340">
        <f>IF(AND(I1340="",J1340="",K1340=""),"",IF(NOT(ISNUMBER(O1340)),"Bad amount",IF(O1340&lt;0,"Refund (not counted)",IF(O1340=0,"Zero amount",IF(NOT(ISNUMBER(N1340)),"Bad date",IF(P1340="","NAME NOT ON ROSTER",IF(L1340="","OK",IF(MATCH(L1340,$L$2:$L$3001,0)&lt;ROW()-1,"Duplicate (ignored)","OK"))))))))</f>
        <v/>
      </c>
      <c r="I1340">
        <f>IF(OC_Date=0,"",IF(INDEX('OneCause_Paste'!$A$1340:$AZ$1340,1,OC_Date)="","",INDEX('OneCause_Paste'!$A$1340:$AZ$1340,1,OC_Date)))</f>
        <v/>
      </c>
      <c r="J1340">
        <f>IF(OC_Amt=0,"",IF(INDEX('OneCause_Paste'!$A$1340:$AZ$1340,1,OC_Amt)="","",INDEX('OneCause_Paste'!$A$1340:$AZ$1340,1,OC_Amt)))</f>
        <v/>
      </c>
      <c r="K1340">
        <f>IF(OC_Name=0,"",IF(INDEX('OneCause_Paste'!$A$1340:$AZ$1340,1,OC_Name)="","",INDEX('OneCause_Paste'!$A$1340:$AZ$1340,1,OC_Name)))</f>
        <v/>
      </c>
      <c r="L1340">
        <f>IF(OC_Txn=0,"",IF(INDEX('OneCause_Paste'!$A$1340:$AZ$1340,1,OC_Txn)="","",INDEX('OneCause_Paste'!$A$1340:$AZ$1340,1,OC_Txn)))</f>
        <v/>
      </c>
      <c r="M1340">
        <f>IF(OC_Pay=0,"",IF(INDEX('OneCause_Paste'!$A$1340:$AZ$1340,1,OC_Pay)="","",INDEX('OneCause_Paste'!$A$1340:$AZ$1340,1,OC_Pay)))</f>
        <v/>
      </c>
      <c r="N1340">
        <f>IF(I1340="","",IF(ISNUMBER(I1340),INT(I1340),IFERROR(INT(DATEVALUE(I1340)),IFERROR(INT(VALUE(I1340)),"bad"))))</f>
        <v/>
      </c>
      <c r="O1340">
        <f>IF(J1340="","",IF(ISNUMBER(J1340),ROUND(J1340,2),IFERROR(ROUND(VALUE(SUBSTITUTE(SUBSTITUTE(SUBSTITUTE(J1340,"$",""),",","")," ","")),2),"bad")))</f>
        <v/>
      </c>
      <c r="P1340">
        <f>IF(TRIM(K1340)="","",IFERROR(MATCH(LOWER(TRIM(K1340)),'Students'!$AH$2:$AH$701,0),IFERROR(MATCH(LOWER(TRIM(K1340)),'Students'!$AF$2:$AF$701,0),IFERROR(MATCH(LOWER(TRIM(K1340)),'Students'!$AG$2:$AG$701,0),""))))</f>
        <v/>
      </c>
      <c r="R1340">
        <f>IF(P1340="","",INDEX('Students'!$AD$2:$AD$701,P1340))</f>
        <v/>
      </c>
      <c r="S1340">
        <f>IF(H1340="OK",O1340,0)</f>
        <v/>
      </c>
      <c r="T1340">
        <f>IF(H1340="OK",N1340,"")</f>
        <v/>
      </c>
      <c r="U1340">
        <f>IF(OC_Donor=0,"",IF(INDEX('OneCause_Paste'!$A$1340:$AZ$1340,1,OC_Donor)="","",INDEX('OneCause_Paste'!$A$1340:$AZ$1340,1,OC_Donor)))</f>
        <v/>
      </c>
    </row>
    <row r="1341">
      <c r="A1341" s="62">
        <f>IF(H1341="","",IF(ISNUMBER(N1341),N1341,I1341))</f>
        <v/>
      </c>
      <c r="B1341">
        <f>IF(H1341="","",U1341)</f>
        <v/>
      </c>
      <c r="C1341">
        <f>IF(H1341="","",IF(P1341="",K1341,INDEX('Students'!$A$2:$A$701,P1341)))</f>
        <v/>
      </c>
      <c r="D1341">
        <f>IF(OR(H1341="",P1341=""),"",INDEX('Students'!$B$2:$B$701,P1341))</f>
        <v/>
      </c>
      <c r="E1341">
        <f>IF(OR(H1341="",P1341=""),"",INDEX('Students'!$C$2:$C$701,P1341))</f>
        <v/>
      </c>
      <c r="F1341" s="48">
        <f>IF(H1341="","",IF(ISNUMBER(O1341),O1341,J1341))</f>
        <v/>
      </c>
      <c r="G1341">
        <f>IF(H1341="","","OneCause")</f>
        <v/>
      </c>
      <c r="H1341">
        <f>IF(AND(I1341="",J1341="",K1341=""),"",IF(NOT(ISNUMBER(O1341)),"Bad amount",IF(O1341&lt;0,"Refund (not counted)",IF(O1341=0,"Zero amount",IF(NOT(ISNUMBER(N1341)),"Bad date",IF(P1341="","NAME NOT ON ROSTER",IF(L1341="","OK",IF(MATCH(L1341,$L$2:$L$3001,0)&lt;ROW()-1,"Duplicate (ignored)","OK"))))))))</f>
        <v/>
      </c>
      <c r="I1341">
        <f>IF(OC_Date=0,"",IF(INDEX('OneCause_Paste'!$A$1341:$AZ$1341,1,OC_Date)="","",INDEX('OneCause_Paste'!$A$1341:$AZ$1341,1,OC_Date)))</f>
        <v/>
      </c>
      <c r="J1341">
        <f>IF(OC_Amt=0,"",IF(INDEX('OneCause_Paste'!$A$1341:$AZ$1341,1,OC_Amt)="","",INDEX('OneCause_Paste'!$A$1341:$AZ$1341,1,OC_Amt)))</f>
        <v/>
      </c>
      <c r="K1341">
        <f>IF(OC_Name=0,"",IF(INDEX('OneCause_Paste'!$A$1341:$AZ$1341,1,OC_Name)="","",INDEX('OneCause_Paste'!$A$1341:$AZ$1341,1,OC_Name)))</f>
        <v/>
      </c>
      <c r="L1341">
        <f>IF(OC_Txn=0,"",IF(INDEX('OneCause_Paste'!$A$1341:$AZ$1341,1,OC_Txn)="","",INDEX('OneCause_Paste'!$A$1341:$AZ$1341,1,OC_Txn)))</f>
        <v/>
      </c>
      <c r="M1341">
        <f>IF(OC_Pay=0,"",IF(INDEX('OneCause_Paste'!$A$1341:$AZ$1341,1,OC_Pay)="","",INDEX('OneCause_Paste'!$A$1341:$AZ$1341,1,OC_Pay)))</f>
        <v/>
      </c>
      <c r="N1341">
        <f>IF(I1341="","",IF(ISNUMBER(I1341),INT(I1341),IFERROR(INT(DATEVALUE(I1341)),IFERROR(INT(VALUE(I1341)),"bad"))))</f>
        <v/>
      </c>
      <c r="O1341">
        <f>IF(J1341="","",IF(ISNUMBER(J1341),ROUND(J1341,2),IFERROR(ROUND(VALUE(SUBSTITUTE(SUBSTITUTE(SUBSTITUTE(J1341,"$",""),",","")," ","")),2),"bad")))</f>
        <v/>
      </c>
      <c r="P1341">
        <f>IF(TRIM(K1341)="","",IFERROR(MATCH(LOWER(TRIM(K1341)),'Students'!$AH$2:$AH$701,0),IFERROR(MATCH(LOWER(TRIM(K1341)),'Students'!$AF$2:$AF$701,0),IFERROR(MATCH(LOWER(TRIM(K1341)),'Students'!$AG$2:$AG$701,0),""))))</f>
        <v/>
      </c>
      <c r="R1341">
        <f>IF(P1341="","",INDEX('Students'!$AD$2:$AD$701,P1341))</f>
        <v/>
      </c>
      <c r="S1341">
        <f>IF(H1341="OK",O1341,0)</f>
        <v/>
      </c>
      <c r="T1341">
        <f>IF(H1341="OK",N1341,"")</f>
        <v/>
      </c>
      <c r="U1341">
        <f>IF(OC_Donor=0,"",IF(INDEX('OneCause_Paste'!$A$1341:$AZ$1341,1,OC_Donor)="","",INDEX('OneCause_Paste'!$A$1341:$AZ$1341,1,OC_Donor)))</f>
        <v/>
      </c>
    </row>
    <row r="1342">
      <c r="A1342" s="62">
        <f>IF(H1342="","",IF(ISNUMBER(N1342),N1342,I1342))</f>
        <v/>
      </c>
      <c r="B1342">
        <f>IF(H1342="","",U1342)</f>
        <v/>
      </c>
      <c r="C1342">
        <f>IF(H1342="","",IF(P1342="",K1342,INDEX('Students'!$A$2:$A$701,P1342)))</f>
        <v/>
      </c>
      <c r="D1342">
        <f>IF(OR(H1342="",P1342=""),"",INDEX('Students'!$B$2:$B$701,P1342))</f>
        <v/>
      </c>
      <c r="E1342">
        <f>IF(OR(H1342="",P1342=""),"",INDEX('Students'!$C$2:$C$701,P1342))</f>
        <v/>
      </c>
      <c r="F1342" s="48">
        <f>IF(H1342="","",IF(ISNUMBER(O1342),O1342,J1342))</f>
        <v/>
      </c>
      <c r="G1342">
        <f>IF(H1342="","","OneCause")</f>
        <v/>
      </c>
      <c r="H1342">
        <f>IF(AND(I1342="",J1342="",K1342=""),"",IF(NOT(ISNUMBER(O1342)),"Bad amount",IF(O1342&lt;0,"Refund (not counted)",IF(O1342=0,"Zero amount",IF(NOT(ISNUMBER(N1342)),"Bad date",IF(P1342="","NAME NOT ON ROSTER",IF(L1342="","OK",IF(MATCH(L1342,$L$2:$L$3001,0)&lt;ROW()-1,"Duplicate (ignored)","OK"))))))))</f>
        <v/>
      </c>
      <c r="I1342">
        <f>IF(OC_Date=0,"",IF(INDEX('OneCause_Paste'!$A$1342:$AZ$1342,1,OC_Date)="","",INDEX('OneCause_Paste'!$A$1342:$AZ$1342,1,OC_Date)))</f>
        <v/>
      </c>
      <c r="J1342">
        <f>IF(OC_Amt=0,"",IF(INDEX('OneCause_Paste'!$A$1342:$AZ$1342,1,OC_Amt)="","",INDEX('OneCause_Paste'!$A$1342:$AZ$1342,1,OC_Amt)))</f>
        <v/>
      </c>
      <c r="K1342">
        <f>IF(OC_Name=0,"",IF(INDEX('OneCause_Paste'!$A$1342:$AZ$1342,1,OC_Name)="","",INDEX('OneCause_Paste'!$A$1342:$AZ$1342,1,OC_Name)))</f>
        <v/>
      </c>
      <c r="L1342">
        <f>IF(OC_Txn=0,"",IF(INDEX('OneCause_Paste'!$A$1342:$AZ$1342,1,OC_Txn)="","",INDEX('OneCause_Paste'!$A$1342:$AZ$1342,1,OC_Txn)))</f>
        <v/>
      </c>
      <c r="M1342">
        <f>IF(OC_Pay=0,"",IF(INDEX('OneCause_Paste'!$A$1342:$AZ$1342,1,OC_Pay)="","",INDEX('OneCause_Paste'!$A$1342:$AZ$1342,1,OC_Pay)))</f>
        <v/>
      </c>
      <c r="N1342">
        <f>IF(I1342="","",IF(ISNUMBER(I1342),INT(I1342),IFERROR(INT(DATEVALUE(I1342)),IFERROR(INT(VALUE(I1342)),"bad"))))</f>
        <v/>
      </c>
      <c r="O1342">
        <f>IF(J1342="","",IF(ISNUMBER(J1342),ROUND(J1342,2),IFERROR(ROUND(VALUE(SUBSTITUTE(SUBSTITUTE(SUBSTITUTE(J1342,"$",""),",","")," ","")),2),"bad")))</f>
        <v/>
      </c>
      <c r="P1342">
        <f>IF(TRIM(K1342)="","",IFERROR(MATCH(LOWER(TRIM(K1342)),'Students'!$AH$2:$AH$701,0),IFERROR(MATCH(LOWER(TRIM(K1342)),'Students'!$AF$2:$AF$701,0),IFERROR(MATCH(LOWER(TRIM(K1342)),'Students'!$AG$2:$AG$701,0),""))))</f>
        <v/>
      </c>
      <c r="R1342">
        <f>IF(P1342="","",INDEX('Students'!$AD$2:$AD$701,P1342))</f>
        <v/>
      </c>
      <c r="S1342">
        <f>IF(H1342="OK",O1342,0)</f>
        <v/>
      </c>
      <c r="T1342">
        <f>IF(H1342="OK",N1342,"")</f>
        <v/>
      </c>
      <c r="U1342">
        <f>IF(OC_Donor=0,"",IF(INDEX('OneCause_Paste'!$A$1342:$AZ$1342,1,OC_Donor)="","",INDEX('OneCause_Paste'!$A$1342:$AZ$1342,1,OC_Donor)))</f>
        <v/>
      </c>
    </row>
    <row r="1343">
      <c r="A1343" s="62">
        <f>IF(H1343="","",IF(ISNUMBER(N1343),N1343,I1343))</f>
        <v/>
      </c>
      <c r="B1343">
        <f>IF(H1343="","",U1343)</f>
        <v/>
      </c>
      <c r="C1343">
        <f>IF(H1343="","",IF(P1343="",K1343,INDEX('Students'!$A$2:$A$701,P1343)))</f>
        <v/>
      </c>
      <c r="D1343">
        <f>IF(OR(H1343="",P1343=""),"",INDEX('Students'!$B$2:$B$701,P1343))</f>
        <v/>
      </c>
      <c r="E1343">
        <f>IF(OR(H1343="",P1343=""),"",INDEX('Students'!$C$2:$C$701,P1343))</f>
        <v/>
      </c>
      <c r="F1343" s="48">
        <f>IF(H1343="","",IF(ISNUMBER(O1343),O1343,J1343))</f>
        <v/>
      </c>
      <c r="G1343">
        <f>IF(H1343="","","OneCause")</f>
        <v/>
      </c>
      <c r="H1343">
        <f>IF(AND(I1343="",J1343="",K1343=""),"",IF(NOT(ISNUMBER(O1343)),"Bad amount",IF(O1343&lt;0,"Refund (not counted)",IF(O1343=0,"Zero amount",IF(NOT(ISNUMBER(N1343)),"Bad date",IF(P1343="","NAME NOT ON ROSTER",IF(L1343="","OK",IF(MATCH(L1343,$L$2:$L$3001,0)&lt;ROW()-1,"Duplicate (ignored)","OK"))))))))</f>
        <v/>
      </c>
      <c r="I1343">
        <f>IF(OC_Date=0,"",IF(INDEX('OneCause_Paste'!$A$1343:$AZ$1343,1,OC_Date)="","",INDEX('OneCause_Paste'!$A$1343:$AZ$1343,1,OC_Date)))</f>
        <v/>
      </c>
      <c r="J1343">
        <f>IF(OC_Amt=0,"",IF(INDEX('OneCause_Paste'!$A$1343:$AZ$1343,1,OC_Amt)="","",INDEX('OneCause_Paste'!$A$1343:$AZ$1343,1,OC_Amt)))</f>
        <v/>
      </c>
      <c r="K1343">
        <f>IF(OC_Name=0,"",IF(INDEX('OneCause_Paste'!$A$1343:$AZ$1343,1,OC_Name)="","",INDEX('OneCause_Paste'!$A$1343:$AZ$1343,1,OC_Name)))</f>
        <v/>
      </c>
      <c r="L1343">
        <f>IF(OC_Txn=0,"",IF(INDEX('OneCause_Paste'!$A$1343:$AZ$1343,1,OC_Txn)="","",INDEX('OneCause_Paste'!$A$1343:$AZ$1343,1,OC_Txn)))</f>
        <v/>
      </c>
      <c r="M1343">
        <f>IF(OC_Pay=0,"",IF(INDEX('OneCause_Paste'!$A$1343:$AZ$1343,1,OC_Pay)="","",INDEX('OneCause_Paste'!$A$1343:$AZ$1343,1,OC_Pay)))</f>
        <v/>
      </c>
      <c r="N1343">
        <f>IF(I1343="","",IF(ISNUMBER(I1343),INT(I1343),IFERROR(INT(DATEVALUE(I1343)),IFERROR(INT(VALUE(I1343)),"bad"))))</f>
        <v/>
      </c>
      <c r="O1343">
        <f>IF(J1343="","",IF(ISNUMBER(J1343),ROUND(J1343,2),IFERROR(ROUND(VALUE(SUBSTITUTE(SUBSTITUTE(SUBSTITUTE(J1343,"$",""),",","")," ","")),2),"bad")))</f>
        <v/>
      </c>
      <c r="P1343">
        <f>IF(TRIM(K1343)="","",IFERROR(MATCH(LOWER(TRIM(K1343)),'Students'!$AH$2:$AH$701,0),IFERROR(MATCH(LOWER(TRIM(K1343)),'Students'!$AF$2:$AF$701,0),IFERROR(MATCH(LOWER(TRIM(K1343)),'Students'!$AG$2:$AG$701,0),""))))</f>
        <v/>
      </c>
      <c r="R1343">
        <f>IF(P1343="","",INDEX('Students'!$AD$2:$AD$701,P1343))</f>
        <v/>
      </c>
      <c r="S1343">
        <f>IF(H1343="OK",O1343,0)</f>
        <v/>
      </c>
      <c r="T1343">
        <f>IF(H1343="OK",N1343,"")</f>
        <v/>
      </c>
      <c r="U1343">
        <f>IF(OC_Donor=0,"",IF(INDEX('OneCause_Paste'!$A$1343:$AZ$1343,1,OC_Donor)="","",INDEX('OneCause_Paste'!$A$1343:$AZ$1343,1,OC_Donor)))</f>
        <v/>
      </c>
    </row>
    <row r="1344">
      <c r="A1344" s="62">
        <f>IF(H1344="","",IF(ISNUMBER(N1344),N1344,I1344))</f>
        <v/>
      </c>
      <c r="B1344">
        <f>IF(H1344="","",U1344)</f>
        <v/>
      </c>
      <c r="C1344">
        <f>IF(H1344="","",IF(P1344="",K1344,INDEX('Students'!$A$2:$A$701,P1344)))</f>
        <v/>
      </c>
      <c r="D1344">
        <f>IF(OR(H1344="",P1344=""),"",INDEX('Students'!$B$2:$B$701,P1344))</f>
        <v/>
      </c>
      <c r="E1344">
        <f>IF(OR(H1344="",P1344=""),"",INDEX('Students'!$C$2:$C$701,P1344))</f>
        <v/>
      </c>
      <c r="F1344" s="48">
        <f>IF(H1344="","",IF(ISNUMBER(O1344),O1344,J1344))</f>
        <v/>
      </c>
      <c r="G1344">
        <f>IF(H1344="","","OneCause")</f>
        <v/>
      </c>
      <c r="H1344">
        <f>IF(AND(I1344="",J1344="",K1344=""),"",IF(NOT(ISNUMBER(O1344)),"Bad amount",IF(O1344&lt;0,"Refund (not counted)",IF(O1344=0,"Zero amount",IF(NOT(ISNUMBER(N1344)),"Bad date",IF(P1344="","NAME NOT ON ROSTER",IF(L1344="","OK",IF(MATCH(L1344,$L$2:$L$3001,0)&lt;ROW()-1,"Duplicate (ignored)","OK"))))))))</f>
        <v/>
      </c>
      <c r="I1344">
        <f>IF(OC_Date=0,"",IF(INDEX('OneCause_Paste'!$A$1344:$AZ$1344,1,OC_Date)="","",INDEX('OneCause_Paste'!$A$1344:$AZ$1344,1,OC_Date)))</f>
        <v/>
      </c>
      <c r="J1344">
        <f>IF(OC_Amt=0,"",IF(INDEX('OneCause_Paste'!$A$1344:$AZ$1344,1,OC_Amt)="","",INDEX('OneCause_Paste'!$A$1344:$AZ$1344,1,OC_Amt)))</f>
        <v/>
      </c>
      <c r="K1344">
        <f>IF(OC_Name=0,"",IF(INDEX('OneCause_Paste'!$A$1344:$AZ$1344,1,OC_Name)="","",INDEX('OneCause_Paste'!$A$1344:$AZ$1344,1,OC_Name)))</f>
        <v/>
      </c>
      <c r="L1344">
        <f>IF(OC_Txn=0,"",IF(INDEX('OneCause_Paste'!$A$1344:$AZ$1344,1,OC_Txn)="","",INDEX('OneCause_Paste'!$A$1344:$AZ$1344,1,OC_Txn)))</f>
        <v/>
      </c>
      <c r="M1344">
        <f>IF(OC_Pay=0,"",IF(INDEX('OneCause_Paste'!$A$1344:$AZ$1344,1,OC_Pay)="","",INDEX('OneCause_Paste'!$A$1344:$AZ$1344,1,OC_Pay)))</f>
        <v/>
      </c>
      <c r="N1344">
        <f>IF(I1344="","",IF(ISNUMBER(I1344),INT(I1344),IFERROR(INT(DATEVALUE(I1344)),IFERROR(INT(VALUE(I1344)),"bad"))))</f>
        <v/>
      </c>
      <c r="O1344">
        <f>IF(J1344="","",IF(ISNUMBER(J1344),ROUND(J1344,2),IFERROR(ROUND(VALUE(SUBSTITUTE(SUBSTITUTE(SUBSTITUTE(J1344,"$",""),",","")," ","")),2),"bad")))</f>
        <v/>
      </c>
      <c r="P1344">
        <f>IF(TRIM(K1344)="","",IFERROR(MATCH(LOWER(TRIM(K1344)),'Students'!$AH$2:$AH$701,0),IFERROR(MATCH(LOWER(TRIM(K1344)),'Students'!$AF$2:$AF$701,0),IFERROR(MATCH(LOWER(TRIM(K1344)),'Students'!$AG$2:$AG$701,0),""))))</f>
        <v/>
      </c>
      <c r="R1344">
        <f>IF(P1344="","",INDEX('Students'!$AD$2:$AD$701,P1344))</f>
        <v/>
      </c>
      <c r="S1344">
        <f>IF(H1344="OK",O1344,0)</f>
        <v/>
      </c>
      <c r="T1344">
        <f>IF(H1344="OK",N1344,"")</f>
        <v/>
      </c>
      <c r="U1344">
        <f>IF(OC_Donor=0,"",IF(INDEX('OneCause_Paste'!$A$1344:$AZ$1344,1,OC_Donor)="","",INDEX('OneCause_Paste'!$A$1344:$AZ$1344,1,OC_Donor)))</f>
        <v/>
      </c>
    </row>
    <row r="1345">
      <c r="A1345" s="62">
        <f>IF(H1345="","",IF(ISNUMBER(N1345),N1345,I1345))</f>
        <v/>
      </c>
      <c r="B1345">
        <f>IF(H1345="","",U1345)</f>
        <v/>
      </c>
      <c r="C1345">
        <f>IF(H1345="","",IF(P1345="",K1345,INDEX('Students'!$A$2:$A$701,P1345)))</f>
        <v/>
      </c>
      <c r="D1345">
        <f>IF(OR(H1345="",P1345=""),"",INDEX('Students'!$B$2:$B$701,P1345))</f>
        <v/>
      </c>
      <c r="E1345">
        <f>IF(OR(H1345="",P1345=""),"",INDEX('Students'!$C$2:$C$701,P1345))</f>
        <v/>
      </c>
      <c r="F1345" s="48">
        <f>IF(H1345="","",IF(ISNUMBER(O1345),O1345,J1345))</f>
        <v/>
      </c>
      <c r="G1345">
        <f>IF(H1345="","","OneCause")</f>
        <v/>
      </c>
      <c r="H1345">
        <f>IF(AND(I1345="",J1345="",K1345=""),"",IF(NOT(ISNUMBER(O1345)),"Bad amount",IF(O1345&lt;0,"Refund (not counted)",IF(O1345=0,"Zero amount",IF(NOT(ISNUMBER(N1345)),"Bad date",IF(P1345="","NAME NOT ON ROSTER",IF(L1345="","OK",IF(MATCH(L1345,$L$2:$L$3001,0)&lt;ROW()-1,"Duplicate (ignored)","OK"))))))))</f>
        <v/>
      </c>
      <c r="I1345">
        <f>IF(OC_Date=0,"",IF(INDEX('OneCause_Paste'!$A$1345:$AZ$1345,1,OC_Date)="","",INDEX('OneCause_Paste'!$A$1345:$AZ$1345,1,OC_Date)))</f>
        <v/>
      </c>
      <c r="J1345">
        <f>IF(OC_Amt=0,"",IF(INDEX('OneCause_Paste'!$A$1345:$AZ$1345,1,OC_Amt)="","",INDEX('OneCause_Paste'!$A$1345:$AZ$1345,1,OC_Amt)))</f>
        <v/>
      </c>
      <c r="K1345">
        <f>IF(OC_Name=0,"",IF(INDEX('OneCause_Paste'!$A$1345:$AZ$1345,1,OC_Name)="","",INDEX('OneCause_Paste'!$A$1345:$AZ$1345,1,OC_Name)))</f>
        <v/>
      </c>
      <c r="L1345">
        <f>IF(OC_Txn=0,"",IF(INDEX('OneCause_Paste'!$A$1345:$AZ$1345,1,OC_Txn)="","",INDEX('OneCause_Paste'!$A$1345:$AZ$1345,1,OC_Txn)))</f>
        <v/>
      </c>
      <c r="M1345">
        <f>IF(OC_Pay=0,"",IF(INDEX('OneCause_Paste'!$A$1345:$AZ$1345,1,OC_Pay)="","",INDEX('OneCause_Paste'!$A$1345:$AZ$1345,1,OC_Pay)))</f>
        <v/>
      </c>
      <c r="N1345">
        <f>IF(I1345="","",IF(ISNUMBER(I1345),INT(I1345),IFERROR(INT(DATEVALUE(I1345)),IFERROR(INT(VALUE(I1345)),"bad"))))</f>
        <v/>
      </c>
      <c r="O1345">
        <f>IF(J1345="","",IF(ISNUMBER(J1345),ROUND(J1345,2),IFERROR(ROUND(VALUE(SUBSTITUTE(SUBSTITUTE(SUBSTITUTE(J1345,"$",""),",","")," ","")),2),"bad")))</f>
        <v/>
      </c>
      <c r="P1345">
        <f>IF(TRIM(K1345)="","",IFERROR(MATCH(LOWER(TRIM(K1345)),'Students'!$AH$2:$AH$701,0),IFERROR(MATCH(LOWER(TRIM(K1345)),'Students'!$AF$2:$AF$701,0),IFERROR(MATCH(LOWER(TRIM(K1345)),'Students'!$AG$2:$AG$701,0),""))))</f>
        <v/>
      </c>
      <c r="R1345">
        <f>IF(P1345="","",INDEX('Students'!$AD$2:$AD$701,P1345))</f>
        <v/>
      </c>
      <c r="S1345">
        <f>IF(H1345="OK",O1345,0)</f>
        <v/>
      </c>
      <c r="T1345">
        <f>IF(H1345="OK",N1345,"")</f>
        <v/>
      </c>
      <c r="U1345">
        <f>IF(OC_Donor=0,"",IF(INDEX('OneCause_Paste'!$A$1345:$AZ$1345,1,OC_Donor)="","",INDEX('OneCause_Paste'!$A$1345:$AZ$1345,1,OC_Donor)))</f>
        <v/>
      </c>
    </row>
    <row r="1346">
      <c r="A1346" s="62">
        <f>IF(H1346="","",IF(ISNUMBER(N1346),N1346,I1346))</f>
        <v/>
      </c>
      <c r="B1346">
        <f>IF(H1346="","",U1346)</f>
        <v/>
      </c>
      <c r="C1346">
        <f>IF(H1346="","",IF(P1346="",K1346,INDEX('Students'!$A$2:$A$701,P1346)))</f>
        <v/>
      </c>
      <c r="D1346">
        <f>IF(OR(H1346="",P1346=""),"",INDEX('Students'!$B$2:$B$701,P1346))</f>
        <v/>
      </c>
      <c r="E1346">
        <f>IF(OR(H1346="",P1346=""),"",INDEX('Students'!$C$2:$C$701,P1346))</f>
        <v/>
      </c>
      <c r="F1346" s="48">
        <f>IF(H1346="","",IF(ISNUMBER(O1346),O1346,J1346))</f>
        <v/>
      </c>
      <c r="G1346">
        <f>IF(H1346="","","OneCause")</f>
        <v/>
      </c>
      <c r="H1346">
        <f>IF(AND(I1346="",J1346="",K1346=""),"",IF(NOT(ISNUMBER(O1346)),"Bad amount",IF(O1346&lt;0,"Refund (not counted)",IF(O1346=0,"Zero amount",IF(NOT(ISNUMBER(N1346)),"Bad date",IF(P1346="","NAME NOT ON ROSTER",IF(L1346="","OK",IF(MATCH(L1346,$L$2:$L$3001,0)&lt;ROW()-1,"Duplicate (ignored)","OK"))))))))</f>
        <v/>
      </c>
      <c r="I1346">
        <f>IF(OC_Date=0,"",IF(INDEX('OneCause_Paste'!$A$1346:$AZ$1346,1,OC_Date)="","",INDEX('OneCause_Paste'!$A$1346:$AZ$1346,1,OC_Date)))</f>
        <v/>
      </c>
      <c r="J1346">
        <f>IF(OC_Amt=0,"",IF(INDEX('OneCause_Paste'!$A$1346:$AZ$1346,1,OC_Amt)="","",INDEX('OneCause_Paste'!$A$1346:$AZ$1346,1,OC_Amt)))</f>
        <v/>
      </c>
      <c r="K1346">
        <f>IF(OC_Name=0,"",IF(INDEX('OneCause_Paste'!$A$1346:$AZ$1346,1,OC_Name)="","",INDEX('OneCause_Paste'!$A$1346:$AZ$1346,1,OC_Name)))</f>
        <v/>
      </c>
      <c r="L1346">
        <f>IF(OC_Txn=0,"",IF(INDEX('OneCause_Paste'!$A$1346:$AZ$1346,1,OC_Txn)="","",INDEX('OneCause_Paste'!$A$1346:$AZ$1346,1,OC_Txn)))</f>
        <v/>
      </c>
      <c r="M1346">
        <f>IF(OC_Pay=0,"",IF(INDEX('OneCause_Paste'!$A$1346:$AZ$1346,1,OC_Pay)="","",INDEX('OneCause_Paste'!$A$1346:$AZ$1346,1,OC_Pay)))</f>
        <v/>
      </c>
      <c r="N1346">
        <f>IF(I1346="","",IF(ISNUMBER(I1346),INT(I1346),IFERROR(INT(DATEVALUE(I1346)),IFERROR(INT(VALUE(I1346)),"bad"))))</f>
        <v/>
      </c>
      <c r="O1346">
        <f>IF(J1346="","",IF(ISNUMBER(J1346),ROUND(J1346,2),IFERROR(ROUND(VALUE(SUBSTITUTE(SUBSTITUTE(SUBSTITUTE(J1346,"$",""),",","")," ","")),2),"bad")))</f>
        <v/>
      </c>
      <c r="P1346">
        <f>IF(TRIM(K1346)="","",IFERROR(MATCH(LOWER(TRIM(K1346)),'Students'!$AH$2:$AH$701,0),IFERROR(MATCH(LOWER(TRIM(K1346)),'Students'!$AF$2:$AF$701,0),IFERROR(MATCH(LOWER(TRIM(K1346)),'Students'!$AG$2:$AG$701,0),""))))</f>
        <v/>
      </c>
      <c r="R1346">
        <f>IF(P1346="","",INDEX('Students'!$AD$2:$AD$701,P1346))</f>
        <v/>
      </c>
      <c r="S1346">
        <f>IF(H1346="OK",O1346,0)</f>
        <v/>
      </c>
      <c r="T1346">
        <f>IF(H1346="OK",N1346,"")</f>
        <v/>
      </c>
      <c r="U1346">
        <f>IF(OC_Donor=0,"",IF(INDEX('OneCause_Paste'!$A$1346:$AZ$1346,1,OC_Donor)="","",INDEX('OneCause_Paste'!$A$1346:$AZ$1346,1,OC_Donor)))</f>
        <v/>
      </c>
    </row>
    <row r="1347">
      <c r="A1347" s="62">
        <f>IF(H1347="","",IF(ISNUMBER(N1347),N1347,I1347))</f>
        <v/>
      </c>
      <c r="B1347">
        <f>IF(H1347="","",U1347)</f>
        <v/>
      </c>
      <c r="C1347">
        <f>IF(H1347="","",IF(P1347="",K1347,INDEX('Students'!$A$2:$A$701,P1347)))</f>
        <v/>
      </c>
      <c r="D1347">
        <f>IF(OR(H1347="",P1347=""),"",INDEX('Students'!$B$2:$B$701,P1347))</f>
        <v/>
      </c>
      <c r="E1347">
        <f>IF(OR(H1347="",P1347=""),"",INDEX('Students'!$C$2:$C$701,P1347))</f>
        <v/>
      </c>
      <c r="F1347" s="48">
        <f>IF(H1347="","",IF(ISNUMBER(O1347),O1347,J1347))</f>
        <v/>
      </c>
      <c r="G1347">
        <f>IF(H1347="","","OneCause")</f>
        <v/>
      </c>
      <c r="H1347">
        <f>IF(AND(I1347="",J1347="",K1347=""),"",IF(NOT(ISNUMBER(O1347)),"Bad amount",IF(O1347&lt;0,"Refund (not counted)",IF(O1347=0,"Zero amount",IF(NOT(ISNUMBER(N1347)),"Bad date",IF(P1347="","NAME NOT ON ROSTER",IF(L1347="","OK",IF(MATCH(L1347,$L$2:$L$3001,0)&lt;ROW()-1,"Duplicate (ignored)","OK"))))))))</f>
        <v/>
      </c>
      <c r="I1347">
        <f>IF(OC_Date=0,"",IF(INDEX('OneCause_Paste'!$A$1347:$AZ$1347,1,OC_Date)="","",INDEX('OneCause_Paste'!$A$1347:$AZ$1347,1,OC_Date)))</f>
        <v/>
      </c>
      <c r="J1347">
        <f>IF(OC_Amt=0,"",IF(INDEX('OneCause_Paste'!$A$1347:$AZ$1347,1,OC_Amt)="","",INDEX('OneCause_Paste'!$A$1347:$AZ$1347,1,OC_Amt)))</f>
        <v/>
      </c>
      <c r="K1347">
        <f>IF(OC_Name=0,"",IF(INDEX('OneCause_Paste'!$A$1347:$AZ$1347,1,OC_Name)="","",INDEX('OneCause_Paste'!$A$1347:$AZ$1347,1,OC_Name)))</f>
        <v/>
      </c>
      <c r="L1347">
        <f>IF(OC_Txn=0,"",IF(INDEX('OneCause_Paste'!$A$1347:$AZ$1347,1,OC_Txn)="","",INDEX('OneCause_Paste'!$A$1347:$AZ$1347,1,OC_Txn)))</f>
        <v/>
      </c>
      <c r="M1347">
        <f>IF(OC_Pay=0,"",IF(INDEX('OneCause_Paste'!$A$1347:$AZ$1347,1,OC_Pay)="","",INDEX('OneCause_Paste'!$A$1347:$AZ$1347,1,OC_Pay)))</f>
        <v/>
      </c>
      <c r="N1347">
        <f>IF(I1347="","",IF(ISNUMBER(I1347),INT(I1347),IFERROR(INT(DATEVALUE(I1347)),IFERROR(INT(VALUE(I1347)),"bad"))))</f>
        <v/>
      </c>
      <c r="O1347">
        <f>IF(J1347="","",IF(ISNUMBER(J1347),ROUND(J1347,2),IFERROR(ROUND(VALUE(SUBSTITUTE(SUBSTITUTE(SUBSTITUTE(J1347,"$",""),",","")," ","")),2),"bad")))</f>
        <v/>
      </c>
      <c r="P1347">
        <f>IF(TRIM(K1347)="","",IFERROR(MATCH(LOWER(TRIM(K1347)),'Students'!$AH$2:$AH$701,0),IFERROR(MATCH(LOWER(TRIM(K1347)),'Students'!$AF$2:$AF$701,0),IFERROR(MATCH(LOWER(TRIM(K1347)),'Students'!$AG$2:$AG$701,0),""))))</f>
        <v/>
      </c>
      <c r="R1347">
        <f>IF(P1347="","",INDEX('Students'!$AD$2:$AD$701,P1347))</f>
        <v/>
      </c>
      <c r="S1347">
        <f>IF(H1347="OK",O1347,0)</f>
        <v/>
      </c>
      <c r="T1347">
        <f>IF(H1347="OK",N1347,"")</f>
        <v/>
      </c>
      <c r="U1347">
        <f>IF(OC_Donor=0,"",IF(INDEX('OneCause_Paste'!$A$1347:$AZ$1347,1,OC_Donor)="","",INDEX('OneCause_Paste'!$A$1347:$AZ$1347,1,OC_Donor)))</f>
        <v/>
      </c>
    </row>
    <row r="1348">
      <c r="A1348" s="62">
        <f>IF(H1348="","",IF(ISNUMBER(N1348),N1348,I1348))</f>
        <v/>
      </c>
      <c r="B1348">
        <f>IF(H1348="","",U1348)</f>
        <v/>
      </c>
      <c r="C1348">
        <f>IF(H1348="","",IF(P1348="",K1348,INDEX('Students'!$A$2:$A$701,P1348)))</f>
        <v/>
      </c>
      <c r="D1348">
        <f>IF(OR(H1348="",P1348=""),"",INDEX('Students'!$B$2:$B$701,P1348))</f>
        <v/>
      </c>
      <c r="E1348">
        <f>IF(OR(H1348="",P1348=""),"",INDEX('Students'!$C$2:$C$701,P1348))</f>
        <v/>
      </c>
      <c r="F1348" s="48">
        <f>IF(H1348="","",IF(ISNUMBER(O1348),O1348,J1348))</f>
        <v/>
      </c>
      <c r="G1348">
        <f>IF(H1348="","","OneCause")</f>
        <v/>
      </c>
      <c r="H1348">
        <f>IF(AND(I1348="",J1348="",K1348=""),"",IF(NOT(ISNUMBER(O1348)),"Bad amount",IF(O1348&lt;0,"Refund (not counted)",IF(O1348=0,"Zero amount",IF(NOT(ISNUMBER(N1348)),"Bad date",IF(P1348="","NAME NOT ON ROSTER",IF(L1348="","OK",IF(MATCH(L1348,$L$2:$L$3001,0)&lt;ROW()-1,"Duplicate (ignored)","OK"))))))))</f>
        <v/>
      </c>
      <c r="I1348">
        <f>IF(OC_Date=0,"",IF(INDEX('OneCause_Paste'!$A$1348:$AZ$1348,1,OC_Date)="","",INDEX('OneCause_Paste'!$A$1348:$AZ$1348,1,OC_Date)))</f>
        <v/>
      </c>
      <c r="J1348">
        <f>IF(OC_Amt=0,"",IF(INDEX('OneCause_Paste'!$A$1348:$AZ$1348,1,OC_Amt)="","",INDEX('OneCause_Paste'!$A$1348:$AZ$1348,1,OC_Amt)))</f>
        <v/>
      </c>
      <c r="K1348">
        <f>IF(OC_Name=0,"",IF(INDEX('OneCause_Paste'!$A$1348:$AZ$1348,1,OC_Name)="","",INDEX('OneCause_Paste'!$A$1348:$AZ$1348,1,OC_Name)))</f>
        <v/>
      </c>
      <c r="L1348">
        <f>IF(OC_Txn=0,"",IF(INDEX('OneCause_Paste'!$A$1348:$AZ$1348,1,OC_Txn)="","",INDEX('OneCause_Paste'!$A$1348:$AZ$1348,1,OC_Txn)))</f>
        <v/>
      </c>
      <c r="M1348">
        <f>IF(OC_Pay=0,"",IF(INDEX('OneCause_Paste'!$A$1348:$AZ$1348,1,OC_Pay)="","",INDEX('OneCause_Paste'!$A$1348:$AZ$1348,1,OC_Pay)))</f>
        <v/>
      </c>
      <c r="N1348">
        <f>IF(I1348="","",IF(ISNUMBER(I1348),INT(I1348),IFERROR(INT(DATEVALUE(I1348)),IFERROR(INT(VALUE(I1348)),"bad"))))</f>
        <v/>
      </c>
      <c r="O1348">
        <f>IF(J1348="","",IF(ISNUMBER(J1348),ROUND(J1348,2),IFERROR(ROUND(VALUE(SUBSTITUTE(SUBSTITUTE(SUBSTITUTE(J1348,"$",""),",","")," ","")),2),"bad")))</f>
        <v/>
      </c>
      <c r="P1348">
        <f>IF(TRIM(K1348)="","",IFERROR(MATCH(LOWER(TRIM(K1348)),'Students'!$AH$2:$AH$701,0),IFERROR(MATCH(LOWER(TRIM(K1348)),'Students'!$AF$2:$AF$701,0),IFERROR(MATCH(LOWER(TRIM(K1348)),'Students'!$AG$2:$AG$701,0),""))))</f>
        <v/>
      </c>
      <c r="R1348">
        <f>IF(P1348="","",INDEX('Students'!$AD$2:$AD$701,P1348))</f>
        <v/>
      </c>
      <c r="S1348">
        <f>IF(H1348="OK",O1348,0)</f>
        <v/>
      </c>
      <c r="T1348">
        <f>IF(H1348="OK",N1348,"")</f>
        <v/>
      </c>
      <c r="U1348">
        <f>IF(OC_Donor=0,"",IF(INDEX('OneCause_Paste'!$A$1348:$AZ$1348,1,OC_Donor)="","",INDEX('OneCause_Paste'!$A$1348:$AZ$1348,1,OC_Donor)))</f>
        <v/>
      </c>
    </row>
    <row r="1349">
      <c r="A1349" s="62">
        <f>IF(H1349="","",IF(ISNUMBER(N1349),N1349,I1349))</f>
        <v/>
      </c>
      <c r="B1349">
        <f>IF(H1349="","",U1349)</f>
        <v/>
      </c>
      <c r="C1349">
        <f>IF(H1349="","",IF(P1349="",K1349,INDEX('Students'!$A$2:$A$701,P1349)))</f>
        <v/>
      </c>
      <c r="D1349">
        <f>IF(OR(H1349="",P1349=""),"",INDEX('Students'!$B$2:$B$701,P1349))</f>
        <v/>
      </c>
      <c r="E1349">
        <f>IF(OR(H1349="",P1349=""),"",INDEX('Students'!$C$2:$C$701,P1349))</f>
        <v/>
      </c>
      <c r="F1349" s="48">
        <f>IF(H1349="","",IF(ISNUMBER(O1349),O1349,J1349))</f>
        <v/>
      </c>
      <c r="G1349">
        <f>IF(H1349="","","OneCause")</f>
        <v/>
      </c>
      <c r="H1349">
        <f>IF(AND(I1349="",J1349="",K1349=""),"",IF(NOT(ISNUMBER(O1349)),"Bad amount",IF(O1349&lt;0,"Refund (not counted)",IF(O1349=0,"Zero amount",IF(NOT(ISNUMBER(N1349)),"Bad date",IF(P1349="","NAME NOT ON ROSTER",IF(L1349="","OK",IF(MATCH(L1349,$L$2:$L$3001,0)&lt;ROW()-1,"Duplicate (ignored)","OK"))))))))</f>
        <v/>
      </c>
      <c r="I1349">
        <f>IF(OC_Date=0,"",IF(INDEX('OneCause_Paste'!$A$1349:$AZ$1349,1,OC_Date)="","",INDEX('OneCause_Paste'!$A$1349:$AZ$1349,1,OC_Date)))</f>
        <v/>
      </c>
      <c r="J1349">
        <f>IF(OC_Amt=0,"",IF(INDEX('OneCause_Paste'!$A$1349:$AZ$1349,1,OC_Amt)="","",INDEX('OneCause_Paste'!$A$1349:$AZ$1349,1,OC_Amt)))</f>
        <v/>
      </c>
      <c r="K1349">
        <f>IF(OC_Name=0,"",IF(INDEX('OneCause_Paste'!$A$1349:$AZ$1349,1,OC_Name)="","",INDEX('OneCause_Paste'!$A$1349:$AZ$1349,1,OC_Name)))</f>
        <v/>
      </c>
      <c r="L1349">
        <f>IF(OC_Txn=0,"",IF(INDEX('OneCause_Paste'!$A$1349:$AZ$1349,1,OC_Txn)="","",INDEX('OneCause_Paste'!$A$1349:$AZ$1349,1,OC_Txn)))</f>
        <v/>
      </c>
      <c r="M1349">
        <f>IF(OC_Pay=0,"",IF(INDEX('OneCause_Paste'!$A$1349:$AZ$1349,1,OC_Pay)="","",INDEX('OneCause_Paste'!$A$1349:$AZ$1349,1,OC_Pay)))</f>
        <v/>
      </c>
      <c r="N1349">
        <f>IF(I1349="","",IF(ISNUMBER(I1349),INT(I1349),IFERROR(INT(DATEVALUE(I1349)),IFERROR(INT(VALUE(I1349)),"bad"))))</f>
        <v/>
      </c>
      <c r="O1349">
        <f>IF(J1349="","",IF(ISNUMBER(J1349),ROUND(J1349,2),IFERROR(ROUND(VALUE(SUBSTITUTE(SUBSTITUTE(SUBSTITUTE(J1349,"$",""),",","")," ","")),2),"bad")))</f>
        <v/>
      </c>
      <c r="P1349">
        <f>IF(TRIM(K1349)="","",IFERROR(MATCH(LOWER(TRIM(K1349)),'Students'!$AH$2:$AH$701,0),IFERROR(MATCH(LOWER(TRIM(K1349)),'Students'!$AF$2:$AF$701,0),IFERROR(MATCH(LOWER(TRIM(K1349)),'Students'!$AG$2:$AG$701,0),""))))</f>
        <v/>
      </c>
      <c r="R1349">
        <f>IF(P1349="","",INDEX('Students'!$AD$2:$AD$701,P1349))</f>
        <v/>
      </c>
      <c r="S1349">
        <f>IF(H1349="OK",O1349,0)</f>
        <v/>
      </c>
      <c r="T1349">
        <f>IF(H1349="OK",N1349,"")</f>
        <v/>
      </c>
      <c r="U1349">
        <f>IF(OC_Donor=0,"",IF(INDEX('OneCause_Paste'!$A$1349:$AZ$1349,1,OC_Donor)="","",INDEX('OneCause_Paste'!$A$1349:$AZ$1349,1,OC_Donor)))</f>
        <v/>
      </c>
    </row>
    <row r="1350">
      <c r="A1350" s="62">
        <f>IF(H1350="","",IF(ISNUMBER(N1350),N1350,I1350))</f>
        <v/>
      </c>
      <c r="B1350">
        <f>IF(H1350="","",U1350)</f>
        <v/>
      </c>
      <c r="C1350">
        <f>IF(H1350="","",IF(P1350="",K1350,INDEX('Students'!$A$2:$A$701,P1350)))</f>
        <v/>
      </c>
      <c r="D1350">
        <f>IF(OR(H1350="",P1350=""),"",INDEX('Students'!$B$2:$B$701,P1350))</f>
        <v/>
      </c>
      <c r="E1350">
        <f>IF(OR(H1350="",P1350=""),"",INDEX('Students'!$C$2:$C$701,P1350))</f>
        <v/>
      </c>
      <c r="F1350" s="48">
        <f>IF(H1350="","",IF(ISNUMBER(O1350),O1350,J1350))</f>
        <v/>
      </c>
      <c r="G1350">
        <f>IF(H1350="","","OneCause")</f>
        <v/>
      </c>
      <c r="H1350">
        <f>IF(AND(I1350="",J1350="",K1350=""),"",IF(NOT(ISNUMBER(O1350)),"Bad amount",IF(O1350&lt;0,"Refund (not counted)",IF(O1350=0,"Zero amount",IF(NOT(ISNUMBER(N1350)),"Bad date",IF(P1350="","NAME NOT ON ROSTER",IF(L1350="","OK",IF(MATCH(L1350,$L$2:$L$3001,0)&lt;ROW()-1,"Duplicate (ignored)","OK"))))))))</f>
        <v/>
      </c>
      <c r="I1350">
        <f>IF(OC_Date=0,"",IF(INDEX('OneCause_Paste'!$A$1350:$AZ$1350,1,OC_Date)="","",INDEX('OneCause_Paste'!$A$1350:$AZ$1350,1,OC_Date)))</f>
        <v/>
      </c>
      <c r="J1350">
        <f>IF(OC_Amt=0,"",IF(INDEX('OneCause_Paste'!$A$1350:$AZ$1350,1,OC_Amt)="","",INDEX('OneCause_Paste'!$A$1350:$AZ$1350,1,OC_Amt)))</f>
        <v/>
      </c>
      <c r="K1350">
        <f>IF(OC_Name=0,"",IF(INDEX('OneCause_Paste'!$A$1350:$AZ$1350,1,OC_Name)="","",INDEX('OneCause_Paste'!$A$1350:$AZ$1350,1,OC_Name)))</f>
        <v/>
      </c>
      <c r="L1350">
        <f>IF(OC_Txn=0,"",IF(INDEX('OneCause_Paste'!$A$1350:$AZ$1350,1,OC_Txn)="","",INDEX('OneCause_Paste'!$A$1350:$AZ$1350,1,OC_Txn)))</f>
        <v/>
      </c>
      <c r="M1350">
        <f>IF(OC_Pay=0,"",IF(INDEX('OneCause_Paste'!$A$1350:$AZ$1350,1,OC_Pay)="","",INDEX('OneCause_Paste'!$A$1350:$AZ$1350,1,OC_Pay)))</f>
        <v/>
      </c>
      <c r="N1350">
        <f>IF(I1350="","",IF(ISNUMBER(I1350),INT(I1350),IFERROR(INT(DATEVALUE(I1350)),IFERROR(INT(VALUE(I1350)),"bad"))))</f>
        <v/>
      </c>
      <c r="O1350">
        <f>IF(J1350="","",IF(ISNUMBER(J1350),ROUND(J1350,2),IFERROR(ROUND(VALUE(SUBSTITUTE(SUBSTITUTE(SUBSTITUTE(J1350,"$",""),",","")," ","")),2),"bad")))</f>
        <v/>
      </c>
      <c r="P1350">
        <f>IF(TRIM(K1350)="","",IFERROR(MATCH(LOWER(TRIM(K1350)),'Students'!$AH$2:$AH$701,0),IFERROR(MATCH(LOWER(TRIM(K1350)),'Students'!$AF$2:$AF$701,0),IFERROR(MATCH(LOWER(TRIM(K1350)),'Students'!$AG$2:$AG$701,0),""))))</f>
        <v/>
      </c>
      <c r="R1350">
        <f>IF(P1350="","",INDEX('Students'!$AD$2:$AD$701,P1350))</f>
        <v/>
      </c>
      <c r="S1350">
        <f>IF(H1350="OK",O1350,0)</f>
        <v/>
      </c>
      <c r="T1350">
        <f>IF(H1350="OK",N1350,"")</f>
        <v/>
      </c>
      <c r="U1350">
        <f>IF(OC_Donor=0,"",IF(INDEX('OneCause_Paste'!$A$1350:$AZ$1350,1,OC_Donor)="","",INDEX('OneCause_Paste'!$A$1350:$AZ$1350,1,OC_Donor)))</f>
        <v/>
      </c>
    </row>
    <row r="1351">
      <c r="A1351" s="62">
        <f>IF(H1351="","",IF(ISNUMBER(N1351),N1351,I1351))</f>
        <v/>
      </c>
      <c r="B1351">
        <f>IF(H1351="","",U1351)</f>
        <v/>
      </c>
      <c r="C1351">
        <f>IF(H1351="","",IF(P1351="",K1351,INDEX('Students'!$A$2:$A$701,P1351)))</f>
        <v/>
      </c>
      <c r="D1351">
        <f>IF(OR(H1351="",P1351=""),"",INDEX('Students'!$B$2:$B$701,P1351))</f>
        <v/>
      </c>
      <c r="E1351">
        <f>IF(OR(H1351="",P1351=""),"",INDEX('Students'!$C$2:$C$701,P1351))</f>
        <v/>
      </c>
      <c r="F1351" s="48">
        <f>IF(H1351="","",IF(ISNUMBER(O1351),O1351,J1351))</f>
        <v/>
      </c>
      <c r="G1351">
        <f>IF(H1351="","","OneCause")</f>
        <v/>
      </c>
      <c r="H1351">
        <f>IF(AND(I1351="",J1351="",K1351=""),"",IF(NOT(ISNUMBER(O1351)),"Bad amount",IF(O1351&lt;0,"Refund (not counted)",IF(O1351=0,"Zero amount",IF(NOT(ISNUMBER(N1351)),"Bad date",IF(P1351="","NAME NOT ON ROSTER",IF(L1351="","OK",IF(MATCH(L1351,$L$2:$L$3001,0)&lt;ROW()-1,"Duplicate (ignored)","OK"))))))))</f>
        <v/>
      </c>
      <c r="I1351">
        <f>IF(OC_Date=0,"",IF(INDEX('OneCause_Paste'!$A$1351:$AZ$1351,1,OC_Date)="","",INDEX('OneCause_Paste'!$A$1351:$AZ$1351,1,OC_Date)))</f>
        <v/>
      </c>
      <c r="J1351">
        <f>IF(OC_Amt=0,"",IF(INDEX('OneCause_Paste'!$A$1351:$AZ$1351,1,OC_Amt)="","",INDEX('OneCause_Paste'!$A$1351:$AZ$1351,1,OC_Amt)))</f>
        <v/>
      </c>
      <c r="K1351">
        <f>IF(OC_Name=0,"",IF(INDEX('OneCause_Paste'!$A$1351:$AZ$1351,1,OC_Name)="","",INDEX('OneCause_Paste'!$A$1351:$AZ$1351,1,OC_Name)))</f>
        <v/>
      </c>
      <c r="L1351">
        <f>IF(OC_Txn=0,"",IF(INDEX('OneCause_Paste'!$A$1351:$AZ$1351,1,OC_Txn)="","",INDEX('OneCause_Paste'!$A$1351:$AZ$1351,1,OC_Txn)))</f>
        <v/>
      </c>
      <c r="M1351">
        <f>IF(OC_Pay=0,"",IF(INDEX('OneCause_Paste'!$A$1351:$AZ$1351,1,OC_Pay)="","",INDEX('OneCause_Paste'!$A$1351:$AZ$1351,1,OC_Pay)))</f>
        <v/>
      </c>
      <c r="N1351">
        <f>IF(I1351="","",IF(ISNUMBER(I1351),INT(I1351),IFERROR(INT(DATEVALUE(I1351)),IFERROR(INT(VALUE(I1351)),"bad"))))</f>
        <v/>
      </c>
      <c r="O1351">
        <f>IF(J1351="","",IF(ISNUMBER(J1351),ROUND(J1351,2),IFERROR(ROUND(VALUE(SUBSTITUTE(SUBSTITUTE(SUBSTITUTE(J1351,"$",""),",","")," ","")),2),"bad")))</f>
        <v/>
      </c>
      <c r="P1351">
        <f>IF(TRIM(K1351)="","",IFERROR(MATCH(LOWER(TRIM(K1351)),'Students'!$AH$2:$AH$701,0),IFERROR(MATCH(LOWER(TRIM(K1351)),'Students'!$AF$2:$AF$701,0),IFERROR(MATCH(LOWER(TRIM(K1351)),'Students'!$AG$2:$AG$701,0),""))))</f>
        <v/>
      </c>
      <c r="R1351">
        <f>IF(P1351="","",INDEX('Students'!$AD$2:$AD$701,P1351))</f>
        <v/>
      </c>
      <c r="S1351">
        <f>IF(H1351="OK",O1351,0)</f>
        <v/>
      </c>
      <c r="T1351">
        <f>IF(H1351="OK",N1351,"")</f>
        <v/>
      </c>
      <c r="U1351">
        <f>IF(OC_Donor=0,"",IF(INDEX('OneCause_Paste'!$A$1351:$AZ$1351,1,OC_Donor)="","",INDEX('OneCause_Paste'!$A$1351:$AZ$1351,1,OC_Donor)))</f>
        <v/>
      </c>
    </row>
    <row r="1352">
      <c r="A1352" s="62">
        <f>IF(H1352="","",IF(ISNUMBER(N1352),N1352,I1352))</f>
        <v/>
      </c>
      <c r="B1352">
        <f>IF(H1352="","",U1352)</f>
        <v/>
      </c>
      <c r="C1352">
        <f>IF(H1352="","",IF(P1352="",K1352,INDEX('Students'!$A$2:$A$701,P1352)))</f>
        <v/>
      </c>
      <c r="D1352">
        <f>IF(OR(H1352="",P1352=""),"",INDEX('Students'!$B$2:$B$701,P1352))</f>
        <v/>
      </c>
      <c r="E1352">
        <f>IF(OR(H1352="",P1352=""),"",INDEX('Students'!$C$2:$C$701,P1352))</f>
        <v/>
      </c>
      <c r="F1352" s="48">
        <f>IF(H1352="","",IF(ISNUMBER(O1352),O1352,J1352))</f>
        <v/>
      </c>
      <c r="G1352">
        <f>IF(H1352="","","OneCause")</f>
        <v/>
      </c>
      <c r="H1352">
        <f>IF(AND(I1352="",J1352="",K1352=""),"",IF(NOT(ISNUMBER(O1352)),"Bad amount",IF(O1352&lt;0,"Refund (not counted)",IF(O1352=0,"Zero amount",IF(NOT(ISNUMBER(N1352)),"Bad date",IF(P1352="","NAME NOT ON ROSTER",IF(L1352="","OK",IF(MATCH(L1352,$L$2:$L$3001,0)&lt;ROW()-1,"Duplicate (ignored)","OK"))))))))</f>
        <v/>
      </c>
      <c r="I1352">
        <f>IF(OC_Date=0,"",IF(INDEX('OneCause_Paste'!$A$1352:$AZ$1352,1,OC_Date)="","",INDEX('OneCause_Paste'!$A$1352:$AZ$1352,1,OC_Date)))</f>
        <v/>
      </c>
      <c r="J1352">
        <f>IF(OC_Amt=0,"",IF(INDEX('OneCause_Paste'!$A$1352:$AZ$1352,1,OC_Amt)="","",INDEX('OneCause_Paste'!$A$1352:$AZ$1352,1,OC_Amt)))</f>
        <v/>
      </c>
      <c r="K1352">
        <f>IF(OC_Name=0,"",IF(INDEX('OneCause_Paste'!$A$1352:$AZ$1352,1,OC_Name)="","",INDEX('OneCause_Paste'!$A$1352:$AZ$1352,1,OC_Name)))</f>
        <v/>
      </c>
      <c r="L1352">
        <f>IF(OC_Txn=0,"",IF(INDEX('OneCause_Paste'!$A$1352:$AZ$1352,1,OC_Txn)="","",INDEX('OneCause_Paste'!$A$1352:$AZ$1352,1,OC_Txn)))</f>
        <v/>
      </c>
      <c r="M1352">
        <f>IF(OC_Pay=0,"",IF(INDEX('OneCause_Paste'!$A$1352:$AZ$1352,1,OC_Pay)="","",INDEX('OneCause_Paste'!$A$1352:$AZ$1352,1,OC_Pay)))</f>
        <v/>
      </c>
      <c r="N1352">
        <f>IF(I1352="","",IF(ISNUMBER(I1352),INT(I1352),IFERROR(INT(DATEVALUE(I1352)),IFERROR(INT(VALUE(I1352)),"bad"))))</f>
        <v/>
      </c>
      <c r="O1352">
        <f>IF(J1352="","",IF(ISNUMBER(J1352),ROUND(J1352,2),IFERROR(ROUND(VALUE(SUBSTITUTE(SUBSTITUTE(SUBSTITUTE(J1352,"$",""),",","")," ","")),2),"bad")))</f>
        <v/>
      </c>
      <c r="P1352">
        <f>IF(TRIM(K1352)="","",IFERROR(MATCH(LOWER(TRIM(K1352)),'Students'!$AH$2:$AH$701,0),IFERROR(MATCH(LOWER(TRIM(K1352)),'Students'!$AF$2:$AF$701,0),IFERROR(MATCH(LOWER(TRIM(K1352)),'Students'!$AG$2:$AG$701,0),""))))</f>
        <v/>
      </c>
      <c r="R1352">
        <f>IF(P1352="","",INDEX('Students'!$AD$2:$AD$701,P1352))</f>
        <v/>
      </c>
      <c r="S1352">
        <f>IF(H1352="OK",O1352,0)</f>
        <v/>
      </c>
      <c r="T1352">
        <f>IF(H1352="OK",N1352,"")</f>
        <v/>
      </c>
      <c r="U1352">
        <f>IF(OC_Donor=0,"",IF(INDEX('OneCause_Paste'!$A$1352:$AZ$1352,1,OC_Donor)="","",INDEX('OneCause_Paste'!$A$1352:$AZ$1352,1,OC_Donor)))</f>
        <v/>
      </c>
    </row>
    <row r="1353">
      <c r="A1353" s="62">
        <f>IF(H1353="","",IF(ISNUMBER(N1353),N1353,I1353))</f>
        <v/>
      </c>
      <c r="B1353">
        <f>IF(H1353="","",U1353)</f>
        <v/>
      </c>
      <c r="C1353">
        <f>IF(H1353="","",IF(P1353="",K1353,INDEX('Students'!$A$2:$A$701,P1353)))</f>
        <v/>
      </c>
      <c r="D1353">
        <f>IF(OR(H1353="",P1353=""),"",INDEX('Students'!$B$2:$B$701,P1353))</f>
        <v/>
      </c>
      <c r="E1353">
        <f>IF(OR(H1353="",P1353=""),"",INDEX('Students'!$C$2:$C$701,P1353))</f>
        <v/>
      </c>
      <c r="F1353" s="48">
        <f>IF(H1353="","",IF(ISNUMBER(O1353),O1353,J1353))</f>
        <v/>
      </c>
      <c r="G1353">
        <f>IF(H1353="","","OneCause")</f>
        <v/>
      </c>
      <c r="H1353">
        <f>IF(AND(I1353="",J1353="",K1353=""),"",IF(NOT(ISNUMBER(O1353)),"Bad amount",IF(O1353&lt;0,"Refund (not counted)",IF(O1353=0,"Zero amount",IF(NOT(ISNUMBER(N1353)),"Bad date",IF(P1353="","NAME NOT ON ROSTER",IF(L1353="","OK",IF(MATCH(L1353,$L$2:$L$3001,0)&lt;ROW()-1,"Duplicate (ignored)","OK"))))))))</f>
        <v/>
      </c>
      <c r="I1353">
        <f>IF(OC_Date=0,"",IF(INDEX('OneCause_Paste'!$A$1353:$AZ$1353,1,OC_Date)="","",INDEX('OneCause_Paste'!$A$1353:$AZ$1353,1,OC_Date)))</f>
        <v/>
      </c>
      <c r="J1353">
        <f>IF(OC_Amt=0,"",IF(INDEX('OneCause_Paste'!$A$1353:$AZ$1353,1,OC_Amt)="","",INDEX('OneCause_Paste'!$A$1353:$AZ$1353,1,OC_Amt)))</f>
        <v/>
      </c>
      <c r="K1353">
        <f>IF(OC_Name=0,"",IF(INDEX('OneCause_Paste'!$A$1353:$AZ$1353,1,OC_Name)="","",INDEX('OneCause_Paste'!$A$1353:$AZ$1353,1,OC_Name)))</f>
        <v/>
      </c>
      <c r="L1353">
        <f>IF(OC_Txn=0,"",IF(INDEX('OneCause_Paste'!$A$1353:$AZ$1353,1,OC_Txn)="","",INDEX('OneCause_Paste'!$A$1353:$AZ$1353,1,OC_Txn)))</f>
        <v/>
      </c>
      <c r="M1353">
        <f>IF(OC_Pay=0,"",IF(INDEX('OneCause_Paste'!$A$1353:$AZ$1353,1,OC_Pay)="","",INDEX('OneCause_Paste'!$A$1353:$AZ$1353,1,OC_Pay)))</f>
        <v/>
      </c>
      <c r="N1353">
        <f>IF(I1353="","",IF(ISNUMBER(I1353),INT(I1353),IFERROR(INT(DATEVALUE(I1353)),IFERROR(INT(VALUE(I1353)),"bad"))))</f>
        <v/>
      </c>
      <c r="O1353">
        <f>IF(J1353="","",IF(ISNUMBER(J1353),ROUND(J1353,2),IFERROR(ROUND(VALUE(SUBSTITUTE(SUBSTITUTE(SUBSTITUTE(J1353,"$",""),",","")," ","")),2),"bad")))</f>
        <v/>
      </c>
      <c r="P1353">
        <f>IF(TRIM(K1353)="","",IFERROR(MATCH(LOWER(TRIM(K1353)),'Students'!$AH$2:$AH$701,0),IFERROR(MATCH(LOWER(TRIM(K1353)),'Students'!$AF$2:$AF$701,0),IFERROR(MATCH(LOWER(TRIM(K1353)),'Students'!$AG$2:$AG$701,0),""))))</f>
        <v/>
      </c>
      <c r="R1353">
        <f>IF(P1353="","",INDEX('Students'!$AD$2:$AD$701,P1353))</f>
        <v/>
      </c>
      <c r="S1353">
        <f>IF(H1353="OK",O1353,0)</f>
        <v/>
      </c>
      <c r="T1353">
        <f>IF(H1353="OK",N1353,"")</f>
        <v/>
      </c>
      <c r="U1353">
        <f>IF(OC_Donor=0,"",IF(INDEX('OneCause_Paste'!$A$1353:$AZ$1353,1,OC_Donor)="","",INDEX('OneCause_Paste'!$A$1353:$AZ$1353,1,OC_Donor)))</f>
        <v/>
      </c>
    </row>
    <row r="1354">
      <c r="A1354" s="62">
        <f>IF(H1354="","",IF(ISNUMBER(N1354),N1354,I1354))</f>
        <v/>
      </c>
      <c r="B1354">
        <f>IF(H1354="","",U1354)</f>
        <v/>
      </c>
      <c r="C1354">
        <f>IF(H1354="","",IF(P1354="",K1354,INDEX('Students'!$A$2:$A$701,P1354)))</f>
        <v/>
      </c>
      <c r="D1354">
        <f>IF(OR(H1354="",P1354=""),"",INDEX('Students'!$B$2:$B$701,P1354))</f>
        <v/>
      </c>
      <c r="E1354">
        <f>IF(OR(H1354="",P1354=""),"",INDEX('Students'!$C$2:$C$701,P1354))</f>
        <v/>
      </c>
      <c r="F1354" s="48">
        <f>IF(H1354="","",IF(ISNUMBER(O1354),O1354,J1354))</f>
        <v/>
      </c>
      <c r="G1354">
        <f>IF(H1354="","","OneCause")</f>
        <v/>
      </c>
      <c r="H1354">
        <f>IF(AND(I1354="",J1354="",K1354=""),"",IF(NOT(ISNUMBER(O1354)),"Bad amount",IF(O1354&lt;0,"Refund (not counted)",IF(O1354=0,"Zero amount",IF(NOT(ISNUMBER(N1354)),"Bad date",IF(P1354="","NAME NOT ON ROSTER",IF(L1354="","OK",IF(MATCH(L1354,$L$2:$L$3001,0)&lt;ROW()-1,"Duplicate (ignored)","OK"))))))))</f>
        <v/>
      </c>
      <c r="I1354">
        <f>IF(OC_Date=0,"",IF(INDEX('OneCause_Paste'!$A$1354:$AZ$1354,1,OC_Date)="","",INDEX('OneCause_Paste'!$A$1354:$AZ$1354,1,OC_Date)))</f>
        <v/>
      </c>
      <c r="J1354">
        <f>IF(OC_Amt=0,"",IF(INDEX('OneCause_Paste'!$A$1354:$AZ$1354,1,OC_Amt)="","",INDEX('OneCause_Paste'!$A$1354:$AZ$1354,1,OC_Amt)))</f>
        <v/>
      </c>
      <c r="K1354">
        <f>IF(OC_Name=0,"",IF(INDEX('OneCause_Paste'!$A$1354:$AZ$1354,1,OC_Name)="","",INDEX('OneCause_Paste'!$A$1354:$AZ$1354,1,OC_Name)))</f>
        <v/>
      </c>
      <c r="L1354">
        <f>IF(OC_Txn=0,"",IF(INDEX('OneCause_Paste'!$A$1354:$AZ$1354,1,OC_Txn)="","",INDEX('OneCause_Paste'!$A$1354:$AZ$1354,1,OC_Txn)))</f>
        <v/>
      </c>
      <c r="M1354">
        <f>IF(OC_Pay=0,"",IF(INDEX('OneCause_Paste'!$A$1354:$AZ$1354,1,OC_Pay)="","",INDEX('OneCause_Paste'!$A$1354:$AZ$1354,1,OC_Pay)))</f>
        <v/>
      </c>
      <c r="N1354">
        <f>IF(I1354="","",IF(ISNUMBER(I1354),INT(I1354),IFERROR(INT(DATEVALUE(I1354)),IFERROR(INT(VALUE(I1354)),"bad"))))</f>
        <v/>
      </c>
      <c r="O1354">
        <f>IF(J1354="","",IF(ISNUMBER(J1354),ROUND(J1354,2),IFERROR(ROUND(VALUE(SUBSTITUTE(SUBSTITUTE(SUBSTITUTE(J1354,"$",""),",","")," ","")),2),"bad")))</f>
        <v/>
      </c>
      <c r="P1354">
        <f>IF(TRIM(K1354)="","",IFERROR(MATCH(LOWER(TRIM(K1354)),'Students'!$AH$2:$AH$701,0),IFERROR(MATCH(LOWER(TRIM(K1354)),'Students'!$AF$2:$AF$701,0),IFERROR(MATCH(LOWER(TRIM(K1354)),'Students'!$AG$2:$AG$701,0),""))))</f>
        <v/>
      </c>
      <c r="R1354">
        <f>IF(P1354="","",INDEX('Students'!$AD$2:$AD$701,P1354))</f>
        <v/>
      </c>
      <c r="S1354">
        <f>IF(H1354="OK",O1354,0)</f>
        <v/>
      </c>
      <c r="T1354">
        <f>IF(H1354="OK",N1354,"")</f>
        <v/>
      </c>
      <c r="U1354">
        <f>IF(OC_Donor=0,"",IF(INDEX('OneCause_Paste'!$A$1354:$AZ$1354,1,OC_Donor)="","",INDEX('OneCause_Paste'!$A$1354:$AZ$1354,1,OC_Donor)))</f>
        <v/>
      </c>
    </row>
    <row r="1355">
      <c r="A1355" s="62">
        <f>IF(H1355="","",IF(ISNUMBER(N1355),N1355,I1355))</f>
        <v/>
      </c>
      <c r="B1355">
        <f>IF(H1355="","",U1355)</f>
        <v/>
      </c>
      <c r="C1355">
        <f>IF(H1355="","",IF(P1355="",K1355,INDEX('Students'!$A$2:$A$701,P1355)))</f>
        <v/>
      </c>
      <c r="D1355">
        <f>IF(OR(H1355="",P1355=""),"",INDEX('Students'!$B$2:$B$701,P1355))</f>
        <v/>
      </c>
      <c r="E1355">
        <f>IF(OR(H1355="",P1355=""),"",INDEX('Students'!$C$2:$C$701,P1355))</f>
        <v/>
      </c>
      <c r="F1355" s="48">
        <f>IF(H1355="","",IF(ISNUMBER(O1355),O1355,J1355))</f>
        <v/>
      </c>
      <c r="G1355">
        <f>IF(H1355="","","OneCause")</f>
        <v/>
      </c>
      <c r="H1355">
        <f>IF(AND(I1355="",J1355="",K1355=""),"",IF(NOT(ISNUMBER(O1355)),"Bad amount",IF(O1355&lt;0,"Refund (not counted)",IF(O1355=0,"Zero amount",IF(NOT(ISNUMBER(N1355)),"Bad date",IF(P1355="","NAME NOT ON ROSTER",IF(L1355="","OK",IF(MATCH(L1355,$L$2:$L$3001,0)&lt;ROW()-1,"Duplicate (ignored)","OK"))))))))</f>
        <v/>
      </c>
      <c r="I1355">
        <f>IF(OC_Date=0,"",IF(INDEX('OneCause_Paste'!$A$1355:$AZ$1355,1,OC_Date)="","",INDEX('OneCause_Paste'!$A$1355:$AZ$1355,1,OC_Date)))</f>
        <v/>
      </c>
      <c r="J1355">
        <f>IF(OC_Amt=0,"",IF(INDEX('OneCause_Paste'!$A$1355:$AZ$1355,1,OC_Amt)="","",INDEX('OneCause_Paste'!$A$1355:$AZ$1355,1,OC_Amt)))</f>
        <v/>
      </c>
      <c r="K1355">
        <f>IF(OC_Name=0,"",IF(INDEX('OneCause_Paste'!$A$1355:$AZ$1355,1,OC_Name)="","",INDEX('OneCause_Paste'!$A$1355:$AZ$1355,1,OC_Name)))</f>
        <v/>
      </c>
      <c r="L1355">
        <f>IF(OC_Txn=0,"",IF(INDEX('OneCause_Paste'!$A$1355:$AZ$1355,1,OC_Txn)="","",INDEX('OneCause_Paste'!$A$1355:$AZ$1355,1,OC_Txn)))</f>
        <v/>
      </c>
      <c r="M1355">
        <f>IF(OC_Pay=0,"",IF(INDEX('OneCause_Paste'!$A$1355:$AZ$1355,1,OC_Pay)="","",INDEX('OneCause_Paste'!$A$1355:$AZ$1355,1,OC_Pay)))</f>
        <v/>
      </c>
      <c r="N1355">
        <f>IF(I1355="","",IF(ISNUMBER(I1355),INT(I1355),IFERROR(INT(DATEVALUE(I1355)),IFERROR(INT(VALUE(I1355)),"bad"))))</f>
        <v/>
      </c>
      <c r="O1355">
        <f>IF(J1355="","",IF(ISNUMBER(J1355),ROUND(J1355,2),IFERROR(ROUND(VALUE(SUBSTITUTE(SUBSTITUTE(SUBSTITUTE(J1355,"$",""),",","")," ","")),2),"bad")))</f>
        <v/>
      </c>
      <c r="P1355">
        <f>IF(TRIM(K1355)="","",IFERROR(MATCH(LOWER(TRIM(K1355)),'Students'!$AH$2:$AH$701,0),IFERROR(MATCH(LOWER(TRIM(K1355)),'Students'!$AF$2:$AF$701,0),IFERROR(MATCH(LOWER(TRIM(K1355)),'Students'!$AG$2:$AG$701,0),""))))</f>
        <v/>
      </c>
      <c r="R1355">
        <f>IF(P1355="","",INDEX('Students'!$AD$2:$AD$701,P1355))</f>
        <v/>
      </c>
      <c r="S1355">
        <f>IF(H1355="OK",O1355,0)</f>
        <v/>
      </c>
      <c r="T1355">
        <f>IF(H1355="OK",N1355,"")</f>
        <v/>
      </c>
      <c r="U1355">
        <f>IF(OC_Donor=0,"",IF(INDEX('OneCause_Paste'!$A$1355:$AZ$1355,1,OC_Donor)="","",INDEX('OneCause_Paste'!$A$1355:$AZ$1355,1,OC_Donor)))</f>
        <v/>
      </c>
    </row>
    <row r="1356">
      <c r="A1356" s="62">
        <f>IF(H1356="","",IF(ISNUMBER(N1356),N1356,I1356))</f>
        <v/>
      </c>
      <c r="B1356">
        <f>IF(H1356="","",U1356)</f>
        <v/>
      </c>
      <c r="C1356">
        <f>IF(H1356="","",IF(P1356="",K1356,INDEX('Students'!$A$2:$A$701,P1356)))</f>
        <v/>
      </c>
      <c r="D1356">
        <f>IF(OR(H1356="",P1356=""),"",INDEX('Students'!$B$2:$B$701,P1356))</f>
        <v/>
      </c>
      <c r="E1356">
        <f>IF(OR(H1356="",P1356=""),"",INDEX('Students'!$C$2:$C$701,P1356))</f>
        <v/>
      </c>
      <c r="F1356" s="48">
        <f>IF(H1356="","",IF(ISNUMBER(O1356),O1356,J1356))</f>
        <v/>
      </c>
      <c r="G1356">
        <f>IF(H1356="","","OneCause")</f>
        <v/>
      </c>
      <c r="H1356">
        <f>IF(AND(I1356="",J1356="",K1356=""),"",IF(NOT(ISNUMBER(O1356)),"Bad amount",IF(O1356&lt;0,"Refund (not counted)",IF(O1356=0,"Zero amount",IF(NOT(ISNUMBER(N1356)),"Bad date",IF(P1356="","NAME NOT ON ROSTER",IF(L1356="","OK",IF(MATCH(L1356,$L$2:$L$3001,0)&lt;ROW()-1,"Duplicate (ignored)","OK"))))))))</f>
        <v/>
      </c>
      <c r="I1356">
        <f>IF(OC_Date=0,"",IF(INDEX('OneCause_Paste'!$A$1356:$AZ$1356,1,OC_Date)="","",INDEX('OneCause_Paste'!$A$1356:$AZ$1356,1,OC_Date)))</f>
        <v/>
      </c>
      <c r="J1356">
        <f>IF(OC_Amt=0,"",IF(INDEX('OneCause_Paste'!$A$1356:$AZ$1356,1,OC_Amt)="","",INDEX('OneCause_Paste'!$A$1356:$AZ$1356,1,OC_Amt)))</f>
        <v/>
      </c>
      <c r="K1356">
        <f>IF(OC_Name=0,"",IF(INDEX('OneCause_Paste'!$A$1356:$AZ$1356,1,OC_Name)="","",INDEX('OneCause_Paste'!$A$1356:$AZ$1356,1,OC_Name)))</f>
        <v/>
      </c>
      <c r="L1356">
        <f>IF(OC_Txn=0,"",IF(INDEX('OneCause_Paste'!$A$1356:$AZ$1356,1,OC_Txn)="","",INDEX('OneCause_Paste'!$A$1356:$AZ$1356,1,OC_Txn)))</f>
        <v/>
      </c>
      <c r="M1356">
        <f>IF(OC_Pay=0,"",IF(INDEX('OneCause_Paste'!$A$1356:$AZ$1356,1,OC_Pay)="","",INDEX('OneCause_Paste'!$A$1356:$AZ$1356,1,OC_Pay)))</f>
        <v/>
      </c>
      <c r="N1356">
        <f>IF(I1356="","",IF(ISNUMBER(I1356),INT(I1356),IFERROR(INT(DATEVALUE(I1356)),IFERROR(INT(VALUE(I1356)),"bad"))))</f>
        <v/>
      </c>
      <c r="O1356">
        <f>IF(J1356="","",IF(ISNUMBER(J1356),ROUND(J1356,2),IFERROR(ROUND(VALUE(SUBSTITUTE(SUBSTITUTE(SUBSTITUTE(J1356,"$",""),",","")," ","")),2),"bad")))</f>
        <v/>
      </c>
      <c r="P1356">
        <f>IF(TRIM(K1356)="","",IFERROR(MATCH(LOWER(TRIM(K1356)),'Students'!$AH$2:$AH$701,0),IFERROR(MATCH(LOWER(TRIM(K1356)),'Students'!$AF$2:$AF$701,0),IFERROR(MATCH(LOWER(TRIM(K1356)),'Students'!$AG$2:$AG$701,0),""))))</f>
        <v/>
      </c>
      <c r="R1356">
        <f>IF(P1356="","",INDEX('Students'!$AD$2:$AD$701,P1356))</f>
        <v/>
      </c>
      <c r="S1356">
        <f>IF(H1356="OK",O1356,0)</f>
        <v/>
      </c>
      <c r="T1356">
        <f>IF(H1356="OK",N1356,"")</f>
        <v/>
      </c>
      <c r="U1356">
        <f>IF(OC_Donor=0,"",IF(INDEX('OneCause_Paste'!$A$1356:$AZ$1356,1,OC_Donor)="","",INDEX('OneCause_Paste'!$A$1356:$AZ$1356,1,OC_Donor)))</f>
        <v/>
      </c>
    </row>
    <row r="1357">
      <c r="A1357" s="62">
        <f>IF(H1357="","",IF(ISNUMBER(N1357),N1357,I1357))</f>
        <v/>
      </c>
      <c r="B1357">
        <f>IF(H1357="","",U1357)</f>
        <v/>
      </c>
      <c r="C1357">
        <f>IF(H1357="","",IF(P1357="",K1357,INDEX('Students'!$A$2:$A$701,P1357)))</f>
        <v/>
      </c>
      <c r="D1357">
        <f>IF(OR(H1357="",P1357=""),"",INDEX('Students'!$B$2:$B$701,P1357))</f>
        <v/>
      </c>
      <c r="E1357">
        <f>IF(OR(H1357="",P1357=""),"",INDEX('Students'!$C$2:$C$701,P1357))</f>
        <v/>
      </c>
      <c r="F1357" s="48">
        <f>IF(H1357="","",IF(ISNUMBER(O1357),O1357,J1357))</f>
        <v/>
      </c>
      <c r="G1357">
        <f>IF(H1357="","","OneCause")</f>
        <v/>
      </c>
      <c r="H1357">
        <f>IF(AND(I1357="",J1357="",K1357=""),"",IF(NOT(ISNUMBER(O1357)),"Bad amount",IF(O1357&lt;0,"Refund (not counted)",IF(O1357=0,"Zero amount",IF(NOT(ISNUMBER(N1357)),"Bad date",IF(P1357="","NAME NOT ON ROSTER",IF(L1357="","OK",IF(MATCH(L1357,$L$2:$L$3001,0)&lt;ROW()-1,"Duplicate (ignored)","OK"))))))))</f>
        <v/>
      </c>
      <c r="I1357">
        <f>IF(OC_Date=0,"",IF(INDEX('OneCause_Paste'!$A$1357:$AZ$1357,1,OC_Date)="","",INDEX('OneCause_Paste'!$A$1357:$AZ$1357,1,OC_Date)))</f>
        <v/>
      </c>
      <c r="J1357">
        <f>IF(OC_Amt=0,"",IF(INDEX('OneCause_Paste'!$A$1357:$AZ$1357,1,OC_Amt)="","",INDEX('OneCause_Paste'!$A$1357:$AZ$1357,1,OC_Amt)))</f>
        <v/>
      </c>
      <c r="K1357">
        <f>IF(OC_Name=0,"",IF(INDEX('OneCause_Paste'!$A$1357:$AZ$1357,1,OC_Name)="","",INDEX('OneCause_Paste'!$A$1357:$AZ$1357,1,OC_Name)))</f>
        <v/>
      </c>
      <c r="L1357">
        <f>IF(OC_Txn=0,"",IF(INDEX('OneCause_Paste'!$A$1357:$AZ$1357,1,OC_Txn)="","",INDEX('OneCause_Paste'!$A$1357:$AZ$1357,1,OC_Txn)))</f>
        <v/>
      </c>
      <c r="M1357">
        <f>IF(OC_Pay=0,"",IF(INDEX('OneCause_Paste'!$A$1357:$AZ$1357,1,OC_Pay)="","",INDEX('OneCause_Paste'!$A$1357:$AZ$1357,1,OC_Pay)))</f>
        <v/>
      </c>
      <c r="N1357">
        <f>IF(I1357="","",IF(ISNUMBER(I1357),INT(I1357),IFERROR(INT(DATEVALUE(I1357)),IFERROR(INT(VALUE(I1357)),"bad"))))</f>
        <v/>
      </c>
      <c r="O1357">
        <f>IF(J1357="","",IF(ISNUMBER(J1357),ROUND(J1357,2),IFERROR(ROUND(VALUE(SUBSTITUTE(SUBSTITUTE(SUBSTITUTE(J1357,"$",""),",","")," ","")),2),"bad")))</f>
        <v/>
      </c>
      <c r="P1357">
        <f>IF(TRIM(K1357)="","",IFERROR(MATCH(LOWER(TRIM(K1357)),'Students'!$AH$2:$AH$701,0),IFERROR(MATCH(LOWER(TRIM(K1357)),'Students'!$AF$2:$AF$701,0),IFERROR(MATCH(LOWER(TRIM(K1357)),'Students'!$AG$2:$AG$701,0),""))))</f>
        <v/>
      </c>
      <c r="R1357">
        <f>IF(P1357="","",INDEX('Students'!$AD$2:$AD$701,P1357))</f>
        <v/>
      </c>
      <c r="S1357">
        <f>IF(H1357="OK",O1357,0)</f>
        <v/>
      </c>
      <c r="T1357">
        <f>IF(H1357="OK",N1357,"")</f>
        <v/>
      </c>
      <c r="U1357">
        <f>IF(OC_Donor=0,"",IF(INDEX('OneCause_Paste'!$A$1357:$AZ$1357,1,OC_Donor)="","",INDEX('OneCause_Paste'!$A$1357:$AZ$1357,1,OC_Donor)))</f>
        <v/>
      </c>
    </row>
    <row r="1358">
      <c r="A1358" s="62">
        <f>IF(H1358="","",IF(ISNUMBER(N1358),N1358,I1358))</f>
        <v/>
      </c>
      <c r="B1358">
        <f>IF(H1358="","",U1358)</f>
        <v/>
      </c>
      <c r="C1358">
        <f>IF(H1358="","",IF(P1358="",K1358,INDEX('Students'!$A$2:$A$701,P1358)))</f>
        <v/>
      </c>
      <c r="D1358">
        <f>IF(OR(H1358="",P1358=""),"",INDEX('Students'!$B$2:$B$701,P1358))</f>
        <v/>
      </c>
      <c r="E1358">
        <f>IF(OR(H1358="",P1358=""),"",INDEX('Students'!$C$2:$C$701,P1358))</f>
        <v/>
      </c>
      <c r="F1358" s="48">
        <f>IF(H1358="","",IF(ISNUMBER(O1358),O1358,J1358))</f>
        <v/>
      </c>
      <c r="G1358">
        <f>IF(H1358="","","OneCause")</f>
        <v/>
      </c>
      <c r="H1358">
        <f>IF(AND(I1358="",J1358="",K1358=""),"",IF(NOT(ISNUMBER(O1358)),"Bad amount",IF(O1358&lt;0,"Refund (not counted)",IF(O1358=0,"Zero amount",IF(NOT(ISNUMBER(N1358)),"Bad date",IF(P1358="","NAME NOT ON ROSTER",IF(L1358="","OK",IF(MATCH(L1358,$L$2:$L$3001,0)&lt;ROW()-1,"Duplicate (ignored)","OK"))))))))</f>
        <v/>
      </c>
      <c r="I1358">
        <f>IF(OC_Date=0,"",IF(INDEX('OneCause_Paste'!$A$1358:$AZ$1358,1,OC_Date)="","",INDEX('OneCause_Paste'!$A$1358:$AZ$1358,1,OC_Date)))</f>
        <v/>
      </c>
      <c r="J1358">
        <f>IF(OC_Amt=0,"",IF(INDEX('OneCause_Paste'!$A$1358:$AZ$1358,1,OC_Amt)="","",INDEX('OneCause_Paste'!$A$1358:$AZ$1358,1,OC_Amt)))</f>
        <v/>
      </c>
      <c r="K1358">
        <f>IF(OC_Name=0,"",IF(INDEX('OneCause_Paste'!$A$1358:$AZ$1358,1,OC_Name)="","",INDEX('OneCause_Paste'!$A$1358:$AZ$1358,1,OC_Name)))</f>
        <v/>
      </c>
      <c r="L1358">
        <f>IF(OC_Txn=0,"",IF(INDEX('OneCause_Paste'!$A$1358:$AZ$1358,1,OC_Txn)="","",INDEX('OneCause_Paste'!$A$1358:$AZ$1358,1,OC_Txn)))</f>
        <v/>
      </c>
      <c r="M1358">
        <f>IF(OC_Pay=0,"",IF(INDEX('OneCause_Paste'!$A$1358:$AZ$1358,1,OC_Pay)="","",INDEX('OneCause_Paste'!$A$1358:$AZ$1358,1,OC_Pay)))</f>
        <v/>
      </c>
      <c r="N1358">
        <f>IF(I1358="","",IF(ISNUMBER(I1358),INT(I1358),IFERROR(INT(DATEVALUE(I1358)),IFERROR(INT(VALUE(I1358)),"bad"))))</f>
        <v/>
      </c>
      <c r="O1358">
        <f>IF(J1358="","",IF(ISNUMBER(J1358),ROUND(J1358,2),IFERROR(ROUND(VALUE(SUBSTITUTE(SUBSTITUTE(SUBSTITUTE(J1358,"$",""),",","")," ","")),2),"bad")))</f>
        <v/>
      </c>
      <c r="P1358">
        <f>IF(TRIM(K1358)="","",IFERROR(MATCH(LOWER(TRIM(K1358)),'Students'!$AH$2:$AH$701,0),IFERROR(MATCH(LOWER(TRIM(K1358)),'Students'!$AF$2:$AF$701,0),IFERROR(MATCH(LOWER(TRIM(K1358)),'Students'!$AG$2:$AG$701,0),""))))</f>
        <v/>
      </c>
      <c r="R1358">
        <f>IF(P1358="","",INDEX('Students'!$AD$2:$AD$701,P1358))</f>
        <v/>
      </c>
      <c r="S1358">
        <f>IF(H1358="OK",O1358,0)</f>
        <v/>
      </c>
      <c r="T1358">
        <f>IF(H1358="OK",N1358,"")</f>
        <v/>
      </c>
      <c r="U1358">
        <f>IF(OC_Donor=0,"",IF(INDEX('OneCause_Paste'!$A$1358:$AZ$1358,1,OC_Donor)="","",INDEX('OneCause_Paste'!$A$1358:$AZ$1358,1,OC_Donor)))</f>
        <v/>
      </c>
    </row>
    <row r="1359">
      <c r="A1359" s="62">
        <f>IF(H1359="","",IF(ISNUMBER(N1359),N1359,I1359))</f>
        <v/>
      </c>
      <c r="B1359">
        <f>IF(H1359="","",U1359)</f>
        <v/>
      </c>
      <c r="C1359">
        <f>IF(H1359="","",IF(P1359="",K1359,INDEX('Students'!$A$2:$A$701,P1359)))</f>
        <v/>
      </c>
      <c r="D1359">
        <f>IF(OR(H1359="",P1359=""),"",INDEX('Students'!$B$2:$B$701,P1359))</f>
        <v/>
      </c>
      <c r="E1359">
        <f>IF(OR(H1359="",P1359=""),"",INDEX('Students'!$C$2:$C$701,P1359))</f>
        <v/>
      </c>
      <c r="F1359" s="48">
        <f>IF(H1359="","",IF(ISNUMBER(O1359),O1359,J1359))</f>
        <v/>
      </c>
      <c r="G1359">
        <f>IF(H1359="","","OneCause")</f>
        <v/>
      </c>
      <c r="H1359">
        <f>IF(AND(I1359="",J1359="",K1359=""),"",IF(NOT(ISNUMBER(O1359)),"Bad amount",IF(O1359&lt;0,"Refund (not counted)",IF(O1359=0,"Zero amount",IF(NOT(ISNUMBER(N1359)),"Bad date",IF(P1359="","NAME NOT ON ROSTER",IF(L1359="","OK",IF(MATCH(L1359,$L$2:$L$3001,0)&lt;ROW()-1,"Duplicate (ignored)","OK"))))))))</f>
        <v/>
      </c>
      <c r="I1359">
        <f>IF(OC_Date=0,"",IF(INDEX('OneCause_Paste'!$A$1359:$AZ$1359,1,OC_Date)="","",INDEX('OneCause_Paste'!$A$1359:$AZ$1359,1,OC_Date)))</f>
        <v/>
      </c>
      <c r="J1359">
        <f>IF(OC_Amt=0,"",IF(INDEX('OneCause_Paste'!$A$1359:$AZ$1359,1,OC_Amt)="","",INDEX('OneCause_Paste'!$A$1359:$AZ$1359,1,OC_Amt)))</f>
        <v/>
      </c>
      <c r="K1359">
        <f>IF(OC_Name=0,"",IF(INDEX('OneCause_Paste'!$A$1359:$AZ$1359,1,OC_Name)="","",INDEX('OneCause_Paste'!$A$1359:$AZ$1359,1,OC_Name)))</f>
        <v/>
      </c>
      <c r="L1359">
        <f>IF(OC_Txn=0,"",IF(INDEX('OneCause_Paste'!$A$1359:$AZ$1359,1,OC_Txn)="","",INDEX('OneCause_Paste'!$A$1359:$AZ$1359,1,OC_Txn)))</f>
        <v/>
      </c>
      <c r="M1359">
        <f>IF(OC_Pay=0,"",IF(INDEX('OneCause_Paste'!$A$1359:$AZ$1359,1,OC_Pay)="","",INDEX('OneCause_Paste'!$A$1359:$AZ$1359,1,OC_Pay)))</f>
        <v/>
      </c>
      <c r="N1359">
        <f>IF(I1359="","",IF(ISNUMBER(I1359),INT(I1359),IFERROR(INT(DATEVALUE(I1359)),IFERROR(INT(VALUE(I1359)),"bad"))))</f>
        <v/>
      </c>
      <c r="O1359">
        <f>IF(J1359="","",IF(ISNUMBER(J1359),ROUND(J1359,2),IFERROR(ROUND(VALUE(SUBSTITUTE(SUBSTITUTE(SUBSTITUTE(J1359,"$",""),",","")," ","")),2),"bad")))</f>
        <v/>
      </c>
      <c r="P1359">
        <f>IF(TRIM(K1359)="","",IFERROR(MATCH(LOWER(TRIM(K1359)),'Students'!$AH$2:$AH$701,0),IFERROR(MATCH(LOWER(TRIM(K1359)),'Students'!$AF$2:$AF$701,0),IFERROR(MATCH(LOWER(TRIM(K1359)),'Students'!$AG$2:$AG$701,0),""))))</f>
        <v/>
      </c>
      <c r="R1359">
        <f>IF(P1359="","",INDEX('Students'!$AD$2:$AD$701,P1359))</f>
        <v/>
      </c>
      <c r="S1359">
        <f>IF(H1359="OK",O1359,0)</f>
        <v/>
      </c>
      <c r="T1359">
        <f>IF(H1359="OK",N1359,"")</f>
        <v/>
      </c>
      <c r="U1359">
        <f>IF(OC_Donor=0,"",IF(INDEX('OneCause_Paste'!$A$1359:$AZ$1359,1,OC_Donor)="","",INDEX('OneCause_Paste'!$A$1359:$AZ$1359,1,OC_Donor)))</f>
        <v/>
      </c>
    </row>
    <row r="1360">
      <c r="A1360" s="62">
        <f>IF(H1360="","",IF(ISNUMBER(N1360),N1360,I1360))</f>
        <v/>
      </c>
      <c r="B1360">
        <f>IF(H1360="","",U1360)</f>
        <v/>
      </c>
      <c r="C1360">
        <f>IF(H1360="","",IF(P1360="",K1360,INDEX('Students'!$A$2:$A$701,P1360)))</f>
        <v/>
      </c>
      <c r="D1360">
        <f>IF(OR(H1360="",P1360=""),"",INDEX('Students'!$B$2:$B$701,P1360))</f>
        <v/>
      </c>
      <c r="E1360">
        <f>IF(OR(H1360="",P1360=""),"",INDEX('Students'!$C$2:$C$701,P1360))</f>
        <v/>
      </c>
      <c r="F1360" s="48">
        <f>IF(H1360="","",IF(ISNUMBER(O1360),O1360,J1360))</f>
        <v/>
      </c>
      <c r="G1360">
        <f>IF(H1360="","","OneCause")</f>
        <v/>
      </c>
      <c r="H1360">
        <f>IF(AND(I1360="",J1360="",K1360=""),"",IF(NOT(ISNUMBER(O1360)),"Bad amount",IF(O1360&lt;0,"Refund (not counted)",IF(O1360=0,"Zero amount",IF(NOT(ISNUMBER(N1360)),"Bad date",IF(P1360="","NAME NOT ON ROSTER",IF(L1360="","OK",IF(MATCH(L1360,$L$2:$L$3001,0)&lt;ROW()-1,"Duplicate (ignored)","OK"))))))))</f>
        <v/>
      </c>
      <c r="I1360">
        <f>IF(OC_Date=0,"",IF(INDEX('OneCause_Paste'!$A$1360:$AZ$1360,1,OC_Date)="","",INDEX('OneCause_Paste'!$A$1360:$AZ$1360,1,OC_Date)))</f>
        <v/>
      </c>
      <c r="J1360">
        <f>IF(OC_Amt=0,"",IF(INDEX('OneCause_Paste'!$A$1360:$AZ$1360,1,OC_Amt)="","",INDEX('OneCause_Paste'!$A$1360:$AZ$1360,1,OC_Amt)))</f>
        <v/>
      </c>
      <c r="K1360">
        <f>IF(OC_Name=0,"",IF(INDEX('OneCause_Paste'!$A$1360:$AZ$1360,1,OC_Name)="","",INDEX('OneCause_Paste'!$A$1360:$AZ$1360,1,OC_Name)))</f>
        <v/>
      </c>
      <c r="L1360">
        <f>IF(OC_Txn=0,"",IF(INDEX('OneCause_Paste'!$A$1360:$AZ$1360,1,OC_Txn)="","",INDEX('OneCause_Paste'!$A$1360:$AZ$1360,1,OC_Txn)))</f>
        <v/>
      </c>
      <c r="M1360">
        <f>IF(OC_Pay=0,"",IF(INDEX('OneCause_Paste'!$A$1360:$AZ$1360,1,OC_Pay)="","",INDEX('OneCause_Paste'!$A$1360:$AZ$1360,1,OC_Pay)))</f>
        <v/>
      </c>
      <c r="N1360">
        <f>IF(I1360="","",IF(ISNUMBER(I1360),INT(I1360),IFERROR(INT(DATEVALUE(I1360)),IFERROR(INT(VALUE(I1360)),"bad"))))</f>
        <v/>
      </c>
      <c r="O1360">
        <f>IF(J1360="","",IF(ISNUMBER(J1360),ROUND(J1360,2),IFERROR(ROUND(VALUE(SUBSTITUTE(SUBSTITUTE(SUBSTITUTE(J1360,"$",""),",","")," ","")),2),"bad")))</f>
        <v/>
      </c>
      <c r="P1360">
        <f>IF(TRIM(K1360)="","",IFERROR(MATCH(LOWER(TRIM(K1360)),'Students'!$AH$2:$AH$701,0),IFERROR(MATCH(LOWER(TRIM(K1360)),'Students'!$AF$2:$AF$701,0),IFERROR(MATCH(LOWER(TRIM(K1360)),'Students'!$AG$2:$AG$701,0),""))))</f>
        <v/>
      </c>
      <c r="R1360">
        <f>IF(P1360="","",INDEX('Students'!$AD$2:$AD$701,P1360))</f>
        <v/>
      </c>
      <c r="S1360">
        <f>IF(H1360="OK",O1360,0)</f>
        <v/>
      </c>
      <c r="T1360">
        <f>IF(H1360="OK",N1360,"")</f>
        <v/>
      </c>
      <c r="U1360">
        <f>IF(OC_Donor=0,"",IF(INDEX('OneCause_Paste'!$A$1360:$AZ$1360,1,OC_Donor)="","",INDEX('OneCause_Paste'!$A$1360:$AZ$1360,1,OC_Donor)))</f>
        <v/>
      </c>
    </row>
    <row r="1361">
      <c r="A1361" s="62">
        <f>IF(H1361="","",IF(ISNUMBER(N1361),N1361,I1361))</f>
        <v/>
      </c>
      <c r="B1361">
        <f>IF(H1361="","",U1361)</f>
        <v/>
      </c>
      <c r="C1361">
        <f>IF(H1361="","",IF(P1361="",K1361,INDEX('Students'!$A$2:$A$701,P1361)))</f>
        <v/>
      </c>
      <c r="D1361">
        <f>IF(OR(H1361="",P1361=""),"",INDEX('Students'!$B$2:$B$701,P1361))</f>
        <v/>
      </c>
      <c r="E1361">
        <f>IF(OR(H1361="",P1361=""),"",INDEX('Students'!$C$2:$C$701,P1361))</f>
        <v/>
      </c>
      <c r="F1361" s="48">
        <f>IF(H1361="","",IF(ISNUMBER(O1361),O1361,J1361))</f>
        <v/>
      </c>
      <c r="G1361">
        <f>IF(H1361="","","OneCause")</f>
        <v/>
      </c>
      <c r="H1361">
        <f>IF(AND(I1361="",J1361="",K1361=""),"",IF(NOT(ISNUMBER(O1361)),"Bad amount",IF(O1361&lt;0,"Refund (not counted)",IF(O1361=0,"Zero amount",IF(NOT(ISNUMBER(N1361)),"Bad date",IF(P1361="","NAME NOT ON ROSTER",IF(L1361="","OK",IF(MATCH(L1361,$L$2:$L$3001,0)&lt;ROW()-1,"Duplicate (ignored)","OK"))))))))</f>
        <v/>
      </c>
      <c r="I1361">
        <f>IF(OC_Date=0,"",IF(INDEX('OneCause_Paste'!$A$1361:$AZ$1361,1,OC_Date)="","",INDEX('OneCause_Paste'!$A$1361:$AZ$1361,1,OC_Date)))</f>
        <v/>
      </c>
      <c r="J1361">
        <f>IF(OC_Amt=0,"",IF(INDEX('OneCause_Paste'!$A$1361:$AZ$1361,1,OC_Amt)="","",INDEX('OneCause_Paste'!$A$1361:$AZ$1361,1,OC_Amt)))</f>
        <v/>
      </c>
      <c r="K1361">
        <f>IF(OC_Name=0,"",IF(INDEX('OneCause_Paste'!$A$1361:$AZ$1361,1,OC_Name)="","",INDEX('OneCause_Paste'!$A$1361:$AZ$1361,1,OC_Name)))</f>
        <v/>
      </c>
      <c r="L1361">
        <f>IF(OC_Txn=0,"",IF(INDEX('OneCause_Paste'!$A$1361:$AZ$1361,1,OC_Txn)="","",INDEX('OneCause_Paste'!$A$1361:$AZ$1361,1,OC_Txn)))</f>
        <v/>
      </c>
      <c r="M1361">
        <f>IF(OC_Pay=0,"",IF(INDEX('OneCause_Paste'!$A$1361:$AZ$1361,1,OC_Pay)="","",INDEX('OneCause_Paste'!$A$1361:$AZ$1361,1,OC_Pay)))</f>
        <v/>
      </c>
      <c r="N1361">
        <f>IF(I1361="","",IF(ISNUMBER(I1361),INT(I1361),IFERROR(INT(DATEVALUE(I1361)),IFERROR(INT(VALUE(I1361)),"bad"))))</f>
        <v/>
      </c>
      <c r="O1361">
        <f>IF(J1361="","",IF(ISNUMBER(J1361),ROUND(J1361,2),IFERROR(ROUND(VALUE(SUBSTITUTE(SUBSTITUTE(SUBSTITUTE(J1361,"$",""),",","")," ","")),2),"bad")))</f>
        <v/>
      </c>
      <c r="P1361">
        <f>IF(TRIM(K1361)="","",IFERROR(MATCH(LOWER(TRIM(K1361)),'Students'!$AH$2:$AH$701,0),IFERROR(MATCH(LOWER(TRIM(K1361)),'Students'!$AF$2:$AF$701,0),IFERROR(MATCH(LOWER(TRIM(K1361)),'Students'!$AG$2:$AG$701,0),""))))</f>
        <v/>
      </c>
      <c r="R1361">
        <f>IF(P1361="","",INDEX('Students'!$AD$2:$AD$701,P1361))</f>
        <v/>
      </c>
      <c r="S1361">
        <f>IF(H1361="OK",O1361,0)</f>
        <v/>
      </c>
      <c r="T1361">
        <f>IF(H1361="OK",N1361,"")</f>
        <v/>
      </c>
      <c r="U1361">
        <f>IF(OC_Donor=0,"",IF(INDEX('OneCause_Paste'!$A$1361:$AZ$1361,1,OC_Donor)="","",INDEX('OneCause_Paste'!$A$1361:$AZ$1361,1,OC_Donor)))</f>
        <v/>
      </c>
    </row>
    <row r="1362">
      <c r="A1362" s="62">
        <f>IF(H1362="","",IF(ISNUMBER(N1362),N1362,I1362))</f>
        <v/>
      </c>
      <c r="B1362">
        <f>IF(H1362="","",U1362)</f>
        <v/>
      </c>
      <c r="C1362">
        <f>IF(H1362="","",IF(P1362="",K1362,INDEX('Students'!$A$2:$A$701,P1362)))</f>
        <v/>
      </c>
      <c r="D1362">
        <f>IF(OR(H1362="",P1362=""),"",INDEX('Students'!$B$2:$B$701,P1362))</f>
        <v/>
      </c>
      <c r="E1362">
        <f>IF(OR(H1362="",P1362=""),"",INDEX('Students'!$C$2:$C$701,P1362))</f>
        <v/>
      </c>
      <c r="F1362" s="48">
        <f>IF(H1362="","",IF(ISNUMBER(O1362),O1362,J1362))</f>
        <v/>
      </c>
      <c r="G1362">
        <f>IF(H1362="","","OneCause")</f>
        <v/>
      </c>
      <c r="H1362">
        <f>IF(AND(I1362="",J1362="",K1362=""),"",IF(NOT(ISNUMBER(O1362)),"Bad amount",IF(O1362&lt;0,"Refund (not counted)",IF(O1362=0,"Zero amount",IF(NOT(ISNUMBER(N1362)),"Bad date",IF(P1362="","NAME NOT ON ROSTER",IF(L1362="","OK",IF(MATCH(L1362,$L$2:$L$3001,0)&lt;ROW()-1,"Duplicate (ignored)","OK"))))))))</f>
        <v/>
      </c>
      <c r="I1362">
        <f>IF(OC_Date=0,"",IF(INDEX('OneCause_Paste'!$A$1362:$AZ$1362,1,OC_Date)="","",INDEX('OneCause_Paste'!$A$1362:$AZ$1362,1,OC_Date)))</f>
        <v/>
      </c>
      <c r="J1362">
        <f>IF(OC_Amt=0,"",IF(INDEX('OneCause_Paste'!$A$1362:$AZ$1362,1,OC_Amt)="","",INDEX('OneCause_Paste'!$A$1362:$AZ$1362,1,OC_Amt)))</f>
        <v/>
      </c>
      <c r="K1362">
        <f>IF(OC_Name=0,"",IF(INDEX('OneCause_Paste'!$A$1362:$AZ$1362,1,OC_Name)="","",INDEX('OneCause_Paste'!$A$1362:$AZ$1362,1,OC_Name)))</f>
        <v/>
      </c>
      <c r="L1362">
        <f>IF(OC_Txn=0,"",IF(INDEX('OneCause_Paste'!$A$1362:$AZ$1362,1,OC_Txn)="","",INDEX('OneCause_Paste'!$A$1362:$AZ$1362,1,OC_Txn)))</f>
        <v/>
      </c>
      <c r="M1362">
        <f>IF(OC_Pay=0,"",IF(INDEX('OneCause_Paste'!$A$1362:$AZ$1362,1,OC_Pay)="","",INDEX('OneCause_Paste'!$A$1362:$AZ$1362,1,OC_Pay)))</f>
        <v/>
      </c>
      <c r="N1362">
        <f>IF(I1362="","",IF(ISNUMBER(I1362),INT(I1362),IFERROR(INT(DATEVALUE(I1362)),IFERROR(INT(VALUE(I1362)),"bad"))))</f>
        <v/>
      </c>
      <c r="O1362">
        <f>IF(J1362="","",IF(ISNUMBER(J1362),ROUND(J1362,2),IFERROR(ROUND(VALUE(SUBSTITUTE(SUBSTITUTE(SUBSTITUTE(J1362,"$",""),",","")," ","")),2),"bad")))</f>
        <v/>
      </c>
      <c r="P1362">
        <f>IF(TRIM(K1362)="","",IFERROR(MATCH(LOWER(TRIM(K1362)),'Students'!$AH$2:$AH$701,0),IFERROR(MATCH(LOWER(TRIM(K1362)),'Students'!$AF$2:$AF$701,0),IFERROR(MATCH(LOWER(TRIM(K1362)),'Students'!$AG$2:$AG$701,0),""))))</f>
        <v/>
      </c>
      <c r="R1362">
        <f>IF(P1362="","",INDEX('Students'!$AD$2:$AD$701,P1362))</f>
        <v/>
      </c>
      <c r="S1362">
        <f>IF(H1362="OK",O1362,0)</f>
        <v/>
      </c>
      <c r="T1362">
        <f>IF(H1362="OK",N1362,"")</f>
        <v/>
      </c>
      <c r="U1362">
        <f>IF(OC_Donor=0,"",IF(INDEX('OneCause_Paste'!$A$1362:$AZ$1362,1,OC_Donor)="","",INDEX('OneCause_Paste'!$A$1362:$AZ$1362,1,OC_Donor)))</f>
        <v/>
      </c>
    </row>
    <row r="1363">
      <c r="A1363" s="62">
        <f>IF(H1363="","",IF(ISNUMBER(N1363),N1363,I1363))</f>
        <v/>
      </c>
      <c r="B1363">
        <f>IF(H1363="","",U1363)</f>
        <v/>
      </c>
      <c r="C1363">
        <f>IF(H1363="","",IF(P1363="",K1363,INDEX('Students'!$A$2:$A$701,P1363)))</f>
        <v/>
      </c>
      <c r="D1363">
        <f>IF(OR(H1363="",P1363=""),"",INDEX('Students'!$B$2:$B$701,P1363))</f>
        <v/>
      </c>
      <c r="E1363">
        <f>IF(OR(H1363="",P1363=""),"",INDEX('Students'!$C$2:$C$701,P1363))</f>
        <v/>
      </c>
      <c r="F1363" s="48">
        <f>IF(H1363="","",IF(ISNUMBER(O1363),O1363,J1363))</f>
        <v/>
      </c>
      <c r="G1363">
        <f>IF(H1363="","","OneCause")</f>
        <v/>
      </c>
      <c r="H1363">
        <f>IF(AND(I1363="",J1363="",K1363=""),"",IF(NOT(ISNUMBER(O1363)),"Bad amount",IF(O1363&lt;0,"Refund (not counted)",IF(O1363=0,"Zero amount",IF(NOT(ISNUMBER(N1363)),"Bad date",IF(P1363="","NAME NOT ON ROSTER",IF(L1363="","OK",IF(MATCH(L1363,$L$2:$L$3001,0)&lt;ROW()-1,"Duplicate (ignored)","OK"))))))))</f>
        <v/>
      </c>
      <c r="I1363">
        <f>IF(OC_Date=0,"",IF(INDEX('OneCause_Paste'!$A$1363:$AZ$1363,1,OC_Date)="","",INDEX('OneCause_Paste'!$A$1363:$AZ$1363,1,OC_Date)))</f>
        <v/>
      </c>
      <c r="J1363">
        <f>IF(OC_Amt=0,"",IF(INDEX('OneCause_Paste'!$A$1363:$AZ$1363,1,OC_Amt)="","",INDEX('OneCause_Paste'!$A$1363:$AZ$1363,1,OC_Amt)))</f>
        <v/>
      </c>
      <c r="K1363">
        <f>IF(OC_Name=0,"",IF(INDEX('OneCause_Paste'!$A$1363:$AZ$1363,1,OC_Name)="","",INDEX('OneCause_Paste'!$A$1363:$AZ$1363,1,OC_Name)))</f>
        <v/>
      </c>
      <c r="L1363">
        <f>IF(OC_Txn=0,"",IF(INDEX('OneCause_Paste'!$A$1363:$AZ$1363,1,OC_Txn)="","",INDEX('OneCause_Paste'!$A$1363:$AZ$1363,1,OC_Txn)))</f>
        <v/>
      </c>
      <c r="M1363">
        <f>IF(OC_Pay=0,"",IF(INDEX('OneCause_Paste'!$A$1363:$AZ$1363,1,OC_Pay)="","",INDEX('OneCause_Paste'!$A$1363:$AZ$1363,1,OC_Pay)))</f>
        <v/>
      </c>
      <c r="N1363">
        <f>IF(I1363="","",IF(ISNUMBER(I1363),INT(I1363),IFERROR(INT(DATEVALUE(I1363)),IFERROR(INT(VALUE(I1363)),"bad"))))</f>
        <v/>
      </c>
      <c r="O1363">
        <f>IF(J1363="","",IF(ISNUMBER(J1363),ROUND(J1363,2),IFERROR(ROUND(VALUE(SUBSTITUTE(SUBSTITUTE(SUBSTITUTE(J1363,"$",""),",","")," ","")),2),"bad")))</f>
        <v/>
      </c>
      <c r="P1363">
        <f>IF(TRIM(K1363)="","",IFERROR(MATCH(LOWER(TRIM(K1363)),'Students'!$AH$2:$AH$701,0),IFERROR(MATCH(LOWER(TRIM(K1363)),'Students'!$AF$2:$AF$701,0),IFERROR(MATCH(LOWER(TRIM(K1363)),'Students'!$AG$2:$AG$701,0),""))))</f>
        <v/>
      </c>
      <c r="R1363">
        <f>IF(P1363="","",INDEX('Students'!$AD$2:$AD$701,P1363))</f>
        <v/>
      </c>
      <c r="S1363">
        <f>IF(H1363="OK",O1363,0)</f>
        <v/>
      </c>
      <c r="T1363">
        <f>IF(H1363="OK",N1363,"")</f>
        <v/>
      </c>
      <c r="U1363">
        <f>IF(OC_Donor=0,"",IF(INDEX('OneCause_Paste'!$A$1363:$AZ$1363,1,OC_Donor)="","",INDEX('OneCause_Paste'!$A$1363:$AZ$1363,1,OC_Donor)))</f>
        <v/>
      </c>
    </row>
    <row r="1364">
      <c r="A1364" s="62">
        <f>IF(H1364="","",IF(ISNUMBER(N1364),N1364,I1364))</f>
        <v/>
      </c>
      <c r="B1364">
        <f>IF(H1364="","",U1364)</f>
        <v/>
      </c>
      <c r="C1364">
        <f>IF(H1364="","",IF(P1364="",K1364,INDEX('Students'!$A$2:$A$701,P1364)))</f>
        <v/>
      </c>
      <c r="D1364">
        <f>IF(OR(H1364="",P1364=""),"",INDEX('Students'!$B$2:$B$701,P1364))</f>
        <v/>
      </c>
      <c r="E1364">
        <f>IF(OR(H1364="",P1364=""),"",INDEX('Students'!$C$2:$C$701,P1364))</f>
        <v/>
      </c>
      <c r="F1364" s="48">
        <f>IF(H1364="","",IF(ISNUMBER(O1364),O1364,J1364))</f>
        <v/>
      </c>
      <c r="G1364">
        <f>IF(H1364="","","OneCause")</f>
        <v/>
      </c>
      <c r="H1364">
        <f>IF(AND(I1364="",J1364="",K1364=""),"",IF(NOT(ISNUMBER(O1364)),"Bad amount",IF(O1364&lt;0,"Refund (not counted)",IF(O1364=0,"Zero amount",IF(NOT(ISNUMBER(N1364)),"Bad date",IF(P1364="","NAME NOT ON ROSTER",IF(L1364="","OK",IF(MATCH(L1364,$L$2:$L$3001,0)&lt;ROW()-1,"Duplicate (ignored)","OK"))))))))</f>
        <v/>
      </c>
      <c r="I1364">
        <f>IF(OC_Date=0,"",IF(INDEX('OneCause_Paste'!$A$1364:$AZ$1364,1,OC_Date)="","",INDEX('OneCause_Paste'!$A$1364:$AZ$1364,1,OC_Date)))</f>
        <v/>
      </c>
      <c r="J1364">
        <f>IF(OC_Amt=0,"",IF(INDEX('OneCause_Paste'!$A$1364:$AZ$1364,1,OC_Amt)="","",INDEX('OneCause_Paste'!$A$1364:$AZ$1364,1,OC_Amt)))</f>
        <v/>
      </c>
      <c r="K1364">
        <f>IF(OC_Name=0,"",IF(INDEX('OneCause_Paste'!$A$1364:$AZ$1364,1,OC_Name)="","",INDEX('OneCause_Paste'!$A$1364:$AZ$1364,1,OC_Name)))</f>
        <v/>
      </c>
      <c r="L1364">
        <f>IF(OC_Txn=0,"",IF(INDEX('OneCause_Paste'!$A$1364:$AZ$1364,1,OC_Txn)="","",INDEX('OneCause_Paste'!$A$1364:$AZ$1364,1,OC_Txn)))</f>
        <v/>
      </c>
      <c r="M1364">
        <f>IF(OC_Pay=0,"",IF(INDEX('OneCause_Paste'!$A$1364:$AZ$1364,1,OC_Pay)="","",INDEX('OneCause_Paste'!$A$1364:$AZ$1364,1,OC_Pay)))</f>
        <v/>
      </c>
      <c r="N1364">
        <f>IF(I1364="","",IF(ISNUMBER(I1364),INT(I1364),IFERROR(INT(DATEVALUE(I1364)),IFERROR(INT(VALUE(I1364)),"bad"))))</f>
        <v/>
      </c>
      <c r="O1364">
        <f>IF(J1364="","",IF(ISNUMBER(J1364),ROUND(J1364,2),IFERROR(ROUND(VALUE(SUBSTITUTE(SUBSTITUTE(SUBSTITUTE(J1364,"$",""),",","")," ","")),2),"bad")))</f>
        <v/>
      </c>
      <c r="P1364">
        <f>IF(TRIM(K1364)="","",IFERROR(MATCH(LOWER(TRIM(K1364)),'Students'!$AH$2:$AH$701,0),IFERROR(MATCH(LOWER(TRIM(K1364)),'Students'!$AF$2:$AF$701,0),IFERROR(MATCH(LOWER(TRIM(K1364)),'Students'!$AG$2:$AG$701,0),""))))</f>
        <v/>
      </c>
      <c r="R1364">
        <f>IF(P1364="","",INDEX('Students'!$AD$2:$AD$701,P1364))</f>
        <v/>
      </c>
      <c r="S1364">
        <f>IF(H1364="OK",O1364,0)</f>
        <v/>
      </c>
      <c r="T1364">
        <f>IF(H1364="OK",N1364,"")</f>
        <v/>
      </c>
      <c r="U1364">
        <f>IF(OC_Donor=0,"",IF(INDEX('OneCause_Paste'!$A$1364:$AZ$1364,1,OC_Donor)="","",INDEX('OneCause_Paste'!$A$1364:$AZ$1364,1,OC_Donor)))</f>
        <v/>
      </c>
    </row>
    <row r="1365">
      <c r="A1365" s="62">
        <f>IF(H1365="","",IF(ISNUMBER(N1365),N1365,I1365))</f>
        <v/>
      </c>
      <c r="B1365">
        <f>IF(H1365="","",U1365)</f>
        <v/>
      </c>
      <c r="C1365">
        <f>IF(H1365="","",IF(P1365="",K1365,INDEX('Students'!$A$2:$A$701,P1365)))</f>
        <v/>
      </c>
      <c r="D1365">
        <f>IF(OR(H1365="",P1365=""),"",INDEX('Students'!$B$2:$B$701,P1365))</f>
        <v/>
      </c>
      <c r="E1365">
        <f>IF(OR(H1365="",P1365=""),"",INDEX('Students'!$C$2:$C$701,P1365))</f>
        <v/>
      </c>
      <c r="F1365" s="48">
        <f>IF(H1365="","",IF(ISNUMBER(O1365),O1365,J1365))</f>
        <v/>
      </c>
      <c r="G1365">
        <f>IF(H1365="","","OneCause")</f>
        <v/>
      </c>
      <c r="H1365">
        <f>IF(AND(I1365="",J1365="",K1365=""),"",IF(NOT(ISNUMBER(O1365)),"Bad amount",IF(O1365&lt;0,"Refund (not counted)",IF(O1365=0,"Zero amount",IF(NOT(ISNUMBER(N1365)),"Bad date",IF(P1365="","NAME NOT ON ROSTER",IF(L1365="","OK",IF(MATCH(L1365,$L$2:$L$3001,0)&lt;ROW()-1,"Duplicate (ignored)","OK"))))))))</f>
        <v/>
      </c>
      <c r="I1365">
        <f>IF(OC_Date=0,"",IF(INDEX('OneCause_Paste'!$A$1365:$AZ$1365,1,OC_Date)="","",INDEX('OneCause_Paste'!$A$1365:$AZ$1365,1,OC_Date)))</f>
        <v/>
      </c>
      <c r="J1365">
        <f>IF(OC_Amt=0,"",IF(INDEX('OneCause_Paste'!$A$1365:$AZ$1365,1,OC_Amt)="","",INDEX('OneCause_Paste'!$A$1365:$AZ$1365,1,OC_Amt)))</f>
        <v/>
      </c>
      <c r="K1365">
        <f>IF(OC_Name=0,"",IF(INDEX('OneCause_Paste'!$A$1365:$AZ$1365,1,OC_Name)="","",INDEX('OneCause_Paste'!$A$1365:$AZ$1365,1,OC_Name)))</f>
        <v/>
      </c>
      <c r="L1365">
        <f>IF(OC_Txn=0,"",IF(INDEX('OneCause_Paste'!$A$1365:$AZ$1365,1,OC_Txn)="","",INDEX('OneCause_Paste'!$A$1365:$AZ$1365,1,OC_Txn)))</f>
        <v/>
      </c>
      <c r="M1365">
        <f>IF(OC_Pay=0,"",IF(INDEX('OneCause_Paste'!$A$1365:$AZ$1365,1,OC_Pay)="","",INDEX('OneCause_Paste'!$A$1365:$AZ$1365,1,OC_Pay)))</f>
        <v/>
      </c>
      <c r="N1365">
        <f>IF(I1365="","",IF(ISNUMBER(I1365),INT(I1365),IFERROR(INT(DATEVALUE(I1365)),IFERROR(INT(VALUE(I1365)),"bad"))))</f>
        <v/>
      </c>
      <c r="O1365">
        <f>IF(J1365="","",IF(ISNUMBER(J1365),ROUND(J1365,2),IFERROR(ROUND(VALUE(SUBSTITUTE(SUBSTITUTE(SUBSTITUTE(J1365,"$",""),",","")," ","")),2),"bad")))</f>
        <v/>
      </c>
      <c r="P1365">
        <f>IF(TRIM(K1365)="","",IFERROR(MATCH(LOWER(TRIM(K1365)),'Students'!$AH$2:$AH$701,0),IFERROR(MATCH(LOWER(TRIM(K1365)),'Students'!$AF$2:$AF$701,0),IFERROR(MATCH(LOWER(TRIM(K1365)),'Students'!$AG$2:$AG$701,0),""))))</f>
        <v/>
      </c>
      <c r="R1365">
        <f>IF(P1365="","",INDEX('Students'!$AD$2:$AD$701,P1365))</f>
        <v/>
      </c>
      <c r="S1365">
        <f>IF(H1365="OK",O1365,0)</f>
        <v/>
      </c>
      <c r="T1365">
        <f>IF(H1365="OK",N1365,"")</f>
        <v/>
      </c>
      <c r="U1365">
        <f>IF(OC_Donor=0,"",IF(INDEX('OneCause_Paste'!$A$1365:$AZ$1365,1,OC_Donor)="","",INDEX('OneCause_Paste'!$A$1365:$AZ$1365,1,OC_Donor)))</f>
        <v/>
      </c>
    </row>
    <row r="1366">
      <c r="A1366" s="62">
        <f>IF(H1366="","",IF(ISNUMBER(N1366),N1366,I1366))</f>
        <v/>
      </c>
      <c r="B1366">
        <f>IF(H1366="","",U1366)</f>
        <v/>
      </c>
      <c r="C1366">
        <f>IF(H1366="","",IF(P1366="",K1366,INDEX('Students'!$A$2:$A$701,P1366)))</f>
        <v/>
      </c>
      <c r="D1366">
        <f>IF(OR(H1366="",P1366=""),"",INDEX('Students'!$B$2:$B$701,P1366))</f>
        <v/>
      </c>
      <c r="E1366">
        <f>IF(OR(H1366="",P1366=""),"",INDEX('Students'!$C$2:$C$701,P1366))</f>
        <v/>
      </c>
      <c r="F1366" s="48">
        <f>IF(H1366="","",IF(ISNUMBER(O1366),O1366,J1366))</f>
        <v/>
      </c>
      <c r="G1366">
        <f>IF(H1366="","","OneCause")</f>
        <v/>
      </c>
      <c r="H1366">
        <f>IF(AND(I1366="",J1366="",K1366=""),"",IF(NOT(ISNUMBER(O1366)),"Bad amount",IF(O1366&lt;0,"Refund (not counted)",IF(O1366=0,"Zero amount",IF(NOT(ISNUMBER(N1366)),"Bad date",IF(P1366="","NAME NOT ON ROSTER",IF(L1366="","OK",IF(MATCH(L1366,$L$2:$L$3001,0)&lt;ROW()-1,"Duplicate (ignored)","OK"))))))))</f>
        <v/>
      </c>
      <c r="I1366">
        <f>IF(OC_Date=0,"",IF(INDEX('OneCause_Paste'!$A$1366:$AZ$1366,1,OC_Date)="","",INDEX('OneCause_Paste'!$A$1366:$AZ$1366,1,OC_Date)))</f>
        <v/>
      </c>
      <c r="J1366">
        <f>IF(OC_Amt=0,"",IF(INDEX('OneCause_Paste'!$A$1366:$AZ$1366,1,OC_Amt)="","",INDEX('OneCause_Paste'!$A$1366:$AZ$1366,1,OC_Amt)))</f>
        <v/>
      </c>
      <c r="K1366">
        <f>IF(OC_Name=0,"",IF(INDEX('OneCause_Paste'!$A$1366:$AZ$1366,1,OC_Name)="","",INDEX('OneCause_Paste'!$A$1366:$AZ$1366,1,OC_Name)))</f>
        <v/>
      </c>
      <c r="L1366">
        <f>IF(OC_Txn=0,"",IF(INDEX('OneCause_Paste'!$A$1366:$AZ$1366,1,OC_Txn)="","",INDEX('OneCause_Paste'!$A$1366:$AZ$1366,1,OC_Txn)))</f>
        <v/>
      </c>
      <c r="M1366">
        <f>IF(OC_Pay=0,"",IF(INDEX('OneCause_Paste'!$A$1366:$AZ$1366,1,OC_Pay)="","",INDEX('OneCause_Paste'!$A$1366:$AZ$1366,1,OC_Pay)))</f>
        <v/>
      </c>
      <c r="N1366">
        <f>IF(I1366="","",IF(ISNUMBER(I1366),INT(I1366),IFERROR(INT(DATEVALUE(I1366)),IFERROR(INT(VALUE(I1366)),"bad"))))</f>
        <v/>
      </c>
      <c r="O1366">
        <f>IF(J1366="","",IF(ISNUMBER(J1366),ROUND(J1366,2),IFERROR(ROUND(VALUE(SUBSTITUTE(SUBSTITUTE(SUBSTITUTE(J1366,"$",""),",","")," ","")),2),"bad")))</f>
        <v/>
      </c>
      <c r="P1366">
        <f>IF(TRIM(K1366)="","",IFERROR(MATCH(LOWER(TRIM(K1366)),'Students'!$AH$2:$AH$701,0),IFERROR(MATCH(LOWER(TRIM(K1366)),'Students'!$AF$2:$AF$701,0),IFERROR(MATCH(LOWER(TRIM(K1366)),'Students'!$AG$2:$AG$701,0),""))))</f>
        <v/>
      </c>
      <c r="R1366">
        <f>IF(P1366="","",INDEX('Students'!$AD$2:$AD$701,P1366))</f>
        <v/>
      </c>
      <c r="S1366">
        <f>IF(H1366="OK",O1366,0)</f>
        <v/>
      </c>
      <c r="T1366">
        <f>IF(H1366="OK",N1366,"")</f>
        <v/>
      </c>
      <c r="U1366">
        <f>IF(OC_Donor=0,"",IF(INDEX('OneCause_Paste'!$A$1366:$AZ$1366,1,OC_Donor)="","",INDEX('OneCause_Paste'!$A$1366:$AZ$1366,1,OC_Donor)))</f>
        <v/>
      </c>
    </row>
    <row r="1367">
      <c r="A1367" s="62">
        <f>IF(H1367="","",IF(ISNUMBER(N1367),N1367,I1367))</f>
        <v/>
      </c>
      <c r="B1367">
        <f>IF(H1367="","",U1367)</f>
        <v/>
      </c>
      <c r="C1367">
        <f>IF(H1367="","",IF(P1367="",K1367,INDEX('Students'!$A$2:$A$701,P1367)))</f>
        <v/>
      </c>
      <c r="D1367">
        <f>IF(OR(H1367="",P1367=""),"",INDEX('Students'!$B$2:$B$701,P1367))</f>
        <v/>
      </c>
      <c r="E1367">
        <f>IF(OR(H1367="",P1367=""),"",INDEX('Students'!$C$2:$C$701,P1367))</f>
        <v/>
      </c>
      <c r="F1367" s="48">
        <f>IF(H1367="","",IF(ISNUMBER(O1367),O1367,J1367))</f>
        <v/>
      </c>
      <c r="G1367">
        <f>IF(H1367="","","OneCause")</f>
        <v/>
      </c>
      <c r="H1367">
        <f>IF(AND(I1367="",J1367="",K1367=""),"",IF(NOT(ISNUMBER(O1367)),"Bad amount",IF(O1367&lt;0,"Refund (not counted)",IF(O1367=0,"Zero amount",IF(NOT(ISNUMBER(N1367)),"Bad date",IF(P1367="","NAME NOT ON ROSTER",IF(L1367="","OK",IF(MATCH(L1367,$L$2:$L$3001,0)&lt;ROW()-1,"Duplicate (ignored)","OK"))))))))</f>
        <v/>
      </c>
      <c r="I1367">
        <f>IF(OC_Date=0,"",IF(INDEX('OneCause_Paste'!$A$1367:$AZ$1367,1,OC_Date)="","",INDEX('OneCause_Paste'!$A$1367:$AZ$1367,1,OC_Date)))</f>
        <v/>
      </c>
      <c r="J1367">
        <f>IF(OC_Amt=0,"",IF(INDEX('OneCause_Paste'!$A$1367:$AZ$1367,1,OC_Amt)="","",INDEX('OneCause_Paste'!$A$1367:$AZ$1367,1,OC_Amt)))</f>
        <v/>
      </c>
      <c r="K1367">
        <f>IF(OC_Name=0,"",IF(INDEX('OneCause_Paste'!$A$1367:$AZ$1367,1,OC_Name)="","",INDEX('OneCause_Paste'!$A$1367:$AZ$1367,1,OC_Name)))</f>
        <v/>
      </c>
      <c r="L1367">
        <f>IF(OC_Txn=0,"",IF(INDEX('OneCause_Paste'!$A$1367:$AZ$1367,1,OC_Txn)="","",INDEX('OneCause_Paste'!$A$1367:$AZ$1367,1,OC_Txn)))</f>
        <v/>
      </c>
      <c r="M1367">
        <f>IF(OC_Pay=0,"",IF(INDEX('OneCause_Paste'!$A$1367:$AZ$1367,1,OC_Pay)="","",INDEX('OneCause_Paste'!$A$1367:$AZ$1367,1,OC_Pay)))</f>
        <v/>
      </c>
      <c r="N1367">
        <f>IF(I1367="","",IF(ISNUMBER(I1367),INT(I1367),IFERROR(INT(DATEVALUE(I1367)),IFERROR(INT(VALUE(I1367)),"bad"))))</f>
        <v/>
      </c>
      <c r="O1367">
        <f>IF(J1367="","",IF(ISNUMBER(J1367),ROUND(J1367,2),IFERROR(ROUND(VALUE(SUBSTITUTE(SUBSTITUTE(SUBSTITUTE(J1367,"$",""),",","")," ","")),2),"bad")))</f>
        <v/>
      </c>
      <c r="P1367">
        <f>IF(TRIM(K1367)="","",IFERROR(MATCH(LOWER(TRIM(K1367)),'Students'!$AH$2:$AH$701,0),IFERROR(MATCH(LOWER(TRIM(K1367)),'Students'!$AF$2:$AF$701,0),IFERROR(MATCH(LOWER(TRIM(K1367)),'Students'!$AG$2:$AG$701,0),""))))</f>
        <v/>
      </c>
      <c r="R1367">
        <f>IF(P1367="","",INDEX('Students'!$AD$2:$AD$701,P1367))</f>
        <v/>
      </c>
      <c r="S1367">
        <f>IF(H1367="OK",O1367,0)</f>
        <v/>
      </c>
      <c r="T1367">
        <f>IF(H1367="OK",N1367,"")</f>
        <v/>
      </c>
      <c r="U1367">
        <f>IF(OC_Donor=0,"",IF(INDEX('OneCause_Paste'!$A$1367:$AZ$1367,1,OC_Donor)="","",INDEX('OneCause_Paste'!$A$1367:$AZ$1367,1,OC_Donor)))</f>
        <v/>
      </c>
    </row>
    <row r="1368">
      <c r="A1368" s="62">
        <f>IF(H1368="","",IF(ISNUMBER(N1368),N1368,I1368))</f>
        <v/>
      </c>
      <c r="B1368">
        <f>IF(H1368="","",U1368)</f>
        <v/>
      </c>
      <c r="C1368">
        <f>IF(H1368="","",IF(P1368="",K1368,INDEX('Students'!$A$2:$A$701,P1368)))</f>
        <v/>
      </c>
      <c r="D1368">
        <f>IF(OR(H1368="",P1368=""),"",INDEX('Students'!$B$2:$B$701,P1368))</f>
        <v/>
      </c>
      <c r="E1368">
        <f>IF(OR(H1368="",P1368=""),"",INDEX('Students'!$C$2:$C$701,P1368))</f>
        <v/>
      </c>
      <c r="F1368" s="48">
        <f>IF(H1368="","",IF(ISNUMBER(O1368),O1368,J1368))</f>
        <v/>
      </c>
      <c r="G1368">
        <f>IF(H1368="","","OneCause")</f>
        <v/>
      </c>
      <c r="H1368">
        <f>IF(AND(I1368="",J1368="",K1368=""),"",IF(NOT(ISNUMBER(O1368)),"Bad amount",IF(O1368&lt;0,"Refund (not counted)",IF(O1368=0,"Zero amount",IF(NOT(ISNUMBER(N1368)),"Bad date",IF(P1368="","NAME NOT ON ROSTER",IF(L1368="","OK",IF(MATCH(L1368,$L$2:$L$3001,0)&lt;ROW()-1,"Duplicate (ignored)","OK"))))))))</f>
        <v/>
      </c>
      <c r="I1368">
        <f>IF(OC_Date=0,"",IF(INDEX('OneCause_Paste'!$A$1368:$AZ$1368,1,OC_Date)="","",INDEX('OneCause_Paste'!$A$1368:$AZ$1368,1,OC_Date)))</f>
        <v/>
      </c>
      <c r="J1368">
        <f>IF(OC_Amt=0,"",IF(INDEX('OneCause_Paste'!$A$1368:$AZ$1368,1,OC_Amt)="","",INDEX('OneCause_Paste'!$A$1368:$AZ$1368,1,OC_Amt)))</f>
        <v/>
      </c>
      <c r="K1368">
        <f>IF(OC_Name=0,"",IF(INDEX('OneCause_Paste'!$A$1368:$AZ$1368,1,OC_Name)="","",INDEX('OneCause_Paste'!$A$1368:$AZ$1368,1,OC_Name)))</f>
        <v/>
      </c>
      <c r="L1368">
        <f>IF(OC_Txn=0,"",IF(INDEX('OneCause_Paste'!$A$1368:$AZ$1368,1,OC_Txn)="","",INDEX('OneCause_Paste'!$A$1368:$AZ$1368,1,OC_Txn)))</f>
        <v/>
      </c>
      <c r="M1368">
        <f>IF(OC_Pay=0,"",IF(INDEX('OneCause_Paste'!$A$1368:$AZ$1368,1,OC_Pay)="","",INDEX('OneCause_Paste'!$A$1368:$AZ$1368,1,OC_Pay)))</f>
        <v/>
      </c>
      <c r="N1368">
        <f>IF(I1368="","",IF(ISNUMBER(I1368),INT(I1368),IFERROR(INT(DATEVALUE(I1368)),IFERROR(INT(VALUE(I1368)),"bad"))))</f>
        <v/>
      </c>
      <c r="O1368">
        <f>IF(J1368="","",IF(ISNUMBER(J1368),ROUND(J1368,2),IFERROR(ROUND(VALUE(SUBSTITUTE(SUBSTITUTE(SUBSTITUTE(J1368,"$",""),",","")," ","")),2),"bad")))</f>
        <v/>
      </c>
      <c r="P1368">
        <f>IF(TRIM(K1368)="","",IFERROR(MATCH(LOWER(TRIM(K1368)),'Students'!$AH$2:$AH$701,0),IFERROR(MATCH(LOWER(TRIM(K1368)),'Students'!$AF$2:$AF$701,0),IFERROR(MATCH(LOWER(TRIM(K1368)),'Students'!$AG$2:$AG$701,0),""))))</f>
        <v/>
      </c>
      <c r="R1368">
        <f>IF(P1368="","",INDEX('Students'!$AD$2:$AD$701,P1368))</f>
        <v/>
      </c>
      <c r="S1368">
        <f>IF(H1368="OK",O1368,0)</f>
        <v/>
      </c>
      <c r="T1368">
        <f>IF(H1368="OK",N1368,"")</f>
        <v/>
      </c>
      <c r="U1368">
        <f>IF(OC_Donor=0,"",IF(INDEX('OneCause_Paste'!$A$1368:$AZ$1368,1,OC_Donor)="","",INDEX('OneCause_Paste'!$A$1368:$AZ$1368,1,OC_Donor)))</f>
        <v/>
      </c>
    </row>
    <row r="1369">
      <c r="A1369" s="62">
        <f>IF(H1369="","",IF(ISNUMBER(N1369),N1369,I1369))</f>
        <v/>
      </c>
      <c r="B1369">
        <f>IF(H1369="","",U1369)</f>
        <v/>
      </c>
      <c r="C1369">
        <f>IF(H1369="","",IF(P1369="",K1369,INDEX('Students'!$A$2:$A$701,P1369)))</f>
        <v/>
      </c>
      <c r="D1369">
        <f>IF(OR(H1369="",P1369=""),"",INDEX('Students'!$B$2:$B$701,P1369))</f>
        <v/>
      </c>
      <c r="E1369">
        <f>IF(OR(H1369="",P1369=""),"",INDEX('Students'!$C$2:$C$701,P1369))</f>
        <v/>
      </c>
      <c r="F1369" s="48">
        <f>IF(H1369="","",IF(ISNUMBER(O1369),O1369,J1369))</f>
        <v/>
      </c>
      <c r="G1369">
        <f>IF(H1369="","","OneCause")</f>
        <v/>
      </c>
      <c r="H1369">
        <f>IF(AND(I1369="",J1369="",K1369=""),"",IF(NOT(ISNUMBER(O1369)),"Bad amount",IF(O1369&lt;0,"Refund (not counted)",IF(O1369=0,"Zero amount",IF(NOT(ISNUMBER(N1369)),"Bad date",IF(P1369="","NAME NOT ON ROSTER",IF(L1369="","OK",IF(MATCH(L1369,$L$2:$L$3001,0)&lt;ROW()-1,"Duplicate (ignored)","OK"))))))))</f>
        <v/>
      </c>
      <c r="I1369">
        <f>IF(OC_Date=0,"",IF(INDEX('OneCause_Paste'!$A$1369:$AZ$1369,1,OC_Date)="","",INDEX('OneCause_Paste'!$A$1369:$AZ$1369,1,OC_Date)))</f>
        <v/>
      </c>
      <c r="J1369">
        <f>IF(OC_Amt=0,"",IF(INDEX('OneCause_Paste'!$A$1369:$AZ$1369,1,OC_Amt)="","",INDEX('OneCause_Paste'!$A$1369:$AZ$1369,1,OC_Amt)))</f>
        <v/>
      </c>
      <c r="K1369">
        <f>IF(OC_Name=0,"",IF(INDEX('OneCause_Paste'!$A$1369:$AZ$1369,1,OC_Name)="","",INDEX('OneCause_Paste'!$A$1369:$AZ$1369,1,OC_Name)))</f>
        <v/>
      </c>
      <c r="L1369">
        <f>IF(OC_Txn=0,"",IF(INDEX('OneCause_Paste'!$A$1369:$AZ$1369,1,OC_Txn)="","",INDEX('OneCause_Paste'!$A$1369:$AZ$1369,1,OC_Txn)))</f>
        <v/>
      </c>
      <c r="M1369">
        <f>IF(OC_Pay=0,"",IF(INDEX('OneCause_Paste'!$A$1369:$AZ$1369,1,OC_Pay)="","",INDEX('OneCause_Paste'!$A$1369:$AZ$1369,1,OC_Pay)))</f>
        <v/>
      </c>
      <c r="N1369">
        <f>IF(I1369="","",IF(ISNUMBER(I1369),INT(I1369),IFERROR(INT(DATEVALUE(I1369)),IFERROR(INT(VALUE(I1369)),"bad"))))</f>
        <v/>
      </c>
      <c r="O1369">
        <f>IF(J1369="","",IF(ISNUMBER(J1369),ROUND(J1369,2),IFERROR(ROUND(VALUE(SUBSTITUTE(SUBSTITUTE(SUBSTITUTE(J1369,"$",""),",","")," ","")),2),"bad")))</f>
        <v/>
      </c>
      <c r="P1369">
        <f>IF(TRIM(K1369)="","",IFERROR(MATCH(LOWER(TRIM(K1369)),'Students'!$AH$2:$AH$701,0),IFERROR(MATCH(LOWER(TRIM(K1369)),'Students'!$AF$2:$AF$701,0),IFERROR(MATCH(LOWER(TRIM(K1369)),'Students'!$AG$2:$AG$701,0),""))))</f>
        <v/>
      </c>
      <c r="R1369">
        <f>IF(P1369="","",INDEX('Students'!$AD$2:$AD$701,P1369))</f>
        <v/>
      </c>
      <c r="S1369">
        <f>IF(H1369="OK",O1369,0)</f>
        <v/>
      </c>
      <c r="T1369">
        <f>IF(H1369="OK",N1369,"")</f>
        <v/>
      </c>
      <c r="U1369">
        <f>IF(OC_Donor=0,"",IF(INDEX('OneCause_Paste'!$A$1369:$AZ$1369,1,OC_Donor)="","",INDEX('OneCause_Paste'!$A$1369:$AZ$1369,1,OC_Donor)))</f>
        <v/>
      </c>
    </row>
    <row r="1370">
      <c r="A1370" s="62">
        <f>IF(H1370="","",IF(ISNUMBER(N1370),N1370,I1370))</f>
        <v/>
      </c>
      <c r="B1370">
        <f>IF(H1370="","",U1370)</f>
        <v/>
      </c>
      <c r="C1370">
        <f>IF(H1370="","",IF(P1370="",K1370,INDEX('Students'!$A$2:$A$701,P1370)))</f>
        <v/>
      </c>
      <c r="D1370">
        <f>IF(OR(H1370="",P1370=""),"",INDEX('Students'!$B$2:$B$701,P1370))</f>
        <v/>
      </c>
      <c r="E1370">
        <f>IF(OR(H1370="",P1370=""),"",INDEX('Students'!$C$2:$C$701,P1370))</f>
        <v/>
      </c>
      <c r="F1370" s="48">
        <f>IF(H1370="","",IF(ISNUMBER(O1370),O1370,J1370))</f>
        <v/>
      </c>
      <c r="G1370">
        <f>IF(H1370="","","OneCause")</f>
        <v/>
      </c>
      <c r="H1370">
        <f>IF(AND(I1370="",J1370="",K1370=""),"",IF(NOT(ISNUMBER(O1370)),"Bad amount",IF(O1370&lt;0,"Refund (not counted)",IF(O1370=0,"Zero amount",IF(NOT(ISNUMBER(N1370)),"Bad date",IF(P1370="","NAME NOT ON ROSTER",IF(L1370="","OK",IF(MATCH(L1370,$L$2:$L$3001,0)&lt;ROW()-1,"Duplicate (ignored)","OK"))))))))</f>
        <v/>
      </c>
      <c r="I1370">
        <f>IF(OC_Date=0,"",IF(INDEX('OneCause_Paste'!$A$1370:$AZ$1370,1,OC_Date)="","",INDEX('OneCause_Paste'!$A$1370:$AZ$1370,1,OC_Date)))</f>
        <v/>
      </c>
      <c r="J1370">
        <f>IF(OC_Amt=0,"",IF(INDEX('OneCause_Paste'!$A$1370:$AZ$1370,1,OC_Amt)="","",INDEX('OneCause_Paste'!$A$1370:$AZ$1370,1,OC_Amt)))</f>
        <v/>
      </c>
      <c r="K1370">
        <f>IF(OC_Name=0,"",IF(INDEX('OneCause_Paste'!$A$1370:$AZ$1370,1,OC_Name)="","",INDEX('OneCause_Paste'!$A$1370:$AZ$1370,1,OC_Name)))</f>
        <v/>
      </c>
      <c r="L1370">
        <f>IF(OC_Txn=0,"",IF(INDEX('OneCause_Paste'!$A$1370:$AZ$1370,1,OC_Txn)="","",INDEX('OneCause_Paste'!$A$1370:$AZ$1370,1,OC_Txn)))</f>
        <v/>
      </c>
      <c r="M1370">
        <f>IF(OC_Pay=0,"",IF(INDEX('OneCause_Paste'!$A$1370:$AZ$1370,1,OC_Pay)="","",INDEX('OneCause_Paste'!$A$1370:$AZ$1370,1,OC_Pay)))</f>
        <v/>
      </c>
      <c r="N1370">
        <f>IF(I1370="","",IF(ISNUMBER(I1370),INT(I1370),IFERROR(INT(DATEVALUE(I1370)),IFERROR(INT(VALUE(I1370)),"bad"))))</f>
        <v/>
      </c>
      <c r="O1370">
        <f>IF(J1370="","",IF(ISNUMBER(J1370),ROUND(J1370,2),IFERROR(ROUND(VALUE(SUBSTITUTE(SUBSTITUTE(SUBSTITUTE(J1370,"$",""),",","")," ","")),2),"bad")))</f>
        <v/>
      </c>
      <c r="P1370">
        <f>IF(TRIM(K1370)="","",IFERROR(MATCH(LOWER(TRIM(K1370)),'Students'!$AH$2:$AH$701,0),IFERROR(MATCH(LOWER(TRIM(K1370)),'Students'!$AF$2:$AF$701,0),IFERROR(MATCH(LOWER(TRIM(K1370)),'Students'!$AG$2:$AG$701,0),""))))</f>
        <v/>
      </c>
      <c r="R1370">
        <f>IF(P1370="","",INDEX('Students'!$AD$2:$AD$701,P1370))</f>
        <v/>
      </c>
      <c r="S1370">
        <f>IF(H1370="OK",O1370,0)</f>
        <v/>
      </c>
      <c r="T1370">
        <f>IF(H1370="OK",N1370,"")</f>
        <v/>
      </c>
      <c r="U1370">
        <f>IF(OC_Donor=0,"",IF(INDEX('OneCause_Paste'!$A$1370:$AZ$1370,1,OC_Donor)="","",INDEX('OneCause_Paste'!$A$1370:$AZ$1370,1,OC_Donor)))</f>
        <v/>
      </c>
    </row>
    <row r="1371">
      <c r="A1371" s="62">
        <f>IF(H1371="","",IF(ISNUMBER(N1371),N1371,I1371))</f>
        <v/>
      </c>
      <c r="B1371">
        <f>IF(H1371="","",U1371)</f>
        <v/>
      </c>
      <c r="C1371">
        <f>IF(H1371="","",IF(P1371="",K1371,INDEX('Students'!$A$2:$A$701,P1371)))</f>
        <v/>
      </c>
      <c r="D1371">
        <f>IF(OR(H1371="",P1371=""),"",INDEX('Students'!$B$2:$B$701,P1371))</f>
        <v/>
      </c>
      <c r="E1371">
        <f>IF(OR(H1371="",P1371=""),"",INDEX('Students'!$C$2:$C$701,P1371))</f>
        <v/>
      </c>
      <c r="F1371" s="48">
        <f>IF(H1371="","",IF(ISNUMBER(O1371),O1371,J1371))</f>
        <v/>
      </c>
      <c r="G1371">
        <f>IF(H1371="","","OneCause")</f>
        <v/>
      </c>
      <c r="H1371">
        <f>IF(AND(I1371="",J1371="",K1371=""),"",IF(NOT(ISNUMBER(O1371)),"Bad amount",IF(O1371&lt;0,"Refund (not counted)",IF(O1371=0,"Zero amount",IF(NOT(ISNUMBER(N1371)),"Bad date",IF(P1371="","NAME NOT ON ROSTER",IF(L1371="","OK",IF(MATCH(L1371,$L$2:$L$3001,0)&lt;ROW()-1,"Duplicate (ignored)","OK"))))))))</f>
        <v/>
      </c>
      <c r="I1371">
        <f>IF(OC_Date=0,"",IF(INDEX('OneCause_Paste'!$A$1371:$AZ$1371,1,OC_Date)="","",INDEX('OneCause_Paste'!$A$1371:$AZ$1371,1,OC_Date)))</f>
        <v/>
      </c>
      <c r="J1371">
        <f>IF(OC_Amt=0,"",IF(INDEX('OneCause_Paste'!$A$1371:$AZ$1371,1,OC_Amt)="","",INDEX('OneCause_Paste'!$A$1371:$AZ$1371,1,OC_Amt)))</f>
        <v/>
      </c>
      <c r="K1371">
        <f>IF(OC_Name=0,"",IF(INDEX('OneCause_Paste'!$A$1371:$AZ$1371,1,OC_Name)="","",INDEX('OneCause_Paste'!$A$1371:$AZ$1371,1,OC_Name)))</f>
        <v/>
      </c>
      <c r="L1371">
        <f>IF(OC_Txn=0,"",IF(INDEX('OneCause_Paste'!$A$1371:$AZ$1371,1,OC_Txn)="","",INDEX('OneCause_Paste'!$A$1371:$AZ$1371,1,OC_Txn)))</f>
        <v/>
      </c>
      <c r="M1371">
        <f>IF(OC_Pay=0,"",IF(INDEX('OneCause_Paste'!$A$1371:$AZ$1371,1,OC_Pay)="","",INDEX('OneCause_Paste'!$A$1371:$AZ$1371,1,OC_Pay)))</f>
        <v/>
      </c>
      <c r="N1371">
        <f>IF(I1371="","",IF(ISNUMBER(I1371),INT(I1371),IFERROR(INT(DATEVALUE(I1371)),IFERROR(INT(VALUE(I1371)),"bad"))))</f>
        <v/>
      </c>
      <c r="O1371">
        <f>IF(J1371="","",IF(ISNUMBER(J1371),ROUND(J1371,2),IFERROR(ROUND(VALUE(SUBSTITUTE(SUBSTITUTE(SUBSTITUTE(J1371,"$",""),",","")," ","")),2),"bad")))</f>
        <v/>
      </c>
      <c r="P1371">
        <f>IF(TRIM(K1371)="","",IFERROR(MATCH(LOWER(TRIM(K1371)),'Students'!$AH$2:$AH$701,0),IFERROR(MATCH(LOWER(TRIM(K1371)),'Students'!$AF$2:$AF$701,0),IFERROR(MATCH(LOWER(TRIM(K1371)),'Students'!$AG$2:$AG$701,0),""))))</f>
        <v/>
      </c>
      <c r="R1371">
        <f>IF(P1371="","",INDEX('Students'!$AD$2:$AD$701,P1371))</f>
        <v/>
      </c>
      <c r="S1371">
        <f>IF(H1371="OK",O1371,0)</f>
        <v/>
      </c>
      <c r="T1371">
        <f>IF(H1371="OK",N1371,"")</f>
        <v/>
      </c>
      <c r="U1371">
        <f>IF(OC_Donor=0,"",IF(INDEX('OneCause_Paste'!$A$1371:$AZ$1371,1,OC_Donor)="","",INDEX('OneCause_Paste'!$A$1371:$AZ$1371,1,OC_Donor)))</f>
        <v/>
      </c>
    </row>
    <row r="1372">
      <c r="A1372" s="62">
        <f>IF(H1372="","",IF(ISNUMBER(N1372),N1372,I1372))</f>
        <v/>
      </c>
      <c r="B1372">
        <f>IF(H1372="","",U1372)</f>
        <v/>
      </c>
      <c r="C1372">
        <f>IF(H1372="","",IF(P1372="",K1372,INDEX('Students'!$A$2:$A$701,P1372)))</f>
        <v/>
      </c>
      <c r="D1372">
        <f>IF(OR(H1372="",P1372=""),"",INDEX('Students'!$B$2:$B$701,P1372))</f>
        <v/>
      </c>
      <c r="E1372">
        <f>IF(OR(H1372="",P1372=""),"",INDEX('Students'!$C$2:$C$701,P1372))</f>
        <v/>
      </c>
      <c r="F1372" s="48">
        <f>IF(H1372="","",IF(ISNUMBER(O1372),O1372,J1372))</f>
        <v/>
      </c>
      <c r="G1372">
        <f>IF(H1372="","","OneCause")</f>
        <v/>
      </c>
      <c r="H1372">
        <f>IF(AND(I1372="",J1372="",K1372=""),"",IF(NOT(ISNUMBER(O1372)),"Bad amount",IF(O1372&lt;0,"Refund (not counted)",IF(O1372=0,"Zero amount",IF(NOT(ISNUMBER(N1372)),"Bad date",IF(P1372="","NAME NOT ON ROSTER",IF(L1372="","OK",IF(MATCH(L1372,$L$2:$L$3001,0)&lt;ROW()-1,"Duplicate (ignored)","OK"))))))))</f>
        <v/>
      </c>
      <c r="I1372">
        <f>IF(OC_Date=0,"",IF(INDEX('OneCause_Paste'!$A$1372:$AZ$1372,1,OC_Date)="","",INDEX('OneCause_Paste'!$A$1372:$AZ$1372,1,OC_Date)))</f>
        <v/>
      </c>
      <c r="J1372">
        <f>IF(OC_Amt=0,"",IF(INDEX('OneCause_Paste'!$A$1372:$AZ$1372,1,OC_Amt)="","",INDEX('OneCause_Paste'!$A$1372:$AZ$1372,1,OC_Amt)))</f>
        <v/>
      </c>
      <c r="K1372">
        <f>IF(OC_Name=0,"",IF(INDEX('OneCause_Paste'!$A$1372:$AZ$1372,1,OC_Name)="","",INDEX('OneCause_Paste'!$A$1372:$AZ$1372,1,OC_Name)))</f>
        <v/>
      </c>
      <c r="L1372">
        <f>IF(OC_Txn=0,"",IF(INDEX('OneCause_Paste'!$A$1372:$AZ$1372,1,OC_Txn)="","",INDEX('OneCause_Paste'!$A$1372:$AZ$1372,1,OC_Txn)))</f>
        <v/>
      </c>
      <c r="M1372">
        <f>IF(OC_Pay=0,"",IF(INDEX('OneCause_Paste'!$A$1372:$AZ$1372,1,OC_Pay)="","",INDEX('OneCause_Paste'!$A$1372:$AZ$1372,1,OC_Pay)))</f>
        <v/>
      </c>
      <c r="N1372">
        <f>IF(I1372="","",IF(ISNUMBER(I1372),INT(I1372),IFERROR(INT(DATEVALUE(I1372)),IFERROR(INT(VALUE(I1372)),"bad"))))</f>
        <v/>
      </c>
      <c r="O1372">
        <f>IF(J1372="","",IF(ISNUMBER(J1372),ROUND(J1372,2),IFERROR(ROUND(VALUE(SUBSTITUTE(SUBSTITUTE(SUBSTITUTE(J1372,"$",""),",","")," ","")),2),"bad")))</f>
        <v/>
      </c>
      <c r="P1372">
        <f>IF(TRIM(K1372)="","",IFERROR(MATCH(LOWER(TRIM(K1372)),'Students'!$AH$2:$AH$701,0),IFERROR(MATCH(LOWER(TRIM(K1372)),'Students'!$AF$2:$AF$701,0),IFERROR(MATCH(LOWER(TRIM(K1372)),'Students'!$AG$2:$AG$701,0),""))))</f>
        <v/>
      </c>
      <c r="R1372">
        <f>IF(P1372="","",INDEX('Students'!$AD$2:$AD$701,P1372))</f>
        <v/>
      </c>
      <c r="S1372">
        <f>IF(H1372="OK",O1372,0)</f>
        <v/>
      </c>
      <c r="T1372">
        <f>IF(H1372="OK",N1372,"")</f>
        <v/>
      </c>
      <c r="U1372">
        <f>IF(OC_Donor=0,"",IF(INDEX('OneCause_Paste'!$A$1372:$AZ$1372,1,OC_Donor)="","",INDEX('OneCause_Paste'!$A$1372:$AZ$1372,1,OC_Donor)))</f>
        <v/>
      </c>
    </row>
    <row r="1373">
      <c r="A1373" s="62">
        <f>IF(H1373="","",IF(ISNUMBER(N1373),N1373,I1373))</f>
        <v/>
      </c>
      <c r="B1373">
        <f>IF(H1373="","",U1373)</f>
        <v/>
      </c>
      <c r="C1373">
        <f>IF(H1373="","",IF(P1373="",K1373,INDEX('Students'!$A$2:$A$701,P1373)))</f>
        <v/>
      </c>
      <c r="D1373">
        <f>IF(OR(H1373="",P1373=""),"",INDEX('Students'!$B$2:$B$701,P1373))</f>
        <v/>
      </c>
      <c r="E1373">
        <f>IF(OR(H1373="",P1373=""),"",INDEX('Students'!$C$2:$C$701,P1373))</f>
        <v/>
      </c>
      <c r="F1373" s="48">
        <f>IF(H1373="","",IF(ISNUMBER(O1373),O1373,J1373))</f>
        <v/>
      </c>
      <c r="G1373">
        <f>IF(H1373="","","OneCause")</f>
        <v/>
      </c>
      <c r="H1373">
        <f>IF(AND(I1373="",J1373="",K1373=""),"",IF(NOT(ISNUMBER(O1373)),"Bad amount",IF(O1373&lt;0,"Refund (not counted)",IF(O1373=0,"Zero amount",IF(NOT(ISNUMBER(N1373)),"Bad date",IF(P1373="","NAME NOT ON ROSTER",IF(L1373="","OK",IF(MATCH(L1373,$L$2:$L$3001,0)&lt;ROW()-1,"Duplicate (ignored)","OK"))))))))</f>
        <v/>
      </c>
      <c r="I1373">
        <f>IF(OC_Date=0,"",IF(INDEX('OneCause_Paste'!$A$1373:$AZ$1373,1,OC_Date)="","",INDEX('OneCause_Paste'!$A$1373:$AZ$1373,1,OC_Date)))</f>
        <v/>
      </c>
      <c r="J1373">
        <f>IF(OC_Amt=0,"",IF(INDEX('OneCause_Paste'!$A$1373:$AZ$1373,1,OC_Amt)="","",INDEX('OneCause_Paste'!$A$1373:$AZ$1373,1,OC_Amt)))</f>
        <v/>
      </c>
      <c r="K1373">
        <f>IF(OC_Name=0,"",IF(INDEX('OneCause_Paste'!$A$1373:$AZ$1373,1,OC_Name)="","",INDEX('OneCause_Paste'!$A$1373:$AZ$1373,1,OC_Name)))</f>
        <v/>
      </c>
      <c r="L1373">
        <f>IF(OC_Txn=0,"",IF(INDEX('OneCause_Paste'!$A$1373:$AZ$1373,1,OC_Txn)="","",INDEX('OneCause_Paste'!$A$1373:$AZ$1373,1,OC_Txn)))</f>
        <v/>
      </c>
      <c r="M1373">
        <f>IF(OC_Pay=0,"",IF(INDEX('OneCause_Paste'!$A$1373:$AZ$1373,1,OC_Pay)="","",INDEX('OneCause_Paste'!$A$1373:$AZ$1373,1,OC_Pay)))</f>
        <v/>
      </c>
      <c r="N1373">
        <f>IF(I1373="","",IF(ISNUMBER(I1373),INT(I1373),IFERROR(INT(DATEVALUE(I1373)),IFERROR(INT(VALUE(I1373)),"bad"))))</f>
        <v/>
      </c>
      <c r="O1373">
        <f>IF(J1373="","",IF(ISNUMBER(J1373),ROUND(J1373,2),IFERROR(ROUND(VALUE(SUBSTITUTE(SUBSTITUTE(SUBSTITUTE(J1373,"$",""),",","")," ","")),2),"bad")))</f>
        <v/>
      </c>
      <c r="P1373">
        <f>IF(TRIM(K1373)="","",IFERROR(MATCH(LOWER(TRIM(K1373)),'Students'!$AH$2:$AH$701,0),IFERROR(MATCH(LOWER(TRIM(K1373)),'Students'!$AF$2:$AF$701,0),IFERROR(MATCH(LOWER(TRIM(K1373)),'Students'!$AG$2:$AG$701,0),""))))</f>
        <v/>
      </c>
      <c r="R1373">
        <f>IF(P1373="","",INDEX('Students'!$AD$2:$AD$701,P1373))</f>
        <v/>
      </c>
      <c r="S1373">
        <f>IF(H1373="OK",O1373,0)</f>
        <v/>
      </c>
      <c r="T1373">
        <f>IF(H1373="OK",N1373,"")</f>
        <v/>
      </c>
      <c r="U1373">
        <f>IF(OC_Donor=0,"",IF(INDEX('OneCause_Paste'!$A$1373:$AZ$1373,1,OC_Donor)="","",INDEX('OneCause_Paste'!$A$1373:$AZ$1373,1,OC_Donor)))</f>
        <v/>
      </c>
    </row>
    <row r="1374">
      <c r="A1374" s="62">
        <f>IF(H1374="","",IF(ISNUMBER(N1374),N1374,I1374))</f>
        <v/>
      </c>
      <c r="B1374">
        <f>IF(H1374="","",U1374)</f>
        <v/>
      </c>
      <c r="C1374">
        <f>IF(H1374="","",IF(P1374="",K1374,INDEX('Students'!$A$2:$A$701,P1374)))</f>
        <v/>
      </c>
      <c r="D1374">
        <f>IF(OR(H1374="",P1374=""),"",INDEX('Students'!$B$2:$B$701,P1374))</f>
        <v/>
      </c>
      <c r="E1374">
        <f>IF(OR(H1374="",P1374=""),"",INDEX('Students'!$C$2:$C$701,P1374))</f>
        <v/>
      </c>
      <c r="F1374" s="48">
        <f>IF(H1374="","",IF(ISNUMBER(O1374),O1374,J1374))</f>
        <v/>
      </c>
      <c r="G1374">
        <f>IF(H1374="","","OneCause")</f>
        <v/>
      </c>
      <c r="H1374">
        <f>IF(AND(I1374="",J1374="",K1374=""),"",IF(NOT(ISNUMBER(O1374)),"Bad amount",IF(O1374&lt;0,"Refund (not counted)",IF(O1374=0,"Zero amount",IF(NOT(ISNUMBER(N1374)),"Bad date",IF(P1374="","NAME NOT ON ROSTER",IF(L1374="","OK",IF(MATCH(L1374,$L$2:$L$3001,0)&lt;ROW()-1,"Duplicate (ignored)","OK"))))))))</f>
        <v/>
      </c>
      <c r="I1374">
        <f>IF(OC_Date=0,"",IF(INDEX('OneCause_Paste'!$A$1374:$AZ$1374,1,OC_Date)="","",INDEX('OneCause_Paste'!$A$1374:$AZ$1374,1,OC_Date)))</f>
        <v/>
      </c>
      <c r="J1374">
        <f>IF(OC_Amt=0,"",IF(INDEX('OneCause_Paste'!$A$1374:$AZ$1374,1,OC_Amt)="","",INDEX('OneCause_Paste'!$A$1374:$AZ$1374,1,OC_Amt)))</f>
        <v/>
      </c>
      <c r="K1374">
        <f>IF(OC_Name=0,"",IF(INDEX('OneCause_Paste'!$A$1374:$AZ$1374,1,OC_Name)="","",INDEX('OneCause_Paste'!$A$1374:$AZ$1374,1,OC_Name)))</f>
        <v/>
      </c>
      <c r="L1374">
        <f>IF(OC_Txn=0,"",IF(INDEX('OneCause_Paste'!$A$1374:$AZ$1374,1,OC_Txn)="","",INDEX('OneCause_Paste'!$A$1374:$AZ$1374,1,OC_Txn)))</f>
        <v/>
      </c>
      <c r="M1374">
        <f>IF(OC_Pay=0,"",IF(INDEX('OneCause_Paste'!$A$1374:$AZ$1374,1,OC_Pay)="","",INDEX('OneCause_Paste'!$A$1374:$AZ$1374,1,OC_Pay)))</f>
        <v/>
      </c>
      <c r="N1374">
        <f>IF(I1374="","",IF(ISNUMBER(I1374),INT(I1374),IFERROR(INT(DATEVALUE(I1374)),IFERROR(INT(VALUE(I1374)),"bad"))))</f>
        <v/>
      </c>
      <c r="O1374">
        <f>IF(J1374="","",IF(ISNUMBER(J1374),ROUND(J1374,2),IFERROR(ROUND(VALUE(SUBSTITUTE(SUBSTITUTE(SUBSTITUTE(J1374,"$",""),",","")," ","")),2),"bad")))</f>
        <v/>
      </c>
      <c r="P1374">
        <f>IF(TRIM(K1374)="","",IFERROR(MATCH(LOWER(TRIM(K1374)),'Students'!$AH$2:$AH$701,0),IFERROR(MATCH(LOWER(TRIM(K1374)),'Students'!$AF$2:$AF$701,0),IFERROR(MATCH(LOWER(TRIM(K1374)),'Students'!$AG$2:$AG$701,0),""))))</f>
        <v/>
      </c>
      <c r="R1374">
        <f>IF(P1374="","",INDEX('Students'!$AD$2:$AD$701,P1374))</f>
        <v/>
      </c>
      <c r="S1374">
        <f>IF(H1374="OK",O1374,0)</f>
        <v/>
      </c>
      <c r="T1374">
        <f>IF(H1374="OK",N1374,"")</f>
        <v/>
      </c>
      <c r="U1374">
        <f>IF(OC_Donor=0,"",IF(INDEX('OneCause_Paste'!$A$1374:$AZ$1374,1,OC_Donor)="","",INDEX('OneCause_Paste'!$A$1374:$AZ$1374,1,OC_Donor)))</f>
        <v/>
      </c>
    </row>
    <row r="1375">
      <c r="A1375" s="62">
        <f>IF(H1375="","",IF(ISNUMBER(N1375),N1375,I1375))</f>
        <v/>
      </c>
      <c r="B1375">
        <f>IF(H1375="","",U1375)</f>
        <v/>
      </c>
      <c r="C1375">
        <f>IF(H1375="","",IF(P1375="",K1375,INDEX('Students'!$A$2:$A$701,P1375)))</f>
        <v/>
      </c>
      <c r="D1375">
        <f>IF(OR(H1375="",P1375=""),"",INDEX('Students'!$B$2:$B$701,P1375))</f>
        <v/>
      </c>
      <c r="E1375">
        <f>IF(OR(H1375="",P1375=""),"",INDEX('Students'!$C$2:$C$701,P1375))</f>
        <v/>
      </c>
      <c r="F1375" s="48">
        <f>IF(H1375="","",IF(ISNUMBER(O1375),O1375,J1375))</f>
        <v/>
      </c>
      <c r="G1375">
        <f>IF(H1375="","","OneCause")</f>
        <v/>
      </c>
      <c r="H1375">
        <f>IF(AND(I1375="",J1375="",K1375=""),"",IF(NOT(ISNUMBER(O1375)),"Bad amount",IF(O1375&lt;0,"Refund (not counted)",IF(O1375=0,"Zero amount",IF(NOT(ISNUMBER(N1375)),"Bad date",IF(P1375="","NAME NOT ON ROSTER",IF(L1375="","OK",IF(MATCH(L1375,$L$2:$L$3001,0)&lt;ROW()-1,"Duplicate (ignored)","OK"))))))))</f>
        <v/>
      </c>
      <c r="I1375">
        <f>IF(OC_Date=0,"",IF(INDEX('OneCause_Paste'!$A$1375:$AZ$1375,1,OC_Date)="","",INDEX('OneCause_Paste'!$A$1375:$AZ$1375,1,OC_Date)))</f>
        <v/>
      </c>
      <c r="J1375">
        <f>IF(OC_Amt=0,"",IF(INDEX('OneCause_Paste'!$A$1375:$AZ$1375,1,OC_Amt)="","",INDEX('OneCause_Paste'!$A$1375:$AZ$1375,1,OC_Amt)))</f>
        <v/>
      </c>
      <c r="K1375">
        <f>IF(OC_Name=0,"",IF(INDEX('OneCause_Paste'!$A$1375:$AZ$1375,1,OC_Name)="","",INDEX('OneCause_Paste'!$A$1375:$AZ$1375,1,OC_Name)))</f>
        <v/>
      </c>
      <c r="L1375">
        <f>IF(OC_Txn=0,"",IF(INDEX('OneCause_Paste'!$A$1375:$AZ$1375,1,OC_Txn)="","",INDEX('OneCause_Paste'!$A$1375:$AZ$1375,1,OC_Txn)))</f>
        <v/>
      </c>
      <c r="M1375">
        <f>IF(OC_Pay=0,"",IF(INDEX('OneCause_Paste'!$A$1375:$AZ$1375,1,OC_Pay)="","",INDEX('OneCause_Paste'!$A$1375:$AZ$1375,1,OC_Pay)))</f>
        <v/>
      </c>
      <c r="N1375">
        <f>IF(I1375="","",IF(ISNUMBER(I1375),INT(I1375),IFERROR(INT(DATEVALUE(I1375)),IFERROR(INT(VALUE(I1375)),"bad"))))</f>
        <v/>
      </c>
      <c r="O1375">
        <f>IF(J1375="","",IF(ISNUMBER(J1375),ROUND(J1375,2),IFERROR(ROUND(VALUE(SUBSTITUTE(SUBSTITUTE(SUBSTITUTE(J1375,"$",""),",","")," ","")),2),"bad")))</f>
        <v/>
      </c>
      <c r="P1375">
        <f>IF(TRIM(K1375)="","",IFERROR(MATCH(LOWER(TRIM(K1375)),'Students'!$AH$2:$AH$701,0),IFERROR(MATCH(LOWER(TRIM(K1375)),'Students'!$AF$2:$AF$701,0),IFERROR(MATCH(LOWER(TRIM(K1375)),'Students'!$AG$2:$AG$701,0),""))))</f>
        <v/>
      </c>
      <c r="R1375">
        <f>IF(P1375="","",INDEX('Students'!$AD$2:$AD$701,P1375))</f>
        <v/>
      </c>
      <c r="S1375">
        <f>IF(H1375="OK",O1375,0)</f>
        <v/>
      </c>
      <c r="T1375">
        <f>IF(H1375="OK",N1375,"")</f>
        <v/>
      </c>
      <c r="U1375">
        <f>IF(OC_Donor=0,"",IF(INDEX('OneCause_Paste'!$A$1375:$AZ$1375,1,OC_Donor)="","",INDEX('OneCause_Paste'!$A$1375:$AZ$1375,1,OC_Donor)))</f>
        <v/>
      </c>
    </row>
    <row r="1376">
      <c r="A1376" s="62">
        <f>IF(H1376="","",IF(ISNUMBER(N1376),N1376,I1376))</f>
        <v/>
      </c>
      <c r="B1376">
        <f>IF(H1376="","",U1376)</f>
        <v/>
      </c>
      <c r="C1376">
        <f>IF(H1376="","",IF(P1376="",K1376,INDEX('Students'!$A$2:$A$701,P1376)))</f>
        <v/>
      </c>
      <c r="D1376">
        <f>IF(OR(H1376="",P1376=""),"",INDEX('Students'!$B$2:$B$701,P1376))</f>
        <v/>
      </c>
      <c r="E1376">
        <f>IF(OR(H1376="",P1376=""),"",INDEX('Students'!$C$2:$C$701,P1376))</f>
        <v/>
      </c>
      <c r="F1376" s="48">
        <f>IF(H1376="","",IF(ISNUMBER(O1376),O1376,J1376))</f>
        <v/>
      </c>
      <c r="G1376">
        <f>IF(H1376="","","OneCause")</f>
        <v/>
      </c>
      <c r="H1376">
        <f>IF(AND(I1376="",J1376="",K1376=""),"",IF(NOT(ISNUMBER(O1376)),"Bad amount",IF(O1376&lt;0,"Refund (not counted)",IF(O1376=0,"Zero amount",IF(NOT(ISNUMBER(N1376)),"Bad date",IF(P1376="","NAME NOT ON ROSTER",IF(L1376="","OK",IF(MATCH(L1376,$L$2:$L$3001,0)&lt;ROW()-1,"Duplicate (ignored)","OK"))))))))</f>
        <v/>
      </c>
      <c r="I1376">
        <f>IF(OC_Date=0,"",IF(INDEX('OneCause_Paste'!$A$1376:$AZ$1376,1,OC_Date)="","",INDEX('OneCause_Paste'!$A$1376:$AZ$1376,1,OC_Date)))</f>
        <v/>
      </c>
      <c r="J1376">
        <f>IF(OC_Amt=0,"",IF(INDEX('OneCause_Paste'!$A$1376:$AZ$1376,1,OC_Amt)="","",INDEX('OneCause_Paste'!$A$1376:$AZ$1376,1,OC_Amt)))</f>
        <v/>
      </c>
      <c r="K1376">
        <f>IF(OC_Name=0,"",IF(INDEX('OneCause_Paste'!$A$1376:$AZ$1376,1,OC_Name)="","",INDEX('OneCause_Paste'!$A$1376:$AZ$1376,1,OC_Name)))</f>
        <v/>
      </c>
      <c r="L1376">
        <f>IF(OC_Txn=0,"",IF(INDEX('OneCause_Paste'!$A$1376:$AZ$1376,1,OC_Txn)="","",INDEX('OneCause_Paste'!$A$1376:$AZ$1376,1,OC_Txn)))</f>
        <v/>
      </c>
      <c r="M1376">
        <f>IF(OC_Pay=0,"",IF(INDEX('OneCause_Paste'!$A$1376:$AZ$1376,1,OC_Pay)="","",INDEX('OneCause_Paste'!$A$1376:$AZ$1376,1,OC_Pay)))</f>
        <v/>
      </c>
      <c r="N1376">
        <f>IF(I1376="","",IF(ISNUMBER(I1376),INT(I1376),IFERROR(INT(DATEVALUE(I1376)),IFERROR(INT(VALUE(I1376)),"bad"))))</f>
        <v/>
      </c>
      <c r="O1376">
        <f>IF(J1376="","",IF(ISNUMBER(J1376),ROUND(J1376,2),IFERROR(ROUND(VALUE(SUBSTITUTE(SUBSTITUTE(SUBSTITUTE(J1376,"$",""),",","")," ","")),2),"bad")))</f>
        <v/>
      </c>
      <c r="P1376">
        <f>IF(TRIM(K1376)="","",IFERROR(MATCH(LOWER(TRIM(K1376)),'Students'!$AH$2:$AH$701,0),IFERROR(MATCH(LOWER(TRIM(K1376)),'Students'!$AF$2:$AF$701,0),IFERROR(MATCH(LOWER(TRIM(K1376)),'Students'!$AG$2:$AG$701,0),""))))</f>
        <v/>
      </c>
      <c r="R1376">
        <f>IF(P1376="","",INDEX('Students'!$AD$2:$AD$701,P1376))</f>
        <v/>
      </c>
      <c r="S1376">
        <f>IF(H1376="OK",O1376,0)</f>
        <v/>
      </c>
      <c r="T1376">
        <f>IF(H1376="OK",N1376,"")</f>
        <v/>
      </c>
      <c r="U1376">
        <f>IF(OC_Donor=0,"",IF(INDEX('OneCause_Paste'!$A$1376:$AZ$1376,1,OC_Donor)="","",INDEX('OneCause_Paste'!$A$1376:$AZ$1376,1,OC_Donor)))</f>
        <v/>
      </c>
    </row>
    <row r="1377">
      <c r="A1377" s="62">
        <f>IF(H1377="","",IF(ISNUMBER(N1377),N1377,I1377))</f>
        <v/>
      </c>
      <c r="B1377">
        <f>IF(H1377="","",U1377)</f>
        <v/>
      </c>
      <c r="C1377">
        <f>IF(H1377="","",IF(P1377="",K1377,INDEX('Students'!$A$2:$A$701,P1377)))</f>
        <v/>
      </c>
      <c r="D1377">
        <f>IF(OR(H1377="",P1377=""),"",INDEX('Students'!$B$2:$B$701,P1377))</f>
        <v/>
      </c>
      <c r="E1377">
        <f>IF(OR(H1377="",P1377=""),"",INDEX('Students'!$C$2:$C$701,P1377))</f>
        <v/>
      </c>
      <c r="F1377" s="48">
        <f>IF(H1377="","",IF(ISNUMBER(O1377),O1377,J1377))</f>
        <v/>
      </c>
      <c r="G1377">
        <f>IF(H1377="","","OneCause")</f>
        <v/>
      </c>
      <c r="H1377">
        <f>IF(AND(I1377="",J1377="",K1377=""),"",IF(NOT(ISNUMBER(O1377)),"Bad amount",IF(O1377&lt;0,"Refund (not counted)",IF(O1377=0,"Zero amount",IF(NOT(ISNUMBER(N1377)),"Bad date",IF(P1377="","NAME NOT ON ROSTER",IF(L1377="","OK",IF(MATCH(L1377,$L$2:$L$3001,0)&lt;ROW()-1,"Duplicate (ignored)","OK"))))))))</f>
        <v/>
      </c>
      <c r="I1377">
        <f>IF(OC_Date=0,"",IF(INDEX('OneCause_Paste'!$A$1377:$AZ$1377,1,OC_Date)="","",INDEX('OneCause_Paste'!$A$1377:$AZ$1377,1,OC_Date)))</f>
        <v/>
      </c>
      <c r="J1377">
        <f>IF(OC_Amt=0,"",IF(INDEX('OneCause_Paste'!$A$1377:$AZ$1377,1,OC_Amt)="","",INDEX('OneCause_Paste'!$A$1377:$AZ$1377,1,OC_Amt)))</f>
        <v/>
      </c>
      <c r="K1377">
        <f>IF(OC_Name=0,"",IF(INDEX('OneCause_Paste'!$A$1377:$AZ$1377,1,OC_Name)="","",INDEX('OneCause_Paste'!$A$1377:$AZ$1377,1,OC_Name)))</f>
        <v/>
      </c>
      <c r="L1377">
        <f>IF(OC_Txn=0,"",IF(INDEX('OneCause_Paste'!$A$1377:$AZ$1377,1,OC_Txn)="","",INDEX('OneCause_Paste'!$A$1377:$AZ$1377,1,OC_Txn)))</f>
        <v/>
      </c>
      <c r="M1377">
        <f>IF(OC_Pay=0,"",IF(INDEX('OneCause_Paste'!$A$1377:$AZ$1377,1,OC_Pay)="","",INDEX('OneCause_Paste'!$A$1377:$AZ$1377,1,OC_Pay)))</f>
        <v/>
      </c>
      <c r="N1377">
        <f>IF(I1377="","",IF(ISNUMBER(I1377),INT(I1377),IFERROR(INT(DATEVALUE(I1377)),IFERROR(INT(VALUE(I1377)),"bad"))))</f>
        <v/>
      </c>
      <c r="O1377">
        <f>IF(J1377="","",IF(ISNUMBER(J1377),ROUND(J1377,2),IFERROR(ROUND(VALUE(SUBSTITUTE(SUBSTITUTE(SUBSTITUTE(J1377,"$",""),",","")," ","")),2),"bad")))</f>
        <v/>
      </c>
      <c r="P1377">
        <f>IF(TRIM(K1377)="","",IFERROR(MATCH(LOWER(TRIM(K1377)),'Students'!$AH$2:$AH$701,0),IFERROR(MATCH(LOWER(TRIM(K1377)),'Students'!$AF$2:$AF$701,0),IFERROR(MATCH(LOWER(TRIM(K1377)),'Students'!$AG$2:$AG$701,0),""))))</f>
        <v/>
      </c>
      <c r="R1377">
        <f>IF(P1377="","",INDEX('Students'!$AD$2:$AD$701,P1377))</f>
        <v/>
      </c>
      <c r="S1377">
        <f>IF(H1377="OK",O1377,0)</f>
        <v/>
      </c>
      <c r="T1377">
        <f>IF(H1377="OK",N1377,"")</f>
        <v/>
      </c>
      <c r="U1377">
        <f>IF(OC_Donor=0,"",IF(INDEX('OneCause_Paste'!$A$1377:$AZ$1377,1,OC_Donor)="","",INDEX('OneCause_Paste'!$A$1377:$AZ$1377,1,OC_Donor)))</f>
        <v/>
      </c>
    </row>
    <row r="1378">
      <c r="A1378" s="62">
        <f>IF(H1378="","",IF(ISNUMBER(N1378),N1378,I1378))</f>
        <v/>
      </c>
      <c r="B1378">
        <f>IF(H1378="","",U1378)</f>
        <v/>
      </c>
      <c r="C1378">
        <f>IF(H1378="","",IF(P1378="",K1378,INDEX('Students'!$A$2:$A$701,P1378)))</f>
        <v/>
      </c>
      <c r="D1378">
        <f>IF(OR(H1378="",P1378=""),"",INDEX('Students'!$B$2:$B$701,P1378))</f>
        <v/>
      </c>
      <c r="E1378">
        <f>IF(OR(H1378="",P1378=""),"",INDEX('Students'!$C$2:$C$701,P1378))</f>
        <v/>
      </c>
      <c r="F1378" s="48">
        <f>IF(H1378="","",IF(ISNUMBER(O1378),O1378,J1378))</f>
        <v/>
      </c>
      <c r="G1378">
        <f>IF(H1378="","","OneCause")</f>
        <v/>
      </c>
      <c r="H1378">
        <f>IF(AND(I1378="",J1378="",K1378=""),"",IF(NOT(ISNUMBER(O1378)),"Bad amount",IF(O1378&lt;0,"Refund (not counted)",IF(O1378=0,"Zero amount",IF(NOT(ISNUMBER(N1378)),"Bad date",IF(P1378="","NAME NOT ON ROSTER",IF(L1378="","OK",IF(MATCH(L1378,$L$2:$L$3001,0)&lt;ROW()-1,"Duplicate (ignored)","OK"))))))))</f>
        <v/>
      </c>
      <c r="I1378">
        <f>IF(OC_Date=0,"",IF(INDEX('OneCause_Paste'!$A$1378:$AZ$1378,1,OC_Date)="","",INDEX('OneCause_Paste'!$A$1378:$AZ$1378,1,OC_Date)))</f>
        <v/>
      </c>
      <c r="J1378">
        <f>IF(OC_Amt=0,"",IF(INDEX('OneCause_Paste'!$A$1378:$AZ$1378,1,OC_Amt)="","",INDEX('OneCause_Paste'!$A$1378:$AZ$1378,1,OC_Amt)))</f>
        <v/>
      </c>
      <c r="K1378">
        <f>IF(OC_Name=0,"",IF(INDEX('OneCause_Paste'!$A$1378:$AZ$1378,1,OC_Name)="","",INDEX('OneCause_Paste'!$A$1378:$AZ$1378,1,OC_Name)))</f>
        <v/>
      </c>
      <c r="L1378">
        <f>IF(OC_Txn=0,"",IF(INDEX('OneCause_Paste'!$A$1378:$AZ$1378,1,OC_Txn)="","",INDEX('OneCause_Paste'!$A$1378:$AZ$1378,1,OC_Txn)))</f>
        <v/>
      </c>
      <c r="M1378">
        <f>IF(OC_Pay=0,"",IF(INDEX('OneCause_Paste'!$A$1378:$AZ$1378,1,OC_Pay)="","",INDEX('OneCause_Paste'!$A$1378:$AZ$1378,1,OC_Pay)))</f>
        <v/>
      </c>
      <c r="N1378">
        <f>IF(I1378="","",IF(ISNUMBER(I1378),INT(I1378),IFERROR(INT(DATEVALUE(I1378)),IFERROR(INT(VALUE(I1378)),"bad"))))</f>
        <v/>
      </c>
      <c r="O1378">
        <f>IF(J1378="","",IF(ISNUMBER(J1378),ROUND(J1378,2),IFERROR(ROUND(VALUE(SUBSTITUTE(SUBSTITUTE(SUBSTITUTE(J1378,"$",""),",","")," ","")),2),"bad")))</f>
        <v/>
      </c>
      <c r="P1378">
        <f>IF(TRIM(K1378)="","",IFERROR(MATCH(LOWER(TRIM(K1378)),'Students'!$AH$2:$AH$701,0),IFERROR(MATCH(LOWER(TRIM(K1378)),'Students'!$AF$2:$AF$701,0),IFERROR(MATCH(LOWER(TRIM(K1378)),'Students'!$AG$2:$AG$701,0),""))))</f>
        <v/>
      </c>
      <c r="R1378">
        <f>IF(P1378="","",INDEX('Students'!$AD$2:$AD$701,P1378))</f>
        <v/>
      </c>
      <c r="S1378">
        <f>IF(H1378="OK",O1378,0)</f>
        <v/>
      </c>
      <c r="T1378">
        <f>IF(H1378="OK",N1378,"")</f>
        <v/>
      </c>
      <c r="U1378">
        <f>IF(OC_Donor=0,"",IF(INDEX('OneCause_Paste'!$A$1378:$AZ$1378,1,OC_Donor)="","",INDEX('OneCause_Paste'!$A$1378:$AZ$1378,1,OC_Donor)))</f>
        <v/>
      </c>
    </row>
    <row r="1379">
      <c r="A1379" s="62">
        <f>IF(H1379="","",IF(ISNUMBER(N1379),N1379,I1379))</f>
        <v/>
      </c>
      <c r="B1379">
        <f>IF(H1379="","",U1379)</f>
        <v/>
      </c>
      <c r="C1379">
        <f>IF(H1379="","",IF(P1379="",K1379,INDEX('Students'!$A$2:$A$701,P1379)))</f>
        <v/>
      </c>
      <c r="D1379">
        <f>IF(OR(H1379="",P1379=""),"",INDEX('Students'!$B$2:$B$701,P1379))</f>
        <v/>
      </c>
      <c r="E1379">
        <f>IF(OR(H1379="",P1379=""),"",INDEX('Students'!$C$2:$C$701,P1379))</f>
        <v/>
      </c>
      <c r="F1379" s="48">
        <f>IF(H1379="","",IF(ISNUMBER(O1379),O1379,J1379))</f>
        <v/>
      </c>
      <c r="G1379">
        <f>IF(H1379="","","OneCause")</f>
        <v/>
      </c>
      <c r="H1379">
        <f>IF(AND(I1379="",J1379="",K1379=""),"",IF(NOT(ISNUMBER(O1379)),"Bad amount",IF(O1379&lt;0,"Refund (not counted)",IF(O1379=0,"Zero amount",IF(NOT(ISNUMBER(N1379)),"Bad date",IF(P1379="","NAME NOT ON ROSTER",IF(L1379="","OK",IF(MATCH(L1379,$L$2:$L$3001,0)&lt;ROW()-1,"Duplicate (ignored)","OK"))))))))</f>
        <v/>
      </c>
      <c r="I1379">
        <f>IF(OC_Date=0,"",IF(INDEX('OneCause_Paste'!$A$1379:$AZ$1379,1,OC_Date)="","",INDEX('OneCause_Paste'!$A$1379:$AZ$1379,1,OC_Date)))</f>
        <v/>
      </c>
      <c r="J1379">
        <f>IF(OC_Amt=0,"",IF(INDEX('OneCause_Paste'!$A$1379:$AZ$1379,1,OC_Amt)="","",INDEX('OneCause_Paste'!$A$1379:$AZ$1379,1,OC_Amt)))</f>
        <v/>
      </c>
      <c r="K1379">
        <f>IF(OC_Name=0,"",IF(INDEX('OneCause_Paste'!$A$1379:$AZ$1379,1,OC_Name)="","",INDEX('OneCause_Paste'!$A$1379:$AZ$1379,1,OC_Name)))</f>
        <v/>
      </c>
      <c r="L1379">
        <f>IF(OC_Txn=0,"",IF(INDEX('OneCause_Paste'!$A$1379:$AZ$1379,1,OC_Txn)="","",INDEX('OneCause_Paste'!$A$1379:$AZ$1379,1,OC_Txn)))</f>
        <v/>
      </c>
      <c r="M1379">
        <f>IF(OC_Pay=0,"",IF(INDEX('OneCause_Paste'!$A$1379:$AZ$1379,1,OC_Pay)="","",INDEX('OneCause_Paste'!$A$1379:$AZ$1379,1,OC_Pay)))</f>
        <v/>
      </c>
      <c r="N1379">
        <f>IF(I1379="","",IF(ISNUMBER(I1379),INT(I1379),IFERROR(INT(DATEVALUE(I1379)),IFERROR(INT(VALUE(I1379)),"bad"))))</f>
        <v/>
      </c>
      <c r="O1379">
        <f>IF(J1379="","",IF(ISNUMBER(J1379),ROUND(J1379,2),IFERROR(ROUND(VALUE(SUBSTITUTE(SUBSTITUTE(SUBSTITUTE(J1379,"$",""),",","")," ","")),2),"bad")))</f>
        <v/>
      </c>
      <c r="P1379">
        <f>IF(TRIM(K1379)="","",IFERROR(MATCH(LOWER(TRIM(K1379)),'Students'!$AH$2:$AH$701,0),IFERROR(MATCH(LOWER(TRIM(K1379)),'Students'!$AF$2:$AF$701,0),IFERROR(MATCH(LOWER(TRIM(K1379)),'Students'!$AG$2:$AG$701,0),""))))</f>
        <v/>
      </c>
      <c r="R1379">
        <f>IF(P1379="","",INDEX('Students'!$AD$2:$AD$701,P1379))</f>
        <v/>
      </c>
      <c r="S1379">
        <f>IF(H1379="OK",O1379,0)</f>
        <v/>
      </c>
      <c r="T1379">
        <f>IF(H1379="OK",N1379,"")</f>
        <v/>
      </c>
      <c r="U1379">
        <f>IF(OC_Donor=0,"",IF(INDEX('OneCause_Paste'!$A$1379:$AZ$1379,1,OC_Donor)="","",INDEX('OneCause_Paste'!$A$1379:$AZ$1379,1,OC_Donor)))</f>
        <v/>
      </c>
    </row>
    <row r="1380">
      <c r="A1380" s="62">
        <f>IF(H1380="","",IF(ISNUMBER(N1380),N1380,I1380))</f>
        <v/>
      </c>
      <c r="B1380">
        <f>IF(H1380="","",U1380)</f>
        <v/>
      </c>
      <c r="C1380">
        <f>IF(H1380="","",IF(P1380="",K1380,INDEX('Students'!$A$2:$A$701,P1380)))</f>
        <v/>
      </c>
      <c r="D1380">
        <f>IF(OR(H1380="",P1380=""),"",INDEX('Students'!$B$2:$B$701,P1380))</f>
        <v/>
      </c>
      <c r="E1380">
        <f>IF(OR(H1380="",P1380=""),"",INDEX('Students'!$C$2:$C$701,P1380))</f>
        <v/>
      </c>
      <c r="F1380" s="48">
        <f>IF(H1380="","",IF(ISNUMBER(O1380),O1380,J1380))</f>
        <v/>
      </c>
      <c r="G1380">
        <f>IF(H1380="","","OneCause")</f>
        <v/>
      </c>
      <c r="H1380">
        <f>IF(AND(I1380="",J1380="",K1380=""),"",IF(NOT(ISNUMBER(O1380)),"Bad amount",IF(O1380&lt;0,"Refund (not counted)",IF(O1380=0,"Zero amount",IF(NOT(ISNUMBER(N1380)),"Bad date",IF(P1380="","NAME NOT ON ROSTER",IF(L1380="","OK",IF(MATCH(L1380,$L$2:$L$3001,0)&lt;ROW()-1,"Duplicate (ignored)","OK"))))))))</f>
        <v/>
      </c>
      <c r="I1380">
        <f>IF(OC_Date=0,"",IF(INDEX('OneCause_Paste'!$A$1380:$AZ$1380,1,OC_Date)="","",INDEX('OneCause_Paste'!$A$1380:$AZ$1380,1,OC_Date)))</f>
        <v/>
      </c>
      <c r="J1380">
        <f>IF(OC_Amt=0,"",IF(INDEX('OneCause_Paste'!$A$1380:$AZ$1380,1,OC_Amt)="","",INDEX('OneCause_Paste'!$A$1380:$AZ$1380,1,OC_Amt)))</f>
        <v/>
      </c>
      <c r="K1380">
        <f>IF(OC_Name=0,"",IF(INDEX('OneCause_Paste'!$A$1380:$AZ$1380,1,OC_Name)="","",INDEX('OneCause_Paste'!$A$1380:$AZ$1380,1,OC_Name)))</f>
        <v/>
      </c>
      <c r="L1380">
        <f>IF(OC_Txn=0,"",IF(INDEX('OneCause_Paste'!$A$1380:$AZ$1380,1,OC_Txn)="","",INDEX('OneCause_Paste'!$A$1380:$AZ$1380,1,OC_Txn)))</f>
        <v/>
      </c>
      <c r="M1380">
        <f>IF(OC_Pay=0,"",IF(INDEX('OneCause_Paste'!$A$1380:$AZ$1380,1,OC_Pay)="","",INDEX('OneCause_Paste'!$A$1380:$AZ$1380,1,OC_Pay)))</f>
        <v/>
      </c>
      <c r="N1380">
        <f>IF(I1380="","",IF(ISNUMBER(I1380),INT(I1380),IFERROR(INT(DATEVALUE(I1380)),IFERROR(INT(VALUE(I1380)),"bad"))))</f>
        <v/>
      </c>
      <c r="O1380">
        <f>IF(J1380="","",IF(ISNUMBER(J1380),ROUND(J1380,2),IFERROR(ROUND(VALUE(SUBSTITUTE(SUBSTITUTE(SUBSTITUTE(J1380,"$",""),",","")," ","")),2),"bad")))</f>
        <v/>
      </c>
      <c r="P1380">
        <f>IF(TRIM(K1380)="","",IFERROR(MATCH(LOWER(TRIM(K1380)),'Students'!$AH$2:$AH$701,0),IFERROR(MATCH(LOWER(TRIM(K1380)),'Students'!$AF$2:$AF$701,0),IFERROR(MATCH(LOWER(TRIM(K1380)),'Students'!$AG$2:$AG$701,0),""))))</f>
        <v/>
      </c>
      <c r="R1380">
        <f>IF(P1380="","",INDEX('Students'!$AD$2:$AD$701,P1380))</f>
        <v/>
      </c>
      <c r="S1380">
        <f>IF(H1380="OK",O1380,0)</f>
        <v/>
      </c>
      <c r="T1380">
        <f>IF(H1380="OK",N1380,"")</f>
        <v/>
      </c>
      <c r="U1380">
        <f>IF(OC_Donor=0,"",IF(INDEX('OneCause_Paste'!$A$1380:$AZ$1380,1,OC_Donor)="","",INDEX('OneCause_Paste'!$A$1380:$AZ$1380,1,OC_Donor)))</f>
        <v/>
      </c>
    </row>
    <row r="1381">
      <c r="A1381" s="62">
        <f>IF(H1381="","",IF(ISNUMBER(N1381),N1381,I1381))</f>
        <v/>
      </c>
      <c r="B1381">
        <f>IF(H1381="","",U1381)</f>
        <v/>
      </c>
      <c r="C1381">
        <f>IF(H1381="","",IF(P1381="",K1381,INDEX('Students'!$A$2:$A$701,P1381)))</f>
        <v/>
      </c>
      <c r="D1381">
        <f>IF(OR(H1381="",P1381=""),"",INDEX('Students'!$B$2:$B$701,P1381))</f>
        <v/>
      </c>
      <c r="E1381">
        <f>IF(OR(H1381="",P1381=""),"",INDEX('Students'!$C$2:$C$701,P1381))</f>
        <v/>
      </c>
      <c r="F1381" s="48">
        <f>IF(H1381="","",IF(ISNUMBER(O1381),O1381,J1381))</f>
        <v/>
      </c>
      <c r="G1381">
        <f>IF(H1381="","","OneCause")</f>
        <v/>
      </c>
      <c r="H1381">
        <f>IF(AND(I1381="",J1381="",K1381=""),"",IF(NOT(ISNUMBER(O1381)),"Bad amount",IF(O1381&lt;0,"Refund (not counted)",IF(O1381=0,"Zero amount",IF(NOT(ISNUMBER(N1381)),"Bad date",IF(P1381="","NAME NOT ON ROSTER",IF(L1381="","OK",IF(MATCH(L1381,$L$2:$L$3001,0)&lt;ROW()-1,"Duplicate (ignored)","OK"))))))))</f>
        <v/>
      </c>
      <c r="I1381">
        <f>IF(OC_Date=0,"",IF(INDEX('OneCause_Paste'!$A$1381:$AZ$1381,1,OC_Date)="","",INDEX('OneCause_Paste'!$A$1381:$AZ$1381,1,OC_Date)))</f>
        <v/>
      </c>
      <c r="J1381">
        <f>IF(OC_Amt=0,"",IF(INDEX('OneCause_Paste'!$A$1381:$AZ$1381,1,OC_Amt)="","",INDEX('OneCause_Paste'!$A$1381:$AZ$1381,1,OC_Amt)))</f>
        <v/>
      </c>
      <c r="K1381">
        <f>IF(OC_Name=0,"",IF(INDEX('OneCause_Paste'!$A$1381:$AZ$1381,1,OC_Name)="","",INDEX('OneCause_Paste'!$A$1381:$AZ$1381,1,OC_Name)))</f>
        <v/>
      </c>
      <c r="L1381">
        <f>IF(OC_Txn=0,"",IF(INDEX('OneCause_Paste'!$A$1381:$AZ$1381,1,OC_Txn)="","",INDEX('OneCause_Paste'!$A$1381:$AZ$1381,1,OC_Txn)))</f>
        <v/>
      </c>
      <c r="M1381">
        <f>IF(OC_Pay=0,"",IF(INDEX('OneCause_Paste'!$A$1381:$AZ$1381,1,OC_Pay)="","",INDEX('OneCause_Paste'!$A$1381:$AZ$1381,1,OC_Pay)))</f>
        <v/>
      </c>
      <c r="N1381">
        <f>IF(I1381="","",IF(ISNUMBER(I1381),INT(I1381),IFERROR(INT(DATEVALUE(I1381)),IFERROR(INT(VALUE(I1381)),"bad"))))</f>
        <v/>
      </c>
      <c r="O1381">
        <f>IF(J1381="","",IF(ISNUMBER(J1381),ROUND(J1381,2),IFERROR(ROUND(VALUE(SUBSTITUTE(SUBSTITUTE(SUBSTITUTE(J1381,"$",""),",","")," ","")),2),"bad")))</f>
        <v/>
      </c>
      <c r="P1381">
        <f>IF(TRIM(K1381)="","",IFERROR(MATCH(LOWER(TRIM(K1381)),'Students'!$AH$2:$AH$701,0),IFERROR(MATCH(LOWER(TRIM(K1381)),'Students'!$AF$2:$AF$701,0),IFERROR(MATCH(LOWER(TRIM(K1381)),'Students'!$AG$2:$AG$701,0),""))))</f>
        <v/>
      </c>
      <c r="R1381">
        <f>IF(P1381="","",INDEX('Students'!$AD$2:$AD$701,P1381))</f>
        <v/>
      </c>
      <c r="S1381">
        <f>IF(H1381="OK",O1381,0)</f>
        <v/>
      </c>
      <c r="T1381">
        <f>IF(H1381="OK",N1381,"")</f>
        <v/>
      </c>
      <c r="U1381">
        <f>IF(OC_Donor=0,"",IF(INDEX('OneCause_Paste'!$A$1381:$AZ$1381,1,OC_Donor)="","",INDEX('OneCause_Paste'!$A$1381:$AZ$1381,1,OC_Donor)))</f>
        <v/>
      </c>
    </row>
    <row r="1382">
      <c r="A1382" s="62">
        <f>IF(H1382="","",IF(ISNUMBER(N1382),N1382,I1382))</f>
        <v/>
      </c>
      <c r="B1382">
        <f>IF(H1382="","",U1382)</f>
        <v/>
      </c>
      <c r="C1382">
        <f>IF(H1382="","",IF(P1382="",K1382,INDEX('Students'!$A$2:$A$701,P1382)))</f>
        <v/>
      </c>
      <c r="D1382">
        <f>IF(OR(H1382="",P1382=""),"",INDEX('Students'!$B$2:$B$701,P1382))</f>
        <v/>
      </c>
      <c r="E1382">
        <f>IF(OR(H1382="",P1382=""),"",INDEX('Students'!$C$2:$C$701,P1382))</f>
        <v/>
      </c>
      <c r="F1382" s="48">
        <f>IF(H1382="","",IF(ISNUMBER(O1382),O1382,J1382))</f>
        <v/>
      </c>
      <c r="G1382">
        <f>IF(H1382="","","OneCause")</f>
        <v/>
      </c>
      <c r="H1382">
        <f>IF(AND(I1382="",J1382="",K1382=""),"",IF(NOT(ISNUMBER(O1382)),"Bad amount",IF(O1382&lt;0,"Refund (not counted)",IF(O1382=0,"Zero amount",IF(NOT(ISNUMBER(N1382)),"Bad date",IF(P1382="","NAME NOT ON ROSTER",IF(L1382="","OK",IF(MATCH(L1382,$L$2:$L$3001,0)&lt;ROW()-1,"Duplicate (ignored)","OK"))))))))</f>
        <v/>
      </c>
      <c r="I1382">
        <f>IF(OC_Date=0,"",IF(INDEX('OneCause_Paste'!$A$1382:$AZ$1382,1,OC_Date)="","",INDEX('OneCause_Paste'!$A$1382:$AZ$1382,1,OC_Date)))</f>
        <v/>
      </c>
      <c r="J1382">
        <f>IF(OC_Amt=0,"",IF(INDEX('OneCause_Paste'!$A$1382:$AZ$1382,1,OC_Amt)="","",INDEX('OneCause_Paste'!$A$1382:$AZ$1382,1,OC_Amt)))</f>
        <v/>
      </c>
      <c r="K1382">
        <f>IF(OC_Name=0,"",IF(INDEX('OneCause_Paste'!$A$1382:$AZ$1382,1,OC_Name)="","",INDEX('OneCause_Paste'!$A$1382:$AZ$1382,1,OC_Name)))</f>
        <v/>
      </c>
      <c r="L1382">
        <f>IF(OC_Txn=0,"",IF(INDEX('OneCause_Paste'!$A$1382:$AZ$1382,1,OC_Txn)="","",INDEX('OneCause_Paste'!$A$1382:$AZ$1382,1,OC_Txn)))</f>
        <v/>
      </c>
      <c r="M1382">
        <f>IF(OC_Pay=0,"",IF(INDEX('OneCause_Paste'!$A$1382:$AZ$1382,1,OC_Pay)="","",INDEX('OneCause_Paste'!$A$1382:$AZ$1382,1,OC_Pay)))</f>
        <v/>
      </c>
      <c r="N1382">
        <f>IF(I1382="","",IF(ISNUMBER(I1382),INT(I1382),IFERROR(INT(DATEVALUE(I1382)),IFERROR(INT(VALUE(I1382)),"bad"))))</f>
        <v/>
      </c>
      <c r="O1382">
        <f>IF(J1382="","",IF(ISNUMBER(J1382),ROUND(J1382,2),IFERROR(ROUND(VALUE(SUBSTITUTE(SUBSTITUTE(SUBSTITUTE(J1382,"$",""),",","")," ","")),2),"bad")))</f>
        <v/>
      </c>
      <c r="P1382">
        <f>IF(TRIM(K1382)="","",IFERROR(MATCH(LOWER(TRIM(K1382)),'Students'!$AH$2:$AH$701,0),IFERROR(MATCH(LOWER(TRIM(K1382)),'Students'!$AF$2:$AF$701,0),IFERROR(MATCH(LOWER(TRIM(K1382)),'Students'!$AG$2:$AG$701,0),""))))</f>
        <v/>
      </c>
      <c r="R1382">
        <f>IF(P1382="","",INDEX('Students'!$AD$2:$AD$701,P1382))</f>
        <v/>
      </c>
      <c r="S1382">
        <f>IF(H1382="OK",O1382,0)</f>
        <v/>
      </c>
      <c r="T1382">
        <f>IF(H1382="OK",N1382,"")</f>
        <v/>
      </c>
      <c r="U1382">
        <f>IF(OC_Donor=0,"",IF(INDEX('OneCause_Paste'!$A$1382:$AZ$1382,1,OC_Donor)="","",INDEX('OneCause_Paste'!$A$1382:$AZ$1382,1,OC_Donor)))</f>
        <v/>
      </c>
    </row>
    <row r="1383">
      <c r="A1383" s="62">
        <f>IF(H1383="","",IF(ISNUMBER(N1383),N1383,I1383))</f>
        <v/>
      </c>
      <c r="B1383">
        <f>IF(H1383="","",U1383)</f>
        <v/>
      </c>
      <c r="C1383">
        <f>IF(H1383="","",IF(P1383="",K1383,INDEX('Students'!$A$2:$A$701,P1383)))</f>
        <v/>
      </c>
      <c r="D1383">
        <f>IF(OR(H1383="",P1383=""),"",INDEX('Students'!$B$2:$B$701,P1383))</f>
        <v/>
      </c>
      <c r="E1383">
        <f>IF(OR(H1383="",P1383=""),"",INDEX('Students'!$C$2:$C$701,P1383))</f>
        <v/>
      </c>
      <c r="F1383" s="48">
        <f>IF(H1383="","",IF(ISNUMBER(O1383),O1383,J1383))</f>
        <v/>
      </c>
      <c r="G1383">
        <f>IF(H1383="","","OneCause")</f>
        <v/>
      </c>
      <c r="H1383">
        <f>IF(AND(I1383="",J1383="",K1383=""),"",IF(NOT(ISNUMBER(O1383)),"Bad amount",IF(O1383&lt;0,"Refund (not counted)",IF(O1383=0,"Zero amount",IF(NOT(ISNUMBER(N1383)),"Bad date",IF(P1383="","NAME NOT ON ROSTER",IF(L1383="","OK",IF(MATCH(L1383,$L$2:$L$3001,0)&lt;ROW()-1,"Duplicate (ignored)","OK"))))))))</f>
        <v/>
      </c>
      <c r="I1383">
        <f>IF(OC_Date=0,"",IF(INDEX('OneCause_Paste'!$A$1383:$AZ$1383,1,OC_Date)="","",INDEX('OneCause_Paste'!$A$1383:$AZ$1383,1,OC_Date)))</f>
        <v/>
      </c>
      <c r="J1383">
        <f>IF(OC_Amt=0,"",IF(INDEX('OneCause_Paste'!$A$1383:$AZ$1383,1,OC_Amt)="","",INDEX('OneCause_Paste'!$A$1383:$AZ$1383,1,OC_Amt)))</f>
        <v/>
      </c>
      <c r="K1383">
        <f>IF(OC_Name=0,"",IF(INDEX('OneCause_Paste'!$A$1383:$AZ$1383,1,OC_Name)="","",INDEX('OneCause_Paste'!$A$1383:$AZ$1383,1,OC_Name)))</f>
        <v/>
      </c>
      <c r="L1383">
        <f>IF(OC_Txn=0,"",IF(INDEX('OneCause_Paste'!$A$1383:$AZ$1383,1,OC_Txn)="","",INDEX('OneCause_Paste'!$A$1383:$AZ$1383,1,OC_Txn)))</f>
        <v/>
      </c>
      <c r="M1383">
        <f>IF(OC_Pay=0,"",IF(INDEX('OneCause_Paste'!$A$1383:$AZ$1383,1,OC_Pay)="","",INDEX('OneCause_Paste'!$A$1383:$AZ$1383,1,OC_Pay)))</f>
        <v/>
      </c>
      <c r="N1383">
        <f>IF(I1383="","",IF(ISNUMBER(I1383),INT(I1383),IFERROR(INT(DATEVALUE(I1383)),IFERROR(INT(VALUE(I1383)),"bad"))))</f>
        <v/>
      </c>
      <c r="O1383">
        <f>IF(J1383="","",IF(ISNUMBER(J1383),ROUND(J1383,2),IFERROR(ROUND(VALUE(SUBSTITUTE(SUBSTITUTE(SUBSTITUTE(J1383,"$",""),",","")," ","")),2),"bad")))</f>
        <v/>
      </c>
      <c r="P1383">
        <f>IF(TRIM(K1383)="","",IFERROR(MATCH(LOWER(TRIM(K1383)),'Students'!$AH$2:$AH$701,0),IFERROR(MATCH(LOWER(TRIM(K1383)),'Students'!$AF$2:$AF$701,0),IFERROR(MATCH(LOWER(TRIM(K1383)),'Students'!$AG$2:$AG$701,0),""))))</f>
        <v/>
      </c>
      <c r="R1383">
        <f>IF(P1383="","",INDEX('Students'!$AD$2:$AD$701,P1383))</f>
        <v/>
      </c>
      <c r="S1383">
        <f>IF(H1383="OK",O1383,0)</f>
        <v/>
      </c>
      <c r="T1383">
        <f>IF(H1383="OK",N1383,"")</f>
        <v/>
      </c>
      <c r="U1383">
        <f>IF(OC_Donor=0,"",IF(INDEX('OneCause_Paste'!$A$1383:$AZ$1383,1,OC_Donor)="","",INDEX('OneCause_Paste'!$A$1383:$AZ$1383,1,OC_Donor)))</f>
        <v/>
      </c>
    </row>
    <row r="1384">
      <c r="A1384" s="62">
        <f>IF(H1384="","",IF(ISNUMBER(N1384),N1384,I1384))</f>
        <v/>
      </c>
      <c r="B1384">
        <f>IF(H1384="","",U1384)</f>
        <v/>
      </c>
      <c r="C1384">
        <f>IF(H1384="","",IF(P1384="",K1384,INDEX('Students'!$A$2:$A$701,P1384)))</f>
        <v/>
      </c>
      <c r="D1384">
        <f>IF(OR(H1384="",P1384=""),"",INDEX('Students'!$B$2:$B$701,P1384))</f>
        <v/>
      </c>
      <c r="E1384">
        <f>IF(OR(H1384="",P1384=""),"",INDEX('Students'!$C$2:$C$701,P1384))</f>
        <v/>
      </c>
      <c r="F1384" s="48">
        <f>IF(H1384="","",IF(ISNUMBER(O1384),O1384,J1384))</f>
        <v/>
      </c>
      <c r="G1384">
        <f>IF(H1384="","","OneCause")</f>
        <v/>
      </c>
      <c r="H1384">
        <f>IF(AND(I1384="",J1384="",K1384=""),"",IF(NOT(ISNUMBER(O1384)),"Bad amount",IF(O1384&lt;0,"Refund (not counted)",IF(O1384=0,"Zero amount",IF(NOT(ISNUMBER(N1384)),"Bad date",IF(P1384="","NAME NOT ON ROSTER",IF(L1384="","OK",IF(MATCH(L1384,$L$2:$L$3001,0)&lt;ROW()-1,"Duplicate (ignored)","OK"))))))))</f>
        <v/>
      </c>
      <c r="I1384">
        <f>IF(OC_Date=0,"",IF(INDEX('OneCause_Paste'!$A$1384:$AZ$1384,1,OC_Date)="","",INDEX('OneCause_Paste'!$A$1384:$AZ$1384,1,OC_Date)))</f>
        <v/>
      </c>
      <c r="J1384">
        <f>IF(OC_Amt=0,"",IF(INDEX('OneCause_Paste'!$A$1384:$AZ$1384,1,OC_Amt)="","",INDEX('OneCause_Paste'!$A$1384:$AZ$1384,1,OC_Amt)))</f>
        <v/>
      </c>
      <c r="K1384">
        <f>IF(OC_Name=0,"",IF(INDEX('OneCause_Paste'!$A$1384:$AZ$1384,1,OC_Name)="","",INDEX('OneCause_Paste'!$A$1384:$AZ$1384,1,OC_Name)))</f>
        <v/>
      </c>
      <c r="L1384">
        <f>IF(OC_Txn=0,"",IF(INDEX('OneCause_Paste'!$A$1384:$AZ$1384,1,OC_Txn)="","",INDEX('OneCause_Paste'!$A$1384:$AZ$1384,1,OC_Txn)))</f>
        <v/>
      </c>
      <c r="M1384">
        <f>IF(OC_Pay=0,"",IF(INDEX('OneCause_Paste'!$A$1384:$AZ$1384,1,OC_Pay)="","",INDEX('OneCause_Paste'!$A$1384:$AZ$1384,1,OC_Pay)))</f>
        <v/>
      </c>
      <c r="N1384">
        <f>IF(I1384="","",IF(ISNUMBER(I1384),INT(I1384),IFERROR(INT(DATEVALUE(I1384)),IFERROR(INT(VALUE(I1384)),"bad"))))</f>
        <v/>
      </c>
      <c r="O1384">
        <f>IF(J1384="","",IF(ISNUMBER(J1384),ROUND(J1384,2),IFERROR(ROUND(VALUE(SUBSTITUTE(SUBSTITUTE(SUBSTITUTE(J1384,"$",""),",","")," ","")),2),"bad")))</f>
        <v/>
      </c>
      <c r="P1384">
        <f>IF(TRIM(K1384)="","",IFERROR(MATCH(LOWER(TRIM(K1384)),'Students'!$AH$2:$AH$701,0),IFERROR(MATCH(LOWER(TRIM(K1384)),'Students'!$AF$2:$AF$701,0),IFERROR(MATCH(LOWER(TRIM(K1384)),'Students'!$AG$2:$AG$701,0),""))))</f>
        <v/>
      </c>
      <c r="R1384">
        <f>IF(P1384="","",INDEX('Students'!$AD$2:$AD$701,P1384))</f>
        <v/>
      </c>
      <c r="S1384">
        <f>IF(H1384="OK",O1384,0)</f>
        <v/>
      </c>
      <c r="T1384">
        <f>IF(H1384="OK",N1384,"")</f>
        <v/>
      </c>
      <c r="U1384">
        <f>IF(OC_Donor=0,"",IF(INDEX('OneCause_Paste'!$A$1384:$AZ$1384,1,OC_Donor)="","",INDEX('OneCause_Paste'!$A$1384:$AZ$1384,1,OC_Donor)))</f>
        <v/>
      </c>
    </row>
    <row r="1385">
      <c r="A1385" s="62">
        <f>IF(H1385="","",IF(ISNUMBER(N1385),N1385,I1385))</f>
        <v/>
      </c>
      <c r="B1385">
        <f>IF(H1385="","",U1385)</f>
        <v/>
      </c>
      <c r="C1385">
        <f>IF(H1385="","",IF(P1385="",K1385,INDEX('Students'!$A$2:$A$701,P1385)))</f>
        <v/>
      </c>
      <c r="D1385">
        <f>IF(OR(H1385="",P1385=""),"",INDEX('Students'!$B$2:$B$701,P1385))</f>
        <v/>
      </c>
      <c r="E1385">
        <f>IF(OR(H1385="",P1385=""),"",INDEX('Students'!$C$2:$C$701,P1385))</f>
        <v/>
      </c>
      <c r="F1385" s="48">
        <f>IF(H1385="","",IF(ISNUMBER(O1385),O1385,J1385))</f>
        <v/>
      </c>
      <c r="G1385">
        <f>IF(H1385="","","OneCause")</f>
        <v/>
      </c>
      <c r="H1385">
        <f>IF(AND(I1385="",J1385="",K1385=""),"",IF(NOT(ISNUMBER(O1385)),"Bad amount",IF(O1385&lt;0,"Refund (not counted)",IF(O1385=0,"Zero amount",IF(NOT(ISNUMBER(N1385)),"Bad date",IF(P1385="","NAME NOT ON ROSTER",IF(L1385="","OK",IF(MATCH(L1385,$L$2:$L$3001,0)&lt;ROW()-1,"Duplicate (ignored)","OK"))))))))</f>
        <v/>
      </c>
      <c r="I1385">
        <f>IF(OC_Date=0,"",IF(INDEX('OneCause_Paste'!$A$1385:$AZ$1385,1,OC_Date)="","",INDEX('OneCause_Paste'!$A$1385:$AZ$1385,1,OC_Date)))</f>
        <v/>
      </c>
      <c r="J1385">
        <f>IF(OC_Amt=0,"",IF(INDEX('OneCause_Paste'!$A$1385:$AZ$1385,1,OC_Amt)="","",INDEX('OneCause_Paste'!$A$1385:$AZ$1385,1,OC_Amt)))</f>
        <v/>
      </c>
      <c r="K1385">
        <f>IF(OC_Name=0,"",IF(INDEX('OneCause_Paste'!$A$1385:$AZ$1385,1,OC_Name)="","",INDEX('OneCause_Paste'!$A$1385:$AZ$1385,1,OC_Name)))</f>
        <v/>
      </c>
      <c r="L1385">
        <f>IF(OC_Txn=0,"",IF(INDEX('OneCause_Paste'!$A$1385:$AZ$1385,1,OC_Txn)="","",INDEX('OneCause_Paste'!$A$1385:$AZ$1385,1,OC_Txn)))</f>
        <v/>
      </c>
      <c r="M1385">
        <f>IF(OC_Pay=0,"",IF(INDEX('OneCause_Paste'!$A$1385:$AZ$1385,1,OC_Pay)="","",INDEX('OneCause_Paste'!$A$1385:$AZ$1385,1,OC_Pay)))</f>
        <v/>
      </c>
      <c r="N1385">
        <f>IF(I1385="","",IF(ISNUMBER(I1385),INT(I1385),IFERROR(INT(DATEVALUE(I1385)),IFERROR(INT(VALUE(I1385)),"bad"))))</f>
        <v/>
      </c>
      <c r="O1385">
        <f>IF(J1385="","",IF(ISNUMBER(J1385),ROUND(J1385,2),IFERROR(ROUND(VALUE(SUBSTITUTE(SUBSTITUTE(SUBSTITUTE(J1385,"$",""),",","")," ","")),2),"bad")))</f>
        <v/>
      </c>
      <c r="P1385">
        <f>IF(TRIM(K1385)="","",IFERROR(MATCH(LOWER(TRIM(K1385)),'Students'!$AH$2:$AH$701,0),IFERROR(MATCH(LOWER(TRIM(K1385)),'Students'!$AF$2:$AF$701,0),IFERROR(MATCH(LOWER(TRIM(K1385)),'Students'!$AG$2:$AG$701,0),""))))</f>
        <v/>
      </c>
      <c r="R1385">
        <f>IF(P1385="","",INDEX('Students'!$AD$2:$AD$701,P1385))</f>
        <v/>
      </c>
      <c r="S1385">
        <f>IF(H1385="OK",O1385,0)</f>
        <v/>
      </c>
      <c r="T1385">
        <f>IF(H1385="OK",N1385,"")</f>
        <v/>
      </c>
      <c r="U1385">
        <f>IF(OC_Donor=0,"",IF(INDEX('OneCause_Paste'!$A$1385:$AZ$1385,1,OC_Donor)="","",INDEX('OneCause_Paste'!$A$1385:$AZ$1385,1,OC_Donor)))</f>
        <v/>
      </c>
    </row>
    <row r="1386">
      <c r="A1386" s="62">
        <f>IF(H1386="","",IF(ISNUMBER(N1386),N1386,I1386))</f>
        <v/>
      </c>
      <c r="B1386">
        <f>IF(H1386="","",U1386)</f>
        <v/>
      </c>
      <c r="C1386">
        <f>IF(H1386="","",IF(P1386="",K1386,INDEX('Students'!$A$2:$A$701,P1386)))</f>
        <v/>
      </c>
      <c r="D1386">
        <f>IF(OR(H1386="",P1386=""),"",INDEX('Students'!$B$2:$B$701,P1386))</f>
        <v/>
      </c>
      <c r="E1386">
        <f>IF(OR(H1386="",P1386=""),"",INDEX('Students'!$C$2:$C$701,P1386))</f>
        <v/>
      </c>
      <c r="F1386" s="48">
        <f>IF(H1386="","",IF(ISNUMBER(O1386),O1386,J1386))</f>
        <v/>
      </c>
      <c r="G1386">
        <f>IF(H1386="","","OneCause")</f>
        <v/>
      </c>
      <c r="H1386">
        <f>IF(AND(I1386="",J1386="",K1386=""),"",IF(NOT(ISNUMBER(O1386)),"Bad amount",IF(O1386&lt;0,"Refund (not counted)",IF(O1386=0,"Zero amount",IF(NOT(ISNUMBER(N1386)),"Bad date",IF(P1386="","NAME NOT ON ROSTER",IF(L1386="","OK",IF(MATCH(L1386,$L$2:$L$3001,0)&lt;ROW()-1,"Duplicate (ignored)","OK"))))))))</f>
        <v/>
      </c>
      <c r="I1386">
        <f>IF(OC_Date=0,"",IF(INDEX('OneCause_Paste'!$A$1386:$AZ$1386,1,OC_Date)="","",INDEX('OneCause_Paste'!$A$1386:$AZ$1386,1,OC_Date)))</f>
        <v/>
      </c>
      <c r="J1386">
        <f>IF(OC_Amt=0,"",IF(INDEX('OneCause_Paste'!$A$1386:$AZ$1386,1,OC_Amt)="","",INDEX('OneCause_Paste'!$A$1386:$AZ$1386,1,OC_Amt)))</f>
        <v/>
      </c>
      <c r="K1386">
        <f>IF(OC_Name=0,"",IF(INDEX('OneCause_Paste'!$A$1386:$AZ$1386,1,OC_Name)="","",INDEX('OneCause_Paste'!$A$1386:$AZ$1386,1,OC_Name)))</f>
        <v/>
      </c>
      <c r="L1386">
        <f>IF(OC_Txn=0,"",IF(INDEX('OneCause_Paste'!$A$1386:$AZ$1386,1,OC_Txn)="","",INDEX('OneCause_Paste'!$A$1386:$AZ$1386,1,OC_Txn)))</f>
        <v/>
      </c>
      <c r="M1386">
        <f>IF(OC_Pay=0,"",IF(INDEX('OneCause_Paste'!$A$1386:$AZ$1386,1,OC_Pay)="","",INDEX('OneCause_Paste'!$A$1386:$AZ$1386,1,OC_Pay)))</f>
        <v/>
      </c>
      <c r="N1386">
        <f>IF(I1386="","",IF(ISNUMBER(I1386),INT(I1386),IFERROR(INT(DATEVALUE(I1386)),IFERROR(INT(VALUE(I1386)),"bad"))))</f>
        <v/>
      </c>
      <c r="O1386">
        <f>IF(J1386="","",IF(ISNUMBER(J1386),ROUND(J1386,2),IFERROR(ROUND(VALUE(SUBSTITUTE(SUBSTITUTE(SUBSTITUTE(J1386,"$",""),",","")," ","")),2),"bad")))</f>
        <v/>
      </c>
      <c r="P1386">
        <f>IF(TRIM(K1386)="","",IFERROR(MATCH(LOWER(TRIM(K1386)),'Students'!$AH$2:$AH$701,0),IFERROR(MATCH(LOWER(TRIM(K1386)),'Students'!$AF$2:$AF$701,0),IFERROR(MATCH(LOWER(TRIM(K1386)),'Students'!$AG$2:$AG$701,0),""))))</f>
        <v/>
      </c>
      <c r="R1386">
        <f>IF(P1386="","",INDEX('Students'!$AD$2:$AD$701,P1386))</f>
        <v/>
      </c>
      <c r="S1386">
        <f>IF(H1386="OK",O1386,0)</f>
        <v/>
      </c>
      <c r="T1386">
        <f>IF(H1386="OK",N1386,"")</f>
        <v/>
      </c>
      <c r="U1386">
        <f>IF(OC_Donor=0,"",IF(INDEX('OneCause_Paste'!$A$1386:$AZ$1386,1,OC_Donor)="","",INDEX('OneCause_Paste'!$A$1386:$AZ$1386,1,OC_Donor)))</f>
        <v/>
      </c>
    </row>
    <row r="1387">
      <c r="A1387" s="62">
        <f>IF(H1387="","",IF(ISNUMBER(N1387),N1387,I1387))</f>
        <v/>
      </c>
      <c r="B1387">
        <f>IF(H1387="","",U1387)</f>
        <v/>
      </c>
      <c r="C1387">
        <f>IF(H1387="","",IF(P1387="",K1387,INDEX('Students'!$A$2:$A$701,P1387)))</f>
        <v/>
      </c>
      <c r="D1387">
        <f>IF(OR(H1387="",P1387=""),"",INDEX('Students'!$B$2:$B$701,P1387))</f>
        <v/>
      </c>
      <c r="E1387">
        <f>IF(OR(H1387="",P1387=""),"",INDEX('Students'!$C$2:$C$701,P1387))</f>
        <v/>
      </c>
      <c r="F1387" s="48">
        <f>IF(H1387="","",IF(ISNUMBER(O1387),O1387,J1387))</f>
        <v/>
      </c>
      <c r="G1387">
        <f>IF(H1387="","","OneCause")</f>
        <v/>
      </c>
      <c r="H1387">
        <f>IF(AND(I1387="",J1387="",K1387=""),"",IF(NOT(ISNUMBER(O1387)),"Bad amount",IF(O1387&lt;0,"Refund (not counted)",IF(O1387=0,"Zero amount",IF(NOT(ISNUMBER(N1387)),"Bad date",IF(P1387="","NAME NOT ON ROSTER",IF(L1387="","OK",IF(MATCH(L1387,$L$2:$L$3001,0)&lt;ROW()-1,"Duplicate (ignored)","OK"))))))))</f>
        <v/>
      </c>
      <c r="I1387">
        <f>IF(OC_Date=0,"",IF(INDEX('OneCause_Paste'!$A$1387:$AZ$1387,1,OC_Date)="","",INDEX('OneCause_Paste'!$A$1387:$AZ$1387,1,OC_Date)))</f>
        <v/>
      </c>
      <c r="J1387">
        <f>IF(OC_Amt=0,"",IF(INDEX('OneCause_Paste'!$A$1387:$AZ$1387,1,OC_Amt)="","",INDEX('OneCause_Paste'!$A$1387:$AZ$1387,1,OC_Amt)))</f>
        <v/>
      </c>
      <c r="K1387">
        <f>IF(OC_Name=0,"",IF(INDEX('OneCause_Paste'!$A$1387:$AZ$1387,1,OC_Name)="","",INDEX('OneCause_Paste'!$A$1387:$AZ$1387,1,OC_Name)))</f>
        <v/>
      </c>
      <c r="L1387">
        <f>IF(OC_Txn=0,"",IF(INDEX('OneCause_Paste'!$A$1387:$AZ$1387,1,OC_Txn)="","",INDEX('OneCause_Paste'!$A$1387:$AZ$1387,1,OC_Txn)))</f>
        <v/>
      </c>
      <c r="M1387">
        <f>IF(OC_Pay=0,"",IF(INDEX('OneCause_Paste'!$A$1387:$AZ$1387,1,OC_Pay)="","",INDEX('OneCause_Paste'!$A$1387:$AZ$1387,1,OC_Pay)))</f>
        <v/>
      </c>
      <c r="N1387">
        <f>IF(I1387="","",IF(ISNUMBER(I1387),INT(I1387),IFERROR(INT(DATEVALUE(I1387)),IFERROR(INT(VALUE(I1387)),"bad"))))</f>
        <v/>
      </c>
      <c r="O1387">
        <f>IF(J1387="","",IF(ISNUMBER(J1387),ROUND(J1387,2),IFERROR(ROUND(VALUE(SUBSTITUTE(SUBSTITUTE(SUBSTITUTE(J1387,"$",""),",","")," ","")),2),"bad")))</f>
        <v/>
      </c>
      <c r="P1387">
        <f>IF(TRIM(K1387)="","",IFERROR(MATCH(LOWER(TRIM(K1387)),'Students'!$AH$2:$AH$701,0),IFERROR(MATCH(LOWER(TRIM(K1387)),'Students'!$AF$2:$AF$701,0),IFERROR(MATCH(LOWER(TRIM(K1387)),'Students'!$AG$2:$AG$701,0),""))))</f>
        <v/>
      </c>
      <c r="R1387">
        <f>IF(P1387="","",INDEX('Students'!$AD$2:$AD$701,P1387))</f>
        <v/>
      </c>
      <c r="S1387">
        <f>IF(H1387="OK",O1387,0)</f>
        <v/>
      </c>
      <c r="T1387">
        <f>IF(H1387="OK",N1387,"")</f>
        <v/>
      </c>
      <c r="U1387">
        <f>IF(OC_Donor=0,"",IF(INDEX('OneCause_Paste'!$A$1387:$AZ$1387,1,OC_Donor)="","",INDEX('OneCause_Paste'!$A$1387:$AZ$1387,1,OC_Donor)))</f>
        <v/>
      </c>
    </row>
    <row r="1388">
      <c r="A1388" s="62">
        <f>IF(H1388="","",IF(ISNUMBER(N1388),N1388,I1388))</f>
        <v/>
      </c>
      <c r="B1388">
        <f>IF(H1388="","",U1388)</f>
        <v/>
      </c>
      <c r="C1388">
        <f>IF(H1388="","",IF(P1388="",K1388,INDEX('Students'!$A$2:$A$701,P1388)))</f>
        <v/>
      </c>
      <c r="D1388">
        <f>IF(OR(H1388="",P1388=""),"",INDEX('Students'!$B$2:$B$701,P1388))</f>
        <v/>
      </c>
      <c r="E1388">
        <f>IF(OR(H1388="",P1388=""),"",INDEX('Students'!$C$2:$C$701,P1388))</f>
        <v/>
      </c>
      <c r="F1388" s="48">
        <f>IF(H1388="","",IF(ISNUMBER(O1388),O1388,J1388))</f>
        <v/>
      </c>
      <c r="G1388">
        <f>IF(H1388="","","OneCause")</f>
        <v/>
      </c>
      <c r="H1388">
        <f>IF(AND(I1388="",J1388="",K1388=""),"",IF(NOT(ISNUMBER(O1388)),"Bad amount",IF(O1388&lt;0,"Refund (not counted)",IF(O1388=0,"Zero amount",IF(NOT(ISNUMBER(N1388)),"Bad date",IF(P1388="","NAME NOT ON ROSTER",IF(L1388="","OK",IF(MATCH(L1388,$L$2:$L$3001,0)&lt;ROW()-1,"Duplicate (ignored)","OK"))))))))</f>
        <v/>
      </c>
      <c r="I1388">
        <f>IF(OC_Date=0,"",IF(INDEX('OneCause_Paste'!$A$1388:$AZ$1388,1,OC_Date)="","",INDEX('OneCause_Paste'!$A$1388:$AZ$1388,1,OC_Date)))</f>
        <v/>
      </c>
      <c r="J1388">
        <f>IF(OC_Amt=0,"",IF(INDEX('OneCause_Paste'!$A$1388:$AZ$1388,1,OC_Amt)="","",INDEX('OneCause_Paste'!$A$1388:$AZ$1388,1,OC_Amt)))</f>
        <v/>
      </c>
      <c r="K1388">
        <f>IF(OC_Name=0,"",IF(INDEX('OneCause_Paste'!$A$1388:$AZ$1388,1,OC_Name)="","",INDEX('OneCause_Paste'!$A$1388:$AZ$1388,1,OC_Name)))</f>
        <v/>
      </c>
      <c r="L1388">
        <f>IF(OC_Txn=0,"",IF(INDEX('OneCause_Paste'!$A$1388:$AZ$1388,1,OC_Txn)="","",INDEX('OneCause_Paste'!$A$1388:$AZ$1388,1,OC_Txn)))</f>
        <v/>
      </c>
      <c r="M1388">
        <f>IF(OC_Pay=0,"",IF(INDEX('OneCause_Paste'!$A$1388:$AZ$1388,1,OC_Pay)="","",INDEX('OneCause_Paste'!$A$1388:$AZ$1388,1,OC_Pay)))</f>
        <v/>
      </c>
      <c r="N1388">
        <f>IF(I1388="","",IF(ISNUMBER(I1388),INT(I1388),IFERROR(INT(DATEVALUE(I1388)),IFERROR(INT(VALUE(I1388)),"bad"))))</f>
        <v/>
      </c>
      <c r="O1388">
        <f>IF(J1388="","",IF(ISNUMBER(J1388),ROUND(J1388,2),IFERROR(ROUND(VALUE(SUBSTITUTE(SUBSTITUTE(SUBSTITUTE(J1388,"$",""),",","")," ","")),2),"bad")))</f>
        <v/>
      </c>
      <c r="P1388">
        <f>IF(TRIM(K1388)="","",IFERROR(MATCH(LOWER(TRIM(K1388)),'Students'!$AH$2:$AH$701,0),IFERROR(MATCH(LOWER(TRIM(K1388)),'Students'!$AF$2:$AF$701,0),IFERROR(MATCH(LOWER(TRIM(K1388)),'Students'!$AG$2:$AG$701,0),""))))</f>
        <v/>
      </c>
      <c r="R1388">
        <f>IF(P1388="","",INDEX('Students'!$AD$2:$AD$701,P1388))</f>
        <v/>
      </c>
      <c r="S1388">
        <f>IF(H1388="OK",O1388,0)</f>
        <v/>
      </c>
      <c r="T1388">
        <f>IF(H1388="OK",N1388,"")</f>
        <v/>
      </c>
      <c r="U1388">
        <f>IF(OC_Donor=0,"",IF(INDEX('OneCause_Paste'!$A$1388:$AZ$1388,1,OC_Donor)="","",INDEX('OneCause_Paste'!$A$1388:$AZ$1388,1,OC_Donor)))</f>
        <v/>
      </c>
    </row>
    <row r="1389">
      <c r="A1389" s="62">
        <f>IF(H1389="","",IF(ISNUMBER(N1389),N1389,I1389))</f>
        <v/>
      </c>
      <c r="B1389">
        <f>IF(H1389="","",U1389)</f>
        <v/>
      </c>
      <c r="C1389">
        <f>IF(H1389="","",IF(P1389="",K1389,INDEX('Students'!$A$2:$A$701,P1389)))</f>
        <v/>
      </c>
      <c r="D1389">
        <f>IF(OR(H1389="",P1389=""),"",INDEX('Students'!$B$2:$B$701,P1389))</f>
        <v/>
      </c>
      <c r="E1389">
        <f>IF(OR(H1389="",P1389=""),"",INDEX('Students'!$C$2:$C$701,P1389))</f>
        <v/>
      </c>
      <c r="F1389" s="48">
        <f>IF(H1389="","",IF(ISNUMBER(O1389),O1389,J1389))</f>
        <v/>
      </c>
      <c r="G1389">
        <f>IF(H1389="","","OneCause")</f>
        <v/>
      </c>
      <c r="H1389">
        <f>IF(AND(I1389="",J1389="",K1389=""),"",IF(NOT(ISNUMBER(O1389)),"Bad amount",IF(O1389&lt;0,"Refund (not counted)",IF(O1389=0,"Zero amount",IF(NOT(ISNUMBER(N1389)),"Bad date",IF(P1389="","NAME NOT ON ROSTER",IF(L1389="","OK",IF(MATCH(L1389,$L$2:$L$3001,0)&lt;ROW()-1,"Duplicate (ignored)","OK"))))))))</f>
        <v/>
      </c>
      <c r="I1389">
        <f>IF(OC_Date=0,"",IF(INDEX('OneCause_Paste'!$A$1389:$AZ$1389,1,OC_Date)="","",INDEX('OneCause_Paste'!$A$1389:$AZ$1389,1,OC_Date)))</f>
        <v/>
      </c>
      <c r="J1389">
        <f>IF(OC_Amt=0,"",IF(INDEX('OneCause_Paste'!$A$1389:$AZ$1389,1,OC_Amt)="","",INDEX('OneCause_Paste'!$A$1389:$AZ$1389,1,OC_Amt)))</f>
        <v/>
      </c>
      <c r="K1389">
        <f>IF(OC_Name=0,"",IF(INDEX('OneCause_Paste'!$A$1389:$AZ$1389,1,OC_Name)="","",INDEX('OneCause_Paste'!$A$1389:$AZ$1389,1,OC_Name)))</f>
        <v/>
      </c>
      <c r="L1389">
        <f>IF(OC_Txn=0,"",IF(INDEX('OneCause_Paste'!$A$1389:$AZ$1389,1,OC_Txn)="","",INDEX('OneCause_Paste'!$A$1389:$AZ$1389,1,OC_Txn)))</f>
        <v/>
      </c>
      <c r="M1389">
        <f>IF(OC_Pay=0,"",IF(INDEX('OneCause_Paste'!$A$1389:$AZ$1389,1,OC_Pay)="","",INDEX('OneCause_Paste'!$A$1389:$AZ$1389,1,OC_Pay)))</f>
        <v/>
      </c>
      <c r="N1389">
        <f>IF(I1389="","",IF(ISNUMBER(I1389),INT(I1389),IFERROR(INT(DATEVALUE(I1389)),IFERROR(INT(VALUE(I1389)),"bad"))))</f>
        <v/>
      </c>
      <c r="O1389">
        <f>IF(J1389="","",IF(ISNUMBER(J1389),ROUND(J1389,2),IFERROR(ROUND(VALUE(SUBSTITUTE(SUBSTITUTE(SUBSTITUTE(J1389,"$",""),",","")," ","")),2),"bad")))</f>
        <v/>
      </c>
      <c r="P1389">
        <f>IF(TRIM(K1389)="","",IFERROR(MATCH(LOWER(TRIM(K1389)),'Students'!$AH$2:$AH$701,0),IFERROR(MATCH(LOWER(TRIM(K1389)),'Students'!$AF$2:$AF$701,0),IFERROR(MATCH(LOWER(TRIM(K1389)),'Students'!$AG$2:$AG$701,0),""))))</f>
        <v/>
      </c>
      <c r="R1389">
        <f>IF(P1389="","",INDEX('Students'!$AD$2:$AD$701,P1389))</f>
        <v/>
      </c>
      <c r="S1389">
        <f>IF(H1389="OK",O1389,0)</f>
        <v/>
      </c>
      <c r="T1389">
        <f>IF(H1389="OK",N1389,"")</f>
        <v/>
      </c>
      <c r="U1389">
        <f>IF(OC_Donor=0,"",IF(INDEX('OneCause_Paste'!$A$1389:$AZ$1389,1,OC_Donor)="","",INDEX('OneCause_Paste'!$A$1389:$AZ$1389,1,OC_Donor)))</f>
        <v/>
      </c>
    </row>
    <row r="1390">
      <c r="A1390" s="62">
        <f>IF(H1390="","",IF(ISNUMBER(N1390),N1390,I1390))</f>
        <v/>
      </c>
      <c r="B1390">
        <f>IF(H1390="","",U1390)</f>
        <v/>
      </c>
      <c r="C1390">
        <f>IF(H1390="","",IF(P1390="",K1390,INDEX('Students'!$A$2:$A$701,P1390)))</f>
        <v/>
      </c>
      <c r="D1390">
        <f>IF(OR(H1390="",P1390=""),"",INDEX('Students'!$B$2:$B$701,P1390))</f>
        <v/>
      </c>
      <c r="E1390">
        <f>IF(OR(H1390="",P1390=""),"",INDEX('Students'!$C$2:$C$701,P1390))</f>
        <v/>
      </c>
      <c r="F1390" s="48">
        <f>IF(H1390="","",IF(ISNUMBER(O1390),O1390,J1390))</f>
        <v/>
      </c>
      <c r="G1390">
        <f>IF(H1390="","","OneCause")</f>
        <v/>
      </c>
      <c r="H1390">
        <f>IF(AND(I1390="",J1390="",K1390=""),"",IF(NOT(ISNUMBER(O1390)),"Bad amount",IF(O1390&lt;0,"Refund (not counted)",IF(O1390=0,"Zero amount",IF(NOT(ISNUMBER(N1390)),"Bad date",IF(P1390="","NAME NOT ON ROSTER",IF(L1390="","OK",IF(MATCH(L1390,$L$2:$L$3001,0)&lt;ROW()-1,"Duplicate (ignored)","OK"))))))))</f>
        <v/>
      </c>
      <c r="I1390">
        <f>IF(OC_Date=0,"",IF(INDEX('OneCause_Paste'!$A$1390:$AZ$1390,1,OC_Date)="","",INDEX('OneCause_Paste'!$A$1390:$AZ$1390,1,OC_Date)))</f>
        <v/>
      </c>
      <c r="J1390">
        <f>IF(OC_Amt=0,"",IF(INDEX('OneCause_Paste'!$A$1390:$AZ$1390,1,OC_Amt)="","",INDEX('OneCause_Paste'!$A$1390:$AZ$1390,1,OC_Amt)))</f>
        <v/>
      </c>
      <c r="K1390">
        <f>IF(OC_Name=0,"",IF(INDEX('OneCause_Paste'!$A$1390:$AZ$1390,1,OC_Name)="","",INDEX('OneCause_Paste'!$A$1390:$AZ$1390,1,OC_Name)))</f>
        <v/>
      </c>
      <c r="L1390">
        <f>IF(OC_Txn=0,"",IF(INDEX('OneCause_Paste'!$A$1390:$AZ$1390,1,OC_Txn)="","",INDEX('OneCause_Paste'!$A$1390:$AZ$1390,1,OC_Txn)))</f>
        <v/>
      </c>
      <c r="M1390">
        <f>IF(OC_Pay=0,"",IF(INDEX('OneCause_Paste'!$A$1390:$AZ$1390,1,OC_Pay)="","",INDEX('OneCause_Paste'!$A$1390:$AZ$1390,1,OC_Pay)))</f>
        <v/>
      </c>
      <c r="N1390">
        <f>IF(I1390="","",IF(ISNUMBER(I1390),INT(I1390),IFERROR(INT(DATEVALUE(I1390)),IFERROR(INT(VALUE(I1390)),"bad"))))</f>
        <v/>
      </c>
      <c r="O1390">
        <f>IF(J1390="","",IF(ISNUMBER(J1390),ROUND(J1390,2),IFERROR(ROUND(VALUE(SUBSTITUTE(SUBSTITUTE(SUBSTITUTE(J1390,"$",""),",","")," ","")),2),"bad")))</f>
        <v/>
      </c>
      <c r="P1390">
        <f>IF(TRIM(K1390)="","",IFERROR(MATCH(LOWER(TRIM(K1390)),'Students'!$AH$2:$AH$701,0),IFERROR(MATCH(LOWER(TRIM(K1390)),'Students'!$AF$2:$AF$701,0),IFERROR(MATCH(LOWER(TRIM(K1390)),'Students'!$AG$2:$AG$701,0),""))))</f>
        <v/>
      </c>
      <c r="R1390">
        <f>IF(P1390="","",INDEX('Students'!$AD$2:$AD$701,P1390))</f>
        <v/>
      </c>
      <c r="S1390">
        <f>IF(H1390="OK",O1390,0)</f>
        <v/>
      </c>
      <c r="T1390">
        <f>IF(H1390="OK",N1390,"")</f>
        <v/>
      </c>
      <c r="U1390">
        <f>IF(OC_Donor=0,"",IF(INDEX('OneCause_Paste'!$A$1390:$AZ$1390,1,OC_Donor)="","",INDEX('OneCause_Paste'!$A$1390:$AZ$1390,1,OC_Donor)))</f>
        <v/>
      </c>
    </row>
    <row r="1391">
      <c r="A1391" s="62">
        <f>IF(H1391="","",IF(ISNUMBER(N1391),N1391,I1391))</f>
        <v/>
      </c>
      <c r="B1391">
        <f>IF(H1391="","",U1391)</f>
        <v/>
      </c>
      <c r="C1391">
        <f>IF(H1391="","",IF(P1391="",K1391,INDEX('Students'!$A$2:$A$701,P1391)))</f>
        <v/>
      </c>
      <c r="D1391">
        <f>IF(OR(H1391="",P1391=""),"",INDEX('Students'!$B$2:$B$701,P1391))</f>
        <v/>
      </c>
      <c r="E1391">
        <f>IF(OR(H1391="",P1391=""),"",INDEX('Students'!$C$2:$C$701,P1391))</f>
        <v/>
      </c>
      <c r="F1391" s="48">
        <f>IF(H1391="","",IF(ISNUMBER(O1391),O1391,J1391))</f>
        <v/>
      </c>
      <c r="G1391">
        <f>IF(H1391="","","OneCause")</f>
        <v/>
      </c>
      <c r="H1391">
        <f>IF(AND(I1391="",J1391="",K1391=""),"",IF(NOT(ISNUMBER(O1391)),"Bad amount",IF(O1391&lt;0,"Refund (not counted)",IF(O1391=0,"Zero amount",IF(NOT(ISNUMBER(N1391)),"Bad date",IF(P1391="","NAME NOT ON ROSTER",IF(L1391="","OK",IF(MATCH(L1391,$L$2:$L$3001,0)&lt;ROW()-1,"Duplicate (ignored)","OK"))))))))</f>
        <v/>
      </c>
      <c r="I1391">
        <f>IF(OC_Date=0,"",IF(INDEX('OneCause_Paste'!$A$1391:$AZ$1391,1,OC_Date)="","",INDEX('OneCause_Paste'!$A$1391:$AZ$1391,1,OC_Date)))</f>
        <v/>
      </c>
      <c r="J1391">
        <f>IF(OC_Amt=0,"",IF(INDEX('OneCause_Paste'!$A$1391:$AZ$1391,1,OC_Amt)="","",INDEX('OneCause_Paste'!$A$1391:$AZ$1391,1,OC_Amt)))</f>
        <v/>
      </c>
      <c r="K1391">
        <f>IF(OC_Name=0,"",IF(INDEX('OneCause_Paste'!$A$1391:$AZ$1391,1,OC_Name)="","",INDEX('OneCause_Paste'!$A$1391:$AZ$1391,1,OC_Name)))</f>
        <v/>
      </c>
      <c r="L1391">
        <f>IF(OC_Txn=0,"",IF(INDEX('OneCause_Paste'!$A$1391:$AZ$1391,1,OC_Txn)="","",INDEX('OneCause_Paste'!$A$1391:$AZ$1391,1,OC_Txn)))</f>
        <v/>
      </c>
      <c r="M1391">
        <f>IF(OC_Pay=0,"",IF(INDEX('OneCause_Paste'!$A$1391:$AZ$1391,1,OC_Pay)="","",INDEX('OneCause_Paste'!$A$1391:$AZ$1391,1,OC_Pay)))</f>
        <v/>
      </c>
      <c r="N1391">
        <f>IF(I1391="","",IF(ISNUMBER(I1391),INT(I1391),IFERROR(INT(DATEVALUE(I1391)),IFERROR(INT(VALUE(I1391)),"bad"))))</f>
        <v/>
      </c>
      <c r="O1391">
        <f>IF(J1391="","",IF(ISNUMBER(J1391),ROUND(J1391,2),IFERROR(ROUND(VALUE(SUBSTITUTE(SUBSTITUTE(SUBSTITUTE(J1391,"$",""),",","")," ","")),2),"bad")))</f>
        <v/>
      </c>
      <c r="P1391">
        <f>IF(TRIM(K1391)="","",IFERROR(MATCH(LOWER(TRIM(K1391)),'Students'!$AH$2:$AH$701,0),IFERROR(MATCH(LOWER(TRIM(K1391)),'Students'!$AF$2:$AF$701,0),IFERROR(MATCH(LOWER(TRIM(K1391)),'Students'!$AG$2:$AG$701,0),""))))</f>
        <v/>
      </c>
      <c r="R1391">
        <f>IF(P1391="","",INDEX('Students'!$AD$2:$AD$701,P1391))</f>
        <v/>
      </c>
      <c r="S1391">
        <f>IF(H1391="OK",O1391,0)</f>
        <v/>
      </c>
      <c r="T1391">
        <f>IF(H1391="OK",N1391,"")</f>
        <v/>
      </c>
      <c r="U1391">
        <f>IF(OC_Donor=0,"",IF(INDEX('OneCause_Paste'!$A$1391:$AZ$1391,1,OC_Donor)="","",INDEX('OneCause_Paste'!$A$1391:$AZ$1391,1,OC_Donor)))</f>
        <v/>
      </c>
    </row>
    <row r="1392">
      <c r="A1392" s="62">
        <f>IF(H1392="","",IF(ISNUMBER(N1392),N1392,I1392))</f>
        <v/>
      </c>
      <c r="B1392">
        <f>IF(H1392="","",U1392)</f>
        <v/>
      </c>
      <c r="C1392">
        <f>IF(H1392="","",IF(P1392="",K1392,INDEX('Students'!$A$2:$A$701,P1392)))</f>
        <v/>
      </c>
      <c r="D1392">
        <f>IF(OR(H1392="",P1392=""),"",INDEX('Students'!$B$2:$B$701,P1392))</f>
        <v/>
      </c>
      <c r="E1392">
        <f>IF(OR(H1392="",P1392=""),"",INDEX('Students'!$C$2:$C$701,P1392))</f>
        <v/>
      </c>
      <c r="F1392" s="48">
        <f>IF(H1392="","",IF(ISNUMBER(O1392),O1392,J1392))</f>
        <v/>
      </c>
      <c r="G1392">
        <f>IF(H1392="","","OneCause")</f>
        <v/>
      </c>
      <c r="H1392">
        <f>IF(AND(I1392="",J1392="",K1392=""),"",IF(NOT(ISNUMBER(O1392)),"Bad amount",IF(O1392&lt;0,"Refund (not counted)",IF(O1392=0,"Zero amount",IF(NOT(ISNUMBER(N1392)),"Bad date",IF(P1392="","NAME NOT ON ROSTER",IF(L1392="","OK",IF(MATCH(L1392,$L$2:$L$3001,0)&lt;ROW()-1,"Duplicate (ignored)","OK"))))))))</f>
        <v/>
      </c>
      <c r="I1392">
        <f>IF(OC_Date=0,"",IF(INDEX('OneCause_Paste'!$A$1392:$AZ$1392,1,OC_Date)="","",INDEX('OneCause_Paste'!$A$1392:$AZ$1392,1,OC_Date)))</f>
        <v/>
      </c>
      <c r="J1392">
        <f>IF(OC_Amt=0,"",IF(INDEX('OneCause_Paste'!$A$1392:$AZ$1392,1,OC_Amt)="","",INDEX('OneCause_Paste'!$A$1392:$AZ$1392,1,OC_Amt)))</f>
        <v/>
      </c>
      <c r="K1392">
        <f>IF(OC_Name=0,"",IF(INDEX('OneCause_Paste'!$A$1392:$AZ$1392,1,OC_Name)="","",INDEX('OneCause_Paste'!$A$1392:$AZ$1392,1,OC_Name)))</f>
        <v/>
      </c>
      <c r="L1392">
        <f>IF(OC_Txn=0,"",IF(INDEX('OneCause_Paste'!$A$1392:$AZ$1392,1,OC_Txn)="","",INDEX('OneCause_Paste'!$A$1392:$AZ$1392,1,OC_Txn)))</f>
        <v/>
      </c>
      <c r="M1392">
        <f>IF(OC_Pay=0,"",IF(INDEX('OneCause_Paste'!$A$1392:$AZ$1392,1,OC_Pay)="","",INDEX('OneCause_Paste'!$A$1392:$AZ$1392,1,OC_Pay)))</f>
        <v/>
      </c>
      <c r="N1392">
        <f>IF(I1392="","",IF(ISNUMBER(I1392),INT(I1392),IFERROR(INT(DATEVALUE(I1392)),IFERROR(INT(VALUE(I1392)),"bad"))))</f>
        <v/>
      </c>
      <c r="O1392">
        <f>IF(J1392="","",IF(ISNUMBER(J1392),ROUND(J1392,2),IFERROR(ROUND(VALUE(SUBSTITUTE(SUBSTITUTE(SUBSTITUTE(J1392,"$",""),",","")," ","")),2),"bad")))</f>
        <v/>
      </c>
      <c r="P1392">
        <f>IF(TRIM(K1392)="","",IFERROR(MATCH(LOWER(TRIM(K1392)),'Students'!$AH$2:$AH$701,0),IFERROR(MATCH(LOWER(TRIM(K1392)),'Students'!$AF$2:$AF$701,0),IFERROR(MATCH(LOWER(TRIM(K1392)),'Students'!$AG$2:$AG$701,0),""))))</f>
        <v/>
      </c>
      <c r="R1392">
        <f>IF(P1392="","",INDEX('Students'!$AD$2:$AD$701,P1392))</f>
        <v/>
      </c>
      <c r="S1392">
        <f>IF(H1392="OK",O1392,0)</f>
        <v/>
      </c>
      <c r="T1392">
        <f>IF(H1392="OK",N1392,"")</f>
        <v/>
      </c>
      <c r="U1392">
        <f>IF(OC_Donor=0,"",IF(INDEX('OneCause_Paste'!$A$1392:$AZ$1392,1,OC_Donor)="","",INDEX('OneCause_Paste'!$A$1392:$AZ$1392,1,OC_Donor)))</f>
        <v/>
      </c>
    </row>
    <row r="1393">
      <c r="A1393" s="62">
        <f>IF(H1393="","",IF(ISNUMBER(N1393),N1393,I1393))</f>
        <v/>
      </c>
      <c r="B1393">
        <f>IF(H1393="","",U1393)</f>
        <v/>
      </c>
      <c r="C1393">
        <f>IF(H1393="","",IF(P1393="",K1393,INDEX('Students'!$A$2:$A$701,P1393)))</f>
        <v/>
      </c>
      <c r="D1393">
        <f>IF(OR(H1393="",P1393=""),"",INDEX('Students'!$B$2:$B$701,P1393))</f>
        <v/>
      </c>
      <c r="E1393">
        <f>IF(OR(H1393="",P1393=""),"",INDEX('Students'!$C$2:$C$701,P1393))</f>
        <v/>
      </c>
      <c r="F1393" s="48">
        <f>IF(H1393="","",IF(ISNUMBER(O1393),O1393,J1393))</f>
        <v/>
      </c>
      <c r="G1393">
        <f>IF(H1393="","","OneCause")</f>
        <v/>
      </c>
      <c r="H1393">
        <f>IF(AND(I1393="",J1393="",K1393=""),"",IF(NOT(ISNUMBER(O1393)),"Bad amount",IF(O1393&lt;0,"Refund (not counted)",IF(O1393=0,"Zero amount",IF(NOT(ISNUMBER(N1393)),"Bad date",IF(P1393="","NAME NOT ON ROSTER",IF(L1393="","OK",IF(MATCH(L1393,$L$2:$L$3001,0)&lt;ROW()-1,"Duplicate (ignored)","OK"))))))))</f>
        <v/>
      </c>
      <c r="I1393">
        <f>IF(OC_Date=0,"",IF(INDEX('OneCause_Paste'!$A$1393:$AZ$1393,1,OC_Date)="","",INDEX('OneCause_Paste'!$A$1393:$AZ$1393,1,OC_Date)))</f>
        <v/>
      </c>
      <c r="J1393">
        <f>IF(OC_Amt=0,"",IF(INDEX('OneCause_Paste'!$A$1393:$AZ$1393,1,OC_Amt)="","",INDEX('OneCause_Paste'!$A$1393:$AZ$1393,1,OC_Amt)))</f>
        <v/>
      </c>
      <c r="K1393">
        <f>IF(OC_Name=0,"",IF(INDEX('OneCause_Paste'!$A$1393:$AZ$1393,1,OC_Name)="","",INDEX('OneCause_Paste'!$A$1393:$AZ$1393,1,OC_Name)))</f>
        <v/>
      </c>
      <c r="L1393">
        <f>IF(OC_Txn=0,"",IF(INDEX('OneCause_Paste'!$A$1393:$AZ$1393,1,OC_Txn)="","",INDEX('OneCause_Paste'!$A$1393:$AZ$1393,1,OC_Txn)))</f>
        <v/>
      </c>
      <c r="M1393">
        <f>IF(OC_Pay=0,"",IF(INDEX('OneCause_Paste'!$A$1393:$AZ$1393,1,OC_Pay)="","",INDEX('OneCause_Paste'!$A$1393:$AZ$1393,1,OC_Pay)))</f>
        <v/>
      </c>
      <c r="N1393">
        <f>IF(I1393="","",IF(ISNUMBER(I1393),INT(I1393),IFERROR(INT(DATEVALUE(I1393)),IFERROR(INT(VALUE(I1393)),"bad"))))</f>
        <v/>
      </c>
      <c r="O1393">
        <f>IF(J1393="","",IF(ISNUMBER(J1393),ROUND(J1393,2),IFERROR(ROUND(VALUE(SUBSTITUTE(SUBSTITUTE(SUBSTITUTE(J1393,"$",""),",","")," ","")),2),"bad")))</f>
        <v/>
      </c>
      <c r="P1393">
        <f>IF(TRIM(K1393)="","",IFERROR(MATCH(LOWER(TRIM(K1393)),'Students'!$AH$2:$AH$701,0),IFERROR(MATCH(LOWER(TRIM(K1393)),'Students'!$AF$2:$AF$701,0),IFERROR(MATCH(LOWER(TRIM(K1393)),'Students'!$AG$2:$AG$701,0),""))))</f>
        <v/>
      </c>
      <c r="R1393">
        <f>IF(P1393="","",INDEX('Students'!$AD$2:$AD$701,P1393))</f>
        <v/>
      </c>
      <c r="S1393">
        <f>IF(H1393="OK",O1393,0)</f>
        <v/>
      </c>
      <c r="T1393">
        <f>IF(H1393="OK",N1393,"")</f>
        <v/>
      </c>
      <c r="U1393">
        <f>IF(OC_Donor=0,"",IF(INDEX('OneCause_Paste'!$A$1393:$AZ$1393,1,OC_Donor)="","",INDEX('OneCause_Paste'!$A$1393:$AZ$1393,1,OC_Donor)))</f>
        <v/>
      </c>
    </row>
    <row r="1394">
      <c r="A1394" s="62">
        <f>IF(H1394="","",IF(ISNUMBER(N1394),N1394,I1394))</f>
        <v/>
      </c>
      <c r="B1394">
        <f>IF(H1394="","",U1394)</f>
        <v/>
      </c>
      <c r="C1394">
        <f>IF(H1394="","",IF(P1394="",K1394,INDEX('Students'!$A$2:$A$701,P1394)))</f>
        <v/>
      </c>
      <c r="D1394">
        <f>IF(OR(H1394="",P1394=""),"",INDEX('Students'!$B$2:$B$701,P1394))</f>
        <v/>
      </c>
      <c r="E1394">
        <f>IF(OR(H1394="",P1394=""),"",INDEX('Students'!$C$2:$C$701,P1394))</f>
        <v/>
      </c>
      <c r="F1394" s="48">
        <f>IF(H1394="","",IF(ISNUMBER(O1394),O1394,J1394))</f>
        <v/>
      </c>
      <c r="G1394">
        <f>IF(H1394="","","OneCause")</f>
        <v/>
      </c>
      <c r="H1394">
        <f>IF(AND(I1394="",J1394="",K1394=""),"",IF(NOT(ISNUMBER(O1394)),"Bad amount",IF(O1394&lt;0,"Refund (not counted)",IF(O1394=0,"Zero amount",IF(NOT(ISNUMBER(N1394)),"Bad date",IF(P1394="","NAME NOT ON ROSTER",IF(L1394="","OK",IF(MATCH(L1394,$L$2:$L$3001,0)&lt;ROW()-1,"Duplicate (ignored)","OK"))))))))</f>
        <v/>
      </c>
      <c r="I1394">
        <f>IF(OC_Date=0,"",IF(INDEX('OneCause_Paste'!$A$1394:$AZ$1394,1,OC_Date)="","",INDEX('OneCause_Paste'!$A$1394:$AZ$1394,1,OC_Date)))</f>
        <v/>
      </c>
      <c r="J1394">
        <f>IF(OC_Amt=0,"",IF(INDEX('OneCause_Paste'!$A$1394:$AZ$1394,1,OC_Amt)="","",INDEX('OneCause_Paste'!$A$1394:$AZ$1394,1,OC_Amt)))</f>
        <v/>
      </c>
      <c r="K1394">
        <f>IF(OC_Name=0,"",IF(INDEX('OneCause_Paste'!$A$1394:$AZ$1394,1,OC_Name)="","",INDEX('OneCause_Paste'!$A$1394:$AZ$1394,1,OC_Name)))</f>
        <v/>
      </c>
      <c r="L1394">
        <f>IF(OC_Txn=0,"",IF(INDEX('OneCause_Paste'!$A$1394:$AZ$1394,1,OC_Txn)="","",INDEX('OneCause_Paste'!$A$1394:$AZ$1394,1,OC_Txn)))</f>
        <v/>
      </c>
      <c r="M1394">
        <f>IF(OC_Pay=0,"",IF(INDEX('OneCause_Paste'!$A$1394:$AZ$1394,1,OC_Pay)="","",INDEX('OneCause_Paste'!$A$1394:$AZ$1394,1,OC_Pay)))</f>
        <v/>
      </c>
      <c r="N1394">
        <f>IF(I1394="","",IF(ISNUMBER(I1394),INT(I1394),IFERROR(INT(DATEVALUE(I1394)),IFERROR(INT(VALUE(I1394)),"bad"))))</f>
        <v/>
      </c>
      <c r="O1394">
        <f>IF(J1394="","",IF(ISNUMBER(J1394),ROUND(J1394,2),IFERROR(ROUND(VALUE(SUBSTITUTE(SUBSTITUTE(SUBSTITUTE(J1394,"$",""),",","")," ","")),2),"bad")))</f>
        <v/>
      </c>
      <c r="P1394">
        <f>IF(TRIM(K1394)="","",IFERROR(MATCH(LOWER(TRIM(K1394)),'Students'!$AH$2:$AH$701,0),IFERROR(MATCH(LOWER(TRIM(K1394)),'Students'!$AF$2:$AF$701,0),IFERROR(MATCH(LOWER(TRIM(K1394)),'Students'!$AG$2:$AG$701,0),""))))</f>
        <v/>
      </c>
      <c r="R1394">
        <f>IF(P1394="","",INDEX('Students'!$AD$2:$AD$701,P1394))</f>
        <v/>
      </c>
      <c r="S1394">
        <f>IF(H1394="OK",O1394,0)</f>
        <v/>
      </c>
      <c r="T1394">
        <f>IF(H1394="OK",N1394,"")</f>
        <v/>
      </c>
      <c r="U1394">
        <f>IF(OC_Donor=0,"",IF(INDEX('OneCause_Paste'!$A$1394:$AZ$1394,1,OC_Donor)="","",INDEX('OneCause_Paste'!$A$1394:$AZ$1394,1,OC_Donor)))</f>
        <v/>
      </c>
    </row>
    <row r="1395">
      <c r="A1395" s="62">
        <f>IF(H1395="","",IF(ISNUMBER(N1395),N1395,I1395))</f>
        <v/>
      </c>
      <c r="B1395">
        <f>IF(H1395="","",U1395)</f>
        <v/>
      </c>
      <c r="C1395">
        <f>IF(H1395="","",IF(P1395="",K1395,INDEX('Students'!$A$2:$A$701,P1395)))</f>
        <v/>
      </c>
      <c r="D1395">
        <f>IF(OR(H1395="",P1395=""),"",INDEX('Students'!$B$2:$B$701,P1395))</f>
        <v/>
      </c>
      <c r="E1395">
        <f>IF(OR(H1395="",P1395=""),"",INDEX('Students'!$C$2:$C$701,P1395))</f>
        <v/>
      </c>
      <c r="F1395" s="48">
        <f>IF(H1395="","",IF(ISNUMBER(O1395),O1395,J1395))</f>
        <v/>
      </c>
      <c r="G1395">
        <f>IF(H1395="","","OneCause")</f>
        <v/>
      </c>
      <c r="H1395">
        <f>IF(AND(I1395="",J1395="",K1395=""),"",IF(NOT(ISNUMBER(O1395)),"Bad amount",IF(O1395&lt;0,"Refund (not counted)",IF(O1395=0,"Zero amount",IF(NOT(ISNUMBER(N1395)),"Bad date",IF(P1395="","NAME NOT ON ROSTER",IF(L1395="","OK",IF(MATCH(L1395,$L$2:$L$3001,0)&lt;ROW()-1,"Duplicate (ignored)","OK"))))))))</f>
        <v/>
      </c>
      <c r="I1395">
        <f>IF(OC_Date=0,"",IF(INDEX('OneCause_Paste'!$A$1395:$AZ$1395,1,OC_Date)="","",INDEX('OneCause_Paste'!$A$1395:$AZ$1395,1,OC_Date)))</f>
        <v/>
      </c>
      <c r="J1395">
        <f>IF(OC_Amt=0,"",IF(INDEX('OneCause_Paste'!$A$1395:$AZ$1395,1,OC_Amt)="","",INDEX('OneCause_Paste'!$A$1395:$AZ$1395,1,OC_Amt)))</f>
        <v/>
      </c>
      <c r="K1395">
        <f>IF(OC_Name=0,"",IF(INDEX('OneCause_Paste'!$A$1395:$AZ$1395,1,OC_Name)="","",INDEX('OneCause_Paste'!$A$1395:$AZ$1395,1,OC_Name)))</f>
        <v/>
      </c>
      <c r="L1395">
        <f>IF(OC_Txn=0,"",IF(INDEX('OneCause_Paste'!$A$1395:$AZ$1395,1,OC_Txn)="","",INDEX('OneCause_Paste'!$A$1395:$AZ$1395,1,OC_Txn)))</f>
        <v/>
      </c>
      <c r="M1395">
        <f>IF(OC_Pay=0,"",IF(INDEX('OneCause_Paste'!$A$1395:$AZ$1395,1,OC_Pay)="","",INDEX('OneCause_Paste'!$A$1395:$AZ$1395,1,OC_Pay)))</f>
        <v/>
      </c>
      <c r="N1395">
        <f>IF(I1395="","",IF(ISNUMBER(I1395),INT(I1395),IFERROR(INT(DATEVALUE(I1395)),IFERROR(INT(VALUE(I1395)),"bad"))))</f>
        <v/>
      </c>
      <c r="O1395">
        <f>IF(J1395="","",IF(ISNUMBER(J1395),ROUND(J1395,2),IFERROR(ROUND(VALUE(SUBSTITUTE(SUBSTITUTE(SUBSTITUTE(J1395,"$",""),",","")," ","")),2),"bad")))</f>
        <v/>
      </c>
      <c r="P1395">
        <f>IF(TRIM(K1395)="","",IFERROR(MATCH(LOWER(TRIM(K1395)),'Students'!$AH$2:$AH$701,0),IFERROR(MATCH(LOWER(TRIM(K1395)),'Students'!$AF$2:$AF$701,0),IFERROR(MATCH(LOWER(TRIM(K1395)),'Students'!$AG$2:$AG$701,0),""))))</f>
        <v/>
      </c>
      <c r="R1395">
        <f>IF(P1395="","",INDEX('Students'!$AD$2:$AD$701,P1395))</f>
        <v/>
      </c>
      <c r="S1395">
        <f>IF(H1395="OK",O1395,0)</f>
        <v/>
      </c>
      <c r="T1395">
        <f>IF(H1395="OK",N1395,"")</f>
        <v/>
      </c>
      <c r="U1395">
        <f>IF(OC_Donor=0,"",IF(INDEX('OneCause_Paste'!$A$1395:$AZ$1395,1,OC_Donor)="","",INDEX('OneCause_Paste'!$A$1395:$AZ$1395,1,OC_Donor)))</f>
        <v/>
      </c>
    </row>
    <row r="1396">
      <c r="A1396" s="62">
        <f>IF(H1396="","",IF(ISNUMBER(N1396),N1396,I1396))</f>
        <v/>
      </c>
      <c r="B1396">
        <f>IF(H1396="","",U1396)</f>
        <v/>
      </c>
      <c r="C1396">
        <f>IF(H1396="","",IF(P1396="",K1396,INDEX('Students'!$A$2:$A$701,P1396)))</f>
        <v/>
      </c>
      <c r="D1396">
        <f>IF(OR(H1396="",P1396=""),"",INDEX('Students'!$B$2:$B$701,P1396))</f>
        <v/>
      </c>
      <c r="E1396">
        <f>IF(OR(H1396="",P1396=""),"",INDEX('Students'!$C$2:$C$701,P1396))</f>
        <v/>
      </c>
      <c r="F1396" s="48">
        <f>IF(H1396="","",IF(ISNUMBER(O1396),O1396,J1396))</f>
        <v/>
      </c>
      <c r="G1396">
        <f>IF(H1396="","","OneCause")</f>
        <v/>
      </c>
      <c r="H1396">
        <f>IF(AND(I1396="",J1396="",K1396=""),"",IF(NOT(ISNUMBER(O1396)),"Bad amount",IF(O1396&lt;0,"Refund (not counted)",IF(O1396=0,"Zero amount",IF(NOT(ISNUMBER(N1396)),"Bad date",IF(P1396="","NAME NOT ON ROSTER",IF(L1396="","OK",IF(MATCH(L1396,$L$2:$L$3001,0)&lt;ROW()-1,"Duplicate (ignored)","OK"))))))))</f>
        <v/>
      </c>
      <c r="I1396">
        <f>IF(OC_Date=0,"",IF(INDEX('OneCause_Paste'!$A$1396:$AZ$1396,1,OC_Date)="","",INDEX('OneCause_Paste'!$A$1396:$AZ$1396,1,OC_Date)))</f>
        <v/>
      </c>
      <c r="J1396">
        <f>IF(OC_Amt=0,"",IF(INDEX('OneCause_Paste'!$A$1396:$AZ$1396,1,OC_Amt)="","",INDEX('OneCause_Paste'!$A$1396:$AZ$1396,1,OC_Amt)))</f>
        <v/>
      </c>
      <c r="K1396">
        <f>IF(OC_Name=0,"",IF(INDEX('OneCause_Paste'!$A$1396:$AZ$1396,1,OC_Name)="","",INDEX('OneCause_Paste'!$A$1396:$AZ$1396,1,OC_Name)))</f>
        <v/>
      </c>
      <c r="L1396">
        <f>IF(OC_Txn=0,"",IF(INDEX('OneCause_Paste'!$A$1396:$AZ$1396,1,OC_Txn)="","",INDEX('OneCause_Paste'!$A$1396:$AZ$1396,1,OC_Txn)))</f>
        <v/>
      </c>
      <c r="M1396">
        <f>IF(OC_Pay=0,"",IF(INDEX('OneCause_Paste'!$A$1396:$AZ$1396,1,OC_Pay)="","",INDEX('OneCause_Paste'!$A$1396:$AZ$1396,1,OC_Pay)))</f>
        <v/>
      </c>
      <c r="N1396">
        <f>IF(I1396="","",IF(ISNUMBER(I1396),INT(I1396),IFERROR(INT(DATEVALUE(I1396)),IFERROR(INT(VALUE(I1396)),"bad"))))</f>
        <v/>
      </c>
      <c r="O1396">
        <f>IF(J1396="","",IF(ISNUMBER(J1396),ROUND(J1396,2),IFERROR(ROUND(VALUE(SUBSTITUTE(SUBSTITUTE(SUBSTITUTE(J1396,"$",""),",","")," ","")),2),"bad")))</f>
        <v/>
      </c>
      <c r="P1396">
        <f>IF(TRIM(K1396)="","",IFERROR(MATCH(LOWER(TRIM(K1396)),'Students'!$AH$2:$AH$701,0),IFERROR(MATCH(LOWER(TRIM(K1396)),'Students'!$AF$2:$AF$701,0),IFERROR(MATCH(LOWER(TRIM(K1396)),'Students'!$AG$2:$AG$701,0),""))))</f>
        <v/>
      </c>
      <c r="R1396">
        <f>IF(P1396="","",INDEX('Students'!$AD$2:$AD$701,P1396))</f>
        <v/>
      </c>
      <c r="S1396">
        <f>IF(H1396="OK",O1396,0)</f>
        <v/>
      </c>
      <c r="T1396">
        <f>IF(H1396="OK",N1396,"")</f>
        <v/>
      </c>
      <c r="U1396">
        <f>IF(OC_Donor=0,"",IF(INDEX('OneCause_Paste'!$A$1396:$AZ$1396,1,OC_Donor)="","",INDEX('OneCause_Paste'!$A$1396:$AZ$1396,1,OC_Donor)))</f>
        <v/>
      </c>
    </row>
    <row r="1397">
      <c r="A1397" s="62">
        <f>IF(H1397="","",IF(ISNUMBER(N1397),N1397,I1397))</f>
        <v/>
      </c>
      <c r="B1397">
        <f>IF(H1397="","",U1397)</f>
        <v/>
      </c>
      <c r="C1397">
        <f>IF(H1397="","",IF(P1397="",K1397,INDEX('Students'!$A$2:$A$701,P1397)))</f>
        <v/>
      </c>
      <c r="D1397">
        <f>IF(OR(H1397="",P1397=""),"",INDEX('Students'!$B$2:$B$701,P1397))</f>
        <v/>
      </c>
      <c r="E1397">
        <f>IF(OR(H1397="",P1397=""),"",INDEX('Students'!$C$2:$C$701,P1397))</f>
        <v/>
      </c>
      <c r="F1397" s="48">
        <f>IF(H1397="","",IF(ISNUMBER(O1397),O1397,J1397))</f>
        <v/>
      </c>
      <c r="G1397">
        <f>IF(H1397="","","OneCause")</f>
        <v/>
      </c>
      <c r="H1397">
        <f>IF(AND(I1397="",J1397="",K1397=""),"",IF(NOT(ISNUMBER(O1397)),"Bad amount",IF(O1397&lt;0,"Refund (not counted)",IF(O1397=0,"Zero amount",IF(NOT(ISNUMBER(N1397)),"Bad date",IF(P1397="","NAME NOT ON ROSTER",IF(L1397="","OK",IF(MATCH(L1397,$L$2:$L$3001,0)&lt;ROW()-1,"Duplicate (ignored)","OK"))))))))</f>
        <v/>
      </c>
      <c r="I1397">
        <f>IF(OC_Date=0,"",IF(INDEX('OneCause_Paste'!$A$1397:$AZ$1397,1,OC_Date)="","",INDEX('OneCause_Paste'!$A$1397:$AZ$1397,1,OC_Date)))</f>
        <v/>
      </c>
      <c r="J1397">
        <f>IF(OC_Amt=0,"",IF(INDEX('OneCause_Paste'!$A$1397:$AZ$1397,1,OC_Amt)="","",INDEX('OneCause_Paste'!$A$1397:$AZ$1397,1,OC_Amt)))</f>
        <v/>
      </c>
      <c r="K1397">
        <f>IF(OC_Name=0,"",IF(INDEX('OneCause_Paste'!$A$1397:$AZ$1397,1,OC_Name)="","",INDEX('OneCause_Paste'!$A$1397:$AZ$1397,1,OC_Name)))</f>
        <v/>
      </c>
      <c r="L1397">
        <f>IF(OC_Txn=0,"",IF(INDEX('OneCause_Paste'!$A$1397:$AZ$1397,1,OC_Txn)="","",INDEX('OneCause_Paste'!$A$1397:$AZ$1397,1,OC_Txn)))</f>
        <v/>
      </c>
      <c r="M1397">
        <f>IF(OC_Pay=0,"",IF(INDEX('OneCause_Paste'!$A$1397:$AZ$1397,1,OC_Pay)="","",INDEX('OneCause_Paste'!$A$1397:$AZ$1397,1,OC_Pay)))</f>
        <v/>
      </c>
      <c r="N1397">
        <f>IF(I1397="","",IF(ISNUMBER(I1397),INT(I1397),IFERROR(INT(DATEVALUE(I1397)),IFERROR(INT(VALUE(I1397)),"bad"))))</f>
        <v/>
      </c>
      <c r="O1397">
        <f>IF(J1397="","",IF(ISNUMBER(J1397),ROUND(J1397,2),IFERROR(ROUND(VALUE(SUBSTITUTE(SUBSTITUTE(SUBSTITUTE(J1397,"$",""),",","")," ","")),2),"bad")))</f>
        <v/>
      </c>
      <c r="P1397">
        <f>IF(TRIM(K1397)="","",IFERROR(MATCH(LOWER(TRIM(K1397)),'Students'!$AH$2:$AH$701,0),IFERROR(MATCH(LOWER(TRIM(K1397)),'Students'!$AF$2:$AF$701,0),IFERROR(MATCH(LOWER(TRIM(K1397)),'Students'!$AG$2:$AG$701,0),""))))</f>
        <v/>
      </c>
      <c r="R1397">
        <f>IF(P1397="","",INDEX('Students'!$AD$2:$AD$701,P1397))</f>
        <v/>
      </c>
      <c r="S1397">
        <f>IF(H1397="OK",O1397,0)</f>
        <v/>
      </c>
      <c r="T1397">
        <f>IF(H1397="OK",N1397,"")</f>
        <v/>
      </c>
      <c r="U1397">
        <f>IF(OC_Donor=0,"",IF(INDEX('OneCause_Paste'!$A$1397:$AZ$1397,1,OC_Donor)="","",INDEX('OneCause_Paste'!$A$1397:$AZ$1397,1,OC_Donor)))</f>
        <v/>
      </c>
    </row>
    <row r="1398">
      <c r="A1398" s="62">
        <f>IF(H1398="","",IF(ISNUMBER(N1398),N1398,I1398))</f>
        <v/>
      </c>
      <c r="B1398">
        <f>IF(H1398="","",U1398)</f>
        <v/>
      </c>
      <c r="C1398">
        <f>IF(H1398="","",IF(P1398="",K1398,INDEX('Students'!$A$2:$A$701,P1398)))</f>
        <v/>
      </c>
      <c r="D1398">
        <f>IF(OR(H1398="",P1398=""),"",INDEX('Students'!$B$2:$B$701,P1398))</f>
        <v/>
      </c>
      <c r="E1398">
        <f>IF(OR(H1398="",P1398=""),"",INDEX('Students'!$C$2:$C$701,P1398))</f>
        <v/>
      </c>
      <c r="F1398" s="48">
        <f>IF(H1398="","",IF(ISNUMBER(O1398),O1398,J1398))</f>
        <v/>
      </c>
      <c r="G1398">
        <f>IF(H1398="","","OneCause")</f>
        <v/>
      </c>
      <c r="H1398">
        <f>IF(AND(I1398="",J1398="",K1398=""),"",IF(NOT(ISNUMBER(O1398)),"Bad amount",IF(O1398&lt;0,"Refund (not counted)",IF(O1398=0,"Zero amount",IF(NOT(ISNUMBER(N1398)),"Bad date",IF(P1398="","NAME NOT ON ROSTER",IF(L1398="","OK",IF(MATCH(L1398,$L$2:$L$3001,0)&lt;ROW()-1,"Duplicate (ignored)","OK"))))))))</f>
        <v/>
      </c>
      <c r="I1398">
        <f>IF(OC_Date=0,"",IF(INDEX('OneCause_Paste'!$A$1398:$AZ$1398,1,OC_Date)="","",INDEX('OneCause_Paste'!$A$1398:$AZ$1398,1,OC_Date)))</f>
        <v/>
      </c>
      <c r="J1398">
        <f>IF(OC_Amt=0,"",IF(INDEX('OneCause_Paste'!$A$1398:$AZ$1398,1,OC_Amt)="","",INDEX('OneCause_Paste'!$A$1398:$AZ$1398,1,OC_Amt)))</f>
        <v/>
      </c>
      <c r="K1398">
        <f>IF(OC_Name=0,"",IF(INDEX('OneCause_Paste'!$A$1398:$AZ$1398,1,OC_Name)="","",INDEX('OneCause_Paste'!$A$1398:$AZ$1398,1,OC_Name)))</f>
        <v/>
      </c>
      <c r="L1398">
        <f>IF(OC_Txn=0,"",IF(INDEX('OneCause_Paste'!$A$1398:$AZ$1398,1,OC_Txn)="","",INDEX('OneCause_Paste'!$A$1398:$AZ$1398,1,OC_Txn)))</f>
        <v/>
      </c>
      <c r="M1398">
        <f>IF(OC_Pay=0,"",IF(INDEX('OneCause_Paste'!$A$1398:$AZ$1398,1,OC_Pay)="","",INDEX('OneCause_Paste'!$A$1398:$AZ$1398,1,OC_Pay)))</f>
        <v/>
      </c>
      <c r="N1398">
        <f>IF(I1398="","",IF(ISNUMBER(I1398),INT(I1398),IFERROR(INT(DATEVALUE(I1398)),IFERROR(INT(VALUE(I1398)),"bad"))))</f>
        <v/>
      </c>
      <c r="O1398">
        <f>IF(J1398="","",IF(ISNUMBER(J1398),ROUND(J1398,2),IFERROR(ROUND(VALUE(SUBSTITUTE(SUBSTITUTE(SUBSTITUTE(J1398,"$",""),",","")," ","")),2),"bad")))</f>
        <v/>
      </c>
      <c r="P1398">
        <f>IF(TRIM(K1398)="","",IFERROR(MATCH(LOWER(TRIM(K1398)),'Students'!$AH$2:$AH$701,0),IFERROR(MATCH(LOWER(TRIM(K1398)),'Students'!$AF$2:$AF$701,0),IFERROR(MATCH(LOWER(TRIM(K1398)),'Students'!$AG$2:$AG$701,0),""))))</f>
        <v/>
      </c>
      <c r="R1398">
        <f>IF(P1398="","",INDEX('Students'!$AD$2:$AD$701,P1398))</f>
        <v/>
      </c>
      <c r="S1398">
        <f>IF(H1398="OK",O1398,0)</f>
        <v/>
      </c>
      <c r="T1398">
        <f>IF(H1398="OK",N1398,"")</f>
        <v/>
      </c>
      <c r="U1398">
        <f>IF(OC_Donor=0,"",IF(INDEX('OneCause_Paste'!$A$1398:$AZ$1398,1,OC_Donor)="","",INDEX('OneCause_Paste'!$A$1398:$AZ$1398,1,OC_Donor)))</f>
        <v/>
      </c>
    </row>
    <row r="1399">
      <c r="A1399" s="62">
        <f>IF(H1399="","",IF(ISNUMBER(N1399),N1399,I1399))</f>
        <v/>
      </c>
      <c r="B1399">
        <f>IF(H1399="","",U1399)</f>
        <v/>
      </c>
      <c r="C1399">
        <f>IF(H1399="","",IF(P1399="",K1399,INDEX('Students'!$A$2:$A$701,P1399)))</f>
        <v/>
      </c>
      <c r="D1399">
        <f>IF(OR(H1399="",P1399=""),"",INDEX('Students'!$B$2:$B$701,P1399))</f>
        <v/>
      </c>
      <c r="E1399">
        <f>IF(OR(H1399="",P1399=""),"",INDEX('Students'!$C$2:$C$701,P1399))</f>
        <v/>
      </c>
      <c r="F1399" s="48">
        <f>IF(H1399="","",IF(ISNUMBER(O1399),O1399,J1399))</f>
        <v/>
      </c>
      <c r="G1399">
        <f>IF(H1399="","","OneCause")</f>
        <v/>
      </c>
      <c r="H1399">
        <f>IF(AND(I1399="",J1399="",K1399=""),"",IF(NOT(ISNUMBER(O1399)),"Bad amount",IF(O1399&lt;0,"Refund (not counted)",IF(O1399=0,"Zero amount",IF(NOT(ISNUMBER(N1399)),"Bad date",IF(P1399="","NAME NOT ON ROSTER",IF(L1399="","OK",IF(MATCH(L1399,$L$2:$L$3001,0)&lt;ROW()-1,"Duplicate (ignored)","OK"))))))))</f>
        <v/>
      </c>
      <c r="I1399">
        <f>IF(OC_Date=0,"",IF(INDEX('OneCause_Paste'!$A$1399:$AZ$1399,1,OC_Date)="","",INDEX('OneCause_Paste'!$A$1399:$AZ$1399,1,OC_Date)))</f>
        <v/>
      </c>
      <c r="J1399">
        <f>IF(OC_Amt=0,"",IF(INDEX('OneCause_Paste'!$A$1399:$AZ$1399,1,OC_Amt)="","",INDEX('OneCause_Paste'!$A$1399:$AZ$1399,1,OC_Amt)))</f>
        <v/>
      </c>
      <c r="K1399">
        <f>IF(OC_Name=0,"",IF(INDEX('OneCause_Paste'!$A$1399:$AZ$1399,1,OC_Name)="","",INDEX('OneCause_Paste'!$A$1399:$AZ$1399,1,OC_Name)))</f>
        <v/>
      </c>
      <c r="L1399">
        <f>IF(OC_Txn=0,"",IF(INDEX('OneCause_Paste'!$A$1399:$AZ$1399,1,OC_Txn)="","",INDEX('OneCause_Paste'!$A$1399:$AZ$1399,1,OC_Txn)))</f>
        <v/>
      </c>
      <c r="M1399">
        <f>IF(OC_Pay=0,"",IF(INDEX('OneCause_Paste'!$A$1399:$AZ$1399,1,OC_Pay)="","",INDEX('OneCause_Paste'!$A$1399:$AZ$1399,1,OC_Pay)))</f>
        <v/>
      </c>
      <c r="N1399">
        <f>IF(I1399="","",IF(ISNUMBER(I1399),INT(I1399),IFERROR(INT(DATEVALUE(I1399)),IFERROR(INT(VALUE(I1399)),"bad"))))</f>
        <v/>
      </c>
      <c r="O1399">
        <f>IF(J1399="","",IF(ISNUMBER(J1399),ROUND(J1399,2),IFERROR(ROUND(VALUE(SUBSTITUTE(SUBSTITUTE(SUBSTITUTE(J1399,"$",""),",","")," ","")),2),"bad")))</f>
        <v/>
      </c>
      <c r="P1399">
        <f>IF(TRIM(K1399)="","",IFERROR(MATCH(LOWER(TRIM(K1399)),'Students'!$AH$2:$AH$701,0),IFERROR(MATCH(LOWER(TRIM(K1399)),'Students'!$AF$2:$AF$701,0),IFERROR(MATCH(LOWER(TRIM(K1399)),'Students'!$AG$2:$AG$701,0),""))))</f>
        <v/>
      </c>
      <c r="R1399">
        <f>IF(P1399="","",INDEX('Students'!$AD$2:$AD$701,P1399))</f>
        <v/>
      </c>
      <c r="S1399">
        <f>IF(H1399="OK",O1399,0)</f>
        <v/>
      </c>
      <c r="T1399">
        <f>IF(H1399="OK",N1399,"")</f>
        <v/>
      </c>
      <c r="U1399">
        <f>IF(OC_Donor=0,"",IF(INDEX('OneCause_Paste'!$A$1399:$AZ$1399,1,OC_Donor)="","",INDEX('OneCause_Paste'!$A$1399:$AZ$1399,1,OC_Donor)))</f>
        <v/>
      </c>
    </row>
    <row r="1400">
      <c r="A1400" s="62">
        <f>IF(H1400="","",IF(ISNUMBER(N1400),N1400,I1400))</f>
        <v/>
      </c>
      <c r="B1400">
        <f>IF(H1400="","",U1400)</f>
        <v/>
      </c>
      <c r="C1400">
        <f>IF(H1400="","",IF(P1400="",K1400,INDEX('Students'!$A$2:$A$701,P1400)))</f>
        <v/>
      </c>
      <c r="D1400">
        <f>IF(OR(H1400="",P1400=""),"",INDEX('Students'!$B$2:$B$701,P1400))</f>
        <v/>
      </c>
      <c r="E1400">
        <f>IF(OR(H1400="",P1400=""),"",INDEX('Students'!$C$2:$C$701,P1400))</f>
        <v/>
      </c>
      <c r="F1400" s="48">
        <f>IF(H1400="","",IF(ISNUMBER(O1400),O1400,J1400))</f>
        <v/>
      </c>
      <c r="G1400">
        <f>IF(H1400="","","OneCause")</f>
        <v/>
      </c>
      <c r="H1400">
        <f>IF(AND(I1400="",J1400="",K1400=""),"",IF(NOT(ISNUMBER(O1400)),"Bad amount",IF(O1400&lt;0,"Refund (not counted)",IF(O1400=0,"Zero amount",IF(NOT(ISNUMBER(N1400)),"Bad date",IF(P1400="","NAME NOT ON ROSTER",IF(L1400="","OK",IF(MATCH(L1400,$L$2:$L$3001,0)&lt;ROW()-1,"Duplicate (ignored)","OK"))))))))</f>
        <v/>
      </c>
      <c r="I1400">
        <f>IF(OC_Date=0,"",IF(INDEX('OneCause_Paste'!$A$1400:$AZ$1400,1,OC_Date)="","",INDEX('OneCause_Paste'!$A$1400:$AZ$1400,1,OC_Date)))</f>
        <v/>
      </c>
      <c r="J1400">
        <f>IF(OC_Amt=0,"",IF(INDEX('OneCause_Paste'!$A$1400:$AZ$1400,1,OC_Amt)="","",INDEX('OneCause_Paste'!$A$1400:$AZ$1400,1,OC_Amt)))</f>
        <v/>
      </c>
      <c r="K1400">
        <f>IF(OC_Name=0,"",IF(INDEX('OneCause_Paste'!$A$1400:$AZ$1400,1,OC_Name)="","",INDEX('OneCause_Paste'!$A$1400:$AZ$1400,1,OC_Name)))</f>
        <v/>
      </c>
      <c r="L1400">
        <f>IF(OC_Txn=0,"",IF(INDEX('OneCause_Paste'!$A$1400:$AZ$1400,1,OC_Txn)="","",INDEX('OneCause_Paste'!$A$1400:$AZ$1400,1,OC_Txn)))</f>
        <v/>
      </c>
      <c r="M1400">
        <f>IF(OC_Pay=0,"",IF(INDEX('OneCause_Paste'!$A$1400:$AZ$1400,1,OC_Pay)="","",INDEX('OneCause_Paste'!$A$1400:$AZ$1400,1,OC_Pay)))</f>
        <v/>
      </c>
      <c r="N1400">
        <f>IF(I1400="","",IF(ISNUMBER(I1400),INT(I1400),IFERROR(INT(DATEVALUE(I1400)),IFERROR(INT(VALUE(I1400)),"bad"))))</f>
        <v/>
      </c>
      <c r="O1400">
        <f>IF(J1400="","",IF(ISNUMBER(J1400),ROUND(J1400,2),IFERROR(ROUND(VALUE(SUBSTITUTE(SUBSTITUTE(SUBSTITUTE(J1400,"$",""),",","")," ","")),2),"bad")))</f>
        <v/>
      </c>
      <c r="P1400">
        <f>IF(TRIM(K1400)="","",IFERROR(MATCH(LOWER(TRIM(K1400)),'Students'!$AH$2:$AH$701,0),IFERROR(MATCH(LOWER(TRIM(K1400)),'Students'!$AF$2:$AF$701,0),IFERROR(MATCH(LOWER(TRIM(K1400)),'Students'!$AG$2:$AG$701,0),""))))</f>
        <v/>
      </c>
      <c r="R1400">
        <f>IF(P1400="","",INDEX('Students'!$AD$2:$AD$701,P1400))</f>
        <v/>
      </c>
      <c r="S1400">
        <f>IF(H1400="OK",O1400,0)</f>
        <v/>
      </c>
      <c r="T1400">
        <f>IF(H1400="OK",N1400,"")</f>
        <v/>
      </c>
      <c r="U1400">
        <f>IF(OC_Donor=0,"",IF(INDEX('OneCause_Paste'!$A$1400:$AZ$1400,1,OC_Donor)="","",INDEX('OneCause_Paste'!$A$1400:$AZ$1400,1,OC_Donor)))</f>
        <v/>
      </c>
    </row>
    <row r="1401">
      <c r="A1401" s="62">
        <f>IF(H1401="","",IF(ISNUMBER(N1401),N1401,I1401))</f>
        <v/>
      </c>
      <c r="B1401">
        <f>IF(H1401="","",U1401)</f>
        <v/>
      </c>
      <c r="C1401">
        <f>IF(H1401="","",IF(P1401="",K1401,INDEX('Students'!$A$2:$A$701,P1401)))</f>
        <v/>
      </c>
      <c r="D1401">
        <f>IF(OR(H1401="",P1401=""),"",INDEX('Students'!$B$2:$B$701,P1401))</f>
        <v/>
      </c>
      <c r="E1401">
        <f>IF(OR(H1401="",P1401=""),"",INDEX('Students'!$C$2:$C$701,P1401))</f>
        <v/>
      </c>
      <c r="F1401" s="48">
        <f>IF(H1401="","",IF(ISNUMBER(O1401),O1401,J1401))</f>
        <v/>
      </c>
      <c r="G1401">
        <f>IF(H1401="","","OneCause")</f>
        <v/>
      </c>
      <c r="H1401">
        <f>IF(AND(I1401="",J1401="",K1401=""),"",IF(NOT(ISNUMBER(O1401)),"Bad amount",IF(O1401&lt;0,"Refund (not counted)",IF(O1401=0,"Zero amount",IF(NOT(ISNUMBER(N1401)),"Bad date",IF(P1401="","NAME NOT ON ROSTER",IF(L1401="","OK",IF(MATCH(L1401,$L$2:$L$3001,0)&lt;ROW()-1,"Duplicate (ignored)","OK"))))))))</f>
        <v/>
      </c>
      <c r="I1401">
        <f>IF(OC_Date=0,"",IF(INDEX('OneCause_Paste'!$A$1401:$AZ$1401,1,OC_Date)="","",INDEX('OneCause_Paste'!$A$1401:$AZ$1401,1,OC_Date)))</f>
        <v/>
      </c>
      <c r="J1401">
        <f>IF(OC_Amt=0,"",IF(INDEX('OneCause_Paste'!$A$1401:$AZ$1401,1,OC_Amt)="","",INDEX('OneCause_Paste'!$A$1401:$AZ$1401,1,OC_Amt)))</f>
        <v/>
      </c>
      <c r="K1401">
        <f>IF(OC_Name=0,"",IF(INDEX('OneCause_Paste'!$A$1401:$AZ$1401,1,OC_Name)="","",INDEX('OneCause_Paste'!$A$1401:$AZ$1401,1,OC_Name)))</f>
        <v/>
      </c>
      <c r="L1401">
        <f>IF(OC_Txn=0,"",IF(INDEX('OneCause_Paste'!$A$1401:$AZ$1401,1,OC_Txn)="","",INDEX('OneCause_Paste'!$A$1401:$AZ$1401,1,OC_Txn)))</f>
        <v/>
      </c>
      <c r="M1401">
        <f>IF(OC_Pay=0,"",IF(INDEX('OneCause_Paste'!$A$1401:$AZ$1401,1,OC_Pay)="","",INDEX('OneCause_Paste'!$A$1401:$AZ$1401,1,OC_Pay)))</f>
        <v/>
      </c>
      <c r="N1401">
        <f>IF(I1401="","",IF(ISNUMBER(I1401),INT(I1401),IFERROR(INT(DATEVALUE(I1401)),IFERROR(INT(VALUE(I1401)),"bad"))))</f>
        <v/>
      </c>
      <c r="O1401">
        <f>IF(J1401="","",IF(ISNUMBER(J1401),ROUND(J1401,2),IFERROR(ROUND(VALUE(SUBSTITUTE(SUBSTITUTE(SUBSTITUTE(J1401,"$",""),",","")," ","")),2),"bad")))</f>
        <v/>
      </c>
      <c r="P1401">
        <f>IF(TRIM(K1401)="","",IFERROR(MATCH(LOWER(TRIM(K1401)),'Students'!$AH$2:$AH$701,0),IFERROR(MATCH(LOWER(TRIM(K1401)),'Students'!$AF$2:$AF$701,0),IFERROR(MATCH(LOWER(TRIM(K1401)),'Students'!$AG$2:$AG$701,0),""))))</f>
        <v/>
      </c>
      <c r="R1401">
        <f>IF(P1401="","",INDEX('Students'!$AD$2:$AD$701,P1401))</f>
        <v/>
      </c>
      <c r="S1401">
        <f>IF(H1401="OK",O1401,0)</f>
        <v/>
      </c>
      <c r="T1401">
        <f>IF(H1401="OK",N1401,"")</f>
        <v/>
      </c>
      <c r="U1401">
        <f>IF(OC_Donor=0,"",IF(INDEX('OneCause_Paste'!$A$1401:$AZ$1401,1,OC_Donor)="","",INDEX('OneCause_Paste'!$A$1401:$AZ$1401,1,OC_Donor)))</f>
        <v/>
      </c>
    </row>
    <row r="1402">
      <c r="A1402" s="62">
        <f>IF(H1402="","",IF(ISNUMBER(N1402),N1402,I1402))</f>
        <v/>
      </c>
      <c r="B1402">
        <f>IF(H1402="","",U1402)</f>
        <v/>
      </c>
      <c r="C1402">
        <f>IF(H1402="","",IF(P1402="",K1402,INDEX('Students'!$A$2:$A$701,P1402)))</f>
        <v/>
      </c>
      <c r="D1402">
        <f>IF(OR(H1402="",P1402=""),"",INDEX('Students'!$B$2:$B$701,P1402))</f>
        <v/>
      </c>
      <c r="E1402">
        <f>IF(OR(H1402="",P1402=""),"",INDEX('Students'!$C$2:$C$701,P1402))</f>
        <v/>
      </c>
      <c r="F1402" s="48">
        <f>IF(H1402="","",IF(ISNUMBER(O1402),O1402,J1402))</f>
        <v/>
      </c>
      <c r="G1402">
        <f>IF(H1402="","","OneCause")</f>
        <v/>
      </c>
      <c r="H1402">
        <f>IF(AND(I1402="",J1402="",K1402=""),"",IF(NOT(ISNUMBER(O1402)),"Bad amount",IF(O1402&lt;0,"Refund (not counted)",IF(O1402=0,"Zero amount",IF(NOT(ISNUMBER(N1402)),"Bad date",IF(P1402="","NAME NOT ON ROSTER",IF(L1402="","OK",IF(MATCH(L1402,$L$2:$L$3001,0)&lt;ROW()-1,"Duplicate (ignored)","OK"))))))))</f>
        <v/>
      </c>
      <c r="I1402">
        <f>IF(OC_Date=0,"",IF(INDEX('OneCause_Paste'!$A$1402:$AZ$1402,1,OC_Date)="","",INDEX('OneCause_Paste'!$A$1402:$AZ$1402,1,OC_Date)))</f>
        <v/>
      </c>
      <c r="J1402">
        <f>IF(OC_Amt=0,"",IF(INDEX('OneCause_Paste'!$A$1402:$AZ$1402,1,OC_Amt)="","",INDEX('OneCause_Paste'!$A$1402:$AZ$1402,1,OC_Amt)))</f>
        <v/>
      </c>
      <c r="K1402">
        <f>IF(OC_Name=0,"",IF(INDEX('OneCause_Paste'!$A$1402:$AZ$1402,1,OC_Name)="","",INDEX('OneCause_Paste'!$A$1402:$AZ$1402,1,OC_Name)))</f>
        <v/>
      </c>
      <c r="L1402">
        <f>IF(OC_Txn=0,"",IF(INDEX('OneCause_Paste'!$A$1402:$AZ$1402,1,OC_Txn)="","",INDEX('OneCause_Paste'!$A$1402:$AZ$1402,1,OC_Txn)))</f>
        <v/>
      </c>
      <c r="M1402">
        <f>IF(OC_Pay=0,"",IF(INDEX('OneCause_Paste'!$A$1402:$AZ$1402,1,OC_Pay)="","",INDEX('OneCause_Paste'!$A$1402:$AZ$1402,1,OC_Pay)))</f>
        <v/>
      </c>
      <c r="N1402">
        <f>IF(I1402="","",IF(ISNUMBER(I1402),INT(I1402),IFERROR(INT(DATEVALUE(I1402)),IFERROR(INT(VALUE(I1402)),"bad"))))</f>
        <v/>
      </c>
      <c r="O1402">
        <f>IF(J1402="","",IF(ISNUMBER(J1402),ROUND(J1402,2),IFERROR(ROUND(VALUE(SUBSTITUTE(SUBSTITUTE(SUBSTITUTE(J1402,"$",""),",","")," ","")),2),"bad")))</f>
        <v/>
      </c>
      <c r="P1402">
        <f>IF(TRIM(K1402)="","",IFERROR(MATCH(LOWER(TRIM(K1402)),'Students'!$AH$2:$AH$701,0),IFERROR(MATCH(LOWER(TRIM(K1402)),'Students'!$AF$2:$AF$701,0),IFERROR(MATCH(LOWER(TRIM(K1402)),'Students'!$AG$2:$AG$701,0),""))))</f>
        <v/>
      </c>
      <c r="R1402">
        <f>IF(P1402="","",INDEX('Students'!$AD$2:$AD$701,P1402))</f>
        <v/>
      </c>
      <c r="S1402">
        <f>IF(H1402="OK",O1402,0)</f>
        <v/>
      </c>
      <c r="T1402">
        <f>IF(H1402="OK",N1402,"")</f>
        <v/>
      </c>
      <c r="U1402">
        <f>IF(OC_Donor=0,"",IF(INDEX('OneCause_Paste'!$A$1402:$AZ$1402,1,OC_Donor)="","",INDEX('OneCause_Paste'!$A$1402:$AZ$1402,1,OC_Donor)))</f>
        <v/>
      </c>
    </row>
    <row r="1403">
      <c r="A1403" s="62">
        <f>IF(H1403="","",IF(ISNUMBER(N1403),N1403,I1403))</f>
        <v/>
      </c>
      <c r="B1403">
        <f>IF(H1403="","",U1403)</f>
        <v/>
      </c>
      <c r="C1403">
        <f>IF(H1403="","",IF(P1403="",K1403,INDEX('Students'!$A$2:$A$701,P1403)))</f>
        <v/>
      </c>
      <c r="D1403">
        <f>IF(OR(H1403="",P1403=""),"",INDEX('Students'!$B$2:$B$701,P1403))</f>
        <v/>
      </c>
      <c r="E1403">
        <f>IF(OR(H1403="",P1403=""),"",INDEX('Students'!$C$2:$C$701,P1403))</f>
        <v/>
      </c>
      <c r="F1403" s="48">
        <f>IF(H1403="","",IF(ISNUMBER(O1403),O1403,J1403))</f>
        <v/>
      </c>
      <c r="G1403">
        <f>IF(H1403="","","OneCause")</f>
        <v/>
      </c>
      <c r="H1403">
        <f>IF(AND(I1403="",J1403="",K1403=""),"",IF(NOT(ISNUMBER(O1403)),"Bad amount",IF(O1403&lt;0,"Refund (not counted)",IF(O1403=0,"Zero amount",IF(NOT(ISNUMBER(N1403)),"Bad date",IF(P1403="","NAME NOT ON ROSTER",IF(L1403="","OK",IF(MATCH(L1403,$L$2:$L$3001,0)&lt;ROW()-1,"Duplicate (ignored)","OK"))))))))</f>
        <v/>
      </c>
      <c r="I1403">
        <f>IF(OC_Date=0,"",IF(INDEX('OneCause_Paste'!$A$1403:$AZ$1403,1,OC_Date)="","",INDEX('OneCause_Paste'!$A$1403:$AZ$1403,1,OC_Date)))</f>
        <v/>
      </c>
      <c r="J1403">
        <f>IF(OC_Amt=0,"",IF(INDEX('OneCause_Paste'!$A$1403:$AZ$1403,1,OC_Amt)="","",INDEX('OneCause_Paste'!$A$1403:$AZ$1403,1,OC_Amt)))</f>
        <v/>
      </c>
      <c r="K1403">
        <f>IF(OC_Name=0,"",IF(INDEX('OneCause_Paste'!$A$1403:$AZ$1403,1,OC_Name)="","",INDEX('OneCause_Paste'!$A$1403:$AZ$1403,1,OC_Name)))</f>
        <v/>
      </c>
      <c r="L1403">
        <f>IF(OC_Txn=0,"",IF(INDEX('OneCause_Paste'!$A$1403:$AZ$1403,1,OC_Txn)="","",INDEX('OneCause_Paste'!$A$1403:$AZ$1403,1,OC_Txn)))</f>
        <v/>
      </c>
      <c r="M1403">
        <f>IF(OC_Pay=0,"",IF(INDEX('OneCause_Paste'!$A$1403:$AZ$1403,1,OC_Pay)="","",INDEX('OneCause_Paste'!$A$1403:$AZ$1403,1,OC_Pay)))</f>
        <v/>
      </c>
      <c r="N1403">
        <f>IF(I1403="","",IF(ISNUMBER(I1403),INT(I1403),IFERROR(INT(DATEVALUE(I1403)),IFERROR(INT(VALUE(I1403)),"bad"))))</f>
        <v/>
      </c>
      <c r="O1403">
        <f>IF(J1403="","",IF(ISNUMBER(J1403),ROUND(J1403,2),IFERROR(ROUND(VALUE(SUBSTITUTE(SUBSTITUTE(SUBSTITUTE(J1403,"$",""),",","")," ","")),2),"bad")))</f>
        <v/>
      </c>
      <c r="P1403">
        <f>IF(TRIM(K1403)="","",IFERROR(MATCH(LOWER(TRIM(K1403)),'Students'!$AH$2:$AH$701,0),IFERROR(MATCH(LOWER(TRIM(K1403)),'Students'!$AF$2:$AF$701,0),IFERROR(MATCH(LOWER(TRIM(K1403)),'Students'!$AG$2:$AG$701,0),""))))</f>
        <v/>
      </c>
      <c r="R1403">
        <f>IF(P1403="","",INDEX('Students'!$AD$2:$AD$701,P1403))</f>
        <v/>
      </c>
      <c r="S1403">
        <f>IF(H1403="OK",O1403,0)</f>
        <v/>
      </c>
      <c r="T1403">
        <f>IF(H1403="OK",N1403,"")</f>
        <v/>
      </c>
      <c r="U1403">
        <f>IF(OC_Donor=0,"",IF(INDEX('OneCause_Paste'!$A$1403:$AZ$1403,1,OC_Donor)="","",INDEX('OneCause_Paste'!$A$1403:$AZ$1403,1,OC_Donor)))</f>
        <v/>
      </c>
    </row>
    <row r="1404">
      <c r="A1404" s="62">
        <f>IF(H1404="","",IF(ISNUMBER(N1404),N1404,I1404))</f>
        <v/>
      </c>
      <c r="B1404">
        <f>IF(H1404="","",U1404)</f>
        <v/>
      </c>
      <c r="C1404">
        <f>IF(H1404="","",IF(P1404="",K1404,INDEX('Students'!$A$2:$A$701,P1404)))</f>
        <v/>
      </c>
      <c r="D1404">
        <f>IF(OR(H1404="",P1404=""),"",INDEX('Students'!$B$2:$B$701,P1404))</f>
        <v/>
      </c>
      <c r="E1404">
        <f>IF(OR(H1404="",P1404=""),"",INDEX('Students'!$C$2:$C$701,P1404))</f>
        <v/>
      </c>
      <c r="F1404" s="48">
        <f>IF(H1404="","",IF(ISNUMBER(O1404),O1404,J1404))</f>
        <v/>
      </c>
      <c r="G1404">
        <f>IF(H1404="","","OneCause")</f>
        <v/>
      </c>
      <c r="H1404">
        <f>IF(AND(I1404="",J1404="",K1404=""),"",IF(NOT(ISNUMBER(O1404)),"Bad amount",IF(O1404&lt;0,"Refund (not counted)",IF(O1404=0,"Zero amount",IF(NOT(ISNUMBER(N1404)),"Bad date",IF(P1404="","NAME NOT ON ROSTER",IF(L1404="","OK",IF(MATCH(L1404,$L$2:$L$3001,0)&lt;ROW()-1,"Duplicate (ignored)","OK"))))))))</f>
        <v/>
      </c>
      <c r="I1404">
        <f>IF(OC_Date=0,"",IF(INDEX('OneCause_Paste'!$A$1404:$AZ$1404,1,OC_Date)="","",INDEX('OneCause_Paste'!$A$1404:$AZ$1404,1,OC_Date)))</f>
        <v/>
      </c>
      <c r="J1404">
        <f>IF(OC_Amt=0,"",IF(INDEX('OneCause_Paste'!$A$1404:$AZ$1404,1,OC_Amt)="","",INDEX('OneCause_Paste'!$A$1404:$AZ$1404,1,OC_Amt)))</f>
        <v/>
      </c>
      <c r="K1404">
        <f>IF(OC_Name=0,"",IF(INDEX('OneCause_Paste'!$A$1404:$AZ$1404,1,OC_Name)="","",INDEX('OneCause_Paste'!$A$1404:$AZ$1404,1,OC_Name)))</f>
        <v/>
      </c>
      <c r="L1404">
        <f>IF(OC_Txn=0,"",IF(INDEX('OneCause_Paste'!$A$1404:$AZ$1404,1,OC_Txn)="","",INDEX('OneCause_Paste'!$A$1404:$AZ$1404,1,OC_Txn)))</f>
        <v/>
      </c>
      <c r="M1404">
        <f>IF(OC_Pay=0,"",IF(INDEX('OneCause_Paste'!$A$1404:$AZ$1404,1,OC_Pay)="","",INDEX('OneCause_Paste'!$A$1404:$AZ$1404,1,OC_Pay)))</f>
        <v/>
      </c>
      <c r="N1404">
        <f>IF(I1404="","",IF(ISNUMBER(I1404),INT(I1404),IFERROR(INT(DATEVALUE(I1404)),IFERROR(INT(VALUE(I1404)),"bad"))))</f>
        <v/>
      </c>
      <c r="O1404">
        <f>IF(J1404="","",IF(ISNUMBER(J1404),ROUND(J1404,2),IFERROR(ROUND(VALUE(SUBSTITUTE(SUBSTITUTE(SUBSTITUTE(J1404,"$",""),",","")," ","")),2),"bad")))</f>
        <v/>
      </c>
      <c r="P1404">
        <f>IF(TRIM(K1404)="","",IFERROR(MATCH(LOWER(TRIM(K1404)),'Students'!$AH$2:$AH$701,0),IFERROR(MATCH(LOWER(TRIM(K1404)),'Students'!$AF$2:$AF$701,0),IFERROR(MATCH(LOWER(TRIM(K1404)),'Students'!$AG$2:$AG$701,0),""))))</f>
        <v/>
      </c>
      <c r="R1404">
        <f>IF(P1404="","",INDEX('Students'!$AD$2:$AD$701,P1404))</f>
        <v/>
      </c>
      <c r="S1404">
        <f>IF(H1404="OK",O1404,0)</f>
        <v/>
      </c>
      <c r="T1404">
        <f>IF(H1404="OK",N1404,"")</f>
        <v/>
      </c>
      <c r="U1404">
        <f>IF(OC_Donor=0,"",IF(INDEX('OneCause_Paste'!$A$1404:$AZ$1404,1,OC_Donor)="","",INDEX('OneCause_Paste'!$A$1404:$AZ$1404,1,OC_Donor)))</f>
        <v/>
      </c>
    </row>
    <row r="1405">
      <c r="A1405" s="62">
        <f>IF(H1405="","",IF(ISNUMBER(N1405),N1405,I1405))</f>
        <v/>
      </c>
      <c r="B1405">
        <f>IF(H1405="","",U1405)</f>
        <v/>
      </c>
      <c r="C1405">
        <f>IF(H1405="","",IF(P1405="",K1405,INDEX('Students'!$A$2:$A$701,P1405)))</f>
        <v/>
      </c>
      <c r="D1405">
        <f>IF(OR(H1405="",P1405=""),"",INDEX('Students'!$B$2:$B$701,P1405))</f>
        <v/>
      </c>
      <c r="E1405">
        <f>IF(OR(H1405="",P1405=""),"",INDEX('Students'!$C$2:$C$701,P1405))</f>
        <v/>
      </c>
      <c r="F1405" s="48">
        <f>IF(H1405="","",IF(ISNUMBER(O1405),O1405,J1405))</f>
        <v/>
      </c>
      <c r="G1405">
        <f>IF(H1405="","","OneCause")</f>
        <v/>
      </c>
      <c r="H1405">
        <f>IF(AND(I1405="",J1405="",K1405=""),"",IF(NOT(ISNUMBER(O1405)),"Bad amount",IF(O1405&lt;0,"Refund (not counted)",IF(O1405=0,"Zero amount",IF(NOT(ISNUMBER(N1405)),"Bad date",IF(P1405="","NAME NOT ON ROSTER",IF(L1405="","OK",IF(MATCH(L1405,$L$2:$L$3001,0)&lt;ROW()-1,"Duplicate (ignored)","OK"))))))))</f>
        <v/>
      </c>
      <c r="I1405">
        <f>IF(OC_Date=0,"",IF(INDEX('OneCause_Paste'!$A$1405:$AZ$1405,1,OC_Date)="","",INDEX('OneCause_Paste'!$A$1405:$AZ$1405,1,OC_Date)))</f>
        <v/>
      </c>
      <c r="J1405">
        <f>IF(OC_Amt=0,"",IF(INDEX('OneCause_Paste'!$A$1405:$AZ$1405,1,OC_Amt)="","",INDEX('OneCause_Paste'!$A$1405:$AZ$1405,1,OC_Amt)))</f>
        <v/>
      </c>
      <c r="K1405">
        <f>IF(OC_Name=0,"",IF(INDEX('OneCause_Paste'!$A$1405:$AZ$1405,1,OC_Name)="","",INDEX('OneCause_Paste'!$A$1405:$AZ$1405,1,OC_Name)))</f>
        <v/>
      </c>
      <c r="L1405">
        <f>IF(OC_Txn=0,"",IF(INDEX('OneCause_Paste'!$A$1405:$AZ$1405,1,OC_Txn)="","",INDEX('OneCause_Paste'!$A$1405:$AZ$1405,1,OC_Txn)))</f>
        <v/>
      </c>
      <c r="M1405">
        <f>IF(OC_Pay=0,"",IF(INDEX('OneCause_Paste'!$A$1405:$AZ$1405,1,OC_Pay)="","",INDEX('OneCause_Paste'!$A$1405:$AZ$1405,1,OC_Pay)))</f>
        <v/>
      </c>
      <c r="N1405">
        <f>IF(I1405="","",IF(ISNUMBER(I1405),INT(I1405),IFERROR(INT(DATEVALUE(I1405)),IFERROR(INT(VALUE(I1405)),"bad"))))</f>
        <v/>
      </c>
      <c r="O1405">
        <f>IF(J1405="","",IF(ISNUMBER(J1405),ROUND(J1405,2),IFERROR(ROUND(VALUE(SUBSTITUTE(SUBSTITUTE(SUBSTITUTE(J1405,"$",""),",","")," ","")),2),"bad")))</f>
        <v/>
      </c>
      <c r="P1405">
        <f>IF(TRIM(K1405)="","",IFERROR(MATCH(LOWER(TRIM(K1405)),'Students'!$AH$2:$AH$701,0),IFERROR(MATCH(LOWER(TRIM(K1405)),'Students'!$AF$2:$AF$701,0),IFERROR(MATCH(LOWER(TRIM(K1405)),'Students'!$AG$2:$AG$701,0),""))))</f>
        <v/>
      </c>
      <c r="R1405">
        <f>IF(P1405="","",INDEX('Students'!$AD$2:$AD$701,P1405))</f>
        <v/>
      </c>
      <c r="S1405">
        <f>IF(H1405="OK",O1405,0)</f>
        <v/>
      </c>
      <c r="T1405">
        <f>IF(H1405="OK",N1405,"")</f>
        <v/>
      </c>
      <c r="U1405">
        <f>IF(OC_Donor=0,"",IF(INDEX('OneCause_Paste'!$A$1405:$AZ$1405,1,OC_Donor)="","",INDEX('OneCause_Paste'!$A$1405:$AZ$1405,1,OC_Donor)))</f>
        <v/>
      </c>
    </row>
    <row r="1406">
      <c r="A1406" s="62">
        <f>IF(H1406="","",IF(ISNUMBER(N1406),N1406,I1406))</f>
        <v/>
      </c>
      <c r="B1406">
        <f>IF(H1406="","",U1406)</f>
        <v/>
      </c>
      <c r="C1406">
        <f>IF(H1406="","",IF(P1406="",K1406,INDEX('Students'!$A$2:$A$701,P1406)))</f>
        <v/>
      </c>
      <c r="D1406">
        <f>IF(OR(H1406="",P1406=""),"",INDEX('Students'!$B$2:$B$701,P1406))</f>
        <v/>
      </c>
      <c r="E1406">
        <f>IF(OR(H1406="",P1406=""),"",INDEX('Students'!$C$2:$C$701,P1406))</f>
        <v/>
      </c>
      <c r="F1406" s="48">
        <f>IF(H1406="","",IF(ISNUMBER(O1406),O1406,J1406))</f>
        <v/>
      </c>
      <c r="G1406">
        <f>IF(H1406="","","OneCause")</f>
        <v/>
      </c>
      <c r="H1406">
        <f>IF(AND(I1406="",J1406="",K1406=""),"",IF(NOT(ISNUMBER(O1406)),"Bad amount",IF(O1406&lt;0,"Refund (not counted)",IF(O1406=0,"Zero amount",IF(NOT(ISNUMBER(N1406)),"Bad date",IF(P1406="","NAME NOT ON ROSTER",IF(L1406="","OK",IF(MATCH(L1406,$L$2:$L$3001,0)&lt;ROW()-1,"Duplicate (ignored)","OK"))))))))</f>
        <v/>
      </c>
      <c r="I1406">
        <f>IF(OC_Date=0,"",IF(INDEX('OneCause_Paste'!$A$1406:$AZ$1406,1,OC_Date)="","",INDEX('OneCause_Paste'!$A$1406:$AZ$1406,1,OC_Date)))</f>
        <v/>
      </c>
      <c r="J1406">
        <f>IF(OC_Amt=0,"",IF(INDEX('OneCause_Paste'!$A$1406:$AZ$1406,1,OC_Amt)="","",INDEX('OneCause_Paste'!$A$1406:$AZ$1406,1,OC_Amt)))</f>
        <v/>
      </c>
      <c r="K1406">
        <f>IF(OC_Name=0,"",IF(INDEX('OneCause_Paste'!$A$1406:$AZ$1406,1,OC_Name)="","",INDEX('OneCause_Paste'!$A$1406:$AZ$1406,1,OC_Name)))</f>
        <v/>
      </c>
      <c r="L1406">
        <f>IF(OC_Txn=0,"",IF(INDEX('OneCause_Paste'!$A$1406:$AZ$1406,1,OC_Txn)="","",INDEX('OneCause_Paste'!$A$1406:$AZ$1406,1,OC_Txn)))</f>
        <v/>
      </c>
      <c r="M1406">
        <f>IF(OC_Pay=0,"",IF(INDEX('OneCause_Paste'!$A$1406:$AZ$1406,1,OC_Pay)="","",INDEX('OneCause_Paste'!$A$1406:$AZ$1406,1,OC_Pay)))</f>
        <v/>
      </c>
      <c r="N1406">
        <f>IF(I1406="","",IF(ISNUMBER(I1406),INT(I1406),IFERROR(INT(DATEVALUE(I1406)),IFERROR(INT(VALUE(I1406)),"bad"))))</f>
        <v/>
      </c>
      <c r="O1406">
        <f>IF(J1406="","",IF(ISNUMBER(J1406),ROUND(J1406,2),IFERROR(ROUND(VALUE(SUBSTITUTE(SUBSTITUTE(SUBSTITUTE(J1406,"$",""),",","")," ","")),2),"bad")))</f>
        <v/>
      </c>
      <c r="P1406">
        <f>IF(TRIM(K1406)="","",IFERROR(MATCH(LOWER(TRIM(K1406)),'Students'!$AH$2:$AH$701,0),IFERROR(MATCH(LOWER(TRIM(K1406)),'Students'!$AF$2:$AF$701,0),IFERROR(MATCH(LOWER(TRIM(K1406)),'Students'!$AG$2:$AG$701,0),""))))</f>
        <v/>
      </c>
      <c r="R1406">
        <f>IF(P1406="","",INDEX('Students'!$AD$2:$AD$701,P1406))</f>
        <v/>
      </c>
      <c r="S1406">
        <f>IF(H1406="OK",O1406,0)</f>
        <v/>
      </c>
      <c r="T1406">
        <f>IF(H1406="OK",N1406,"")</f>
        <v/>
      </c>
      <c r="U1406">
        <f>IF(OC_Donor=0,"",IF(INDEX('OneCause_Paste'!$A$1406:$AZ$1406,1,OC_Donor)="","",INDEX('OneCause_Paste'!$A$1406:$AZ$1406,1,OC_Donor)))</f>
        <v/>
      </c>
    </row>
    <row r="1407">
      <c r="A1407" s="62">
        <f>IF(H1407="","",IF(ISNUMBER(N1407),N1407,I1407))</f>
        <v/>
      </c>
      <c r="B1407">
        <f>IF(H1407="","",U1407)</f>
        <v/>
      </c>
      <c r="C1407">
        <f>IF(H1407="","",IF(P1407="",K1407,INDEX('Students'!$A$2:$A$701,P1407)))</f>
        <v/>
      </c>
      <c r="D1407">
        <f>IF(OR(H1407="",P1407=""),"",INDEX('Students'!$B$2:$B$701,P1407))</f>
        <v/>
      </c>
      <c r="E1407">
        <f>IF(OR(H1407="",P1407=""),"",INDEX('Students'!$C$2:$C$701,P1407))</f>
        <v/>
      </c>
      <c r="F1407" s="48">
        <f>IF(H1407="","",IF(ISNUMBER(O1407),O1407,J1407))</f>
        <v/>
      </c>
      <c r="G1407">
        <f>IF(H1407="","","OneCause")</f>
        <v/>
      </c>
      <c r="H1407">
        <f>IF(AND(I1407="",J1407="",K1407=""),"",IF(NOT(ISNUMBER(O1407)),"Bad amount",IF(O1407&lt;0,"Refund (not counted)",IF(O1407=0,"Zero amount",IF(NOT(ISNUMBER(N1407)),"Bad date",IF(P1407="","NAME NOT ON ROSTER",IF(L1407="","OK",IF(MATCH(L1407,$L$2:$L$3001,0)&lt;ROW()-1,"Duplicate (ignored)","OK"))))))))</f>
        <v/>
      </c>
      <c r="I1407">
        <f>IF(OC_Date=0,"",IF(INDEX('OneCause_Paste'!$A$1407:$AZ$1407,1,OC_Date)="","",INDEX('OneCause_Paste'!$A$1407:$AZ$1407,1,OC_Date)))</f>
        <v/>
      </c>
      <c r="J1407">
        <f>IF(OC_Amt=0,"",IF(INDEX('OneCause_Paste'!$A$1407:$AZ$1407,1,OC_Amt)="","",INDEX('OneCause_Paste'!$A$1407:$AZ$1407,1,OC_Amt)))</f>
        <v/>
      </c>
      <c r="K1407">
        <f>IF(OC_Name=0,"",IF(INDEX('OneCause_Paste'!$A$1407:$AZ$1407,1,OC_Name)="","",INDEX('OneCause_Paste'!$A$1407:$AZ$1407,1,OC_Name)))</f>
        <v/>
      </c>
      <c r="L1407">
        <f>IF(OC_Txn=0,"",IF(INDEX('OneCause_Paste'!$A$1407:$AZ$1407,1,OC_Txn)="","",INDEX('OneCause_Paste'!$A$1407:$AZ$1407,1,OC_Txn)))</f>
        <v/>
      </c>
      <c r="M1407">
        <f>IF(OC_Pay=0,"",IF(INDEX('OneCause_Paste'!$A$1407:$AZ$1407,1,OC_Pay)="","",INDEX('OneCause_Paste'!$A$1407:$AZ$1407,1,OC_Pay)))</f>
        <v/>
      </c>
      <c r="N1407">
        <f>IF(I1407="","",IF(ISNUMBER(I1407),INT(I1407),IFERROR(INT(DATEVALUE(I1407)),IFERROR(INT(VALUE(I1407)),"bad"))))</f>
        <v/>
      </c>
      <c r="O1407">
        <f>IF(J1407="","",IF(ISNUMBER(J1407),ROUND(J1407,2),IFERROR(ROUND(VALUE(SUBSTITUTE(SUBSTITUTE(SUBSTITUTE(J1407,"$",""),",","")," ","")),2),"bad")))</f>
        <v/>
      </c>
      <c r="P1407">
        <f>IF(TRIM(K1407)="","",IFERROR(MATCH(LOWER(TRIM(K1407)),'Students'!$AH$2:$AH$701,0),IFERROR(MATCH(LOWER(TRIM(K1407)),'Students'!$AF$2:$AF$701,0),IFERROR(MATCH(LOWER(TRIM(K1407)),'Students'!$AG$2:$AG$701,0),""))))</f>
        <v/>
      </c>
      <c r="R1407">
        <f>IF(P1407="","",INDEX('Students'!$AD$2:$AD$701,P1407))</f>
        <v/>
      </c>
      <c r="S1407">
        <f>IF(H1407="OK",O1407,0)</f>
        <v/>
      </c>
      <c r="T1407">
        <f>IF(H1407="OK",N1407,"")</f>
        <v/>
      </c>
      <c r="U1407">
        <f>IF(OC_Donor=0,"",IF(INDEX('OneCause_Paste'!$A$1407:$AZ$1407,1,OC_Donor)="","",INDEX('OneCause_Paste'!$A$1407:$AZ$1407,1,OC_Donor)))</f>
        <v/>
      </c>
    </row>
    <row r="1408">
      <c r="A1408" s="62">
        <f>IF(H1408="","",IF(ISNUMBER(N1408),N1408,I1408))</f>
        <v/>
      </c>
      <c r="B1408">
        <f>IF(H1408="","",U1408)</f>
        <v/>
      </c>
      <c r="C1408">
        <f>IF(H1408="","",IF(P1408="",K1408,INDEX('Students'!$A$2:$A$701,P1408)))</f>
        <v/>
      </c>
      <c r="D1408">
        <f>IF(OR(H1408="",P1408=""),"",INDEX('Students'!$B$2:$B$701,P1408))</f>
        <v/>
      </c>
      <c r="E1408">
        <f>IF(OR(H1408="",P1408=""),"",INDEX('Students'!$C$2:$C$701,P1408))</f>
        <v/>
      </c>
      <c r="F1408" s="48">
        <f>IF(H1408="","",IF(ISNUMBER(O1408),O1408,J1408))</f>
        <v/>
      </c>
      <c r="G1408">
        <f>IF(H1408="","","OneCause")</f>
        <v/>
      </c>
      <c r="H1408">
        <f>IF(AND(I1408="",J1408="",K1408=""),"",IF(NOT(ISNUMBER(O1408)),"Bad amount",IF(O1408&lt;0,"Refund (not counted)",IF(O1408=0,"Zero amount",IF(NOT(ISNUMBER(N1408)),"Bad date",IF(P1408="","NAME NOT ON ROSTER",IF(L1408="","OK",IF(MATCH(L1408,$L$2:$L$3001,0)&lt;ROW()-1,"Duplicate (ignored)","OK"))))))))</f>
        <v/>
      </c>
      <c r="I1408">
        <f>IF(OC_Date=0,"",IF(INDEX('OneCause_Paste'!$A$1408:$AZ$1408,1,OC_Date)="","",INDEX('OneCause_Paste'!$A$1408:$AZ$1408,1,OC_Date)))</f>
        <v/>
      </c>
      <c r="J1408">
        <f>IF(OC_Amt=0,"",IF(INDEX('OneCause_Paste'!$A$1408:$AZ$1408,1,OC_Amt)="","",INDEX('OneCause_Paste'!$A$1408:$AZ$1408,1,OC_Amt)))</f>
        <v/>
      </c>
      <c r="K1408">
        <f>IF(OC_Name=0,"",IF(INDEX('OneCause_Paste'!$A$1408:$AZ$1408,1,OC_Name)="","",INDEX('OneCause_Paste'!$A$1408:$AZ$1408,1,OC_Name)))</f>
        <v/>
      </c>
      <c r="L1408">
        <f>IF(OC_Txn=0,"",IF(INDEX('OneCause_Paste'!$A$1408:$AZ$1408,1,OC_Txn)="","",INDEX('OneCause_Paste'!$A$1408:$AZ$1408,1,OC_Txn)))</f>
        <v/>
      </c>
      <c r="M1408">
        <f>IF(OC_Pay=0,"",IF(INDEX('OneCause_Paste'!$A$1408:$AZ$1408,1,OC_Pay)="","",INDEX('OneCause_Paste'!$A$1408:$AZ$1408,1,OC_Pay)))</f>
        <v/>
      </c>
      <c r="N1408">
        <f>IF(I1408="","",IF(ISNUMBER(I1408),INT(I1408),IFERROR(INT(DATEVALUE(I1408)),IFERROR(INT(VALUE(I1408)),"bad"))))</f>
        <v/>
      </c>
      <c r="O1408">
        <f>IF(J1408="","",IF(ISNUMBER(J1408),ROUND(J1408,2),IFERROR(ROUND(VALUE(SUBSTITUTE(SUBSTITUTE(SUBSTITUTE(J1408,"$",""),",","")," ","")),2),"bad")))</f>
        <v/>
      </c>
      <c r="P1408">
        <f>IF(TRIM(K1408)="","",IFERROR(MATCH(LOWER(TRIM(K1408)),'Students'!$AH$2:$AH$701,0),IFERROR(MATCH(LOWER(TRIM(K1408)),'Students'!$AF$2:$AF$701,0),IFERROR(MATCH(LOWER(TRIM(K1408)),'Students'!$AG$2:$AG$701,0),""))))</f>
        <v/>
      </c>
      <c r="R1408">
        <f>IF(P1408="","",INDEX('Students'!$AD$2:$AD$701,P1408))</f>
        <v/>
      </c>
      <c r="S1408">
        <f>IF(H1408="OK",O1408,0)</f>
        <v/>
      </c>
      <c r="T1408">
        <f>IF(H1408="OK",N1408,"")</f>
        <v/>
      </c>
      <c r="U1408">
        <f>IF(OC_Donor=0,"",IF(INDEX('OneCause_Paste'!$A$1408:$AZ$1408,1,OC_Donor)="","",INDEX('OneCause_Paste'!$A$1408:$AZ$1408,1,OC_Donor)))</f>
        <v/>
      </c>
    </row>
    <row r="1409">
      <c r="A1409" s="62">
        <f>IF(H1409="","",IF(ISNUMBER(N1409),N1409,I1409))</f>
        <v/>
      </c>
      <c r="B1409">
        <f>IF(H1409="","",U1409)</f>
        <v/>
      </c>
      <c r="C1409">
        <f>IF(H1409="","",IF(P1409="",K1409,INDEX('Students'!$A$2:$A$701,P1409)))</f>
        <v/>
      </c>
      <c r="D1409">
        <f>IF(OR(H1409="",P1409=""),"",INDEX('Students'!$B$2:$B$701,P1409))</f>
        <v/>
      </c>
      <c r="E1409">
        <f>IF(OR(H1409="",P1409=""),"",INDEX('Students'!$C$2:$C$701,P1409))</f>
        <v/>
      </c>
      <c r="F1409" s="48">
        <f>IF(H1409="","",IF(ISNUMBER(O1409),O1409,J1409))</f>
        <v/>
      </c>
      <c r="G1409">
        <f>IF(H1409="","","OneCause")</f>
        <v/>
      </c>
      <c r="H1409">
        <f>IF(AND(I1409="",J1409="",K1409=""),"",IF(NOT(ISNUMBER(O1409)),"Bad amount",IF(O1409&lt;0,"Refund (not counted)",IF(O1409=0,"Zero amount",IF(NOT(ISNUMBER(N1409)),"Bad date",IF(P1409="","NAME NOT ON ROSTER",IF(L1409="","OK",IF(MATCH(L1409,$L$2:$L$3001,0)&lt;ROW()-1,"Duplicate (ignored)","OK"))))))))</f>
        <v/>
      </c>
      <c r="I1409">
        <f>IF(OC_Date=0,"",IF(INDEX('OneCause_Paste'!$A$1409:$AZ$1409,1,OC_Date)="","",INDEX('OneCause_Paste'!$A$1409:$AZ$1409,1,OC_Date)))</f>
        <v/>
      </c>
      <c r="J1409">
        <f>IF(OC_Amt=0,"",IF(INDEX('OneCause_Paste'!$A$1409:$AZ$1409,1,OC_Amt)="","",INDEX('OneCause_Paste'!$A$1409:$AZ$1409,1,OC_Amt)))</f>
        <v/>
      </c>
      <c r="K1409">
        <f>IF(OC_Name=0,"",IF(INDEX('OneCause_Paste'!$A$1409:$AZ$1409,1,OC_Name)="","",INDEX('OneCause_Paste'!$A$1409:$AZ$1409,1,OC_Name)))</f>
        <v/>
      </c>
      <c r="L1409">
        <f>IF(OC_Txn=0,"",IF(INDEX('OneCause_Paste'!$A$1409:$AZ$1409,1,OC_Txn)="","",INDEX('OneCause_Paste'!$A$1409:$AZ$1409,1,OC_Txn)))</f>
        <v/>
      </c>
      <c r="M1409">
        <f>IF(OC_Pay=0,"",IF(INDEX('OneCause_Paste'!$A$1409:$AZ$1409,1,OC_Pay)="","",INDEX('OneCause_Paste'!$A$1409:$AZ$1409,1,OC_Pay)))</f>
        <v/>
      </c>
      <c r="N1409">
        <f>IF(I1409="","",IF(ISNUMBER(I1409),INT(I1409),IFERROR(INT(DATEVALUE(I1409)),IFERROR(INT(VALUE(I1409)),"bad"))))</f>
        <v/>
      </c>
      <c r="O1409">
        <f>IF(J1409="","",IF(ISNUMBER(J1409),ROUND(J1409,2),IFERROR(ROUND(VALUE(SUBSTITUTE(SUBSTITUTE(SUBSTITUTE(J1409,"$",""),",","")," ","")),2),"bad")))</f>
        <v/>
      </c>
      <c r="P1409">
        <f>IF(TRIM(K1409)="","",IFERROR(MATCH(LOWER(TRIM(K1409)),'Students'!$AH$2:$AH$701,0),IFERROR(MATCH(LOWER(TRIM(K1409)),'Students'!$AF$2:$AF$701,0),IFERROR(MATCH(LOWER(TRIM(K1409)),'Students'!$AG$2:$AG$701,0),""))))</f>
        <v/>
      </c>
      <c r="R1409">
        <f>IF(P1409="","",INDEX('Students'!$AD$2:$AD$701,P1409))</f>
        <v/>
      </c>
      <c r="S1409">
        <f>IF(H1409="OK",O1409,0)</f>
        <v/>
      </c>
      <c r="T1409">
        <f>IF(H1409="OK",N1409,"")</f>
        <v/>
      </c>
      <c r="U1409">
        <f>IF(OC_Donor=0,"",IF(INDEX('OneCause_Paste'!$A$1409:$AZ$1409,1,OC_Donor)="","",INDEX('OneCause_Paste'!$A$1409:$AZ$1409,1,OC_Donor)))</f>
        <v/>
      </c>
    </row>
    <row r="1410">
      <c r="A1410" s="62">
        <f>IF(H1410="","",IF(ISNUMBER(N1410),N1410,I1410))</f>
        <v/>
      </c>
      <c r="B1410">
        <f>IF(H1410="","",U1410)</f>
        <v/>
      </c>
      <c r="C1410">
        <f>IF(H1410="","",IF(P1410="",K1410,INDEX('Students'!$A$2:$A$701,P1410)))</f>
        <v/>
      </c>
      <c r="D1410">
        <f>IF(OR(H1410="",P1410=""),"",INDEX('Students'!$B$2:$B$701,P1410))</f>
        <v/>
      </c>
      <c r="E1410">
        <f>IF(OR(H1410="",P1410=""),"",INDEX('Students'!$C$2:$C$701,P1410))</f>
        <v/>
      </c>
      <c r="F1410" s="48">
        <f>IF(H1410="","",IF(ISNUMBER(O1410),O1410,J1410))</f>
        <v/>
      </c>
      <c r="G1410">
        <f>IF(H1410="","","OneCause")</f>
        <v/>
      </c>
      <c r="H1410">
        <f>IF(AND(I1410="",J1410="",K1410=""),"",IF(NOT(ISNUMBER(O1410)),"Bad amount",IF(O1410&lt;0,"Refund (not counted)",IF(O1410=0,"Zero amount",IF(NOT(ISNUMBER(N1410)),"Bad date",IF(P1410="","NAME NOT ON ROSTER",IF(L1410="","OK",IF(MATCH(L1410,$L$2:$L$3001,0)&lt;ROW()-1,"Duplicate (ignored)","OK"))))))))</f>
        <v/>
      </c>
      <c r="I1410">
        <f>IF(OC_Date=0,"",IF(INDEX('OneCause_Paste'!$A$1410:$AZ$1410,1,OC_Date)="","",INDEX('OneCause_Paste'!$A$1410:$AZ$1410,1,OC_Date)))</f>
        <v/>
      </c>
      <c r="J1410">
        <f>IF(OC_Amt=0,"",IF(INDEX('OneCause_Paste'!$A$1410:$AZ$1410,1,OC_Amt)="","",INDEX('OneCause_Paste'!$A$1410:$AZ$1410,1,OC_Amt)))</f>
        <v/>
      </c>
      <c r="K1410">
        <f>IF(OC_Name=0,"",IF(INDEX('OneCause_Paste'!$A$1410:$AZ$1410,1,OC_Name)="","",INDEX('OneCause_Paste'!$A$1410:$AZ$1410,1,OC_Name)))</f>
        <v/>
      </c>
      <c r="L1410">
        <f>IF(OC_Txn=0,"",IF(INDEX('OneCause_Paste'!$A$1410:$AZ$1410,1,OC_Txn)="","",INDEX('OneCause_Paste'!$A$1410:$AZ$1410,1,OC_Txn)))</f>
        <v/>
      </c>
      <c r="M1410">
        <f>IF(OC_Pay=0,"",IF(INDEX('OneCause_Paste'!$A$1410:$AZ$1410,1,OC_Pay)="","",INDEX('OneCause_Paste'!$A$1410:$AZ$1410,1,OC_Pay)))</f>
        <v/>
      </c>
      <c r="N1410">
        <f>IF(I1410="","",IF(ISNUMBER(I1410),INT(I1410),IFERROR(INT(DATEVALUE(I1410)),IFERROR(INT(VALUE(I1410)),"bad"))))</f>
        <v/>
      </c>
      <c r="O1410">
        <f>IF(J1410="","",IF(ISNUMBER(J1410),ROUND(J1410,2),IFERROR(ROUND(VALUE(SUBSTITUTE(SUBSTITUTE(SUBSTITUTE(J1410,"$",""),",","")," ","")),2),"bad")))</f>
        <v/>
      </c>
      <c r="P1410">
        <f>IF(TRIM(K1410)="","",IFERROR(MATCH(LOWER(TRIM(K1410)),'Students'!$AH$2:$AH$701,0),IFERROR(MATCH(LOWER(TRIM(K1410)),'Students'!$AF$2:$AF$701,0),IFERROR(MATCH(LOWER(TRIM(K1410)),'Students'!$AG$2:$AG$701,0),""))))</f>
        <v/>
      </c>
      <c r="R1410">
        <f>IF(P1410="","",INDEX('Students'!$AD$2:$AD$701,P1410))</f>
        <v/>
      </c>
      <c r="S1410">
        <f>IF(H1410="OK",O1410,0)</f>
        <v/>
      </c>
      <c r="T1410">
        <f>IF(H1410="OK",N1410,"")</f>
        <v/>
      </c>
      <c r="U1410">
        <f>IF(OC_Donor=0,"",IF(INDEX('OneCause_Paste'!$A$1410:$AZ$1410,1,OC_Donor)="","",INDEX('OneCause_Paste'!$A$1410:$AZ$1410,1,OC_Donor)))</f>
        <v/>
      </c>
    </row>
    <row r="1411">
      <c r="A1411" s="62">
        <f>IF(H1411="","",IF(ISNUMBER(N1411),N1411,I1411))</f>
        <v/>
      </c>
      <c r="B1411">
        <f>IF(H1411="","",U1411)</f>
        <v/>
      </c>
      <c r="C1411">
        <f>IF(H1411="","",IF(P1411="",K1411,INDEX('Students'!$A$2:$A$701,P1411)))</f>
        <v/>
      </c>
      <c r="D1411">
        <f>IF(OR(H1411="",P1411=""),"",INDEX('Students'!$B$2:$B$701,P1411))</f>
        <v/>
      </c>
      <c r="E1411">
        <f>IF(OR(H1411="",P1411=""),"",INDEX('Students'!$C$2:$C$701,P1411))</f>
        <v/>
      </c>
      <c r="F1411" s="48">
        <f>IF(H1411="","",IF(ISNUMBER(O1411),O1411,J1411))</f>
        <v/>
      </c>
      <c r="G1411">
        <f>IF(H1411="","","OneCause")</f>
        <v/>
      </c>
      <c r="H1411">
        <f>IF(AND(I1411="",J1411="",K1411=""),"",IF(NOT(ISNUMBER(O1411)),"Bad amount",IF(O1411&lt;0,"Refund (not counted)",IF(O1411=0,"Zero amount",IF(NOT(ISNUMBER(N1411)),"Bad date",IF(P1411="","NAME NOT ON ROSTER",IF(L1411="","OK",IF(MATCH(L1411,$L$2:$L$3001,0)&lt;ROW()-1,"Duplicate (ignored)","OK"))))))))</f>
        <v/>
      </c>
      <c r="I1411">
        <f>IF(OC_Date=0,"",IF(INDEX('OneCause_Paste'!$A$1411:$AZ$1411,1,OC_Date)="","",INDEX('OneCause_Paste'!$A$1411:$AZ$1411,1,OC_Date)))</f>
        <v/>
      </c>
      <c r="J1411">
        <f>IF(OC_Amt=0,"",IF(INDEX('OneCause_Paste'!$A$1411:$AZ$1411,1,OC_Amt)="","",INDEX('OneCause_Paste'!$A$1411:$AZ$1411,1,OC_Amt)))</f>
        <v/>
      </c>
      <c r="K1411">
        <f>IF(OC_Name=0,"",IF(INDEX('OneCause_Paste'!$A$1411:$AZ$1411,1,OC_Name)="","",INDEX('OneCause_Paste'!$A$1411:$AZ$1411,1,OC_Name)))</f>
        <v/>
      </c>
      <c r="L1411">
        <f>IF(OC_Txn=0,"",IF(INDEX('OneCause_Paste'!$A$1411:$AZ$1411,1,OC_Txn)="","",INDEX('OneCause_Paste'!$A$1411:$AZ$1411,1,OC_Txn)))</f>
        <v/>
      </c>
      <c r="M1411">
        <f>IF(OC_Pay=0,"",IF(INDEX('OneCause_Paste'!$A$1411:$AZ$1411,1,OC_Pay)="","",INDEX('OneCause_Paste'!$A$1411:$AZ$1411,1,OC_Pay)))</f>
        <v/>
      </c>
      <c r="N1411">
        <f>IF(I1411="","",IF(ISNUMBER(I1411),INT(I1411),IFERROR(INT(DATEVALUE(I1411)),IFERROR(INT(VALUE(I1411)),"bad"))))</f>
        <v/>
      </c>
      <c r="O1411">
        <f>IF(J1411="","",IF(ISNUMBER(J1411),ROUND(J1411,2),IFERROR(ROUND(VALUE(SUBSTITUTE(SUBSTITUTE(SUBSTITUTE(J1411,"$",""),",","")," ","")),2),"bad")))</f>
        <v/>
      </c>
      <c r="P1411">
        <f>IF(TRIM(K1411)="","",IFERROR(MATCH(LOWER(TRIM(K1411)),'Students'!$AH$2:$AH$701,0),IFERROR(MATCH(LOWER(TRIM(K1411)),'Students'!$AF$2:$AF$701,0),IFERROR(MATCH(LOWER(TRIM(K1411)),'Students'!$AG$2:$AG$701,0),""))))</f>
        <v/>
      </c>
      <c r="R1411">
        <f>IF(P1411="","",INDEX('Students'!$AD$2:$AD$701,P1411))</f>
        <v/>
      </c>
      <c r="S1411">
        <f>IF(H1411="OK",O1411,0)</f>
        <v/>
      </c>
      <c r="T1411">
        <f>IF(H1411="OK",N1411,"")</f>
        <v/>
      </c>
      <c r="U1411">
        <f>IF(OC_Donor=0,"",IF(INDEX('OneCause_Paste'!$A$1411:$AZ$1411,1,OC_Donor)="","",INDEX('OneCause_Paste'!$A$1411:$AZ$1411,1,OC_Donor)))</f>
        <v/>
      </c>
    </row>
    <row r="1412">
      <c r="A1412" s="62">
        <f>IF(H1412="","",IF(ISNUMBER(N1412),N1412,I1412))</f>
        <v/>
      </c>
      <c r="B1412">
        <f>IF(H1412="","",U1412)</f>
        <v/>
      </c>
      <c r="C1412">
        <f>IF(H1412="","",IF(P1412="",K1412,INDEX('Students'!$A$2:$A$701,P1412)))</f>
        <v/>
      </c>
      <c r="D1412">
        <f>IF(OR(H1412="",P1412=""),"",INDEX('Students'!$B$2:$B$701,P1412))</f>
        <v/>
      </c>
      <c r="E1412">
        <f>IF(OR(H1412="",P1412=""),"",INDEX('Students'!$C$2:$C$701,P1412))</f>
        <v/>
      </c>
      <c r="F1412" s="48">
        <f>IF(H1412="","",IF(ISNUMBER(O1412),O1412,J1412))</f>
        <v/>
      </c>
      <c r="G1412">
        <f>IF(H1412="","","OneCause")</f>
        <v/>
      </c>
      <c r="H1412">
        <f>IF(AND(I1412="",J1412="",K1412=""),"",IF(NOT(ISNUMBER(O1412)),"Bad amount",IF(O1412&lt;0,"Refund (not counted)",IF(O1412=0,"Zero amount",IF(NOT(ISNUMBER(N1412)),"Bad date",IF(P1412="","NAME NOT ON ROSTER",IF(L1412="","OK",IF(MATCH(L1412,$L$2:$L$3001,0)&lt;ROW()-1,"Duplicate (ignored)","OK"))))))))</f>
        <v/>
      </c>
      <c r="I1412">
        <f>IF(OC_Date=0,"",IF(INDEX('OneCause_Paste'!$A$1412:$AZ$1412,1,OC_Date)="","",INDEX('OneCause_Paste'!$A$1412:$AZ$1412,1,OC_Date)))</f>
        <v/>
      </c>
      <c r="J1412">
        <f>IF(OC_Amt=0,"",IF(INDEX('OneCause_Paste'!$A$1412:$AZ$1412,1,OC_Amt)="","",INDEX('OneCause_Paste'!$A$1412:$AZ$1412,1,OC_Amt)))</f>
        <v/>
      </c>
      <c r="K1412">
        <f>IF(OC_Name=0,"",IF(INDEX('OneCause_Paste'!$A$1412:$AZ$1412,1,OC_Name)="","",INDEX('OneCause_Paste'!$A$1412:$AZ$1412,1,OC_Name)))</f>
        <v/>
      </c>
      <c r="L1412">
        <f>IF(OC_Txn=0,"",IF(INDEX('OneCause_Paste'!$A$1412:$AZ$1412,1,OC_Txn)="","",INDEX('OneCause_Paste'!$A$1412:$AZ$1412,1,OC_Txn)))</f>
        <v/>
      </c>
      <c r="M1412">
        <f>IF(OC_Pay=0,"",IF(INDEX('OneCause_Paste'!$A$1412:$AZ$1412,1,OC_Pay)="","",INDEX('OneCause_Paste'!$A$1412:$AZ$1412,1,OC_Pay)))</f>
        <v/>
      </c>
      <c r="N1412">
        <f>IF(I1412="","",IF(ISNUMBER(I1412),INT(I1412),IFERROR(INT(DATEVALUE(I1412)),IFERROR(INT(VALUE(I1412)),"bad"))))</f>
        <v/>
      </c>
      <c r="O1412">
        <f>IF(J1412="","",IF(ISNUMBER(J1412),ROUND(J1412,2),IFERROR(ROUND(VALUE(SUBSTITUTE(SUBSTITUTE(SUBSTITUTE(J1412,"$",""),",","")," ","")),2),"bad")))</f>
        <v/>
      </c>
      <c r="P1412">
        <f>IF(TRIM(K1412)="","",IFERROR(MATCH(LOWER(TRIM(K1412)),'Students'!$AH$2:$AH$701,0),IFERROR(MATCH(LOWER(TRIM(K1412)),'Students'!$AF$2:$AF$701,0),IFERROR(MATCH(LOWER(TRIM(K1412)),'Students'!$AG$2:$AG$701,0),""))))</f>
        <v/>
      </c>
      <c r="R1412">
        <f>IF(P1412="","",INDEX('Students'!$AD$2:$AD$701,P1412))</f>
        <v/>
      </c>
      <c r="S1412">
        <f>IF(H1412="OK",O1412,0)</f>
        <v/>
      </c>
      <c r="T1412">
        <f>IF(H1412="OK",N1412,"")</f>
        <v/>
      </c>
      <c r="U1412">
        <f>IF(OC_Donor=0,"",IF(INDEX('OneCause_Paste'!$A$1412:$AZ$1412,1,OC_Donor)="","",INDEX('OneCause_Paste'!$A$1412:$AZ$1412,1,OC_Donor)))</f>
        <v/>
      </c>
    </row>
    <row r="1413">
      <c r="A1413" s="62">
        <f>IF(H1413="","",IF(ISNUMBER(N1413),N1413,I1413))</f>
        <v/>
      </c>
      <c r="B1413">
        <f>IF(H1413="","",U1413)</f>
        <v/>
      </c>
      <c r="C1413">
        <f>IF(H1413="","",IF(P1413="",K1413,INDEX('Students'!$A$2:$A$701,P1413)))</f>
        <v/>
      </c>
      <c r="D1413">
        <f>IF(OR(H1413="",P1413=""),"",INDEX('Students'!$B$2:$B$701,P1413))</f>
        <v/>
      </c>
      <c r="E1413">
        <f>IF(OR(H1413="",P1413=""),"",INDEX('Students'!$C$2:$C$701,P1413))</f>
        <v/>
      </c>
      <c r="F1413" s="48">
        <f>IF(H1413="","",IF(ISNUMBER(O1413),O1413,J1413))</f>
        <v/>
      </c>
      <c r="G1413">
        <f>IF(H1413="","","OneCause")</f>
        <v/>
      </c>
      <c r="H1413">
        <f>IF(AND(I1413="",J1413="",K1413=""),"",IF(NOT(ISNUMBER(O1413)),"Bad amount",IF(O1413&lt;0,"Refund (not counted)",IF(O1413=0,"Zero amount",IF(NOT(ISNUMBER(N1413)),"Bad date",IF(P1413="","NAME NOT ON ROSTER",IF(L1413="","OK",IF(MATCH(L1413,$L$2:$L$3001,0)&lt;ROW()-1,"Duplicate (ignored)","OK"))))))))</f>
        <v/>
      </c>
      <c r="I1413">
        <f>IF(OC_Date=0,"",IF(INDEX('OneCause_Paste'!$A$1413:$AZ$1413,1,OC_Date)="","",INDEX('OneCause_Paste'!$A$1413:$AZ$1413,1,OC_Date)))</f>
        <v/>
      </c>
      <c r="J1413">
        <f>IF(OC_Amt=0,"",IF(INDEX('OneCause_Paste'!$A$1413:$AZ$1413,1,OC_Amt)="","",INDEX('OneCause_Paste'!$A$1413:$AZ$1413,1,OC_Amt)))</f>
        <v/>
      </c>
      <c r="K1413">
        <f>IF(OC_Name=0,"",IF(INDEX('OneCause_Paste'!$A$1413:$AZ$1413,1,OC_Name)="","",INDEX('OneCause_Paste'!$A$1413:$AZ$1413,1,OC_Name)))</f>
        <v/>
      </c>
      <c r="L1413">
        <f>IF(OC_Txn=0,"",IF(INDEX('OneCause_Paste'!$A$1413:$AZ$1413,1,OC_Txn)="","",INDEX('OneCause_Paste'!$A$1413:$AZ$1413,1,OC_Txn)))</f>
        <v/>
      </c>
      <c r="M1413">
        <f>IF(OC_Pay=0,"",IF(INDEX('OneCause_Paste'!$A$1413:$AZ$1413,1,OC_Pay)="","",INDEX('OneCause_Paste'!$A$1413:$AZ$1413,1,OC_Pay)))</f>
        <v/>
      </c>
      <c r="N1413">
        <f>IF(I1413="","",IF(ISNUMBER(I1413),INT(I1413),IFERROR(INT(DATEVALUE(I1413)),IFERROR(INT(VALUE(I1413)),"bad"))))</f>
        <v/>
      </c>
      <c r="O1413">
        <f>IF(J1413="","",IF(ISNUMBER(J1413),ROUND(J1413,2),IFERROR(ROUND(VALUE(SUBSTITUTE(SUBSTITUTE(SUBSTITUTE(J1413,"$",""),",","")," ","")),2),"bad")))</f>
        <v/>
      </c>
      <c r="P1413">
        <f>IF(TRIM(K1413)="","",IFERROR(MATCH(LOWER(TRIM(K1413)),'Students'!$AH$2:$AH$701,0),IFERROR(MATCH(LOWER(TRIM(K1413)),'Students'!$AF$2:$AF$701,0),IFERROR(MATCH(LOWER(TRIM(K1413)),'Students'!$AG$2:$AG$701,0),""))))</f>
        <v/>
      </c>
      <c r="R1413">
        <f>IF(P1413="","",INDEX('Students'!$AD$2:$AD$701,P1413))</f>
        <v/>
      </c>
      <c r="S1413">
        <f>IF(H1413="OK",O1413,0)</f>
        <v/>
      </c>
      <c r="T1413">
        <f>IF(H1413="OK",N1413,"")</f>
        <v/>
      </c>
      <c r="U1413">
        <f>IF(OC_Donor=0,"",IF(INDEX('OneCause_Paste'!$A$1413:$AZ$1413,1,OC_Donor)="","",INDEX('OneCause_Paste'!$A$1413:$AZ$1413,1,OC_Donor)))</f>
        <v/>
      </c>
    </row>
    <row r="1414">
      <c r="A1414" s="62">
        <f>IF(H1414="","",IF(ISNUMBER(N1414),N1414,I1414))</f>
        <v/>
      </c>
      <c r="B1414">
        <f>IF(H1414="","",U1414)</f>
        <v/>
      </c>
      <c r="C1414">
        <f>IF(H1414="","",IF(P1414="",K1414,INDEX('Students'!$A$2:$A$701,P1414)))</f>
        <v/>
      </c>
      <c r="D1414">
        <f>IF(OR(H1414="",P1414=""),"",INDEX('Students'!$B$2:$B$701,P1414))</f>
        <v/>
      </c>
      <c r="E1414">
        <f>IF(OR(H1414="",P1414=""),"",INDEX('Students'!$C$2:$C$701,P1414))</f>
        <v/>
      </c>
      <c r="F1414" s="48">
        <f>IF(H1414="","",IF(ISNUMBER(O1414),O1414,J1414))</f>
        <v/>
      </c>
      <c r="G1414">
        <f>IF(H1414="","","OneCause")</f>
        <v/>
      </c>
      <c r="H1414">
        <f>IF(AND(I1414="",J1414="",K1414=""),"",IF(NOT(ISNUMBER(O1414)),"Bad amount",IF(O1414&lt;0,"Refund (not counted)",IF(O1414=0,"Zero amount",IF(NOT(ISNUMBER(N1414)),"Bad date",IF(P1414="","NAME NOT ON ROSTER",IF(L1414="","OK",IF(MATCH(L1414,$L$2:$L$3001,0)&lt;ROW()-1,"Duplicate (ignored)","OK"))))))))</f>
        <v/>
      </c>
      <c r="I1414">
        <f>IF(OC_Date=0,"",IF(INDEX('OneCause_Paste'!$A$1414:$AZ$1414,1,OC_Date)="","",INDEX('OneCause_Paste'!$A$1414:$AZ$1414,1,OC_Date)))</f>
        <v/>
      </c>
      <c r="J1414">
        <f>IF(OC_Amt=0,"",IF(INDEX('OneCause_Paste'!$A$1414:$AZ$1414,1,OC_Amt)="","",INDEX('OneCause_Paste'!$A$1414:$AZ$1414,1,OC_Amt)))</f>
        <v/>
      </c>
      <c r="K1414">
        <f>IF(OC_Name=0,"",IF(INDEX('OneCause_Paste'!$A$1414:$AZ$1414,1,OC_Name)="","",INDEX('OneCause_Paste'!$A$1414:$AZ$1414,1,OC_Name)))</f>
        <v/>
      </c>
      <c r="L1414">
        <f>IF(OC_Txn=0,"",IF(INDEX('OneCause_Paste'!$A$1414:$AZ$1414,1,OC_Txn)="","",INDEX('OneCause_Paste'!$A$1414:$AZ$1414,1,OC_Txn)))</f>
        <v/>
      </c>
      <c r="M1414">
        <f>IF(OC_Pay=0,"",IF(INDEX('OneCause_Paste'!$A$1414:$AZ$1414,1,OC_Pay)="","",INDEX('OneCause_Paste'!$A$1414:$AZ$1414,1,OC_Pay)))</f>
        <v/>
      </c>
      <c r="N1414">
        <f>IF(I1414="","",IF(ISNUMBER(I1414),INT(I1414),IFERROR(INT(DATEVALUE(I1414)),IFERROR(INT(VALUE(I1414)),"bad"))))</f>
        <v/>
      </c>
      <c r="O1414">
        <f>IF(J1414="","",IF(ISNUMBER(J1414),ROUND(J1414,2),IFERROR(ROUND(VALUE(SUBSTITUTE(SUBSTITUTE(SUBSTITUTE(J1414,"$",""),",","")," ","")),2),"bad")))</f>
        <v/>
      </c>
      <c r="P1414">
        <f>IF(TRIM(K1414)="","",IFERROR(MATCH(LOWER(TRIM(K1414)),'Students'!$AH$2:$AH$701,0),IFERROR(MATCH(LOWER(TRIM(K1414)),'Students'!$AF$2:$AF$701,0),IFERROR(MATCH(LOWER(TRIM(K1414)),'Students'!$AG$2:$AG$701,0),""))))</f>
        <v/>
      </c>
      <c r="R1414">
        <f>IF(P1414="","",INDEX('Students'!$AD$2:$AD$701,P1414))</f>
        <v/>
      </c>
      <c r="S1414">
        <f>IF(H1414="OK",O1414,0)</f>
        <v/>
      </c>
      <c r="T1414">
        <f>IF(H1414="OK",N1414,"")</f>
        <v/>
      </c>
      <c r="U1414">
        <f>IF(OC_Donor=0,"",IF(INDEX('OneCause_Paste'!$A$1414:$AZ$1414,1,OC_Donor)="","",INDEX('OneCause_Paste'!$A$1414:$AZ$1414,1,OC_Donor)))</f>
        <v/>
      </c>
    </row>
    <row r="1415">
      <c r="A1415" s="62">
        <f>IF(H1415="","",IF(ISNUMBER(N1415),N1415,I1415))</f>
        <v/>
      </c>
      <c r="B1415">
        <f>IF(H1415="","",U1415)</f>
        <v/>
      </c>
      <c r="C1415">
        <f>IF(H1415="","",IF(P1415="",K1415,INDEX('Students'!$A$2:$A$701,P1415)))</f>
        <v/>
      </c>
      <c r="D1415">
        <f>IF(OR(H1415="",P1415=""),"",INDEX('Students'!$B$2:$B$701,P1415))</f>
        <v/>
      </c>
      <c r="E1415">
        <f>IF(OR(H1415="",P1415=""),"",INDEX('Students'!$C$2:$C$701,P1415))</f>
        <v/>
      </c>
      <c r="F1415" s="48">
        <f>IF(H1415="","",IF(ISNUMBER(O1415),O1415,J1415))</f>
        <v/>
      </c>
      <c r="G1415">
        <f>IF(H1415="","","OneCause")</f>
        <v/>
      </c>
      <c r="H1415">
        <f>IF(AND(I1415="",J1415="",K1415=""),"",IF(NOT(ISNUMBER(O1415)),"Bad amount",IF(O1415&lt;0,"Refund (not counted)",IF(O1415=0,"Zero amount",IF(NOT(ISNUMBER(N1415)),"Bad date",IF(P1415="","NAME NOT ON ROSTER",IF(L1415="","OK",IF(MATCH(L1415,$L$2:$L$3001,0)&lt;ROW()-1,"Duplicate (ignored)","OK"))))))))</f>
        <v/>
      </c>
      <c r="I1415">
        <f>IF(OC_Date=0,"",IF(INDEX('OneCause_Paste'!$A$1415:$AZ$1415,1,OC_Date)="","",INDEX('OneCause_Paste'!$A$1415:$AZ$1415,1,OC_Date)))</f>
        <v/>
      </c>
      <c r="J1415">
        <f>IF(OC_Amt=0,"",IF(INDEX('OneCause_Paste'!$A$1415:$AZ$1415,1,OC_Amt)="","",INDEX('OneCause_Paste'!$A$1415:$AZ$1415,1,OC_Amt)))</f>
        <v/>
      </c>
      <c r="K1415">
        <f>IF(OC_Name=0,"",IF(INDEX('OneCause_Paste'!$A$1415:$AZ$1415,1,OC_Name)="","",INDEX('OneCause_Paste'!$A$1415:$AZ$1415,1,OC_Name)))</f>
        <v/>
      </c>
      <c r="L1415">
        <f>IF(OC_Txn=0,"",IF(INDEX('OneCause_Paste'!$A$1415:$AZ$1415,1,OC_Txn)="","",INDEX('OneCause_Paste'!$A$1415:$AZ$1415,1,OC_Txn)))</f>
        <v/>
      </c>
      <c r="M1415">
        <f>IF(OC_Pay=0,"",IF(INDEX('OneCause_Paste'!$A$1415:$AZ$1415,1,OC_Pay)="","",INDEX('OneCause_Paste'!$A$1415:$AZ$1415,1,OC_Pay)))</f>
        <v/>
      </c>
      <c r="N1415">
        <f>IF(I1415="","",IF(ISNUMBER(I1415),INT(I1415),IFERROR(INT(DATEVALUE(I1415)),IFERROR(INT(VALUE(I1415)),"bad"))))</f>
        <v/>
      </c>
      <c r="O1415">
        <f>IF(J1415="","",IF(ISNUMBER(J1415),ROUND(J1415,2),IFERROR(ROUND(VALUE(SUBSTITUTE(SUBSTITUTE(SUBSTITUTE(J1415,"$",""),",","")," ","")),2),"bad")))</f>
        <v/>
      </c>
      <c r="P1415">
        <f>IF(TRIM(K1415)="","",IFERROR(MATCH(LOWER(TRIM(K1415)),'Students'!$AH$2:$AH$701,0),IFERROR(MATCH(LOWER(TRIM(K1415)),'Students'!$AF$2:$AF$701,0),IFERROR(MATCH(LOWER(TRIM(K1415)),'Students'!$AG$2:$AG$701,0),""))))</f>
        <v/>
      </c>
      <c r="R1415">
        <f>IF(P1415="","",INDEX('Students'!$AD$2:$AD$701,P1415))</f>
        <v/>
      </c>
      <c r="S1415">
        <f>IF(H1415="OK",O1415,0)</f>
        <v/>
      </c>
      <c r="T1415">
        <f>IF(H1415="OK",N1415,"")</f>
        <v/>
      </c>
      <c r="U1415">
        <f>IF(OC_Donor=0,"",IF(INDEX('OneCause_Paste'!$A$1415:$AZ$1415,1,OC_Donor)="","",INDEX('OneCause_Paste'!$A$1415:$AZ$1415,1,OC_Donor)))</f>
        <v/>
      </c>
    </row>
    <row r="1416">
      <c r="A1416" s="62">
        <f>IF(H1416="","",IF(ISNUMBER(N1416),N1416,I1416))</f>
        <v/>
      </c>
      <c r="B1416">
        <f>IF(H1416="","",U1416)</f>
        <v/>
      </c>
      <c r="C1416">
        <f>IF(H1416="","",IF(P1416="",K1416,INDEX('Students'!$A$2:$A$701,P1416)))</f>
        <v/>
      </c>
      <c r="D1416">
        <f>IF(OR(H1416="",P1416=""),"",INDEX('Students'!$B$2:$B$701,P1416))</f>
        <v/>
      </c>
      <c r="E1416">
        <f>IF(OR(H1416="",P1416=""),"",INDEX('Students'!$C$2:$C$701,P1416))</f>
        <v/>
      </c>
      <c r="F1416" s="48">
        <f>IF(H1416="","",IF(ISNUMBER(O1416),O1416,J1416))</f>
        <v/>
      </c>
      <c r="G1416">
        <f>IF(H1416="","","OneCause")</f>
        <v/>
      </c>
      <c r="H1416">
        <f>IF(AND(I1416="",J1416="",K1416=""),"",IF(NOT(ISNUMBER(O1416)),"Bad amount",IF(O1416&lt;0,"Refund (not counted)",IF(O1416=0,"Zero amount",IF(NOT(ISNUMBER(N1416)),"Bad date",IF(P1416="","NAME NOT ON ROSTER",IF(L1416="","OK",IF(MATCH(L1416,$L$2:$L$3001,0)&lt;ROW()-1,"Duplicate (ignored)","OK"))))))))</f>
        <v/>
      </c>
      <c r="I1416">
        <f>IF(OC_Date=0,"",IF(INDEX('OneCause_Paste'!$A$1416:$AZ$1416,1,OC_Date)="","",INDEX('OneCause_Paste'!$A$1416:$AZ$1416,1,OC_Date)))</f>
        <v/>
      </c>
      <c r="J1416">
        <f>IF(OC_Amt=0,"",IF(INDEX('OneCause_Paste'!$A$1416:$AZ$1416,1,OC_Amt)="","",INDEX('OneCause_Paste'!$A$1416:$AZ$1416,1,OC_Amt)))</f>
        <v/>
      </c>
      <c r="K1416">
        <f>IF(OC_Name=0,"",IF(INDEX('OneCause_Paste'!$A$1416:$AZ$1416,1,OC_Name)="","",INDEX('OneCause_Paste'!$A$1416:$AZ$1416,1,OC_Name)))</f>
        <v/>
      </c>
      <c r="L1416">
        <f>IF(OC_Txn=0,"",IF(INDEX('OneCause_Paste'!$A$1416:$AZ$1416,1,OC_Txn)="","",INDEX('OneCause_Paste'!$A$1416:$AZ$1416,1,OC_Txn)))</f>
        <v/>
      </c>
      <c r="M1416">
        <f>IF(OC_Pay=0,"",IF(INDEX('OneCause_Paste'!$A$1416:$AZ$1416,1,OC_Pay)="","",INDEX('OneCause_Paste'!$A$1416:$AZ$1416,1,OC_Pay)))</f>
        <v/>
      </c>
      <c r="N1416">
        <f>IF(I1416="","",IF(ISNUMBER(I1416),INT(I1416),IFERROR(INT(DATEVALUE(I1416)),IFERROR(INT(VALUE(I1416)),"bad"))))</f>
        <v/>
      </c>
      <c r="O1416">
        <f>IF(J1416="","",IF(ISNUMBER(J1416),ROUND(J1416,2),IFERROR(ROUND(VALUE(SUBSTITUTE(SUBSTITUTE(SUBSTITUTE(J1416,"$",""),",","")," ","")),2),"bad")))</f>
        <v/>
      </c>
      <c r="P1416">
        <f>IF(TRIM(K1416)="","",IFERROR(MATCH(LOWER(TRIM(K1416)),'Students'!$AH$2:$AH$701,0),IFERROR(MATCH(LOWER(TRIM(K1416)),'Students'!$AF$2:$AF$701,0),IFERROR(MATCH(LOWER(TRIM(K1416)),'Students'!$AG$2:$AG$701,0),""))))</f>
        <v/>
      </c>
      <c r="R1416">
        <f>IF(P1416="","",INDEX('Students'!$AD$2:$AD$701,P1416))</f>
        <v/>
      </c>
      <c r="S1416">
        <f>IF(H1416="OK",O1416,0)</f>
        <v/>
      </c>
      <c r="T1416">
        <f>IF(H1416="OK",N1416,"")</f>
        <v/>
      </c>
      <c r="U1416">
        <f>IF(OC_Donor=0,"",IF(INDEX('OneCause_Paste'!$A$1416:$AZ$1416,1,OC_Donor)="","",INDEX('OneCause_Paste'!$A$1416:$AZ$1416,1,OC_Donor)))</f>
        <v/>
      </c>
    </row>
    <row r="1417">
      <c r="A1417" s="62">
        <f>IF(H1417="","",IF(ISNUMBER(N1417),N1417,I1417))</f>
        <v/>
      </c>
      <c r="B1417">
        <f>IF(H1417="","",U1417)</f>
        <v/>
      </c>
      <c r="C1417">
        <f>IF(H1417="","",IF(P1417="",K1417,INDEX('Students'!$A$2:$A$701,P1417)))</f>
        <v/>
      </c>
      <c r="D1417">
        <f>IF(OR(H1417="",P1417=""),"",INDEX('Students'!$B$2:$B$701,P1417))</f>
        <v/>
      </c>
      <c r="E1417">
        <f>IF(OR(H1417="",P1417=""),"",INDEX('Students'!$C$2:$C$701,P1417))</f>
        <v/>
      </c>
      <c r="F1417" s="48">
        <f>IF(H1417="","",IF(ISNUMBER(O1417),O1417,J1417))</f>
        <v/>
      </c>
      <c r="G1417">
        <f>IF(H1417="","","OneCause")</f>
        <v/>
      </c>
      <c r="H1417">
        <f>IF(AND(I1417="",J1417="",K1417=""),"",IF(NOT(ISNUMBER(O1417)),"Bad amount",IF(O1417&lt;0,"Refund (not counted)",IF(O1417=0,"Zero amount",IF(NOT(ISNUMBER(N1417)),"Bad date",IF(P1417="","NAME NOT ON ROSTER",IF(L1417="","OK",IF(MATCH(L1417,$L$2:$L$3001,0)&lt;ROW()-1,"Duplicate (ignored)","OK"))))))))</f>
        <v/>
      </c>
      <c r="I1417">
        <f>IF(OC_Date=0,"",IF(INDEX('OneCause_Paste'!$A$1417:$AZ$1417,1,OC_Date)="","",INDEX('OneCause_Paste'!$A$1417:$AZ$1417,1,OC_Date)))</f>
        <v/>
      </c>
      <c r="J1417">
        <f>IF(OC_Amt=0,"",IF(INDEX('OneCause_Paste'!$A$1417:$AZ$1417,1,OC_Amt)="","",INDEX('OneCause_Paste'!$A$1417:$AZ$1417,1,OC_Amt)))</f>
        <v/>
      </c>
      <c r="K1417">
        <f>IF(OC_Name=0,"",IF(INDEX('OneCause_Paste'!$A$1417:$AZ$1417,1,OC_Name)="","",INDEX('OneCause_Paste'!$A$1417:$AZ$1417,1,OC_Name)))</f>
        <v/>
      </c>
      <c r="L1417">
        <f>IF(OC_Txn=0,"",IF(INDEX('OneCause_Paste'!$A$1417:$AZ$1417,1,OC_Txn)="","",INDEX('OneCause_Paste'!$A$1417:$AZ$1417,1,OC_Txn)))</f>
        <v/>
      </c>
      <c r="M1417">
        <f>IF(OC_Pay=0,"",IF(INDEX('OneCause_Paste'!$A$1417:$AZ$1417,1,OC_Pay)="","",INDEX('OneCause_Paste'!$A$1417:$AZ$1417,1,OC_Pay)))</f>
        <v/>
      </c>
      <c r="N1417">
        <f>IF(I1417="","",IF(ISNUMBER(I1417),INT(I1417),IFERROR(INT(DATEVALUE(I1417)),IFERROR(INT(VALUE(I1417)),"bad"))))</f>
        <v/>
      </c>
      <c r="O1417">
        <f>IF(J1417="","",IF(ISNUMBER(J1417),ROUND(J1417,2),IFERROR(ROUND(VALUE(SUBSTITUTE(SUBSTITUTE(SUBSTITUTE(J1417,"$",""),",","")," ","")),2),"bad")))</f>
        <v/>
      </c>
      <c r="P1417">
        <f>IF(TRIM(K1417)="","",IFERROR(MATCH(LOWER(TRIM(K1417)),'Students'!$AH$2:$AH$701,0),IFERROR(MATCH(LOWER(TRIM(K1417)),'Students'!$AF$2:$AF$701,0),IFERROR(MATCH(LOWER(TRIM(K1417)),'Students'!$AG$2:$AG$701,0),""))))</f>
        <v/>
      </c>
      <c r="R1417">
        <f>IF(P1417="","",INDEX('Students'!$AD$2:$AD$701,P1417))</f>
        <v/>
      </c>
      <c r="S1417">
        <f>IF(H1417="OK",O1417,0)</f>
        <v/>
      </c>
      <c r="T1417">
        <f>IF(H1417="OK",N1417,"")</f>
        <v/>
      </c>
      <c r="U1417">
        <f>IF(OC_Donor=0,"",IF(INDEX('OneCause_Paste'!$A$1417:$AZ$1417,1,OC_Donor)="","",INDEX('OneCause_Paste'!$A$1417:$AZ$1417,1,OC_Donor)))</f>
        <v/>
      </c>
    </row>
    <row r="1418">
      <c r="A1418" s="62">
        <f>IF(H1418="","",IF(ISNUMBER(N1418),N1418,I1418))</f>
        <v/>
      </c>
      <c r="B1418">
        <f>IF(H1418="","",U1418)</f>
        <v/>
      </c>
      <c r="C1418">
        <f>IF(H1418="","",IF(P1418="",K1418,INDEX('Students'!$A$2:$A$701,P1418)))</f>
        <v/>
      </c>
      <c r="D1418">
        <f>IF(OR(H1418="",P1418=""),"",INDEX('Students'!$B$2:$B$701,P1418))</f>
        <v/>
      </c>
      <c r="E1418">
        <f>IF(OR(H1418="",P1418=""),"",INDEX('Students'!$C$2:$C$701,P1418))</f>
        <v/>
      </c>
      <c r="F1418" s="48">
        <f>IF(H1418="","",IF(ISNUMBER(O1418),O1418,J1418))</f>
        <v/>
      </c>
      <c r="G1418">
        <f>IF(H1418="","","OneCause")</f>
        <v/>
      </c>
      <c r="H1418">
        <f>IF(AND(I1418="",J1418="",K1418=""),"",IF(NOT(ISNUMBER(O1418)),"Bad amount",IF(O1418&lt;0,"Refund (not counted)",IF(O1418=0,"Zero amount",IF(NOT(ISNUMBER(N1418)),"Bad date",IF(P1418="","NAME NOT ON ROSTER",IF(L1418="","OK",IF(MATCH(L1418,$L$2:$L$3001,0)&lt;ROW()-1,"Duplicate (ignored)","OK"))))))))</f>
        <v/>
      </c>
      <c r="I1418">
        <f>IF(OC_Date=0,"",IF(INDEX('OneCause_Paste'!$A$1418:$AZ$1418,1,OC_Date)="","",INDEX('OneCause_Paste'!$A$1418:$AZ$1418,1,OC_Date)))</f>
        <v/>
      </c>
      <c r="J1418">
        <f>IF(OC_Amt=0,"",IF(INDEX('OneCause_Paste'!$A$1418:$AZ$1418,1,OC_Amt)="","",INDEX('OneCause_Paste'!$A$1418:$AZ$1418,1,OC_Amt)))</f>
        <v/>
      </c>
      <c r="K1418">
        <f>IF(OC_Name=0,"",IF(INDEX('OneCause_Paste'!$A$1418:$AZ$1418,1,OC_Name)="","",INDEX('OneCause_Paste'!$A$1418:$AZ$1418,1,OC_Name)))</f>
        <v/>
      </c>
      <c r="L1418">
        <f>IF(OC_Txn=0,"",IF(INDEX('OneCause_Paste'!$A$1418:$AZ$1418,1,OC_Txn)="","",INDEX('OneCause_Paste'!$A$1418:$AZ$1418,1,OC_Txn)))</f>
        <v/>
      </c>
      <c r="M1418">
        <f>IF(OC_Pay=0,"",IF(INDEX('OneCause_Paste'!$A$1418:$AZ$1418,1,OC_Pay)="","",INDEX('OneCause_Paste'!$A$1418:$AZ$1418,1,OC_Pay)))</f>
        <v/>
      </c>
      <c r="N1418">
        <f>IF(I1418="","",IF(ISNUMBER(I1418),INT(I1418),IFERROR(INT(DATEVALUE(I1418)),IFERROR(INT(VALUE(I1418)),"bad"))))</f>
        <v/>
      </c>
      <c r="O1418">
        <f>IF(J1418="","",IF(ISNUMBER(J1418),ROUND(J1418,2),IFERROR(ROUND(VALUE(SUBSTITUTE(SUBSTITUTE(SUBSTITUTE(J1418,"$",""),",","")," ","")),2),"bad")))</f>
        <v/>
      </c>
      <c r="P1418">
        <f>IF(TRIM(K1418)="","",IFERROR(MATCH(LOWER(TRIM(K1418)),'Students'!$AH$2:$AH$701,0),IFERROR(MATCH(LOWER(TRIM(K1418)),'Students'!$AF$2:$AF$701,0),IFERROR(MATCH(LOWER(TRIM(K1418)),'Students'!$AG$2:$AG$701,0),""))))</f>
        <v/>
      </c>
      <c r="R1418">
        <f>IF(P1418="","",INDEX('Students'!$AD$2:$AD$701,P1418))</f>
        <v/>
      </c>
      <c r="S1418">
        <f>IF(H1418="OK",O1418,0)</f>
        <v/>
      </c>
      <c r="T1418">
        <f>IF(H1418="OK",N1418,"")</f>
        <v/>
      </c>
      <c r="U1418">
        <f>IF(OC_Donor=0,"",IF(INDEX('OneCause_Paste'!$A$1418:$AZ$1418,1,OC_Donor)="","",INDEX('OneCause_Paste'!$A$1418:$AZ$1418,1,OC_Donor)))</f>
        <v/>
      </c>
    </row>
    <row r="1419">
      <c r="A1419" s="62">
        <f>IF(H1419="","",IF(ISNUMBER(N1419),N1419,I1419))</f>
        <v/>
      </c>
      <c r="B1419">
        <f>IF(H1419="","",U1419)</f>
        <v/>
      </c>
      <c r="C1419">
        <f>IF(H1419="","",IF(P1419="",K1419,INDEX('Students'!$A$2:$A$701,P1419)))</f>
        <v/>
      </c>
      <c r="D1419">
        <f>IF(OR(H1419="",P1419=""),"",INDEX('Students'!$B$2:$B$701,P1419))</f>
        <v/>
      </c>
      <c r="E1419">
        <f>IF(OR(H1419="",P1419=""),"",INDEX('Students'!$C$2:$C$701,P1419))</f>
        <v/>
      </c>
      <c r="F1419" s="48">
        <f>IF(H1419="","",IF(ISNUMBER(O1419),O1419,J1419))</f>
        <v/>
      </c>
      <c r="G1419">
        <f>IF(H1419="","","OneCause")</f>
        <v/>
      </c>
      <c r="H1419">
        <f>IF(AND(I1419="",J1419="",K1419=""),"",IF(NOT(ISNUMBER(O1419)),"Bad amount",IF(O1419&lt;0,"Refund (not counted)",IF(O1419=0,"Zero amount",IF(NOT(ISNUMBER(N1419)),"Bad date",IF(P1419="","NAME NOT ON ROSTER",IF(L1419="","OK",IF(MATCH(L1419,$L$2:$L$3001,0)&lt;ROW()-1,"Duplicate (ignored)","OK"))))))))</f>
        <v/>
      </c>
      <c r="I1419">
        <f>IF(OC_Date=0,"",IF(INDEX('OneCause_Paste'!$A$1419:$AZ$1419,1,OC_Date)="","",INDEX('OneCause_Paste'!$A$1419:$AZ$1419,1,OC_Date)))</f>
        <v/>
      </c>
      <c r="J1419">
        <f>IF(OC_Amt=0,"",IF(INDEX('OneCause_Paste'!$A$1419:$AZ$1419,1,OC_Amt)="","",INDEX('OneCause_Paste'!$A$1419:$AZ$1419,1,OC_Amt)))</f>
        <v/>
      </c>
      <c r="K1419">
        <f>IF(OC_Name=0,"",IF(INDEX('OneCause_Paste'!$A$1419:$AZ$1419,1,OC_Name)="","",INDEX('OneCause_Paste'!$A$1419:$AZ$1419,1,OC_Name)))</f>
        <v/>
      </c>
      <c r="L1419">
        <f>IF(OC_Txn=0,"",IF(INDEX('OneCause_Paste'!$A$1419:$AZ$1419,1,OC_Txn)="","",INDEX('OneCause_Paste'!$A$1419:$AZ$1419,1,OC_Txn)))</f>
        <v/>
      </c>
      <c r="M1419">
        <f>IF(OC_Pay=0,"",IF(INDEX('OneCause_Paste'!$A$1419:$AZ$1419,1,OC_Pay)="","",INDEX('OneCause_Paste'!$A$1419:$AZ$1419,1,OC_Pay)))</f>
        <v/>
      </c>
      <c r="N1419">
        <f>IF(I1419="","",IF(ISNUMBER(I1419),INT(I1419),IFERROR(INT(DATEVALUE(I1419)),IFERROR(INT(VALUE(I1419)),"bad"))))</f>
        <v/>
      </c>
      <c r="O1419">
        <f>IF(J1419="","",IF(ISNUMBER(J1419),ROUND(J1419,2),IFERROR(ROUND(VALUE(SUBSTITUTE(SUBSTITUTE(SUBSTITUTE(J1419,"$",""),",","")," ","")),2),"bad")))</f>
        <v/>
      </c>
      <c r="P1419">
        <f>IF(TRIM(K1419)="","",IFERROR(MATCH(LOWER(TRIM(K1419)),'Students'!$AH$2:$AH$701,0),IFERROR(MATCH(LOWER(TRIM(K1419)),'Students'!$AF$2:$AF$701,0),IFERROR(MATCH(LOWER(TRIM(K1419)),'Students'!$AG$2:$AG$701,0),""))))</f>
        <v/>
      </c>
      <c r="R1419">
        <f>IF(P1419="","",INDEX('Students'!$AD$2:$AD$701,P1419))</f>
        <v/>
      </c>
      <c r="S1419">
        <f>IF(H1419="OK",O1419,0)</f>
        <v/>
      </c>
      <c r="T1419">
        <f>IF(H1419="OK",N1419,"")</f>
        <v/>
      </c>
      <c r="U1419">
        <f>IF(OC_Donor=0,"",IF(INDEX('OneCause_Paste'!$A$1419:$AZ$1419,1,OC_Donor)="","",INDEX('OneCause_Paste'!$A$1419:$AZ$1419,1,OC_Donor)))</f>
        <v/>
      </c>
    </row>
    <row r="1420">
      <c r="A1420" s="62">
        <f>IF(H1420="","",IF(ISNUMBER(N1420),N1420,I1420))</f>
        <v/>
      </c>
      <c r="B1420">
        <f>IF(H1420="","",U1420)</f>
        <v/>
      </c>
      <c r="C1420">
        <f>IF(H1420="","",IF(P1420="",K1420,INDEX('Students'!$A$2:$A$701,P1420)))</f>
        <v/>
      </c>
      <c r="D1420">
        <f>IF(OR(H1420="",P1420=""),"",INDEX('Students'!$B$2:$B$701,P1420))</f>
        <v/>
      </c>
      <c r="E1420">
        <f>IF(OR(H1420="",P1420=""),"",INDEX('Students'!$C$2:$C$701,P1420))</f>
        <v/>
      </c>
      <c r="F1420" s="48">
        <f>IF(H1420="","",IF(ISNUMBER(O1420),O1420,J1420))</f>
        <v/>
      </c>
      <c r="G1420">
        <f>IF(H1420="","","OneCause")</f>
        <v/>
      </c>
      <c r="H1420">
        <f>IF(AND(I1420="",J1420="",K1420=""),"",IF(NOT(ISNUMBER(O1420)),"Bad amount",IF(O1420&lt;0,"Refund (not counted)",IF(O1420=0,"Zero amount",IF(NOT(ISNUMBER(N1420)),"Bad date",IF(P1420="","NAME NOT ON ROSTER",IF(L1420="","OK",IF(MATCH(L1420,$L$2:$L$3001,0)&lt;ROW()-1,"Duplicate (ignored)","OK"))))))))</f>
        <v/>
      </c>
      <c r="I1420">
        <f>IF(OC_Date=0,"",IF(INDEX('OneCause_Paste'!$A$1420:$AZ$1420,1,OC_Date)="","",INDEX('OneCause_Paste'!$A$1420:$AZ$1420,1,OC_Date)))</f>
        <v/>
      </c>
      <c r="J1420">
        <f>IF(OC_Amt=0,"",IF(INDEX('OneCause_Paste'!$A$1420:$AZ$1420,1,OC_Amt)="","",INDEX('OneCause_Paste'!$A$1420:$AZ$1420,1,OC_Amt)))</f>
        <v/>
      </c>
      <c r="K1420">
        <f>IF(OC_Name=0,"",IF(INDEX('OneCause_Paste'!$A$1420:$AZ$1420,1,OC_Name)="","",INDEX('OneCause_Paste'!$A$1420:$AZ$1420,1,OC_Name)))</f>
        <v/>
      </c>
      <c r="L1420">
        <f>IF(OC_Txn=0,"",IF(INDEX('OneCause_Paste'!$A$1420:$AZ$1420,1,OC_Txn)="","",INDEX('OneCause_Paste'!$A$1420:$AZ$1420,1,OC_Txn)))</f>
        <v/>
      </c>
      <c r="M1420">
        <f>IF(OC_Pay=0,"",IF(INDEX('OneCause_Paste'!$A$1420:$AZ$1420,1,OC_Pay)="","",INDEX('OneCause_Paste'!$A$1420:$AZ$1420,1,OC_Pay)))</f>
        <v/>
      </c>
      <c r="N1420">
        <f>IF(I1420="","",IF(ISNUMBER(I1420),INT(I1420),IFERROR(INT(DATEVALUE(I1420)),IFERROR(INT(VALUE(I1420)),"bad"))))</f>
        <v/>
      </c>
      <c r="O1420">
        <f>IF(J1420="","",IF(ISNUMBER(J1420),ROUND(J1420,2),IFERROR(ROUND(VALUE(SUBSTITUTE(SUBSTITUTE(SUBSTITUTE(J1420,"$",""),",","")," ","")),2),"bad")))</f>
        <v/>
      </c>
      <c r="P1420">
        <f>IF(TRIM(K1420)="","",IFERROR(MATCH(LOWER(TRIM(K1420)),'Students'!$AH$2:$AH$701,0),IFERROR(MATCH(LOWER(TRIM(K1420)),'Students'!$AF$2:$AF$701,0),IFERROR(MATCH(LOWER(TRIM(K1420)),'Students'!$AG$2:$AG$701,0),""))))</f>
        <v/>
      </c>
      <c r="R1420">
        <f>IF(P1420="","",INDEX('Students'!$AD$2:$AD$701,P1420))</f>
        <v/>
      </c>
      <c r="S1420">
        <f>IF(H1420="OK",O1420,0)</f>
        <v/>
      </c>
      <c r="T1420">
        <f>IF(H1420="OK",N1420,"")</f>
        <v/>
      </c>
      <c r="U1420">
        <f>IF(OC_Donor=0,"",IF(INDEX('OneCause_Paste'!$A$1420:$AZ$1420,1,OC_Donor)="","",INDEX('OneCause_Paste'!$A$1420:$AZ$1420,1,OC_Donor)))</f>
        <v/>
      </c>
    </row>
    <row r="1421">
      <c r="A1421" s="62">
        <f>IF(H1421="","",IF(ISNUMBER(N1421),N1421,I1421))</f>
        <v/>
      </c>
      <c r="B1421">
        <f>IF(H1421="","",U1421)</f>
        <v/>
      </c>
      <c r="C1421">
        <f>IF(H1421="","",IF(P1421="",K1421,INDEX('Students'!$A$2:$A$701,P1421)))</f>
        <v/>
      </c>
      <c r="D1421">
        <f>IF(OR(H1421="",P1421=""),"",INDEX('Students'!$B$2:$B$701,P1421))</f>
        <v/>
      </c>
      <c r="E1421">
        <f>IF(OR(H1421="",P1421=""),"",INDEX('Students'!$C$2:$C$701,P1421))</f>
        <v/>
      </c>
      <c r="F1421" s="48">
        <f>IF(H1421="","",IF(ISNUMBER(O1421),O1421,J1421))</f>
        <v/>
      </c>
      <c r="G1421">
        <f>IF(H1421="","","OneCause")</f>
        <v/>
      </c>
      <c r="H1421">
        <f>IF(AND(I1421="",J1421="",K1421=""),"",IF(NOT(ISNUMBER(O1421)),"Bad amount",IF(O1421&lt;0,"Refund (not counted)",IF(O1421=0,"Zero amount",IF(NOT(ISNUMBER(N1421)),"Bad date",IF(P1421="","NAME NOT ON ROSTER",IF(L1421="","OK",IF(MATCH(L1421,$L$2:$L$3001,0)&lt;ROW()-1,"Duplicate (ignored)","OK"))))))))</f>
        <v/>
      </c>
      <c r="I1421">
        <f>IF(OC_Date=0,"",IF(INDEX('OneCause_Paste'!$A$1421:$AZ$1421,1,OC_Date)="","",INDEX('OneCause_Paste'!$A$1421:$AZ$1421,1,OC_Date)))</f>
        <v/>
      </c>
      <c r="J1421">
        <f>IF(OC_Amt=0,"",IF(INDEX('OneCause_Paste'!$A$1421:$AZ$1421,1,OC_Amt)="","",INDEX('OneCause_Paste'!$A$1421:$AZ$1421,1,OC_Amt)))</f>
        <v/>
      </c>
      <c r="K1421">
        <f>IF(OC_Name=0,"",IF(INDEX('OneCause_Paste'!$A$1421:$AZ$1421,1,OC_Name)="","",INDEX('OneCause_Paste'!$A$1421:$AZ$1421,1,OC_Name)))</f>
        <v/>
      </c>
      <c r="L1421">
        <f>IF(OC_Txn=0,"",IF(INDEX('OneCause_Paste'!$A$1421:$AZ$1421,1,OC_Txn)="","",INDEX('OneCause_Paste'!$A$1421:$AZ$1421,1,OC_Txn)))</f>
        <v/>
      </c>
      <c r="M1421">
        <f>IF(OC_Pay=0,"",IF(INDEX('OneCause_Paste'!$A$1421:$AZ$1421,1,OC_Pay)="","",INDEX('OneCause_Paste'!$A$1421:$AZ$1421,1,OC_Pay)))</f>
        <v/>
      </c>
      <c r="N1421">
        <f>IF(I1421="","",IF(ISNUMBER(I1421),INT(I1421),IFERROR(INT(DATEVALUE(I1421)),IFERROR(INT(VALUE(I1421)),"bad"))))</f>
        <v/>
      </c>
      <c r="O1421">
        <f>IF(J1421="","",IF(ISNUMBER(J1421),ROUND(J1421,2),IFERROR(ROUND(VALUE(SUBSTITUTE(SUBSTITUTE(SUBSTITUTE(J1421,"$",""),",","")," ","")),2),"bad")))</f>
        <v/>
      </c>
      <c r="P1421">
        <f>IF(TRIM(K1421)="","",IFERROR(MATCH(LOWER(TRIM(K1421)),'Students'!$AH$2:$AH$701,0),IFERROR(MATCH(LOWER(TRIM(K1421)),'Students'!$AF$2:$AF$701,0),IFERROR(MATCH(LOWER(TRIM(K1421)),'Students'!$AG$2:$AG$701,0),""))))</f>
        <v/>
      </c>
      <c r="R1421">
        <f>IF(P1421="","",INDEX('Students'!$AD$2:$AD$701,P1421))</f>
        <v/>
      </c>
      <c r="S1421">
        <f>IF(H1421="OK",O1421,0)</f>
        <v/>
      </c>
      <c r="T1421">
        <f>IF(H1421="OK",N1421,"")</f>
        <v/>
      </c>
      <c r="U1421">
        <f>IF(OC_Donor=0,"",IF(INDEX('OneCause_Paste'!$A$1421:$AZ$1421,1,OC_Donor)="","",INDEX('OneCause_Paste'!$A$1421:$AZ$1421,1,OC_Donor)))</f>
        <v/>
      </c>
    </row>
    <row r="1422">
      <c r="A1422" s="62">
        <f>IF(H1422="","",IF(ISNUMBER(N1422),N1422,I1422))</f>
        <v/>
      </c>
      <c r="B1422">
        <f>IF(H1422="","",U1422)</f>
        <v/>
      </c>
      <c r="C1422">
        <f>IF(H1422="","",IF(P1422="",K1422,INDEX('Students'!$A$2:$A$701,P1422)))</f>
        <v/>
      </c>
      <c r="D1422">
        <f>IF(OR(H1422="",P1422=""),"",INDEX('Students'!$B$2:$B$701,P1422))</f>
        <v/>
      </c>
      <c r="E1422">
        <f>IF(OR(H1422="",P1422=""),"",INDEX('Students'!$C$2:$C$701,P1422))</f>
        <v/>
      </c>
      <c r="F1422" s="48">
        <f>IF(H1422="","",IF(ISNUMBER(O1422),O1422,J1422))</f>
        <v/>
      </c>
      <c r="G1422">
        <f>IF(H1422="","","OneCause")</f>
        <v/>
      </c>
      <c r="H1422">
        <f>IF(AND(I1422="",J1422="",K1422=""),"",IF(NOT(ISNUMBER(O1422)),"Bad amount",IF(O1422&lt;0,"Refund (not counted)",IF(O1422=0,"Zero amount",IF(NOT(ISNUMBER(N1422)),"Bad date",IF(P1422="","NAME NOT ON ROSTER",IF(L1422="","OK",IF(MATCH(L1422,$L$2:$L$3001,0)&lt;ROW()-1,"Duplicate (ignored)","OK"))))))))</f>
        <v/>
      </c>
      <c r="I1422">
        <f>IF(OC_Date=0,"",IF(INDEX('OneCause_Paste'!$A$1422:$AZ$1422,1,OC_Date)="","",INDEX('OneCause_Paste'!$A$1422:$AZ$1422,1,OC_Date)))</f>
        <v/>
      </c>
      <c r="J1422">
        <f>IF(OC_Amt=0,"",IF(INDEX('OneCause_Paste'!$A$1422:$AZ$1422,1,OC_Amt)="","",INDEX('OneCause_Paste'!$A$1422:$AZ$1422,1,OC_Amt)))</f>
        <v/>
      </c>
      <c r="K1422">
        <f>IF(OC_Name=0,"",IF(INDEX('OneCause_Paste'!$A$1422:$AZ$1422,1,OC_Name)="","",INDEX('OneCause_Paste'!$A$1422:$AZ$1422,1,OC_Name)))</f>
        <v/>
      </c>
      <c r="L1422">
        <f>IF(OC_Txn=0,"",IF(INDEX('OneCause_Paste'!$A$1422:$AZ$1422,1,OC_Txn)="","",INDEX('OneCause_Paste'!$A$1422:$AZ$1422,1,OC_Txn)))</f>
        <v/>
      </c>
      <c r="M1422">
        <f>IF(OC_Pay=0,"",IF(INDEX('OneCause_Paste'!$A$1422:$AZ$1422,1,OC_Pay)="","",INDEX('OneCause_Paste'!$A$1422:$AZ$1422,1,OC_Pay)))</f>
        <v/>
      </c>
      <c r="N1422">
        <f>IF(I1422="","",IF(ISNUMBER(I1422),INT(I1422),IFERROR(INT(DATEVALUE(I1422)),IFERROR(INT(VALUE(I1422)),"bad"))))</f>
        <v/>
      </c>
      <c r="O1422">
        <f>IF(J1422="","",IF(ISNUMBER(J1422),ROUND(J1422,2),IFERROR(ROUND(VALUE(SUBSTITUTE(SUBSTITUTE(SUBSTITUTE(J1422,"$",""),",","")," ","")),2),"bad")))</f>
        <v/>
      </c>
      <c r="P1422">
        <f>IF(TRIM(K1422)="","",IFERROR(MATCH(LOWER(TRIM(K1422)),'Students'!$AH$2:$AH$701,0),IFERROR(MATCH(LOWER(TRIM(K1422)),'Students'!$AF$2:$AF$701,0),IFERROR(MATCH(LOWER(TRIM(K1422)),'Students'!$AG$2:$AG$701,0),""))))</f>
        <v/>
      </c>
      <c r="R1422">
        <f>IF(P1422="","",INDEX('Students'!$AD$2:$AD$701,P1422))</f>
        <v/>
      </c>
      <c r="S1422">
        <f>IF(H1422="OK",O1422,0)</f>
        <v/>
      </c>
      <c r="T1422">
        <f>IF(H1422="OK",N1422,"")</f>
        <v/>
      </c>
      <c r="U1422">
        <f>IF(OC_Donor=0,"",IF(INDEX('OneCause_Paste'!$A$1422:$AZ$1422,1,OC_Donor)="","",INDEX('OneCause_Paste'!$A$1422:$AZ$1422,1,OC_Donor)))</f>
        <v/>
      </c>
    </row>
    <row r="1423">
      <c r="A1423" s="62">
        <f>IF(H1423="","",IF(ISNUMBER(N1423),N1423,I1423))</f>
        <v/>
      </c>
      <c r="B1423">
        <f>IF(H1423="","",U1423)</f>
        <v/>
      </c>
      <c r="C1423">
        <f>IF(H1423="","",IF(P1423="",K1423,INDEX('Students'!$A$2:$A$701,P1423)))</f>
        <v/>
      </c>
      <c r="D1423">
        <f>IF(OR(H1423="",P1423=""),"",INDEX('Students'!$B$2:$B$701,P1423))</f>
        <v/>
      </c>
      <c r="E1423">
        <f>IF(OR(H1423="",P1423=""),"",INDEX('Students'!$C$2:$C$701,P1423))</f>
        <v/>
      </c>
      <c r="F1423" s="48">
        <f>IF(H1423="","",IF(ISNUMBER(O1423),O1423,J1423))</f>
        <v/>
      </c>
      <c r="G1423">
        <f>IF(H1423="","","OneCause")</f>
        <v/>
      </c>
      <c r="H1423">
        <f>IF(AND(I1423="",J1423="",K1423=""),"",IF(NOT(ISNUMBER(O1423)),"Bad amount",IF(O1423&lt;0,"Refund (not counted)",IF(O1423=0,"Zero amount",IF(NOT(ISNUMBER(N1423)),"Bad date",IF(P1423="","NAME NOT ON ROSTER",IF(L1423="","OK",IF(MATCH(L1423,$L$2:$L$3001,0)&lt;ROW()-1,"Duplicate (ignored)","OK"))))))))</f>
        <v/>
      </c>
      <c r="I1423">
        <f>IF(OC_Date=0,"",IF(INDEX('OneCause_Paste'!$A$1423:$AZ$1423,1,OC_Date)="","",INDEX('OneCause_Paste'!$A$1423:$AZ$1423,1,OC_Date)))</f>
        <v/>
      </c>
      <c r="J1423">
        <f>IF(OC_Amt=0,"",IF(INDEX('OneCause_Paste'!$A$1423:$AZ$1423,1,OC_Amt)="","",INDEX('OneCause_Paste'!$A$1423:$AZ$1423,1,OC_Amt)))</f>
        <v/>
      </c>
      <c r="K1423">
        <f>IF(OC_Name=0,"",IF(INDEX('OneCause_Paste'!$A$1423:$AZ$1423,1,OC_Name)="","",INDEX('OneCause_Paste'!$A$1423:$AZ$1423,1,OC_Name)))</f>
        <v/>
      </c>
      <c r="L1423">
        <f>IF(OC_Txn=0,"",IF(INDEX('OneCause_Paste'!$A$1423:$AZ$1423,1,OC_Txn)="","",INDEX('OneCause_Paste'!$A$1423:$AZ$1423,1,OC_Txn)))</f>
        <v/>
      </c>
      <c r="M1423">
        <f>IF(OC_Pay=0,"",IF(INDEX('OneCause_Paste'!$A$1423:$AZ$1423,1,OC_Pay)="","",INDEX('OneCause_Paste'!$A$1423:$AZ$1423,1,OC_Pay)))</f>
        <v/>
      </c>
      <c r="N1423">
        <f>IF(I1423="","",IF(ISNUMBER(I1423),INT(I1423),IFERROR(INT(DATEVALUE(I1423)),IFERROR(INT(VALUE(I1423)),"bad"))))</f>
        <v/>
      </c>
      <c r="O1423">
        <f>IF(J1423="","",IF(ISNUMBER(J1423),ROUND(J1423,2),IFERROR(ROUND(VALUE(SUBSTITUTE(SUBSTITUTE(SUBSTITUTE(J1423,"$",""),",","")," ","")),2),"bad")))</f>
        <v/>
      </c>
      <c r="P1423">
        <f>IF(TRIM(K1423)="","",IFERROR(MATCH(LOWER(TRIM(K1423)),'Students'!$AH$2:$AH$701,0),IFERROR(MATCH(LOWER(TRIM(K1423)),'Students'!$AF$2:$AF$701,0),IFERROR(MATCH(LOWER(TRIM(K1423)),'Students'!$AG$2:$AG$701,0),""))))</f>
        <v/>
      </c>
      <c r="R1423">
        <f>IF(P1423="","",INDEX('Students'!$AD$2:$AD$701,P1423))</f>
        <v/>
      </c>
      <c r="S1423">
        <f>IF(H1423="OK",O1423,0)</f>
        <v/>
      </c>
      <c r="T1423">
        <f>IF(H1423="OK",N1423,"")</f>
        <v/>
      </c>
      <c r="U1423">
        <f>IF(OC_Donor=0,"",IF(INDEX('OneCause_Paste'!$A$1423:$AZ$1423,1,OC_Donor)="","",INDEX('OneCause_Paste'!$A$1423:$AZ$1423,1,OC_Donor)))</f>
        <v/>
      </c>
    </row>
    <row r="1424">
      <c r="A1424" s="62">
        <f>IF(H1424="","",IF(ISNUMBER(N1424),N1424,I1424))</f>
        <v/>
      </c>
      <c r="B1424">
        <f>IF(H1424="","",U1424)</f>
        <v/>
      </c>
      <c r="C1424">
        <f>IF(H1424="","",IF(P1424="",K1424,INDEX('Students'!$A$2:$A$701,P1424)))</f>
        <v/>
      </c>
      <c r="D1424">
        <f>IF(OR(H1424="",P1424=""),"",INDEX('Students'!$B$2:$B$701,P1424))</f>
        <v/>
      </c>
      <c r="E1424">
        <f>IF(OR(H1424="",P1424=""),"",INDEX('Students'!$C$2:$C$701,P1424))</f>
        <v/>
      </c>
      <c r="F1424" s="48">
        <f>IF(H1424="","",IF(ISNUMBER(O1424),O1424,J1424))</f>
        <v/>
      </c>
      <c r="G1424">
        <f>IF(H1424="","","OneCause")</f>
        <v/>
      </c>
      <c r="H1424">
        <f>IF(AND(I1424="",J1424="",K1424=""),"",IF(NOT(ISNUMBER(O1424)),"Bad amount",IF(O1424&lt;0,"Refund (not counted)",IF(O1424=0,"Zero amount",IF(NOT(ISNUMBER(N1424)),"Bad date",IF(P1424="","NAME NOT ON ROSTER",IF(L1424="","OK",IF(MATCH(L1424,$L$2:$L$3001,0)&lt;ROW()-1,"Duplicate (ignored)","OK"))))))))</f>
        <v/>
      </c>
      <c r="I1424">
        <f>IF(OC_Date=0,"",IF(INDEX('OneCause_Paste'!$A$1424:$AZ$1424,1,OC_Date)="","",INDEX('OneCause_Paste'!$A$1424:$AZ$1424,1,OC_Date)))</f>
        <v/>
      </c>
      <c r="J1424">
        <f>IF(OC_Amt=0,"",IF(INDEX('OneCause_Paste'!$A$1424:$AZ$1424,1,OC_Amt)="","",INDEX('OneCause_Paste'!$A$1424:$AZ$1424,1,OC_Amt)))</f>
        <v/>
      </c>
      <c r="K1424">
        <f>IF(OC_Name=0,"",IF(INDEX('OneCause_Paste'!$A$1424:$AZ$1424,1,OC_Name)="","",INDEX('OneCause_Paste'!$A$1424:$AZ$1424,1,OC_Name)))</f>
        <v/>
      </c>
      <c r="L1424">
        <f>IF(OC_Txn=0,"",IF(INDEX('OneCause_Paste'!$A$1424:$AZ$1424,1,OC_Txn)="","",INDEX('OneCause_Paste'!$A$1424:$AZ$1424,1,OC_Txn)))</f>
        <v/>
      </c>
      <c r="M1424">
        <f>IF(OC_Pay=0,"",IF(INDEX('OneCause_Paste'!$A$1424:$AZ$1424,1,OC_Pay)="","",INDEX('OneCause_Paste'!$A$1424:$AZ$1424,1,OC_Pay)))</f>
        <v/>
      </c>
      <c r="N1424">
        <f>IF(I1424="","",IF(ISNUMBER(I1424),INT(I1424),IFERROR(INT(DATEVALUE(I1424)),IFERROR(INT(VALUE(I1424)),"bad"))))</f>
        <v/>
      </c>
      <c r="O1424">
        <f>IF(J1424="","",IF(ISNUMBER(J1424),ROUND(J1424,2),IFERROR(ROUND(VALUE(SUBSTITUTE(SUBSTITUTE(SUBSTITUTE(J1424,"$",""),",","")," ","")),2),"bad")))</f>
        <v/>
      </c>
      <c r="P1424">
        <f>IF(TRIM(K1424)="","",IFERROR(MATCH(LOWER(TRIM(K1424)),'Students'!$AH$2:$AH$701,0),IFERROR(MATCH(LOWER(TRIM(K1424)),'Students'!$AF$2:$AF$701,0),IFERROR(MATCH(LOWER(TRIM(K1424)),'Students'!$AG$2:$AG$701,0),""))))</f>
        <v/>
      </c>
      <c r="R1424">
        <f>IF(P1424="","",INDEX('Students'!$AD$2:$AD$701,P1424))</f>
        <v/>
      </c>
      <c r="S1424">
        <f>IF(H1424="OK",O1424,0)</f>
        <v/>
      </c>
      <c r="T1424">
        <f>IF(H1424="OK",N1424,"")</f>
        <v/>
      </c>
      <c r="U1424">
        <f>IF(OC_Donor=0,"",IF(INDEX('OneCause_Paste'!$A$1424:$AZ$1424,1,OC_Donor)="","",INDEX('OneCause_Paste'!$A$1424:$AZ$1424,1,OC_Donor)))</f>
        <v/>
      </c>
    </row>
    <row r="1425">
      <c r="A1425" s="62">
        <f>IF(H1425="","",IF(ISNUMBER(N1425),N1425,I1425))</f>
        <v/>
      </c>
      <c r="B1425">
        <f>IF(H1425="","",U1425)</f>
        <v/>
      </c>
      <c r="C1425">
        <f>IF(H1425="","",IF(P1425="",K1425,INDEX('Students'!$A$2:$A$701,P1425)))</f>
        <v/>
      </c>
      <c r="D1425">
        <f>IF(OR(H1425="",P1425=""),"",INDEX('Students'!$B$2:$B$701,P1425))</f>
        <v/>
      </c>
      <c r="E1425">
        <f>IF(OR(H1425="",P1425=""),"",INDEX('Students'!$C$2:$C$701,P1425))</f>
        <v/>
      </c>
      <c r="F1425" s="48">
        <f>IF(H1425="","",IF(ISNUMBER(O1425),O1425,J1425))</f>
        <v/>
      </c>
      <c r="G1425">
        <f>IF(H1425="","","OneCause")</f>
        <v/>
      </c>
      <c r="H1425">
        <f>IF(AND(I1425="",J1425="",K1425=""),"",IF(NOT(ISNUMBER(O1425)),"Bad amount",IF(O1425&lt;0,"Refund (not counted)",IF(O1425=0,"Zero amount",IF(NOT(ISNUMBER(N1425)),"Bad date",IF(P1425="","NAME NOT ON ROSTER",IF(L1425="","OK",IF(MATCH(L1425,$L$2:$L$3001,0)&lt;ROW()-1,"Duplicate (ignored)","OK"))))))))</f>
        <v/>
      </c>
      <c r="I1425">
        <f>IF(OC_Date=0,"",IF(INDEX('OneCause_Paste'!$A$1425:$AZ$1425,1,OC_Date)="","",INDEX('OneCause_Paste'!$A$1425:$AZ$1425,1,OC_Date)))</f>
        <v/>
      </c>
      <c r="J1425">
        <f>IF(OC_Amt=0,"",IF(INDEX('OneCause_Paste'!$A$1425:$AZ$1425,1,OC_Amt)="","",INDEX('OneCause_Paste'!$A$1425:$AZ$1425,1,OC_Amt)))</f>
        <v/>
      </c>
      <c r="K1425">
        <f>IF(OC_Name=0,"",IF(INDEX('OneCause_Paste'!$A$1425:$AZ$1425,1,OC_Name)="","",INDEX('OneCause_Paste'!$A$1425:$AZ$1425,1,OC_Name)))</f>
        <v/>
      </c>
      <c r="L1425">
        <f>IF(OC_Txn=0,"",IF(INDEX('OneCause_Paste'!$A$1425:$AZ$1425,1,OC_Txn)="","",INDEX('OneCause_Paste'!$A$1425:$AZ$1425,1,OC_Txn)))</f>
        <v/>
      </c>
      <c r="M1425">
        <f>IF(OC_Pay=0,"",IF(INDEX('OneCause_Paste'!$A$1425:$AZ$1425,1,OC_Pay)="","",INDEX('OneCause_Paste'!$A$1425:$AZ$1425,1,OC_Pay)))</f>
        <v/>
      </c>
      <c r="N1425">
        <f>IF(I1425="","",IF(ISNUMBER(I1425),INT(I1425),IFERROR(INT(DATEVALUE(I1425)),IFERROR(INT(VALUE(I1425)),"bad"))))</f>
        <v/>
      </c>
      <c r="O1425">
        <f>IF(J1425="","",IF(ISNUMBER(J1425),ROUND(J1425,2),IFERROR(ROUND(VALUE(SUBSTITUTE(SUBSTITUTE(SUBSTITUTE(J1425,"$",""),",","")," ","")),2),"bad")))</f>
        <v/>
      </c>
      <c r="P1425">
        <f>IF(TRIM(K1425)="","",IFERROR(MATCH(LOWER(TRIM(K1425)),'Students'!$AH$2:$AH$701,0),IFERROR(MATCH(LOWER(TRIM(K1425)),'Students'!$AF$2:$AF$701,0),IFERROR(MATCH(LOWER(TRIM(K1425)),'Students'!$AG$2:$AG$701,0),""))))</f>
        <v/>
      </c>
      <c r="R1425">
        <f>IF(P1425="","",INDEX('Students'!$AD$2:$AD$701,P1425))</f>
        <v/>
      </c>
      <c r="S1425">
        <f>IF(H1425="OK",O1425,0)</f>
        <v/>
      </c>
      <c r="T1425">
        <f>IF(H1425="OK",N1425,"")</f>
        <v/>
      </c>
      <c r="U1425">
        <f>IF(OC_Donor=0,"",IF(INDEX('OneCause_Paste'!$A$1425:$AZ$1425,1,OC_Donor)="","",INDEX('OneCause_Paste'!$A$1425:$AZ$1425,1,OC_Donor)))</f>
        <v/>
      </c>
    </row>
    <row r="1426">
      <c r="A1426" s="62">
        <f>IF(H1426="","",IF(ISNUMBER(N1426),N1426,I1426))</f>
        <v/>
      </c>
      <c r="B1426">
        <f>IF(H1426="","",U1426)</f>
        <v/>
      </c>
      <c r="C1426">
        <f>IF(H1426="","",IF(P1426="",K1426,INDEX('Students'!$A$2:$A$701,P1426)))</f>
        <v/>
      </c>
      <c r="D1426">
        <f>IF(OR(H1426="",P1426=""),"",INDEX('Students'!$B$2:$B$701,P1426))</f>
        <v/>
      </c>
      <c r="E1426">
        <f>IF(OR(H1426="",P1426=""),"",INDEX('Students'!$C$2:$C$701,P1426))</f>
        <v/>
      </c>
      <c r="F1426" s="48">
        <f>IF(H1426="","",IF(ISNUMBER(O1426),O1426,J1426))</f>
        <v/>
      </c>
      <c r="G1426">
        <f>IF(H1426="","","OneCause")</f>
        <v/>
      </c>
      <c r="H1426">
        <f>IF(AND(I1426="",J1426="",K1426=""),"",IF(NOT(ISNUMBER(O1426)),"Bad amount",IF(O1426&lt;0,"Refund (not counted)",IF(O1426=0,"Zero amount",IF(NOT(ISNUMBER(N1426)),"Bad date",IF(P1426="","NAME NOT ON ROSTER",IF(L1426="","OK",IF(MATCH(L1426,$L$2:$L$3001,0)&lt;ROW()-1,"Duplicate (ignored)","OK"))))))))</f>
        <v/>
      </c>
      <c r="I1426">
        <f>IF(OC_Date=0,"",IF(INDEX('OneCause_Paste'!$A$1426:$AZ$1426,1,OC_Date)="","",INDEX('OneCause_Paste'!$A$1426:$AZ$1426,1,OC_Date)))</f>
        <v/>
      </c>
      <c r="J1426">
        <f>IF(OC_Amt=0,"",IF(INDEX('OneCause_Paste'!$A$1426:$AZ$1426,1,OC_Amt)="","",INDEX('OneCause_Paste'!$A$1426:$AZ$1426,1,OC_Amt)))</f>
        <v/>
      </c>
      <c r="K1426">
        <f>IF(OC_Name=0,"",IF(INDEX('OneCause_Paste'!$A$1426:$AZ$1426,1,OC_Name)="","",INDEX('OneCause_Paste'!$A$1426:$AZ$1426,1,OC_Name)))</f>
        <v/>
      </c>
      <c r="L1426">
        <f>IF(OC_Txn=0,"",IF(INDEX('OneCause_Paste'!$A$1426:$AZ$1426,1,OC_Txn)="","",INDEX('OneCause_Paste'!$A$1426:$AZ$1426,1,OC_Txn)))</f>
        <v/>
      </c>
      <c r="M1426">
        <f>IF(OC_Pay=0,"",IF(INDEX('OneCause_Paste'!$A$1426:$AZ$1426,1,OC_Pay)="","",INDEX('OneCause_Paste'!$A$1426:$AZ$1426,1,OC_Pay)))</f>
        <v/>
      </c>
      <c r="N1426">
        <f>IF(I1426="","",IF(ISNUMBER(I1426),INT(I1426),IFERROR(INT(DATEVALUE(I1426)),IFERROR(INT(VALUE(I1426)),"bad"))))</f>
        <v/>
      </c>
      <c r="O1426">
        <f>IF(J1426="","",IF(ISNUMBER(J1426),ROUND(J1426,2),IFERROR(ROUND(VALUE(SUBSTITUTE(SUBSTITUTE(SUBSTITUTE(J1426,"$",""),",","")," ","")),2),"bad")))</f>
        <v/>
      </c>
      <c r="P1426">
        <f>IF(TRIM(K1426)="","",IFERROR(MATCH(LOWER(TRIM(K1426)),'Students'!$AH$2:$AH$701,0),IFERROR(MATCH(LOWER(TRIM(K1426)),'Students'!$AF$2:$AF$701,0),IFERROR(MATCH(LOWER(TRIM(K1426)),'Students'!$AG$2:$AG$701,0),""))))</f>
        <v/>
      </c>
      <c r="R1426">
        <f>IF(P1426="","",INDEX('Students'!$AD$2:$AD$701,P1426))</f>
        <v/>
      </c>
      <c r="S1426">
        <f>IF(H1426="OK",O1426,0)</f>
        <v/>
      </c>
      <c r="T1426">
        <f>IF(H1426="OK",N1426,"")</f>
        <v/>
      </c>
      <c r="U1426">
        <f>IF(OC_Donor=0,"",IF(INDEX('OneCause_Paste'!$A$1426:$AZ$1426,1,OC_Donor)="","",INDEX('OneCause_Paste'!$A$1426:$AZ$1426,1,OC_Donor)))</f>
        <v/>
      </c>
    </row>
    <row r="1427">
      <c r="A1427" s="62">
        <f>IF(H1427="","",IF(ISNUMBER(N1427),N1427,I1427))</f>
        <v/>
      </c>
      <c r="B1427">
        <f>IF(H1427="","",U1427)</f>
        <v/>
      </c>
      <c r="C1427">
        <f>IF(H1427="","",IF(P1427="",K1427,INDEX('Students'!$A$2:$A$701,P1427)))</f>
        <v/>
      </c>
      <c r="D1427">
        <f>IF(OR(H1427="",P1427=""),"",INDEX('Students'!$B$2:$B$701,P1427))</f>
        <v/>
      </c>
      <c r="E1427">
        <f>IF(OR(H1427="",P1427=""),"",INDEX('Students'!$C$2:$C$701,P1427))</f>
        <v/>
      </c>
      <c r="F1427" s="48">
        <f>IF(H1427="","",IF(ISNUMBER(O1427),O1427,J1427))</f>
        <v/>
      </c>
      <c r="G1427">
        <f>IF(H1427="","","OneCause")</f>
        <v/>
      </c>
      <c r="H1427">
        <f>IF(AND(I1427="",J1427="",K1427=""),"",IF(NOT(ISNUMBER(O1427)),"Bad amount",IF(O1427&lt;0,"Refund (not counted)",IF(O1427=0,"Zero amount",IF(NOT(ISNUMBER(N1427)),"Bad date",IF(P1427="","NAME NOT ON ROSTER",IF(L1427="","OK",IF(MATCH(L1427,$L$2:$L$3001,0)&lt;ROW()-1,"Duplicate (ignored)","OK"))))))))</f>
        <v/>
      </c>
      <c r="I1427">
        <f>IF(OC_Date=0,"",IF(INDEX('OneCause_Paste'!$A$1427:$AZ$1427,1,OC_Date)="","",INDEX('OneCause_Paste'!$A$1427:$AZ$1427,1,OC_Date)))</f>
        <v/>
      </c>
      <c r="J1427">
        <f>IF(OC_Amt=0,"",IF(INDEX('OneCause_Paste'!$A$1427:$AZ$1427,1,OC_Amt)="","",INDEX('OneCause_Paste'!$A$1427:$AZ$1427,1,OC_Amt)))</f>
        <v/>
      </c>
      <c r="K1427">
        <f>IF(OC_Name=0,"",IF(INDEX('OneCause_Paste'!$A$1427:$AZ$1427,1,OC_Name)="","",INDEX('OneCause_Paste'!$A$1427:$AZ$1427,1,OC_Name)))</f>
        <v/>
      </c>
      <c r="L1427">
        <f>IF(OC_Txn=0,"",IF(INDEX('OneCause_Paste'!$A$1427:$AZ$1427,1,OC_Txn)="","",INDEX('OneCause_Paste'!$A$1427:$AZ$1427,1,OC_Txn)))</f>
        <v/>
      </c>
      <c r="M1427">
        <f>IF(OC_Pay=0,"",IF(INDEX('OneCause_Paste'!$A$1427:$AZ$1427,1,OC_Pay)="","",INDEX('OneCause_Paste'!$A$1427:$AZ$1427,1,OC_Pay)))</f>
        <v/>
      </c>
      <c r="N1427">
        <f>IF(I1427="","",IF(ISNUMBER(I1427),INT(I1427),IFERROR(INT(DATEVALUE(I1427)),IFERROR(INT(VALUE(I1427)),"bad"))))</f>
        <v/>
      </c>
      <c r="O1427">
        <f>IF(J1427="","",IF(ISNUMBER(J1427),ROUND(J1427,2),IFERROR(ROUND(VALUE(SUBSTITUTE(SUBSTITUTE(SUBSTITUTE(J1427,"$",""),",","")," ","")),2),"bad")))</f>
        <v/>
      </c>
      <c r="P1427">
        <f>IF(TRIM(K1427)="","",IFERROR(MATCH(LOWER(TRIM(K1427)),'Students'!$AH$2:$AH$701,0),IFERROR(MATCH(LOWER(TRIM(K1427)),'Students'!$AF$2:$AF$701,0),IFERROR(MATCH(LOWER(TRIM(K1427)),'Students'!$AG$2:$AG$701,0),""))))</f>
        <v/>
      </c>
      <c r="R1427">
        <f>IF(P1427="","",INDEX('Students'!$AD$2:$AD$701,P1427))</f>
        <v/>
      </c>
      <c r="S1427">
        <f>IF(H1427="OK",O1427,0)</f>
        <v/>
      </c>
      <c r="T1427">
        <f>IF(H1427="OK",N1427,"")</f>
        <v/>
      </c>
      <c r="U1427">
        <f>IF(OC_Donor=0,"",IF(INDEX('OneCause_Paste'!$A$1427:$AZ$1427,1,OC_Donor)="","",INDEX('OneCause_Paste'!$A$1427:$AZ$1427,1,OC_Donor)))</f>
        <v/>
      </c>
    </row>
    <row r="1428">
      <c r="A1428" s="62">
        <f>IF(H1428="","",IF(ISNUMBER(N1428),N1428,I1428))</f>
        <v/>
      </c>
      <c r="B1428">
        <f>IF(H1428="","",U1428)</f>
        <v/>
      </c>
      <c r="C1428">
        <f>IF(H1428="","",IF(P1428="",K1428,INDEX('Students'!$A$2:$A$701,P1428)))</f>
        <v/>
      </c>
      <c r="D1428">
        <f>IF(OR(H1428="",P1428=""),"",INDEX('Students'!$B$2:$B$701,P1428))</f>
        <v/>
      </c>
      <c r="E1428">
        <f>IF(OR(H1428="",P1428=""),"",INDEX('Students'!$C$2:$C$701,P1428))</f>
        <v/>
      </c>
      <c r="F1428" s="48">
        <f>IF(H1428="","",IF(ISNUMBER(O1428),O1428,J1428))</f>
        <v/>
      </c>
      <c r="G1428">
        <f>IF(H1428="","","OneCause")</f>
        <v/>
      </c>
      <c r="H1428">
        <f>IF(AND(I1428="",J1428="",K1428=""),"",IF(NOT(ISNUMBER(O1428)),"Bad amount",IF(O1428&lt;0,"Refund (not counted)",IF(O1428=0,"Zero amount",IF(NOT(ISNUMBER(N1428)),"Bad date",IF(P1428="","NAME NOT ON ROSTER",IF(L1428="","OK",IF(MATCH(L1428,$L$2:$L$3001,0)&lt;ROW()-1,"Duplicate (ignored)","OK"))))))))</f>
        <v/>
      </c>
      <c r="I1428">
        <f>IF(OC_Date=0,"",IF(INDEX('OneCause_Paste'!$A$1428:$AZ$1428,1,OC_Date)="","",INDEX('OneCause_Paste'!$A$1428:$AZ$1428,1,OC_Date)))</f>
        <v/>
      </c>
      <c r="J1428">
        <f>IF(OC_Amt=0,"",IF(INDEX('OneCause_Paste'!$A$1428:$AZ$1428,1,OC_Amt)="","",INDEX('OneCause_Paste'!$A$1428:$AZ$1428,1,OC_Amt)))</f>
        <v/>
      </c>
      <c r="K1428">
        <f>IF(OC_Name=0,"",IF(INDEX('OneCause_Paste'!$A$1428:$AZ$1428,1,OC_Name)="","",INDEX('OneCause_Paste'!$A$1428:$AZ$1428,1,OC_Name)))</f>
        <v/>
      </c>
      <c r="L1428">
        <f>IF(OC_Txn=0,"",IF(INDEX('OneCause_Paste'!$A$1428:$AZ$1428,1,OC_Txn)="","",INDEX('OneCause_Paste'!$A$1428:$AZ$1428,1,OC_Txn)))</f>
        <v/>
      </c>
      <c r="M1428">
        <f>IF(OC_Pay=0,"",IF(INDEX('OneCause_Paste'!$A$1428:$AZ$1428,1,OC_Pay)="","",INDEX('OneCause_Paste'!$A$1428:$AZ$1428,1,OC_Pay)))</f>
        <v/>
      </c>
      <c r="N1428">
        <f>IF(I1428="","",IF(ISNUMBER(I1428),INT(I1428),IFERROR(INT(DATEVALUE(I1428)),IFERROR(INT(VALUE(I1428)),"bad"))))</f>
        <v/>
      </c>
      <c r="O1428">
        <f>IF(J1428="","",IF(ISNUMBER(J1428),ROUND(J1428,2),IFERROR(ROUND(VALUE(SUBSTITUTE(SUBSTITUTE(SUBSTITUTE(J1428,"$",""),",","")," ","")),2),"bad")))</f>
        <v/>
      </c>
      <c r="P1428">
        <f>IF(TRIM(K1428)="","",IFERROR(MATCH(LOWER(TRIM(K1428)),'Students'!$AH$2:$AH$701,0),IFERROR(MATCH(LOWER(TRIM(K1428)),'Students'!$AF$2:$AF$701,0),IFERROR(MATCH(LOWER(TRIM(K1428)),'Students'!$AG$2:$AG$701,0),""))))</f>
        <v/>
      </c>
      <c r="R1428">
        <f>IF(P1428="","",INDEX('Students'!$AD$2:$AD$701,P1428))</f>
        <v/>
      </c>
      <c r="S1428">
        <f>IF(H1428="OK",O1428,0)</f>
        <v/>
      </c>
      <c r="T1428">
        <f>IF(H1428="OK",N1428,"")</f>
        <v/>
      </c>
      <c r="U1428">
        <f>IF(OC_Donor=0,"",IF(INDEX('OneCause_Paste'!$A$1428:$AZ$1428,1,OC_Donor)="","",INDEX('OneCause_Paste'!$A$1428:$AZ$1428,1,OC_Donor)))</f>
        <v/>
      </c>
    </row>
    <row r="1429">
      <c r="A1429" s="62">
        <f>IF(H1429="","",IF(ISNUMBER(N1429),N1429,I1429))</f>
        <v/>
      </c>
      <c r="B1429">
        <f>IF(H1429="","",U1429)</f>
        <v/>
      </c>
      <c r="C1429">
        <f>IF(H1429="","",IF(P1429="",K1429,INDEX('Students'!$A$2:$A$701,P1429)))</f>
        <v/>
      </c>
      <c r="D1429">
        <f>IF(OR(H1429="",P1429=""),"",INDEX('Students'!$B$2:$B$701,P1429))</f>
        <v/>
      </c>
      <c r="E1429">
        <f>IF(OR(H1429="",P1429=""),"",INDEX('Students'!$C$2:$C$701,P1429))</f>
        <v/>
      </c>
      <c r="F1429" s="48">
        <f>IF(H1429="","",IF(ISNUMBER(O1429),O1429,J1429))</f>
        <v/>
      </c>
      <c r="G1429">
        <f>IF(H1429="","","OneCause")</f>
        <v/>
      </c>
      <c r="H1429">
        <f>IF(AND(I1429="",J1429="",K1429=""),"",IF(NOT(ISNUMBER(O1429)),"Bad amount",IF(O1429&lt;0,"Refund (not counted)",IF(O1429=0,"Zero amount",IF(NOT(ISNUMBER(N1429)),"Bad date",IF(P1429="","NAME NOT ON ROSTER",IF(L1429="","OK",IF(MATCH(L1429,$L$2:$L$3001,0)&lt;ROW()-1,"Duplicate (ignored)","OK"))))))))</f>
        <v/>
      </c>
      <c r="I1429">
        <f>IF(OC_Date=0,"",IF(INDEX('OneCause_Paste'!$A$1429:$AZ$1429,1,OC_Date)="","",INDEX('OneCause_Paste'!$A$1429:$AZ$1429,1,OC_Date)))</f>
        <v/>
      </c>
      <c r="J1429">
        <f>IF(OC_Amt=0,"",IF(INDEX('OneCause_Paste'!$A$1429:$AZ$1429,1,OC_Amt)="","",INDEX('OneCause_Paste'!$A$1429:$AZ$1429,1,OC_Amt)))</f>
        <v/>
      </c>
      <c r="K1429">
        <f>IF(OC_Name=0,"",IF(INDEX('OneCause_Paste'!$A$1429:$AZ$1429,1,OC_Name)="","",INDEX('OneCause_Paste'!$A$1429:$AZ$1429,1,OC_Name)))</f>
        <v/>
      </c>
      <c r="L1429">
        <f>IF(OC_Txn=0,"",IF(INDEX('OneCause_Paste'!$A$1429:$AZ$1429,1,OC_Txn)="","",INDEX('OneCause_Paste'!$A$1429:$AZ$1429,1,OC_Txn)))</f>
        <v/>
      </c>
      <c r="M1429">
        <f>IF(OC_Pay=0,"",IF(INDEX('OneCause_Paste'!$A$1429:$AZ$1429,1,OC_Pay)="","",INDEX('OneCause_Paste'!$A$1429:$AZ$1429,1,OC_Pay)))</f>
        <v/>
      </c>
      <c r="N1429">
        <f>IF(I1429="","",IF(ISNUMBER(I1429),INT(I1429),IFERROR(INT(DATEVALUE(I1429)),IFERROR(INT(VALUE(I1429)),"bad"))))</f>
        <v/>
      </c>
      <c r="O1429">
        <f>IF(J1429="","",IF(ISNUMBER(J1429),ROUND(J1429,2),IFERROR(ROUND(VALUE(SUBSTITUTE(SUBSTITUTE(SUBSTITUTE(J1429,"$",""),",","")," ","")),2),"bad")))</f>
        <v/>
      </c>
      <c r="P1429">
        <f>IF(TRIM(K1429)="","",IFERROR(MATCH(LOWER(TRIM(K1429)),'Students'!$AH$2:$AH$701,0),IFERROR(MATCH(LOWER(TRIM(K1429)),'Students'!$AF$2:$AF$701,0),IFERROR(MATCH(LOWER(TRIM(K1429)),'Students'!$AG$2:$AG$701,0),""))))</f>
        <v/>
      </c>
      <c r="R1429">
        <f>IF(P1429="","",INDEX('Students'!$AD$2:$AD$701,P1429))</f>
        <v/>
      </c>
      <c r="S1429">
        <f>IF(H1429="OK",O1429,0)</f>
        <v/>
      </c>
      <c r="T1429">
        <f>IF(H1429="OK",N1429,"")</f>
        <v/>
      </c>
      <c r="U1429">
        <f>IF(OC_Donor=0,"",IF(INDEX('OneCause_Paste'!$A$1429:$AZ$1429,1,OC_Donor)="","",INDEX('OneCause_Paste'!$A$1429:$AZ$1429,1,OC_Donor)))</f>
        <v/>
      </c>
    </row>
    <row r="1430">
      <c r="A1430" s="62">
        <f>IF(H1430="","",IF(ISNUMBER(N1430),N1430,I1430))</f>
        <v/>
      </c>
      <c r="B1430">
        <f>IF(H1430="","",U1430)</f>
        <v/>
      </c>
      <c r="C1430">
        <f>IF(H1430="","",IF(P1430="",K1430,INDEX('Students'!$A$2:$A$701,P1430)))</f>
        <v/>
      </c>
      <c r="D1430">
        <f>IF(OR(H1430="",P1430=""),"",INDEX('Students'!$B$2:$B$701,P1430))</f>
        <v/>
      </c>
      <c r="E1430">
        <f>IF(OR(H1430="",P1430=""),"",INDEX('Students'!$C$2:$C$701,P1430))</f>
        <v/>
      </c>
      <c r="F1430" s="48">
        <f>IF(H1430="","",IF(ISNUMBER(O1430),O1430,J1430))</f>
        <v/>
      </c>
      <c r="G1430">
        <f>IF(H1430="","","OneCause")</f>
        <v/>
      </c>
      <c r="H1430">
        <f>IF(AND(I1430="",J1430="",K1430=""),"",IF(NOT(ISNUMBER(O1430)),"Bad amount",IF(O1430&lt;0,"Refund (not counted)",IF(O1430=0,"Zero amount",IF(NOT(ISNUMBER(N1430)),"Bad date",IF(P1430="","NAME NOT ON ROSTER",IF(L1430="","OK",IF(MATCH(L1430,$L$2:$L$3001,0)&lt;ROW()-1,"Duplicate (ignored)","OK"))))))))</f>
        <v/>
      </c>
      <c r="I1430">
        <f>IF(OC_Date=0,"",IF(INDEX('OneCause_Paste'!$A$1430:$AZ$1430,1,OC_Date)="","",INDEX('OneCause_Paste'!$A$1430:$AZ$1430,1,OC_Date)))</f>
        <v/>
      </c>
      <c r="J1430">
        <f>IF(OC_Amt=0,"",IF(INDEX('OneCause_Paste'!$A$1430:$AZ$1430,1,OC_Amt)="","",INDEX('OneCause_Paste'!$A$1430:$AZ$1430,1,OC_Amt)))</f>
        <v/>
      </c>
      <c r="K1430">
        <f>IF(OC_Name=0,"",IF(INDEX('OneCause_Paste'!$A$1430:$AZ$1430,1,OC_Name)="","",INDEX('OneCause_Paste'!$A$1430:$AZ$1430,1,OC_Name)))</f>
        <v/>
      </c>
      <c r="L1430">
        <f>IF(OC_Txn=0,"",IF(INDEX('OneCause_Paste'!$A$1430:$AZ$1430,1,OC_Txn)="","",INDEX('OneCause_Paste'!$A$1430:$AZ$1430,1,OC_Txn)))</f>
        <v/>
      </c>
      <c r="M1430">
        <f>IF(OC_Pay=0,"",IF(INDEX('OneCause_Paste'!$A$1430:$AZ$1430,1,OC_Pay)="","",INDEX('OneCause_Paste'!$A$1430:$AZ$1430,1,OC_Pay)))</f>
        <v/>
      </c>
      <c r="N1430">
        <f>IF(I1430="","",IF(ISNUMBER(I1430),INT(I1430),IFERROR(INT(DATEVALUE(I1430)),IFERROR(INT(VALUE(I1430)),"bad"))))</f>
        <v/>
      </c>
      <c r="O1430">
        <f>IF(J1430="","",IF(ISNUMBER(J1430),ROUND(J1430,2),IFERROR(ROUND(VALUE(SUBSTITUTE(SUBSTITUTE(SUBSTITUTE(J1430,"$",""),",","")," ","")),2),"bad")))</f>
        <v/>
      </c>
      <c r="P1430">
        <f>IF(TRIM(K1430)="","",IFERROR(MATCH(LOWER(TRIM(K1430)),'Students'!$AH$2:$AH$701,0),IFERROR(MATCH(LOWER(TRIM(K1430)),'Students'!$AF$2:$AF$701,0),IFERROR(MATCH(LOWER(TRIM(K1430)),'Students'!$AG$2:$AG$701,0),""))))</f>
        <v/>
      </c>
      <c r="R1430">
        <f>IF(P1430="","",INDEX('Students'!$AD$2:$AD$701,P1430))</f>
        <v/>
      </c>
      <c r="S1430">
        <f>IF(H1430="OK",O1430,0)</f>
        <v/>
      </c>
      <c r="T1430">
        <f>IF(H1430="OK",N1430,"")</f>
        <v/>
      </c>
      <c r="U1430">
        <f>IF(OC_Donor=0,"",IF(INDEX('OneCause_Paste'!$A$1430:$AZ$1430,1,OC_Donor)="","",INDEX('OneCause_Paste'!$A$1430:$AZ$1430,1,OC_Donor)))</f>
        <v/>
      </c>
    </row>
    <row r="1431">
      <c r="A1431" s="62">
        <f>IF(H1431="","",IF(ISNUMBER(N1431),N1431,I1431))</f>
        <v/>
      </c>
      <c r="B1431">
        <f>IF(H1431="","",U1431)</f>
        <v/>
      </c>
      <c r="C1431">
        <f>IF(H1431="","",IF(P1431="",K1431,INDEX('Students'!$A$2:$A$701,P1431)))</f>
        <v/>
      </c>
      <c r="D1431">
        <f>IF(OR(H1431="",P1431=""),"",INDEX('Students'!$B$2:$B$701,P1431))</f>
        <v/>
      </c>
      <c r="E1431">
        <f>IF(OR(H1431="",P1431=""),"",INDEX('Students'!$C$2:$C$701,P1431))</f>
        <v/>
      </c>
      <c r="F1431" s="48">
        <f>IF(H1431="","",IF(ISNUMBER(O1431),O1431,J1431))</f>
        <v/>
      </c>
      <c r="G1431">
        <f>IF(H1431="","","OneCause")</f>
        <v/>
      </c>
      <c r="H1431">
        <f>IF(AND(I1431="",J1431="",K1431=""),"",IF(NOT(ISNUMBER(O1431)),"Bad amount",IF(O1431&lt;0,"Refund (not counted)",IF(O1431=0,"Zero amount",IF(NOT(ISNUMBER(N1431)),"Bad date",IF(P1431="","NAME NOT ON ROSTER",IF(L1431="","OK",IF(MATCH(L1431,$L$2:$L$3001,0)&lt;ROW()-1,"Duplicate (ignored)","OK"))))))))</f>
        <v/>
      </c>
      <c r="I1431">
        <f>IF(OC_Date=0,"",IF(INDEX('OneCause_Paste'!$A$1431:$AZ$1431,1,OC_Date)="","",INDEX('OneCause_Paste'!$A$1431:$AZ$1431,1,OC_Date)))</f>
        <v/>
      </c>
      <c r="J1431">
        <f>IF(OC_Amt=0,"",IF(INDEX('OneCause_Paste'!$A$1431:$AZ$1431,1,OC_Amt)="","",INDEX('OneCause_Paste'!$A$1431:$AZ$1431,1,OC_Amt)))</f>
        <v/>
      </c>
      <c r="K1431">
        <f>IF(OC_Name=0,"",IF(INDEX('OneCause_Paste'!$A$1431:$AZ$1431,1,OC_Name)="","",INDEX('OneCause_Paste'!$A$1431:$AZ$1431,1,OC_Name)))</f>
        <v/>
      </c>
      <c r="L1431">
        <f>IF(OC_Txn=0,"",IF(INDEX('OneCause_Paste'!$A$1431:$AZ$1431,1,OC_Txn)="","",INDEX('OneCause_Paste'!$A$1431:$AZ$1431,1,OC_Txn)))</f>
        <v/>
      </c>
      <c r="M1431">
        <f>IF(OC_Pay=0,"",IF(INDEX('OneCause_Paste'!$A$1431:$AZ$1431,1,OC_Pay)="","",INDEX('OneCause_Paste'!$A$1431:$AZ$1431,1,OC_Pay)))</f>
        <v/>
      </c>
      <c r="N1431">
        <f>IF(I1431="","",IF(ISNUMBER(I1431),INT(I1431),IFERROR(INT(DATEVALUE(I1431)),IFERROR(INT(VALUE(I1431)),"bad"))))</f>
        <v/>
      </c>
      <c r="O1431">
        <f>IF(J1431="","",IF(ISNUMBER(J1431),ROUND(J1431,2),IFERROR(ROUND(VALUE(SUBSTITUTE(SUBSTITUTE(SUBSTITUTE(J1431,"$",""),",","")," ","")),2),"bad")))</f>
        <v/>
      </c>
      <c r="P1431">
        <f>IF(TRIM(K1431)="","",IFERROR(MATCH(LOWER(TRIM(K1431)),'Students'!$AH$2:$AH$701,0),IFERROR(MATCH(LOWER(TRIM(K1431)),'Students'!$AF$2:$AF$701,0),IFERROR(MATCH(LOWER(TRIM(K1431)),'Students'!$AG$2:$AG$701,0),""))))</f>
        <v/>
      </c>
      <c r="R1431">
        <f>IF(P1431="","",INDEX('Students'!$AD$2:$AD$701,P1431))</f>
        <v/>
      </c>
      <c r="S1431">
        <f>IF(H1431="OK",O1431,0)</f>
        <v/>
      </c>
      <c r="T1431">
        <f>IF(H1431="OK",N1431,"")</f>
        <v/>
      </c>
      <c r="U1431">
        <f>IF(OC_Donor=0,"",IF(INDEX('OneCause_Paste'!$A$1431:$AZ$1431,1,OC_Donor)="","",INDEX('OneCause_Paste'!$A$1431:$AZ$1431,1,OC_Donor)))</f>
        <v/>
      </c>
    </row>
    <row r="1432">
      <c r="A1432" s="62">
        <f>IF(H1432="","",IF(ISNUMBER(N1432),N1432,I1432))</f>
        <v/>
      </c>
      <c r="B1432">
        <f>IF(H1432="","",U1432)</f>
        <v/>
      </c>
      <c r="C1432">
        <f>IF(H1432="","",IF(P1432="",K1432,INDEX('Students'!$A$2:$A$701,P1432)))</f>
        <v/>
      </c>
      <c r="D1432">
        <f>IF(OR(H1432="",P1432=""),"",INDEX('Students'!$B$2:$B$701,P1432))</f>
        <v/>
      </c>
      <c r="E1432">
        <f>IF(OR(H1432="",P1432=""),"",INDEX('Students'!$C$2:$C$701,P1432))</f>
        <v/>
      </c>
      <c r="F1432" s="48">
        <f>IF(H1432="","",IF(ISNUMBER(O1432),O1432,J1432))</f>
        <v/>
      </c>
      <c r="G1432">
        <f>IF(H1432="","","OneCause")</f>
        <v/>
      </c>
      <c r="H1432">
        <f>IF(AND(I1432="",J1432="",K1432=""),"",IF(NOT(ISNUMBER(O1432)),"Bad amount",IF(O1432&lt;0,"Refund (not counted)",IF(O1432=0,"Zero amount",IF(NOT(ISNUMBER(N1432)),"Bad date",IF(P1432="","NAME NOT ON ROSTER",IF(L1432="","OK",IF(MATCH(L1432,$L$2:$L$3001,0)&lt;ROW()-1,"Duplicate (ignored)","OK"))))))))</f>
        <v/>
      </c>
      <c r="I1432">
        <f>IF(OC_Date=0,"",IF(INDEX('OneCause_Paste'!$A$1432:$AZ$1432,1,OC_Date)="","",INDEX('OneCause_Paste'!$A$1432:$AZ$1432,1,OC_Date)))</f>
        <v/>
      </c>
      <c r="J1432">
        <f>IF(OC_Amt=0,"",IF(INDEX('OneCause_Paste'!$A$1432:$AZ$1432,1,OC_Amt)="","",INDEX('OneCause_Paste'!$A$1432:$AZ$1432,1,OC_Amt)))</f>
        <v/>
      </c>
      <c r="K1432">
        <f>IF(OC_Name=0,"",IF(INDEX('OneCause_Paste'!$A$1432:$AZ$1432,1,OC_Name)="","",INDEX('OneCause_Paste'!$A$1432:$AZ$1432,1,OC_Name)))</f>
        <v/>
      </c>
      <c r="L1432">
        <f>IF(OC_Txn=0,"",IF(INDEX('OneCause_Paste'!$A$1432:$AZ$1432,1,OC_Txn)="","",INDEX('OneCause_Paste'!$A$1432:$AZ$1432,1,OC_Txn)))</f>
        <v/>
      </c>
      <c r="M1432">
        <f>IF(OC_Pay=0,"",IF(INDEX('OneCause_Paste'!$A$1432:$AZ$1432,1,OC_Pay)="","",INDEX('OneCause_Paste'!$A$1432:$AZ$1432,1,OC_Pay)))</f>
        <v/>
      </c>
      <c r="N1432">
        <f>IF(I1432="","",IF(ISNUMBER(I1432),INT(I1432),IFERROR(INT(DATEVALUE(I1432)),IFERROR(INT(VALUE(I1432)),"bad"))))</f>
        <v/>
      </c>
      <c r="O1432">
        <f>IF(J1432="","",IF(ISNUMBER(J1432),ROUND(J1432,2),IFERROR(ROUND(VALUE(SUBSTITUTE(SUBSTITUTE(SUBSTITUTE(J1432,"$",""),",","")," ","")),2),"bad")))</f>
        <v/>
      </c>
      <c r="P1432">
        <f>IF(TRIM(K1432)="","",IFERROR(MATCH(LOWER(TRIM(K1432)),'Students'!$AH$2:$AH$701,0),IFERROR(MATCH(LOWER(TRIM(K1432)),'Students'!$AF$2:$AF$701,0),IFERROR(MATCH(LOWER(TRIM(K1432)),'Students'!$AG$2:$AG$701,0),""))))</f>
        <v/>
      </c>
      <c r="R1432">
        <f>IF(P1432="","",INDEX('Students'!$AD$2:$AD$701,P1432))</f>
        <v/>
      </c>
      <c r="S1432">
        <f>IF(H1432="OK",O1432,0)</f>
        <v/>
      </c>
      <c r="T1432">
        <f>IF(H1432="OK",N1432,"")</f>
        <v/>
      </c>
      <c r="U1432">
        <f>IF(OC_Donor=0,"",IF(INDEX('OneCause_Paste'!$A$1432:$AZ$1432,1,OC_Donor)="","",INDEX('OneCause_Paste'!$A$1432:$AZ$1432,1,OC_Donor)))</f>
        <v/>
      </c>
    </row>
    <row r="1433">
      <c r="A1433" s="62">
        <f>IF(H1433="","",IF(ISNUMBER(N1433),N1433,I1433))</f>
        <v/>
      </c>
      <c r="B1433">
        <f>IF(H1433="","",U1433)</f>
        <v/>
      </c>
      <c r="C1433">
        <f>IF(H1433="","",IF(P1433="",K1433,INDEX('Students'!$A$2:$A$701,P1433)))</f>
        <v/>
      </c>
      <c r="D1433">
        <f>IF(OR(H1433="",P1433=""),"",INDEX('Students'!$B$2:$B$701,P1433))</f>
        <v/>
      </c>
      <c r="E1433">
        <f>IF(OR(H1433="",P1433=""),"",INDEX('Students'!$C$2:$C$701,P1433))</f>
        <v/>
      </c>
      <c r="F1433" s="48">
        <f>IF(H1433="","",IF(ISNUMBER(O1433),O1433,J1433))</f>
        <v/>
      </c>
      <c r="G1433">
        <f>IF(H1433="","","OneCause")</f>
        <v/>
      </c>
      <c r="H1433">
        <f>IF(AND(I1433="",J1433="",K1433=""),"",IF(NOT(ISNUMBER(O1433)),"Bad amount",IF(O1433&lt;0,"Refund (not counted)",IF(O1433=0,"Zero amount",IF(NOT(ISNUMBER(N1433)),"Bad date",IF(P1433="","NAME NOT ON ROSTER",IF(L1433="","OK",IF(MATCH(L1433,$L$2:$L$3001,0)&lt;ROW()-1,"Duplicate (ignored)","OK"))))))))</f>
        <v/>
      </c>
      <c r="I1433">
        <f>IF(OC_Date=0,"",IF(INDEX('OneCause_Paste'!$A$1433:$AZ$1433,1,OC_Date)="","",INDEX('OneCause_Paste'!$A$1433:$AZ$1433,1,OC_Date)))</f>
        <v/>
      </c>
      <c r="J1433">
        <f>IF(OC_Amt=0,"",IF(INDEX('OneCause_Paste'!$A$1433:$AZ$1433,1,OC_Amt)="","",INDEX('OneCause_Paste'!$A$1433:$AZ$1433,1,OC_Amt)))</f>
        <v/>
      </c>
      <c r="K1433">
        <f>IF(OC_Name=0,"",IF(INDEX('OneCause_Paste'!$A$1433:$AZ$1433,1,OC_Name)="","",INDEX('OneCause_Paste'!$A$1433:$AZ$1433,1,OC_Name)))</f>
        <v/>
      </c>
      <c r="L1433">
        <f>IF(OC_Txn=0,"",IF(INDEX('OneCause_Paste'!$A$1433:$AZ$1433,1,OC_Txn)="","",INDEX('OneCause_Paste'!$A$1433:$AZ$1433,1,OC_Txn)))</f>
        <v/>
      </c>
      <c r="M1433">
        <f>IF(OC_Pay=0,"",IF(INDEX('OneCause_Paste'!$A$1433:$AZ$1433,1,OC_Pay)="","",INDEX('OneCause_Paste'!$A$1433:$AZ$1433,1,OC_Pay)))</f>
        <v/>
      </c>
      <c r="N1433">
        <f>IF(I1433="","",IF(ISNUMBER(I1433),INT(I1433),IFERROR(INT(DATEVALUE(I1433)),IFERROR(INT(VALUE(I1433)),"bad"))))</f>
        <v/>
      </c>
      <c r="O1433">
        <f>IF(J1433="","",IF(ISNUMBER(J1433),ROUND(J1433,2),IFERROR(ROUND(VALUE(SUBSTITUTE(SUBSTITUTE(SUBSTITUTE(J1433,"$",""),",","")," ","")),2),"bad")))</f>
        <v/>
      </c>
      <c r="P1433">
        <f>IF(TRIM(K1433)="","",IFERROR(MATCH(LOWER(TRIM(K1433)),'Students'!$AH$2:$AH$701,0),IFERROR(MATCH(LOWER(TRIM(K1433)),'Students'!$AF$2:$AF$701,0),IFERROR(MATCH(LOWER(TRIM(K1433)),'Students'!$AG$2:$AG$701,0),""))))</f>
        <v/>
      </c>
      <c r="R1433">
        <f>IF(P1433="","",INDEX('Students'!$AD$2:$AD$701,P1433))</f>
        <v/>
      </c>
      <c r="S1433">
        <f>IF(H1433="OK",O1433,0)</f>
        <v/>
      </c>
      <c r="T1433">
        <f>IF(H1433="OK",N1433,"")</f>
        <v/>
      </c>
      <c r="U1433">
        <f>IF(OC_Donor=0,"",IF(INDEX('OneCause_Paste'!$A$1433:$AZ$1433,1,OC_Donor)="","",INDEX('OneCause_Paste'!$A$1433:$AZ$1433,1,OC_Donor)))</f>
        <v/>
      </c>
    </row>
    <row r="1434">
      <c r="A1434" s="62">
        <f>IF(H1434="","",IF(ISNUMBER(N1434),N1434,I1434))</f>
        <v/>
      </c>
      <c r="B1434">
        <f>IF(H1434="","",U1434)</f>
        <v/>
      </c>
      <c r="C1434">
        <f>IF(H1434="","",IF(P1434="",K1434,INDEX('Students'!$A$2:$A$701,P1434)))</f>
        <v/>
      </c>
      <c r="D1434">
        <f>IF(OR(H1434="",P1434=""),"",INDEX('Students'!$B$2:$B$701,P1434))</f>
        <v/>
      </c>
      <c r="E1434">
        <f>IF(OR(H1434="",P1434=""),"",INDEX('Students'!$C$2:$C$701,P1434))</f>
        <v/>
      </c>
      <c r="F1434" s="48">
        <f>IF(H1434="","",IF(ISNUMBER(O1434),O1434,J1434))</f>
        <v/>
      </c>
      <c r="G1434">
        <f>IF(H1434="","","OneCause")</f>
        <v/>
      </c>
      <c r="H1434">
        <f>IF(AND(I1434="",J1434="",K1434=""),"",IF(NOT(ISNUMBER(O1434)),"Bad amount",IF(O1434&lt;0,"Refund (not counted)",IF(O1434=0,"Zero amount",IF(NOT(ISNUMBER(N1434)),"Bad date",IF(P1434="","NAME NOT ON ROSTER",IF(L1434="","OK",IF(MATCH(L1434,$L$2:$L$3001,0)&lt;ROW()-1,"Duplicate (ignored)","OK"))))))))</f>
        <v/>
      </c>
      <c r="I1434">
        <f>IF(OC_Date=0,"",IF(INDEX('OneCause_Paste'!$A$1434:$AZ$1434,1,OC_Date)="","",INDEX('OneCause_Paste'!$A$1434:$AZ$1434,1,OC_Date)))</f>
        <v/>
      </c>
      <c r="J1434">
        <f>IF(OC_Amt=0,"",IF(INDEX('OneCause_Paste'!$A$1434:$AZ$1434,1,OC_Amt)="","",INDEX('OneCause_Paste'!$A$1434:$AZ$1434,1,OC_Amt)))</f>
        <v/>
      </c>
      <c r="K1434">
        <f>IF(OC_Name=0,"",IF(INDEX('OneCause_Paste'!$A$1434:$AZ$1434,1,OC_Name)="","",INDEX('OneCause_Paste'!$A$1434:$AZ$1434,1,OC_Name)))</f>
        <v/>
      </c>
      <c r="L1434">
        <f>IF(OC_Txn=0,"",IF(INDEX('OneCause_Paste'!$A$1434:$AZ$1434,1,OC_Txn)="","",INDEX('OneCause_Paste'!$A$1434:$AZ$1434,1,OC_Txn)))</f>
        <v/>
      </c>
      <c r="M1434">
        <f>IF(OC_Pay=0,"",IF(INDEX('OneCause_Paste'!$A$1434:$AZ$1434,1,OC_Pay)="","",INDEX('OneCause_Paste'!$A$1434:$AZ$1434,1,OC_Pay)))</f>
        <v/>
      </c>
      <c r="N1434">
        <f>IF(I1434="","",IF(ISNUMBER(I1434),INT(I1434),IFERROR(INT(DATEVALUE(I1434)),IFERROR(INT(VALUE(I1434)),"bad"))))</f>
        <v/>
      </c>
      <c r="O1434">
        <f>IF(J1434="","",IF(ISNUMBER(J1434),ROUND(J1434,2),IFERROR(ROUND(VALUE(SUBSTITUTE(SUBSTITUTE(SUBSTITUTE(J1434,"$",""),",","")," ","")),2),"bad")))</f>
        <v/>
      </c>
      <c r="P1434">
        <f>IF(TRIM(K1434)="","",IFERROR(MATCH(LOWER(TRIM(K1434)),'Students'!$AH$2:$AH$701,0),IFERROR(MATCH(LOWER(TRIM(K1434)),'Students'!$AF$2:$AF$701,0),IFERROR(MATCH(LOWER(TRIM(K1434)),'Students'!$AG$2:$AG$701,0),""))))</f>
        <v/>
      </c>
      <c r="R1434">
        <f>IF(P1434="","",INDEX('Students'!$AD$2:$AD$701,P1434))</f>
        <v/>
      </c>
      <c r="S1434">
        <f>IF(H1434="OK",O1434,0)</f>
        <v/>
      </c>
      <c r="T1434">
        <f>IF(H1434="OK",N1434,"")</f>
        <v/>
      </c>
      <c r="U1434">
        <f>IF(OC_Donor=0,"",IF(INDEX('OneCause_Paste'!$A$1434:$AZ$1434,1,OC_Donor)="","",INDEX('OneCause_Paste'!$A$1434:$AZ$1434,1,OC_Donor)))</f>
        <v/>
      </c>
    </row>
    <row r="1435">
      <c r="A1435" s="62">
        <f>IF(H1435="","",IF(ISNUMBER(N1435),N1435,I1435))</f>
        <v/>
      </c>
      <c r="B1435">
        <f>IF(H1435="","",U1435)</f>
        <v/>
      </c>
      <c r="C1435">
        <f>IF(H1435="","",IF(P1435="",K1435,INDEX('Students'!$A$2:$A$701,P1435)))</f>
        <v/>
      </c>
      <c r="D1435">
        <f>IF(OR(H1435="",P1435=""),"",INDEX('Students'!$B$2:$B$701,P1435))</f>
        <v/>
      </c>
      <c r="E1435">
        <f>IF(OR(H1435="",P1435=""),"",INDEX('Students'!$C$2:$C$701,P1435))</f>
        <v/>
      </c>
      <c r="F1435" s="48">
        <f>IF(H1435="","",IF(ISNUMBER(O1435),O1435,J1435))</f>
        <v/>
      </c>
      <c r="G1435">
        <f>IF(H1435="","","OneCause")</f>
        <v/>
      </c>
      <c r="H1435">
        <f>IF(AND(I1435="",J1435="",K1435=""),"",IF(NOT(ISNUMBER(O1435)),"Bad amount",IF(O1435&lt;0,"Refund (not counted)",IF(O1435=0,"Zero amount",IF(NOT(ISNUMBER(N1435)),"Bad date",IF(P1435="","NAME NOT ON ROSTER",IF(L1435="","OK",IF(MATCH(L1435,$L$2:$L$3001,0)&lt;ROW()-1,"Duplicate (ignored)","OK"))))))))</f>
        <v/>
      </c>
      <c r="I1435">
        <f>IF(OC_Date=0,"",IF(INDEX('OneCause_Paste'!$A$1435:$AZ$1435,1,OC_Date)="","",INDEX('OneCause_Paste'!$A$1435:$AZ$1435,1,OC_Date)))</f>
        <v/>
      </c>
      <c r="J1435">
        <f>IF(OC_Amt=0,"",IF(INDEX('OneCause_Paste'!$A$1435:$AZ$1435,1,OC_Amt)="","",INDEX('OneCause_Paste'!$A$1435:$AZ$1435,1,OC_Amt)))</f>
        <v/>
      </c>
      <c r="K1435">
        <f>IF(OC_Name=0,"",IF(INDEX('OneCause_Paste'!$A$1435:$AZ$1435,1,OC_Name)="","",INDEX('OneCause_Paste'!$A$1435:$AZ$1435,1,OC_Name)))</f>
        <v/>
      </c>
      <c r="L1435">
        <f>IF(OC_Txn=0,"",IF(INDEX('OneCause_Paste'!$A$1435:$AZ$1435,1,OC_Txn)="","",INDEX('OneCause_Paste'!$A$1435:$AZ$1435,1,OC_Txn)))</f>
        <v/>
      </c>
      <c r="M1435">
        <f>IF(OC_Pay=0,"",IF(INDEX('OneCause_Paste'!$A$1435:$AZ$1435,1,OC_Pay)="","",INDEX('OneCause_Paste'!$A$1435:$AZ$1435,1,OC_Pay)))</f>
        <v/>
      </c>
      <c r="N1435">
        <f>IF(I1435="","",IF(ISNUMBER(I1435),INT(I1435),IFERROR(INT(DATEVALUE(I1435)),IFERROR(INT(VALUE(I1435)),"bad"))))</f>
        <v/>
      </c>
      <c r="O1435">
        <f>IF(J1435="","",IF(ISNUMBER(J1435),ROUND(J1435,2),IFERROR(ROUND(VALUE(SUBSTITUTE(SUBSTITUTE(SUBSTITUTE(J1435,"$",""),",","")," ","")),2),"bad")))</f>
        <v/>
      </c>
      <c r="P1435">
        <f>IF(TRIM(K1435)="","",IFERROR(MATCH(LOWER(TRIM(K1435)),'Students'!$AH$2:$AH$701,0),IFERROR(MATCH(LOWER(TRIM(K1435)),'Students'!$AF$2:$AF$701,0),IFERROR(MATCH(LOWER(TRIM(K1435)),'Students'!$AG$2:$AG$701,0),""))))</f>
        <v/>
      </c>
      <c r="R1435">
        <f>IF(P1435="","",INDEX('Students'!$AD$2:$AD$701,P1435))</f>
        <v/>
      </c>
      <c r="S1435">
        <f>IF(H1435="OK",O1435,0)</f>
        <v/>
      </c>
      <c r="T1435">
        <f>IF(H1435="OK",N1435,"")</f>
        <v/>
      </c>
      <c r="U1435">
        <f>IF(OC_Donor=0,"",IF(INDEX('OneCause_Paste'!$A$1435:$AZ$1435,1,OC_Donor)="","",INDEX('OneCause_Paste'!$A$1435:$AZ$1435,1,OC_Donor)))</f>
        <v/>
      </c>
    </row>
    <row r="1436">
      <c r="A1436" s="62">
        <f>IF(H1436="","",IF(ISNUMBER(N1436),N1436,I1436))</f>
        <v/>
      </c>
      <c r="B1436">
        <f>IF(H1436="","",U1436)</f>
        <v/>
      </c>
      <c r="C1436">
        <f>IF(H1436="","",IF(P1436="",K1436,INDEX('Students'!$A$2:$A$701,P1436)))</f>
        <v/>
      </c>
      <c r="D1436">
        <f>IF(OR(H1436="",P1436=""),"",INDEX('Students'!$B$2:$B$701,P1436))</f>
        <v/>
      </c>
      <c r="E1436">
        <f>IF(OR(H1436="",P1436=""),"",INDEX('Students'!$C$2:$C$701,P1436))</f>
        <v/>
      </c>
      <c r="F1436" s="48">
        <f>IF(H1436="","",IF(ISNUMBER(O1436),O1436,J1436))</f>
        <v/>
      </c>
      <c r="G1436">
        <f>IF(H1436="","","OneCause")</f>
        <v/>
      </c>
      <c r="H1436">
        <f>IF(AND(I1436="",J1436="",K1436=""),"",IF(NOT(ISNUMBER(O1436)),"Bad amount",IF(O1436&lt;0,"Refund (not counted)",IF(O1436=0,"Zero amount",IF(NOT(ISNUMBER(N1436)),"Bad date",IF(P1436="","NAME NOT ON ROSTER",IF(L1436="","OK",IF(MATCH(L1436,$L$2:$L$3001,0)&lt;ROW()-1,"Duplicate (ignored)","OK"))))))))</f>
        <v/>
      </c>
      <c r="I1436">
        <f>IF(OC_Date=0,"",IF(INDEX('OneCause_Paste'!$A$1436:$AZ$1436,1,OC_Date)="","",INDEX('OneCause_Paste'!$A$1436:$AZ$1436,1,OC_Date)))</f>
        <v/>
      </c>
      <c r="J1436">
        <f>IF(OC_Amt=0,"",IF(INDEX('OneCause_Paste'!$A$1436:$AZ$1436,1,OC_Amt)="","",INDEX('OneCause_Paste'!$A$1436:$AZ$1436,1,OC_Amt)))</f>
        <v/>
      </c>
      <c r="K1436">
        <f>IF(OC_Name=0,"",IF(INDEX('OneCause_Paste'!$A$1436:$AZ$1436,1,OC_Name)="","",INDEX('OneCause_Paste'!$A$1436:$AZ$1436,1,OC_Name)))</f>
        <v/>
      </c>
      <c r="L1436">
        <f>IF(OC_Txn=0,"",IF(INDEX('OneCause_Paste'!$A$1436:$AZ$1436,1,OC_Txn)="","",INDEX('OneCause_Paste'!$A$1436:$AZ$1436,1,OC_Txn)))</f>
        <v/>
      </c>
      <c r="M1436">
        <f>IF(OC_Pay=0,"",IF(INDEX('OneCause_Paste'!$A$1436:$AZ$1436,1,OC_Pay)="","",INDEX('OneCause_Paste'!$A$1436:$AZ$1436,1,OC_Pay)))</f>
        <v/>
      </c>
      <c r="N1436">
        <f>IF(I1436="","",IF(ISNUMBER(I1436),INT(I1436),IFERROR(INT(DATEVALUE(I1436)),IFERROR(INT(VALUE(I1436)),"bad"))))</f>
        <v/>
      </c>
      <c r="O1436">
        <f>IF(J1436="","",IF(ISNUMBER(J1436),ROUND(J1436,2),IFERROR(ROUND(VALUE(SUBSTITUTE(SUBSTITUTE(SUBSTITUTE(J1436,"$",""),",","")," ","")),2),"bad")))</f>
        <v/>
      </c>
      <c r="P1436">
        <f>IF(TRIM(K1436)="","",IFERROR(MATCH(LOWER(TRIM(K1436)),'Students'!$AH$2:$AH$701,0),IFERROR(MATCH(LOWER(TRIM(K1436)),'Students'!$AF$2:$AF$701,0),IFERROR(MATCH(LOWER(TRIM(K1436)),'Students'!$AG$2:$AG$701,0),""))))</f>
        <v/>
      </c>
      <c r="R1436">
        <f>IF(P1436="","",INDEX('Students'!$AD$2:$AD$701,P1436))</f>
        <v/>
      </c>
      <c r="S1436">
        <f>IF(H1436="OK",O1436,0)</f>
        <v/>
      </c>
      <c r="T1436">
        <f>IF(H1436="OK",N1436,"")</f>
        <v/>
      </c>
      <c r="U1436">
        <f>IF(OC_Donor=0,"",IF(INDEX('OneCause_Paste'!$A$1436:$AZ$1436,1,OC_Donor)="","",INDEX('OneCause_Paste'!$A$1436:$AZ$1436,1,OC_Donor)))</f>
        <v/>
      </c>
    </row>
    <row r="1437">
      <c r="A1437" s="62">
        <f>IF(H1437="","",IF(ISNUMBER(N1437),N1437,I1437))</f>
        <v/>
      </c>
      <c r="B1437">
        <f>IF(H1437="","",U1437)</f>
        <v/>
      </c>
      <c r="C1437">
        <f>IF(H1437="","",IF(P1437="",K1437,INDEX('Students'!$A$2:$A$701,P1437)))</f>
        <v/>
      </c>
      <c r="D1437">
        <f>IF(OR(H1437="",P1437=""),"",INDEX('Students'!$B$2:$B$701,P1437))</f>
        <v/>
      </c>
      <c r="E1437">
        <f>IF(OR(H1437="",P1437=""),"",INDEX('Students'!$C$2:$C$701,P1437))</f>
        <v/>
      </c>
      <c r="F1437" s="48">
        <f>IF(H1437="","",IF(ISNUMBER(O1437),O1437,J1437))</f>
        <v/>
      </c>
      <c r="G1437">
        <f>IF(H1437="","","OneCause")</f>
        <v/>
      </c>
      <c r="H1437">
        <f>IF(AND(I1437="",J1437="",K1437=""),"",IF(NOT(ISNUMBER(O1437)),"Bad amount",IF(O1437&lt;0,"Refund (not counted)",IF(O1437=0,"Zero amount",IF(NOT(ISNUMBER(N1437)),"Bad date",IF(P1437="","NAME NOT ON ROSTER",IF(L1437="","OK",IF(MATCH(L1437,$L$2:$L$3001,0)&lt;ROW()-1,"Duplicate (ignored)","OK"))))))))</f>
        <v/>
      </c>
      <c r="I1437">
        <f>IF(OC_Date=0,"",IF(INDEX('OneCause_Paste'!$A$1437:$AZ$1437,1,OC_Date)="","",INDEX('OneCause_Paste'!$A$1437:$AZ$1437,1,OC_Date)))</f>
        <v/>
      </c>
      <c r="J1437">
        <f>IF(OC_Amt=0,"",IF(INDEX('OneCause_Paste'!$A$1437:$AZ$1437,1,OC_Amt)="","",INDEX('OneCause_Paste'!$A$1437:$AZ$1437,1,OC_Amt)))</f>
        <v/>
      </c>
      <c r="K1437">
        <f>IF(OC_Name=0,"",IF(INDEX('OneCause_Paste'!$A$1437:$AZ$1437,1,OC_Name)="","",INDEX('OneCause_Paste'!$A$1437:$AZ$1437,1,OC_Name)))</f>
        <v/>
      </c>
      <c r="L1437">
        <f>IF(OC_Txn=0,"",IF(INDEX('OneCause_Paste'!$A$1437:$AZ$1437,1,OC_Txn)="","",INDEX('OneCause_Paste'!$A$1437:$AZ$1437,1,OC_Txn)))</f>
        <v/>
      </c>
      <c r="M1437">
        <f>IF(OC_Pay=0,"",IF(INDEX('OneCause_Paste'!$A$1437:$AZ$1437,1,OC_Pay)="","",INDEX('OneCause_Paste'!$A$1437:$AZ$1437,1,OC_Pay)))</f>
        <v/>
      </c>
      <c r="N1437">
        <f>IF(I1437="","",IF(ISNUMBER(I1437),INT(I1437),IFERROR(INT(DATEVALUE(I1437)),IFERROR(INT(VALUE(I1437)),"bad"))))</f>
        <v/>
      </c>
      <c r="O1437">
        <f>IF(J1437="","",IF(ISNUMBER(J1437),ROUND(J1437,2),IFERROR(ROUND(VALUE(SUBSTITUTE(SUBSTITUTE(SUBSTITUTE(J1437,"$",""),",","")," ","")),2),"bad")))</f>
        <v/>
      </c>
      <c r="P1437">
        <f>IF(TRIM(K1437)="","",IFERROR(MATCH(LOWER(TRIM(K1437)),'Students'!$AH$2:$AH$701,0),IFERROR(MATCH(LOWER(TRIM(K1437)),'Students'!$AF$2:$AF$701,0),IFERROR(MATCH(LOWER(TRIM(K1437)),'Students'!$AG$2:$AG$701,0),""))))</f>
        <v/>
      </c>
      <c r="R1437">
        <f>IF(P1437="","",INDEX('Students'!$AD$2:$AD$701,P1437))</f>
        <v/>
      </c>
      <c r="S1437">
        <f>IF(H1437="OK",O1437,0)</f>
        <v/>
      </c>
      <c r="T1437">
        <f>IF(H1437="OK",N1437,"")</f>
        <v/>
      </c>
      <c r="U1437">
        <f>IF(OC_Donor=0,"",IF(INDEX('OneCause_Paste'!$A$1437:$AZ$1437,1,OC_Donor)="","",INDEX('OneCause_Paste'!$A$1437:$AZ$1437,1,OC_Donor)))</f>
        <v/>
      </c>
    </row>
    <row r="1438">
      <c r="A1438" s="62">
        <f>IF(H1438="","",IF(ISNUMBER(N1438),N1438,I1438))</f>
        <v/>
      </c>
      <c r="B1438">
        <f>IF(H1438="","",U1438)</f>
        <v/>
      </c>
      <c r="C1438">
        <f>IF(H1438="","",IF(P1438="",K1438,INDEX('Students'!$A$2:$A$701,P1438)))</f>
        <v/>
      </c>
      <c r="D1438">
        <f>IF(OR(H1438="",P1438=""),"",INDEX('Students'!$B$2:$B$701,P1438))</f>
        <v/>
      </c>
      <c r="E1438">
        <f>IF(OR(H1438="",P1438=""),"",INDEX('Students'!$C$2:$C$701,P1438))</f>
        <v/>
      </c>
      <c r="F1438" s="48">
        <f>IF(H1438="","",IF(ISNUMBER(O1438),O1438,J1438))</f>
        <v/>
      </c>
      <c r="G1438">
        <f>IF(H1438="","","OneCause")</f>
        <v/>
      </c>
      <c r="H1438">
        <f>IF(AND(I1438="",J1438="",K1438=""),"",IF(NOT(ISNUMBER(O1438)),"Bad amount",IF(O1438&lt;0,"Refund (not counted)",IF(O1438=0,"Zero amount",IF(NOT(ISNUMBER(N1438)),"Bad date",IF(P1438="","NAME NOT ON ROSTER",IF(L1438="","OK",IF(MATCH(L1438,$L$2:$L$3001,0)&lt;ROW()-1,"Duplicate (ignored)","OK"))))))))</f>
        <v/>
      </c>
      <c r="I1438">
        <f>IF(OC_Date=0,"",IF(INDEX('OneCause_Paste'!$A$1438:$AZ$1438,1,OC_Date)="","",INDEX('OneCause_Paste'!$A$1438:$AZ$1438,1,OC_Date)))</f>
        <v/>
      </c>
      <c r="J1438">
        <f>IF(OC_Amt=0,"",IF(INDEX('OneCause_Paste'!$A$1438:$AZ$1438,1,OC_Amt)="","",INDEX('OneCause_Paste'!$A$1438:$AZ$1438,1,OC_Amt)))</f>
        <v/>
      </c>
      <c r="K1438">
        <f>IF(OC_Name=0,"",IF(INDEX('OneCause_Paste'!$A$1438:$AZ$1438,1,OC_Name)="","",INDEX('OneCause_Paste'!$A$1438:$AZ$1438,1,OC_Name)))</f>
        <v/>
      </c>
      <c r="L1438">
        <f>IF(OC_Txn=0,"",IF(INDEX('OneCause_Paste'!$A$1438:$AZ$1438,1,OC_Txn)="","",INDEX('OneCause_Paste'!$A$1438:$AZ$1438,1,OC_Txn)))</f>
        <v/>
      </c>
      <c r="M1438">
        <f>IF(OC_Pay=0,"",IF(INDEX('OneCause_Paste'!$A$1438:$AZ$1438,1,OC_Pay)="","",INDEX('OneCause_Paste'!$A$1438:$AZ$1438,1,OC_Pay)))</f>
        <v/>
      </c>
      <c r="N1438">
        <f>IF(I1438="","",IF(ISNUMBER(I1438),INT(I1438),IFERROR(INT(DATEVALUE(I1438)),IFERROR(INT(VALUE(I1438)),"bad"))))</f>
        <v/>
      </c>
      <c r="O1438">
        <f>IF(J1438="","",IF(ISNUMBER(J1438),ROUND(J1438,2),IFERROR(ROUND(VALUE(SUBSTITUTE(SUBSTITUTE(SUBSTITUTE(J1438,"$",""),",","")," ","")),2),"bad")))</f>
        <v/>
      </c>
      <c r="P1438">
        <f>IF(TRIM(K1438)="","",IFERROR(MATCH(LOWER(TRIM(K1438)),'Students'!$AH$2:$AH$701,0),IFERROR(MATCH(LOWER(TRIM(K1438)),'Students'!$AF$2:$AF$701,0),IFERROR(MATCH(LOWER(TRIM(K1438)),'Students'!$AG$2:$AG$701,0),""))))</f>
        <v/>
      </c>
      <c r="R1438">
        <f>IF(P1438="","",INDEX('Students'!$AD$2:$AD$701,P1438))</f>
        <v/>
      </c>
      <c r="S1438">
        <f>IF(H1438="OK",O1438,0)</f>
        <v/>
      </c>
      <c r="T1438">
        <f>IF(H1438="OK",N1438,"")</f>
        <v/>
      </c>
      <c r="U1438">
        <f>IF(OC_Donor=0,"",IF(INDEX('OneCause_Paste'!$A$1438:$AZ$1438,1,OC_Donor)="","",INDEX('OneCause_Paste'!$A$1438:$AZ$1438,1,OC_Donor)))</f>
        <v/>
      </c>
    </row>
    <row r="1439">
      <c r="A1439" s="62">
        <f>IF(H1439="","",IF(ISNUMBER(N1439),N1439,I1439))</f>
        <v/>
      </c>
      <c r="B1439">
        <f>IF(H1439="","",U1439)</f>
        <v/>
      </c>
      <c r="C1439">
        <f>IF(H1439="","",IF(P1439="",K1439,INDEX('Students'!$A$2:$A$701,P1439)))</f>
        <v/>
      </c>
      <c r="D1439">
        <f>IF(OR(H1439="",P1439=""),"",INDEX('Students'!$B$2:$B$701,P1439))</f>
        <v/>
      </c>
      <c r="E1439">
        <f>IF(OR(H1439="",P1439=""),"",INDEX('Students'!$C$2:$C$701,P1439))</f>
        <v/>
      </c>
      <c r="F1439" s="48">
        <f>IF(H1439="","",IF(ISNUMBER(O1439),O1439,J1439))</f>
        <v/>
      </c>
      <c r="G1439">
        <f>IF(H1439="","","OneCause")</f>
        <v/>
      </c>
      <c r="H1439">
        <f>IF(AND(I1439="",J1439="",K1439=""),"",IF(NOT(ISNUMBER(O1439)),"Bad amount",IF(O1439&lt;0,"Refund (not counted)",IF(O1439=0,"Zero amount",IF(NOT(ISNUMBER(N1439)),"Bad date",IF(P1439="","NAME NOT ON ROSTER",IF(L1439="","OK",IF(MATCH(L1439,$L$2:$L$3001,0)&lt;ROW()-1,"Duplicate (ignored)","OK"))))))))</f>
        <v/>
      </c>
      <c r="I1439">
        <f>IF(OC_Date=0,"",IF(INDEX('OneCause_Paste'!$A$1439:$AZ$1439,1,OC_Date)="","",INDEX('OneCause_Paste'!$A$1439:$AZ$1439,1,OC_Date)))</f>
        <v/>
      </c>
      <c r="J1439">
        <f>IF(OC_Amt=0,"",IF(INDEX('OneCause_Paste'!$A$1439:$AZ$1439,1,OC_Amt)="","",INDEX('OneCause_Paste'!$A$1439:$AZ$1439,1,OC_Amt)))</f>
        <v/>
      </c>
      <c r="K1439">
        <f>IF(OC_Name=0,"",IF(INDEX('OneCause_Paste'!$A$1439:$AZ$1439,1,OC_Name)="","",INDEX('OneCause_Paste'!$A$1439:$AZ$1439,1,OC_Name)))</f>
        <v/>
      </c>
      <c r="L1439">
        <f>IF(OC_Txn=0,"",IF(INDEX('OneCause_Paste'!$A$1439:$AZ$1439,1,OC_Txn)="","",INDEX('OneCause_Paste'!$A$1439:$AZ$1439,1,OC_Txn)))</f>
        <v/>
      </c>
      <c r="M1439">
        <f>IF(OC_Pay=0,"",IF(INDEX('OneCause_Paste'!$A$1439:$AZ$1439,1,OC_Pay)="","",INDEX('OneCause_Paste'!$A$1439:$AZ$1439,1,OC_Pay)))</f>
        <v/>
      </c>
      <c r="N1439">
        <f>IF(I1439="","",IF(ISNUMBER(I1439),INT(I1439),IFERROR(INT(DATEVALUE(I1439)),IFERROR(INT(VALUE(I1439)),"bad"))))</f>
        <v/>
      </c>
      <c r="O1439">
        <f>IF(J1439="","",IF(ISNUMBER(J1439),ROUND(J1439,2),IFERROR(ROUND(VALUE(SUBSTITUTE(SUBSTITUTE(SUBSTITUTE(J1439,"$",""),",","")," ","")),2),"bad")))</f>
        <v/>
      </c>
      <c r="P1439">
        <f>IF(TRIM(K1439)="","",IFERROR(MATCH(LOWER(TRIM(K1439)),'Students'!$AH$2:$AH$701,0),IFERROR(MATCH(LOWER(TRIM(K1439)),'Students'!$AF$2:$AF$701,0),IFERROR(MATCH(LOWER(TRIM(K1439)),'Students'!$AG$2:$AG$701,0),""))))</f>
        <v/>
      </c>
      <c r="R1439">
        <f>IF(P1439="","",INDEX('Students'!$AD$2:$AD$701,P1439))</f>
        <v/>
      </c>
      <c r="S1439">
        <f>IF(H1439="OK",O1439,0)</f>
        <v/>
      </c>
      <c r="T1439">
        <f>IF(H1439="OK",N1439,"")</f>
        <v/>
      </c>
      <c r="U1439">
        <f>IF(OC_Donor=0,"",IF(INDEX('OneCause_Paste'!$A$1439:$AZ$1439,1,OC_Donor)="","",INDEX('OneCause_Paste'!$A$1439:$AZ$1439,1,OC_Donor)))</f>
        <v/>
      </c>
    </row>
    <row r="1440">
      <c r="A1440" s="62">
        <f>IF(H1440="","",IF(ISNUMBER(N1440),N1440,I1440))</f>
        <v/>
      </c>
      <c r="B1440">
        <f>IF(H1440="","",U1440)</f>
        <v/>
      </c>
      <c r="C1440">
        <f>IF(H1440="","",IF(P1440="",K1440,INDEX('Students'!$A$2:$A$701,P1440)))</f>
        <v/>
      </c>
      <c r="D1440">
        <f>IF(OR(H1440="",P1440=""),"",INDEX('Students'!$B$2:$B$701,P1440))</f>
        <v/>
      </c>
      <c r="E1440">
        <f>IF(OR(H1440="",P1440=""),"",INDEX('Students'!$C$2:$C$701,P1440))</f>
        <v/>
      </c>
      <c r="F1440" s="48">
        <f>IF(H1440="","",IF(ISNUMBER(O1440),O1440,J1440))</f>
        <v/>
      </c>
      <c r="G1440">
        <f>IF(H1440="","","OneCause")</f>
        <v/>
      </c>
      <c r="H1440">
        <f>IF(AND(I1440="",J1440="",K1440=""),"",IF(NOT(ISNUMBER(O1440)),"Bad amount",IF(O1440&lt;0,"Refund (not counted)",IF(O1440=0,"Zero amount",IF(NOT(ISNUMBER(N1440)),"Bad date",IF(P1440="","NAME NOT ON ROSTER",IF(L1440="","OK",IF(MATCH(L1440,$L$2:$L$3001,0)&lt;ROW()-1,"Duplicate (ignored)","OK"))))))))</f>
        <v/>
      </c>
      <c r="I1440">
        <f>IF(OC_Date=0,"",IF(INDEX('OneCause_Paste'!$A$1440:$AZ$1440,1,OC_Date)="","",INDEX('OneCause_Paste'!$A$1440:$AZ$1440,1,OC_Date)))</f>
        <v/>
      </c>
      <c r="J1440">
        <f>IF(OC_Amt=0,"",IF(INDEX('OneCause_Paste'!$A$1440:$AZ$1440,1,OC_Amt)="","",INDEX('OneCause_Paste'!$A$1440:$AZ$1440,1,OC_Amt)))</f>
        <v/>
      </c>
      <c r="K1440">
        <f>IF(OC_Name=0,"",IF(INDEX('OneCause_Paste'!$A$1440:$AZ$1440,1,OC_Name)="","",INDEX('OneCause_Paste'!$A$1440:$AZ$1440,1,OC_Name)))</f>
        <v/>
      </c>
      <c r="L1440">
        <f>IF(OC_Txn=0,"",IF(INDEX('OneCause_Paste'!$A$1440:$AZ$1440,1,OC_Txn)="","",INDEX('OneCause_Paste'!$A$1440:$AZ$1440,1,OC_Txn)))</f>
        <v/>
      </c>
      <c r="M1440">
        <f>IF(OC_Pay=0,"",IF(INDEX('OneCause_Paste'!$A$1440:$AZ$1440,1,OC_Pay)="","",INDEX('OneCause_Paste'!$A$1440:$AZ$1440,1,OC_Pay)))</f>
        <v/>
      </c>
      <c r="N1440">
        <f>IF(I1440="","",IF(ISNUMBER(I1440),INT(I1440),IFERROR(INT(DATEVALUE(I1440)),IFERROR(INT(VALUE(I1440)),"bad"))))</f>
        <v/>
      </c>
      <c r="O1440">
        <f>IF(J1440="","",IF(ISNUMBER(J1440),ROUND(J1440,2),IFERROR(ROUND(VALUE(SUBSTITUTE(SUBSTITUTE(SUBSTITUTE(J1440,"$",""),",","")," ","")),2),"bad")))</f>
        <v/>
      </c>
      <c r="P1440">
        <f>IF(TRIM(K1440)="","",IFERROR(MATCH(LOWER(TRIM(K1440)),'Students'!$AH$2:$AH$701,0),IFERROR(MATCH(LOWER(TRIM(K1440)),'Students'!$AF$2:$AF$701,0),IFERROR(MATCH(LOWER(TRIM(K1440)),'Students'!$AG$2:$AG$701,0),""))))</f>
        <v/>
      </c>
      <c r="R1440">
        <f>IF(P1440="","",INDEX('Students'!$AD$2:$AD$701,P1440))</f>
        <v/>
      </c>
      <c r="S1440">
        <f>IF(H1440="OK",O1440,0)</f>
        <v/>
      </c>
      <c r="T1440">
        <f>IF(H1440="OK",N1440,"")</f>
        <v/>
      </c>
      <c r="U1440">
        <f>IF(OC_Donor=0,"",IF(INDEX('OneCause_Paste'!$A$1440:$AZ$1440,1,OC_Donor)="","",INDEX('OneCause_Paste'!$A$1440:$AZ$1440,1,OC_Donor)))</f>
        <v/>
      </c>
    </row>
    <row r="1441">
      <c r="A1441" s="62">
        <f>IF(H1441="","",IF(ISNUMBER(N1441),N1441,I1441))</f>
        <v/>
      </c>
      <c r="B1441">
        <f>IF(H1441="","",U1441)</f>
        <v/>
      </c>
      <c r="C1441">
        <f>IF(H1441="","",IF(P1441="",K1441,INDEX('Students'!$A$2:$A$701,P1441)))</f>
        <v/>
      </c>
      <c r="D1441">
        <f>IF(OR(H1441="",P1441=""),"",INDEX('Students'!$B$2:$B$701,P1441))</f>
        <v/>
      </c>
      <c r="E1441">
        <f>IF(OR(H1441="",P1441=""),"",INDEX('Students'!$C$2:$C$701,P1441))</f>
        <v/>
      </c>
      <c r="F1441" s="48">
        <f>IF(H1441="","",IF(ISNUMBER(O1441),O1441,J1441))</f>
        <v/>
      </c>
      <c r="G1441">
        <f>IF(H1441="","","OneCause")</f>
        <v/>
      </c>
      <c r="H1441">
        <f>IF(AND(I1441="",J1441="",K1441=""),"",IF(NOT(ISNUMBER(O1441)),"Bad amount",IF(O1441&lt;0,"Refund (not counted)",IF(O1441=0,"Zero amount",IF(NOT(ISNUMBER(N1441)),"Bad date",IF(P1441="","NAME NOT ON ROSTER",IF(L1441="","OK",IF(MATCH(L1441,$L$2:$L$3001,0)&lt;ROW()-1,"Duplicate (ignored)","OK"))))))))</f>
        <v/>
      </c>
      <c r="I1441">
        <f>IF(OC_Date=0,"",IF(INDEX('OneCause_Paste'!$A$1441:$AZ$1441,1,OC_Date)="","",INDEX('OneCause_Paste'!$A$1441:$AZ$1441,1,OC_Date)))</f>
        <v/>
      </c>
      <c r="J1441">
        <f>IF(OC_Amt=0,"",IF(INDEX('OneCause_Paste'!$A$1441:$AZ$1441,1,OC_Amt)="","",INDEX('OneCause_Paste'!$A$1441:$AZ$1441,1,OC_Amt)))</f>
        <v/>
      </c>
      <c r="K1441">
        <f>IF(OC_Name=0,"",IF(INDEX('OneCause_Paste'!$A$1441:$AZ$1441,1,OC_Name)="","",INDEX('OneCause_Paste'!$A$1441:$AZ$1441,1,OC_Name)))</f>
        <v/>
      </c>
      <c r="L1441">
        <f>IF(OC_Txn=0,"",IF(INDEX('OneCause_Paste'!$A$1441:$AZ$1441,1,OC_Txn)="","",INDEX('OneCause_Paste'!$A$1441:$AZ$1441,1,OC_Txn)))</f>
        <v/>
      </c>
      <c r="M1441">
        <f>IF(OC_Pay=0,"",IF(INDEX('OneCause_Paste'!$A$1441:$AZ$1441,1,OC_Pay)="","",INDEX('OneCause_Paste'!$A$1441:$AZ$1441,1,OC_Pay)))</f>
        <v/>
      </c>
      <c r="N1441">
        <f>IF(I1441="","",IF(ISNUMBER(I1441),INT(I1441),IFERROR(INT(DATEVALUE(I1441)),IFERROR(INT(VALUE(I1441)),"bad"))))</f>
        <v/>
      </c>
      <c r="O1441">
        <f>IF(J1441="","",IF(ISNUMBER(J1441),ROUND(J1441,2),IFERROR(ROUND(VALUE(SUBSTITUTE(SUBSTITUTE(SUBSTITUTE(J1441,"$",""),",","")," ","")),2),"bad")))</f>
        <v/>
      </c>
      <c r="P1441">
        <f>IF(TRIM(K1441)="","",IFERROR(MATCH(LOWER(TRIM(K1441)),'Students'!$AH$2:$AH$701,0),IFERROR(MATCH(LOWER(TRIM(K1441)),'Students'!$AF$2:$AF$701,0),IFERROR(MATCH(LOWER(TRIM(K1441)),'Students'!$AG$2:$AG$701,0),""))))</f>
        <v/>
      </c>
      <c r="R1441">
        <f>IF(P1441="","",INDEX('Students'!$AD$2:$AD$701,P1441))</f>
        <v/>
      </c>
      <c r="S1441">
        <f>IF(H1441="OK",O1441,0)</f>
        <v/>
      </c>
      <c r="T1441">
        <f>IF(H1441="OK",N1441,"")</f>
        <v/>
      </c>
      <c r="U1441">
        <f>IF(OC_Donor=0,"",IF(INDEX('OneCause_Paste'!$A$1441:$AZ$1441,1,OC_Donor)="","",INDEX('OneCause_Paste'!$A$1441:$AZ$1441,1,OC_Donor)))</f>
        <v/>
      </c>
    </row>
    <row r="1442">
      <c r="A1442" s="62">
        <f>IF(H1442="","",IF(ISNUMBER(N1442),N1442,I1442))</f>
        <v/>
      </c>
      <c r="B1442">
        <f>IF(H1442="","",U1442)</f>
        <v/>
      </c>
      <c r="C1442">
        <f>IF(H1442="","",IF(P1442="",K1442,INDEX('Students'!$A$2:$A$701,P1442)))</f>
        <v/>
      </c>
      <c r="D1442">
        <f>IF(OR(H1442="",P1442=""),"",INDEX('Students'!$B$2:$B$701,P1442))</f>
        <v/>
      </c>
      <c r="E1442">
        <f>IF(OR(H1442="",P1442=""),"",INDEX('Students'!$C$2:$C$701,P1442))</f>
        <v/>
      </c>
      <c r="F1442" s="48">
        <f>IF(H1442="","",IF(ISNUMBER(O1442),O1442,J1442))</f>
        <v/>
      </c>
      <c r="G1442">
        <f>IF(H1442="","","OneCause")</f>
        <v/>
      </c>
      <c r="H1442">
        <f>IF(AND(I1442="",J1442="",K1442=""),"",IF(NOT(ISNUMBER(O1442)),"Bad amount",IF(O1442&lt;0,"Refund (not counted)",IF(O1442=0,"Zero amount",IF(NOT(ISNUMBER(N1442)),"Bad date",IF(P1442="","NAME NOT ON ROSTER",IF(L1442="","OK",IF(MATCH(L1442,$L$2:$L$3001,0)&lt;ROW()-1,"Duplicate (ignored)","OK"))))))))</f>
        <v/>
      </c>
      <c r="I1442">
        <f>IF(OC_Date=0,"",IF(INDEX('OneCause_Paste'!$A$1442:$AZ$1442,1,OC_Date)="","",INDEX('OneCause_Paste'!$A$1442:$AZ$1442,1,OC_Date)))</f>
        <v/>
      </c>
      <c r="J1442">
        <f>IF(OC_Amt=0,"",IF(INDEX('OneCause_Paste'!$A$1442:$AZ$1442,1,OC_Amt)="","",INDEX('OneCause_Paste'!$A$1442:$AZ$1442,1,OC_Amt)))</f>
        <v/>
      </c>
      <c r="K1442">
        <f>IF(OC_Name=0,"",IF(INDEX('OneCause_Paste'!$A$1442:$AZ$1442,1,OC_Name)="","",INDEX('OneCause_Paste'!$A$1442:$AZ$1442,1,OC_Name)))</f>
        <v/>
      </c>
      <c r="L1442">
        <f>IF(OC_Txn=0,"",IF(INDEX('OneCause_Paste'!$A$1442:$AZ$1442,1,OC_Txn)="","",INDEX('OneCause_Paste'!$A$1442:$AZ$1442,1,OC_Txn)))</f>
        <v/>
      </c>
      <c r="M1442">
        <f>IF(OC_Pay=0,"",IF(INDEX('OneCause_Paste'!$A$1442:$AZ$1442,1,OC_Pay)="","",INDEX('OneCause_Paste'!$A$1442:$AZ$1442,1,OC_Pay)))</f>
        <v/>
      </c>
      <c r="N1442">
        <f>IF(I1442="","",IF(ISNUMBER(I1442),INT(I1442),IFERROR(INT(DATEVALUE(I1442)),IFERROR(INT(VALUE(I1442)),"bad"))))</f>
        <v/>
      </c>
      <c r="O1442">
        <f>IF(J1442="","",IF(ISNUMBER(J1442),ROUND(J1442,2),IFERROR(ROUND(VALUE(SUBSTITUTE(SUBSTITUTE(SUBSTITUTE(J1442,"$",""),",","")," ","")),2),"bad")))</f>
        <v/>
      </c>
      <c r="P1442">
        <f>IF(TRIM(K1442)="","",IFERROR(MATCH(LOWER(TRIM(K1442)),'Students'!$AH$2:$AH$701,0),IFERROR(MATCH(LOWER(TRIM(K1442)),'Students'!$AF$2:$AF$701,0),IFERROR(MATCH(LOWER(TRIM(K1442)),'Students'!$AG$2:$AG$701,0),""))))</f>
        <v/>
      </c>
      <c r="R1442">
        <f>IF(P1442="","",INDEX('Students'!$AD$2:$AD$701,P1442))</f>
        <v/>
      </c>
      <c r="S1442">
        <f>IF(H1442="OK",O1442,0)</f>
        <v/>
      </c>
      <c r="T1442">
        <f>IF(H1442="OK",N1442,"")</f>
        <v/>
      </c>
      <c r="U1442">
        <f>IF(OC_Donor=0,"",IF(INDEX('OneCause_Paste'!$A$1442:$AZ$1442,1,OC_Donor)="","",INDEX('OneCause_Paste'!$A$1442:$AZ$1442,1,OC_Donor)))</f>
        <v/>
      </c>
    </row>
    <row r="1443">
      <c r="A1443" s="62">
        <f>IF(H1443="","",IF(ISNUMBER(N1443),N1443,I1443))</f>
        <v/>
      </c>
      <c r="B1443">
        <f>IF(H1443="","",U1443)</f>
        <v/>
      </c>
      <c r="C1443">
        <f>IF(H1443="","",IF(P1443="",K1443,INDEX('Students'!$A$2:$A$701,P1443)))</f>
        <v/>
      </c>
      <c r="D1443">
        <f>IF(OR(H1443="",P1443=""),"",INDEX('Students'!$B$2:$B$701,P1443))</f>
        <v/>
      </c>
      <c r="E1443">
        <f>IF(OR(H1443="",P1443=""),"",INDEX('Students'!$C$2:$C$701,P1443))</f>
        <v/>
      </c>
      <c r="F1443" s="48">
        <f>IF(H1443="","",IF(ISNUMBER(O1443),O1443,J1443))</f>
        <v/>
      </c>
      <c r="G1443">
        <f>IF(H1443="","","OneCause")</f>
        <v/>
      </c>
      <c r="H1443">
        <f>IF(AND(I1443="",J1443="",K1443=""),"",IF(NOT(ISNUMBER(O1443)),"Bad amount",IF(O1443&lt;0,"Refund (not counted)",IF(O1443=0,"Zero amount",IF(NOT(ISNUMBER(N1443)),"Bad date",IF(P1443="","NAME NOT ON ROSTER",IF(L1443="","OK",IF(MATCH(L1443,$L$2:$L$3001,0)&lt;ROW()-1,"Duplicate (ignored)","OK"))))))))</f>
        <v/>
      </c>
      <c r="I1443">
        <f>IF(OC_Date=0,"",IF(INDEX('OneCause_Paste'!$A$1443:$AZ$1443,1,OC_Date)="","",INDEX('OneCause_Paste'!$A$1443:$AZ$1443,1,OC_Date)))</f>
        <v/>
      </c>
      <c r="J1443">
        <f>IF(OC_Amt=0,"",IF(INDEX('OneCause_Paste'!$A$1443:$AZ$1443,1,OC_Amt)="","",INDEX('OneCause_Paste'!$A$1443:$AZ$1443,1,OC_Amt)))</f>
        <v/>
      </c>
      <c r="K1443">
        <f>IF(OC_Name=0,"",IF(INDEX('OneCause_Paste'!$A$1443:$AZ$1443,1,OC_Name)="","",INDEX('OneCause_Paste'!$A$1443:$AZ$1443,1,OC_Name)))</f>
        <v/>
      </c>
      <c r="L1443">
        <f>IF(OC_Txn=0,"",IF(INDEX('OneCause_Paste'!$A$1443:$AZ$1443,1,OC_Txn)="","",INDEX('OneCause_Paste'!$A$1443:$AZ$1443,1,OC_Txn)))</f>
        <v/>
      </c>
      <c r="M1443">
        <f>IF(OC_Pay=0,"",IF(INDEX('OneCause_Paste'!$A$1443:$AZ$1443,1,OC_Pay)="","",INDEX('OneCause_Paste'!$A$1443:$AZ$1443,1,OC_Pay)))</f>
        <v/>
      </c>
      <c r="N1443">
        <f>IF(I1443="","",IF(ISNUMBER(I1443),INT(I1443),IFERROR(INT(DATEVALUE(I1443)),IFERROR(INT(VALUE(I1443)),"bad"))))</f>
        <v/>
      </c>
      <c r="O1443">
        <f>IF(J1443="","",IF(ISNUMBER(J1443),ROUND(J1443,2),IFERROR(ROUND(VALUE(SUBSTITUTE(SUBSTITUTE(SUBSTITUTE(J1443,"$",""),",","")," ","")),2),"bad")))</f>
        <v/>
      </c>
      <c r="P1443">
        <f>IF(TRIM(K1443)="","",IFERROR(MATCH(LOWER(TRIM(K1443)),'Students'!$AH$2:$AH$701,0),IFERROR(MATCH(LOWER(TRIM(K1443)),'Students'!$AF$2:$AF$701,0),IFERROR(MATCH(LOWER(TRIM(K1443)),'Students'!$AG$2:$AG$701,0),""))))</f>
        <v/>
      </c>
      <c r="R1443">
        <f>IF(P1443="","",INDEX('Students'!$AD$2:$AD$701,P1443))</f>
        <v/>
      </c>
      <c r="S1443">
        <f>IF(H1443="OK",O1443,0)</f>
        <v/>
      </c>
      <c r="T1443">
        <f>IF(H1443="OK",N1443,"")</f>
        <v/>
      </c>
      <c r="U1443">
        <f>IF(OC_Donor=0,"",IF(INDEX('OneCause_Paste'!$A$1443:$AZ$1443,1,OC_Donor)="","",INDEX('OneCause_Paste'!$A$1443:$AZ$1443,1,OC_Donor)))</f>
        <v/>
      </c>
    </row>
    <row r="1444">
      <c r="A1444" s="62">
        <f>IF(H1444="","",IF(ISNUMBER(N1444),N1444,I1444))</f>
        <v/>
      </c>
      <c r="B1444">
        <f>IF(H1444="","",U1444)</f>
        <v/>
      </c>
      <c r="C1444">
        <f>IF(H1444="","",IF(P1444="",K1444,INDEX('Students'!$A$2:$A$701,P1444)))</f>
        <v/>
      </c>
      <c r="D1444">
        <f>IF(OR(H1444="",P1444=""),"",INDEX('Students'!$B$2:$B$701,P1444))</f>
        <v/>
      </c>
      <c r="E1444">
        <f>IF(OR(H1444="",P1444=""),"",INDEX('Students'!$C$2:$C$701,P1444))</f>
        <v/>
      </c>
      <c r="F1444" s="48">
        <f>IF(H1444="","",IF(ISNUMBER(O1444),O1444,J1444))</f>
        <v/>
      </c>
      <c r="G1444">
        <f>IF(H1444="","","OneCause")</f>
        <v/>
      </c>
      <c r="H1444">
        <f>IF(AND(I1444="",J1444="",K1444=""),"",IF(NOT(ISNUMBER(O1444)),"Bad amount",IF(O1444&lt;0,"Refund (not counted)",IF(O1444=0,"Zero amount",IF(NOT(ISNUMBER(N1444)),"Bad date",IF(P1444="","NAME NOT ON ROSTER",IF(L1444="","OK",IF(MATCH(L1444,$L$2:$L$3001,0)&lt;ROW()-1,"Duplicate (ignored)","OK"))))))))</f>
        <v/>
      </c>
      <c r="I1444">
        <f>IF(OC_Date=0,"",IF(INDEX('OneCause_Paste'!$A$1444:$AZ$1444,1,OC_Date)="","",INDEX('OneCause_Paste'!$A$1444:$AZ$1444,1,OC_Date)))</f>
        <v/>
      </c>
      <c r="J1444">
        <f>IF(OC_Amt=0,"",IF(INDEX('OneCause_Paste'!$A$1444:$AZ$1444,1,OC_Amt)="","",INDEX('OneCause_Paste'!$A$1444:$AZ$1444,1,OC_Amt)))</f>
        <v/>
      </c>
      <c r="K1444">
        <f>IF(OC_Name=0,"",IF(INDEX('OneCause_Paste'!$A$1444:$AZ$1444,1,OC_Name)="","",INDEX('OneCause_Paste'!$A$1444:$AZ$1444,1,OC_Name)))</f>
        <v/>
      </c>
      <c r="L1444">
        <f>IF(OC_Txn=0,"",IF(INDEX('OneCause_Paste'!$A$1444:$AZ$1444,1,OC_Txn)="","",INDEX('OneCause_Paste'!$A$1444:$AZ$1444,1,OC_Txn)))</f>
        <v/>
      </c>
      <c r="M1444">
        <f>IF(OC_Pay=0,"",IF(INDEX('OneCause_Paste'!$A$1444:$AZ$1444,1,OC_Pay)="","",INDEX('OneCause_Paste'!$A$1444:$AZ$1444,1,OC_Pay)))</f>
        <v/>
      </c>
      <c r="N1444">
        <f>IF(I1444="","",IF(ISNUMBER(I1444),INT(I1444),IFERROR(INT(DATEVALUE(I1444)),IFERROR(INT(VALUE(I1444)),"bad"))))</f>
        <v/>
      </c>
      <c r="O1444">
        <f>IF(J1444="","",IF(ISNUMBER(J1444),ROUND(J1444,2),IFERROR(ROUND(VALUE(SUBSTITUTE(SUBSTITUTE(SUBSTITUTE(J1444,"$",""),",","")," ","")),2),"bad")))</f>
        <v/>
      </c>
      <c r="P1444">
        <f>IF(TRIM(K1444)="","",IFERROR(MATCH(LOWER(TRIM(K1444)),'Students'!$AH$2:$AH$701,0),IFERROR(MATCH(LOWER(TRIM(K1444)),'Students'!$AF$2:$AF$701,0),IFERROR(MATCH(LOWER(TRIM(K1444)),'Students'!$AG$2:$AG$701,0),""))))</f>
        <v/>
      </c>
      <c r="R1444">
        <f>IF(P1444="","",INDEX('Students'!$AD$2:$AD$701,P1444))</f>
        <v/>
      </c>
      <c r="S1444">
        <f>IF(H1444="OK",O1444,0)</f>
        <v/>
      </c>
      <c r="T1444">
        <f>IF(H1444="OK",N1444,"")</f>
        <v/>
      </c>
      <c r="U1444">
        <f>IF(OC_Donor=0,"",IF(INDEX('OneCause_Paste'!$A$1444:$AZ$1444,1,OC_Donor)="","",INDEX('OneCause_Paste'!$A$1444:$AZ$1444,1,OC_Donor)))</f>
        <v/>
      </c>
    </row>
    <row r="1445">
      <c r="A1445" s="62">
        <f>IF(H1445="","",IF(ISNUMBER(N1445),N1445,I1445))</f>
        <v/>
      </c>
      <c r="B1445">
        <f>IF(H1445="","",U1445)</f>
        <v/>
      </c>
      <c r="C1445">
        <f>IF(H1445="","",IF(P1445="",K1445,INDEX('Students'!$A$2:$A$701,P1445)))</f>
        <v/>
      </c>
      <c r="D1445">
        <f>IF(OR(H1445="",P1445=""),"",INDEX('Students'!$B$2:$B$701,P1445))</f>
        <v/>
      </c>
      <c r="E1445">
        <f>IF(OR(H1445="",P1445=""),"",INDEX('Students'!$C$2:$C$701,P1445))</f>
        <v/>
      </c>
      <c r="F1445" s="48">
        <f>IF(H1445="","",IF(ISNUMBER(O1445),O1445,J1445))</f>
        <v/>
      </c>
      <c r="G1445">
        <f>IF(H1445="","","OneCause")</f>
        <v/>
      </c>
      <c r="H1445">
        <f>IF(AND(I1445="",J1445="",K1445=""),"",IF(NOT(ISNUMBER(O1445)),"Bad amount",IF(O1445&lt;0,"Refund (not counted)",IF(O1445=0,"Zero amount",IF(NOT(ISNUMBER(N1445)),"Bad date",IF(P1445="","NAME NOT ON ROSTER",IF(L1445="","OK",IF(MATCH(L1445,$L$2:$L$3001,0)&lt;ROW()-1,"Duplicate (ignored)","OK"))))))))</f>
        <v/>
      </c>
      <c r="I1445">
        <f>IF(OC_Date=0,"",IF(INDEX('OneCause_Paste'!$A$1445:$AZ$1445,1,OC_Date)="","",INDEX('OneCause_Paste'!$A$1445:$AZ$1445,1,OC_Date)))</f>
        <v/>
      </c>
      <c r="J1445">
        <f>IF(OC_Amt=0,"",IF(INDEX('OneCause_Paste'!$A$1445:$AZ$1445,1,OC_Amt)="","",INDEX('OneCause_Paste'!$A$1445:$AZ$1445,1,OC_Amt)))</f>
        <v/>
      </c>
      <c r="K1445">
        <f>IF(OC_Name=0,"",IF(INDEX('OneCause_Paste'!$A$1445:$AZ$1445,1,OC_Name)="","",INDEX('OneCause_Paste'!$A$1445:$AZ$1445,1,OC_Name)))</f>
        <v/>
      </c>
      <c r="L1445">
        <f>IF(OC_Txn=0,"",IF(INDEX('OneCause_Paste'!$A$1445:$AZ$1445,1,OC_Txn)="","",INDEX('OneCause_Paste'!$A$1445:$AZ$1445,1,OC_Txn)))</f>
        <v/>
      </c>
      <c r="M1445">
        <f>IF(OC_Pay=0,"",IF(INDEX('OneCause_Paste'!$A$1445:$AZ$1445,1,OC_Pay)="","",INDEX('OneCause_Paste'!$A$1445:$AZ$1445,1,OC_Pay)))</f>
        <v/>
      </c>
      <c r="N1445">
        <f>IF(I1445="","",IF(ISNUMBER(I1445),INT(I1445),IFERROR(INT(DATEVALUE(I1445)),IFERROR(INT(VALUE(I1445)),"bad"))))</f>
        <v/>
      </c>
      <c r="O1445">
        <f>IF(J1445="","",IF(ISNUMBER(J1445),ROUND(J1445,2),IFERROR(ROUND(VALUE(SUBSTITUTE(SUBSTITUTE(SUBSTITUTE(J1445,"$",""),",","")," ","")),2),"bad")))</f>
        <v/>
      </c>
      <c r="P1445">
        <f>IF(TRIM(K1445)="","",IFERROR(MATCH(LOWER(TRIM(K1445)),'Students'!$AH$2:$AH$701,0),IFERROR(MATCH(LOWER(TRIM(K1445)),'Students'!$AF$2:$AF$701,0),IFERROR(MATCH(LOWER(TRIM(K1445)),'Students'!$AG$2:$AG$701,0),""))))</f>
        <v/>
      </c>
      <c r="R1445">
        <f>IF(P1445="","",INDEX('Students'!$AD$2:$AD$701,P1445))</f>
        <v/>
      </c>
      <c r="S1445">
        <f>IF(H1445="OK",O1445,0)</f>
        <v/>
      </c>
      <c r="T1445">
        <f>IF(H1445="OK",N1445,"")</f>
        <v/>
      </c>
      <c r="U1445">
        <f>IF(OC_Donor=0,"",IF(INDEX('OneCause_Paste'!$A$1445:$AZ$1445,1,OC_Donor)="","",INDEX('OneCause_Paste'!$A$1445:$AZ$1445,1,OC_Donor)))</f>
        <v/>
      </c>
    </row>
    <row r="1446">
      <c r="A1446" s="62">
        <f>IF(H1446="","",IF(ISNUMBER(N1446),N1446,I1446))</f>
        <v/>
      </c>
      <c r="B1446">
        <f>IF(H1446="","",U1446)</f>
        <v/>
      </c>
      <c r="C1446">
        <f>IF(H1446="","",IF(P1446="",K1446,INDEX('Students'!$A$2:$A$701,P1446)))</f>
        <v/>
      </c>
      <c r="D1446">
        <f>IF(OR(H1446="",P1446=""),"",INDEX('Students'!$B$2:$B$701,P1446))</f>
        <v/>
      </c>
      <c r="E1446">
        <f>IF(OR(H1446="",P1446=""),"",INDEX('Students'!$C$2:$C$701,P1446))</f>
        <v/>
      </c>
      <c r="F1446" s="48">
        <f>IF(H1446="","",IF(ISNUMBER(O1446),O1446,J1446))</f>
        <v/>
      </c>
      <c r="G1446">
        <f>IF(H1446="","","OneCause")</f>
        <v/>
      </c>
      <c r="H1446">
        <f>IF(AND(I1446="",J1446="",K1446=""),"",IF(NOT(ISNUMBER(O1446)),"Bad amount",IF(O1446&lt;0,"Refund (not counted)",IF(O1446=0,"Zero amount",IF(NOT(ISNUMBER(N1446)),"Bad date",IF(P1446="","NAME NOT ON ROSTER",IF(L1446="","OK",IF(MATCH(L1446,$L$2:$L$3001,0)&lt;ROW()-1,"Duplicate (ignored)","OK"))))))))</f>
        <v/>
      </c>
      <c r="I1446">
        <f>IF(OC_Date=0,"",IF(INDEX('OneCause_Paste'!$A$1446:$AZ$1446,1,OC_Date)="","",INDEX('OneCause_Paste'!$A$1446:$AZ$1446,1,OC_Date)))</f>
        <v/>
      </c>
      <c r="J1446">
        <f>IF(OC_Amt=0,"",IF(INDEX('OneCause_Paste'!$A$1446:$AZ$1446,1,OC_Amt)="","",INDEX('OneCause_Paste'!$A$1446:$AZ$1446,1,OC_Amt)))</f>
        <v/>
      </c>
      <c r="K1446">
        <f>IF(OC_Name=0,"",IF(INDEX('OneCause_Paste'!$A$1446:$AZ$1446,1,OC_Name)="","",INDEX('OneCause_Paste'!$A$1446:$AZ$1446,1,OC_Name)))</f>
        <v/>
      </c>
      <c r="L1446">
        <f>IF(OC_Txn=0,"",IF(INDEX('OneCause_Paste'!$A$1446:$AZ$1446,1,OC_Txn)="","",INDEX('OneCause_Paste'!$A$1446:$AZ$1446,1,OC_Txn)))</f>
        <v/>
      </c>
      <c r="M1446">
        <f>IF(OC_Pay=0,"",IF(INDEX('OneCause_Paste'!$A$1446:$AZ$1446,1,OC_Pay)="","",INDEX('OneCause_Paste'!$A$1446:$AZ$1446,1,OC_Pay)))</f>
        <v/>
      </c>
      <c r="N1446">
        <f>IF(I1446="","",IF(ISNUMBER(I1446),INT(I1446),IFERROR(INT(DATEVALUE(I1446)),IFERROR(INT(VALUE(I1446)),"bad"))))</f>
        <v/>
      </c>
      <c r="O1446">
        <f>IF(J1446="","",IF(ISNUMBER(J1446),ROUND(J1446,2),IFERROR(ROUND(VALUE(SUBSTITUTE(SUBSTITUTE(SUBSTITUTE(J1446,"$",""),",","")," ","")),2),"bad")))</f>
        <v/>
      </c>
      <c r="P1446">
        <f>IF(TRIM(K1446)="","",IFERROR(MATCH(LOWER(TRIM(K1446)),'Students'!$AH$2:$AH$701,0),IFERROR(MATCH(LOWER(TRIM(K1446)),'Students'!$AF$2:$AF$701,0),IFERROR(MATCH(LOWER(TRIM(K1446)),'Students'!$AG$2:$AG$701,0),""))))</f>
        <v/>
      </c>
      <c r="R1446">
        <f>IF(P1446="","",INDEX('Students'!$AD$2:$AD$701,P1446))</f>
        <v/>
      </c>
      <c r="S1446">
        <f>IF(H1446="OK",O1446,0)</f>
        <v/>
      </c>
      <c r="T1446">
        <f>IF(H1446="OK",N1446,"")</f>
        <v/>
      </c>
      <c r="U1446">
        <f>IF(OC_Donor=0,"",IF(INDEX('OneCause_Paste'!$A$1446:$AZ$1446,1,OC_Donor)="","",INDEX('OneCause_Paste'!$A$1446:$AZ$1446,1,OC_Donor)))</f>
        <v/>
      </c>
    </row>
    <row r="1447">
      <c r="A1447" s="62">
        <f>IF(H1447="","",IF(ISNUMBER(N1447),N1447,I1447))</f>
        <v/>
      </c>
      <c r="B1447">
        <f>IF(H1447="","",U1447)</f>
        <v/>
      </c>
      <c r="C1447">
        <f>IF(H1447="","",IF(P1447="",K1447,INDEX('Students'!$A$2:$A$701,P1447)))</f>
        <v/>
      </c>
      <c r="D1447">
        <f>IF(OR(H1447="",P1447=""),"",INDEX('Students'!$B$2:$B$701,P1447))</f>
        <v/>
      </c>
      <c r="E1447">
        <f>IF(OR(H1447="",P1447=""),"",INDEX('Students'!$C$2:$C$701,P1447))</f>
        <v/>
      </c>
      <c r="F1447" s="48">
        <f>IF(H1447="","",IF(ISNUMBER(O1447),O1447,J1447))</f>
        <v/>
      </c>
      <c r="G1447">
        <f>IF(H1447="","","OneCause")</f>
        <v/>
      </c>
      <c r="H1447">
        <f>IF(AND(I1447="",J1447="",K1447=""),"",IF(NOT(ISNUMBER(O1447)),"Bad amount",IF(O1447&lt;0,"Refund (not counted)",IF(O1447=0,"Zero amount",IF(NOT(ISNUMBER(N1447)),"Bad date",IF(P1447="","NAME NOT ON ROSTER",IF(L1447="","OK",IF(MATCH(L1447,$L$2:$L$3001,0)&lt;ROW()-1,"Duplicate (ignored)","OK"))))))))</f>
        <v/>
      </c>
      <c r="I1447">
        <f>IF(OC_Date=0,"",IF(INDEX('OneCause_Paste'!$A$1447:$AZ$1447,1,OC_Date)="","",INDEX('OneCause_Paste'!$A$1447:$AZ$1447,1,OC_Date)))</f>
        <v/>
      </c>
      <c r="J1447">
        <f>IF(OC_Amt=0,"",IF(INDEX('OneCause_Paste'!$A$1447:$AZ$1447,1,OC_Amt)="","",INDEX('OneCause_Paste'!$A$1447:$AZ$1447,1,OC_Amt)))</f>
        <v/>
      </c>
      <c r="K1447">
        <f>IF(OC_Name=0,"",IF(INDEX('OneCause_Paste'!$A$1447:$AZ$1447,1,OC_Name)="","",INDEX('OneCause_Paste'!$A$1447:$AZ$1447,1,OC_Name)))</f>
        <v/>
      </c>
      <c r="L1447">
        <f>IF(OC_Txn=0,"",IF(INDEX('OneCause_Paste'!$A$1447:$AZ$1447,1,OC_Txn)="","",INDEX('OneCause_Paste'!$A$1447:$AZ$1447,1,OC_Txn)))</f>
        <v/>
      </c>
      <c r="M1447">
        <f>IF(OC_Pay=0,"",IF(INDEX('OneCause_Paste'!$A$1447:$AZ$1447,1,OC_Pay)="","",INDEX('OneCause_Paste'!$A$1447:$AZ$1447,1,OC_Pay)))</f>
        <v/>
      </c>
      <c r="N1447">
        <f>IF(I1447="","",IF(ISNUMBER(I1447),INT(I1447),IFERROR(INT(DATEVALUE(I1447)),IFERROR(INT(VALUE(I1447)),"bad"))))</f>
        <v/>
      </c>
      <c r="O1447">
        <f>IF(J1447="","",IF(ISNUMBER(J1447),ROUND(J1447,2),IFERROR(ROUND(VALUE(SUBSTITUTE(SUBSTITUTE(SUBSTITUTE(J1447,"$",""),",","")," ","")),2),"bad")))</f>
        <v/>
      </c>
      <c r="P1447">
        <f>IF(TRIM(K1447)="","",IFERROR(MATCH(LOWER(TRIM(K1447)),'Students'!$AH$2:$AH$701,0),IFERROR(MATCH(LOWER(TRIM(K1447)),'Students'!$AF$2:$AF$701,0),IFERROR(MATCH(LOWER(TRIM(K1447)),'Students'!$AG$2:$AG$701,0),""))))</f>
        <v/>
      </c>
      <c r="R1447">
        <f>IF(P1447="","",INDEX('Students'!$AD$2:$AD$701,P1447))</f>
        <v/>
      </c>
      <c r="S1447">
        <f>IF(H1447="OK",O1447,0)</f>
        <v/>
      </c>
      <c r="T1447">
        <f>IF(H1447="OK",N1447,"")</f>
        <v/>
      </c>
      <c r="U1447">
        <f>IF(OC_Donor=0,"",IF(INDEX('OneCause_Paste'!$A$1447:$AZ$1447,1,OC_Donor)="","",INDEX('OneCause_Paste'!$A$1447:$AZ$1447,1,OC_Donor)))</f>
        <v/>
      </c>
    </row>
    <row r="1448">
      <c r="A1448" s="62">
        <f>IF(H1448="","",IF(ISNUMBER(N1448),N1448,I1448))</f>
        <v/>
      </c>
      <c r="B1448">
        <f>IF(H1448="","",U1448)</f>
        <v/>
      </c>
      <c r="C1448">
        <f>IF(H1448="","",IF(P1448="",K1448,INDEX('Students'!$A$2:$A$701,P1448)))</f>
        <v/>
      </c>
      <c r="D1448">
        <f>IF(OR(H1448="",P1448=""),"",INDEX('Students'!$B$2:$B$701,P1448))</f>
        <v/>
      </c>
      <c r="E1448">
        <f>IF(OR(H1448="",P1448=""),"",INDEX('Students'!$C$2:$C$701,P1448))</f>
        <v/>
      </c>
      <c r="F1448" s="48">
        <f>IF(H1448="","",IF(ISNUMBER(O1448),O1448,J1448))</f>
        <v/>
      </c>
      <c r="G1448">
        <f>IF(H1448="","","OneCause")</f>
        <v/>
      </c>
      <c r="H1448">
        <f>IF(AND(I1448="",J1448="",K1448=""),"",IF(NOT(ISNUMBER(O1448)),"Bad amount",IF(O1448&lt;0,"Refund (not counted)",IF(O1448=0,"Zero amount",IF(NOT(ISNUMBER(N1448)),"Bad date",IF(P1448="","NAME NOT ON ROSTER",IF(L1448="","OK",IF(MATCH(L1448,$L$2:$L$3001,0)&lt;ROW()-1,"Duplicate (ignored)","OK"))))))))</f>
        <v/>
      </c>
      <c r="I1448">
        <f>IF(OC_Date=0,"",IF(INDEX('OneCause_Paste'!$A$1448:$AZ$1448,1,OC_Date)="","",INDEX('OneCause_Paste'!$A$1448:$AZ$1448,1,OC_Date)))</f>
        <v/>
      </c>
      <c r="J1448">
        <f>IF(OC_Amt=0,"",IF(INDEX('OneCause_Paste'!$A$1448:$AZ$1448,1,OC_Amt)="","",INDEX('OneCause_Paste'!$A$1448:$AZ$1448,1,OC_Amt)))</f>
        <v/>
      </c>
      <c r="K1448">
        <f>IF(OC_Name=0,"",IF(INDEX('OneCause_Paste'!$A$1448:$AZ$1448,1,OC_Name)="","",INDEX('OneCause_Paste'!$A$1448:$AZ$1448,1,OC_Name)))</f>
        <v/>
      </c>
      <c r="L1448">
        <f>IF(OC_Txn=0,"",IF(INDEX('OneCause_Paste'!$A$1448:$AZ$1448,1,OC_Txn)="","",INDEX('OneCause_Paste'!$A$1448:$AZ$1448,1,OC_Txn)))</f>
        <v/>
      </c>
      <c r="M1448">
        <f>IF(OC_Pay=0,"",IF(INDEX('OneCause_Paste'!$A$1448:$AZ$1448,1,OC_Pay)="","",INDEX('OneCause_Paste'!$A$1448:$AZ$1448,1,OC_Pay)))</f>
        <v/>
      </c>
      <c r="N1448">
        <f>IF(I1448="","",IF(ISNUMBER(I1448),INT(I1448),IFERROR(INT(DATEVALUE(I1448)),IFERROR(INT(VALUE(I1448)),"bad"))))</f>
        <v/>
      </c>
      <c r="O1448">
        <f>IF(J1448="","",IF(ISNUMBER(J1448),ROUND(J1448,2),IFERROR(ROUND(VALUE(SUBSTITUTE(SUBSTITUTE(SUBSTITUTE(J1448,"$",""),",","")," ","")),2),"bad")))</f>
        <v/>
      </c>
      <c r="P1448">
        <f>IF(TRIM(K1448)="","",IFERROR(MATCH(LOWER(TRIM(K1448)),'Students'!$AH$2:$AH$701,0),IFERROR(MATCH(LOWER(TRIM(K1448)),'Students'!$AF$2:$AF$701,0),IFERROR(MATCH(LOWER(TRIM(K1448)),'Students'!$AG$2:$AG$701,0),""))))</f>
        <v/>
      </c>
      <c r="R1448">
        <f>IF(P1448="","",INDEX('Students'!$AD$2:$AD$701,P1448))</f>
        <v/>
      </c>
      <c r="S1448">
        <f>IF(H1448="OK",O1448,0)</f>
        <v/>
      </c>
      <c r="T1448">
        <f>IF(H1448="OK",N1448,"")</f>
        <v/>
      </c>
      <c r="U1448">
        <f>IF(OC_Donor=0,"",IF(INDEX('OneCause_Paste'!$A$1448:$AZ$1448,1,OC_Donor)="","",INDEX('OneCause_Paste'!$A$1448:$AZ$1448,1,OC_Donor)))</f>
        <v/>
      </c>
    </row>
    <row r="1449">
      <c r="A1449" s="62">
        <f>IF(H1449="","",IF(ISNUMBER(N1449),N1449,I1449))</f>
        <v/>
      </c>
      <c r="B1449">
        <f>IF(H1449="","",U1449)</f>
        <v/>
      </c>
      <c r="C1449">
        <f>IF(H1449="","",IF(P1449="",K1449,INDEX('Students'!$A$2:$A$701,P1449)))</f>
        <v/>
      </c>
      <c r="D1449">
        <f>IF(OR(H1449="",P1449=""),"",INDEX('Students'!$B$2:$B$701,P1449))</f>
        <v/>
      </c>
      <c r="E1449">
        <f>IF(OR(H1449="",P1449=""),"",INDEX('Students'!$C$2:$C$701,P1449))</f>
        <v/>
      </c>
      <c r="F1449" s="48">
        <f>IF(H1449="","",IF(ISNUMBER(O1449),O1449,J1449))</f>
        <v/>
      </c>
      <c r="G1449">
        <f>IF(H1449="","","OneCause")</f>
        <v/>
      </c>
      <c r="H1449">
        <f>IF(AND(I1449="",J1449="",K1449=""),"",IF(NOT(ISNUMBER(O1449)),"Bad amount",IF(O1449&lt;0,"Refund (not counted)",IF(O1449=0,"Zero amount",IF(NOT(ISNUMBER(N1449)),"Bad date",IF(P1449="","NAME NOT ON ROSTER",IF(L1449="","OK",IF(MATCH(L1449,$L$2:$L$3001,0)&lt;ROW()-1,"Duplicate (ignored)","OK"))))))))</f>
        <v/>
      </c>
      <c r="I1449">
        <f>IF(OC_Date=0,"",IF(INDEX('OneCause_Paste'!$A$1449:$AZ$1449,1,OC_Date)="","",INDEX('OneCause_Paste'!$A$1449:$AZ$1449,1,OC_Date)))</f>
        <v/>
      </c>
      <c r="J1449">
        <f>IF(OC_Amt=0,"",IF(INDEX('OneCause_Paste'!$A$1449:$AZ$1449,1,OC_Amt)="","",INDEX('OneCause_Paste'!$A$1449:$AZ$1449,1,OC_Amt)))</f>
        <v/>
      </c>
      <c r="K1449">
        <f>IF(OC_Name=0,"",IF(INDEX('OneCause_Paste'!$A$1449:$AZ$1449,1,OC_Name)="","",INDEX('OneCause_Paste'!$A$1449:$AZ$1449,1,OC_Name)))</f>
        <v/>
      </c>
      <c r="L1449">
        <f>IF(OC_Txn=0,"",IF(INDEX('OneCause_Paste'!$A$1449:$AZ$1449,1,OC_Txn)="","",INDEX('OneCause_Paste'!$A$1449:$AZ$1449,1,OC_Txn)))</f>
        <v/>
      </c>
      <c r="M1449">
        <f>IF(OC_Pay=0,"",IF(INDEX('OneCause_Paste'!$A$1449:$AZ$1449,1,OC_Pay)="","",INDEX('OneCause_Paste'!$A$1449:$AZ$1449,1,OC_Pay)))</f>
        <v/>
      </c>
      <c r="N1449">
        <f>IF(I1449="","",IF(ISNUMBER(I1449),INT(I1449),IFERROR(INT(DATEVALUE(I1449)),IFERROR(INT(VALUE(I1449)),"bad"))))</f>
        <v/>
      </c>
      <c r="O1449">
        <f>IF(J1449="","",IF(ISNUMBER(J1449),ROUND(J1449,2),IFERROR(ROUND(VALUE(SUBSTITUTE(SUBSTITUTE(SUBSTITUTE(J1449,"$",""),",","")," ","")),2),"bad")))</f>
        <v/>
      </c>
      <c r="P1449">
        <f>IF(TRIM(K1449)="","",IFERROR(MATCH(LOWER(TRIM(K1449)),'Students'!$AH$2:$AH$701,0),IFERROR(MATCH(LOWER(TRIM(K1449)),'Students'!$AF$2:$AF$701,0),IFERROR(MATCH(LOWER(TRIM(K1449)),'Students'!$AG$2:$AG$701,0),""))))</f>
        <v/>
      </c>
      <c r="R1449">
        <f>IF(P1449="","",INDEX('Students'!$AD$2:$AD$701,P1449))</f>
        <v/>
      </c>
      <c r="S1449">
        <f>IF(H1449="OK",O1449,0)</f>
        <v/>
      </c>
      <c r="T1449">
        <f>IF(H1449="OK",N1449,"")</f>
        <v/>
      </c>
      <c r="U1449">
        <f>IF(OC_Donor=0,"",IF(INDEX('OneCause_Paste'!$A$1449:$AZ$1449,1,OC_Donor)="","",INDEX('OneCause_Paste'!$A$1449:$AZ$1449,1,OC_Donor)))</f>
        <v/>
      </c>
    </row>
    <row r="1450">
      <c r="A1450" s="62">
        <f>IF(H1450="","",IF(ISNUMBER(N1450),N1450,I1450))</f>
        <v/>
      </c>
      <c r="B1450">
        <f>IF(H1450="","",U1450)</f>
        <v/>
      </c>
      <c r="C1450">
        <f>IF(H1450="","",IF(P1450="",K1450,INDEX('Students'!$A$2:$A$701,P1450)))</f>
        <v/>
      </c>
      <c r="D1450">
        <f>IF(OR(H1450="",P1450=""),"",INDEX('Students'!$B$2:$B$701,P1450))</f>
        <v/>
      </c>
      <c r="E1450">
        <f>IF(OR(H1450="",P1450=""),"",INDEX('Students'!$C$2:$C$701,P1450))</f>
        <v/>
      </c>
      <c r="F1450" s="48">
        <f>IF(H1450="","",IF(ISNUMBER(O1450),O1450,J1450))</f>
        <v/>
      </c>
      <c r="G1450">
        <f>IF(H1450="","","OneCause")</f>
        <v/>
      </c>
      <c r="H1450">
        <f>IF(AND(I1450="",J1450="",K1450=""),"",IF(NOT(ISNUMBER(O1450)),"Bad amount",IF(O1450&lt;0,"Refund (not counted)",IF(O1450=0,"Zero amount",IF(NOT(ISNUMBER(N1450)),"Bad date",IF(P1450="","NAME NOT ON ROSTER",IF(L1450="","OK",IF(MATCH(L1450,$L$2:$L$3001,0)&lt;ROW()-1,"Duplicate (ignored)","OK"))))))))</f>
        <v/>
      </c>
      <c r="I1450">
        <f>IF(OC_Date=0,"",IF(INDEX('OneCause_Paste'!$A$1450:$AZ$1450,1,OC_Date)="","",INDEX('OneCause_Paste'!$A$1450:$AZ$1450,1,OC_Date)))</f>
        <v/>
      </c>
      <c r="J1450">
        <f>IF(OC_Amt=0,"",IF(INDEX('OneCause_Paste'!$A$1450:$AZ$1450,1,OC_Amt)="","",INDEX('OneCause_Paste'!$A$1450:$AZ$1450,1,OC_Amt)))</f>
        <v/>
      </c>
      <c r="K1450">
        <f>IF(OC_Name=0,"",IF(INDEX('OneCause_Paste'!$A$1450:$AZ$1450,1,OC_Name)="","",INDEX('OneCause_Paste'!$A$1450:$AZ$1450,1,OC_Name)))</f>
        <v/>
      </c>
      <c r="L1450">
        <f>IF(OC_Txn=0,"",IF(INDEX('OneCause_Paste'!$A$1450:$AZ$1450,1,OC_Txn)="","",INDEX('OneCause_Paste'!$A$1450:$AZ$1450,1,OC_Txn)))</f>
        <v/>
      </c>
      <c r="M1450">
        <f>IF(OC_Pay=0,"",IF(INDEX('OneCause_Paste'!$A$1450:$AZ$1450,1,OC_Pay)="","",INDEX('OneCause_Paste'!$A$1450:$AZ$1450,1,OC_Pay)))</f>
        <v/>
      </c>
      <c r="N1450">
        <f>IF(I1450="","",IF(ISNUMBER(I1450),INT(I1450),IFERROR(INT(DATEVALUE(I1450)),IFERROR(INT(VALUE(I1450)),"bad"))))</f>
        <v/>
      </c>
      <c r="O1450">
        <f>IF(J1450="","",IF(ISNUMBER(J1450),ROUND(J1450,2),IFERROR(ROUND(VALUE(SUBSTITUTE(SUBSTITUTE(SUBSTITUTE(J1450,"$",""),",","")," ","")),2),"bad")))</f>
        <v/>
      </c>
      <c r="P1450">
        <f>IF(TRIM(K1450)="","",IFERROR(MATCH(LOWER(TRIM(K1450)),'Students'!$AH$2:$AH$701,0),IFERROR(MATCH(LOWER(TRIM(K1450)),'Students'!$AF$2:$AF$701,0),IFERROR(MATCH(LOWER(TRIM(K1450)),'Students'!$AG$2:$AG$701,0),""))))</f>
        <v/>
      </c>
      <c r="R1450">
        <f>IF(P1450="","",INDEX('Students'!$AD$2:$AD$701,P1450))</f>
        <v/>
      </c>
      <c r="S1450">
        <f>IF(H1450="OK",O1450,0)</f>
        <v/>
      </c>
      <c r="T1450">
        <f>IF(H1450="OK",N1450,"")</f>
        <v/>
      </c>
      <c r="U1450">
        <f>IF(OC_Donor=0,"",IF(INDEX('OneCause_Paste'!$A$1450:$AZ$1450,1,OC_Donor)="","",INDEX('OneCause_Paste'!$A$1450:$AZ$1450,1,OC_Donor)))</f>
        <v/>
      </c>
    </row>
    <row r="1451">
      <c r="A1451" s="62">
        <f>IF(H1451="","",IF(ISNUMBER(N1451),N1451,I1451))</f>
        <v/>
      </c>
      <c r="B1451">
        <f>IF(H1451="","",U1451)</f>
        <v/>
      </c>
      <c r="C1451">
        <f>IF(H1451="","",IF(P1451="",K1451,INDEX('Students'!$A$2:$A$701,P1451)))</f>
        <v/>
      </c>
      <c r="D1451">
        <f>IF(OR(H1451="",P1451=""),"",INDEX('Students'!$B$2:$B$701,P1451))</f>
        <v/>
      </c>
      <c r="E1451">
        <f>IF(OR(H1451="",P1451=""),"",INDEX('Students'!$C$2:$C$701,P1451))</f>
        <v/>
      </c>
      <c r="F1451" s="48">
        <f>IF(H1451="","",IF(ISNUMBER(O1451),O1451,J1451))</f>
        <v/>
      </c>
      <c r="G1451">
        <f>IF(H1451="","","OneCause")</f>
        <v/>
      </c>
      <c r="H1451">
        <f>IF(AND(I1451="",J1451="",K1451=""),"",IF(NOT(ISNUMBER(O1451)),"Bad amount",IF(O1451&lt;0,"Refund (not counted)",IF(O1451=0,"Zero amount",IF(NOT(ISNUMBER(N1451)),"Bad date",IF(P1451="","NAME NOT ON ROSTER",IF(L1451="","OK",IF(MATCH(L1451,$L$2:$L$3001,0)&lt;ROW()-1,"Duplicate (ignored)","OK"))))))))</f>
        <v/>
      </c>
      <c r="I1451">
        <f>IF(OC_Date=0,"",IF(INDEX('OneCause_Paste'!$A$1451:$AZ$1451,1,OC_Date)="","",INDEX('OneCause_Paste'!$A$1451:$AZ$1451,1,OC_Date)))</f>
        <v/>
      </c>
      <c r="J1451">
        <f>IF(OC_Amt=0,"",IF(INDEX('OneCause_Paste'!$A$1451:$AZ$1451,1,OC_Amt)="","",INDEX('OneCause_Paste'!$A$1451:$AZ$1451,1,OC_Amt)))</f>
        <v/>
      </c>
      <c r="K1451">
        <f>IF(OC_Name=0,"",IF(INDEX('OneCause_Paste'!$A$1451:$AZ$1451,1,OC_Name)="","",INDEX('OneCause_Paste'!$A$1451:$AZ$1451,1,OC_Name)))</f>
        <v/>
      </c>
      <c r="L1451">
        <f>IF(OC_Txn=0,"",IF(INDEX('OneCause_Paste'!$A$1451:$AZ$1451,1,OC_Txn)="","",INDEX('OneCause_Paste'!$A$1451:$AZ$1451,1,OC_Txn)))</f>
        <v/>
      </c>
      <c r="M1451">
        <f>IF(OC_Pay=0,"",IF(INDEX('OneCause_Paste'!$A$1451:$AZ$1451,1,OC_Pay)="","",INDEX('OneCause_Paste'!$A$1451:$AZ$1451,1,OC_Pay)))</f>
        <v/>
      </c>
      <c r="N1451">
        <f>IF(I1451="","",IF(ISNUMBER(I1451),INT(I1451),IFERROR(INT(DATEVALUE(I1451)),IFERROR(INT(VALUE(I1451)),"bad"))))</f>
        <v/>
      </c>
      <c r="O1451">
        <f>IF(J1451="","",IF(ISNUMBER(J1451),ROUND(J1451,2),IFERROR(ROUND(VALUE(SUBSTITUTE(SUBSTITUTE(SUBSTITUTE(J1451,"$",""),",","")," ","")),2),"bad")))</f>
        <v/>
      </c>
      <c r="P1451">
        <f>IF(TRIM(K1451)="","",IFERROR(MATCH(LOWER(TRIM(K1451)),'Students'!$AH$2:$AH$701,0),IFERROR(MATCH(LOWER(TRIM(K1451)),'Students'!$AF$2:$AF$701,0),IFERROR(MATCH(LOWER(TRIM(K1451)),'Students'!$AG$2:$AG$701,0),""))))</f>
        <v/>
      </c>
      <c r="R1451">
        <f>IF(P1451="","",INDEX('Students'!$AD$2:$AD$701,P1451))</f>
        <v/>
      </c>
      <c r="S1451">
        <f>IF(H1451="OK",O1451,0)</f>
        <v/>
      </c>
      <c r="T1451">
        <f>IF(H1451="OK",N1451,"")</f>
        <v/>
      </c>
      <c r="U1451">
        <f>IF(OC_Donor=0,"",IF(INDEX('OneCause_Paste'!$A$1451:$AZ$1451,1,OC_Donor)="","",INDEX('OneCause_Paste'!$A$1451:$AZ$1451,1,OC_Donor)))</f>
        <v/>
      </c>
    </row>
    <row r="1452">
      <c r="A1452" s="62">
        <f>IF(H1452="","",IF(ISNUMBER(N1452),N1452,I1452))</f>
        <v/>
      </c>
      <c r="B1452">
        <f>IF(H1452="","",U1452)</f>
        <v/>
      </c>
      <c r="C1452">
        <f>IF(H1452="","",IF(P1452="",K1452,INDEX('Students'!$A$2:$A$701,P1452)))</f>
        <v/>
      </c>
      <c r="D1452">
        <f>IF(OR(H1452="",P1452=""),"",INDEX('Students'!$B$2:$B$701,P1452))</f>
        <v/>
      </c>
      <c r="E1452">
        <f>IF(OR(H1452="",P1452=""),"",INDEX('Students'!$C$2:$C$701,P1452))</f>
        <v/>
      </c>
      <c r="F1452" s="48">
        <f>IF(H1452="","",IF(ISNUMBER(O1452),O1452,J1452))</f>
        <v/>
      </c>
      <c r="G1452">
        <f>IF(H1452="","","OneCause")</f>
        <v/>
      </c>
      <c r="H1452">
        <f>IF(AND(I1452="",J1452="",K1452=""),"",IF(NOT(ISNUMBER(O1452)),"Bad amount",IF(O1452&lt;0,"Refund (not counted)",IF(O1452=0,"Zero amount",IF(NOT(ISNUMBER(N1452)),"Bad date",IF(P1452="","NAME NOT ON ROSTER",IF(L1452="","OK",IF(MATCH(L1452,$L$2:$L$3001,0)&lt;ROW()-1,"Duplicate (ignored)","OK"))))))))</f>
        <v/>
      </c>
      <c r="I1452">
        <f>IF(OC_Date=0,"",IF(INDEX('OneCause_Paste'!$A$1452:$AZ$1452,1,OC_Date)="","",INDEX('OneCause_Paste'!$A$1452:$AZ$1452,1,OC_Date)))</f>
        <v/>
      </c>
      <c r="J1452">
        <f>IF(OC_Amt=0,"",IF(INDEX('OneCause_Paste'!$A$1452:$AZ$1452,1,OC_Amt)="","",INDEX('OneCause_Paste'!$A$1452:$AZ$1452,1,OC_Amt)))</f>
        <v/>
      </c>
      <c r="K1452">
        <f>IF(OC_Name=0,"",IF(INDEX('OneCause_Paste'!$A$1452:$AZ$1452,1,OC_Name)="","",INDEX('OneCause_Paste'!$A$1452:$AZ$1452,1,OC_Name)))</f>
        <v/>
      </c>
      <c r="L1452">
        <f>IF(OC_Txn=0,"",IF(INDEX('OneCause_Paste'!$A$1452:$AZ$1452,1,OC_Txn)="","",INDEX('OneCause_Paste'!$A$1452:$AZ$1452,1,OC_Txn)))</f>
        <v/>
      </c>
      <c r="M1452">
        <f>IF(OC_Pay=0,"",IF(INDEX('OneCause_Paste'!$A$1452:$AZ$1452,1,OC_Pay)="","",INDEX('OneCause_Paste'!$A$1452:$AZ$1452,1,OC_Pay)))</f>
        <v/>
      </c>
      <c r="N1452">
        <f>IF(I1452="","",IF(ISNUMBER(I1452),INT(I1452),IFERROR(INT(DATEVALUE(I1452)),IFERROR(INT(VALUE(I1452)),"bad"))))</f>
        <v/>
      </c>
      <c r="O1452">
        <f>IF(J1452="","",IF(ISNUMBER(J1452),ROUND(J1452,2),IFERROR(ROUND(VALUE(SUBSTITUTE(SUBSTITUTE(SUBSTITUTE(J1452,"$",""),",","")," ","")),2),"bad")))</f>
        <v/>
      </c>
      <c r="P1452">
        <f>IF(TRIM(K1452)="","",IFERROR(MATCH(LOWER(TRIM(K1452)),'Students'!$AH$2:$AH$701,0),IFERROR(MATCH(LOWER(TRIM(K1452)),'Students'!$AF$2:$AF$701,0),IFERROR(MATCH(LOWER(TRIM(K1452)),'Students'!$AG$2:$AG$701,0),""))))</f>
        <v/>
      </c>
      <c r="R1452">
        <f>IF(P1452="","",INDEX('Students'!$AD$2:$AD$701,P1452))</f>
        <v/>
      </c>
      <c r="S1452">
        <f>IF(H1452="OK",O1452,0)</f>
        <v/>
      </c>
      <c r="T1452">
        <f>IF(H1452="OK",N1452,"")</f>
        <v/>
      </c>
      <c r="U1452">
        <f>IF(OC_Donor=0,"",IF(INDEX('OneCause_Paste'!$A$1452:$AZ$1452,1,OC_Donor)="","",INDEX('OneCause_Paste'!$A$1452:$AZ$1452,1,OC_Donor)))</f>
        <v/>
      </c>
    </row>
    <row r="1453">
      <c r="A1453" s="62">
        <f>IF(H1453="","",IF(ISNUMBER(N1453),N1453,I1453))</f>
        <v/>
      </c>
      <c r="B1453">
        <f>IF(H1453="","",U1453)</f>
        <v/>
      </c>
      <c r="C1453">
        <f>IF(H1453="","",IF(P1453="",K1453,INDEX('Students'!$A$2:$A$701,P1453)))</f>
        <v/>
      </c>
      <c r="D1453">
        <f>IF(OR(H1453="",P1453=""),"",INDEX('Students'!$B$2:$B$701,P1453))</f>
        <v/>
      </c>
      <c r="E1453">
        <f>IF(OR(H1453="",P1453=""),"",INDEX('Students'!$C$2:$C$701,P1453))</f>
        <v/>
      </c>
      <c r="F1453" s="48">
        <f>IF(H1453="","",IF(ISNUMBER(O1453),O1453,J1453))</f>
        <v/>
      </c>
      <c r="G1453">
        <f>IF(H1453="","","OneCause")</f>
        <v/>
      </c>
      <c r="H1453">
        <f>IF(AND(I1453="",J1453="",K1453=""),"",IF(NOT(ISNUMBER(O1453)),"Bad amount",IF(O1453&lt;0,"Refund (not counted)",IF(O1453=0,"Zero amount",IF(NOT(ISNUMBER(N1453)),"Bad date",IF(P1453="","NAME NOT ON ROSTER",IF(L1453="","OK",IF(MATCH(L1453,$L$2:$L$3001,0)&lt;ROW()-1,"Duplicate (ignored)","OK"))))))))</f>
        <v/>
      </c>
      <c r="I1453">
        <f>IF(OC_Date=0,"",IF(INDEX('OneCause_Paste'!$A$1453:$AZ$1453,1,OC_Date)="","",INDEX('OneCause_Paste'!$A$1453:$AZ$1453,1,OC_Date)))</f>
        <v/>
      </c>
      <c r="J1453">
        <f>IF(OC_Amt=0,"",IF(INDEX('OneCause_Paste'!$A$1453:$AZ$1453,1,OC_Amt)="","",INDEX('OneCause_Paste'!$A$1453:$AZ$1453,1,OC_Amt)))</f>
        <v/>
      </c>
      <c r="K1453">
        <f>IF(OC_Name=0,"",IF(INDEX('OneCause_Paste'!$A$1453:$AZ$1453,1,OC_Name)="","",INDEX('OneCause_Paste'!$A$1453:$AZ$1453,1,OC_Name)))</f>
        <v/>
      </c>
      <c r="L1453">
        <f>IF(OC_Txn=0,"",IF(INDEX('OneCause_Paste'!$A$1453:$AZ$1453,1,OC_Txn)="","",INDEX('OneCause_Paste'!$A$1453:$AZ$1453,1,OC_Txn)))</f>
        <v/>
      </c>
      <c r="M1453">
        <f>IF(OC_Pay=0,"",IF(INDEX('OneCause_Paste'!$A$1453:$AZ$1453,1,OC_Pay)="","",INDEX('OneCause_Paste'!$A$1453:$AZ$1453,1,OC_Pay)))</f>
        <v/>
      </c>
      <c r="N1453">
        <f>IF(I1453="","",IF(ISNUMBER(I1453),INT(I1453),IFERROR(INT(DATEVALUE(I1453)),IFERROR(INT(VALUE(I1453)),"bad"))))</f>
        <v/>
      </c>
      <c r="O1453">
        <f>IF(J1453="","",IF(ISNUMBER(J1453),ROUND(J1453,2),IFERROR(ROUND(VALUE(SUBSTITUTE(SUBSTITUTE(SUBSTITUTE(J1453,"$",""),",","")," ","")),2),"bad")))</f>
        <v/>
      </c>
      <c r="P1453">
        <f>IF(TRIM(K1453)="","",IFERROR(MATCH(LOWER(TRIM(K1453)),'Students'!$AH$2:$AH$701,0),IFERROR(MATCH(LOWER(TRIM(K1453)),'Students'!$AF$2:$AF$701,0),IFERROR(MATCH(LOWER(TRIM(K1453)),'Students'!$AG$2:$AG$701,0),""))))</f>
        <v/>
      </c>
      <c r="R1453">
        <f>IF(P1453="","",INDEX('Students'!$AD$2:$AD$701,P1453))</f>
        <v/>
      </c>
      <c r="S1453">
        <f>IF(H1453="OK",O1453,0)</f>
        <v/>
      </c>
      <c r="T1453">
        <f>IF(H1453="OK",N1453,"")</f>
        <v/>
      </c>
      <c r="U1453">
        <f>IF(OC_Donor=0,"",IF(INDEX('OneCause_Paste'!$A$1453:$AZ$1453,1,OC_Donor)="","",INDEX('OneCause_Paste'!$A$1453:$AZ$1453,1,OC_Donor)))</f>
        <v/>
      </c>
    </row>
    <row r="1454">
      <c r="A1454" s="62">
        <f>IF(H1454="","",IF(ISNUMBER(N1454),N1454,I1454))</f>
        <v/>
      </c>
      <c r="B1454">
        <f>IF(H1454="","",U1454)</f>
        <v/>
      </c>
      <c r="C1454">
        <f>IF(H1454="","",IF(P1454="",K1454,INDEX('Students'!$A$2:$A$701,P1454)))</f>
        <v/>
      </c>
      <c r="D1454">
        <f>IF(OR(H1454="",P1454=""),"",INDEX('Students'!$B$2:$B$701,P1454))</f>
        <v/>
      </c>
      <c r="E1454">
        <f>IF(OR(H1454="",P1454=""),"",INDEX('Students'!$C$2:$C$701,P1454))</f>
        <v/>
      </c>
      <c r="F1454" s="48">
        <f>IF(H1454="","",IF(ISNUMBER(O1454),O1454,J1454))</f>
        <v/>
      </c>
      <c r="G1454">
        <f>IF(H1454="","","OneCause")</f>
        <v/>
      </c>
      <c r="H1454">
        <f>IF(AND(I1454="",J1454="",K1454=""),"",IF(NOT(ISNUMBER(O1454)),"Bad amount",IF(O1454&lt;0,"Refund (not counted)",IF(O1454=0,"Zero amount",IF(NOT(ISNUMBER(N1454)),"Bad date",IF(P1454="","NAME NOT ON ROSTER",IF(L1454="","OK",IF(MATCH(L1454,$L$2:$L$3001,0)&lt;ROW()-1,"Duplicate (ignored)","OK"))))))))</f>
        <v/>
      </c>
      <c r="I1454">
        <f>IF(OC_Date=0,"",IF(INDEX('OneCause_Paste'!$A$1454:$AZ$1454,1,OC_Date)="","",INDEX('OneCause_Paste'!$A$1454:$AZ$1454,1,OC_Date)))</f>
        <v/>
      </c>
      <c r="J1454">
        <f>IF(OC_Amt=0,"",IF(INDEX('OneCause_Paste'!$A$1454:$AZ$1454,1,OC_Amt)="","",INDEX('OneCause_Paste'!$A$1454:$AZ$1454,1,OC_Amt)))</f>
        <v/>
      </c>
      <c r="K1454">
        <f>IF(OC_Name=0,"",IF(INDEX('OneCause_Paste'!$A$1454:$AZ$1454,1,OC_Name)="","",INDEX('OneCause_Paste'!$A$1454:$AZ$1454,1,OC_Name)))</f>
        <v/>
      </c>
      <c r="L1454">
        <f>IF(OC_Txn=0,"",IF(INDEX('OneCause_Paste'!$A$1454:$AZ$1454,1,OC_Txn)="","",INDEX('OneCause_Paste'!$A$1454:$AZ$1454,1,OC_Txn)))</f>
        <v/>
      </c>
      <c r="M1454">
        <f>IF(OC_Pay=0,"",IF(INDEX('OneCause_Paste'!$A$1454:$AZ$1454,1,OC_Pay)="","",INDEX('OneCause_Paste'!$A$1454:$AZ$1454,1,OC_Pay)))</f>
        <v/>
      </c>
      <c r="N1454">
        <f>IF(I1454="","",IF(ISNUMBER(I1454),INT(I1454),IFERROR(INT(DATEVALUE(I1454)),IFERROR(INT(VALUE(I1454)),"bad"))))</f>
        <v/>
      </c>
      <c r="O1454">
        <f>IF(J1454="","",IF(ISNUMBER(J1454),ROUND(J1454,2),IFERROR(ROUND(VALUE(SUBSTITUTE(SUBSTITUTE(SUBSTITUTE(J1454,"$",""),",","")," ","")),2),"bad")))</f>
        <v/>
      </c>
      <c r="P1454">
        <f>IF(TRIM(K1454)="","",IFERROR(MATCH(LOWER(TRIM(K1454)),'Students'!$AH$2:$AH$701,0),IFERROR(MATCH(LOWER(TRIM(K1454)),'Students'!$AF$2:$AF$701,0),IFERROR(MATCH(LOWER(TRIM(K1454)),'Students'!$AG$2:$AG$701,0),""))))</f>
        <v/>
      </c>
      <c r="R1454">
        <f>IF(P1454="","",INDEX('Students'!$AD$2:$AD$701,P1454))</f>
        <v/>
      </c>
      <c r="S1454">
        <f>IF(H1454="OK",O1454,0)</f>
        <v/>
      </c>
      <c r="T1454">
        <f>IF(H1454="OK",N1454,"")</f>
        <v/>
      </c>
      <c r="U1454">
        <f>IF(OC_Donor=0,"",IF(INDEX('OneCause_Paste'!$A$1454:$AZ$1454,1,OC_Donor)="","",INDEX('OneCause_Paste'!$A$1454:$AZ$1454,1,OC_Donor)))</f>
        <v/>
      </c>
    </row>
    <row r="1455">
      <c r="A1455" s="62">
        <f>IF(H1455="","",IF(ISNUMBER(N1455),N1455,I1455))</f>
        <v/>
      </c>
      <c r="B1455">
        <f>IF(H1455="","",U1455)</f>
        <v/>
      </c>
      <c r="C1455">
        <f>IF(H1455="","",IF(P1455="",K1455,INDEX('Students'!$A$2:$A$701,P1455)))</f>
        <v/>
      </c>
      <c r="D1455">
        <f>IF(OR(H1455="",P1455=""),"",INDEX('Students'!$B$2:$B$701,P1455))</f>
        <v/>
      </c>
      <c r="E1455">
        <f>IF(OR(H1455="",P1455=""),"",INDEX('Students'!$C$2:$C$701,P1455))</f>
        <v/>
      </c>
      <c r="F1455" s="48">
        <f>IF(H1455="","",IF(ISNUMBER(O1455),O1455,J1455))</f>
        <v/>
      </c>
      <c r="G1455">
        <f>IF(H1455="","","OneCause")</f>
        <v/>
      </c>
      <c r="H1455">
        <f>IF(AND(I1455="",J1455="",K1455=""),"",IF(NOT(ISNUMBER(O1455)),"Bad amount",IF(O1455&lt;0,"Refund (not counted)",IF(O1455=0,"Zero amount",IF(NOT(ISNUMBER(N1455)),"Bad date",IF(P1455="","NAME NOT ON ROSTER",IF(L1455="","OK",IF(MATCH(L1455,$L$2:$L$3001,0)&lt;ROW()-1,"Duplicate (ignored)","OK"))))))))</f>
        <v/>
      </c>
      <c r="I1455">
        <f>IF(OC_Date=0,"",IF(INDEX('OneCause_Paste'!$A$1455:$AZ$1455,1,OC_Date)="","",INDEX('OneCause_Paste'!$A$1455:$AZ$1455,1,OC_Date)))</f>
        <v/>
      </c>
      <c r="J1455">
        <f>IF(OC_Amt=0,"",IF(INDEX('OneCause_Paste'!$A$1455:$AZ$1455,1,OC_Amt)="","",INDEX('OneCause_Paste'!$A$1455:$AZ$1455,1,OC_Amt)))</f>
        <v/>
      </c>
      <c r="K1455">
        <f>IF(OC_Name=0,"",IF(INDEX('OneCause_Paste'!$A$1455:$AZ$1455,1,OC_Name)="","",INDEX('OneCause_Paste'!$A$1455:$AZ$1455,1,OC_Name)))</f>
        <v/>
      </c>
      <c r="L1455">
        <f>IF(OC_Txn=0,"",IF(INDEX('OneCause_Paste'!$A$1455:$AZ$1455,1,OC_Txn)="","",INDEX('OneCause_Paste'!$A$1455:$AZ$1455,1,OC_Txn)))</f>
        <v/>
      </c>
      <c r="M1455">
        <f>IF(OC_Pay=0,"",IF(INDEX('OneCause_Paste'!$A$1455:$AZ$1455,1,OC_Pay)="","",INDEX('OneCause_Paste'!$A$1455:$AZ$1455,1,OC_Pay)))</f>
        <v/>
      </c>
      <c r="N1455">
        <f>IF(I1455="","",IF(ISNUMBER(I1455),INT(I1455),IFERROR(INT(DATEVALUE(I1455)),IFERROR(INT(VALUE(I1455)),"bad"))))</f>
        <v/>
      </c>
      <c r="O1455">
        <f>IF(J1455="","",IF(ISNUMBER(J1455),ROUND(J1455,2),IFERROR(ROUND(VALUE(SUBSTITUTE(SUBSTITUTE(SUBSTITUTE(J1455,"$",""),",","")," ","")),2),"bad")))</f>
        <v/>
      </c>
      <c r="P1455">
        <f>IF(TRIM(K1455)="","",IFERROR(MATCH(LOWER(TRIM(K1455)),'Students'!$AH$2:$AH$701,0),IFERROR(MATCH(LOWER(TRIM(K1455)),'Students'!$AF$2:$AF$701,0),IFERROR(MATCH(LOWER(TRIM(K1455)),'Students'!$AG$2:$AG$701,0),""))))</f>
        <v/>
      </c>
      <c r="R1455">
        <f>IF(P1455="","",INDEX('Students'!$AD$2:$AD$701,P1455))</f>
        <v/>
      </c>
      <c r="S1455">
        <f>IF(H1455="OK",O1455,0)</f>
        <v/>
      </c>
      <c r="T1455">
        <f>IF(H1455="OK",N1455,"")</f>
        <v/>
      </c>
      <c r="U1455">
        <f>IF(OC_Donor=0,"",IF(INDEX('OneCause_Paste'!$A$1455:$AZ$1455,1,OC_Donor)="","",INDEX('OneCause_Paste'!$A$1455:$AZ$1455,1,OC_Donor)))</f>
        <v/>
      </c>
    </row>
    <row r="1456">
      <c r="A1456" s="62">
        <f>IF(H1456="","",IF(ISNUMBER(N1456),N1456,I1456))</f>
        <v/>
      </c>
      <c r="B1456">
        <f>IF(H1456="","",U1456)</f>
        <v/>
      </c>
      <c r="C1456">
        <f>IF(H1456="","",IF(P1456="",K1456,INDEX('Students'!$A$2:$A$701,P1456)))</f>
        <v/>
      </c>
      <c r="D1456">
        <f>IF(OR(H1456="",P1456=""),"",INDEX('Students'!$B$2:$B$701,P1456))</f>
        <v/>
      </c>
      <c r="E1456">
        <f>IF(OR(H1456="",P1456=""),"",INDEX('Students'!$C$2:$C$701,P1456))</f>
        <v/>
      </c>
      <c r="F1456" s="48">
        <f>IF(H1456="","",IF(ISNUMBER(O1456),O1456,J1456))</f>
        <v/>
      </c>
      <c r="G1456">
        <f>IF(H1456="","","OneCause")</f>
        <v/>
      </c>
      <c r="H1456">
        <f>IF(AND(I1456="",J1456="",K1456=""),"",IF(NOT(ISNUMBER(O1456)),"Bad amount",IF(O1456&lt;0,"Refund (not counted)",IF(O1456=0,"Zero amount",IF(NOT(ISNUMBER(N1456)),"Bad date",IF(P1456="","NAME NOT ON ROSTER",IF(L1456="","OK",IF(MATCH(L1456,$L$2:$L$3001,0)&lt;ROW()-1,"Duplicate (ignored)","OK"))))))))</f>
        <v/>
      </c>
      <c r="I1456">
        <f>IF(OC_Date=0,"",IF(INDEX('OneCause_Paste'!$A$1456:$AZ$1456,1,OC_Date)="","",INDEX('OneCause_Paste'!$A$1456:$AZ$1456,1,OC_Date)))</f>
        <v/>
      </c>
      <c r="J1456">
        <f>IF(OC_Amt=0,"",IF(INDEX('OneCause_Paste'!$A$1456:$AZ$1456,1,OC_Amt)="","",INDEX('OneCause_Paste'!$A$1456:$AZ$1456,1,OC_Amt)))</f>
        <v/>
      </c>
      <c r="K1456">
        <f>IF(OC_Name=0,"",IF(INDEX('OneCause_Paste'!$A$1456:$AZ$1456,1,OC_Name)="","",INDEX('OneCause_Paste'!$A$1456:$AZ$1456,1,OC_Name)))</f>
        <v/>
      </c>
      <c r="L1456">
        <f>IF(OC_Txn=0,"",IF(INDEX('OneCause_Paste'!$A$1456:$AZ$1456,1,OC_Txn)="","",INDEX('OneCause_Paste'!$A$1456:$AZ$1456,1,OC_Txn)))</f>
        <v/>
      </c>
      <c r="M1456">
        <f>IF(OC_Pay=0,"",IF(INDEX('OneCause_Paste'!$A$1456:$AZ$1456,1,OC_Pay)="","",INDEX('OneCause_Paste'!$A$1456:$AZ$1456,1,OC_Pay)))</f>
        <v/>
      </c>
      <c r="N1456">
        <f>IF(I1456="","",IF(ISNUMBER(I1456),INT(I1456),IFERROR(INT(DATEVALUE(I1456)),IFERROR(INT(VALUE(I1456)),"bad"))))</f>
        <v/>
      </c>
      <c r="O1456">
        <f>IF(J1456="","",IF(ISNUMBER(J1456),ROUND(J1456,2),IFERROR(ROUND(VALUE(SUBSTITUTE(SUBSTITUTE(SUBSTITUTE(J1456,"$",""),",","")," ","")),2),"bad")))</f>
        <v/>
      </c>
      <c r="P1456">
        <f>IF(TRIM(K1456)="","",IFERROR(MATCH(LOWER(TRIM(K1456)),'Students'!$AH$2:$AH$701,0),IFERROR(MATCH(LOWER(TRIM(K1456)),'Students'!$AF$2:$AF$701,0),IFERROR(MATCH(LOWER(TRIM(K1456)),'Students'!$AG$2:$AG$701,0),""))))</f>
        <v/>
      </c>
      <c r="R1456">
        <f>IF(P1456="","",INDEX('Students'!$AD$2:$AD$701,P1456))</f>
        <v/>
      </c>
      <c r="S1456">
        <f>IF(H1456="OK",O1456,0)</f>
        <v/>
      </c>
      <c r="T1456">
        <f>IF(H1456="OK",N1456,"")</f>
        <v/>
      </c>
      <c r="U1456">
        <f>IF(OC_Donor=0,"",IF(INDEX('OneCause_Paste'!$A$1456:$AZ$1456,1,OC_Donor)="","",INDEX('OneCause_Paste'!$A$1456:$AZ$1456,1,OC_Donor)))</f>
        <v/>
      </c>
    </row>
    <row r="1457">
      <c r="A1457" s="62">
        <f>IF(H1457="","",IF(ISNUMBER(N1457),N1457,I1457))</f>
        <v/>
      </c>
      <c r="B1457">
        <f>IF(H1457="","",U1457)</f>
        <v/>
      </c>
      <c r="C1457">
        <f>IF(H1457="","",IF(P1457="",K1457,INDEX('Students'!$A$2:$A$701,P1457)))</f>
        <v/>
      </c>
      <c r="D1457">
        <f>IF(OR(H1457="",P1457=""),"",INDEX('Students'!$B$2:$B$701,P1457))</f>
        <v/>
      </c>
      <c r="E1457">
        <f>IF(OR(H1457="",P1457=""),"",INDEX('Students'!$C$2:$C$701,P1457))</f>
        <v/>
      </c>
      <c r="F1457" s="48">
        <f>IF(H1457="","",IF(ISNUMBER(O1457),O1457,J1457))</f>
        <v/>
      </c>
      <c r="G1457">
        <f>IF(H1457="","","OneCause")</f>
        <v/>
      </c>
      <c r="H1457">
        <f>IF(AND(I1457="",J1457="",K1457=""),"",IF(NOT(ISNUMBER(O1457)),"Bad amount",IF(O1457&lt;0,"Refund (not counted)",IF(O1457=0,"Zero amount",IF(NOT(ISNUMBER(N1457)),"Bad date",IF(P1457="","NAME NOT ON ROSTER",IF(L1457="","OK",IF(MATCH(L1457,$L$2:$L$3001,0)&lt;ROW()-1,"Duplicate (ignored)","OK"))))))))</f>
        <v/>
      </c>
      <c r="I1457">
        <f>IF(OC_Date=0,"",IF(INDEX('OneCause_Paste'!$A$1457:$AZ$1457,1,OC_Date)="","",INDEX('OneCause_Paste'!$A$1457:$AZ$1457,1,OC_Date)))</f>
        <v/>
      </c>
      <c r="J1457">
        <f>IF(OC_Amt=0,"",IF(INDEX('OneCause_Paste'!$A$1457:$AZ$1457,1,OC_Amt)="","",INDEX('OneCause_Paste'!$A$1457:$AZ$1457,1,OC_Amt)))</f>
        <v/>
      </c>
      <c r="K1457">
        <f>IF(OC_Name=0,"",IF(INDEX('OneCause_Paste'!$A$1457:$AZ$1457,1,OC_Name)="","",INDEX('OneCause_Paste'!$A$1457:$AZ$1457,1,OC_Name)))</f>
        <v/>
      </c>
      <c r="L1457">
        <f>IF(OC_Txn=0,"",IF(INDEX('OneCause_Paste'!$A$1457:$AZ$1457,1,OC_Txn)="","",INDEX('OneCause_Paste'!$A$1457:$AZ$1457,1,OC_Txn)))</f>
        <v/>
      </c>
      <c r="M1457">
        <f>IF(OC_Pay=0,"",IF(INDEX('OneCause_Paste'!$A$1457:$AZ$1457,1,OC_Pay)="","",INDEX('OneCause_Paste'!$A$1457:$AZ$1457,1,OC_Pay)))</f>
        <v/>
      </c>
      <c r="N1457">
        <f>IF(I1457="","",IF(ISNUMBER(I1457),INT(I1457),IFERROR(INT(DATEVALUE(I1457)),IFERROR(INT(VALUE(I1457)),"bad"))))</f>
        <v/>
      </c>
      <c r="O1457">
        <f>IF(J1457="","",IF(ISNUMBER(J1457),ROUND(J1457,2),IFERROR(ROUND(VALUE(SUBSTITUTE(SUBSTITUTE(SUBSTITUTE(J1457,"$",""),",","")," ","")),2),"bad")))</f>
        <v/>
      </c>
      <c r="P1457">
        <f>IF(TRIM(K1457)="","",IFERROR(MATCH(LOWER(TRIM(K1457)),'Students'!$AH$2:$AH$701,0),IFERROR(MATCH(LOWER(TRIM(K1457)),'Students'!$AF$2:$AF$701,0),IFERROR(MATCH(LOWER(TRIM(K1457)),'Students'!$AG$2:$AG$701,0),""))))</f>
        <v/>
      </c>
      <c r="R1457">
        <f>IF(P1457="","",INDEX('Students'!$AD$2:$AD$701,P1457))</f>
        <v/>
      </c>
      <c r="S1457">
        <f>IF(H1457="OK",O1457,0)</f>
        <v/>
      </c>
      <c r="T1457">
        <f>IF(H1457="OK",N1457,"")</f>
        <v/>
      </c>
      <c r="U1457">
        <f>IF(OC_Donor=0,"",IF(INDEX('OneCause_Paste'!$A$1457:$AZ$1457,1,OC_Donor)="","",INDEX('OneCause_Paste'!$A$1457:$AZ$1457,1,OC_Donor)))</f>
        <v/>
      </c>
    </row>
    <row r="1458">
      <c r="A1458" s="62">
        <f>IF(H1458="","",IF(ISNUMBER(N1458),N1458,I1458))</f>
        <v/>
      </c>
      <c r="B1458">
        <f>IF(H1458="","",U1458)</f>
        <v/>
      </c>
      <c r="C1458">
        <f>IF(H1458="","",IF(P1458="",K1458,INDEX('Students'!$A$2:$A$701,P1458)))</f>
        <v/>
      </c>
      <c r="D1458">
        <f>IF(OR(H1458="",P1458=""),"",INDEX('Students'!$B$2:$B$701,P1458))</f>
        <v/>
      </c>
      <c r="E1458">
        <f>IF(OR(H1458="",P1458=""),"",INDEX('Students'!$C$2:$C$701,P1458))</f>
        <v/>
      </c>
      <c r="F1458" s="48">
        <f>IF(H1458="","",IF(ISNUMBER(O1458),O1458,J1458))</f>
        <v/>
      </c>
      <c r="G1458">
        <f>IF(H1458="","","OneCause")</f>
        <v/>
      </c>
      <c r="H1458">
        <f>IF(AND(I1458="",J1458="",K1458=""),"",IF(NOT(ISNUMBER(O1458)),"Bad amount",IF(O1458&lt;0,"Refund (not counted)",IF(O1458=0,"Zero amount",IF(NOT(ISNUMBER(N1458)),"Bad date",IF(P1458="","NAME NOT ON ROSTER",IF(L1458="","OK",IF(MATCH(L1458,$L$2:$L$3001,0)&lt;ROW()-1,"Duplicate (ignored)","OK"))))))))</f>
        <v/>
      </c>
      <c r="I1458">
        <f>IF(OC_Date=0,"",IF(INDEX('OneCause_Paste'!$A$1458:$AZ$1458,1,OC_Date)="","",INDEX('OneCause_Paste'!$A$1458:$AZ$1458,1,OC_Date)))</f>
        <v/>
      </c>
      <c r="J1458">
        <f>IF(OC_Amt=0,"",IF(INDEX('OneCause_Paste'!$A$1458:$AZ$1458,1,OC_Amt)="","",INDEX('OneCause_Paste'!$A$1458:$AZ$1458,1,OC_Amt)))</f>
        <v/>
      </c>
      <c r="K1458">
        <f>IF(OC_Name=0,"",IF(INDEX('OneCause_Paste'!$A$1458:$AZ$1458,1,OC_Name)="","",INDEX('OneCause_Paste'!$A$1458:$AZ$1458,1,OC_Name)))</f>
        <v/>
      </c>
      <c r="L1458">
        <f>IF(OC_Txn=0,"",IF(INDEX('OneCause_Paste'!$A$1458:$AZ$1458,1,OC_Txn)="","",INDEX('OneCause_Paste'!$A$1458:$AZ$1458,1,OC_Txn)))</f>
        <v/>
      </c>
      <c r="M1458">
        <f>IF(OC_Pay=0,"",IF(INDEX('OneCause_Paste'!$A$1458:$AZ$1458,1,OC_Pay)="","",INDEX('OneCause_Paste'!$A$1458:$AZ$1458,1,OC_Pay)))</f>
        <v/>
      </c>
      <c r="N1458">
        <f>IF(I1458="","",IF(ISNUMBER(I1458),INT(I1458),IFERROR(INT(DATEVALUE(I1458)),IFERROR(INT(VALUE(I1458)),"bad"))))</f>
        <v/>
      </c>
      <c r="O1458">
        <f>IF(J1458="","",IF(ISNUMBER(J1458),ROUND(J1458,2),IFERROR(ROUND(VALUE(SUBSTITUTE(SUBSTITUTE(SUBSTITUTE(J1458,"$",""),",","")," ","")),2),"bad")))</f>
        <v/>
      </c>
      <c r="P1458">
        <f>IF(TRIM(K1458)="","",IFERROR(MATCH(LOWER(TRIM(K1458)),'Students'!$AH$2:$AH$701,0),IFERROR(MATCH(LOWER(TRIM(K1458)),'Students'!$AF$2:$AF$701,0),IFERROR(MATCH(LOWER(TRIM(K1458)),'Students'!$AG$2:$AG$701,0),""))))</f>
        <v/>
      </c>
      <c r="R1458">
        <f>IF(P1458="","",INDEX('Students'!$AD$2:$AD$701,P1458))</f>
        <v/>
      </c>
      <c r="S1458">
        <f>IF(H1458="OK",O1458,0)</f>
        <v/>
      </c>
      <c r="T1458">
        <f>IF(H1458="OK",N1458,"")</f>
        <v/>
      </c>
      <c r="U1458">
        <f>IF(OC_Donor=0,"",IF(INDEX('OneCause_Paste'!$A$1458:$AZ$1458,1,OC_Donor)="","",INDEX('OneCause_Paste'!$A$1458:$AZ$1458,1,OC_Donor)))</f>
        <v/>
      </c>
    </row>
    <row r="1459">
      <c r="A1459" s="62">
        <f>IF(H1459="","",IF(ISNUMBER(N1459),N1459,I1459))</f>
        <v/>
      </c>
      <c r="B1459">
        <f>IF(H1459="","",U1459)</f>
        <v/>
      </c>
      <c r="C1459">
        <f>IF(H1459="","",IF(P1459="",K1459,INDEX('Students'!$A$2:$A$701,P1459)))</f>
        <v/>
      </c>
      <c r="D1459">
        <f>IF(OR(H1459="",P1459=""),"",INDEX('Students'!$B$2:$B$701,P1459))</f>
        <v/>
      </c>
      <c r="E1459">
        <f>IF(OR(H1459="",P1459=""),"",INDEX('Students'!$C$2:$C$701,P1459))</f>
        <v/>
      </c>
      <c r="F1459" s="48">
        <f>IF(H1459="","",IF(ISNUMBER(O1459),O1459,J1459))</f>
        <v/>
      </c>
      <c r="G1459">
        <f>IF(H1459="","","OneCause")</f>
        <v/>
      </c>
      <c r="H1459">
        <f>IF(AND(I1459="",J1459="",K1459=""),"",IF(NOT(ISNUMBER(O1459)),"Bad amount",IF(O1459&lt;0,"Refund (not counted)",IF(O1459=0,"Zero amount",IF(NOT(ISNUMBER(N1459)),"Bad date",IF(P1459="","NAME NOT ON ROSTER",IF(L1459="","OK",IF(MATCH(L1459,$L$2:$L$3001,0)&lt;ROW()-1,"Duplicate (ignored)","OK"))))))))</f>
        <v/>
      </c>
      <c r="I1459">
        <f>IF(OC_Date=0,"",IF(INDEX('OneCause_Paste'!$A$1459:$AZ$1459,1,OC_Date)="","",INDEX('OneCause_Paste'!$A$1459:$AZ$1459,1,OC_Date)))</f>
        <v/>
      </c>
      <c r="J1459">
        <f>IF(OC_Amt=0,"",IF(INDEX('OneCause_Paste'!$A$1459:$AZ$1459,1,OC_Amt)="","",INDEX('OneCause_Paste'!$A$1459:$AZ$1459,1,OC_Amt)))</f>
        <v/>
      </c>
      <c r="K1459">
        <f>IF(OC_Name=0,"",IF(INDEX('OneCause_Paste'!$A$1459:$AZ$1459,1,OC_Name)="","",INDEX('OneCause_Paste'!$A$1459:$AZ$1459,1,OC_Name)))</f>
        <v/>
      </c>
      <c r="L1459">
        <f>IF(OC_Txn=0,"",IF(INDEX('OneCause_Paste'!$A$1459:$AZ$1459,1,OC_Txn)="","",INDEX('OneCause_Paste'!$A$1459:$AZ$1459,1,OC_Txn)))</f>
        <v/>
      </c>
      <c r="M1459">
        <f>IF(OC_Pay=0,"",IF(INDEX('OneCause_Paste'!$A$1459:$AZ$1459,1,OC_Pay)="","",INDEX('OneCause_Paste'!$A$1459:$AZ$1459,1,OC_Pay)))</f>
        <v/>
      </c>
      <c r="N1459">
        <f>IF(I1459="","",IF(ISNUMBER(I1459),INT(I1459),IFERROR(INT(DATEVALUE(I1459)),IFERROR(INT(VALUE(I1459)),"bad"))))</f>
        <v/>
      </c>
      <c r="O1459">
        <f>IF(J1459="","",IF(ISNUMBER(J1459),ROUND(J1459,2),IFERROR(ROUND(VALUE(SUBSTITUTE(SUBSTITUTE(SUBSTITUTE(J1459,"$",""),",","")," ","")),2),"bad")))</f>
        <v/>
      </c>
      <c r="P1459">
        <f>IF(TRIM(K1459)="","",IFERROR(MATCH(LOWER(TRIM(K1459)),'Students'!$AH$2:$AH$701,0),IFERROR(MATCH(LOWER(TRIM(K1459)),'Students'!$AF$2:$AF$701,0),IFERROR(MATCH(LOWER(TRIM(K1459)),'Students'!$AG$2:$AG$701,0),""))))</f>
        <v/>
      </c>
      <c r="R1459">
        <f>IF(P1459="","",INDEX('Students'!$AD$2:$AD$701,P1459))</f>
        <v/>
      </c>
      <c r="S1459">
        <f>IF(H1459="OK",O1459,0)</f>
        <v/>
      </c>
      <c r="T1459">
        <f>IF(H1459="OK",N1459,"")</f>
        <v/>
      </c>
      <c r="U1459">
        <f>IF(OC_Donor=0,"",IF(INDEX('OneCause_Paste'!$A$1459:$AZ$1459,1,OC_Donor)="","",INDEX('OneCause_Paste'!$A$1459:$AZ$1459,1,OC_Donor)))</f>
        <v/>
      </c>
    </row>
    <row r="1460">
      <c r="A1460" s="62">
        <f>IF(H1460="","",IF(ISNUMBER(N1460),N1460,I1460))</f>
        <v/>
      </c>
      <c r="B1460">
        <f>IF(H1460="","",U1460)</f>
        <v/>
      </c>
      <c r="C1460">
        <f>IF(H1460="","",IF(P1460="",K1460,INDEX('Students'!$A$2:$A$701,P1460)))</f>
        <v/>
      </c>
      <c r="D1460">
        <f>IF(OR(H1460="",P1460=""),"",INDEX('Students'!$B$2:$B$701,P1460))</f>
        <v/>
      </c>
      <c r="E1460">
        <f>IF(OR(H1460="",P1460=""),"",INDEX('Students'!$C$2:$C$701,P1460))</f>
        <v/>
      </c>
      <c r="F1460" s="48">
        <f>IF(H1460="","",IF(ISNUMBER(O1460),O1460,J1460))</f>
        <v/>
      </c>
      <c r="G1460">
        <f>IF(H1460="","","OneCause")</f>
        <v/>
      </c>
      <c r="H1460">
        <f>IF(AND(I1460="",J1460="",K1460=""),"",IF(NOT(ISNUMBER(O1460)),"Bad amount",IF(O1460&lt;0,"Refund (not counted)",IF(O1460=0,"Zero amount",IF(NOT(ISNUMBER(N1460)),"Bad date",IF(P1460="","NAME NOT ON ROSTER",IF(L1460="","OK",IF(MATCH(L1460,$L$2:$L$3001,0)&lt;ROW()-1,"Duplicate (ignored)","OK"))))))))</f>
        <v/>
      </c>
      <c r="I1460">
        <f>IF(OC_Date=0,"",IF(INDEX('OneCause_Paste'!$A$1460:$AZ$1460,1,OC_Date)="","",INDEX('OneCause_Paste'!$A$1460:$AZ$1460,1,OC_Date)))</f>
        <v/>
      </c>
      <c r="J1460">
        <f>IF(OC_Amt=0,"",IF(INDEX('OneCause_Paste'!$A$1460:$AZ$1460,1,OC_Amt)="","",INDEX('OneCause_Paste'!$A$1460:$AZ$1460,1,OC_Amt)))</f>
        <v/>
      </c>
      <c r="K1460">
        <f>IF(OC_Name=0,"",IF(INDEX('OneCause_Paste'!$A$1460:$AZ$1460,1,OC_Name)="","",INDEX('OneCause_Paste'!$A$1460:$AZ$1460,1,OC_Name)))</f>
        <v/>
      </c>
      <c r="L1460">
        <f>IF(OC_Txn=0,"",IF(INDEX('OneCause_Paste'!$A$1460:$AZ$1460,1,OC_Txn)="","",INDEX('OneCause_Paste'!$A$1460:$AZ$1460,1,OC_Txn)))</f>
        <v/>
      </c>
      <c r="M1460">
        <f>IF(OC_Pay=0,"",IF(INDEX('OneCause_Paste'!$A$1460:$AZ$1460,1,OC_Pay)="","",INDEX('OneCause_Paste'!$A$1460:$AZ$1460,1,OC_Pay)))</f>
        <v/>
      </c>
      <c r="N1460">
        <f>IF(I1460="","",IF(ISNUMBER(I1460),INT(I1460),IFERROR(INT(DATEVALUE(I1460)),IFERROR(INT(VALUE(I1460)),"bad"))))</f>
        <v/>
      </c>
      <c r="O1460">
        <f>IF(J1460="","",IF(ISNUMBER(J1460),ROUND(J1460,2),IFERROR(ROUND(VALUE(SUBSTITUTE(SUBSTITUTE(SUBSTITUTE(J1460,"$",""),",","")," ","")),2),"bad")))</f>
        <v/>
      </c>
      <c r="P1460">
        <f>IF(TRIM(K1460)="","",IFERROR(MATCH(LOWER(TRIM(K1460)),'Students'!$AH$2:$AH$701,0),IFERROR(MATCH(LOWER(TRIM(K1460)),'Students'!$AF$2:$AF$701,0),IFERROR(MATCH(LOWER(TRIM(K1460)),'Students'!$AG$2:$AG$701,0),""))))</f>
        <v/>
      </c>
      <c r="R1460">
        <f>IF(P1460="","",INDEX('Students'!$AD$2:$AD$701,P1460))</f>
        <v/>
      </c>
      <c r="S1460">
        <f>IF(H1460="OK",O1460,0)</f>
        <v/>
      </c>
      <c r="T1460">
        <f>IF(H1460="OK",N1460,"")</f>
        <v/>
      </c>
      <c r="U1460">
        <f>IF(OC_Donor=0,"",IF(INDEX('OneCause_Paste'!$A$1460:$AZ$1460,1,OC_Donor)="","",INDEX('OneCause_Paste'!$A$1460:$AZ$1460,1,OC_Donor)))</f>
        <v/>
      </c>
    </row>
    <row r="1461">
      <c r="A1461" s="62">
        <f>IF(H1461="","",IF(ISNUMBER(N1461),N1461,I1461))</f>
        <v/>
      </c>
      <c r="B1461">
        <f>IF(H1461="","",U1461)</f>
        <v/>
      </c>
      <c r="C1461">
        <f>IF(H1461="","",IF(P1461="",K1461,INDEX('Students'!$A$2:$A$701,P1461)))</f>
        <v/>
      </c>
      <c r="D1461">
        <f>IF(OR(H1461="",P1461=""),"",INDEX('Students'!$B$2:$B$701,P1461))</f>
        <v/>
      </c>
      <c r="E1461">
        <f>IF(OR(H1461="",P1461=""),"",INDEX('Students'!$C$2:$C$701,P1461))</f>
        <v/>
      </c>
      <c r="F1461" s="48">
        <f>IF(H1461="","",IF(ISNUMBER(O1461),O1461,J1461))</f>
        <v/>
      </c>
      <c r="G1461">
        <f>IF(H1461="","","OneCause")</f>
        <v/>
      </c>
      <c r="H1461">
        <f>IF(AND(I1461="",J1461="",K1461=""),"",IF(NOT(ISNUMBER(O1461)),"Bad amount",IF(O1461&lt;0,"Refund (not counted)",IF(O1461=0,"Zero amount",IF(NOT(ISNUMBER(N1461)),"Bad date",IF(P1461="","NAME NOT ON ROSTER",IF(L1461="","OK",IF(MATCH(L1461,$L$2:$L$3001,0)&lt;ROW()-1,"Duplicate (ignored)","OK"))))))))</f>
        <v/>
      </c>
      <c r="I1461">
        <f>IF(OC_Date=0,"",IF(INDEX('OneCause_Paste'!$A$1461:$AZ$1461,1,OC_Date)="","",INDEX('OneCause_Paste'!$A$1461:$AZ$1461,1,OC_Date)))</f>
        <v/>
      </c>
      <c r="J1461">
        <f>IF(OC_Amt=0,"",IF(INDEX('OneCause_Paste'!$A$1461:$AZ$1461,1,OC_Amt)="","",INDEX('OneCause_Paste'!$A$1461:$AZ$1461,1,OC_Amt)))</f>
        <v/>
      </c>
      <c r="K1461">
        <f>IF(OC_Name=0,"",IF(INDEX('OneCause_Paste'!$A$1461:$AZ$1461,1,OC_Name)="","",INDEX('OneCause_Paste'!$A$1461:$AZ$1461,1,OC_Name)))</f>
        <v/>
      </c>
      <c r="L1461">
        <f>IF(OC_Txn=0,"",IF(INDEX('OneCause_Paste'!$A$1461:$AZ$1461,1,OC_Txn)="","",INDEX('OneCause_Paste'!$A$1461:$AZ$1461,1,OC_Txn)))</f>
        <v/>
      </c>
      <c r="M1461">
        <f>IF(OC_Pay=0,"",IF(INDEX('OneCause_Paste'!$A$1461:$AZ$1461,1,OC_Pay)="","",INDEX('OneCause_Paste'!$A$1461:$AZ$1461,1,OC_Pay)))</f>
        <v/>
      </c>
      <c r="N1461">
        <f>IF(I1461="","",IF(ISNUMBER(I1461),INT(I1461),IFERROR(INT(DATEVALUE(I1461)),IFERROR(INT(VALUE(I1461)),"bad"))))</f>
        <v/>
      </c>
      <c r="O1461">
        <f>IF(J1461="","",IF(ISNUMBER(J1461),ROUND(J1461,2),IFERROR(ROUND(VALUE(SUBSTITUTE(SUBSTITUTE(SUBSTITUTE(J1461,"$",""),",","")," ","")),2),"bad")))</f>
        <v/>
      </c>
      <c r="P1461">
        <f>IF(TRIM(K1461)="","",IFERROR(MATCH(LOWER(TRIM(K1461)),'Students'!$AH$2:$AH$701,0),IFERROR(MATCH(LOWER(TRIM(K1461)),'Students'!$AF$2:$AF$701,0),IFERROR(MATCH(LOWER(TRIM(K1461)),'Students'!$AG$2:$AG$701,0),""))))</f>
        <v/>
      </c>
      <c r="R1461">
        <f>IF(P1461="","",INDEX('Students'!$AD$2:$AD$701,P1461))</f>
        <v/>
      </c>
      <c r="S1461">
        <f>IF(H1461="OK",O1461,0)</f>
        <v/>
      </c>
      <c r="T1461">
        <f>IF(H1461="OK",N1461,"")</f>
        <v/>
      </c>
      <c r="U1461">
        <f>IF(OC_Donor=0,"",IF(INDEX('OneCause_Paste'!$A$1461:$AZ$1461,1,OC_Donor)="","",INDEX('OneCause_Paste'!$A$1461:$AZ$1461,1,OC_Donor)))</f>
        <v/>
      </c>
    </row>
    <row r="1462">
      <c r="A1462" s="62">
        <f>IF(H1462="","",IF(ISNUMBER(N1462),N1462,I1462))</f>
        <v/>
      </c>
      <c r="B1462">
        <f>IF(H1462="","",U1462)</f>
        <v/>
      </c>
      <c r="C1462">
        <f>IF(H1462="","",IF(P1462="",K1462,INDEX('Students'!$A$2:$A$701,P1462)))</f>
        <v/>
      </c>
      <c r="D1462">
        <f>IF(OR(H1462="",P1462=""),"",INDEX('Students'!$B$2:$B$701,P1462))</f>
        <v/>
      </c>
      <c r="E1462">
        <f>IF(OR(H1462="",P1462=""),"",INDEX('Students'!$C$2:$C$701,P1462))</f>
        <v/>
      </c>
      <c r="F1462" s="48">
        <f>IF(H1462="","",IF(ISNUMBER(O1462),O1462,J1462))</f>
        <v/>
      </c>
      <c r="G1462">
        <f>IF(H1462="","","OneCause")</f>
        <v/>
      </c>
      <c r="H1462">
        <f>IF(AND(I1462="",J1462="",K1462=""),"",IF(NOT(ISNUMBER(O1462)),"Bad amount",IF(O1462&lt;0,"Refund (not counted)",IF(O1462=0,"Zero amount",IF(NOT(ISNUMBER(N1462)),"Bad date",IF(P1462="","NAME NOT ON ROSTER",IF(L1462="","OK",IF(MATCH(L1462,$L$2:$L$3001,0)&lt;ROW()-1,"Duplicate (ignored)","OK"))))))))</f>
        <v/>
      </c>
      <c r="I1462">
        <f>IF(OC_Date=0,"",IF(INDEX('OneCause_Paste'!$A$1462:$AZ$1462,1,OC_Date)="","",INDEX('OneCause_Paste'!$A$1462:$AZ$1462,1,OC_Date)))</f>
        <v/>
      </c>
      <c r="J1462">
        <f>IF(OC_Amt=0,"",IF(INDEX('OneCause_Paste'!$A$1462:$AZ$1462,1,OC_Amt)="","",INDEX('OneCause_Paste'!$A$1462:$AZ$1462,1,OC_Amt)))</f>
        <v/>
      </c>
      <c r="K1462">
        <f>IF(OC_Name=0,"",IF(INDEX('OneCause_Paste'!$A$1462:$AZ$1462,1,OC_Name)="","",INDEX('OneCause_Paste'!$A$1462:$AZ$1462,1,OC_Name)))</f>
        <v/>
      </c>
      <c r="L1462">
        <f>IF(OC_Txn=0,"",IF(INDEX('OneCause_Paste'!$A$1462:$AZ$1462,1,OC_Txn)="","",INDEX('OneCause_Paste'!$A$1462:$AZ$1462,1,OC_Txn)))</f>
        <v/>
      </c>
      <c r="M1462">
        <f>IF(OC_Pay=0,"",IF(INDEX('OneCause_Paste'!$A$1462:$AZ$1462,1,OC_Pay)="","",INDEX('OneCause_Paste'!$A$1462:$AZ$1462,1,OC_Pay)))</f>
        <v/>
      </c>
      <c r="N1462">
        <f>IF(I1462="","",IF(ISNUMBER(I1462),INT(I1462),IFERROR(INT(DATEVALUE(I1462)),IFERROR(INT(VALUE(I1462)),"bad"))))</f>
        <v/>
      </c>
      <c r="O1462">
        <f>IF(J1462="","",IF(ISNUMBER(J1462),ROUND(J1462,2),IFERROR(ROUND(VALUE(SUBSTITUTE(SUBSTITUTE(SUBSTITUTE(J1462,"$",""),",","")," ","")),2),"bad")))</f>
        <v/>
      </c>
      <c r="P1462">
        <f>IF(TRIM(K1462)="","",IFERROR(MATCH(LOWER(TRIM(K1462)),'Students'!$AH$2:$AH$701,0),IFERROR(MATCH(LOWER(TRIM(K1462)),'Students'!$AF$2:$AF$701,0),IFERROR(MATCH(LOWER(TRIM(K1462)),'Students'!$AG$2:$AG$701,0),""))))</f>
        <v/>
      </c>
      <c r="R1462">
        <f>IF(P1462="","",INDEX('Students'!$AD$2:$AD$701,P1462))</f>
        <v/>
      </c>
      <c r="S1462">
        <f>IF(H1462="OK",O1462,0)</f>
        <v/>
      </c>
      <c r="T1462">
        <f>IF(H1462="OK",N1462,"")</f>
        <v/>
      </c>
      <c r="U1462">
        <f>IF(OC_Donor=0,"",IF(INDEX('OneCause_Paste'!$A$1462:$AZ$1462,1,OC_Donor)="","",INDEX('OneCause_Paste'!$A$1462:$AZ$1462,1,OC_Donor)))</f>
        <v/>
      </c>
    </row>
    <row r="1463">
      <c r="A1463" s="62">
        <f>IF(H1463="","",IF(ISNUMBER(N1463),N1463,I1463))</f>
        <v/>
      </c>
      <c r="B1463">
        <f>IF(H1463="","",U1463)</f>
        <v/>
      </c>
      <c r="C1463">
        <f>IF(H1463="","",IF(P1463="",K1463,INDEX('Students'!$A$2:$A$701,P1463)))</f>
        <v/>
      </c>
      <c r="D1463">
        <f>IF(OR(H1463="",P1463=""),"",INDEX('Students'!$B$2:$B$701,P1463))</f>
        <v/>
      </c>
      <c r="E1463">
        <f>IF(OR(H1463="",P1463=""),"",INDEX('Students'!$C$2:$C$701,P1463))</f>
        <v/>
      </c>
      <c r="F1463" s="48">
        <f>IF(H1463="","",IF(ISNUMBER(O1463),O1463,J1463))</f>
        <v/>
      </c>
      <c r="G1463">
        <f>IF(H1463="","","OneCause")</f>
        <v/>
      </c>
      <c r="H1463">
        <f>IF(AND(I1463="",J1463="",K1463=""),"",IF(NOT(ISNUMBER(O1463)),"Bad amount",IF(O1463&lt;0,"Refund (not counted)",IF(O1463=0,"Zero amount",IF(NOT(ISNUMBER(N1463)),"Bad date",IF(P1463="","NAME NOT ON ROSTER",IF(L1463="","OK",IF(MATCH(L1463,$L$2:$L$3001,0)&lt;ROW()-1,"Duplicate (ignored)","OK"))))))))</f>
        <v/>
      </c>
      <c r="I1463">
        <f>IF(OC_Date=0,"",IF(INDEX('OneCause_Paste'!$A$1463:$AZ$1463,1,OC_Date)="","",INDEX('OneCause_Paste'!$A$1463:$AZ$1463,1,OC_Date)))</f>
        <v/>
      </c>
      <c r="J1463">
        <f>IF(OC_Amt=0,"",IF(INDEX('OneCause_Paste'!$A$1463:$AZ$1463,1,OC_Amt)="","",INDEX('OneCause_Paste'!$A$1463:$AZ$1463,1,OC_Amt)))</f>
        <v/>
      </c>
      <c r="K1463">
        <f>IF(OC_Name=0,"",IF(INDEX('OneCause_Paste'!$A$1463:$AZ$1463,1,OC_Name)="","",INDEX('OneCause_Paste'!$A$1463:$AZ$1463,1,OC_Name)))</f>
        <v/>
      </c>
      <c r="L1463">
        <f>IF(OC_Txn=0,"",IF(INDEX('OneCause_Paste'!$A$1463:$AZ$1463,1,OC_Txn)="","",INDEX('OneCause_Paste'!$A$1463:$AZ$1463,1,OC_Txn)))</f>
        <v/>
      </c>
      <c r="M1463">
        <f>IF(OC_Pay=0,"",IF(INDEX('OneCause_Paste'!$A$1463:$AZ$1463,1,OC_Pay)="","",INDEX('OneCause_Paste'!$A$1463:$AZ$1463,1,OC_Pay)))</f>
        <v/>
      </c>
      <c r="N1463">
        <f>IF(I1463="","",IF(ISNUMBER(I1463),INT(I1463),IFERROR(INT(DATEVALUE(I1463)),IFERROR(INT(VALUE(I1463)),"bad"))))</f>
        <v/>
      </c>
      <c r="O1463">
        <f>IF(J1463="","",IF(ISNUMBER(J1463),ROUND(J1463,2),IFERROR(ROUND(VALUE(SUBSTITUTE(SUBSTITUTE(SUBSTITUTE(J1463,"$",""),",","")," ","")),2),"bad")))</f>
        <v/>
      </c>
      <c r="P1463">
        <f>IF(TRIM(K1463)="","",IFERROR(MATCH(LOWER(TRIM(K1463)),'Students'!$AH$2:$AH$701,0),IFERROR(MATCH(LOWER(TRIM(K1463)),'Students'!$AF$2:$AF$701,0),IFERROR(MATCH(LOWER(TRIM(K1463)),'Students'!$AG$2:$AG$701,0),""))))</f>
        <v/>
      </c>
      <c r="R1463">
        <f>IF(P1463="","",INDEX('Students'!$AD$2:$AD$701,P1463))</f>
        <v/>
      </c>
      <c r="S1463">
        <f>IF(H1463="OK",O1463,0)</f>
        <v/>
      </c>
      <c r="T1463">
        <f>IF(H1463="OK",N1463,"")</f>
        <v/>
      </c>
      <c r="U1463">
        <f>IF(OC_Donor=0,"",IF(INDEX('OneCause_Paste'!$A$1463:$AZ$1463,1,OC_Donor)="","",INDEX('OneCause_Paste'!$A$1463:$AZ$1463,1,OC_Donor)))</f>
        <v/>
      </c>
    </row>
    <row r="1464">
      <c r="A1464" s="62">
        <f>IF(H1464="","",IF(ISNUMBER(N1464),N1464,I1464))</f>
        <v/>
      </c>
      <c r="B1464">
        <f>IF(H1464="","",U1464)</f>
        <v/>
      </c>
      <c r="C1464">
        <f>IF(H1464="","",IF(P1464="",K1464,INDEX('Students'!$A$2:$A$701,P1464)))</f>
        <v/>
      </c>
      <c r="D1464">
        <f>IF(OR(H1464="",P1464=""),"",INDEX('Students'!$B$2:$B$701,P1464))</f>
        <v/>
      </c>
      <c r="E1464">
        <f>IF(OR(H1464="",P1464=""),"",INDEX('Students'!$C$2:$C$701,P1464))</f>
        <v/>
      </c>
      <c r="F1464" s="48">
        <f>IF(H1464="","",IF(ISNUMBER(O1464),O1464,J1464))</f>
        <v/>
      </c>
      <c r="G1464">
        <f>IF(H1464="","","OneCause")</f>
        <v/>
      </c>
      <c r="H1464">
        <f>IF(AND(I1464="",J1464="",K1464=""),"",IF(NOT(ISNUMBER(O1464)),"Bad amount",IF(O1464&lt;0,"Refund (not counted)",IF(O1464=0,"Zero amount",IF(NOT(ISNUMBER(N1464)),"Bad date",IF(P1464="","NAME NOT ON ROSTER",IF(L1464="","OK",IF(MATCH(L1464,$L$2:$L$3001,0)&lt;ROW()-1,"Duplicate (ignored)","OK"))))))))</f>
        <v/>
      </c>
      <c r="I1464">
        <f>IF(OC_Date=0,"",IF(INDEX('OneCause_Paste'!$A$1464:$AZ$1464,1,OC_Date)="","",INDEX('OneCause_Paste'!$A$1464:$AZ$1464,1,OC_Date)))</f>
        <v/>
      </c>
      <c r="J1464">
        <f>IF(OC_Amt=0,"",IF(INDEX('OneCause_Paste'!$A$1464:$AZ$1464,1,OC_Amt)="","",INDEX('OneCause_Paste'!$A$1464:$AZ$1464,1,OC_Amt)))</f>
        <v/>
      </c>
      <c r="K1464">
        <f>IF(OC_Name=0,"",IF(INDEX('OneCause_Paste'!$A$1464:$AZ$1464,1,OC_Name)="","",INDEX('OneCause_Paste'!$A$1464:$AZ$1464,1,OC_Name)))</f>
        <v/>
      </c>
      <c r="L1464">
        <f>IF(OC_Txn=0,"",IF(INDEX('OneCause_Paste'!$A$1464:$AZ$1464,1,OC_Txn)="","",INDEX('OneCause_Paste'!$A$1464:$AZ$1464,1,OC_Txn)))</f>
        <v/>
      </c>
      <c r="M1464">
        <f>IF(OC_Pay=0,"",IF(INDEX('OneCause_Paste'!$A$1464:$AZ$1464,1,OC_Pay)="","",INDEX('OneCause_Paste'!$A$1464:$AZ$1464,1,OC_Pay)))</f>
        <v/>
      </c>
      <c r="N1464">
        <f>IF(I1464="","",IF(ISNUMBER(I1464),INT(I1464),IFERROR(INT(DATEVALUE(I1464)),IFERROR(INT(VALUE(I1464)),"bad"))))</f>
        <v/>
      </c>
      <c r="O1464">
        <f>IF(J1464="","",IF(ISNUMBER(J1464),ROUND(J1464,2),IFERROR(ROUND(VALUE(SUBSTITUTE(SUBSTITUTE(SUBSTITUTE(J1464,"$",""),",","")," ","")),2),"bad")))</f>
        <v/>
      </c>
      <c r="P1464">
        <f>IF(TRIM(K1464)="","",IFERROR(MATCH(LOWER(TRIM(K1464)),'Students'!$AH$2:$AH$701,0),IFERROR(MATCH(LOWER(TRIM(K1464)),'Students'!$AF$2:$AF$701,0),IFERROR(MATCH(LOWER(TRIM(K1464)),'Students'!$AG$2:$AG$701,0),""))))</f>
        <v/>
      </c>
      <c r="R1464">
        <f>IF(P1464="","",INDEX('Students'!$AD$2:$AD$701,P1464))</f>
        <v/>
      </c>
      <c r="S1464">
        <f>IF(H1464="OK",O1464,0)</f>
        <v/>
      </c>
      <c r="T1464">
        <f>IF(H1464="OK",N1464,"")</f>
        <v/>
      </c>
      <c r="U1464">
        <f>IF(OC_Donor=0,"",IF(INDEX('OneCause_Paste'!$A$1464:$AZ$1464,1,OC_Donor)="","",INDEX('OneCause_Paste'!$A$1464:$AZ$1464,1,OC_Donor)))</f>
        <v/>
      </c>
    </row>
    <row r="1465">
      <c r="A1465" s="62">
        <f>IF(H1465="","",IF(ISNUMBER(N1465),N1465,I1465))</f>
        <v/>
      </c>
      <c r="B1465">
        <f>IF(H1465="","",U1465)</f>
        <v/>
      </c>
      <c r="C1465">
        <f>IF(H1465="","",IF(P1465="",K1465,INDEX('Students'!$A$2:$A$701,P1465)))</f>
        <v/>
      </c>
      <c r="D1465">
        <f>IF(OR(H1465="",P1465=""),"",INDEX('Students'!$B$2:$B$701,P1465))</f>
        <v/>
      </c>
      <c r="E1465">
        <f>IF(OR(H1465="",P1465=""),"",INDEX('Students'!$C$2:$C$701,P1465))</f>
        <v/>
      </c>
      <c r="F1465" s="48">
        <f>IF(H1465="","",IF(ISNUMBER(O1465),O1465,J1465))</f>
        <v/>
      </c>
      <c r="G1465">
        <f>IF(H1465="","","OneCause")</f>
        <v/>
      </c>
      <c r="H1465">
        <f>IF(AND(I1465="",J1465="",K1465=""),"",IF(NOT(ISNUMBER(O1465)),"Bad amount",IF(O1465&lt;0,"Refund (not counted)",IF(O1465=0,"Zero amount",IF(NOT(ISNUMBER(N1465)),"Bad date",IF(P1465="","NAME NOT ON ROSTER",IF(L1465="","OK",IF(MATCH(L1465,$L$2:$L$3001,0)&lt;ROW()-1,"Duplicate (ignored)","OK"))))))))</f>
        <v/>
      </c>
      <c r="I1465">
        <f>IF(OC_Date=0,"",IF(INDEX('OneCause_Paste'!$A$1465:$AZ$1465,1,OC_Date)="","",INDEX('OneCause_Paste'!$A$1465:$AZ$1465,1,OC_Date)))</f>
        <v/>
      </c>
      <c r="J1465">
        <f>IF(OC_Amt=0,"",IF(INDEX('OneCause_Paste'!$A$1465:$AZ$1465,1,OC_Amt)="","",INDEX('OneCause_Paste'!$A$1465:$AZ$1465,1,OC_Amt)))</f>
        <v/>
      </c>
      <c r="K1465">
        <f>IF(OC_Name=0,"",IF(INDEX('OneCause_Paste'!$A$1465:$AZ$1465,1,OC_Name)="","",INDEX('OneCause_Paste'!$A$1465:$AZ$1465,1,OC_Name)))</f>
        <v/>
      </c>
      <c r="L1465">
        <f>IF(OC_Txn=0,"",IF(INDEX('OneCause_Paste'!$A$1465:$AZ$1465,1,OC_Txn)="","",INDEX('OneCause_Paste'!$A$1465:$AZ$1465,1,OC_Txn)))</f>
        <v/>
      </c>
      <c r="M1465">
        <f>IF(OC_Pay=0,"",IF(INDEX('OneCause_Paste'!$A$1465:$AZ$1465,1,OC_Pay)="","",INDEX('OneCause_Paste'!$A$1465:$AZ$1465,1,OC_Pay)))</f>
        <v/>
      </c>
      <c r="N1465">
        <f>IF(I1465="","",IF(ISNUMBER(I1465),INT(I1465),IFERROR(INT(DATEVALUE(I1465)),IFERROR(INT(VALUE(I1465)),"bad"))))</f>
        <v/>
      </c>
      <c r="O1465">
        <f>IF(J1465="","",IF(ISNUMBER(J1465),ROUND(J1465,2),IFERROR(ROUND(VALUE(SUBSTITUTE(SUBSTITUTE(SUBSTITUTE(J1465,"$",""),",","")," ","")),2),"bad")))</f>
        <v/>
      </c>
      <c r="P1465">
        <f>IF(TRIM(K1465)="","",IFERROR(MATCH(LOWER(TRIM(K1465)),'Students'!$AH$2:$AH$701,0),IFERROR(MATCH(LOWER(TRIM(K1465)),'Students'!$AF$2:$AF$701,0),IFERROR(MATCH(LOWER(TRIM(K1465)),'Students'!$AG$2:$AG$701,0),""))))</f>
        <v/>
      </c>
      <c r="R1465">
        <f>IF(P1465="","",INDEX('Students'!$AD$2:$AD$701,P1465))</f>
        <v/>
      </c>
      <c r="S1465">
        <f>IF(H1465="OK",O1465,0)</f>
        <v/>
      </c>
      <c r="T1465">
        <f>IF(H1465="OK",N1465,"")</f>
        <v/>
      </c>
      <c r="U1465">
        <f>IF(OC_Donor=0,"",IF(INDEX('OneCause_Paste'!$A$1465:$AZ$1465,1,OC_Donor)="","",INDEX('OneCause_Paste'!$A$1465:$AZ$1465,1,OC_Donor)))</f>
        <v/>
      </c>
    </row>
    <row r="1466">
      <c r="A1466" s="62">
        <f>IF(H1466="","",IF(ISNUMBER(N1466),N1466,I1466))</f>
        <v/>
      </c>
      <c r="B1466">
        <f>IF(H1466="","",U1466)</f>
        <v/>
      </c>
      <c r="C1466">
        <f>IF(H1466="","",IF(P1466="",K1466,INDEX('Students'!$A$2:$A$701,P1466)))</f>
        <v/>
      </c>
      <c r="D1466">
        <f>IF(OR(H1466="",P1466=""),"",INDEX('Students'!$B$2:$B$701,P1466))</f>
        <v/>
      </c>
      <c r="E1466">
        <f>IF(OR(H1466="",P1466=""),"",INDEX('Students'!$C$2:$C$701,P1466))</f>
        <v/>
      </c>
      <c r="F1466" s="48">
        <f>IF(H1466="","",IF(ISNUMBER(O1466),O1466,J1466))</f>
        <v/>
      </c>
      <c r="G1466">
        <f>IF(H1466="","","OneCause")</f>
        <v/>
      </c>
      <c r="H1466">
        <f>IF(AND(I1466="",J1466="",K1466=""),"",IF(NOT(ISNUMBER(O1466)),"Bad amount",IF(O1466&lt;0,"Refund (not counted)",IF(O1466=0,"Zero amount",IF(NOT(ISNUMBER(N1466)),"Bad date",IF(P1466="","NAME NOT ON ROSTER",IF(L1466="","OK",IF(MATCH(L1466,$L$2:$L$3001,0)&lt;ROW()-1,"Duplicate (ignored)","OK"))))))))</f>
        <v/>
      </c>
      <c r="I1466">
        <f>IF(OC_Date=0,"",IF(INDEX('OneCause_Paste'!$A$1466:$AZ$1466,1,OC_Date)="","",INDEX('OneCause_Paste'!$A$1466:$AZ$1466,1,OC_Date)))</f>
        <v/>
      </c>
      <c r="J1466">
        <f>IF(OC_Amt=0,"",IF(INDEX('OneCause_Paste'!$A$1466:$AZ$1466,1,OC_Amt)="","",INDEX('OneCause_Paste'!$A$1466:$AZ$1466,1,OC_Amt)))</f>
        <v/>
      </c>
      <c r="K1466">
        <f>IF(OC_Name=0,"",IF(INDEX('OneCause_Paste'!$A$1466:$AZ$1466,1,OC_Name)="","",INDEX('OneCause_Paste'!$A$1466:$AZ$1466,1,OC_Name)))</f>
        <v/>
      </c>
      <c r="L1466">
        <f>IF(OC_Txn=0,"",IF(INDEX('OneCause_Paste'!$A$1466:$AZ$1466,1,OC_Txn)="","",INDEX('OneCause_Paste'!$A$1466:$AZ$1466,1,OC_Txn)))</f>
        <v/>
      </c>
      <c r="M1466">
        <f>IF(OC_Pay=0,"",IF(INDEX('OneCause_Paste'!$A$1466:$AZ$1466,1,OC_Pay)="","",INDEX('OneCause_Paste'!$A$1466:$AZ$1466,1,OC_Pay)))</f>
        <v/>
      </c>
      <c r="N1466">
        <f>IF(I1466="","",IF(ISNUMBER(I1466),INT(I1466),IFERROR(INT(DATEVALUE(I1466)),IFERROR(INT(VALUE(I1466)),"bad"))))</f>
        <v/>
      </c>
      <c r="O1466">
        <f>IF(J1466="","",IF(ISNUMBER(J1466),ROUND(J1466,2),IFERROR(ROUND(VALUE(SUBSTITUTE(SUBSTITUTE(SUBSTITUTE(J1466,"$",""),",","")," ","")),2),"bad")))</f>
        <v/>
      </c>
      <c r="P1466">
        <f>IF(TRIM(K1466)="","",IFERROR(MATCH(LOWER(TRIM(K1466)),'Students'!$AH$2:$AH$701,0),IFERROR(MATCH(LOWER(TRIM(K1466)),'Students'!$AF$2:$AF$701,0),IFERROR(MATCH(LOWER(TRIM(K1466)),'Students'!$AG$2:$AG$701,0),""))))</f>
        <v/>
      </c>
      <c r="R1466">
        <f>IF(P1466="","",INDEX('Students'!$AD$2:$AD$701,P1466))</f>
        <v/>
      </c>
      <c r="S1466">
        <f>IF(H1466="OK",O1466,0)</f>
        <v/>
      </c>
      <c r="T1466">
        <f>IF(H1466="OK",N1466,"")</f>
        <v/>
      </c>
      <c r="U1466">
        <f>IF(OC_Donor=0,"",IF(INDEX('OneCause_Paste'!$A$1466:$AZ$1466,1,OC_Donor)="","",INDEX('OneCause_Paste'!$A$1466:$AZ$1466,1,OC_Donor)))</f>
        <v/>
      </c>
    </row>
    <row r="1467">
      <c r="A1467" s="62">
        <f>IF(H1467="","",IF(ISNUMBER(N1467),N1467,I1467))</f>
        <v/>
      </c>
      <c r="B1467">
        <f>IF(H1467="","",U1467)</f>
        <v/>
      </c>
      <c r="C1467">
        <f>IF(H1467="","",IF(P1467="",K1467,INDEX('Students'!$A$2:$A$701,P1467)))</f>
        <v/>
      </c>
      <c r="D1467">
        <f>IF(OR(H1467="",P1467=""),"",INDEX('Students'!$B$2:$B$701,P1467))</f>
        <v/>
      </c>
      <c r="E1467">
        <f>IF(OR(H1467="",P1467=""),"",INDEX('Students'!$C$2:$C$701,P1467))</f>
        <v/>
      </c>
      <c r="F1467" s="48">
        <f>IF(H1467="","",IF(ISNUMBER(O1467),O1467,J1467))</f>
        <v/>
      </c>
      <c r="G1467">
        <f>IF(H1467="","","OneCause")</f>
        <v/>
      </c>
      <c r="H1467">
        <f>IF(AND(I1467="",J1467="",K1467=""),"",IF(NOT(ISNUMBER(O1467)),"Bad amount",IF(O1467&lt;0,"Refund (not counted)",IF(O1467=0,"Zero amount",IF(NOT(ISNUMBER(N1467)),"Bad date",IF(P1467="","NAME NOT ON ROSTER",IF(L1467="","OK",IF(MATCH(L1467,$L$2:$L$3001,0)&lt;ROW()-1,"Duplicate (ignored)","OK"))))))))</f>
        <v/>
      </c>
      <c r="I1467">
        <f>IF(OC_Date=0,"",IF(INDEX('OneCause_Paste'!$A$1467:$AZ$1467,1,OC_Date)="","",INDEX('OneCause_Paste'!$A$1467:$AZ$1467,1,OC_Date)))</f>
        <v/>
      </c>
      <c r="J1467">
        <f>IF(OC_Amt=0,"",IF(INDEX('OneCause_Paste'!$A$1467:$AZ$1467,1,OC_Amt)="","",INDEX('OneCause_Paste'!$A$1467:$AZ$1467,1,OC_Amt)))</f>
        <v/>
      </c>
      <c r="K1467">
        <f>IF(OC_Name=0,"",IF(INDEX('OneCause_Paste'!$A$1467:$AZ$1467,1,OC_Name)="","",INDEX('OneCause_Paste'!$A$1467:$AZ$1467,1,OC_Name)))</f>
        <v/>
      </c>
      <c r="L1467">
        <f>IF(OC_Txn=0,"",IF(INDEX('OneCause_Paste'!$A$1467:$AZ$1467,1,OC_Txn)="","",INDEX('OneCause_Paste'!$A$1467:$AZ$1467,1,OC_Txn)))</f>
        <v/>
      </c>
      <c r="M1467">
        <f>IF(OC_Pay=0,"",IF(INDEX('OneCause_Paste'!$A$1467:$AZ$1467,1,OC_Pay)="","",INDEX('OneCause_Paste'!$A$1467:$AZ$1467,1,OC_Pay)))</f>
        <v/>
      </c>
      <c r="N1467">
        <f>IF(I1467="","",IF(ISNUMBER(I1467),INT(I1467),IFERROR(INT(DATEVALUE(I1467)),IFERROR(INT(VALUE(I1467)),"bad"))))</f>
        <v/>
      </c>
      <c r="O1467">
        <f>IF(J1467="","",IF(ISNUMBER(J1467),ROUND(J1467,2),IFERROR(ROUND(VALUE(SUBSTITUTE(SUBSTITUTE(SUBSTITUTE(J1467,"$",""),",","")," ","")),2),"bad")))</f>
        <v/>
      </c>
      <c r="P1467">
        <f>IF(TRIM(K1467)="","",IFERROR(MATCH(LOWER(TRIM(K1467)),'Students'!$AH$2:$AH$701,0),IFERROR(MATCH(LOWER(TRIM(K1467)),'Students'!$AF$2:$AF$701,0),IFERROR(MATCH(LOWER(TRIM(K1467)),'Students'!$AG$2:$AG$701,0),""))))</f>
        <v/>
      </c>
      <c r="R1467">
        <f>IF(P1467="","",INDEX('Students'!$AD$2:$AD$701,P1467))</f>
        <v/>
      </c>
      <c r="S1467">
        <f>IF(H1467="OK",O1467,0)</f>
        <v/>
      </c>
      <c r="T1467">
        <f>IF(H1467="OK",N1467,"")</f>
        <v/>
      </c>
      <c r="U1467">
        <f>IF(OC_Donor=0,"",IF(INDEX('OneCause_Paste'!$A$1467:$AZ$1467,1,OC_Donor)="","",INDEX('OneCause_Paste'!$A$1467:$AZ$1467,1,OC_Donor)))</f>
        <v/>
      </c>
    </row>
    <row r="1468">
      <c r="A1468" s="62">
        <f>IF(H1468="","",IF(ISNUMBER(N1468),N1468,I1468))</f>
        <v/>
      </c>
      <c r="B1468">
        <f>IF(H1468="","",U1468)</f>
        <v/>
      </c>
      <c r="C1468">
        <f>IF(H1468="","",IF(P1468="",K1468,INDEX('Students'!$A$2:$A$701,P1468)))</f>
        <v/>
      </c>
      <c r="D1468">
        <f>IF(OR(H1468="",P1468=""),"",INDEX('Students'!$B$2:$B$701,P1468))</f>
        <v/>
      </c>
      <c r="E1468">
        <f>IF(OR(H1468="",P1468=""),"",INDEX('Students'!$C$2:$C$701,P1468))</f>
        <v/>
      </c>
      <c r="F1468" s="48">
        <f>IF(H1468="","",IF(ISNUMBER(O1468),O1468,J1468))</f>
        <v/>
      </c>
      <c r="G1468">
        <f>IF(H1468="","","OneCause")</f>
        <v/>
      </c>
      <c r="H1468">
        <f>IF(AND(I1468="",J1468="",K1468=""),"",IF(NOT(ISNUMBER(O1468)),"Bad amount",IF(O1468&lt;0,"Refund (not counted)",IF(O1468=0,"Zero amount",IF(NOT(ISNUMBER(N1468)),"Bad date",IF(P1468="","NAME NOT ON ROSTER",IF(L1468="","OK",IF(MATCH(L1468,$L$2:$L$3001,0)&lt;ROW()-1,"Duplicate (ignored)","OK"))))))))</f>
        <v/>
      </c>
      <c r="I1468">
        <f>IF(OC_Date=0,"",IF(INDEX('OneCause_Paste'!$A$1468:$AZ$1468,1,OC_Date)="","",INDEX('OneCause_Paste'!$A$1468:$AZ$1468,1,OC_Date)))</f>
        <v/>
      </c>
      <c r="J1468">
        <f>IF(OC_Amt=0,"",IF(INDEX('OneCause_Paste'!$A$1468:$AZ$1468,1,OC_Amt)="","",INDEX('OneCause_Paste'!$A$1468:$AZ$1468,1,OC_Amt)))</f>
        <v/>
      </c>
      <c r="K1468">
        <f>IF(OC_Name=0,"",IF(INDEX('OneCause_Paste'!$A$1468:$AZ$1468,1,OC_Name)="","",INDEX('OneCause_Paste'!$A$1468:$AZ$1468,1,OC_Name)))</f>
        <v/>
      </c>
      <c r="L1468">
        <f>IF(OC_Txn=0,"",IF(INDEX('OneCause_Paste'!$A$1468:$AZ$1468,1,OC_Txn)="","",INDEX('OneCause_Paste'!$A$1468:$AZ$1468,1,OC_Txn)))</f>
        <v/>
      </c>
      <c r="M1468">
        <f>IF(OC_Pay=0,"",IF(INDEX('OneCause_Paste'!$A$1468:$AZ$1468,1,OC_Pay)="","",INDEX('OneCause_Paste'!$A$1468:$AZ$1468,1,OC_Pay)))</f>
        <v/>
      </c>
      <c r="N1468">
        <f>IF(I1468="","",IF(ISNUMBER(I1468),INT(I1468),IFERROR(INT(DATEVALUE(I1468)),IFERROR(INT(VALUE(I1468)),"bad"))))</f>
        <v/>
      </c>
      <c r="O1468">
        <f>IF(J1468="","",IF(ISNUMBER(J1468),ROUND(J1468,2),IFERROR(ROUND(VALUE(SUBSTITUTE(SUBSTITUTE(SUBSTITUTE(J1468,"$",""),",","")," ","")),2),"bad")))</f>
        <v/>
      </c>
      <c r="P1468">
        <f>IF(TRIM(K1468)="","",IFERROR(MATCH(LOWER(TRIM(K1468)),'Students'!$AH$2:$AH$701,0),IFERROR(MATCH(LOWER(TRIM(K1468)),'Students'!$AF$2:$AF$701,0),IFERROR(MATCH(LOWER(TRIM(K1468)),'Students'!$AG$2:$AG$701,0),""))))</f>
        <v/>
      </c>
      <c r="R1468">
        <f>IF(P1468="","",INDEX('Students'!$AD$2:$AD$701,P1468))</f>
        <v/>
      </c>
      <c r="S1468">
        <f>IF(H1468="OK",O1468,0)</f>
        <v/>
      </c>
      <c r="T1468">
        <f>IF(H1468="OK",N1468,"")</f>
        <v/>
      </c>
      <c r="U1468">
        <f>IF(OC_Donor=0,"",IF(INDEX('OneCause_Paste'!$A$1468:$AZ$1468,1,OC_Donor)="","",INDEX('OneCause_Paste'!$A$1468:$AZ$1468,1,OC_Donor)))</f>
        <v/>
      </c>
    </row>
    <row r="1469">
      <c r="A1469" s="62">
        <f>IF(H1469="","",IF(ISNUMBER(N1469),N1469,I1469))</f>
        <v/>
      </c>
      <c r="B1469">
        <f>IF(H1469="","",U1469)</f>
        <v/>
      </c>
      <c r="C1469">
        <f>IF(H1469="","",IF(P1469="",K1469,INDEX('Students'!$A$2:$A$701,P1469)))</f>
        <v/>
      </c>
      <c r="D1469">
        <f>IF(OR(H1469="",P1469=""),"",INDEX('Students'!$B$2:$B$701,P1469))</f>
        <v/>
      </c>
      <c r="E1469">
        <f>IF(OR(H1469="",P1469=""),"",INDEX('Students'!$C$2:$C$701,P1469))</f>
        <v/>
      </c>
      <c r="F1469" s="48">
        <f>IF(H1469="","",IF(ISNUMBER(O1469),O1469,J1469))</f>
        <v/>
      </c>
      <c r="G1469">
        <f>IF(H1469="","","OneCause")</f>
        <v/>
      </c>
      <c r="H1469">
        <f>IF(AND(I1469="",J1469="",K1469=""),"",IF(NOT(ISNUMBER(O1469)),"Bad amount",IF(O1469&lt;0,"Refund (not counted)",IF(O1469=0,"Zero amount",IF(NOT(ISNUMBER(N1469)),"Bad date",IF(P1469="","NAME NOT ON ROSTER",IF(L1469="","OK",IF(MATCH(L1469,$L$2:$L$3001,0)&lt;ROW()-1,"Duplicate (ignored)","OK"))))))))</f>
        <v/>
      </c>
      <c r="I1469">
        <f>IF(OC_Date=0,"",IF(INDEX('OneCause_Paste'!$A$1469:$AZ$1469,1,OC_Date)="","",INDEX('OneCause_Paste'!$A$1469:$AZ$1469,1,OC_Date)))</f>
        <v/>
      </c>
      <c r="J1469">
        <f>IF(OC_Amt=0,"",IF(INDEX('OneCause_Paste'!$A$1469:$AZ$1469,1,OC_Amt)="","",INDEX('OneCause_Paste'!$A$1469:$AZ$1469,1,OC_Amt)))</f>
        <v/>
      </c>
      <c r="K1469">
        <f>IF(OC_Name=0,"",IF(INDEX('OneCause_Paste'!$A$1469:$AZ$1469,1,OC_Name)="","",INDEX('OneCause_Paste'!$A$1469:$AZ$1469,1,OC_Name)))</f>
        <v/>
      </c>
      <c r="L1469">
        <f>IF(OC_Txn=0,"",IF(INDEX('OneCause_Paste'!$A$1469:$AZ$1469,1,OC_Txn)="","",INDEX('OneCause_Paste'!$A$1469:$AZ$1469,1,OC_Txn)))</f>
        <v/>
      </c>
      <c r="M1469">
        <f>IF(OC_Pay=0,"",IF(INDEX('OneCause_Paste'!$A$1469:$AZ$1469,1,OC_Pay)="","",INDEX('OneCause_Paste'!$A$1469:$AZ$1469,1,OC_Pay)))</f>
        <v/>
      </c>
      <c r="N1469">
        <f>IF(I1469="","",IF(ISNUMBER(I1469),INT(I1469),IFERROR(INT(DATEVALUE(I1469)),IFERROR(INT(VALUE(I1469)),"bad"))))</f>
        <v/>
      </c>
      <c r="O1469">
        <f>IF(J1469="","",IF(ISNUMBER(J1469),ROUND(J1469,2),IFERROR(ROUND(VALUE(SUBSTITUTE(SUBSTITUTE(SUBSTITUTE(J1469,"$",""),",","")," ","")),2),"bad")))</f>
        <v/>
      </c>
      <c r="P1469">
        <f>IF(TRIM(K1469)="","",IFERROR(MATCH(LOWER(TRIM(K1469)),'Students'!$AH$2:$AH$701,0),IFERROR(MATCH(LOWER(TRIM(K1469)),'Students'!$AF$2:$AF$701,0),IFERROR(MATCH(LOWER(TRIM(K1469)),'Students'!$AG$2:$AG$701,0),""))))</f>
        <v/>
      </c>
      <c r="R1469">
        <f>IF(P1469="","",INDEX('Students'!$AD$2:$AD$701,P1469))</f>
        <v/>
      </c>
      <c r="S1469">
        <f>IF(H1469="OK",O1469,0)</f>
        <v/>
      </c>
      <c r="T1469">
        <f>IF(H1469="OK",N1469,"")</f>
        <v/>
      </c>
      <c r="U1469">
        <f>IF(OC_Donor=0,"",IF(INDEX('OneCause_Paste'!$A$1469:$AZ$1469,1,OC_Donor)="","",INDEX('OneCause_Paste'!$A$1469:$AZ$1469,1,OC_Donor)))</f>
        <v/>
      </c>
    </row>
    <row r="1470">
      <c r="A1470" s="62">
        <f>IF(H1470="","",IF(ISNUMBER(N1470),N1470,I1470))</f>
        <v/>
      </c>
      <c r="B1470">
        <f>IF(H1470="","",U1470)</f>
        <v/>
      </c>
      <c r="C1470">
        <f>IF(H1470="","",IF(P1470="",K1470,INDEX('Students'!$A$2:$A$701,P1470)))</f>
        <v/>
      </c>
      <c r="D1470">
        <f>IF(OR(H1470="",P1470=""),"",INDEX('Students'!$B$2:$B$701,P1470))</f>
        <v/>
      </c>
      <c r="E1470">
        <f>IF(OR(H1470="",P1470=""),"",INDEX('Students'!$C$2:$C$701,P1470))</f>
        <v/>
      </c>
      <c r="F1470" s="48">
        <f>IF(H1470="","",IF(ISNUMBER(O1470),O1470,J1470))</f>
        <v/>
      </c>
      <c r="G1470">
        <f>IF(H1470="","","OneCause")</f>
        <v/>
      </c>
      <c r="H1470">
        <f>IF(AND(I1470="",J1470="",K1470=""),"",IF(NOT(ISNUMBER(O1470)),"Bad amount",IF(O1470&lt;0,"Refund (not counted)",IF(O1470=0,"Zero amount",IF(NOT(ISNUMBER(N1470)),"Bad date",IF(P1470="","NAME NOT ON ROSTER",IF(L1470="","OK",IF(MATCH(L1470,$L$2:$L$3001,0)&lt;ROW()-1,"Duplicate (ignored)","OK"))))))))</f>
        <v/>
      </c>
      <c r="I1470">
        <f>IF(OC_Date=0,"",IF(INDEX('OneCause_Paste'!$A$1470:$AZ$1470,1,OC_Date)="","",INDEX('OneCause_Paste'!$A$1470:$AZ$1470,1,OC_Date)))</f>
        <v/>
      </c>
      <c r="J1470">
        <f>IF(OC_Amt=0,"",IF(INDEX('OneCause_Paste'!$A$1470:$AZ$1470,1,OC_Amt)="","",INDEX('OneCause_Paste'!$A$1470:$AZ$1470,1,OC_Amt)))</f>
        <v/>
      </c>
      <c r="K1470">
        <f>IF(OC_Name=0,"",IF(INDEX('OneCause_Paste'!$A$1470:$AZ$1470,1,OC_Name)="","",INDEX('OneCause_Paste'!$A$1470:$AZ$1470,1,OC_Name)))</f>
        <v/>
      </c>
      <c r="L1470">
        <f>IF(OC_Txn=0,"",IF(INDEX('OneCause_Paste'!$A$1470:$AZ$1470,1,OC_Txn)="","",INDEX('OneCause_Paste'!$A$1470:$AZ$1470,1,OC_Txn)))</f>
        <v/>
      </c>
      <c r="M1470">
        <f>IF(OC_Pay=0,"",IF(INDEX('OneCause_Paste'!$A$1470:$AZ$1470,1,OC_Pay)="","",INDEX('OneCause_Paste'!$A$1470:$AZ$1470,1,OC_Pay)))</f>
        <v/>
      </c>
      <c r="N1470">
        <f>IF(I1470="","",IF(ISNUMBER(I1470),INT(I1470),IFERROR(INT(DATEVALUE(I1470)),IFERROR(INT(VALUE(I1470)),"bad"))))</f>
        <v/>
      </c>
      <c r="O1470">
        <f>IF(J1470="","",IF(ISNUMBER(J1470),ROUND(J1470,2),IFERROR(ROUND(VALUE(SUBSTITUTE(SUBSTITUTE(SUBSTITUTE(J1470,"$",""),",","")," ","")),2),"bad")))</f>
        <v/>
      </c>
      <c r="P1470">
        <f>IF(TRIM(K1470)="","",IFERROR(MATCH(LOWER(TRIM(K1470)),'Students'!$AH$2:$AH$701,0),IFERROR(MATCH(LOWER(TRIM(K1470)),'Students'!$AF$2:$AF$701,0),IFERROR(MATCH(LOWER(TRIM(K1470)),'Students'!$AG$2:$AG$701,0),""))))</f>
        <v/>
      </c>
      <c r="R1470">
        <f>IF(P1470="","",INDEX('Students'!$AD$2:$AD$701,P1470))</f>
        <v/>
      </c>
      <c r="S1470">
        <f>IF(H1470="OK",O1470,0)</f>
        <v/>
      </c>
      <c r="T1470">
        <f>IF(H1470="OK",N1470,"")</f>
        <v/>
      </c>
      <c r="U1470">
        <f>IF(OC_Donor=0,"",IF(INDEX('OneCause_Paste'!$A$1470:$AZ$1470,1,OC_Donor)="","",INDEX('OneCause_Paste'!$A$1470:$AZ$1470,1,OC_Donor)))</f>
        <v/>
      </c>
    </row>
    <row r="1471">
      <c r="A1471" s="62">
        <f>IF(H1471="","",IF(ISNUMBER(N1471),N1471,I1471))</f>
        <v/>
      </c>
      <c r="B1471">
        <f>IF(H1471="","",U1471)</f>
        <v/>
      </c>
      <c r="C1471">
        <f>IF(H1471="","",IF(P1471="",K1471,INDEX('Students'!$A$2:$A$701,P1471)))</f>
        <v/>
      </c>
      <c r="D1471">
        <f>IF(OR(H1471="",P1471=""),"",INDEX('Students'!$B$2:$B$701,P1471))</f>
        <v/>
      </c>
      <c r="E1471">
        <f>IF(OR(H1471="",P1471=""),"",INDEX('Students'!$C$2:$C$701,P1471))</f>
        <v/>
      </c>
      <c r="F1471" s="48">
        <f>IF(H1471="","",IF(ISNUMBER(O1471),O1471,J1471))</f>
        <v/>
      </c>
      <c r="G1471">
        <f>IF(H1471="","","OneCause")</f>
        <v/>
      </c>
      <c r="H1471">
        <f>IF(AND(I1471="",J1471="",K1471=""),"",IF(NOT(ISNUMBER(O1471)),"Bad amount",IF(O1471&lt;0,"Refund (not counted)",IF(O1471=0,"Zero amount",IF(NOT(ISNUMBER(N1471)),"Bad date",IF(P1471="","NAME NOT ON ROSTER",IF(L1471="","OK",IF(MATCH(L1471,$L$2:$L$3001,0)&lt;ROW()-1,"Duplicate (ignored)","OK"))))))))</f>
        <v/>
      </c>
      <c r="I1471">
        <f>IF(OC_Date=0,"",IF(INDEX('OneCause_Paste'!$A$1471:$AZ$1471,1,OC_Date)="","",INDEX('OneCause_Paste'!$A$1471:$AZ$1471,1,OC_Date)))</f>
        <v/>
      </c>
      <c r="J1471">
        <f>IF(OC_Amt=0,"",IF(INDEX('OneCause_Paste'!$A$1471:$AZ$1471,1,OC_Amt)="","",INDEX('OneCause_Paste'!$A$1471:$AZ$1471,1,OC_Amt)))</f>
        <v/>
      </c>
      <c r="K1471">
        <f>IF(OC_Name=0,"",IF(INDEX('OneCause_Paste'!$A$1471:$AZ$1471,1,OC_Name)="","",INDEX('OneCause_Paste'!$A$1471:$AZ$1471,1,OC_Name)))</f>
        <v/>
      </c>
      <c r="L1471">
        <f>IF(OC_Txn=0,"",IF(INDEX('OneCause_Paste'!$A$1471:$AZ$1471,1,OC_Txn)="","",INDEX('OneCause_Paste'!$A$1471:$AZ$1471,1,OC_Txn)))</f>
        <v/>
      </c>
      <c r="M1471">
        <f>IF(OC_Pay=0,"",IF(INDEX('OneCause_Paste'!$A$1471:$AZ$1471,1,OC_Pay)="","",INDEX('OneCause_Paste'!$A$1471:$AZ$1471,1,OC_Pay)))</f>
        <v/>
      </c>
      <c r="N1471">
        <f>IF(I1471="","",IF(ISNUMBER(I1471),INT(I1471),IFERROR(INT(DATEVALUE(I1471)),IFERROR(INT(VALUE(I1471)),"bad"))))</f>
        <v/>
      </c>
      <c r="O1471">
        <f>IF(J1471="","",IF(ISNUMBER(J1471),ROUND(J1471,2),IFERROR(ROUND(VALUE(SUBSTITUTE(SUBSTITUTE(SUBSTITUTE(J1471,"$",""),",","")," ","")),2),"bad")))</f>
        <v/>
      </c>
      <c r="P1471">
        <f>IF(TRIM(K1471)="","",IFERROR(MATCH(LOWER(TRIM(K1471)),'Students'!$AH$2:$AH$701,0),IFERROR(MATCH(LOWER(TRIM(K1471)),'Students'!$AF$2:$AF$701,0),IFERROR(MATCH(LOWER(TRIM(K1471)),'Students'!$AG$2:$AG$701,0),""))))</f>
        <v/>
      </c>
      <c r="R1471">
        <f>IF(P1471="","",INDEX('Students'!$AD$2:$AD$701,P1471))</f>
        <v/>
      </c>
      <c r="S1471">
        <f>IF(H1471="OK",O1471,0)</f>
        <v/>
      </c>
      <c r="T1471">
        <f>IF(H1471="OK",N1471,"")</f>
        <v/>
      </c>
      <c r="U1471">
        <f>IF(OC_Donor=0,"",IF(INDEX('OneCause_Paste'!$A$1471:$AZ$1471,1,OC_Donor)="","",INDEX('OneCause_Paste'!$A$1471:$AZ$1471,1,OC_Donor)))</f>
        <v/>
      </c>
    </row>
    <row r="1472">
      <c r="A1472" s="62">
        <f>IF(H1472="","",IF(ISNUMBER(N1472),N1472,I1472))</f>
        <v/>
      </c>
      <c r="B1472">
        <f>IF(H1472="","",U1472)</f>
        <v/>
      </c>
      <c r="C1472">
        <f>IF(H1472="","",IF(P1472="",K1472,INDEX('Students'!$A$2:$A$701,P1472)))</f>
        <v/>
      </c>
      <c r="D1472">
        <f>IF(OR(H1472="",P1472=""),"",INDEX('Students'!$B$2:$B$701,P1472))</f>
        <v/>
      </c>
      <c r="E1472">
        <f>IF(OR(H1472="",P1472=""),"",INDEX('Students'!$C$2:$C$701,P1472))</f>
        <v/>
      </c>
      <c r="F1472" s="48">
        <f>IF(H1472="","",IF(ISNUMBER(O1472),O1472,J1472))</f>
        <v/>
      </c>
      <c r="G1472">
        <f>IF(H1472="","","OneCause")</f>
        <v/>
      </c>
      <c r="H1472">
        <f>IF(AND(I1472="",J1472="",K1472=""),"",IF(NOT(ISNUMBER(O1472)),"Bad amount",IF(O1472&lt;0,"Refund (not counted)",IF(O1472=0,"Zero amount",IF(NOT(ISNUMBER(N1472)),"Bad date",IF(P1472="","NAME NOT ON ROSTER",IF(L1472="","OK",IF(MATCH(L1472,$L$2:$L$3001,0)&lt;ROW()-1,"Duplicate (ignored)","OK"))))))))</f>
        <v/>
      </c>
      <c r="I1472">
        <f>IF(OC_Date=0,"",IF(INDEX('OneCause_Paste'!$A$1472:$AZ$1472,1,OC_Date)="","",INDEX('OneCause_Paste'!$A$1472:$AZ$1472,1,OC_Date)))</f>
        <v/>
      </c>
      <c r="J1472">
        <f>IF(OC_Amt=0,"",IF(INDEX('OneCause_Paste'!$A$1472:$AZ$1472,1,OC_Amt)="","",INDEX('OneCause_Paste'!$A$1472:$AZ$1472,1,OC_Amt)))</f>
        <v/>
      </c>
      <c r="K1472">
        <f>IF(OC_Name=0,"",IF(INDEX('OneCause_Paste'!$A$1472:$AZ$1472,1,OC_Name)="","",INDEX('OneCause_Paste'!$A$1472:$AZ$1472,1,OC_Name)))</f>
        <v/>
      </c>
      <c r="L1472">
        <f>IF(OC_Txn=0,"",IF(INDEX('OneCause_Paste'!$A$1472:$AZ$1472,1,OC_Txn)="","",INDEX('OneCause_Paste'!$A$1472:$AZ$1472,1,OC_Txn)))</f>
        <v/>
      </c>
      <c r="M1472">
        <f>IF(OC_Pay=0,"",IF(INDEX('OneCause_Paste'!$A$1472:$AZ$1472,1,OC_Pay)="","",INDEX('OneCause_Paste'!$A$1472:$AZ$1472,1,OC_Pay)))</f>
        <v/>
      </c>
      <c r="N1472">
        <f>IF(I1472="","",IF(ISNUMBER(I1472),INT(I1472),IFERROR(INT(DATEVALUE(I1472)),IFERROR(INT(VALUE(I1472)),"bad"))))</f>
        <v/>
      </c>
      <c r="O1472">
        <f>IF(J1472="","",IF(ISNUMBER(J1472),ROUND(J1472,2),IFERROR(ROUND(VALUE(SUBSTITUTE(SUBSTITUTE(SUBSTITUTE(J1472,"$",""),",","")," ","")),2),"bad")))</f>
        <v/>
      </c>
      <c r="P1472">
        <f>IF(TRIM(K1472)="","",IFERROR(MATCH(LOWER(TRIM(K1472)),'Students'!$AH$2:$AH$701,0),IFERROR(MATCH(LOWER(TRIM(K1472)),'Students'!$AF$2:$AF$701,0),IFERROR(MATCH(LOWER(TRIM(K1472)),'Students'!$AG$2:$AG$701,0),""))))</f>
        <v/>
      </c>
      <c r="R1472">
        <f>IF(P1472="","",INDEX('Students'!$AD$2:$AD$701,P1472))</f>
        <v/>
      </c>
      <c r="S1472">
        <f>IF(H1472="OK",O1472,0)</f>
        <v/>
      </c>
      <c r="T1472">
        <f>IF(H1472="OK",N1472,"")</f>
        <v/>
      </c>
      <c r="U1472">
        <f>IF(OC_Donor=0,"",IF(INDEX('OneCause_Paste'!$A$1472:$AZ$1472,1,OC_Donor)="","",INDEX('OneCause_Paste'!$A$1472:$AZ$1472,1,OC_Donor)))</f>
        <v/>
      </c>
    </row>
    <row r="1473">
      <c r="A1473" s="62">
        <f>IF(H1473="","",IF(ISNUMBER(N1473),N1473,I1473))</f>
        <v/>
      </c>
      <c r="B1473">
        <f>IF(H1473="","",U1473)</f>
        <v/>
      </c>
      <c r="C1473">
        <f>IF(H1473="","",IF(P1473="",K1473,INDEX('Students'!$A$2:$A$701,P1473)))</f>
        <v/>
      </c>
      <c r="D1473">
        <f>IF(OR(H1473="",P1473=""),"",INDEX('Students'!$B$2:$B$701,P1473))</f>
        <v/>
      </c>
      <c r="E1473">
        <f>IF(OR(H1473="",P1473=""),"",INDEX('Students'!$C$2:$C$701,P1473))</f>
        <v/>
      </c>
      <c r="F1473" s="48">
        <f>IF(H1473="","",IF(ISNUMBER(O1473),O1473,J1473))</f>
        <v/>
      </c>
      <c r="G1473">
        <f>IF(H1473="","","OneCause")</f>
        <v/>
      </c>
      <c r="H1473">
        <f>IF(AND(I1473="",J1473="",K1473=""),"",IF(NOT(ISNUMBER(O1473)),"Bad amount",IF(O1473&lt;0,"Refund (not counted)",IF(O1473=0,"Zero amount",IF(NOT(ISNUMBER(N1473)),"Bad date",IF(P1473="","NAME NOT ON ROSTER",IF(L1473="","OK",IF(MATCH(L1473,$L$2:$L$3001,0)&lt;ROW()-1,"Duplicate (ignored)","OK"))))))))</f>
        <v/>
      </c>
      <c r="I1473">
        <f>IF(OC_Date=0,"",IF(INDEX('OneCause_Paste'!$A$1473:$AZ$1473,1,OC_Date)="","",INDEX('OneCause_Paste'!$A$1473:$AZ$1473,1,OC_Date)))</f>
        <v/>
      </c>
      <c r="J1473">
        <f>IF(OC_Amt=0,"",IF(INDEX('OneCause_Paste'!$A$1473:$AZ$1473,1,OC_Amt)="","",INDEX('OneCause_Paste'!$A$1473:$AZ$1473,1,OC_Amt)))</f>
        <v/>
      </c>
      <c r="K1473">
        <f>IF(OC_Name=0,"",IF(INDEX('OneCause_Paste'!$A$1473:$AZ$1473,1,OC_Name)="","",INDEX('OneCause_Paste'!$A$1473:$AZ$1473,1,OC_Name)))</f>
        <v/>
      </c>
      <c r="L1473">
        <f>IF(OC_Txn=0,"",IF(INDEX('OneCause_Paste'!$A$1473:$AZ$1473,1,OC_Txn)="","",INDEX('OneCause_Paste'!$A$1473:$AZ$1473,1,OC_Txn)))</f>
        <v/>
      </c>
      <c r="M1473">
        <f>IF(OC_Pay=0,"",IF(INDEX('OneCause_Paste'!$A$1473:$AZ$1473,1,OC_Pay)="","",INDEX('OneCause_Paste'!$A$1473:$AZ$1473,1,OC_Pay)))</f>
        <v/>
      </c>
      <c r="N1473">
        <f>IF(I1473="","",IF(ISNUMBER(I1473),INT(I1473),IFERROR(INT(DATEVALUE(I1473)),IFERROR(INT(VALUE(I1473)),"bad"))))</f>
        <v/>
      </c>
      <c r="O1473">
        <f>IF(J1473="","",IF(ISNUMBER(J1473),ROUND(J1473,2),IFERROR(ROUND(VALUE(SUBSTITUTE(SUBSTITUTE(SUBSTITUTE(J1473,"$",""),",","")," ","")),2),"bad")))</f>
        <v/>
      </c>
      <c r="P1473">
        <f>IF(TRIM(K1473)="","",IFERROR(MATCH(LOWER(TRIM(K1473)),'Students'!$AH$2:$AH$701,0),IFERROR(MATCH(LOWER(TRIM(K1473)),'Students'!$AF$2:$AF$701,0),IFERROR(MATCH(LOWER(TRIM(K1473)),'Students'!$AG$2:$AG$701,0),""))))</f>
        <v/>
      </c>
      <c r="R1473">
        <f>IF(P1473="","",INDEX('Students'!$AD$2:$AD$701,P1473))</f>
        <v/>
      </c>
      <c r="S1473">
        <f>IF(H1473="OK",O1473,0)</f>
        <v/>
      </c>
      <c r="T1473">
        <f>IF(H1473="OK",N1473,"")</f>
        <v/>
      </c>
      <c r="U1473">
        <f>IF(OC_Donor=0,"",IF(INDEX('OneCause_Paste'!$A$1473:$AZ$1473,1,OC_Donor)="","",INDEX('OneCause_Paste'!$A$1473:$AZ$1473,1,OC_Donor)))</f>
        <v/>
      </c>
    </row>
    <row r="1474">
      <c r="A1474" s="62">
        <f>IF(H1474="","",IF(ISNUMBER(N1474),N1474,I1474))</f>
        <v/>
      </c>
      <c r="B1474">
        <f>IF(H1474="","",U1474)</f>
        <v/>
      </c>
      <c r="C1474">
        <f>IF(H1474="","",IF(P1474="",K1474,INDEX('Students'!$A$2:$A$701,P1474)))</f>
        <v/>
      </c>
      <c r="D1474">
        <f>IF(OR(H1474="",P1474=""),"",INDEX('Students'!$B$2:$B$701,P1474))</f>
        <v/>
      </c>
      <c r="E1474">
        <f>IF(OR(H1474="",P1474=""),"",INDEX('Students'!$C$2:$C$701,P1474))</f>
        <v/>
      </c>
      <c r="F1474" s="48">
        <f>IF(H1474="","",IF(ISNUMBER(O1474),O1474,J1474))</f>
        <v/>
      </c>
      <c r="G1474">
        <f>IF(H1474="","","OneCause")</f>
        <v/>
      </c>
      <c r="H1474">
        <f>IF(AND(I1474="",J1474="",K1474=""),"",IF(NOT(ISNUMBER(O1474)),"Bad amount",IF(O1474&lt;0,"Refund (not counted)",IF(O1474=0,"Zero amount",IF(NOT(ISNUMBER(N1474)),"Bad date",IF(P1474="","NAME NOT ON ROSTER",IF(L1474="","OK",IF(MATCH(L1474,$L$2:$L$3001,0)&lt;ROW()-1,"Duplicate (ignored)","OK"))))))))</f>
        <v/>
      </c>
      <c r="I1474">
        <f>IF(OC_Date=0,"",IF(INDEX('OneCause_Paste'!$A$1474:$AZ$1474,1,OC_Date)="","",INDEX('OneCause_Paste'!$A$1474:$AZ$1474,1,OC_Date)))</f>
        <v/>
      </c>
      <c r="J1474">
        <f>IF(OC_Amt=0,"",IF(INDEX('OneCause_Paste'!$A$1474:$AZ$1474,1,OC_Amt)="","",INDEX('OneCause_Paste'!$A$1474:$AZ$1474,1,OC_Amt)))</f>
        <v/>
      </c>
      <c r="K1474">
        <f>IF(OC_Name=0,"",IF(INDEX('OneCause_Paste'!$A$1474:$AZ$1474,1,OC_Name)="","",INDEX('OneCause_Paste'!$A$1474:$AZ$1474,1,OC_Name)))</f>
        <v/>
      </c>
      <c r="L1474">
        <f>IF(OC_Txn=0,"",IF(INDEX('OneCause_Paste'!$A$1474:$AZ$1474,1,OC_Txn)="","",INDEX('OneCause_Paste'!$A$1474:$AZ$1474,1,OC_Txn)))</f>
        <v/>
      </c>
      <c r="M1474">
        <f>IF(OC_Pay=0,"",IF(INDEX('OneCause_Paste'!$A$1474:$AZ$1474,1,OC_Pay)="","",INDEX('OneCause_Paste'!$A$1474:$AZ$1474,1,OC_Pay)))</f>
        <v/>
      </c>
      <c r="N1474">
        <f>IF(I1474="","",IF(ISNUMBER(I1474),INT(I1474),IFERROR(INT(DATEVALUE(I1474)),IFERROR(INT(VALUE(I1474)),"bad"))))</f>
        <v/>
      </c>
      <c r="O1474">
        <f>IF(J1474="","",IF(ISNUMBER(J1474),ROUND(J1474,2),IFERROR(ROUND(VALUE(SUBSTITUTE(SUBSTITUTE(SUBSTITUTE(J1474,"$",""),",","")," ","")),2),"bad")))</f>
        <v/>
      </c>
      <c r="P1474">
        <f>IF(TRIM(K1474)="","",IFERROR(MATCH(LOWER(TRIM(K1474)),'Students'!$AH$2:$AH$701,0),IFERROR(MATCH(LOWER(TRIM(K1474)),'Students'!$AF$2:$AF$701,0),IFERROR(MATCH(LOWER(TRIM(K1474)),'Students'!$AG$2:$AG$701,0),""))))</f>
        <v/>
      </c>
      <c r="R1474">
        <f>IF(P1474="","",INDEX('Students'!$AD$2:$AD$701,P1474))</f>
        <v/>
      </c>
      <c r="S1474">
        <f>IF(H1474="OK",O1474,0)</f>
        <v/>
      </c>
      <c r="T1474">
        <f>IF(H1474="OK",N1474,"")</f>
        <v/>
      </c>
      <c r="U1474">
        <f>IF(OC_Donor=0,"",IF(INDEX('OneCause_Paste'!$A$1474:$AZ$1474,1,OC_Donor)="","",INDEX('OneCause_Paste'!$A$1474:$AZ$1474,1,OC_Donor)))</f>
        <v/>
      </c>
    </row>
    <row r="1475">
      <c r="A1475" s="62">
        <f>IF(H1475="","",IF(ISNUMBER(N1475),N1475,I1475))</f>
        <v/>
      </c>
      <c r="B1475">
        <f>IF(H1475="","",U1475)</f>
        <v/>
      </c>
      <c r="C1475">
        <f>IF(H1475="","",IF(P1475="",K1475,INDEX('Students'!$A$2:$A$701,P1475)))</f>
        <v/>
      </c>
      <c r="D1475">
        <f>IF(OR(H1475="",P1475=""),"",INDEX('Students'!$B$2:$B$701,P1475))</f>
        <v/>
      </c>
      <c r="E1475">
        <f>IF(OR(H1475="",P1475=""),"",INDEX('Students'!$C$2:$C$701,P1475))</f>
        <v/>
      </c>
      <c r="F1475" s="48">
        <f>IF(H1475="","",IF(ISNUMBER(O1475),O1475,J1475))</f>
        <v/>
      </c>
      <c r="G1475">
        <f>IF(H1475="","","OneCause")</f>
        <v/>
      </c>
      <c r="H1475">
        <f>IF(AND(I1475="",J1475="",K1475=""),"",IF(NOT(ISNUMBER(O1475)),"Bad amount",IF(O1475&lt;0,"Refund (not counted)",IF(O1475=0,"Zero amount",IF(NOT(ISNUMBER(N1475)),"Bad date",IF(P1475="","NAME NOT ON ROSTER",IF(L1475="","OK",IF(MATCH(L1475,$L$2:$L$3001,0)&lt;ROW()-1,"Duplicate (ignored)","OK"))))))))</f>
        <v/>
      </c>
      <c r="I1475">
        <f>IF(OC_Date=0,"",IF(INDEX('OneCause_Paste'!$A$1475:$AZ$1475,1,OC_Date)="","",INDEX('OneCause_Paste'!$A$1475:$AZ$1475,1,OC_Date)))</f>
        <v/>
      </c>
      <c r="J1475">
        <f>IF(OC_Amt=0,"",IF(INDEX('OneCause_Paste'!$A$1475:$AZ$1475,1,OC_Amt)="","",INDEX('OneCause_Paste'!$A$1475:$AZ$1475,1,OC_Amt)))</f>
        <v/>
      </c>
      <c r="K1475">
        <f>IF(OC_Name=0,"",IF(INDEX('OneCause_Paste'!$A$1475:$AZ$1475,1,OC_Name)="","",INDEX('OneCause_Paste'!$A$1475:$AZ$1475,1,OC_Name)))</f>
        <v/>
      </c>
      <c r="L1475">
        <f>IF(OC_Txn=0,"",IF(INDEX('OneCause_Paste'!$A$1475:$AZ$1475,1,OC_Txn)="","",INDEX('OneCause_Paste'!$A$1475:$AZ$1475,1,OC_Txn)))</f>
        <v/>
      </c>
      <c r="M1475">
        <f>IF(OC_Pay=0,"",IF(INDEX('OneCause_Paste'!$A$1475:$AZ$1475,1,OC_Pay)="","",INDEX('OneCause_Paste'!$A$1475:$AZ$1475,1,OC_Pay)))</f>
        <v/>
      </c>
      <c r="N1475">
        <f>IF(I1475="","",IF(ISNUMBER(I1475),INT(I1475),IFERROR(INT(DATEVALUE(I1475)),IFERROR(INT(VALUE(I1475)),"bad"))))</f>
        <v/>
      </c>
      <c r="O1475">
        <f>IF(J1475="","",IF(ISNUMBER(J1475),ROUND(J1475,2),IFERROR(ROUND(VALUE(SUBSTITUTE(SUBSTITUTE(SUBSTITUTE(J1475,"$",""),",","")," ","")),2),"bad")))</f>
        <v/>
      </c>
      <c r="P1475">
        <f>IF(TRIM(K1475)="","",IFERROR(MATCH(LOWER(TRIM(K1475)),'Students'!$AH$2:$AH$701,0),IFERROR(MATCH(LOWER(TRIM(K1475)),'Students'!$AF$2:$AF$701,0),IFERROR(MATCH(LOWER(TRIM(K1475)),'Students'!$AG$2:$AG$701,0),""))))</f>
        <v/>
      </c>
      <c r="R1475">
        <f>IF(P1475="","",INDEX('Students'!$AD$2:$AD$701,P1475))</f>
        <v/>
      </c>
      <c r="S1475">
        <f>IF(H1475="OK",O1475,0)</f>
        <v/>
      </c>
      <c r="T1475">
        <f>IF(H1475="OK",N1475,"")</f>
        <v/>
      </c>
      <c r="U1475">
        <f>IF(OC_Donor=0,"",IF(INDEX('OneCause_Paste'!$A$1475:$AZ$1475,1,OC_Donor)="","",INDEX('OneCause_Paste'!$A$1475:$AZ$1475,1,OC_Donor)))</f>
        <v/>
      </c>
    </row>
    <row r="1476">
      <c r="A1476" s="62">
        <f>IF(H1476="","",IF(ISNUMBER(N1476),N1476,I1476))</f>
        <v/>
      </c>
      <c r="B1476">
        <f>IF(H1476="","",U1476)</f>
        <v/>
      </c>
      <c r="C1476">
        <f>IF(H1476="","",IF(P1476="",K1476,INDEX('Students'!$A$2:$A$701,P1476)))</f>
        <v/>
      </c>
      <c r="D1476">
        <f>IF(OR(H1476="",P1476=""),"",INDEX('Students'!$B$2:$B$701,P1476))</f>
        <v/>
      </c>
      <c r="E1476">
        <f>IF(OR(H1476="",P1476=""),"",INDEX('Students'!$C$2:$C$701,P1476))</f>
        <v/>
      </c>
      <c r="F1476" s="48">
        <f>IF(H1476="","",IF(ISNUMBER(O1476),O1476,J1476))</f>
        <v/>
      </c>
      <c r="G1476">
        <f>IF(H1476="","","OneCause")</f>
        <v/>
      </c>
      <c r="H1476">
        <f>IF(AND(I1476="",J1476="",K1476=""),"",IF(NOT(ISNUMBER(O1476)),"Bad amount",IF(O1476&lt;0,"Refund (not counted)",IF(O1476=0,"Zero amount",IF(NOT(ISNUMBER(N1476)),"Bad date",IF(P1476="","NAME NOT ON ROSTER",IF(L1476="","OK",IF(MATCH(L1476,$L$2:$L$3001,0)&lt;ROW()-1,"Duplicate (ignored)","OK"))))))))</f>
        <v/>
      </c>
      <c r="I1476">
        <f>IF(OC_Date=0,"",IF(INDEX('OneCause_Paste'!$A$1476:$AZ$1476,1,OC_Date)="","",INDEX('OneCause_Paste'!$A$1476:$AZ$1476,1,OC_Date)))</f>
        <v/>
      </c>
      <c r="J1476">
        <f>IF(OC_Amt=0,"",IF(INDEX('OneCause_Paste'!$A$1476:$AZ$1476,1,OC_Amt)="","",INDEX('OneCause_Paste'!$A$1476:$AZ$1476,1,OC_Amt)))</f>
        <v/>
      </c>
      <c r="K1476">
        <f>IF(OC_Name=0,"",IF(INDEX('OneCause_Paste'!$A$1476:$AZ$1476,1,OC_Name)="","",INDEX('OneCause_Paste'!$A$1476:$AZ$1476,1,OC_Name)))</f>
        <v/>
      </c>
      <c r="L1476">
        <f>IF(OC_Txn=0,"",IF(INDEX('OneCause_Paste'!$A$1476:$AZ$1476,1,OC_Txn)="","",INDEX('OneCause_Paste'!$A$1476:$AZ$1476,1,OC_Txn)))</f>
        <v/>
      </c>
      <c r="M1476">
        <f>IF(OC_Pay=0,"",IF(INDEX('OneCause_Paste'!$A$1476:$AZ$1476,1,OC_Pay)="","",INDEX('OneCause_Paste'!$A$1476:$AZ$1476,1,OC_Pay)))</f>
        <v/>
      </c>
      <c r="N1476">
        <f>IF(I1476="","",IF(ISNUMBER(I1476),INT(I1476),IFERROR(INT(DATEVALUE(I1476)),IFERROR(INT(VALUE(I1476)),"bad"))))</f>
        <v/>
      </c>
      <c r="O1476">
        <f>IF(J1476="","",IF(ISNUMBER(J1476),ROUND(J1476,2),IFERROR(ROUND(VALUE(SUBSTITUTE(SUBSTITUTE(SUBSTITUTE(J1476,"$",""),",","")," ","")),2),"bad")))</f>
        <v/>
      </c>
      <c r="P1476">
        <f>IF(TRIM(K1476)="","",IFERROR(MATCH(LOWER(TRIM(K1476)),'Students'!$AH$2:$AH$701,0),IFERROR(MATCH(LOWER(TRIM(K1476)),'Students'!$AF$2:$AF$701,0),IFERROR(MATCH(LOWER(TRIM(K1476)),'Students'!$AG$2:$AG$701,0),""))))</f>
        <v/>
      </c>
      <c r="R1476">
        <f>IF(P1476="","",INDEX('Students'!$AD$2:$AD$701,P1476))</f>
        <v/>
      </c>
      <c r="S1476">
        <f>IF(H1476="OK",O1476,0)</f>
        <v/>
      </c>
      <c r="T1476">
        <f>IF(H1476="OK",N1476,"")</f>
        <v/>
      </c>
      <c r="U1476">
        <f>IF(OC_Donor=0,"",IF(INDEX('OneCause_Paste'!$A$1476:$AZ$1476,1,OC_Donor)="","",INDEX('OneCause_Paste'!$A$1476:$AZ$1476,1,OC_Donor)))</f>
        <v/>
      </c>
    </row>
    <row r="1477">
      <c r="A1477" s="62">
        <f>IF(H1477="","",IF(ISNUMBER(N1477),N1477,I1477))</f>
        <v/>
      </c>
      <c r="B1477">
        <f>IF(H1477="","",U1477)</f>
        <v/>
      </c>
      <c r="C1477">
        <f>IF(H1477="","",IF(P1477="",K1477,INDEX('Students'!$A$2:$A$701,P1477)))</f>
        <v/>
      </c>
      <c r="D1477">
        <f>IF(OR(H1477="",P1477=""),"",INDEX('Students'!$B$2:$B$701,P1477))</f>
        <v/>
      </c>
      <c r="E1477">
        <f>IF(OR(H1477="",P1477=""),"",INDEX('Students'!$C$2:$C$701,P1477))</f>
        <v/>
      </c>
      <c r="F1477" s="48">
        <f>IF(H1477="","",IF(ISNUMBER(O1477),O1477,J1477))</f>
        <v/>
      </c>
      <c r="G1477">
        <f>IF(H1477="","","OneCause")</f>
        <v/>
      </c>
      <c r="H1477">
        <f>IF(AND(I1477="",J1477="",K1477=""),"",IF(NOT(ISNUMBER(O1477)),"Bad amount",IF(O1477&lt;0,"Refund (not counted)",IF(O1477=0,"Zero amount",IF(NOT(ISNUMBER(N1477)),"Bad date",IF(P1477="","NAME NOT ON ROSTER",IF(L1477="","OK",IF(MATCH(L1477,$L$2:$L$3001,0)&lt;ROW()-1,"Duplicate (ignored)","OK"))))))))</f>
        <v/>
      </c>
      <c r="I1477">
        <f>IF(OC_Date=0,"",IF(INDEX('OneCause_Paste'!$A$1477:$AZ$1477,1,OC_Date)="","",INDEX('OneCause_Paste'!$A$1477:$AZ$1477,1,OC_Date)))</f>
        <v/>
      </c>
      <c r="J1477">
        <f>IF(OC_Amt=0,"",IF(INDEX('OneCause_Paste'!$A$1477:$AZ$1477,1,OC_Amt)="","",INDEX('OneCause_Paste'!$A$1477:$AZ$1477,1,OC_Amt)))</f>
        <v/>
      </c>
      <c r="K1477">
        <f>IF(OC_Name=0,"",IF(INDEX('OneCause_Paste'!$A$1477:$AZ$1477,1,OC_Name)="","",INDEX('OneCause_Paste'!$A$1477:$AZ$1477,1,OC_Name)))</f>
        <v/>
      </c>
      <c r="L1477">
        <f>IF(OC_Txn=0,"",IF(INDEX('OneCause_Paste'!$A$1477:$AZ$1477,1,OC_Txn)="","",INDEX('OneCause_Paste'!$A$1477:$AZ$1477,1,OC_Txn)))</f>
        <v/>
      </c>
      <c r="M1477">
        <f>IF(OC_Pay=0,"",IF(INDEX('OneCause_Paste'!$A$1477:$AZ$1477,1,OC_Pay)="","",INDEX('OneCause_Paste'!$A$1477:$AZ$1477,1,OC_Pay)))</f>
        <v/>
      </c>
      <c r="N1477">
        <f>IF(I1477="","",IF(ISNUMBER(I1477),INT(I1477),IFERROR(INT(DATEVALUE(I1477)),IFERROR(INT(VALUE(I1477)),"bad"))))</f>
        <v/>
      </c>
      <c r="O1477">
        <f>IF(J1477="","",IF(ISNUMBER(J1477),ROUND(J1477,2),IFERROR(ROUND(VALUE(SUBSTITUTE(SUBSTITUTE(SUBSTITUTE(J1477,"$",""),",","")," ","")),2),"bad")))</f>
        <v/>
      </c>
      <c r="P1477">
        <f>IF(TRIM(K1477)="","",IFERROR(MATCH(LOWER(TRIM(K1477)),'Students'!$AH$2:$AH$701,0),IFERROR(MATCH(LOWER(TRIM(K1477)),'Students'!$AF$2:$AF$701,0),IFERROR(MATCH(LOWER(TRIM(K1477)),'Students'!$AG$2:$AG$701,0),""))))</f>
        <v/>
      </c>
      <c r="R1477">
        <f>IF(P1477="","",INDEX('Students'!$AD$2:$AD$701,P1477))</f>
        <v/>
      </c>
      <c r="S1477">
        <f>IF(H1477="OK",O1477,0)</f>
        <v/>
      </c>
      <c r="T1477">
        <f>IF(H1477="OK",N1477,"")</f>
        <v/>
      </c>
      <c r="U1477">
        <f>IF(OC_Donor=0,"",IF(INDEX('OneCause_Paste'!$A$1477:$AZ$1477,1,OC_Donor)="","",INDEX('OneCause_Paste'!$A$1477:$AZ$1477,1,OC_Donor)))</f>
        <v/>
      </c>
    </row>
    <row r="1478">
      <c r="A1478" s="62">
        <f>IF(H1478="","",IF(ISNUMBER(N1478),N1478,I1478))</f>
        <v/>
      </c>
      <c r="B1478">
        <f>IF(H1478="","",U1478)</f>
        <v/>
      </c>
      <c r="C1478">
        <f>IF(H1478="","",IF(P1478="",K1478,INDEX('Students'!$A$2:$A$701,P1478)))</f>
        <v/>
      </c>
      <c r="D1478">
        <f>IF(OR(H1478="",P1478=""),"",INDEX('Students'!$B$2:$B$701,P1478))</f>
        <v/>
      </c>
      <c r="E1478">
        <f>IF(OR(H1478="",P1478=""),"",INDEX('Students'!$C$2:$C$701,P1478))</f>
        <v/>
      </c>
      <c r="F1478" s="48">
        <f>IF(H1478="","",IF(ISNUMBER(O1478),O1478,J1478))</f>
        <v/>
      </c>
      <c r="G1478">
        <f>IF(H1478="","","OneCause")</f>
        <v/>
      </c>
      <c r="H1478">
        <f>IF(AND(I1478="",J1478="",K1478=""),"",IF(NOT(ISNUMBER(O1478)),"Bad amount",IF(O1478&lt;0,"Refund (not counted)",IF(O1478=0,"Zero amount",IF(NOT(ISNUMBER(N1478)),"Bad date",IF(P1478="","NAME NOT ON ROSTER",IF(L1478="","OK",IF(MATCH(L1478,$L$2:$L$3001,0)&lt;ROW()-1,"Duplicate (ignored)","OK"))))))))</f>
        <v/>
      </c>
      <c r="I1478">
        <f>IF(OC_Date=0,"",IF(INDEX('OneCause_Paste'!$A$1478:$AZ$1478,1,OC_Date)="","",INDEX('OneCause_Paste'!$A$1478:$AZ$1478,1,OC_Date)))</f>
        <v/>
      </c>
      <c r="J1478">
        <f>IF(OC_Amt=0,"",IF(INDEX('OneCause_Paste'!$A$1478:$AZ$1478,1,OC_Amt)="","",INDEX('OneCause_Paste'!$A$1478:$AZ$1478,1,OC_Amt)))</f>
        <v/>
      </c>
      <c r="K1478">
        <f>IF(OC_Name=0,"",IF(INDEX('OneCause_Paste'!$A$1478:$AZ$1478,1,OC_Name)="","",INDEX('OneCause_Paste'!$A$1478:$AZ$1478,1,OC_Name)))</f>
        <v/>
      </c>
      <c r="L1478">
        <f>IF(OC_Txn=0,"",IF(INDEX('OneCause_Paste'!$A$1478:$AZ$1478,1,OC_Txn)="","",INDEX('OneCause_Paste'!$A$1478:$AZ$1478,1,OC_Txn)))</f>
        <v/>
      </c>
      <c r="M1478">
        <f>IF(OC_Pay=0,"",IF(INDEX('OneCause_Paste'!$A$1478:$AZ$1478,1,OC_Pay)="","",INDEX('OneCause_Paste'!$A$1478:$AZ$1478,1,OC_Pay)))</f>
        <v/>
      </c>
      <c r="N1478">
        <f>IF(I1478="","",IF(ISNUMBER(I1478),INT(I1478),IFERROR(INT(DATEVALUE(I1478)),IFERROR(INT(VALUE(I1478)),"bad"))))</f>
        <v/>
      </c>
      <c r="O1478">
        <f>IF(J1478="","",IF(ISNUMBER(J1478),ROUND(J1478,2),IFERROR(ROUND(VALUE(SUBSTITUTE(SUBSTITUTE(SUBSTITUTE(J1478,"$",""),",","")," ","")),2),"bad")))</f>
        <v/>
      </c>
      <c r="P1478">
        <f>IF(TRIM(K1478)="","",IFERROR(MATCH(LOWER(TRIM(K1478)),'Students'!$AH$2:$AH$701,0),IFERROR(MATCH(LOWER(TRIM(K1478)),'Students'!$AF$2:$AF$701,0),IFERROR(MATCH(LOWER(TRIM(K1478)),'Students'!$AG$2:$AG$701,0),""))))</f>
        <v/>
      </c>
      <c r="R1478">
        <f>IF(P1478="","",INDEX('Students'!$AD$2:$AD$701,P1478))</f>
        <v/>
      </c>
      <c r="S1478">
        <f>IF(H1478="OK",O1478,0)</f>
        <v/>
      </c>
      <c r="T1478">
        <f>IF(H1478="OK",N1478,"")</f>
        <v/>
      </c>
      <c r="U1478">
        <f>IF(OC_Donor=0,"",IF(INDEX('OneCause_Paste'!$A$1478:$AZ$1478,1,OC_Donor)="","",INDEX('OneCause_Paste'!$A$1478:$AZ$1478,1,OC_Donor)))</f>
        <v/>
      </c>
    </row>
    <row r="1479">
      <c r="A1479" s="62">
        <f>IF(H1479="","",IF(ISNUMBER(N1479),N1479,I1479))</f>
        <v/>
      </c>
      <c r="B1479">
        <f>IF(H1479="","",U1479)</f>
        <v/>
      </c>
      <c r="C1479">
        <f>IF(H1479="","",IF(P1479="",K1479,INDEX('Students'!$A$2:$A$701,P1479)))</f>
        <v/>
      </c>
      <c r="D1479">
        <f>IF(OR(H1479="",P1479=""),"",INDEX('Students'!$B$2:$B$701,P1479))</f>
        <v/>
      </c>
      <c r="E1479">
        <f>IF(OR(H1479="",P1479=""),"",INDEX('Students'!$C$2:$C$701,P1479))</f>
        <v/>
      </c>
      <c r="F1479" s="48">
        <f>IF(H1479="","",IF(ISNUMBER(O1479),O1479,J1479))</f>
        <v/>
      </c>
      <c r="G1479">
        <f>IF(H1479="","","OneCause")</f>
        <v/>
      </c>
      <c r="H1479">
        <f>IF(AND(I1479="",J1479="",K1479=""),"",IF(NOT(ISNUMBER(O1479)),"Bad amount",IF(O1479&lt;0,"Refund (not counted)",IF(O1479=0,"Zero amount",IF(NOT(ISNUMBER(N1479)),"Bad date",IF(P1479="","NAME NOT ON ROSTER",IF(L1479="","OK",IF(MATCH(L1479,$L$2:$L$3001,0)&lt;ROW()-1,"Duplicate (ignored)","OK"))))))))</f>
        <v/>
      </c>
      <c r="I1479">
        <f>IF(OC_Date=0,"",IF(INDEX('OneCause_Paste'!$A$1479:$AZ$1479,1,OC_Date)="","",INDEX('OneCause_Paste'!$A$1479:$AZ$1479,1,OC_Date)))</f>
        <v/>
      </c>
      <c r="J1479">
        <f>IF(OC_Amt=0,"",IF(INDEX('OneCause_Paste'!$A$1479:$AZ$1479,1,OC_Amt)="","",INDEX('OneCause_Paste'!$A$1479:$AZ$1479,1,OC_Amt)))</f>
        <v/>
      </c>
      <c r="K1479">
        <f>IF(OC_Name=0,"",IF(INDEX('OneCause_Paste'!$A$1479:$AZ$1479,1,OC_Name)="","",INDEX('OneCause_Paste'!$A$1479:$AZ$1479,1,OC_Name)))</f>
        <v/>
      </c>
      <c r="L1479">
        <f>IF(OC_Txn=0,"",IF(INDEX('OneCause_Paste'!$A$1479:$AZ$1479,1,OC_Txn)="","",INDEX('OneCause_Paste'!$A$1479:$AZ$1479,1,OC_Txn)))</f>
        <v/>
      </c>
      <c r="M1479">
        <f>IF(OC_Pay=0,"",IF(INDEX('OneCause_Paste'!$A$1479:$AZ$1479,1,OC_Pay)="","",INDEX('OneCause_Paste'!$A$1479:$AZ$1479,1,OC_Pay)))</f>
        <v/>
      </c>
      <c r="N1479">
        <f>IF(I1479="","",IF(ISNUMBER(I1479),INT(I1479),IFERROR(INT(DATEVALUE(I1479)),IFERROR(INT(VALUE(I1479)),"bad"))))</f>
        <v/>
      </c>
      <c r="O1479">
        <f>IF(J1479="","",IF(ISNUMBER(J1479),ROUND(J1479,2),IFERROR(ROUND(VALUE(SUBSTITUTE(SUBSTITUTE(SUBSTITUTE(J1479,"$",""),",","")," ","")),2),"bad")))</f>
        <v/>
      </c>
      <c r="P1479">
        <f>IF(TRIM(K1479)="","",IFERROR(MATCH(LOWER(TRIM(K1479)),'Students'!$AH$2:$AH$701,0),IFERROR(MATCH(LOWER(TRIM(K1479)),'Students'!$AF$2:$AF$701,0),IFERROR(MATCH(LOWER(TRIM(K1479)),'Students'!$AG$2:$AG$701,0),""))))</f>
        <v/>
      </c>
      <c r="R1479">
        <f>IF(P1479="","",INDEX('Students'!$AD$2:$AD$701,P1479))</f>
        <v/>
      </c>
      <c r="S1479">
        <f>IF(H1479="OK",O1479,0)</f>
        <v/>
      </c>
      <c r="T1479">
        <f>IF(H1479="OK",N1479,"")</f>
        <v/>
      </c>
      <c r="U1479">
        <f>IF(OC_Donor=0,"",IF(INDEX('OneCause_Paste'!$A$1479:$AZ$1479,1,OC_Donor)="","",INDEX('OneCause_Paste'!$A$1479:$AZ$1479,1,OC_Donor)))</f>
        <v/>
      </c>
    </row>
    <row r="1480">
      <c r="A1480" s="62">
        <f>IF(H1480="","",IF(ISNUMBER(N1480),N1480,I1480))</f>
        <v/>
      </c>
      <c r="B1480">
        <f>IF(H1480="","",U1480)</f>
        <v/>
      </c>
      <c r="C1480">
        <f>IF(H1480="","",IF(P1480="",K1480,INDEX('Students'!$A$2:$A$701,P1480)))</f>
        <v/>
      </c>
      <c r="D1480">
        <f>IF(OR(H1480="",P1480=""),"",INDEX('Students'!$B$2:$B$701,P1480))</f>
        <v/>
      </c>
      <c r="E1480">
        <f>IF(OR(H1480="",P1480=""),"",INDEX('Students'!$C$2:$C$701,P1480))</f>
        <v/>
      </c>
      <c r="F1480" s="48">
        <f>IF(H1480="","",IF(ISNUMBER(O1480),O1480,J1480))</f>
        <v/>
      </c>
      <c r="G1480">
        <f>IF(H1480="","","OneCause")</f>
        <v/>
      </c>
      <c r="H1480">
        <f>IF(AND(I1480="",J1480="",K1480=""),"",IF(NOT(ISNUMBER(O1480)),"Bad amount",IF(O1480&lt;0,"Refund (not counted)",IF(O1480=0,"Zero amount",IF(NOT(ISNUMBER(N1480)),"Bad date",IF(P1480="","NAME NOT ON ROSTER",IF(L1480="","OK",IF(MATCH(L1480,$L$2:$L$3001,0)&lt;ROW()-1,"Duplicate (ignored)","OK"))))))))</f>
        <v/>
      </c>
      <c r="I1480">
        <f>IF(OC_Date=0,"",IF(INDEX('OneCause_Paste'!$A$1480:$AZ$1480,1,OC_Date)="","",INDEX('OneCause_Paste'!$A$1480:$AZ$1480,1,OC_Date)))</f>
        <v/>
      </c>
      <c r="J1480">
        <f>IF(OC_Amt=0,"",IF(INDEX('OneCause_Paste'!$A$1480:$AZ$1480,1,OC_Amt)="","",INDEX('OneCause_Paste'!$A$1480:$AZ$1480,1,OC_Amt)))</f>
        <v/>
      </c>
      <c r="K1480">
        <f>IF(OC_Name=0,"",IF(INDEX('OneCause_Paste'!$A$1480:$AZ$1480,1,OC_Name)="","",INDEX('OneCause_Paste'!$A$1480:$AZ$1480,1,OC_Name)))</f>
        <v/>
      </c>
      <c r="L1480">
        <f>IF(OC_Txn=0,"",IF(INDEX('OneCause_Paste'!$A$1480:$AZ$1480,1,OC_Txn)="","",INDEX('OneCause_Paste'!$A$1480:$AZ$1480,1,OC_Txn)))</f>
        <v/>
      </c>
      <c r="M1480">
        <f>IF(OC_Pay=0,"",IF(INDEX('OneCause_Paste'!$A$1480:$AZ$1480,1,OC_Pay)="","",INDEX('OneCause_Paste'!$A$1480:$AZ$1480,1,OC_Pay)))</f>
        <v/>
      </c>
      <c r="N1480">
        <f>IF(I1480="","",IF(ISNUMBER(I1480),INT(I1480),IFERROR(INT(DATEVALUE(I1480)),IFERROR(INT(VALUE(I1480)),"bad"))))</f>
        <v/>
      </c>
      <c r="O1480">
        <f>IF(J1480="","",IF(ISNUMBER(J1480),ROUND(J1480,2),IFERROR(ROUND(VALUE(SUBSTITUTE(SUBSTITUTE(SUBSTITUTE(J1480,"$",""),",","")," ","")),2),"bad")))</f>
        <v/>
      </c>
      <c r="P1480">
        <f>IF(TRIM(K1480)="","",IFERROR(MATCH(LOWER(TRIM(K1480)),'Students'!$AH$2:$AH$701,0),IFERROR(MATCH(LOWER(TRIM(K1480)),'Students'!$AF$2:$AF$701,0),IFERROR(MATCH(LOWER(TRIM(K1480)),'Students'!$AG$2:$AG$701,0),""))))</f>
        <v/>
      </c>
      <c r="R1480">
        <f>IF(P1480="","",INDEX('Students'!$AD$2:$AD$701,P1480))</f>
        <v/>
      </c>
      <c r="S1480">
        <f>IF(H1480="OK",O1480,0)</f>
        <v/>
      </c>
      <c r="T1480">
        <f>IF(H1480="OK",N1480,"")</f>
        <v/>
      </c>
      <c r="U1480">
        <f>IF(OC_Donor=0,"",IF(INDEX('OneCause_Paste'!$A$1480:$AZ$1480,1,OC_Donor)="","",INDEX('OneCause_Paste'!$A$1480:$AZ$1480,1,OC_Donor)))</f>
        <v/>
      </c>
    </row>
    <row r="1481">
      <c r="A1481" s="62">
        <f>IF(H1481="","",IF(ISNUMBER(N1481),N1481,I1481))</f>
        <v/>
      </c>
      <c r="B1481">
        <f>IF(H1481="","",U1481)</f>
        <v/>
      </c>
      <c r="C1481">
        <f>IF(H1481="","",IF(P1481="",K1481,INDEX('Students'!$A$2:$A$701,P1481)))</f>
        <v/>
      </c>
      <c r="D1481">
        <f>IF(OR(H1481="",P1481=""),"",INDEX('Students'!$B$2:$B$701,P1481))</f>
        <v/>
      </c>
      <c r="E1481">
        <f>IF(OR(H1481="",P1481=""),"",INDEX('Students'!$C$2:$C$701,P1481))</f>
        <v/>
      </c>
      <c r="F1481" s="48">
        <f>IF(H1481="","",IF(ISNUMBER(O1481),O1481,J1481))</f>
        <v/>
      </c>
      <c r="G1481">
        <f>IF(H1481="","","OneCause")</f>
        <v/>
      </c>
      <c r="H1481">
        <f>IF(AND(I1481="",J1481="",K1481=""),"",IF(NOT(ISNUMBER(O1481)),"Bad amount",IF(O1481&lt;0,"Refund (not counted)",IF(O1481=0,"Zero amount",IF(NOT(ISNUMBER(N1481)),"Bad date",IF(P1481="","NAME NOT ON ROSTER",IF(L1481="","OK",IF(MATCH(L1481,$L$2:$L$3001,0)&lt;ROW()-1,"Duplicate (ignored)","OK"))))))))</f>
        <v/>
      </c>
      <c r="I1481">
        <f>IF(OC_Date=0,"",IF(INDEX('OneCause_Paste'!$A$1481:$AZ$1481,1,OC_Date)="","",INDEX('OneCause_Paste'!$A$1481:$AZ$1481,1,OC_Date)))</f>
        <v/>
      </c>
      <c r="J1481">
        <f>IF(OC_Amt=0,"",IF(INDEX('OneCause_Paste'!$A$1481:$AZ$1481,1,OC_Amt)="","",INDEX('OneCause_Paste'!$A$1481:$AZ$1481,1,OC_Amt)))</f>
        <v/>
      </c>
      <c r="K1481">
        <f>IF(OC_Name=0,"",IF(INDEX('OneCause_Paste'!$A$1481:$AZ$1481,1,OC_Name)="","",INDEX('OneCause_Paste'!$A$1481:$AZ$1481,1,OC_Name)))</f>
        <v/>
      </c>
      <c r="L1481">
        <f>IF(OC_Txn=0,"",IF(INDEX('OneCause_Paste'!$A$1481:$AZ$1481,1,OC_Txn)="","",INDEX('OneCause_Paste'!$A$1481:$AZ$1481,1,OC_Txn)))</f>
        <v/>
      </c>
      <c r="M1481">
        <f>IF(OC_Pay=0,"",IF(INDEX('OneCause_Paste'!$A$1481:$AZ$1481,1,OC_Pay)="","",INDEX('OneCause_Paste'!$A$1481:$AZ$1481,1,OC_Pay)))</f>
        <v/>
      </c>
      <c r="N1481">
        <f>IF(I1481="","",IF(ISNUMBER(I1481),INT(I1481),IFERROR(INT(DATEVALUE(I1481)),IFERROR(INT(VALUE(I1481)),"bad"))))</f>
        <v/>
      </c>
      <c r="O1481">
        <f>IF(J1481="","",IF(ISNUMBER(J1481),ROUND(J1481,2),IFERROR(ROUND(VALUE(SUBSTITUTE(SUBSTITUTE(SUBSTITUTE(J1481,"$",""),",","")," ","")),2),"bad")))</f>
        <v/>
      </c>
      <c r="P1481">
        <f>IF(TRIM(K1481)="","",IFERROR(MATCH(LOWER(TRIM(K1481)),'Students'!$AH$2:$AH$701,0),IFERROR(MATCH(LOWER(TRIM(K1481)),'Students'!$AF$2:$AF$701,0),IFERROR(MATCH(LOWER(TRIM(K1481)),'Students'!$AG$2:$AG$701,0),""))))</f>
        <v/>
      </c>
      <c r="R1481">
        <f>IF(P1481="","",INDEX('Students'!$AD$2:$AD$701,P1481))</f>
        <v/>
      </c>
      <c r="S1481">
        <f>IF(H1481="OK",O1481,0)</f>
        <v/>
      </c>
      <c r="T1481">
        <f>IF(H1481="OK",N1481,"")</f>
        <v/>
      </c>
      <c r="U1481">
        <f>IF(OC_Donor=0,"",IF(INDEX('OneCause_Paste'!$A$1481:$AZ$1481,1,OC_Donor)="","",INDEX('OneCause_Paste'!$A$1481:$AZ$1481,1,OC_Donor)))</f>
        <v/>
      </c>
    </row>
    <row r="1482">
      <c r="A1482" s="62">
        <f>IF(H1482="","",IF(ISNUMBER(N1482),N1482,I1482))</f>
        <v/>
      </c>
      <c r="B1482">
        <f>IF(H1482="","",U1482)</f>
        <v/>
      </c>
      <c r="C1482">
        <f>IF(H1482="","",IF(P1482="",K1482,INDEX('Students'!$A$2:$A$701,P1482)))</f>
        <v/>
      </c>
      <c r="D1482">
        <f>IF(OR(H1482="",P1482=""),"",INDEX('Students'!$B$2:$B$701,P1482))</f>
        <v/>
      </c>
      <c r="E1482">
        <f>IF(OR(H1482="",P1482=""),"",INDEX('Students'!$C$2:$C$701,P1482))</f>
        <v/>
      </c>
      <c r="F1482" s="48">
        <f>IF(H1482="","",IF(ISNUMBER(O1482),O1482,J1482))</f>
        <v/>
      </c>
      <c r="G1482">
        <f>IF(H1482="","","OneCause")</f>
        <v/>
      </c>
      <c r="H1482">
        <f>IF(AND(I1482="",J1482="",K1482=""),"",IF(NOT(ISNUMBER(O1482)),"Bad amount",IF(O1482&lt;0,"Refund (not counted)",IF(O1482=0,"Zero amount",IF(NOT(ISNUMBER(N1482)),"Bad date",IF(P1482="","NAME NOT ON ROSTER",IF(L1482="","OK",IF(MATCH(L1482,$L$2:$L$3001,0)&lt;ROW()-1,"Duplicate (ignored)","OK"))))))))</f>
        <v/>
      </c>
      <c r="I1482">
        <f>IF(OC_Date=0,"",IF(INDEX('OneCause_Paste'!$A$1482:$AZ$1482,1,OC_Date)="","",INDEX('OneCause_Paste'!$A$1482:$AZ$1482,1,OC_Date)))</f>
        <v/>
      </c>
      <c r="J1482">
        <f>IF(OC_Amt=0,"",IF(INDEX('OneCause_Paste'!$A$1482:$AZ$1482,1,OC_Amt)="","",INDEX('OneCause_Paste'!$A$1482:$AZ$1482,1,OC_Amt)))</f>
        <v/>
      </c>
      <c r="K1482">
        <f>IF(OC_Name=0,"",IF(INDEX('OneCause_Paste'!$A$1482:$AZ$1482,1,OC_Name)="","",INDEX('OneCause_Paste'!$A$1482:$AZ$1482,1,OC_Name)))</f>
        <v/>
      </c>
      <c r="L1482">
        <f>IF(OC_Txn=0,"",IF(INDEX('OneCause_Paste'!$A$1482:$AZ$1482,1,OC_Txn)="","",INDEX('OneCause_Paste'!$A$1482:$AZ$1482,1,OC_Txn)))</f>
        <v/>
      </c>
      <c r="M1482">
        <f>IF(OC_Pay=0,"",IF(INDEX('OneCause_Paste'!$A$1482:$AZ$1482,1,OC_Pay)="","",INDEX('OneCause_Paste'!$A$1482:$AZ$1482,1,OC_Pay)))</f>
        <v/>
      </c>
      <c r="N1482">
        <f>IF(I1482="","",IF(ISNUMBER(I1482),INT(I1482),IFERROR(INT(DATEVALUE(I1482)),IFERROR(INT(VALUE(I1482)),"bad"))))</f>
        <v/>
      </c>
      <c r="O1482">
        <f>IF(J1482="","",IF(ISNUMBER(J1482),ROUND(J1482,2),IFERROR(ROUND(VALUE(SUBSTITUTE(SUBSTITUTE(SUBSTITUTE(J1482,"$",""),",","")," ","")),2),"bad")))</f>
        <v/>
      </c>
      <c r="P1482">
        <f>IF(TRIM(K1482)="","",IFERROR(MATCH(LOWER(TRIM(K1482)),'Students'!$AH$2:$AH$701,0),IFERROR(MATCH(LOWER(TRIM(K1482)),'Students'!$AF$2:$AF$701,0),IFERROR(MATCH(LOWER(TRIM(K1482)),'Students'!$AG$2:$AG$701,0),""))))</f>
        <v/>
      </c>
      <c r="R1482">
        <f>IF(P1482="","",INDEX('Students'!$AD$2:$AD$701,P1482))</f>
        <v/>
      </c>
      <c r="S1482">
        <f>IF(H1482="OK",O1482,0)</f>
        <v/>
      </c>
      <c r="T1482">
        <f>IF(H1482="OK",N1482,"")</f>
        <v/>
      </c>
      <c r="U1482">
        <f>IF(OC_Donor=0,"",IF(INDEX('OneCause_Paste'!$A$1482:$AZ$1482,1,OC_Donor)="","",INDEX('OneCause_Paste'!$A$1482:$AZ$1482,1,OC_Donor)))</f>
        <v/>
      </c>
    </row>
    <row r="1483">
      <c r="A1483" s="62">
        <f>IF(H1483="","",IF(ISNUMBER(N1483),N1483,I1483))</f>
        <v/>
      </c>
      <c r="B1483">
        <f>IF(H1483="","",U1483)</f>
        <v/>
      </c>
      <c r="C1483">
        <f>IF(H1483="","",IF(P1483="",K1483,INDEX('Students'!$A$2:$A$701,P1483)))</f>
        <v/>
      </c>
      <c r="D1483">
        <f>IF(OR(H1483="",P1483=""),"",INDEX('Students'!$B$2:$B$701,P1483))</f>
        <v/>
      </c>
      <c r="E1483">
        <f>IF(OR(H1483="",P1483=""),"",INDEX('Students'!$C$2:$C$701,P1483))</f>
        <v/>
      </c>
      <c r="F1483" s="48">
        <f>IF(H1483="","",IF(ISNUMBER(O1483),O1483,J1483))</f>
        <v/>
      </c>
      <c r="G1483">
        <f>IF(H1483="","","OneCause")</f>
        <v/>
      </c>
      <c r="H1483">
        <f>IF(AND(I1483="",J1483="",K1483=""),"",IF(NOT(ISNUMBER(O1483)),"Bad amount",IF(O1483&lt;0,"Refund (not counted)",IF(O1483=0,"Zero amount",IF(NOT(ISNUMBER(N1483)),"Bad date",IF(P1483="","NAME NOT ON ROSTER",IF(L1483="","OK",IF(MATCH(L1483,$L$2:$L$3001,0)&lt;ROW()-1,"Duplicate (ignored)","OK"))))))))</f>
        <v/>
      </c>
      <c r="I1483">
        <f>IF(OC_Date=0,"",IF(INDEX('OneCause_Paste'!$A$1483:$AZ$1483,1,OC_Date)="","",INDEX('OneCause_Paste'!$A$1483:$AZ$1483,1,OC_Date)))</f>
        <v/>
      </c>
      <c r="J1483">
        <f>IF(OC_Amt=0,"",IF(INDEX('OneCause_Paste'!$A$1483:$AZ$1483,1,OC_Amt)="","",INDEX('OneCause_Paste'!$A$1483:$AZ$1483,1,OC_Amt)))</f>
        <v/>
      </c>
      <c r="K1483">
        <f>IF(OC_Name=0,"",IF(INDEX('OneCause_Paste'!$A$1483:$AZ$1483,1,OC_Name)="","",INDEX('OneCause_Paste'!$A$1483:$AZ$1483,1,OC_Name)))</f>
        <v/>
      </c>
      <c r="L1483">
        <f>IF(OC_Txn=0,"",IF(INDEX('OneCause_Paste'!$A$1483:$AZ$1483,1,OC_Txn)="","",INDEX('OneCause_Paste'!$A$1483:$AZ$1483,1,OC_Txn)))</f>
        <v/>
      </c>
      <c r="M1483">
        <f>IF(OC_Pay=0,"",IF(INDEX('OneCause_Paste'!$A$1483:$AZ$1483,1,OC_Pay)="","",INDEX('OneCause_Paste'!$A$1483:$AZ$1483,1,OC_Pay)))</f>
        <v/>
      </c>
      <c r="N1483">
        <f>IF(I1483="","",IF(ISNUMBER(I1483),INT(I1483),IFERROR(INT(DATEVALUE(I1483)),IFERROR(INT(VALUE(I1483)),"bad"))))</f>
        <v/>
      </c>
      <c r="O1483">
        <f>IF(J1483="","",IF(ISNUMBER(J1483),ROUND(J1483,2),IFERROR(ROUND(VALUE(SUBSTITUTE(SUBSTITUTE(SUBSTITUTE(J1483,"$",""),",","")," ","")),2),"bad")))</f>
        <v/>
      </c>
      <c r="P1483">
        <f>IF(TRIM(K1483)="","",IFERROR(MATCH(LOWER(TRIM(K1483)),'Students'!$AH$2:$AH$701,0),IFERROR(MATCH(LOWER(TRIM(K1483)),'Students'!$AF$2:$AF$701,0),IFERROR(MATCH(LOWER(TRIM(K1483)),'Students'!$AG$2:$AG$701,0),""))))</f>
        <v/>
      </c>
      <c r="R1483">
        <f>IF(P1483="","",INDEX('Students'!$AD$2:$AD$701,P1483))</f>
        <v/>
      </c>
      <c r="S1483">
        <f>IF(H1483="OK",O1483,0)</f>
        <v/>
      </c>
      <c r="T1483">
        <f>IF(H1483="OK",N1483,"")</f>
        <v/>
      </c>
      <c r="U1483">
        <f>IF(OC_Donor=0,"",IF(INDEX('OneCause_Paste'!$A$1483:$AZ$1483,1,OC_Donor)="","",INDEX('OneCause_Paste'!$A$1483:$AZ$1483,1,OC_Donor)))</f>
        <v/>
      </c>
    </row>
    <row r="1484">
      <c r="A1484" s="62">
        <f>IF(H1484="","",IF(ISNUMBER(N1484),N1484,I1484))</f>
        <v/>
      </c>
      <c r="B1484">
        <f>IF(H1484="","",U1484)</f>
        <v/>
      </c>
      <c r="C1484">
        <f>IF(H1484="","",IF(P1484="",K1484,INDEX('Students'!$A$2:$A$701,P1484)))</f>
        <v/>
      </c>
      <c r="D1484">
        <f>IF(OR(H1484="",P1484=""),"",INDEX('Students'!$B$2:$B$701,P1484))</f>
        <v/>
      </c>
      <c r="E1484">
        <f>IF(OR(H1484="",P1484=""),"",INDEX('Students'!$C$2:$C$701,P1484))</f>
        <v/>
      </c>
      <c r="F1484" s="48">
        <f>IF(H1484="","",IF(ISNUMBER(O1484),O1484,J1484))</f>
        <v/>
      </c>
      <c r="G1484">
        <f>IF(H1484="","","OneCause")</f>
        <v/>
      </c>
      <c r="H1484">
        <f>IF(AND(I1484="",J1484="",K1484=""),"",IF(NOT(ISNUMBER(O1484)),"Bad amount",IF(O1484&lt;0,"Refund (not counted)",IF(O1484=0,"Zero amount",IF(NOT(ISNUMBER(N1484)),"Bad date",IF(P1484="","NAME NOT ON ROSTER",IF(L1484="","OK",IF(MATCH(L1484,$L$2:$L$3001,0)&lt;ROW()-1,"Duplicate (ignored)","OK"))))))))</f>
        <v/>
      </c>
      <c r="I1484">
        <f>IF(OC_Date=0,"",IF(INDEX('OneCause_Paste'!$A$1484:$AZ$1484,1,OC_Date)="","",INDEX('OneCause_Paste'!$A$1484:$AZ$1484,1,OC_Date)))</f>
        <v/>
      </c>
      <c r="J1484">
        <f>IF(OC_Amt=0,"",IF(INDEX('OneCause_Paste'!$A$1484:$AZ$1484,1,OC_Amt)="","",INDEX('OneCause_Paste'!$A$1484:$AZ$1484,1,OC_Amt)))</f>
        <v/>
      </c>
      <c r="K1484">
        <f>IF(OC_Name=0,"",IF(INDEX('OneCause_Paste'!$A$1484:$AZ$1484,1,OC_Name)="","",INDEX('OneCause_Paste'!$A$1484:$AZ$1484,1,OC_Name)))</f>
        <v/>
      </c>
      <c r="L1484">
        <f>IF(OC_Txn=0,"",IF(INDEX('OneCause_Paste'!$A$1484:$AZ$1484,1,OC_Txn)="","",INDEX('OneCause_Paste'!$A$1484:$AZ$1484,1,OC_Txn)))</f>
        <v/>
      </c>
      <c r="M1484">
        <f>IF(OC_Pay=0,"",IF(INDEX('OneCause_Paste'!$A$1484:$AZ$1484,1,OC_Pay)="","",INDEX('OneCause_Paste'!$A$1484:$AZ$1484,1,OC_Pay)))</f>
        <v/>
      </c>
      <c r="N1484">
        <f>IF(I1484="","",IF(ISNUMBER(I1484),INT(I1484),IFERROR(INT(DATEVALUE(I1484)),IFERROR(INT(VALUE(I1484)),"bad"))))</f>
        <v/>
      </c>
      <c r="O1484">
        <f>IF(J1484="","",IF(ISNUMBER(J1484),ROUND(J1484,2),IFERROR(ROUND(VALUE(SUBSTITUTE(SUBSTITUTE(SUBSTITUTE(J1484,"$",""),",","")," ","")),2),"bad")))</f>
        <v/>
      </c>
      <c r="P1484">
        <f>IF(TRIM(K1484)="","",IFERROR(MATCH(LOWER(TRIM(K1484)),'Students'!$AH$2:$AH$701,0),IFERROR(MATCH(LOWER(TRIM(K1484)),'Students'!$AF$2:$AF$701,0),IFERROR(MATCH(LOWER(TRIM(K1484)),'Students'!$AG$2:$AG$701,0),""))))</f>
        <v/>
      </c>
      <c r="R1484">
        <f>IF(P1484="","",INDEX('Students'!$AD$2:$AD$701,P1484))</f>
        <v/>
      </c>
      <c r="S1484">
        <f>IF(H1484="OK",O1484,0)</f>
        <v/>
      </c>
      <c r="T1484">
        <f>IF(H1484="OK",N1484,"")</f>
        <v/>
      </c>
      <c r="U1484">
        <f>IF(OC_Donor=0,"",IF(INDEX('OneCause_Paste'!$A$1484:$AZ$1484,1,OC_Donor)="","",INDEX('OneCause_Paste'!$A$1484:$AZ$1484,1,OC_Donor)))</f>
        <v/>
      </c>
    </row>
    <row r="1485">
      <c r="A1485" s="62">
        <f>IF(H1485="","",IF(ISNUMBER(N1485),N1485,I1485))</f>
        <v/>
      </c>
      <c r="B1485">
        <f>IF(H1485="","",U1485)</f>
        <v/>
      </c>
      <c r="C1485">
        <f>IF(H1485="","",IF(P1485="",K1485,INDEX('Students'!$A$2:$A$701,P1485)))</f>
        <v/>
      </c>
      <c r="D1485">
        <f>IF(OR(H1485="",P1485=""),"",INDEX('Students'!$B$2:$B$701,P1485))</f>
        <v/>
      </c>
      <c r="E1485">
        <f>IF(OR(H1485="",P1485=""),"",INDEX('Students'!$C$2:$C$701,P1485))</f>
        <v/>
      </c>
      <c r="F1485" s="48">
        <f>IF(H1485="","",IF(ISNUMBER(O1485),O1485,J1485))</f>
        <v/>
      </c>
      <c r="G1485">
        <f>IF(H1485="","","OneCause")</f>
        <v/>
      </c>
      <c r="H1485">
        <f>IF(AND(I1485="",J1485="",K1485=""),"",IF(NOT(ISNUMBER(O1485)),"Bad amount",IF(O1485&lt;0,"Refund (not counted)",IF(O1485=0,"Zero amount",IF(NOT(ISNUMBER(N1485)),"Bad date",IF(P1485="","NAME NOT ON ROSTER",IF(L1485="","OK",IF(MATCH(L1485,$L$2:$L$3001,0)&lt;ROW()-1,"Duplicate (ignored)","OK"))))))))</f>
        <v/>
      </c>
      <c r="I1485">
        <f>IF(OC_Date=0,"",IF(INDEX('OneCause_Paste'!$A$1485:$AZ$1485,1,OC_Date)="","",INDEX('OneCause_Paste'!$A$1485:$AZ$1485,1,OC_Date)))</f>
        <v/>
      </c>
      <c r="J1485">
        <f>IF(OC_Amt=0,"",IF(INDEX('OneCause_Paste'!$A$1485:$AZ$1485,1,OC_Amt)="","",INDEX('OneCause_Paste'!$A$1485:$AZ$1485,1,OC_Amt)))</f>
        <v/>
      </c>
      <c r="K1485">
        <f>IF(OC_Name=0,"",IF(INDEX('OneCause_Paste'!$A$1485:$AZ$1485,1,OC_Name)="","",INDEX('OneCause_Paste'!$A$1485:$AZ$1485,1,OC_Name)))</f>
        <v/>
      </c>
      <c r="L1485">
        <f>IF(OC_Txn=0,"",IF(INDEX('OneCause_Paste'!$A$1485:$AZ$1485,1,OC_Txn)="","",INDEX('OneCause_Paste'!$A$1485:$AZ$1485,1,OC_Txn)))</f>
        <v/>
      </c>
      <c r="M1485">
        <f>IF(OC_Pay=0,"",IF(INDEX('OneCause_Paste'!$A$1485:$AZ$1485,1,OC_Pay)="","",INDEX('OneCause_Paste'!$A$1485:$AZ$1485,1,OC_Pay)))</f>
        <v/>
      </c>
      <c r="N1485">
        <f>IF(I1485="","",IF(ISNUMBER(I1485),INT(I1485),IFERROR(INT(DATEVALUE(I1485)),IFERROR(INT(VALUE(I1485)),"bad"))))</f>
        <v/>
      </c>
      <c r="O1485">
        <f>IF(J1485="","",IF(ISNUMBER(J1485),ROUND(J1485,2),IFERROR(ROUND(VALUE(SUBSTITUTE(SUBSTITUTE(SUBSTITUTE(J1485,"$",""),",","")," ","")),2),"bad")))</f>
        <v/>
      </c>
      <c r="P1485">
        <f>IF(TRIM(K1485)="","",IFERROR(MATCH(LOWER(TRIM(K1485)),'Students'!$AH$2:$AH$701,0),IFERROR(MATCH(LOWER(TRIM(K1485)),'Students'!$AF$2:$AF$701,0),IFERROR(MATCH(LOWER(TRIM(K1485)),'Students'!$AG$2:$AG$701,0),""))))</f>
        <v/>
      </c>
      <c r="R1485">
        <f>IF(P1485="","",INDEX('Students'!$AD$2:$AD$701,P1485))</f>
        <v/>
      </c>
      <c r="S1485">
        <f>IF(H1485="OK",O1485,0)</f>
        <v/>
      </c>
      <c r="T1485">
        <f>IF(H1485="OK",N1485,"")</f>
        <v/>
      </c>
      <c r="U1485">
        <f>IF(OC_Donor=0,"",IF(INDEX('OneCause_Paste'!$A$1485:$AZ$1485,1,OC_Donor)="","",INDEX('OneCause_Paste'!$A$1485:$AZ$1485,1,OC_Donor)))</f>
        <v/>
      </c>
    </row>
    <row r="1486">
      <c r="A1486" s="62">
        <f>IF(H1486="","",IF(ISNUMBER(N1486),N1486,I1486))</f>
        <v/>
      </c>
      <c r="B1486">
        <f>IF(H1486="","",U1486)</f>
        <v/>
      </c>
      <c r="C1486">
        <f>IF(H1486="","",IF(P1486="",K1486,INDEX('Students'!$A$2:$A$701,P1486)))</f>
        <v/>
      </c>
      <c r="D1486">
        <f>IF(OR(H1486="",P1486=""),"",INDEX('Students'!$B$2:$B$701,P1486))</f>
        <v/>
      </c>
      <c r="E1486">
        <f>IF(OR(H1486="",P1486=""),"",INDEX('Students'!$C$2:$C$701,P1486))</f>
        <v/>
      </c>
      <c r="F1486" s="48">
        <f>IF(H1486="","",IF(ISNUMBER(O1486),O1486,J1486))</f>
        <v/>
      </c>
      <c r="G1486">
        <f>IF(H1486="","","OneCause")</f>
        <v/>
      </c>
      <c r="H1486">
        <f>IF(AND(I1486="",J1486="",K1486=""),"",IF(NOT(ISNUMBER(O1486)),"Bad amount",IF(O1486&lt;0,"Refund (not counted)",IF(O1486=0,"Zero amount",IF(NOT(ISNUMBER(N1486)),"Bad date",IF(P1486="","NAME NOT ON ROSTER",IF(L1486="","OK",IF(MATCH(L1486,$L$2:$L$3001,0)&lt;ROW()-1,"Duplicate (ignored)","OK"))))))))</f>
        <v/>
      </c>
      <c r="I1486">
        <f>IF(OC_Date=0,"",IF(INDEX('OneCause_Paste'!$A$1486:$AZ$1486,1,OC_Date)="","",INDEX('OneCause_Paste'!$A$1486:$AZ$1486,1,OC_Date)))</f>
        <v/>
      </c>
      <c r="J1486">
        <f>IF(OC_Amt=0,"",IF(INDEX('OneCause_Paste'!$A$1486:$AZ$1486,1,OC_Amt)="","",INDEX('OneCause_Paste'!$A$1486:$AZ$1486,1,OC_Amt)))</f>
        <v/>
      </c>
      <c r="K1486">
        <f>IF(OC_Name=0,"",IF(INDEX('OneCause_Paste'!$A$1486:$AZ$1486,1,OC_Name)="","",INDEX('OneCause_Paste'!$A$1486:$AZ$1486,1,OC_Name)))</f>
        <v/>
      </c>
      <c r="L1486">
        <f>IF(OC_Txn=0,"",IF(INDEX('OneCause_Paste'!$A$1486:$AZ$1486,1,OC_Txn)="","",INDEX('OneCause_Paste'!$A$1486:$AZ$1486,1,OC_Txn)))</f>
        <v/>
      </c>
      <c r="M1486">
        <f>IF(OC_Pay=0,"",IF(INDEX('OneCause_Paste'!$A$1486:$AZ$1486,1,OC_Pay)="","",INDEX('OneCause_Paste'!$A$1486:$AZ$1486,1,OC_Pay)))</f>
        <v/>
      </c>
      <c r="N1486">
        <f>IF(I1486="","",IF(ISNUMBER(I1486),INT(I1486),IFERROR(INT(DATEVALUE(I1486)),IFERROR(INT(VALUE(I1486)),"bad"))))</f>
        <v/>
      </c>
      <c r="O1486">
        <f>IF(J1486="","",IF(ISNUMBER(J1486),ROUND(J1486,2),IFERROR(ROUND(VALUE(SUBSTITUTE(SUBSTITUTE(SUBSTITUTE(J1486,"$",""),",","")," ","")),2),"bad")))</f>
        <v/>
      </c>
      <c r="P1486">
        <f>IF(TRIM(K1486)="","",IFERROR(MATCH(LOWER(TRIM(K1486)),'Students'!$AH$2:$AH$701,0),IFERROR(MATCH(LOWER(TRIM(K1486)),'Students'!$AF$2:$AF$701,0),IFERROR(MATCH(LOWER(TRIM(K1486)),'Students'!$AG$2:$AG$701,0),""))))</f>
        <v/>
      </c>
      <c r="R1486">
        <f>IF(P1486="","",INDEX('Students'!$AD$2:$AD$701,P1486))</f>
        <v/>
      </c>
      <c r="S1486">
        <f>IF(H1486="OK",O1486,0)</f>
        <v/>
      </c>
      <c r="T1486">
        <f>IF(H1486="OK",N1486,"")</f>
        <v/>
      </c>
      <c r="U1486">
        <f>IF(OC_Donor=0,"",IF(INDEX('OneCause_Paste'!$A$1486:$AZ$1486,1,OC_Donor)="","",INDEX('OneCause_Paste'!$A$1486:$AZ$1486,1,OC_Donor)))</f>
        <v/>
      </c>
    </row>
    <row r="1487">
      <c r="A1487" s="62">
        <f>IF(H1487="","",IF(ISNUMBER(N1487),N1487,I1487))</f>
        <v/>
      </c>
      <c r="B1487">
        <f>IF(H1487="","",U1487)</f>
        <v/>
      </c>
      <c r="C1487">
        <f>IF(H1487="","",IF(P1487="",K1487,INDEX('Students'!$A$2:$A$701,P1487)))</f>
        <v/>
      </c>
      <c r="D1487">
        <f>IF(OR(H1487="",P1487=""),"",INDEX('Students'!$B$2:$B$701,P1487))</f>
        <v/>
      </c>
      <c r="E1487">
        <f>IF(OR(H1487="",P1487=""),"",INDEX('Students'!$C$2:$C$701,P1487))</f>
        <v/>
      </c>
      <c r="F1487" s="48">
        <f>IF(H1487="","",IF(ISNUMBER(O1487),O1487,J1487))</f>
        <v/>
      </c>
      <c r="G1487">
        <f>IF(H1487="","","OneCause")</f>
        <v/>
      </c>
      <c r="H1487">
        <f>IF(AND(I1487="",J1487="",K1487=""),"",IF(NOT(ISNUMBER(O1487)),"Bad amount",IF(O1487&lt;0,"Refund (not counted)",IF(O1487=0,"Zero amount",IF(NOT(ISNUMBER(N1487)),"Bad date",IF(P1487="","NAME NOT ON ROSTER",IF(L1487="","OK",IF(MATCH(L1487,$L$2:$L$3001,0)&lt;ROW()-1,"Duplicate (ignored)","OK"))))))))</f>
        <v/>
      </c>
      <c r="I1487">
        <f>IF(OC_Date=0,"",IF(INDEX('OneCause_Paste'!$A$1487:$AZ$1487,1,OC_Date)="","",INDEX('OneCause_Paste'!$A$1487:$AZ$1487,1,OC_Date)))</f>
        <v/>
      </c>
      <c r="J1487">
        <f>IF(OC_Amt=0,"",IF(INDEX('OneCause_Paste'!$A$1487:$AZ$1487,1,OC_Amt)="","",INDEX('OneCause_Paste'!$A$1487:$AZ$1487,1,OC_Amt)))</f>
        <v/>
      </c>
      <c r="K1487">
        <f>IF(OC_Name=0,"",IF(INDEX('OneCause_Paste'!$A$1487:$AZ$1487,1,OC_Name)="","",INDEX('OneCause_Paste'!$A$1487:$AZ$1487,1,OC_Name)))</f>
        <v/>
      </c>
      <c r="L1487">
        <f>IF(OC_Txn=0,"",IF(INDEX('OneCause_Paste'!$A$1487:$AZ$1487,1,OC_Txn)="","",INDEX('OneCause_Paste'!$A$1487:$AZ$1487,1,OC_Txn)))</f>
        <v/>
      </c>
      <c r="M1487">
        <f>IF(OC_Pay=0,"",IF(INDEX('OneCause_Paste'!$A$1487:$AZ$1487,1,OC_Pay)="","",INDEX('OneCause_Paste'!$A$1487:$AZ$1487,1,OC_Pay)))</f>
        <v/>
      </c>
      <c r="N1487">
        <f>IF(I1487="","",IF(ISNUMBER(I1487),INT(I1487),IFERROR(INT(DATEVALUE(I1487)),IFERROR(INT(VALUE(I1487)),"bad"))))</f>
        <v/>
      </c>
      <c r="O1487">
        <f>IF(J1487="","",IF(ISNUMBER(J1487),ROUND(J1487,2),IFERROR(ROUND(VALUE(SUBSTITUTE(SUBSTITUTE(SUBSTITUTE(J1487,"$",""),",","")," ","")),2),"bad")))</f>
        <v/>
      </c>
      <c r="P1487">
        <f>IF(TRIM(K1487)="","",IFERROR(MATCH(LOWER(TRIM(K1487)),'Students'!$AH$2:$AH$701,0),IFERROR(MATCH(LOWER(TRIM(K1487)),'Students'!$AF$2:$AF$701,0),IFERROR(MATCH(LOWER(TRIM(K1487)),'Students'!$AG$2:$AG$701,0),""))))</f>
        <v/>
      </c>
      <c r="R1487">
        <f>IF(P1487="","",INDEX('Students'!$AD$2:$AD$701,P1487))</f>
        <v/>
      </c>
      <c r="S1487">
        <f>IF(H1487="OK",O1487,0)</f>
        <v/>
      </c>
      <c r="T1487">
        <f>IF(H1487="OK",N1487,"")</f>
        <v/>
      </c>
      <c r="U1487">
        <f>IF(OC_Donor=0,"",IF(INDEX('OneCause_Paste'!$A$1487:$AZ$1487,1,OC_Donor)="","",INDEX('OneCause_Paste'!$A$1487:$AZ$1487,1,OC_Donor)))</f>
        <v/>
      </c>
    </row>
    <row r="1488">
      <c r="A1488" s="62">
        <f>IF(H1488="","",IF(ISNUMBER(N1488),N1488,I1488))</f>
        <v/>
      </c>
      <c r="B1488">
        <f>IF(H1488="","",U1488)</f>
        <v/>
      </c>
      <c r="C1488">
        <f>IF(H1488="","",IF(P1488="",K1488,INDEX('Students'!$A$2:$A$701,P1488)))</f>
        <v/>
      </c>
      <c r="D1488">
        <f>IF(OR(H1488="",P1488=""),"",INDEX('Students'!$B$2:$B$701,P1488))</f>
        <v/>
      </c>
      <c r="E1488">
        <f>IF(OR(H1488="",P1488=""),"",INDEX('Students'!$C$2:$C$701,P1488))</f>
        <v/>
      </c>
      <c r="F1488" s="48">
        <f>IF(H1488="","",IF(ISNUMBER(O1488),O1488,J1488))</f>
        <v/>
      </c>
      <c r="G1488">
        <f>IF(H1488="","","OneCause")</f>
        <v/>
      </c>
      <c r="H1488">
        <f>IF(AND(I1488="",J1488="",K1488=""),"",IF(NOT(ISNUMBER(O1488)),"Bad amount",IF(O1488&lt;0,"Refund (not counted)",IF(O1488=0,"Zero amount",IF(NOT(ISNUMBER(N1488)),"Bad date",IF(P1488="","NAME NOT ON ROSTER",IF(L1488="","OK",IF(MATCH(L1488,$L$2:$L$3001,0)&lt;ROW()-1,"Duplicate (ignored)","OK"))))))))</f>
        <v/>
      </c>
      <c r="I1488">
        <f>IF(OC_Date=0,"",IF(INDEX('OneCause_Paste'!$A$1488:$AZ$1488,1,OC_Date)="","",INDEX('OneCause_Paste'!$A$1488:$AZ$1488,1,OC_Date)))</f>
        <v/>
      </c>
      <c r="J1488">
        <f>IF(OC_Amt=0,"",IF(INDEX('OneCause_Paste'!$A$1488:$AZ$1488,1,OC_Amt)="","",INDEX('OneCause_Paste'!$A$1488:$AZ$1488,1,OC_Amt)))</f>
        <v/>
      </c>
      <c r="K1488">
        <f>IF(OC_Name=0,"",IF(INDEX('OneCause_Paste'!$A$1488:$AZ$1488,1,OC_Name)="","",INDEX('OneCause_Paste'!$A$1488:$AZ$1488,1,OC_Name)))</f>
        <v/>
      </c>
      <c r="L1488">
        <f>IF(OC_Txn=0,"",IF(INDEX('OneCause_Paste'!$A$1488:$AZ$1488,1,OC_Txn)="","",INDEX('OneCause_Paste'!$A$1488:$AZ$1488,1,OC_Txn)))</f>
        <v/>
      </c>
      <c r="M1488">
        <f>IF(OC_Pay=0,"",IF(INDEX('OneCause_Paste'!$A$1488:$AZ$1488,1,OC_Pay)="","",INDEX('OneCause_Paste'!$A$1488:$AZ$1488,1,OC_Pay)))</f>
        <v/>
      </c>
      <c r="N1488">
        <f>IF(I1488="","",IF(ISNUMBER(I1488),INT(I1488),IFERROR(INT(DATEVALUE(I1488)),IFERROR(INT(VALUE(I1488)),"bad"))))</f>
        <v/>
      </c>
      <c r="O1488">
        <f>IF(J1488="","",IF(ISNUMBER(J1488),ROUND(J1488,2),IFERROR(ROUND(VALUE(SUBSTITUTE(SUBSTITUTE(SUBSTITUTE(J1488,"$",""),",","")," ","")),2),"bad")))</f>
        <v/>
      </c>
      <c r="P1488">
        <f>IF(TRIM(K1488)="","",IFERROR(MATCH(LOWER(TRIM(K1488)),'Students'!$AH$2:$AH$701,0),IFERROR(MATCH(LOWER(TRIM(K1488)),'Students'!$AF$2:$AF$701,0),IFERROR(MATCH(LOWER(TRIM(K1488)),'Students'!$AG$2:$AG$701,0),""))))</f>
        <v/>
      </c>
      <c r="R1488">
        <f>IF(P1488="","",INDEX('Students'!$AD$2:$AD$701,P1488))</f>
        <v/>
      </c>
      <c r="S1488">
        <f>IF(H1488="OK",O1488,0)</f>
        <v/>
      </c>
      <c r="T1488">
        <f>IF(H1488="OK",N1488,"")</f>
        <v/>
      </c>
      <c r="U1488">
        <f>IF(OC_Donor=0,"",IF(INDEX('OneCause_Paste'!$A$1488:$AZ$1488,1,OC_Donor)="","",INDEX('OneCause_Paste'!$A$1488:$AZ$1488,1,OC_Donor)))</f>
        <v/>
      </c>
    </row>
    <row r="1489">
      <c r="A1489" s="62">
        <f>IF(H1489="","",IF(ISNUMBER(N1489),N1489,I1489))</f>
        <v/>
      </c>
      <c r="B1489">
        <f>IF(H1489="","",U1489)</f>
        <v/>
      </c>
      <c r="C1489">
        <f>IF(H1489="","",IF(P1489="",K1489,INDEX('Students'!$A$2:$A$701,P1489)))</f>
        <v/>
      </c>
      <c r="D1489">
        <f>IF(OR(H1489="",P1489=""),"",INDEX('Students'!$B$2:$B$701,P1489))</f>
        <v/>
      </c>
      <c r="E1489">
        <f>IF(OR(H1489="",P1489=""),"",INDEX('Students'!$C$2:$C$701,P1489))</f>
        <v/>
      </c>
      <c r="F1489" s="48">
        <f>IF(H1489="","",IF(ISNUMBER(O1489),O1489,J1489))</f>
        <v/>
      </c>
      <c r="G1489">
        <f>IF(H1489="","","OneCause")</f>
        <v/>
      </c>
      <c r="H1489">
        <f>IF(AND(I1489="",J1489="",K1489=""),"",IF(NOT(ISNUMBER(O1489)),"Bad amount",IF(O1489&lt;0,"Refund (not counted)",IF(O1489=0,"Zero amount",IF(NOT(ISNUMBER(N1489)),"Bad date",IF(P1489="","NAME NOT ON ROSTER",IF(L1489="","OK",IF(MATCH(L1489,$L$2:$L$3001,0)&lt;ROW()-1,"Duplicate (ignored)","OK"))))))))</f>
        <v/>
      </c>
      <c r="I1489">
        <f>IF(OC_Date=0,"",IF(INDEX('OneCause_Paste'!$A$1489:$AZ$1489,1,OC_Date)="","",INDEX('OneCause_Paste'!$A$1489:$AZ$1489,1,OC_Date)))</f>
        <v/>
      </c>
      <c r="J1489">
        <f>IF(OC_Amt=0,"",IF(INDEX('OneCause_Paste'!$A$1489:$AZ$1489,1,OC_Amt)="","",INDEX('OneCause_Paste'!$A$1489:$AZ$1489,1,OC_Amt)))</f>
        <v/>
      </c>
      <c r="K1489">
        <f>IF(OC_Name=0,"",IF(INDEX('OneCause_Paste'!$A$1489:$AZ$1489,1,OC_Name)="","",INDEX('OneCause_Paste'!$A$1489:$AZ$1489,1,OC_Name)))</f>
        <v/>
      </c>
      <c r="L1489">
        <f>IF(OC_Txn=0,"",IF(INDEX('OneCause_Paste'!$A$1489:$AZ$1489,1,OC_Txn)="","",INDEX('OneCause_Paste'!$A$1489:$AZ$1489,1,OC_Txn)))</f>
        <v/>
      </c>
      <c r="M1489">
        <f>IF(OC_Pay=0,"",IF(INDEX('OneCause_Paste'!$A$1489:$AZ$1489,1,OC_Pay)="","",INDEX('OneCause_Paste'!$A$1489:$AZ$1489,1,OC_Pay)))</f>
        <v/>
      </c>
      <c r="N1489">
        <f>IF(I1489="","",IF(ISNUMBER(I1489),INT(I1489),IFERROR(INT(DATEVALUE(I1489)),IFERROR(INT(VALUE(I1489)),"bad"))))</f>
        <v/>
      </c>
      <c r="O1489">
        <f>IF(J1489="","",IF(ISNUMBER(J1489),ROUND(J1489,2),IFERROR(ROUND(VALUE(SUBSTITUTE(SUBSTITUTE(SUBSTITUTE(J1489,"$",""),",","")," ","")),2),"bad")))</f>
        <v/>
      </c>
      <c r="P1489">
        <f>IF(TRIM(K1489)="","",IFERROR(MATCH(LOWER(TRIM(K1489)),'Students'!$AH$2:$AH$701,0),IFERROR(MATCH(LOWER(TRIM(K1489)),'Students'!$AF$2:$AF$701,0),IFERROR(MATCH(LOWER(TRIM(K1489)),'Students'!$AG$2:$AG$701,0),""))))</f>
        <v/>
      </c>
      <c r="R1489">
        <f>IF(P1489="","",INDEX('Students'!$AD$2:$AD$701,P1489))</f>
        <v/>
      </c>
      <c r="S1489">
        <f>IF(H1489="OK",O1489,0)</f>
        <v/>
      </c>
      <c r="T1489">
        <f>IF(H1489="OK",N1489,"")</f>
        <v/>
      </c>
      <c r="U1489">
        <f>IF(OC_Donor=0,"",IF(INDEX('OneCause_Paste'!$A$1489:$AZ$1489,1,OC_Donor)="","",INDEX('OneCause_Paste'!$A$1489:$AZ$1489,1,OC_Donor)))</f>
        <v/>
      </c>
    </row>
    <row r="1490">
      <c r="A1490" s="62">
        <f>IF(H1490="","",IF(ISNUMBER(N1490),N1490,I1490))</f>
        <v/>
      </c>
      <c r="B1490">
        <f>IF(H1490="","",U1490)</f>
        <v/>
      </c>
      <c r="C1490">
        <f>IF(H1490="","",IF(P1490="",K1490,INDEX('Students'!$A$2:$A$701,P1490)))</f>
        <v/>
      </c>
      <c r="D1490">
        <f>IF(OR(H1490="",P1490=""),"",INDEX('Students'!$B$2:$B$701,P1490))</f>
        <v/>
      </c>
      <c r="E1490">
        <f>IF(OR(H1490="",P1490=""),"",INDEX('Students'!$C$2:$C$701,P1490))</f>
        <v/>
      </c>
      <c r="F1490" s="48">
        <f>IF(H1490="","",IF(ISNUMBER(O1490),O1490,J1490))</f>
        <v/>
      </c>
      <c r="G1490">
        <f>IF(H1490="","","OneCause")</f>
        <v/>
      </c>
      <c r="H1490">
        <f>IF(AND(I1490="",J1490="",K1490=""),"",IF(NOT(ISNUMBER(O1490)),"Bad amount",IF(O1490&lt;0,"Refund (not counted)",IF(O1490=0,"Zero amount",IF(NOT(ISNUMBER(N1490)),"Bad date",IF(P1490="","NAME NOT ON ROSTER",IF(L1490="","OK",IF(MATCH(L1490,$L$2:$L$3001,0)&lt;ROW()-1,"Duplicate (ignored)","OK"))))))))</f>
        <v/>
      </c>
      <c r="I1490">
        <f>IF(OC_Date=0,"",IF(INDEX('OneCause_Paste'!$A$1490:$AZ$1490,1,OC_Date)="","",INDEX('OneCause_Paste'!$A$1490:$AZ$1490,1,OC_Date)))</f>
        <v/>
      </c>
      <c r="J1490">
        <f>IF(OC_Amt=0,"",IF(INDEX('OneCause_Paste'!$A$1490:$AZ$1490,1,OC_Amt)="","",INDEX('OneCause_Paste'!$A$1490:$AZ$1490,1,OC_Amt)))</f>
        <v/>
      </c>
      <c r="K1490">
        <f>IF(OC_Name=0,"",IF(INDEX('OneCause_Paste'!$A$1490:$AZ$1490,1,OC_Name)="","",INDEX('OneCause_Paste'!$A$1490:$AZ$1490,1,OC_Name)))</f>
        <v/>
      </c>
      <c r="L1490">
        <f>IF(OC_Txn=0,"",IF(INDEX('OneCause_Paste'!$A$1490:$AZ$1490,1,OC_Txn)="","",INDEX('OneCause_Paste'!$A$1490:$AZ$1490,1,OC_Txn)))</f>
        <v/>
      </c>
      <c r="M1490">
        <f>IF(OC_Pay=0,"",IF(INDEX('OneCause_Paste'!$A$1490:$AZ$1490,1,OC_Pay)="","",INDEX('OneCause_Paste'!$A$1490:$AZ$1490,1,OC_Pay)))</f>
        <v/>
      </c>
      <c r="N1490">
        <f>IF(I1490="","",IF(ISNUMBER(I1490),INT(I1490),IFERROR(INT(DATEVALUE(I1490)),IFERROR(INT(VALUE(I1490)),"bad"))))</f>
        <v/>
      </c>
      <c r="O1490">
        <f>IF(J1490="","",IF(ISNUMBER(J1490),ROUND(J1490,2),IFERROR(ROUND(VALUE(SUBSTITUTE(SUBSTITUTE(SUBSTITUTE(J1490,"$",""),",","")," ","")),2),"bad")))</f>
        <v/>
      </c>
      <c r="P1490">
        <f>IF(TRIM(K1490)="","",IFERROR(MATCH(LOWER(TRIM(K1490)),'Students'!$AH$2:$AH$701,0),IFERROR(MATCH(LOWER(TRIM(K1490)),'Students'!$AF$2:$AF$701,0),IFERROR(MATCH(LOWER(TRIM(K1490)),'Students'!$AG$2:$AG$701,0),""))))</f>
        <v/>
      </c>
      <c r="R1490">
        <f>IF(P1490="","",INDEX('Students'!$AD$2:$AD$701,P1490))</f>
        <v/>
      </c>
      <c r="S1490">
        <f>IF(H1490="OK",O1490,0)</f>
        <v/>
      </c>
      <c r="T1490">
        <f>IF(H1490="OK",N1490,"")</f>
        <v/>
      </c>
      <c r="U1490">
        <f>IF(OC_Donor=0,"",IF(INDEX('OneCause_Paste'!$A$1490:$AZ$1490,1,OC_Donor)="","",INDEX('OneCause_Paste'!$A$1490:$AZ$1490,1,OC_Donor)))</f>
        <v/>
      </c>
    </row>
    <row r="1491">
      <c r="A1491" s="62">
        <f>IF(H1491="","",IF(ISNUMBER(N1491),N1491,I1491))</f>
        <v/>
      </c>
      <c r="B1491">
        <f>IF(H1491="","",U1491)</f>
        <v/>
      </c>
      <c r="C1491">
        <f>IF(H1491="","",IF(P1491="",K1491,INDEX('Students'!$A$2:$A$701,P1491)))</f>
        <v/>
      </c>
      <c r="D1491">
        <f>IF(OR(H1491="",P1491=""),"",INDEX('Students'!$B$2:$B$701,P1491))</f>
        <v/>
      </c>
      <c r="E1491">
        <f>IF(OR(H1491="",P1491=""),"",INDEX('Students'!$C$2:$C$701,P1491))</f>
        <v/>
      </c>
      <c r="F1491" s="48">
        <f>IF(H1491="","",IF(ISNUMBER(O1491),O1491,J1491))</f>
        <v/>
      </c>
      <c r="G1491">
        <f>IF(H1491="","","OneCause")</f>
        <v/>
      </c>
      <c r="H1491">
        <f>IF(AND(I1491="",J1491="",K1491=""),"",IF(NOT(ISNUMBER(O1491)),"Bad amount",IF(O1491&lt;0,"Refund (not counted)",IF(O1491=0,"Zero amount",IF(NOT(ISNUMBER(N1491)),"Bad date",IF(P1491="","NAME NOT ON ROSTER",IF(L1491="","OK",IF(MATCH(L1491,$L$2:$L$3001,0)&lt;ROW()-1,"Duplicate (ignored)","OK"))))))))</f>
        <v/>
      </c>
      <c r="I1491">
        <f>IF(OC_Date=0,"",IF(INDEX('OneCause_Paste'!$A$1491:$AZ$1491,1,OC_Date)="","",INDEX('OneCause_Paste'!$A$1491:$AZ$1491,1,OC_Date)))</f>
        <v/>
      </c>
      <c r="J1491">
        <f>IF(OC_Amt=0,"",IF(INDEX('OneCause_Paste'!$A$1491:$AZ$1491,1,OC_Amt)="","",INDEX('OneCause_Paste'!$A$1491:$AZ$1491,1,OC_Amt)))</f>
        <v/>
      </c>
      <c r="K1491">
        <f>IF(OC_Name=0,"",IF(INDEX('OneCause_Paste'!$A$1491:$AZ$1491,1,OC_Name)="","",INDEX('OneCause_Paste'!$A$1491:$AZ$1491,1,OC_Name)))</f>
        <v/>
      </c>
      <c r="L1491">
        <f>IF(OC_Txn=0,"",IF(INDEX('OneCause_Paste'!$A$1491:$AZ$1491,1,OC_Txn)="","",INDEX('OneCause_Paste'!$A$1491:$AZ$1491,1,OC_Txn)))</f>
        <v/>
      </c>
      <c r="M1491">
        <f>IF(OC_Pay=0,"",IF(INDEX('OneCause_Paste'!$A$1491:$AZ$1491,1,OC_Pay)="","",INDEX('OneCause_Paste'!$A$1491:$AZ$1491,1,OC_Pay)))</f>
        <v/>
      </c>
      <c r="N1491">
        <f>IF(I1491="","",IF(ISNUMBER(I1491),INT(I1491),IFERROR(INT(DATEVALUE(I1491)),IFERROR(INT(VALUE(I1491)),"bad"))))</f>
        <v/>
      </c>
      <c r="O1491">
        <f>IF(J1491="","",IF(ISNUMBER(J1491),ROUND(J1491,2),IFERROR(ROUND(VALUE(SUBSTITUTE(SUBSTITUTE(SUBSTITUTE(J1491,"$",""),",","")," ","")),2),"bad")))</f>
        <v/>
      </c>
      <c r="P1491">
        <f>IF(TRIM(K1491)="","",IFERROR(MATCH(LOWER(TRIM(K1491)),'Students'!$AH$2:$AH$701,0),IFERROR(MATCH(LOWER(TRIM(K1491)),'Students'!$AF$2:$AF$701,0),IFERROR(MATCH(LOWER(TRIM(K1491)),'Students'!$AG$2:$AG$701,0),""))))</f>
        <v/>
      </c>
      <c r="R1491">
        <f>IF(P1491="","",INDEX('Students'!$AD$2:$AD$701,P1491))</f>
        <v/>
      </c>
      <c r="S1491">
        <f>IF(H1491="OK",O1491,0)</f>
        <v/>
      </c>
      <c r="T1491">
        <f>IF(H1491="OK",N1491,"")</f>
        <v/>
      </c>
      <c r="U1491">
        <f>IF(OC_Donor=0,"",IF(INDEX('OneCause_Paste'!$A$1491:$AZ$1491,1,OC_Donor)="","",INDEX('OneCause_Paste'!$A$1491:$AZ$1491,1,OC_Donor)))</f>
        <v/>
      </c>
    </row>
    <row r="1492">
      <c r="A1492" s="62">
        <f>IF(H1492="","",IF(ISNUMBER(N1492),N1492,I1492))</f>
        <v/>
      </c>
      <c r="B1492">
        <f>IF(H1492="","",U1492)</f>
        <v/>
      </c>
      <c r="C1492">
        <f>IF(H1492="","",IF(P1492="",K1492,INDEX('Students'!$A$2:$A$701,P1492)))</f>
        <v/>
      </c>
      <c r="D1492">
        <f>IF(OR(H1492="",P1492=""),"",INDEX('Students'!$B$2:$B$701,P1492))</f>
        <v/>
      </c>
      <c r="E1492">
        <f>IF(OR(H1492="",P1492=""),"",INDEX('Students'!$C$2:$C$701,P1492))</f>
        <v/>
      </c>
      <c r="F1492" s="48">
        <f>IF(H1492="","",IF(ISNUMBER(O1492),O1492,J1492))</f>
        <v/>
      </c>
      <c r="G1492">
        <f>IF(H1492="","","OneCause")</f>
        <v/>
      </c>
      <c r="H1492">
        <f>IF(AND(I1492="",J1492="",K1492=""),"",IF(NOT(ISNUMBER(O1492)),"Bad amount",IF(O1492&lt;0,"Refund (not counted)",IF(O1492=0,"Zero amount",IF(NOT(ISNUMBER(N1492)),"Bad date",IF(P1492="","NAME NOT ON ROSTER",IF(L1492="","OK",IF(MATCH(L1492,$L$2:$L$3001,0)&lt;ROW()-1,"Duplicate (ignored)","OK"))))))))</f>
        <v/>
      </c>
      <c r="I1492">
        <f>IF(OC_Date=0,"",IF(INDEX('OneCause_Paste'!$A$1492:$AZ$1492,1,OC_Date)="","",INDEX('OneCause_Paste'!$A$1492:$AZ$1492,1,OC_Date)))</f>
        <v/>
      </c>
      <c r="J1492">
        <f>IF(OC_Amt=0,"",IF(INDEX('OneCause_Paste'!$A$1492:$AZ$1492,1,OC_Amt)="","",INDEX('OneCause_Paste'!$A$1492:$AZ$1492,1,OC_Amt)))</f>
        <v/>
      </c>
      <c r="K1492">
        <f>IF(OC_Name=0,"",IF(INDEX('OneCause_Paste'!$A$1492:$AZ$1492,1,OC_Name)="","",INDEX('OneCause_Paste'!$A$1492:$AZ$1492,1,OC_Name)))</f>
        <v/>
      </c>
      <c r="L1492">
        <f>IF(OC_Txn=0,"",IF(INDEX('OneCause_Paste'!$A$1492:$AZ$1492,1,OC_Txn)="","",INDEX('OneCause_Paste'!$A$1492:$AZ$1492,1,OC_Txn)))</f>
        <v/>
      </c>
      <c r="M1492">
        <f>IF(OC_Pay=0,"",IF(INDEX('OneCause_Paste'!$A$1492:$AZ$1492,1,OC_Pay)="","",INDEX('OneCause_Paste'!$A$1492:$AZ$1492,1,OC_Pay)))</f>
        <v/>
      </c>
      <c r="N1492">
        <f>IF(I1492="","",IF(ISNUMBER(I1492),INT(I1492),IFERROR(INT(DATEVALUE(I1492)),IFERROR(INT(VALUE(I1492)),"bad"))))</f>
        <v/>
      </c>
      <c r="O1492">
        <f>IF(J1492="","",IF(ISNUMBER(J1492),ROUND(J1492,2),IFERROR(ROUND(VALUE(SUBSTITUTE(SUBSTITUTE(SUBSTITUTE(J1492,"$",""),",","")," ","")),2),"bad")))</f>
        <v/>
      </c>
      <c r="P1492">
        <f>IF(TRIM(K1492)="","",IFERROR(MATCH(LOWER(TRIM(K1492)),'Students'!$AH$2:$AH$701,0),IFERROR(MATCH(LOWER(TRIM(K1492)),'Students'!$AF$2:$AF$701,0),IFERROR(MATCH(LOWER(TRIM(K1492)),'Students'!$AG$2:$AG$701,0),""))))</f>
        <v/>
      </c>
      <c r="R1492">
        <f>IF(P1492="","",INDEX('Students'!$AD$2:$AD$701,P1492))</f>
        <v/>
      </c>
      <c r="S1492">
        <f>IF(H1492="OK",O1492,0)</f>
        <v/>
      </c>
      <c r="T1492">
        <f>IF(H1492="OK",N1492,"")</f>
        <v/>
      </c>
      <c r="U1492">
        <f>IF(OC_Donor=0,"",IF(INDEX('OneCause_Paste'!$A$1492:$AZ$1492,1,OC_Donor)="","",INDEX('OneCause_Paste'!$A$1492:$AZ$1492,1,OC_Donor)))</f>
        <v/>
      </c>
    </row>
    <row r="1493">
      <c r="A1493" s="62">
        <f>IF(H1493="","",IF(ISNUMBER(N1493),N1493,I1493))</f>
        <v/>
      </c>
      <c r="B1493">
        <f>IF(H1493="","",U1493)</f>
        <v/>
      </c>
      <c r="C1493">
        <f>IF(H1493="","",IF(P1493="",K1493,INDEX('Students'!$A$2:$A$701,P1493)))</f>
        <v/>
      </c>
      <c r="D1493">
        <f>IF(OR(H1493="",P1493=""),"",INDEX('Students'!$B$2:$B$701,P1493))</f>
        <v/>
      </c>
      <c r="E1493">
        <f>IF(OR(H1493="",P1493=""),"",INDEX('Students'!$C$2:$C$701,P1493))</f>
        <v/>
      </c>
      <c r="F1493" s="48">
        <f>IF(H1493="","",IF(ISNUMBER(O1493),O1493,J1493))</f>
        <v/>
      </c>
      <c r="G1493">
        <f>IF(H1493="","","OneCause")</f>
        <v/>
      </c>
      <c r="H1493">
        <f>IF(AND(I1493="",J1493="",K1493=""),"",IF(NOT(ISNUMBER(O1493)),"Bad amount",IF(O1493&lt;0,"Refund (not counted)",IF(O1493=0,"Zero amount",IF(NOT(ISNUMBER(N1493)),"Bad date",IF(P1493="","NAME NOT ON ROSTER",IF(L1493="","OK",IF(MATCH(L1493,$L$2:$L$3001,0)&lt;ROW()-1,"Duplicate (ignored)","OK"))))))))</f>
        <v/>
      </c>
      <c r="I1493">
        <f>IF(OC_Date=0,"",IF(INDEX('OneCause_Paste'!$A$1493:$AZ$1493,1,OC_Date)="","",INDEX('OneCause_Paste'!$A$1493:$AZ$1493,1,OC_Date)))</f>
        <v/>
      </c>
      <c r="J1493">
        <f>IF(OC_Amt=0,"",IF(INDEX('OneCause_Paste'!$A$1493:$AZ$1493,1,OC_Amt)="","",INDEX('OneCause_Paste'!$A$1493:$AZ$1493,1,OC_Amt)))</f>
        <v/>
      </c>
      <c r="K1493">
        <f>IF(OC_Name=0,"",IF(INDEX('OneCause_Paste'!$A$1493:$AZ$1493,1,OC_Name)="","",INDEX('OneCause_Paste'!$A$1493:$AZ$1493,1,OC_Name)))</f>
        <v/>
      </c>
      <c r="L1493">
        <f>IF(OC_Txn=0,"",IF(INDEX('OneCause_Paste'!$A$1493:$AZ$1493,1,OC_Txn)="","",INDEX('OneCause_Paste'!$A$1493:$AZ$1493,1,OC_Txn)))</f>
        <v/>
      </c>
      <c r="M1493">
        <f>IF(OC_Pay=0,"",IF(INDEX('OneCause_Paste'!$A$1493:$AZ$1493,1,OC_Pay)="","",INDEX('OneCause_Paste'!$A$1493:$AZ$1493,1,OC_Pay)))</f>
        <v/>
      </c>
      <c r="N1493">
        <f>IF(I1493="","",IF(ISNUMBER(I1493),INT(I1493),IFERROR(INT(DATEVALUE(I1493)),IFERROR(INT(VALUE(I1493)),"bad"))))</f>
        <v/>
      </c>
      <c r="O1493">
        <f>IF(J1493="","",IF(ISNUMBER(J1493),ROUND(J1493,2),IFERROR(ROUND(VALUE(SUBSTITUTE(SUBSTITUTE(SUBSTITUTE(J1493,"$",""),",","")," ","")),2),"bad")))</f>
        <v/>
      </c>
      <c r="P1493">
        <f>IF(TRIM(K1493)="","",IFERROR(MATCH(LOWER(TRIM(K1493)),'Students'!$AH$2:$AH$701,0),IFERROR(MATCH(LOWER(TRIM(K1493)),'Students'!$AF$2:$AF$701,0),IFERROR(MATCH(LOWER(TRIM(K1493)),'Students'!$AG$2:$AG$701,0),""))))</f>
        <v/>
      </c>
      <c r="R1493">
        <f>IF(P1493="","",INDEX('Students'!$AD$2:$AD$701,P1493))</f>
        <v/>
      </c>
      <c r="S1493">
        <f>IF(H1493="OK",O1493,0)</f>
        <v/>
      </c>
      <c r="T1493">
        <f>IF(H1493="OK",N1493,"")</f>
        <v/>
      </c>
      <c r="U1493">
        <f>IF(OC_Donor=0,"",IF(INDEX('OneCause_Paste'!$A$1493:$AZ$1493,1,OC_Donor)="","",INDEX('OneCause_Paste'!$A$1493:$AZ$1493,1,OC_Donor)))</f>
        <v/>
      </c>
    </row>
    <row r="1494">
      <c r="A1494" s="62">
        <f>IF(H1494="","",IF(ISNUMBER(N1494),N1494,I1494))</f>
        <v/>
      </c>
      <c r="B1494">
        <f>IF(H1494="","",U1494)</f>
        <v/>
      </c>
      <c r="C1494">
        <f>IF(H1494="","",IF(P1494="",K1494,INDEX('Students'!$A$2:$A$701,P1494)))</f>
        <v/>
      </c>
      <c r="D1494">
        <f>IF(OR(H1494="",P1494=""),"",INDEX('Students'!$B$2:$B$701,P1494))</f>
        <v/>
      </c>
      <c r="E1494">
        <f>IF(OR(H1494="",P1494=""),"",INDEX('Students'!$C$2:$C$701,P1494))</f>
        <v/>
      </c>
      <c r="F1494" s="48">
        <f>IF(H1494="","",IF(ISNUMBER(O1494),O1494,J1494))</f>
        <v/>
      </c>
      <c r="G1494">
        <f>IF(H1494="","","OneCause")</f>
        <v/>
      </c>
      <c r="H1494">
        <f>IF(AND(I1494="",J1494="",K1494=""),"",IF(NOT(ISNUMBER(O1494)),"Bad amount",IF(O1494&lt;0,"Refund (not counted)",IF(O1494=0,"Zero amount",IF(NOT(ISNUMBER(N1494)),"Bad date",IF(P1494="","NAME NOT ON ROSTER",IF(L1494="","OK",IF(MATCH(L1494,$L$2:$L$3001,0)&lt;ROW()-1,"Duplicate (ignored)","OK"))))))))</f>
        <v/>
      </c>
      <c r="I1494">
        <f>IF(OC_Date=0,"",IF(INDEX('OneCause_Paste'!$A$1494:$AZ$1494,1,OC_Date)="","",INDEX('OneCause_Paste'!$A$1494:$AZ$1494,1,OC_Date)))</f>
        <v/>
      </c>
      <c r="J1494">
        <f>IF(OC_Amt=0,"",IF(INDEX('OneCause_Paste'!$A$1494:$AZ$1494,1,OC_Amt)="","",INDEX('OneCause_Paste'!$A$1494:$AZ$1494,1,OC_Amt)))</f>
        <v/>
      </c>
      <c r="K1494">
        <f>IF(OC_Name=0,"",IF(INDEX('OneCause_Paste'!$A$1494:$AZ$1494,1,OC_Name)="","",INDEX('OneCause_Paste'!$A$1494:$AZ$1494,1,OC_Name)))</f>
        <v/>
      </c>
      <c r="L1494">
        <f>IF(OC_Txn=0,"",IF(INDEX('OneCause_Paste'!$A$1494:$AZ$1494,1,OC_Txn)="","",INDEX('OneCause_Paste'!$A$1494:$AZ$1494,1,OC_Txn)))</f>
        <v/>
      </c>
      <c r="M1494">
        <f>IF(OC_Pay=0,"",IF(INDEX('OneCause_Paste'!$A$1494:$AZ$1494,1,OC_Pay)="","",INDEX('OneCause_Paste'!$A$1494:$AZ$1494,1,OC_Pay)))</f>
        <v/>
      </c>
      <c r="N1494">
        <f>IF(I1494="","",IF(ISNUMBER(I1494),INT(I1494),IFERROR(INT(DATEVALUE(I1494)),IFERROR(INT(VALUE(I1494)),"bad"))))</f>
        <v/>
      </c>
      <c r="O1494">
        <f>IF(J1494="","",IF(ISNUMBER(J1494),ROUND(J1494,2),IFERROR(ROUND(VALUE(SUBSTITUTE(SUBSTITUTE(SUBSTITUTE(J1494,"$",""),",","")," ","")),2),"bad")))</f>
        <v/>
      </c>
      <c r="P1494">
        <f>IF(TRIM(K1494)="","",IFERROR(MATCH(LOWER(TRIM(K1494)),'Students'!$AH$2:$AH$701,0),IFERROR(MATCH(LOWER(TRIM(K1494)),'Students'!$AF$2:$AF$701,0),IFERROR(MATCH(LOWER(TRIM(K1494)),'Students'!$AG$2:$AG$701,0),""))))</f>
        <v/>
      </c>
      <c r="R1494">
        <f>IF(P1494="","",INDEX('Students'!$AD$2:$AD$701,P1494))</f>
        <v/>
      </c>
      <c r="S1494">
        <f>IF(H1494="OK",O1494,0)</f>
        <v/>
      </c>
      <c r="T1494">
        <f>IF(H1494="OK",N1494,"")</f>
        <v/>
      </c>
      <c r="U1494">
        <f>IF(OC_Donor=0,"",IF(INDEX('OneCause_Paste'!$A$1494:$AZ$1494,1,OC_Donor)="","",INDEX('OneCause_Paste'!$A$1494:$AZ$1494,1,OC_Donor)))</f>
        <v/>
      </c>
    </row>
    <row r="1495">
      <c r="A1495" s="62">
        <f>IF(H1495="","",IF(ISNUMBER(N1495),N1495,I1495))</f>
        <v/>
      </c>
      <c r="B1495">
        <f>IF(H1495="","",U1495)</f>
        <v/>
      </c>
      <c r="C1495">
        <f>IF(H1495="","",IF(P1495="",K1495,INDEX('Students'!$A$2:$A$701,P1495)))</f>
        <v/>
      </c>
      <c r="D1495">
        <f>IF(OR(H1495="",P1495=""),"",INDEX('Students'!$B$2:$B$701,P1495))</f>
        <v/>
      </c>
      <c r="E1495">
        <f>IF(OR(H1495="",P1495=""),"",INDEX('Students'!$C$2:$C$701,P1495))</f>
        <v/>
      </c>
      <c r="F1495" s="48">
        <f>IF(H1495="","",IF(ISNUMBER(O1495),O1495,J1495))</f>
        <v/>
      </c>
      <c r="G1495">
        <f>IF(H1495="","","OneCause")</f>
        <v/>
      </c>
      <c r="H1495">
        <f>IF(AND(I1495="",J1495="",K1495=""),"",IF(NOT(ISNUMBER(O1495)),"Bad amount",IF(O1495&lt;0,"Refund (not counted)",IF(O1495=0,"Zero amount",IF(NOT(ISNUMBER(N1495)),"Bad date",IF(P1495="","NAME NOT ON ROSTER",IF(L1495="","OK",IF(MATCH(L1495,$L$2:$L$3001,0)&lt;ROW()-1,"Duplicate (ignored)","OK"))))))))</f>
        <v/>
      </c>
      <c r="I1495">
        <f>IF(OC_Date=0,"",IF(INDEX('OneCause_Paste'!$A$1495:$AZ$1495,1,OC_Date)="","",INDEX('OneCause_Paste'!$A$1495:$AZ$1495,1,OC_Date)))</f>
        <v/>
      </c>
      <c r="J1495">
        <f>IF(OC_Amt=0,"",IF(INDEX('OneCause_Paste'!$A$1495:$AZ$1495,1,OC_Amt)="","",INDEX('OneCause_Paste'!$A$1495:$AZ$1495,1,OC_Amt)))</f>
        <v/>
      </c>
      <c r="K1495">
        <f>IF(OC_Name=0,"",IF(INDEX('OneCause_Paste'!$A$1495:$AZ$1495,1,OC_Name)="","",INDEX('OneCause_Paste'!$A$1495:$AZ$1495,1,OC_Name)))</f>
        <v/>
      </c>
      <c r="L1495">
        <f>IF(OC_Txn=0,"",IF(INDEX('OneCause_Paste'!$A$1495:$AZ$1495,1,OC_Txn)="","",INDEX('OneCause_Paste'!$A$1495:$AZ$1495,1,OC_Txn)))</f>
        <v/>
      </c>
      <c r="M1495">
        <f>IF(OC_Pay=0,"",IF(INDEX('OneCause_Paste'!$A$1495:$AZ$1495,1,OC_Pay)="","",INDEX('OneCause_Paste'!$A$1495:$AZ$1495,1,OC_Pay)))</f>
        <v/>
      </c>
      <c r="N1495">
        <f>IF(I1495="","",IF(ISNUMBER(I1495),INT(I1495),IFERROR(INT(DATEVALUE(I1495)),IFERROR(INT(VALUE(I1495)),"bad"))))</f>
        <v/>
      </c>
      <c r="O1495">
        <f>IF(J1495="","",IF(ISNUMBER(J1495),ROUND(J1495,2),IFERROR(ROUND(VALUE(SUBSTITUTE(SUBSTITUTE(SUBSTITUTE(J1495,"$",""),",","")," ","")),2),"bad")))</f>
        <v/>
      </c>
      <c r="P1495">
        <f>IF(TRIM(K1495)="","",IFERROR(MATCH(LOWER(TRIM(K1495)),'Students'!$AH$2:$AH$701,0),IFERROR(MATCH(LOWER(TRIM(K1495)),'Students'!$AF$2:$AF$701,0),IFERROR(MATCH(LOWER(TRIM(K1495)),'Students'!$AG$2:$AG$701,0),""))))</f>
        <v/>
      </c>
      <c r="R1495">
        <f>IF(P1495="","",INDEX('Students'!$AD$2:$AD$701,P1495))</f>
        <v/>
      </c>
      <c r="S1495">
        <f>IF(H1495="OK",O1495,0)</f>
        <v/>
      </c>
      <c r="T1495">
        <f>IF(H1495="OK",N1495,"")</f>
        <v/>
      </c>
      <c r="U1495">
        <f>IF(OC_Donor=0,"",IF(INDEX('OneCause_Paste'!$A$1495:$AZ$1495,1,OC_Donor)="","",INDEX('OneCause_Paste'!$A$1495:$AZ$1495,1,OC_Donor)))</f>
        <v/>
      </c>
    </row>
    <row r="1496">
      <c r="A1496" s="62">
        <f>IF(H1496="","",IF(ISNUMBER(N1496),N1496,I1496))</f>
        <v/>
      </c>
      <c r="B1496">
        <f>IF(H1496="","",U1496)</f>
        <v/>
      </c>
      <c r="C1496">
        <f>IF(H1496="","",IF(P1496="",K1496,INDEX('Students'!$A$2:$A$701,P1496)))</f>
        <v/>
      </c>
      <c r="D1496">
        <f>IF(OR(H1496="",P1496=""),"",INDEX('Students'!$B$2:$B$701,P1496))</f>
        <v/>
      </c>
      <c r="E1496">
        <f>IF(OR(H1496="",P1496=""),"",INDEX('Students'!$C$2:$C$701,P1496))</f>
        <v/>
      </c>
      <c r="F1496" s="48">
        <f>IF(H1496="","",IF(ISNUMBER(O1496),O1496,J1496))</f>
        <v/>
      </c>
      <c r="G1496">
        <f>IF(H1496="","","OneCause")</f>
        <v/>
      </c>
      <c r="H1496">
        <f>IF(AND(I1496="",J1496="",K1496=""),"",IF(NOT(ISNUMBER(O1496)),"Bad amount",IF(O1496&lt;0,"Refund (not counted)",IF(O1496=0,"Zero amount",IF(NOT(ISNUMBER(N1496)),"Bad date",IF(P1496="","NAME NOT ON ROSTER",IF(L1496="","OK",IF(MATCH(L1496,$L$2:$L$3001,0)&lt;ROW()-1,"Duplicate (ignored)","OK"))))))))</f>
        <v/>
      </c>
      <c r="I1496">
        <f>IF(OC_Date=0,"",IF(INDEX('OneCause_Paste'!$A$1496:$AZ$1496,1,OC_Date)="","",INDEX('OneCause_Paste'!$A$1496:$AZ$1496,1,OC_Date)))</f>
        <v/>
      </c>
      <c r="J1496">
        <f>IF(OC_Amt=0,"",IF(INDEX('OneCause_Paste'!$A$1496:$AZ$1496,1,OC_Amt)="","",INDEX('OneCause_Paste'!$A$1496:$AZ$1496,1,OC_Amt)))</f>
        <v/>
      </c>
      <c r="K1496">
        <f>IF(OC_Name=0,"",IF(INDEX('OneCause_Paste'!$A$1496:$AZ$1496,1,OC_Name)="","",INDEX('OneCause_Paste'!$A$1496:$AZ$1496,1,OC_Name)))</f>
        <v/>
      </c>
      <c r="L1496">
        <f>IF(OC_Txn=0,"",IF(INDEX('OneCause_Paste'!$A$1496:$AZ$1496,1,OC_Txn)="","",INDEX('OneCause_Paste'!$A$1496:$AZ$1496,1,OC_Txn)))</f>
        <v/>
      </c>
      <c r="M1496">
        <f>IF(OC_Pay=0,"",IF(INDEX('OneCause_Paste'!$A$1496:$AZ$1496,1,OC_Pay)="","",INDEX('OneCause_Paste'!$A$1496:$AZ$1496,1,OC_Pay)))</f>
        <v/>
      </c>
      <c r="N1496">
        <f>IF(I1496="","",IF(ISNUMBER(I1496),INT(I1496),IFERROR(INT(DATEVALUE(I1496)),IFERROR(INT(VALUE(I1496)),"bad"))))</f>
        <v/>
      </c>
      <c r="O1496">
        <f>IF(J1496="","",IF(ISNUMBER(J1496),ROUND(J1496,2),IFERROR(ROUND(VALUE(SUBSTITUTE(SUBSTITUTE(SUBSTITUTE(J1496,"$",""),",","")," ","")),2),"bad")))</f>
        <v/>
      </c>
      <c r="P1496">
        <f>IF(TRIM(K1496)="","",IFERROR(MATCH(LOWER(TRIM(K1496)),'Students'!$AH$2:$AH$701,0),IFERROR(MATCH(LOWER(TRIM(K1496)),'Students'!$AF$2:$AF$701,0),IFERROR(MATCH(LOWER(TRIM(K1496)),'Students'!$AG$2:$AG$701,0),""))))</f>
        <v/>
      </c>
      <c r="R1496">
        <f>IF(P1496="","",INDEX('Students'!$AD$2:$AD$701,P1496))</f>
        <v/>
      </c>
      <c r="S1496">
        <f>IF(H1496="OK",O1496,0)</f>
        <v/>
      </c>
      <c r="T1496">
        <f>IF(H1496="OK",N1496,"")</f>
        <v/>
      </c>
      <c r="U1496">
        <f>IF(OC_Donor=0,"",IF(INDEX('OneCause_Paste'!$A$1496:$AZ$1496,1,OC_Donor)="","",INDEX('OneCause_Paste'!$A$1496:$AZ$1496,1,OC_Donor)))</f>
        <v/>
      </c>
    </row>
    <row r="1497">
      <c r="A1497" s="62">
        <f>IF(H1497="","",IF(ISNUMBER(N1497),N1497,I1497))</f>
        <v/>
      </c>
      <c r="B1497">
        <f>IF(H1497="","",U1497)</f>
        <v/>
      </c>
      <c r="C1497">
        <f>IF(H1497="","",IF(P1497="",K1497,INDEX('Students'!$A$2:$A$701,P1497)))</f>
        <v/>
      </c>
      <c r="D1497">
        <f>IF(OR(H1497="",P1497=""),"",INDEX('Students'!$B$2:$B$701,P1497))</f>
        <v/>
      </c>
      <c r="E1497">
        <f>IF(OR(H1497="",P1497=""),"",INDEX('Students'!$C$2:$C$701,P1497))</f>
        <v/>
      </c>
      <c r="F1497" s="48">
        <f>IF(H1497="","",IF(ISNUMBER(O1497),O1497,J1497))</f>
        <v/>
      </c>
      <c r="G1497">
        <f>IF(H1497="","","OneCause")</f>
        <v/>
      </c>
      <c r="H1497">
        <f>IF(AND(I1497="",J1497="",K1497=""),"",IF(NOT(ISNUMBER(O1497)),"Bad amount",IF(O1497&lt;0,"Refund (not counted)",IF(O1497=0,"Zero amount",IF(NOT(ISNUMBER(N1497)),"Bad date",IF(P1497="","NAME NOT ON ROSTER",IF(L1497="","OK",IF(MATCH(L1497,$L$2:$L$3001,0)&lt;ROW()-1,"Duplicate (ignored)","OK"))))))))</f>
        <v/>
      </c>
      <c r="I1497">
        <f>IF(OC_Date=0,"",IF(INDEX('OneCause_Paste'!$A$1497:$AZ$1497,1,OC_Date)="","",INDEX('OneCause_Paste'!$A$1497:$AZ$1497,1,OC_Date)))</f>
        <v/>
      </c>
      <c r="J1497">
        <f>IF(OC_Amt=0,"",IF(INDEX('OneCause_Paste'!$A$1497:$AZ$1497,1,OC_Amt)="","",INDEX('OneCause_Paste'!$A$1497:$AZ$1497,1,OC_Amt)))</f>
        <v/>
      </c>
      <c r="K1497">
        <f>IF(OC_Name=0,"",IF(INDEX('OneCause_Paste'!$A$1497:$AZ$1497,1,OC_Name)="","",INDEX('OneCause_Paste'!$A$1497:$AZ$1497,1,OC_Name)))</f>
        <v/>
      </c>
      <c r="L1497">
        <f>IF(OC_Txn=0,"",IF(INDEX('OneCause_Paste'!$A$1497:$AZ$1497,1,OC_Txn)="","",INDEX('OneCause_Paste'!$A$1497:$AZ$1497,1,OC_Txn)))</f>
        <v/>
      </c>
      <c r="M1497">
        <f>IF(OC_Pay=0,"",IF(INDEX('OneCause_Paste'!$A$1497:$AZ$1497,1,OC_Pay)="","",INDEX('OneCause_Paste'!$A$1497:$AZ$1497,1,OC_Pay)))</f>
        <v/>
      </c>
      <c r="N1497">
        <f>IF(I1497="","",IF(ISNUMBER(I1497),INT(I1497),IFERROR(INT(DATEVALUE(I1497)),IFERROR(INT(VALUE(I1497)),"bad"))))</f>
        <v/>
      </c>
      <c r="O1497">
        <f>IF(J1497="","",IF(ISNUMBER(J1497),ROUND(J1497,2),IFERROR(ROUND(VALUE(SUBSTITUTE(SUBSTITUTE(SUBSTITUTE(J1497,"$",""),",","")," ","")),2),"bad")))</f>
        <v/>
      </c>
      <c r="P1497">
        <f>IF(TRIM(K1497)="","",IFERROR(MATCH(LOWER(TRIM(K1497)),'Students'!$AH$2:$AH$701,0),IFERROR(MATCH(LOWER(TRIM(K1497)),'Students'!$AF$2:$AF$701,0),IFERROR(MATCH(LOWER(TRIM(K1497)),'Students'!$AG$2:$AG$701,0),""))))</f>
        <v/>
      </c>
      <c r="R1497">
        <f>IF(P1497="","",INDEX('Students'!$AD$2:$AD$701,P1497))</f>
        <v/>
      </c>
      <c r="S1497">
        <f>IF(H1497="OK",O1497,0)</f>
        <v/>
      </c>
      <c r="T1497">
        <f>IF(H1497="OK",N1497,"")</f>
        <v/>
      </c>
      <c r="U1497">
        <f>IF(OC_Donor=0,"",IF(INDEX('OneCause_Paste'!$A$1497:$AZ$1497,1,OC_Donor)="","",INDEX('OneCause_Paste'!$A$1497:$AZ$1497,1,OC_Donor)))</f>
        <v/>
      </c>
    </row>
    <row r="1498">
      <c r="A1498" s="62">
        <f>IF(H1498="","",IF(ISNUMBER(N1498),N1498,I1498))</f>
        <v/>
      </c>
      <c r="B1498">
        <f>IF(H1498="","",U1498)</f>
        <v/>
      </c>
      <c r="C1498">
        <f>IF(H1498="","",IF(P1498="",K1498,INDEX('Students'!$A$2:$A$701,P1498)))</f>
        <v/>
      </c>
      <c r="D1498">
        <f>IF(OR(H1498="",P1498=""),"",INDEX('Students'!$B$2:$B$701,P1498))</f>
        <v/>
      </c>
      <c r="E1498">
        <f>IF(OR(H1498="",P1498=""),"",INDEX('Students'!$C$2:$C$701,P1498))</f>
        <v/>
      </c>
      <c r="F1498" s="48">
        <f>IF(H1498="","",IF(ISNUMBER(O1498),O1498,J1498))</f>
        <v/>
      </c>
      <c r="G1498">
        <f>IF(H1498="","","OneCause")</f>
        <v/>
      </c>
      <c r="H1498">
        <f>IF(AND(I1498="",J1498="",K1498=""),"",IF(NOT(ISNUMBER(O1498)),"Bad amount",IF(O1498&lt;0,"Refund (not counted)",IF(O1498=0,"Zero amount",IF(NOT(ISNUMBER(N1498)),"Bad date",IF(P1498="","NAME NOT ON ROSTER",IF(L1498="","OK",IF(MATCH(L1498,$L$2:$L$3001,0)&lt;ROW()-1,"Duplicate (ignored)","OK"))))))))</f>
        <v/>
      </c>
      <c r="I1498">
        <f>IF(OC_Date=0,"",IF(INDEX('OneCause_Paste'!$A$1498:$AZ$1498,1,OC_Date)="","",INDEX('OneCause_Paste'!$A$1498:$AZ$1498,1,OC_Date)))</f>
        <v/>
      </c>
      <c r="J1498">
        <f>IF(OC_Amt=0,"",IF(INDEX('OneCause_Paste'!$A$1498:$AZ$1498,1,OC_Amt)="","",INDEX('OneCause_Paste'!$A$1498:$AZ$1498,1,OC_Amt)))</f>
        <v/>
      </c>
      <c r="K1498">
        <f>IF(OC_Name=0,"",IF(INDEX('OneCause_Paste'!$A$1498:$AZ$1498,1,OC_Name)="","",INDEX('OneCause_Paste'!$A$1498:$AZ$1498,1,OC_Name)))</f>
        <v/>
      </c>
      <c r="L1498">
        <f>IF(OC_Txn=0,"",IF(INDEX('OneCause_Paste'!$A$1498:$AZ$1498,1,OC_Txn)="","",INDEX('OneCause_Paste'!$A$1498:$AZ$1498,1,OC_Txn)))</f>
        <v/>
      </c>
      <c r="M1498">
        <f>IF(OC_Pay=0,"",IF(INDEX('OneCause_Paste'!$A$1498:$AZ$1498,1,OC_Pay)="","",INDEX('OneCause_Paste'!$A$1498:$AZ$1498,1,OC_Pay)))</f>
        <v/>
      </c>
      <c r="N1498">
        <f>IF(I1498="","",IF(ISNUMBER(I1498),INT(I1498),IFERROR(INT(DATEVALUE(I1498)),IFERROR(INT(VALUE(I1498)),"bad"))))</f>
        <v/>
      </c>
      <c r="O1498">
        <f>IF(J1498="","",IF(ISNUMBER(J1498),ROUND(J1498,2),IFERROR(ROUND(VALUE(SUBSTITUTE(SUBSTITUTE(SUBSTITUTE(J1498,"$",""),",","")," ","")),2),"bad")))</f>
        <v/>
      </c>
      <c r="P1498">
        <f>IF(TRIM(K1498)="","",IFERROR(MATCH(LOWER(TRIM(K1498)),'Students'!$AH$2:$AH$701,0),IFERROR(MATCH(LOWER(TRIM(K1498)),'Students'!$AF$2:$AF$701,0),IFERROR(MATCH(LOWER(TRIM(K1498)),'Students'!$AG$2:$AG$701,0),""))))</f>
        <v/>
      </c>
      <c r="R1498">
        <f>IF(P1498="","",INDEX('Students'!$AD$2:$AD$701,P1498))</f>
        <v/>
      </c>
      <c r="S1498">
        <f>IF(H1498="OK",O1498,0)</f>
        <v/>
      </c>
      <c r="T1498">
        <f>IF(H1498="OK",N1498,"")</f>
        <v/>
      </c>
      <c r="U1498">
        <f>IF(OC_Donor=0,"",IF(INDEX('OneCause_Paste'!$A$1498:$AZ$1498,1,OC_Donor)="","",INDEX('OneCause_Paste'!$A$1498:$AZ$1498,1,OC_Donor)))</f>
        <v/>
      </c>
    </row>
    <row r="1499">
      <c r="A1499" s="62">
        <f>IF(H1499="","",IF(ISNUMBER(N1499),N1499,I1499))</f>
        <v/>
      </c>
      <c r="B1499">
        <f>IF(H1499="","",U1499)</f>
        <v/>
      </c>
      <c r="C1499">
        <f>IF(H1499="","",IF(P1499="",K1499,INDEX('Students'!$A$2:$A$701,P1499)))</f>
        <v/>
      </c>
      <c r="D1499">
        <f>IF(OR(H1499="",P1499=""),"",INDEX('Students'!$B$2:$B$701,P1499))</f>
        <v/>
      </c>
      <c r="E1499">
        <f>IF(OR(H1499="",P1499=""),"",INDEX('Students'!$C$2:$C$701,P1499))</f>
        <v/>
      </c>
      <c r="F1499" s="48">
        <f>IF(H1499="","",IF(ISNUMBER(O1499),O1499,J1499))</f>
        <v/>
      </c>
      <c r="G1499">
        <f>IF(H1499="","","OneCause")</f>
        <v/>
      </c>
      <c r="H1499">
        <f>IF(AND(I1499="",J1499="",K1499=""),"",IF(NOT(ISNUMBER(O1499)),"Bad amount",IF(O1499&lt;0,"Refund (not counted)",IF(O1499=0,"Zero amount",IF(NOT(ISNUMBER(N1499)),"Bad date",IF(P1499="","NAME NOT ON ROSTER",IF(L1499="","OK",IF(MATCH(L1499,$L$2:$L$3001,0)&lt;ROW()-1,"Duplicate (ignored)","OK"))))))))</f>
        <v/>
      </c>
      <c r="I1499">
        <f>IF(OC_Date=0,"",IF(INDEX('OneCause_Paste'!$A$1499:$AZ$1499,1,OC_Date)="","",INDEX('OneCause_Paste'!$A$1499:$AZ$1499,1,OC_Date)))</f>
        <v/>
      </c>
      <c r="J1499">
        <f>IF(OC_Amt=0,"",IF(INDEX('OneCause_Paste'!$A$1499:$AZ$1499,1,OC_Amt)="","",INDEX('OneCause_Paste'!$A$1499:$AZ$1499,1,OC_Amt)))</f>
        <v/>
      </c>
      <c r="K1499">
        <f>IF(OC_Name=0,"",IF(INDEX('OneCause_Paste'!$A$1499:$AZ$1499,1,OC_Name)="","",INDEX('OneCause_Paste'!$A$1499:$AZ$1499,1,OC_Name)))</f>
        <v/>
      </c>
      <c r="L1499">
        <f>IF(OC_Txn=0,"",IF(INDEX('OneCause_Paste'!$A$1499:$AZ$1499,1,OC_Txn)="","",INDEX('OneCause_Paste'!$A$1499:$AZ$1499,1,OC_Txn)))</f>
        <v/>
      </c>
      <c r="M1499">
        <f>IF(OC_Pay=0,"",IF(INDEX('OneCause_Paste'!$A$1499:$AZ$1499,1,OC_Pay)="","",INDEX('OneCause_Paste'!$A$1499:$AZ$1499,1,OC_Pay)))</f>
        <v/>
      </c>
      <c r="N1499">
        <f>IF(I1499="","",IF(ISNUMBER(I1499),INT(I1499),IFERROR(INT(DATEVALUE(I1499)),IFERROR(INT(VALUE(I1499)),"bad"))))</f>
        <v/>
      </c>
      <c r="O1499">
        <f>IF(J1499="","",IF(ISNUMBER(J1499),ROUND(J1499,2),IFERROR(ROUND(VALUE(SUBSTITUTE(SUBSTITUTE(SUBSTITUTE(J1499,"$",""),",","")," ","")),2),"bad")))</f>
        <v/>
      </c>
      <c r="P1499">
        <f>IF(TRIM(K1499)="","",IFERROR(MATCH(LOWER(TRIM(K1499)),'Students'!$AH$2:$AH$701,0),IFERROR(MATCH(LOWER(TRIM(K1499)),'Students'!$AF$2:$AF$701,0),IFERROR(MATCH(LOWER(TRIM(K1499)),'Students'!$AG$2:$AG$701,0),""))))</f>
        <v/>
      </c>
      <c r="R1499">
        <f>IF(P1499="","",INDEX('Students'!$AD$2:$AD$701,P1499))</f>
        <v/>
      </c>
      <c r="S1499">
        <f>IF(H1499="OK",O1499,0)</f>
        <v/>
      </c>
      <c r="T1499">
        <f>IF(H1499="OK",N1499,"")</f>
        <v/>
      </c>
      <c r="U1499">
        <f>IF(OC_Donor=0,"",IF(INDEX('OneCause_Paste'!$A$1499:$AZ$1499,1,OC_Donor)="","",INDEX('OneCause_Paste'!$A$1499:$AZ$1499,1,OC_Donor)))</f>
        <v/>
      </c>
    </row>
    <row r="1500">
      <c r="A1500" s="62">
        <f>IF(H1500="","",IF(ISNUMBER(N1500),N1500,I1500))</f>
        <v/>
      </c>
      <c r="B1500">
        <f>IF(H1500="","",U1500)</f>
        <v/>
      </c>
      <c r="C1500">
        <f>IF(H1500="","",IF(P1500="",K1500,INDEX('Students'!$A$2:$A$701,P1500)))</f>
        <v/>
      </c>
      <c r="D1500">
        <f>IF(OR(H1500="",P1500=""),"",INDEX('Students'!$B$2:$B$701,P1500))</f>
        <v/>
      </c>
      <c r="E1500">
        <f>IF(OR(H1500="",P1500=""),"",INDEX('Students'!$C$2:$C$701,P1500))</f>
        <v/>
      </c>
      <c r="F1500" s="48">
        <f>IF(H1500="","",IF(ISNUMBER(O1500),O1500,J1500))</f>
        <v/>
      </c>
      <c r="G1500">
        <f>IF(H1500="","","OneCause")</f>
        <v/>
      </c>
      <c r="H1500">
        <f>IF(AND(I1500="",J1500="",K1500=""),"",IF(NOT(ISNUMBER(O1500)),"Bad amount",IF(O1500&lt;0,"Refund (not counted)",IF(O1500=0,"Zero amount",IF(NOT(ISNUMBER(N1500)),"Bad date",IF(P1500="","NAME NOT ON ROSTER",IF(L1500="","OK",IF(MATCH(L1500,$L$2:$L$3001,0)&lt;ROW()-1,"Duplicate (ignored)","OK"))))))))</f>
        <v/>
      </c>
      <c r="I1500">
        <f>IF(OC_Date=0,"",IF(INDEX('OneCause_Paste'!$A$1500:$AZ$1500,1,OC_Date)="","",INDEX('OneCause_Paste'!$A$1500:$AZ$1500,1,OC_Date)))</f>
        <v/>
      </c>
      <c r="J1500">
        <f>IF(OC_Amt=0,"",IF(INDEX('OneCause_Paste'!$A$1500:$AZ$1500,1,OC_Amt)="","",INDEX('OneCause_Paste'!$A$1500:$AZ$1500,1,OC_Amt)))</f>
        <v/>
      </c>
      <c r="K1500">
        <f>IF(OC_Name=0,"",IF(INDEX('OneCause_Paste'!$A$1500:$AZ$1500,1,OC_Name)="","",INDEX('OneCause_Paste'!$A$1500:$AZ$1500,1,OC_Name)))</f>
        <v/>
      </c>
      <c r="L1500">
        <f>IF(OC_Txn=0,"",IF(INDEX('OneCause_Paste'!$A$1500:$AZ$1500,1,OC_Txn)="","",INDEX('OneCause_Paste'!$A$1500:$AZ$1500,1,OC_Txn)))</f>
        <v/>
      </c>
      <c r="M1500">
        <f>IF(OC_Pay=0,"",IF(INDEX('OneCause_Paste'!$A$1500:$AZ$1500,1,OC_Pay)="","",INDEX('OneCause_Paste'!$A$1500:$AZ$1500,1,OC_Pay)))</f>
        <v/>
      </c>
      <c r="N1500">
        <f>IF(I1500="","",IF(ISNUMBER(I1500),INT(I1500),IFERROR(INT(DATEVALUE(I1500)),IFERROR(INT(VALUE(I1500)),"bad"))))</f>
        <v/>
      </c>
      <c r="O1500">
        <f>IF(J1500="","",IF(ISNUMBER(J1500),ROUND(J1500,2),IFERROR(ROUND(VALUE(SUBSTITUTE(SUBSTITUTE(SUBSTITUTE(J1500,"$",""),",","")," ","")),2),"bad")))</f>
        <v/>
      </c>
      <c r="P1500">
        <f>IF(TRIM(K1500)="","",IFERROR(MATCH(LOWER(TRIM(K1500)),'Students'!$AH$2:$AH$701,0),IFERROR(MATCH(LOWER(TRIM(K1500)),'Students'!$AF$2:$AF$701,0),IFERROR(MATCH(LOWER(TRIM(K1500)),'Students'!$AG$2:$AG$701,0),""))))</f>
        <v/>
      </c>
      <c r="R1500">
        <f>IF(P1500="","",INDEX('Students'!$AD$2:$AD$701,P1500))</f>
        <v/>
      </c>
      <c r="S1500">
        <f>IF(H1500="OK",O1500,0)</f>
        <v/>
      </c>
      <c r="T1500">
        <f>IF(H1500="OK",N1500,"")</f>
        <v/>
      </c>
      <c r="U1500">
        <f>IF(OC_Donor=0,"",IF(INDEX('OneCause_Paste'!$A$1500:$AZ$1500,1,OC_Donor)="","",INDEX('OneCause_Paste'!$A$1500:$AZ$1500,1,OC_Donor)))</f>
        <v/>
      </c>
    </row>
    <row r="1501">
      <c r="A1501" s="62">
        <f>IF(H1501="","",IF(ISNUMBER(N1501),N1501,I1501))</f>
        <v/>
      </c>
      <c r="B1501">
        <f>IF(H1501="","",U1501)</f>
        <v/>
      </c>
      <c r="C1501">
        <f>IF(H1501="","",IF(P1501="",K1501,INDEX('Students'!$A$2:$A$701,P1501)))</f>
        <v/>
      </c>
      <c r="D1501">
        <f>IF(OR(H1501="",P1501=""),"",INDEX('Students'!$B$2:$B$701,P1501))</f>
        <v/>
      </c>
      <c r="E1501">
        <f>IF(OR(H1501="",P1501=""),"",INDEX('Students'!$C$2:$C$701,P1501))</f>
        <v/>
      </c>
      <c r="F1501" s="48">
        <f>IF(H1501="","",IF(ISNUMBER(O1501),O1501,J1501))</f>
        <v/>
      </c>
      <c r="G1501">
        <f>IF(H1501="","","OneCause")</f>
        <v/>
      </c>
      <c r="H1501">
        <f>IF(AND(I1501="",J1501="",K1501=""),"",IF(NOT(ISNUMBER(O1501)),"Bad amount",IF(O1501&lt;0,"Refund (not counted)",IF(O1501=0,"Zero amount",IF(NOT(ISNUMBER(N1501)),"Bad date",IF(P1501="","NAME NOT ON ROSTER",IF(L1501="","OK",IF(MATCH(L1501,$L$2:$L$3001,0)&lt;ROW()-1,"Duplicate (ignored)","OK"))))))))</f>
        <v/>
      </c>
      <c r="I1501">
        <f>IF(OC_Date=0,"",IF(INDEX('OneCause_Paste'!$A$1501:$AZ$1501,1,OC_Date)="","",INDEX('OneCause_Paste'!$A$1501:$AZ$1501,1,OC_Date)))</f>
        <v/>
      </c>
      <c r="J1501">
        <f>IF(OC_Amt=0,"",IF(INDEX('OneCause_Paste'!$A$1501:$AZ$1501,1,OC_Amt)="","",INDEX('OneCause_Paste'!$A$1501:$AZ$1501,1,OC_Amt)))</f>
        <v/>
      </c>
      <c r="K1501">
        <f>IF(OC_Name=0,"",IF(INDEX('OneCause_Paste'!$A$1501:$AZ$1501,1,OC_Name)="","",INDEX('OneCause_Paste'!$A$1501:$AZ$1501,1,OC_Name)))</f>
        <v/>
      </c>
      <c r="L1501">
        <f>IF(OC_Txn=0,"",IF(INDEX('OneCause_Paste'!$A$1501:$AZ$1501,1,OC_Txn)="","",INDEX('OneCause_Paste'!$A$1501:$AZ$1501,1,OC_Txn)))</f>
        <v/>
      </c>
      <c r="M1501">
        <f>IF(OC_Pay=0,"",IF(INDEX('OneCause_Paste'!$A$1501:$AZ$1501,1,OC_Pay)="","",INDEX('OneCause_Paste'!$A$1501:$AZ$1501,1,OC_Pay)))</f>
        <v/>
      </c>
      <c r="N1501">
        <f>IF(I1501="","",IF(ISNUMBER(I1501),INT(I1501),IFERROR(INT(DATEVALUE(I1501)),IFERROR(INT(VALUE(I1501)),"bad"))))</f>
        <v/>
      </c>
      <c r="O1501">
        <f>IF(J1501="","",IF(ISNUMBER(J1501),ROUND(J1501,2),IFERROR(ROUND(VALUE(SUBSTITUTE(SUBSTITUTE(SUBSTITUTE(J1501,"$",""),",","")," ","")),2),"bad")))</f>
        <v/>
      </c>
      <c r="P1501">
        <f>IF(TRIM(K1501)="","",IFERROR(MATCH(LOWER(TRIM(K1501)),'Students'!$AH$2:$AH$701,0),IFERROR(MATCH(LOWER(TRIM(K1501)),'Students'!$AF$2:$AF$701,0),IFERROR(MATCH(LOWER(TRIM(K1501)),'Students'!$AG$2:$AG$701,0),""))))</f>
        <v/>
      </c>
      <c r="R1501">
        <f>IF(P1501="","",INDEX('Students'!$AD$2:$AD$701,P1501))</f>
        <v/>
      </c>
      <c r="S1501">
        <f>IF(H1501="OK",O1501,0)</f>
        <v/>
      </c>
      <c r="T1501">
        <f>IF(H1501="OK",N1501,"")</f>
        <v/>
      </c>
      <c r="U1501">
        <f>IF(OC_Donor=0,"",IF(INDEX('OneCause_Paste'!$A$1501:$AZ$1501,1,OC_Donor)="","",INDEX('OneCause_Paste'!$A$1501:$AZ$1501,1,OC_Donor)))</f>
        <v/>
      </c>
    </row>
    <row r="1502">
      <c r="A1502" s="62">
        <f>IF(H1502="","",IF(ISNUMBER(N1502),N1502,I1502))</f>
        <v/>
      </c>
      <c r="B1502">
        <f>IF(H1502="","",U1502)</f>
        <v/>
      </c>
      <c r="C1502">
        <f>IF(H1502="","",IF(P1502="",K1502,INDEX('Students'!$A$2:$A$701,P1502)))</f>
        <v/>
      </c>
      <c r="D1502">
        <f>IF(OR(H1502="",P1502=""),"",INDEX('Students'!$B$2:$B$701,P1502))</f>
        <v/>
      </c>
      <c r="E1502">
        <f>IF(OR(H1502="",P1502=""),"",INDEX('Students'!$C$2:$C$701,P1502))</f>
        <v/>
      </c>
      <c r="F1502" s="48">
        <f>IF(H1502="","",IF(ISNUMBER(O1502),O1502,J1502))</f>
        <v/>
      </c>
      <c r="G1502">
        <f>IF(H1502="","","OneCause")</f>
        <v/>
      </c>
      <c r="H1502">
        <f>IF(AND(I1502="",J1502="",K1502=""),"",IF(NOT(ISNUMBER(O1502)),"Bad amount",IF(O1502&lt;0,"Refund (not counted)",IF(O1502=0,"Zero amount",IF(NOT(ISNUMBER(N1502)),"Bad date",IF(P1502="","NAME NOT ON ROSTER",IF(L1502="","OK",IF(MATCH(L1502,$L$2:$L$3001,0)&lt;ROW()-1,"Duplicate (ignored)","OK"))))))))</f>
        <v/>
      </c>
      <c r="I1502">
        <f>IF(OC_Date=0,"",IF(INDEX('OneCause_Paste'!$A$1502:$AZ$1502,1,OC_Date)="","",INDEX('OneCause_Paste'!$A$1502:$AZ$1502,1,OC_Date)))</f>
        <v/>
      </c>
      <c r="J1502">
        <f>IF(OC_Amt=0,"",IF(INDEX('OneCause_Paste'!$A$1502:$AZ$1502,1,OC_Amt)="","",INDEX('OneCause_Paste'!$A$1502:$AZ$1502,1,OC_Amt)))</f>
        <v/>
      </c>
      <c r="K1502">
        <f>IF(OC_Name=0,"",IF(INDEX('OneCause_Paste'!$A$1502:$AZ$1502,1,OC_Name)="","",INDEX('OneCause_Paste'!$A$1502:$AZ$1502,1,OC_Name)))</f>
        <v/>
      </c>
      <c r="L1502">
        <f>IF(OC_Txn=0,"",IF(INDEX('OneCause_Paste'!$A$1502:$AZ$1502,1,OC_Txn)="","",INDEX('OneCause_Paste'!$A$1502:$AZ$1502,1,OC_Txn)))</f>
        <v/>
      </c>
      <c r="M1502">
        <f>IF(OC_Pay=0,"",IF(INDEX('OneCause_Paste'!$A$1502:$AZ$1502,1,OC_Pay)="","",INDEX('OneCause_Paste'!$A$1502:$AZ$1502,1,OC_Pay)))</f>
        <v/>
      </c>
      <c r="N1502">
        <f>IF(I1502="","",IF(ISNUMBER(I1502),INT(I1502),IFERROR(INT(DATEVALUE(I1502)),IFERROR(INT(VALUE(I1502)),"bad"))))</f>
        <v/>
      </c>
      <c r="O1502">
        <f>IF(J1502="","",IF(ISNUMBER(J1502),ROUND(J1502,2),IFERROR(ROUND(VALUE(SUBSTITUTE(SUBSTITUTE(SUBSTITUTE(J1502,"$",""),",","")," ","")),2),"bad")))</f>
        <v/>
      </c>
      <c r="P1502">
        <f>IF(TRIM(K1502)="","",IFERROR(MATCH(LOWER(TRIM(K1502)),'Students'!$AH$2:$AH$701,0),IFERROR(MATCH(LOWER(TRIM(K1502)),'Students'!$AF$2:$AF$701,0),IFERROR(MATCH(LOWER(TRIM(K1502)),'Students'!$AG$2:$AG$701,0),""))))</f>
        <v/>
      </c>
      <c r="R1502">
        <f>IF(P1502="","",INDEX('Students'!$AD$2:$AD$701,P1502))</f>
        <v/>
      </c>
      <c r="S1502">
        <f>IF(H1502="OK",O1502,0)</f>
        <v/>
      </c>
      <c r="T1502">
        <f>IF(H1502="OK",N1502,"")</f>
        <v/>
      </c>
      <c r="U1502">
        <f>IF(OC_Donor=0,"",IF(INDEX('OneCause_Paste'!$A$1502:$AZ$1502,1,OC_Donor)="","",INDEX('OneCause_Paste'!$A$1502:$AZ$1502,1,OC_Donor)))</f>
        <v/>
      </c>
    </row>
    <row r="1503">
      <c r="A1503" s="62">
        <f>IF(H1503="","",IF(ISNUMBER(N1503),N1503,I1503))</f>
        <v/>
      </c>
      <c r="B1503">
        <f>IF(H1503="","",U1503)</f>
        <v/>
      </c>
      <c r="C1503">
        <f>IF(H1503="","",IF(P1503="",K1503,INDEX('Students'!$A$2:$A$701,P1503)))</f>
        <v/>
      </c>
      <c r="D1503">
        <f>IF(OR(H1503="",P1503=""),"",INDEX('Students'!$B$2:$B$701,P1503))</f>
        <v/>
      </c>
      <c r="E1503">
        <f>IF(OR(H1503="",P1503=""),"",INDEX('Students'!$C$2:$C$701,P1503))</f>
        <v/>
      </c>
      <c r="F1503" s="48">
        <f>IF(H1503="","",IF(ISNUMBER(O1503),O1503,J1503))</f>
        <v/>
      </c>
      <c r="G1503">
        <f>IF(H1503="","","OneCause")</f>
        <v/>
      </c>
      <c r="H1503">
        <f>IF(AND(I1503="",J1503="",K1503=""),"",IF(NOT(ISNUMBER(O1503)),"Bad amount",IF(O1503&lt;0,"Refund (not counted)",IF(O1503=0,"Zero amount",IF(NOT(ISNUMBER(N1503)),"Bad date",IF(P1503="","NAME NOT ON ROSTER",IF(L1503="","OK",IF(MATCH(L1503,$L$2:$L$3001,0)&lt;ROW()-1,"Duplicate (ignored)","OK"))))))))</f>
        <v/>
      </c>
      <c r="I1503">
        <f>IF(OC_Date=0,"",IF(INDEX('OneCause_Paste'!$A$1503:$AZ$1503,1,OC_Date)="","",INDEX('OneCause_Paste'!$A$1503:$AZ$1503,1,OC_Date)))</f>
        <v/>
      </c>
      <c r="J1503">
        <f>IF(OC_Amt=0,"",IF(INDEX('OneCause_Paste'!$A$1503:$AZ$1503,1,OC_Amt)="","",INDEX('OneCause_Paste'!$A$1503:$AZ$1503,1,OC_Amt)))</f>
        <v/>
      </c>
      <c r="K1503">
        <f>IF(OC_Name=0,"",IF(INDEX('OneCause_Paste'!$A$1503:$AZ$1503,1,OC_Name)="","",INDEX('OneCause_Paste'!$A$1503:$AZ$1503,1,OC_Name)))</f>
        <v/>
      </c>
      <c r="L1503">
        <f>IF(OC_Txn=0,"",IF(INDEX('OneCause_Paste'!$A$1503:$AZ$1503,1,OC_Txn)="","",INDEX('OneCause_Paste'!$A$1503:$AZ$1503,1,OC_Txn)))</f>
        <v/>
      </c>
      <c r="M1503">
        <f>IF(OC_Pay=0,"",IF(INDEX('OneCause_Paste'!$A$1503:$AZ$1503,1,OC_Pay)="","",INDEX('OneCause_Paste'!$A$1503:$AZ$1503,1,OC_Pay)))</f>
        <v/>
      </c>
      <c r="N1503">
        <f>IF(I1503="","",IF(ISNUMBER(I1503),INT(I1503),IFERROR(INT(DATEVALUE(I1503)),IFERROR(INT(VALUE(I1503)),"bad"))))</f>
        <v/>
      </c>
      <c r="O1503">
        <f>IF(J1503="","",IF(ISNUMBER(J1503),ROUND(J1503,2),IFERROR(ROUND(VALUE(SUBSTITUTE(SUBSTITUTE(SUBSTITUTE(J1503,"$",""),",","")," ","")),2),"bad")))</f>
        <v/>
      </c>
      <c r="P1503">
        <f>IF(TRIM(K1503)="","",IFERROR(MATCH(LOWER(TRIM(K1503)),'Students'!$AH$2:$AH$701,0),IFERROR(MATCH(LOWER(TRIM(K1503)),'Students'!$AF$2:$AF$701,0),IFERROR(MATCH(LOWER(TRIM(K1503)),'Students'!$AG$2:$AG$701,0),""))))</f>
        <v/>
      </c>
      <c r="R1503">
        <f>IF(P1503="","",INDEX('Students'!$AD$2:$AD$701,P1503))</f>
        <v/>
      </c>
      <c r="S1503">
        <f>IF(H1503="OK",O1503,0)</f>
        <v/>
      </c>
      <c r="T1503">
        <f>IF(H1503="OK",N1503,"")</f>
        <v/>
      </c>
      <c r="U1503">
        <f>IF(OC_Donor=0,"",IF(INDEX('OneCause_Paste'!$A$1503:$AZ$1503,1,OC_Donor)="","",INDEX('OneCause_Paste'!$A$1503:$AZ$1503,1,OC_Donor)))</f>
        <v/>
      </c>
    </row>
    <row r="1504">
      <c r="A1504" s="62">
        <f>IF(H1504="","",IF(ISNUMBER(N1504),N1504,I1504))</f>
        <v/>
      </c>
      <c r="B1504">
        <f>IF(H1504="","",U1504)</f>
        <v/>
      </c>
      <c r="C1504">
        <f>IF(H1504="","",IF(P1504="",K1504,INDEX('Students'!$A$2:$A$701,P1504)))</f>
        <v/>
      </c>
      <c r="D1504">
        <f>IF(OR(H1504="",P1504=""),"",INDEX('Students'!$B$2:$B$701,P1504))</f>
        <v/>
      </c>
      <c r="E1504">
        <f>IF(OR(H1504="",P1504=""),"",INDEX('Students'!$C$2:$C$701,P1504))</f>
        <v/>
      </c>
      <c r="F1504" s="48">
        <f>IF(H1504="","",IF(ISNUMBER(O1504),O1504,J1504))</f>
        <v/>
      </c>
      <c r="G1504">
        <f>IF(H1504="","","OneCause")</f>
        <v/>
      </c>
      <c r="H1504">
        <f>IF(AND(I1504="",J1504="",K1504=""),"",IF(NOT(ISNUMBER(O1504)),"Bad amount",IF(O1504&lt;0,"Refund (not counted)",IF(O1504=0,"Zero amount",IF(NOT(ISNUMBER(N1504)),"Bad date",IF(P1504="","NAME NOT ON ROSTER",IF(L1504="","OK",IF(MATCH(L1504,$L$2:$L$3001,0)&lt;ROW()-1,"Duplicate (ignored)","OK"))))))))</f>
        <v/>
      </c>
      <c r="I1504">
        <f>IF(OC_Date=0,"",IF(INDEX('OneCause_Paste'!$A$1504:$AZ$1504,1,OC_Date)="","",INDEX('OneCause_Paste'!$A$1504:$AZ$1504,1,OC_Date)))</f>
        <v/>
      </c>
      <c r="J1504">
        <f>IF(OC_Amt=0,"",IF(INDEX('OneCause_Paste'!$A$1504:$AZ$1504,1,OC_Amt)="","",INDEX('OneCause_Paste'!$A$1504:$AZ$1504,1,OC_Amt)))</f>
        <v/>
      </c>
      <c r="K1504">
        <f>IF(OC_Name=0,"",IF(INDEX('OneCause_Paste'!$A$1504:$AZ$1504,1,OC_Name)="","",INDEX('OneCause_Paste'!$A$1504:$AZ$1504,1,OC_Name)))</f>
        <v/>
      </c>
      <c r="L1504">
        <f>IF(OC_Txn=0,"",IF(INDEX('OneCause_Paste'!$A$1504:$AZ$1504,1,OC_Txn)="","",INDEX('OneCause_Paste'!$A$1504:$AZ$1504,1,OC_Txn)))</f>
        <v/>
      </c>
      <c r="M1504">
        <f>IF(OC_Pay=0,"",IF(INDEX('OneCause_Paste'!$A$1504:$AZ$1504,1,OC_Pay)="","",INDEX('OneCause_Paste'!$A$1504:$AZ$1504,1,OC_Pay)))</f>
        <v/>
      </c>
      <c r="N1504">
        <f>IF(I1504="","",IF(ISNUMBER(I1504),INT(I1504),IFERROR(INT(DATEVALUE(I1504)),IFERROR(INT(VALUE(I1504)),"bad"))))</f>
        <v/>
      </c>
      <c r="O1504">
        <f>IF(J1504="","",IF(ISNUMBER(J1504),ROUND(J1504,2),IFERROR(ROUND(VALUE(SUBSTITUTE(SUBSTITUTE(SUBSTITUTE(J1504,"$",""),",","")," ","")),2),"bad")))</f>
        <v/>
      </c>
      <c r="P1504">
        <f>IF(TRIM(K1504)="","",IFERROR(MATCH(LOWER(TRIM(K1504)),'Students'!$AH$2:$AH$701,0),IFERROR(MATCH(LOWER(TRIM(K1504)),'Students'!$AF$2:$AF$701,0),IFERROR(MATCH(LOWER(TRIM(K1504)),'Students'!$AG$2:$AG$701,0),""))))</f>
        <v/>
      </c>
      <c r="R1504">
        <f>IF(P1504="","",INDEX('Students'!$AD$2:$AD$701,P1504))</f>
        <v/>
      </c>
      <c r="S1504">
        <f>IF(H1504="OK",O1504,0)</f>
        <v/>
      </c>
      <c r="T1504">
        <f>IF(H1504="OK",N1504,"")</f>
        <v/>
      </c>
      <c r="U1504">
        <f>IF(OC_Donor=0,"",IF(INDEX('OneCause_Paste'!$A$1504:$AZ$1504,1,OC_Donor)="","",INDEX('OneCause_Paste'!$A$1504:$AZ$1504,1,OC_Donor)))</f>
        <v/>
      </c>
    </row>
    <row r="1505">
      <c r="A1505" s="62">
        <f>IF(H1505="","",IF(ISNUMBER(N1505),N1505,I1505))</f>
        <v/>
      </c>
      <c r="B1505">
        <f>IF(H1505="","",U1505)</f>
        <v/>
      </c>
      <c r="C1505">
        <f>IF(H1505="","",IF(P1505="",K1505,INDEX('Students'!$A$2:$A$701,P1505)))</f>
        <v/>
      </c>
      <c r="D1505">
        <f>IF(OR(H1505="",P1505=""),"",INDEX('Students'!$B$2:$B$701,P1505))</f>
        <v/>
      </c>
      <c r="E1505">
        <f>IF(OR(H1505="",P1505=""),"",INDEX('Students'!$C$2:$C$701,P1505))</f>
        <v/>
      </c>
      <c r="F1505" s="48">
        <f>IF(H1505="","",IF(ISNUMBER(O1505),O1505,J1505))</f>
        <v/>
      </c>
      <c r="G1505">
        <f>IF(H1505="","","OneCause")</f>
        <v/>
      </c>
      <c r="H1505">
        <f>IF(AND(I1505="",J1505="",K1505=""),"",IF(NOT(ISNUMBER(O1505)),"Bad amount",IF(O1505&lt;0,"Refund (not counted)",IF(O1505=0,"Zero amount",IF(NOT(ISNUMBER(N1505)),"Bad date",IF(P1505="","NAME NOT ON ROSTER",IF(L1505="","OK",IF(MATCH(L1505,$L$2:$L$3001,0)&lt;ROW()-1,"Duplicate (ignored)","OK"))))))))</f>
        <v/>
      </c>
      <c r="I1505">
        <f>IF(OC_Date=0,"",IF(INDEX('OneCause_Paste'!$A$1505:$AZ$1505,1,OC_Date)="","",INDEX('OneCause_Paste'!$A$1505:$AZ$1505,1,OC_Date)))</f>
        <v/>
      </c>
      <c r="J1505">
        <f>IF(OC_Amt=0,"",IF(INDEX('OneCause_Paste'!$A$1505:$AZ$1505,1,OC_Amt)="","",INDEX('OneCause_Paste'!$A$1505:$AZ$1505,1,OC_Amt)))</f>
        <v/>
      </c>
      <c r="K1505">
        <f>IF(OC_Name=0,"",IF(INDEX('OneCause_Paste'!$A$1505:$AZ$1505,1,OC_Name)="","",INDEX('OneCause_Paste'!$A$1505:$AZ$1505,1,OC_Name)))</f>
        <v/>
      </c>
      <c r="L1505">
        <f>IF(OC_Txn=0,"",IF(INDEX('OneCause_Paste'!$A$1505:$AZ$1505,1,OC_Txn)="","",INDEX('OneCause_Paste'!$A$1505:$AZ$1505,1,OC_Txn)))</f>
        <v/>
      </c>
      <c r="M1505">
        <f>IF(OC_Pay=0,"",IF(INDEX('OneCause_Paste'!$A$1505:$AZ$1505,1,OC_Pay)="","",INDEX('OneCause_Paste'!$A$1505:$AZ$1505,1,OC_Pay)))</f>
        <v/>
      </c>
      <c r="N1505">
        <f>IF(I1505="","",IF(ISNUMBER(I1505),INT(I1505),IFERROR(INT(DATEVALUE(I1505)),IFERROR(INT(VALUE(I1505)),"bad"))))</f>
        <v/>
      </c>
      <c r="O1505">
        <f>IF(J1505="","",IF(ISNUMBER(J1505),ROUND(J1505,2),IFERROR(ROUND(VALUE(SUBSTITUTE(SUBSTITUTE(SUBSTITUTE(J1505,"$",""),",","")," ","")),2),"bad")))</f>
        <v/>
      </c>
      <c r="P1505">
        <f>IF(TRIM(K1505)="","",IFERROR(MATCH(LOWER(TRIM(K1505)),'Students'!$AH$2:$AH$701,0),IFERROR(MATCH(LOWER(TRIM(K1505)),'Students'!$AF$2:$AF$701,0),IFERROR(MATCH(LOWER(TRIM(K1505)),'Students'!$AG$2:$AG$701,0),""))))</f>
        <v/>
      </c>
      <c r="R1505">
        <f>IF(P1505="","",INDEX('Students'!$AD$2:$AD$701,P1505))</f>
        <v/>
      </c>
      <c r="S1505">
        <f>IF(H1505="OK",O1505,0)</f>
        <v/>
      </c>
      <c r="T1505">
        <f>IF(H1505="OK",N1505,"")</f>
        <v/>
      </c>
      <c r="U1505">
        <f>IF(OC_Donor=0,"",IF(INDEX('OneCause_Paste'!$A$1505:$AZ$1505,1,OC_Donor)="","",INDEX('OneCause_Paste'!$A$1505:$AZ$1505,1,OC_Donor)))</f>
        <v/>
      </c>
    </row>
    <row r="1506">
      <c r="A1506" s="62">
        <f>IF(H1506="","",IF(ISNUMBER(N1506),N1506,I1506))</f>
        <v/>
      </c>
      <c r="B1506">
        <f>IF(H1506="","",U1506)</f>
        <v/>
      </c>
      <c r="C1506">
        <f>IF(H1506="","",IF(P1506="",K1506,INDEX('Students'!$A$2:$A$701,P1506)))</f>
        <v/>
      </c>
      <c r="D1506">
        <f>IF(OR(H1506="",P1506=""),"",INDEX('Students'!$B$2:$B$701,P1506))</f>
        <v/>
      </c>
      <c r="E1506">
        <f>IF(OR(H1506="",P1506=""),"",INDEX('Students'!$C$2:$C$701,P1506))</f>
        <v/>
      </c>
      <c r="F1506" s="48">
        <f>IF(H1506="","",IF(ISNUMBER(O1506),O1506,J1506))</f>
        <v/>
      </c>
      <c r="G1506">
        <f>IF(H1506="","","OneCause")</f>
        <v/>
      </c>
      <c r="H1506">
        <f>IF(AND(I1506="",J1506="",K1506=""),"",IF(NOT(ISNUMBER(O1506)),"Bad amount",IF(O1506&lt;0,"Refund (not counted)",IF(O1506=0,"Zero amount",IF(NOT(ISNUMBER(N1506)),"Bad date",IF(P1506="","NAME NOT ON ROSTER",IF(L1506="","OK",IF(MATCH(L1506,$L$2:$L$3001,0)&lt;ROW()-1,"Duplicate (ignored)","OK"))))))))</f>
        <v/>
      </c>
      <c r="I1506">
        <f>IF(OC_Date=0,"",IF(INDEX('OneCause_Paste'!$A$1506:$AZ$1506,1,OC_Date)="","",INDEX('OneCause_Paste'!$A$1506:$AZ$1506,1,OC_Date)))</f>
        <v/>
      </c>
      <c r="J1506">
        <f>IF(OC_Amt=0,"",IF(INDEX('OneCause_Paste'!$A$1506:$AZ$1506,1,OC_Amt)="","",INDEX('OneCause_Paste'!$A$1506:$AZ$1506,1,OC_Amt)))</f>
        <v/>
      </c>
      <c r="K1506">
        <f>IF(OC_Name=0,"",IF(INDEX('OneCause_Paste'!$A$1506:$AZ$1506,1,OC_Name)="","",INDEX('OneCause_Paste'!$A$1506:$AZ$1506,1,OC_Name)))</f>
        <v/>
      </c>
      <c r="L1506">
        <f>IF(OC_Txn=0,"",IF(INDEX('OneCause_Paste'!$A$1506:$AZ$1506,1,OC_Txn)="","",INDEX('OneCause_Paste'!$A$1506:$AZ$1506,1,OC_Txn)))</f>
        <v/>
      </c>
      <c r="M1506">
        <f>IF(OC_Pay=0,"",IF(INDEX('OneCause_Paste'!$A$1506:$AZ$1506,1,OC_Pay)="","",INDEX('OneCause_Paste'!$A$1506:$AZ$1506,1,OC_Pay)))</f>
        <v/>
      </c>
      <c r="N1506">
        <f>IF(I1506="","",IF(ISNUMBER(I1506),INT(I1506),IFERROR(INT(DATEVALUE(I1506)),IFERROR(INT(VALUE(I1506)),"bad"))))</f>
        <v/>
      </c>
      <c r="O1506">
        <f>IF(J1506="","",IF(ISNUMBER(J1506),ROUND(J1506,2),IFERROR(ROUND(VALUE(SUBSTITUTE(SUBSTITUTE(SUBSTITUTE(J1506,"$",""),",","")," ","")),2),"bad")))</f>
        <v/>
      </c>
      <c r="P1506">
        <f>IF(TRIM(K1506)="","",IFERROR(MATCH(LOWER(TRIM(K1506)),'Students'!$AH$2:$AH$701,0),IFERROR(MATCH(LOWER(TRIM(K1506)),'Students'!$AF$2:$AF$701,0),IFERROR(MATCH(LOWER(TRIM(K1506)),'Students'!$AG$2:$AG$701,0),""))))</f>
        <v/>
      </c>
      <c r="R1506">
        <f>IF(P1506="","",INDEX('Students'!$AD$2:$AD$701,P1506))</f>
        <v/>
      </c>
      <c r="S1506">
        <f>IF(H1506="OK",O1506,0)</f>
        <v/>
      </c>
      <c r="T1506">
        <f>IF(H1506="OK",N1506,"")</f>
        <v/>
      </c>
      <c r="U1506">
        <f>IF(OC_Donor=0,"",IF(INDEX('OneCause_Paste'!$A$1506:$AZ$1506,1,OC_Donor)="","",INDEX('OneCause_Paste'!$A$1506:$AZ$1506,1,OC_Donor)))</f>
        <v/>
      </c>
    </row>
    <row r="1507">
      <c r="A1507" s="62">
        <f>IF(H1507="","",IF(ISNUMBER(N1507),N1507,I1507))</f>
        <v/>
      </c>
      <c r="B1507">
        <f>IF(H1507="","",U1507)</f>
        <v/>
      </c>
      <c r="C1507">
        <f>IF(H1507="","",IF(P1507="",K1507,INDEX('Students'!$A$2:$A$701,P1507)))</f>
        <v/>
      </c>
      <c r="D1507">
        <f>IF(OR(H1507="",P1507=""),"",INDEX('Students'!$B$2:$B$701,P1507))</f>
        <v/>
      </c>
      <c r="E1507">
        <f>IF(OR(H1507="",P1507=""),"",INDEX('Students'!$C$2:$C$701,P1507))</f>
        <v/>
      </c>
      <c r="F1507" s="48">
        <f>IF(H1507="","",IF(ISNUMBER(O1507),O1507,J1507))</f>
        <v/>
      </c>
      <c r="G1507">
        <f>IF(H1507="","","OneCause")</f>
        <v/>
      </c>
      <c r="H1507">
        <f>IF(AND(I1507="",J1507="",K1507=""),"",IF(NOT(ISNUMBER(O1507)),"Bad amount",IF(O1507&lt;0,"Refund (not counted)",IF(O1507=0,"Zero amount",IF(NOT(ISNUMBER(N1507)),"Bad date",IF(P1507="","NAME NOT ON ROSTER",IF(L1507="","OK",IF(MATCH(L1507,$L$2:$L$3001,0)&lt;ROW()-1,"Duplicate (ignored)","OK"))))))))</f>
        <v/>
      </c>
      <c r="I1507">
        <f>IF(OC_Date=0,"",IF(INDEX('OneCause_Paste'!$A$1507:$AZ$1507,1,OC_Date)="","",INDEX('OneCause_Paste'!$A$1507:$AZ$1507,1,OC_Date)))</f>
        <v/>
      </c>
      <c r="J1507">
        <f>IF(OC_Amt=0,"",IF(INDEX('OneCause_Paste'!$A$1507:$AZ$1507,1,OC_Amt)="","",INDEX('OneCause_Paste'!$A$1507:$AZ$1507,1,OC_Amt)))</f>
        <v/>
      </c>
      <c r="K1507">
        <f>IF(OC_Name=0,"",IF(INDEX('OneCause_Paste'!$A$1507:$AZ$1507,1,OC_Name)="","",INDEX('OneCause_Paste'!$A$1507:$AZ$1507,1,OC_Name)))</f>
        <v/>
      </c>
      <c r="L1507">
        <f>IF(OC_Txn=0,"",IF(INDEX('OneCause_Paste'!$A$1507:$AZ$1507,1,OC_Txn)="","",INDEX('OneCause_Paste'!$A$1507:$AZ$1507,1,OC_Txn)))</f>
        <v/>
      </c>
      <c r="M1507">
        <f>IF(OC_Pay=0,"",IF(INDEX('OneCause_Paste'!$A$1507:$AZ$1507,1,OC_Pay)="","",INDEX('OneCause_Paste'!$A$1507:$AZ$1507,1,OC_Pay)))</f>
        <v/>
      </c>
      <c r="N1507">
        <f>IF(I1507="","",IF(ISNUMBER(I1507),INT(I1507),IFERROR(INT(DATEVALUE(I1507)),IFERROR(INT(VALUE(I1507)),"bad"))))</f>
        <v/>
      </c>
      <c r="O1507">
        <f>IF(J1507="","",IF(ISNUMBER(J1507),ROUND(J1507,2),IFERROR(ROUND(VALUE(SUBSTITUTE(SUBSTITUTE(SUBSTITUTE(J1507,"$",""),",","")," ","")),2),"bad")))</f>
        <v/>
      </c>
      <c r="P1507">
        <f>IF(TRIM(K1507)="","",IFERROR(MATCH(LOWER(TRIM(K1507)),'Students'!$AH$2:$AH$701,0),IFERROR(MATCH(LOWER(TRIM(K1507)),'Students'!$AF$2:$AF$701,0),IFERROR(MATCH(LOWER(TRIM(K1507)),'Students'!$AG$2:$AG$701,0),""))))</f>
        <v/>
      </c>
      <c r="R1507">
        <f>IF(P1507="","",INDEX('Students'!$AD$2:$AD$701,P1507))</f>
        <v/>
      </c>
      <c r="S1507">
        <f>IF(H1507="OK",O1507,0)</f>
        <v/>
      </c>
      <c r="T1507">
        <f>IF(H1507="OK",N1507,"")</f>
        <v/>
      </c>
      <c r="U1507">
        <f>IF(OC_Donor=0,"",IF(INDEX('OneCause_Paste'!$A$1507:$AZ$1507,1,OC_Donor)="","",INDEX('OneCause_Paste'!$A$1507:$AZ$1507,1,OC_Donor)))</f>
        <v/>
      </c>
    </row>
    <row r="1508">
      <c r="A1508" s="62">
        <f>IF(H1508="","",IF(ISNUMBER(N1508),N1508,I1508))</f>
        <v/>
      </c>
      <c r="B1508">
        <f>IF(H1508="","",U1508)</f>
        <v/>
      </c>
      <c r="C1508">
        <f>IF(H1508="","",IF(P1508="",K1508,INDEX('Students'!$A$2:$A$701,P1508)))</f>
        <v/>
      </c>
      <c r="D1508">
        <f>IF(OR(H1508="",P1508=""),"",INDEX('Students'!$B$2:$B$701,P1508))</f>
        <v/>
      </c>
      <c r="E1508">
        <f>IF(OR(H1508="",P1508=""),"",INDEX('Students'!$C$2:$C$701,P1508))</f>
        <v/>
      </c>
      <c r="F1508" s="48">
        <f>IF(H1508="","",IF(ISNUMBER(O1508),O1508,J1508))</f>
        <v/>
      </c>
      <c r="G1508">
        <f>IF(H1508="","","OneCause")</f>
        <v/>
      </c>
      <c r="H1508">
        <f>IF(AND(I1508="",J1508="",K1508=""),"",IF(NOT(ISNUMBER(O1508)),"Bad amount",IF(O1508&lt;0,"Refund (not counted)",IF(O1508=0,"Zero amount",IF(NOT(ISNUMBER(N1508)),"Bad date",IF(P1508="","NAME NOT ON ROSTER",IF(L1508="","OK",IF(MATCH(L1508,$L$2:$L$3001,0)&lt;ROW()-1,"Duplicate (ignored)","OK"))))))))</f>
        <v/>
      </c>
      <c r="I1508">
        <f>IF(OC_Date=0,"",IF(INDEX('OneCause_Paste'!$A$1508:$AZ$1508,1,OC_Date)="","",INDEX('OneCause_Paste'!$A$1508:$AZ$1508,1,OC_Date)))</f>
        <v/>
      </c>
      <c r="J1508">
        <f>IF(OC_Amt=0,"",IF(INDEX('OneCause_Paste'!$A$1508:$AZ$1508,1,OC_Amt)="","",INDEX('OneCause_Paste'!$A$1508:$AZ$1508,1,OC_Amt)))</f>
        <v/>
      </c>
      <c r="K1508">
        <f>IF(OC_Name=0,"",IF(INDEX('OneCause_Paste'!$A$1508:$AZ$1508,1,OC_Name)="","",INDEX('OneCause_Paste'!$A$1508:$AZ$1508,1,OC_Name)))</f>
        <v/>
      </c>
      <c r="L1508">
        <f>IF(OC_Txn=0,"",IF(INDEX('OneCause_Paste'!$A$1508:$AZ$1508,1,OC_Txn)="","",INDEX('OneCause_Paste'!$A$1508:$AZ$1508,1,OC_Txn)))</f>
        <v/>
      </c>
      <c r="M1508">
        <f>IF(OC_Pay=0,"",IF(INDEX('OneCause_Paste'!$A$1508:$AZ$1508,1,OC_Pay)="","",INDEX('OneCause_Paste'!$A$1508:$AZ$1508,1,OC_Pay)))</f>
        <v/>
      </c>
      <c r="N1508">
        <f>IF(I1508="","",IF(ISNUMBER(I1508),INT(I1508),IFERROR(INT(DATEVALUE(I1508)),IFERROR(INT(VALUE(I1508)),"bad"))))</f>
        <v/>
      </c>
      <c r="O1508">
        <f>IF(J1508="","",IF(ISNUMBER(J1508),ROUND(J1508,2),IFERROR(ROUND(VALUE(SUBSTITUTE(SUBSTITUTE(SUBSTITUTE(J1508,"$",""),",","")," ","")),2),"bad")))</f>
        <v/>
      </c>
      <c r="P1508">
        <f>IF(TRIM(K1508)="","",IFERROR(MATCH(LOWER(TRIM(K1508)),'Students'!$AH$2:$AH$701,0),IFERROR(MATCH(LOWER(TRIM(K1508)),'Students'!$AF$2:$AF$701,0),IFERROR(MATCH(LOWER(TRIM(K1508)),'Students'!$AG$2:$AG$701,0),""))))</f>
        <v/>
      </c>
      <c r="R1508">
        <f>IF(P1508="","",INDEX('Students'!$AD$2:$AD$701,P1508))</f>
        <v/>
      </c>
      <c r="S1508">
        <f>IF(H1508="OK",O1508,0)</f>
        <v/>
      </c>
      <c r="T1508">
        <f>IF(H1508="OK",N1508,"")</f>
        <v/>
      </c>
      <c r="U1508">
        <f>IF(OC_Donor=0,"",IF(INDEX('OneCause_Paste'!$A$1508:$AZ$1508,1,OC_Donor)="","",INDEX('OneCause_Paste'!$A$1508:$AZ$1508,1,OC_Donor)))</f>
        <v/>
      </c>
    </row>
    <row r="1509">
      <c r="A1509" s="62">
        <f>IF(H1509="","",IF(ISNUMBER(N1509),N1509,I1509))</f>
        <v/>
      </c>
      <c r="B1509">
        <f>IF(H1509="","",U1509)</f>
        <v/>
      </c>
      <c r="C1509">
        <f>IF(H1509="","",IF(P1509="",K1509,INDEX('Students'!$A$2:$A$701,P1509)))</f>
        <v/>
      </c>
      <c r="D1509">
        <f>IF(OR(H1509="",P1509=""),"",INDEX('Students'!$B$2:$B$701,P1509))</f>
        <v/>
      </c>
      <c r="E1509">
        <f>IF(OR(H1509="",P1509=""),"",INDEX('Students'!$C$2:$C$701,P1509))</f>
        <v/>
      </c>
      <c r="F1509" s="48">
        <f>IF(H1509="","",IF(ISNUMBER(O1509),O1509,J1509))</f>
        <v/>
      </c>
      <c r="G1509">
        <f>IF(H1509="","","OneCause")</f>
        <v/>
      </c>
      <c r="H1509">
        <f>IF(AND(I1509="",J1509="",K1509=""),"",IF(NOT(ISNUMBER(O1509)),"Bad amount",IF(O1509&lt;0,"Refund (not counted)",IF(O1509=0,"Zero amount",IF(NOT(ISNUMBER(N1509)),"Bad date",IF(P1509="","NAME NOT ON ROSTER",IF(L1509="","OK",IF(MATCH(L1509,$L$2:$L$3001,0)&lt;ROW()-1,"Duplicate (ignored)","OK"))))))))</f>
        <v/>
      </c>
      <c r="I1509">
        <f>IF(OC_Date=0,"",IF(INDEX('OneCause_Paste'!$A$1509:$AZ$1509,1,OC_Date)="","",INDEX('OneCause_Paste'!$A$1509:$AZ$1509,1,OC_Date)))</f>
        <v/>
      </c>
      <c r="J1509">
        <f>IF(OC_Amt=0,"",IF(INDEX('OneCause_Paste'!$A$1509:$AZ$1509,1,OC_Amt)="","",INDEX('OneCause_Paste'!$A$1509:$AZ$1509,1,OC_Amt)))</f>
        <v/>
      </c>
      <c r="K1509">
        <f>IF(OC_Name=0,"",IF(INDEX('OneCause_Paste'!$A$1509:$AZ$1509,1,OC_Name)="","",INDEX('OneCause_Paste'!$A$1509:$AZ$1509,1,OC_Name)))</f>
        <v/>
      </c>
      <c r="L1509">
        <f>IF(OC_Txn=0,"",IF(INDEX('OneCause_Paste'!$A$1509:$AZ$1509,1,OC_Txn)="","",INDEX('OneCause_Paste'!$A$1509:$AZ$1509,1,OC_Txn)))</f>
        <v/>
      </c>
      <c r="M1509">
        <f>IF(OC_Pay=0,"",IF(INDEX('OneCause_Paste'!$A$1509:$AZ$1509,1,OC_Pay)="","",INDEX('OneCause_Paste'!$A$1509:$AZ$1509,1,OC_Pay)))</f>
        <v/>
      </c>
      <c r="N1509">
        <f>IF(I1509="","",IF(ISNUMBER(I1509),INT(I1509),IFERROR(INT(DATEVALUE(I1509)),IFERROR(INT(VALUE(I1509)),"bad"))))</f>
        <v/>
      </c>
      <c r="O1509">
        <f>IF(J1509="","",IF(ISNUMBER(J1509),ROUND(J1509,2),IFERROR(ROUND(VALUE(SUBSTITUTE(SUBSTITUTE(SUBSTITUTE(J1509,"$",""),",","")," ","")),2),"bad")))</f>
        <v/>
      </c>
      <c r="P1509">
        <f>IF(TRIM(K1509)="","",IFERROR(MATCH(LOWER(TRIM(K1509)),'Students'!$AH$2:$AH$701,0),IFERROR(MATCH(LOWER(TRIM(K1509)),'Students'!$AF$2:$AF$701,0),IFERROR(MATCH(LOWER(TRIM(K1509)),'Students'!$AG$2:$AG$701,0),""))))</f>
        <v/>
      </c>
      <c r="R1509">
        <f>IF(P1509="","",INDEX('Students'!$AD$2:$AD$701,P1509))</f>
        <v/>
      </c>
      <c r="S1509">
        <f>IF(H1509="OK",O1509,0)</f>
        <v/>
      </c>
      <c r="T1509">
        <f>IF(H1509="OK",N1509,"")</f>
        <v/>
      </c>
      <c r="U1509">
        <f>IF(OC_Donor=0,"",IF(INDEX('OneCause_Paste'!$A$1509:$AZ$1509,1,OC_Donor)="","",INDEX('OneCause_Paste'!$A$1509:$AZ$1509,1,OC_Donor)))</f>
        <v/>
      </c>
    </row>
    <row r="1510">
      <c r="A1510" s="62">
        <f>IF(H1510="","",IF(ISNUMBER(N1510),N1510,I1510))</f>
        <v/>
      </c>
      <c r="B1510">
        <f>IF(H1510="","",U1510)</f>
        <v/>
      </c>
      <c r="C1510">
        <f>IF(H1510="","",IF(P1510="",K1510,INDEX('Students'!$A$2:$A$701,P1510)))</f>
        <v/>
      </c>
      <c r="D1510">
        <f>IF(OR(H1510="",P1510=""),"",INDEX('Students'!$B$2:$B$701,P1510))</f>
        <v/>
      </c>
      <c r="E1510">
        <f>IF(OR(H1510="",P1510=""),"",INDEX('Students'!$C$2:$C$701,P1510))</f>
        <v/>
      </c>
      <c r="F1510" s="48">
        <f>IF(H1510="","",IF(ISNUMBER(O1510),O1510,J1510))</f>
        <v/>
      </c>
      <c r="G1510">
        <f>IF(H1510="","","OneCause")</f>
        <v/>
      </c>
      <c r="H1510">
        <f>IF(AND(I1510="",J1510="",K1510=""),"",IF(NOT(ISNUMBER(O1510)),"Bad amount",IF(O1510&lt;0,"Refund (not counted)",IF(O1510=0,"Zero amount",IF(NOT(ISNUMBER(N1510)),"Bad date",IF(P1510="","NAME NOT ON ROSTER",IF(L1510="","OK",IF(MATCH(L1510,$L$2:$L$3001,0)&lt;ROW()-1,"Duplicate (ignored)","OK"))))))))</f>
        <v/>
      </c>
      <c r="I1510">
        <f>IF(OC_Date=0,"",IF(INDEX('OneCause_Paste'!$A$1510:$AZ$1510,1,OC_Date)="","",INDEX('OneCause_Paste'!$A$1510:$AZ$1510,1,OC_Date)))</f>
        <v/>
      </c>
      <c r="J1510">
        <f>IF(OC_Amt=0,"",IF(INDEX('OneCause_Paste'!$A$1510:$AZ$1510,1,OC_Amt)="","",INDEX('OneCause_Paste'!$A$1510:$AZ$1510,1,OC_Amt)))</f>
        <v/>
      </c>
      <c r="K1510">
        <f>IF(OC_Name=0,"",IF(INDEX('OneCause_Paste'!$A$1510:$AZ$1510,1,OC_Name)="","",INDEX('OneCause_Paste'!$A$1510:$AZ$1510,1,OC_Name)))</f>
        <v/>
      </c>
      <c r="L1510">
        <f>IF(OC_Txn=0,"",IF(INDEX('OneCause_Paste'!$A$1510:$AZ$1510,1,OC_Txn)="","",INDEX('OneCause_Paste'!$A$1510:$AZ$1510,1,OC_Txn)))</f>
        <v/>
      </c>
      <c r="M1510">
        <f>IF(OC_Pay=0,"",IF(INDEX('OneCause_Paste'!$A$1510:$AZ$1510,1,OC_Pay)="","",INDEX('OneCause_Paste'!$A$1510:$AZ$1510,1,OC_Pay)))</f>
        <v/>
      </c>
      <c r="N1510">
        <f>IF(I1510="","",IF(ISNUMBER(I1510),INT(I1510),IFERROR(INT(DATEVALUE(I1510)),IFERROR(INT(VALUE(I1510)),"bad"))))</f>
        <v/>
      </c>
      <c r="O1510">
        <f>IF(J1510="","",IF(ISNUMBER(J1510),ROUND(J1510,2),IFERROR(ROUND(VALUE(SUBSTITUTE(SUBSTITUTE(SUBSTITUTE(J1510,"$",""),",","")," ","")),2),"bad")))</f>
        <v/>
      </c>
      <c r="P1510">
        <f>IF(TRIM(K1510)="","",IFERROR(MATCH(LOWER(TRIM(K1510)),'Students'!$AH$2:$AH$701,0),IFERROR(MATCH(LOWER(TRIM(K1510)),'Students'!$AF$2:$AF$701,0),IFERROR(MATCH(LOWER(TRIM(K1510)),'Students'!$AG$2:$AG$701,0),""))))</f>
        <v/>
      </c>
      <c r="R1510">
        <f>IF(P1510="","",INDEX('Students'!$AD$2:$AD$701,P1510))</f>
        <v/>
      </c>
      <c r="S1510">
        <f>IF(H1510="OK",O1510,0)</f>
        <v/>
      </c>
      <c r="T1510">
        <f>IF(H1510="OK",N1510,"")</f>
        <v/>
      </c>
      <c r="U1510">
        <f>IF(OC_Donor=0,"",IF(INDEX('OneCause_Paste'!$A$1510:$AZ$1510,1,OC_Donor)="","",INDEX('OneCause_Paste'!$A$1510:$AZ$1510,1,OC_Donor)))</f>
        <v/>
      </c>
    </row>
    <row r="1511">
      <c r="A1511" s="62">
        <f>IF(H1511="","",IF(ISNUMBER(N1511),N1511,I1511))</f>
        <v/>
      </c>
      <c r="B1511">
        <f>IF(H1511="","",U1511)</f>
        <v/>
      </c>
      <c r="C1511">
        <f>IF(H1511="","",IF(P1511="",K1511,INDEX('Students'!$A$2:$A$701,P1511)))</f>
        <v/>
      </c>
      <c r="D1511">
        <f>IF(OR(H1511="",P1511=""),"",INDEX('Students'!$B$2:$B$701,P1511))</f>
        <v/>
      </c>
      <c r="E1511">
        <f>IF(OR(H1511="",P1511=""),"",INDEX('Students'!$C$2:$C$701,P1511))</f>
        <v/>
      </c>
      <c r="F1511" s="48">
        <f>IF(H1511="","",IF(ISNUMBER(O1511),O1511,J1511))</f>
        <v/>
      </c>
      <c r="G1511">
        <f>IF(H1511="","","OneCause")</f>
        <v/>
      </c>
      <c r="H1511">
        <f>IF(AND(I1511="",J1511="",K1511=""),"",IF(NOT(ISNUMBER(O1511)),"Bad amount",IF(O1511&lt;0,"Refund (not counted)",IF(O1511=0,"Zero amount",IF(NOT(ISNUMBER(N1511)),"Bad date",IF(P1511="","NAME NOT ON ROSTER",IF(L1511="","OK",IF(MATCH(L1511,$L$2:$L$3001,0)&lt;ROW()-1,"Duplicate (ignored)","OK"))))))))</f>
        <v/>
      </c>
      <c r="I1511">
        <f>IF(OC_Date=0,"",IF(INDEX('OneCause_Paste'!$A$1511:$AZ$1511,1,OC_Date)="","",INDEX('OneCause_Paste'!$A$1511:$AZ$1511,1,OC_Date)))</f>
        <v/>
      </c>
      <c r="J1511">
        <f>IF(OC_Amt=0,"",IF(INDEX('OneCause_Paste'!$A$1511:$AZ$1511,1,OC_Amt)="","",INDEX('OneCause_Paste'!$A$1511:$AZ$1511,1,OC_Amt)))</f>
        <v/>
      </c>
      <c r="K1511">
        <f>IF(OC_Name=0,"",IF(INDEX('OneCause_Paste'!$A$1511:$AZ$1511,1,OC_Name)="","",INDEX('OneCause_Paste'!$A$1511:$AZ$1511,1,OC_Name)))</f>
        <v/>
      </c>
      <c r="L1511">
        <f>IF(OC_Txn=0,"",IF(INDEX('OneCause_Paste'!$A$1511:$AZ$1511,1,OC_Txn)="","",INDEX('OneCause_Paste'!$A$1511:$AZ$1511,1,OC_Txn)))</f>
        <v/>
      </c>
      <c r="M1511">
        <f>IF(OC_Pay=0,"",IF(INDEX('OneCause_Paste'!$A$1511:$AZ$1511,1,OC_Pay)="","",INDEX('OneCause_Paste'!$A$1511:$AZ$1511,1,OC_Pay)))</f>
        <v/>
      </c>
      <c r="N1511">
        <f>IF(I1511="","",IF(ISNUMBER(I1511),INT(I1511),IFERROR(INT(DATEVALUE(I1511)),IFERROR(INT(VALUE(I1511)),"bad"))))</f>
        <v/>
      </c>
      <c r="O1511">
        <f>IF(J1511="","",IF(ISNUMBER(J1511),ROUND(J1511,2),IFERROR(ROUND(VALUE(SUBSTITUTE(SUBSTITUTE(SUBSTITUTE(J1511,"$",""),",","")," ","")),2),"bad")))</f>
        <v/>
      </c>
      <c r="P1511">
        <f>IF(TRIM(K1511)="","",IFERROR(MATCH(LOWER(TRIM(K1511)),'Students'!$AH$2:$AH$701,0),IFERROR(MATCH(LOWER(TRIM(K1511)),'Students'!$AF$2:$AF$701,0),IFERROR(MATCH(LOWER(TRIM(K1511)),'Students'!$AG$2:$AG$701,0),""))))</f>
        <v/>
      </c>
      <c r="R1511">
        <f>IF(P1511="","",INDEX('Students'!$AD$2:$AD$701,P1511))</f>
        <v/>
      </c>
      <c r="S1511">
        <f>IF(H1511="OK",O1511,0)</f>
        <v/>
      </c>
      <c r="T1511">
        <f>IF(H1511="OK",N1511,"")</f>
        <v/>
      </c>
      <c r="U1511">
        <f>IF(OC_Donor=0,"",IF(INDEX('OneCause_Paste'!$A$1511:$AZ$1511,1,OC_Donor)="","",INDEX('OneCause_Paste'!$A$1511:$AZ$1511,1,OC_Donor)))</f>
        <v/>
      </c>
    </row>
    <row r="1512">
      <c r="A1512" s="62">
        <f>IF(H1512="","",IF(ISNUMBER(N1512),N1512,I1512))</f>
        <v/>
      </c>
      <c r="B1512">
        <f>IF(H1512="","",U1512)</f>
        <v/>
      </c>
      <c r="C1512">
        <f>IF(H1512="","",IF(P1512="",K1512,INDEX('Students'!$A$2:$A$701,P1512)))</f>
        <v/>
      </c>
      <c r="D1512">
        <f>IF(OR(H1512="",P1512=""),"",INDEX('Students'!$B$2:$B$701,P1512))</f>
        <v/>
      </c>
      <c r="E1512">
        <f>IF(OR(H1512="",P1512=""),"",INDEX('Students'!$C$2:$C$701,P1512))</f>
        <v/>
      </c>
      <c r="F1512" s="48">
        <f>IF(H1512="","",IF(ISNUMBER(O1512),O1512,J1512))</f>
        <v/>
      </c>
      <c r="G1512">
        <f>IF(H1512="","","OneCause")</f>
        <v/>
      </c>
      <c r="H1512">
        <f>IF(AND(I1512="",J1512="",K1512=""),"",IF(NOT(ISNUMBER(O1512)),"Bad amount",IF(O1512&lt;0,"Refund (not counted)",IF(O1512=0,"Zero amount",IF(NOT(ISNUMBER(N1512)),"Bad date",IF(P1512="","NAME NOT ON ROSTER",IF(L1512="","OK",IF(MATCH(L1512,$L$2:$L$3001,0)&lt;ROW()-1,"Duplicate (ignored)","OK"))))))))</f>
        <v/>
      </c>
      <c r="I1512">
        <f>IF(OC_Date=0,"",IF(INDEX('OneCause_Paste'!$A$1512:$AZ$1512,1,OC_Date)="","",INDEX('OneCause_Paste'!$A$1512:$AZ$1512,1,OC_Date)))</f>
        <v/>
      </c>
      <c r="J1512">
        <f>IF(OC_Amt=0,"",IF(INDEX('OneCause_Paste'!$A$1512:$AZ$1512,1,OC_Amt)="","",INDEX('OneCause_Paste'!$A$1512:$AZ$1512,1,OC_Amt)))</f>
        <v/>
      </c>
      <c r="K1512">
        <f>IF(OC_Name=0,"",IF(INDEX('OneCause_Paste'!$A$1512:$AZ$1512,1,OC_Name)="","",INDEX('OneCause_Paste'!$A$1512:$AZ$1512,1,OC_Name)))</f>
        <v/>
      </c>
      <c r="L1512">
        <f>IF(OC_Txn=0,"",IF(INDEX('OneCause_Paste'!$A$1512:$AZ$1512,1,OC_Txn)="","",INDEX('OneCause_Paste'!$A$1512:$AZ$1512,1,OC_Txn)))</f>
        <v/>
      </c>
      <c r="M1512">
        <f>IF(OC_Pay=0,"",IF(INDEX('OneCause_Paste'!$A$1512:$AZ$1512,1,OC_Pay)="","",INDEX('OneCause_Paste'!$A$1512:$AZ$1512,1,OC_Pay)))</f>
        <v/>
      </c>
      <c r="N1512">
        <f>IF(I1512="","",IF(ISNUMBER(I1512),INT(I1512),IFERROR(INT(DATEVALUE(I1512)),IFERROR(INT(VALUE(I1512)),"bad"))))</f>
        <v/>
      </c>
      <c r="O1512">
        <f>IF(J1512="","",IF(ISNUMBER(J1512),ROUND(J1512,2),IFERROR(ROUND(VALUE(SUBSTITUTE(SUBSTITUTE(SUBSTITUTE(J1512,"$",""),",","")," ","")),2),"bad")))</f>
        <v/>
      </c>
      <c r="P1512">
        <f>IF(TRIM(K1512)="","",IFERROR(MATCH(LOWER(TRIM(K1512)),'Students'!$AH$2:$AH$701,0),IFERROR(MATCH(LOWER(TRIM(K1512)),'Students'!$AF$2:$AF$701,0),IFERROR(MATCH(LOWER(TRIM(K1512)),'Students'!$AG$2:$AG$701,0),""))))</f>
        <v/>
      </c>
      <c r="R1512">
        <f>IF(P1512="","",INDEX('Students'!$AD$2:$AD$701,P1512))</f>
        <v/>
      </c>
      <c r="S1512">
        <f>IF(H1512="OK",O1512,0)</f>
        <v/>
      </c>
      <c r="T1512">
        <f>IF(H1512="OK",N1512,"")</f>
        <v/>
      </c>
      <c r="U1512">
        <f>IF(OC_Donor=0,"",IF(INDEX('OneCause_Paste'!$A$1512:$AZ$1512,1,OC_Donor)="","",INDEX('OneCause_Paste'!$A$1512:$AZ$1512,1,OC_Donor)))</f>
        <v/>
      </c>
    </row>
    <row r="1513">
      <c r="A1513" s="62">
        <f>IF(H1513="","",IF(ISNUMBER(N1513),N1513,I1513))</f>
        <v/>
      </c>
      <c r="B1513">
        <f>IF(H1513="","",U1513)</f>
        <v/>
      </c>
      <c r="C1513">
        <f>IF(H1513="","",IF(P1513="",K1513,INDEX('Students'!$A$2:$A$701,P1513)))</f>
        <v/>
      </c>
      <c r="D1513">
        <f>IF(OR(H1513="",P1513=""),"",INDEX('Students'!$B$2:$B$701,P1513))</f>
        <v/>
      </c>
      <c r="E1513">
        <f>IF(OR(H1513="",P1513=""),"",INDEX('Students'!$C$2:$C$701,P1513))</f>
        <v/>
      </c>
      <c r="F1513" s="48">
        <f>IF(H1513="","",IF(ISNUMBER(O1513),O1513,J1513))</f>
        <v/>
      </c>
      <c r="G1513">
        <f>IF(H1513="","","OneCause")</f>
        <v/>
      </c>
      <c r="H1513">
        <f>IF(AND(I1513="",J1513="",K1513=""),"",IF(NOT(ISNUMBER(O1513)),"Bad amount",IF(O1513&lt;0,"Refund (not counted)",IF(O1513=0,"Zero amount",IF(NOT(ISNUMBER(N1513)),"Bad date",IF(P1513="","NAME NOT ON ROSTER",IF(L1513="","OK",IF(MATCH(L1513,$L$2:$L$3001,0)&lt;ROW()-1,"Duplicate (ignored)","OK"))))))))</f>
        <v/>
      </c>
      <c r="I1513">
        <f>IF(OC_Date=0,"",IF(INDEX('OneCause_Paste'!$A$1513:$AZ$1513,1,OC_Date)="","",INDEX('OneCause_Paste'!$A$1513:$AZ$1513,1,OC_Date)))</f>
        <v/>
      </c>
      <c r="J1513">
        <f>IF(OC_Amt=0,"",IF(INDEX('OneCause_Paste'!$A$1513:$AZ$1513,1,OC_Amt)="","",INDEX('OneCause_Paste'!$A$1513:$AZ$1513,1,OC_Amt)))</f>
        <v/>
      </c>
      <c r="K1513">
        <f>IF(OC_Name=0,"",IF(INDEX('OneCause_Paste'!$A$1513:$AZ$1513,1,OC_Name)="","",INDEX('OneCause_Paste'!$A$1513:$AZ$1513,1,OC_Name)))</f>
        <v/>
      </c>
      <c r="L1513">
        <f>IF(OC_Txn=0,"",IF(INDEX('OneCause_Paste'!$A$1513:$AZ$1513,1,OC_Txn)="","",INDEX('OneCause_Paste'!$A$1513:$AZ$1513,1,OC_Txn)))</f>
        <v/>
      </c>
      <c r="M1513">
        <f>IF(OC_Pay=0,"",IF(INDEX('OneCause_Paste'!$A$1513:$AZ$1513,1,OC_Pay)="","",INDEX('OneCause_Paste'!$A$1513:$AZ$1513,1,OC_Pay)))</f>
        <v/>
      </c>
      <c r="N1513">
        <f>IF(I1513="","",IF(ISNUMBER(I1513),INT(I1513),IFERROR(INT(DATEVALUE(I1513)),IFERROR(INT(VALUE(I1513)),"bad"))))</f>
        <v/>
      </c>
      <c r="O1513">
        <f>IF(J1513="","",IF(ISNUMBER(J1513),ROUND(J1513,2),IFERROR(ROUND(VALUE(SUBSTITUTE(SUBSTITUTE(SUBSTITUTE(J1513,"$",""),",","")," ","")),2),"bad")))</f>
        <v/>
      </c>
      <c r="P1513">
        <f>IF(TRIM(K1513)="","",IFERROR(MATCH(LOWER(TRIM(K1513)),'Students'!$AH$2:$AH$701,0),IFERROR(MATCH(LOWER(TRIM(K1513)),'Students'!$AF$2:$AF$701,0),IFERROR(MATCH(LOWER(TRIM(K1513)),'Students'!$AG$2:$AG$701,0),""))))</f>
        <v/>
      </c>
      <c r="R1513">
        <f>IF(P1513="","",INDEX('Students'!$AD$2:$AD$701,P1513))</f>
        <v/>
      </c>
      <c r="S1513">
        <f>IF(H1513="OK",O1513,0)</f>
        <v/>
      </c>
      <c r="T1513">
        <f>IF(H1513="OK",N1513,"")</f>
        <v/>
      </c>
      <c r="U1513">
        <f>IF(OC_Donor=0,"",IF(INDEX('OneCause_Paste'!$A$1513:$AZ$1513,1,OC_Donor)="","",INDEX('OneCause_Paste'!$A$1513:$AZ$1513,1,OC_Donor)))</f>
        <v/>
      </c>
    </row>
    <row r="1514">
      <c r="A1514" s="62">
        <f>IF(H1514="","",IF(ISNUMBER(N1514),N1514,I1514))</f>
        <v/>
      </c>
      <c r="B1514">
        <f>IF(H1514="","",U1514)</f>
        <v/>
      </c>
      <c r="C1514">
        <f>IF(H1514="","",IF(P1514="",K1514,INDEX('Students'!$A$2:$A$701,P1514)))</f>
        <v/>
      </c>
      <c r="D1514">
        <f>IF(OR(H1514="",P1514=""),"",INDEX('Students'!$B$2:$B$701,P1514))</f>
        <v/>
      </c>
      <c r="E1514">
        <f>IF(OR(H1514="",P1514=""),"",INDEX('Students'!$C$2:$C$701,P1514))</f>
        <v/>
      </c>
      <c r="F1514" s="48">
        <f>IF(H1514="","",IF(ISNUMBER(O1514),O1514,J1514))</f>
        <v/>
      </c>
      <c r="G1514">
        <f>IF(H1514="","","OneCause")</f>
        <v/>
      </c>
      <c r="H1514">
        <f>IF(AND(I1514="",J1514="",K1514=""),"",IF(NOT(ISNUMBER(O1514)),"Bad amount",IF(O1514&lt;0,"Refund (not counted)",IF(O1514=0,"Zero amount",IF(NOT(ISNUMBER(N1514)),"Bad date",IF(P1514="","NAME NOT ON ROSTER",IF(L1514="","OK",IF(MATCH(L1514,$L$2:$L$3001,0)&lt;ROW()-1,"Duplicate (ignored)","OK"))))))))</f>
        <v/>
      </c>
      <c r="I1514">
        <f>IF(OC_Date=0,"",IF(INDEX('OneCause_Paste'!$A$1514:$AZ$1514,1,OC_Date)="","",INDEX('OneCause_Paste'!$A$1514:$AZ$1514,1,OC_Date)))</f>
        <v/>
      </c>
      <c r="J1514">
        <f>IF(OC_Amt=0,"",IF(INDEX('OneCause_Paste'!$A$1514:$AZ$1514,1,OC_Amt)="","",INDEX('OneCause_Paste'!$A$1514:$AZ$1514,1,OC_Amt)))</f>
        <v/>
      </c>
      <c r="K1514">
        <f>IF(OC_Name=0,"",IF(INDEX('OneCause_Paste'!$A$1514:$AZ$1514,1,OC_Name)="","",INDEX('OneCause_Paste'!$A$1514:$AZ$1514,1,OC_Name)))</f>
        <v/>
      </c>
      <c r="L1514">
        <f>IF(OC_Txn=0,"",IF(INDEX('OneCause_Paste'!$A$1514:$AZ$1514,1,OC_Txn)="","",INDEX('OneCause_Paste'!$A$1514:$AZ$1514,1,OC_Txn)))</f>
        <v/>
      </c>
      <c r="M1514">
        <f>IF(OC_Pay=0,"",IF(INDEX('OneCause_Paste'!$A$1514:$AZ$1514,1,OC_Pay)="","",INDEX('OneCause_Paste'!$A$1514:$AZ$1514,1,OC_Pay)))</f>
        <v/>
      </c>
      <c r="N1514">
        <f>IF(I1514="","",IF(ISNUMBER(I1514),INT(I1514),IFERROR(INT(DATEVALUE(I1514)),IFERROR(INT(VALUE(I1514)),"bad"))))</f>
        <v/>
      </c>
      <c r="O1514">
        <f>IF(J1514="","",IF(ISNUMBER(J1514),ROUND(J1514,2),IFERROR(ROUND(VALUE(SUBSTITUTE(SUBSTITUTE(SUBSTITUTE(J1514,"$",""),",","")," ","")),2),"bad")))</f>
        <v/>
      </c>
      <c r="P1514">
        <f>IF(TRIM(K1514)="","",IFERROR(MATCH(LOWER(TRIM(K1514)),'Students'!$AH$2:$AH$701,0),IFERROR(MATCH(LOWER(TRIM(K1514)),'Students'!$AF$2:$AF$701,0),IFERROR(MATCH(LOWER(TRIM(K1514)),'Students'!$AG$2:$AG$701,0),""))))</f>
        <v/>
      </c>
      <c r="R1514">
        <f>IF(P1514="","",INDEX('Students'!$AD$2:$AD$701,P1514))</f>
        <v/>
      </c>
      <c r="S1514">
        <f>IF(H1514="OK",O1514,0)</f>
        <v/>
      </c>
      <c r="T1514">
        <f>IF(H1514="OK",N1514,"")</f>
        <v/>
      </c>
      <c r="U1514">
        <f>IF(OC_Donor=0,"",IF(INDEX('OneCause_Paste'!$A$1514:$AZ$1514,1,OC_Donor)="","",INDEX('OneCause_Paste'!$A$1514:$AZ$1514,1,OC_Donor)))</f>
        <v/>
      </c>
    </row>
    <row r="1515">
      <c r="A1515" s="62">
        <f>IF(H1515="","",IF(ISNUMBER(N1515),N1515,I1515))</f>
        <v/>
      </c>
      <c r="B1515">
        <f>IF(H1515="","",U1515)</f>
        <v/>
      </c>
      <c r="C1515">
        <f>IF(H1515="","",IF(P1515="",K1515,INDEX('Students'!$A$2:$A$701,P1515)))</f>
        <v/>
      </c>
      <c r="D1515">
        <f>IF(OR(H1515="",P1515=""),"",INDEX('Students'!$B$2:$B$701,P1515))</f>
        <v/>
      </c>
      <c r="E1515">
        <f>IF(OR(H1515="",P1515=""),"",INDEX('Students'!$C$2:$C$701,P1515))</f>
        <v/>
      </c>
      <c r="F1515" s="48">
        <f>IF(H1515="","",IF(ISNUMBER(O1515),O1515,J1515))</f>
        <v/>
      </c>
      <c r="G1515">
        <f>IF(H1515="","","OneCause")</f>
        <v/>
      </c>
      <c r="H1515">
        <f>IF(AND(I1515="",J1515="",K1515=""),"",IF(NOT(ISNUMBER(O1515)),"Bad amount",IF(O1515&lt;0,"Refund (not counted)",IF(O1515=0,"Zero amount",IF(NOT(ISNUMBER(N1515)),"Bad date",IF(P1515="","NAME NOT ON ROSTER",IF(L1515="","OK",IF(MATCH(L1515,$L$2:$L$3001,0)&lt;ROW()-1,"Duplicate (ignored)","OK"))))))))</f>
        <v/>
      </c>
      <c r="I1515">
        <f>IF(OC_Date=0,"",IF(INDEX('OneCause_Paste'!$A$1515:$AZ$1515,1,OC_Date)="","",INDEX('OneCause_Paste'!$A$1515:$AZ$1515,1,OC_Date)))</f>
        <v/>
      </c>
      <c r="J1515">
        <f>IF(OC_Amt=0,"",IF(INDEX('OneCause_Paste'!$A$1515:$AZ$1515,1,OC_Amt)="","",INDEX('OneCause_Paste'!$A$1515:$AZ$1515,1,OC_Amt)))</f>
        <v/>
      </c>
      <c r="K1515">
        <f>IF(OC_Name=0,"",IF(INDEX('OneCause_Paste'!$A$1515:$AZ$1515,1,OC_Name)="","",INDEX('OneCause_Paste'!$A$1515:$AZ$1515,1,OC_Name)))</f>
        <v/>
      </c>
      <c r="L1515">
        <f>IF(OC_Txn=0,"",IF(INDEX('OneCause_Paste'!$A$1515:$AZ$1515,1,OC_Txn)="","",INDEX('OneCause_Paste'!$A$1515:$AZ$1515,1,OC_Txn)))</f>
        <v/>
      </c>
      <c r="M1515">
        <f>IF(OC_Pay=0,"",IF(INDEX('OneCause_Paste'!$A$1515:$AZ$1515,1,OC_Pay)="","",INDEX('OneCause_Paste'!$A$1515:$AZ$1515,1,OC_Pay)))</f>
        <v/>
      </c>
      <c r="N1515">
        <f>IF(I1515="","",IF(ISNUMBER(I1515),INT(I1515),IFERROR(INT(DATEVALUE(I1515)),IFERROR(INT(VALUE(I1515)),"bad"))))</f>
        <v/>
      </c>
      <c r="O1515">
        <f>IF(J1515="","",IF(ISNUMBER(J1515),ROUND(J1515,2),IFERROR(ROUND(VALUE(SUBSTITUTE(SUBSTITUTE(SUBSTITUTE(J1515,"$",""),",","")," ","")),2),"bad")))</f>
        <v/>
      </c>
      <c r="P1515">
        <f>IF(TRIM(K1515)="","",IFERROR(MATCH(LOWER(TRIM(K1515)),'Students'!$AH$2:$AH$701,0),IFERROR(MATCH(LOWER(TRIM(K1515)),'Students'!$AF$2:$AF$701,0),IFERROR(MATCH(LOWER(TRIM(K1515)),'Students'!$AG$2:$AG$701,0),""))))</f>
        <v/>
      </c>
      <c r="R1515">
        <f>IF(P1515="","",INDEX('Students'!$AD$2:$AD$701,P1515))</f>
        <v/>
      </c>
      <c r="S1515">
        <f>IF(H1515="OK",O1515,0)</f>
        <v/>
      </c>
      <c r="T1515">
        <f>IF(H1515="OK",N1515,"")</f>
        <v/>
      </c>
      <c r="U1515">
        <f>IF(OC_Donor=0,"",IF(INDEX('OneCause_Paste'!$A$1515:$AZ$1515,1,OC_Donor)="","",INDEX('OneCause_Paste'!$A$1515:$AZ$1515,1,OC_Donor)))</f>
        <v/>
      </c>
    </row>
    <row r="1516">
      <c r="A1516" s="62">
        <f>IF(H1516="","",IF(ISNUMBER(N1516),N1516,I1516))</f>
        <v/>
      </c>
      <c r="B1516">
        <f>IF(H1516="","",U1516)</f>
        <v/>
      </c>
      <c r="C1516">
        <f>IF(H1516="","",IF(P1516="",K1516,INDEX('Students'!$A$2:$A$701,P1516)))</f>
        <v/>
      </c>
      <c r="D1516">
        <f>IF(OR(H1516="",P1516=""),"",INDEX('Students'!$B$2:$B$701,P1516))</f>
        <v/>
      </c>
      <c r="E1516">
        <f>IF(OR(H1516="",P1516=""),"",INDEX('Students'!$C$2:$C$701,P1516))</f>
        <v/>
      </c>
      <c r="F1516" s="48">
        <f>IF(H1516="","",IF(ISNUMBER(O1516),O1516,J1516))</f>
        <v/>
      </c>
      <c r="G1516">
        <f>IF(H1516="","","OneCause")</f>
        <v/>
      </c>
      <c r="H1516">
        <f>IF(AND(I1516="",J1516="",K1516=""),"",IF(NOT(ISNUMBER(O1516)),"Bad amount",IF(O1516&lt;0,"Refund (not counted)",IF(O1516=0,"Zero amount",IF(NOT(ISNUMBER(N1516)),"Bad date",IF(P1516="","NAME NOT ON ROSTER",IF(L1516="","OK",IF(MATCH(L1516,$L$2:$L$3001,0)&lt;ROW()-1,"Duplicate (ignored)","OK"))))))))</f>
        <v/>
      </c>
      <c r="I1516">
        <f>IF(OC_Date=0,"",IF(INDEX('OneCause_Paste'!$A$1516:$AZ$1516,1,OC_Date)="","",INDEX('OneCause_Paste'!$A$1516:$AZ$1516,1,OC_Date)))</f>
        <v/>
      </c>
      <c r="J1516">
        <f>IF(OC_Amt=0,"",IF(INDEX('OneCause_Paste'!$A$1516:$AZ$1516,1,OC_Amt)="","",INDEX('OneCause_Paste'!$A$1516:$AZ$1516,1,OC_Amt)))</f>
        <v/>
      </c>
      <c r="K1516">
        <f>IF(OC_Name=0,"",IF(INDEX('OneCause_Paste'!$A$1516:$AZ$1516,1,OC_Name)="","",INDEX('OneCause_Paste'!$A$1516:$AZ$1516,1,OC_Name)))</f>
        <v/>
      </c>
      <c r="L1516">
        <f>IF(OC_Txn=0,"",IF(INDEX('OneCause_Paste'!$A$1516:$AZ$1516,1,OC_Txn)="","",INDEX('OneCause_Paste'!$A$1516:$AZ$1516,1,OC_Txn)))</f>
        <v/>
      </c>
      <c r="M1516">
        <f>IF(OC_Pay=0,"",IF(INDEX('OneCause_Paste'!$A$1516:$AZ$1516,1,OC_Pay)="","",INDEX('OneCause_Paste'!$A$1516:$AZ$1516,1,OC_Pay)))</f>
        <v/>
      </c>
      <c r="N1516">
        <f>IF(I1516="","",IF(ISNUMBER(I1516),INT(I1516),IFERROR(INT(DATEVALUE(I1516)),IFERROR(INT(VALUE(I1516)),"bad"))))</f>
        <v/>
      </c>
      <c r="O1516">
        <f>IF(J1516="","",IF(ISNUMBER(J1516),ROUND(J1516,2),IFERROR(ROUND(VALUE(SUBSTITUTE(SUBSTITUTE(SUBSTITUTE(J1516,"$",""),",","")," ","")),2),"bad")))</f>
        <v/>
      </c>
      <c r="P1516">
        <f>IF(TRIM(K1516)="","",IFERROR(MATCH(LOWER(TRIM(K1516)),'Students'!$AH$2:$AH$701,0),IFERROR(MATCH(LOWER(TRIM(K1516)),'Students'!$AF$2:$AF$701,0),IFERROR(MATCH(LOWER(TRIM(K1516)),'Students'!$AG$2:$AG$701,0),""))))</f>
        <v/>
      </c>
      <c r="R1516">
        <f>IF(P1516="","",INDEX('Students'!$AD$2:$AD$701,P1516))</f>
        <v/>
      </c>
      <c r="S1516">
        <f>IF(H1516="OK",O1516,0)</f>
        <v/>
      </c>
      <c r="T1516">
        <f>IF(H1516="OK",N1516,"")</f>
        <v/>
      </c>
      <c r="U1516">
        <f>IF(OC_Donor=0,"",IF(INDEX('OneCause_Paste'!$A$1516:$AZ$1516,1,OC_Donor)="","",INDEX('OneCause_Paste'!$A$1516:$AZ$1516,1,OC_Donor)))</f>
        <v/>
      </c>
    </row>
    <row r="1517">
      <c r="A1517" s="62">
        <f>IF(H1517="","",IF(ISNUMBER(N1517),N1517,I1517))</f>
        <v/>
      </c>
      <c r="B1517">
        <f>IF(H1517="","",U1517)</f>
        <v/>
      </c>
      <c r="C1517">
        <f>IF(H1517="","",IF(P1517="",K1517,INDEX('Students'!$A$2:$A$701,P1517)))</f>
        <v/>
      </c>
      <c r="D1517">
        <f>IF(OR(H1517="",P1517=""),"",INDEX('Students'!$B$2:$B$701,P1517))</f>
        <v/>
      </c>
      <c r="E1517">
        <f>IF(OR(H1517="",P1517=""),"",INDEX('Students'!$C$2:$C$701,P1517))</f>
        <v/>
      </c>
      <c r="F1517" s="48">
        <f>IF(H1517="","",IF(ISNUMBER(O1517),O1517,J1517))</f>
        <v/>
      </c>
      <c r="G1517">
        <f>IF(H1517="","","OneCause")</f>
        <v/>
      </c>
      <c r="H1517">
        <f>IF(AND(I1517="",J1517="",K1517=""),"",IF(NOT(ISNUMBER(O1517)),"Bad amount",IF(O1517&lt;0,"Refund (not counted)",IF(O1517=0,"Zero amount",IF(NOT(ISNUMBER(N1517)),"Bad date",IF(P1517="","NAME NOT ON ROSTER",IF(L1517="","OK",IF(MATCH(L1517,$L$2:$L$3001,0)&lt;ROW()-1,"Duplicate (ignored)","OK"))))))))</f>
        <v/>
      </c>
      <c r="I1517">
        <f>IF(OC_Date=0,"",IF(INDEX('OneCause_Paste'!$A$1517:$AZ$1517,1,OC_Date)="","",INDEX('OneCause_Paste'!$A$1517:$AZ$1517,1,OC_Date)))</f>
        <v/>
      </c>
      <c r="J1517">
        <f>IF(OC_Amt=0,"",IF(INDEX('OneCause_Paste'!$A$1517:$AZ$1517,1,OC_Amt)="","",INDEX('OneCause_Paste'!$A$1517:$AZ$1517,1,OC_Amt)))</f>
        <v/>
      </c>
      <c r="K1517">
        <f>IF(OC_Name=0,"",IF(INDEX('OneCause_Paste'!$A$1517:$AZ$1517,1,OC_Name)="","",INDEX('OneCause_Paste'!$A$1517:$AZ$1517,1,OC_Name)))</f>
        <v/>
      </c>
      <c r="L1517">
        <f>IF(OC_Txn=0,"",IF(INDEX('OneCause_Paste'!$A$1517:$AZ$1517,1,OC_Txn)="","",INDEX('OneCause_Paste'!$A$1517:$AZ$1517,1,OC_Txn)))</f>
        <v/>
      </c>
      <c r="M1517">
        <f>IF(OC_Pay=0,"",IF(INDEX('OneCause_Paste'!$A$1517:$AZ$1517,1,OC_Pay)="","",INDEX('OneCause_Paste'!$A$1517:$AZ$1517,1,OC_Pay)))</f>
        <v/>
      </c>
      <c r="N1517">
        <f>IF(I1517="","",IF(ISNUMBER(I1517),INT(I1517),IFERROR(INT(DATEVALUE(I1517)),IFERROR(INT(VALUE(I1517)),"bad"))))</f>
        <v/>
      </c>
      <c r="O1517">
        <f>IF(J1517="","",IF(ISNUMBER(J1517),ROUND(J1517,2),IFERROR(ROUND(VALUE(SUBSTITUTE(SUBSTITUTE(SUBSTITUTE(J1517,"$",""),",","")," ","")),2),"bad")))</f>
        <v/>
      </c>
      <c r="P1517">
        <f>IF(TRIM(K1517)="","",IFERROR(MATCH(LOWER(TRIM(K1517)),'Students'!$AH$2:$AH$701,0),IFERROR(MATCH(LOWER(TRIM(K1517)),'Students'!$AF$2:$AF$701,0),IFERROR(MATCH(LOWER(TRIM(K1517)),'Students'!$AG$2:$AG$701,0),""))))</f>
        <v/>
      </c>
      <c r="R1517">
        <f>IF(P1517="","",INDEX('Students'!$AD$2:$AD$701,P1517))</f>
        <v/>
      </c>
      <c r="S1517">
        <f>IF(H1517="OK",O1517,0)</f>
        <v/>
      </c>
      <c r="T1517">
        <f>IF(H1517="OK",N1517,"")</f>
        <v/>
      </c>
      <c r="U1517">
        <f>IF(OC_Donor=0,"",IF(INDEX('OneCause_Paste'!$A$1517:$AZ$1517,1,OC_Donor)="","",INDEX('OneCause_Paste'!$A$1517:$AZ$1517,1,OC_Donor)))</f>
        <v/>
      </c>
    </row>
    <row r="1518">
      <c r="A1518" s="62">
        <f>IF(H1518="","",IF(ISNUMBER(N1518),N1518,I1518))</f>
        <v/>
      </c>
      <c r="B1518">
        <f>IF(H1518="","",U1518)</f>
        <v/>
      </c>
      <c r="C1518">
        <f>IF(H1518="","",IF(P1518="",K1518,INDEX('Students'!$A$2:$A$701,P1518)))</f>
        <v/>
      </c>
      <c r="D1518">
        <f>IF(OR(H1518="",P1518=""),"",INDEX('Students'!$B$2:$B$701,P1518))</f>
        <v/>
      </c>
      <c r="E1518">
        <f>IF(OR(H1518="",P1518=""),"",INDEX('Students'!$C$2:$C$701,P1518))</f>
        <v/>
      </c>
      <c r="F1518" s="48">
        <f>IF(H1518="","",IF(ISNUMBER(O1518),O1518,J1518))</f>
        <v/>
      </c>
      <c r="G1518">
        <f>IF(H1518="","","OneCause")</f>
        <v/>
      </c>
      <c r="H1518">
        <f>IF(AND(I1518="",J1518="",K1518=""),"",IF(NOT(ISNUMBER(O1518)),"Bad amount",IF(O1518&lt;0,"Refund (not counted)",IF(O1518=0,"Zero amount",IF(NOT(ISNUMBER(N1518)),"Bad date",IF(P1518="","NAME NOT ON ROSTER",IF(L1518="","OK",IF(MATCH(L1518,$L$2:$L$3001,0)&lt;ROW()-1,"Duplicate (ignored)","OK"))))))))</f>
        <v/>
      </c>
      <c r="I1518">
        <f>IF(OC_Date=0,"",IF(INDEX('OneCause_Paste'!$A$1518:$AZ$1518,1,OC_Date)="","",INDEX('OneCause_Paste'!$A$1518:$AZ$1518,1,OC_Date)))</f>
        <v/>
      </c>
      <c r="J1518">
        <f>IF(OC_Amt=0,"",IF(INDEX('OneCause_Paste'!$A$1518:$AZ$1518,1,OC_Amt)="","",INDEX('OneCause_Paste'!$A$1518:$AZ$1518,1,OC_Amt)))</f>
        <v/>
      </c>
      <c r="K1518">
        <f>IF(OC_Name=0,"",IF(INDEX('OneCause_Paste'!$A$1518:$AZ$1518,1,OC_Name)="","",INDEX('OneCause_Paste'!$A$1518:$AZ$1518,1,OC_Name)))</f>
        <v/>
      </c>
      <c r="L1518">
        <f>IF(OC_Txn=0,"",IF(INDEX('OneCause_Paste'!$A$1518:$AZ$1518,1,OC_Txn)="","",INDEX('OneCause_Paste'!$A$1518:$AZ$1518,1,OC_Txn)))</f>
        <v/>
      </c>
      <c r="M1518">
        <f>IF(OC_Pay=0,"",IF(INDEX('OneCause_Paste'!$A$1518:$AZ$1518,1,OC_Pay)="","",INDEX('OneCause_Paste'!$A$1518:$AZ$1518,1,OC_Pay)))</f>
        <v/>
      </c>
      <c r="N1518">
        <f>IF(I1518="","",IF(ISNUMBER(I1518),INT(I1518),IFERROR(INT(DATEVALUE(I1518)),IFERROR(INT(VALUE(I1518)),"bad"))))</f>
        <v/>
      </c>
      <c r="O1518">
        <f>IF(J1518="","",IF(ISNUMBER(J1518),ROUND(J1518,2),IFERROR(ROUND(VALUE(SUBSTITUTE(SUBSTITUTE(SUBSTITUTE(J1518,"$",""),",","")," ","")),2),"bad")))</f>
        <v/>
      </c>
      <c r="P1518">
        <f>IF(TRIM(K1518)="","",IFERROR(MATCH(LOWER(TRIM(K1518)),'Students'!$AH$2:$AH$701,0),IFERROR(MATCH(LOWER(TRIM(K1518)),'Students'!$AF$2:$AF$701,0),IFERROR(MATCH(LOWER(TRIM(K1518)),'Students'!$AG$2:$AG$701,0),""))))</f>
        <v/>
      </c>
      <c r="R1518">
        <f>IF(P1518="","",INDEX('Students'!$AD$2:$AD$701,P1518))</f>
        <v/>
      </c>
      <c r="S1518">
        <f>IF(H1518="OK",O1518,0)</f>
        <v/>
      </c>
      <c r="T1518">
        <f>IF(H1518="OK",N1518,"")</f>
        <v/>
      </c>
      <c r="U1518">
        <f>IF(OC_Donor=0,"",IF(INDEX('OneCause_Paste'!$A$1518:$AZ$1518,1,OC_Donor)="","",INDEX('OneCause_Paste'!$A$1518:$AZ$1518,1,OC_Donor)))</f>
        <v/>
      </c>
    </row>
    <row r="1519">
      <c r="A1519" s="62">
        <f>IF(H1519="","",IF(ISNUMBER(N1519),N1519,I1519))</f>
        <v/>
      </c>
      <c r="B1519">
        <f>IF(H1519="","",U1519)</f>
        <v/>
      </c>
      <c r="C1519">
        <f>IF(H1519="","",IF(P1519="",K1519,INDEX('Students'!$A$2:$A$701,P1519)))</f>
        <v/>
      </c>
      <c r="D1519">
        <f>IF(OR(H1519="",P1519=""),"",INDEX('Students'!$B$2:$B$701,P1519))</f>
        <v/>
      </c>
      <c r="E1519">
        <f>IF(OR(H1519="",P1519=""),"",INDEX('Students'!$C$2:$C$701,P1519))</f>
        <v/>
      </c>
      <c r="F1519" s="48">
        <f>IF(H1519="","",IF(ISNUMBER(O1519),O1519,J1519))</f>
        <v/>
      </c>
      <c r="G1519">
        <f>IF(H1519="","","OneCause")</f>
        <v/>
      </c>
      <c r="H1519">
        <f>IF(AND(I1519="",J1519="",K1519=""),"",IF(NOT(ISNUMBER(O1519)),"Bad amount",IF(O1519&lt;0,"Refund (not counted)",IF(O1519=0,"Zero amount",IF(NOT(ISNUMBER(N1519)),"Bad date",IF(P1519="","NAME NOT ON ROSTER",IF(L1519="","OK",IF(MATCH(L1519,$L$2:$L$3001,0)&lt;ROW()-1,"Duplicate (ignored)","OK"))))))))</f>
        <v/>
      </c>
      <c r="I1519">
        <f>IF(OC_Date=0,"",IF(INDEX('OneCause_Paste'!$A$1519:$AZ$1519,1,OC_Date)="","",INDEX('OneCause_Paste'!$A$1519:$AZ$1519,1,OC_Date)))</f>
        <v/>
      </c>
      <c r="J1519">
        <f>IF(OC_Amt=0,"",IF(INDEX('OneCause_Paste'!$A$1519:$AZ$1519,1,OC_Amt)="","",INDEX('OneCause_Paste'!$A$1519:$AZ$1519,1,OC_Amt)))</f>
        <v/>
      </c>
      <c r="K1519">
        <f>IF(OC_Name=0,"",IF(INDEX('OneCause_Paste'!$A$1519:$AZ$1519,1,OC_Name)="","",INDEX('OneCause_Paste'!$A$1519:$AZ$1519,1,OC_Name)))</f>
        <v/>
      </c>
      <c r="L1519">
        <f>IF(OC_Txn=0,"",IF(INDEX('OneCause_Paste'!$A$1519:$AZ$1519,1,OC_Txn)="","",INDEX('OneCause_Paste'!$A$1519:$AZ$1519,1,OC_Txn)))</f>
        <v/>
      </c>
      <c r="M1519">
        <f>IF(OC_Pay=0,"",IF(INDEX('OneCause_Paste'!$A$1519:$AZ$1519,1,OC_Pay)="","",INDEX('OneCause_Paste'!$A$1519:$AZ$1519,1,OC_Pay)))</f>
        <v/>
      </c>
      <c r="N1519">
        <f>IF(I1519="","",IF(ISNUMBER(I1519),INT(I1519),IFERROR(INT(DATEVALUE(I1519)),IFERROR(INT(VALUE(I1519)),"bad"))))</f>
        <v/>
      </c>
      <c r="O1519">
        <f>IF(J1519="","",IF(ISNUMBER(J1519),ROUND(J1519,2),IFERROR(ROUND(VALUE(SUBSTITUTE(SUBSTITUTE(SUBSTITUTE(J1519,"$",""),",","")," ","")),2),"bad")))</f>
        <v/>
      </c>
      <c r="P1519">
        <f>IF(TRIM(K1519)="","",IFERROR(MATCH(LOWER(TRIM(K1519)),'Students'!$AH$2:$AH$701,0),IFERROR(MATCH(LOWER(TRIM(K1519)),'Students'!$AF$2:$AF$701,0),IFERROR(MATCH(LOWER(TRIM(K1519)),'Students'!$AG$2:$AG$701,0),""))))</f>
        <v/>
      </c>
      <c r="R1519">
        <f>IF(P1519="","",INDEX('Students'!$AD$2:$AD$701,P1519))</f>
        <v/>
      </c>
      <c r="S1519">
        <f>IF(H1519="OK",O1519,0)</f>
        <v/>
      </c>
      <c r="T1519">
        <f>IF(H1519="OK",N1519,"")</f>
        <v/>
      </c>
      <c r="U1519">
        <f>IF(OC_Donor=0,"",IF(INDEX('OneCause_Paste'!$A$1519:$AZ$1519,1,OC_Donor)="","",INDEX('OneCause_Paste'!$A$1519:$AZ$1519,1,OC_Donor)))</f>
        <v/>
      </c>
    </row>
    <row r="1520">
      <c r="A1520" s="62">
        <f>IF(H1520="","",IF(ISNUMBER(N1520),N1520,I1520))</f>
        <v/>
      </c>
      <c r="B1520">
        <f>IF(H1520="","",U1520)</f>
        <v/>
      </c>
      <c r="C1520">
        <f>IF(H1520="","",IF(P1520="",K1520,INDEX('Students'!$A$2:$A$701,P1520)))</f>
        <v/>
      </c>
      <c r="D1520">
        <f>IF(OR(H1520="",P1520=""),"",INDEX('Students'!$B$2:$B$701,P1520))</f>
        <v/>
      </c>
      <c r="E1520">
        <f>IF(OR(H1520="",P1520=""),"",INDEX('Students'!$C$2:$C$701,P1520))</f>
        <v/>
      </c>
      <c r="F1520" s="48">
        <f>IF(H1520="","",IF(ISNUMBER(O1520),O1520,J1520))</f>
        <v/>
      </c>
      <c r="G1520">
        <f>IF(H1520="","","OneCause")</f>
        <v/>
      </c>
      <c r="H1520">
        <f>IF(AND(I1520="",J1520="",K1520=""),"",IF(NOT(ISNUMBER(O1520)),"Bad amount",IF(O1520&lt;0,"Refund (not counted)",IF(O1520=0,"Zero amount",IF(NOT(ISNUMBER(N1520)),"Bad date",IF(P1520="","NAME NOT ON ROSTER",IF(L1520="","OK",IF(MATCH(L1520,$L$2:$L$3001,0)&lt;ROW()-1,"Duplicate (ignored)","OK"))))))))</f>
        <v/>
      </c>
      <c r="I1520">
        <f>IF(OC_Date=0,"",IF(INDEX('OneCause_Paste'!$A$1520:$AZ$1520,1,OC_Date)="","",INDEX('OneCause_Paste'!$A$1520:$AZ$1520,1,OC_Date)))</f>
        <v/>
      </c>
      <c r="J1520">
        <f>IF(OC_Amt=0,"",IF(INDEX('OneCause_Paste'!$A$1520:$AZ$1520,1,OC_Amt)="","",INDEX('OneCause_Paste'!$A$1520:$AZ$1520,1,OC_Amt)))</f>
        <v/>
      </c>
      <c r="K1520">
        <f>IF(OC_Name=0,"",IF(INDEX('OneCause_Paste'!$A$1520:$AZ$1520,1,OC_Name)="","",INDEX('OneCause_Paste'!$A$1520:$AZ$1520,1,OC_Name)))</f>
        <v/>
      </c>
      <c r="L1520">
        <f>IF(OC_Txn=0,"",IF(INDEX('OneCause_Paste'!$A$1520:$AZ$1520,1,OC_Txn)="","",INDEX('OneCause_Paste'!$A$1520:$AZ$1520,1,OC_Txn)))</f>
        <v/>
      </c>
      <c r="M1520">
        <f>IF(OC_Pay=0,"",IF(INDEX('OneCause_Paste'!$A$1520:$AZ$1520,1,OC_Pay)="","",INDEX('OneCause_Paste'!$A$1520:$AZ$1520,1,OC_Pay)))</f>
        <v/>
      </c>
      <c r="N1520">
        <f>IF(I1520="","",IF(ISNUMBER(I1520),INT(I1520),IFERROR(INT(DATEVALUE(I1520)),IFERROR(INT(VALUE(I1520)),"bad"))))</f>
        <v/>
      </c>
      <c r="O1520">
        <f>IF(J1520="","",IF(ISNUMBER(J1520),ROUND(J1520,2),IFERROR(ROUND(VALUE(SUBSTITUTE(SUBSTITUTE(SUBSTITUTE(J1520,"$",""),",","")," ","")),2),"bad")))</f>
        <v/>
      </c>
      <c r="P1520">
        <f>IF(TRIM(K1520)="","",IFERROR(MATCH(LOWER(TRIM(K1520)),'Students'!$AH$2:$AH$701,0),IFERROR(MATCH(LOWER(TRIM(K1520)),'Students'!$AF$2:$AF$701,0),IFERROR(MATCH(LOWER(TRIM(K1520)),'Students'!$AG$2:$AG$701,0),""))))</f>
        <v/>
      </c>
      <c r="R1520">
        <f>IF(P1520="","",INDEX('Students'!$AD$2:$AD$701,P1520))</f>
        <v/>
      </c>
      <c r="S1520">
        <f>IF(H1520="OK",O1520,0)</f>
        <v/>
      </c>
      <c r="T1520">
        <f>IF(H1520="OK",N1520,"")</f>
        <v/>
      </c>
      <c r="U1520">
        <f>IF(OC_Donor=0,"",IF(INDEX('OneCause_Paste'!$A$1520:$AZ$1520,1,OC_Donor)="","",INDEX('OneCause_Paste'!$A$1520:$AZ$1520,1,OC_Donor)))</f>
        <v/>
      </c>
    </row>
    <row r="1521">
      <c r="A1521" s="62">
        <f>IF(H1521="","",IF(ISNUMBER(N1521),N1521,I1521))</f>
        <v/>
      </c>
      <c r="B1521">
        <f>IF(H1521="","",U1521)</f>
        <v/>
      </c>
      <c r="C1521">
        <f>IF(H1521="","",IF(P1521="",K1521,INDEX('Students'!$A$2:$A$701,P1521)))</f>
        <v/>
      </c>
      <c r="D1521">
        <f>IF(OR(H1521="",P1521=""),"",INDEX('Students'!$B$2:$B$701,P1521))</f>
        <v/>
      </c>
      <c r="E1521">
        <f>IF(OR(H1521="",P1521=""),"",INDEX('Students'!$C$2:$C$701,P1521))</f>
        <v/>
      </c>
      <c r="F1521" s="48">
        <f>IF(H1521="","",IF(ISNUMBER(O1521),O1521,J1521))</f>
        <v/>
      </c>
      <c r="G1521">
        <f>IF(H1521="","","OneCause")</f>
        <v/>
      </c>
      <c r="H1521">
        <f>IF(AND(I1521="",J1521="",K1521=""),"",IF(NOT(ISNUMBER(O1521)),"Bad amount",IF(O1521&lt;0,"Refund (not counted)",IF(O1521=0,"Zero amount",IF(NOT(ISNUMBER(N1521)),"Bad date",IF(P1521="","NAME NOT ON ROSTER",IF(L1521="","OK",IF(MATCH(L1521,$L$2:$L$3001,0)&lt;ROW()-1,"Duplicate (ignored)","OK"))))))))</f>
        <v/>
      </c>
      <c r="I1521">
        <f>IF(OC_Date=0,"",IF(INDEX('OneCause_Paste'!$A$1521:$AZ$1521,1,OC_Date)="","",INDEX('OneCause_Paste'!$A$1521:$AZ$1521,1,OC_Date)))</f>
        <v/>
      </c>
      <c r="J1521">
        <f>IF(OC_Amt=0,"",IF(INDEX('OneCause_Paste'!$A$1521:$AZ$1521,1,OC_Amt)="","",INDEX('OneCause_Paste'!$A$1521:$AZ$1521,1,OC_Amt)))</f>
        <v/>
      </c>
      <c r="K1521">
        <f>IF(OC_Name=0,"",IF(INDEX('OneCause_Paste'!$A$1521:$AZ$1521,1,OC_Name)="","",INDEX('OneCause_Paste'!$A$1521:$AZ$1521,1,OC_Name)))</f>
        <v/>
      </c>
      <c r="L1521">
        <f>IF(OC_Txn=0,"",IF(INDEX('OneCause_Paste'!$A$1521:$AZ$1521,1,OC_Txn)="","",INDEX('OneCause_Paste'!$A$1521:$AZ$1521,1,OC_Txn)))</f>
        <v/>
      </c>
      <c r="M1521">
        <f>IF(OC_Pay=0,"",IF(INDEX('OneCause_Paste'!$A$1521:$AZ$1521,1,OC_Pay)="","",INDEX('OneCause_Paste'!$A$1521:$AZ$1521,1,OC_Pay)))</f>
        <v/>
      </c>
      <c r="N1521">
        <f>IF(I1521="","",IF(ISNUMBER(I1521),INT(I1521),IFERROR(INT(DATEVALUE(I1521)),IFERROR(INT(VALUE(I1521)),"bad"))))</f>
        <v/>
      </c>
      <c r="O1521">
        <f>IF(J1521="","",IF(ISNUMBER(J1521),ROUND(J1521,2),IFERROR(ROUND(VALUE(SUBSTITUTE(SUBSTITUTE(SUBSTITUTE(J1521,"$",""),",","")," ","")),2),"bad")))</f>
        <v/>
      </c>
      <c r="P1521">
        <f>IF(TRIM(K1521)="","",IFERROR(MATCH(LOWER(TRIM(K1521)),'Students'!$AH$2:$AH$701,0),IFERROR(MATCH(LOWER(TRIM(K1521)),'Students'!$AF$2:$AF$701,0),IFERROR(MATCH(LOWER(TRIM(K1521)),'Students'!$AG$2:$AG$701,0),""))))</f>
        <v/>
      </c>
      <c r="R1521">
        <f>IF(P1521="","",INDEX('Students'!$AD$2:$AD$701,P1521))</f>
        <v/>
      </c>
      <c r="S1521">
        <f>IF(H1521="OK",O1521,0)</f>
        <v/>
      </c>
      <c r="T1521">
        <f>IF(H1521="OK",N1521,"")</f>
        <v/>
      </c>
      <c r="U1521">
        <f>IF(OC_Donor=0,"",IF(INDEX('OneCause_Paste'!$A$1521:$AZ$1521,1,OC_Donor)="","",INDEX('OneCause_Paste'!$A$1521:$AZ$1521,1,OC_Donor)))</f>
        <v/>
      </c>
    </row>
    <row r="1522">
      <c r="A1522" s="62">
        <f>IF(H1522="","",IF(ISNUMBER(N1522),N1522,I1522))</f>
        <v/>
      </c>
      <c r="B1522">
        <f>IF(H1522="","",U1522)</f>
        <v/>
      </c>
      <c r="C1522">
        <f>IF(H1522="","",IF(P1522="",K1522,INDEX('Students'!$A$2:$A$701,P1522)))</f>
        <v/>
      </c>
      <c r="D1522">
        <f>IF(OR(H1522="",P1522=""),"",INDEX('Students'!$B$2:$B$701,P1522))</f>
        <v/>
      </c>
      <c r="E1522">
        <f>IF(OR(H1522="",P1522=""),"",INDEX('Students'!$C$2:$C$701,P1522))</f>
        <v/>
      </c>
      <c r="F1522" s="48">
        <f>IF(H1522="","",IF(ISNUMBER(O1522),O1522,J1522))</f>
        <v/>
      </c>
      <c r="G1522">
        <f>IF(H1522="","","OneCause")</f>
        <v/>
      </c>
      <c r="H1522">
        <f>IF(AND(I1522="",J1522="",K1522=""),"",IF(NOT(ISNUMBER(O1522)),"Bad amount",IF(O1522&lt;0,"Refund (not counted)",IF(O1522=0,"Zero amount",IF(NOT(ISNUMBER(N1522)),"Bad date",IF(P1522="","NAME NOT ON ROSTER",IF(L1522="","OK",IF(MATCH(L1522,$L$2:$L$3001,0)&lt;ROW()-1,"Duplicate (ignored)","OK"))))))))</f>
        <v/>
      </c>
      <c r="I1522">
        <f>IF(OC_Date=0,"",IF(INDEX('OneCause_Paste'!$A$1522:$AZ$1522,1,OC_Date)="","",INDEX('OneCause_Paste'!$A$1522:$AZ$1522,1,OC_Date)))</f>
        <v/>
      </c>
      <c r="J1522">
        <f>IF(OC_Amt=0,"",IF(INDEX('OneCause_Paste'!$A$1522:$AZ$1522,1,OC_Amt)="","",INDEX('OneCause_Paste'!$A$1522:$AZ$1522,1,OC_Amt)))</f>
        <v/>
      </c>
      <c r="K1522">
        <f>IF(OC_Name=0,"",IF(INDEX('OneCause_Paste'!$A$1522:$AZ$1522,1,OC_Name)="","",INDEX('OneCause_Paste'!$A$1522:$AZ$1522,1,OC_Name)))</f>
        <v/>
      </c>
      <c r="L1522">
        <f>IF(OC_Txn=0,"",IF(INDEX('OneCause_Paste'!$A$1522:$AZ$1522,1,OC_Txn)="","",INDEX('OneCause_Paste'!$A$1522:$AZ$1522,1,OC_Txn)))</f>
        <v/>
      </c>
      <c r="M1522">
        <f>IF(OC_Pay=0,"",IF(INDEX('OneCause_Paste'!$A$1522:$AZ$1522,1,OC_Pay)="","",INDEX('OneCause_Paste'!$A$1522:$AZ$1522,1,OC_Pay)))</f>
        <v/>
      </c>
      <c r="N1522">
        <f>IF(I1522="","",IF(ISNUMBER(I1522),INT(I1522),IFERROR(INT(DATEVALUE(I1522)),IFERROR(INT(VALUE(I1522)),"bad"))))</f>
        <v/>
      </c>
      <c r="O1522">
        <f>IF(J1522="","",IF(ISNUMBER(J1522),ROUND(J1522,2),IFERROR(ROUND(VALUE(SUBSTITUTE(SUBSTITUTE(SUBSTITUTE(J1522,"$",""),",","")," ","")),2),"bad")))</f>
        <v/>
      </c>
      <c r="P1522">
        <f>IF(TRIM(K1522)="","",IFERROR(MATCH(LOWER(TRIM(K1522)),'Students'!$AH$2:$AH$701,0),IFERROR(MATCH(LOWER(TRIM(K1522)),'Students'!$AF$2:$AF$701,0),IFERROR(MATCH(LOWER(TRIM(K1522)),'Students'!$AG$2:$AG$701,0),""))))</f>
        <v/>
      </c>
      <c r="R1522">
        <f>IF(P1522="","",INDEX('Students'!$AD$2:$AD$701,P1522))</f>
        <v/>
      </c>
      <c r="S1522">
        <f>IF(H1522="OK",O1522,0)</f>
        <v/>
      </c>
      <c r="T1522">
        <f>IF(H1522="OK",N1522,"")</f>
        <v/>
      </c>
      <c r="U1522">
        <f>IF(OC_Donor=0,"",IF(INDEX('OneCause_Paste'!$A$1522:$AZ$1522,1,OC_Donor)="","",INDEX('OneCause_Paste'!$A$1522:$AZ$1522,1,OC_Donor)))</f>
        <v/>
      </c>
    </row>
    <row r="1523">
      <c r="A1523" s="62">
        <f>IF(H1523="","",IF(ISNUMBER(N1523),N1523,I1523))</f>
        <v/>
      </c>
      <c r="B1523">
        <f>IF(H1523="","",U1523)</f>
        <v/>
      </c>
      <c r="C1523">
        <f>IF(H1523="","",IF(P1523="",K1523,INDEX('Students'!$A$2:$A$701,P1523)))</f>
        <v/>
      </c>
      <c r="D1523">
        <f>IF(OR(H1523="",P1523=""),"",INDEX('Students'!$B$2:$B$701,P1523))</f>
        <v/>
      </c>
      <c r="E1523">
        <f>IF(OR(H1523="",P1523=""),"",INDEX('Students'!$C$2:$C$701,P1523))</f>
        <v/>
      </c>
      <c r="F1523" s="48">
        <f>IF(H1523="","",IF(ISNUMBER(O1523),O1523,J1523))</f>
        <v/>
      </c>
      <c r="G1523">
        <f>IF(H1523="","","OneCause")</f>
        <v/>
      </c>
      <c r="H1523">
        <f>IF(AND(I1523="",J1523="",K1523=""),"",IF(NOT(ISNUMBER(O1523)),"Bad amount",IF(O1523&lt;0,"Refund (not counted)",IF(O1523=0,"Zero amount",IF(NOT(ISNUMBER(N1523)),"Bad date",IF(P1523="","NAME NOT ON ROSTER",IF(L1523="","OK",IF(MATCH(L1523,$L$2:$L$3001,0)&lt;ROW()-1,"Duplicate (ignored)","OK"))))))))</f>
        <v/>
      </c>
      <c r="I1523">
        <f>IF(OC_Date=0,"",IF(INDEX('OneCause_Paste'!$A$1523:$AZ$1523,1,OC_Date)="","",INDEX('OneCause_Paste'!$A$1523:$AZ$1523,1,OC_Date)))</f>
        <v/>
      </c>
      <c r="J1523">
        <f>IF(OC_Amt=0,"",IF(INDEX('OneCause_Paste'!$A$1523:$AZ$1523,1,OC_Amt)="","",INDEX('OneCause_Paste'!$A$1523:$AZ$1523,1,OC_Amt)))</f>
        <v/>
      </c>
      <c r="K1523">
        <f>IF(OC_Name=0,"",IF(INDEX('OneCause_Paste'!$A$1523:$AZ$1523,1,OC_Name)="","",INDEX('OneCause_Paste'!$A$1523:$AZ$1523,1,OC_Name)))</f>
        <v/>
      </c>
      <c r="L1523">
        <f>IF(OC_Txn=0,"",IF(INDEX('OneCause_Paste'!$A$1523:$AZ$1523,1,OC_Txn)="","",INDEX('OneCause_Paste'!$A$1523:$AZ$1523,1,OC_Txn)))</f>
        <v/>
      </c>
      <c r="M1523">
        <f>IF(OC_Pay=0,"",IF(INDEX('OneCause_Paste'!$A$1523:$AZ$1523,1,OC_Pay)="","",INDEX('OneCause_Paste'!$A$1523:$AZ$1523,1,OC_Pay)))</f>
        <v/>
      </c>
      <c r="N1523">
        <f>IF(I1523="","",IF(ISNUMBER(I1523),INT(I1523),IFERROR(INT(DATEVALUE(I1523)),IFERROR(INT(VALUE(I1523)),"bad"))))</f>
        <v/>
      </c>
      <c r="O1523">
        <f>IF(J1523="","",IF(ISNUMBER(J1523),ROUND(J1523,2),IFERROR(ROUND(VALUE(SUBSTITUTE(SUBSTITUTE(SUBSTITUTE(J1523,"$",""),",","")," ","")),2),"bad")))</f>
        <v/>
      </c>
      <c r="P1523">
        <f>IF(TRIM(K1523)="","",IFERROR(MATCH(LOWER(TRIM(K1523)),'Students'!$AH$2:$AH$701,0),IFERROR(MATCH(LOWER(TRIM(K1523)),'Students'!$AF$2:$AF$701,0),IFERROR(MATCH(LOWER(TRIM(K1523)),'Students'!$AG$2:$AG$701,0),""))))</f>
        <v/>
      </c>
      <c r="R1523">
        <f>IF(P1523="","",INDEX('Students'!$AD$2:$AD$701,P1523))</f>
        <v/>
      </c>
      <c r="S1523">
        <f>IF(H1523="OK",O1523,0)</f>
        <v/>
      </c>
      <c r="T1523">
        <f>IF(H1523="OK",N1523,"")</f>
        <v/>
      </c>
      <c r="U1523">
        <f>IF(OC_Donor=0,"",IF(INDEX('OneCause_Paste'!$A$1523:$AZ$1523,1,OC_Donor)="","",INDEX('OneCause_Paste'!$A$1523:$AZ$1523,1,OC_Donor)))</f>
        <v/>
      </c>
    </row>
    <row r="1524">
      <c r="A1524" s="62">
        <f>IF(H1524="","",IF(ISNUMBER(N1524),N1524,I1524))</f>
        <v/>
      </c>
      <c r="B1524">
        <f>IF(H1524="","",U1524)</f>
        <v/>
      </c>
      <c r="C1524">
        <f>IF(H1524="","",IF(P1524="",K1524,INDEX('Students'!$A$2:$A$701,P1524)))</f>
        <v/>
      </c>
      <c r="D1524">
        <f>IF(OR(H1524="",P1524=""),"",INDEX('Students'!$B$2:$B$701,P1524))</f>
        <v/>
      </c>
      <c r="E1524">
        <f>IF(OR(H1524="",P1524=""),"",INDEX('Students'!$C$2:$C$701,P1524))</f>
        <v/>
      </c>
      <c r="F1524" s="48">
        <f>IF(H1524="","",IF(ISNUMBER(O1524),O1524,J1524))</f>
        <v/>
      </c>
      <c r="G1524">
        <f>IF(H1524="","","OneCause")</f>
        <v/>
      </c>
      <c r="H1524">
        <f>IF(AND(I1524="",J1524="",K1524=""),"",IF(NOT(ISNUMBER(O1524)),"Bad amount",IF(O1524&lt;0,"Refund (not counted)",IF(O1524=0,"Zero amount",IF(NOT(ISNUMBER(N1524)),"Bad date",IF(P1524="","NAME NOT ON ROSTER",IF(L1524="","OK",IF(MATCH(L1524,$L$2:$L$3001,0)&lt;ROW()-1,"Duplicate (ignored)","OK"))))))))</f>
        <v/>
      </c>
      <c r="I1524">
        <f>IF(OC_Date=0,"",IF(INDEX('OneCause_Paste'!$A$1524:$AZ$1524,1,OC_Date)="","",INDEX('OneCause_Paste'!$A$1524:$AZ$1524,1,OC_Date)))</f>
        <v/>
      </c>
      <c r="J1524">
        <f>IF(OC_Amt=0,"",IF(INDEX('OneCause_Paste'!$A$1524:$AZ$1524,1,OC_Amt)="","",INDEX('OneCause_Paste'!$A$1524:$AZ$1524,1,OC_Amt)))</f>
        <v/>
      </c>
      <c r="K1524">
        <f>IF(OC_Name=0,"",IF(INDEX('OneCause_Paste'!$A$1524:$AZ$1524,1,OC_Name)="","",INDEX('OneCause_Paste'!$A$1524:$AZ$1524,1,OC_Name)))</f>
        <v/>
      </c>
      <c r="L1524">
        <f>IF(OC_Txn=0,"",IF(INDEX('OneCause_Paste'!$A$1524:$AZ$1524,1,OC_Txn)="","",INDEX('OneCause_Paste'!$A$1524:$AZ$1524,1,OC_Txn)))</f>
        <v/>
      </c>
      <c r="M1524">
        <f>IF(OC_Pay=0,"",IF(INDEX('OneCause_Paste'!$A$1524:$AZ$1524,1,OC_Pay)="","",INDEX('OneCause_Paste'!$A$1524:$AZ$1524,1,OC_Pay)))</f>
        <v/>
      </c>
      <c r="N1524">
        <f>IF(I1524="","",IF(ISNUMBER(I1524),INT(I1524),IFERROR(INT(DATEVALUE(I1524)),IFERROR(INT(VALUE(I1524)),"bad"))))</f>
        <v/>
      </c>
      <c r="O1524">
        <f>IF(J1524="","",IF(ISNUMBER(J1524),ROUND(J1524,2),IFERROR(ROUND(VALUE(SUBSTITUTE(SUBSTITUTE(SUBSTITUTE(J1524,"$",""),",","")," ","")),2),"bad")))</f>
        <v/>
      </c>
      <c r="P1524">
        <f>IF(TRIM(K1524)="","",IFERROR(MATCH(LOWER(TRIM(K1524)),'Students'!$AH$2:$AH$701,0),IFERROR(MATCH(LOWER(TRIM(K1524)),'Students'!$AF$2:$AF$701,0),IFERROR(MATCH(LOWER(TRIM(K1524)),'Students'!$AG$2:$AG$701,0),""))))</f>
        <v/>
      </c>
      <c r="R1524">
        <f>IF(P1524="","",INDEX('Students'!$AD$2:$AD$701,P1524))</f>
        <v/>
      </c>
      <c r="S1524">
        <f>IF(H1524="OK",O1524,0)</f>
        <v/>
      </c>
      <c r="T1524">
        <f>IF(H1524="OK",N1524,"")</f>
        <v/>
      </c>
      <c r="U1524">
        <f>IF(OC_Donor=0,"",IF(INDEX('OneCause_Paste'!$A$1524:$AZ$1524,1,OC_Donor)="","",INDEX('OneCause_Paste'!$A$1524:$AZ$1524,1,OC_Donor)))</f>
        <v/>
      </c>
    </row>
    <row r="1525">
      <c r="A1525" s="62">
        <f>IF(H1525="","",IF(ISNUMBER(N1525),N1525,I1525))</f>
        <v/>
      </c>
      <c r="B1525">
        <f>IF(H1525="","",U1525)</f>
        <v/>
      </c>
      <c r="C1525">
        <f>IF(H1525="","",IF(P1525="",K1525,INDEX('Students'!$A$2:$A$701,P1525)))</f>
        <v/>
      </c>
      <c r="D1525">
        <f>IF(OR(H1525="",P1525=""),"",INDEX('Students'!$B$2:$B$701,P1525))</f>
        <v/>
      </c>
      <c r="E1525">
        <f>IF(OR(H1525="",P1525=""),"",INDEX('Students'!$C$2:$C$701,P1525))</f>
        <v/>
      </c>
      <c r="F1525" s="48">
        <f>IF(H1525="","",IF(ISNUMBER(O1525),O1525,J1525))</f>
        <v/>
      </c>
      <c r="G1525">
        <f>IF(H1525="","","OneCause")</f>
        <v/>
      </c>
      <c r="H1525">
        <f>IF(AND(I1525="",J1525="",K1525=""),"",IF(NOT(ISNUMBER(O1525)),"Bad amount",IF(O1525&lt;0,"Refund (not counted)",IF(O1525=0,"Zero amount",IF(NOT(ISNUMBER(N1525)),"Bad date",IF(P1525="","NAME NOT ON ROSTER",IF(L1525="","OK",IF(MATCH(L1525,$L$2:$L$3001,0)&lt;ROW()-1,"Duplicate (ignored)","OK"))))))))</f>
        <v/>
      </c>
      <c r="I1525">
        <f>IF(OC_Date=0,"",IF(INDEX('OneCause_Paste'!$A$1525:$AZ$1525,1,OC_Date)="","",INDEX('OneCause_Paste'!$A$1525:$AZ$1525,1,OC_Date)))</f>
        <v/>
      </c>
      <c r="J1525">
        <f>IF(OC_Amt=0,"",IF(INDEX('OneCause_Paste'!$A$1525:$AZ$1525,1,OC_Amt)="","",INDEX('OneCause_Paste'!$A$1525:$AZ$1525,1,OC_Amt)))</f>
        <v/>
      </c>
      <c r="K1525">
        <f>IF(OC_Name=0,"",IF(INDEX('OneCause_Paste'!$A$1525:$AZ$1525,1,OC_Name)="","",INDEX('OneCause_Paste'!$A$1525:$AZ$1525,1,OC_Name)))</f>
        <v/>
      </c>
      <c r="L1525">
        <f>IF(OC_Txn=0,"",IF(INDEX('OneCause_Paste'!$A$1525:$AZ$1525,1,OC_Txn)="","",INDEX('OneCause_Paste'!$A$1525:$AZ$1525,1,OC_Txn)))</f>
        <v/>
      </c>
      <c r="M1525">
        <f>IF(OC_Pay=0,"",IF(INDEX('OneCause_Paste'!$A$1525:$AZ$1525,1,OC_Pay)="","",INDEX('OneCause_Paste'!$A$1525:$AZ$1525,1,OC_Pay)))</f>
        <v/>
      </c>
      <c r="N1525">
        <f>IF(I1525="","",IF(ISNUMBER(I1525),INT(I1525),IFERROR(INT(DATEVALUE(I1525)),IFERROR(INT(VALUE(I1525)),"bad"))))</f>
        <v/>
      </c>
      <c r="O1525">
        <f>IF(J1525="","",IF(ISNUMBER(J1525),ROUND(J1525,2),IFERROR(ROUND(VALUE(SUBSTITUTE(SUBSTITUTE(SUBSTITUTE(J1525,"$",""),",","")," ","")),2),"bad")))</f>
        <v/>
      </c>
      <c r="P1525">
        <f>IF(TRIM(K1525)="","",IFERROR(MATCH(LOWER(TRIM(K1525)),'Students'!$AH$2:$AH$701,0),IFERROR(MATCH(LOWER(TRIM(K1525)),'Students'!$AF$2:$AF$701,0),IFERROR(MATCH(LOWER(TRIM(K1525)),'Students'!$AG$2:$AG$701,0),""))))</f>
        <v/>
      </c>
      <c r="R1525">
        <f>IF(P1525="","",INDEX('Students'!$AD$2:$AD$701,P1525))</f>
        <v/>
      </c>
      <c r="S1525">
        <f>IF(H1525="OK",O1525,0)</f>
        <v/>
      </c>
      <c r="T1525">
        <f>IF(H1525="OK",N1525,"")</f>
        <v/>
      </c>
      <c r="U1525">
        <f>IF(OC_Donor=0,"",IF(INDEX('OneCause_Paste'!$A$1525:$AZ$1525,1,OC_Donor)="","",INDEX('OneCause_Paste'!$A$1525:$AZ$1525,1,OC_Donor)))</f>
        <v/>
      </c>
    </row>
    <row r="1526">
      <c r="A1526" s="62">
        <f>IF(H1526="","",IF(ISNUMBER(N1526),N1526,I1526))</f>
        <v/>
      </c>
      <c r="B1526">
        <f>IF(H1526="","",U1526)</f>
        <v/>
      </c>
      <c r="C1526">
        <f>IF(H1526="","",IF(P1526="",K1526,INDEX('Students'!$A$2:$A$701,P1526)))</f>
        <v/>
      </c>
      <c r="D1526">
        <f>IF(OR(H1526="",P1526=""),"",INDEX('Students'!$B$2:$B$701,P1526))</f>
        <v/>
      </c>
      <c r="E1526">
        <f>IF(OR(H1526="",P1526=""),"",INDEX('Students'!$C$2:$C$701,P1526))</f>
        <v/>
      </c>
      <c r="F1526" s="48">
        <f>IF(H1526="","",IF(ISNUMBER(O1526),O1526,J1526))</f>
        <v/>
      </c>
      <c r="G1526">
        <f>IF(H1526="","","OneCause")</f>
        <v/>
      </c>
      <c r="H1526">
        <f>IF(AND(I1526="",J1526="",K1526=""),"",IF(NOT(ISNUMBER(O1526)),"Bad amount",IF(O1526&lt;0,"Refund (not counted)",IF(O1526=0,"Zero amount",IF(NOT(ISNUMBER(N1526)),"Bad date",IF(P1526="","NAME NOT ON ROSTER",IF(L1526="","OK",IF(MATCH(L1526,$L$2:$L$3001,0)&lt;ROW()-1,"Duplicate (ignored)","OK"))))))))</f>
        <v/>
      </c>
      <c r="I1526">
        <f>IF(OC_Date=0,"",IF(INDEX('OneCause_Paste'!$A$1526:$AZ$1526,1,OC_Date)="","",INDEX('OneCause_Paste'!$A$1526:$AZ$1526,1,OC_Date)))</f>
        <v/>
      </c>
      <c r="J1526">
        <f>IF(OC_Amt=0,"",IF(INDEX('OneCause_Paste'!$A$1526:$AZ$1526,1,OC_Amt)="","",INDEX('OneCause_Paste'!$A$1526:$AZ$1526,1,OC_Amt)))</f>
        <v/>
      </c>
      <c r="K1526">
        <f>IF(OC_Name=0,"",IF(INDEX('OneCause_Paste'!$A$1526:$AZ$1526,1,OC_Name)="","",INDEX('OneCause_Paste'!$A$1526:$AZ$1526,1,OC_Name)))</f>
        <v/>
      </c>
      <c r="L1526">
        <f>IF(OC_Txn=0,"",IF(INDEX('OneCause_Paste'!$A$1526:$AZ$1526,1,OC_Txn)="","",INDEX('OneCause_Paste'!$A$1526:$AZ$1526,1,OC_Txn)))</f>
        <v/>
      </c>
      <c r="M1526">
        <f>IF(OC_Pay=0,"",IF(INDEX('OneCause_Paste'!$A$1526:$AZ$1526,1,OC_Pay)="","",INDEX('OneCause_Paste'!$A$1526:$AZ$1526,1,OC_Pay)))</f>
        <v/>
      </c>
      <c r="N1526">
        <f>IF(I1526="","",IF(ISNUMBER(I1526),INT(I1526),IFERROR(INT(DATEVALUE(I1526)),IFERROR(INT(VALUE(I1526)),"bad"))))</f>
        <v/>
      </c>
      <c r="O1526">
        <f>IF(J1526="","",IF(ISNUMBER(J1526),ROUND(J1526,2),IFERROR(ROUND(VALUE(SUBSTITUTE(SUBSTITUTE(SUBSTITUTE(J1526,"$",""),",","")," ","")),2),"bad")))</f>
        <v/>
      </c>
      <c r="P1526">
        <f>IF(TRIM(K1526)="","",IFERROR(MATCH(LOWER(TRIM(K1526)),'Students'!$AH$2:$AH$701,0),IFERROR(MATCH(LOWER(TRIM(K1526)),'Students'!$AF$2:$AF$701,0),IFERROR(MATCH(LOWER(TRIM(K1526)),'Students'!$AG$2:$AG$701,0),""))))</f>
        <v/>
      </c>
      <c r="R1526">
        <f>IF(P1526="","",INDEX('Students'!$AD$2:$AD$701,P1526))</f>
        <v/>
      </c>
      <c r="S1526">
        <f>IF(H1526="OK",O1526,0)</f>
        <v/>
      </c>
      <c r="T1526">
        <f>IF(H1526="OK",N1526,"")</f>
        <v/>
      </c>
      <c r="U1526">
        <f>IF(OC_Donor=0,"",IF(INDEX('OneCause_Paste'!$A$1526:$AZ$1526,1,OC_Donor)="","",INDEX('OneCause_Paste'!$A$1526:$AZ$1526,1,OC_Donor)))</f>
        <v/>
      </c>
    </row>
    <row r="1527">
      <c r="A1527" s="62">
        <f>IF(H1527="","",IF(ISNUMBER(N1527),N1527,I1527))</f>
        <v/>
      </c>
      <c r="B1527">
        <f>IF(H1527="","",U1527)</f>
        <v/>
      </c>
      <c r="C1527">
        <f>IF(H1527="","",IF(P1527="",K1527,INDEX('Students'!$A$2:$A$701,P1527)))</f>
        <v/>
      </c>
      <c r="D1527">
        <f>IF(OR(H1527="",P1527=""),"",INDEX('Students'!$B$2:$B$701,P1527))</f>
        <v/>
      </c>
      <c r="E1527">
        <f>IF(OR(H1527="",P1527=""),"",INDEX('Students'!$C$2:$C$701,P1527))</f>
        <v/>
      </c>
      <c r="F1527" s="48">
        <f>IF(H1527="","",IF(ISNUMBER(O1527),O1527,J1527))</f>
        <v/>
      </c>
      <c r="G1527">
        <f>IF(H1527="","","OneCause")</f>
        <v/>
      </c>
      <c r="H1527">
        <f>IF(AND(I1527="",J1527="",K1527=""),"",IF(NOT(ISNUMBER(O1527)),"Bad amount",IF(O1527&lt;0,"Refund (not counted)",IF(O1527=0,"Zero amount",IF(NOT(ISNUMBER(N1527)),"Bad date",IF(P1527="","NAME NOT ON ROSTER",IF(L1527="","OK",IF(MATCH(L1527,$L$2:$L$3001,0)&lt;ROW()-1,"Duplicate (ignored)","OK"))))))))</f>
        <v/>
      </c>
      <c r="I1527">
        <f>IF(OC_Date=0,"",IF(INDEX('OneCause_Paste'!$A$1527:$AZ$1527,1,OC_Date)="","",INDEX('OneCause_Paste'!$A$1527:$AZ$1527,1,OC_Date)))</f>
        <v/>
      </c>
      <c r="J1527">
        <f>IF(OC_Amt=0,"",IF(INDEX('OneCause_Paste'!$A$1527:$AZ$1527,1,OC_Amt)="","",INDEX('OneCause_Paste'!$A$1527:$AZ$1527,1,OC_Amt)))</f>
        <v/>
      </c>
      <c r="K1527">
        <f>IF(OC_Name=0,"",IF(INDEX('OneCause_Paste'!$A$1527:$AZ$1527,1,OC_Name)="","",INDEX('OneCause_Paste'!$A$1527:$AZ$1527,1,OC_Name)))</f>
        <v/>
      </c>
      <c r="L1527">
        <f>IF(OC_Txn=0,"",IF(INDEX('OneCause_Paste'!$A$1527:$AZ$1527,1,OC_Txn)="","",INDEX('OneCause_Paste'!$A$1527:$AZ$1527,1,OC_Txn)))</f>
        <v/>
      </c>
      <c r="M1527">
        <f>IF(OC_Pay=0,"",IF(INDEX('OneCause_Paste'!$A$1527:$AZ$1527,1,OC_Pay)="","",INDEX('OneCause_Paste'!$A$1527:$AZ$1527,1,OC_Pay)))</f>
        <v/>
      </c>
      <c r="N1527">
        <f>IF(I1527="","",IF(ISNUMBER(I1527),INT(I1527),IFERROR(INT(DATEVALUE(I1527)),IFERROR(INT(VALUE(I1527)),"bad"))))</f>
        <v/>
      </c>
      <c r="O1527">
        <f>IF(J1527="","",IF(ISNUMBER(J1527),ROUND(J1527,2),IFERROR(ROUND(VALUE(SUBSTITUTE(SUBSTITUTE(SUBSTITUTE(J1527,"$",""),",","")," ","")),2),"bad")))</f>
        <v/>
      </c>
      <c r="P1527">
        <f>IF(TRIM(K1527)="","",IFERROR(MATCH(LOWER(TRIM(K1527)),'Students'!$AH$2:$AH$701,0),IFERROR(MATCH(LOWER(TRIM(K1527)),'Students'!$AF$2:$AF$701,0),IFERROR(MATCH(LOWER(TRIM(K1527)),'Students'!$AG$2:$AG$701,0),""))))</f>
        <v/>
      </c>
      <c r="R1527">
        <f>IF(P1527="","",INDEX('Students'!$AD$2:$AD$701,P1527))</f>
        <v/>
      </c>
      <c r="S1527">
        <f>IF(H1527="OK",O1527,0)</f>
        <v/>
      </c>
      <c r="T1527">
        <f>IF(H1527="OK",N1527,"")</f>
        <v/>
      </c>
      <c r="U1527">
        <f>IF(OC_Donor=0,"",IF(INDEX('OneCause_Paste'!$A$1527:$AZ$1527,1,OC_Donor)="","",INDEX('OneCause_Paste'!$A$1527:$AZ$1527,1,OC_Donor)))</f>
        <v/>
      </c>
    </row>
    <row r="1528">
      <c r="A1528" s="62">
        <f>IF(H1528="","",IF(ISNUMBER(N1528),N1528,I1528))</f>
        <v/>
      </c>
      <c r="B1528">
        <f>IF(H1528="","",U1528)</f>
        <v/>
      </c>
      <c r="C1528">
        <f>IF(H1528="","",IF(P1528="",K1528,INDEX('Students'!$A$2:$A$701,P1528)))</f>
        <v/>
      </c>
      <c r="D1528">
        <f>IF(OR(H1528="",P1528=""),"",INDEX('Students'!$B$2:$B$701,P1528))</f>
        <v/>
      </c>
      <c r="E1528">
        <f>IF(OR(H1528="",P1528=""),"",INDEX('Students'!$C$2:$C$701,P1528))</f>
        <v/>
      </c>
      <c r="F1528" s="48">
        <f>IF(H1528="","",IF(ISNUMBER(O1528),O1528,J1528))</f>
        <v/>
      </c>
      <c r="G1528">
        <f>IF(H1528="","","OneCause")</f>
        <v/>
      </c>
      <c r="H1528">
        <f>IF(AND(I1528="",J1528="",K1528=""),"",IF(NOT(ISNUMBER(O1528)),"Bad amount",IF(O1528&lt;0,"Refund (not counted)",IF(O1528=0,"Zero amount",IF(NOT(ISNUMBER(N1528)),"Bad date",IF(P1528="","NAME NOT ON ROSTER",IF(L1528="","OK",IF(MATCH(L1528,$L$2:$L$3001,0)&lt;ROW()-1,"Duplicate (ignored)","OK"))))))))</f>
        <v/>
      </c>
      <c r="I1528">
        <f>IF(OC_Date=0,"",IF(INDEX('OneCause_Paste'!$A$1528:$AZ$1528,1,OC_Date)="","",INDEX('OneCause_Paste'!$A$1528:$AZ$1528,1,OC_Date)))</f>
        <v/>
      </c>
      <c r="J1528">
        <f>IF(OC_Amt=0,"",IF(INDEX('OneCause_Paste'!$A$1528:$AZ$1528,1,OC_Amt)="","",INDEX('OneCause_Paste'!$A$1528:$AZ$1528,1,OC_Amt)))</f>
        <v/>
      </c>
      <c r="K1528">
        <f>IF(OC_Name=0,"",IF(INDEX('OneCause_Paste'!$A$1528:$AZ$1528,1,OC_Name)="","",INDEX('OneCause_Paste'!$A$1528:$AZ$1528,1,OC_Name)))</f>
        <v/>
      </c>
      <c r="L1528">
        <f>IF(OC_Txn=0,"",IF(INDEX('OneCause_Paste'!$A$1528:$AZ$1528,1,OC_Txn)="","",INDEX('OneCause_Paste'!$A$1528:$AZ$1528,1,OC_Txn)))</f>
        <v/>
      </c>
      <c r="M1528">
        <f>IF(OC_Pay=0,"",IF(INDEX('OneCause_Paste'!$A$1528:$AZ$1528,1,OC_Pay)="","",INDEX('OneCause_Paste'!$A$1528:$AZ$1528,1,OC_Pay)))</f>
        <v/>
      </c>
      <c r="N1528">
        <f>IF(I1528="","",IF(ISNUMBER(I1528),INT(I1528),IFERROR(INT(DATEVALUE(I1528)),IFERROR(INT(VALUE(I1528)),"bad"))))</f>
        <v/>
      </c>
      <c r="O1528">
        <f>IF(J1528="","",IF(ISNUMBER(J1528),ROUND(J1528,2),IFERROR(ROUND(VALUE(SUBSTITUTE(SUBSTITUTE(SUBSTITUTE(J1528,"$",""),",","")," ","")),2),"bad")))</f>
        <v/>
      </c>
      <c r="P1528">
        <f>IF(TRIM(K1528)="","",IFERROR(MATCH(LOWER(TRIM(K1528)),'Students'!$AH$2:$AH$701,0),IFERROR(MATCH(LOWER(TRIM(K1528)),'Students'!$AF$2:$AF$701,0),IFERROR(MATCH(LOWER(TRIM(K1528)),'Students'!$AG$2:$AG$701,0),""))))</f>
        <v/>
      </c>
      <c r="R1528">
        <f>IF(P1528="","",INDEX('Students'!$AD$2:$AD$701,P1528))</f>
        <v/>
      </c>
      <c r="S1528">
        <f>IF(H1528="OK",O1528,0)</f>
        <v/>
      </c>
      <c r="T1528">
        <f>IF(H1528="OK",N1528,"")</f>
        <v/>
      </c>
      <c r="U1528">
        <f>IF(OC_Donor=0,"",IF(INDEX('OneCause_Paste'!$A$1528:$AZ$1528,1,OC_Donor)="","",INDEX('OneCause_Paste'!$A$1528:$AZ$1528,1,OC_Donor)))</f>
        <v/>
      </c>
    </row>
    <row r="1529">
      <c r="A1529" s="62">
        <f>IF(H1529="","",IF(ISNUMBER(N1529),N1529,I1529))</f>
        <v/>
      </c>
      <c r="B1529">
        <f>IF(H1529="","",U1529)</f>
        <v/>
      </c>
      <c r="C1529">
        <f>IF(H1529="","",IF(P1529="",K1529,INDEX('Students'!$A$2:$A$701,P1529)))</f>
        <v/>
      </c>
      <c r="D1529">
        <f>IF(OR(H1529="",P1529=""),"",INDEX('Students'!$B$2:$B$701,P1529))</f>
        <v/>
      </c>
      <c r="E1529">
        <f>IF(OR(H1529="",P1529=""),"",INDEX('Students'!$C$2:$C$701,P1529))</f>
        <v/>
      </c>
      <c r="F1529" s="48">
        <f>IF(H1529="","",IF(ISNUMBER(O1529),O1529,J1529))</f>
        <v/>
      </c>
      <c r="G1529">
        <f>IF(H1529="","","OneCause")</f>
        <v/>
      </c>
      <c r="H1529">
        <f>IF(AND(I1529="",J1529="",K1529=""),"",IF(NOT(ISNUMBER(O1529)),"Bad amount",IF(O1529&lt;0,"Refund (not counted)",IF(O1529=0,"Zero amount",IF(NOT(ISNUMBER(N1529)),"Bad date",IF(P1529="","NAME NOT ON ROSTER",IF(L1529="","OK",IF(MATCH(L1529,$L$2:$L$3001,0)&lt;ROW()-1,"Duplicate (ignored)","OK"))))))))</f>
        <v/>
      </c>
      <c r="I1529">
        <f>IF(OC_Date=0,"",IF(INDEX('OneCause_Paste'!$A$1529:$AZ$1529,1,OC_Date)="","",INDEX('OneCause_Paste'!$A$1529:$AZ$1529,1,OC_Date)))</f>
        <v/>
      </c>
      <c r="J1529">
        <f>IF(OC_Amt=0,"",IF(INDEX('OneCause_Paste'!$A$1529:$AZ$1529,1,OC_Amt)="","",INDEX('OneCause_Paste'!$A$1529:$AZ$1529,1,OC_Amt)))</f>
        <v/>
      </c>
      <c r="K1529">
        <f>IF(OC_Name=0,"",IF(INDEX('OneCause_Paste'!$A$1529:$AZ$1529,1,OC_Name)="","",INDEX('OneCause_Paste'!$A$1529:$AZ$1529,1,OC_Name)))</f>
        <v/>
      </c>
      <c r="L1529">
        <f>IF(OC_Txn=0,"",IF(INDEX('OneCause_Paste'!$A$1529:$AZ$1529,1,OC_Txn)="","",INDEX('OneCause_Paste'!$A$1529:$AZ$1529,1,OC_Txn)))</f>
        <v/>
      </c>
      <c r="M1529">
        <f>IF(OC_Pay=0,"",IF(INDEX('OneCause_Paste'!$A$1529:$AZ$1529,1,OC_Pay)="","",INDEX('OneCause_Paste'!$A$1529:$AZ$1529,1,OC_Pay)))</f>
        <v/>
      </c>
      <c r="N1529">
        <f>IF(I1529="","",IF(ISNUMBER(I1529),INT(I1529),IFERROR(INT(DATEVALUE(I1529)),IFERROR(INT(VALUE(I1529)),"bad"))))</f>
        <v/>
      </c>
      <c r="O1529">
        <f>IF(J1529="","",IF(ISNUMBER(J1529),ROUND(J1529,2),IFERROR(ROUND(VALUE(SUBSTITUTE(SUBSTITUTE(SUBSTITUTE(J1529,"$",""),",","")," ","")),2),"bad")))</f>
        <v/>
      </c>
      <c r="P1529">
        <f>IF(TRIM(K1529)="","",IFERROR(MATCH(LOWER(TRIM(K1529)),'Students'!$AH$2:$AH$701,0),IFERROR(MATCH(LOWER(TRIM(K1529)),'Students'!$AF$2:$AF$701,0),IFERROR(MATCH(LOWER(TRIM(K1529)),'Students'!$AG$2:$AG$701,0),""))))</f>
        <v/>
      </c>
      <c r="R1529">
        <f>IF(P1529="","",INDEX('Students'!$AD$2:$AD$701,P1529))</f>
        <v/>
      </c>
      <c r="S1529">
        <f>IF(H1529="OK",O1529,0)</f>
        <v/>
      </c>
      <c r="T1529">
        <f>IF(H1529="OK",N1529,"")</f>
        <v/>
      </c>
      <c r="U1529">
        <f>IF(OC_Donor=0,"",IF(INDEX('OneCause_Paste'!$A$1529:$AZ$1529,1,OC_Donor)="","",INDEX('OneCause_Paste'!$A$1529:$AZ$1529,1,OC_Donor)))</f>
        <v/>
      </c>
    </row>
    <row r="1530">
      <c r="A1530" s="62">
        <f>IF(H1530="","",IF(ISNUMBER(N1530),N1530,I1530))</f>
        <v/>
      </c>
      <c r="B1530">
        <f>IF(H1530="","",U1530)</f>
        <v/>
      </c>
      <c r="C1530">
        <f>IF(H1530="","",IF(P1530="",K1530,INDEX('Students'!$A$2:$A$701,P1530)))</f>
        <v/>
      </c>
      <c r="D1530">
        <f>IF(OR(H1530="",P1530=""),"",INDEX('Students'!$B$2:$B$701,P1530))</f>
        <v/>
      </c>
      <c r="E1530">
        <f>IF(OR(H1530="",P1530=""),"",INDEX('Students'!$C$2:$C$701,P1530))</f>
        <v/>
      </c>
      <c r="F1530" s="48">
        <f>IF(H1530="","",IF(ISNUMBER(O1530),O1530,J1530))</f>
        <v/>
      </c>
      <c r="G1530">
        <f>IF(H1530="","","OneCause")</f>
        <v/>
      </c>
      <c r="H1530">
        <f>IF(AND(I1530="",J1530="",K1530=""),"",IF(NOT(ISNUMBER(O1530)),"Bad amount",IF(O1530&lt;0,"Refund (not counted)",IF(O1530=0,"Zero amount",IF(NOT(ISNUMBER(N1530)),"Bad date",IF(P1530="","NAME NOT ON ROSTER",IF(L1530="","OK",IF(MATCH(L1530,$L$2:$L$3001,0)&lt;ROW()-1,"Duplicate (ignored)","OK"))))))))</f>
        <v/>
      </c>
      <c r="I1530">
        <f>IF(OC_Date=0,"",IF(INDEX('OneCause_Paste'!$A$1530:$AZ$1530,1,OC_Date)="","",INDEX('OneCause_Paste'!$A$1530:$AZ$1530,1,OC_Date)))</f>
        <v/>
      </c>
      <c r="J1530">
        <f>IF(OC_Amt=0,"",IF(INDEX('OneCause_Paste'!$A$1530:$AZ$1530,1,OC_Amt)="","",INDEX('OneCause_Paste'!$A$1530:$AZ$1530,1,OC_Amt)))</f>
        <v/>
      </c>
      <c r="K1530">
        <f>IF(OC_Name=0,"",IF(INDEX('OneCause_Paste'!$A$1530:$AZ$1530,1,OC_Name)="","",INDEX('OneCause_Paste'!$A$1530:$AZ$1530,1,OC_Name)))</f>
        <v/>
      </c>
      <c r="L1530">
        <f>IF(OC_Txn=0,"",IF(INDEX('OneCause_Paste'!$A$1530:$AZ$1530,1,OC_Txn)="","",INDEX('OneCause_Paste'!$A$1530:$AZ$1530,1,OC_Txn)))</f>
        <v/>
      </c>
      <c r="M1530">
        <f>IF(OC_Pay=0,"",IF(INDEX('OneCause_Paste'!$A$1530:$AZ$1530,1,OC_Pay)="","",INDEX('OneCause_Paste'!$A$1530:$AZ$1530,1,OC_Pay)))</f>
        <v/>
      </c>
      <c r="N1530">
        <f>IF(I1530="","",IF(ISNUMBER(I1530),INT(I1530),IFERROR(INT(DATEVALUE(I1530)),IFERROR(INT(VALUE(I1530)),"bad"))))</f>
        <v/>
      </c>
      <c r="O1530">
        <f>IF(J1530="","",IF(ISNUMBER(J1530),ROUND(J1530,2),IFERROR(ROUND(VALUE(SUBSTITUTE(SUBSTITUTE(SUBSTITUTE(J1530,"$",""),",","")," ","")),2),"bad")))</f>
        <v/>
      </c>
      <c r="P1530">
        <f>IF(TRIM(K1530)="","",IFERROR(MATCH(LOWER(TRIM(K1530)),'Students'!$AH$2:$AH$701,0),IFERROR(MATCH(LOWER(TRIM(K1530)),'Students'!$AF$2:$AF$701,0),IFERROR(MATCH(LOWER(TRIM(K1530)),'Students'!$AG$2:$AG$701,0),""))))</f>
        <v/>
      </c>
      <c r="R1530">
        <f>IF(P1530="","",INDEX('Students'!$AD$2:$AD$701,P1530))</f>
        <v/>
      </c>
      <c r="S1530">
        <f>IF(H1530="OK",O1530,0)</f>
        <v/>
      </c>
      <c r="T1530">
        <f>IF(H1530="OK",N1530,"")</f>
        <v/>
      </c>
      <c r="U1530">
        <f>IF(OC_Donor=0,"",IF(INDEX('OneCause_Paste'!$A$1530:$AZ$1530,1,OC_Donor)="","",INDEX('OneCause_Paste'!$A$1530:$AZ$1530,1,OC_Donor)))</f>
        <v/>
      </c>
    </row>
    <row r="1531">
      <c r="A1531" s="62">
        <f>IF(H1531="","",IF(ISNUMBER(N1531),N1531,I1531))</f>
        <v/>
      </c>
      <c r="B1531">
        <f>IF(H1531="","",U1531)</f>
        <v/>
      </c>
      <c r="C1531">
        <f>IF(H1531="","",IF(P1531="",K1531,INDEX('Students'!$A$2:$A$701,P1531)))</f>
        <v/>
      </c>
      <c r="D1531">
        <f>IF(OR(H1531="",P1531=""),"",INDEX('Students'!$B$2:$B$701,P1531))</f>
        <v/>
      </c>
      <c r="E1531">
        <f>IF(OR(H1531="",P1531=""),"",INDEX('Students'!$C$2:$C$701,P1531))</f>
        <v/>
      </c>
      <c r="F1531" s="48">
        <f>IF(H1531="","",IF(ISNUMBER(O1531),O1531,J1531))</f>
        <v/>
      </c>
      <c r="G1531">
        <f>IF(H1531="","","OneCause")</f>
        <v/>
      </c>
      <c r="H1531">
        <f>IF(AND(I1531="",J1531="",K1531=""),"",IF(NOT(ISNUMBER(O1531)),"Bad amount",IF(O1531&lt;0,"Refund (not counted)",IF(O1531=0,"Zero amount",IF(NOT(ISNUMBER(N1531)),"Bad date",IF(P1531="","NAME NOT ON ROSTER",IF(L1531="","OK",IF(MATCH(L1531,$L$2:$L$3001,0)&lt;ROW()-1,"Duplicate (ignored)","OK"))))))))</f>
        <v/>
      </c>
      <c r="I1531">
        <f>IF(OC_Date=0,"",IF(INDEX('OneCause_Paste'!$A$1531:$AZ$1531,1,OC_Date)="","",INDEX('OneCause_Paste'!$A$1531:$AZ$1531,1,OC_Date)))</f>
        <v/>
      </c>
      <c r="J1531">
        <f>IF(OC_Amt=0,"",IF(INDEX('OneCause_Paste'!$A$1531:$AZ$1531,1,OC_Amt)="","",INDEX('OneCause_Paste'!$A$1531:$AZ$1531,1,OC_Amt)))</f>
        <v/>
      </c>
      <c r="K1531">
        <f>IF(OC_Name=0,"",IF(INDEX('OneCause_Paste'!$A$1531:$AZ$1531,1,OC_Name)="","",INDEX('OneCause_Paste'!$A$1531:$AZ$1531,1,OC_Name)))</f>
        <v/>
      </c>
      <c r="L1531">
        <f>IF(OC_Txn=0,"",IF(INDEX('OneCause_Paste'!$A$1531:$AZ$1531,1,OC_Txn)="","",INDEX('OneCause_Paste'!$A$1531:$AZ$1531,1,OC_Txn)))</f>
        <v/>
      </c>
      <c r="M1531">
        <f>IF(OC_Pay=0,"",IF(INDEX('OneCause_Paste'!$A$1531:$AZ$1531,1,OC_Pay)="","",INDEX('OneCause_Paste'!$A$1531:$AZ$1531,1,OC_Pay)))</f>
        <v/>
      </c>
      <c r="N1531">
        <f>IF(I1531="","",IF(ISNUMBER(I1531),INT(I1531),IFERROR(INT(DATEVALUE(I1531)),IFERROR(INT(VALUE(I1531)),"bad"))))</f>
        <v/>
      </c>
      <c r="O1531">
        <f>IF(J1531="","",IF(ISNUMBER(J1531),ROUND(J1531,2),IFERROR(ROUND(VALUE(SUBSTITUTE(SUBSTITUTE(SUBSTITUTE(J1531,"$",""),",","")," ","")),2),"bad")))</f>
        <v/>
      </c>
      <c r="P1531">
        <f>IF(TRIM(K1531)="","",IFERROR(MATCH(LOWER(TRIM(K1531)),'Students'!$AH$2:$AH$701,0),IFERROR(MATCH(LOWER(TRIM(K1531)),'Students'!$AF$2:$AF$701,0),IFERROR(MATCH(LOWER(TRIM(K1531)),'Students'!$AG$2:$AG$701,0),""))))</f>
        <v/>
      </c>
      <c r="R1531">
        <f>IF(P1531="","",INDEX('Students'!$AD$2:$AD$701,P1531))</f>
        <v/>
      </c>
      <c r="S1531">
        <f>IF(H1531="OK",O1531,0)</f>
        <v/>
      </c>
      <c r="T1531">
        <f>IF(H1531="OK",N1531,"")</f>
        <v/>
      </c>
      <c r="U1531">
        <f>IF(OC_Donor=0,"",IF(INDEX('OneCause_Paste'!$A$1531:$AZ$1531,1,OC_Donor)="","",INDEX('OneCause_Paste'!$A$1531:$AZ$1531,1,OC_Donor)))</f>
        <v/>
      </c>
    </row>
    <row r="1532">
      <c r="A1532" s="62">
        <f>IF(H1532="","",IF(ISNUMBER(N1532),N1532,I1532))</f>
        <v/>
      </c>
      <c r="B1532">
        <f>IF(H1532="","",U1532)</f>
        <v/>
      </c>
      <c r="C1532">
        <f>IF(H1532="","",IF(P1532="",K1532,INDEX('Students'!$A$2:$A$701,P1532)))</f>
        <v/>
      </c>
      <c r="D1532">
        <f>IF(OR(H1532="",P1532=""),"",INDEX('Students'!$B$2:$B$701,P1532))</f>
        <v/>
      </c>
      <c r="E1532">
        <f>IF(OR(H1532="",P1532=""),"",INDEX('Students'!$C$2:$C$701,P1532))</f>
        <v/>
      </c>
      <c r="F1532" s="48">
        <f>IF(H1532="","",IF(ISNUMBER(O1532),O1532,J1532))</f>
        <v/>
      </c>
      <c r="G1532">
        <f>IF(H1532="","","OneCause")</f>
        <v/>
      </c>
      <c r="H1532">
        <f>IF(AND(I1532="",J1532="",K1532=""),"",IF(NOT(ISNUMBER(O1532)),"Bad amount",IF(O1532&lt;0,"Refund (not counted)",IF(O1532=0,"Zero amount",IF(NOT(ISNUMBER(N1532)),"Bad date",IF(P1532="","NAME NOT ON ROSTER",IF(L1532="","OK",IF(MATCH(L1532,$L$2:$L$3001,0)&lt;ROW()-1,"Duplicate (ignored)","OK"))))))))</f>
        <v/>
      </c>
      <c r="I1532">
        <f>IF(OC_Date=0,"",IF(INDEX('OneCause_Paste'!$A$1532:$AZ$1532,1,OC_Date)="","",INDEX('OneCause_Paste'!$A$1532:$AZ$1532,1,OC_Date)))</f>
        <v/>
      </c>
      <c r="J1532">
        <f>IF(OC_Amt=0,"",IF(INDEX('OneCause_Paste'!$A$1532:$AZ$1532,1,OC_Amt)="","",INDEX('OneCause_Paste'!$A$1532:$AZ$1532,1,OC_Amt)))</f>
        <v/>
      </c>
      <c r="K1532">
        <f>IF(OC_Name=0,"",IF(INDEX('OneCause_Paste'!$A$1532:$AZ$1532,1,OC_Name)="","",INDEX('OneCause_Paste'!$A$1532:$AZ$1532,1,OC_Name)))</f>
        <v/>
      </c>
      <c r="L1532">
        <f>IF(OC_Txn=0,"",IF(INDEX('OneCause_Paste'!$A$1532:$AZ$1532,1,OC_Txn)="","",INDEX('OneCause_Paste'!$A$1532:$AZ$1532,1,OC_Txn)))</f>
        <v/>
      </c>
      <c r="M1532">
        <f>IF(OC_Pay=0,"",IF(INDEX('OneCause_Paste'!$A$1532:$AZ$1532,1,OC_Pay)="","",INDEX('OneCause_Paste'!$A$1532:$AZ$1532,1,OC_Pay)))</f>
        <v/>
      </c>
      <c r="N1532">
        <f>IF(I1532="","",IF(ISNUMBER(I1532),INT(I1532),IFERROR(INT(DATEVALUE(I1532)),IFERROR(INT(VALUE(I1532)),"bad"))))</f>
        <v/>
      </c>
      <c r="O1532">
        <f>IF(J1532="","",IF(ISNUMBER(J1532),ROUND(J1532,2),IFERROR(ROUND(VALUE(SUBSTITUTE(SUBSTITUTE(SUBSTITUTE(J1532,"$",""),",","")," ","")),2),"bad")))</f>
        <v/>
      </c>
      <c r="P1532">
        <f>IF(TRIM(K1532)="","",IFERROR(MATCH(LOWER(TRIM(K1532)),'Students'!$AH$2:$AH$701,0),IFERROR(MATCH(LOWER(TRIM(K1532)),'Students'!$AF$2:$AF$701,0),IFERROR(MATCH(LOWER(TRIM(K1532)),'Students'!$AG$2:$AG$701,0),""))))</f>
        <v/>
      </c>
      <c r="R1532">
        <f>IF(P1532="","",INDEX('Students'!$AD$2:$AD$701,P1532))</f>
        <v/>
      </c>
      <c r="S1532">
        <f>IF(H1532="OK",O1532,0)</f>
        <v/>
      </c>
      <c r="T1532">
        <f>IF(H1532="OK",N1532,"")</f>
        <v/>
      </c>
      <c r="U1532">
        <f>IF(OC_Donor=0,"",IF(INDEX('OneCause_Paste'!$A$1532:$AZ$1532,1,OC_Donor)="","",INDEX('OneCause_Paste'!$A$1532:$AZ$1532,1,OC_Donor)))</f>
        <v/>
      </c>
    </row>
    <row r="1533">
      <c r="A1533" s="62">
        <f>IF(H1533="","",IF(ISNUMBER(N1533),N1533,I1533))</f>
        <v/>
      </c>
      <c r="B1533">
        <f>IF(H1533="","",U1533)</f>
        <v/>
      </c>
      <c r="C1533">
        <f>IF(H1533="","",IF(P1533="",K1533,INDEX('Students'!$A$2:$A$701,P1533)))</f>
        <v/>
      </c>
      <c r="D1533">
        <f>IF(OR(H1533="",P1533=""),"",INDEX('Students'!$B$2:$B$701,P1533))</f>
        <v/>
      </c>
      <c r="E1533">
        <f>IF(OR(H1533="",P1533=""),"",INDEX('Students'!$C$2:$C$701,P1533))</f>
        <v/>
      </c>
      <c r="F1533" s="48">
        <f>IF(H1533="","",IF(ISNUMBER(O1533),O1533,J1533))</f>
        <v/>
      </c>
      <c r="G1533">
        <f>IF(H1533="","","OneCause")</f>
        <v/>
      </c>
      <c r="H1533">
        <f>IF(AND(I1533="",J1533="",K1533=""),"",IF(NOT(ISNUMBER(O1533)),"Bad amount",IF(O1533&lt;0,"Refund (not counted)",IF(O1533=0,"Zero amount",IF(NOT(ISNUMBER(N1533)),"Bad date",IF(P1533="","NAME NOT ON ROSTER",IF(L1533="","OK",IF(MATCH(L1533,$L$2:$L$3001,0)&lt;ROW()-1,"Duplicate (ignored)","OK"))))))))</f>
        <v/>
      </c>
      <c r="I1533">
        <f>IF(OC_Date=0,"",IF(INDEX('OneCause_Paste'!$A$1533:$AZ$1533,1,OC_Date)="","",INDEX('OneCause_Paste'!$A$1533:$AZ$1533,1,OC_Date)))</f>
        <v/>
      </c>
      <c r="J1533">
        <f>IF(OC_Amt=0,"",IF(INDEX('OneCause_Paste'!$A$1533:$AZ$1533,1,OC_Amt)="","",INDEX('OneCause_Paste'!$A$1533:$AZ$1533,1,OC_Amt)))</f>
        <v/>
      </c>
      <c r="K1533">
        <f>IF(OC_Name=0,"",IF(INDEX('OneCause_Paste'!$A$1533:$AZ$1533,1,OC_Name)="","",INDEX('OneCause_Paste'!$A$1533:$AZ$1533,1,OC_Name)))</f>
        <v/>
      </c>
      <c r="L1533">
        <f>IF(OC_Txn=0,"",IF(INDEX('OneCause_Paste'!$A$1533:$AZ$1533,1,OC_Txn)="","",INDEX('OneCause_Paste'!$A$1533:$AZ$1533,1,OC_Txn)))</f>
        <v/>
      </c>
      <c r="M1533">
        <f>IF(OC_Pay=0,"",IF(INDEX('OneCause_Paste'!$A$1533:$AZ$1533,1,OC_Pay)="","",INDEX('OneCause_Paste'!$A$1533:$AZ$1533,1,OC_Pay)))</f>
        <v/>
      </c>
      <c r="N1533">
        <f>IF(I1533="","",IF(ISNUMBER(I1533),INT(I1533),IFERROR(INT(DATEVALUE(I1533)),IFERROR(INT(VALUE(I1533)),"bad"))))</f>
        <v/>
      </c>
      <c r="O1533">
        <f>IF(J1533="","",IF(ISNUMBER(J1533),ROUND(J1533,2),IFERROR(ROUND(VALUE(SUBSTITUTE(SUBSTITUTE(SUBSTITUTE(J1533,"$",""),",","")," ","")),2),"bad")))</f>
        <v/>
      </c>
      <c r="P1533">
        <f>IF(TRIM(K1533)="","",IFERROR(MATCH(LOWER(TRIM(K1533)),'Students'!$AH$2:$AH$701,0),IFERROR(MATCH(LOWER(TRIM(K1533)),'Students'!$AF$2:$AF$701,0),IFERROR(MATCH(LOWER(TRIM(K1533)),'Students'!$AG$2:$AG$701,0),""))))</f>
        <v/>
      </c>
      <c r="R1533">
        <f>IF(P1533="","",INDEX('Students'!$AD$2:$AD$701,P1533))</f>
        <v/>
      </c>
      <c r="S1533">
        <f>IF(H1533="OK",O1533,0)</f>
        <v/>
      </c>
      <c r="T1533">
        <f>IF(H1533="OK",N1533,"")</f>
        <v/>
      </c>
      <c r="U1533">
        <f>IF(OC_Donor=0,"",IF(INDEX('OneCause_Paste'!$A$1533:$AZ$1533,1,OC_Donor)="","",INDEX('OneCause_Paste'!$A$1533:$AZ$1533,1,OC_Donor)))</f>
        <v/>
      </c>
    </row>
    <row r="1534">
      <c r="A1534" s="62">
        <f>IF(H1534="","",IF(ISNUMBER(N1534),N1534,I1534))</f>
        <v/>
      </c>
      <c r="B1534">
        <f>IF(H1534="","",U1534)</f>
        <v/>
      </c>
      <c r="C1534">
        <f>IF(H1534="","",IF(P1534="",K1534,INDEX('Students'!$A$2:$A$701,P1534)))</f>
        <v/>
      </c>
      <c r="D1534">
        <f>IF(OR(H1534="",P1534=""),"",INDEX('Students'!$B$2:$B$701,P1534))</f>
        <v/>
      </c>
      <c r="E1534">
        <f>IF(OR(H1534="",P1534=""),"",INDEX('Students'!$C$2:$C$701,P1534))</f>
        <v/>
      </c>
      <c r="F1534" s="48">
        <f>IF(H1534="","",IF(ISNUMBER(O1534),O1534,J1534))</f>
        <v/>
      </c>
      <c r="G1534">
        <f>IF(H1534="","","OneCause")</f>
        <v/>
      </c>
      <c r="H1534">
        <f>IF(AND(I1534="",J1534="",K1534=""),"",IF(NOT(ISNUMBER(O1534)),"Bad amount",IF(O1534&lt;0,"Refund (not counted)",IF(O1534=0,"Zero amount",IF(NOT(ISNUMBER(N1534)),"Bad date",IF(P1534="","NAME NOT ON ROSTER",IF(L1534="","OK",IF(MATCH(L1534,$L$2:$L$3001,0)&lt;ROW()-1,"Duplicate (ignored)","OK"))))))))</f>
        <v/>
      </c>
      <c r="I1534">
        <f>IF(OC_Date=0,"",IF(INDEX('OneCause_Paste'!$A$1534:$AZ$1534,1,OC_Date)="","",INDEX('OneCause_Paste'!$A$1534:$AZ$1534,1,OC_Date)))</f>
        <v/>
      </c>
      <c r="J1534">
        <f>IF(OC_Amt=0,"",IF(INDEX('OneCause_Paste'!$A$1534:$AZ$1534,1,OC_Amt)="","",INDEX('OneCause_Paste'!$A$1534:$AZ$1534,1,OC_Amt)))</f>
        <v/>
      </c>
      <c r="K1534">
        <f>IF(OC_Name=0,"",IF(INDEX('OneCause_Paste'!$A$1534:$AZ$1534,1,OC_Name)="","",INDEX('OneCause_Paste'!$A$1534:$AZ$1534,1,OC_Name)))</f>
        <v/>
      </c>
      <c r="L1534">
        <f>IF(OC_Txn=0,"",IF(INDEX('OneCause_Paste'!$A$1534:$AZ$1534,1,OC_Txn)="","",INDEX('OneCause_Paste'!$A$1534:$AZ$1534,1,OC_Txn)))</f>
        <v/>
      </c>
      <c r="M1534">
        <f>IF(OC_Pay=0,"",IF(INDEX('OneCause_Paste'!$A$1534:$AZ$1534,1,OC_Pay)="","",INDEX('OneCause_Paste'!$A$1534:$AZ$1534,1,OC_Pay)))</f>
        <v/>
      </c>
      <c r="N1534">
        <f>IF(I1534="","",IF(ISNUMBER(I1534),INT(I1534),IFERROR(INT(DATEVALUE(I1534)),IFERROR(INT(VALUE(I1534)),"bad"))))</f>
        <v/>
      </c>
      <c r="O1534">
        <f>IF(J1534="","",IF(ISNUMBER(J1534),ROUND(J1534,2),IFERROR(ROUND(VALUE(SUBSTITUTE(SUBSTITUTE(SUBSTITUTE(J1534,"$",""),",","")," ","")),2),"bad")))</f>
        <v/>
      </c>
      <c r="P1534">
        <f>IF(TRIM(K1534)="","",IFERROR(MATCH(LOWER(TRIM(K1534)),'Students'!$AH$2:$AH$701,0),IFERROR(MATCH(LOWER(TRIM(K1534)),'Students'!$AF$2:$AF$701,0),IFERROR(MATCH(LOWER(TRIM(K1534)),'Students'!$AG$2:$AG$701,0),""))))</f>
        <v/>
      </c>
      <c r="R1534">
        <f>IF(P1534="","",INDEX('Students'!$AD$2:$AD$701,P1534))</f>
        <v/>
      </c>
      <c r="S1534">
        <f>IF(H1534="OK",O1534,0)</f>
        <v/>
      </c>
      <c r="T1534">
        <f>IF(H1534="OK",N1534,"")</f>
        <v/>
      </c>
      <c r="U1534">
        <f>IF(OC_Donor=0,"",IF(INDEX('OneCause_Paste'!$A$1534:$AZ$1534,1,OC_Donor)="","",INDEX('OneCause_Paste'!$A$1534:$AZ$1534,1,OC_Donor)))</f>
        <v/>
      </c>
    </row>
    <row r="1535">
      <c r="A1535" s="62">
        <f>IF(H1535="","",IF(ISNUMBER(N1535),N1535,I1535))</f>
        <v/>
      </c>
      <c r="B1535">
        <f>IF(H1535="","",U1535)</f>
        <v/>
      </c>
      <c r="C1535">
        <f>IF(H1535="","",IF(P1535="",K1535,INDEX('Students'!$A$2:$A$701,P1535)))</f>
        <v/>
      </c>
      <c r="D1535">
        <f>IF(OR(H1535="",P1535=""),"",INDEX('Students'!$B$2:$B$701,P1535))</f>
        <v/>
      </c>
      <c r="E1535">
        <f>IF(OR(H1535="",P1535=""),"",INDEX('Students'!$C$2:$C$701,P1535))</f>
        <v/>
      </c>
      <c r="F1535" s="48">
        <f>IF(H1535="","",IF(ISNUMBER(O1535),O1535,J1535))</f>
        <v/>
      </c>
      <c r="G1535">
        <f>IF(H1535="","","OneCause")</f>
        <v/>
      </c>
      <c r="H1535">
        <f>IF(AND(I1535="",J1535="",K1535=""),"",IF(NOT(ISNUMBER(O1535)),"Bad amount",IF(O1535&lt;0,"Refund (not counted)",IF(O1535=0,"Zero amount",IF(NOT(ISNUMBER(N1535)),"Bad date",IF(P1535="","NAME NOT ON ROSTER",IF(L1535="","OK",IF(MATCH(L1535,$L$2:$L$3001,0)&lt;ROW()-1,"Duplicate (ignored)","OK"))))))))</f>
        <v/>
      </c>
      <c r="I1535">
        <f>IF(OC_Date=0,"",IF(INDEX('OneCause_Paste'!$A$1535:$AZ$1535,1,OC_Date)="","",INDEX('OneCause_Paste'!$A$1535:$AZ$1535,1,OC_Date)))</f>
        <v/>
      </c>
      <c r="J1535">
        <f>IF(OC_Amt=0,"",IF(INDEX('OneCause_Paste'!$A$1535:$AZ$1535,1,OC_Amt)="","",INDEX('OneCause_Paste'!$A$1535:$AZ$1535,1,OC_Amt)))</f>
        <v/>
      </c>
      <c r="K1535">
        <f>IF(OC_Name=0,"",IF(INDEX('OneCause_Paste'!$A$1535:$AZ$1535,1,OC_Name)="","",INDEX('OneCause_Paste'!$A$1535:$AZ$1535,1,OC_Name)))</f>
        <v/>
      </c>
      <c r="L1535">
        <f>IF(OC_Txn=0,"",IF(INDEX('OneCause_Paste'!$A$1535:$AZ$1535,1,OC_Txn)="","",INDEX('OneCause_Paste'!$A$1535:$AZ$1535,1,OC_Txn)))</f>
        <v/>
      </c>
      <c r="M1535">
        <f>IF(OC_Pay=0,"",IF(INDEX('OneCause_Paste'!$A$1535:$AZ$1535,1,OC_Pay)="","",INDEX('OneCause_Paste'!$A$1535:$AZ$1535,1,OC_Pay)))</f>
        <v/>
      </c>
      <c r="N1535">
        <f>IF(I1535="","",IF(ISNUMBER(I1535),INT(I1535),IFERROR(INT(DATEVALUE(I1535)),IFERROR(INT(VALUE(I1535)),"bad"))))</f>
        <v/>
      </c>
      <c r="O1535">
        <f>IF(J1535="","",IF(ISNUMBER(J1535),ROUND(J1535,2),IFERROR(ROUND(VALUE(SUBSTITUTE(SUBSTITUTE(SUBSTITUTE(J1535,"$",""),",","")," ","")),2),"bad")))</f>
        <v/>
      </c>
      <c r="P1535">
        <f>IF(TRIM(K1535)="","",IFERROR(MATCH(LOWER(TRIM(K1535)),'Students'!$AH$2:$AH$701,0),IFERROR(MATCH(LOWER(TRIM(K1535)),'Students'!$AF$2:$AF$701,0),IFERROR(MATCH(LOWER(TRIM(K1535)),'Students'!$AG$2:$AG$701,0),""))))</f>
        <v/>
      </c>
      <c r="R1535">
        <f>IF(P1535="","",INDEX('Students'!$AD$2:$AD$701,P1535))</f>
        <v/>
      </c>
      <c r="S1535">
        <f>IF(H1535="OK",O1535,0)</f>
        <v/>
      </c>
      <c r="T1535">
        <f>IF(H1535="OK",N1535,"")</f>
        <v/>
      </c>
      <c r="U1535">
        <f>IF(OC_Donor=0,"",IF(INDEX('OneCause_Paste'!$A$1535:$AZ$1535,1,OC_Donor)="","",INDEX('OneCause_Paste'!$A$1535:$AZ$1535,1,OC_Donor)))</f>
        <v/>
      </c>
    </row>
    <row r="1536">
      <c r="A1536" s="62">
        <f>IF(H1536="","",IF(ISNUMBER(N1536),N1536,I1536))</f>
        <v/>
      </c>
      <c r="B1536">
        <f>IF(H1536="","",U1536)</f>
        <v/>
      </c>
      <c r="C1536">
        <f>IF(H1536="","",IF(P1536="",K1536,INDEX('Students'!$A$2:$A$701,P1536)))</f>
        <v/>
      </c>
      <c r="D1536">
        <f>IF(OR(H1536="",P1536=""),"",INDEX('Students'!$B$2:$B$701,P1536))</f>
        <v/>
      </c>
      <c r="E1536">
        <f>IF(OR(H1536="",P1536=""),"",INDEX('Students'!$C$2:$C$701,P1536))</f>
        <v/>
      </c>
      <c r="F1536" s="48">
        <f>IF(H1536="","",IF(ISNUMBER(O1536),O1536,J1536))</f>
        <v/>
      </c>
      <c r="G1536">
        <f>IF(H1536="","","OneCause")</f>
        <v/>
      </c>
      <c r="H1536">
        <f>IF(AND(I1536="",J1536="",K1536=""),"",IF(NOT(ISNUMBER(O1536)),"Bad amount",IF(O1536&lt;0,"Refund (not counted)",IF(O1536=0,"Zero amount",IF(NOT(ISNUMBER(N1536)),"Bad date",IF(P1536="","NAME NOT ON ROSTER",IF(L1536="","OK",IF(MATCH(L1536,$L$2:$L$3001,0)&lt;ROW()-1,"Duplicate (ignored)","OK"))))))))</f>
        <v/>
      </c>
      <c r="I1536">
        <f>IF(OC_Date=0,"",IF(INDEX('OneCause_Paste'!$A$1536:$AZ$1536,1,OC_Date)="","",INDEX('OneCause_Paste'!$A$1536:$AZ$1536,1,OC_Date)))</f>
        <v/>
      </c>
      <c r="J1536">
        <f>IF(OC_Amt=0,"",IF(INDEX('OneCause_Paste'!$A$1536:$AZ$1536,1,OC_Amt)="","",INDEX('OneCause_Paste'!$A$1536:$AZ$1536,1,OC_Amt)))</f>
        <v/>
      </c>
      <c r="K1536">
        <f>IF(OC_Name=0,"",IF(INDEX('OneCause_Paste'!$A$1536:$AZ$1536,1,OC_Name)="","",INDEX('OneCause_Paste'!$A$1536:$AZ$1536,1,OC_Name)))</f>
        <v/>
      </c>
      <c r="L1536">
        <f>IF(OC_Txn=0,"",IF(INDEX('OneCause_Paste'!$A$1536:$AZ$1536,1,OC_Txn)="","",INDEX('OneCause_Paste'!$A$1536:$AZ$1536,1,OC_Txn)))</f>
        <v/>
      </c>
      <c r="M1536">
        <f>IF(OC_Pay=0,"",IF(INDEX('OneCause_Paste'!$A$1536:$AZ$1536,1,OC_Pay)="","",INDEX('OneCause_Paste'!$A$1536:$AZ$1536,1,OC_Pay)))</f>
        <v/>
      </c>
      <c r="N1536">
        <f>IF(I1536="","",IF(ISNUMBER(I1536),INT(I1536),IFERROR(INT(DATEVALUE(I1536)),IFERROR(INT(VALUE(I1536)),"bad"))))</f>
        <v/>
      </c>
      <c r="O1536">
        <f>IF(J1536="","",IF(ISNUMBER(J1536),ROUND(J1536,2),IFERROR(ROUND(VALUE(SUBSTITUTE(SUBSTITUTE(SUBSTITUTE(J1536,"$",""),",","")," ","")),2),"bad")))</f>
        <v/>
      </c>
      <c r="P1536">
        <f>IF(TRIM(K1536)="","",IFERROR(MATCH(LOWER(TRIM(K1536)),'Students'!$AH$2:$AH$701,0),IFERROR(MATCH(LOWER(TRIM(K1536)),'Students'!$AF$2:$AF$701,0),IFERROR(MATCH(LOWER(TRIM(K1536)),'Students'!$AG$2:$AG$701,0),""))))</f>
        <v/>
      </c>
      <c r="R1536">
        <f>IF(P1536="","",INDEX('Students'!$AD$2:$AD$701,P1536))</f>
        <v/>
      </c>
      <c r="S1536">
        <f>IF(H1536="OK",O1536,0)</f>
        <v/>
      </c>
      <c r="T1536">
        <f>IF(H1536="OK",N1536,"")</f>
        <v/>
      </c>
      <c r="U1536">
        <f>IF(OC_Donor=0,"",IF(INDEX('OneCause_Paste'!$A$1536:$AZ$1536,1,OC_Donor)="","",INDEX('OneCause_Paste'!$A$1536:$AZ$1536,1,OC_Donor)))</f>
        <v/>
      </c>
    </row>
    <row r="1537">
      <c r="A1537" s="62">
        <f>IF(H1537="","",IF(ISNUMBER(N1537),N1537,I1537))</f>
        <v/>
      </c>
      <c r="B1537">
        <f>IF(H1537="","",U1537)</f>
        <v/>
      </c>
      <c r="C1537">
        <f>IF(H1537="","",IF(P1537="",K1537,INDEX('Students'!$A$2:$A$701,P1537)))</f>
        <v/>
      </c>
      <c r="D1537">
        <f>IF(OR(H1537="",P1537=""),"",INDEX('Students'!$B$2:$B$701,P1537))</f>
        <v/>
      </c>
      <c r="E1537">
        <f>IF(OR(H1537="",P1537=""),"",INDEX('Students'!$C$2:$C$701,P1537))</f>
        <v/>
      </c>
      <c r="F1537" s="48">
        <f>IF(H1537="","",IF(ISNUMBER(O1537),O1537,J1537))</f>
        <v/>
      </c>
      <c r="G1537">
        <f>IF(H1537="","","OneCause")</f>
        <v/>
      </c>
      <c r="H1537">
        <f>IF(AND(I1537="",J1537="",K1537=""),"",IF(NOT(ISNUMBER(O1537)),"Bad amount",IF(O1537&lt;0,"Refund (not counted)",IF(O1537=0,"Zero amount",IF(NOT(ISNUMBER(N1537)),"Bad date",IF(P1537="","NAME NOT ON ROSTER",IF(L1537="","OK",IF(MATCH(L1537,$L$2:$L$3001,0)&lt;ROW()-1,"Duplicate (ignored)","OK"))))))))</f>
        <v/>
      </c>
      <c r="I1537">
        <f>IF(OC_Date=0,"",IF(INDEX('OneCause_Paste'!$A$1537:$AZ$1537,1,OC_Date)="","",INDEX('OneCause_Paste'!$A$1537:$AZ$1537,1,OC_Date)))</f>
        <v/>
      </c>
      <c r="J1537">
        <f>IF(OC_Amt=0,"",IF(INDEX('OneCause_Paste'!$A$1537:$AZ$1537,1,OC_Amt)="","",INDEX('OneCause_Paste'!$A$1537:$AZ$1537,1,OC_Amt)))</f>
        <v/>
      </c>
      <c r="K1537">
        <f>IF(OC_Name=0,"",IF(INDEX('OneCause_Paste'!$A$1537:$AZ$1537,1,OC_Name)="","",INDEX('OneCause_Paste'!$A$1537:$AZ$1537,1,OC_Name)))</f>
        <v/>
      </c>
      <c r="L1537">
        <f>IF(OC_Txn=0,"",IF(INDEX('OneCause_Paste'!$A$1537:$AZ$1537,1,OC_Txn)="","",INDEX('OneCause_Paste'!$A$1537:$AZ$1537,1,OC_Txn)))</f>
        <v/>
      </c>
      <c r="M1537">
        <f>IF(OC_Pay=0,"",IF(INDEX('OneCause_Paste'!$A$1537:$AZ$1537,1,OC_Pay)="","",INDEX('OneCause_Paste'!$A$1537:$AZ$1537,1,OC_Pay)))</f>
        <v/>
      </c>
      <c r="N1537">
        <f>IF(I1537="","",IF(ISNUMBER(I1537),INT(I1537),IFERROR(INT(DATEVALUE(I1537)),IFERROR(INT(VALUE(I1537)),"bad"))))</f>
        <v/>
      </c>
      <c r="O1537">
        <f>IF(J1537="","",IF(ISNUMBER(J1537),ROUND(J1537,2),IFERROR(ROUND(VALUE(SUBSTITUTE(SUBSTITUTE(SUBSTITUTE(J1537,"$",""),",","")," ","")),2),"bad")))</f>
        <v/>
      </c>
      <c r="P1537">
        <f>IF(TRIM(K1537)="","",IFERROR(MATCH(LOWER(TRIM(K1537)),'Students'!$AH$2:$AH$701,0),IFERROR(MATCH(LOWER(TRIM(K1537)),'Students'!$AF$2:$AF$701,0),IFERROR(MATCH(LOWER(TRIM(K1537)),'Students'!$AG$2:$AG$701,0),""))))</f>
        <v/>
      </c>
      <c r="R1537">
        <f>IF(P1537="","",INDEX('Students'!$AD$2:$AD$701,P1537))</f>
        <v/>
      </c>
      <c r="S1537">
        <f>IF(H1537="OK",O1537,0)</f>
        <v/>
      </c>
      <c r="T1537">
        <f>IF(H1537="OK",N1537,"")</f>
        <v/>
      </c>
      <c r="U1537">
        <f>IF(OC_Donor=0,"",IF(INDEX('OneCause_Paste'!$A$1537:$AZ$1537,1,OC_Donor)="","",INDEX('OneCause_Paste'!$A$1537:$AZ$1537,1,OC_Donor)))</f>
        <v/>
      </c>
    </row>
    <row r="1538">
      <c r="A1538" s="62">
        <f>IF(H1538="","",IF(ISNUMBER(N1538),N1538,I1538))</f>
        <v/>
      </c>
      <c r="B1538">
        <f>IF(H1538="","",U1538)</f>
        <v/>
      </c>
      <c r="C1538">
        <f>IF(H1538="","",IF(P1538="",K1538,INDEX('Students'!$A$2:$A$701,P1538)))</f>
        <v/>
      </c>
      <c r="D1538">
        <f>IF(OR(H1538="",P1538=""),"",INDEX('Students'!$B$2:$B$701,P1538))</f>
        <v/>
      </c>
      <c r="E1538">
        <f>IF(OR(H1538="",P1538=""),"",INDEX('Students'!$C$2:$C$701,P1538))</f>
        <v/>
      </c>
      <c r="F1538" s="48">
        <f>IF(H1538="","",IF(ISNUMBER(O1538),O1538,J1538))</f>
        <v/>
      </c>
      <c r="G1538">
        <f>IF(H1538="","","OneCause")</f>
        <v/>
      </c>
      <c r="H1538">
        <f>IF(AND(I1538="",J1538="",K1538=""),"",IF(NOT(ISNUMBER(O1538)),"Bad amount",IF(O1538&lt;0,"Refund (not counted)",IF(O1538=0,"Zero amount",IF(NOT(ISNUMBER(N1538)),"Bad date",IF(P1538="","NAME NOT ON ROSTER",IF(L1538="","OK",IF(MATCH(L1538,$L$2:$L$3001,0)&lt;ROW()-1,"Duplicate (ignored)","OK"))))))))</f>
        <v/>
      </c>
      <c r="I1538">
        <f>IF(OC_Date=0,"",IF(INDEX('OneCause_Paste'!$A$1538:$AZ$1538,1,OC_Date)="","",INDEX('OneCause_Paste'!$A$1538:$AZ$1538,1,OC_Date)))</f>
        <v/>
      </c>
      <c r="J1538">
        <f>IF(OC_Amt=0,"",IF(INDEX('OneCause_Paste'!$A$1538:$AZ$1538,1,OC_Amt)="","",INDEX('OneCause_Paste'!$A$1538:$AZ$1538,1,OC_Amt)))</f>
        <v/>
      </c>
      <c r="K1538">
        <f>IF(OC_Name=0,"",IF(INDEX('OneCause_Paste'!$A$1538:$AZ$1538,1,OC_Name)="","",INDEX('OneCause_Paste'!$A$1538:$AZ$1538,1,OC_Name)))</f>
        <v/>
      </c>
      <c r="L1538">
        <f>IF(OC_Txn=0,"",IF(INDEX('OneCause_Paste'!$A$1538:$AZ$1538,1,OC_Txn)="","",INDEX('OneCause_Paste'!$A$1538:$AZ$1538,1,OC_Txn)))</f>
        <v/>
      </c>
      <c r="M1538">
        <f>IF(OC_Pay=0,"",IF(INDEX('OneCause_Paste'!$A$1538:$AZ$1538,1,OC_Pay)="","",INDEX('OneCause_Paste'!$A$1538:$AZ$1538,1,OC_Pay)))</f>
        <v/>
      </c>
      <c r="N1538">
        <f>IF(I1538="","",IF(ISNUMBER(I1538),INT(I1538),IFERROR(INT(DATEVALUE(I1538)),IFERROR(INT(VALUE(I1538)),"bad"))))</f>
        <v/>
      </c>
      <c r="O1538">
        <f>IF(J1538="","",IF(ISNUMBER(J1538),ROUND(J1538,2),IFERROR(ROUND(VALUE(SUBSTITUTE(SUBSTITUTE(SUBSTITUTE(J1538,"$",""),",","")," ","")),2),"bad")))</f>
        <v/>
      </c>
      <c r="P1538">
        <f>IF(TRIM(K1538)="","",IFERROR(MATCH(LOWER(TRIM(K1538)),'Students'!$AH$2:$AH$701,0),IFERROR(MATCH(LOWER(TRIM(K1538)),'Students'!$AF$2:$AF$701,0),IFERROR(MATCH(LOWER(TRIM(K1538)),'Students'!$AG$2:$AG$701,0),""))))</f>
        <v/>
      </c>
      <c r="R1538">
        <f>IF(P1538="","",INDEX('Students'!$AD$2:$AD$701,P1538))</f>
        <v/>
      </c>
      <c r="S1538">
        <f>IF(H1538="OK",O1538,0)</f>
        <v/>
      </c>
      <c r="T1538">
        <f>IF(H1538="OK",N1538,"")</f>
        <v/>
      </c>
      <c r="U1538">
        <f>IF(OC_Donor=0,"",IF(INDEX('OneCause_Paste'!$A$1538:$AZ$1538,1,OC_Donor)="","",INDEX('OneCause_Paste'!$A$1538:$AZ$1538,1,OC_Donor)))</f>
        <v/>
      </c>
    </row>
    <row r="1539">
      <c r="A1539" s="62">
        <f>IF(H1539="","",IF(ISNUMBER(N1539),N1539,I1539))</f>
        <v/>
      </c>
      <c r="B1539">
        <f>IF(H1539="","",U1539)</f>
        <v/>
      </c>
      <c r="C1539">
        <f>IF(H1539="","",IF(P1539="",K1539,INDEX('Students'!$A$2:$A$701,P1539)))</f>
        <v/>
      </c>
      <c r="D1539">
        <f>IF(OR(H1539="",P1539=""),"",INDEX('Students'!$B$2:$B$701,P1539))</f>
        <v/>
      </c>
      <c r="E1539">
        <f>IF(OR(H1539="",P1539=""),"",INDEX('Students'!$C$2:$C$701,P1539))</f>
        <v/>
      </c>
      <c r="F1539" s="48">
        <f>IF(H1539="","",IF(ISNUMBER(O1539),O1539,J1539))</f>
        <v/>
      </c>
      <c r="G1539">
        <f>IF(H1539="","","OneCause")</f>
        <v/>
      </c>
      <c r="H1539">
        <f>IF(AND(I1539="",J1539="",K1539=""),"",IF(NOT(ISNUMBER(O1539)),"Bad amount",IF(O1539&lt;0,"Refund (not counted)",IF(O1539=0,"Zero amount",IF(NOT(ISNUMBER(N1539)),"Bad date",IF(P1539="","NAME NOT ON ROSTER",IF(L1539="","OK",IF(MATCH(L1539,$L$2:$L$3001,0)&lt;ROW()-1,"Duplicate (ignored)","OK"))))))))</f>
        <v/>
      </c>
      <c r="I1539">
        <f>IF(OC_Date=0,"",IF(INDEX('OneCause_Paste'!$A$1539:$AZ$1539,1,OC_Date)="","",INDEX('OneCause_Paste'!$A$1539:$AZ$1539,1,OC_Date)))</f>
        <v/>
      </c>
      <c r="J1539">
        <f>IF(OC_Amt=0,"",IF(INDEX('OneCause_Paste'!$A$1539:$AZ$1539,1,OC_Amt)="","",INDEX('OneCause_Paste'!$A$1539:$AZ$1539,1,OC_Amt)))</f>
        <v/>
      </c>
      <c r="K1539">
        <f>IF(OC_Name=0,"",IF(INDEX('OneCause_Paste'!$A$1539:$AZ$1539,1,OC_Name)="","",INDEX('OneCause_Paste'!$A$1539:$AZ$1539,1,OC_Name)))</f>
        <v/>
      </c>
      <c r="L1539">
        <f>IF(OC_Txn=0,"",IF(INDEX('OneCause_Paste'!$A$1539:$AZ$1539,1,OC_Txn)="","",INDEX('OneCause_Paste'!$A$1539:$AZ$1539,1,OC_Txn)))</f>
        <v/>
      </c>
      <c r="M1539">
        <f>IF(OC_Pay=0,"",IF(INDEX('OneCause_Paste'!$A$1539:$AZ$1539,1,OC_Pay)="","",INDEX('OneCause_Paste'!$A$1539:$AZ$1539,1,OC_Pay)))</f>
        <v/>
      </c>
      <c r="N1539">
        <f>IF(I1539="","",IF(ISNUMBER(I1539),INT(I1539),IFERROR(INT(DATEVALUE(I1539)),IFERROR(INT(VALUE(I1539)),"bad"))))</f>
        <v/>
      </c>
      <c r="O1539">
        <f>IF(J1539="","",IF(ISNUMBER(J1539),ROUND(J1539,2),IFERROR(ROUND(VALUE(SUBSTITUTE(SUBSTITUTE(SUBSTITUTE(J1539,"$",""),",","")," ","")),2),"bad")))</f>
        <v/>
      </c>
      <c r="P1539">
        <f>IF(TRIM(K1539)="","",IFERROR(MATCH(LOWER(TRIM(K1539)),'Students'!$AH$2:$AH$701,0),IFERROR(MATCH(LOWER(TRIM(K1539)),'Students'!$AF$2:$AF$701,0),IFERROR(MATCH(LOWER(TRIM(K1539)),'Students'!$AG$2:$AG$701,0),""))))</f>
        <v/>
      </c>
      <c r="R1539">
        <f>IF(P1539="","",INDEX('Students'!$AD$2:$AD$701,P1539))</f>
        <v/>
      </c>
      <c r="S1539">
        <f>IF(H1539="OK",O1539,0)</f>
        <v/>
      </c>
      <c r="T1539">
        <f>IF(H1539="OK",N1539,"")</f>
        <v/>
      </c>
      <c r="U1539">
        <f>IF(OC_Donor=0,"",IF(INDEX('OneCause_Paste'!$A$1539:$AZ$1539,1,OC_Donor)="","",INDEX('OneCause_Paste'!$A$1539:$AZ$1539,1,OC_Donor)))</f>
        <v/>
      </c>
    </row>
    <row r="1540">
      <c r="A1540" s="62">
        <f>IF(H1540="","",IF(ISNUMBER(N1540),N1540,I1540))</f>
        <v/>
      </c>
      <c r="B1540">
        <f>IF(H1540="","",U1540)</f>
        <v/>
      </c>
      <c r="C1540">
        <f>IF(H1540="","",IF(P1540="",K1540,INDEX('Students'!$A$2:$A$701,P1540)))</f>
        <v/>
      </c>
      <c r="D1540">
        <f>IF(OR(H1540="",P1540=""),"",INDEX('Students'!$B$2:$B$701,P1540))</f>
        <v/>
      </c>
      <c r="E1540">
        <f>IF(OR(H1540="",P1540=""),"",INDEX('Students'!$C$2:$C$701,P1540))</f>
        <v/>
      </c>
      <c r="F1540" s="48">
        <f>IF(H1540="","",IF(ISNUMBER(O1540),O1540,J1540))</f>
        <v/>
      </c>
      <c r="G1540">
        <f>IF(H1540="","","OneCause")</f>
        <v/>
      </c>
      <c r="H1540">
        <f>IF(AND(I1540="",J1540="",K1540=""),"",IF(NOT(ISNUMBER(O1540)),"Bad amount",IF(O1540&lt;0,"Refund (not counted)",IF(O1540=0,"Zero amount",IF(NOT(ISNUMBER(N1540)),"Bad date",IF(P1540="","NAME NOT ON ROSTER",IF(L1540="","OK",IF(MATCH(L1540,$L$2:$L$3001,0)&lt;ROW()-1,"Duplicate (ignored)","OK"))))))))</f>
        <v/>
      </c>
      <c r="I1540">
        <f>IF(OC_Date=0,"",IF(INDEX('OneCause_Paste'!$A$1540:$AZ$1540,1,OC_Date)="","",INDEX('OneCause_Paste'!$A$1540:$AZ$1540,1,OC_Date)))</f>
        <v/>
      </c>
      <c r="J1540">
        <f>IF(OC_Amt=0,"",IF(INDEX('OneCause_Paste'!$A$1540:$AZ$1540,1,OC_Amt)="","",INDEX('OneCause_Paste'!$A$1540:$AZ$1540,1,OC_Amt)))</f>
        <v/>
      </c>
      <c r="K1540">
        <f>IF(OC_Name=0,"",IF(INDEX('OneCause_Paste'!$A$1540:$AZ$1540,1,OC_Name)="","",INDEX('OneCause_Paste'!$A$1540:$AZ$1540,1,OC_Name)))</f>
        <v/>
      </c>
      <c r="L1540">
        <f>IF(OC_Txn=0,"",IF(INDEX('OneCause_Paste'!$A$1540:$AZ$1540,1,OC_Txn)="","",INDEX('OneCause_Paste'!$A$1540:$AZ$1540,1,OC_Txn)))</f>
        <v/>
      </c>
      <c r="M1540">
        <f>IF(OC_Pay=0,"",IF(INDEX('OneCause_Paste'!$A$1540:$AZ$1540,1,OC_Pay)="","",INDEX('OneCause_Paste'!$A$1540:$AZ$1540,1,OC_Pay)))</f>
        <v/>
      </c>
      <c r="N1540">
        <f>IF(I1540="","",IF(ISNUMBER(I1540),INT(I1540),IFERROR(INT(DATEVALUE(I1540)),IFERROR(INT(VALUE(I1540)),"bad"))))</f>
        <v/>
      </c>
      <c r="O1540">
        <f>IF(J1540="","",IF(ISNUMBER(J1540),ROUND(J1540,2),IFERROR(ROUND(VALUE(SUBSTITUTE(SUBSTITUTE(SUBSTITUTE(J1540,"$",""),",","")," ","")),2),"bad")))</f>
        <v/>
      </c>
      <c r="P1540">
        <f>IF(TRIM(K1540)="","",IFERROR(MATCH(LOWER(TRIM(K1540)),'Students'!$AH$2:$AH$701,0),IFERROR(MATCH(LOWER(TRIM(K1540)),'Students'!$AF$2:$AF$701,0),IFERROR(MATCH(LOWER(TRIM(K1540)),'Students'!$AG$2:$AG$701,0),""))))</f>
        <v/>
      </c>
      <c r="R1540">
        <f>IF(P1540="","",INDEX('Students'!$AD$2:$AD$701,P1540))</f>
        <v/>
      </c>
      <c r="S1540">
        <f>IF(H1540="OK",O1540,0)</f>
        <v/>
      </c>
      <c r="T1540">
        <f>IF(H1540="OK",N1540,"")</f>
        <v/>
      </c>
      <c r="U1540">
        <f>IF(OC_Donor=0,"",IF(INDEX('OneCause_Paste'!$A$1540:$AZ$1540,1,OC_Donor)="","",INDEX('OneCause_Paste'!$A$1540:$AZ$1540,1,OC_Donor)))</f>
        <v/>
      </c>
    </row>
    <row r="1541">
      <c r="A1541" s="62">
        <f>IF(H1541="","",IF(ISNUMBER(N1541),N1541,I1541))</f>
        <v/>
      </c>
      <c r="B1541">
        <f>IF(H1541="","",U1541)</f>
        <v/>
      </c>
      <c r="C1541">
        <f>IF(H1541="","",IF(P1541="",K1541,INDEX('Students'!$A$2:$A$701,P1541)))</f>
        <v/>
      </c>
      <c r="D1541">
        <f>IF(OR(H1541="",P1541=""),"",INDEX('Students'!$B$2:$B$701,P1541))</f>
        <v/>
      </c>
      <c r="E1541">
        <f>IF(OR(H1541="",P1541=""),"",INDEX('Students'!$C$2:$C$701,P1541))</f>
        <v/>
      </c>
      <c r="F1541" s="48">
        <f>IF(H1541="","",IF(ISNUMBER(O1541),O1541,J1541))</f>
        <v/>
      </c>
      <c r="G1541">
        <f>IF(H1541="","","OneCause")</f>
        <v/>
      </c>
      <c r="H1541">
        <f>IF(AND(I1541="",J1541="",K1541=""),"",IF(NOT(ISNUMBER(O1541)),"Bad amount",IF(O1541&lt;0,"Refund (not counted)",IF(O1541=0,"Zero amount",IF(NOT(ISNUMBER(N1541)),"Bad date",IF(P1541="","NAME NOT ON ROSTER",IF(L1541="","OK",IF(MATCH(L1541,$L$2:$L$3001,0)&lt;ROW()-1,"Duplicate (ignored)","OK"))))))))</f>
        <v/>
      </c>
      <c r="I1541">
        <f>IF(OC_Date=0,"",IF(INDEX('OneCause_Paste'!$A$1541:$AZ$1541,1,OC_Date)="","",INDEX('OneCause_Paste'!$A$1541:$AZ$1541,1,OC_Date)))</f>
        <v/>
      </c>
      <c r="J1541">
        <f>IF(OC_Amt=0,"",IF(INDEX('OneCause_Paste'!$A$1541:$AZ$1541,1,OC_Amt)="","",INDEX('OneCause_Paste'!$A$1541:$AZ$1541,1,OC_Amt)))</f>
        <v/>
      </c>
      <c r="K1541">
        <f>IF(OC_Name=0,"",IF(INDEX('OneCause_Paste'!$A$1541:$AZ$1541,1,OC_Name)="","",INDEX('OneCause_Paste'!$A$1541:$AZ$1541,1,OC_Name)))</f>
        <v/>
      </c>
      <c r="L1541">
        <f>IF(OC_Txn=0,"",IF(INDEX('OneCause_Paste'!$A$1541:$AZ$1541,1,OC_Txn)="","",INDEX('OneCause_Paste'!$A$1541:$AZ$1541,1,OC_Txn)))</f>
        <v/>
      </c>
      <c r="M1541">
        <f>IF(OC_Pay=0,"",IF(INDEX('OneCause_Paste'!$A$1541:$AZ$1541,1,OC_Pay)="","",INDEX('OneCause_Paste'!$A$1541:$AZ$1541,1,OC_Pay)))</f>
        <v/>
      </c>
      <c r="N1541">
        <f>IF(I1541="","",IF(ISNUMBER(I1541),INT(I1541),IFERROR(INT(DATEVALUE(I1541)),IFERROR(INT(VALUE(I1541)),"bad"))))</f>
        <v/>
      </c>
      <c r="O1541">
        <f>IF(J1541="","",IF(ISNUMBER(J1541),ROUND(J1541,2),IFERROR(ROUND(VALUE(SUBSTITUTE(SUBSTITUTE(SUBSTITUTE(J1541,"$",""),",","")," ","")),2),"bad")))</f>
        <v/>
      </c>
      <c r="P1541">
        <f>IF(TRIM(K1541)="","",IFERROR(MATCH(LOWER(TRIM(K1541)),'Students'!$AH$2:$AH$701,0),IFERROR(MATCH(LOWER(TRIM(K1541)),'Students'!$AF$2:$AF$701,0),IFERROR(MATCH(LOWER(TRIM(K1541)),'Students'!$AG$2:$AG$701,0),""))))</f>
        <v/>
      </c>
      <c r="R1541">
        <f>IF(P1541="","",INDEX('Students'!$AD$2:$AD$701,P1541))</f>
        <v/>
      </c>
      <c r="S1541">
        <f>IF(H1541="OK",O1541,0)</f>
        <v/>
      </c>
      <c r="T1541">
        <f>IF(H1541="OK",N1541,"")</f>
        <v/>
      </c>
      <c r="U1541">
        <f>IF(OC_Donor=0,"",IF(INDEX('OneCause_Paste'!$A$1541:$AZ$1541,1,OC_Donor)="","",INDEX('OneCause_Paste'!$A$1541:$AZ$1541,1,OC_Donor)))</f>
        <v/>
      </c>
    </row>
    <row r="1542">
      <c r="A1542" s="62">
        <f>IF(H1542="","",IF(ISNUMBER(N1542),N1542,I1542))</f>
        <v/>
      </c>
      <c r="B1542">
        <f>IF(H1542="","",U1542)</f>
        <v/>
      </c>
      <c r="C1542">
        <f>IF(H1542="","",IF(P1542="",K1542,INDEX('Students'!$A$2:$A$701,P1542)))</f>
        <v/>
      </c>
      <c r="D1542">
        <f>IF(OR(H1542="",P1542=""),"",INDEX('Students'!$B$2:$B$701,P1542))</f>
        <v/>
      </c>
      <c r="E1542">
        <f>IF(OR(H1542="",P1542=""),"",INDEX('Students'!$C$2:$C$701,P1542))</f>
        <v/>
      </c>
      <c r="F1542" s="48">
        <f>IF(H1542="","",IF(ISNUMBER(O1542),O1542,J1542))</f>
        <v/>
      </c>
      <c r="G1542">
        <f>IF(H1542="","","OneCause")</f>
        <v/>
      </c>
      <c r="H1542">
        <f>IF(AND(I1542="",J1542="",K1542=""),"",IF(NOT(ISNUMBER(O1542)),"Bad amount",IF(O1542&lt;0,"Refund (not counted)",IF(O1542=0,"Zero amount",IF(NOT(ISNUMBER(N1542)),"Bad date",IF(P1542="","NAME NOT ON ROSTER",IF(L1542="","OK",IF(MATCH(L1542,$L$2:$L$3001,0)&lt;ROW()-1,"Duplicate (ignored)","OK"))))))))</f>
        <v/>
      </c>
      <c r="I1542">
        <f>IF(OC_Date=0,"",IF(INDEX('OneCause_Paste'!$A$1542:$AZ$1542,1,OC_Date)="","",INDEX('OneCause_Paste'!$A$1542:$AZ$1542,1,OC_Date)))</f>
        <v/>
      </c>
      <c r="J1542">
        <f>IF(OC_Amt=0,"",IF(INDEX('OneCause_Paste'!$A$1542:$AZ$1542,1,OC_Amt)="","",INDEX('OneCause_Paste'!$A$1542:$AZ$1542,1,OC_Amt)))</f>
        <v/>
      </c>
      <c r="K1542">
        <f>IF(OC_Name=0,"",IF(INDEX('OneCause_Paste'!$A$1542:$AZ$1542,1,OC_Name)="","",INDEX('OneCause_Paste'!$A$1542:$AZ$1542,1,OC_Name)))</f>
        <v/>
      </c>
      <c r="L1542">
        <f>IF(OC_Txn=0,"",IF(INDEX('OneCause_Paste'!$A$1542:$AZ$1542,1,OC_Txn)="","",INDEX('OneCause_Paste'!$A$1542:$AZ$1542,1,OC_Txn)))</f>
        <v/>
      </c>
      <c r="M1542">
        <f>IF(OC_Pay=0,"",IF(INDEX('OneCause_Paste'!$A$1542:$AZ$1542,1,OC_Pay)="","",INDEX('OneCause_Paste'!$A$1542:$AZ$1542,1,OC_Pay)))</f>
        <v/>
      </c>
      <c r="N1542">
        <f>IF(I1542="","",IF(ISNUMBER(I1542),INT(I1542),IFERROR(INT(DATEVALUE(I1542)),IFERROR(INT(VALUE(I1542)),"bad"))))</f>
        <v/>
      </c>
      <c r="O1542">
        <f>IF(J1542="","",IF(ISNUMBER(J1542),ROUND(J1542,2),IFERROR(ROUND(VALUE(SUBSTITUTE(SUBSTITUTE(SUBSTITUTE(J1542,"$",""),",","")," ","")),2),"bad")))</f>
        <v/>
      </c>
      <c r="P1542">
        <f>IF(TRIM(K1542)="","",IFERROR(MATCH(LOWER(TRIM(K1542)),'Students'!$AH$2:$AH$701,0),IFERROR(MATCH(LOWER(TRIM(K1542)),'Students'!$AF$2:$AF$701,0),IFERROR(MATCH(LOWER(TRIM(K1542)),'Students'!$AG$2:$AG$701,0),""))))</f>
        <v/>
      </c>
      <c r="R1542">
        <f>IF(P1542="","",INDEX('Students'!$AD$2:$AD$701,P1542))</f>
        <v/>
      </c>
      <c r="S1542">
        <f>IF(H1542="OK",O1542,0)</f>
        <v/>
      </c>
      <c r="T1542">
        <f>IF(H1542="OK",N1542,"")</f>
        <v/>
      </c>
      <c r="U1542">
        <f>IF(OC_Donor=0,"",IF(INDEX('OneCause_Paste'!$A$1542:$AZ$1542,1,OC_Donor)="","",INDEX('OneCause_Paste'!$A$1542:$AZ$1542,1,OC_Donor)))</f>
        <v/>
      </c>
    </row>
    <row r="1543">
      <c r="A1543" s="62">
        <f>IF(H1543="","",IF(ISNUMBER(N1543),N1543,I1543))</f>
        <v/>
      </c>
      <c r="B1543">
        <f>IF(H1543="","",U1543)</f>
        <v/>
      </c>
      <c r="C1543">
        <f>IF(H1543="","",IF(P1543="",K1543,INDEX('Students'!$A$2:$A$701,P1543)))</f>
        <v/>
      </c>
      <c r="D1543">
        <f>IF(OR(H1543="",P1543=""),"",INDEX('Students'!$B$2:$B$701,P1543))</f>
        <v/>
      </c>
      <c r="E1543">
        <f>IF(OR(H1543="",P1543=""),"",INDEX('Students'!$C$2:$C$701,P1543))</f>
        <v/>
      </c>
      <c r="F1543" s="48">
        <f>IF(H1543="","",IF(ISNUMBER(O1543),O1543,J1543))</f>
        <v/>
      </c>
      <c r="G1543">
        <f>IF(H1543="","","OneCause")</f>
        <v/>
      </c>
      <c r="H1543">
        <f>IF(AND(I1543="",J1543="",K1543=""),"",IF(NOT(ISNUMBER(O1543)),"Bad amount",IF(O1543&lt;0,"Refund (not counted)",IF(O1543=0,"Zero amount",IF(NOT(ISNUMBER(N1543)),"Bad date",IF(P1543="","NAME NOT ON ROSTER",IF(L1543="","OK",IF(MATCH(L1543,$L$2:$L$3001,0)&lt;ROW()-1,"Duplicate (ignored)","OK"))))))))</f>
        <v/>
      </c>
      <c r="I1543">
        <f>IF(OC_Date=0,"",IF(INDEX('OneCause_Paste'!$A$1543:$AZ$1543,1,OC_Date)="","",INDEX('OneCause_Paste'!$A$1543:$AZ$1543,1,OC_Date)))</f>
        <v/>
      </c>
      <c r="J1543">
        <f>IF(OC_Amt=0,"",IF(INDEX('OneCause_Paste'!$A$1543:$AZ$1543,1,OC_Amt)="","",INDEX('OneCause_Paste'!$A$1543:$AZ$1543,1,OC_Amt)))</f>
        <v/>
      </c>
      <c r="K1543">
        <f>IF(OC_Name=0,"",IF(INDEX('OneCause_Paste'!$A$1543:$AZ$1543,1,OC_Name)="","",INDEX('OneCause_Paste'!$A$1543:$AZ$1543,1,OC_Name)))</f>
        <v/>
      </c>
      <c r="L1543">
        <f>IF(OC_Txn=0,"",IF(INDEX('OneCause_Paste'!$A$1543:$AZ$1543,1,OC_Txn)="","",INDEX('OneCause_Paste'!$A$1543:$AZ$1543,1,OC_Txn)))</f>
        <v/>
      </c>
      <c r="M1543">
        <f>IF(OC_Pay=0,"",IF(INDEX('OneCause_Paste'!$A$1543:$AZ$1543,1,OC_Pay)="","",INDEX('OneCause_Paste'!$A$1543:$AZ$1543,1,OC_Pay)))</f>
        <v/>
      </c>
      <c r="N1543">
        <f>IF(I1543="","",IF(ISNUMBER(I1543),INT(I1543),IFERROR(INT(DATEVALUE(I1543)),IFERROR(INT(VALUE(I1543)),"bad"))))</f>
        <v/>
      </c>
      <c r="O1543">
        <f>IF(J1543="","",IF(ISNUMBER(J1543),ROUND(J1543,2),IFERROR(ROUND(VALUE(SUBSTITUTE(SUBSTITUTE(SUBSTITUTE(J1543,"$",""),",","")," ","")),2),"bad")))</f>
        <v/>
      </c>
      <c r="P1543">
        <f>IF(TRIM(K1543)="","",IFERROR(MATCH(LOWER(TRIM(K1543)),'Students'!$AH$2:$AH$701,0),IFERROR(MATCH(LOWER(TRIM(K1543)),'Students'!$AF$2:$AF$701,0),IFERROR(MATCH(LOWER(TRIM(K1543)),'Students'!$AG$2:$AG$701,0),""))))</f>
        <v/>
      </c>
      <c r="R1543">
        <f>IF(P1543="","",INDEX('Students'!$AD$2:$AD$701,P1543))</f>
        <v/>
      </c>
      <c r="S1543">
        <f>IF(H1543="OK",O1543,0)</f>
        <v/>
      </c>
      <c r="T1543">
        <f>IF(H1543="OK",N1543,"")</f>
        <v/>
      </c>
      <c r="U1543">
        <f>IF(OC_Donor=0,"",IF(INDEX('OneCause_Paste'!$A$1543:$AZ$1543,1,OC_Donor)="","",INDEX('OneCause_Paste'!$A$1543:$AZ$1543,1,OC_Donor)))</f>
        <v/>
      </c>
    </row>
    <row r="1544">
      <c r="A1544" s="62">
        <f>IF(H1544="","",IF(ISNUMBER(N1544),N1544,I1544))</f>
        <v/>
      </c>
      <c r="B1544">
        <f>IF(H1544="","",U1544)</f>
        <v/>
      </c>
      <c r="C1544">
        <f>IF(H1544="","",IF(P1544="",K1544,INDEX('Students'!$A$2:$A$701,P1544)))</f>
        <v/>
      </c>
      <c r="D1544">
        <f>IF(OR(H1544="",P1544=""),"",INDEX('Students'!$B$2:$B$701,P1544))</f>
        <v/>
      </c>
      <c r="E1544">
        <f>IF(OR(H1544="",P1544=""),"",INDEX('Students'!$C$2:$C$701,P1544))</f>
        <v/>
      </c>
      <c r="F1544" s="48">
        <f>IF(H1544="","",IF(ISNUMBER(O1544),O1544,J1544))</f>
        <v/>
      </c>
      <c r="G1544">
        <f>IF(H1544="","","OneCause")</f>
        <v/>
      </c>
      <c r="H1544">
        <f>IF(AND(I1544="",J1544="",K1544=""),"",IF(NOT(ISNUMBER(O1544)),"Bad amount",IF(O1544&lt;0,"Refund (not counted)",IF(O1544=0,"Zero amount",IF(NOT(ISNUMBER(N1544)),"Bad date",IF(P1544="","NAME NOT ON ROSTER",IF(L1544="","OK",IF(MATCH(L1544,$L$2:$L$3001,0)&lt;ROW()-1,"Duplicate (ignored)","OK"))))))))</f>
        <v/>
      </c>
      <c r="I1544">
        <f>IF(OC_Date=0,"",IF(INDEX('OneCause_Paste'!$A$1544:$AZ$1544,1,OC_Date)="","",INDEX('OneCause_Paste'!$A$1544:$AZ$1544,1,OC_Date)))</f>
        <v/>
      </c>
      <c r="J1544">
        <f>IF(OC_Amt=0,"",IF(INDEX('OneCause_Paste'!$A$1544:$AZ$1544,1,OC_Amt)="","",INDEX('OneCause_Paste'!$A$1544:$AZ$1544,1,OC_Amt)))</f>
        <v/>
      </c>
      <c r="K1544">
        <f>IF(OC_Name=0,"",IF(INDEX('OneCause_Paste'!$A$1544:$AZ$1544,1,OC_Name)="","",INDEX('OneCause_Paste'!$A$1544:$AZ$1544,1,OC_Name)))</f>
        <v/>
      </c>
      <c r="L1544">
        <f>IF(OC_Txn=0,"",IF(INDEX('OneCause_Paste'!$A$1544:$AZ$1544,1,OC_Txn)="","",INDEX('OneCause_Paste'!$A$1544:$AZ$1544,1,OC_Txn)))</f>
        <v/>
      </c>
      <c r="M1544">
        <f>IF(OC_Pay=0,"",IF(INDEX('OneCause_Paste'!$A$1544:$AZ$1544,1,OC_Pay)="","",INDEX('OneCause_Paste'!$A$1544:$AZ$1544,1,OC_Pay)))</f>
        <v/>
      </c>
      <c r="N1544">
        <f>IF(I1544="","",IF(ISNUMBER(I1544),INT(I1544),IFERROR(INT(DATEVALUE(I1544)),IFERROR(INT(VALUE(I1544)),"bad"))))</f>
        <v/>
      </c>
      <c r="O1544">
        <f>IF(J1544="","",IF(ISNUMBER(J1544),ROUND(J1544,2),IFERROR(ROUND(VALUE(SUBSTITUTE(SUBSTITUTE(SUBSTITUTE(J1544,"$",""),",","")," ","")),2),"bad")))</f>
        <v/>
      </c>
      <c r="P1544">
        <f>IF(TRIM(K1544)="","",IFERROR(MATCH(LOWER(TRIM(K1544)),'Students'!$AH$2:$AH$701,0),IFERROR(MATCH(LOWER(TRIM(K1544)),'Students'!$AF$2:$AF$701,0),IFERROR(MATCH(LOWER(TRIM(K1544)),'Students'!$AG$2:$AG$701,0),""))))</f>
        <v/>
      </c>
      <c r="R1544">
        <f>IF(P1544="","",INDEX('Students'!$AD$2:$AD$701,P1544))</f>
        <v/>
      </c>
      <c r="S1544">
        <f>IF(H1544="OK",O1544,0)</f>
        <v/>
      </c>
      <c r="T1544">
        <f>IF(H1544="OK",N1544,"")</f>
        <v/>
      </c>
      <c r="U1544">
        <f>IF(OC_Donor=0,"",IF(INDEX('OneCause_Paste'!$A$1544:$AZ$1544,1,OC_Donor)="","",INDEX('OneCause_Paste'!$A$1544:$AZ$1544,1,OC_Donor)))</f>
        <v/>
      </c>
    </row>
    <row r="1545">
      <c r="A1545" s="62">
        <f>IF(H1545="","",IF(ISNUMBER(N1545),N1545,I1545))</f>
        <v/>
      </c>
      <c r="B1545">
        <f>IF(H1545="","",U1545)</f>
        <v/>
      </c>
      <c r="C1545">
        <f>IF(H1545="","",IF(P1545="",K1545,INDEX('Students'!$A$2:$A$701,P1545)))</f>
        <v/>
      </c>
      <c r="D1545">
        <f>IF(OR(H1545="",P1545=""),"",INDEX('Students'!$B$2:$B$701,P1545))</f>
        <v/>
      </c>
      <c r="E1545">
        <f>IF(OR(H1545="",P1545=""),"",INDEX('Students'!$C$2:$C$701,P1545))</f>
        <v/>
      </c>
      <c r="F1545" s="48">
        <f>IF(H1545="","",IF(ISNUMBER(O1545),O1545,J1545))</f>
        <v/>
      </c>
      <c r="G1545">
        <f>IF(H1545="","","OneCause")</f>
        <v/>
      </c>
      <c r="H1545">
        <f>IF(AND(I1545="",J1545="",K1545=""),"",IF(NOT(ISNUMBER(O1545)),"Bad amount",IF(O1545&lt;0,"Refund (not counted)",IF(O1545=0,"Zero amount",IF(NOT(ISNUMBER(N1545)),"Bad date",IF(P1545="","NAME NOT ON ROSTER",IF(L1545="","OK",IF(MATCH(L1545,$L$2:$L$3001,0)&lt;ROW()-1,"Duplicate (ignored)","OK"))))))))</f>
        <v/>
      </c>
      <c r="I1545">
        <f>IF(OC_Date=0,"",IF(INDEX('OneCause_Paste'!$A$1545:$AZ$1545,1,OC_Date)="","",INDEX('OneCause_Paste'!$A$1545:$AZ$1545,1,OC_Date)))</f>
        <v/>
      </c>
      <c r="J1545">
        <f>IF(OC_Amt=0,"",IF(INDEX('OneCause_Paste'!$A$1545:$AZ$1545,1,OC_Amt)="","",INDEX('OneCause_Paste'!$A$1545:$AZ$1545,1,OC_Amt)))</f>
        <v/>
      </c>
      <c r="K1545">
        <f>IF(OC_Name=0,"",IF(INDEX('OneCause_Paste'!$A$1545:$AZ$1545,1,OC_Name)="","",INDEX('OneCause_Paste'!$A$1545:$AZ$1545,1,OC_Name)))</f>
        <v/>
      </c>
      <c r="L1545">
        <f>IF(OC_Txn=0,"",IF(INDEX('OneCause_Paste'!$A$1545:$AZ$1545,1,OC_Txn)="","",INDEX('OneCause_Paste'!$A$1545:$AZ$1545,1,OC_Txn)))</f>
        <v/>
      </c>
      <c r="M1545">
        <f>IF(OC_Pay=0,"",IF(INDEX('OneCause_Paste'!$A$1545:$AZ$1545,1,OC_Pay)="","",INDEX('OneCause_Paste'!$A$1545:$AZ$1545,1,OC_Pay)))</f>
        <v/>
      </c>
      <c r="N1545">
        <f>IF(I1545="","",IF(ISNUMBER(I1545),INT(I1545),IFERROR(INT(DATEVALUE(I1545)),IFERROR(INT(VALUE(I1545)),"bad"))))</f>
        <v/>
      </c>
      <c r="O1545">
        <f>IF(J1545="","",IF(ISNUMBER(J1545),ROUND(J1545,2),IFERROR(ROUND(VALUE(SUBSTITUTE(SUBSTITUTE(SUBSTITUTE(J1545,"$",""),",","")," ","")),2),"bad")))</f>
        <v/>
      </c>
      <c r="P1545">
        <f>IF(TRIM(K1545)="","",IFERROR(MATCH(LOWER(TRIM(K1545)),'Students'!$AH$2:$AH$701,0),IFERROR(MATCH(LOWER(TRIM(K1545)),'Students'!$AF$2:$AF$701,0),IFERROR(MATCH(LOWER(TRIM(K1545)),'Students'!$AG$2:$AG$701,0),""))))</f>
        <v/>
      </c>
      <c r="R1545">
        <f>IF(P1545="","",INDEX('Students'!$AD$2:$AD$701,P1545))</f>
        <v/>
      </c>
      <c r="S1545">
        <f>IF(H1545="OK",O1545,0)</f>
        <v/>
      </c>
      <c r="T1545">
        <f>IF(H1545="OK",N1545,"")</f>
        <v/>
      </c>
      <c r="U1545">
        <f>IF(OC_Donor=0,"",IF(INDEX('OneCause_Paste'!$A$1545:$AZ$1545,1,OC_Donor)="","",INDEX('OneCause_Paste'!$A$1545:$AZ$1545,1,OC_Donor)))</f>
        <v/>
      </c>
    </row>
    <row r="1546">
      <c r="A1546" s="62">
        <f>IF(H1546="","",IF(ISNUMBER(N1546),N1546,I1546))</f>
        <v/>
      </c>
      <c r="B1546">
        <f>IF(H1546="","",U1546)</f>
        <v/>
      </c>
      <c r="C1546">
        <f>IF(H1546="","",IF(P1546="",K1546,INDEX('Students'!$A$2:$A$701,P1546)))</f>
        <v/>
      </c>
      <c r="D1546">
        <f>IF(OR(H1546="",P1546=""),"",INDEX('Students'!$B$2:$B$701,P1546))</f>
        <v/>
      </c>
      <c r="E1546">
        <f>IF(OR(H1546="",P1546=""),"",INDEX('Students'!$C$2:$C$701,P1546))</f>
        <v/>
      </c>
      <c r="F1546" s="48">
        <f>IF(H1546="","",IF(ISNUMBER(O1546),O1546,J1546))</f>
        <v/>
      </c>
      <c r="G1546">
        <f>IF(H1546="","","OneCause")</f>
        <v/>
      </c>
      <c r="H1546">
        <f>IF(AND(I1546="",J1546="",K1546=""),"",IF(NOT(ISNUMBER(O1546)),"Bad amount",IF(O1546&lt;0,"Refund (not counted)",IF(O1546=0,"Zero amount",IF(NOT(ISNUMBER(N1546)),"Bad date",IF(P1546="","NAME NOT ON ROSTER",IF(L1546="","OK",IF(MATCH(L1546,$L$2:$L$3001,0)&lt;ROW()-1,"Duplicate (ignored)","OK"))))))))</f>
        <v/>
      </c>
      <c r="I1546">
        <f>IF(OC_Date=0,"",IF(INDEX('OneCause_Paste'!$A$1546:$AZ$1546,1,OC_Date)="","",INDEX('OneCause_Paste'!$A$1546:$AZ$1546,1,OC_Date)))</f>
        <v/>
      </c>
      <c r="J1546">
        <f>IF(OC_Amt=0,"",IF(INDEX('OneCause_Paste'!$A$1546:$AZ$1546,1,OC_Amt)="","",INDEX('OneCause_Paste'!$A$1546:$AZ$1546,1,OC_Amt)))</f>
        <v/>
      </c>
      <c r="K1546">
        <f>IF(OC_Name=0,"",IF(INDEX('OneCause_Paste'!$A$1546:$AZ$1546,1,OC_Name)="","",INDEX('OneCause_Paste'!$A$1546:$AZ$1546,1,OC_Name)))</f>
        <v/>
      </c>
      <c r="L1546">
        <f>IF(OC_Txn=0,"",IF(INDEX('OneCause_Paste'!$A$1546:$AZ$1546,1,OC_Txn)="","",INDEX('OneCause_Paste'!$A$1546:$AZ$1546,1,OC_Txn)))</f>
        <v/>
      </c>
      <c r="M1546">
        <f>IF(OC_Pay=0,"",IF(INDEX('OneCause_Paste'!$A$1546:$AZ$1546,1,OC_Pay)="","",INDEX('OneCause_Paste'!$A$1546:$AZ$1546,1,OC_Pay)))</f>
        <v/>
      </c>
      <c r="N1546">
        <f>IF(I1546="","",IF(ISNUMBER(I1546),INT(I1546),IFERROR(INT(DATEVALUE(I1546)),IFERROR(INT(VALUE(I1546)),"bad"))))</f>
        <v/>
      </c>
      <c r="O1546">
        <f>IF(J1546="","",IF(ISNUMBER(J1546),ROUND(J1546,2),IFERROR(ROUND(VALUE(SUBSTITUTE(SUBSTITUTE(SUBSTITUTE(J1546,"$",""),",","")," ","")),2),"bad")))</f>
        <v/>
      </c>
      <c r="P1546">
        <f>IF(TRIM(K1546)="","",IFERROR(MATCH(LOWER(TRIM(K1546)),'Students'!$AH$2:$AH$701,0),IFERROR(MATCH(LOWER(TRIM(K1546)),'Students'!$AF$2:$AF$701,0),IFERROR(MATCH(LOWER(TRIM(K1546)),'Students'!$AG$2:$AG$701,0),""))))</f>
        <v/>
      </c>
      <c r="R1546">
        <f>IF(P1546="","",INDEX('Students'!$AD$2:$AD$701,P1546))</f>
        <v/>
      </c>
      <c r="S1546">
        <f>IF(H1546="OK",O1546,0)</f>
        <v/>
      </c>
      <c r="T1546">
        <f>IF(H1546="OK",N1546,"")</f>
        <v/>
      </c>
      <c r="U1546">
        <f>IF(OC_Donor=0,"",IF(INDEX('OneCause_Paste'!$A$1546:$AZ$1546,1,OC_Donor)="","",INDEX('OneCause_Paste'!$A$1546:$AZ$1546,1,OC_Donor)))</f>
        <v/>
      </c>
    </row>
    <row r="1547">
      <c r="A1547" s="62">
        <f>IF(H1547="","",IF(ISNUMBER(N1547),N1547,I1547))</f>
        <v/>
      </c>
      <c r="B1547">
        <f>IF(H1547="","",U1547)</f>
        <v/>
      </c>
      <c r="C1547">
        <f>IF(H1547="","",IF(P1547="",K1547,INDEX('Students'!$A$2:$A$701,P1547)))</f>
        <v/>
      </c>
      <c r="D1547">
        <f>IF(OR(H1547="",P1547=""),"",INDEX('Students'!$B$2:$B$701,P1547))</f>
        <v/>
      </c>
      <c r="E1547">
        <f>IF(OR(H1547="",P1547=""),"",INDEX('Students'!$C$2:$C$701,P1547))</f>
        <v/>
      </c>
      <c r="F1547" s="48">
        <f>IF(H1547="","",IF(ISNUMBER(O1547),O1547,J1547))</f>
        <v/>
      </c>
      <c r="G1547">
        <f>IF(H1547="","","OneCause")</f>
        <v/>
      </c>
      <c r="H1547">
        <f>IF(AND(I1547="",J1547="",K1547=""),"",IF(NOT(ISNUMBER(O1547)),"Bad amount",IF(O1547&lt;0,"Refund (not counted)",IF(O1547=0,"Zero amount",IF(NOT(ISNUMBER(N1547)),"Bad date",IF(P1547="","NAME NOT ON ROSTER",IF(L1547="","OK",IF(MATCH(L1547,$L$2:$L$3001,0)&lt;ROW()-1,"Duplicate (ignored)","OK"))))))))</f>
        <v/>
      </c>
      <c r="I1547">
        <f>IF(OC_Date=0,"",IF(INDEX('OneCause_Paste'!$A$1547:$AZ$1547,1,OC_Date)="","",INDEX('OneCause_Paste'!$A$1547:$AZ$1547,1,OC_Date)))</f>
        <v/>
      </c>
      <c r="J1547">
        <f>IF(OC_Amt=0,"",IF(INDEX('OneCause_Paste'!$A$1547:$AZ$1547,1,OC_Amt)="","",INDEX('OneCause_Paste'!$A$1547:$AZ$1547,1,OC_Amt)))</f>
        <v/>
      </c>
      <c r="K1547">
        <f>IF(OC_Name=0,"",IF(INDEX('OneCause_Paste'!$A$1547:$AZ$1547,1,OC_Name)="","",INDEX('OneCause_Paste'!$A$1547:$AZ$1547,1,OC_Name)))</f>
        <v/>
      </c>
      <c r="L1547">
        <f>IF(OC_Txn=0,"",IF(INDEX('OneCause_Paste'!$A$1547:$AZ$1547,1,OC_Txn)="","",INDEX('OneCause_Paste'!$A$1547:$AZ$1547,1,OC_Txn)))</f>
        <v/>
      </c>
      <c r="M1547">
        <f>IF(OC_Pay=0,"",IF(INDEX('OneCause_Paste'!$A$1547:$AZ$1547,1,OC_Pay)="","",INDEX('OneCause_Paste'!$A$1547:$AZ$1547,1,OC_Pay)))</f>
        <v/>
      </c>
      <c r="N1547">
        <f>IF(I1547="","",IF(ISNUMBER(I1547),INT(I1547),IFERROR(INT(DATEVALUE(I1547)),IFERROR(INT(VALUE(I1547)),"bad"))))</f>
        <v/>
      </c>
      <c r="O1547">
        <f>IF(J1547="","",IF(ISNUMBER(J1547),ROUND(J1547,2),IFERROR(ROUND(VALUE(SUBSTITUTE(SUBSTITUTE(SUBSTITUTE(J1547,"$",""),",","")," ","")),2),"bad")))</f>
        <v/>
      </c>
      <c r="P1547">
        <f>IF(TRIM(K1547)="","",IFERROR(MATCH(LOWER(TRIM(K1547)),'Students'!$AH$2:$AH$701,0),IFERROR(MATCH(LOWER(TRIM(K1547)),'Students'!$AF$2:$AF$701,0),IFERROR(MATCH(LOWER(TRIM(K1547)),'Students'!$AG$2:$AG$701,0),""))))</f>
        <v/>
      </c>
      <c r="R1547">
        <f>IF(P1547="","",INDEX('Students'!$AD$2:$AD$701,P1547))</f>
        <v/>
      </c>
      <c r="S1547">
        <f>IF(H1547="OK",O1547,0)</f>
        <v/>
      </c>
      <c r="T1547">
        <f>IF(H1547="OK",N1547,"")</f>
        <v/>
      </c>
      <c r="U1547">
        <f>IF(OC_Donor=0,"",IF(INDEX('OneCause_Paste'!$A$1547:$AZ$1547,1,OC_Donor)="","",INDEX('OneCause_Paste'!$A$1547:$AZ$1547,1,OC_Donor)))</f>
        <v/>
      </c>
    </row>
    <row r="1548">
      <c r="A1548" s="62">
        <f>IF(H1548="","",IF(ISNUMBER(N1548),N1548,I1548))</f>
        <v/>
      </c>
      <c r="B1548">
        <f>IF(H1548="","",U1548)</f>
        <v/>
      </c>
      <c r="C1548">
        <f>IF(H1548="","",IF(P1548="",K1548,INDEX('Students'!$A$2:$A$701,P1548)))</f>
        <v/>
      </c>
      <c r="D1548">
        <f>IF(OR(H1548="",P1548=""),"",INDEX('Students'!$B$2:$B$701,P1548))</f>
        <v/>
      </c>
      <c r="E1548">
        <f>IF(OR(H1548="",P1548=""),"",INDEX('Students'!$C$2:$C$701,P1548))</f>
        <v/>
      </c>
      <c r="F1548" s="48">
        <f>IF(H1548="","",IF(ISNUMBER(O1548),O1548,J1548))</f>
        <v/>
      </c>
      <c r="G1548">
        <f>IF(H1548="","","OneCause")</f>
        <v/>
      </c>
      <c r="H1548">
        <f>IF(AND(I1548="",J1548="",K1548=""),"",IF(NOT(ISNUMBER(O1548)),"Bad amount",IF(O1548&lt;0,"Refund (not counted)",IF(O1548=0,"Zero amount",IF(NOT(ISNUMBER(N1548)),"Bad date",IF(P1548="","NAME NOT ON ROSTER",IF(L1548="","OK",IF(MATCH(L1548,$L$2:$L$3001,0)&lt;ROW()-1,"Duplicate (ignored)","OK"))))))))</f>
        <v/>
      </c>
      <c r="I1548">
        <f>IF(OC_Date=0,"",IF(INDEX('OneCause_Paste'!$A$1548:$AZ$1548,1,OC_Date)="","",INDEX('OneCause_Paste'!$A$1548:$AZ$1548,1,OC_Date)))</f>
        <v/>
      </c>
      <c r="J1548">
        <f>IF(OC_Amt=0,"",IF(INDEX('OneCause_Paste'!$A$1548:$AZ$1548,1,OC_Amt)="","",INDEX('OneCause_Paste'!$A$1548:$AZ$1548,1,OC_Amt)))</f>
        <v/>
      </c>
      <c r="K1548">
        <f>IF(OC_Name=0,"",IF(INDEX('OneCause_Paste'!$A$1548:$AZ$1548,1,OC_Name)="","",INDEX('OneCause_Paste'!$A$1548:$AZ$1548,1,OC_Name)))</f>
        <v/>
      </c>
      <c r="L1548">
        <f>IF(OC_Txn=0,"",IF(INDEX('OneCause_Paste'!$A$1548:$AZ$1548,1,OC_Txn)="","",INDEX('OneCause_Paste'!$A$1548:$AZ$1548,1,OC_Txn)))</f>
        <v/>
      </c>
      <c r="M1548">
        <f>IF(OC_Pay=0,"",IF(INDEX('OneCause_Paste'!$A$1548:$AZ$1548,1,OC_Pay)="","",INDEX('OneCause_Paste'!$A$1548:$AZ$1548,1,OC_Pay)))</f>
        <v/>
      </c>
      <c r="N1548">
        <f>IF(I1548="","",IF(ISNUMBER(I1548),INT(I1548),IFERROR(INT(DATEVALUE(I1548)),IFERROR(INT(VALUE(I1548)),"bad"))))</f>
        <v/>
      </c>
      <c r="O1548">
        <f>IF(J1548="","",IF(ISNUMBER(J1548),ROUND(J1548,2),IFERROR(ROUND(VALUE(SUBSTITUTE(SUBSTITUTE(SUBSTITUTE(J1548,"$",""),",","")," ","")),2),"bad")))</f>
        <v/>
      </c>
      <c r="P1548">
        <f>IF(TRIM(K1548)="","",IFERROR(MATCH(LOWER(TRIM(K1548)),'Students'!$AH$2:$AH$701,0),IFERROR(MATCH(LOWER(TRIM(K1548)),'Students'!$AF$2:$AF$701,0),IFERROR(MATCH(LOWER(TRIM(K1548)),'Students'!$AG$2:$AG$701,0),""))))</f>
        <v/>
      </c>
      <c r="R1548">
        <f>IF(P1548="","",INDEX('Students'!$AD$2:$AD$701,P1548))</f>
        <v/>
      </c>
      <c r="S1548">
        <f>IF(H1548="OK",O1548,0)</f>
        <v/>
      </c>
      <c r="T1548">
        <f>IF(H1548="OK",N1548,"")</f>
        <v/>
      </c>
      <c r="U1548">
        <f>IF(OC_Donor=0,"",IF(INDEX('OneCause_Paste'!$A$1548:$AZ$1548,1,OC_Donor)="","",INDEX('OneCause_Paste'!$A$1548:$AZ$1548,1,OC_Donor)))</f>
        <v/>
      </c>
    </row>
    <row r="1549">
      <c r="A1549" s="62">
        <f>IF(H1549="","",IF(ISNUMBER(N1549),N1549,I1549))</f>
        <v/>
      </c>
      <c r="B1549">
        <f>IF(H1549="","",U1549)</f>
        <v/>
      </c>
      <c r="C1549">
        <f>IF(H1549="","",IF(P1549="",K1549,INDEX('Students'!$A$2:$A$701,P1549)))</f>
        <v/>
      </c>
      <c r="D1549">
        <f>IF(OR(H1549="",P1549=""),"",INDEX('Students'!$B$2:$B$701,P1549))</f>
        <v/>
      </c>
      <c r="E1549">
        <f>IF(OR(H1549="",P1549=""),"",INDEX('Students'!$C$2:$C$701,P1549))</f>
        <v/>
      </c>
      <c r="F1549" s="48">
        <f>IF(H1549="","",IF(ISNUMBER(O1549),O1549,J1549))</f>
        <v/>
      </c>
      <c r="G1549">
        <f>IF(H1549="","","OneCause")</f>
        <v/>
      </c>
      <c r="H1549">
        <f>IF(AND(I1549="",J1549="",K1549=""),"",IF(NOT(ISNUMBER(O1549)),"Bad amount",IF(O1549&lt;0,"Refund (not counted)",IF(O1549=0,"Zero amount",IF(NOT(ISNUMBER(N1549)),"Bad date",IF(P1549="","NAME NOT ON ROSTER",IF(L1549="","OK",IF(MATCH(L1549,$L$2:$L$3001,0)&lt;ROW()-1,"Duplicate (ignored)","OK"))))))))</f>
        <v/>
      </c>
      <c r="I1549">
        <f>IF(OC_Date=0,"",IF(INDEX('OneCause_Paste'!$A$1549:$AZ$1549,1,OC_Date)="","",INDEX('OneCause_Paste'!$A$1549:$AZ$1549,1,OC_Date)))</f>
        <v/>
      </c>
      <c r="J1549">
        <f>IF(OC_Amt=0,"",IF(INDEX('OneCause_Paste'!$A$1549:$AZ$1549,1,OC_Amt)="","",INDEX('OneCause_Paste'!$A$1549:$AZ$1549,1,OC_Amt)))</f>
        <v/>
      </c>
      <c r="K1549">
        <f>IF(OC_Name=0,"",IF(INDEX('OneCause_Paste'!$A$1549:$AZ$1549,1,OC_Name)="","",INDEX('OneCause_Paste'!$A$1549:$AZ$1549,1,OC_Name)))</f>
        <v/>
      </c>
      <c r="L1549">
        <f>IF(OC_Txn=0,"",IF(INDEX('OneCause_Paste'!$A$1549:$AZ$1549,1,OC_Txn)="","",INDEX('OneCause_Paste'!$A$1549:$AZ$1549,1,OC_Txn)))</f>
        <v/>
      </c>
      <c r="M1549">
        <f>IF(OC_Pay=0,"",IF(INDEX('OneCause_Paste'!$A$1549:$AZ$1549,1,OC_Pay)="","",INDEX('OneCause_Paste'!$A$1549:$AZ$1549,1,OC_Pay)))</f>
        <v/>
      </c>
      <c r="N1549">
        <f>IF(I1549="","",IF(ISNUMBER(I1549),INT(I1549),IFERROR(INT(DATEVALUE(I1549)),IFERROR(INT(VALUE(I1549)),"bad"))))</f>
        <v/>
      </c>
      <c r="O1549">
        <f>IF(J1549="","",IF(ISNUMBER(J1549),ROUND(J1549,2),IFERROR(ROUND(VALUE(SUBSTITUTE(SUBSTITUTE(SUBSTITUTE(J1549,"$",""),",","")," ","")),2),"bad")))</f>
        <v/>
      </c>
      <c r="P1549">
        <f>IF(TRIM(K1549)="","",IFERROR(MATCH(LOWER(TRIM(K1549)),'Students'!$AH$2:$AH$701,0),IFERROR(MATCH(LOWER(TRIM(K1549)),'Students'!$AF$2:$AF$701,0),IFERROR(MATCH(LOWER(TRIM(K1549)),'Students'!$AG$2:$AG$701,0),""))))</f>
        <v/>
      </c>
      <c r="R1549">
        <f>IF(P1549="","",INDEX('Students'!$AD$2:$AD$701,P1549))</f>
        <v/>
      </c>
      <c r="S1549">
        <f>IF(H1549="OK",O1549,0)</f>
        <v/>
      </c>
      <c r="T1549">
        <f>IF(H1549="OK",N1549,"")</f>
        <v/>
      </c>
      <c r="U1549">
        <f>IF(OC_Donor=0,"",IF(INDEX('OneCause_Paste'!$A$1549:$AZ$1549,1,OC_Donor)="","",INDEX('OneCause_Paste'!$A$1549:$AZ$1549,1,OC_Donor)))</f>
        <v/>
      </c>
    </row>
    <row r="1550">
      <c r="A1550" s="62">
        <f>IF(H1550="","",IF(ISNUMBER(N1550),N1550,I1550))</f>
        <v/>
      </c>
      <c r="B1550">
        <f>IF(H1550="","",U1550)</f>
        <v/>
      </c>
      <c r="C1550">
        <f>IF(H1550="","",IF(P1550="",K1550,INDEX('Students'!$A$2:$A$701,P1550)))</f>
        <v/>
      </c>
      <c r="D1550">
        <f>IF(OR(H1550="",P1550=""),"",INDEX('Students'!$B$2:$B$701,P1550))</f>
        <v/>
      </c>
      <c r="E1550">
        <f>IF(OR(H1550="",P1550=""),"",INDEX('Students'!$C$2:$C$701,P1550))</f>
        <v/>
      </c>
      <c r="F1550" s="48">
        <f>IF(H1550="","",IF(ISNUMBER(O1550),O1550,J1550))</f>
        <v/>
      </c>
      <c r="G1550">
        <f>IF(H1550="","","OneCause")</f>
        <v/>
      </c>
      <c r="H1550">
        <f>IF(AND(I1550="",J1550="",K1550=""),"",IF(NOT(ISNUMBER(O1550)),"Bad amount",IF(O1550&lt;0,"Refund (not counted)",IF(O1550=0,"Zero amount",IF(NOT(ISNUMBER(N1550)),"Bad date",IF(P1550="","NAME NOT ON ROSTER",IF(L1550="","OK",IF(MATCH(L1550,$L$2:$L$3001,0)&lt;ROW()-1,"Duplicate (ignored)","OK"))))))))</f>
        <v/>
      </c>
      <c r="I1550">
        <f>IF(OC_Date=0,"",IF(INDEX('OneCause_Paste'!$A$1550:$AZ$1550,1,OC_Date)="","",INDEX('OneCause_Paste'!$A$1550:$AZ$1550,1,OC_Date)))</f>
        <v/>
      </c>
      <c r="J1550">
        <f>IF(OC_Amt=0,"",IF(INDEX('OneCause_Paste'!$A$1550:$AZ$1550,1,OC_Amt)="","",INDEX('OneCause_Paste'!$A$1550:$AZ$1550,1,OC_Amt)))</f>
        <v/>
      </c>
      <c r="K1550">
        <f>IF(OC_Name=0,"",IF(INDEX('OneCause_Paste'!$A$1550:$AZ$1550,1,OC_Name)="","",INDEX('OneCause_Paste'!$A$1550:$AZ$1550,1,OC_Name)))</f>
        <v/>
      </c>
      <c r="L1550">
        <f>IF(OC_Txn=0,"",IF(INDEX('OneCause_Paste'!$A$1550:$AZ$1550,1,OC_Txn)="","",INDEX('OneCause_Paste'!$A$1550:$AZ$1550,1,OC_Txn)))</f>
        <v/>
      </c>
      <c r="M1550">
        <f>IF(OC_Pay=0,"",IF(INDEX('OneCause_Paste'!$A$1550:$AZ$1550,1,OC_Pay)="","",INDEX('OneCause_Paste'!$A$1550:$AZ$1550,1,OC_Pay)))</f>
        <v/>
      </c>
      <c r="N1550">
        <f>IF(I1550="","",IF(ISNUMBER(I1550),INT(I1550),IFERROR(INT(DATEVALUE(I1550)),IFERROR(INT(VALUE(I1550)),"bad"))))</f>
        <v/>
      </c>
      <c r="O1550">
        <f>IF(J1550="","",IF(ISNUMBER(J1550),ROUND(J1550,2),IFERROR(ROUND(VALUE(SUBSTITUTE(SUBSTITUTE(SUBSTITUTE(J1550,"$",""),",","")," ","")),2),"bad")))</f>
        <v/>
      </c>
      <c r="P1550">
        <f>IF(TRIM(K1550)="","",IFERROR(MATCH(LOWER(TRIM(K1550)),'Students'!$AH$2:$AH$701,0),IFERROR(MATCH(LOWER(TRIM(K1550)),'Students'!$AF$2:$AF$701,0),IFERROR(MATCH(LOWER(TRIM(K1550)),'Students'!$AG$2:$AG$701,0),""))))</f>
        <v/>
      </c>
      <c r="R1550">
        <f>IF(P1550="","",INDEX('Students'!$AD$2:$AD$701,P1550))</f>
        <v/>
      </c>
      <c r="S1550">
        <f>IF(H1550="OK",O1550,0)</f>
        <v/>
      </c>
      <c r="T1550">
        <f>IF(H1550="OK",N1550,"")</f>
        <v/>
      </c>
      <c r="U1550">
        <f>IF(OC_Donor=0,"",IF(INDEX('OneCause_Paste'!$A$1550:$AZ$1550,1,OC_Donor)="","",INDEX('OneCause_Paste'!$A$1550:$AZ$1550,1,OC_Donor)))</f>
        <v/>
      </c>
    </row>
    <row r="1551">
      <c r="A1551" s="62">
        <f>IF(H1551="","",IF(ISNUMBER(N1551),N1551,I1551))</f>
        <v/>
      </c>
      <c r="B1551">
        <f>IF(H1551="","",U1551)</f>
        <v/>
      </c>
      <c r="C1551">
        <f>IF(H1551="","",IF(P1551="",K1551,INDEX('Students'!$A$2:$A$701,P1551)))</f>
        <v/>
      </c>
      <c r="D1551">
        <f>IF(OR(H1551="",P1551=""),"",INDEX('Students'!$B$2:$B$701,P1551))</f>
        <v/>
      </c>
      <c r="E1551">
        <f>IF(OR(H1551="",P1551=""),"",INDEX('Students'!$C$2:$C$701,P1551))</f>
        <v/>
      </c>
      <c r="F1551" s="48">
        <f>IF(H1551="","",IF(ISNUMBER(O1551),O1551,J1551))</f>
        <v/>
      </c>
      <c r="G1551">
        <f>IF(H1551="","","OneCause")</f>
        <v/>
      </c>
      <c r="H1551">
        <f>IF(AND(I1551="",J1551="",K1551=""),"",IF(NOT(ISNUMBER(O1551)),"Bad amount",IF(O1551&lt;0,"Refund (not counted)",IF(O1551=0,"Zero amount",IF(NOT(ISNUMBER(N1551)),"Bad date",IF(P1551="","NAME NOT ON ROSTER",IF(L1551="","OK",IF(MATCH(L1551,$L$2:$L$3001,0)&lt;ROW()-1,"Duplicate (ignored)","OK"))))))))</f>
        <v/>
      </c>
      <c r="I1551">
        <f>IF(OC_Date=0,"",IF(INDEX('OneCause_Paste'!$A$1551:$AZ$1551,1,OC_Date)="","",INDEX('OneCause_Paste'!$A$1551:$AZ$1551,1,OC_Date)))</f>
        <v/>
      </c>
      <c r="J1551">
        <f>IF(OC_Amt=0,"",IF(INDEX('OneCause_Paste'!$A$1551:$AZ$1551,1,OC_Amt)="","",INDEX('OneCause_Paste'!$A$1551:$AZ$1551,1,OC_Amt)))</f>
        <v/>
      </c>
      <c r="K1551">
        <f>IF(OC_Name=0,"",IF(INDEX('OneCause_Paste'!$A$1551:$AZ$1551,1,OC_Name)="","",INDEX('OneCause_Paste'!$A$1551:$AZ$1551,1,OC_Name)))</f>
        <v/>
      </c>
      <c r="L1551">
        <f>IF(OC_Txn=0,"",IF(INDEX('OneCause_Paste'!$A$1551:$AZ$1551,1,OC_Txn)="","",INDEX('OneCause_Paste'!$A$1551:$AZ$1551,1,OC_Txn)))</f>
        <v/>
      </c>
      <c r="M1551">
        <f>IF(OC_Pay=0,"",IF(INDEX('OneCause_Paste'!$A$1551:$AZ$1551,1,OC_Pay)="","",INDEX('OneCause_Paste'!$A$1551:$AZ$1551,1,OC_Pay)))</f>
        <v/>
      </c>
      <c r="N1551">
        <f>IF(I1551="","",IF(ISNUMBER(I1551),INT(I1551),IFERROR(INT(DATEVALUE(I1551)),IFERROR(INT(VALUE(I1551)),"bad"))))</f>
        <v/>
      </c>
      <c r="O1551">
        <f>IF(J1551="","",IF(ISNUMBER(J1551),ROUND(J1551,2),IFERROR(ROUND(VALUE(SUBSTITUTE(SUBSTITUTE(SUBSTITUTE(J1551,"$",""),",","")," ","")),2),"bad")))</f>
        <v/>
      </c>
      <c r="P1551">
        <f>IF(TRIM(K1551)="","",IFERROR(MATCH(LOWER(TRIM(K1551)),'Students'!$AH$2:$AH$701,0),IFERROR(MATCH(LOWER(TRIM(K1551)),'Students'!$AF$2:$AF$701,0),IFERROR(MATCH(LOWER(TRIM(K1551)),'Students'!$AG$2:$AG$701,0),""))))</f>
        <v/>
      </c>
      <c r="R1551">
        <f>IF(P1551="","",INDEX('Students'!$AD$2:$AD$701,P1551))</f>
        <v/>
      </c>
      <c r="S1551">
        <f>IF(H1551="OK",O1551,0)</f>
        <v/>
      </c>
      <c r="T1551">
        <f>IF(H1551="OK",N1551,"")</f>
        <v/>
      </c>
      <c r="U1551">
        <f>IF(OC_Donor=0,"",IF(INDEX('OneCause_Paste'!$A$1551:$AZ$1551,1,OC_Donor)="","",INDEX('OneCause_Paste'!$A$1551:$AZ$1551,1,OC_Donor)))</f>
        <v/>
      </c>
    </row>
    <row r="1552">
      <c r="A1552" s="62">
        <f>IF(H1552="","",IF(ISNUMBER(N1552),N1552,I1552))</f>
        <v/>
      </c>
      <c r="B1552">
        <f>IF(H1552="","",U1552)</f>
        <v/>
      </c>
      <c r="C1552">
        <f>IF(H1552="","",IF(P1552="",K1552,INDEX('Students'!$A$2:$A$701,P1552)))</f>
        <v/>
      </c>
      <c r="D1552">
        <f>IF(OR(H1552="",P1552=""),"",INDEX('Students'!$B$2:$B$701,P1552))</f>
        <v/>
      </c>
      <c r="E1552">
        <f>IF(OR(H1552="",P1552=""),"",INDEX('Students'!$C$2:$C$701,P1552))</f>
        <v/>
      </c>
      <c r="F1552" s="48">
        <f>IF(H1552="","",IF(ISNUMBER(O1552),O1552,J1552))</f>
        <v/>
      </c>
      <c r="G1552">
        <f>IF(H1552="","","OneCause")</f>
        <v/>
      </c>
      <c r="H1552">
        <f>IF(AND(I1552="",J1552="",K1552=""),"",IF(NOT(ISNUMBER(O1552)),"Bad amount",IF(O1552&lt;0,"Refund (not counted)",IF(O1552=0,"Zero amount",IF(NOT(ISNUMBER(N1552)),"Bad date",IF(P1552="","NAME NOT ON ROSTER",IF(L1552="","OK",IF(MATCH(L1552,$L$2:$L$3001,0)&lt;ROW()-1,"Duplicate (ignored)","OK"))))))))</f>
        <v/>
      </c>
      <c r="I1552">
        <f>IF(OC_Date=0,"",IF(INDEX('OneCause_Paste'!$A$1552:$AZ$1552,1,OC_Date)="","",INDEX('OneCause_Paste'!$A$1552:$AZ$1552,1,OC_Date)))</f>
        <v/>
      </c>
      <c r="J1552">
        <f>IF(OC_Amt=0,"",IF(INDEX('OneCause_Paste'!$A$1552:$AZ$1552,1,OC_Amt)="","",INDEX('OneCause_Paste'!$A$1552:$AZ$1552,1,OC_Amt)))</f>
        <v/>
      </c>
      <c r="K1552">
        <f>IF(OC_Name=0,"",IF(INDEX('OneCause_Paste'!$A$1552:$AZ$1552,1,OC_Name)="","",INDEX('OneCause_Paste'!$A$1552:$AZ$1552,1,OC_Name)))</f>
        <v/>
      </c>
      <c r="L1552">
        <f>IF(OC_Txn=0,"",IF(INDEX('OneCause_Paste'!$A$1552:$AZ$1552,1,OC_Txn)="","",INDEX('OneCause_Paste'!$A$1552:$AZ$1552,1,OC_Txn)))</f>
        <v/>
      </c>
      <c r="M1552">
        <f>IF(OC_Pay=0,"",IF(INDEX('OneCause_Paste'!$A$1552:$AZ$1552,1,OC_Pay)="","",INDEX('OneCause_Paste'!$A$1552:$AZ$1552,1,OC_Pay)))</f>
        <v/>
      </c>
      <c r="N1552">
        <f>IF(I1552="","",IF(ISNUMBER(I1552),INT(I1552),IFERROR(INT(DATEVALUE(I1552)),IFERROR(INT(VALUE(I1552)),"bad"))))</f>
        <v/>
      </c>
      <c r="O1552">
        <f>IF(J1552="","",IF(ISNUMBER(J1552),ROUND(J1552,2),IFERROR(ROUND(VALUE(SUBSTITUTE(SUBSTITUTE(SUBSTITUTE(J1552,"$",""),",","")," ","")),2),"bad")))</f>
        <v/>
      </c>
      <c r="P1552">
        <f>IF(TRIM(K1552)="","",IFERROR(MATCH(LOWER(TRIM(K1552)),'Students'!$AH$2:$AH$701,0),IFERROR(MATCH(LOWER(TRIM(K1552)),'Students'!$AF$2:$AF$701,0),IFERROR(MATCH(LOWER(TRIM(K1552)),'Students'!$AG$2:$AG$701,0),""))))</f>
        <v/>
      </c>
      <c r="R1552">
        <f>IF(P1552="","",INDEX('Students'!$AD$2:$AD$701,P1552))</f>
        <v/>
      </c>
      <c r="S1552">
        <f>IF(H1552="OK",O1552,0)</f>
        <v/>
      </c>
      <c r="T1552">
        <f>IF(H1552="OK",N1552,"")</f>
        <v/>
      </c>
      <c r="U1552">
        <f>IF(OC_Donor=0,"",IF(INDEX('OneCause_Paste'!$A$1552:$AZ$1552,1,OC_Donor)="","",INDEX('OneCause_Paste'!$A$1552:$AZ$1552,1,OC_Donor)))</f>
        <v/>
      </c>
    </row>
    <row r="1553">
      <c r="A1553" s="62">
        <f>IF(H1553="","",IF(ISNUMBER(N1553),N1553,I1553))</f>
        <v/>
      </c>
      <c r="B1553">
        <f>IF(H1553="","",U1553)</f>
        <v/>
      </c>
      <c r="C1553">
        <f>IF(H1553="","",IF(P1553="",K1553,INDEX('Students'!$A$2:$A$701,P1553)))</f>
        <v/>
      </c>
      <c r="D1553">
        <f>IF(OR(H1553="",P1553=""),"",INDEX('Students'!$B$2:$B$701,P1553))</f>
        <v/>
      </c>
      <c r="E1553">
        <f>IF(OR(H1553="",P1553=""),"",INDEX('Students'!$C$2:$C$701,P1553))</f>
        <v/>
      </c>
      <c r="F1553" s="48">
        <f>IF(H1553="","",IF(ISNUMBER(O1553),O1553,J1553))</f>
        <v/>
      </c>
      <c r="G1553">
        <f>IF(H1553="","","OneCause")</f>
        <v/>
      </c>
      <c r="H1553">
        <f>IF(AND(I1553="",J1553="",K1553=""),"",IF(NOT(ISNUMBER(O1553)),"Bad amount",IF(O1553&lt;0,"Refund (not counted)",IF(O1553=0,"Zero amount",IF(NOT(ISNUMBER(N1553)),"Bad date",IF(P1553="","NAME NOT ON ROSTER",IF(L1553="","OK",IF(MATCH(L1553,$L$2:$L$3001,0)&lt;ROW()-1,"Duplicate (ignored)","OK"))))))))</f>
        <v/>
      </c>
      <c r="I1553">
        <f>IF(OC_Date=0,"",IF(INDEX('OneCause_Paste'!$A$1553:$AZ$1553,1,OC_Date)="","",INDEX('OneCause_Paste'!$A$1553:$AZ$1553,1,OC_Date)))</f>
        <v/>
      </c>
      <c r="J1553">
        <f>IF(OC_Amt=0,"",IF(INDEX('OneCause_Paste'!$A$1553:$AZ$1553,1,OC_Amt)="","",INDEX('OneCause_Paste'!$A$1553:$AZ$1553,1,OC_Amt)))</f>
        <v/>
      </c>
      <c r="K1553">
        <f>IF(OC_Name=0,"",IF(INDEX('OneCause_Paste'!$A$1553:$AZ$1553,1,OC_Name)="","",INDEX('OneCause_Paste'!$A$1553:$AZ$1553,1,OC_Name)))</f>
        <v/>
      </c>
      <c r="L1553">
        <f>IF(OC_Txn=0,"",IF(INDEX('OneCause_Paste'!$A$1553:$AZ$1553,1,OC_Txn)="","",INDEX('OneCause_Paste'!$A$1553:$AZ$1553,1,OC_Txn)))</f>
        <v/>
      </c>
      <c r="M1553">
        <f>IF(OC_Pay=0,"",IF(INDEX('OneCause_Paste'!$A$1553:$AZ$1553,1,OC_Pay)="","",INDEX('OneCause_Paste'!$A$1553:$AZ$1553,1,OC_Pay)))</f>
        <v/>
      </c>
      <c r="N1553">
        <f>IF(I1553="","",IF(ISNUMBER(I1553),INT(I1553),IFERROR(INT(DATEVALUE(I1553)),IFERROR(INT(VALUE(I1553)),"bad"))))</f>
        <v/>
      </c>
      <c r="O1553">
        <f>IF(J1553="","",IF(ISNUMBER(J1553),ROUND(J1553,2),IFERROR(ROUND(VALUE(SUBSTITUTE(SUBSTITUTE(SUBSTITUTE(J1553,"$",""),",","")," ","")),2),"bad")))</f>
        <v/>
      </c>
      <c r="P1553">
        <f>IF(TRIM(K1553)="","",IFERROR(MATCH(LOWER(TRIM(K1553)),'Students'!$AH$2:$AH$701,0),IFERROR(MATCH(LOWER(TRIM(K1553)),'Students'!$AF$2:$AF$701,0),IFERROR(MATCH(LOWER(TRIM(K1553)),'Students'!$AG$2:$AG$701,0),""))))</f>
        <v/>
      </c>
      <c r="R1553">
        <f>IF(P1553="","",INDEX('Students'!$AD$2:$AD$701,P1553))</f>
        <v/>
      </c>
      <c r="S1553">
        <f>IF(H1553="OK",O1553,0)</f>
        <v/>
      </c>
      <c r="T1553">
        <f>IF(H1553="OK",N1553,"")</f>
        <v/>
      </c>
      <c r="U1553">
        <f>IF(OC_Donor=0,"",IF(INDEX('OneCause_Paste'!$A$1553:$AZ$1553,1,OC_Donor)="","",INDEX('OneCause_Paste'!$A$1553:$AZ$1553,1,OC_Donor)))</f>
        <v/>
      </c>
    </row>
    <row r="1554">
      <c r="A1554" s="62">
        <f>IF(H1554="","",IF(ISNUMBER(N1554),N1554,I1554))</f>
        <v/>
      </c>
      <c r="B1554">
        <f>IF(H1554="","",U1554)</f>
        <v/>
      </c>
      <c r="C1554">
        <f>IF(H1554="","",IF(P1554="",K1554,INDEX('Students'!$A$2:$A$701,P1554)))</f>
        <v/>
      </c>
      <c r="D1554">
        <f>IF(OR(H1554="",P1554=""),"",INDEX('Students'!$B$2:$B$701,P1554))</f>
        <v/>
      </c>
      <c r="E1554">
        <f>IF(OR(H1554="",P1554=""),"",INDEX('Students'!$C$2:$C$701,P1554))</f>
        <v/>
      </c>
      <c r="F1554" s="48">
        <f>IF(H1554="","",IF(ISNUMBER(O1554),O1554,J1554))</f>
        <v/>
      </c>
      <c r="G1554">
        <f>IF(H1554="","","OneCause")</f>
        <v/>
      </c>
      <c r="H1554">
        <f>IF(AND(I1554="",J1554="",K1554=""),"",IF(NOT(ISNUMBER(O1554)),"Bad amount",IF(O1554&lt;0,"Refund (not counted)",IF(O1554=0,"Zero amount",IF(NOT(ISNUMBER(N1554)),"Bad date",IF(P1554="","NAME NOT ON ROSTER",IF(L1554="","OK",IF(MATCH(L1554,$L$2:$L$3001,0)&lt;ROW()-1,"Duplicate (ignored)","OK"))))))))</f>
        <v/>
      </c>
      <c r="I1554">
        <f>IF(OC_Date=0,"",IF(INDEX('OneCause_Paste'!$A$1554:$AZ$1554,1,OC_Date)="","",INDEX('OneCause_Paste'!$A$1554:$AZ$1554,1,OC_Date)))</f>
        <v/>
      </c>
      <c r="J1554">
        <f>IF(OC_Amt=0,"",IF(INDEX('OneCause_Paste'!$A$1554:$AZ$1554,1,OC_Amt)="","",INDEX('OneCause_Paste'!$A$1554:$AZ$1554,1,OC_Amt)))</f>
        <v/>
      </c>
      <c r="K1554">
        <f>IF(OC_Name=0,"",IF(INDEX('OneCause_Paste'!$A$1554:$AZ$1554,1,OC_Name)="","",INDEX('OneCause_Paste'!$A$1554:$AZ$1554,1,OC_Name)))</f>
        <v/>
      </c>
      <c r="L1554">
        <f>IF(OC_Txn=0,"",IF(INDEX('OneCause_Paste'!$A$1554:$AZ$1554,1,OC_Txn)="","",INDEX('OneCause_Paste'!$A$1554:$AZ$1554,1,OC_Txn)))</f>
        <v/>
      </c>
      <c r="M1554">
        <f>IF(OC_Pay=0,"",IF(INDEX('OneCause_Paste'!$A$1554:$AZ$1554,1,OC_Pay)="","",INDEX('OneCause_Paste'!$A$1554:$AZ$1554,1,OC_Pay)))</f>
        <v/>
      </c>
      <c r="N1554">
        <f>IF(I1554="","",IF(ISNUMBER(I1554),INT(I1554),IFERROR(INT(DATEVALUE(I1554)),IFERROR(INT(VALUE(I1554)),"bad"))))</f>
        <v/>
      </c>
      <c r="O1554">
        <f>IF(J1554="","",IF(ISNUMBER(J1554),ROUND(J1554,2),IFERROR(ROUND(VALUE(SUBSTITUTE(SUBSTITUTE(SUBSTITUTE(J1554,"$",""),",","")," ","")),2),"bad")))</f>
        <v/>
      </c>
      <c r="P1554">
        <f>IF(TRIM(K1554)="","",IFERROR(MATCH(LOWER(TRIM(K1554)),'Students'!$AH$2:$AH$701,0),IFERROR(MATCH(LOWER(TRIM(K1554)),'Students'!$AF$2:$AF$701,0),IFERROR(MATCH(LOWER(TRIM(K1554)),'Students'!$AG$2:$AG$701,0),""))))</f>
        <v/>
      </c>
      <c r="R1554">
        <f>IF(P1554="","",INDEX('Students'!$AD$2:$AD$701,P1554))</f>
        <v/>
      </c>
      <c r="S1554">
        <f>IF(H1554="OK",O1554,0)</f>
        <v/>
      </c>
      <c r="T1554">
        <f>IF(H1554="OK",N1554,"")</f>
        <v/>
      </c>
      <c r="U1554">
        <f>IF(OC_Donor=0,"",IF(INDEX('OneCause_Paste'!$A$1554:$AZ$1554,1,OC_Donor)="","",INDEX('OneCause_Paste'!$A$1554:$AZ$1554,1,OC_Donor)))</f>
        <v/>
      </c>
    </row>
    <row r="1555">
      <c r="A1555" s="62">
        <f>IF(H1555="","",IF(ISNUMBER(N1555),N1555,I1555))</f>
        <v/>
      </c>
      <c r="B1555">
        <f>IF(H1555="","",U1555)</f>
        <v/>
      </c>
      <c r="C1555">
        <f>IF(H1555="","",IF(P1555="",K1555,INDEX('Students'!$A$2:$A$701,P1555)))</f>
        <v/>
      </c>
      <c r="D1555">
        <f>IF(OR(H1555="",P1555=""),"",INDEX('Students'!$B$2:$B$701,P1555))</f>
        <v/>
      </c>
      <c r="E1555">
        <f>IF(OR(H1555="",P1555=""),"",INDEX('Students'!$C$2:$C$701,P1555))</f>
        <v/>
      </c>
      <c r="F1555" s="48">
        <f>IF(H1555="","",IF(ISNUMBER(O1555),O1555,J1555))</f>
        <v/>
      </c>
      <c r="G1555">
        <f>IF(H1555="","","OneCause")</f>
        <v/>
      </c>
      <c r="H1555">
        <f>IF(AND(I1555="",J1555="",K1555=""),"",IF(NOT(ISNUMBER(O1555)),"Bad amount",IF(O1555&lt;0,"Refund (not counted)",IF(O1555=0,"Zero amount",IF(NOT(ISNUMBER(N1555)),"Bad date",IF(P1555="","NAME NOT ON ROSTER",IF(L1555="","OK",IF(MATCH(L1555,$L$2:$L$3001,0)&lt;ROW()-1,"Duplicate (ignored)","OK"))))))))</f>
        <v/>
      </c>
      <c r="I1555">
        <f>IF(OC_Date=0,"",IF(INDEX('OneCause_Paste'!$A$1555:$AZ$1555,1,OC_Date)="","",INDEX('OneCause_Paste'!$A$1555:$AZ$1555,1,OC_Date)))</f>
        <v/>
      </c>
      <c r="J1555">
        <f>IF(OC_Amt=0,"",IF(INDEX('OneCause_Paste'!$A$1555:$AZ$1555,1,OC_Amt)="","",INDEX('OneCause_Paste'!$A$1555:$AZ$1555,1,OC_Amt)))</f>
        <v/>
      </c>
      <c r="K1555">
        <f>IF(OC_Name=0,"",IF(INDEX('OneCause_Paste'!$A$1555:$AZ$1555,1,OC_Name)="","",INDEX('OneCause_Paste'!$A$1555:$AZ$1555,1,OC_Name)))</f>
        <v/>
      </c>
      <c r="L1555">
        <f>IF(OC_Txn=0,"",IF(INDEX('OneCause_Paste'!$A$1555:$AZ$1555,1,OC_Txn)="","",INDEX('OneCause_Paste'!$A$1555:$AZ$1555,1,OC_Txn)))</f>
        <v/>
      </c>
      <c r="M1555">
        <f>IF(OC_Pay=0,"",IF(INDEX('OneCause_Paste'!$A$1555:$AZ$1555,1,OC_Pay)="","",INDEX('OneCause_Paste'!$A$1555:$AZ$1555,1,OC_Pay)))</f>
        <v/>
      </c>
      <c r="N1555">
        <f>IF(I1555="","",IF(ISNUMBER(I1555),INT(I1555),IFERROR(INT(DATEVALUE(I1555)),IFERROR(INT(VALUE(I1555)),"bad"))))</f>
        <v/>
      </c>
      <c r="O1555">
        <f>IF(J1555="","",IF(ISNUMBER(J1555),ROUND(J1555,2),IFERROR(ROUND(VALUE(SUBSTITUTE(SUBSTITUTE(SUBSTITUTE(J1555,"$",""),",","")," ","")),2),"bad")))</f>
        <v/>
      </c>
      <c r="P1555">
        <f>IF(TRIM(K1555)="","",IFERROR(MATCH(LOWER(TRIM(K1555)),'Students'!$AH$2:$AH$701,0),IFERROR(MATCH(LOWER(TRIM(K1555)),'Students'!$AF$2:$AF$701,0),IFERROR(MATCH(LOWER(TRIM(K1555)),'Students'!$AG$2:$AG$701,0),""))))</f>
        <v/>
      </c>
      <c r="R1555">
        <f>IF(P1555="","",INDEX('Students'!$AD$2:$AD$701,P1555))</f>
        <v/>
      </c>
      <c r="S1555">
        <f>IF(H1555="OK",O1555,0)</f>
        <v/>
      </c>
      <c r="T1555">
        <f>IF(H1555="OK",N1555,"")</f>
        <v/>
      </c>
      <c r="U1555">
        <f>IF(OC_Donor=0,"",IF(INDEX('OneCause_Paste'!$A$1555:$AZ$1555,1,OC_Donor)="","",INDEX('OneCause_Paste'!$A$1555:$AZ$1555,1,OC_Donor)))</f>
        <v/>
      </c>
    </row>
    <row r="1556">
      <c r="A1556" s="62">
        <f>IF(H1556="","",IF(ISNUMBER(N1556),N1556,I1556))</f>
        <v/>
      </c>
      <c r="B1556">
        <f>IF(H1556="","",U1556)</f>
        <v/>
      </c>
      <c r="C1556">
        <f>IF(H1556="","",IF(P1556="",K1556,INDEX('Students'!$A$2:$A$701,P1556)))</f>
        <v/>
      </c>
      <c r="D1556">
        <f>IF(OR(H1556="",P1556=""),"",INDEX('Students'!$B$2:$B$701,P1556))</f>
        <v/>
      </c>
      <c r="E1556">
        <f>IF(OR(H1556="",P1556=""),"",INDEX('Students'!$C$2:$C$701,P1556))</f>
        <v/>
      </c>
      <c r="F1556" s="48">
        <f>IF(H1556="","",IF(ISNUMBER(O1556),O1556,J1556))</f>
        <v/>
      </c>
      <c r="G1556">
        <f>IF(H1556="","","OneCause")</f>
        <v/>
      </c>
      <c r="H1556">
        <f>IF(AND(I1556="",J1556="",K1556=""),"",IF(NOT(ISNUMBER(O1556)),"Bad amount",IF(O1556&lt;0,"Refund (not counted)",IF(O1556=0,"Zero amount",IF(NOT(ISNUMBER(N1556)),"Bad date",IF(P1556="","NAME NOT ON ROSTER",IF(L1556="","OK",IF(MATCH(L1556,$L$2:$L$3001,0)&lt;ROW()-1,"Duplicate (ignored)","OK"))))))))</f>
        <v/>
      </c>
      <c r="I1556">
        <f>IF(OC_Date=0,"",IF(INDEX('OneCause_Paste'!$A$1556:$AZ$1556,1,OC_Date)="","",INDEX('OneCause_Paste'!$A$1556:$AZ$1556,1,OC_Date)))</f>
        <v/>
      </c>
      <c r="J1556">
        <f>IF(OC_Amt=0,"",IF(INDEX('OneCause_Paste'!$A$1556:$AZ$1556,1,OC_Amt)="","",INDEX('OneCause_Paste'!$A$1556:$AZ$1556,1,OC_Amt)))</f>
        <v/>
      </c>
      <c r="K1556">
        <f>IF(OC_Name=0,"",IF(INDEX('OneCause_Paste'!$A$1556:$AZ$1556,1,OC_Name)="","",INDEX('OneCause_Paste'!$A$1556:$AZ$1556,1,OC_Name)))</f>
        <v/>
      </c>
      <c r="L1556">
        <f>IF(OC_Txn=0,"",IF(INDEX('OneCause_Paste'!$A$1556:$AZ$1556,1,OC_Txn)="","",INDEX('OneCause_Paste'!$A$1556:$AZ$1556,1,OC_Txn)))</f>
        <v/>
      </c>
      <c r="M1556">
        <f>IF(OC_Pay=0,"",IF(INDEX('OneCause_Paste'!$A$1556:$AZ$1556,1,OC_Pay)="","",INDEX('OneCause_Paste'!$A$1556:$AZ$1556,1,OC_Pay)))</f>
        <v/>
      </c>
      <c r="N1556">
        <f>IF(I1556="","",IF(ISNUMBER(I1556),INT(I1556),IFERROR(INT(DATEVALUE(I1556)),IFERROR(INT(VALUE(I1556)),"bad"))))</f>
        <v/>
      </c>
      <c r="O1556">
        <f>IF(J1556="","",IF(ISNUMBER(J1556),ROUND(J1556,2),IFERROR(ROUND(VALUE(SUBSTITUTE(SUBSTITUTE(SUBSTITUTE(J1556,"$",""),",","")," ","")),2),"bad")))</f>
        <v/>
      </c>
      <c r="P1556">
        <f>IF(TRIM(K1556)="","",IFERROR(MATCH(LOWER(TRIM(K1556)),'Students'!$AH$2:$AH$701,0),IFERROR(MATCH(LOWER(TRIM(K1556)),'Students'!$AF$2:$AF$701,0),IFERROR(MATCH(LOWER(TRIM(K1556)),'Students'!$AG$2:$AG$701,0),""))))</f>
        <v/>
      </c>
      <c r="R1556">
        <f>IF(P1556="","",INDEX('Students'!$AD$2:$AD$701,P1556))</f>
        <v/>
      </c>
      <c r="S1556">
        <f>IF(H1556="OK",O1556,0)</f>
        <v/>
      </c>
      <c r="T1556">
        <f>IF(H1556="OK",N1556,"")</f>
        <v/>
      </c>
      <c r="U1556">
        <f>IF(OC_Donor=0,"",IF(INDEX('OneCause_Paste'!$A$1556:$AZ$1556,1,OC_Donor)="","",INDEX('OneCause_Paste'!$A$1556:$AZ$1556,1,OC_Donor)))</f>
        <v/>
      </c>
    </row>
    <row r="1557">
      <c r="A1557" s="62">
        <f>IF(H1557="","",IF(ISNUMBER(N1557),N1557,I1557))</f>
        <v/>
      </c>
      <c r="B1557">
        <f>IF(H1557="","",U1557)</f>
        <v/>
      </c>
      <c r="C1557">
        <f>IF(H1557="","",IF(P1557="",K1557,INDEX('Students'!$A$2:$A$701,P1557)))</f>
        <v/>
      </c>
      <c r="D1557">
        <f>IF(OR(H1557="",P1557=""),"",INDEX('Students'!$B$2:$B$701,P1557))</f>
        <v/>
      </c>
      <c r="E1557">
        <f>IF(OR(H1557="",P1557=""),"",INDEX('Students'!$C$2:$C$701,P1557))</f>
        <v/>
      </c>
      <c r="F1557" s="48">
        <f>IF(H1557="","",IF(ISNUMBER(O1557),O1557,J1557))</f>
        <v/>
      </c>
      <c r="G1557">
        <f>IF(H1557="","","OneCause")</f>
        <v/>
      </c>
      <c r="H1557">
        <f>IF(AND(I1557="",J1557="",K1557=""),"",IF(NOT(ISNUMBER(O1557)),"Bad amount",IF(O1557&lt;0,"Refund (not counted)",IF(O1557=0,"Zero amount",IF(NOT(ISNUMBER(N1557)),"Bad date",IF(P1557="","NAME NOT ON ROSTER",IF(L1557="","OK",IF(MATCH(L1557,$L$2:$L$3001,0)&lt;ROW()-1,"Duplicate (ignored)","OK"))))))))</f>
        <v/>
      </c>
      <c r="I1557">
        <f>IF(OC_Date=0,"",IF(INDEX('OneCause_Paste'!$A$1557:$AZ$1557,1,OC_Date)="","",INDEX('OneCause_Paste'!$A$1557:$AZ$1557,1,OC_Date)))</f>
        <v/>
      </c>
      <c r="J1557">
        <f>IF(OC_Amt=0,"",IF(INDEX('OneCause_Paste'!$A$1557:$AZ$1557,1,OC_Amt)="","",INDEX('OneCause_Paste'!$A$1557:$AZ$1557,1,OC_Amt)))</f>
        <v/>
      </c>
      <c r="K1557">
        <f>IF(OC_Name=0,"",IF(INDEX('OneCause_Paste'!$A$1557:$AZ$1557,1,OC_Name)="","",INDEX('OneCause_Paste'!$A$1557:$AZ$1557,1,OC_Name)))</f>
        <v/>
      </c>
      <c r="L1557">
        <f>IF(OC_Txn=0,"",IF(INDEX('OneCause_Paste'!$A$1557:$AZ$1557,1,OC_Txn)="","",INDEX('OneCause_Paste'!$A$1557:$AZ$1557,1,OC_Txn)))</f>
        <v/>
      </c>
      <c r="M1557">
        <f>IF(OC_Pay=0,"",IF(INDEX('OneCause_Paste'!$A$1557:$AZ$1557,1,OC_Pay)="","",INDEX('OneCause_Paste'!$A$1557:$AZ$1557,1,OC_Pay)))</f>
        <v/>
      </c>
      <c r="N1557">
        <f>IF(I1557="","",IF(ISNUMBER(I1557),INT(I1557),IFERROR(INT(DATEVALUE(I1557)),IFERROR(INT(VALUE(I1557)),"bad"))))</f>
        <v/>
      </c>
      <c r="O1557">
        <f>IF(J1557="","",IF(ISNUMBER(J1557),ROUND(J1557,2),IFERROR(ROUND(VALUE(SUBSTITUTE(SUBSTITUTE(SUBSTITUTE(J1557,"$",""),",","")," ","")),2),"bad")))</f>
        <v/>
      </c>
      <c r="P1557">
        <f>IF(TRIM(K1557)="","",IFERROR(MATCH(LOWER(TRIM(K1557)),'Students'!$AH$2:$AH$701,0),IFERROR(MATCH(LOWER(TRIM(K1557)),'Students'!$AF$2:$AF$701,0),IFERROR(MATCH(LOWER(TRIM(K1557)),'Students'!$AG$2:$AG$701,0),""))))</f>
        <v/>
      </c>
      <c r="R1557">
        <f>IF(P1557="","",INDEX('Students'!$AD$2:$AD$701,P1557))</f>
        <v/>
      </c>
      <c r="S1557">
        <f>IF(H1557="OK",O1557,0)</f>
        <v/>
      </c>
      <c r="T1557">
        <f>IF(H1557="OK",N1557,"")</f>
        <v/>
      </c>
      <c r="U1557">
        <f>IF(OC_Donor=0,"",IF(INDEX('OneCause_Paste'!$A$1557:$AZ$1557,1,OC_Donor)="","",INDEX('OneCause_Paste'!$A$1557:$AZ$1557,1,OC_Donor)))</f>
        <v/>
      </c>
    </row>
    <row r="1558">
      <c r="A1558" s="62">
        <f>IF(H1558="","",IF(ISNUMBER(N1558),N1558,I1558))</f>
        <v/>
      </c>
      <c r="B1558">
        <f>IF(H1558="","",U1558)</f>
        <v/>
      </c>
      <c r="C1558">
        <f>IF(H1558="","",IF(P1558="",K1558,INDEX('Students'!$A$2:$A$701,P1558)))</f>
        <v/>
      </c>
      <c r="D1558">
        <f>IF(OR(H1558="",P1558=""),"",INDEX('Students'!$B$2:$B$701,P1558))</f>
        <v/>
      </c>
      <c r="E1558">
        <f>IF(OR(H1558="",P1558=""),"",INDEX('Students'!$C$2:$C$701,P1558))</f>
        <v/>
      </c>
      <c r="F1558" s="48">
        <f>IF(H1558="","",IF(ISNUMBER(O1558),O1558,J1558))</f>
        <v/>
      </c>
      <c r="G1558">
        <f>IF(H1558="","","OneCause")</f>
        <v/>
      </c>
      <c r="H1558">
        <f>IF(AND(I1558="",J1558="",K1558=""),"",IF(NOT(ISNUMBER(O1558)),"Bad amount",IF(O1558&lt;0,"Refund (not counted)",IF(O1558=0,"Zero amount",IF(NOT(ISNUMBER(N1558)),"Bad date",IF(P1558="","NAME NOT ON ROSTER",IF(L1558="","OK",IF(MATCH(L1558,$L$2:$L$3001,0)&lt;ROW()-1,"Duplicate (ignored)","OK"))))))))</f>
        <v/>
      </c>
      <c r="I1558">
        <f>IF(OC_Date=0,"",IF(INDEX('OneCause_Paste'!$A$1558:$AZ$1558,1,OC_Date)="","",INDEX('OneCause_Paste'!$A$1558:$AZ$1558,1,OC_Date)))</f>
        <v/>
      </c>
      <c r="J1558">
        <f>IF(OC_Amt=0,"",IF(INDEX('OneCause_Paste'!$A$1558:$AZ$1558,1,OC_Amt)="","",INDEX('OneCause_Paste'!$A$1558:$AZ$1558,1,OC_Amt)))</f>
        <v/>
      </c>
      <c r="K1558">
        <f>IF(OC_Name=0,"",IF(INDEX('OneCause_Paste'!$A$1558:$AZ$1558,1,OC_Name)="","",INDEX('OneCause_Paste'!$A$1558:$AZ$1558,1,OC_Name)))</f>
        <v/>
      </c>
      <c r="L1558">
        <f>IF(OC_Txn=0,"",IF(INDEX('OneCause_Paste'!$A$1558:$AZ$1558,1,OC_Txn)="","",INDEX('OneCause_Paste'!$A$1558:$AZ$1558,1,OC_Txn)))</f>
        <v/>
      </c>
      <c r="M1558">
        <f>IF(OC_Pay=0,"",IF(INDEX('OneCause_Paste'!$A$1558:$AZ$1558,1,OC_Pay)="","",INDEX('OneCause_Paste'!$A$1558:$AZ$1558,1,OC_Pay)))</f>
        <v/>
      </c>
      <c r="N1558">
        <f>IF(I1558="","",IF(ISNUMBER(I1558),INT(I1558),IFERROR(INT(DATEVALUE(I1558)),IFERROR(INT(VALUE(I1558)),"bad"))))</f>
        <v/>
      </c>
      <c r="O1558">
        <f>IF(J1558="","",IF(ISNUMBER(J1558),ROUND(J1558,2),IFERROR(ROUND(VALUE(SUBSTITUTE(SUBSTITUTE(SUBSTITUTE(J1558,"$",""),",","")," ","")),2),"bad")))</f>
        <v/>
      </c>
      <c r="P1558">
        <f>IF(TRIM(K1558)="","",IFERROR(MATCH(LOWER(TRIM(K1558)),'Students'!$AH$2:$AH$701,0),IFERROR(MATCH(LOWER(TRIM(K1558)),'Students'!$AF$2:$AF$701,0),IFERROR(MATCH(LOWER(TRIM(K1558)),'Students'!$AG$2:$AG$701,0),""))))</f>
        <v/>
      </c>
      <c r="R1558">
        <f>IF(P1558="","",INDEX('Students'!$AD$2:$AD$701,P1558))</f>
        <v/>
      </c>
      <c r="S1558">
        <f>IF(H1558="OK",O1558,0)</f>
        <v/>
      </c>
      <c r="T1558">
        <f>IF(H1558="OK",N1558,"")</f>
        <v/>
      </c>
      <c r="U1558">
        <f>IF(OC_Donor=0,"",IF(INDEX('OneCause_Paste'!$A$1558:$AZ$1558,1,OC_Donor)="","",INDEX('OneCause_Paste'!$A$1558:$AZ$1558,1,OC_Donor)))</f>
        <v/>
      </c>
    </row>
    <row r="1559">
      <c r="A1559" s="62">
        <f>IF(H1559="","",IF(ISNUMBER(N1559),N1559,I1559))</f>
        <v/>
      </c>
      <c r="B1559">
        <f>IF(H1559="","",U1559)</f>
        <v/>
      </c>
      <c r="C1559">
        <f>IF(H1559="","",IF(P1559="",K1559,INDEX('Students'!$A$2:$A$701,P1559)))</f>
        <v/>
      </c>
      <c r="D1559">
        <f>IF(OR(H1559="",P1559=""),"",INDEX('Students'!$B$2:$B$701,P1559))</f>
        <v/>
      </c>
      <c r="E1559">
        <f>IF(OR(H1559="",P1559=""),"",INDEX('Students'!$C$2:$C$701,P1559))</f>
        <v/>
      </c>
      <c r="F1559" s="48">
        <f>IF(H1559="","",IF(ISNUMBER(O1559),O1559,J1559))</f>
        <v/>
      </c>
      <c r="G1559">
        <f>IF(H1559="","","OneCause")</f>
        <v/>
      </c>
      <c r="H1559">
        <f>IF(AND(I1559="",J1559="",K1559=""),"",IF(NOT(ISNUMBER(O1559)),"Bad amount",IF(O1559&lt;0,"Refund (not counted)",IF(O1559=0,"Zero amount",IF(NOT(ISNUMBER(N1559)),"Bad date",IF(P1559="","NAME NOT ON ROSTER",IF(L1559="","OK",IF(MATCH(L1559,$L$2:$L$3001,0)&lt;ROW()-1,"Duplicate (ignored)","OK"))))))))</f>
        <v/>
      </c>
      <c r="I1559">
        <f>IF(OC_Date=0,"",IF(INDEX('OneCause_Paste'!$A$1559:$AZ$1559,1,OC_Date)="","",INDEX('OneCause_Paste'!$A$1559:$AZ$1559,1,OC_Date)))</f>
        <v/>
      </c>
      <c r="J1559">
        <f>IF(OC_Amt=0,"",IF(INDEX('OneCause_Paste'!$A$1559:$AZ$1559,1,OC_Amt)="","",INDEX('OneCause_Paste'!$A$1559:$AZ$1559,1,OC_Amt)))</f>
        <v/>
      </c>
      <c r="K1559">
        <f>IF(OC_Name=0,"",IF(INDEX('OneCause_Paste'!$A$1559:$AZ$1559,1,OC_Name)="","",INDEX('OneCause_Paste'!$A$1559:$AZ$1559,1,OC_Name)))</f>
        <v/>
      </c>
      <c r="L1559">
        <f>IF(OC_Txn=0,"",IF(INDEX('OneCause_Paste'!$A$1559:$AZ$1559,1,OC_Txn)="","",INDEX('OneCause_Paste'!$A$1559:$AZ$1559,1,OC_Txn)))</f>
        <v/>
      </c>
      <c r="M1559">
        <f>IF(OC_Pay=0,"",IF(INDEX('OneCause_Paste'!$A$1559:$AZ$1559,1,OC_Pay)="","",INDEX('OneCause_Paste'!$A$1559:$AZ$1559,1,OC_Pay)))</f>
        <v/>
      </c>
      <c r="N1559">
        <f>IF(I1559="","",IF(ISNUMBER(I1559),INT(I1559),IFERROR(INT(DATEVALUE(I1559)),IFERROR(INT(VALUE(I1559)),"bad"))))</f>
        <v/>
      </c>
      <c r="O1559">
        <f>IF(J1559="","",IF(ISNUMBER(J1559),ROUND(J1559,2),IFERROR(ROUND(VALUE(SUBSTITUTE(SUBSTITUTE(SUBSTITUTE(J1559,"$",""),",","")," ","")),2),"bad")))</f>
        <v/>
      </c>
      <c r="P1559">
        <f>IF(TRIM(K1559)="","",IFERROR(MATCH(LOWER(TRIM(K1559)),'Students'!$AH$2:$AH$701,0),IFERROR(MATCH(LOWER(TRIM(K1559)),'Students'!$AF$2:$AF$701,0),IFERROR(MATCH(LOWER(TRIM(K1559)),'Students'!$AG$2:$AG$701,0),""))))</f>
        <v/>
      </c>
      <c r="R1559">
        <f>IF(P1559="","",INDEX('Students'!$AD$2:$AD$701,P1559))</f>
        <v/>
      </c>
      <c r="S1559">
        <f>IF(H1559="OK",O1559,0)</f>
        <v/>
      </c>
      <c r="T1559">
        <f>IF(H1559="OK",N1559,"")</f>
        <v/>
      </c>
      <c r="U1559">
        <f>IF(OC_Donor=0,"",IF(INDEX('OneCause_Paste'!$A$1559:$AZ$1559,1,OC_Donor)="","",INDEX('OneCause_Paste'!$A$1559:$AZ$1559,1,OC_Donor)))</f>
        <v/>
      </c>
    </row>
    <row r="1560">
      <c r="A1560" s="62">
        <f>IF(H1560="","",IF(ISNUMBER(N1560),N1560,I1560))</f>
        <v/>
      </c>
      <c r="B1560">
        <f>IF(H1560="","",U1560)</f>
        <v/>
      </c>
      <c r="C1560">
        <f>IF(H1560="","",IF(P1560="",K1560,INDEX('Students'!$A$2:$A$701,P1560)))</f>
        <v/>
      </c>
      <c r="D1560">
        <f>IF(OR(H1560="",P1560=""),"",INDEX('Students'!$B$2:$B$701,P1560))</f>
        <v/>
      </c>
      <c r="E1560">
        <f>IF(OR(H1560="",P1560=""),"",INDEX('Students'!$C$2:$C$701,P1560))</f>
        <v/>
      </c>
      <c r="F1560" s="48">
        <f>IF(H1560="","",IF(ISNUMBER(O1560),O1560,J1560))</f>
        <v/>
      </c>
      <c r="G1560">
        <f>IF(H1560="","","OneCause")</f>
        <v/>
      </c>
      <c r="H1560">
        <f>IF(AND(I1560="",J1560="",K1560=""),"",IF(NOT(ISNUMBER(O1560)),"Bad amount",IF(O1560&lt;0,"Refund (not counted)",IF(O1560=0,"Zero amount",IF(NOT(ISNUMBER(N1560)),"Bad date",IF(P1560="","NAME NOT ON ROSTER",IF(L1560="","OK",IF(MATCH(L1560,$L$2:$L$3001,0)&lt;ROW()-1,"Duplicate (ignored)","OK"))))))))</f>
        <v/>
      </c>
      <c r="I1560">
        <f>IF(OC_Date=0,"",IF(INDEX('OneCause_Paste'!$A$1560:$AZ$1560,1,OC_Date)="","",INDEX('OneCause_Paste'!$A$1560:$AZ$1560,1,OC_Date)))</f>
        <v/>
      </c>
      <c r="J1560">
        <f>IF(OC_Amt=0,"",IF(INDEX('OneCause_Paste'!$A$1560:$AZ$1560,1,OC_Amt)="","",INDEX('OneCause_Paste'!$A$1560:$AZ$1560,1,OC_Amt)))</f>
        <v/>
      </c>
      <c r="K1560">
        <f>IF(OC_Name=0,"",IF(INDEX('OneCause_Paste'!$A$1560:$AZ$1560,1,OC_Name)="","",INDEX('OneCause_Paste'!$A$1560:$AZ$1560,1,OC_Name)))</f>
        <v/>
      </c>
      <c r="L1560">
        <f>IF(OC_Txn=0,"",IF(INDEX('OneCause_Paste'!$A$1560:$AZ$1560,1,OC_Txn)="","",INDEX('OneCause_Paste'!$A$1560:$AZ$1560,1,OC_Txn)))</f>
        <v/>
      </c>
      <c r="M1560">
        <f>IF(OC_Pay=0,"",IF(INDEX('OneCause_Paste'!$A$1560:$AZ$1560,1,OC_Pay)="","",INDEX('OneCause_Paste'!$A$1560:$AZ$1560,1,OC_Pay)))</f>
        <v/>
      </c>
      <c r="N1560">
        <f>IF(I1560="","",IF(ISNUMBER(I1560),INT(I1560),IFERROR(INT(DATEVALUE(I1560)),IFERROR(INT(VALUE(I1560)),"bad"))))</f>
        <v/>
      </c>
      <c r="O1560">
        <f>IF(J1560="","",IF(ISNUMBER(J1560),ROUND(J1560,2),IFERROR(ROUND(VALUE(SUBSTITUTE(SUBSTITUTE(SUBSTITUTE(J1560,"$",""),",","")," ","")),2),"bad")))</f>
        <v/>
      </c>
      <c r="P1560">
        <f>IF(TRIM(K1560)="","",IFERROR(MATCH(LOWER(TRIM(K1560)),'Students'!$AH$2:$AH$701,0),IFERROR(MATCH(LOWER(TRIM(K1560)),'Students'!$AF$2:$AF$701,0),IFERROR(MATCH(LOWER(TRIM(K1560)),'Students'!$AG$2:$AG$701,0),""))))</f>
        <v/>
      </c>
      <c r="R1560">
        <f>IF(P1560="","",INDEX('Students'!$AD$2:$AD$701,P1560))</f>
        <v/>
      </c>
      <c r="S1560">
        <f>IF(H1560="OK",O1560,0)</f>
        <v/>
      </c>
      <c r="T1560">
        <f>IF(H1560="OK",N1560,"")</f>
        <v/>
      </c>
      <c r="U1560">
        <f>IF(OC_Donor=0,"",IF(INDEX('OneCause_Paste'!$A$1560:$AZ$1560,1,OC_Donor)="","",INDEX('OneCause_Paste'!$A$1560:$AZ$1560,1,OC_Donor)))</f>
        <v/>
      </c>
    </row>
    <row r="1561">
      <c r="A1561" s="62">
        <f>IF(H1561="","",IF(ISNUMBER(N1561),N1561,I1561))</f>
        <v/>
      </c>
      <c r="B1561">
        <f>IF(H1561="","",U1561)</f>
        <v/>
      </c>
      <c r="C1561">
        <f>IF(H1561="","",IF(P1561="",K1561,INDEX('Students'!$A$2:$A$701,P1561)))</f>
        <v/>
      </c>
      <c r="D1561">
        <f>IF(OR(H1561="",P1561=""),"",INDEX('Students'!$B$2:$B$701,P1561))</f>
        <v/>
      </c>
      <c r="E1561">
        <f>IF(OR(H1561="",P1561=""),"",INDEX('Students'!$C$2:$C$701,P1561))</f>
        <v/>
      </c>
      <c r="F1561" s="48">
        <f>IF(H1561="","",IF(ISNUMBER(O1561),O1561,J1561))</f>
        <v/>
      </c>
      <c r="G1561">
        <f>IF(H1561="","","OneCause")</f>
        <v/>
      </c>
      <c r="H1561">
        <f>IF(AND(I1561="",J1561="",K1561=""),"",IF(NOT(ISNUMBER(O1561)),"Bad amount",IF(O1561&lt;0,"Refund (not counted)",IF(O1561=0,"Zero amount",IF(NOT(ISNUMBER(N1561)),"Bad date",IF(P1561="","NAME NOT ON ROSTER",IF(L1561="","OK",IF(MATCH(L1561,$L$2:$L$3001,0)&lt;ROW()-1,"Duplicate (ignored)","OK"))))))))</f>
        <v/>
      </c>
      <c r="I1561">
        <f>IF(OC_Date=0,"",IF(INDEX('OneCause_Paste'!$A$1561:$AZ$1561,1,OC_Date)="","",INDEX('OneCause_Paste'!$A$1561:$AZ$1561,1,OC_Date)))</f>
        <v/>
      </c>
      <c r="J1561">
        <f>IF(OC_Amt=0,"",IF(INDEX('OneCause_Paste'!$A$1561:$AZ$1561,1,OC_Amt)="","",INDEX('OneCause_Paste'!$A$1561:$AZ$1561,1,OC_Amt)))</f>
        <v/>
      </c>
      <c r="K1561">
        <f>IF(OC_Name=0,"",IF(INDEX('OneCause_Paste'!$A$1561:$AZ$1561,1,OC_Name)="","",INDEX('OneCause_Paste'!$A$1561:$AZ$1561,1,OC_Name)))</f>
        <v/>
      </c>
      <c r="L1561">
        <f>IF(OC_Txn=0,"",IF(INDEX('OneCause_Paste'!$A$1561:$AZ$1561,1,OC_Txn)="","",INDEX('OneCause_Paste'!$A$1561:$AZ$1561,1,OC_Txn)))</f>
        <v/>
      </c>
      <c r="M1561">
        <f>IF(OC_Pay=0,"",IF(INDEX('OneCause_Paste'!$A$1561:$AZ$1561,1,OC_Pay)="","",INDEX('OneCause_Paste'!$A$1561:$AZ$1561,1,OC_Pay)))</f>
        <v/>
      </c>
      <c r="N1561">
        <f>IF(I1561="","",IF(ISNUMBER(I1561),INT(I1561),IFERROR(INT(DATEVALUE(I1561)),IFERROR(INT(VALUE(I1561)),"bad"))))</f>
        <v/>
      </c>
      <c r="O1561">
        <f>IF(J1561="","",IF(ISNUMBER(J1561),ROUND(J1561,2),IFERROR(ROUND(VALUE(SUBSTITUTE(SUBSTITUTE(SUBSTITUTE(J1561,"$",""),",","")," ","")),2),"bad")))</f>
        <v/>
      </c>
      <c r="P1561">
        <f>IF(TRIM(K1561)="","",IFERROR(MATCH(LOWER(TRIM(K1561)),'Students'!$AH$2:$AH$701,0),IFERROR(MATCH(LOWER(TRIM(K1561)),'Students'!$AF$2:$AF$701,0),IFERROR(MATCH(LOWER(TRIM(K1561)),'Students'!$AG$2:$AG$701,0),""))))</f>
        <v/>
      </c>
      <c r="R1561">
        <f>IF(P1561="","",INDEX('Students'!$AD$2:$AD$701,P1561))</f>
        <v/>
      </c>
      <c r="S1561">
        <f>IF(H1561="OK",O1561,0)</f>
        <v/>
      </c>
      <c r="T1561">
        <f>IF(H1561="OK",N1561,"")</f>
        <v/>
      </c>
      <c r="U1561">
        <f>IF(OC_Donor=0,"",IF(INDEX('OneCause_Paste'!$A$1561:$AZ$1561,1,OC_Donor)="","",INDEX('OneCause_Paste'!$A$1561:$AZ$1561,1,OC_Donor)))</f>
        <v/>
      </c>
    </row>
    <row r="1562">
      <c r="A1562" s="62">
        <f>IF(H1562="","",IF(ISNUMBER(N1562),N1562,I1562))</f>
        <v/>
      </c>
      <c r="B1562">
        <f>IF(H1562="","",U1562)</f>
        <v/>
      </c>
      <c r="C1562">
        <f>IF(H1562="","",IF(P1562="",K1562,INDEX('Students'!$A$2:$A$701,P1562)))</f>
        <v/>
      </c>
      <c r="D1562">
        <f>IF(OR(H1562="",P1562=""),"",INDEX('Students'!$B$2:$B$701,P1562))</f>
        <v/>
      </c>
      <c r="E1562">
        <f>IF(OR(H1562="",P1562=""),"",INDEX('Students'!$C$2:$C$701,P1562))</f>
        <v/>
      </c>
      <c r="F1562" s="48">
        <f>IF(H1562="","",IF(ISNUMBER(O1562),O1562,J1562))</f>
        <v/>
      </c>
      <c r="G1562">
        <f>IF(H1562="","","OneCause")</f>
        <v/>
      </c>
      <c r="H1562">
        <f>IF(AND(I1562="",J1562="",K1562=""),"",IF(NOT(ISNUMBER(O1562)),"Bad amount",IF(O1562&lt;0,"Refund (not counted)",IF(O1562=0,"Zero amount",IF(NOT(ISNUMBER(N1562)),"Bad date",IF(P1562="","NAME NOT ON ROSTER",IF(L1562="","OK",IF(MATCH(L1562,$L$2:$L$3001,0)&lt;ROW()-1,"Duplicate (ignored)","OK"))))))))</f>
        <v/>
      </c>
      <c r="I1562">
        <f>IF(OC_Date=0,"",IF(INDEX('OneCause_Paste'!$A$1562:$AZ$1562,1,OC_Date)="","",INDEX('OneCause_Paste'!$A$1562:$AZ$1562,1,OC_Date)))</f>
        <v/>
      </c>
      <c r="J1562">
        <f>IF(OC_Amt=0,"",IF(INDEX('OneCause_Paste'!$A$1562:$AZ$1562,1,OC_Amt)="","",INDEX('OneCause_Paste'!$A$1562:$AZ$1562,1,OC_Amt)))</f>
        <v/>
      </c>
      <c r="K1562">
        <f>IF(OC_Name=0,"",IF(INDEX('OneCause_Paste'!$A$1562:$AZ$1562,1,OC_Name)="","",INDEX('OneCause_Paste'!$A$1562:$AZ$1562,1,OC_Name)))</f>
        <v/>
      </c>
      <c r="L1562">
        <f>IF(OC_Txn=0,"",IF(INDEX('OneCause_Paste'!$A$1562:$AZ$1562,1,OC_Txn)="","",INDEX('OneCause_Paste'!$A$1562:$AZ$1562,1,OC_Txn)))</f>
        <v/>
      </c>
      <c r="M1562">
        <f>IF(OC_Pay=0,"",IF(INDEX('OneCause_Paste'!$A$1562:$AZ$1562,1,OC_Pay)="","",INDEX('OneCause_Paste'!$A$1562:$AZ$1562,1,OC_Pay)))</f>
        <v/>
      </c>
      <c r="N1562">
        <f>IF(I1562="","",IF(ISNUMBER(I1562),INT(I1562),IFERROR(INT(DATEVALUE(I1562)),IFERROR(INT(VALUE(I1562)),"bad"))))</f>
        <v/>
      </c>
      <c r="O1562">
        <f>IF(J1562="","",IF(ISNUMBER(J1562),ROUND(J1562,2),IFERROR(ROUND(VALUE(SUBSTITUTE(SUBSTITUTE(SUBSTITUTE(J1562,"$",""),",","")," ","")),2),"bad")))</f>
        <v/>
      </c>
      <c r="P1562">
        <f>IF(TRIM(K1562)="","",IFERROR(MATCH(LOWER(TRIM(K1562)),'Students'!$AH$2:$AH$701,0),IFERROR(MATCH(LOWER(TRIM(K1562)),'Students'!$AF$2:$AF$701,0),IFERROR(MATCH(LOWER(TRIM(K1562)),'Students'!$AG$2:$AG$701,0),""))))</f>
        <v/>
      </c>
      <c r="R1562">
        <f>IF(P1562="","",INDEX('Students'!$AD$2:$AD$701,P1562))</f>
        <v/>
      </c>
      <c r="S1562">
        <f>IF(H1562="OK",O1562,0)</f>
        <v/>
      </c>
      <c r="T1562">
        <f>IF(H1562="OK",N1562,"")</f>
        <v/>
      </c>
      <c r="U1562">
        <f>IF(OC_Donor=0,"",IF(INDEX('OneCause_Paste'!$A$1562:$AZ$1562,1,OC_Donor)="","",INDEX('OneCause_Paste'!$A$1562:$AZ$1562,1,OC_Donor)))</f>
        <v/>
      </c>
    </row>
    <row r="1563">
      <c r="A1563" s="62">
        <f>IF(H1563="","",IF(ISNUMBER(N1563),N1563,I1563))</f>
        <v/>
      </c>
      <c r="B1563">
        <f>IF(H1563="","",U1563)</f>
        <v/>
      </c>
      <c r="C1563">
        <f>IF(H1563="","",IF(P1563="",K1563,INDEX('Students'!$A$2:$A$701,P1563)))</f>
        <v/>
      </c>
      <c r="D1563">
        <f>IF(OR(H1563="",P1563=""),"",INDEX('Students'!$B$2:$B$701,P1563))</f>
        <v/>
      </c>
      <c r="E1563">
        <f>IF(OR(H1563="",P1563=""),"",INDEX('Students'!$C$2:$C$701,P1563))</f>
        <v/>
      </c>
      <c r="F1563" s="48">
        <f>IF(H1563="","",IF(ISNUMBER(O1563),O1563,J1563))</f>
        <v/>
      </c>
      <c r="G1563">
        <f>IF(H1563="","","OneCause")</f>
        <v/>
      </c>
      <c r="H1563">
        <f>IF(AND(I1563="",J1563="",K1563=""),"",IF(NOT(ISNUMBER(O1563)),"Bad amount",IF(O1563&lt;0,"Refund (not counted)",IF(O1563=0,"Zero amount",IF(NOT(ISNUMBER(N1563)),"Bad date",IF(P1563="","NAME NOT ON ROSTER",IF(L1563="","OK",IF(MATCH(L1563,$L$2:$L$3001,0)&lt;ROW()-1,"Duplicate (ignored)","OK"))))))))</f>
        <v/>
      </c>
      <c r="I1563">
        <f>IF(OC_Date=0,"",IF(INDEX('OneCause_Paste'!$A$1563:$AZ$1563,1,OC_Date)="","",INDEX('OneCause_Paste'!$A$1563:$AZ$1563,1,OC_Date)))</f>
        <v/>
      </c>
      <c r="J1563">
        <f>IF(OC_Amt=0,"",IF(INDEX('OneCause_Paste'!$A$1563:$AZ$1563,1,OC_Amt)="","",INDEX('OneCause_Paste'!$A$1563:$AZ$1563,1,OC_Amt)))</f>
        <v/>
      </c>
      <c r="K1563">
        <f>IF(OC_Name=0,"",IF(INDEX('OneCause_Paste'!$A$1563:$AZ$1563,1,OC_Name)="","",INDEX('OneCause_Paste'!$A$1563:$AZ$1563,1,OC_Name)))</f>
        <v/>
      </c>
      <c r="L1563">
        <f>IF(OC_Txn=0,"",IF(INDEX('OneCause_Paste'!$A$1563:$AZ$1563,1,OC_Txn)="","",INDEX('OneCause_Paste'!$A$1563:$AZ$1563,1,OC_Txn)))</f>
        <v/>
      </c>
      <c r="M1563">
        <f>IF(OC_Pay=0,"",IF(INDEX('OneCause_Paste'!$A$1563:$AZ$1563,1,OC_Pay)="","",INDEX('OneCause_Paste'!$A$1563:$AZ$1563,1,OC_Pay)))</f>
        <v/>
      </c>
      <c r="N1563">
        <f>IF(I1563="","",IF(ISNUMBER(I1563),INT(I1563),IFERROR(INT(DATEVALUE(I1563)),IFERROR(INT(VALUE(I1563)),"bad"))))</f>
        <v/>
      </c>
      <c r="O1563">
        <f>IF(J1563="","",IF(ISNUMBER(J1563),ROUND(J1563,2),IFERROR(ROUND(VALUE(SUBSTITUTE(SUBSTITUTE(SUBSTITUTE(J1563,"$",""),",","")," ","")),2),"bad")))</f>
        <v/>
      </c>
      <c r="P1563">
        <f>IF(TRIM(K1563)="","",IFERROR(MATCH(LOWER(TRIM(K1563)),'Students'!$AH$2:$AH$701,0),IFERROR(MATCH(LOWER(TRIM(K1563)),'Students'!$AF$2:$AF$701,0),IFERROR(MATCH(LOWER(TRIM(K1563)),'Students'!$AG$2:$AG$701,0),""))))</f>
        <v/>
      </c>
      <c r="R1563">
        <f>IF(P1563="","",INDEX('Students'!$AD$2:$AD$701,P1563))</f>
        <v/>
      </c>
      <c r="S1563">
        <f>IF(H1563="OK",O1563,0)</f>
        <v/>
      </c>
      <c r="T1563">
        <f>IF(H1563="OK",N1563,"")</f>
        <v/>
      </c>
      <c r="U1563">
        <f>IF(OC_Donor=0,"",IF(INDEX('OneCause_Paste'!$A$1563:$AZ$1563,1,OC_Donor)="","",INDEX('OneCause_Paste'!$A$1563:$AZ$1563,1,OC_Donor)))</f>
        <v/>
      </c>
    </row>
    <row r="1564">
      <c r="A1564" s="62">
        <f>IF(H1564="","",IF(ISNUMBER(N1564),N1564,I1564))</f>
        <v/>
      </c>
      <c r="B1564">
        <f>IF(H1564="","",U1564)</f>
        <v/>
      </c>
      <c r="C1564">
        <f>IF(H1564="","",IF(P1564="",K1564,INDEX('Students'!$A$2:$A$701,P1564)))</f>
        <v/>
      </c>
      <c r="D1564">
        <f>IF(OR(H1564="",P1564=""),"",INDEX('Students'!$B$2:$B$701,P1564))</f>
        <v/>
      </c>
      <c r="E1564">
        <f>IF(OR(H1564="",P1564=""),"",INDEX('Students'!$C$2:$C$701,P1564))</f>
        <v/>
      </c>
      <c r="F1564" s="48">
        <f>IF(H1564="","",IF(ISNUMBER(O1564),O1564,J1564))</f>
        <v/>
      </c>
      <c r="G1564">
        <f>IF(H1564="","","OneCause")</f>
        <v/>
      </c>
      <c r="H1564">
        <f>IF(AND(I1564="",J1564="",K1564=""),"",IF(NOT(ISNUMBER(O1564)),"Bad amount",IF(O1564&lt;0,"Refund (not counted)",IF(O1564=0,"Zero amount",IF(NOT(ISNUMBER(N1564)),"Bad date",IF(P1564="","NAME NOT ON ROSTER",IF(L1564="","OK",IF(MATCH(L1564,$L$2:$L$3001,0)&lt;ROW()-1,"Duplicate (ignored)","OK"))))))))</f>
        <v/>
      </c>
      <c r="I1564">
        <f>IF(OC_Date=0,"",IF(INDEX('OneCause_Paste'!$A$1564:$AZ$1564,1,OC_Date)="","",INDEX('OneCause_Paste'!$A$1564:$AZ$1564,1,OC_Date)))</f>
        <v/>
      </c>
      <c r="J1564">
        <f>IF(OC_Amt=0,"",IF(INDEX('OneCause_Paste'!$A$1564:$AZ$1564,1,OC_Amt)="","",INDEX('OneCause_Paste'!$A$1564:$AZ$1564,1,OC_Amt)))</f>
        <v/>
      </c>
      <c r="K1564">
        <f>IF(OC_Name=0,"",IF(INDEX('OneCause_Paste'!$A$1564:$AZ$1564,1,OC_Name)="","",INDEX('OneCause_Paste'!$A$1564:$AZ$1564,1,OC_Name)))</f>
        <v/>
      </c>
      <c r="L1564">
        <f>IF(OC_Txn=0,"",IF(INDEX('OneCause_Paste'!$A$1564:$AZ$1564,1,OC_Txn)="","",INDEX('OneCause_Paste'!$A$1564:$AZ$1564,1,OC_Txn)))</f>
        <v/>
      </c>
      <c r="M1564">
        <f>IF(OC_Pay=0,"",IF(INDEX('OneCause_Paste'!$A$1564:$AZ$1564,1,OC_Pay)="","",INDEX('OneCause_Paste'!$A$1564:$AZ$1564,1,OC_Pay)))</f>
        <v/>
      </c>
      <c r="N1564">
        <f>IF(I1564="","",IF(ISNUMBER(I1564),INT(I1564),IFERROR(INT(DATEVALUE(I1564)),IFERROR(INT(VALUE(I1564)),"bad"))))</f>
        <v/>
      </c>
      <c r="O1564">
        <f>IF(J1564="","",IF(ISNUMBER(J1564),ROUND(J1564,2),IFERROR(ROUND(VALUE(SUBSTITUTE(SUBSTITUTE(SUBSTITUTE(J1564,"$",""),",","")," ","")),2),"bad")))</f>
        <v/>
      </c>
      <c r="P1564">
        <f>IF(TRIM(K1564)="","",IFERROR(MATCH(LOWER(TRIM(K1564)),'Students'!$AH$2:$AH$701,0),IFERROR(MATCH(LOWER(TRIM(K1564)),'Students'!$AF$2:$AF$701,0),IFERROR(MATCH(LOWER(TRIM(K1564)),'Students'!$AG$2:$AG$701,0),""))))</f>
        <v/>
      </c>
      <c r="R1564">
        <f>IF(P1564="","",INDEX('Students'!$AD$2:$AD$701,P1564))</f>
        <v/>
      </c>
      <c r="S1564">
        <f>IF(H1564="OK",O1564,0)</f>
        <v/>
      </c>
      <c r="T1564">
        <f>IF(H1564="OK",N1564,"")</f>
        <v/>
      </c>
      <c r="U1564">
        <f>IF(OC_Donor=0,"",IF(INDEX('OneCause_Paste'!$A$1564:$AZ$1564,1,OC_Donor)="","",INDEX('OneCause_Paste'!$A$1564:$AZ$1564,1,OC_Donor)))</f>
        <v/>
      </c>
    </row>
    <row r="1565">
      <c r="A1565" s="62">
        <f>IF(H1565="","",IF(ISNUMBER(N1565),N1565,I1565))</f>
        <v/>
      </c>
      <c r="B1565">
        <f>IF(H1565="","",U1565)</f>
        <v/>
      </c>
      <c r="C1565">
        <f>IF(H1565="","",IF(P1565="",K1565,INDEX('Students'!$A$2:$A$701,P1565)))</f>
        <v/>
      </c>
      <c r="D1565">
        <f>IF(OR(H1565="",P1565=""),"",INDEX('Students'!$B$2:$B$701,P1565))</f>
        <v/>
      </c>
      <c r="E1565">
        <f>IF(OR(H1565="",P1565=""),"",INDEX('Students'!$C$2:$C$701,P1565))</f>
        <v/>
      </c>
      <c r="F1565" s="48">
        <f>IF(H1565="","",IF(ISNUMBER(O1565),O1565,J1565))</f>
        <v/>
      </c>
      <c r="G1565">
        <f>IF(H1565="","","OneCause")</f>
        <v/>
      </c>
      <c r="H1565">
        <f>IF(AND(I1565="",J1565="",K1565=""),"",IF(NOT(ISNUMBER(O1565)),"Bad amount",IF(O1565&lt;0,"Refund (not counted)",IF(O1565=0,"Zero amount",IF(NOT(ISNUMBER(N1565)),"Bad date",IF(P1565="","NAME NOT ON ROSTER",IF(L1565="","OK",IF(MATCH(L1565,$L$2:$L$3001,0)&lt;ROW()-1,"Duplicate (ignored)","OK"))))))))</f>
        <v/>
      </c>
      <c r="I1565">
        <f>IF(OC_Date=0,"",IF(INDEX('OneCause_Paste'!$A$1565:$AZ$1565,1,OC_Date)="","",INDEX('OneCause_Paste'!$A$1565:$AZ$1565,1,OC_Date)))</f>
        <v/>
      </c>
      <c r="J1565">
        <f>IF(OC_Amt=0,"",IF(INDEX('OneCause_Paste'!$A$1565:$AZ$1565,1,OC_Amt)="","",INDEX('OneCause_Paste'!$A$1565:$AZ$1565,1,OC_Amt)))</f>
        <v/>
      </c>
      <c r="K1565">
        <f>IF(OC_Name=0,"",IF(INDEX('OneCause_Paste'!$A$1565:$AZ$1565,1,OC_Name)="","",INDEX('OneCause_Paste'!$A$1565:$AZ$1565,1,OC_Name)))</f>
        <v/>
      </c>
      <c r="L1565">
        <f>IF(OC_Txn=0,"",IF(INDEX('OneCause_Paste'!$A$1565:$AZ$1565,1,OC_Txn)="","",INDEX('OneCause_Paste'!$A$1565:$AZ$1565,1,OC_Txn)))</f>
        <v/>
      </c>
      <c r="M1565">
        <f>IF(OC_Pay=0,"",IF(INDEX('OneCause_Paste'!$A$1565:$AZ$1565,1,OC_Pay)="","",INDEX('OneCause_Paste'!$A$1565:$AZ$1565,1,OC_Pay)))</f>
        <v/>
      </c>
      <c r="N1565">
        <f>IF(I1565="","",IF(ISNUMBER(I1565),INT(I1565),IFERROR(INT(DATEVALUE(I1565)),IFERROR(INT(VALUE(I1565)),"bad"))))</f>
        <v/>
      </c>
      <c r="O1565">
        <f>IF(J1565="","",IF(ISNUMBER(J1565),ROUND(J1565,2),IFERROR(ROUND(VALUE(SUBSTITUTE(SUBSTITUTE(SUBSTITUTE(J1565,"$",""),",","")," ","")),2),"bad")))</f>
        <v/>
      </c>
      <c r="P1565">
        <f>IF(TRIM(K1565)="","",IFERROR(MATCH(LOWER(TRIM(K1565)),'Students'!$AH$2:$AH$701,0),IFERROR(MATCH(LOWER(TRIM(K1565)),'Students'!$AF$2:$AF$701,0),IFERROR(MATCH(LOWER(TRIM(K1565)),'Students'!$AG$2:$AG$701,0),""))))</f>
        <v/>
      </c>
      <c r="R1565">
        <f>IF(P1565="","",INDEX('Students'!$AD$2:$AD$701,P1565))</f>
        <v/>
      </c>
      <c r="S1565">
        <f>IF(H1565="OK",O1565,0)</f>
        <v/>
      </c>
      <c r="T1565">
        <f>IF(H1565="OK",N1565,"")</f>
        <v/>
      </c>
      <c r="U1565">
        <f>IF(OC_Donor=0,"",IF(INDEX('OneCause_Paste'!$A$1565:$AZ$1565,1,OC_Donor)="","",INDEX('OneCause_Paste'!$A$1565:$AZ$1565,1,OC_Donor)))</f>
        <v/>
      </c>
    </row>
    <row r="1566">
      <c r="A1566" s="62">
        <f>IF(H1566="","",IF(ISNUMBER(N1566),N1566,I1566))</f>
        <v/>
      </c>
      <c r="B1566">
        <f>IF(H1566="","",U1566)</f>
        <v/>
      </c>
      <c r="C1566">
        <f>IF(H1566="","",IF(P1566="",K1566,INDEX('Students'!$A$2:$A$701,P1566)))</f>
        <v/>
      </c>
      <c r="D1566">
        <f>IF(OR(H1566="",P1566=""),"",INDEX('Students'!$B$2:$B$701,P1566))</f>
        <v/>
      </c>
      <c r="E1566">
        <f>IF(OR(H1566="",P1566=""),"",INDEX('Students'!$C$2:$C$701,P1566))</f>
        <v/>
      </c>
      <c r="F1566" s="48">
        <f>IF(H1566="","",IF(ISNUMBER(O1566),O1566,J1566))</f>
        <v/>
      </c>
      <c r="G1566">
        <f>IF(H1566="","","OneCause")</f>
        <v/>
      </c>
      <c r="H1566">
        <f>IF(AND(I1566="",J1566="",K1566=""),"",IF(NOT(ISNUMBER(O1566)),"Bad amount",IF(O1566&lt;0,"Refund (not counted)",IF(O1566=0,"Zero amount",IF(NOT(ISNUMBER(N1566)),"Bad date",IF(P1566="","NAME NOT ON ROSTER",IF(L1566="","OK",IF(MATCH(L1566,$L$2:$L$3001,0)&lt;ROW()-1,"Duplicate (ignored)","OK"))))))))</f>
        <v/>
      </c>
      <c r="I1566">
        <f>IF(OC_Date=0,"",IF(INDEX('OneCause_Paste'!$A$1566:$AZ$1566,1,OC_Date)="","",INDEX('OneCause_Paste'!$A$1566:$AZ$1566,1,OC_Date)))</f>
        <v/>
      </c>
      <c r="J1566">
        <f>IF(OC_Amt=0,"",IF(INDEX('OneCause_Paste'!$A$1566:$AZ$1566,1,OC_Amt)="","",INDEX('OneCause_Paste'!$A$1566:$AZ$1566,1,OC_Amt)))</f>
        <v/>
      </c>
      <c r="K1566">
        <f>IF(OC_Name=0,"",IF(INDEX('OneCause_Paste'!$A$1566:$AZ$1566,1,OC_Name)="","",INDEX('OneCause_Paste'!$A$1566:$AZ$1566,1,OC_Name)))</f>
        <v/>
      </c>
      <c r="L1566">
        <f>IF(OC_Txn=0,"",IF(INDEX('OneCause_Paste'!$A$1566:$AZ$1566,1,OC_Txn)="","",INDEX('OneCause_Paste'!$A$1566:$AZ$1566,1,OC_Txn)))</f>
        <v/>
      </c>
      <c r="M1566">
        <f>IF(OC_Pay=0,"",IF(INDEX('OneCause_Paste'!$A$1566:$AZ$1566,1,OC_Pay)="","",INDEX('OneCause_Paste'!$A$1566:$AZ$1566,1,OC_Pay)))</f>
        <v/>
      </c>
      <c r="N1566">
        <f>IF(I1566="","",IF(ISNUMBER(I1566),INT(I1566),IFERROR(INT(DATEVALUE(I1566)),IFERROR(INT(VALUE(I1566)),"bad"))))</f>
        <v/>
      </c>
      <c r="O1566">
        <f>IF(J1566="","",IF(ISNUMBER(J1566),ROUND(J1566,2),IFERROR(ROUND(VALUE(SUBSTITUTE(SUBSTITUTE(SUBSTITUTE(J1566,"$",""),",","")," ","")),2),"bad")))</f>
        <v/>
      </c>
      <c r="P1566">
        <f>IF(TRIM(K1566)="","",IFERROR(MATCH(LOWER(TRIM(K1566)),'Students'!$AH$2:$AH$701,0),IFERROR(MATCH(LOWER(TRIM(K1566)),'Students'!$AF$2:$AF$701,0),IFERROR(MATCH(LOWER(TRIM(K1566)),'Students'!$AG$2:$AG$701,0),""))))</f>
        <v/>
      </c>
      <c r="R1566">
        <f>IF(P1566="","",INDEX('Students'!$AD$2:$AD$701,P1566))</f>
        <v/>
      </c>
      <c r="S1566">
        <f>IF(H1566="OK",O1566,0)</f>
        <v/>
      </c>
      <c r="T1566">
        <f>IF(H1566="OK",N1566,"")</f>
        <v/>
      </c>
      <c r="U1566">
        <f>IF(OC_Donor=0,"",IF(INDEX('OneCause_Paste'!$A$1566:$AZ$1566,1,OC_Donor)="","",INDEX('OneCause_Paste'!$A$1566:$AZ$1566,1,OC_Donor)))</f>
        <v/>
      </c>
    </row>
    <row r="1567">
      <c r="A1567" s="62">
        <f>IF(H1567="","",IF(ISNUMBER(N1567),N1567,I1567))</f>
        <v/>
      </c>
      <c r="B1567">
        <f>IF(H1567="","",U1567)</f>
        <v/>
      </c>
      <c r="C1567">
        <f>IF(H1567="","",IF(P1567="",K1567,INDEX('Students'!$A$2:$A$701,P1567)))</f>
        <v/>
      </c>
      <c r="D1567">
        <f>IF(OR(H1567="",P1567=""),"",INDEX('Students'!$B$2:$B$701,P1567))</f>
        <v/>
      </c>
      <c r="E1567">
        <f>IF(OR(H1567="",P1567=""),"",INDEX('Students'!$C$2:$C$701,P1567))</f>
        <v/>
      </c>
      <c r="F1567" s="48">
        <f>IF(H1567="","",IF(ISNUMBER(O1567),O1567,J1567))</f>
        <v/>
      </c>
      <c r="G1567">
        <f>IF(H1567="","","OneCause")</f>
        <v/>
      </c>
      <c r="H1567">
        <f>IF(AND(I1567="",J1567="",K1567=""),"",IF(NOT(ISNUMBER(O1567)),"Bad amount",IF(O1567&lt;0,"Refund (not counted)",IF(O1567=0,"Zero amount",IF(NOT(ISNUMBER(N1567)),"Bad date",IF(P1567="","NAME NOT ON ROSTER",IF(L1567="","OK",IF(MATCH(L1567,$L$2:$L$3001,0)&lt;ROW()-1,"Duplicate (ignored)","OK"))))))))</f>
        <v/>
      </c>
      <c r="I1567">
        <f>IF(OC_Date=0,"",IF(INDEX('OneCause_Paste'!$A$1567:$AZ$1567,1,OC_Date)="","",INDEX('OneCause_Paste'!$A$1567:$AZ$1567,1,OC_Date)))</f>
        <v/>
      </c>
      <c r="J1567">
        <f>IF(OC_Amt=0,"",IF(INDEX('OneCause_Paste'!$A$1567:$AZ$1567,1,OC_Amt)="","",INDEX('OneCause_Paste'!$A$1567:$AZ$1567,1,OC_Amt)))</f>
        <v/>
      </c>
      <c r="K1567">
        <f>IF(OC_Name=0,"",IF(INDEX('OneCause_Paste'!$A$1567:$AZ$1567,1,OC_Name)="","",INDEX('OneCause_Paste'!$A$1567:$AZ$1567,1,OC_Name)))</f>
        <v/>
      </c>
      <c r="L1567">
        <f>IF(OC_Txn=0,"",IF(INDEX('OneCause_Paste'!$A$1567:$AZ$1567,1,OC_Txn)="","",INDEX('OneCause_Paste'!$A$1567:$AZ$1567,1,OC_Txn)))</f>
        <v/>
      </c>
      <c r="M1567">
        <f>IF(OC_Pay=0,"",IF(INDEX('OneCause_Paste'!$A$1567:$AZ$1567,1,OC_Pay)="","",INDEX('OneCause_Paste'!$A$1567:$AZ$1567,1,OC_Pay)))</f>
        <v/>
      </c>
      <c r="N1567">
        <f>IF(I1567="","",IF(ISNUMBER(I1567),INT(I1567),IFERROR(INT(DATEVALUE(I1567)),IFERROR(INT(VALUE(I1567)),"bad"))))</f>
        <v/>
      </c>
      <c r="O1567">
        <f>IF(J1567="","",IF(ISNUMBER(J1567),ROUND(J1567,2),IFERROR(ROUND(VALUE(SUBSTITUTE(SUBSTITUTE(SUBSTITUTE(J1567,"$",""),",","")," ","")),2),"bad")))</f>
        <v/>
      </c>
      <c r="P1567">
        <f>IF(TRIM(K1567)="","",IFERROR(MATCH(LOWER(TRIM(K1567)),'Students'!$AH$2:$AH$701,0),IFERROR(MATCH(LOWER(TRIM(K1567)),'Students'!$AF$2:$AF$701,0),IFERROR(MATCH(LOWER(TRIM(K1567)),'Students'!$AG$2:$AG$701,0),""))))</f>
        <v/>
      </c>
      <c r="R1567">
        <f>IF(P1567="","",INDEX('Students'!$AD$2:$AD$701,P1567))</f>
        <v/>
      </c>
      <c r="S1567">
        <f>IF(H1567="OK",O1567,0)</f>
        <v/>
      </c>
      <c r="T1567">
        <f>IF(H1567="OK",N1567,"")</f>
        <v/>
      </c>
      <c r="U1567">
        <f>IF(OC_Donor=0,"",IF(INDEX('OneCause_Paste'!$A$1567:$AZ$1567,1,OC_Donor)="","",INDEX('OneCause_Paste'!$A$1567:$AZ$1567,1,OC_Donor)))</f>
        <v/>
      </c>
    </row>
    <row r="1568">
      <c r="A1568" s="62">
        <f>IF(H1568="","",IF(ISNUMBER(N1568),N1568,I1568))</f>
        <v/>
      </c>
      <c r="B1568">
        <f>IF(H1568="","",U1568)</f>
        <v/>
      </c>
      <c r="C1568">
        <f>IF(H1568="","",IF(P1568="",K1568,INDEX('Students'!$A$2:$A$701,P1568)))</f>
        <v/>
      </c>
      <c r="D1568">
        <f>IF(OR(H1568="",P1568=""),"",INDEX('Students'!$B$2:$B$701,P1568))</f>
        <v/>
      </c>
      <c r="E1568">
        <f>IF(OR(H1568="",P1568=""),"",INDEX('Students'!$C$2:$C$701,P1568))</f>
        <v/>
      </c>
      <c r="F1568" s="48">
        <f>IF(H1568="","",IF(ISNUMBER(O1568),O1568,J1568))</f>
        <v/>
      </c>
      <c r="G1568">
        <f>IF(H1568="","","OneCause")</f>
        <v/>
      </c>
      <c r="H1568">
        <f>IF(AND(I1568="",J1568="",K1568=""),"",IF(NOT(ISNUMBER(O1568)),"Bad amount",IF(O1568&lt;0,"Refund (not counted)",IF(O1568=0,"Zero amount",IF(NOT(ISNUMBER(N1568)),"Bad date",IF(P1568="","NAME NOT ON ROSTER",IF(L1568="","OK",IF(MATCH(L1568,$L$2:$L$3001,0)&lt;ROW()-1,"Duplicate (ignored)","OK"))))))))</f>
        <v/>
      </c>
      <c r="I1568">
        <f>IF(OC_Date=0,"",IF(INDEX('OneCause_Paste'!$A$1568:$AZ$1568,1,OC_Date)="","",INDEX('OneCause_Paste'!$A$1568:$AZ$1568,1,OC_Date)))</f>
        <v/>
      </c>
      <c r="J1568">
        <f>IF(OC_Amt=0,"",IF(INDEX('OneCause_Paste'!$A$1568:$AZ$1568,1,OC_Amt)="","",INDEX('OneCause_Paste'!$A$1568:$AZ$1568,1,OC_Amt)))</f>
        <v/>
      </c>
      <c r="K1568">
        <f>IF(OC_Name=0,"",IF(INDEX('OneCause_Paste'!$A$1568:$AZ$1568,1,OC_Name)="","",INDEX('OneCause_Paste'!$A$1568:$AZ$1568,1,OC_Name)))</f>
        <v/>
      </c>
      <c r="L1568">
        <f>IF(OC_Txn=0,"",IF(INDEX('OneCause_Paste'!$A$1568:$AZ$1568,1,OC_Txn)="","",INDEX('OneCause_Paste'!$A$1568:$AZ$1568,1,OC_Txn)))</f>
        <v/>
      </c>
      <c r="M1568">
        <f>IF(OC_Pay=0,"",IF(INDEX('OneCause_Paste'!$A$1568:$AZ$1568,1,OC_Pay)="","",INDEX('OneCause_Paste'!$A$1568:$AZ$1568,1,OC_Pay)))</f>
        <v/>
      </c>
      <c r="N1568">
        <f>IF(I1568="","",IF(ISNUMBER(I1568),INT(I1568),IFERROR(INT(DATEVALUE(I1568)),IFERROR(INT(VALUE(I1568)),"bad"))))</f>
        <v/>
      </c>
      <c r="O1568">
        <f>IF(J1568="","",IF(ISNUMBER(J1568),ROUND(J1568,2),IFERROR(ROUND(VALUE(SUBSTITUTE(SUBSTITUTE(SUBSTITUTE(J1568,"$",""),",","")," ","")),2),"bad")))</f>
        <v/>
      </c>
      <c r="P1568">
        <f>IF(TRIM(K1568)="","",IFERROR(MATCH(LOWER(TRIM(K1568)),'Students'!$AH$2:$AH$701,0),IFERROR(MATCH(LOWER(TRIM(K1568)),'Students'!$AF$2:$AF$701,0),IFERROR(MATCH(LOWER(TRIM(K1568)),'Students'!$AG$2:$AG$701,0),""))))</f>
        <v/>
      </c>
      <c r="R1568">
        <f>IF(P1568="","",INDEX('Students'!$AD$2:$AD$701,P1568))</f>
        <v/>
      </c>
      <c r="S1568">
        <f>IF(H1568="OK",O1568,0)</f>
        <v/>
      </c>
      <c r="T1568">
        <f>IF(H1568="OK",N1568,"")</f>
        <v/>
      </c>
      <c r="U1568">
        <f>IF(OC_Donor=0,"",IF(INDEX('OneCause_Paste'!$A$1568:$AZ$1568,1,OC_Donor)="","",INDEX('OneCause_Paste'!$A$1568:$AZ$1568,1,OC_Donor)))</f>
        <v/>
      </c>
    </row>
    <row r="1569">
      <c r="A1569" s="62">
        <f>IF(H1569="","",IF(ISNUMBER(N1569),N1569,I1569))</f>
        <v/>
      </c>
      <c r="B1569">
        <f>IF(H1569="","",U1569)</f>
        <v/>
      </c>
      <c r="C1569">
        <f>IF(H1569="","",IF(P1569="",K1569,INDEX('Students'!$A$2:$A$701,P1569)))</f>
        <v/>
      </c>
      <c r="D1569">
        <f>IF(OR(H1569="",P1569=""),"",INDEX('Students'!$B$2:$B$701,P1569))</f>
        <v/>
      </c>
      <c r="E1569">
        <f>IF(OR(H1569="",P1569=""),"",INDEX('Students'!$C$2:$C$701,P1569))</f>
        <v/>
      </c>
      <c r="F1569" s="48">
        <f>IF(H1569="","",IF(ISNUMBER(O1569),O1569,J1569))</f>
        <v/>
      </c>
      <c r="G1569">
        <f>IF(H1569="","","OneCause")</f>
        <v/>
      </c>
      <c r="H1569">
        <f>IF(AND(I1569="",J1569="",K1569=""),"",IF(NOT(ISNUMBER(O1569)),"Bad amount",IF(O1569&lt;0,"Refund (not counted)",IF(O1569=0,"Zero amount",IF(NOT(ISNUMBER(N1569)),"Bad date",IF(P1569="","NAME NOT ON ROSTER",IF(L1569="","OK",IF(MATCH(L1569,$L$2:$L$3001,0)&lt;ROW()-1,"Duplicate (ignored)","OK"))))))))</f>
        <v/>
      </c>
      <c r="I1569">
        <f>IF(OC_Date=0,"",IF(INDEX('OneCause_Paste'!$A$1569:$AZ$1569,1,OC_Date)="","",INDEX('OneCause_Paste'!$A$1569:$AZ$1569,1,OC_Date)))</f>
        <v/>
      </c>
      <c r="J1569">
        <f>IF(OC_Amt=0,"",IF(INDEX('OneCause_Paste'!$A$1569:$AZ$1569,1,OC_Amt)="","",INDEX('OneCause_Paste'!$A$1569:$AZ$1569,1,OC_Amt)))</f>
        <v/>
      </c>
      <c r="K1569">
        <f>IF(OC_Name=0,"",IF(INDEX('OneCause_Paste'!$A$1569:$AZ$1569,1,OC_Name)="","",INDEX('OneCause_Paste'!$A$1569:$AZ$1569,1,OC_Name)))</f>
        <v/>
      </c>
      <c r="L1569">
        <f>IF(OC_Txn=0,"",IF(INDEX('OneCause_Paste'!$A$1569:$AZ$1569,1,OC_Txn)="","",INDEX('OneCause_Paste'!$A$1569:$AZ$1569,1,OC_Txn)))</f>
        <v/>
      </c>
      <c r="M1569">
        <f>IF(OC_Pay=0,"",IF(INDEX('OneCause_Paste'!$A$1569:$AZ$1569,1,OC_Pay)="","",INDEX('OneCause_Paste'!$A$1569:$AZ$1569,1,OC_Pay)))</f>
        <v/>
      </c>
      <c r="N1569">
        <f>IF(I1569="","",IF(ISNUMBER(I1569),INT(I1569),IFERROR(INT(DATEVALUE(I1569)),IFERROR(INT(VALUE(I1569)),"bad"))))</f>
        <v/>
      </c>
      <c r="O1569">
        <f>IF(J1569="","",IF(ISNUMBER(J1569),ROUND(J1569,2),IFERROR(ROUND(VALUE(SUBSTITUTE(SUBSTITUTE(SUBSTITUTE(J1569,"$",""),",","")," ","")),2),"bad")))</f>
        <v/>
      </c>
      <c r="P1569">
        <f>IF(TRIM(K1569)="","",IFERROR(MATCH(LOWER(TRIM(K1569)),'Students'!$AH$2:$AH$701,0),IFERROR(MATCH(LOWER(TRIM(K1569)),'Students'!$AF$2:$AF$701,0),IFERROR(MATCH(LOWER(TRIM(K1569)),'Students'!$AG$2:$AG$701,0),""))))</f>
        <v/>
      </c>
      <c r="R1569">
        <f>IF(P1569="","",INDEX('Students'!$AD$2:$AD$701,P1569))</f>
        <v/>
      </c>
      <c r="S1569">
        <f>IF(H1569="OK",O1569,0)</f>
        <v/>
      </c>
      <c r="T1569">
        <f>IF(H1569="OK",N1569,"")</f>
        <v/>
      </c>
      <c r="U1569">
        <f>IF(OC_Donor=0,"",IF(INDEX('OneCause_Paste'!$A$1569:$AZ$1569,1,OC_Donor)="","",INDEX('OneCause_Paste'!$A$1569:$AZ$1569,1,OC_Donor)))</f>
        <v/>
      </c>
    </row>
    <row r="1570">
      <c r="A1570" s="62">
        <f>IF(H1570="","",IF(ISNUMBER(N1570),N1570,I1570))</f>
        <v/>
      </c>
      <c r="B1570">
        <f>IF(H1570="","",U1570)</f>
        <v/>
      </c>
      <c r="C1570">
        <f>IF(H1570="","",IF(P1570="",K1570,INDEX('Students'!$A$2:$A$701,P1570)))</f>
        <v/>
      </c>
      <c r="D1570">
        <f>IF(OR(H1570="",P1570=""),"",INDEX('Students'!$B$2:$B$701,P1570))</f>
        <v/>
      </c>
      <c r="E1570">
        <f>IF(OR(H1570="",P1570=""),"",INDEX('Students'!$C$2:$C$701,P1570))</f>
        <v/>
      </c>
      <c r="F1570" s="48">
        <f>IF(H1570="","",IF(ISNUMBER(O1570),O1570,J1570))</f>
        <v/>
      </c>
      <c r="G1570">
        <f>IF(H1570="","","OneCause")</f>
        <v/>
      </c>
      <c r="H1570">
        <f>IF(AND(I1570="",J1570="",K1570=""),"",IF(NOT(ISNUMBER(O1570)),"Bad amount",IF(O1570&lt;0,"Refund (not counted)",IF(O1570=0,"Zero amount",IF(NOT(ISNUMBER(N1570)),"Bad date",IF(P1570="","NAME NOT ON ROSTER",IF(L1570="","OK",IF(MATCH(L1570,$L$2:$L$3001,0)&lt;ROW()-1,"Duplicate (ignored)","OK"))))))))</f>
        <v/>
      </c>
      <c r="I1570">
        <f>IF(OC_Date=0,"",IF(INDEX('OneCause_Paste'!$A$1570:$AZ$1570,1,OC_Date)="","",INDEX('OneCause_Paste'!$A$1570:$AZ$1570,1,OC_Date)))</f>
        <v/>
      </c>
      <c r="J1570">
        <f>IF(OC_Amt=0,"",IF(INDEX('OneCause_Paste'!$A$1570:$AZ$1570,1,OC_Amt)="","",INDEX('OneCause_Paste'!$A$1570:$AZ$1570,1,OC_Amt)))</f>
        <v/>
      </c>
      <c r="K1570">
        <f>IF(OC_Name=0,"",IF(INDEX('OneCause_Paste'!$A$1570:$AZ$1570,1,OC_Name)="","",INDEX('OneCause_Paste'!$A$1570:$AZ$1570,1,OC_Name)))</f>
        <v/>
      </c>
      <c r="L1570">
        <f>IF(OC_Txn=0,"",IF(INDEX('OneCause_Paste'!$A$1570:$AZ$1570,1,OC_Txn)="","",INDEX('OneCause_Paste'!$A$1570:$AZ$1570,1,OC_Txn)))</f>
        <v/>
      </c>
      <c r="M1570">
        <f>IF(OC_Pay=0,"",IF(INDEX('OneCause_Paste'!$A$1570:$AZ$1570,1,OC_Pay)="","",INDEX('OneCause_Paste'!$A$1570:$AZ$1570,1,OC_Pay)))</f>
        <v/>
      </c>
      <c r="N1570">
        <f>IF(I1570="","",IF(ISNUMBER(I1570),INT(I1570),IFERROR(INT(DATEVALUE(I1570)),IFERROR(INT(VALUE(I1570)),"bad"))))</f>
        <v/>
      </c>
      <c r="O1570">
        <f>IF(J1570="","",IF(ISNUMBER(J1570),ROUND(J1570,2),IFERROR(ROUND(VALUE(SUBSTITUTE(SUBSTITUTE(SUBSTITUTE(J1570,"$",""),",","")," ","")),2),"bad")))</f>
        <v/>
      </c>
      <c r="P1570">
        <f>IF(TRIM(K1570)="","",IFERROR(MATCH(LOWER(TRIM(K1570)),'Students'!$AH$2:$AH$701,0),IFERROR(MATCH(LOWER(TRIM(K1570)),'Students'!$AF$2:$AF$701,0),IFERROR(MATCH(LOWER(TRIM(K1570)),'Students'!$AG$2:$AG$701,0),""))))</f>
        <v/>
      </c>
      <c r="R1570">
        <f>IF(P1570="","",INDEX('Students'!$AD$2:$AD$701,P1570))</f>
        <v/>
      </c>
      <c r="S1570">
        <f>IF(H1570="OK",O1570,0)</f>
        <v/>
      </c>
      <c r="T1570">
        <f>IF(H1570="OK",N1570,"")</f>
        <v/>
      </c>
      <c r="U1570">
        <f>IF(OC_Donor=0,"",IF(INDEX('OneCause_Paste'!$A$1570:$AZ$1570,1,OC_Donor)="","",INDEX('OneCause_Paste'!$A$1570:$AZ$1570,1,OC_Donor)))</f>
        <v/>
      </c>
    </row>
    <row r="1571">
      <c r="A1571" s="62">
        <f>IF(H1571="","",IF(ISNUMBER(N1571),N1571,I1571))</f>
        <v/>
      </c>
      <c r="B1571">
        <f>IF(H1571="","",U1571)</f>
        <v/>
      </c>
      <c r="C1571">
        <f>IF(H1571="","",IF(P1571="",K1571,INDEX('Students'!$A$2:$A$701,P1571)))</f>
        <v/>
      </c>
      <c r="D1571">
        <f>IF(OR(H1571="",P1571=""),"",INDEX('Students'!$B$2:$B$701,P1571))</f>
        <v/>
      </c>
      <c r="E1571">
        <f>IF(OR(H1571="",P1571=""),"",INDEX('Students'!$C$2:$C$701,P1571))</f>
        <v/>
      </c>
      <c r="F1571" s="48">
        <f>IF(H1571="","",IF(ISNUMBER(O1571),O1571,J1571))</f>
        <v/>
      </c>
      <c r="G1571">
        <f>IF(H1571="","","OneCause")</f>
        <v/>
      </c>
      <c r="H1571">
        <f>IF(AND(I1571="",J1571="",K1571=""),"",IF(NOT(ISNUMBER(O1571)),"Bad amount",IF(O1571&lt;0,"Refund (not counted)",IF(O1571=0,"Zero amount",IF(NOT(ISNUMBER(N1571)),"Bad date",IF(P1571="","NAME NOT ON ROSTER",IF(L1571="","OK",IF(MATCH(L1571,$L$2:$L$3001,0)&lt;ROW()-1,"Duplicate (ignored)","OK"))))))))</f>
        <v/>
      </c>
      <c r="I1571">
        <f>IF(OC_Date=0,"",IF(INDEX('OneCause_Paste'!$A$1571:$AZ$1571,1,OC_Date)="","",INDEX('OneCause_Paste'!$A$1571:$AZ$1571,1,OC_Date)))</f>
        <v/>
      </c>
      <c r="J1571">
        <f>IF(OC_Amt=0,"",IF(INDEX('OneCause_Paste'!$A$1571:$AZ$1571,1,OC_Amt)="","",INDEX('OneCause_Paste'!$A$1571:$AZ$1571,1,OC_Amt)))</f>
        <v/>
      </c>
      <c r="K1571">
        <f>IF(OC_Name=0,"",IF(INDEX('OneCause_Paste'!$A$1571:$AZ$1571,1,OC_Name)="","",INDEX('OneCause_Paste'!$A$1571:$AZ$1571,1,OC_Name)))</f>
        <v/>
      </c>
      <c r="L1571">
        <f>IF(OC_Txn=0,"",IF(INDEX('OneCause_Paste'!$A$1571:$AZ$1571,1,OC_Txn)="","",INDEX('OneCause_Paste'!$A$1571:$AZ$1571,1,OC_Txn)))</f>
        <v/>
      </c>
      <c r="M1571">
        <f>IF(OC_Pay=0,"",IF(INDEX('OneCause_Paste'!$A$1571:$AZ$1571,1,OC_Pay)="","",INDEX('OneCause_Paste'!$A$1571:$AZ$1571,1,OC_Pay)))</f>
        <v/>
      </c>
      <c r="N1571">
        <f>IF(I1571="","",IF(ISNUMBER(I1571),INT(I1571),IFERROR(INT(DATEVALUE(I1571)),IFERROR(INT(VALUE(I1571)),"bad"))))</f>
        <v/>
      </c>
      <c r="O1571">
        <f>IF(J1571="","",IF(ISNUMBER(J1571),ROUND(J1571,2),IFERROR(ROUND(VALUE(SUBSTITUTE(SUBSTITUTE(SUBSTITUTE(J1571,"$",""),",","")," ","")),2),"bad")))</f>
        <v/>
      </c>
      <c r="P1571">
        <f>IF(TRIM(K1571)="","",IFERROR(MATCH(LOWER(TRIM(K1571)),'Students'!$AH$2:$AH$701,0),IFERROR(MATCH(LOWER(TRIM(K1571)),'Students'!$AF$2:$AF$701,0),IFERROR(MATCH(LOWER(TRIM(K1571)),'Students'!$AG$2:$AG$701,0),""))))</f>
        <v/>
      </c>
      <c r="R1571">
        <f>IF(P1571="","",INDEX('Students'!$AD$2:$AD$701,P1571))</f>
        <v/>
      </c>
      <c r="S1571">
        <f>IF(H1571="OK",O1571,0)</f>
        <v/>
      </c>
      <c r="T1571">
        <f>IF(H1571="OK",N1571,"")</f>
        <v/>
      </c>
      <c r="U1571">
        <f>IF(OC_Donor=0,"",IF(INDEX('OneCause_Paste'!$A$1571:$AZ$1571,1,OC_Donor)="","",INDEX('OneCause_Paste'!$A$1571:$AZ$1571,1,OC_Donor)))</f>
        <v/>
      </c>
    </row>
    <row r="1572">
      <c r="A1572" s="62">
        <f>IF(H1572="","",IF(ISNUMBER(N1572),N1572,I1572))</f>
        <v/>
      </c>
      <c r="B1572">
        <f>IF(H1572="","",U1572)</f>
        <v/>
      </c>
      <c r="C1572">
        <f>IF(H1572="","",IF(P1572="",K1572,INDEX('Students'!$A$2:$A$701,P1572)))</f>
        <v/>
      </c>
      <c r="D1572">
        <f>IF(OR(H1572="",P1572=""),"",INDEX('Students'!$B$2:$B$701,P1572))</f>
        <v/>
      </c>
      <c r="E1572">
        <f>IF(OR(H1572="",P1572=""),"",INDEX('Students'!$C$2:$C$701,P1572))</f>
        <v/>
      </c>
      <c r="F1572" s="48">
        <f>IF(H1572="","",IF(ISNUMBER(O1572),O1572,J1572))</f>
        <v/>
      </c>
      <c r="G1572">
        <f>IF(H1572="","","OneCause")</f>
        <v/>
      </c>
      <c r="H1572">
        <f>IF(AND(I1572="",J1572="",K1572=""),"",IF(NOT(ISNUMBER(O1572)),"Bad amount",IF(O1572&lt;0,"Refund (not counted)",IF(O1572=0,"Zero amount",IF(NOT(ISNUMBER(N1572)),"Bad date",IF(P1572="","NAME NOT ON ROSTER",IF(L1572="","OK",IF(MATCH(L1572,$L$2:$L$3001,0)&lt;ROW()-1,"Duplicate (ignored)","OK"))))))))</f>
        <v/>
      </c>
      <c r="I1572">
        <f>IF(OC_Date=0,"",IF(INDEX('OneCause_Paste'!$A$1572:$AZ$1572,1,OC_Date)="","",INDEX('OneCause_Paste'!$A$1572:$AZ$1572,1,OC_Date)))</f>
        <v/>
      </c>
      <c r="J1572">
        <f>IF(OC_Amt=0,"",IF(INDEX('OneCause_Paste'!$A$1572:$AZ$1572,1,OC_Amt)="","",INDEX('OneCause_Paste'!$A$1572:$AZ$1572,1,OC_Amt)))</f>
        <v/>
      </c>
      <c r="K1572">
        <f>IF(OC_Name=0,"",IF(INDEX('OneCause_Paste'!$A$1572:$AZ$1572,1,OC_Name)="","",INDEX('OneCause_Paste'!$A$1572:$AZ$1572,1,OC_Name)))</f>
        <v/>
      </c>
      <c r="L1572">
        <f>IF(OC_Txn=0,"",IF(INDEX('OneCause_Paste'!$A$1572:$AZ$1572,1,OC_Txn)="","",INDEX('OneCause_Paste'!$A$1572:$AZ$1572,1,OC_Txn)))</f>
        <v/>
      </c>
      <c r="M1572">
        <f>IF(OC_Pay=0,"",IF(INDEX('OneCause_Paste'!$A$1572:$AZ$1572,1,OC_Pay)="","",INDEX('OneCause_Paste'!$A$1572:$AZ$1572,1,OC_Pay)))</f>
        <v/>
      </c>
      <c r="N1572">
        <f>IF(I1572="","",IF(ISNUMBER(I1572),INT(I1572),IFERROR(INT(DATEVALUE(I1572)),IFERROR(INT(VALUE(I1572)),"bad"))))</f>
        <v/>
      </c>
      <c r="O1572">
        <f>IF(J1572="","",IF(ISNUMBER(J1572),ROUND(J1572,2),IFERROR(ROUND(VALUE(SUBSTITUTE(SUBSTITUTE(SUBSTITUTE(J1572,"$",""),",","")," ","")),2),"bad")))</f>
        <v/>
      </c>
      <c r="P1572">
        <f>IF(TRIM(K1572)="","",IFERROR(MATCH(LOWER(TRIM(K1572)),'Students'!$AH$2:$AH$701,0),IFERROR(MATCH(LOWER(TRIM(K1572)),'Students'!$AF$2:$AF$701,0),IFERROR(MATCH(LOWER(TRIM(K1572)),'Students'!$AG$2:$AG$701,0),""))))</f>
        <v/>
      </c>
      <c r="R1572">
        <f>IF(P1572="","",INDEX('Students'!$AD$2:$AD$701,P1572))</f>
        <v/>
      </c>
      <c r="S1572">
        <f>IF(H1572="OK",O1572,0)</f>
        <v/>
      </c>
      <c r="T1572">
        <f>IF(H1572="OK",N1572,"")</f>
        <v/>
      </c>
      <c r="U1572">
        <f>IF(OC_Donor=0,"",IF(INDEX('OneCause_Paste'!$A$1572:$AZ$1572,1,OC_Donor)="","",INDEX('OneCause_Paste'!$A$1572:$AZ$1572,1,OC_Donor)))</f>
        <v/>
      </c>
    </row>
    <row r="1573">
      <c r="A1573" s="62">
        <f>IF(H1573="","",IF(ISNUMBER(N1573),N1573,I1573))</f>
        <v/>
      </c>
      <c r="B1573">
        <f>IF(H1573="","",U1573)</f>
        <v/>
      </c>
      <c r="C1573">
        <f>IF(H1573="","",IF(P1573="",K1573,INDEX('Students'!$A$2:$A$701,P1573)))</f>
        <v/>
      </c>
      <c r="D1573">
        <f>IF(OR(H1573="",P1573=""),"",INDEX('Students'!$B$2:$B$701,P1573))</f>
        <v/>
      </c>
      <c r="E1573">
        <f>IF(OR(H1573="",P1573=""),"",INDEX('Students'!$C$2:$C$701,P1573))</f>
        <v/>
      </c>
      <c r="F1573" s="48">
        <f>IF(H1573="","",IF(ISNUMBER(O1573),O1573,J1573))</f>
        <v/>
      </c>
      <c r="G1573">
        <f>IF(H1573="","","OneCause")</f>
        <v/>
      </c>
      <c r="H1573">
        <f>IF(AND(I1573="",J1573="",K1573=""),"",IF(NOT(ISNUMBER(O1573)),"Bad amount",IF(O1573&lt;0,"Refund (not counted)",IF(O1573=0,"Zero amount",IF(NOT(ISNUMBER(N1573)),"Bad date",IF(P1573="","NAME NOT ON ROSTER",IF(L1573="","OK",IF(MATCH(L1573,$L$2:$L$3001,0)&lt;ROW()-1,"Duplicate (ignored)","OK"))))))))</f>
        <v/>
      </c>
      <c r="I1573">
        <f>IF(OC_Date=0,"",IF(INDEX('OneCause_Paste'!$A$1573:$AZ$1573,1,OC_Date)="","",INDEX('OneCause_Paste'!$A$1573:$AZ$1573,1,OC_Date)))</f>
        <v/>
      </c>
      <c r="J1573">
        <f>IF(OC_Amt=0,"",IF(INDEX('OneCause_Paste'!$A$1573:$AZ$1573,1,OC_Amt)="","",INDEX('OneCause_Paste'!$A$1573:$AZ$1573,1,OC_Amt)))</f>
        <v/>
      </c>
      <c r="K1573">
        <f>IF(OC_Name=0,"",IF(INDEX('OneCause_Paste'!$A$1573:$AZ$1573,1,OC_Name)="","",INDEX('OneCause_Paste'!$A$1573:$AZ$1573,1,OC_Name)))</f>
        <v/>
      </c>
      <c r="L1573">
        <f>IF(OC_Txn=0,"",IF(INDEX('OneCause_Paste'!$A$1573:$AZ$1573,1,OC_Txn)="","",INDEX('OneCause_Paste'!$A$1573:$AZ$1573,1,OC_Txn)))</f>
        <v/>
      </c>
      <c r="M1573">
        <f>IF(OC_Pay=0,"",IF(INDEX('OneCause_Paste'!$A$1573:$AZ$1573,1,OC_Pay)="","",INDEX('OneCause_Paste'!$A$1573:$AZ$1573,1,OC_Pay)))</f>
        <v/>
      </c>
      <c r="N1573">
        <f>IF(I1573="","",IF(ISNUMBER(I1573),INT(I1573),IFERROR(INT(DATEVALUE(I1573)),IFERROR(INT(VALUE(I1573)),"bad"))))</f>
        <v/>
      </c>
      <c r="O1573">
        <f>IF(J1573="","",IF(ISNUMBER(J1573),ROUND(J1573,2),IFERROR(ROUND(VALUE(SUBSTITUTE(SUBSTITUTE(SUBSTITUTE(J1573,"$",""),",","")," ","")),2),"bad")))</f>
        <v/>
      </c>
      <c r="P1573">
        <f>IF(TRIM(K1573)="","",IFERROR(MATCH(LOWER(TRIM(K1573)),'Students'!$AH$2:$AH$701,0),IFERROR(MATCH(LOWER(TRIM(K1573)),'Students'!$AF$2:$AF$701,0),IFERROR(MATCH(LOWER(TRIM(K1573)),'Students'!$AG$2:$AG$701,0),""))))</f>
        <v/>
      </c>
      <c r="R1573">
        <f>IF(P1573="","",INDEX('Students'!$AD$2:$AD$701,P1573))</f>
        <v/>
      </c>
      <c r="S1573">
        <f>IF(H1573="OK",O1573,0)</f>
        <v/>
      </c>
      <c r="T1573">
        <f>IF(H1573="OK",N1573,"")</f>
        <v/>
      </c>
      <c r="U1573">
        <f>IF(OC_Donor=0,"",IF(INDEX('OneCause_Paste'!$A$1573:$AZ$1573,1,OC_Donor)="","",INDEX('OneCause_Paste'!$A$1573:$AZ$1573,1,OC_Donor)))</f>
        <v/>
      </c>
    </row>
    <row r="1574">
      <c r="A1574" s="62">
        <f>IF(H1574="","",IF(ISNUMBER(N1574),N1574,I1574))</f>
        <v/>
      </c>
      <c r="B1574">
        <f>IF(H1574="","",U1574)</f>
        <v/>
      </c>
      <c r="C1574">
        <f>IF(H1574="","",IF(P1574="",K1574,INDEX('Students'!$A$2:$A$701,P1574)))</f>
        <v/>
      </c>
      <c r="D1574">
        <f>IF(OR(H1574="",P1574=""),"",INDEX('Students'!$B$2:$B$701,P1574))</f>
        <v/>
      </c>
      <c r="E1574">
        <f>IF(OR(H1574="",P1574=""),"",INDEX('Students'!$C$2:$C$701,P1574))</f>
        <v/>
      </c>
      <c r="F1574" s="48">
        <f>IF(H1574="","",IF(ISNUMBER(O1574),O1574,J1574))</f>
        <v/>
      </c>
      <c r="G1574">
        <f>IF(H1574="","","OneCause")</f>
        <v/>
      </c>
      <c r="H1574">
        <f>IF(AND(I1574="",J1574="",K1574=""),"",IF(NOT(ISNUMBER(O1574)),"Bad amount",IF(O1574&lt;0,"Refund (not counted)",IF(O1574=0,"Zero amount",IF(NOT(ISNUMBER(N1574)),"Bad date",IF(P1574="","NAME NOT ON ROSTER",IF(L1574="","OK",IF(MATCH(L1574,$L$2:$L$3001,0)&lt;ROW()-1,"Duplicate (ignored)","OK"))))))))</f>
        <v/>
      </c>
      <c r="I1574">
        <f>IF(OC_Date=0,"",IF(INDEX('OneCause_Paste'!$A$1574:$AZ$1574,1,OC_Date)="","",INDEX('OneCause_Paste'!$A$1574:$AZ$1574,1,OC_Date)))</f>
        <v/>
      </c>
      <c r="J1574">
        <f>IF(OC_Amt=0,"",IF(INDEX('OneCause_Paste'!$A$1574:$AZ$1574,1,OC_Amt)="","",INDEX('OneCause_Paste'!$A$1574:$AZ$1574,1,OC_Amt)))</f>
        <v/>
      </c>
      <c r="K1574">
        <f>IF(OC_Name=0,"",IF(INDEX('OneCause_Paste'!$A$1574:$AZ$1574,1,OC_Name)="","",INDEX('OneCause_Paste'!$A$1574:$AZ$1574,1,OC_Name)))</f>
        <v/>
      </c>
      <c r="L1574">
        <f>IF(OC_Txn=0,"",IF(INDEX('OneCause_Paste'!$A$1574:$AZ$1574,1,OC_Txn)="","",INDEX('OneCause_Paste'!$A$1574:$AZ$1574,1,OC_Txn)))</f>
        <v/>
      </c>
      <c r="M1574">
        <f>IF(OC_Pay=0,"",IF(INDEX('OneCause_Paste'!$A$1574:$AZ$1574,1,OC_Pay)="","",INDEX('OneCause_Paste'!$A$1574:$AZ$1574,1,OC_Pay)))</f>
        <v/>
      </c>
      <c r="N1574">
        <f>IF(I1574="","",IF(ISNUMBER(I1574),INT(I1574),IFERROR(INT(DATEVALUE(I1574)),IFERROR(INT(VALUE(I1574)),"bad"))))</f>
        <v/>
      </c>
      <c r="O1574">
        <f>IF(J1574="","",IF(ISNUMBER(J1574),ROUND(J1574,2),IFERROR(ROUND(VALUE(SUBSTITUTE(SUBSTITUTE(SUBSTITUTE(J1574,"$",""),",","")," ","")),2),"bad")))</f>
        <v/>
      </c>
      <c r="P1574">
        <f>IF(TRIM(K1574)="","",IFERROR(MATCH(LOWER(TRIM(K1574)),'Students'!$AH$2:$AH$701,0),IFERROR(MATCH(LOWER(TRIM(K1574)),'Students'!$AF$2:$AF$701,0),IFERROR(MATCH(LOWER(TRIM(K1574)),'Students'!$AG$2:$AG$701,0),""))))</f>
        <v/>
      </c>
      <c r="R1574">
        <f>IF(P1574="","",INDEX('Students'!$AD$2:$AD$701,P1574))</f>
        <v/>
      </c>
      <c r="S1574">
        <f>IF(H1574="OK",O1574,0)</f>
        <v/>
      </c>
      <c r="T1574">
        <f>IF(H1574="OK",N1574,"")</f>
        <v/>
      </c>
      <c r="U1574">
        <f>IF(OC_Donor=0,"",IF(INDEX('OneCause_Paste'!$A$1574:$AZ$1574,1,OC_Donor)="","",INDEX('OneCause_Paste'!$A$1574:$AZ$1574,1,OC_Donor)))</f>
        <v/>
      </c>
    </row>
    <row r="1575">
      <c r="A1575" s="62">
        <f>IF(H1575="","",IF(ISNUMBER(N1575),N1575,I1575))</f>
        <v/>
      </c>
      <c r="B1575">
        <f>IF(H1575="","",U1575)</f>
        <v/>
      </c>
      <c r="C1575">
        <f>IF(H1575="","",IF(P1575="",K1575,INDEX('Students'!$A$2:$A$701,P1575)))</f>
        <v/>
      </c>
      <c r="D1575">
        <f>IF(OR(H1575="",P1575=""),"",INDEX('Students'!$B$2:$B$701,P1575))</f>
        <v/>
      </c>
      <c r="E1575">
        <f>IF(OR(H1575="",P1575=""),"",INDEX('Students'!$C$2:$C$701,P1575))</f>
        <v/>
      </c>
      <c r="F1575" s="48">
        <f>IF(H1575="","",IF(ISNUMBER(O1575),O1575,J1575))</f>
        <v/>
      </c>
      <c r="G1575">
        <f>IF(H1575="","","OneCause")</f>
        <v/>
      </c>
      <c r="H1575">
        <f>IF(AND(I1575="",J1575="",K1575=""),"",IF(NOT(ISNUMBER(O1575)),"Bad amount",IF(O1575&lt;0,"Refund (not counted)",IF(O1575=0,"Zero amount",IF(NOT(ISNUMBER(N1575)),"Bad date",IF(P1575="","NAME NOT ON ROSTER",IF(L1575="","OK",IF(MATCH(L1575,$L$2:$L$3001,0)&lt;ROW()-1,"Duplicate (ignored)","OK"))))))))</f>
        <v/>
      </c>
      <c r="I1575">
        <f>IF(OC_Date=0,"",IF(INDEX('OneCause_Paste'!$A$1575:$AZ$1575,1,OC_Date)="","",INDEX('OneCause_Paste'!$A$1575:$AZ$1575,1,OC_Date)))</f>
        <v/>
      </c>
      <c r="J1575">
        <f>IF(OC_Amt=0,"",IF(INDEX('OneCause_Paste'!$A$1575:$AZ$1575,1,OC_Amt)="","",INDEX('OneCause_Paste'!$A$1575:$AZ$1575,1,OC_Amt)))</f>
        <v/>
      </c>
      <c r="K1575">
        <f>IF(OC_Name=0,"",IF(INDEX('OneCause_Paste'!$A$1575:$AZ$1575,1,OC_Name)="","",INDEX('OneCause_Paste'!$A$1575:$AZ$1575,1,OC_Name)))</f>
        <v/>
      </c>
      <c r="L1575">
        <f>IF(OC_Txn=0,"",IF(INDEX('OneCause_Paste'!$A$1575:$AZ$1575,1,OC_Txn)="","",INDEX('OneCause_Paste'!$A$1575:$AZ$1575,1,OC_Txn)))</f>
        <v/>
      </c>
      <c r="M1575">
        <f>IF(OC_Pay=0,"",IF(INDEX('OneCause_Paste'!$A$1575:$AZ$1575,1,OC_Pay)="","",INDEX('OneCause_Paste'!$A$1575:$AZ$1575,1,OC_Pay)))</f>
        <v/>
      </c>
      <c r="N1575">
        <f>IF(I1575="","",IF(ISNUMBER(I1575),INT(I1575),IFERROR(INT(DATEVALUE(I1575)),IFERROR(INT(VALUE(I1575)),"bad"))))</f>
        <v/>
      </c>
      <c r="O1575">
        <f>IF(J1575="","",IF(ISNUMBER(J1575),ROUND(J1575,2),IFERROR(ROUND(VALUE(SUBSTITUTE(SUBSTITUTE(SUBSTITUTE(J1575,"$",""),",","")," ","")),2),"bad")))</f>
        <v/>
      </c>
      <c r="P1575">
        <f>IF(TRIM(K1575)="","",IFERROR(MATCH(LOWER(TRIM(K1575)),'Students'!$AH$2:$AH$701,0),IFERROR(MATCH(LOWER(TRIM(K1575)),'Students'!$AF$2:$AF$701,0),IFERROR(MATCH(LOWER(TRIM(K1575)),'Students'!$AG$2:$AG$701,0),""))))</f>
        <v/>
      </c>
      <c r="R1575">
        <f>IF(P1575="","",INDEX('Students'!$AD$2:$AD$701,P1575))</f>
        <v/>
      </c>
      <c r="S1575">
        <f>IF(H1575="OK",O1575,0)</f>
        <v/>
      </c>
      <c r="T1575">
        <f>IF(H1575="OK",N1575,"")</f>
        <v/>
      </c>
      <c r="U1575">
        <f>IF(OC_Donor=0,"",IF(INDEX('OneCause_Paste'!$A$1575:$AZ$1575,1,OC_Donor)="","",INDEX('OneCause_Paste'!$A$1575:$AZ$1575,1,OC_Donor)))</f>
        <v/>
      </c>
    </row>
    <row r="1576">
      <c r="A1576" s="62">
        <f>IF(H1576="","",IF(ISNUMBER(N1576),N1576,I1576))</f>
        <v/>
      </c>
      <c r="B1576">
        <f>IF(H1576="","",U1576)</f>
        <v/>
      </c>
      <c r="C1576">
        <f>IF(H1576="","",IF(P1576="",K1576,INDEX('Students'!$A$2:$A$701,P1576)))</f>
        <v/>
      </c>
      <c r="D1576">
        <f>IF(OR(H1576="",P1576=""),"",INDEX('Students'!$B$2:$B$701,P1576))</f>
        <v/>
      </c>
      <c r="E1576">
        <f>IF(OR(H1576="",P1576=""),"",INDEX('Students'!$C$2:$C$701,P1576))</f>
        <v/>
      </c>
      <c r="F1576" s="48">
        <f>IF(H1576="","",IF(ISNUMBER(O1576),O1576,J1576))</f>
        <v/>
      </c>
      <c r="G1576">
        <f>IF(H1576="","","OneCause")</f>
        <v/>
      </c>
      <c r="H1576">
        <f>IF(AND(I1576="",J1576="",K1576=""),"",IF(NOT(ISNUMBER(O1576)),"Bad amount",IF(O1576&lt;0,"Refund (not counted)",IF(O1576=0,"Zero amount",IF(NOT(ISNUMBER(N1576)),"Bad date",IF(P1576="","NAME NOT ON ROSTER",IF(L1576="","OK",IF(MATCH(L1576,$L$2:$L$3001,0)&lt;ROW()-1,"Duplicate (ignored)","OK"))))))))</f>
        <v/>
      </c>
      <c r="I1576">
        <f>IF(OC_Date=0,"",IF(INDEX('OneCause_Paste'!$A$1576:$AZ$1576,1,OC_Date)="","",INDEX('OneCause_Paste'!$A$1576:$AZ$1576,1,OC_Date)))</f>
        <v/>
      </c>
      <c r="J1576">
        <f>IF(OC_Amt=0,"",IF(INDEX('OneCause_Paste'!$A$1576:$AZ$1576,1,OC_Amt)="","",INDEX('OneCause_Paste'!$A$1576:$AZ$1576,1,OC_Amt)))</f>
        <v/>
      </c>
      <c r="K1576">
        <f>IF(OC_Name=0,"",IF(INDEX('OneCause_Paste'!$A$1576:$AZ$1576,1,OC_Name)="","",INDEX('OneCause_Paste'!$A$1576:$AZ$1576,1,OC_Name)))</f>
        <v/>
      </c>
      <c r="L1576">
        <f>IF(OC_Txn=0,"",IF(INDEX('OneCause_Paste'!$A$1576:$AZ$1576,1,OC_Txn)="","",INDEX('OneCause_Paste'!$A$1576:$AZ$1576,1,OC_Txn)))</f>
        <v/>
      </c>
      <c r="M1576">
        <f>IF(OC_Pay=0,"",IF(INDEX('OneCause_Paste'!$A$1576:$AZ$1576,1,OC_Pay)="","",INDEX('OneCause_Paste'!$A$1576:$AZ$1576,1,OC_Pay)))</f>
        <v/>
      </c>
      <c r="N1576">
        <f>IF(I1576="","",IF(ISNUMBER(I1576),INT(I1576),IFERROR(INT(DATEVALUE(I1576)),IFERROR(INT(VALUE(I1576)),"bad"))))</f>
        <v/>
      </c>
      <c r="O1576">
        <f>IF(J1576="","",IF(ISNUMBER(J1576),ROUND(J1576,2),IFERROR(ROUND(VALUE(SUBSTITUTE(SUBSTITUTE(SUBSTITUTE(J1576,"$",""),",","")," ","")),2),"bad")))</f>
        <v/>
      </c>
      <c r="P1576">
        <f>IF(TRIM(K1576)="","",IFERROR(MATCH(LOWER(TRIM(K1576)),'Students'!$AH$2:$AH$701,0),IFERROR(MATCH(LOWER(TRIM(K1576)),'Students'!$AF$2:$AF$701,0),IFERROR(MATCH(LOWER(TRIM(K1576)),'Students'!$AG$2:$AG$701,0),""))))</f>
        <v/>
      </c>
      <c r="R1576">
        <f>IF(P1576="","",INDEX('Students'!$AD$2:$AD$701,P1576))</f>
        <v/>
      </c>
      <c r="S1576">
        <f>IF(H1576="OK",O1576,0)</f>
        <v/>
      </c>
      <c r="T1576">
        <f>IF(H1576="OK",N1576,"")</f>
        <v/>
      </c>
      <c r="U1576">
        <f>IF(OC_Donor=0,"",IF(INDEX('OneCause_Paste'!$A$1576:$AZ$1576,1,OC_Donor)="","",INDEX('OneCause_Paste'!$A$1576:$AZ$1576,1,OC_Donor)))</f>
        <v/>
      </c>
    </row>
    <row r="1577">
      <c r="A1577" s="62">
        <f>IF(H1577="","",IF(ISNUMBER(N1577),N1577,I1577))</f>
        <v/>
      </c>
      <c r="B1577">
        <f>IF(H1577="","",U1577)</f>
        <v/>
      </c>
      <c r="C1577">
        <f>IF(H1577="","",IF(P1577="",K1577,INDEX('Students'!$A$2:$A$701,P1577)))</f>
        <v/>
      </c>
      <c r="D1577">
        <f>IF(OR(H1577="",P1577=""),"",INDEX('Students'!$B$2:$B$701,P1577))</f>
        <v/>
      </c>
      <c r="E1577">
        <f>IF(OR(H1577="",P1577=""),"",INDEX('Students'!$C$2:$C$701,P1577))</f>
        <v/>
      </c>
      <c r="F1577" s="48">
        <f>IF(H1577="","",IF(ISNUMBER(O1577),O1577,J1577))</f>
        <v/>
      </c>
      <c r="G1577">
        <f>IF(H1577="","","OneCause")</f>
        <v/>
      </c>
      <c r="H1577">
        <f>IF(AND(I1577="",J1577="",K1577=""),"",IF(NOT(ISNUMBER(O1577)),"Bad amount",IF(O1577&lt;0,"Refund (not counted)",IF(O1577=0,"Zero amount",IF(NOT(ISNUMBER(N1577)),"Bad date",IF(P1577="","NAME NOT ON ROSTER",IF(L1577="","OK",IF(MATCH(L1577,$L$2:$L$3001,0)&lt;ROW()-1,"Duplicate (ignored)","OK"))))))))</f>
        <v/>
      </c>
      <c r="I1577">
        <f>IF(OC_Date=0,"",IF(INDEX('OneCause_Paste'!$A$1577:$AZ$1577,1,OC_Date)="","",INDEX('OneCause_Paste'!$A$1577:$AZ$1577,1,OC_Date)))</f>
        <v/>
      </c>
      <c r="J1577">
        <f>IF(OC_Amt=0,"",IF(INDEX('OneCause_Paste'!$A$1577:$AZ$1577,1,OC_Amt)="","",INDEX('OneCause_Paste'!$A$1577:$AZ$1577,1,OC_Amt)))</f>
        <v/>
      </c>
      <c r="K1577">
        <f>IF(OC_Name=0,"",IF(INDEX('OneCause_Paste'!$A$1577:$AZ$1577,1,OC_Name)="","",INDEX('OneCause_Paste'!$A$1577:$AZ$1577,1,OC_Name)))</f>
        <v/>
      </c>
      <c r="L1577">
        <f>IF(OC_Txn=0,"",IF(INDEX('OneCause_Paste'!$A$1577:$AZ$1577,1,OC_Txn)="","",INDEX('OneCause_Paste'!$A$1577:$AZ$1577,1,OC_Txn)))</f>
        <v/>
      </c>
      <c r="M1577">
        <f>IF(OC_Pay=0,"",IF(INDEX('OneCause_Paste'!$A$1577:$AZ$1577,1,OC_Pay)="","",INDEX('OneCause_Paste'!$A$1577:$AZ$1577,1,OC_Pay)))</f>
        <v/>
      </c>
      <c r="N1577">
        <f>IF(I1577="","",IF(ISNUMBER(I1577),INT(I1577),IFERROR(INT(DATEVALUE(I1577)),IFERROR(INT(VALUE(I1577)),"bad"))))</f>
        <v/>
      </c>
      <c r="O1577">
        <f>IF(J1577="","",IF(ISNUMBER(J1577),ROUND(J1577,2),IFERROR(ROUND(VALUE(SUBSTITUTE(SUBSTITUTE(SUBSTITUTE(J1577,"$",""),",","")," ","")),2),"bad")))</f>
        <v/>
      </c>
      <c r="P1577">
        <f>IF(TRIM(K1577)="","",IFERROR(MATCH(LOWER(TRIM(K1577)),'Students'!$AH$2:$AH$701,0),IFERROR(MATCH(LOWER(TRIM(K1577)),'Students'!$AF$2:$AF$701,0),IFERROR(MATCH(LOWER(TRIM(K1577)),'Students'!$AG$2:$AG$701,0),""))))</f>
        <v/>
      </c>
      <c r="R1577">
        <f>IF(P1577="","",INDEX('Students'!$AD$2:$AD$701,P1577))</f>
        <v/>
      </c>
      <c r="S1577">
        <f>IF(H1577="OK",O1577,0)</f>
        <v/>
      </c>
      <c r="T1577">
        <f>IF(H1577="OK",N1577,"")</f>
        <v/>
      </c>
      <c r="U1577">
        <f>IF(OC_Donor=0,"",IF(INDEX('OneCause_Paste'!$A$1577:$AZ$1577,1,OC_Donor)="","",INDEX('OneCause_Paste'!$A$1577:$AZ$1577,1,OC_Donor)))</f>
        <v/>
      </c>
    </row>
    <row r="1578">
      <c r="A1578" s="62">
        <f>IF(H1578="","",IF(ISNUMBER(N1578),N1578,I1578))</f>
        <v/>
      </c>
      <c r="B1578">
        <f>IF(H1578="","",U1578)</f>
        <v/>
      </c>
      <c r="C1578">
        <f>IF(H1578="","",IF(P1578="",K1578,INDEX('Students'!$A$2:$A$701,P1578)))</f>
        <v/>
      </c>
      <c r="D1578">
        <f>IF(OR(H1578="",P1578=""),"",INDEX('Students'!$B$2:$B$701,P1578))</f>
        <v/>
      </c>
      <c r="E1578">
        <f>IF(OR(H1578="",P1578=""),"",INDEX('Students'!$C$2:$C$701,P1578))</f>
        <v/>
      </c>
      <c r="F1578" s="48">
        <f>IF(H1578="","",IF(ISNUMBER(O1578),O1578,J1578))</f>
        <v/>
      </c>
      <c r="G1578">
        <f>IF(H1578="","","OneCause")</f>
        <v/>
      </c>
      <c r="H1578">
        <f>IF(AND(I1578="",J1578="",K1578=""),"",IF(NOT(ISNUMBER(O1578)),"Bad amount",IF(O1578&lt;0,"Refund (not counted)",IF(O1578=0,"Zero amount",IF(NOT(ISNUMBER(N1578)),"Bad date",IF(P1578="","NAME NOT ON ROSTER",IF(L1578="","OK",IF(MATCH(L1578,$L$2:$L$3001,0)&lt;ROW()-1,"Duplicate (ignored)","OK"))))))))</f>
        <v/>
      </c>
      <c r="I1578">
        <f>IF(OC_Date=0,"",IF(INDEX('OneCause_Paste'!$A$1578:$AZ$1578,1,OC_Date)="","",INDEX('OneCause_Paste'!$A$1578:$AZ$1578,1,OC_Date)))</f>
        <v/>
      </c>
      <c r="J1578">
        <f>IF(OC_Amt=0,"",IF(INDEX('OneCause_Paste'!$A$1578:$AZ$1578,1,OC_Amt)="","",INDEX('OneCause_Paste'!$A$1578:$AZ$1578,1,OC_Amt)))</f>
        <v/>
      </c>
      <c r="K1578">
        <f>IF(OC_Name=0,"",IF(INDEX('OneCause_Paste'!$A$1578:$AZ$1578,1,OC_Name)="","",INDEX('OneCause_Paste'!$A$1578:$AZ$1578,1,OC_Name)))</f>
        <v/>
      </c>
      <c r="L1578">
        <f>IF(OC_Txn=0,"",IF(INDEX('OneCause_Paste'!$A$1578:$AZ$1578,1,OC_Txn)="","",INDEX('OneCause_Paste'!$A$1578:$AZ$1578,1,OC_Txn)))</f>
        <v/>
      </c>
      <c r="M1578">
        <f>IF(OC_Pay=0,"",IF(INDEX('OneCause_Paste'!$A$1578:$AZ$1578,1,OC_Pay)="","",INDEX('OneCause_Paste'!$A$1578:$AZ$1578,1,OC_Pay)))</f>
        <v/>
      </c>
      <c r="N1578">
        <f>IF(I1578="","",IF(ISNUMBER(I1578),INT(I1578),IFERROR(INT(DATEVALUE(I1578)),IFERROR(INT(VALUE(I1578)),"bad"))))</f>
        <v/>
      </c>
      <c r="O1578">
        <f>IF(J1578="","",IF(ISNUMBER(J1578),ROUND(J1578,2),IFERROR(ROUND(VALUE(SUBSTITUTE(SUBSTITUTE(SUBSTITUTE(J1578,"$",""),",","")," ","")),2),"bad")))</f>
        <v/>
      </c>
      <c r="P1578">
        <f>IF(TRIM(K1578)="","",IFERROR(MATCH(LOWER(TRIM(K1578)),'Students'!$AH$2:$AH$701,0),IFERROR(MATCH(LOWER(TRIM(K1578)),'Students'!$AF$2:$AF$701,0),IFERROR(MATCH(LOWER(TRIM(K1578)),'Students'!$AG$2:$AG$701,0),""))))</f>
        <v/>
      </c>
      <c r="R1578">
        <f>IF(P1578="","",INDEX('Students'!$AD$2:$AD$701,P1578))</f>
        <v/>
      </c>
      <c r="S1578">
        <f>IF(H1578="OK",O1578,0)</f>
        <v/>
      </c>
      <c r="T1578">
        <f>IF(H1578="OK",N1578,"")</f>
        <v/>
      </c>
      <c r="U1578">
        <f>IF(OC_Donor=0,"",IF(INDEX('OneCause_Paste'!$A$1578:$AZ$1578,1,OC_Donor)="","",INDEX('OneCause_Paste'!$A$1578:$AZ$1578,1,OC_Donor)))</f>
        <v/>
      </c>
    </row>
    <row r="1579">
      <c r="A1579" s="62">
        <f>IF(H1579="","",IF(ISNUMBER(N1579),N1579,I1579))</f>
        <v/>
      </c>
      <c r="B1579">
        <f>IF(H1579="","",U1579)</f>
        <v/>
      </c>
      <c r="C1579">
        <f>IF(H1579="","",IF(P1579="",K1579,INDEX('Students'!$A$2:$A$701,P1579)))</f>
        <v/>
      </c>
      <c r="D1579">
        <f>IF(OR(H1579="",P1579=""),"",INDEX('Students'!$B$2:$B$701,P1579))</f>
        <v/>
      </c>
      <c r="E1579">
        <f>IF(OR(H1579="",P1579=""),"",INDEX('Students'!$C$2:$C$701,P1579))</f>
        <v/>
      </c>
      <c r="F1579" s="48">
        <f>IF(H1579="","",IF(ISNUMBER(O1579),O1579,J1579))</f>
        <v/>
      </c>
      <c r="G1579">
        <f>IF(H1579="","","OneCause")</f>
        <v/>
      </c>
      <c r="H1579">
        <f>IF(AND(I1579="",J1579="",K1579=""),"",IF(NOT(ISNUMBER(O1579)),"Bad amount",IF(O1579&lt;0,"Refund (not counted)",IF(O1579=0,"Zero amount",IF(NOT(ISNUMBER(N1579)),"Bad date",IF(P1579="","NAME NOT ON ROSTER",IF(L1579="","OK",IF(MATCH(L1579,$L$2:$L$3001,0)&lt;ROW()-1,"Duplicate (ignored)","OK"))))))))</f>
        <v/>
      </c>
      <c r="I1579">
        <f>IF(OC_Date=0,"",IF(INDEX('OneCause_Paste'!$A$1579:$AZ$1579,1,OC_Date)="","",INDEX('OneCause_Paste'!$A$1579:$AZ$1579,1,OC_Date)))</f>
        <v/>
      </c>
      <c r="J1579">
        <f>IF(OC_Amt=0,"",IF(INDEX('OneCause_Paste'!$A$1579:$AZ$1579,1,OC_Amt)="","",INDEX('OneCause_Paste'!$A$1579:$AZ$1579,1,OC_Amt)))</f>
        <v/>
      </c>
      <c r="K1579">
        <f>IF(OC_Name=0,"",IF(INDEX('OneCause_Paste'!$A$1579:$AZ$1579,1,OC_Name)="","",INDEX('OneCause_Paste'!$A$1579:$AZ$1579,1,OC_Name)))</f>
        <v/>
      </c>
      <c r="L1579">
        <f>IF(OC_Txn=0,"",IF(INDEX('OneCause_Paste'!$A$1579:$AZ$1579,1,OC_Txn)="","",INDEX('OneCause_Paste'!$A$1579:$AZ$1579,1,OC_Txn)))</f>
        <v/>
      </c>
      <c r="M1579">
        <f>IF(OC_Pay=0,"",IF(INDEX('OneCause_Paste'!$A$1579:$AZ$1579,1,OC_Pay)="","",INDEX('OneCause_Paste'!$A$1579:$AZ$1579,1,OC_Pay)))</f>
        <v/>
      </c>
      <c r="N1579">
        <f>IF(I1579="","",IF(ISNUMBER(I1579),INT(I1579),IFERROR(INT(DATEVALUE(I1579)),IFERROR(INT(VALUE(I1579)),"bad"))))</f>
        <v/>
      </c>
      <c r="O1579">
        <f>IF(J1579="","",IF(ISNUMBER(J1579),ROUND(J1579,2),IFERROR(ROUND(VALUE(SUBSTITUTE(SUBSTITUTE(SUBSTITUTE(J1579,"$",""),",","")," ","")),2),"bad")))</f>
        <v/>
      </c>
      <c r="P1579">
        <f>IF(TRIM(K1579)="","",IFERROR(MATCH(LOWER(TRIM(K1579)),'Students'!$AH$2:$AH$701,0),IFERROR(MATCH(LOWER(TRIM(K1579)),'Students'!$AF$2:$AF$701,0),IFERROR(MATCH(LOWER(TRIM(K1579)),'Students'!$AG$2:$AG$701,0),""))))</f>
        <v/>
      </c>
      <c r="R1579">
        <f>IF(P1579="","",INDEX('Students'!$AD$2:$AD$701,P1579))</f>
        <v/>
      </c>
      <c r="S1579">
        <f>IF(H1579="OK",O1579,0)</f>
        <v/>
      </c>
      <c r="T1579">
        <f>IF(H1579="OK",N1579,"")</f>
        <v/>
      </c>
      <c r="U1579">
        <f>IF(OC_Donor=0,"",IF(INDEX('OneCause_Paste'!$A$1579:$AZ$1579,1,OC_Donor)="","",INDEX('OneCause_Paste'!$A$1579:$AZ$1579,1,OC_Donor)))</f>
        <v/>
      </c>
    </row>
    <row r="1580">
      <c r="A1580" s="62">
        <f>IF(H1580="","",IF(ISNUMBER(N1580),N1580,I1580))</f>
        <v/>
      </c>
      <c r="B1580">
        <f>IF(H1580="","",U1580)</f>
        <v/>
      </c>
      <c r="C1580">
        <f>IF(H1580="","",IF(P1580="",K1580,INDEX('Students'!$A$2:$A$701,P1580)))</f>
        <v/>
      </c>
      <c r="D1580">
        <f>IF(OR(H1580="",P1580=""),"",INDEX('Students'!$B$2:$B$701,P1580))</f>
        <v/>
      </c>
      <c r="E1580">
        <f>IF(OR(H1580="",P1580=""),"",INDEX('Students'!$C$2:$C$701,P1580))</f>
        <v/>
      </c>
      <c r="F1580" s="48">
        <f>IF(H1580="","",IF(ISNUMBER(O1580),O1580,J1580))</f>
        <v/>
      </c>
      <c r="G1580">
        <f>IF(H1580="","","OneCause")</f>
        <v/>
      </c>
      <c r="H1580">
        <f>IF(AND(I1580="",J1580="",K1580=""),"",IF(NOT(ISNUMBER(O1580)),"Bad amount",IF(O1580&lt;0,"Refund (not counted)",IF(O1580=0,"Zero amount",IF(NOT(ISNUMBER(N1580)),"Bad date",IF(P1580="","NAME NOT ON ROSTER",IF(L1580="","OK",IF(MATCH(L1580,$L$2:$L$3001,0)&lt;ROW()-1,"Duplicate (ignored)","OK"))))))))</f>
        <v/>
      </c>
      <c r="I1580">
        <f>IF(OC_Date=0,"",IF(INDEX('OneCause_Paste'!$A$1580:$AZ$1580,1,OC_Date)="","",INDEX('OneCause_Paste'!$A$1580:$AZ$1580,1,OC_Date)))</f>
        <v/>
      </c>
      <c r="J1580">
        <f>IF(OC_Amt=0,"",IF(INDEX('OneCause_Paste'!$A$1580:$AZ$1580,1,OC_Amt)="","",INDEX('OneCause_Paste'!$A$1580:$AZ$1580,1,OC_Amt)))</f>
        <v/>
      </c>
      <c r="K1580">
        <f>IF(OC_Name=0,"",IF(INDEX('OneCause_Paste'!$A$1580:$AZ$1580,1,OC_Name)="","",INDEX('OneCause_Paste'!$A$1580:$AZ$1580,1,OC_Name)))</f>
        <v/>
      </c>
      <c r="L1580">
        <f>IF(OC_Txn=0,"",IF(INDEX('OneCause_Paste'!$A$1580:$AZ$1580,1,OC_Txn)="","",INDEX('OneCause_Paste'!$A$1580:$AZ$1580,1,OC_Txn)))</f>
        <v/>
      </c>
      <c r="M1580">
        <f>IF(OC_Pay=0,"",IF(INDEX('OneCause_Paste'!$A$1580:$AZ$1580,1,OC_Pay)="","",INDEX('OneCause_Paste'!$A$1580:$AZ$1580,1,OC_Pay)))</f>
        <v/>
      </c>
      <c r="N1580">
        <f>IF(I1580="","",IF(ISNUMBER(I1580),INT(I1580),IFERROR(INT(DATEVALUE(I1580)),IFERROR(INT(VALUE(I1580)),"bad"))))</f>
        <v/>
      </c>
      <c r="O1580">
        <f>IF(J1580="","",IF(ISNUMBER(J1580),ROUND(J1580,2),IFERROR(ROUND(VALUE(SUBSTITUTE(SUBSTITUTE(SUBSTITUTE(J1580,"$",""),",","")," ","")),2),"bad")))</f>
        <v/>
      </c>
      <c r="P1580">
        <f>IF(TRIM(K1580)="","",IFERROR(MATCH(LOWER(TRIM(K1580)),'Students'!$AH$2:$AH$701,0),IFERROR(MATCH(LOWER(TRIM(K1580)),'Students'!$AF$2:$AF$701,0),IFERROR(MATCH(LOWER(TRIM(K1580)),'Students'!$AG$2:$AG$701,0),""))))</f>
        <v/>
      </c>
      <c r="R1580">
        <f>IF(P1580="","",INDEX('Students'!$AD$2:$AD$701,P1580))</f>
        <v/>
      </c>
      <c r="S1580">
        <f>IF(H1580="OK",O1580,0)</f>
        <v/>
      </c>
      <c r="T1580">
        <f>IF(H1580="OK",N1580,"")</f>
        <v/>
      </c>
      <c r="U1580">
        <f>IF(OC_Donor=0,"",IF(INDEX('OneCause_Paste'!$A$1580:$AZ$1580,1,OC_Donor)="","",INDEX('OneCause_Paste'!$A$1580:$AZ$1580,1,OC_Donor)))</f>
        <v/>
      </c>
    </row>
    <row r="1581">
      <c r="A1581" s="62">
        <f>IF(H1581="","",IF(ISNUMBER(N1581),N1581,I1581))</f>
        <v/>
      </c>
      <c r="B1581">
        <f>IF(H1581="","",U1581)</f>
        <v/>
      </c>
      <c r="C1581">
        <f>IF(H1581="","",IF(P1581="",K1581,INDEX('Students'!$A$2:$A$701,P1581)))</f>
        <v/>
      </c>
      <c r="D1581">
        <f>IF(OR(H1581="",P1581=""),"",INDEX('Students'!$B$2:$B$701,P1581))</f>
        <v/>
      </c>
      <c r="E1581">
        <f>IF(OR(H1581="",P1581=""),"",INDEX('Students'!$C$2:$C$701,P1581))</f>
        <v/>
      </c>
      <c r="F1581" s="48">
        <f>IF(H1581="","",IF(ISNUMBER(O1581),O1581,J1581))</f>
        <v/>
      </c>
      <c r="G1581">
        <f>IF(H1581="","","OneCause")</f>
        <v/>
      </c>
      <c r="H1581">
        <f>IF(AND(I1581="",J1581="",K1581=""),"",IF(NOT(ISNUMBER(O1581)),"Bad amount",IF(O1581&lt;0,"Refund (not counted)",IF(O1581=0,"Zero amount",IF(NOT(ISNUMBER(N1581)),"Bad date",IF(P1581="","NAME NOT ON ROSTER",IF(L1581="","OK",IF(MATCH(L1581,$L$2:$L$3001,0)&lt;ROW()-1,"Duplicate (ignored)","OK"))))))))</f>
        <v/>
      </c>
      <c r="I1581">
        <f>IF(OC_Date=0,"",IF(INDEX('OneCause_Paste'!$A$1581:$AZ$1581,1,OC_Date)="","",INDEX('OneCause_Paste'!$A$1581:$AZ$1581,1,OC_Date)))</f>
        <v/>
      </c>
      <c r="J1581">
        <f>IF(OC_Amt=0,"",IF(INDEX('OneCause_Paste'!$A$1581:$AZ$1581,1,OC_Amt)="","",INDEX('OneCause_Paste'!$A$1581:$AZ$1581,1,OC_Amt)))</f>
        <v/>
      </c>
      <c r="K1581">
        <f>IF(OC_Name=0,"",IF(INDEX('OneCause_Paste'!$A$1581:$AZ$1581,1,OC_Name)="","",INDEX('OneCause_Paste'!$A$1581:$AZ$1581,1,OC_Name)))</f>
        <v/>
      </c>
      <c r="L1581">
        <f>IF(OC_Txn=0,"",IF(INDEX('OneCause_Paste'!$A$1581:$AZ$1581,1,OC_Txn)="","",INDEX('OneCause_Paste'!$A$1581:$AZ$1581,1,OC_Txn)))</f>
        <v/>
      </c>
      <c r="M1581">
        <f>IF(OC_Pay=0,"",IF(INDEX('OneCause_Paste'!$A$1581:$AZ$1581,1,OC_Pay)="","",INDEX('OneCause_Paste'!$A$1581:$AZ$1581,1,OC_Pay)))</f>
        <v/>
      </c>
      <c r="N1581">
        <f>IF(I1581="","",IF(ISNUMBER(I1581),INT(I1581),IFERROR(INT(DATEVALUE(I1581)),IFERROR(INT(VALUE(I1581)),"bad"))))</f>
        <v/>
      </c>
      <c r="O1581">
        <f>IF(J1581="","",IF(ISNUMBER(J1581),ROUND(J1581,2),IFERROR(ROUND(VALUE(SUBSTITUTE(SUBSTITUTE(SUBSTITUTE(J1581,"$",""),",","")," ","")),2),"bad")))</f>
        <v/>
      </c>
      <c r="P1581">
        <f>IF(TRIM(K1581)="","",IFERROR(MATCH(LOWER(TRIM(K1581)),'Students'!$AH$2:$AH$701,0),IFERROR(MATCH(LOWER(TRIM(K1581)),'Students'!$AF$2:$AF$701,0),IFERROR(MATCH(LOWER(TRIM(K1581)),'Students'!$AG$2:$AG$701,0),""))))</f>
        <v/>
      </c>
      <c r="R1581">
        <f>IF(P1581="","",INDEX('Students'!$AD$2:$AD$701,P1581))</f>
        <v/>
      </c>
      <c r="S1581">
        <f>IF(H1581="OK",O1581,0)</f>
        <v/>
      </c>
      <c r="T1581">
        <f>IF(H1581="OK",N1581,"")</f>
        <v/>
      </c>
      <c r="U1581">
        <f>IF(OC_Donor=0,"",IF(INDEX('OneCause_Paste'!$A$1581:$AZ$1581,1,OC_Donor)="","",INDEX('OneCause_Paste'!$A$1581:$AZ$1581,1,OC_Donor)))</f>
        <v/>
      </c>
    </row>
    <row r="1582">
      <c r="A1582" s="62">
        <f>IF(H1582="","",IF(ISNUMBER(N1582),N1582,I1582))</f>
        <v/>
      </c>
      <c r="B1582">
        <f>IF(H1582="","",U1582)</f>
        <v/>
      </c>
      <c r="C1582">
        <f>IF(H1582="","",IF(P1582="",K1582,INDEX('Students'!$A$2:$A$701,P1582)))</f>
        <v/>
      </c>
      <c r="D1582">
        <f>IF(OR(H1582="",P1582=""),"",INDEX('Students'!$B$2:$B$701,P1582))</f>
        <v/>
      </c>
      <c r="E1582">
        <f>IF(OR(H1582="",P1582=""),"",INDEX('Students'!$C$2:$C$701,P1582))</f>
        <v/>
      </c>
      <c r="F1582" s="48">
        <f>IF(H1582="","",IF(ISNUMBER(O1582),O1582,J1582))</f>
        <v/>
      </c>
      <c r="G1582">
        <f>IF(H1582="","","OneCause")</f>
        <v/>
      </c>
      <c r="H1582">
        <f>IF(AND(I1582="",J1582="",K1582=""),"",IF(NOT(ISNUMBER(O1582)),"Bad amount",IF(O1582&lt;0,"Refund (not counted)",IF(O1582=0,"Zero amount",IF(NOT(ISNUMBER(N1582)),"Bad date",IF(P1582="","NAME NOT ON ROSTER",IF(L1582="","OK",IF(MATCH(L1582,$L$2:$L$3001,0)&lt;ROW()-1,"Duplicate (ignored)","OK"))))))))</f>
        <v/>
      </c>
      <c r="I1582">
        <f>IF(OC_Date=0,"",IF(INDEX('OneCause_Paste'!$A$1582:$AZ$1582,1,OC_Date)="","",INDEX('OneCause_Paste'!$A$1582:$AZ$1582,1,OC_Date)))</f>
        <v/>
      </c>
      <c r="J1582">
        <f>IF(OC_Amt=0,"",IF(INDEX('OneCause_Paste'!$A$1582:$AZ$1582,1,OC_Amt)="","",INDEX('OneCause_Paste'!$A$1582:$AZ$1582,1,OC_Amt)))</f>
        <v/>
      </c>
      <c r="K1582">
        <f>IF(OC_Name=0,"",IF(INDEX('OneCause_Paste'!$A$1582:$AZ$1582,1,OC_Name)="","",INDEX('OneCause_Paste'!$A$1582:$AZ$1582,1,OC_Name)))</f>
        <v/>
      </c>
      <c r="L1582">
        <f>IF(OC_Txn=0,"",IF(INDEX('OneCause_Paste'!$A$1582:$AZ$1582,1,OC_Txn)="","",INDEX('OneCause_Paste'!$A$1582:$AZ$1582,1,OC_Txn)))</f>
        <v/>
      </c>
      <c r="M1582">
        <f>IF(OC_Pay=0,"",IF(INDEX('OneCause_Paste'!$A$1582:$AZ$1582,1,OC_Pay)="","",INDEX('OneCause_Paste'!$A$1582:$AZ$1582,1,OC_Pay)))</f>
        <v/>
      </c>
      <c r="N1582">
        <f>IF(I1582="","",IF(ISNUMBER(I1582),INT(I1582),IFERROR(INT(DATEVALUE(I1582)),IFERROR(INT(VALUE(I1582)),"bad"))))</f>
        <v/>
      </c>
      <c r="O1582">
        <f>IF(J1582="","",IF(ISNUMBER(J1582),ROUND(J1582,2),IFERROR(ROUND(VALUE(SUBSTITUTE(SUBSTITUTE(SUBSTITUTE(J1582,"$",""),",","")," ","")),2),"bad")))</f>
        <v/>
      </c>
      <c r="P1582">
        <f>IF(TRIM(K1582)="","",IFERROR(MATCH(LOWER(TRIM(K1582)),'Students'!$AH$2:$AH$701,0),IFERROR(MATCH(LOWER(TRIM(K1582)),'Students'!$AF$2:$AF$701,0),IFERROR(MATCH(LOWER(TRIM(K1582)),'Students'!$AG$2:$AG$701,0),""))))</f>
        <v/>
      </c>
      <c r="R1582">
        <f>IF(P1582="","",INDEX('Students'!$AD$2:$AD$701,P1582))</f>
        <v/>
      </c>
      <c r="S1582">
        <f>IF(H1582="OK",O1582,0)</f>
        <v/>
      </c>
      <c r="T1582">
        <f>IF(H1582="OK",N1582,"")</f>
        <v/>
      </c>
      <c r="U1582">
        <f>IF(OC_Donor=0,"",IF(INDEX('OneCause_Paste'!$A$1582:$AZ$1582,1,OC_Donor)="","",INDEX('OneCause_Paste'!$A$1582:$AZ$1582,1,OC_Donor)))</f>
        <v/>
      </c>
    </row>
    <row r="1583">
      <c r="A1583" s="62">
        <f>IF(H1583="","",IF(ISNUMBER(N1583),N1583,I1583))</f>
        <v/>
      </c>
      <c r="B1583">
        <f>IF(H1583="","",U1583)</f>
        <v/>
      </c>
      <c r="C1583">
        <f>IF(H1583="","",IF(P1583="",K1583,INDEX('Students'!$A$2:$A$701,P1583)))</f>
        <v/>
      </c>
      <c r="D1583">
        <f>IF(OR(H1583="",P1583=""),"",INDEX('Students'!$B$2:$B$701,P1583))</f>
        <v/>
      </c>
      <c r="E1583">
        <f>IF(OR(H1583="",P1583=""),"",INDEX('Students'!$C$2:$C$701,P1583))</f>
        <v/>
      </c>
      <c r="F1583" s="48">
        <f>IF(H1583="","",IF(ISNUMBER(O1583),O1583,J1583))</f>
        <v/>
      </c>
      <c r="G1583">
        <f>IF(H1583="","","OneCause")</f>
        <v/>
      </c>
      <c r="H1583">
        <f>IF(AND(I1583="",J1583="",K1583=""),"",IF(NOT(ISNUMBER(O1583)),"Bad amount",IF(O1583&lt;0,"Refund (not counted)",IF(O1583=0,"Zero amount",IF(NOT(ISNUMBER(N1583)),"Bad date",IF(P1583="","NAME NOT ON ROSTER",IF(L1583="","OK",IF(MATCH(L1583,$L$2:$L$3001,0)&lt;ROW()-1,"Duplicate (ignored)","OK"))))))))</f>
        <v/>
      </c>
      <c r="I1583">
        <f>IF(OC_Date=0,"",IF(INDEX('OneCause_Paste'!$A$1583:$AZ$1583,1,OC_Date)="","",INDEX('OneCause_Paste'!$A$1583:$AZ$1583,1,OC_Date)))</f>
        <v/>
      </c>
      <c r="J1583">
        <f>IF(OC_Amt=0,"",IF(INDEX('OneCause_Paste'!$A$1583:$AZ$1583,1,OC_Amt)="","",INDEX('OneCause_Paste'!$A$1583:$AZ$1583,1,OC_Amt)))</f>
        <v/>
      </c>
      <c r="K1583">
        <f>IF(OC_Name=0,"",IF(INDEX('OneCause_Paste'!$A$1583:$AZ$1583,1,OC_Name)="","",INDEX('OneCause_Paste'!$A$1583:$AZ$1583,1,OC_Name)))</f>
        <v/>
      </c>
      <c r="L1583">
        <f>IF(OC_Txn=0,"",IF(INDEX('OneCause_Paste'!$A$1583:$AZ$1583,1,OC_Txn)="","",INDEX('OneCause_Paste'!$A$1583:$AZ$1583,1,OC_Txn)))</f>
        <v/>
      </c>
      <c r="M1583">
        <f>IF(OC_Pay=0,"",IF(INDEX('OneCause_Paste'!$A$1583:$AZ$1583,1,OC_Pay)="","",INDEX('OneCause_Paste'!$A$1583:$AZ$1583,1,OC_Pay)))</f>
        <v/>
      </c>
      <c r="N1583">
        <f>IF(I1583="","",IF(ISNUMBER(I1583),INT(I1583),IFERROR(INT(DATEVALUE(I1583)),IFERROR(INT(VALUE(I1583)),"bad"))))</f>
        <v/>
      </c>
      <c r="O1583">
        <f>IF(J1583="","",IF(ISNUMBER(J1583),ROUND(J1583,2),IFERROR(ROUND(VALUE(SUBSTITUTE(SUBSTITUTE(SUBSTITUTE(J1583,"$",""),",","")," ","")),2),"bad")))</f>
        <v/>
      </c>
      <c r="P1583">
        <f>IF(TRIM(K1583)="","",IFERROR(MATCH(LOWER(TRIM(K1583)),'Students'!$AH$2:$AH$701,0),IFERROR(MATCH(LOWER(TRIM(K1583)),'Students'!$AF$2:$AF$701,0),IFERROR(MATCH(LOWER(TRIM(K1583)),'Students'!$AG$2:$AG$701,0),""))))</f>
        <v/>
      </c>
      <c r="R1583">
        <f>IF(P1583="","",INDEX('Students'!$AD$2:$AD$701,P1583))</f>
        <v/>
      </c>
      <c r="S1583">
        <f>IF(H1583="OK",O1583,0)</f>
        <v/>
      </c>
      <c r="T1583">
        <f>IF(H1583="OK",N1583,"")</f>
        <v/>
      </c>
      <c r="U1583">
        <f>IF(OC_Donor=0,"",IF(INDEX('OneCause_Paste'!$A$1583:$AZ$1583,1,OC_Donor)="","",INDEX('OneCause_Paste'!$A$1583:$AZ$1583,1,OC_Donor)))</f>
        <v/>
      </c>
    </row>
    <row r="1584">
      <c r="A1584" s="62">
        <f>IF(H1584="","",IF(ISNUMBER(N1584),N1584,I1584))</f>
        <v/>
      </c>
      <c r="B1584">
        <f>IF(H1584="","",U1584)</f>
        <v/>
      </c>
      <c r="C1584">
        <f>IF(H1584="","",IF(P1584="",K1584,INDEX('Students'!$A$2:$A$701,P1584)))</f>
        <v/>
      </c>
      <c r="D1584">
        <f>IF(OR(H1584="",P1584=""),"",INDEX('Students'!$B$2:$B$701,P1584))</f>
        <v/>
      </c>
      <c r="E1584">
        <f>IF(OR(H1584="",P1584=""),"",INDEX('Students'!$C$2:$C$701,P1584))</f>
        <v/>
      </c>
      <c r="F1584" s="48">
        <f>IF(H1584="","",IF(ISNUMBER(O1584),O1584,J1584))</f>
        <v/>
      </c>
      <c r="G1584">
        <f>IF(H1584="","","OneCause")</f>
        <v/>
      </c>
      <c r="H1584">
        <f>IF(AND(I1584="",J1584="",K1584=""),"",IF(NOT(ISNUMBER(O1584)),"Bad amount",IF(O1584&lt;0,"Refund (not counted)",IF(O1584=0,"Zero amount",IF(NOT(ISNUMBER(N1584)),"Bad date",IF(P1584="","NAME NOT ON ROSTER",IF(L1584="","OK",IF(MATCH(L1584,$L$2:$L$3001,0)&lt;ROW()-1,"Duplicate (ignored)","OK"))))))))</f>
        <v/>
      </c>
      <c r="I1584">
        <f>IF(OC_Date=0,"",IF(INDEX('OneCause_Paste'!$A$1584:$AZ$1584,1,OC_Date)="","",INDEX('OneCause_Paste'!$A$1584:$AZ$1584,1,OC_Date)))</f>
        <v/>
      </c>
      <c r="J1584">
        <f>IF(OC_Amt=0,"",IF(INDEX('OneCause_Paste'!$A$1584:$AZ$1584,1,OC_Amt)="","",INDEX('OneCause_Paste'!$A$1584:$AZ$1584,1,OC_Amt)))</f>
        <v/>
      </c>
      <c r="K1584">
        <f>IF(OC_Name=0,"",IF(INDEX('OneCause_Paste'!$A$1584:$AZ$1584,1,OC_Name)="","",INDEX('OneCause_Paste'!$A$1584:$AZ$1584,1,OC_Name)))</f>
        <v/>
      </c>
      <c r="L1584">
        <f>IF(OC_Txn=0,"",IF(INDEX('OneCause_Paste'!$A$1584:$AZ$1584,1,OC_Txn)="","",INDEX('OneCause_Paste'!$A$1584:$AZ$1584,1,OC_Txn)))</f>
        <v/>
      </c>
      <c r="M1584">
        <f>IF(OC_Pay=0,"",IF(INDEX('OneCause_Paste'!$A$1584:$AZ$1584,1,OC_Pay)="","",INDEX('OneCause_Paste'!$A$1584:$AZ$1584,1,OC_Pay)))</f>
        <v/>
      </c>
      <c r="N1584">
        <f>IF(I1584="","",IF(ISNUMBER(I1584),INT(I1584),IFERROR(INT(DATEVALUE(I1584)),IFERROR(INT(VALUE(I1584)),"bad"))))</f>
        <v/>
      </c>
      <c r="O1584">
        <f>IF(J1584="","",IF(ISNUMBER(J1584),ROUND(J1584,2),IFERROR(ROUND(VALUE(SUBSTITUTE(SUBSTITUTE(SUBSTITUTE(J1584,"$",""),",","")," ","")),2),"bad")))</f>
        <v/>
      </c>
      <c r="P1584">
        <f>IF(TRIM(K1584)="","",IFERROR(MATCH(LOWER(TRIM(K1584)),'Students'!$AH$2:$AH$701,0),IFERROR(MATCH(LOWER(TRIM(K1584)),'Students'!$AF$2:$AF$701,0),IFERROR(MATCH(LOWER(TRIM(K1584)),'Students'!$AG$2:$AG$701,0),""))))</f>
        <v/>
      </c>
      <c r="R1584">
        <f>IF(P1584="","",INDEX('Students'!$AD$2:$AD$701,P1584))</f>
        <v/>
      </c>
      <c r="S1584">
        <f>IF(H1584="OK",O1584,0)</f>
        <v/>
      </c>
      <c r="T1584">
        <f>IF(H1584="OK",N1584,"")</f>
        <v/>
      </c>
      <c r="U1584">
        <f>IF(OC_Donor=0,"",IF(INDEX('OneCause_Paste'!$A$1584:$AZ$1584,1,OC_Donor)="","",INDEX('OneCause_Paste'!$A$1584:$AZ$1584,1,OC_Donor)))</f>
        <v/>
      </c>
    </row>
    <row r="1585">
      <c r="A1585" s="62">
        <f>IF(H1585="","",IF(ISNUMBER(N1585),N1585,I1585))</f>
        <v/>
      </c>
      <c r="B1585">
        <f>IF(H1585="","",U1585)</f>
        <v/>
      </c>
      <c r="C1585">
        <f>IF(H1585="","",IF(P1585="",K1585,INDEX('Students'!$A$2:$A$701,P1585)))</f>
        <v/>
      </c>
      <c r="D1585">
        <f>IF(OR(H1585="",P1585=""),"",INDEX('Students'!$B$2:$B$701,P1585))</f>
        <v/>
      </c>
      <c r="E1585">
        <f>IF(OR(H1585="",P1585=""),"",INDEX('Students'!$C$2:$C$701,P1585))</f>
        <v/>
      </c>
      <c r="F1585" s="48">
        <f>IF(H1585="","",IF(ISNUMBER(O1585),O1585,J1585))</f>
        <v/>
      </c>
      <c r="G1585">
        <f>IF(H1585="","","OneCause")</f>
        <v/>
      </c>
      <c r="H1585">
        <f>IF(AND(I1585="",J1585="",K1585=""),"",IF(NOT(ISNUMBER(O1585)),"Bad amount",IF(O1585&lt;0,"Refund (not counted)",IF(O1585=0,"Zero amount",IF(NOT(ISNUMBER(N1585)),"Bad date",IF(P1585="","NAME NOT ON ROSTER",IF(L1585="","OK",IF(MATCH(L1585,$L$2:$L$3001,0)&lt;ROW()-1,"Duplicate (ignored)","OK"))))))))</f>
        <v/>
      </c>
      <c r="I1585">
        <f>IF(OC_Date=0,"",IF(INDEX('OneCause_Paste'!$A$1585:$AZ$1585,1,OC_Date)="","",INDEX('OneCause_Paste'!$A$1585:$AZ$1585,1,OC_Date)))</f>
        <v/>
      </c>
      <c r="J1585">
        <f>IF(OC_Amt=0,"",IF(INDEX('OneCause_Paste'!$A$1585:$AZ$1585,1,OC_Amt)="","",INDEX('OneCause_Paste'!$A$1585:$AZ$1585,1,OC_Amt)))</f>
        <v/>
      </c>
      <c r="K1585">
        <f>IF(OC_Name=0,"",IF(INDEX('OneCause_Paste'!$A$1585:$AZ$1585,1,OC_Name)="","",INDEX('OneCause_Paste'!$A$1585:$AZ$1585,1,OC_Name)))</f>
        <v/>
      </c>
      <c r="L1585">
        <f>IF(OC_Txn=0,"",IF(INDEX('OneCause_Paste'!$A$1585:$AZ$1585,1,OC_Txn)="","",INDEX('OneCause_Paste'!$A$1585:$AZ$1585,1,OC_Txn)))</f>
        <v/>
      </c>
      <c r="M1585">
        <f>IF(OC_Pay=0,"",IF(INDEX('OneCause_Paste'!$A$1585:$AZ$1585,1,OC_Pay)="","",INDEX('OneCause_Paste'!$A$1585:$AZ$1585,1,OC_Pay)))</f>
        <v/>
      </c>
      <c r="N1585">
        <f>IF(I1585="","",IF(ISNUMBER(I1585),INT(I1585),IFERROR(INT(DATEVALUE(I1585)),IFERROR(INT(VALUE(I1585)),"bad"))))</f>
        <v/>
      </c>
      <c r="O1585">
        <f>IF(J1585="","",IF(ISNUMBER(J1585),ROUND(J1585,2),IFERROR(ROUND(VALUE(SUBSTITUTE(SUBSTITUTE(SUBSTITUTE(J1585,"$",""),",","")," ","")),2),"bad")))</f>
        <v/>
      </c>
      <c r="P1585">
        <f>IF(TRIM(K1585)="","",IFERROR(MATCH(LOWER(TRIM(K1585)),'Students'!$AH$2:$AH$701,0),IFERROR(MATCH(LOWER(TRIM(K1585)),'Students'!$AF$2:$AF$701,0),IFERROR(MATCH(LOWER(TRIM(K1585)),'Students'!$AG$2:$AG$701,0),""))))</f>
        <v/>
      </c>
      <c r="R1585">
        <f>IF(P1585="","",INDEX('Students'!$AD$2:$AD$701,P1585))</f>
        <v/>
      </c>
      <c r="S1585">
        <f>IF(H1585="OK",O1585,0)</f>
        <v/>
      </c>
      <c r="T1585">
        <f>IF(H1585="OK",N1585,"")</f>
        <v/>
      </c>
      <c r="U1585">
        <f>IF(OC_Donor=0,"",IF(INDEX('OneCause_Paste'!$A$1585:$AZ$1585,1,OC_Donor)="","",INDEX('OneCause_Paste'!$A$1585:$AZ$1585,1,OC_Donor)))</f>
        <v/>
      </c>
    </row>
    <row r="1586">
      <c r="A1586" s="62">
        <f>IF(H1586="","",IF(ISNUMBER(N1586),N1586,I1586))</f>
        <v/>
      </c>
      <c r="B1586">
        <f>IF(H1586="","",U1586)</f>
        <v/>
      </c>
      <c r="C1586">
        <f>IF(H1586="","",IF(P1586="",K1586,INDEX('Students'!$A$2:$A$701,P1586)))</f>
        <v/>
      </c>
      <c r="D1586">
        <f>IF(OR(H1586="",P1586=""),"",INDEX('Students'!$B$2:$B$701,P1586))</f>
        <v/>
      </c>
      <c r="E1586">
        <f>IF(OR(H1586="",P1586=""),"",INDEX('Students'!$C$2:$C$701,P1586))</f>
        <v/>
      </c>
      <c r="F1586" s="48">
        <f>IF(H1586="","",IF(ISNUMBER(O1586),O1586,J1586))</f>
        <v/>
      </c>
      <c r="G1586">
        <f>IF(H1586="","","OneCause")</f>
        <v/>
      </c>
      <c r="H1586">
        <f>IF(AND(I1586="",J1586="",K1586=""),"",IF(NOT(ISNUMBER(O1586)),"Bad amount",IF(O1586&lt;0,"Refund (not counted)",IF(O1586=0,"Zero amount",IF(NOT(ISNUMBER(N1586)),"Bad date",IF(P1586="","NAME NOT ON ROSTER",IF(L1586="","OK",IF(MATCH(L1586,$L$2:$L$3001,0)&lt;ROW()-1,"Duplicate (ignored)","OK"))))))))</f>
        <v/>
      </c>
      <c r="I1586">
        <f>IF(OC_Date=0,"",IF(INDEX('OneCause_Paste'!$A$1586:$AZ$1586,1,OC_Date)="","",INDEX('OneCause_Paste'!$A$1586:$AZ$1586,1,OC_Date)))</f>
        <v/>
      </c>
      <c r="J1586">
        <f>IF(OC_Amt=0,"",IF(INDEX('OneCause_Paste'!$A$1586:$AZ$1586,1,OC_Amt)="","",INDEX('OneCause_Paste'!$A$1586:$AZ$1586,1,OC_Amt)))</f>
        <v/>
      </c>
      <c r="K1586">
        <f>IF(OC_Name=0,"",IF(INDEX('OneCause_Paste'!$A$1586:$AZ$1586,1,OC_Name)="","",INDEX('OneCause_Paste'!$A$1586:$AZ$1586,1,OC_Name)))</f>
        <v/>
      </c>
      <c r="L1586">
        <f>IF(OC_Txn=0,"",IF(INDEX('OneCause_Paste'!$A$1586:$AZ$1586,1,OC_Txn)="","",INDEX('OneCause_Paste'!$A$1586:$AZ$1586,1,OC_Txn)))</f>
        <v/>
      </c>
      <c r="M1586">
        <f>IF(OC_Pay=0,"",IF(INDEX('OneCause_Paste'!$A$1586:$AZ$1586,1,OC_Pay)="","",INDEX('OneCause_Paste'!$A$1586:$AZ$1586,1,OC_Pay)))</f>
        <v/>
      </c>
      <c r="N1586">
        <f>IF(I1586="","",IF(ISNUMBER(I1586),INT(I1586),IFERROR(INT(DATEVALUE(I1586)),IFERROR(INT(VALUE(I1586)),"bad"))))</f>
        <v/>
      </c>
      <c r="O1586">
        <f>IF(J1586="","",IF(ISNUMBER(J1586),ROUND(J1586,2),IFERROR(ROUND(VALUE(SUBSTITUTE(SUBSTITUTE(SUBSTITUTE(J1586,"$",""),",","")," ","")),2),"bad")))</f>
        <v/>
      </c>
      <c r="P1586">
        <f>IF(TRIM(K1586)="","",IFERROR(MATCH(LOWER(TRIM(K1586)),'Students'!$AH$2:$AH$701,0),IFERROR(MATCH(LOWER(TRIM(K1586)),'Students'!$AF$2:$AF$701,0),IFERROR(MATCH(LOWER(TRIM(K1586)),'Students'!$AG$2:$AG$701,0),""))))</f>
        <v/>
      </c>
      <c r="R1586">
        <f>IF(P1586="","",INDEX('Students'!$AD$2:$AD$701,P1586))</f>
        <v/>
      </c>
      <c r="S1586">
        <f>IF(H1586="OK",O1586,0)</f>
        <v/>
      </c>
      <c r="T1586">
        <f>IF(H1586="OK",N1586,"")</f>
        <v/>
      </c>
      <c r="U1586">
        <f>IF(OC_Donor=0,"",IF(INDEX('OneCause_Paste'!$A$1586:$AZ$1586,1,OC_Donor)="","",INDEX('OneCause_Paste'!$A$1586:$AZ$1586,1,OC_Donor)))</f>
        <v/>
      </c>
    </row>
    <row r="1587">
      <c r="A1587" s="62">
        <f>IF(H1587="","",IF(ISNUMBER(N1587),N1587,I1587))</f>
        <v/>
      </c>
      <c r="B1587">
        <f>IF(H1587="","",U1587)</f>
        <v/>
      </c>
      <c r="C1587">
        <f>IF(H1587="","",IF(P1587="",K1587,INDEX('Students'!$A$2:$A$701,P1587)))</f>
        <v/>
      </c>
      <c r="D1587">
        <f>IF(OR(H1587="",P1587=""),"",INDEX('Students'!$B$2:$B$701,P1587))</f>
        <v/>
      </c>
      <c r="E1587">
        <f>IF(OR(H1587="",P1587=""),"",INDEX('Students'!$C$2:$C$701,P1587))</f>
        <v/>
      </c>
      <c r="F1587" s="48">
        <f>IF(H1587="","",IF(ISNUMBER(O1587),O1587,J1587))</f>
        <v/>
      </c>
      <c r="G1587">
        <f>IF(H1587="","","OneCause")</f>
        <v/>
      </c>
      <c r="H1587">
        <f>IF(AND(I1587="",J1587="",K1587=""),"",IF(NOT(ISNUMBER(O1587)),"Bad amount",IF(O1587&lt;0,"Refund (not counted)",IF(O1587=0,"Zero amount",IF(NOT(ISNUMBER(N1587)),"Bad date",IF(P1587="","NAME NOT ON ROSTER",IF(L1587="","OK",IF(MATCH(L1587,$L$2:$L$3001,0)&lt;ROW()-1,"Duplicate (ignored)","OK"))))))))</f>
        <v/>
      </c>
      <c r="I1587">
        <f>IF(OC_Date=0,"",IF(INDEX('OneCause_Paste'!$A$1587:$AZ$1587,1,OC_Date)="","",INDEX('OneCause_Paste'!$A$1587:$AZ$1587,1,OC_Date)))</f>
        <v/>
      </c>
      <c r="J1587">
        <f>IF(OC_Amt=0,"",IF(INDEX('OneCause_Paste'!$A$1587:$AZ$1587,1,OC_Amt)="","",INDEX('OneCause_Paste'!$A$1587:$AZ$1587,1,OC_Amt)))</f>
        <v/>
      </c>
      <c r="K1587">
        <f>IF(OC_Name=0,"",IF(INDEX('OneCause_Paste'!$A$1587:$AZ$1587,1,OC_Name)="","",INDEX('OneCause_Paste'!$A$1587:$AZ$1587,1,OC_Name)))</f>
        <v/>
      </c>
      <c r="L1587">
        <f>IF(OC_Txn=0,"",IF(INDEX('OneCause_Paste'!$A$1587:$AZ$1587,1,OC_Txn)="","",INDEX('OneCause_Paste'!$A$1587:$AZ$1587,1,OC_Txn)))</f>
        <v/>
      </c>
      <c r="M1587">
        <f>IF(OC_Pay=0,"",IF(INDEX('OneCause_Paste'!$A$1587:$AZ$1587,1,OC_Pay)="","",INDEX('OneCause_Paste'!$A$1587:$AZ$1587,1,OC_Pay)))</f>
        <v/>
      </c>
      <c r="N1587">
        <f>IF(I1587="","",IF(ISNUMBER(I1587),INT(I1587),IFERROR(INT(DATEVALUE(I1587)),IFERROR(INT(VALUE(I1587)),"bad"))))</f>
        <v/>
      </c>
      <c r="O1587">
        <f>IF(J1587="","",IF(ISNUMBER(J1587),ROUND(J1587,2),IFERROR(ROUND(VALUE(SUBSTITUTE(SUBSTITUTE(SUBSTITUTE(J1587,"$",""),",","")," ","")),2),"bad")))</f>
        <v/>
      </c>
      <c r="P1587">
        <f>IF(TRIM(K1587)="","",IFERROR(MATCH(LOWER(TRIM(K1587)),'Students'!$AH$2:$AH$701,0),IFERROR(MATCH(LOWER(TRIM(K1587)),'Students'!$AF$2:$AF$701,0),IFERROR(MATCH(LOWER(TRIM(K1587)),'Students'!$AG$2:$AG$701,0),""))))</f>
        <v/>
      </c>
      <c r="R1587">
        <f>IF(P1587="","",INDEX('Students'!$AD$2:$AD$701,P1587))</f>
        <v/>
      </c>
      <c r="S1587">
        <f>IF(H1587="OK",O1587,0)</f>
        <v/>
      </c>
      <c r="T1587">
        <f>IF(H1587="OK",N1587,"")</f>
        <v/>
      </c>
      <c r="U1587">
        <f>IF(OC_Donor=0,"",IF(INDEX('OneCause_Paste'!$A$1587:$AZ$1587,1,OC_Donor)="","",INDEX('OneCause_Paste'!$A$1587:$AZ$1587,1,OC_Donor)))</f>
        <v/>
      </c>
    </row>
    <row r="1588">
      <c r="A1588" s="62">
        <f>IF(H1588="","",IF(ISNUMBER(N1588),N1588,I1588))</f>
        <v/>
      </c>
      <c r="B1588">
        <f>IF(H1588="","",U1588)</f>
        <v/>
      </c>
      <c r="C1588">
        <f>IF(H1588="","",IF(P1588="",K1588,INDEX('Students'!$A$2:$A$701,P1588)))</f>
        <v/>
      </c>
      <c r="D1588">
        <f>IF(OR(H1588="",P1588=""),"",INDEX('Students'!$B$2:$B$701,P1588))</f>
        <v/>
      </c>
      <c r="E1588">
        <f>IF(OR(H1588="",P1588=""),"",INDEX('Students'!$C$2:$C$701,P1588))</f>
        <v/>
      </c>
      <c r="F1588" s="48">
        <f>IF(H1588="","",IF(ISNUMBER(O1588),O1588,J1588))</f>
        <v/>
      </c>
      <c r="G1588">
        <f>IF(H1588="","","OneCause")</f>
        <v/>
      </c>
      <c r="H1588">
        <f>IF(AND(I1588="",J1588="",K1588=""),"",IF(NOT(ISNUMBER(O1588)),"Bad amount",IF(O1588&lt;0,"Refund (not counted)",IF(O1588=0,"Zero amount",IF(NOT(ISNUMBER(N1588)),"Bad date",IF(P1588="","NAME NOT ON ROSTER",IF(L1588="","OK",IF(MATCH(L1588,$L$2:$L$3001,0)&lt;ROW()-1,"Duplicate (ignored)","OK"))))))))</f>
        <v/>
      </c>
      <c r="I1588">
        <f>IF(OC_Date=0,"",IF(INDEX('OneCause_Paste'!$A$1588:$AZ$1588,1,OC_Date)="","",INDEX('OneCause_Paste'!$A$1588:$AZ$1588,1,OC_Date)))</f>
        <v/>
      </c>
      <c r="J1588">
        <f>IF(OC_Amt=0,"",IF(INDEX('OneCause_Paste'!$A$1588:$AZ$1588,1,OC_Amt)="","",INDEX('OneCause_Paste'!$A$1588:$AZ$1588,1,OC_Amt)))</f>
        <v/>
      </c>
      <c r="K1588">
        <f>IF(OC_Name=0,"",IF(INDEX('OneCause_Paste'!$A$1588:$AZ$1588,1,OC_Name)="","",INDEX('OneCause_Paste'!$A$1588:$AZ$1588,1,OC_Name)))</f>
        <v/>
      </c>
      <c r="L1588">
        <f>IF(OC_Txn=0,"",IF(INDEX('OneCause_Paste'!$A$1588:$AZ$1588,1,OC_Txn)="","",INDEX('OneCause_Paste'!$A$1588:$AZ$1588,1,OC_Txn)))</f>
        <v/>
      </c>
      <c r="M1588">
        <f>IF(OC_Pay=0,"",IF(INDEX('OneCause_Paste'!$A$1588:$AZ$1588,1,OC_Pay)="","",INDEX('OneCause_Paste'!$A$1588:$AZ$1588,1,OC_Pay)))</f>
        <v/>
      </c>
      <c r="N1588">
        <f>IF(I1588="","",IF(ISNUMBER(I1588),INT(I1588),IFERROR(INT(DATEVALUE(I1588)),IFERROR(INT(VALUE(I1588)),"bad"))))</f>
        <v/>
      </c>
      <c r="O1588">
        <f>IF(J1588="","",IF(ISNUMBER(J1588),ROUND(J1588,2),IFERROR(ROUND(VALUE(SUBSTITUTE(SUBSTITUTE(SUBSTITUTE(J1588,"$",""),",","")," ","")),2),"bad")))</f>
        <v/>
      </c>
      <c r="P1588">
        <f>IF(TRIM(K1588)="","",IFERROR(MATCH(LOWER(TRIM(K1588)),'Students'!$AH$2:$AH$701,0),IFERROR(MATCH(LOWER(TRIM(K1588)),'Students'!$AF$2:$AF$701,0),IFERROR(MATCH(LOWER(TRIM(K1588)),'Students'!$AG$2:$AG$701,0),""))))</f>
        <v/>
      </c>
      <c r="R1588">
        <f>IF(P1588="","",INDEX('Students'!$AD$2:$AD$701,P1588))</f>
        <v/>
      </c>
      <c r="S1588">
        <f>IF(H1588="OK",O1588,0)</f>
        <v/>
      </c>
      <c r="T1588">
        <f>IF(H1588="OK",N1588,"")</f>
        <v/>
      </c>
      <c r="U1588">
        <f>IF(OC_Donor=0,"",IF(INDEX('OneCause_Paste'!$A$1588:$AZ$1588,1,OC_Donor)="","",INDEX('OneCause_Paste'!$A$1588:$AZ$1588,1,OC_Donor)))</f>
        <v/>
      </c>
    </row>
    <row r="1589">
      <c r="A1589" s="62">
        <f>IF(H1589="","",IF(ISNUMBER(N1589),N1589,I1589))</f>
        <v/>
      </c>
      <c r="B1589">
        <f>IF(H1589="","",U1589)</f>
        <v/>
      </c>
      <c r="C1589">
        <f>IF(H1589="","",IF(P1589="",K1589,INDEX('Students'!$A$2:$A$701,P1589)))</f>
        <v/>
      </c>
      <c r="D1589">
        <f>IF(OR(H1589="",P1589=""),"",INDEX('Students'!$B$2:$B$701,P1589))</f>
        <v/>
      </c>
      <c r="E1589">
        <f>IF(OR(H1589="",P1589=""),"",INDEX('Students'!$C$2:$C$701,P1589))</f>
        <v/>
      </c>
      <c r="F1589" s="48">
        <f>IF(H1589="","",IF(ISNUMBER(O1589),O1589,J1589))</f>
        <v/>
      </c>
      <c r="G1589">
        <f>IF(H1589="","","OneCause")</f>
        <v/>
      </c>
      <c r="H1589">
        <f>IF(AND(I1589="",J1589="",K1589=""),"",IF(NOT(ISNUMBER(O1589)),"Bad amount",IF(O1589&lt;0,"Refund (not counted)",IF(O1589=0,"Zero amount",IF(NOT(ISNUMBER(N1589)),"Bad date",IF(P1589="","NAME NOT ON ROSTER",IF(L1589="","OK",IF(MATCH(L1589,$L$2:$L$3001,0)&lt;ROW()-1,"Duplicate (ignored)","OK"))))))))</f>
        <v/>
      </c>
      <c r="I1589">
        <f>IF(OC_Date=0,"",IF(INDEX('OneCause_Paste'!$A$1589:$AZ$1589,1,OC_Date)="","",INDEX('OneCause_Paste'!$A$1589:$AZ$1589,1,OC_Date)))</f>
        <v/>
      </c>
      <c r="J1589">
        <f>IF(OC_Amt=0,"",IF(INDEX('OneCause_Paste'!$A$1589:$AZ$1589,1,OC_Amt)="","",INDEX('OneCause_Paste'!$A$1589:$AZ$1589,1,OC_Amt)))</f>
        <v/>
      </c>
      <c r="K1589">
        <f>IF(OC_Name=0,"",IF(INDEX('OneCause_Paste'!$A$1589:$AZ$1589,1,OC_Name)="","",INDEX('OneCause_Paste'!$A$1589:$AZ$1589,1,OC_Name)))</f>
        <v/>
      </c>
      <c r="L1589">
        <f>IF(OC_Txn=0,"",IF(INDEX('OneCause_Paste'!$A$1589:$AZ$1589,1,OC_Txn)="","",INDEX('OneCause_Paste'!$A$1589:$AZ$1589,1,OC_Txn)))</f>
        <v/>
      </c>
      <c r="M1589">
        <f>IF(OC_Pay=0,"",IF(INDEX('OneCause_Paste'!$A$1589:$AZ$1589,1,OC_Pay)="","",INDEX('OneCause_Paste'!$A$1589:$AZ$1589,1,OC_Pay)))</f>
        <v/>
      </c>
      <c r="N1589">
        <f>IF(I1589="","",IF(ISNUMBER(I1589),INT(I1589),IFERROR(INT(DATEVALUE(I1589)),IFERROR(INT(VALUE(I1589)),"bad"))))</f>
        <v/>
      </c>
      <c r="O1589">
        <f>IF(J1589="","",IF(ISNUMBER(J1589),ROUND(J1589,2),IFERROR(ROUND(VALUE(SUBSTITUTE(SUBSTITUTE(SUBSTITUTE(J1589,"$",""),",","")," ","")),2),"bad")))</f>
        <v/>
      </c>
      <c r="P1589">
        <f>IF(TRIM(K1589)="","",IFERROR(MATCH(LOWER(TRIM(K1589)),'Students'!$AH$2:$AH$701,0),IFERROR(MATCH(LOWER(TRIM(K1589)),'Students'!$AF$2:$AF$701,0),IFERROR(MATCH(LOWER(TRIM(K1589)),'Students'!$AG$2:$AG$701,0),""))))</f>
        <v/>
      </c>
      <c r="R1589">
        <f>IF(P1589="","",INDEX('Students'!$AD$2:$AD$701,P1589))</f>
        <v/>
      </c>
      <c r="S1589">
        <f>IF(H1589="OK",O1589,0)</f>
        <v/>
      </c>
      <c r="T1589">
        <f>IF(H1589="OK",N1589,"")</f>
        <v/>
      </c>
      <c r="U1589">
        <f>IF(OC_Donor=0,"",IF(INDEX('OneCause_Paste'!$A$1589:$AZ$1589,1,OC_Donor)="","",INDEX('OneCause_Paste'!$A$1589:$AZ$1589,1,OC_Donor)))</f>
        <v/>
      </c>
    </row>
    <row r="1590">
      <c r="A1590" s="62">
        <f>IF(H1590="","",IF(ISNUMBER(N1590),N1590,I1590))</f>
        <v/>
      </c>
      <c r="B1590">
        <f>IF(H1590="","",U1590)</f>
        <v/>
      </c>
      <c r="C1590">
        <f>IF(H1590="","",IF(P1590="",K1590,INDEX('Students'!$A$2:$A$701,P1590)))</f>
        <v/>
      </c>
      <c r="D1590">
        <f>IF(OR(H1590="",P1590=""),"",INDEX('Students'!$B$2:$B$701,P1590))</f>
        <v/>
      </c>
      <c r="E1590">
        <f>IF(OR(H1590="",P1590=""),"",INDEX('Students'!$C$2:$C$701,P1590))</f>
        <v/>
      </c>
      <c r="F1590" s="48">
        <f>IF(H1590="","",IF(ISNUMBER(O1590),O1590,J1590))</f>
        <v/>
      </c>
      <c r="G1590">
        <f>IF(H1590="","","OneCause")</f>
        <v/>
      </c>
      <c r="H1590">
        <f>IF(AND(I1590="",J1590="",K1590=""),"",IF(NOT(ISNUMBER(O1590)),"Bad amount",IF(O1590&lt;0,"Refund (not counted)",IF(O1590=0,"Zero amount",IF(NOT(ISNUMBER(N1590)),"Bad date",IF(P1590="","NAME NOT ON ROSTER",IF(L1590="","OK",IF(MATCH(L1590,$L$2:$L$3001,0)&lt;ROW()-1,"Duplicate (ignored)","OK"))))))))</f>
        <v/>
      </c>
      <c r="I1590">
        <f>IF(OC_Date=0,"",IF(INDEX('OneCause_Paste'!$A$1590:$AZ$1590,1,OC_Date)="","",INDEX('OneCause_Paste'!$A$1590:$AZ$1590,1,OC_Date)))</f>
        <v/>
      </c>
      <c r="J1590">
        <f>IF(OC_Amt=0,"",IF(INDEX('OneCause_Paste'!$A$1590:$AZ$1590,1,OC_Amt)="","",INDEX('OneCause_Paste'!$A$1590:$AZ$1590,1,OC_Amt)))</f>
        <v/>
      </c>
      <c r="K1590">
        <f>IF(OC_Name=0,"",IF(INDEX('OneCause_Paste'!$A$1590:$AZ$1590,1,OC_Name)="","",INDEX('OneCause_Paste'!$A$1590:$AZ$1590,1,OC_Name)))</f>
        <v/>
      </c>
      <c r="L1590">
        <f>IF(OC_Txn=0,"",IF(INDEX('OneCause_Paste'!$A$1590:$AZ$1590,1,OC_Txn)="","",INDEX('OneCause_Paste'!$A$1590:$AZ$1590,1,OC_Txn)))</f>
        <v/>
      </c>
      <c r="M1590">
        <f>IF(OC_Pay=0,"",IF(INDEX('OneCause_Paste'!$A$1590:$AZ$1590,1,OC_Pay)="","",INDEX('OneCause_Paste'!$A$1590:$AZ$1590,1,OC_Pay)))</f>
        <v/>
      </c>
      <c r="N1590">
        <f>IF(I1590="","",IF(ISNUMBER(I1590),INT(I1590),IFERROR(INT(DATEVALUE(I1590)),IFERROR(INT(VALUE(I1590)),"bad"))))</f>
        <v/>
      </c>
      <c r="O1590">
        <f>IF(J1590="","",IF(ISNUMBER(J1590),ROUND(J1590,2),IFERROR(ROUND(VALUE(SUBSTITUTE(SUBSTITUTE(SUBSTITUTE(J1590,"$",""),",","")," ","")),2),"bad")))</f>
        <v/>
      </c>
      <c r="P1590">
        <f>IF(TRIM(K1590)="","",IFERROR(MATCH(LOWER(TRIM(K1590)),'Students'!$AH$2:$AH$701,0),IFERROR(MATCH(LOWER(TRIM(K1590)),'Students'!$AF$2:$AF$701,0),IFERROR(MATCH(LOWER(TRIM(K1590)),'Students'!$AG$2:$AG$701,0),""))))</f>
        <v/>
      </c>
      <c r="R1590">
        <f>IF(P1590="","",INDEX('Students'!$AD$2:$AD$701,P1590))</f>
        <v/>
      </c>
      <c r="S1590">
        <f>IF(H1590="OK",O1590,0)</f>
        <v/>
      </c>
      <c r="T1590">
        <f>IF(H1590="OK",N1590,"")</f>
        <v/>
      </c>
      <c r="U1590">
        <f>IF(OC_Donor=0,"",IF(INDEX('OneCause_Paste'!$A$1590:$AZ$1590,1,OC_Donor)="","",INDEX('OneCause_Paste'!$A$1590:$AZ$1590,1,OC_Donor)))</f>
        <v/>
      </c>
    </row>
    <row r="1591">
      <c r="A1591" s="62">
        <f>IF(H1591="","",IF(ISNUMBER(N1591),N1591,I1591))</f>
        <v/>
      </c>
      <c r="B1591">
        <f>IF(H1591="","",U1591)</f>
        <v/>
      </c>
      <c r="C1591">
        <f>IF(H1591="","",IF(P1591="",K1591,INDEX('Students'!$A$2:$A$701,P1591)))</f>
        <v/>
      </c>
      <c r="D1591">
        <f>IF(OR(H1591="",P1591=""),"",INDEX('Students'!$B$2:$B$701,P1591))</f>
        <v/>
      </c>
      <c r="E1591">
        <f>IF(OR(H1591="",P1591=""),"",INDEX('Students'!$C$2:$C$701,P1591))</f>
        <v/>
      </c>
      <c r="F1591" s="48">
        <f>IF(H1591="","",IF(ISNUMBER(O1591),O1591,J1591))</f>
        <v/>
      </c>
      <c r="G1591">
        <f>IF(H1591="","","OneCause")</f>
        <v/>
      </c>
      <c r="H1591">
        <f>IF(AND(I1591="",J1591="",K1591=""),"",IF(NOT(ISNUMBER(O1591)),"Bad amount",IF(O1591&lt;0,"Refund (not counted)",IF(O1591=0,"Zero amount",IF(NOT(ISNUMBER(N1591)),"Bad date",IF(P1591="","NAME NOT ON ROSTER",IF(L1591="","OK",IF(MATCH(L1591,$L$2:$L$3001,0)&lt;ROW()-1,"Duplicate (ignored)","OK"))))))))</f>
        <v/>
      </c>
      <c r="I1591">
        <f>IF(OC_Date=0,"",IF(INDEX('OneCause_Paste'!$A$1591:$AZ$1591,1,OC_Date)="","",INDEX('OneCause_Paste'!$A$1591:$AZ$1591,1,OC_Date)))</f>
        <v/>
      </c>
      <c r="J1591">
        <f>IF(OC_Amt=0,"",IF(INDEX('OneCause_Paste'!$A$1591:$AZ$1591,1,OC_Amt)="","",INDEX('OneCause_Paste'!$A$1591:$AZ$1591,1,OC_Amt)))</f>
        <v/>
      </c>
      <c r="K1591">
        <f>IF(OC_Name=0,"",IF(INDEX('OneCause_Paste'!$A$1591:$AZ$1591,1,OC_Name)="","",INDEX('OneCause_Paste'!$A$1591:$AZ$1591,1,OC_Name)))</f>
        <v/>
      </c>
      <c r="L1591">
        <f>IF(OC_Txn=0,"",IF(INDEX('OneCause_Paste'!$A$1591:$AZ$1591,1,OC_Txn)="","",INDEX('OneCause_Paste'!$A$1591:$AZ$1591,1,OC_Txn)))</f>
        <v/>
      </c>
      <c r="M1591">
        <f>IF(OC_Pay=0,"",IF(INDEX('OneCause_Paste'!$A$1591:$AZ$1591,1,OC_Pay)="","",INDEX('OneCause_Paste'!$A$1591:$AZ$1591,1,OC_Pay)))</f>
        <v/>
      </c>
      <c r="N1591">
        <f>IF(I1591="","",IF(ISNUMBER(I1591),INT(I1591),IFERROR(INT(DATEVALUE(I1591)),IFERROR(INT(VALUE(I1591)),"bad"))))</f>
        <v/>
      </c>
      <c r="O1591">
        <f>IF(J1591="","",IF(ISNUMBER(J1591),ROUND(J1591,2),IFERROR(ROUND(VALUE(SUBSTITUTE(SUBSTITUTE(SUBSTITUTE(J1591,"$",""),",","")," ","")),2),"bad")))</f>
        <v/>
      </c>
      <c r="P1591">
        <f>IF(TRIM(K1591)="","",IFERROR(MATCH(LOWER(TRIM(K1591)),'Students'!$AH$2:$AH$701,0),IFERROR(MATCH(LOWER(TRIM(K1591)),'Students'!$AF$2:$AF$701,0),IFERROR(MATCH(LOWER(TRIM(K1591)),'Students'!$AG$2:$AG$701,0),""))))</f>
        <v/>
      </c>
      <c r="R1591">
        <f>IF(P1591="","",INDEX('Students'!$AD$2:$AD$701,P1591))</f>
        <v/>
      </c>
      <c r="S1591">
        <f>IF(H1591="OK",O1591,0)</f>
        <v/>
      </c>
      <c r="T1591">
        <f>IF(H1591="OK",N1591,"")</f>
        <v/>
      </c>
      <c r="U1591">
        <f>IF(OC_Donor=0,"",IF(INDEX('OneCause_Paste'!$A$1591:$AZ$1591,1,OC_Donor)="","",INDEX('OneCause_Paste'!$A$1591:$AZ$1591,1,OC_Donor)))</f>
        <v/>
      </c>
    </row>
    <row r="1592">
      <c r="A1592" s="62">
        <f>IF(H1592="","",IF(ISNUMBER(N1592),N1592,I1592))</f>
        <v/>
      </c>
      <c r="B1592">
        <f>IF(H1592="","",U1592)</f>
        <v/>
      </c>
      <c r="C1592">
        <f>IF(H1592="","",IF(P1592="",K1592,INDEX('Students'!$A$2:$A$701,P1592)))</f>
        <v/>
      </c>
      <c r="D1592">
        <f>IF(OR(H1592="",P1592=""),"",INDEX('Students'!$B$2:$B$701,P1592))</f>
        <v/>
      </c>
      <c r="E1592">
        <f>IF(OR(H1592="",P1592=""),"",INDEX('Students'!$C$2:$C$701,P1592))</f>
        <v/>
      </c>
      <c r="F1592" s="48">
        <f>IF(H1592="","",IF(ISNUMBER(O1592),O1592,J1592))</f>
        <v/>
      </c>
      <c r="G1592">
        <f>IF(H1592="","","OneCause")</f>
        <v/>
      </c>
      <c r="H1592">
        <f>IF(AND(I1592="",J1592="",K1592=""),"",IF(NOT(ISNUMBER(O1592)),"Bad amount",IF(O1592&lt;0,"Refund (not counted)",IF(O1592=0,"Zero amount",IF(NOT(ISNUMBER(N1592)),"Bad date",IF(P1592="","NAME NOT ON ROSTER",IF(L1592="","OK",IF(MATCH(L1592,$L$2:$L$3001,0)&lt;ROW()-1,"Duplicate (ignored)","OK"))))))))</f>
        <v/>
      </c>
      <c r="I1592">
        <f>IF(OC_Date=0,"",IF(INDEX('OneCause_Paste'!$A$1592:$AZ$1592,1,OC_Date)="","",INDEX('OneCause_Paste'!$A$1592:$AZ$1592,1,OC_Date)))</f>
        <v/>
      </c>
      <c r="J1592">
        <f>IF(OC_Amt=0,"",IF(INDEX('OneCause_Paste'!$A$1592:$AZ$1592,1,OC_Amt)="","",INDEX('OneCause_Paste'!$A$1592:$AZ$1592,1,OC_Amt)))</f>
        <v/>
      </c>
      <c r="K1592">
        <f>IF(OC_Name=0,"",IF(INDEX('OneCause_Paste'!$A$1592:$AZ$1592,1,OC_Name)="","",INDEX('OneCause_Paste'!$A$1592:$AZ$1592,1,OC_Name)))</f>
        <v/>
      </c>
      <c r="L1592">
        <f>IF(OC_Txn=0,"",IF(INDEX('OneCause_Paste'!$A$1592:$AZ$1592,1,OC_Txn)="","",INDEX('OneCause_Paste'!$A$1592:$AZ$1592,1,OC_Txn)))</f>
        <v/>
      </c>
      <c r="M1592">
        <f>IF(OC_Pay=0,"",IF(INDEX('OneCause_Paste'!$A$1592:$AZ$1592,1,OC_Pay)="","",INDEX('OneCause_Paste'!$A$1592:$AZ$1592,1,OC_Pay)))</f>
        <v/>
      </c>
      <c r="N1592">
        <f>IF(I1592="","",IF(ISNUMBER(I1592),INT(I1592),IFERROR(INT(DATEVALUE(I1592)),IFERROR(INT(VALUE(I1592)),"bad"))))</f>
        <v/>
      </c>
      <c r="O1592">
        <f>IF(J1592="","",IF(ISNUMBER(J1592),ROUND(J1592,2),IFERROR(ROUND(VALUE(SUBSTITUTE(SUBSTITUTE(SUBSTITUTE(J1592,"$",""),",","")," ","")),2),"bad")))</f>
        <v/>
      </c>
      <c r="P1592">
        <f>IF(TRIM(K1592)="","",IFERROR(MATCH(LOWER(TRIM(K1592)),'Students'!$AH$2:$AH$701,0),IFERROR(MATCH(LOWER(TRIM(K1592)),'Students'!$AF$2:$AF$701,0),IFERROR(MATCH(LOWER(TRIM(K1592)),'Students'!$AG$2:$AG$701,0),""))))</f>
        <v/>
      </c>
      <c r="R1592">
        <f>IF(P1592="","",INDEX('Students'!$AD$2:$AD$701,P1592))</f>
        <v/>
      </c>
      <c r="S1592">
        <f>IF(H1592="OK",O1592,0)</f>
        <v/>
      </c>
      <c r="T1592">
        <f>IF(H1592="OK",N1592,"")</f>
        <v/>
      </c>
      <c r="U1592">
        <f>IF(OC_Donor=0,"",IF(INDEX('OneCause_Paste'!$A$1592:$AZ$1592,1,OC_Donor)="","",INDEX('OneCause_Paste'!$A$1592:$AZ$1592,1,OC_Donor)))</f>
        <v/>
      </c>
    </row>
    <row r="1593">
      <c r="A1593" s="62">
        <f>IF(H1593="","",IF(ISNUMBER(N1593),N1593,I1593))</f>
        <v/>
      </c>
      <c r="B1593">
        <f>IF(H1593="","",U1593)</f>
        <v/>
      </c>
      <c r="C1593">
        <f>IF(H1593="","",IF(P1593="",K1593,INDEX('Students'!$A$2:$A$701,P1593)))</f>
        <v/>
      </c>
      <c r="D1593">
        <f>IF(OR(H1593="",P1593=""),"",INDEX('Students'!$B$2:$B$701,P1593))</f>
        <v/>
      </c>
      <c r="E1593">
        <f>IF(OR(H1593="",P1593=""),"",INDEX('Students'!$C$2:$C$701,P1593))</f>
        <v/>
      </c>
      <c r="F1593" s="48">
        <f>IF(H1593="","",IF(ISNUMBER(O1593),O1593,J1593))</f>
        <v/>
      </c>
      <c r="G1593">
        <f>IF(H1593="","","OneCause")</f>
        <v/>
      </c>
      <c r="H1593">
        <f>IF(AND(I1593="",J1593="",K1593=""),"",IF(NOT(ISNUMBER(O1593)),"Bad amount",IF(O1593&lt;0,"Refund (not counted)",IF(O1593=0,"Zero amount",IF(NOT(ISNUMBER(N1593)),"Bad date",IF(P1593="","NAME NOT ON ROSTER",IF(L1593="","OK",IF(MATCH(L1593,$L$2:$L$3001,0)&lt;ROW()-1,"Duplicate (ignored)","OK"))))))))</f>
        <v/>
      </c>
      <c r="I1593">
        <f>IF(OC_Date=0,"",IF(INDEX('OneCause_Paste'!$A$1593:$AZ$1593,1,OC_Date)="","",INDEX('OneCause_Paste'!$A$1593:$AZ$1593,1,OC_Date)))</f>
        <v/>
      </c>
      <c r="J1593">
        <f>IF(OC_Amt=0,"",IF(INDEX('OneCause_Paste'!$A$1593:$AZ$1593,1,OC_Amt)="","",INDEX('OneCause_Paste'!$A$1593:$AZ$1593,1,OC_Amt)))</f>
        <v/>
      </c>
      <c r="K1593">
        <f>IF(OC_Name=0,"",IF(INDEX('OneCause_Paste'!$A$1593:$AZ$1593,1,OC_Name)="","",INDEX('OneCause_Paste'!$A$1593:$AZ$1593,1,OC_Name)))</f>
        <v/>
      </c>
      <c r="L1593">
        <f>IF(OC_Txn=0,"",IF(INDEX('OneCause_Paste'!$A$1593:$AZ$1593,1,OC_Txn)="","",INDEX('OneCause_Paste'!$A$1593:$AZ$1593,1,OC_Txn)))</f>
        <v/>
      </c>
      <c r="M1593">
        <f>IF(OC_Pay=0,"",IF(INDEX('OneCause_Paste'!$A$1593:$AZ$1593,1,OC_Pay)="","",INDEX('OneCause_Paste'!$A$1593:$AZ$1593,1,OC_Pay)))</f>
        <v/>
      </c>
      <c r="N1593">
        <f>IF(I1593="","",IF(ISNUMBER(I1593),INT(I1593),IFERROR(INT(DATEVALUE(I1593)),IFERROR(INT(VALUE(I1593)),"bad"))))</f>
        <v/>
      </c>
      <c r="O1593">
        <f>IF(J1593="","",IF(ISNUMBER(J1593),ROUND(J1593,2),IFERROR(ROUND(VALUE(SUBSTITUTE(SUBSTITUTE(SUBSTITUTE(J1593,"$",""),",","")," ","")),2),"bad")))</f>
        <v/>
      </c>
      <c r="P1593">
        <f>IF(TRIM(K1593)="","",IFERROR(MATCH(LOWER(TRIM(K1593)),'Students'!$AH$2:$AH$701,0),IFERROR(MATCH(LOWER(TRIM(K1593)),'Students'!$AF$2:$AF$701,0),IFERROR(MATCH(LOWER(TRIM(K1593)),'Students'!$AG$2:$AG$701,0),""))))</f>
        <v/>
      </c>
      <c r="R1593">
        <f>IF(P1593="","",INDEX('Students'!$AD$2:$AD$701,P1593))</f>
        <v/>
      </c>
      <c r="S1593">
        <f>IF(H1593="OK",O1593,0)</f>
        <v/>
      </c>
      <c r="T1593">
        <f>IF(H1593="OK",N1593,"")</f>
        <v/>
      </c>
      <c r="U1593">
        <f>IF(OC_Donor=0,"",IF(INDEX('OneCause_Paste'!$A$1593:$AZ$1593,1,OC_Donor)="","",INDEX('OneCause_Paste'!$A$1593:$AZ$1593,1,OC_Donor)))</f>
        <v/>
      </c>
    </row>
    <row r="1594">
      <c r="A1594" s="62">
        <f>IF(H1594="","",IF(ISNUMBER(N1594),N1594,I1594))</f>
        <v/>
      </c>
      <c r="B1594">
        <f>IF(H1594="","",U1594)</f>
        <v/>
      </c>
      <c r="C1594">
        <f>IF(H1594="","",IF(P1594="",K1594,INDEX('Students'!$A$2:$A$701,P1594)))</f>
        <v/>
      </c>
      <c r="D1594">
        <f>IF(OR(H1594="",P1594=""),"",INDEX('Students'!$B$2:$B$701,P1594))</f>
        <v/>
      </c>
      <c r="E1594">
        <f>IF(OR(H1594="",P1594=""),"",INDEX('Students'!$C$2:$C$701,P1594))</f>
        <v/>
      </c>
      <c r="F1594" s="48">
        <f>IF(H1594="","",IF(ISNUMBER(O1594),O1594,J1594))</f>
        <v/>
      </c>
      <c r="G1594">
        <f>IF(H1594="","","OneCause")</f>
        <v/>
      </c>
      <c r="H1594">
        <f>IF(AND(I1594="",J1594="",K1594=""),"",IF(NOT(ISNUMBER(O1594)),"Bad amount",IF(O1594&lt;0,"Refund (not counted)",IF(O1594=0,"Zero amount",IF(NOT(ISNUMBER(N1594)),"Bad date",IF(P1594="","NAME NOT ON ROSTER",IF(L1594="","OK",IF(MATCH(L1594,$L$2:$L$3001,0)&lt;ROW()-1,"Duplicate (ignored)","OK"))))))))</f>
        <v/>
      </c>
      <c r="I1594">
        <f>IF(OC_Date=0,"",IF(INDEX('OneCause_Paste'!$A$1594:$AZ$1594,1,OC_Date)="","",INDEX('OneCause_Paste'!$A$1594:$AZ$1594,1,OC_Date)))</f>
        <v/>
      </c>
      <c r="J1594">
        <f>IF(OC_Amt=0,"",IF(INDEX('OneCause_Paste'!$A$1594:$AZ$1594,1,OC_Amt)="","",INDEX('OneCause_Paste'!$A$1594:$AZ$1594,1,OC_Amt)))</f>
        <v/>
      </c>
      <c r="K1594">
        <f>IF(OC_Name=0,"",IF(INDEX('OneCause_Paste'!$A$1594:$AZ$1594,1,OC_Name)="","",INDEX('OneCause_Paste'!$A$1594:$AZ$1594,1,OC_Name)))</f>
        <v/>
      </c>
      <c r="L1594">
        <f>IF(OC_Txn=0,"",IF(INDEX('OneCause_Paste'!$A$1594:$AZ$1594,1,OC_Txn)="","",INDEX('OneCause_Paste'!$A$1594:$AZ$1594,1,OC_Txn)))</f>
        <v/>
      </c>
      <c r="M1594">
        <f>IF(OC_Pay=0,"",IF(INDEX('OneCause_Paste'!$A$1594:$AZ$1594,1,OC_Pay)="","",INDEX('OneCause_Paste'!$A$1594:$AZ$1594,1,OC_Pay)))</f>
        <v/>
      </c>
      <c r="N1594">
        <f>IF(I1594="","",IF(ISNUMBER(I1594),INT(I1594),IFERROR(INT(DATEVALUE(I1594)),IFERROR(INT(VALUE(I1594)),"bad"))))</f>
        <v/>
      </c>
      <c r="O1594">
        <f>IF(J1594="","",IF(ISNUMBER(J1594),ROUND(J1594,2),IFERROR(ROUND(VALUE(SUBSTITUTE(SUBSTITUTE(SUBSTITUTE(J1594,"$",""),",","")," ","")),2),"bad")))</f>
        <v/>
      </c>
      <c r="P1594">
        <f>IF(TRIM(K1594)="","",IFERROR(MATCH(LOWER(TRIM(K1594)),'Students'!$AH$2:$AH$701,0),IFERROR(MATCH(LOWER(TRIM(K1594)),'Students'!$AF$2:$AF$701,0),IFERROR(MATCH(LOWER(TRIM(K1594)),'Students'!$AG$2:$AG$701,0),""))))</f>
        <v/>
      </c>
      <c r="R1594">
        <f>IF(P1594="","",INDEX('Students'!$AD$2:$AD$701,P1594))</f>
        <v/>
      </c>
      <c r="S1594">
        <f>IF(H1594="OK",O1594,0)</f>
        <v/>
      </c>
      <c r="T1594">
        <f>IF(H1594="OK",N1594,"")</f>
        <v/>
      </c>
      <c r="U1594">
        <f>IF(OC_Donor=0,"",IF(INDEX('OneCause_Paste'!$A$1594:$AZ$1594,1,OC_Donor)="","",INDEX('OneCause_Paste'!$A$1594:$AZ$1594,1,OC_Donor)))</f>
        <v/>
      </c>
    </row>
    <row r="1595">
      <c r="A1595" s="62">
        <f>IF(H1595="","",IF(ISNUMBER(N1595),N1595,I1595))</f>
        <v/>
      </c>
      <c r="B1595">
        <f>IF(H1595="","",U1595)</f>
        <v/>
      </c>
      <c r="C1595">
        <f>IF(H1595="","",IF(P1595="",K1595,INDEX('Students'!$A$2:$A$701,P1595)))</f>
        <v/>
      </c>
      <c r="D1595">
        <f>IF(OR(H1595="",P1595=""),"",INDEX('Students'!$B$2:$B$701,P1595))</f>
        <v/>
      </c>
      <c r="E1595">
        <f>IF(OR(H1595="",P1595=""),"",INDEX('Students'!$C$2:$C$701,P1595))</f>
        <v/>
      </c>
      <c r="F1595" s="48">
        <f>IF(H1595="","",IF(ISNUMBER(O1595),O1595,J1595))</f>
        <v/>
      </c>
      <c r="G1595">
        <f>IF(H1595="","","OneCause")</f>
        <v/>
      </c>
      <c r="H1595">
        <f>IF(AND(I1595="",J1595="",K1595=""),"",IF(NOT(ISNUMBER(O1595)),"Bad amount",IF(O1595&lt;0,"Refund (not counted)",IF(O1595=0,"Zero amount",IF(NOT(ISNUMBER(N1595)),"Bad date",IF(P1595="","NAME NOT ON ROSTER",IF(L1595="","OK",IF(MATCH(L1595,$L$2:$L$3001,0)&lt;ROW()-1,"Duplicate (ignored)","OK"))))))))</f>
        <v/>
      </c>
      <c r="I1595">
        <f>IF(OC_Date=0,"",IF(INDEX('OneCause_Paste'!$A$1595:$AZ$1595,1,OC_Date)="","",INDEX('OneCause_Paste'!$A$1595:$AZ$1595,1,OC_Date)))</f>
        <v/>
      </c>
      <c r="J1595">
        <f>IF(OC_Amt=0,"",IF(INDEX('OneCause_Paste'!$A$1595:$AZ$1595,1,OC_Amt)="","",INDEX('OneCause_Paste'!$A$1595:$AZ$1595,1,OC_Amt)))</f>
        <v/>
      </c>
      <c r="K1595">
        <f>IF(OC_Name=0,"",IF(INDEX('OneCause_Paste'!$A$1595:$AZ$1595,1,OC_Name)="","",INDEX('OneCause_Paste'!$A$1595:$AZ$1595,1,OC_Name)))</f>
        <v/>
      </c>
      <c r="L1595">
        <f>IF(OC_Txn=0,"",IF(INDEX('OneCause_Paste'!$A$1595:$AZ$1595,1,OC_Txn)="","",INDEX('OneCause_Paste'!$A$1595:$AZ$1595,1,OC_Txn)))</f>
        <v/>
      </c>
      <c r="M1595">
        <f>IF(OC_Pay=0,"",IF(INDEX('OneCause_Paste'!$A$1595:$AZ$1595,1,OC_Pay)="","",INDEX('OneCause_Paste'!$A$1595:$AZ$1595,1,OC_Pay)))</f>
        <v/>
      </c>
      <c r="N1595">
        <f>IF(I1595="","",IF(ISNUMBER(I1595),INT(I1595),IFERROR(INT(DATEVALUE(I1595)),IFERROR(INT(VALUE(I1595)),"bad"))))</f>
        <v/>
      </c>
      <c r="O1595">
        <f>IF(J1595="","",IF(ISNUMBER(J1595),ROUND(J1595,2),IFERROR(ROUND(VALUE(SUBSTITUTE(SUBSTITUTE(SUBSTITUTE(J1595,"$",""),",","")," ","")),2),"bad")))</f>
        <v/>
      </c>
      <c r="P1595">
        <f>IF(TRIM(K1595)="","",IFERROR(MATCH(LOWER(TRIM(K1595)),'Students'!$AH$2:$AH$701,0),IFERROR(MATCH(LOWER(TRIM(K1595)),'Students'!$AF$2:$AF$701,0),IFERROR(MATCH(LOWER(TRIM(K1595)),'Students'!$AG$2:$AG$701,0),""))))</f>
        <v/>
      </c>
      <c r="R1595">
        <f>IF(P1595="","",INDEX('Students'!$AD$2:$AD$701,P1595))</f>
        <v/>
      </c>
      <c r="S1595">
        <f>IF(H1595="OK",O1595,0)</f>
        <v/>
      </c>
      <c r="T1595">
        <f>IF(H1595="OK",N1595,"")</f>
        <v/>
      </c>
      <c r="U1595">
        <f>IF(OC_Donor=0,"",IF(INDEX('OneCause_Paste'!$A$1595:$AZ$1595,1,OC_Donor)="","",INDEX('OneCause_Paste'!$A$1595:$AZ$1595,1,OC_Donor)))</f>
        <v/>
      </c>
    </row>
    <row r="1596">
      <c r="A1596" s="62">
        <f>IF(H1596="","",IF(ISNUMBER(N1596),N1596,I1596))</f>
        <v/>
      </c>
      <c r="B1596">
        <f>IF(H1596="","",U1596)</f>
        <v/>
      </c>
      <c r="C1596">
        <f>IF(H1596="","",IF(P1596="",K1596,INDEX('Students'!$A$2:$A$701,P1596)))</f>
        <v/>
      </c>
      <c r="D1596">
        <f>IF(OR(H1596="",P1596=""),"",INDEX('Students'!$B$2:$B$701,P1596))</f>
        <v/>
      </c>
      <c r="E1596">
        <f>IF(OR(H1596="",P1596=""),"",INDEX('Students'!$C$2:$C$701,P1596))</f>
        <v/>
      </c>
      <c r="F1596" s="48">
        <f>IF(H1596="","",IF(ISNUMBER(O1596),O1596,J1596))</f>
        <v/>
      </c>
      <c r="G1596">
        <f>IF(H1596="","","OneCause")</f>
        <v/>
      </c>
      <c r="H1596">
        <f>IF(AND(I1596="",J1596="",K1596=""),"",IF(NOT(ISNUMBER(O1596)),"Bad amount",IF(O1596&lt;0,"Refund (not counted)",IF(O1596=0,"Zero amount",IF(NOT(ISNUMBER(N1596)),"Bad date",IF(P1596="","NAME NOT ON ROSTER",IF(L1596="","OK",IF(MATCH(L1596,$L$2:$L$3001,0)&lt;ROW()-1,"Duplicate (ignored)","OK"))))))))</f>
        <v/>
      </c>
      <c r="I1596">
        <f>IF(OC_Date=0,"",IF(INDEX('OneCause_Paste'!$A$1596:$AZ$1596,1,OC_Date)="","",INDEX('OneCause_Paste'!$A$1596:$AZ$1596,1,OC_Date)))</f>
        <v/>
      </c>
      <c r="J1596">
        <f>IF(OC_Amt=0,"",IF(INDEX('OneCause_Paste'!$A$1596:$AZ$1596,1,OC_Amt)="","",INDEX('OneCause_Paste'!$A$1596:$AZ$1596,1,OC_Amt)))</f>
        <v/>
      </c>
      <c r="K1596">
        <f>IF(OC_Name=0,"",IF(INDEX('OneCause_Paste'!$A$1596:$AZ$1596,1,OC_Name)="","",INDEX('OneCause_Paste'!$A$1596:$AZ$1596,1,OC_Name)))</f>
        <v/>
      </c>
      <c r="L1596">
        <f>IF(OC_Txn=0,"",IF(INDEX('OneCause_Paste'!$A$1596:$AZ$1596,1,OC_Txn)="","",INDEX('OneCause_Paste'!$A$1596:$AZ$1596,1,OC_Txn)))</f>
        <v/>
      </c>
      <c r="M1596">
        <f>IF(OC_Pay=0,"",IF(INDEX('OneCause_Paste'!$A$1596:$AZ$1596,1,OC_Pay)="","",INDEX('OneCause_Paste'!$A$1596:$AZ$1596,1,OC_Pay)))</f>
        <v/>
      </c>
      <c r="N1596">
        <f>IF(I1596="","",IF(ISNUMBER(I1596),INT(I1596),IFERROR(INT(DATEVALUE(I1596)),IFERROR(INT(VALUE(I1596)),"bad"))))</f>
        <v/>
      </c>
      <c r="O1596">
        <f>IF(J1596="","",IF(ISNUMBER(J1596),ROUND(J1596,2),IFERROR(ROUND(VALUE(SUBSTITUTE(SUBSTITUTE(SUBSTITUTE(J1596,"$",""),",","")," ","")),2),"bad")))</f>
        <v/>
      </c>
      <c r="P1596">
        <f>IF(TRIM(K1596)="","",IFERROR(MATCH(LOWER(TRIM(K1596)),'Students'!$AH$2:$AH$701,0),IFERROR(MATCH(LOWER(TRIM(K1596)),'Students'!$AF$2:$AF$701,0),IFERROR(MATCH(LOWER(TRIM(K1596)),'Students'!$AG$2:$AG$701,0),""))))</f>
        <v/>
      </c>
      <c r="R1596">
        <f>IF(P1596="","",INDEX('Students'!$AD$2:$AD$701,P1596))</f>
        <v/>
      </c>
      <c r="S1596">
        <f>IF(H1596="OK",O1596,0)</f>
        <v/>
      </c>
      <c r="T1596">
        <f>IF(H1596="OK",N1596,"")</f>
        <v/>
      </c>
      <c r="U1596">
        <f>IF(OC_Donor=0,"",IF(INDEX('OneCause_Paste'!$A$1596:$AZ$1596,1,OC_Donor)="","",INDEX('OneCause_Paste'!$A$1596:$AZ$1596,1,OC_Donor)))</f>
        <v/>
      </c>
    </row>
    <row r="1597">
      <c r="A1597" s="62">
        <f>IF(H1597="","",IF(ISNUMBER(N1597),N1597,I1597))</f>
        <v/>
      </c>
      <c r="B1597">
        <f>IF(H1597="","",U1597)</f>
        <v/>
      </c>
      <c r="C1597">
        <f>IF(H1597="","",IF(P1597="",K1597,INDEX('Students'!$A$2:$A$701,P1597)))</f>
        <v/>
      </c>
      <c r="D1597">
        <f>IF(OR(H1597="",P1597=""),"",INDEX('Students'!$B$2:$B$701,P1597))</f>
        <v/>
      </c>
      <c r="E1597">
        <f>IF(OR(H1597="",P1597=""),"",INDEX('Students'!$C$2:$C$701,P1597))</f>
        <v/>
      </c>
      <c r="F1597" s="48">
        <f>IF(H1597="","",IF(ISNUMBER(O1597),O1597,J1597))</f>
        <v/>
      </c>
      <c r="G1597">
        <f>IF(H1597="","","OneCause")</f>
        <v/>
      </c>
      <c r="H1597">
        <f>IF(AND(I1597="",J1597="",K1597=""),"",IF(NOT(ISNUMBER(O1597)),"Bad amount",IF(O1597&lt;0,"Refund (not counted)",IF(O1597=0,"Zero amount",IF(NOT(ISNUMBER(N1597)),"Bad date",IF(P1597="","NAME NOT ON ROSTER",IF(L1597="","OK",IF(MATCH(L1597,$L$2:$L$3001,0)&lt;ROW()-1,"Duplicate (ignored)","OK"))))))))</f>
        <v/>
      </c>
      <c r="I1597">
        <f>IF(OC_Date=0,"",IF(INDEX('OneCause_Paste'!$A$1597:$AZ$1597,1,OC_Date)="","",INDEX('OneCause_Paste'!$A$1597:$AZ$1597,1,OC_Date)))</f>
        <v/>
      </c>
      <c r="J1597">
        <f>IF(OC_Amt=0,"",IF(INDEX('OneCause_Paste'!$A$1597:$AZ$1597,1,OC_Amt)="","",INDEX('OneCause_Paste'!$A$1597:$AZ$1597,1,OC_Amt)))</f>
        <v/>
      </c>
      <c r="K1597">
        <f>IF(OC_Name=0,"",IF(INDEX('OneCause_Paste'!$A$1597:$AZ$1597,1,OC_Name)="","",INDEX('OneCause_Paste'!$A$1597:$AZ$1597,1,OC_Name)))</f>
        <v/>
      </c>
      <c r="L1597">
        <f>IF(OC_Txn=0,"",IF(INDEX('OneCause_Paste'!$A$1597:$AZ$1597,1,OC_Txn)="","",INDEX('OneCause_Paste'!$A$1597:$AZ$1597,1,OC_Txn)))</f>
        <v/>
      </c>
      <c r="M1597">
        <f>IF(OC_Pay=0,"",IF(INDEX('OneCause_Paste'!$A$1597:$AZ$1597,1,OC_Pay)="","",INDEX('OneCause_Paste'!$A$1597:$AZ$1597,1,OC_Pay)))</f>
        <v/>
      </c>
      <c r="N1597">
        <f>IF(I1597="","",IF(ISNUMBER(I1597),INT(I1597),IFERROR(INT(DATEVALUE(I1597)),IFERROR(INT(VALUE(I1597)),"bad"))))</f>
        <v/>
      </c>
      <c r="O1597">
        <f>IF(J1597="","",IF(ISNUMBER(J1597),ROUND(J1597,2),IFERROR(ROUND(VALUE(SUBSTITUTE(SUBSTITUTE(SUBSTITUTE(J1597,"$",""),",","")," ","")),2),"bad")))</f>
        <v/>
      </c>
      <c r="P1597">
        <f>IF(TRIM(K1597)="","",IFERROR(MATCH(LOWER(TRIM(K1597)),'Students'!$AH$2:$AH$701,0),IFERROR(MATCH(LOWER(TRIM(K1597)),'Students'!$AF$2:$AF$701,0),IFERROR(MATCH(LOWER(TRIM(K1597)),'Students'!$AG$2:$AG$701,0),""))))</f>
        <v/>
      </c>
      <c r="R1597">
        <f>IF(P1597="","",INDEX('Students'!$AD$2:$AD$701,P1597))</f>
        <v/>
      </c>
      <c r="S1597">
        <f>IF(H1597="OK",O1597,0)</f>
        <v/>
      </c>
      <c r="T1597">
        <f>IF(H1597="OK",N1597,"")</f>
        <v/>
      </c>
      <c r="U1597">
        <f>IF(OC_Donor=0,"",IF(INDEX('OneCause_Paste'!$A$1597:$AZ$1597,1,OC_Donor)="","",INDEX('OneCause_Paste'!$A$1597:$AZ$1597,1,OC_Donor)))</f>
        <v/>
      </c>
    </row>
    <row r="1598">
      <c r="A1598" s="62">
        <f>IF(H1598="","",IF(ISNUMBER(N1598),N1598,I1598))</f>
        <v/>
      </c>
      <c r="B1598">
        <f>IF(H1598="","",U1598)</f>
        <v/>
      </c>
      <c r="C1598">
        <f>IF(H1598="","",IF(P1598="",K1598,INDEX('Students'!$A$2:$A$701,P1598)))</f>
        <v/>
      </c>
      <c r="D1598">
        <f>IF(OR(H1598="",P1598=""),"",INDEX('Students'!$B$2:$B$701,P1598))</f>
        <v/>
      </c>
      <c r="E1598">
        <f>IF(OR(H1598="",P1598=""),"",INDEX('Students'!$C$2:$C$701,P1598))</f>
        <v/>
      </c>
      <c r="F1598" s="48">
        <f>IF(H1598="","",IF(ISNUMBER(O1598),O1598,J1598))</f>
        <v/>
      </c>
      <c r="G1598">
        <f>IF(H1598="","","OneCause")</f>
        <v/>
      </c>
      <c r="H1598">
        <f>IF(AND(I1598="",J1598="",K1598=""),"",IF(NOT(ISNUMBER(O1598)),"Bad amount",IF(O1598&lt;0,"Refund (not counted)",IF(O1598=0,"Zero amount",IF(NOT(ISNUMBER(N1598)),"Bad date",IF(P1598="","NAME NOT ON ROSTER",IF(L1598="","OK",IF(MATCH(L1598,$L$2:$L$3001,0)&lt;ROW()-1,"Duplicate (ignored)","OK"))))))))</f>
        <v/>
      </c>
      <c r="I1598">
        <f>IF(OC_Date=0,"",IF(INDEX('OneCause_Paste'!$A$1598:$AZ$1598,1,OC_Date)="","",INDEX('OneCause_Paste'!$A$1598:$AZ$1598,1,OC_Date)))</f>
        <v/>
      </c>
      <c r="J1598">
        <f>IF(OC_Amt=0,"",IF(INDEX('OneCause_Paste'!$A$1598:$AZ$1598,1,OC_Amt)="","",INDEX('OneCause_Paste'!$A$1598:$AZ$1598,1,OC_Amt)))</f>
        <v/>
      </c>
      <c r="K1598">
        <f>IF(OC_Name=0,"",IF(INDEX('OneCause_Paste'!$A$1598:$AZ$1598,1,OC_Name)="","",INDEX('OneCause_Paste'!$A$1598:$AZ$1598,1,OC_Name)))</f>
        <v/>
      </c>
      <c r="L1598">
        <f>IF(OC_Txn=0,"",IF(INDEX('OneCause_Paste'!$A$1598:$AZ$1598,1,OC_Txn)="","",INDEX('OneCause_Paste'!$A$1598:$AZ$1598,1,OC_Txn)))</f>
        <v/>
      </c>
      <c r="M1598">
        <f>IF(OC_Pay=0,"",IF(INDEX('OneCause_Paste'!$A$1598:$AZ$1598,1,OC_Pay)="","",INDEX('OneCause_Paste'!$A$1598:$AZ$1598,1,OC_Pay)))</f>
        <v/>
      </c>
      <c r="N1598">
        <f>IF(I1598="","",IF(ISNUMBER(I1598),INT(I1598),IFERROR(INT(DATEVALUE(I1598)),IFERROR(INT(VALUE(I1598)),"bad"))))</f>
        <v/>
      </c>
      <c r="O1598">
        <f>IF(J1598="","",IF(ISNUMBER(J1598),ROUND(J1598,2),IFERROR(ROUND(VALUE(SUBSTITUTE(SUBSTITUTE(SUBSTITUTE(J1598,"$",""),",","")," ","")),2),"bad")))</f>
        <v/>
      </c>
      <c r="P1598">
        <f>IF(TRIM(K1598)="","",IFERROR(MATCH(LOWER(TRIM(K1598)),'Students'!$AH$2:$AH$701,0),IFERROR(MATCH(LOWER(TRIM(K1598)),'Students'!$AF$2:$AF$701,0),IFERROR(MATCH(LOWER(TRIM(K1598)),'Students'!$AG$2:$AG$701,0),""))))</f>
        <v/>
      </c>
      <c r="R1598">
        <f>IF(P1598="","",INDEX('Students'!$AD$2:$AD$701,P1598))</f>
        <v/>
      </c>
      <c r="S1598">
        <f>IF(H1598="OK",O1598,0)</f>
        <v/>
      </c>
      <c r="T1598">
        <f>IF(H1598="OK",N1598,"")</f>
        <v/>
      </c>
      <c r="U1598">
        <f>IF(OC_Donor=0,"",IF(INDEX('OneCause_Paste'!$A$1598:$AZ$1598,1,OC_Donor)="","",INDEX('OneCause_Paste'!$A$1598:$AZ$1598,1,OC_Donor)))</f>
        <v/>
      </c>
    </row>
    <row r="1599">
      <c r="A1599" s="62">
        <f>IF(H1599="","",IF(ISNUMBER(N1599),N1599,I1599))</f>
        <v/>
      </c>
      <c r="B1599">
        <f>IF(H1599="","",U1599)</f>
        <v/>
      </c>
      <c r="C1599">
        <f>IF(H1599="","",IF(P1599="",K1599,INDEX('Students'!$A$2:$A$701,P1599)))</f>
        <v/>
      </c>
      <c r="D1599">
        <f>IF(OR(H1599="",P1599=""),"",INDEX('Students'!$B$2:$B$701,P1599))</f>
        <v/>
      </c>
      <c r="E1599">
        <f>IF(OR(H1599="",P1599=""),"",INDEX('Students'!$C$2:$C$701,P1599))</f>
        <v/>
      </c>
      <c r="F1599" s="48">
        <f>IF(H1599="","",IF(ISNUMBER(O1599),O1599,J1599))</f>
        <v/>
      </c>
      <c r="G1599">
        <f>IF(H1599="","","OneCause")</f>
        <v/>
      </c>
      <c r="H1599">
        <f>IF(AND(I1599="",J1599="",K1599=""),"",IF(NOT(ISNUMBER(O1599)),"Bad amount",IF(O1599&lt;0,"Refund (not counted)",IF(O1599=0,"Zero amount",IF(NOT(ISNUMBER(N1599)),"Bad date",IF(P1599="","NAME NOT ON ROSTER",IF(L1599="","OK",IF(MATCH(L1599,$L$2:$L$3001,0)&lt;ROW()-1,"Duplicate (ignored)","OK"))))))))</f>
        <v/>
      </c>
      <c r="I1599">
        <f>IF(OC_Date=0,"",IF(INDEX('OneCause_Paste'!$A$1599:$AZ$1599,1,OC_Date)="","",INDEX('OneCause_Paste'!$A$1599:$AZ$1599,1,OC_Date)))</f>
        <v/>
      </c>
      <c r="J1599">
        <f>IF(OC_Amt=0,"",IF(INDEX('OneCause_Paste'!$A$1599:$AZ$1599,1,OC_Amt)="","",INDEX('OneCause_Paste'!$A$1599:$AZ$1599,1,OC_Amt)))</f>
        <v/>
      </c>
      <c r="K1599">
        <f>IF(OC_Name=0,"",IF(INDEX('OneCause_Paste'!$A$1599:$AZ$1599,1,OC_Name)="","",INDEX('OneCause_Paste'!$A$1599:$AZ$1599,1,OC_Name)))</f>
        <v/>
      </c>
      <c r="L1599">
        <f>IF(OC_Txn=0,"",IF(INDEX('OneCause_Paste'!$A$1599:$AZ$1599,1,OC_Txn)="","",INDEX('OneCause_Paste'!$A$1599:$AZ$1599,1,OC_Txn)))</f>
        <v/>
      </c>
      <c r="M1599">
        <f>IF(OC_Pay=0,"",IF(INDEX('OneCause_Paste'!$A$1599:$AZ$1599,1,OC_Pay)="","",INDEX('OneCause_Paste'!$A$1599:$AZ$1599,1,OC_Pay)))</f>
        <v/>
      </c>
      <c r="N1599">
        <f>IF(I1599="","",IF(ISNUMBER(I1599),INT(I1599),IFERROR(INT(DATEVALUE(I1599)),IFERROR(INT(VALUE(I1599)),"bad"))))</f>
        <v/>
      </c>
      <c r="O1599">
        <f>IF(J1599="","",IF(ISNUMBER(J1599),ROUND(J1599,2),IFERROR(ROUND(VALUE(SUBSTITUTE(SUBSTITUTE(SUBSTITUTE(J1599,"$",""),",","")," ","")),2),"bad")))</f>
        <v/>
      </c>
      <c r="P1599">
        <f>IF(TRIM(K1599)="","",IFERROR(MATCH(LOWER(TRIM(K1599)),'Students'!$AH$2:$AH$701,0),IFERROR(MATCH(LOWER(TRIM(K1599)),'Students'!$AF$2:$AF$701,0),IFERROR(MATCH(LOWER(TRIM(K1599)),'Students'!$AG$2:$AG$701,0),""))))</f>
        <v/>
      </c>
      <c r="R1599">
        <f>IF(P1599="","",INDEX('Students'!$AD$2:$AD$701,P1599))</f>
        <v/>
      </c>
      <c r="S1599">
        <f>IF(H1599="OK",O1599,0)</f>
        <v/>
      </c>
      <c r="T1599">
        <f>IF(H1599="OK",N1599,"")</f>
        <v/>
      </c>
      <c r="U1599">
        <f>IF(OC_Donor=0,"",IF(INDEX('OneCause_Paste'!$A$1599:$AZ$1599,1,OC_Donor)="","",INDEX('OneCause_Paste'!$A$1599:$AZ$1599,1,OC_Donor)))</f>
        <v/>
      </c>
    </row>
    <row r="1600">
      <c r="A1600" s="62">
        <f>IF(H1600="","",IF(ISNUMBER(N1600),N1600,I1600))</f>
        <v/>
      </c>
      <c r="B1600">
        <f>IF(H1600="","",U1600)</f>
        <v/>
      </c>
      <c r="C1600">
        <f>IF(H1600="","",IF(P1600="",K1600,INDEX('Students'!$A$2:$A$701,P1600)))</f>
        <v/>
      </c>
      <c r="D1600">
        <f>IF(OR(H1600="",P1600=""),"",INDEX('Students'!$B$2:$B$701,P1600))</f>
        <v/>
      </c>
      <c r="E1600">
        <f>IF(OR(H1600="",P1600=""),"",INDEX('Students'!$C$2:$C$701,P1600))</f>
        <v/>
      </c>
      <c r="F1600" s="48">
        <f>IF(H1600="","",IF(ISNUMBER(O1600),O1600,J1600))</f>
        <v/>
      </c>
      <c r="G1600">
        <f>IF(H1600="","","OneCause")</f>
        <v/>
      </c>
      <c r="H1600">
        <f>IF(AND(I1600="",J1600="",K1600=""),"",IF(NOT(ISNUMBER(O1600)),"Bad amount",IF(O1600&lt;0,"Refund (not counted)",IF(O1600=0,"Zero amount",IF(NOT(ISNUMBER(N1600)),"Bad date",IF(P1600="","NAME NOT ON ROSTER",IF(L1600="","OK",IF(MATCH(L1600,$L$2:$L$3001,0)&lt;ROW()-1,"Duplicate (ignored)","OK"))))))))</f>
        <v/>
      </c>
      <c r="I1600">
        <f>IF(OC_Date=0,"",IF(INDEX('OneCause_Paste'!$A$1600:$AZ$1600,1,OC_Date)="","",INDEX('OneCause_Paste'!$A$1600:$AZ$1600,1,OC_Date)))</f>
        <v/>
      </c>
      <c r="J1600">
        <f>IF(OC_Amt=0,"",IF(INDEX('OneCause_Paste'!$A$1600:$AZ$1600,1,OC_Amt)="","",INDEX('OneCause_Paste'!$A$1600:$AZ$1600,1,OC_Amt)))</f>
        <v/>
      </c>
      <c r="K1600">
        <f>IF(OC_Name=0,"",IF(INDEX('OneCause_Paste'!$A$1600:$AZ$1600,1,OC_Name)="","",INDEX('OneCause_Paste'!$A$1600:$AZ$1600,1,OC_Name)))</f>
        <v/>
      </c>
      <c r="L1600">
        <f>IF(OC_Txn=0,"",IF(INDEX('OneCause_Paste'!$A$1600:$AZ$1600,1,OC_Txn)="","",INDEX('OneCause_Paste'!$A$1600:$AZ$1600,1,OC_Txn)))</f>
        <v/>
      </c>
      <c r="M1600">
        <f>IF(OC_Pay=0,"",IF(INDEX('OneCause_Paste'!$A$1600:$AZ$1600,1,OC_Pay)="","",INDEX('OneCause_Paste'!$A$1600:$AZ$1600,1,OC_Pay)))</f>
        <v/>
      </c>
      <c r="N1600">
        <f>IF(I1600="","",IF(ISNUMBER(I1600),INT(I1600),IFERROR(INT(DATEVALUE(I1600)),IFERROR(INT(VALUE(I1600)),"bad"))))</f>
        <v/>
      </c>
      <c r="O1600">
        <f>IF(J1600="","",IF(ISNUMBER(J1600),ROUND(J1600,2),IFERROR(ROUND(VALUE(SUBSTITUTE(SUBSTITUTE(SUBSTITUTE(J1600,"$",""),",","")," ","")),2),"bad")))</f>
        <v/>
      </c>
      <c r="P1600">
        <f>IF(TRIM(K1600)="","",IFERROR(MATCH(LOWER(TRIM(K1600)),'Students'!$AH$2:$AH$701,0),IFERROR(MATCH(LOWER(TRIM(K1600)),'Students'!$AF$2:$AF$701,0),IFERROR(MATCH(LOWER(TRIM(K1600)),'Students'!$AG$2:$AG$701,0),""))))</f>
        <v/>
      </c>
      <c r="R1600">
        <f>IF(P1600="","",INDEX('Students'!$AD$2:$AD$701,P1600))</f>
        <v/>
      </c>
      <c r="S1600">
        <f>IF(H1600="OK",O1600,0)</f>
        <v/>
      </c>
      <c r="T1600">
        <f>IF(H1600="OK",N1600,"")</f>
        <v/>
      </c>
      <c r="U1600">
        <f>IF(OC_Donor=0,"",IF(INDEX('OneCause_Paste'!$A$1600:$AZ$1600,1,OC_Donor)="","",INDEX('OneCause_Paste'!$A$1600:$AZ$1600,1,OC_Donor)))</f>
        <v/>
      </c>
    </row>
    <row r="1601">
      <c r="A1601" s="62">
        <f>IF(H1601="","",IF(ISNUMBER(N1601),N1601,I1601))</f>
        <v/>
      </c>
      <c r="B1601">
        <f>IF(H1601="","",U1601)</f>
        <v/>
      </c>
      <c r="C1601">
        <f>IF(H1601="","",IF(P1601="",K1601,INDEX('Students'!$A$2:$A$701,P1601)))</f>
        <v/>
      </c>
      <c r="D1601">
        <f>IF(OR(H1601="",P1601=""),"",INDEX('Students'!$B$2:$B$701,P1601))</f>
        <v/>
      </c>
      <c r="E1601">
        <f>IF(OR(H1601="",P1601=""),"",INDEX('Students'!$C$2:$C$701,P1601))</f>
        <v/>
      </c>
      <c r="F1601" s="48">
        <f>IF(H1601="","",IF(ISNUMBER(O1601),O1601,J1601))</f>
        <v/>
      </c>
      <c r="G1601">
        <f>IF(H1601="","","OneCause")</f>
        <v/>
      </c>
      <c r="H1601">
        <f>IF(AND(I1601="",J1601="",K1601=""),"",IF(NOT(ISNUMBER(O1601)),"Bad amount",IF(O1601&lt;0,"Refund (not counted)",IF(O1601=0,"Zero amount",IF(NOT(ISNUMBER(N1601)),"Bad date",IF(P1601="","NAME NOT ON ROSTER",IF(L1601="","OK",IF(MATCH(L1601,$L$2:$L$3001,0)&lt;ROW()-1,"Duplicate (ignored)","OK"))))))))</f>
        <v/>
      </c>
      <c r="I1601">
        <f>IF(OC_Date=0,"",IF(INDEX('OneCause_Paste'!$A$1601:$AZ$1601,1,OC_Date)="","",INDEX('OneCause_Paste'!$A$1601:$AZ$1601,1,OC_Date)))</f>
        <v/>
      </c>
      <c r="J1601">
        <f>IF(OC_Amt=0,"",IF(INDEX('OneCause_Paste'!$A$1601:$AZ$1601,1,OC_Amt)="","",INDEX('OneCause_Paste'!$A$1601:$AZ$1601,1,OC_Amt)))</f>
        <v/>
      </c>
      <c r="K1601">
        <f>IF(OC_Name=0,"",IF(INDEX('OneCause_Paste'!$A$1601:$AZ$1601,1,OC_Name)="","",INDEX('OneCause_Paste'!$A$1601:$AZ$1601,1,OC_Name)))</f>
        <v/>
      </c>
      <c r="L1601">
        <f>IF(OC_Txn=0,"",IF(INDEX('OneCause_Paste'!$A$1601:$AZ$1601,1,OC_Txn)="","",INDEX('OneCause_Paste'!$A$1601:$AZ$1601,1,OC_Txn)))</f>
        <v/>
      </c>
      <c r="M1601">
        <f>IF(OC_Pay=0,"",IF(INDEX('OneCause_Paste'!$A$1601:$AZ$1601,1,OC_Pay)="","",INDEX('OneCause_Paste'!$A$1601:$AZ$1601,1,OC_Pay)))</f>
        <v/>
      </c>
      <c r="N1601">
        <f>IF(I1601="","",IF(ISNUMBER(I1601),INT(I1601),IFERROR(INT(DATEVALUE(I1601)),IFERROR(INT(VALUE(I1601)),"bad"))))</f>
        <v/>
      </c>
      <c r="O1601">
        <f>IF(J1601="","",IF(ISNUMBER(J1601),ROUND(J1601,2),IFERROR(ROUND(VALUE(SUBSTITUTE(SUBSTITUTE(SUBSTITUTE(J1601,"$",""),",","")," ","")),2),"bad")))</f>
        <v/>
      </c>
      <c r="P1601">
        <f>IF(TRIM(K1601)="","",IFERROR(MATCH(LOWER(TRIM(K1601)),'Students'!$AH$2:$AH$701,0),IFERROR(MATCH(LOWER(TRIM(K1601)),'Students'!$AF$2:$AF$701,0),IFERROR(MATCH(LOWER(TRIM(K1601)),'Students'!$AG$2:$AG$701,0),""))))</f>
        <v/>
      </c>
      <c r="R1601">
        <f>IF(P1601="","",INDEX('Students'!$AD$2:$AD$701,P1601))</f>
        <v/>
      </c>
      <c r="S1601">
        <f>IF(H1601="OK",O1601,0)</f>
        <v/>
      </c>
      <c r="T1601">
        <f>IF(H1601="OK",N1601,"")</f>
        <v/>
      </c>
      <c r="U1601">
        <f>IF(OC_Donor=0,"",IF(INDEX('OneCause_Paste'!$A$1601:$AZ$1601,1,OC_Donor)="","",INDEX('OneCause_Paste'!$A$1601:$AZ$1601,1,OC_Donor)))</f>
        <v/>
      </c>
    </row>
    <row r="1602">
      <c r="A1602" s="62">
        <f>IF(H1602="","",IF(ISNUMBER(N1602),N1602,I1602))</f>
        <v/>
      </c>
      <c r="B1602">
        <f>IF(H1602="","",U1602)</f>
        <v/>
      </c>
      <c r="C1602">
        <f>IF(H1602="","",IF(P1602="",K1602,INDEX('Students'!$A$2:$A$701,P1602)))</f>
        <v/>
      </c>
      <c r="D1602">
        <f>IF(OR(H1602="",P1602=""),"",INDEX('Students'!$B$2:$B$701,P1602))</f>
        <v/>
      </c>
      <c r="E1602">
        <f>IF(OR(H1602="",P1602=""),"",INDEX('Students'!$C$2:$C$701,P1602))</f>
        <v/>
      </c>
      <c r="F1602" s="48">
        <f>IF(H1602="","",IF(ISNUMBER(O1602),O1602,J1602))</f>
        <v/>
      </c>
      <c r="G1602">
        <f>IF(H1602="","","OneCause")</f>
        <v/>
      </c>
      <c r="H1602">
        <f>IF(AND(I1602="",J1602="",K1602=""),"",IF(NOT(ISNUMBER(O1602)),"Bad amount",IF(O1602&lt;0,"Refund (not counted)",IF(O1602=0,"Zero amount",IF(NOT(ISNUMBER(N1602)),"Bad date",IF(P1602="","NAME NOT ON ROSTER",IF(L1602="","OK",IF(MATCH(L1602,$L$2:$L$3001,0)&lt;ROW()-1,"Duplicate (ignored)","OK"))))))))</f>
        <v/>
      </c>
      <c r="I1602">
        <f>IF(OC_Date=0,"",IF(INDEX('OneCause_Paste'!$A$1602:$AZ$1602,1,OC_Date)="","",INDEX('OneCause_Paste'!$A$1602:$AZ$1602,1,OC_Date)))</f>
        <v/>
      </c>
      <c r="J1602">
        <f>IF(OC_Amt=0,"",IF(INDEX('OneCause_Paste'!$A$1602:$AZ$1602,1,OC_Amt)="","",INDEX('OneCause_Paste'!$A$1602:$AZ$1602,1,OC_Amt)))</f>
        <v/>
      </c>
      <c r="K1602">
        <f>IF(OC_Name=0,"",IF(INDEX('OneCause_Paste'!$A$1602:$AZ$1602,1,OC_Name)="","",INDEX('OneCause_Paste'!$A$1602:$AZ$1602,1,OC_Name)))</f>
        <v/>
      </c>
      <c r="L1602">
        <f>IF(OC_Txn=0,"",IF(INDEX('OneCause_Paste'!$A$1602:$AZ$1602,1,OC_Txn)="","",INDEX('OneCause_Paste'!$A$1602:$AZ$1602,1,OC_Txn)))</f>
        <v/>
      </c>
      <c r="M1602">
        <f>IF(OC_Pay=0,"",IF(INDEX('OneCause_Paste'!$A$1602:$AZ$1602,1,OC_Pay)="","",INDEX('OneCause_Paste'!$A$1602:$AZ$1602,1,OC_Pay)))</f>
        <v/>
      </c>
      <c r="N1602">
        <f>IF(I1602="","",IF(ISNUMBER(I1602),INT(I1602),IFERROR(INT(DATEVALUE(I1602)),IFERROR(INT(VALUE(I1602)),"bad"))))</f>
        <v/>
      </c>
      <c r="O1602">
        <f>IF(J1602="","",IF(ISNUMBER(J1602),ROUND(J1602,2),IFERROR(ROUND(VALUE(SUBSTITUTE(SUBSTITUTE(SUBSTITUTE(J1602,"$",""),",","")," ","")),2),"bad")))</f>
        <v/>
      </c>
      <c r="P1602">
        <f>IF(TRIM(K1602)="","",IFERROR(MATCH(LOWER(TRIM(K1602)),'Students'!$AH$2:$AH$701,0),IFERROR(MATCH(LOWER(TRIM(K1602)),'Students'!$AF$2:$AF$701,0),IFERROR(MATCH(LOWER(TRIM(K1602)),'Students'!$AG$2:$AG$701,0),""))))</f>
        <v/>
      </c>
      <c r="R1602">
        <f>IF(P1602="","",INDEX('Students'!$AD$2:$AD$701,P1602))</f>
        <v/>
      </c>
      <c r="S1602">
        <f>IF(H1602="OK",O1602,0)</f>
        <v/>
      </c>
      <c r="T1602">
        <f>IF(H1602="OK",N1602,"")</f>
        <v/>
      </c>
      <c r="U1602">
        <f>IF(OC_Donor=0,"",IF(INDEX('OneCause_Paste'!$A$1602:$AZ$1602,1,OC_Donor)="","",INDEX('OneCause_Paste'!$A$1602:$AZ$1602,1,OC_Donor)))</f>
        <v/>
      </c>
    </row>
    <row r="1603">
      <c r="A1603" s="62">
        <f>IF(H1603="","",IF(ISNUMBER(N1603),N1603,I1603))</f>
        <v/>
      </c>
      <c r="B1603">
        <f>IF(H1603="","",U1603)</f>
        <v/>
      </c>
      <c r="C1603">
        <f>IF(H1603="","",IF(P1603="",K1603,INDEX('Students'!$A$2:$A$701,P1603)))</f>
        <v/>
      </c>
      <c r="D1603">
        <f>IF(OR(H1603="",P1603=""),"",INDEX('Students'!$B$2:$B$701,P1603))</f>
        <v/>
      </c>
      <c r="E1603">
        <f>IF(OR(H1603="",P1603=""),"",INDEX('Students'!$C$2:$C$701,P1603))</f>
        <v/>
      </c>
      <c r="F1603" s="48">
        <f>IF(H1603="","",IF(ISNUMBER(O1603),O1603,J1603))</f>
        <v/>
      </c>
      <c r="G1603">
        <f>IF(H1603="","","OneCause")</f>
        <v/>
      </c>
      <c r="H1603">
        <f>IF(AND(I1603="",J1603="",K1603=""),"",IF(NOT(ISNUMBER(O1603)),"Bad amount",IF(O1603&lt;0,"Refund (not counted)",IF(O1603=0,"Zero amount",IF(NOT(ISNUMBER(N1603)),"Bad date",IF(P1603="","NAME NOT ON ROSTER",IF(L1603="","OK",IF(MATCH(L1603,$L$2:$L$3001,0)&lt;ROW()-1,"Duplicate (ignored)","OK"))))))))</f>
        <v/>
      </c>
      <c r="I1603">
        <f>IF(OC_Date=0,"",IF(INDEX('OneCause_Paste'!$A$1603:$AZ$1603,1,OC_Date)="","",INDEX('OneCause_Paste'!$A$1603:$AZ$1603,1,OC_Date)))</f>
        <v/>
      </c>
      <c r="J1603">
        <f>IF(OC_Amt=0,"",IF(INDEX('OneCause_Paste'!$A$1603:$AZ$1603,1,OC_Amt)="","",INDEX('OneCause_Paste'!$A$1603:$AZ$1603,1,OC_Amt)))</f>
        <v/>
      </c>
      <c r="K1603">
        <f>IF(OC_Name=0,"",IF(INDEX('OneCause_Paste'!$A$1603:$AZ$1603,1,OC_Name)="","",INDEX('OneCause_Paste'!$A$1603:$AZ$1603,1,OC_Name)))</f>
        <v/>
      </c>
      <c r="L1603">
        <f>IF(OC_Txn=0,"",IF(INDEX('OneCause_Paste'!$A$1603:$AZ$1603,1,OC_Txn)="","",INDEX('OneCause_Paste'!$A$1603:$AZ$1603,1,OC_Txn)))</f>
        <v/>
      </c>
      <c r="M1603">
        <f>IF(OC_Pay=0,"",IF(INDEX('OneCause_Paste'!$A$1603:$AZ$1603,1,OC_Pay)="","",INDEX('OneCause_Paste'!$A$1603:$AZ$1603,1,OC_Pay)))</f>
        <v/>
      </c>
      <c r="N1603">
        <f>IF(I1603="","",IF(ISNUMBER(I1603),INT(I1603),IFERROR(INT(DATEVALUE(I1603)),IFERROR(INT(VALUE(I1603)),"bad"))))</f>
        <v/>
      </c>
      <c r="O1603">
        <f>IF(J1603="","",IF(ISNUMBER(J1603),ROUND(J1603,2),IFERROR(ROUND(VALUE(SUBSTITUTE(SUBSTITUTE(SUBSTITUTE(J1603,"$",""),",","")," ","")),2),"bad")))</f>
        <v/>
      </c>
      <c r="P1603">
        <f>IF(TRIM(K1603)="","",IFERROR(MATCH(LOWER(TRIM(K1603)),'Students'!$AH$2:$AH$701,0),IFERROR(MATCH(LOWER(TRIM(K1603)),'Students'!$AF$2:$AF$701,0),IFERROR(MATCH(LOWER(TRIM(K1603)),'Students'!$AG$2:$AG$701,0),""))))</f>
        <v/>
      </c>
      <c r="R1603">
        <f>IF(P1603="","",INDEX('Students'!$AD$2:$AD$701,P1603))</f>
        <v/>
      </c>
      <c r="S1603">
        <f>IF(H1603="OK",O1603,0)</f>
        <v/>
      </c>
      <c r="T1603">
        <f>IF(H1603="OK",N1603,"")</f>
        <v/>
      </c>
      <c r="U1603">
        <f>IF(OC_Donor=0,"",IF(INDEX('OneCause_Paste'!$A$1603:$AZ$1603,1,OC_Donor)="","",INDEX('OneCause_Paste'!$A$1603:$AZ$1603,1,OC_Donor)))</f>
        <v/>
      </c>
    </row>
    <row r="1604">
      <c r="A1604" s="62">
        <f>IF(H1604="","",IF(ISNUMBER(N1604),N1604,I1604))</f>
        <v/>
      </c>
      <c r="B1604">
        <f>IF(H1604="","",U1604)</f>
        <v/>
      </c>
      <c r="C1604">
        <f>IF(H1604="","",IF(P1604="",K1604,INDEX('Students'!$A$2:$A$701,P1604)))</f>
        <v/>
      </c>
      <c r="D1604">
        <f>IF(OR(H1604="",P1604=""),"",INDEX('Students'!$B$2:$B$701,P1604))</f>
        <v/>
      </c>
      <c r="E1604">
        <f>IF(OR(H1604="",P1604=""),"",INDEX('Students'!$C$2:$C$701,P1604))</f>
        <v/>
      </c>
      <c r="F1604" s="48">
        <f>IF(H1604="","",IF(ISNUMBER(O1604),O1604,J1604))</f>
        <v/>
      </c>
      <c r="G1604">
        <f>IF(H1604="","","OneCause")</f>
        <v/>
      </c>
      <c r="H1604">
        <f>IF(AND(I1604="",J1604="",K1604=""),"",IF(NOT(ISNUMBER(O1604)),"Bad amount",IF(O1604&lt;0,"Refund (not counted)",IF(O1604=0,"Zero amount",IF(NOT(ISNUMBER(N1604)),"Bad date",IF(P1604="","NAME NOT ON ROSTER",IF(L1604="","OK",IF(MATCH(L1604,$L$2:$L$3001,0)&lt;ROW()-1,"Duplicate (ignored)","OK"))))))))</f>
        <v/>
      </c>
      <c r="I1604">
        <f>IF(OC_Date=0,"",IF(INDEX('OneCause_Paste'!$A$1604:$AZ$1604,1,OC_Date)="","",INDEX('OneCause_Paste'!$A$1604:$AZ$1604,1,OC_Date)))</f>
        <v/>
      </c>
      <c r="J1604">
        <f>IF(OC_Amt=0,"",IF(INDEX('OneCause_Paste'!$A$1604:$AZ$1604,1,OC_Amt)="","",INDEX('OneCause_Paste'!$A$1604:$AZ$1604,1,OC_Amt)))</f>
        <v/>
      </c>
      <c r="K1604">
        <f>IF(OC_Name=0,"",IF(INDEX('OneCause_Paste'!$A$1604:$AZ$1604,1,OC_Name)="","",INDEX('OneCause_Paste'!$A$1604:$AZ$1604,1,OC_Name)))</f>
        <v/>
      </c>
      <c r="L1604">
        <f>IF(OC_Txn=0,"",IF(INDEX('OneCause_Paste'!$A$1604:$AZ$1604,1,OC_Txn)="","",INDEX('OneCause_Paste'!$A$1604:$AZ$1604,1,OC_Txn)))</f>
        <v/>
      </c>
      <c r="M1604">
        <f>IF(OC_Pay=0,"",IF(INDEX('OneCause_Paste'!$A$1604:$AZ$1604,1,OC_Pay)="","",INDEX('OneCause_Paste'!$A$1604:$AZ$1604,1,OC_Pay)))</f>
        <v/>
      </c>
      <c r="N1604">
        <f>IF(I1604="","",IF(ISNUMBER(I1604),INT(I1604),IFERROR(INT(DATEVALUE(I1604)),IFERROR(INT(VALUE(I1604)),"bad"))))</f>
        <v/>
      </c>
      <c r="O1604">
        <f>IF(J1604="","",IF(ISNUMBER(J1604),ROUND(J1604,2),IFERROR(ROUND(VALUE(SUBSTITUTE(SUBSTITUTE(SUBSTITUTE(J1604,"$",""),",","")," ","")),2),"bad")))</f>
        <v/>
      </c>
      <c r="P1604">
        <f>IF(TRIM(K1604)="","",IFERROR(MATCH(LOWER(TRIM(K1604)),'Students'!$AH$2:$AH$701,0),IFERROR(MATCH(LOWER(TRIM(K1604)),'Students'!$AF$2:$AF$701,0),IFERROR(MATCH(LOWER(TRIM(K1604)),'Students'!$AG$2:$AG$701,0),""))))</f>
        <v/>
      </c>
      <c r="R1604">
        <f>IF(P1604="","",INDEX('Students'!$AD$2:$AD$701,P1604))</f>
        <v/>
      </c>
      <c r="S1604">
        <f>IF(H1604="OK",O1604,0)</f>
        <v/>
      </c>
      <c r="T1604">
        <f>IF(H1604="OK",N1604,"")</f>
        <v/>
      </c>
      <c r="U1604">
        <f>IF(OC_Donor=0,"",IF(INDEX('OneCause_Paste'!$A$1604:$AZ$1604,1,OC_Donor)="","",INDEX('OneCause_Paste'!$A$1604:$AZ$1604,1,OC_Donor)))</f>
        <v/>
      </c>
    </row>
    <row r="1605">
      <c r="A1605" s="62">
        <f>IF(H1605="","",IF(ISNUMBER(N1605),N1605,I1605))</f>
        <v/>
      </c>
      <c r="B1605">
        <f>IF(H1605="","",U1605)</f>
        <v/>
      </c>
      <c r="C1605">
        <f>IF(H1605="","",IF(P1605="",K1605,INDEX('Students'!$A$2:$A$701,P1605)))</f>
        <v/>
      </c>
      <c r="D1605">
        <f>IF(OR(H1605="",P1605=""),"",INDEX('Students'!$B$2:$B$701,P1605))</f>
        <v/>
      </c>
      <c r="E1605">
        <f>IF(OR(H1605="",P1605=""),"",INDEX('Students'!$C$2:$C$701,P1605))</f>
        <v/>
      </c>
      <c r="F1605" s="48">
        <f>IF(H1605="","",IF(ISNUMBER(O1605),O1605,J1605))</f>
        <v/>
      </c>
      <c r="G1605">
        <f>IF(H1605="","","OneCause")</f>
        <v/>
      </c>
      <c r="H1605">
        <f>IF(AND(I1605="",J1605="",K1605=""),"",IF(NOT(ISNUMBER(O1605)),"Bad amount",IF(O1605&lt;0,"Refund (not counted)",IF(O1605=0,"Zero amount",IF(NOT(ISNUMBER(N1605)),"Bad date",IF(P1605="","NAME NOT ON ROSTER",IF(L1605="","OK",IF(MATCH(L1605,$L$2:$L$3001,0)&lt;ROW()-1,"Duplicate (ignored)","OK"))))))))</f>
        <v/>
      </c>
      <c r="I1605">
        <f>IF(OC_Date=0,"",IF(INDEX('OneCause_Paste'!$A$1605:$AZ$1605,1,OC_Date)="","",INDEX('OneCause_Paste'!$A$1605:$AZ$1605,1,OC_Date)))</f>
        <v/>
      </c>
      <c r="J1605">
        <f>IF(OC_Amt=0,"",IF(INDEX('OneCause_Paste'!$A$1605:$AZ$1605,1,OC_Amt)="","",INDEX('OneCause_Paste'!$A$1605:$AZ$1605,1,OC_Amt)))</f>
        <v/>
      </c>
      <c r="K1605">
        <f>IF(OC_Name=0,"",IF(INDEX('OneCause_Paste'!$A$1605:$AZ$1605,1,OC_Name)="","",INDEX('OneCause_Paste'!$A$1605:$AZ$1605,1,OC_Name)))</f>
        <v/>
      </c>
      <c r="L1605">
        <f>IF(OC_Txn=0,"",IF(INDEX('OneCause_Paste'!$A$1605:$AZ$1605,1,OC_Txn)="","",INDEX('OneCause_Paste'!$A$1605:$AZ$1605,1,OC_Txn)))</f>
        <v/>
      </c>
      <c r="M1605">
        <f>IF(OC_Pay=0,"",IF(INDEX('OneCause_Paste'!$A$1605:$AZ$1605,1,OC_Pay)="","",INDEX('OneCause_Paste'!$A$1605:$AZ$1605,1,OC_Pay)))</f>
        <v/>
      </c>
      <c r="N1605">
        <f>IF(I1605="","",IF(ISNUMBER(I1605),INT(I1605),IFERROR(INT(DATEVALUE(I1605)),IFERROR(INT(VALUE(I1605)),"bad"))))</f>
        <v/>
      </c>
      <c r="O1605">
        <f>IF(J1605="","",IF(ISNUMBER(J1605),ROUND(J1605,2),IFERROR(ROUND(VALUE(SUBSTITUTE(SUBSTITUTE(SUBSTITUTE(J1605,"$",""),",","")," ","")),2),"bad")))</f>
        <v/>
      </c>
      <c r="P1605">
        <f>IF(TRIM(K1605)="","",IFERROR(MATCH(LOWER(TRIM(K1605)),'Students'!$AH$2:$AH$701,0),IFERROR(MATCH(LOWER(TRIM(K1605)),'Students'!$AF$2:$AF$701,0),IFERROR(MATCH(LOWER(TRIM(K1605)),'Students'!$AG$2:$AG$701,0),""))))</f>
        <v/>
      </c>
      <c r="R1605">
        <f>IF(P1605="","",INDEX('Students'!$AD$2:$AD$701,P1605))</f>
        <v/>
      </c>
      <c r="S1605">
        <f>IF(H1605="OK",O1605,0)</f>
        <v/>
      </c>
      <c r="T1605">
        <f>IF(H1605="OK",N1605,"")</f>
        <v/>
      </c>
      <c r="U1605">
        <f>IF(OC_Donor=0,"",IF(INDEX('OneCause_Paste'!$A$1605:$AZ$1605,1,OC_Donor)="","",INDEX('OneCause_Paste'!$A$1605:$AZ$1605,1,OC_Donor)))</f>
        <v/>
      </c>
    </row>
    <row r="1606">
      <c r="A1606" s="62">
        <f>IF(H1606="","",IF(ISNUMBER(N1606),N1606,I1606))</f>
        <v/>
      </c>
      <c r="B1606">
        <f>IF(H1606="","",U1606)</f>
        <v/>
      </c>
      <c r="C1606">
        <f>IF(H1606="","",IF(P1606="",K1606,INDEX('Students'!$A$2:$A$701,P1606)))</f>
        <v/>
      </c>
      <c r="D1606">
        <f>IF(OR(H1606="",P1606=""),"",INDEX('Students'!$B$2:$B$701,P1606))</f>
        <v/>
      </c>
      <c r="E1606">
        <f>IF(OR(H1606="",P1606=""),"",INDEX('Students'!$C$2:$C$701,P1606))</f>
        <v/>
      </c>
      <c r="F1606" s="48">
        <f>IF(H1606="","",IF(ISNUMBER(O1606),O1606,J1606))</f>
        <v/>
      </c>
      <c r="G1606">
        <f>IF(H1606="","","OneCause")</f>
        <v/>
      </c>
      <c r="H1606">
        <f>IF(AND(I1606="",J1606="",K1606=""),"",IF(NOT(ISNUMBER(O1606)),"Bad amount",IF(O1606&lt;0,"Refund (not counted)",IF(O1606=0,"Zero amount",IF(NOT(ISNUMBER(N1606)),"Bad date",IF(P1606="","NAME NOT ON ROSTER",IF(L1606="","OK",IF(MATCH(L1606,$L$2:$L$3001,0)&lt;ROW()-1,"Duplicate (ignored)","OK"))))))))</f>
        <v/>
      </c>
      <c r="I1606">
        <f>IF(OC_Date=0,"",IF(INDEX('OneCause_Paste'!$A$1606:$AZ$1606,1,OC_Date)="","",INDEX('OneCause_Paste'!$A$1606:$AZ$1606,1,OC_Date)))</f>
        <v/>
      </c>
      <c r="J1606">
        <f>IF(OC_Amt=0,"",IF(INDEX('OneCause_Paste'!$A$1606:$AZ$1606,1,OC_Amt)="","",INDEX('OneCause_Paste'!$A$1606:$AZ$1606,1,OC_Amt)))</f>
        <v/>
      </c>
      <c r="K1606">
        <f>IF(OC_Name=0,"",IF(INDEX('OneCause_Paste'!$A$1606:$AZ$1606,1,OC_Name)="","",INDEX('OneCause_Paste'!$A$1606:$AZ$1606,1,OC_Name)))</f>
        <v/>
      </c>
      <c r="L1606">
        <f>IF(OC_Txn=0,"",IF(INDEX('OneCause_Paste'!$A$1606:$AZ$1606,1,OC_Txn)="","",INDEX('OneCause_Paste'!$A$1606:$AZ$1606,1,OC_Txn)))</f>
        <v/>
      </c>
      <c r="M1606">
        <f>IF(OC_Pay=0,"",IF(INDEX('OneCause_Paste'!$A$1606:$AZ$1606,1,OC_Pay)="","",INDEX('OneCause_Paste'!$A$1606:$AZ$1606,1,OC_Pay)))</f>
        <v/>
      </c>
      <c r="N1606">
        <f>IF(I1606="","",IF(ISNUMBER(I1606),INT(I1606),IFERROR(INT(DATEVALUE(I1606)),IFERROR(INT(VALUE(I1606)),"bad"))))</f>
        <v/>
      </c>
      <c r="O1606">
        <f>IF(J1606="","",IF(ISNUMBER(J1606),ROUND(J1606,2),IFERROR(ROUND(VALUE(SUBSTITUTE(SUBSTITUTE(SUBSTITUTE(J1606,"$",""),",","")," ","")),2),"bad")))</f>
        <v/>
      </c>
      <c r="P1606">
        <f>IF(TRIM(K1606)="","",IFERROR(MATCH(LOWER(TRIM(K1606)),'Students'!$AH$2:$AH$701,0),IFERROR(MATCH(LOWER(TRIM(K1606)),'Students'!$AF$2:$AF$701,0),IFERROR(MATCH(LOWER(TRIM(K1606)),'Students'!$AG$2:$AG$701,0),""))))</f>
        <v/>
      </c>
      <c r="R1606">
        <f>IF(P1606="","",INDEX('Students'!$AD$2:$AD$701,P1606))</f>
        <v/>
      </c>
      <c r="S1606">
        <f>IF(H1606="OK",O1606,0)</f>
        <v/>
      </c>
      <c r="T1606">
        <f>IF(H1606="OK",N1606,"")</f>
        <v/>
      </c>
      <c r="U1606">
        <f>IF(OC_Donor=0,"",IF(INDEX('OneCause_Paste'!$A$1606:$AZ$1606,1,OC_Donor)="","",INDEX('OneCause_Paste'!$A$1606:$AZ$1606,1,OC_Donor)))</f>
        <v/>
      </c>
    </row>
    <row r="1607">
      <c r="A1607" s="62">
        <f>IF(H1607="","",IF(ISNUMBER(N1607),N1607,I1607))</f>
        <v/>
      </c>
      <c r="B1607">
        <f>IF(H1607="","",U1607)</f>
        <v/>
      </c>
      <c r="C1607">
        <f>IF(H1607="","",IF(P1607="",K1607,INDEX('Students'!$A$2:$A$701,P1607)))</f>
        <v/>
      </c>
      <c r="D1607">
        <f>IF(OR(H1607="",P1607=""),"",INDEX('Students'!$B$2:$B$701,P1607))</f>
        <v/>
      </c>
      <c r="E1607">
        <f>IF(OR(H1607="",P1607=""),"",INDEX('Students'!$C$2:$C$701,P1607))</f>
        <v/>
      </c>
      <c r="F1607" s="48">
        <f>IF(H1607="","",IF(ISNUMBER(O1607),O1607,J1607))</f>
        <v/>
      </c>
      <c r="G1607">
        <f>IF(H1607="","","OneCause")</f>
        <v/>
      </c>
      <c r="H1607">
        <f>IF(AND(I1607="",J1607="",K1607=""),"",IF(NOT(ISNUMBER(O1607)),"Bad amount",IF(O1607&lt;0,"Refund (not counted)",IF(O1607=0,"Zero amount",IF(NOT(ISNUMBER(N1607)),"Bad date",IF(P1607="","NAME NOT ON ROSTER",IF(L1607="","OK",IF(MATCH(L1607,$L$2:$L$3001,0)&lt;ROW()-1,"Duplicate (ignored)","OK"))))))))</f>
        <v/>
      </c>
      <c r="I1607">
        <f>IF(OC_Date=0,"",IF(INDEX('OneCause_Paste'!$A$1607:$AZ$1607,1,OC_Date)="","",INDEX('OneCause_Paste'!$A$1607:$AZ$1607,1,OC_Date)))</f>
        <v/>
      </c>
      <c r="J1607">
        <f>IF(OC_Amt=0,"",IF(INDEX('OneCause_Paste'!$A$1607:$AZ$1607,1,OC_Amt)="","",INDEX('OneCause_Paste'!$A$1607:$AZ$1607,1,OC_Amt)))</f>
        <v/>
      </c>
      <c r="K1607">
        <f>IF(OC_Name=0,"",IF(INDEX('OneCause_Paste'!$A$1607:$AZ$1607,1,OC_Name)="","",INDEX('OneCause_Paste'!$A$1607:$AZ$1607,1,OC_Name)))</f>
        <v/>
      </c>
      <c r="L1607">
        <f>IF(OC_Txn=0,"",IF(INDEX('OneCause_Paste'!$A$1607:$AZ$1607,1,OC_Txn)="","",INDEX('OneCause_Paste'!$A$1607:$AZ$1607,1,OC_Txn)))</f>
        <v/>
      </c>
      <c r="M1607">
        <f>IF(OC_Pay=0,"",IF(INDEX('OneCause_Paste'!$A$1607:$AZ$1607,1,OC_Pay)="","",INDEX('OneCause_Paste'!$A$1607:$AZ$1607,1,OC_Pay)))</f>
        <v/>
      </c>
      <c r="N1607">
        <f>IF(I1607="","",IF(ISNUMBER(I1607),INT(I1607),IFERROR(INT(DATEVALUE(I1607)),IFERROR(INT(VALUE(I1607)),"bad"))))</f>
        <v/>
      </c>
      <c r="O1607">
        <f>IF(J1607="","",IF(ISNUMBER(J1607),ROUND(J1607,2),IFERROR(ROUND(VALUE(SUBSTITUTE(SUBSTITUTE(SUBSTITUTE(J1607,"$",""),",","")," ","")),2),"bad")))</f>
        <v/>
      </c>
      <c r="P1607">
        <f>IF(TRIM(K1607)="","",IFERROR(MATCH(LOWER(TRIM(K1607)),'Students'!$AH$2:$AH$701,0),IFERROR(MATCH(LOWER(TRIM(K1607)),'Students'!$AF$2:$AF$701,0),IFERROR(MATCH(LOWER(TRIM(K1607)),'Students'!$AG$2:$AG$701,0),""))))</f>
        <v/>
      </c>
      <c r="R1607">
        <f>IF(P1607="","",INDEX('Students'!$AD$2:$AD$701,P1607))</f>
        <v/>
      </c>
      <c r="S1607">
        <f>IF(H1607="OK",O1607,0)</f>
        <v/>
      </c>
      <c r="T1607">
        <f>IF(H1607="OK",N1607,"")</f>
        <v/>
      </c>
      <c r="U1607">
        <f>IF(OC_Donor=0,"",IF(INDEX('OneCause_Paste'!$A$1607:$AZ$1607,1,OC_Donor)="","",INDEX('OneCause_Paste'!$A$1607:$AZ$1607,1,OC_Donor)))</f>
        <v/>
      </c>
    </row>
    <row r="1608">
      <c r="A1608" s="62">
        <f>IF(H1608="","",IF(ISNUMBER(N1608),N1608,I1608))</f>
        <v/>
      </c>
      <c r="B1608">
        <f>IF(H1608="","",U1608)</f>
        <v/>
      </c>
      <c r="C1608">
        <f>IF(H1608="","",IF(P1608="",K1608,INDEX('Students'!$A$2:$A$701,P1608)))</f>
        <v/>
      </c>
      <c r="D1608">
        <f>IF(OR(H1608="",P1608=""),"",INDEX('Students'!$B$2:$B$701,P1608))</f>
        <v/>
      </c>
      <c r="E1608">
        <f>IF(OR(H1608="",P1608=""),"",INDEX('Students'!$C$2:$C$701,P1608))</f>
        <v/>
      </c>
      <c r="F1608" s="48">
        <f>IF(H1608="","",IF(ISNUMBER(O1608),O1608,J1608))</f>
        <v/>
      </c>
      <c r="G1608">
        <f>IF(H1608="","","OneCause")</f>
        <v/>
      </c>
      <c r="H1608">
        <f>IF(AND(I1608="",J1608="",K1608=""),"",IF(NOT(ISNUMBER(O1608)),"Bad amount",IF(O1608&lt;0,"Refund (not counted)",IF(O1608=0,"Zero amount",IF(NOT(ISNUMBER(N1608)),"Bad date",IF(P1608="","NAME NOT ON ROSTER",IF(L1608="","OK",IF(MATCH(L1608,$L$2:$L$3001,0)&lt;ROW()-1,"Duplicate (ignored)","OK"))))))))</f>
        <v/>
      </c>
      <c r="I1608">
        <f>IF(OC_Date=0,"",IF(INDEX('OneCause_Paste'!$A$1608:$AZ$1608,1,OC_Date)="","",INDEX('OneCause_Paste'!$A$1608:$AZ$1608,1,OC_Date)))</f>
        <v/>
      </c>
      <c r="J1608">
        <f>IF(OC_Amt=0,"",IF(INDEX('OneCause_Paste'!$A$1608:$AZ$1608,1,OC_Amt)="","",INDEX('OneCause_Paste'!$A$1608:$AZ$1608,1,OC_Amt)))</f>
        <v/>
      </c>
      <c r="K1608">
        <f>IF(OC_Name=0,"",IF(INDEX('OneCause_Paste'!$A$1608:$AZ$1608,1,OC_Name)="","",INDEX('OneCause_Paste'!$A$1608:$AZ$1608,1,OC_Name)))</f>
        <v/>
      </c>
      <c r="L1608">
        <f>IF(OC_Txn=0,"",IF(INDEX('OneCause_Paste'!$A$1608:$AZ$1608,1,OC_Txn)="","",INDEX('OneCause_Paste'!$A$1608:$AZ$1608,1,OC_Txn)))</f>
        <v/>
      </c>
      <c r="M1608">
        <f>IF(OC_Pay=0,"",IF(INDEX('OneCause_Paste'!$A$1608:$AZ$1608,1,OC_Pay)="","",INDEX('OneCause_Paste'!$A$1608:$AZ$1608,1,OC_Pay)))</f>
        <v/>
      </c>
      <c r="N1608">
        <f>IF(I1608="","",IF(ISNUMBER(I1608),INT(I1608),IFERROR(INT(DATEVALUE(I1608)),IFERROR(INT(VALUE(I1608)),"bad"))))</f>
        <v/>
      </c>
      <c r="O1608">
        <f>IF(J1608="","",IF(ISNUMBER(J1608),ROUND(J1608,2),IFERROR(ROUND(VALUE(SUBSTITUTE(SUBSTITUTE(SUBSTITUTE(J1608,"$",""),",","")," ","")),2),"bad")))</f>
        <v/>
      </c>
      <c r="P1608">
        <f>IF(TRIM(K1608)="","",IFERROR(MATCH(LOWER(TRIM(K1608)),'Students'!$AH$2:$AH$701,0),IFERROR(MATCH(LOWER(TRIM(K1608)),'Students'!$AF$2:$AF$701,0),IFERROR(MATCH(LOWER(TRIM(K1608)),'Students'!$AG$2:$AG$701,0),""))))</f>
        <v/>
      </c>
      <c r="R1608">
        <f>IF(P1608="","",INDEX('Students'!$AD$2:$AD$701,P1608))</f>
        <v/>
      </c>
      <c r="S1608">
        <f>IF(H1608="OK",O1608,0)</f>
        <v/>
      </c>
      <c r="T1608">
        <f>IF(H1608="OK",N1608,"")</f>
        <v/>
      </c>
      <c r="U1608">
        <f>IF(OC_Donor=0,"",IF(INDEX('OneCause_Paste'!$A$1608:$AZ$1608,1,OC_Donor)="","",INDEX('OneCause_Paste'!$A$1608:$AZ$1608,1,OC_Donor)))</f>
        <v/>
      </c>
    </row>
    <row r="1609">
      <c r="A1609" s="62">
        <f>IF(H1609="","",IF(ISNUMBER(N1609),N1609,I1609))</f>
        <v/>
      </c>
      <c r="B1609">
        <f>IF(H1609="","",U1609)</f>
        <v/>
      </c>
      <c r="C1609">
        <f>IF(H1609="","",IF(P1609="",K1609,INDEX('Students'!$A$2:$A$701,P1609)))</f>
        <v/>
      </c>
      <c r="D1609">
        <f>IF(OR(H1609="",P1609=""),"",INDEX('Students'!$B$2:$B$701,P1609))</f>
        <v/>
      </c>
      <c r="E1609">
        <f>IF(OR(H1609="",P1609=""),"",INDEX('Students'!$C$2:$C$701,P1609))</f>
        <v/>
      </c>
      <c r="F1609" s="48">
        <f>IF(H1609="","",IF(ISNUMBER(O1609),O1609,J1609))</f>
        <v/>
      </c>
      <c r="G1609">
        <f>IF(H1609="","","OneCause")</f>
        <v/>
      </c>
      <c r="H1609">
        <f>IF(AND(I1609="",J1609="",K1609=""),"",IF(NOT(ISNUMBER(O1609)),"Bad amount",IF(O1609&lt;0,"Refund (not counted)",IF(O1609=0,"Zero amount",IF(NOT(ISNUMBER(N1609)),"Bad date",IF(P1609="","NAME NOT ON ROSTER",IF(L1609="","OK",IF(MATCH(L1609,$L$2:$L$3001,0)&lt;ROW()-1,"Duplicate (ignored)","OK"))))))))</f>
        <v/>
      </c>
      <c r="I1609">
        <f>IF(OC_Date=0,"",IF(INDEX('OneCause_Paste'!$A$1609:$AZ$1609,1,OC_Date)="","",INDEX('OneCause_Paste'!$A$1609:$AZ$1609,1,OC_Date)))</f>
        <v/>
      </c>
      <c r="J1609">
        <f>IF(OC_Amt=0,"",IF(INDEX('OneCause_Paste'!$A$1609:$AZ$1609,1,OC_Amt)="","",INDEX('OneCause_Paste'!$A$1609:$AZ$1609,1,OC_Amt)))</f>
        <v/>
      </c>
      <c r="K1609">
        <f>IF(OC_Name=0,"",IF(INDEX('OneCause_Paste'!$A$1609:$AZ$1609,1,OC_Name)="","",INDEX('OneCause_Paste'!$A$1609:$AZ$1609,1,OC_Name)))</f>
        <v/>
      </c>
      <c r="L1609">
        <f>IF(OC_Txn=0,"",IF(INDEX('OneCause_Paste'!$A$1609:$AZ$1609,1,OC_Txn)="","",INDEX('OneCause_Paste'!$A$1609:$AZ$1609,1,OC_Txn)))</f>
        <v/>
      </c>
      <c r="M1609">
        <f>IF(OC_Pay=0,"",IF(INDEX('OneCause_Paste'!$A$1609:$AZ$1609,1,OC_Pay)="","",INDEX('OneCause_Paste'!$A$1609:$AZ$1609,1,OC_Pay)))</f>
        <v/>
      </c>
      <c r="N1609">
        <f>IF(I1609="","",IF(ISNUMBER(I1609),INT(I1609),IFERROR(INT(DATEVALUE(I1609)),IFERROR(INT(VALUE(I1609)),"bad"))))</f>
        <v/>
      </c>
      <c r="O1609">
        <f>IF(J1609="","",IF(ISNUMBER(J1609),ROUND(J1609,2),IFERROR(ROUND(VALUE(SUBSTITUTE(SUBSTITUTE(SUBSTITUTE(J1609,"$",""),",","")," ","")),2),"bad")))</f>
        <v/>
      </c>
      <c r="P1609">
        <f>IF(TRIM(K1609)="","",IFERROR(MATCH(LOWER(TRIM(K1609)),'Students'!$AH$2:$AH$701,0),IFERROR(MATCH(LOWER(TRIM(K1609)),'Students'!$AF$2:$AF$701,0),IFERROR(MATCH(LOWER(TRIM(K1609)),'Students'!$AG$2:$AG$701,0),""))))</f>
        <v/>
      </c>
      <c r="R1609">
        <f>IF(P1609="","",INDEX('Students'!$AD$2:$AD$701,P1609))</f>
        <v/>
      </c>
      <c r="S1609">
        <f>IF(H1609="OK",O1609,0)</f>
        <v/>
      </c>
      <c r="T1609">
        <f>IF(H1609="OK",N1609,"")</f>
        <v/>
      </c>
      <c r="U1609">
        <f>IF(OC_Donor=0,"",IF(INDEX('OneCause_Paste'!$A$1609:$AZ$1609,1,OC_Donor)="","",INDEX('OneCause_Paste'!$A$1609:$AZ$1609,1,OC_Donor)))</f>
        <v/>
      </c>
    </row>
    <row r="1610">
      <c r="A1610" s="62">
        <f>IF(H1610="","",IF(ISNUMBER(N1610),N1610,I1610))</f>
        <v/>
      </c>
      <c r="B1610">
        <f>IF(H1610="","",U1610)</f>
        <v/>
      </c>
      <c r="C1610">
        <f>IF(H1610="","",IF(P1610="",K1610,INDEX('Students'!$A$2:$A$701,P1610)))</f>
        <v/>
      </c>
      <c r="D1610">
        <f>IF(OR(H1610="",P1610=""),"",INDEX('Students'!$B$2:$B$701,P1610))</f>
        <v/>
      </c>
      <c r="E1610">
        <f>IF(OR(H1610="",P1610=""),"",INDEX('Students'!$C$2:$C$701,P1610))</f>
        <v/>
      </c>
      <c r="F1610" s="48">
        <f>IF(H1610="","",IF(ISNUMBER(O1610),O1610,J1610))</f>
        <v/>
      </c>
      <c r="G1610">
        <f>IF(H1610="","","OneCause")</f>
        <v/>
      </c>
      <c r="H1610">
        <f>IF(AND(I1610="",J1610="",K1610=""),"",IF(NOT(ISNUMBER(O1610)),"Bad amount",IF(O1610&lt;0,"Refund (not counted)",IF(O1610=0,"Zero amount",IF(NOT(ISNUMBER(N1610)),"Bad date",IF(P1610="","NAME NOT ON ROSTER",IF(L1610="","OK",IF(MATCH(L1610,$L$2:$L$3001,0)&lt;ROW()-1,"Duplicate (ignored)","OK"))))))))</f>
        <v/>
      </c>
      <c r="I1610">
        <f>IF(OC_Date=0,"",IF(INDEX('OneCause_Paste'!$A$1610:$AZ$1610,1,OC_Date)="","",INDEX('OneCause_Paste'!$A$1610:$AZ$1610,1,OC_Date)))</f>
        <v/>
      </c>
      <c r="J1610">
        <f>IF(OC_Amt=0,"",IF(INDEX('OneCause_Paste'!$A$1610:$AZ$1610,1,OC_Amt)="","",INDEX('OneCause_Paste'!$A$1610:$AZ$1610,1,OC_Amt)))</f>
        <v/>
      </c>
      <c r="K1610">
        <f>IF(OC_Name=0,"",IF(INDEX('OneCause_Paste'!$A$1610:$AZ$1610,1,OC_Name)="","",INDEX('OneCause_Paste'!$A$1610:$AZ$1610,1,OC_Name)))</f>
        <v/>
      </c>
      <c r="L1610">
        <f>IF(OC_Txn=0,"",IF(INDEX('OneCause_Paste'!$A$1610:$AZ$1610,1,OC_Txn)="","",INDEX('OneCause_Paste'!$A$1610:$AZ$1610,1,OC_Txn)))</f>
        <v/>
      </c>
      <c r="M1610">
        <f>IF(OC_Pay=0,"",IF(INDEX('OneCause_Paste'!$A$1610:$AZ$1610,1,OC_Pay)="","",INDEX('OneCause_Paste'!$A$1610:$AZ$1610,1,OC_Pay)))</f>
        <v/>
      </c>
      <c r="N1610">
        <f>IF(I1610="","",IF(ISNUMBER(I1610),INT(I1610),IFERROR(INT(DATEVALUE(I1610)),IFERROR(INT(VALUE(I1610)),"bad"))))</f>
        <v/>
      </c>
      <c r="O1610">
        <f>IF(J1610="","",IF(ISNUMBER(J1610),ROUND(J1610,2),IFERROR(ROUND(VALUE(SUBSTITUTE(SUBSTITUTE(SUBSTITUTE(J1610,"$",""),",","")," ","")),2),"bad")))</f>
        <v/>
      </c>
      <c r="P1610">
        <f>IF(TRIM(K1610)="","",IFERROR(MATCH(LOWER(TRIM(K1610)),'Students'!$AH$2:$AH$701,0),IFERROR(MATCH(LOWER(TRIM(K1610)),'Students'!$AF$2:$AF$701,0),IFERROR(MATCH(LOWER(TRIM(K1610)),'Students'!$AG$2:$AG$701,0),""))))</f>
        <v/>
      </c>
      <c r="R1610">
        <f>IF(P1610="","",INDEX('Students'!$AD$2:$AD$701,P1610))</f>
        <v/>
      </c>
      <c r="S1610">
        <f>IF(H1610="OK",O1610,0)</f>
        <v/>
      </c>
      <c r="T1610">
        <f>IF(H1610="OK",N1610,"")</f>
        <v/>
      </c>
      <c r="U1610">
        <f>IF(OC_Donor=0,"",IF(INDEX('OneCause_Paste'!$A$1610:$AZ$1610,1,OC_Donor)="","",INDEX('OneCause_Paste'!$A$1610:$AZ$1610,1,OC_Donor)))</f>
        <v/>
      </c>
    </row>
    <row r="1611">
      <c r="A1611" s="62">
        <f>IF(H1611="","",IF(ISNUMBER(N1611),N1611,I1611))</f>
        <v/>
      </c>
      <c r="B1611">
        <f>IF(H1611="","",U1611)</f>
        <v/>
      </c>
      <c r="C1611">
        <f>IF(H1611="","",IF(P1611="",K1611,INDEX('Students'!$A$2:$A$701,P1611)))</f>
        <v/>
      </c>
      <c r="D1611">
        <f>IF(OR(H1611="",P1611=""),"",INDEX('Students'!$B$2:$B$701,P1611))</f>
        <v/>
      </c>
      <c r="E1611">
        <f>IF(OR(H1611="",P1611=""),"",INDEX('Students'!$C$2:$C$701,P1611))</f>
        <v/>
      </c>
      <c r="F1611" s="48">
        <f>IF(H1611="","",IF(ISNUMBER(O1611),O1611,J1611))</f>
        <v/>
      </c>
      <c r="G1611">
        <f>IF(H1611="","","OneCause")</f>
        <v/>
      </c>
      <c r="H1611">
        <f>IF(AND(I1611="",J1611="",K1611=""),"",IF(NOT(ISNUMBER(O1611)),"Bad amount",IF(O1611&lt;0,"Refund (not counted)",IF(O1611=0,"Zero amount",IF(NOT(ISNUMBER(N1611)),"Bad date",IF(P1611="","NAME NOT ON ROSTER",IF(L1611="","OK",IF(MATCH(L1611,$L$2:$L$3001,0)&lt;ROW()-1,"Duplicate (ignored)","OK"))))))))</f>
        <v/>
      </c>
      <c r="I1611">
        <f>IF(OC_Date=0,"",IF(INDEX('OneCause_Paste'!$A$1611:$AZ$1611,1,OC_Date)="","",INDEX('OneCause_Paste'!$A$1611:$AZ$1611,1,OC_Date)))</f>
        <v/>
      </c>
      <c r="J1611">
        <f>IF(OC_Amt=0,"",IF(INDEX('OneCause_Paste'!$A$1611:$AZ$1611,1,OC_Amt)="","",INDEX('OneCause_Paste'!$A$1611:$AZ$1611,1,OC_Amt)))</f>
        <v/>
      </c>
      <c r="K1611">
        <f>IF(OC_Name=0,"",IF(INDEX('OneCause_Paste'!$A$1611:$AZ$1611,1,OC_Name)="","",INDEX('OneCause_Paste'!$A$1611:$AZ$1611,1,OC_Name)))</f>
        <v/>
      </c>
      <c r="L1611">
        <f>IF(OC_Txn=0,"",IF(INDEX('OneCause_Paste'!$A$1611:$AZ$1611,1,OC_Txn)="","",INDEX('OneCause_Paste'!$A$1611:$AZ$1611,1,OC_Txn)))</f>
        <v/>
      </c>
      <c r="M1611">
        <f>IF(OC_Pay=0,"",IF(INDEX('OneCause_Paste'!$A$1611:$AZ$1611,1,OC_Pay)="","",INDEX('OneCause_Paste'!$A$1611:$AZ$1611,1,OC_Pay)))</f>
        <v/>
      </c>
      <c r="N1611">
        <f>IF(I1611="","",IF(ISNUMBER(I1611),INT(I1611),IFERROR(INT(DATEVALUE(I1611)),IFERROR(INT(VALUE(I1611)),"bad"))))</f>
        <v/>
      </c>
      <c r="O1611">
        <f>IF(J1611="","",IF(ISNUMBER(J1611),ROUND(J1611,2),IFERROR(ROUND(VALUE(SUBSTITUTE(SUBSTITUTE(SUBSTITUTE(J1611,"$",""),",","")," ","")),2),"bad")))</f>
        <v/>
      </c>
      <c r="P1611">
        <f>IF(TRIM(K1611)="","",IFERROR(MATCH(LOWER(TRIM(K1611)),'Students'!$AH$2:$AH$701,0),IFERROR(MATCH(LOWER(TRIM(K1611)),'Students'!$AF$2:$AF$701,0),IFERROR(MATCH(LOWER(TRIM(K1611)),'Students'!$AG$2:$AG$701,0),""))))</f>
        <v/>
      </c>
      <c r="R1611">
        <f>IF(P1611="","",INDEX('Students'!$AD$2:$AD$701,P1611))</f>
        <v/>
      </c>
      <c r="S1611">
        <f>IF(H1611="OK",O1611,0)</f>
        <v/>
      </c>
      <c r="T1611">
        <f>IF(H1611="OK",N1611,"")</f>
        <v/>
      </c>
      <c r="U1611">
        <f>IF(OC_Donor=0,"",IF(INDEX('OneCause_Paste'!$A$1611:$AZ$1611,1,OC_Donor)="","",INDEX('OneCause_Paste'!$A$1611:$AZ$1611,1,OC_Donor)))</f>
        <v/>
      </c>
    </row>
    <row r="1612">
      <c r="A1612" s="62">
        <f>IF(H1612="","",IF(ISNUMBER(N1612),N1612,I1612))</f>
        <v/>
      </c>
      <c r="B1612">
        <f>IF(H1612="","",U1612)</f>
        <v/>
      </c>
      <c r="C1612">
        <f>IF(H1612="","",IF(P1612="",K1612,INDEX('Students'!$A$2:$A$701,P1612)))</f>
        <v/>
      </c>
      <c r="D1612">
        <f>IF(OR(H1612="",P1612=""),"",INDEX('Students'!$B$2:$B$701,P1612))</f>
        <v/>
      </c>
      <c r="E1612">
        <f>IF(OR(H1612="",P1612=""),"",INDEX('Students'!$C$2:$C$701,P1612))</f>
        <v/>
      </c>
      <c r="F1612" s="48">
        <f>IF(H1612="","",IF(ISNUMBER(O1612),O1612,J1612))</f>
        <v/>
      </c>
      <c r="G1612">
        <f>IF(H1612="","","OneCause")</f>
        <v/>
      </c>
      <c r="H1612">
        <f>IF(AND(I1612="",J1612="",K1612=""),"",IF(NOT(ISNUMBER(O1612)),"Bad amount",IF(O1612&lt;0,"Refund (not counted)",IF(O1612=0,"Zero amount",IF(NOT(ISNUMBER(N1612)),"Bad date",IF(P1612="","NAME NOT ON ROSTER",IF(L1612="","OK",IF(MATCH(L1612,$L$2:$L$3001,0)&lt;ROW()-1,"Duplicate (ignored)","OK"))))))))</f>
        <v/>
      </c>
      <c r="I1612">
        <f>IF(OC_Date=0,"",IF(INDEX('OneCause_Paste'!$A$1612:$AZ$1612,1,OC_Date)="","",INDEX('OneCause_Paste'!$A$1612:$AZ$1612,1,OC_Date)))</f>
        <v/>
      </c>
      <c r="J1612">
        <f>IF(OC_Amt=0,"",IF(INDEX('OneCause_Paste'!$A$1612:$AZ$1612,1,OC_Amt)="","",INDEX('OneCause_Paste'!$A$1612:$AZ$1612,1,OC_Amt)))</f>
        <v/>
      </c>
      <c r="K1612">
        <f>IF(OC_Name=0,"",IF(INDEX('OneCause_Paste'!$A$1612:$AZ$1612,1,OC_Name)="","",INDEX('OneCause_Paste'!$A$1612:$AZ$1612,1,OC_Name)))</f>
        <v/>
      </c>
      <c r="L1612">
        <f>IF(OC_Txn=0,"",IF(INDEX('OneCause_Paste'!$A$1612:$AZ$1612,1,OC_Txn)="","",INDEX('OneCause_Paste'!$A$1612:$AZ$1612,1,OC_Txn)))</f>
        <v/>
      </c>
      <c r="M1612">
        <f>IF(OC_Pay=0,"",IF(INDEX('OneCause_Paste'!$A$1612:$AZ$1612,1,OC_Pay)="","",INDEX('OneCause_Paste'!$A$1612:$AZ$1612,1,OC_Pay)))</f>
        <v/>
      </c>
      <c r="N1612">
        <f>IF(I1612="","",IF(ISNUMBER(I1612),INT(I1612),IFERROR(INT(DATEVALUE(I1612)),IFERROR(INT(VALUE(I1612)),"bad"))))</f>
        <v/>
      </c>
      <c r="O1612">
        <f>IF(J1612="","",IF(ISNUMBER(J1612),ROUND(J1612,2),IFERROR(ROUND(VALUE(SUBSTITUTE(SUBSTITUTE(SUBSTITUTE(J1612,"$",""),",","")," ","")),2),"bad")))</f>
        <v/>
      </c>
      <c r="P1612">
        <f>IF(TRIM(K1612)="","",IFERROR(MATCH(LOWER(TRIM(K1612)),'Students'!$AH$2:$AH$701,0),IFERROR(MATCH(LOWER(TRIM(K1612)),'Students'!$AF$2:$AF$701,0),IFERROR(MATCH(LOWER(TRIM(K1612)),'Students'!$AG$2:$AG$701,0),""))))</f>
        <v/>
      </c>
      <c r="R1612">
        <f>IF(P1612="","",INDEX('Students'!$AD$2:$AD$701,P1612))</f>
        <v/>
      </c>
      <c r="S1612">
        <f>IF(H1612="OK",O1612,0)</f>
        <v/>
      </c>
      <c r="T1612">
        <f>IF(H1612="OK",N1612,"")</f>
        <v/>
      </c>
      <c r="U1612">
        <f>IF(OC_Donor=0,"",IF(INDEX('OneCause_Paste'!$A$1612:$AZ$1612,1,OC_Donor)="","",INDEX('OneCause_Paste'!$A$1612:$AZ$1612,1,OC_Donor)))</f>
        <v/>
      </c>
    </row>
    <row r="1613">
      <c r="A1613" s="62">
        <f>IF(H1613="","",IF(ISNUMBER(N1613),N1613,I1613))</f>
        <v/>
      </c>
      <c r="B1613">
        <f>IF(H1613="","",U1613)</f>
        <v/>
      </c>
      <c r="C1613">
        <f>IF(H1613="","",IF(P1613="",K1613,INDEX('Students'!$A$2:$A$701,P1613)))</f>
        <v/>
      </c>
      <c r="D1613">
        <f>IF(OR(H1613="",P1613=""),"",INDEX('Students'!$B$2:$B$701,P1613))</f>
        <v/>
      </c>
      <c r="E1613">
        <f>IF(OR(H1613="",P1613=""),"",INDEX('Students'!$C$2:$C$701,P1613))</f>
        <v/>
      </c>
      <c r="F1613" s="48">
        <f>IF(H1613="","",IF(ISNUMBER(O1613),O1613,J1613))</f>
        <v/>
      </c>
      <c r="G1613">
        <f>IF(H1613="","","OneCause")</f>
        <v/>
      </c>
      <c r="H1613">
        <f>IF(AND(I1613="",J1613="",K1613=""),"",IF(NOT(ISNUMBER(O1613)),"Bad amount",IF(O1613&lt;0,"Refund (not counted)",IF(O1613=0,"Zero amount",IF(NOT(ISNUMBER(N1613)),"Bad date",IF(P1613="","NAME NOT ON ROSTER",IF(L1613="","OK",IF(MATCH(L1613,$L$2:$L$3001,0)&lt;ROW()-1,"Duplicate (ignored)","OK"))))))))</f>
        <v/>
      </c>
      <c r="I1613">
        <f>IF(OC_Date=0,"",IF(INDEX('OneCause_Paste'!$A$1613:$AZ$1613,1,OC_Date)="","",INDEX('OneCause_Paste'!$A$1613:$AZ$1613,1,OC_Date)))</f>
        <v/>
      </c>
      <c r="J1613">
        <f>IF(OC_Amt=0,"",IF(INDEX('OneCause_Paste'!$A$1613:$AZ$1613,1,OC_Amt)="","",INDEX('OneCause_Paste'!$A$1613:$AZ$1613,1,OC_Amt)))</f>
        <v/>
      </c>
      <c r="K1613">
        <f>IF(OC_Name=0,"",IF(INDEX('OneCause_Paste'!$A$1613:$AZ$1613,1,OC_Name)="","",INDEX('OneCause_Paste'!$A$1613:$AZ$1613,1,OC_Name)))</f>
        <v/>
      </c>
      <c r="L1613">
        <f>IF(OC_Txn=0,"",IF(INDEX('OneCause_Paste'!$A$1613:$AZ$1613,1,OC_Txn)="","",INDEX('OneCause_Paste'!$A$1613:$AZ$1613,1,OC_Txn)))</f>
        <v/>
      </c>
      <c r="M1613">
        <f>IF(OC_Pay=0,"",IF(INDEX('OneCause_Paste'!$A$1613:$AZ$1613,1,OC_Pay)="","",INDEX('OneCause_Paste'!$A$1613:$AZ$1613,1,OC_Pay)))</f>
        <v/>
      </c>
      <c r="N1613">
        <f>IF(I1613="","",IF(ISNUMBER(I1613),INT(I1613),IFERROR(INT(DATEVALUE(I1613)),IFERROR(INT(VALUE(I1613)),"bad"))))</f>
        <v/>
      </c>
      <c r="O1613">
        <f>IF(J1613="","",IF(ISNUMBER(J1613),ROUND(J1613,2),IFERROR(ROUND(VALUE(SUBSTITUTE(SUBSTITUTE(SUBSTITUTE(J1613,"$",""),",","")," ","")),2),"bad")))</f>
        <v/>
      </c>
      <c r="P1613">
        <f>IF(TRIM(K1613)="","",IFERROR(MATCH(LOWER(TRIM(K1613)),'Students'!$AH$2:$AH$701,0),IFERROR(MATCH(LOWER(TRIM(K1613)),'Students'!$AF$2:$AF$701,0),IFERROR(MATCH(LOWER(TRIM(K1613)),'Students'!$AG$2:$AG$701,0),""))))</f>
        <v/>
      </c>
      <c r="R1613">
        <f>IF(P1613="","",INDEX('Students'!$AD$2:$AD$701,P1613))</f>
        <v/>
      </c>
      <c r="S1613">
        <f>IF(H1613="OK",O1613,0)</f>
        <v/>
      </c>
      <c r="T1613">
        <f>IF(H1613="OK",N1613,"")</f>
        <v/>
      </c>
      <c r="U1613">
        <f>IF(OC_Donor=0,"",IF(INDEX('OneCause_Paste'!$A$1613:$AZ$1613,1,OC_Donor)="","",INDEX('OneCause_Paste'!$A$1613:$AZ$1613,1,OC_Donor)))</f>
        <v/>
      </c>
    </row>
    <row r="1614">
      <c r="A1614" s="62">
        <f>IF(H1614="","",IF(ISNUMBER(N1614),N1614,I1614))</f>
        <v/>
      </c>
      <c r="B1614">
        <f>IF(H1614="","",U1614)</f>
        <v/>
      </c>
      <c r="C1614">
        <f>IF(H1614="","",IF(P1614="",K1614,INDEX('Students'!$A$2:$A$701,P1614)))</f>
        <v/>
      </c>
      <c r="D1614">
        <f>IF(OR(H1614="",P1614=""),"",INDEX('Students'!$B$2:$B$701,P1614))</f>
        <v/>
      </c>
      <c r="E1614">
        <f>IF(OR(H1614="",P1614=""),"",INDEX('Students'!$C$2:$C$701,P1614))</f>
        <v/>
      </c>
      <c r="F1614" s="48">
        <f>IF(H1614="","",IF(ISNUMBER(O1614),O1614,J1614))</f>
        <v/>
      </c>
      <c r="G1614">
        <f>IF(H1614="","","OneCause")</f>
        <v/>
      </c>
      <c r="H1614">
        <f>IF(AND(I1614="",J1614="",K1614=""),"",IF(NOT(ISNUMBER(O1614)),"Bad amount",IF(O1614&lt;0,"Refund (not counted)",IF(O1614=0,"Zero amount",IF(NOT(ISNUMBER(N1614)),"Bad date",IF(P1614="","NAME NOT ON ROSTER",IF(L1614="","OK",IF(MATCH(L1614,$L$2:$L$3001,0)&lt;ROW()-1,"Duplicate (ignored)","OK"))))))))</f>
        <v/>
      </c>
      <c r="I1614">
        <f>IF(OC_Date=0,"",IF(INDEX('OneCause_Paste'!$A$1614:$AZ$1614,1,OC_Date)="","",INDEX('OneCause_Paste'!$A$1614:$AZ$1614,1,OC_Date)))</f>
        <v/>
      </c>
      <c r="J1614">
        <f>IF(OC_Amt=0,"",IF(INDEX('OneCause_Paste'!$A$1614:$AZ$1614,1,OC_Amt)="","",INDEX('OneCause_Paste'!$A$1614:$AZ$1614,1,OC_Amt)))</f>
        <v/>
      </c>
      <c r="K1614">
        <f>IF(OC_Name=0,"",IF(INDEX('OneCause_Paste'!$A$1614:$AZ$1614,1,OC_Name)="","",INDEX('OneCause_Paste'!$A$1614:$AZ$1614,1,OC_Name)))</f>
        <v/>
      </c>
      <c r="L1614">
        <f>IF(OC_Txn=0,"",IF(INDEX('OneCause_Paste'!$A$1614:$AZ$1614,1,OC_Txn)="","",INDEX('OneCause_Paste'!$A$1614:$AZ$1614,1,OC_Txn)))</f>
        <v/>
      </c>
      <c r="M1614">
        <f>IF(OC_Pay=0,"",IF(INDEX('OneCause_Paste'!$A$1614:$AZ$1614,1,OC_Pay)="","",INDEX('OneCause_Paste'!$A$1614:$AZ$1614,1,OC_Pay)))</f>
        <v/>
      </c>
      <c r="N1614">
        <f>IF(I1614="","",IF(ISNUMBER(I1614),INT(I1614),IFERROR(INT(DATEVALUE(I1614)),IFERROR(INT(VALUE(I1614)),"bad"))))</f>
        <v/>
      </c>
      <c r="O1614">
        <f>IF(J1614="","",IF(ISNUMBER(J1614),ROUND(J1614,2),IFERROR(ROUND(VALUE(SUBSTITUTE(SUBSTITUTE(SUBSTITUTE(J1614,"$",""),",","")," ","")),2),"bad")))</f>
        <v/>
      </c>
      <c r="P1614">
        <f>IF(TRIM(K1614)="","",IFERROR(MATCH(LOWER(TRIM(K1614)),'Students'!$AH$2:$AH$701,0),IFERROR(MATCH(LOWER(TRIM(K1614)),'Students'!$AF$2:$AF$701,0),IFERROR(MATCH(LOWER(TRIM(K1614)),'Students'!$AG$2:$AG$701,0),""))))</f>
        <v/>
      </c>
      <c r="R1614">
        <f>IF(P1614="","",INDEX('Students'!$AD$2:$AD$701,P1614))</f>
        <v/>
      </c>
      <c r="S1614">
        <f>IF(H1614="OK",O1614,0)</f>
        <v/>
      </c>
      <c r="T1614">
        <f>IF(H1614="OK",N1614,"")</f>
        <v/>
      </c>
      <c r="U1614">
        <f>IF(OC_Donor=0,"",IF(INDEX('OneCause_Paste'!$A$1614:$AZ$1614,1,OC_Donor)="","",INDEX('OneCause_Paste'!$A$1614:$AZ$1614,1,OC_Donor)))</f>
        <v/>
      </c>
    </row>
    <row r="1615">
      <c r="A1615" s="62">
        <f>IF(H1615="","",IF(ISNUMBER(N1615),N1615,I1615))</f>
        <v/>
      </c>
      <c r="B1615">
        <f>IF(H1615="","",U1615)</f>
        <v/>
      </c>
      <c r="C1615">
        <f>IF(H1615="","",IF(P1615="",K1615,INDEX('Students'!$A$2:$A$701,P1615)))</f>
        <v/>
      </c>
      <c r="D1615">
        <f>IF(OR(H1615="",P1615=""),"",INDEX('Students'!$B$2:$B$701,P1615))</f>
        <v/>
      </c>
      <c r="E1615">
        <f>IF(OR(H1615="",P1615=""),"",INDEX('Students'!$C$2:$C$701,P1615))</f>
        <v/>
      </c>
      <c r="F1615" s="48">
        <f>IF(H1615="","",IF(ISNUMBER(O1615),O1615,J1615))</f>
        <v/>
      </c>
      <c r="G1615">
        <f>IF(H1615="","","OneCause")</f>
        <v/>
      </c>
      <c r="H1615">
        <f>IF(AND(I1615="",J1615="",K1615=""),"",IF(NOT(ISNUMBER(O1615)),"Bad amount",IF(O1615&lt;0,"Refund (not counted)",IF(O1615=0,"Zero amount",IF(NOT(ISNUMBER(N1615)),"Bad date",IF(P1615="","NAME NOT ON ROSTER",IF(L1615="","OK",IF(MATCH(L1615,$L$2:$L$3001,0)&lt;ROW()-1,"Duplicate (ignored)","OK"))))))))</f>
        <v/>
      </c>
      <c r="I1615">
        <f>IF(OC_Date=0,"",IF(INDEX('OneCause_Paste'!$A$1615:$AZ$1615,1,OC_Date)="","",INDEX('OneCause_Paste'!$A$1615:$AZ$1615,1,OC_Date)))</f>
        <v/>
      </c>
      <c r="J1615">
        <f>IF(OC_Amt=0,"",IF(INDEX('OneCause_Paste'!$A$1615:$AZ$1615,1,OC_Amt)="","",INDEX('OneCause_Paste'!$A$1615:$AZ$1615,1,OC_Amt)))</f>
        <v/>
      </c>
      <c r="K1615">
        <f>IF(OC_Name=0,"",IF(INDEX('OneCause_Paste'!$A$1615:$AZ$1615,1,OC_Name)="","",INDEX('OneCause_Paste'!$A$1615:$AZ$1615,1,OC_Name)))</f>
        <v/>
      </c>
      <c r="L1615">
        <f>IF(OC_Txn=0,"",IF(INDEX('OneCause_Paste'!$A$1615:$AZ$1615,1,OC_Txn)="","",INDEX('OneCause_Paste'!$A$1615:$AZ$1615,1,OC_Txn)))</f>
        <v/>
      </c>
      <c r="M1615">
        <f>IF(OC_Pay=0,"",IF(INDEX('OneCause_Paste'!$A$1615:$AZ$1615,1,OC_Pay)="","",INDEX('OneCause_Paste'!$A$1615:$AZ$1615,1,OC_Pay)))</f>
        <v/>
      </c>
      <c r="N1615">
        <f>IF(I1615="","",IF(ISNUMBER(I1615),INT(I1615),IFERROR(INT(DATEVALUE(I1615)),IFERROR(INT(VALUE(I1615)),"bad"))))</f>
        <v/>
      </c>
      <c r="O1615">
        <f>IF(J1615="","",IF(ISNUMBER(J1615),ROUND(J1615,2),IFERROR(ROUND(VALUE(SUBSTITUTE(SUBSTITUTE(SUBSTITUTE(J1615,"$",""),",","")," ","")),2),"bad")))</f>
        <v/>
      </c>
      <c r="P1615">
        <f>IF(TRIM(K1615)="","",IFERROR(MATCH(LOWER(TRIM(K1615)),'Students'!$AH$2:$AH$701,0),IFERROR(MATCH(LOWER(TRIM(K1615)),'Students'!$AF$2:$AF$701,0),IFERROR(MATCH(LOWER(TRIM(K1615)),'Students'!$AG$2:$AG$701,0),""))))</f>
        <v/>
      </c>
      <c r="R1615">
        <f>IF(P1615="","",INDEX('Students'!$AD$2:$AD$701,P1615))</f>
        <v/>
      </c>
      <c r="S1615">
        <f>IF(H1615="OK",O1615,0)</f>
        <v/>
      </c>
      <c r="T1615">
        <f>IF(H1615="OK",N1615,"")</f>
        <v/>
      </c>
      <c r="U1615">
        <f>IF(OC_Donor=0,"",IF(INDEX('OneCause_Paste'!$A$1615:$AZ$1615,1,OC_Donor)="","",INDEX('OneCause_Paste'!$A$1615:$AZ$1615,1,OC_Donor)))</f>
        <v/>
      </c>
    </row>
    <row r="1616">
      <c r="A1616" s="62">
        <f>IF(H1616="","",IF(ISNUMBER(N1616),N1616,I1616))</f>
        <v/>
      </c>
      <c r="B1616">
        <f>IF(H1616="","",U1616)</f>
        <v/>
      </c>
      <c r="C1616">
        <f>IF(H1616="","",IF(P1616="",K1616,INDEX('Students'!$A$2:$A$701,P1616)))</f>
        <v/>
      </c>
      <c r="D1616">
        <f>IF(OR(H1616="",P1616=""),"",INDEX('Students'!$B$2:$B$701,P1616))</f>
        <v/>
      </c>
      <c r="E1616">
        <f>IF(OR(H1616="",P1616=""),"",INDEX('Students'!$C$2:$C$701,P1616))</f>
        <v/>
      </c>
      <c r="F1616" s="48">
        <f>IF(H1616="","",IF(ISNUMBER(O1616),O1616,J1616))</f>
        <v/>
      </c>
      <c r="G1616">
        <f>IF(H1616="","","OneCause")</f>
        <v/>
      </c>
      <c r="H1616">
        <f>IF(AND(I1616="",J1616="",K1616=""),"",IF(NOT(ISNUMBER(O1616)),"Bad amount",IF(O1616&lt;0,"Refund (not counted)",IF(O1616=0,"Zero amount",IF(NOT(ISNUMBER(N1616)),"Bad date",IF(P1616="","NAME NOT ON ROSTER",IF(L1616="","OK",IF(MATCH(L1616,$L$2:$L$3001,0)&lt;ROW()-1,"Duplicate (ignored)","OK"))))))))</f>
        <v/>
      </c>
      <c r="I1616">
        <f>IF(OC_Date=0,"",IF(INDEX('OneCause_Paste'!$A$1616:$AZ$1616,1,OC_Date)="","",INDEX('OneCause_Paste'!$A$1616:$AZ$1616,1,OC_Date)))</f>
        <v/>
      </c>
      <c r="J1616">
        <f>IF(OC_Amt=0,"",IF(INDEX('OneCause_Paste'!$A$1616:$AZ$1616,1,OC_Amt)="","",INDEX('OneCause_Paste'!$A$1616:$AZ$1616,1,OC_Amt)))</f>
        <v/>
      </c>
      <c r="K1616">
        <f>IF(OC_Name=0,"",IF(INDEX('OneCause_Paste'!$A$1616:$AZ$1616,1,OC_Name)="","",INDEX('OneCause_Paste'!$A$1616:$AZ$1616,1,OC_Name)))</f>
        <v/>
      </c>
      <c r="L1616">
        <f>IF(OC_Txn=0,"",IF(INDEX('OneCause_Paste'!$A$1616:$AZ$1616,1,OC_Txn)="","",INDEX('OneCause_Paste'!$A$1616:$AZ$1616,1,OC_Txn)))</f>
        <v/>
      </c>
      <c r="M1616">
        <f>IF(OC_Pay=0,"",IF(INDEX('OneCause_Paste'!$A$1616:$AZ$1616,1,OC_Pay)="","",INDEX('OneCause_Paste'!$A$1616:$AZ$1616,1,OC_Pay)))</f>
        <v/>
      </c>
      <c r="N1616">
        <f>IF(I1616="","",IF(ISNUMBER(I1616),INT(I1616),IFERROR(INT(DATEVALUE(I1616)),IFERROR(INT(VALUE(I1616)),"bad"))))</f>
        <v/>
      </c>
      <c r="O1616">
        <f>IF(J1616="","",IF(ISNUMBER(J1616),ROUND(J1616,2),IFERROR(ROUND(VALUE(SUBSTITUTE(SUBSTITUTE(SUBSTITUTE(J1616,"$",""),",","")," ","")),2),"bad")))</f>
        <v/>
      </c>
      <c r="P1616">
        <f>IF(TRIM(K1616)="","",IFERROR(MATCH(LOWER(TRIM(K1616)),'Students'!$AH$2:$AH$701,0),IFERROR(MATCH(LOWER(TRIM(K1616)),'Students'!$AF$2:$AF$701,0),IFERROR(MATCH(LOWER(TRIM(K1616)),'Students'!$AG$2:$AG$701,0),""))))</f>
        <v/>
      </c>
      <c r="R1616">
        <f>IF(P1616="","",INDEX('Students'!$AD$2:$AD$701,P1616))</f>
        <v/>
      </c>
      <c r="S1616">
        <f>IF(H1616="OK",O1616,0)</f>
        <v/>
      </c>
      <c r="T1616">
        <f>IF(H1616="OK",N1616,"")</f>
        <v/>
      </c>
      <c r="U1616">
        <f>IF(OC_Donor=0,"",IF(INDEX('OneCause_Paste'!$A$1616:$AZ$1616,1,OC_Donor)="","",INDEX('OneCause_Paste'!$A$1616:$AZ$1616,1,OC_Donor)))</f>
        <v/>
      </c>
    </row>
    <row r="1617">
      <c r="A1617" s="62">
        <f>IF(H1617="","",IF(ISNUMBER(N1617),N1617,I1617))</f>
        <v/>
      </c>
      <c r="B1617">
        <f>IF(H1617="","",U1617)</f>
        <v/>
      </c>
      <c r="C1617">
        <f>IF(H1617="","",IF(P1617="",K1617,INDEX('Students'!$A$2:$A$701,P1617)))</f>
        <v/>
      </c>
      <c r="D1617">
        <f>IF(OR(H1617="",P1617=""),"",INDEX('Students'!$B$2:$B$701,P1617))</f>
        <v/>
      </c>
      <c r="E1617">
        <f>IF(OR(H1617="",P1617=""),"",INDEX('Students'!$C$2:$C$701,P1617))</f>
        <v/>
      </c>
      <c r="F1617" s="48">
        <f>IF(H1617="","",IF(ISNUMBER(O1617),O1617,J1617))</f>
        <v/>
      </c>
      <c r="G1617">
        <f>IF(H1617="","","OneCause")</f>
        <v/>
      </c>
      <c r="H1617">
        <f>IF(AND(I1617="",J1617="",K1617=""),"",IF(NOT(ISNUMBER(O1617)),"Bad amount",IF(O1617&lt;0,"Refund (not counted)",IF(O1617=0,"Zero amount",IF(NOT(ISNUMBER(N1617)),"Bad date",IF(P1617="","NAME NOT ON ROSTER",IF(L1617="","OK",IF(MATCH(L1617,$L$2:$L$3001,0)&lt;ROW()-1,"Duplicate (ignored)","OK"))))))))</f>
        <v/>
      </c>
      <c r="I1617">
        <f>IF(OC_Date=0,"",IF(INDEX('OneCause_Paste'!$A$1617:$AZ$1617,1,OC_Date)="","",INDEX('OneCause_Paste'!$A$1617:$AZ$1617,1,OC_Date)))</f>
        <v/>
      </c>
      <c r="J1617">
        <f>IF(OC_Amt=0,"",IF(INDEX('OneCause_Paste'!$A$1617:$AZ$1617,1,OC_Amt)="","",INDEX('OneCause_Paste'!$A$1617:$AZ$1617,1,OC_Amt)))</f>
        <v/>
      </c>
      <c r="K1617">
        <f>IF(OC_Name=0,"",IF(INDEX('OneCause_Paste'!$A$1617:$AZ$1617,1,OC_Name)="","",INDEX('OneCause_Paste'!$A$1617:$AZ$1617,1,OC_Name)))</f>
        <v/>
      </c>
      <c r="L1617">
        <f>IF(OC_Txn=0,"",IF(INDEX('OneCause_Paste'!$A$1617:$AZ$1617,1,OC_Txn)="","",INDEX('OneCause_Paste'!$A$1617:$AZ$1617,1,OC_Txn)))</f>
        <v/>
      </c>
      <c r="M1617">
        <f>IF(OC_Pay=0,"",IF(INDEX('OneCause_Paste'!$A$1617:$AZ$1617,1,OC_Pay)="","",INDEX('OneCause_Paste'!$A$1617:$AZ$1617,1,OC_Pay)))</f>
        <v/>
      </c>
      <c r="N1617">
        <f>IF(I1617="","",IF(ISNUMBER(I1617),INT(I1617),IFERROR(INT(DATEVALUE(I1617)),IFERROR(INT(VALUE(I1617)),"bad"))))</f>
        <v/>
      </c>
      <c r="O1617">
        <f>IF(J1617="","",IF(ISNUMBER(J1617),ROUND(J1617,2),IFERROR(ROUND(VALUE(SUBSTITUTE(SUBSTITUTE(SUBSTITUTE(J1617,"$",""),",","")," ","")),2),"bad")))</f>
        <v/>
      </c>
      <c r="P1617">
        <f>IF(TRIM(K1617)="","",IFERROR(MATCH(LOWER(TRIM(K1617)),'Students'!$AH$2:$AH$701,0),IFERROR(MATCH(LOWER(TRIM(K1617)),'Students'!$AF$2:$AF$701,0),IFERROR(MATCH(LOWER(TRIM(K1617)),'Students'!$AG$2:$AG$701,0),""))))</f>
        <v/>
      </c>
      <c r="R1617">
        <f>IF(P1617="","",INDEX('Students'!$AD$2:$AD$701,P1617))</f>
        <v/>
      </c>
      <c r="S1617">
        <f>IF(H1617="OK",O1617,0)</f>
        <v/>
      </c>
      <c r="T1617">
        <f>IF(H1617="OK",N1617,"")</f>
        <v/>
      </c>
      <c r="U1617">
        <f>IF(OC_Donor=0,"",IF(INDEX('OneCause_Paste'!$A$1617:$AZ$1617,1,OC_Donor)="","",INDEX('OneCause_Paste'!$A$1617:$AZ$1617,1,OC_Donor)))</f>
        <v/>
      </c>
    </row>
    <row r="1618">
      <c r="A1618" s="62">
        <f>IF(H1618="","",IF(ISNUMBER(N1618),N1618,I1618))</f>
        <v/>
      </c>
      <c r="B1618">
        <f>IF(H1618="","",U1618)</f>
        <v/>
      </c>
      <c r="C1618">
        <f>IF(H1618="","",IF(P1618="",K1618,INDEX('Students'!$A$2:$A$701,P1618)))</f>
        <v/>
      </c>
      <c r="D1618">
        <f>IF(OR(H1618="",P1618=""),"",INDEX('Students'!$B$2:$B$701,P1618))</f>
        <v/>
      </c>
      <c r="E1618">
        <f>IF(OR(H1618="",P1618=""),"",INDEX('Students'!$C$2:$C$701,P1618))</f>
        <v/>
      </c>
      <c r="F1618" s="48">
        <f>IF(H1618="","",IF(ISNUMBER(O1618),O1618,J1618))</f>
        <v/>
      </c>
      <c r="G1618">
        <f>IF(H1618="","","OneCause")</f>
        <v/>
      </c>
      <c r="H1618">
        <f>IF(AND(I1618="",J1618="",K1618=""),"",IF(NOT(ISNUMBER(O1618)),"Bad amount",IF(O1618&lt;0,"Refund (not counted)",IF(O1618=0,"Zero amount",IF(NOT(ISNUMBER(N1618)),"Bad date",IF(P1618="","NAME NOT ON ROSTER",IF(L1618="","OK",IF(MATCH(L1618,$L$2:$L$3001,0)&lt;ROW()-1,"Duplicate (ignored)","OK"))))))))</f>
        <v/>
      </c>
      <c r="I1618">
        <f>IF(OC_Date=0,"",IF(INDEX('OneCause_Paste'!$A$1618:$AZ$1618,1,OC_Date)="","",INDEX('OneCause_Paste'!$A$1618:$AZ$1618,1,OC_Date)))</f>
        <v/>
      </c>
      <c r="J1618">
        <f>IF(OC_Amt=0,"",IF(INDEX('OneCause_Paste'!$A$1618:$AZ$1618,1,OC_Amt)="","",INDEX('OneCause_Paste'!$A$1618:$AZ$1618,1,OC_Amt)))</f>
        <v/>
      </c>
      <c r="K1618">
        <f>IF(OC_Name=0,"",IF(INDEX('OneCause_Paste'!$A$1618:$AZ$1618,1,OC_Name)="","",INDEX('OneCause_Paste'!$A$1618:$AZ$1618,1,OC_Name)))</f>
        <v/>
      </c>
      <c r="L1618">
        <f>IF(OC_Txn=0,"",IF(INDEX('OneCause_Paste'!$A$1618:$AZ$1618,1,OC_Txn)="","",INDEX('OneCause_Paste'!$A$1618:$AZ$1618,1,OC_Txn)))</f>
        <v/>
      </c>
      <c r="M1618">
        <f>IF(OC_Pay=0,"",IF(INDEX('OneCause_Paste'!$A$1618:$AZ$1618,1,OC_Pay)="","",INDEX('OneCause_Paste'!$A$1618:$AZ$1618,1,OC_Pay)))</f>
        <v/>
      </c>
      <c r="N1618">
        <f>IF(I1618="","",IF(ISNUMBER(I1618),INT(I1618),IFERROR(INT(DATEVALUE(I1618)),IFERROR(INT(VALUE(I1618)),"bad"))))</f>
        <v/>
      </c>
      <c r="O1618">
        <f>IF(J1618="","",IF(ISNUMBER(J1618),ROUND(J1618,2),IFERROR(ROUND(VALUE(SUBSTITUTE(SUBSTITUTE(SUBSTITUTE(J1618,"$",""),",","")," ","")),2),"bad")))</f>
        <v/>
      </c>
      <c r="P1618">
        <f>IF(TRIM(K1618)="","",IFERROR(MATCH(LOWER(TRIM(K1618)),'Students'!$AH$2:$AH$701,0),IFERROR(MATCH(LOWER(TRIM(K1618)),'Students'!$AF$2:$AF$701,0),IFERROR(MATCH(LOWER(TRIM(K1618)),'Students'!$AG$2:$AG$701,0),""))))</f>
        <v/>
      </c>
      <c r="R1618">
        <f>IF(P1618="","",INDEX('Students'!$AD$2:$AD$701,P1618))</f>
        <v/>
      </c>
      <c r="S1618">
        <f>IF(H1618="OK",O1618,0)</f>
        <v/>
      </c>
      <c r="T1618">
        <f>IF(H1618="OK",N1618,"")</f>
        <v/>
      </c>
      <c r="U1618">
        <f>IF(OC_Donor=0,"",IF(INDEX('OneCause_Paste'!$A$1618:$AZ$1618,1,OC_Donor)="","",INDEX('OneCause_Paste'!$A$1618:$AZ$1618,1,OC_Donor)))</f>
        <v/>
      </c>
    </row>
    <row r="1619">
      <c r="A1619" s="62">
        <f>IF(H1619="","",IF(ISNUMBER(N1619),N1619,I1619))</f>
        <v/>
      </c>
      <c r="B1619">
        <f>IF(H1619="","",U1619)</f>
        <v/>
      </c>
      <c r="C1619">
        <f>IF(H1619="","",IF(P1619="",K1619,INDEX('Students'!$A$2:$A$701,P1619)))</f>
        <v/>
      </c>
      <c r="D1619">
        <f>IF(OR(H1619="",P1619=""),"",INDEX('Students'!$B$2:$B$701,P1619))</f>
        <v/>
      </c>
      <c r="E1619">
        <f>IF(OR(H1619="",P1619=""),"",INDEX('Students'!$C$2:$C$701,P1619))</f>
        <v/>
      </c>
      <c r="F1619" s="48">
        <f>IF(H1619="","",IF(ISNUMBER(O1619),O1619,J1619))</f>
        <v/>
      </c>
      <c r="G1619">
        <f>IF(H1619="","","OneCause")</f>
        <v/>
      </c>
      <c r="H1619">
        <f>IF(AND(I1619="",J1619="",K1619=""),"",IF(NOT(ISNUMBER(O1619)),"Bad amount",IF(O1619&lt;0,"Refund (not counted)",IF(O1619=0,"Zero amount",IF(NOT(ISNUMBER(N1619)),"Bad date",IF(P1619="","NAME NOT ON ROSTER",IF(L1619="","OK",IF(MATCH(L1619,$L$2:$L$3001,0)&lt;ROW()-1,"Duplicate (ignored)","OK"))))))))</f>
        <v/>
      </c>
      <c r="I1619">
        <f>IF(OC_Date=0,"",IF(INDEX('OneCause_Paste'!$A$1619:$AZ$1619,1,OC_Date)="","",INDEX('OneCause_Paste'!$A$1619:$AZ$1619,1,OC_Date)))</f>
        <v/>
      </c>
      <c r="J1619">
        <f>IF(OC_Amt=0,"",IF(INDEX('OneCause_Paste'!$A$1619:$AZ$1619,1,OC_Amt)="","",INDEX('OneCause_Paste'!$A$1619:$AZ$1619,1,OC_Amt)))</f>
        <v/>
      </c>
      <c r="K1619">
        <f>IF(OC_Name=0,"",IF(INDEX('OneCause_Paste'!$A$1619:$AZ$1619,1,OC_Name)="","",INDEX('OneCause_Paste'!$A$1619:$AZ$1619,1,OC_Name)))</f>
        <v/>
      </c>
      <c r="L1619">
        <f>IF(OC_Txn=0,"",IF(INDEX('OneCause_Paste'!$A$1619:$AZ$1619,1,OC_Txn)="","",INDEX('OneCause_Paste'!$A$1619:$AZ$1619,1,OC_Txn)))</f>
        <v/>
      </c>
      <c r="M1619">
        <f>IF(OC_Pay=0,"",IF(INDEX('OneCause_Paste'!$A$1619:$AZ$1619,1,OC_Pay)="","",INDEX('OneCause_Paste'!$A$1619:$AZ$1619,1,OC_Pay)))</f>
        <v/>
      </c>
      <c r="N1619">
        <f>IF(I1619="","",IF(ISNUMBER(I1619),INT(I1619),IFERROR(INT(DATEVALUE(I1619)),IFERROR(INT(VALUE(I1619)),"bad"))))</f>
        <v/>
      </c>
      <c r="O1619">
        <f>IF(J1619="","",IF(ISNUMBER(J1619),ROUND(J1619,2),IFERROR(ROUND(VALUE(SUBSTITUTE(SUBSTITUTE(SUBSTITUTE(J1619,"$",""),",","")," ","")),2),"bad")))</f>
        <v/>
      </c>
      <c r="P1619">
        <f>IF(TRIM(K1619)="","",IFERROR(MATCH(LOWER(TRIM(K1619)),'Students'!$AH$2:$AH$701,0),IFERROR(MATCH(LOWER(TRIM(K1619)),'Students'!$AF$2:$AF$701,0),IFERROR(MATCH(LOWER(TRIM(K1619)),'Students'!$AG$2:$AG$701,0),""))))</f>
        <v/>
      </c>
      <c r="R1619">
        <f>IF(P1619="","",INDEX('Students'!$AD$2:$AD$701,P1619))</f>
        <v/>
      </c>
      <c r="S1619">
        <f>IF(H1619="OK",O1619,0)</f>
        <v/>
      </c>
      <c r="T1619">
        <f>IF(H1619="OK",N1619,"")</f>
        <v/>
      </c>
      <c r="U1619">
        <f>IF(OC_Donor=0,"",IF(INDEX('OneCause_Paste'!$A$1619:$AZ$1619,1,OC_Donor)="","",INDEX('OneCause_Paste'!$A$1619:$AZ$1619,1,OC_Donor)))</f>
        <v/>
      </c>
    </row>
    <row r="1620">
      <c r="A1620" s="62">
        <f>IF(H1620="","",IF(ISNUMBER(N1620),N1620,I1620))</f>
        <v/>
      </c>
      <c r="B1620">
        <f>IF(H1620="","",U1620)</f>
        <v/>
      </c>
      <c r="C1620">
        <f>IF(H1620="","",IF(P1620="",K1620,INDEX('Students'!$A$2:$A$701,P1620)))</f>
        <v/>
      </c>
      <c r="D1620">
        <f>IF(OR(H1620="",P1620=""),"",INDEX('Students'!$B$2:$B$701,P1620))</f>
        <v/>
      </c>
      <c r="E1620">
        <f>IF(OR(H1620="",P1620=""),"",INDEX('Students'!$C$2:$C$701,P1620))</f>
        <v/>
      </c>
      <c r="F1620" s="48">
        <f>IF(H1620="","",IF(ISNUMBER(O1620),O1620,J1620))</f>
        <v/>
      </c>
      <c r="G1620">
        <f>IF(H1620="","","OneCause")</f>
        <v/>
      </c>
      <c r="H1620">
        <f>IF(AND(I1620="",J1620="",K1620=""),"",IF(NOT(ISNUMBER(O1620)),"Bad amount",IF(O1620&lt;0,"Refund (not counted)",IF(O1620=0,"Zero amount",IF(NOT(ISNUMBER(N1620)),"Bad date",IF(P1620="","NAME NOT ON ROSTER",IF(L1620="","OK",IF(MATCH(L1620,$L$2:$L$3001,0)&lt;ROW()-1,"Duplicate (ignored)","OK"))))))))</f>
        <v/>
      </c>
      <c r="I1620">
        <f>IF(OC_Date=0,"",IF(INDEX('OneCause_Paste'!$A$1620:$AZ$1620,1,OC_Date)="","",INDEX('OneCause_Paste'!$A$1620:$AZ$1620,1,OC_Date)))</f>
        <v/>
      </c>
      <c r="J1620">
        <f>IF(OC_Amt=0,"",IF(INDEX('OneCause_Paste'!$A$1620:$AZ$1620,1,OC_Amt)="","",INDEX('OneCause_Paste'!$A$1620:$AZ$1620,1,OC_Amt)))</f>
        <v/>
      </c>
      <c r="K1620">
        <f>IF(OC_Name=0,"",IF(INDEX('OneCause_Paste'!$A$1620:$AZ$1620,1,OC_Name)="","",INDEX('OneCause_Paste'!$A$1620:$AZ$1620,1,OC_Name)))</f>
        <v/>
      </c>
      <c r="L1620">
        <f>IF(OC_Txn=0,"",IF(INDEX('OneCause_Paste'!$A$1620:$AZ$1620,1,OC_Txn)="","",INDEX('OneCause_Paste'!$A$1620:$AZ$1620,1,OC_Txn)))</f>
        <v/>
      </c>
      <c r="M1620">
        <f>IF(OC_Pay=0,"",IF(INDEX('OneCause_Paste'!$A$1620:$AZ$1620,1,OC_Pay)="","",INDEX('OneCause_Paste'!$A$1620:$AZ$1620,1,OC_Pay)))</f>
        <v/>
      </c>
      <c r="N1620">
        <f>IF(I1620="","",IF(ISNUMBER(I1620),INT(I1620),IFERROR(INT(DATEVALUE(I1620)),IFERROR(INT(VALUE(I1620)),"bad"))))</f>
        <v/>
      </c>
      <c r="O1620">
        <f>IF(J1620="","",IF(ISNUMBER(J1620),ROUND(J1620,2),IFERROR(ROUND(VALUE(SUBSTITUTE(SUBSTITUTE(SUBSTITUTE(J1620,"$",""),",","")," ","")),2),"bad")))</f>
        <v/>
      </c>
      <c r="P1620">
        <f>IF(TRIM(K1620)="","",IFERROR(MATCH(LOWER(TRIM(K1620)),'Students'!$AH$2:$AH$701,0),IFERROR(MATCH(LOWER(TRIM(K1620)),'Students'!$AF$2:$AF$701,0),IFERROR(MATCH(LOWER(TRIM(K1620)),'Students'!$AG$2:$AG$701,0),""))))</f>
        <v/>
      </c>
      <c r="R1620">
        <f>IF(P1620="","",INDEX('Students'!$AD$2:$AD$701,P1620))</f>
        <v/>
      </c>
      <c r="S1620">
        <f>IF(H1620="OK",O1620,0)</f>
        <v/>
      </c>
      <c r="T1620">
        <f>IF(H1620="OK",N1620,"")</f>
        <v/>
      </c>
      <c r="U1620">
        <f>IF(OC_Donor=0,"",IF(INDEX('OneCause_Paste'!$A$1620:$AZ$1620,1,OC_Donor)="","",INDEX('OneCause_Paste'!$A$1620:$AZ$1620,1,OC_Donor)))</f>
        <v/>
      </c>
    </row>
    <row r="1621">
      <c r="A1621" s="62">
        <f>IF(H1621="","",IF(ISNUMBER(N1621),N1621,I1621))</f>
        <v/>
      </c>
      <c r="B1621">
        <f>IF(H1621="","",U1621)</f>
        <v/>
      </c>
      <c r="C1621">
        <f>IF(H1621="","",IF(P1621="",K1621,INDEX('Students'!$A$2:$A$701,P1621)))</f>
        <v/>
      </c>
      <c r="D1621">
        <f>IF(OR(H1621="",P1621=""),"",INDEX('Students'!$B$2:$B$701,P1621))</f>
        <v/>
      </c>
      <c r="E1621">
        <f>IF(OR(H1621="",P1621=""),"",INDEX('Students'!$C$2:$C$701,P1621))</f>
        <v/>
      </c>
      <c r="F1621" s="48">
        <f>IF(H1621="","",IF(ISNUMBER(O1621),O1621,J1621))</f>
        <v/>
      </c>
      <c r="G1621">
        <f>IF(H1621="","","OneCause")</f>
        <v/>
      </c>
      <c r="H1621">
        <f>IF(AND(I1621="",J1621="",K1621=""),"",IF(NOT(ISNUMBER(O1621)),"Bad amount",IF(O1621&lt;0,"Refund (not counted)",IF(O1621=0,"Zero amount",IF(NOT(ISNUMBER(N1621)),"Bad date",IF(P1621="","NAME NOT ON ROSTER",IF(L1621="","OK",IF(MATCH(L1621,$L$2:$L$3001,0)&lt;ROW()-1,"Duplicate (ignored)","OK"))))))))</f>
        <v/>
      </c>
      <c r="I1621">
        <f>IF(OC_Date=0,"",IF(INDEX('OneCause_Paste'!$A$1621:$AZ$1621,1,OC_Date)="","",INDEX('OneCause_Paste'!$A$1621:$AZ$1621,1,OC_Date)))</f>
        <v/>
      </c>
      <c r="J1621">
        <f>IF(OC_Amt=0,"",IF(INDEX('OneCause_Paste'!$A$1621:$AZ$1621,1,OC_Amt)="","",INDEX('OneCause_Paste'!$A$1621:$AZ$1621,1,OC_Amt)))</f>
        <v/>
      </c>
      <c r="K1621">
        <f>IF(OC_Name=0,"",IF(INDEX('OneCause_Paste'!$A$1621:$AZ$1621,1,OC_Name)="","",INDEX('OneCause_Paste'!$A$1621:$AZ$1621,1,OC_Name)))</f>
        <v/>
      </c>
      <c r="L1621">
        <f>IF(OC_Txn=0,"",IF(INDEX('OneCause_Paste'!$A$1621:$AZ$1621,1,OC_Txn)="","",INDEX('OneCause_Paste'!$A$1621:$AZ$1621,1,OC_Txn)))</f>
        <v/>
      </c>
      <c r="M1621">
        <f>IF(OC_Pay=0,"",IF(INDEX('OneCause_Paste'!$A$1621:$AZ$1621,1,OC_Pay)="","",INDEX('OneCause_Paste'!$A$1621:$AZ$1621,1,OC_Pay)))</f>
        <v/>
      </c>
      <c r="N1621">
        <f>IF(I1621="","",IF(ISNUMBER(I1621),INT(I1621),IFERROR(INT(DATEVALUE(I1621)),IFERROR(INT(VALUE(I1621)),"bad"))))</f>
        <v/>
      </c>
      <c r="O1621">
        <f>IF(J1621="","",IF(ISNUMBER(J1621),ROUND(J1621,2),IFERROR(ROUND(VALUE(SUBSTITUTE(SUBSTITUTE(SUBSTITUTE(J1621,"$",""),",","")," ","")),2),"bad")))</f>
        <v/>
      </c>
      <c r="P1621">
        <f>IF(TRIM(K1621)="","",IFERROR(MATCH(LOWER(TRIM(K1621)),'Students'!$AH$2:$AH$701,0),IFERROR(MATCH(LOWER(TRIM(K1621)),'Students'!$AF$2:$AF$701,0),IFERROR(MATCH(LOWER(TRIM(K1621)),'Students'!$AG$2:$AG$701,0),""))))</f>
        <v/>
      </c>
      <c r="R1621">
        <f>IF(P1621="","",INDEX('Students'!$AD$2:$AD$701,P1621))</f>
        <v/>
      </c>
      <c r="S1621">
        <f>IF(H1621="OK",O1621,0)</f>
        <v/>
      </c>
      <c r="T1621">
        <f>IF(H1621="OK",N1621,"")</f>
        <v/>
      </c>
      <c r="U1621">
        <f>IF(OC_Donor=0,"",IF(INDEX('OneCause_Paste'!$A$1621:$AZ$1621,1,OC_Donor)="","",INDEX('OneCause_Paste'!$A$1621:$AZ$1621,1,OC_Donor)))</f>
        <v/>
      </c>
    </row>
    <row r="1622">
      <c r="A1622" s="62">
        <f>IF(H1622="","",IF(ISNUMBER(N1622),N1622,I1622))</f>
        <v/>
      </c>
      <c r="B1622">
        <f>IF(H1622="","",U1622)</f>
        <v/>
      </c>
      <c r="C1622">
        <f>IF(H1622="","",IF(P1622="",K1622,INDEX('Students'!$A$2:$A$701,P1622)))</f>
        <v/>
      </c>
      <c r="D1622">
        <f>IF(OR(H1622="",P1622=""),"",INDEX('Students'!$B$2:$B$701,P1622))</f>
        <v/>
      </c>
      <c r="E1622">
        <f>IF(OR(H1622="",P1622=""),"",INDEX('Students'!$C$2:$C$701,P1622))</f>
        <v/>
      </c>
      <c r="F1622" s="48">
        <f>IF(H1622="","",IF(ISNUMBER(O1622),O1622,J1622))</f>
        <v/>
      </c>
      <c r="G1622">
        <f>IF(H1622="","","OneCause")</f>
        <v/>
      </c>
      <c r="H1622">
        <f>IF(AND(I1622="",J1622="",K1622=""),"",IF(NOT(ISNUMBER(O1622)),"Bad amount",IF(O1622&lt;0,"Refund (not counted)",IF(O1622=0,"Zero amount",IF(NOT(ISNUMBER(N1622)),"Bad date",IF(P1622="","NAME NOT ON ROSTER",IF(L1622="","OK",IF(MATCH(L1622,$L$2:$L$3001,0)&lt;ROW()-1,"Duplicate (ignored)","OK"))))))))</f>
        <v/>
      </c>
      <c r="I1622">
        <f>IF(OC_Date=0,"",IF(INDEX('OneCause_Paste'!$A$1622:$AZ$1622,1,OC_Date)="","",INDEX('OneCause_Paste'!$A$1622:$AZ$1622,1,OC_Date)))</f>
        <v/>
      </c>
      <c r="J1622">
        <f>IF(OC_Amt=0,"",IF(INDEX('OneCause_Paste'!$A$1622:$AZ$1622,1,OC_Amt)="","",INDEX('OneCause_Paste'!$A$1622:$AZ$1622,1,OC_Amt)))</f>
        <v/>
      </c>
      <c r="K1622">
        <f>IF(OC_Name=0,"",IF(INDEX('OneCause_Paste'!$A$1622:$AZ$1622,1,OC_Name)="","",INDEX('OneCause_Paste'!$A$1622:$AZ$1622,1,OC_Name)))</f>
        <v/>
      </c>
      <c r="L1622">
        <f>IF(OC_Txn=0,"",IF(INDEX('OneCause_Paste'!$A$1622:$AZ$1622,1,OC_Txn)="","",INDEX('OneCause_Paste'!$A$1622:$AZ$1622,1,OC_Txn)))</f>
        <v/>
      </c>
      <c r="M1622">
        <f>IF(OC_Pay=0,"",IF(INDEX('OneCause_Paste'!$A$1622:$AZ$1622,1,OC_Pay)="","",INDEX('OneCause_Paste'!$A$1622:$AZ$1622,1,OC_Pay)))</f>
        <v/>
      </c>
      <c r="N1622">
        <f>IF(I1622="","",IF(ISNUMBER(I1622),INT(I1622),IFERROR(INT(DATEVALUE(I1622)),IFERROR(INT(VALUE(I1622)),"bad"))))</f>
        <v/>
      </c>
      <c r="O1622">
        <f>IF(J1622="","",IF(ISNUMBER(J1622),ROUND(J1622,2),IFERROR(ROUND(VALUE(SUBSTITUTE(SUBSTITUTE(SUBSTITUTE(J1622,"$",""),",","")," ","")),2),"bad")))</f>
        <v/>
      </c>
      <c r="P1622">
        <f>IF(TRIM(K1622)="","",IFERROR(MATCH(LOWER(TRIM(K1622)),'Students'!$AH$2:$AH$701,0),IFERROR(MATCH(LOWER(TRIM(K1622)),'Students'!$AF$2:$AF$701,0),IFERROR(MATCH(LOWER(TRIM(K1622)),'Students'!$AG$2:$AG$701,0),""))))</f>
        <v/>
      </c>
      <c r="R1622">
        <f>IF(P1622="","",INDEX('Students'!$AD$2:$AD$701,P1622))</f>
        <v/>
      </c>
      <c r="S1622">
        <f>IF(H1622="OK",O1622,0)</f>
        <v/>
      </c>
      <c r="T1622">
        <f>IF(H1622="OK",N1622,"")</f>
        <v/>
      </c>
      <c r="U1622">
        <f>IF(OC_Donor=0,"",IF(INDEX('OneCause_Paste'!$A$1622:$AZ$1622,1,OC_Donor)="","",INDEX('OneCause_Paste'!$A$1622:$AZ$1622,1,OC_Donor)))</f>
        <v/>
      </c>
    </row>
    <row r="1623">
      <c r="A1623" s="62">
        <f>IF(H1623="","",IF(ISNUMBER(N1623),N1623,I1623))</f>
        <v/>
      </c>
      <c r="B1623">
        <f>IF(H1623="","",U1623)</f>
        <v/>
      </c>
      <c r="C1623">
        <f>IF(H1623="","",IF(P1623="",K1623,INDEX('Students'!$A$2:$A$701,P1623)))</f>
        <v/>
      </c>
      <c r="D1623">
        <f>IF(OR(H1623="",P1623=""),"",INDEX('Students'!$B$2:$B$701,P1623))</f>
        <v/>
      </c>
      <c r="E1623">
        <f>IF(OR(H1623="",P1623=""),"",INDEX('Students'!$C$2:$C$701,P1623))</f>
        <v/>
      </c>
      <c r="F1623" s="48">
        <f>IF(H1623="","",IF(ISNUMBER(O1623),O1623,J1623))</f>
        <v/>
      </c>
      <c r="G1623">
        <f>IF(H1623="","","OneCause")</f>
        <v/>
      </c>
      <c r="H1623">
        <f>IF(AND(I1623="",J1623="",K1623=""),"",IF(NOT(ISNUMBER(O1623)),"Bad amount",IF(O1623&lt;0,"Refund (not counted)",IF(O1623=0,"Zero amount",IF(NOT(ISNUMBER(N1623)),"Bad date",IF(P1623="","NAME NOT ON ROSTER",IF(L1623="","OK",IF(MATCH(L1623,$L$2:$L$3001,0)&lt;ROW()-1,"Duplicate (ignored)","OK"))))))))</f>
        <v/>
      </c>
      <c r="I1623">
        <f>IF(OC_Date=0,"",IF(INDEX('OneCause_Paste'!$A$1623:$AZ$1623,1,OC_Date)="","",INDEX('OneCause_Paste'!$A$1623:$AZ$1623,1,OC_Date)))</f>
        <v/>
      </c>
      <c r="J1623">
        <f>IF(OC_Amt=0,"",IF(INDEX('OneCause_Paste'!$A$1623:$AZ$1623,1,OC_Amt)="","",INDEX('OneCause_Paste'!$A$1623:$AZ$1623,1,OC_Amt)))</f>
        <v/>
      </c>
      <c r="K1623">
        <f>IF(OC_Name=0,"",IF(INDEX('OneCause_Paste'!$A$1623:$AZ$1623,1,OC_Name)="","",INDEX('OneCause_Paste'!$A$1623:$AZ$1623,1,OC_Name)))</f>
        <v/>
      </c>
      <c r="L1623">
        <f>IF(OC_Txn=0,"",IF(INDEX('OneCause_Paste'!$A$1623:$AZ$1623,1,OC_Txn)="","",INDEX('OneCause_Paste'!$A$1623:$AZ$1623,1,OC_Txn)))</f>
        <v/>
      </c>
      <c r="M1623">
        <f>IF(OC_Pay=0,"",IF(INDEX('OneCause_Paste'!$A$1623:$AZ$1623,1,OC_Pay)="","",INDEX('OneCause_Paste'!$A$1623:$AZ$1623,1,OC_Pay)))</f>
        <v/>
      </c>
      <c r="N1623">
        <f>IF(I1623="","",IF(ISNUMBER(I1623),INT(I1623),IFERROR(INT(DATEVALUE(I1623)),IFERROR(INT(VALUE(I1623)),"bad"))))</f>
        <v/>
      </c>
      <c r="O1623">
        <f>IF(J1623="","",IF(ISNUMBER(J1623),ROUND(J1623,2),IFERROR(ROUND(VALUE(SUBSTITUTE(SUBSTITUTE(SUBSTITUTE(J1623,"$",""),",","")," ","")),2),"bad")))</f>
        <v/>
      </c>
      <c r="P1623">
        <f>IF(TRIM(K1623)="","",IFERROR(MATCH(LOWER(TRIM(K1623)),'Students'!$AH$2:$AH$701,0),IFERROR(MATCH(LOWER(TRIM(K1623)),'Students'!$AF$2:$AF$701,0),IFERROR(MATCH(LOWER(TRIM(K1623)),'Students'!$AG$2:$AG$701,0),""))))</f>
        <v/>
      </c>
      <c r="R1623">
        <f>IF(P1623="","",INDEX('Students'!$AD$2:$AD$701,P1623))</f>
        <v/>
      </c>
      <c r="S1623">
        <f>IF(H1623="OK",O1623,0)</f>
        <v/>
      </c>
      <c r="T1623">
        <f>IF(H1623="OK",N1623,"")</f>
        <v/>
      </c>
      <c r="U1623">
        <f>IF(OC_Donor=0,"",IF(INDEX('OneCause_Paste'!$A$1623:$AZ$1623,1,OC_Donor)="","",INDEX('OneCause_Paste'!$A$1623:$AZ$1623,1,OC_Donor)))</f>
        <v/>
      </c>
    </row>
    <row r="1624">
      <c r="A1624" s="62">
        <f>IF(H1624="","",IF(ISNUMBER(N1624),N1624,I1624))</f>
        <v/>
      </c>
      <c r="B1624">
        <f>IF(H1624="","",U1624)</f>
        <v/>
      </c>
      <c r="C1624">
        <f>IF(H1624="","",IF(P1624="",K1624,INDEX('Students'!$A$2:$A$701,P1624)))</f>
        <v/>
      </c>
      <c r="D1624">
        <f>IF(OR(H1624="",P1624=""),"",INDEX('Students'!$B$2:$B$701,P1624))</f>
        <v/>
      </c>
      <c r="E1624">
        <f>IF(OR(H1624="",P1624=""),"",INDEX('Students'!$C$2:$C$701,P1624))</f>
        <v/>
      </c>
      <c r="F1624" s="48">
        <f>IF(H1624="","",IF(ISNUMBER(O1624),O1624,J1624))</f>
        <v/>
      </c>
      <c r="G1624">
        <f>IF(H1624="","","OneCause")</f>
        <v/>
      </c>
      <c r="H1624">
        <f>IF(AND(I1624="",J1624="",K1624=""),"",IF(NOT(ISNUMBER(O1624)),"Bad amount",IF(O1624&lt;0,"Refund (not counted)",IF(O1624=0,"Zero amount",IF(NOT(ISNUMBER(N1624)),"Bad date",IF(P1624="","NAME NOT ON ROSTER",IF(L1624="","OK",IF(MATCH(L1624,$L$2:$L$3001,0)&lt;ROW()-1,"Duplicate (ignored)","OK"))))))))</f>
        <v/>
      </c>
      <c r="I1624">
        <f>IF(OC_Date=0,"",IF(INDEX('OneCause_Paste'!$A$1624:$AZ$1624,1,OC_Date)="","",INDEX('OneCause_Paste'!$A$1624:$AZ$1624,1,OC_Date)))</f>
        <v/>
      </c>
      <c r="J1624">
        <f>IF(OC_Amt=0,"",IF(INDEX('OneCause_Paste'!$A$1624:$AZ$1624,1,OC_Amt)="","",INDEX('OneCause_Paste'!$A$1624:$AZ$1624,1,OC_Amt)))</f>
        <v/>
      </c>
      <c r="K1624">
        <f>IF(OC_Name=0,"",IF(INDEX('OneCause_Paste'!$A$1624:$AZ$1624,1,OC_Name)="","",INDEX('OneCause_Paste'!$A$1624:$AZ$1624,1,OC_Name)))</f>
        <v/>
      </c>
      <c r="L1624">
        <f>IF(OC_Txn=0,"",IF(INDEX('OneCause_Paste'!$A$1624:$AZ$1624,1,OC_Txn)="","",INDEX('OneCause_Paste'!$A$1624:$AZ$1624,1,OC_Txn)))</f>
        <v/>
      </c>
      <c r="M1624">
        <f>IF(OC_Pay=0,"",IF(INDEX('OneCause_Paste'!$A$1624:$AZ$1624,1,OC_Pay)="","",INDEX('OneCause_Paste'!$A$1624:$AZ$1624,1,OC_Pay)))</f>
        <v/>
      </c>
      <c r="N1624">
        <f>IF(I1624="","",IF(ISNUMBER(I1624),INT(I1624),IFERROR(INT(DATEVALUE(I1624)),IFERROR(INT(VALUE(I1624)),"bad"))))</f>
        <v/>
      </c>
      <c r="O1624">
        <f>IF(J1624="","",IF(ISNUMBER(J1624),ROUND(J1624,2),IFERROR(ROUND(VALUE(SUBSTITUTE(SUBSTITUTE(SUBSTITUTE(J1624,"$",""),",","")," ","")),2),"bad")))</f>
        <v/>
      </c>
      <c r="P1624">
        <f>IF(TRIM(K1624)="","",IFERROR(MATCH(LOWER(TRIM(K1624)),'Students'!$AH$2:$AH$701,0),IFERROR(MATCH(LOWER(TRIM(K1624)),'Students'!$AF$2:$AF$701,0),IFERROR(MATCH(LOWER(TRIM(K1624)),'Students'!$AG$2:$AG$701,0),""))))</f>
        <v/>
      </c>
      <c r="R1624">
        <f>IF(P1624="","",INDEX('Students'!$AD$2:$AD$701,P1624))</f>
        <v/>
      </c>
      <c r="S1624">
        <f>IF(H1624="OK",O1624,0)</f>
        <v/>
      </c>
      <c r="T1624">
        <f>IF(H1624="OK",N1624,"")</f>
        <v/>
      </c>
      <c r="U1624">
        <f>IF(OC_Donor=0,"",IF(INDEX('OneCause_Paste'!$A$1624:$AZ$1624,1,OC_Donor)="","",INDEX('OneCause_Paste'!$A$1624:$AZ$1624,1,OC_Donor)))</f>
        <v/>
      </c>
    </row>
    <row r="1625">
      <c r="A1625" s="62">
        <f>IF(H1625="","",IF(ISNUMBER(N1625),N1625,I1625))</f>
        <v/>
      </c>
      <c r="B1625">
        <f>IF(H1625="","",U1625)</f>
        <v/>
      </c>
      <c r="C1625">
        <f>IF(H1625="","",IF(P1625="",K1625,INDEX('Students'!$A$2:$A$701,P1625)))</f>
        <v/>
      </c>
      <c r="D1625">
        <f>IF(OR(H1625="",P1625=""),"",INDEX('Students'!$B$2:$B$701,P1625))</f>
        <v/>
      </c>
      <c r="E1625">
        <f>IF(OR(H1625="",P1625=""),"",INDEX('Students'!$C$2:$C$701,P1625))</f>
        <v/>
      </c>
      <c r="F1625" s="48">
        <f>IF(H1625="","",IF(ISNUMBER(O1625),O1625,J1625))</f>
        <v/>
      </c>
      <c r="G1625">
        <f>IF(H1625="","","OneCause")</f>
        <v/>
      </c>
      <c r="H1625">
        <f>IF(AND(I1625="",J1625="",K1625=""),"",IF(NOT(ISNUMBER(O1625)),"Bad amount",IF(O1625&lt;0,"Refund (not counted)",IF(O1625=0,"Zero amount",IF(NOT(ISNUMBER(N1625)),"Bad date",IF(P1625="","NAME NOT ON ROSTER",IF(L1625="","OK",IF(MATCH(L1625,$L$2:$L$3001,0)&lt;ROW()-1,"Duplicate (ignored)","OK"))))))))</f>
        <v/>
      </c>
      <c r="I1625">
        <f>IF(OC_Date=0,"",IF(INDEX('OneCause_Paste'!$A$1625:$AZ$1625,1,OC_Date)="","",INDEX('OneCause_Paste'!$A$1625:$AZ$1625,1,OC_Date)))</f>
        <v/>
      </c>
      <c r="J1625">
        <f>IF(OC_Amt=0,"",IF(INDEX('OneCause_Paste'!$A$1625:$AZ$1625,1,OC_Amt)="","",INDEX('OneCause_Paste'!$A$1625:$AZ$1625,1,OC_Amt)))</f>
        <v/>
      </c>
      <c r="K1625">
        <f>IF(OC_Name=0,"",IF(INDEX('OneCause_Paste'!$A$1625:$AZ$1625,1,OC_Name)="","",INDEX('OneCause_Paste'!$A$1625:$AZ$1625,1,OC_Name)))</f>
        <v/>
      </c>
      <c r="L1625">
        <f>IF(OC_Txn=0,"",IF(INDEX('OneCause_Paste'!$A$1625:$AZ$1625,1,OC_Txn)="","",INDEX('OneCause_Paste'!$A$1625:$AZ$1625,1,OC_Txn)))</f>
        <v/>
      </c>
      <c r="M1625">
        <f>IF(OC_Pay=0,"",IF(INDEX('OneCause_Paste'!$A$1625:$AZ$1625,1,OC_Pay)="","",INDEX('OneCause_Paste'!$A$1625:$AZ$1625,1,OC_Pay)))</f>
        <v/>
      </c>
      <c r="N1625">
        <f>IF(I1625="","",IF(ISNUMBER(I1625),INT(I1625),IFERROR(INT(DATEVALUE(I1625)),IFERROR(INT(VALUE(I1625)),"bad"))))</f>
        <v/>
      </c>
      <c r="O1625">
        <f>IF(J1625="","",IF(ISNUMBER(J1625),ROUND(J1625,2),IFERROR(ROUND(VALUE(SUBSTITUTE(SUBSTITUTE(SUBSTITUTE(J1625,"$",""),",","")," ","")),2),"bad")))</f>
        <v/>
      </c>
      <c r="P1625">
        <f>IF(TRIM(K1625)="","",IFERROR(MATCH(LOWER(TRIM(K1625)),'Students'!$AH$2:$AH$701,0),IFERROR(MATCH(LOWER(TRIM(K1625)),'Students'!$AF$2:$AF$701,0),IFERROR(MATCH(LOWER(TRIM(K1625)),'Students'!$AG$2:$AG$701,0),""))))</f>
        <v/>
      </c>
      <c r="R1625">
        <f>IF(P1625="","",INDEX('Students'!$AD$2:$AD$701,P1625))</f>
        <v/>
      </c>
      <c r="S1625">
        <f>IF(H1625="OK",O1625,0)</f>
        <v/>
      </c>
      <c r="T1625">
        <f>IF(H1625="OK",N1625,"")</f>
        <v/>
      </c>
      <c r="U1625">
        <f>IF(OC_Donor=0,"",IF(INDEX('OneCause_Paste'!$A$1625:$AZ$1625,1,OC_Donor)="","",INDEX('OneCause_Paste'!$A$1625:$AZ$1625,1,OC_Donor)))</f>
        <v/>
      </c>
    </row>
    <row r="1626">
      <c r="A1626" s="62">
        <f>IF(H1626="","",IF(ISNUMBER(N1626),N1626,I1626))</f>
        <v/>
      </c>
      <c r="B1626">
        <f>IF(H1626="","",U1626)</f>
        <v/>
      </c>
      <c r="C1626">
        <f>IF(H1626="","",IF(P1626="",K1626,INDEX('Students'!$A$2:$A$701,P1626)))</f>
        <v/>
      </c>
      <c r="D1626">
        <f>IF(OR(H1626="",P1626=""),"",INDEX('Students'!$B$2:$B$701,P1626))</f>
        <v/>
      </c>
      <c r="E1626">
        <f>IF(OR(H1626="",P1626=""),"",INDEX('Students'!$C$2:$C$701,P1626))</f>
        <v/>
      </c>
      <c r="F1626" s="48">
        <f>IF(H1626="","",IF(ISNUMBER(O1626),O1626,J1626))</f>
        <v/>
      </c>
      <c r="G1626">
        <f>IF(H1626="","","OneCause")</f>
        <v/>
      </c>
      <c r="H1626">
        <f>IF(AND(I1626="",J1626="",K1626=""),"",IF(NOT(ISNUMBER(O1626)),"Bad amount",IF(O1626&lt;0,"Refund (not counted)",IF(O1626=0,"Zero amount",IF(NOT(ISNUMBER(N1626)),"Bad date",IF(P1626="","NAME NOT ON ROSTER",IF(L1626="","OK",IF(MATCH(L1626,$L$2:$L$3001,0)&lt;ROW()-1,"Duplicate (ignored)","OK"))))))))</f>
        <v/>
      </c>
      <c r="I1626">
        <f>IF(OC_Date=0,"",IF(INDEX('OneCause_Paste'!$A$1626:$AZ$1626,1,OC_Date)="","",INDEX('OneCause_Paste'!$A$1626:$AZ$1626,1,OC_Date)))</f>
        <v/>
      </c>
      <c r="J1626">
        <f>IF(OC_Amt=0,"",IF(INDEX('OneCause_Paste'!$A$1626:$AZ$1626,1,OC_Amt)="","",INDEX('OneCause_Paste'!$A$1626:$AZ$1626,1,OC_Amt)))</f>
        <v/>
      </c>
      <c r="K1626">
        <f>IF(OC_Name=0,"",IF(INDEX('OneCause_Paste'!$A$1626:$AZ$1626,1,OC_Name)="","",INDEX('OneCause_Paste'!$A$1626:$AZ$1626,1,OC_Name)))</f>
        <v/>
      </c>
      <c r="L1626">
        <f>IF(OC_Txn=0,"",IF(INDEX('OneCause_Paste'!$A$1626:$AZ$1626,1,OC_Txn)="","",INDEX('OneCause_Paste'!$A$1626:$AZ$1626,1,OC_Txn)))</f>
        <v/>
      </c>
      <c r="M1626">
        <f>IF(OC_Pay=0,"",IF(INDEX('OneCause_Paste'!$A$1626:$AZ$1626,1,OC_Pay)="","",INDEX('OneCause_Paste'!$A$1626:$AZ$1626,1,OC_Pay)))</f>
        <v/>
      </c>
      <c r="N1626">
        <f>IF(I1626="","",IF(ISNUMBER(I1626),INT(I1626),IFERROR(INT(DATEVALUE(I1626)),IFERROR(INT(VALUE(I1626)),"bad"))))</f>
        <v/>
      </c>
      <c r="O1626">
        <f>IF(J1626="","",IF(ISNUMBER(J1626),ROUND(J1626,2),IFERROR(ROUND(VALUE(SUBSTITUTE(SUBSTITUTE(SUBSTITUTE(J1626,"$",""),",","")," ","")),2),"bad")))</f>
        <v/>
      </c>
      <c r="P1626">
        <f>IF(TRIM(K1626)="","",IFERROR(MATCH(LOWER(TRIM(K1626)),'Students'!$AH$2:$AH$701,0),IFERROR(MATCH(LOWER(TRIM(K1626)),'Students'!$AF$2:$AF$701,0),IFERROR(MATCH(LOWER(TRIM(K1626)),'Students'!$AG$2:$AG$701,0),""))))</f>
        <v/>
      </c>
      <c r="R1626">
        <f>IF(P1626="","",INDEX('Students'!$AD$2:$AD$701,P1626))</f>
        <v/>
      </c>
      <c r="S1626">
        <f>IF(H1626="OK",O1626,0)</f>
        <v/>
      </c>
      <c r="T1626">
        <f>IF(H1626="OK",N1626,"")</f>
        <v/>
      </c>
      <c r="U1626">
        <f>IF(OC_Donor=0,"",IF(INDEX('OneCause_Paste'!$A$1626:$AZ$1626,1,OC_Donor)="","",INDEX('OneCause_Paste'!$A$1626:$AZ$1626,1,OC_Donor)))</f>
        <v/>
      </c>
    </row>
    <row r="1627">
      <c r="A1627" s="62">
        <f>IF(H1627="","",IF(ISNUMBER(N1627),N1627,I1627))</f>
        <v/>
      </c>
      <c r="B1627">
        <f>IF(H1627="","",U1627)</f>
        <v/>
      </c>
      <c r="C1627">
        <f>IF(H1627="","",IF(P1627="",K1627,INDEX('Students'!$A$2:$A$701,P1627)))</f>
        <v/>
      </c>
      <c r="D1627">
        <f>IF(OR(H1627="",P1627=""),"",INDEX('Students'!$B$2:$B$701,P1627))</f>
        <v/>
      </c>
      <c r="E1627">
        <f>IF(OR(H1627="",P1627=""),"",INDEX('Students'!$C$2:$C$701,P1627))</f>
        <v/>
      </c>
      <c r="F1627" s="48">
        <f>IF(H1627="","",IF(ISNUMBER(O1627),O1627,J1627))</f>
        <v/>
      </c>
      <c r="G1627">
        <f>IF(H1627="","","OneCause")</f>
        <v/>
      </c>
      <c r="H1627">
        <f>IF(AND(I1627="",J1627="",K1627=""),"",IF(NOT(ISNUMBER(O1627)),"Bad amount",IF(O1627&lt;0,"Refund (not counted)",IF(O1627=0,"Zero amount",IF(NOT(ISNUMBER(N1627)),"Bad date",IF(P1627="","NAME NOT ON ROSTER",IF(L1627="","OK",IF(MATCH(L1627,$L$2:$L$3001,0)&lt;ROW()-1,"Duplicate (ignored)","OK"))))))))</f>
        <v/>
      </c>
      <c r="I1627">
        <f>IF(OC_Date=0,"",IF(INDEX('OneCause_Paste'!$A$1627:$AZ$1627,1,OC_Date)="","",INDEX('OneCause_Paste'!$A$1627:$AZ$1627,1,OC_Date)))</f>
        <v/>
      </c>
      <c r="J1627">
        <f>IF(OC_Amt=0,"",IF(INDEX('OneCause_Paste'!$A$1627:$AZ$1627,1,OC_Amt)="","",INDEX('OneCause_Paste'!$A$1627:$AZ$1627,1,OC_Amt)))</f>
        <v/>
      </c>
      <c r="K1627">
        <f>IF(OC_Name=0,"",IF(INDEX('OneCause_Paste'!$A$1627:$AZ$1627,1,OC_Name)="","",INDEX('OneCause_Paste'!$A$1627:$AZ$1627,1,OC_Name)))</f>
        <v/>
      </c>
      <c r="L1627">
        <f>IF(OC_Txn=0,"",IF(INDEX('OneCause_Paste'!$A$1627:$AZ$1627,1,OC_Txn)="","",INDEX('OneCause_Paste'!$A$1627:$AZ$1627,1,OC_Txn)))</f>
        <v/>
      </c>
      <c r="M1627">
        <f>IF(OC_Pay=0,"",IF(INDEX('OneCause_Paste'!$A$1627:$AZ$1627,1,OC_Pay)="","",INDEX('OneCause_Paste'!$A$1627:$AZ$1627,1,OC_Pay)))</f>
        <v/>
      </c>
      <c r="N1627">
        <f>IF(I1627="","",IF(ISNUMBER(I1627),INT(I1627),IFERROR(INT(DATEVALUE(I1627)),IFERROR(INT(VALUE(I1627)),"bad"))))</f>
        <v/>
      </c>
      <c r="O1627">
        <f>IF(J1627="","",IF(ISNUMBER(J1627),ROUND(J1627,2),IFERROR(ROUND(VALUE(SUBSTITUTE(SUBSTITUTE(SUBSTITUTE(J1627,"$",""),",","")," ","")),2),"bad")))</f>
        <v/>
      </c>
      <c r="P1627">
        <f>IF(TRIM(K1627)="","",IFERROR(MATCH(LOWER(TRIM(K1627)),'Students'!$AH$2:$AH$701,0),IFERROR(MATCH(LOWER(TRIM(K1627)),'Students'!$AF$2:$AF$701,0),IFERROR(MATCH(LOWER(TRIM(K1627)),'Students'!$AG$2:$AG$701,0),""))))</f>
        <v/>
      </c>
      <c r="R1627">
        <f>IF(P1627="","",INDEX('Students'!$AD$2:$AD$701,P1627))</f>
        <v/>
      </c>
      <c r="S1627">
        <f>IF(H1627="OK",O1627,0)</f>
        <v/>
      </c>
      <c r="T1627">
        <f>IF(H1627="OK",N1627,"")</f>
        <v/>
      </c>
      <c r="U1627">
        <f>IF(OC_Donor=0,"",IF(INDEX('OneCause_Paste'!$A$1627:$AZ$1627,1,OC_Donor)="","",INDEX('OneCause_Paste'!$A$1627:$AZ$1627,1,OC_Donor)))</f>
        <v/>
      </c>
    </row>
    <row r="1628">
      <c r="A1628" s="62">
        <f>IF(H1628="","",IF(ISNUMBER(N1628),N1628,I1628))</f>
        <v/>
      </c>
      <c r="B1628">
        <f>IF(H1628="","",U1628)</f>
        <v/>
      </c>
      <c r="C1628">
        <f>IF(H1628="","",IF(P1628="",K1628,INDEX('Students'!$A$2:$A$701,P1628)))</f>
        <v/>
      </c>
      <c r="D1628">
        <f>IF(OR(H1628="",P1628=""),"",INDEX('Students'!$B$2:$B$701,P1628))</f>
        <v/>
      </c>
      <c r="E1628">
        <f>IF(OR(H1628="",P1628=""),"",INDEX('Students'!$C$2:$C$701,P1628))</f>
        <v/>
      </c>
      <c r="F1628" s="48">
        <f>IF(H1628="","",IF(ISNUMBER(O1628),O1628,J1628))</f>
        <v/>
      </c>
      <c r="G1628">
        <f>IF(H1628="","","OneCause")</f>
        <v/>
      </c>
      <c r="H1628">
        <f>IF(AND(I1628="",J1628="",K1628=""),"",IF(NOT(ISNUMBER(O1628)),"Bad amount",IF(O1628&lt;0,"Refund (not counted)",IF(O1628=0,"Zero amount",IF(NOT(ISNUMBER(N1628)),"Bad date",IF(P1628="","NAME NOT ON ROSTER",IF(L1628="","OK",IF(MATCH(L1628,$L$2:$L$3001,0)&lt;ROW()-1,"Duplicate (ignored)","OK"))))))))</f>
        <v/>
      </c>
      <c r="I1628">
        <f>IF(OC_Date=0,"",IF(INDEX('OneCause_Paste'!$A$1628:$AZ$1628,1,OC_Date)="","",INDEX('OneCause_Paste'!$A$1628:$AZ$1628,1,OC_Date)))</f>
        <v/>
      </c>
      <c r="J1628">
        <f>IF(OC_Amt=0,"",IF(INDEX('OneCause_Paste'!$A$1628:$AZ$1628,1,OC_Amt)="","",INDEX('OneCause_Paste'!$A$1628:$AZ$1628,1,OC_Amt)))</f>
        <v/>
      </c>
      <c r="K1628">
        <f>IF(OC_Name=0,"",IF(INDEX('OneCause_Paste'!$A$1628:$AZ$1628,1,OC_Name)="","",INDEX('OneCause_Paste'!$A$1628:$AZ$1628,1,OC_Name)))</f>
        <v/>
      </c>
      <c r="L1628">
        <f>IF(OC_Txn=0,"",IF(INDEX('OneCause_Paste'!$A$1628:$AZ$1628,1,OC_Txn)="","",INDEX('OneCause_Paste'!$A$1628:$AZ$1628,1,OC_Txn)))</f>
        <v/>
      </c>
      <c r="M1628">
        <f>IF(OC_Pay=0,"",IF(INDEX('OneCause_Paste'!$A$1628:$AZ$1628,1,OC_Pay)="","",INDEX('OneCause_Paste'!$A$1628:$AZ$1628,1,OC_Pay)))</f>
        <v/>
      </c>
      <c r="N1628">
        <f>IF(I1628="","",IF(ISNUMBER(I1628),INT(I1628),IFERROR(INT(DATEVALUE(I1628)),IFERROR(INT(VALUE(I1628)),"bad"))))</f>
        <v/>
      </c>
      <c r="O1628">
        <f>IF(J1628="","",IF(ISNUMBER(J1628),ROUND(J1628,2),IFERROR(ROUND(VALUE(SUBSTITUTE(SUBSTITUTE(SUBSTITUTE(J1628,"$",""),",","")," ","")),2),"bad")))</f>
        <v/>
      </c>
      <c r="P1628">
        <f>IF(TRIM(K1628)="","",IFERROR(MATCH(LOWER(TRIM(K1628)),'Students'!$AH$2:$AH$701,0),IFERROR(MATCH(LOWER(TRIM(K1628)),'Students'!$AF$2:$AF$701,0),IFERROR(MATCH(LOWER(TRIM(K1628)),'Students'!$AG$2:$AG$701,0),""))))</f>
        <v/>
      </c>
      <c r="R1628">
        <f>IF(P1628="","",INDEX('Students'!$AD$2:$AD$701,P1628))</f>
        <v/>
      </c>
      <c r="S1628">
        <f>IF(H1628="OK",O1628,0)</f>
        <v/>
      </c>
      <c r="T1628">
        <f>IF(H1628="OK",N1628,"")</f>
        <v/>
      </c>
      <c r="U1628">
        <f>IF(OC_Donor=0,"",IF(INDEX('OneCause_Paste'!$A$1628:$AZ$1628,1,OC_Donor)="","",INDEX('OneCause_Paste'!$A$1628:$AZ$1628,1,OC_Donor)))</f>
        <v/>
      </c>
    </row>
    <row r="1629">
      <c r="A1629" s="62">
        <f>IF(H1629="","",IF(ISNUMBER(N1629),N1629,I1629))</f>
        <v/>
      </c>
      <c r="B1629">
        <f>IF(H1629="","",U1629)</f>
        <v/>
      </c>
      <c r="C1629">
        <f>IF(H1629="","",IF(P1629="",K1629,INDEX('Students'!$A$2:$A$701,P1629)))</f>
        <v/>
      </c>
      <c r="D1629">
        <f>IF(OR(H1629="",P1629=""),"",INDEX('Students'!$B$2:$B$701,P1629))</f>
        <v/>
      </c>
      <c r="E1629">
        <f>IF(OR(H1629="",P1629=""),"",INDEX('Students'!$C$2:$C$701,P1629))</f>
        <v/>
      </c>
      <c r="F1629" s="48">
        <f>IF(H1629="","",IF(ISNUMBER(O1629),O1629,J1629))</f>
        <v/>
      </c>
      <c r="G1629">
        <f>IF(H1629="","","OneCause")</f>
        <v/>
      </c>
      <c r="H1629">
        <f>IF(AND(I1629="",J1629="",K1629=""),"",IF(NOT(ISNUMBER(O1629)),"Bad amount",IF(O1629&lt;0,"Refund (not counted)",IF(O1629=0,"Zero amount",IF(NOT(ISNUMBER(N1629)),"Bad date",IF(P1629="","NAME NOT ON ROSTER",IF(L1629="","OK",IF(MATCH(L1629,$L$2:$L$3001,0)&lt;ROW()-1,"Duplicate (ignored)","OK"))))))))</f>
        <v/>
      </c>
      <c r="I1629">
        <f>IF(OC_Date=0,"",IF(INDEX('OneCause_Paste'!$A$1629:$AZ$1629,1,OC_Date)="","",INDEX('OneCause_Paste'!$A$1629:$AZ$1629,1,OC_Date)))</f>
        <v/>
      </c>
      <c r="J1629">
        <f>IF(OC_Amt=0,"",IF(INDEX('OneCause_Paste'!$A$1629:$AZ$1629,1,OC_Amt)="","",INDEX('OneCause_Paste'!$A$1629:$AZ$1629,1,OC_Amt)))</f>
        <v/>
      </c>
      <c r="K1629">
        <f>IF(OC_Name=0,"",IF(INDEX('OneCause_Paste'!$A$1629:$AZ$1629,1,OC_Name)="","",INDEX('OneCause_Paste'!$A$1629:$AZ$1629,1,OC_Name)))</f>
        <v/>
      </c>
      <c r="L1629">
        <f>IF(OC_Txn=0,"",IF(INDEX('OneCause_Paste'!$A$1629:$AZ$1629,1,OC_Txn)="","",INDEX('OneCause_Paste'!$A$1629:$AZ$1629,1,OC_Txn)))</f>
        <v/>
      </c>
      <c r="M1629">
        <f>IF(OC_Pay=0,"",IF(INDEX('OneCause_Paste'!$A$1629:$AZ$1629,1,OC_Pay)="","",INDEX('OneCause_Paste'!$A$1629:$AZ$1629,1,OC_Pay)))</f>
        <v/>
      </c>
      <c r="N1629">
        <f>IF(I1629="","",IF(ISNUMBER(I1629),INT(I1629),IFERROR(INT(DATEVALUE(I1629)),IFERROR(INT(VALUE(I1629)),"bad"))))</f>
        <v/>
      </c>
      <c r="O1629">
        <f>IF(J1629="","",IF(ISNUMBER(J1629),ROUND(J1629,2),IFERROR(ROUND(VALUE(SUBSTITUTE(SUBSTITUTE(SUBSTITUTE(J1629,"$",""),",","")," ","")),2),"bad")))</f>
        <v/>
      </c>
      <c r="P1629">
        <f>IF(TRIM(K1629)="","",IFERROR(MATCH(LOWER(TRIM(K1629)),'Students'!$AH$2:$AH$701,0),IFERROR(MATCH(LOWER(TRIM(K1629)),'Students'!$AF$2:$AF$701,0),IFERROR(MATCH(LOWER(TRIM(K1629)),'Students'!$AG$2:$AG$701,0),""))))</f>
        <v/>
      </c>
      <c r="R1629">
        <f>IF(P1629="","",INDEX('Students'!$AD$2:$AD$701,P1629))</f>
        <v/>
      </c>
      <c r="S1629">
        <f>IF(H1629="OK",O1629,0)</f>
        <v/>
      </c>
      <c r="T1629">
        <f>IF(H1629="OK",N1629,"")</f>
        <v/>
      </c>
      <c r="U1629">
        <f>IF(OC_Donor=0,"",IF(INDEX('OneCause_Paste'!$A$1629:$AZ$1629,1,OC_Donor)="","",INDEX('OneCause_Paste'!$A$1629:$AZ$1629,1,OC_Donor)))</f>
        <v/>
      </c>
    </row>
    <row r="1630">
      <c r="A1630" s="62">
        <f>IF(H1630="","",IF(ISNUMBER(N1630),N1630,I1630))</f>
        <v/>
      </c>
      <c r="B1630">
        <f>IF(H1630="","",U1630)</f>
        <v/>
      </c>
      <c r="C1630">
        <f>IF(H1630="","",IF(P1630="",K1630,INDEX('Students'!$A$2:$A$701,P1630)))</f>
        <v/>
      </c>
      <c r="D1630">
        <f>IF(OR(H1630="",P1630=""),"",INDEX('Students'!$B$2:$B$701,P1630))</f>
        <v/>
      </c>
      <c r="E1630">
        <f>IF(OR(H1630="",P1630=""),"",INDEX('Students'!$C$2:$C$701,P1630))</f>
        <v/>
      </c>
      <c r="F1630" s="48">
        <f>IF(H1630="","",IF(ISNUMBER(O1630),O1630,J1630))</f>
        <v/>
      </c>
      <c r="G1630">
        <f>IF(H1630="","","OneCause")</f>
        <v/>
      </c>
      <c r="H1630">
        <f>IF(AND(I1630="",J1630="",K1630=""),"",IF(NOT(ISNUMBER(O1630)),"Bad amount",IF(O1630&lt;0,"Refund (not counted)",IF(O1630=0,"Zero amount",IF(NOT(ISNUMBER(N1630)),"Bad date",IF(P1630="","NAME NOT ON ROSTER",IF(L1630="","OK",IF(MATCH(L1630,$L$2:$L$3001,0)&lt;ROW()-1,"Duplicate (ignored)","OK"))))))))</f>
        <v/>
      </c>
      <c r="I1630">
        <f>IF(OC_Date=0,"",IF(INDEX('OneCause_Paste'!$A$1630:$AZ$1630,1,OC_Date)="","",INDEX('OneCause_Paste'!$A$1630:$AZ$1630,1,OC_Date)))</f>
        <v/>
      </c>
      <c r="J1630">
        <f>IF(OC_Amt=0,"",IF(INDEX('OneCause_Paste'!$A$1630:$AZ$1630,1,OC_Amt)="","",INDEX('OneCause_Paste'!$A$1630:$AZ$1630,1,OC_Amt)))</f>
        <v/>
      </c>
      <c r="K1630">
        <f>IF(OC_Name=0,"",IF(INDEX('OneCause_Paste'!$A$1630:$AZ$1630,1,OC_Name)="","",INDEX('OneCause_Paste'!$A$1630:$AZ$1630,1,OC_Name)))</f>
        <v/>
      </c>
      <c r="L1630">
        <f>IF(OC_Txn=0,"",IF(INDEX('OneCause_Paste'!$A$1630:$AZ$1630,1,OC_Txn)="","",INDEX('OneCause_Paste'!$A$1630:$AZ$1630,1,OC_Txn)))</f>
        <v/>
      </c>
      <c r="M1630">
        <f>IF(OC_Pay=0,"",IF(INDEX('OneCause_Paste'!$A$1630:$AZ$1630,1,OC_Pay)="","",INDEX('OneCause_Paste'!$A$1630:$AZ$1630,1,OC_Pay)))</f>
        <v/>
      </c>
      <c r="N1630">
        <f>IF(I1630="","",IF(ISNUMBER(I1630),INT(I1630),IFERROR(INT(DATEVALUE(I1630)),IFERROR(INT(VALUE(I1630)),"bad"))))</f>
        <v/>
      </c>
      <c r="O1630">
        <f>IF(J1630="","",IF(ISNUMBER(J1630),ROUND(J1630,2),IFERROR(ROUND(VALUE(SUBSTITUTE(SUBSTITUTE(SUBSTITUTE(J1630,"$",""),",","")," ","")),2),"bad")))</f>
        <v/>
      </c>
      <c r="P1630">
        <f>IF(TRIM(K1630)="","",IFERROR(MATCH(LOWER(TRIM(K1630)),'Students'!$AH$2:$AH$701,0),IFERROR(MATCH(LOWER(TRIM(K1630)),'Students'!$AF$2:$AF$701,0),IFERROR(MATCH(LOWER(TRIM(K1630)),'Students'!$AG$2:$AG$701,0),""))))</f>
        <v/>
      </c>
      <c r="R1630">
        <f>IF(P1630="","",INDEX('Students'!$AD$2:$AD$701,P1630))</f>
        <v/>
      </c>
      <c r="S1630">
        <f>IF(H1630="OK",O1630,0)</f>
        <v/>
      </c>
      <c r="T1630">
        <f>IF(H1630="OK",N1630,"")</f>
        <v/>
      </c>
      <c r="U1630">
        <f>IF(OC_Donor=0,"",IF(INDEX('OneCause_Paste'!$A$1630:$AZ$1630,1,OC_Donor)="","",INDEX('OneCause_Paste'!$A$1630:$AZ$1630,1,OC_Donor)))</f>
        <v/>
      </c>
    </row>
    <row r="1631">
      <c r="A1631" s="62">
        <f>IF(H1631="","",IF(ISNUMBER(N1631),N1631,I1631))</f>
        <v/>
      </c>
      <c r="B1631">
        <f>IF(H1631="","",U1631)</f>
        <v/>
      </c>
      <c r="C1631">
        <f>IF(H1631="","",IF(P1631="",K1631,INDEX('Students'!$A$2:$A$701,P1631)))</f>
        <v/>
      </c>
      <c r="D1631">
        <f>IF(OR(H1631="",P1631=""),"",INDEX('Students'!$B$2:$B$701,P1631))</f>
        <v/>
      </c>
      <c r="E1631">
        <f>IF(OR(H1631="",P1631=""),"",INDEX('Students'!$C$2:$C$701,P1631))</f>
        <v/>
      </c>
      <c r="F1631" s="48">
        <f>IF(H1631="","",IF(ISNUMBER(O1631),O1631,J1631))</f>
        <v/>
      </c>
      <c r="G1631">
        <f>IF(H1631="","","OneCause")</f>
        <v/>
      </c>
      <c r="H1631">
        <f>IF(AND(I1631="",J1631="",K1631=""),"",IF(NOT(ISNUMBER(O1631)),"Bad amount",IF(O1631&lt;0,"Refund (not counted)",IF(O1631=0,"Zero amount",IF(NOT(ISNUMBER(N1631)),"Bad date",IF(P1631="","NAME NOT ON ROSTER",IF(L1631="","OK",IF(MATCH(L1631,$L$2:$L$3001,0)&lt;ROW()-1,"Duplicate (ignored)","OK"))))))))</f>
        <v/>
      </c>
      <c r="I1631">
        <f>IF(OC_Date=0,"",IF(INDEX('OneCause_Paste'!$A$1631:$AZ$1631,1,OC_Date)="","",INDEX('OneCause_Paste'!$A$1631:$AZ$1631,1,OC_Date)))</f>
        <v/>
      </c>
      <c r="J1631">
        <f>IF(OC_Amt=0,"",IF(INDEX('OneCause_Paste'!$A$1631:$AZ$1631,1,OC_Amt)="","",INDEX('OneCause_Paste'!$A$1631:$AZ$1631,1,OC_Amt)))</f>
        <v/>
      </c>
      <c r="K1631">
        <f>IF(OC_Name=0,"",IF(INDEX('OneCause_Paste'!$A$1631:$AZ$1631,1,OC_Name)="","",INDEX('OneCause_Paste'!$A$1631:$AZ$1631,1,OC_Name)))</f>
        <v/>
      </c>
      <c r="L1631">
        <f>IF(OC_Txn=0,"",IF(INDEX('OneCause_Paste'!$A$1631:$AZ$1631,1,OC_Txn)="","",INDEX('OneCause_Paste'!$A$1631:$AZ$1631,1,OC_Txn)))</f>
        <v/>
      </c>
      <c r="M1631">
        <f>IF(OC_Pay=0,"",IF(INDEX('OneCause_Paste'!$A$1631:$AZ$1631,1,OC_Pay)="","",INDEX('OneCause_Paste'!$A$1631:$AZ$1631,1,OC_Pay)))</f>
        <v/>
      </c>
      <c r="N1631">
        <f>IF(I1631="","",IF(ISNUMBER(I1631),INT(I1631),IFERROR(INT(DATEVALUE(I1631)),IFERROR(INT(VALUE(I1631)),"bad"))))</f>
        <v/>
      </c>
      <c r="O1631">
        <f>IF(J1631="","",IF(ISNUMBER(J1631),ROUND(J1631,2),IFERROR(ROUND(VALUE(SUBSTITUTE(SUBSTITUTE(SUBSTITUTE(J1631,"$",""),",","")," ","")),2),"bad")))</f>
        <v/>
      </c>
      <c r="P1631">
        <f>IF(TRIM(K1631)="","",IFERROR(MATCH(LOWER(TRIM(K1631)),'Students'!$AH$2:$AH$701,0),IFERROR(MATCH(LOWER(TRIM(K1631)),'Students'!$AF$2:$AF$701,0),IFERROR(MATCH(LOWER(TRIM(K1631)),'Students'!$AG$2:$AG$701,0),""))))</f>
        <v/>
      </c>
      <c r="R1631">
        <f>IF(P1631="","",INDEX('Students'!$AD$2:$AD$701,P1631))</f>
        <v/>
      </c>
      <c r="S1631">
        <f>IF(H1631="OK",O1631,0)</f>
        <v/>
      </c>
      <c r="T1631">
        <f>IF(H1631="OK",N1631,"")</f>
        <v/>
      </c>
      <c r="U1631">
        <f>IF(OC_Donor=0,"",IF(INDEX('OneCause_Paste'!$A$1631:$AZ$1631,1,OC_Donor)="","",INDEX('OneCause_Paste'!$A$1631:$AZ$1631,1,OC_Donor)))</f>
        <v/>
      </c>
    </row>
    <row r="1632">
      <c r="A1632" s="62">
        <f>IF(H1632="","",IF(ISNUMBER(N1632),N1632,I1632))</f>
        <v/>
      </c>
      <c r="B1632">
        <f>IF(H1632="","",U1632)</f>
        <v/>
      </c>
      <c r="C1632">
        <f>IF(H1632="","",IF(P1632="",K1632,INDEX('Students'!$A$2:$A$701,P1632)))</f>
        <v/>
      </c>
      <c r="D1632">
        <f>IF(OR(H1632="",P1632=""),"",INDEX('Students'!$B$2:$B$701,P1632))</f>
        <v/>
      </c>
      <c r="E1632">
        <f>IF(OR(H1632="",P1632=""),"",INDEX('Students'!$C$2:$C$701,P1632))</f>
        <v/>
      </c>
      <c r="F1632" s="48">
        <f>IF(H1632="","",IF(ISNUMBER(O1632),O1632,J1632))</f>
        <v/>
      </c>
      <c r="G1632">
        <f>IF(H1632="","","OneCause")</f>
        <v/>
      </c>
      <c r="H1632">
        <f>IF(AND(I1632="",J1632="",K1632=""),"",IF(NOT(ISNUMBER(O1632)),"Bad amount",IF(O1632&lt;0,"Refund (not counted)",IF(O1632=0,"Zero amount",IF(NOT(ISNUMBER(N1632)),"Bad date",IF(P1632="","NAME NOT ON ROSTER",IF(L1632="","OK",IF(MATCH(L1632,$L$2:$L$3001,0)&lt;ROW()-1,"Duplicate (ignored)","OK"))))))))</f>
        <v/>
      </c>
      <c r="I1632">
        <f>IF(OC_Date=0,"",IF(INDEX('OneCause_Paste'!$A$1632:$AZ$1632,1,OC_Date)="","",INDEX('OneCause_Paste'!$A$1632:$AZ$1632,1,OC_Date)))</f>
        <v/>
      </c>
      <c r="J1632">
        <f>IF(OC_Amt=0,"",IF(INDEX('OneCause_Paste'!$A$1632:$AZ$1632,1,OC_Amt)="","",INDEX('OneCause_Paste'!$A$1632:$AZ$1632,1,OC_Amt)))</f>
        <v/>
      </c>
      <c r="K1632">
        <f>IF(OC_Name=0,"",IF(INDEX('OneCause_Paste'!$A$1632:$AZ$1632,1,OC_Name)="","",INDEX('OneCause_Paste'!$A$1632:$AZ$1632,1,OC_Name)))</f>
        <v/>
      </c>
      <c r="L1632">
        <f>IF(OC_Txn=0,"",IF(INDEX('OneCause_Paste'!$A$1632:$AZ$1632,1,OC_Txn)="","",INDEX('OneCause_Paste'!$A$1632:$AZ$1632,1,OC_Txn)))</f>
        <v/>
      </c>
      <c r="M1632">
        <f>IF(OC_Pay=0,"",IF(INDEX('OneCause_Paste'!$A$1632:$AZ$1632,1,OC_Pay)="","",INDEX('OneCause_Paste'!$A$1632:$AZ$1632,1,OC_Pay)))</f>
        <v/>
      </c>
      <c r="N1632">
        <f>IF(I1632="","",IF(ISNUMBER(I1632),INT(I1632),IFERROR(INT(DATEVALUE(I1632)),IFERROR(INT(VALUE(I1632)),"bad"))))</f>
        <v/>
      </c>
      <c r="O1632">
        <f>IF(J1632="","",IF(ISNUMBER(J1632),ROUND(J1632,2),IFERROR(ROUND(VALUE(SUBSTITUTE(SUBSTITUTE(SUBSTITUTE(J1632,"$",""),",","")," ","")),2),"bad")))</f>
        <v/>
      </c>
      <c r="P1632">
        <f>IF(TRIM(K1632)="","",IFERROR(MATCH(LOWER(TRIM(K1632)),'Students'!$AH$2:$AH$701,0),IFERROR(MATCH(LOWER(TRIM(K1632)),'Students'!$AF$2:$AF$701,0),IFERROR(MATCH(LOWER(TRIM(K1632)),'Students'!$AG$2:$AG$701,0),""))))</f>
        <v/>
      </c>
      <c r="R1632">
        <f>IF(P1632="","",INDEX('Students'!$AD$2:$AD$701,P1632))</f>
        <v/>
      </c>
      <c r="S1632">
        <f>IF(H1632="OK",O1632,0)</f>
        <v/>
      </c>
      <c r="T1632">
        <f>IF(H1632="OK",N1632,"")</f>
        <v/>
      </c>
      <c r="U1632">
        <f>IF(OC_Donor=0,"",IF(INDEX('OneCause_Paste'!$A$1632:$AZ$1632,1,OC_Donor)="","",INDEX('OneCause_Paste'!$A$1632:$AZ$1632,1,OC_Donor)))</f>
        <v/>
      </c>
    </row>
    <row r="1633">
      <c r="A1633" s="62">
        <f>IF(H1633="","",IF(ISNUMBER(N1633),N1633,I1633))</f>
        <v/>
      </c>
      <c r="B1633">
        <f>IF(H1633="","",U1633)</f>
        <v/>
      </c>
      <c r="C1633">
        <f>IF(H1633="","",IF(P1633="",K1633,INDEX('Students'!$A$2:$A$701,P1633)))</f>
        <v/>
      </c>
      <c r="D1633">
        <f>IF(OR(H1633="",P1633=""),"",INDEX('Students'!$B$2:$B$701,P1633))</f>
        <v/>
      </c>
      <c r="E1633">
        <f>IF(OR(H1633="",P1633=""),"",INDEX('Students'!$C$2:$C$701,P1633))</f>
        <v/>
      </c>
      <c r="F1633" s="48">
        <f>IF(H1633="","",IF(ISNUMBER(O1633),O1633,J1633))</f>
        <v/>
      </c>
      <c r="G1633">
        <f>IF(H1633="","","OneCause")</f>
        <v/>
      </c>
      <c r="H1633">
        <f>IF(AND(I1633="",J1633="",K1633=""),"",IF(NOT(ISNUMBER(O1633)),"Bad amount",IF(O1633&lt;0,"Refund (not counted)",IF(O1633=0,"Zero amount",IF(NOT(ISNUMBER(N1633)),"Bad date",IF(P1633="","NAME NOT ON ROSTER",IF(L1633="","OK",IF(MATCH(L1633,$L$2:$L$3001,0)&lt;ROW()-1,"Duplicate (ignored)","OK"))))))))</f>
        <v/>
      </c>
      <c r="I1633">
        <f>IF(OC_Date=0,"",IF(INDEX('OneCause_Paste'!$A$1633:$AZ$1633,1,OC_Date)="","",INDEX('OneCause_Paste'!$A$1633:$AZ$1633,1,OC_Date)))</f>
        <v/>
      </c>
      <c r="J1633">
        <f>IF(OC_Amt=0,"",IF(INDEX('OneCause_Paste'!$A$1633:$AZ$1633,1,OC_Amt)="","",INDEX('OneCause_Paste'!$A$1633:$AZ$1633,1,OC_Amt)))</f>
        <v/>
      </c>
      <c r="K1633">
        <f>IF(OC_Name=0,"",IF(INDEX('OneCause_Paste'!$A$1633:$AZ$1633,1,OC_Name)="","",INDEX('OneCause_Paste'!$A$1633:$AZ$1633,1,OC_Name)))</f>
        <v/>
      </c>
      <c r="L1633">
        <f>IF(OC_Txn=0,"",IF(INDEX('OneCause_Paste'!$A$1633:$AZ$1633,1,OC_Txn)="","",INDEX('OneCause_Paste'!$A$1633:$AZ$1633,1,OC_Txn)))</f>
        <v/>
      </c>
      <c r="M1633">
        <f>IF(OC_Pay=0,"",IF(INDEX('OneCause_Paste'!$A$1633:$AZ$1633,1,OC_Pay)="","",INDEX('OneCause_Paste'!$A$1633:$AZ$1633,1,OC_Pay)))</f>
        <v/>
      </c>
      <c r="N1633">
        <f>IF(I1633="","",IF(ISNUMBER(I1633),INT(I1633),IFERROR(INT(DATEVALUE(I1633)),IFERROR(INT(VALUE(I1633)),"bad"))))</f>
        <v/>
      </c>
      <c r="O1633">
        <f>IF(J1633="","",IF(ISNUMBER(J1633),ROUND(J1633,2),IFERROR(ROUND(VALUE(SUBSTITUTE(SUBSTITUTE(SUBSTITUTE(J1633,"$",""),",","")," ","")),2),"bad")))</f>
        <v/>
      </c>
      <c r="P1633">
        <f>IF(TRIM(K1633)="","",IFERROR(MATCH(LOWER(TRIM(K1633)),'Students'!$AH$2:$AH$701,0),IFERROR(MATCH(LOWER(TRIM(K1633)),'Students'!$AF$2:$AF$701,0),IFERROR(MATCH(LOWER(TRIM(K1633)),'Students'!$AG$2:$AG$701,0),""))))</f>
        <v/>
      </c>
      <c r="R1633">
        <f>IF(P1633="","",INDEX('Students'!$AD$2:$AD$701,P1633))</f>
        <v/>
      </c>
      <c r="S1633">
        <f>IF(H1633="OK",O1633,0)</f>
        <v/>
      </c>
      <c r="T1633">
        <f>IF(H1633="OK",N1633,"")</f>
        <v/>
      </c>
      <c r="U1633">
        <f>IF(OC_Donor=0,"",IF(INDEX('OneCause_Paste'!$A$1633:$AZ$1633,1,OC_Donor)="","",INDEX('OneCause_Paste'!$A$1633:$AZ$1633,1,OC_Donor)))</f>
        <v/>
      </c>
    </row>
    <row r="1634">
      <c r="A1634" s="62">
        <f>IF(H1634="","",IF(ISNUMBER(N1634),N1634,I1634))</f>
        <v/>
      </c>
      <c r="B1634">
        <f>IF(H1634="","",U1634)</f>
        <v/>
      </c>
      <c r="C1634">
        <f>IF(H1634="","",IF(P1634="",K1634,INDEX('Students'!$A$2:$A$701,P1634)))</f>
        <v/>
      </c>
      <c r="D1634">
        <f>IF(OR(H1634="",P1634=""),"",INDEX('Students'!$B$2:$B$701,P1634))</f>
        <v/>
      </c>
      <c r="E1634">
        <f>IF(OR(H1634="",P1634=""),"",INDEX('Students'!$C$2:$C$701,P1634))</f>
        <v/>
      </c>
      <c r="F1634" s="48">
        <f>IF(H1634="","",IF(ISNUMBER(O1634),O1634,J1634))</f>
        <v/>
      </c>
      <c r="G1634">
        <f>IF(H1634="","","OneCause")</f>
        <v/>
      </c>
      <c r="H1634">
        <f>IF(AND(I1634="",J1634="",K1634=""),"",IF(NOT(ISNUMBER(O1634)),"Bad amount",IF(O1634&lt;0,"Refund (not counted)",IF(O1634=0,"Zero amount",IF(NOT(ISNUMBER(N1634)),"Bad date",IF(P1634="","NAME NOT ON ROSTER",IF(L1634="","OK",IF(MATCH(L1634,$L$2:$L$3001,0)&lt;ROW()-1,"Duplicate (ignored)","OK"))))))))</f>
        <v/>
      </c>
      <c r="I1634">
        <f>IF(OC_Date=0,"",IF(INDEX('OneCause_Paste'!$A$1634:$AZ$1634,1,OC_Date)="","",INDEX('OneCause_Paste'!$A$1634:$AZ$1634,1,OC_Date)))</f>
        <v/>
      </c>
      <c r="J1634">
        <f>IF(OC_Amt=0,"",IF(INDEX('OneCause_Paste'!$A$1634:$AZ$1634,1,OC_Amt)="","",INDEX('OneCause_Paste'!$A$1634:$AZ$1634,1,OC_Amt)))</f>
        <v/>
      </c>
      <c r="K1634">
        <f>IF(OC_Name=0,"",IF(INDEX('OneCause_Paste'!$A$1634:$AZ$1634,1,OC_Name)="","",INDEX('OneCause_Paste'!$A$1634:$AZ$1634,1,OC_Name)))</f>
        <v/>
      </c>
      <c r="L1634">
        <f>IF(OC_Txn=0,"",IF(INDEX('OneCause_Paste'!$A$1634:$AZ$1634,1,OC_Txn)="","",INDEX('OneCause_Paste'!$A$1634:$AZ$1634,1,OC_Txn)))</f>
        <v/>
      </c>
      <c r="M1634">
        <f>IF(OC_Pay=0,"",IF(INDEX('OneCause_Paste'!$A$1634:$AZ$1634,1,OC_Pay)="","",INDEX('OneCause_Paste'!$A$1634:$AZ$1634,1,OC_Pay)))</f>
        <v/>
      </c>
      <c r="N1634">
        <f>IF(I1634="","",IF(ISNUMBER(I1634),INT(I1634),IFERROR(INT(DATEVALUE(I1634)),IFERROR(INT(VALUE(I1634)),"bad"))))</f>
        <v/>
      </c>
      <c r="O1634">
        <f>IF(J1634="","",IF(ISNUMBER(J1634),ROUND(J1634,2),IFERROR(ROUND(VALUE(SUBSTITUTE(SUBSTITUTE(SUBSTITUTE(J1634,"$",""),",","")," ","")),2),"bad")))</f>
        <v/>
      </c>
      <c r="P1634">
        <f>IF(TRIM(K1634)="","",IFERROR(MATCH(LOWER(TRIM(K1634)),'Students'!$AH$2:$AH$701,0),IFERROR(MATCH(LOWER(TRIM(K1634)),'Students'!$AF$2:$AF$701,0),IFERROR(MATCH(LOWER(TRIM(K1634)),'Students'!$AG$2:$AG$701,0),""))))</f>
        <v/>
      </c>
      <c r="R1634">
        <f>IF(P1634="","",INDEX('Students'!$AD$2:$AD$701,P1634))</f>
        <v/>
      </c>
      <c r="S1634">
        <f>IF(H1634="OK",O1634,0)</f>
        <v/>
      </c>
      <c r="T1634">
        <f>IF(H1634="OK",N1634,"")</f>
        <v/>
      </c>
      <c r="U1634">
        <f>IF(OC_Donor=0,"",IF(INDEX('OneCause_Paste'!$A$1634:$AZ$1634,1,OC_Donor)="","",INDEX('OneCause_Paste'!$A$1634:$AZ$1634,1,OC_Donor)))</f>
        <v/>
      </c>
    </row>
    <row r="1635">
      <c r="A1635" s="62">
        <f>IF(H1635="","",IF(ISNUMBER(N1635),N1635,I1635))</f>
        <v/>
      </c>
      <c r="B1635">
        <f>IF(H1635="","",U1635)</f>
        <v/>
      </c>
      <c r="C1635">
        <f>IF(H1635="","",IF(P1635="",K1635,INDEX('Students'!$A$2:$A$701,P1635)))</f>
        <v/>
      </c>
      <c r="D1635">
        <f>IF(OR(H1635="",P1635=""),"",INDEX('Students'!$B$2:$B$701,P1635))</f>
        <v/>
      </c>
      <c r="E1635">
        <f>IF(OR(H1635="",P1635=""),"",INDEX('Students'!$C$2:$C$701,P1635))</f>
        <v/>
      </c>
      <c r="F1635" s="48">
        <f>IF(H1635="","",IF(ISNUMBER(O1635),O1635,J1635))</f>
        <v/>
      </c>
      <c r="G1635">
        <f>IF(H1635="","","OneCause")</f>
        <v/>
      </c>
      <c r="H1635">
        <f>IF(AND(I1635="",J1635="",K1635=""),"",IF(NOT(ISNUMBER(O1635)),"Bad amount",IF(O1635&lt;0,"Refund (not counted)",IF(O1635=0,"Zero amount",IF(NOT(ISNUMBER(N1635)),"Bad date",IF(P1635="","NAME NOT ON ROSTER",IF(L1635="","OK",IF(MATCH(L1635,$L$2:$L$3001,0)&lt;ROW()-1,"Duplicate (ignored)","OK"))))))))</f>
        <v/>
      </c>
      <c r="I1635">
        <f>IF(OC_Date=0,"",IF(INDEX('OneCause_Paste'!$A$1635:$AZ$1635,1,OC_Date)="","",INDEX('OneCause_Paste'!$A$1635:$AZ$1635,1,OC_Date)))</f>
        <v/>
      </c>
      <c r="J1635">
        <f>IF(OC_Amt=0,"",IF(INDEX('OneCause_Paste'!$A$1635:$AZ$1635,1,OC_Amt)="","",INDEX('OneCause_Paste'!$A$1635:$AZ$1635,1,OC_Amt)))</f>
        <v/>
      </c>
      <c r="K1635">
        <f>IF(OC_Name=0,"",IF(INDEX('OneCause_Paste'!$A$1635:$AZ$1635,1,OC_Name)="","",INDEX('OneCause_Paste'!$A$1635:$AZ$1635,1,OC_Name)))</f>
        <v/>
      </c>
      <c r="L1635">
        <f>IF(OC_Txn=0,"",IF(INDEX('OneCause_Paste'!$A$1635:$AZ$1635,1,OC_Txn)="","",INDEX('OneCause_Paste'!$A$1635:$AZ$1635,1,OC_Txn)))</f>
        <v/>
      </c>
      <c r="M1635">
        <f>IF(OC_Pay=0,"",IF(INDEX('OneCause_Paste'!$A$1635:$AZ$1635,1,OC_Pay)="","",INDEX('OneCause_Paste'!$A$1635:$AZ$1635,1,OC_Pay)))</f>
        <v/>
      </c>
      <c r="N1635">
        <f>IF(I1635="","",IF(ISNUMBER(I1635),INT(I1635),IFERROR(INT(DATEVALUE(I1635)),IFERROR(INT(VALUE(I1635)),"bad"))))</f>
        <v/>
      </c>
      <c r="O1635">
        <f>IF(J1635="","",IF(ISNUMBER(J1635),ROUND(J1635,2),IFERROR(ROUND(VALUE(SUBSTITUTE(SUBSTITUTE(SUBSTITUTE(J1635,"$",""),",","")," ","")),2),"bad")))</f>
        <v/>
      </c>
      <c r="P1635">
        <f>IF(TRIM(K1635)="","",IFERROR(MATCH(LOWER(TRIM(K1635)),'Students'!$AH$2:$AH$701,0),IFERROR(MATCH(LOWER(TRIM(K1635)),'Students'!$AF$2:$AF$701,0),IFERROR(MATCH(LOWER(TRIM(K1635)),'Students'!$AG$2:$AG$701,0),""))))</f>
        <v/>
      </c>
      <c r="R1635">
        <f>IF(P1635="","",INDEX('Students'!$AD$2:$AD$701,P1635))</f>
        <v/>
      </c>
      <c r="S1635">
        <f>IF(H1635="OK",O1635,0)</f>
        <v/>
      </c>
      <c r="T1635">
        <f>IF(H1635="OK",N1635,"")</f>
        <v/>
      </c>
      <c r="U1635">
        <f>IF(OC_Donor=0,"",IF(INDEX('OneCause_Paste'!$A$1635:$AZ$1635,1,OC_Donor)="","",INDEX('OneCause_Paste'!$A$1635:$AZ$1635,1,OC_Donor)))</f>
        <v/>
      </c>
    </row>
    <row r="1636">
      <c r="A1636" s="62">
        <f>IF(H1636="","",IF(ISNUMBER(N1636),N1636,I1636))</f>
        <v/>
      </c>
      <c r="B1636">
        <f>IF(H1636="","",U1636)</f>
        <v/>
      </c>
      <c r="C1636">
        <f>IF(H1636="","",IF(P1636="",K1636,INDEX('Students'!$A$2:$A$701,P1636)))</f>
        <v/>
      </c>
      <c r="D1636">
        <f>IF(OR(H1636="",P1636=""),"",INDEX('Students'!$B$2:$B$701,P1636))</f>
        <v/>
      </c>
      <c r="E1636">
        <f>IF(OR(H1636="",P1636=""),"",INDEX('Students'!$C$2:$C$701,P1636))</f>
        <v/>
      </c>
      <c r="F1636" s="48">
        <f>IF(H1636="","",IF(ISNUMBER(O1636),O1636,J1636))</f>
        <v/>
      </c>
      <c r="G1636">
        <f>IF(H1636="","","OneCause")</f>
        <v/>
      </c>
      <c r="H1636">
        <f>IF(AND(I1636="",J1636="",K1636=""),"",IF(NOT(ISNUMBER(O1636)),"Bad amount",IF(O1636&lt;0,"Refund (not counted)",IF(O1636=0,"Zero amount",IF(NOT(ISNUMBER(N1636)),"Bad date",IF(P1636="","NAME NOT ON ROSTER",IF(L1636="","OK",IF(MATCH(L1636,$L$2:$L$3001,0)&lt;ROW()-1,"Duplicate (ignored)","OK"))))))))</f>
        <v/>
      </c>
      <c r="I1636">
        <f>IF(OC_Date=0,"",IF(INDEX('OneCause_Paste'!$A$1636:$AZ$1636,1,OC_Date)="","",INDEX('OneCause_Paste'!$A$1636:$AZ$1636,1,OC_Date)))</f>
        <v/>
      </c>
      <c r="J1636">
        <f>IF(OC_Amt=0,"",IF(INDEX('OneCause_Paste'!$A$1636:$AZ$1636,1,OC_Amt)="","",INDEX('OneCause_Paste'!$A$1636:$AZ$1636,1,OC_Amt)))</f>
        <v/>
      </c>
      <c r="K1636">
        <f>IF(OC_Name=0,"",IF(INDEX('OneCause_Paste'!$A$1636:$AZ$1636,1,OC_Name)="","",INDEX('OneCause_Paste'!$A$1636:$AZ$1636,1,OC_Name)))</f>
        <v/>
      </c>
      <c r="L1636">
        <f>IF(OC_Txn=0,"",IF(INDEX('OneCause_Paste'!$A$1636:$AZ$1636,1,OC_Txn)="","",INDEX('OneCause_Paste'!$A$1636:$AZ$1636,1,OC_Txn)))</f>
        <v/>
      </c>
      <c r="M1636">
        <f>IF(OC_Pay=0,"",IF(INDEX('OneCause_Paste'!$A$1636:$AZ$1636,1,OC_Pay)="","",INDEX('OneCause_Paste'!$A$1636:$AZ$1636,1,OC_Pay)))</f>
        <v/>
      </c>
      <c r="N1636">
        <f>IF(I1636="","",IF(ISNUMBER(I1636),INT(I1636),IFERROR(INT(DATEVALUE(I1636)),IFERROR(INT(VALUE(I1636)),"bad"))))</f>
        <v/>
      </c>
      <c r="O1636">
        <f>IF(J1636="","",IF(ISNUMBER(J1636),ROUND(J1636,2),IFERROR(ROUND(VALUE(SUBSTITUTE(SUBSTITUTE(SUBSTITUTE(J1636,"$",""),",","")," ","")),2),"bad")))</f>
        <v/>
      </c>
      <c r="P1636">
        <f>IF(TRIM(K1636)="","",IFERROR(MATCH(LOWER(TRIM(K1636)),'Students'!$AH$2:$AH$701,0),IFERROR(MATCH(LOWER(TRIM(K1636)),'Students'!$AF$2:$AF$701,0),IFERROR(MATCH(LOWER(TRIM(K1636)),'Students'!$AG$2:$AG$701,0),""))))</f>
        <v/>
      </c>
      <c r="R1636">
        <f>IF(P1636="","",INDEX('Students'!$AD$2:$AD$701,P1636))</f>
        <v/>
      </c>
      <c r="S1636">
        <f>IF(H1636="OK",O1636,0)</f>
        <v/>
      </c>
      <c r="T1636">
        <f>IF(H1636="OK",N1636,"")</f>
        <v/>
      </c>
      <c r="U1636">
        <f>IF(OC_Donor=0,"",IF(INDEX('OneCause_Paste'!$A$1636:$AZ$1636,1,OC_Donor)="","",INDEX('OneCause_Paste'!$A$1636:$AZ$1636,1,OC_Donor)))</f>
        <v/>
      </c>
    </row>
    <row r="1637">
      <c r="A1637" s="62">
        <f>IF(H1637="","",IF(ISNUMBER(N1637),N1637,I1637))</f>
        <v/>
      </c>
      <c r="B1637">
        <f>IF(H1637="","",U1637)</f>
        <v/>
      </c>
      <c r="C1637">
        <f>IF(H1637="","",IF(P1637="",K1637,INDEX('Students'!$A$2:$A$701,P1637)))</f>
        <v/>
      </c>
      <c r="D1637">
        <f>IF(OR(H1637="",P1637=""),"",INDEX('Students'!$B$2:$B$701,P1637))</f>
        <v/>
      </c>
      <c r="E1637">
        <f>IF(OR(H1637="",P1637=""),"",INDEX('Students'!$C$2:$C$701,P1637))</f>
        <v/>
      </c>
      <c r="F1637" s="48">
        <f>IF(H1637="","",IF(ISNUMBER(O1637),O1637,J1637))</f>
        <v/>
      </c>
      <c r="G1637">
        <f>IF(H1637="","","OneCause")</f>
        <v/>
      </c>
      <c r="H1637">
        <f>IF(AND(I1637="",J1637="",K1637=""),"",IF(NOT(ISNUMBER(O1637)),"Bad amount",IF(O1637&lt;0,"Refund (not counted)",IF(O1637=0,"Zero amount",IF(NOT(ISNUMBER(N1637)),"Bad date",IF(P1637="","NAME NOT ON ROSTER",IF(L1637="","OK",IF(MATCH(L1637,$L$2:$L$3001,0)&lt;ROW()-1,"Duplicate (ignored)","OK"))))))))</f>
        <v/>
      </c>
      <c r="I1637">
        <f>IF(OC_Date=0,"",IF(INDEX('OneCause_Paste'!$A$1637:$AZ$1637,1,OC_Date)="","",INDEX('OneCause_Paste'!$A$1637:$AZ$1637,1,OC_Date)))</f>
        <v/>
      </c>
      <c r="J1637">
        <f>IF(OC_Amt=0,"",IF(INDEX('OneCause_Paste'!$A$1637:$AZ$1637,1,OC_Amt)="","",INDEX('OneCause_Paste'!$A$1637:$AZ$1637,1,OC_Amt)))</f>
        <v/>
      </c>
      <c r="K1637">
        <f>IF(OC_Name=0,"",IF(INDEX('OneCause_Paste'!$A$1637:$AZ$1637,1,OC_Name)="","",INDEX('OneCause_Paste'!$A$1637:$AZ$1637,1,OC_Name)))</f>
        <v/>
      </c>
      <c r="L1637">
        <f>IF(OC_Txn=0,"",IF(INDEX('OneCause_Paste'!$A$1637:$AZ$1637,1,OC_Txn)="","",INDEX('OneCause_Paste'!$A$1637:$AZ$1637,1,OC_Txn)))</f>
        <v/>
      </c>
      <c r="M1637">
        <f>IF(OC_Pay=0,"",IF(INDEX('OneCause_Paste'!$A$1637:$AZ$1637,1,OC_Pay)="","",INDEX('OneCause_Paste'!$A$1637:$AZ$1637,1,OC_Pay)))</f>
        <v/>
      </c>
      <c r="N1637">
        <f>IF(I1637="","",IF(ISNUMBER(I1637),INT(I1637),IFERROR(INT(DATEVALUE(I1637)),IFERROR(INT(VALUE(I1637)),"bad"))))</f>
        <v/>
      </c>
      <c r="O1637">
        <f>IF(J1637="","",IF(ISNUMBER(J1637),ROUND(J1637,2),IFERROR(ROUND(VALUE(SUBSTITUTE(SUBSTITUTE(SUBSTITUTE(J1637,"$",""),",","")," ","")),2),"bad")))</f>
        <v/>
      </c>
      <c r="P1637">
        <f>IF(TRIM(K1637)="","",IFERROR(MATCH(LOWER(TRIM(K1637)),'Students'!$AH$2:$AH$701,0),IFERROR(MATCH(LOWER(TRIM(K1637)),'Students'!$AF$2:$AF$701,0),IFERROR(MATCH(LOWER(TRIM(K1637)),'Students'!$AG$2:$AG$701,0),""))))</f>
        <v/>
      </c>
      <c r="R1637">
        <f>IF(P1637="","",INDEX('Students'!$AD$2:$AD$701,P1637))</f>
        <v/>
      </c>
      <c r="S1637">
        <f>IF(H1637="OK",O1637,0)</f>
        <v/>
      </c>
      <c r="T1637">
        <f>IF(H1637="OK",N1637,"")</f>
        <v/>
      </c>
      <c r="U1637">
        <f>IF(OC_Donor=0,"",IF(INDEX('OneCause_Paste'!$A$1637:$AZ$1637,1,OC_Donor)="","",INDEX('OneCause_Paste'!$A$1637:$AZ$1637,1,OC_Donor)))</f>
        <v/>
      </c>
    </row>
    <row r="1638">
      <c r="A1638" s="62">
        <f>IF(H1638="","",IF(ISNUMBER(N1638),N1638,I1638))</f>
        <v/>
      </c>
      <c r="B1638">
        <f>IF(H1638="","",U1638)</f>
        <v/>
      </c>
      <c r="C1638">
        <f>IF(H1638="","",IF(P1638="",K1638,INDEX('Students'!$A$2:$A$701,P1638)))</f>
        <v/>
      </c>
      <c r="D1638">
        <f>IF(OR(H1638="",P1638=""),"",INDEX('Students'!$B$2:$B$701,P1638))</f>
        <v/>
      </c>
      <c r="E1638">
        <f>IF(OR(H1638="",P1638=""),"",INDEX('Students'!$C$2:$C$701,P1638))</f>
        <v/>
      </c>
      <c r="F1638" s="48">
        <f>IF(H1638="","",IF(ISNUMBER(O1638),O1638,J1638))</f>
        <v/>
      </c>
      <c r="G1638">
        <f>IF(H1638="","","OneCause")</f>
        <v/>
      </c>
      <c r="H1638">
        <f>IF(AND(I1638="",J1638="",K1638=""),"",IF(NOT(ISNUMBER(O1638)),"Bad amount",IF(O1638&lt;0,"Refund (not counted)",IF(O1638=0,"Zero amount",IF(NOT(ISNUMBER(N1638)),"Bad date",IF(P1638="","NAME NOT ON ROSTER",IF(L1638="","OK",IF(MATCH(L1638,$L$2:$L$3001,0)&lt;ROW()-1,"Duplicate (ignored)","OK"))))))))</f>
        <v/>
      </c>
      <c r="I1638">
        <f>IF(OC_Date=0,"",IF(INDEX('OneCause_Paste'!$A$1638:$AZ$1638,1,OC_Date)="","",INDEX('OneCause_Paste'!$A$1638:$AZ$1638,1,OC_Date)))</f>
        <v/>
      </c>
      <c r="J1638">
        <f>IF(OC_Amt=0,"",IF(INDEX('OneCause_Paste'!$A$1638:$AZ$1638,1,OC_Amt)="","",INDEX('OneCause_Paste'!$A$1638:$AZ$1638,1,OC_Amt)))</f>
        <v/>
      </c>
      <c r="K1638">
        <f>IF(OC_Name=0,"",IF(INDEX('OneCause_Paste'!$A$1638:$AZ$1638,1,OC_Name)="","",INDEX('OneCause_Paste'!$A$1638:$AZ$1638,1,OC_Name)))</f>
        <v/>
      </c>
      <c r="L1638">
        <f>IF(OC_Txn=0,"",IF(INDEX('OneCause_Paste'!$A$1638:$AZ$1638,1,OC_Txn)="","",INDEX('OneCause_Paste'!$A$1638:$AZ$1638,1,OC_Txn)))</f>
        <v/>
      </c>
      <c r="M1638">
        <f>IF(OC_Pay=0,"",IF(INDEX('OneCause_Paste'!$A$1638:$AZ$1638,1,OC_Pay)="","",INDEX('OneCause_Paste'!$A$1638:$AZ$1638,1,OC_Pay)))</f>
        <v/>
      </c>
      <c r="N1638">
        <f>IF(I1638="","",IF(ISNUMBER(I1638),INT(I1638),IFERROR(INT(DATEVALUE(I1638)),IFERROR(INT(VALUE(I1638)),"bad"))))</f>
        <v/>
      </c>
      <c r="O1638">
        <f>IF(J1638="","",IF(ISNUMBER(J1638),ROUND(J1638,2),IFERROR(ROUND(VALUE(SUBSTITUTE(SUBSTITUTE(SUBSTITUTE(J1638,"$",""),",","")," ","")),2),"bad")))</f>
        <v/>
      </c>
      <c r="P1638">
        <f>IF(TRIM(K1638)="","",IFERROR(MATCH(LOWER(TRIM(K1638)),'Students'!$AH$2:$AH$701,0),IFERROR(MATCH(LOWER(TRIM(K1638)),'Students'!$AF$2:$AF$701,0),IFERROR(MATCH(LOWER(TRIM(K1638)),'Students'!$AG$2:$AG$701,0),""))))</f>
        <v/>
      </c>
      <c r="R1638">
        <f>IF(P1638="","",INDEX('Students'!$AD$2:$AD$701,P1638))</f>
        <v/>
      </c>
      <c r="S1638">
        <f>IF(H1638="OK",O1638,0)</f>
        <v/>
      </c>
      <c r="T1638">
        <f>IF(H1638="OK",N1638,"")</f>
        <v/>
      </c>
      <c r="U1638">
        <f>IF(OC_Donor=0,"",IF(INDEX('OneCause_Paste'!$A$1638:$AZ$1638,1,OC_Donor)="","",INDEX('OneCause_Paste'!$A$1638:$AZ$1638,1,OC_Donor)))</f>
        <v/>
      </c>
    </row>
    <row r="1639">
      <c r="A1639" s="62">
        <f>IF(H1639="","",IF(ISNUMBER(N1639),N1639,I1639))</f>
        <v/>
      </c>
      <c r="B1639">
        <f>IF(H1639="","",U1639)</f>
        <v/>
      </c>
      <c r="C1639">
        <f>IF(H1639="","",IF(P1639="",K1639,INDEX('Students'!$A$2:$A$701,P1639)))</f>
        <v/>
      </c>
      <c r="D1639">
        <f>IF(OR(H1639="",P1639=""),"",INDEX('Students'!$B$2:$B$701,P1639))</f>
        <v/>
      </c>
      <c r="E1639">
        <f>IF(OR(H1639="",P1639=""),"",INDEX('Students'!$C$2:$C$701,P1639))</f>
        <v/>
      </c>
      <c r="F1639" s="48">
        <f>IF(H1639="","",IF(ISNUMBER(O1639),O1639,J1639))</f>
        <v/>
      </c>
      <c r="G1639">
        <f>IF(H1639="","","OneCause")</f>
        <v/>
      </c>
      <c r="H1639">
        <f>IF(AND(I1639="",J1639="",K1639=""),"",IF(NOT(ISNUMBER(O1639)),"Bad amount",IF(O1639&lt;0,"Refund (not counted)",IF(O1639=0,"Zero amount",IF(NOT(ISNUMBER(N1639)),"Bad date",IF(P1639="","NAME NOT ON ROSTER",IF(L1639="","OK",IF(MATCH(L1639,$L$2:$L$3001,0)&lt;ROW()-1,"Duplicate (ignored)","OK"))))))))</f>
        <v/>
      </c>
      <c r="I1639">
        <f>IF(OC_Date=0,"",IF(INDEX('OneCause_Paste'!$A$1639:$AZ$1639,1,OC_Date)="","",INDEX('OneCause_Paste'!$A$1639:$AZ$1639,1,OC_Date)))</f>
        <v/>
      </c>
      <c r="J1639">
        <f>IF(OC_Amt=0,"",IF(INDEX('OneCause_Paste'!$A$1639:$AZ$1639,1,OC_Amt)="","",INDEX('OneCause_Paste'!$A$1639:$AZ$1639,1,OC_Amt)))</f>
        <v/>
      </c>
      <c r="K1639">
        <f>IF(OC_Name=0,"",IF(INDEX('OneCause_Paste'!$A$1639:$AZ$1639,1,OC_Name)="","",INDEX('OneCause_Paste'!$A$1639:$AZ$1639,1,OC_Name)))</f>
        <v/>
      </c>
      <c r="L1639">
        <f>IF(OC_Txn=0,"",IF(INDEX('OneCause_Paste'!$A$1639:$AZ$1639,1,OC_Txn)="","",INDEX('OneCause_Paste'!$A$1639:$AZ$1639,1,OC_Txn)))</f>
        <v/>
      </c>
      <c r="M1639">
        <f>IF(OC_Pay=0,"",IF(INDEX('OneCause_Paste'!$A$1639:$AZ$1639,1,OC_Pay)="","",INDEX('OneCause_Paste'!$A$1639:$AZ$1639,1,OC_Pay)))</f>
        <v/>
      </c>
      <c r="N1639">
        <f>IF(I1639="","",IF(ISNUMBER(I1639),INT(I1639),IFERROR(INT(DATEVALUE(I1639)),IFERROR(INT(VALUE(I1639)),"bad"))))</f>
        <v/>
      </c>
      <c r="O1639">
        <f>IF(J1639="","",IF(ISNUMBER(J1639),ROUND(J1639,2),IFERROR(ROUND(VALUE(SUBSTITUTE(SUBSTITUTE(SUBSTITUTE(J1639,"$",""),",","")," ","")),2),"bad")))</f>
        <v/>
      </c>
      <c r="P1639">
        <f>IF(TRIM(K1639)="","",IFERROR(MATCH(LOWER(TRIM(K1639)),'Students'!$AH$2:$AH$701,0),IFERROR(MATCH(LOWER(TRIM(K1639)),'Students'!$AF$2:$AF$701,0),IFERROR(MATCH(LOWER(TRIM(K1639)),'Students'!$AG$2:$AG$701,0),""))))</f>
        <v/>
      </c>
      <c r="R1639">
        <f>IF(P1639="","",INDEX('Students'!$AD$2:$AD$701,P1639))</f>
        <v/>
      </c>
      <c r="S1639">
        <f>IF(H1639="OK",O1639,0)</f>
        <v/>
      </c>
      <c r="T1639">
        <f>IF(H1639="OK",N1639,"")</f>
        <v/>
      </c>
      <c r="U1639">
        <f>IF(OC_Donor=0,"",IF(INDEX('OneCause_Paste'!$A$1639:$AZ$1639,1,OC_Donor)="","",INDEX('OneCause_Paste'!$A$1639:$AZ$1639,1,OC_Donor)))</f>
        <v/>
      </c>
    </row>
    <row r="1640">
      <c r="A1640" s="62">
        <f>IF(H1640="","",IF(ISNUMBER(N1640),N1640,I1640))</f>
        <v/>
      </c>
      <c r="B1640">
        <f>IF(H1640="","",U1640)</f>
        <v/>
      </c>
      <c r="C1640">
        <f>IF(H1640="","",IF(P1640="",K1640,INDEX('Students'!$A$2:$A$701,P1640)))</f>
        <v/>
      </c>
      <c r="D1640">
        <f>IF(OR(H1640="",P1640=""),"",INDEX('Students'!$B$2:$B$701,P1640))</f>
        <v/>
      </c>
      <c r="E1640">
        <f>IF(OR(H1640="",P1640=""),"",INDEX('Students'!$C$2:$C$701,P1640))</f>
        <v/>
      </c>
      <c r="F1640" s="48">
        <f>IF(H1640="","",IF(ISNUMBER(O1640),O1640,J1640))</f>
        <v/>
      </c>
      <c r="G1640">
        <f>IF(H1640="","","OneCause")</f>
        <v/>
      </c>
      <c r="H1640">
        <f>IF(AND(I1640="",J1640="",K1640=""),"",IF(NOT(ISNUMBER(O1640)),"Bad amount",IF(O1640&lt;0,"Refund (not counted)",IF(O1640=0,"Zero amount",IF(NOT(ISNUMBER(N1640)),"Bad date",IF(P1640="","NAME NOT ON ROSTER",IF(L1640="","OK",IF(MATCH(L1640,$L$2:$L$3001,0)&lt;ROW()-1,"Duplicate (ignored)","OK"))))))))</f>
        <v/>
      </c>
      <c r="I1640">
        <f>IF(OC_Date=0,"",IF(INDEX('OneCause_Paste'!$A$1640:$AZ$1640,1,OC_Date)="","",INDEX('OneCause_Paste'!$A$1640:$AZ$1640,1,OC_Date)))</f>
        <v/>
      </c>
      <c r="J1640">
        <f>IF(OC_Amt=0,"",IF(INDEX('OneCause_Paste'!$A$1640:$AZ$1640,1,OC_Amt)="","",INDEX('OneCause_Paste'!$A$1640:$AZ$1640,1,OC_Amt)))</f>
        <v/>
      </c>
      <c r="K1640">
        <f>IF(OC_Name=0,"",IF(INDEX('OneCause_Paste'!$A$1640:$AZ$1640,1,OC_Name)="","",INDEX('OneCause_Paste'!$A$1640:$AZ$1640,1,OC_Name)))</f>
        <v/>
      </c>
      <c r="L1640">
        <f>IF(OC_Txn=0,"",IF(INDEX('OneCause_Paste'!$A$1640:$AZ$1640,1,OC_Txn)="","",INDEX('OneCause_Paste'!$A$1640:$AZ$1640,1,OC_Txn)))</f>
        <v/>
      </c>
      <c r="M1640">
        <f>IF(OC_Pay=0,"",IF(INDEX('OneCause_Paste'!$A$1640:$AZ$1640,1,OC_Pay)="","",INDEX('OneCause_Paste'!$A$1640:$AZ$1640,1,OC_Pay)))</f>
        <v/>
      </c>
      <c r="N1640">
        <f>IF(I1640="","",IF(ISNUMBER(I1640),INT(I1640),IFERROR(INT(DATEVALUE(I1640)),IFERROR(INT(VALUE(I1640)),"bad"))))</f>
        <v/>
      </c>
      <c r="O1640">
        <f>IF(J1640="","",IF(ISNUMBER(J1640),ROUND(J1640,2),IFERROR(ROUND(VALUE(SUBSTITUTE(SUBSTITUTE(SUBSTITUTE(J1640,"$",""),",","")," ","")),2),"bad")))</f>
        <v/>
      </c>
      <c r="P1640">
        <f>IF(TRIM(K1640)="","",IFERROR(MATCH(LOWER(TRIM(K1640)),'Students'!$AH$2:$AH$701,0),IFERROR(MATCH(LOWER(TRIM(K1640)),'Students'!$AF$2:$AF$701,0),IFERROR(MATCH(LOWER(TRIM(K1640)),'Students'!$AG$2:$AG$701,0),""))))</f>
        <v/>
      </c>
      <c r="R1640">
        <f>IF(P1640="","",INDEX('Students'!$AD$2:$AD$701,P1640))</f>
        <v/>
      </c>
      <c r="S1640">
        <f>IF(H1640="OK",O1640,0)</f>
        <v/>
      </c>
      <c r="T1640">
        <f>IF(H1640="OK",N1640,"")</f>
        <v/>
      </c>
      <c r="U1640">
        <f>IF(OC_Donor=0,"",IF(INDEX('OneCause_Paste'!$A$1640:$AZ$1640,1,OC_Donor)="","",INDEX('OneCause_Paste'!$A$1640:$AZ$1640,1,OC_Donor)))</f>
        <v/>
      </c>
    </row>
    <row r="1641">
      <c r="A1641" s="62">
        <f>IF(H1641="","",IF(ISNUMBER(N1641),N1641,I1641))</f>
        <v/>
      </c>
      <c r="B1641">
        <f>IF(H1641="","",U1641)</f>
        <v/>
      </c>
      <c r="C1641">
        <f>IF(H1641="","",IF(P1641="",K1641,INDEX('Students'!$A$2:$A$701,P1641)))</f>
        <v/>
      </c>
      <c r="D1641">
        <f>IF(OR(H1641="",P1641=""),"",INDEX('Students'!$B$2:$B$701,P1641))</f>
        <v/>
      </c>
      <c r="E1641">
        <f>IF(OR(H1641="",P1641=""),"",INDEX('Students'!$C$2:$C$701,P1641))</f>
        <v/>
      </c>
      <c r="F1641" s="48">
        <f>IF(H1641="","",IF(ISNUMBER(O1641),O1641,J1641))</f>
        <v/>
      </c>
      <c r="G1641">
        <f>IF(H1641="","","OneCause")</f>
        <v/>
      </c>
      <c r="H1641">
        <f>IF(AND(I1641="",J1641="",K1641=""),"",IF(NOT(ISNUMBER(O1641)),"Bad amount",IF(O1641&lt;0,"Refund (not counted)",IF(O1641=0,"Zero amount",IF(NOT(ISNUMBER(N1641)),"Bad date",IF(P1641="","NAME NOT ON ROSTER",IF(L1641="","OK",IF(MATCH(L1641,$L$2:$L$3001,0)&lt;ROW()-1,"Duplicate (ignored)","OK"))))))))</f>
        <v/>
      </c>
      <c r="I1641">
        <f>IF(OC_Date=0,"",IF(INDEX('OneCause_Paste'!$A$1641:$AZ$1641,1,OC_Date)="","",INDEX('OneCause_Paste'!$A$1641:$AZ$1641,1,OC_Date)))</f>
        <v/>
      </c>
      <c r="J1641">
        <f>IF(OC_Amt=0,"",IF(INDEX('OneCause_Paste'!$A$1641:$AZ$1641,1,OC_Amt)="","",INDEX('OneCause_Paste'!$A$1641:$AZ$1641,1,OC_Amt)))</f>
        <v/>
      </c>
      <c r="K1641">
        <f>IF(OC_Name=0,"",IF(INDEX('OneCause_Paste'!$A$1641:$AZ$1641,1,OC_Name)="","",INDEX('OneCause_Paste'!$A$1641:$AZ$1641,1,OC_Name)))</f>
        <v/>
      </c>
      <c r="L1641">
        <f>IF(OC_Txn=0,"",IF(INDEX('OneCause_Paste'!$A$1641:$AZ$1641,1,OC_Txn)="","",INDEX('OneCause_Paste'!$A$1641:$AZ$1641,1,OC_Txn)))</f>
        <v/>
      </c>
      <c r="M1641">
        <f>IF(OC_Pay=0,"",IF(INDEX('OneCause_Paste'!$A$1641:$AZ$1641,1,OC_Pay)="","",INDEX('OneCause_Paste'!$A$1641:$AZ$1641,1,OC_Pay)))</f>
        <v/>
      </c>
      <c r="N1641">
        <f>IF(I1641="","",IF(ISNUMBER(I1641),INT(I1641),IFERROR(INT(DATEVALUE(I1641)),IFERROR(INT(VALUE(I1641)),"bad"))))</f>
        <v/>
      </c>
      <c r="O1641">
        <f>IF(J1641="","",IF(ISNUMBER(J1641),ROUND(J1641,2),IFERROR(ROUND(VALUE(SUBSTITUTE(SUBSTITUTE(SUBSTITUTE(J1641,"$",""),",","")," ","")),2),"bad")))</f>
        <v/>
      </c>
      <c r="P1641">
        <f>IF(TRIM(K1641)="","",IFERROR(MATCH(LOWER(TRIM(K1641)),'Students'!$AH$2:$AH$701,0),IFERROR(MATCH(LOWER(TRIM(K1641)),'Students'!$AF$2:$AF$701,0),IFERROR(MATCH(LOWER(TRIM(K1641)),'Students'!$AG$2:$AG$701,0),""))))</f>
        <v/>
      </c>
      <c r="R1641">
        <f>IF(P1641="","",INDEX('Students'!$AD$2:$AD$701,P1641))</f>
        <v/>
      </c>
      <c r="S1641">
        <f>IF(H1641="OK",O1641,0)</f>
        <v/>
      </c>
      <c r="T1641">
        <f>IF(H1641="OK",N1641,"")</f>
        <v/>
      </c>
      <c r="U1641">
        <f>IF(OC_Donor=0,"",IF(INDEX('OneCause_Paste'!$A$1641:$AZ$1641,1,OC_Donor)="","",INDEX('OneCause_Paste'!$A$1641:$AZ$1641,1,OC_Donor)))</f>
        <v/>
      </c>
    </row>
    <row r="1642">
      <c r="A1642" s="62">
        <f>IF(H1642="","",IF(ISNUMBER(N1642),N1642,I1642))</f>
        <v/>
      </c>
      <c r="B1642">
        <f>IF(H1642="","",U1642)</f>
        <v/>
      </c>
      <c r="C1642">
        <f>IF(H1642="","",IF(P1642="",K1642,INDEX('Students'!$A$2:$A$701,P1642)))</f>
        <v/>
      </c>
      <c r="D1642">
        <f>IF(OR(H1642="",P1642=""),"",INDEX('Students'!$B$2:$B$701,P1642))</f>
        <v/>
      </c>
      <c r="E1642">
        <f>IF(OR(H1642="",P1642=""),"",INDEX('Students'!$C$2:$C$701,P1642))</f>
        <v/>
      </c>
      <c r="F1642" s="48">
        <f>IF(H1642="","",IF(ISNUMBER(O1642),O1642,J1642))</f>
        <v/>
      </c>
      <c r="G1642">
        <f>IF(H1642="","","OneCause")</f>
        <v/>
      </c>
      <c r="H1642">
        <f>IF(AND(I1642="",J1642="",K1642=""),"",IF(NOT(ISNUMBER(O1642)),"Bad amount",IF(O1642&lt;0,"Refund (not counted)",IF(O1642=0,"Zero amount",IF(NOT(ISNUMBER(N1642)),"Bad date",IF(P1642="","NAME NOT ON ROSTER",IF(L1642="","OK",IF(MATCH(L1642,$L$2:$L$3001,0)&lt;ROW()-1,"Duplicate (ignored)","OK"))))))))</f>
        <v/>
      </c>
      <c r="I1642">
        <f>IF(OC_Date=0,"",IF(INDEX('OneCause_Paste'!$A$1642:$AZ$1642,1,OC_Date)="","",INDEX('OneCause_Paste'!$A$1642:$AZ$1642,1,OC_Date)))</f>
        <v/>
      </c>
      <c r="J1642">
        <f>IF(OC_Amt=0,"",IF(INDEX('OneCause_Paste'!$A$1642:$AZ$1642,1,OC_Amt)="","",INDEX('OneCause_Paste'!$A$1642:$AZ$1642,1,OC_Amt)))</f>
        <v/>
      </c>
      <c r="K1642">
        <f>IF(OC_Name=0,"",IF(INDEX('OneCause_Paste'!$A$1642:$AZ$1642,1,OC_Name)="","",INDEX('OneCause_Paste'!$A$1642:$AZ$1642,1,OC_Name)))</f>
        <v/>
      </c>
      <c r="L1642">
        <f>IF(OC_Txn=0,"",IF(INDEX('OneCause_Paste'!$A$1642:$AZ$1642,1,OC_Txn)="","",INDEX('OneCause_Paste'!$A$1642:$AZ$1642,1,OC_Txn)))</f>
        <v/>
      </c>
      <c r="M1642">
        <f>IF(OC_Pay=0,"",IF(INDEX('OneCause_Paste'!$A$1642:$AZ$1642,1,OC_Pay)="","",INDEX('OneCause_Paste'!$A$1642:$AZ$1642,1,OC_Pay)))</f>
        <v/>
      </c>
      <c r="N1642">
        <f>IF(I1642="","",IF(ISNUMBER(I1642),INT(I1642),IFERROR(INT(DATEVALUE(I1642)),IFERROR(INT(VALUE(I1642)),"bad"))))</f>
        <v/>
      </c>
      <c r="O1642">
        <f>IF(J1642="","",IF(ISNUMBER(J1642),ROUND(J1642,2),IFERROR(ROUND(VALUE(SUBSTITUTE(SUBSTITUTE(SUBSTITUTE(J1642,"$",""),",","")," ","")),2),"bad")))</f>
        <v/>
      </c>
      <c r="P1642">
        <f>IF(TRIM(K1642)="","",IFERROR(MATCH(LOWER(TRIM(K1642)),'Students'!$AH$2:$AH$701,0),IFERROR(MATCH(LOWER(TRIM(K1642)),'Students'!$AF$2:$AF$701,0),IFERROR(MATCH(LOWER(TRIM(K1642)),'Students'!$AG$2:$AG$701,0),""))))</f>
        <v/>
      </c>
      <c r="R1642">
        <f>IF(P1642="","",INDEX('Students'!$AD$2:$AD$701,P1642))</f>
        <v/>
      </c>
      <c r="S1642">
        <f>IF(H1642="OK",O1642,0)</f>
        <v/>
      </c>
      <c r="T1642">
        <f>IF(H1642="OK",N1642,"")</f>
        <v/>
      </c>
      <c r="U1642">
        <f>IF(OC_Donor=0,"",IF(INDEX('OneCause_Paste'!$A$1642:$AZ$1642,1,OC_Donor)="","",INDEX('OneCause_Paste'!$A$1642:$AZ$1642,1,OC_Donor)))</f>
        <v/>
      </c>
    </row>
    <row r="1643">
      <c r="A1643" s="62">
        <f>IF(H1643="","",IF(ISNUMBER(N1643),N1643,I1643))</f>
        <v/>
      </c>
      <c r="B1643">
        <f>IF(H1643="","",U1643)</f>
        <v/>
      </c>
      <c r="C1643">
        <f>IF(H1643="","",IF(P1643="",K1643,INDEX('Students'!$A$2:$A$701,P1643)))</f>
        <v/>
      </c>
      <c r="D1643">
        <f>IF(OR(H1643="",P1643=""),"",INDEX('Students'!$B$2:$B$701,P1643))</f>
        <v/>
      </c>
      <c r="E1643">
        <f>IF(OR(H1643="",P1643=""),"",INDEX('Students'!$C$2:$C$701,P1643))</f>
        <v/>
      </c>
      <c r="F1643" s="48">
        <f>IF(H1643="","",IF(ISNUMBER(O1643),O1643,J1643))</f>
        <v/>
      </c>
      <c r="G1643">
        <f>IF(H1643="","","OneCause")</f>
        <v/>
      </c>
      <c r="H1643">
        <f>IF(AND(I1643="",J1643="",K1643=""),"",IF(NOT(ISNUMBER(O1643)),"Bad amount",IF(O1643&lt;0,"Refund (not counted)",IF(O1643=0,"Zero amount",IF(NOT(ISNUMBER(N1643)),"Bad date",IF(P1643="","NAME NOT ON ROSTER",IF(L1643="","OK",IF(MATCH(L1643,$L$2:$L$3001,0)&lt;ROW()-1,"Duplicate (ignored)","OK"))))))))</f>
        <v/>
      </c>
      <c r="I1643">
        <f>IF(OC_Date=0,"",IF(INDEX('OneCause_Paste'!$A$1643:$AZ$1643,1,OC_Date)="","",INDEX('OneCause_Paste'!$A$1643:$AZ$1643,1,OC_Date)))</f>
        <v/>
      </c>
      <c r="J1643">
        <f>IF(OC_Amt=0,"",IF(INDEX('OneCause_Paste'!$A$1643:$AZ$1643,1,OC_Amt)="","",INDEX('OneCause_Paste'!$A$1643:$AZ$1643,1,OC_Amt)))</f>
        <v/>
      </c>
      <c r="K1643">
        <f>IF(OC_Name=0,"",IF(INDEX('OneCause_Paste'!$A$1643:$AZ$1643,1,OC_Name)="","",INDEX('OneCause_Paste'!$A$1643:$AZ$1643,1,OC_Name)))</f>
        <v/>
      </c>
      <c r="L1643">
        <f>IF(OC_Txn=0,"",IF(INDEX('OneCause_Paste'!$A$1643:$AZ$1643,1,OC_Txn)="","",INDEX('OneCause_Paste'!$A$1643:$AZ$1643,1,OC_Txn)))</f>
        <v/>
      </c>
      <c r="M1643">
        <f>IF(OC_Pay=0,"",IF(INDEX('OneCause_Paste'!$A$1643:$AZ$1643,1,OC_Pay)="","",INDEX('OneCause_Paste'!$A$1643:$AZ$1643,1,OC_Pay)))</f>
        <v/>
      </c>
      <c r="N1643">
        <f>IF(I1643="","",IF(ISNUMBER(I1643),INT(I1643),IFERROR(INT(DATEVALUE(I1643)),IFERROR(INT(VALUE(I1643)),"bad"))))</f>
        <v/>
      </c>
      <c r="O1643">
        <f>IF(J1643="","",IF(ISNUMBER(J1643),ROUND(J1643,2),IFERROR(ROUND(VALUE(SUBSTITUTE(SUBSTITUTE(SUBSTITUTE(J1643,"$",""),",","")," ","")),2),"bad")))</f>
        <v/>
      </c>
      <c r="P1643">
        <f>IF(TRIM(K1643)="","",IFERROR(MATCH(LOWER(TRIM(K1643)),'Students'!$AH$2:$AH$701,0),IFERROR(MATCH(LOWER(TRIM(K1643)),'Students'!$AF$2:$AF$701,0),IFERROR(MATCH(LOWER(TRIM(K1643)),'Students'!$AG$2:$AG$701,0),""))))</f>
        <v/>
      </c>
      <c r="R1643">
        <f>IF(P1643="","",INDEX('Students'!$AD$2:$AD$701,P1643))</f>
        <v/>
      </c>
      <c r="S1643">
        <f>IF(H1643="OK",O1643,0)</f>
        <v/>
      </c>
      <c r="T1643">
        <f>IF(H1643="OK",N1643,"")</f>
        <v/>
      </c>
      <c r="U1643">
        <f>IF(OC_Donor=0,"",IF(INDEX('OneCause_Paste'!$A$1643:$AZ$1643,1,OC_Donor)="","",INDEX('OneCause_Paste'!$A$1643:$AZ$1643,1,OC_Donor)))</f>
        <v/>
      </c>
    </row>
    <row r="1644">
      <c r="A1644" s="62">
        <f>IF(H1644="","",IF(ISNUMBER(N1644),N1644,I1644))</f>
        <v/>
      </c>
      <c r="B1644">
        <f>IF(H1644="","",U1644)</f>
        <v/>
      </c>
      <c r="C1644">
        <f>IF(H1644="","",IF(P1644="",K1644,INDEX('Students'!$A$2:$A$701,P1644)))</f>
        <v/>
      </c>
      <c r="D1644">
        <f>IF(OR(H1644="",P1644=""),"",INDEX('Students'!$B$2:$B$701,P1644))</f>
        <v/>
      </c>
      <c r="E1644">
        <f>IF(OR(H1644="",P1644=""),"",INDEX('Students'!$C$2:$C$701,P1644))</f>
        <v/>
      </c>
      <c r="F1644" s="48">
        <f>IF(H1644="","",IF(ISNUMBER(O1644),O1644,J1644))</f>
        <v/>
      </c>
      <c r="G1644">
        <f>IF(H1644="","","OneCause")</f>
        <v/>
      </c>
      <c r="H1644">
        <f>IF(AND(I1644="",J1644="",K1644=""),"",IF(NOT(ISNUMBER(O1644)),"Bad amount",IF(O1644&lt;0,"Refund (not counted)",IF(O1644=0,"Zero amount",IF(NOT(ISNUMBER(N1644)),"Bad date",IF(P1644="","NAME NOT ON ROSTER",IF(L1644="","OK",IF(MATCH(L1644,$L$2:$L$3001,0)&lt;ROW()-1,"Duplicate (ignored)","OK"))))))))</f>
        <v/>
      </c>
      <c r="I1644">
        <f>IF(OC_Date=0,"",IF(INDEX('OneCause_Paste'!$A$1644:$AZ$1644,1,OC_Date)="","",INDEX('OneCause_Paste'!$A$1644:$AZ$1644,1,OC_Date)))</f>
        <v/>
      </c>
      <c r="J1644">
        <f>IF(OC_Amt=0,"",IF(INDEX('OneCause_Paste'!$A$1644:$AZ$1644,1,OC_Amt)="","",INDEX('OneCause_Paste'!$A$1644:$AZ$1644,1,OC_Amt)))</f>
        <v/>
      </c>
      <c r="K1644">
        <f>IF(OC_Name=0,"",IF(INDEX('OneCause_Paste'!$A$1644:$AZ$1644,1,OC_Name)="","",INDEX('OneCause_Paste'!$A$1644:$AZ$1644,1,OC_Name)))</f>
        <v/>
      </c>
      <c r="L1644">
        <f>IF(OC_Txn=0,"",IF(INDEX('OneCause_Paste'!$A$1644:$AZ$1644,1,OC_Txn)="","",INDEX('OneCause_Paste'!$A$1644:$AZ$1644,1,OC_Txn)))</f>
        <v/>
      </c>
      <c r="M1644">
        <f>IF(OC_Pay=0,"",IF(INDEX('OneCause_Paste'!$A$1644:$AZ$1644,1,OC_Pay)="","",INDEX('OneCause_Paste'!$A$1644:$AZ$1644,1,OC_Pay)))</f>
        <v/>
      </c>
      <c r="N1644">
        <f>IF(I1644="","",IF(ISNUMBER(I1644),INT(I1644),IFERROR(INT(DATEVALUE(I1644)),IFERROR(INT(VALUE(I1644)),"bad"))))</f>
        <v/>
      </c>
      <c r="O1644">
        <f>IF(J1644="","",IF(ISNUMBER(J1644),ROUND(J1644,2),IFERROR(ROUND(VALUE(SUBSTITUTE(SUBSTITUTE(SUBSTITUTE(J1644,"$",""),",","")," ","")),2),"bad")))</f>
        <v/>
      </c>
      <c r="P1644">
        <f>IF(TRIM(K1644)="","",IFERROR(MATCH(LOWER(TRIM(K1644)),'Students'!$AH$2:$AH$701,0),IFERROR(MATCH(LOWER(TRIM(K1644)),'Students'!$AF$2:$AF$701,0),IFERROR(MATCH(LOWER(TRIM(K1644)),'Students'!$AG$2:$AG$701,0),""))))</f>
        <v/>
      </c>
      <c r="R1644">
        <f>IF(P1644="","",INDEX('Students'!$AD$2:$AD$701,P1644))</f>
        <v/>
      </c>
      <c r="S1644">
        <f>IF(H1644="OK",O1644,0)</f>
        <v/>
      </c>
      <c r="T1644">
        <f>IF(H1644="OK",N1644,"")</f>
        <v/>
      </c>
      <c r="U1644">
        <f>IF(OC_Donor=0,"",IF(INDEX('OneCause_Paste'!$A$1644:$AZ$1644,1,OC_Donor)="","",INDEX('OneCause_Paste'!$A$1644:$AZ$1644,1,OC_Donor)))</f>
        <v/>
      </c>
    </row>
    <row r="1645">
      <c r="A1645" s="62">
        <f>IF(H1645="","",IF(ISNUMBER(N1645),N1645,I1645))</f>
        <v/>
      </c>
      <c r="B1645">
        <f>IF(H1645="","",U1645)</f>
        <v/>
      </c>
      <c r="C1645">
        <f>IF(H1645="","",IF(P1645="",K1645,INDEX('Students'!$A$2:$A$701,P1645)))</f>
        <v/>
      </c>
      <c r="D1645">
        <f>IF(OR(H1645="",P1645=""),"",INDEX('Students'!$B$2:$B$701,P1645))</f>
        <v/>
      </c>
      <c r="E1645">
        <f>IF(OR(H1645="",P1645=""),"",INDEX('Students'!$C$2:$C$701,P1645))</f>
        <v/>
      </c>
      <c r="F1645" s="48">
        <f>IF(H1645="","",IF(ISNUMBER(O1645),O1645,J1645))</f>
        <v/>
      </c>
      <c r="G1645">
        <f>IF(H1645="","","OneCause")</f>
        <v/>
      </c>
      <c r="H1645">
        <f>IF(AND(I1645="",J1645="",K1645=""),"",IF(NOT(ISNUMBER(O1645)),"Bad amount",IF(O1645&lt;0,"Refund (not counted)",IF(O1645=0,"Zero amount",IF(NOT(ISNUMBER(N1645)),"Bad date",IF(P1645="","NAME NOT ON ROSTER",IF(L1645="","OK",IF(MATCH(L1645,$L$2:$L$3001,0)&lt;ROW()-1,"Duplicate (ignored)","OK"))))))))</f>
        <v/>
      </c>
      <c r="I1645">
        <f>IF(OC_Date=0,"",IF(INDEX('OneCause_Paste'!$A$1645:$AZ$1645,1,OC_Date)="","",INDEX('OneCause_Paste'!$A$1645:$AZ$1645,1,OC_Date)))</f>
        <v/>
      </c>
      <c r="J1645">
        <f>IF(OC_Amt=0,"",IF(INDEX('OneCause_Paste'!$A$1645:$AZ$1645,1,OC_Amt)="","",INDEX('OneCause_Paste'!$A$1645:$AZ$1645,1,OC_Amt)))</f>
        <v/>
      </c>
      <c r="K1645">
        <f>IF(OC_Name=0,"",IF(INDEX('OneCause_Paste'!$A$1645:$AZ$1645,1,OC_Name)="","",INDEX('OneCause_Paste'!$A$1645:$AZ$1645,1,OC_Name)))</f>
        <v/>
      </c>
      <c r="L1645">
        <f>IF(OC_Txn=0,"",IF(INDEX('OneCause_Paste'!$A$1645:$AZ$1645,1,OC_Txn)="","",INDEX('OneCause_Paste'!$A$1645:$AZ$1645,1,OC_Txn)))</f>
        <v/>
      </c>
      <c r="M1645">
        <f>IF(OC_Pay=0,"",IF(INDEX('OneCause_Paste'!$A$1645:$AZ$1645,1,OC_Pay)="","",INDEX('OneCause_Paste'!$A$1645:$AZ$1645,1,OC_Pay)))</f>
        <v/>
      </c>
      <c r="N1645">
        <f>IF(I1645="","",IF(ISNUMBER(I1645),INT(I1645),IFERROR(INT(DATEVALUE(I1645)),IFERROR(INT(VALUE(I1645)),"bad"))))</f>
        <v/>
      </c>
      <c r="O1645">
        <f>IF(J1645="","",IF(ISNUMBER(J1645),ROUND(J1645,2),IFERROR(ROUND(VALUE(SUBSTITUTE(SUBSTITUTE(SUBSTITUTE(J1645,"$",""),",","")," ","")),2),"bad")))</f>
        <v/>
      </c>
      <c r="P1645">
        <f>IF(TRIM(K1645)="","",IFERROR(MATCH(LOWER(TRIM(K1645)),'Students'!$AH$2:$AH$701,0),IFERROR(MATCH(LOWER(TRIM(K1645)),'Students'!$AF$2:$AF$701,0),IFERROR(MATCH(LOWER(TRIM(K1645)),'Students'!$AG$2:$AG$701,0),""))))</f>
        <v/>
      </c>
      <c r="R1645">
        <f>IF(P1645="","",INDEX('Students'!$AD$2:$AD$701,P1645))</f>
        <v/>
      </c>
      <c r="S1645">
        <f>IF(H1645="OK",O1645,0)</f>
        <v/>
      </c>
      <c r="T1645">
        <f>IF(H1645="OK",N1645,"")</f>
        <v/>
      </c>
      <c r="U1645">
        <f>IF(OC_Donor=0,"",IF(INDEX('OneCause_Paste'!$A$1645:$AZ$1645,1,OC_Donor)="","",INDEX('OneCause_Paste'!$A$1645:$AZ$1645,1,OC_Donor)))</f>
        <v/>
      </c>
    </row>
    <row r="1646">
      <c r="A1646" s="62">
        <f>IF(H1646="","",IF(ISNUMBER(N1646),N1646,I1646))</f>
        <v/>
      </c>
      <c r="B1646">
        <f>IF(H1646="","",U1646)</f>
        <v/>
      </c>
      <c r="C1646">
        <f>IF(H1646="","",IF(P1646="",K1646,INDEX('Students'!$A$2:$A$701,P1646)))</f>
        <v/>
      </c>
      <c r="D1646">
        <f>IF(OR(H1646="",P1646=""),"",INDEX('Students'!$B$2:$B$701,P1646))</f>
        <v/>
      </c>
      <c r="E1646">
        <f>IF(OR(H1646="",P1646=""),"",INDEX('Students'!$C$2:$C$701,P1646))</f>
        <v/>
      </c>
      <c r="F1646" s="48">
        <f>IF(H1646="","",IF(ISNUMBER(O1646),O1646,J1646))</f>
        <v/>
      </c>
      <c r="G1646">
        <f>IF(H1646="","","OneCause")</f>
        <v/>
      </c>
      <c r="H1646">
        <f>IF(AND(I1646="",J1646="",K1646=""),"",IF(NOT(ISNUMBER(O1646)),"Bad amount",IF(O1646&lt;0,"Refund (not counted)",IF(O1646=0,"Zero amount",IF(NOT(ISNUMBER(N1646)),"Bad date",IF(P1646="","NAME NOT ON ROSTER",IF(L1646="","OK",IF(MATCH(L1646,$L$2:$L$3001,0)&lt;ROW()-1,"Duplicate (ignored)","OK"))))))))</f>
        <v/>
      </c>
      <c r="I1646">
        <f>IF(OC_Date=0,"",IF(INDEX('OneCause_Paste'!$A$1646:$AZ$1646,1,OC_Date)="","",INDEX('OneCause_Paste'!$A$1646:$AZ$1646,1,OC_Date)))</f>
        <v/>
      </c>
      <c r="J1646">
        <f>IF(OC_Amt=0,"",IF(INDEX('OneCause_Paste'!$A$1646:$AZ$1646,1,OC_Amt)="","",INDEX('OneCause_Paste'!$A$1646:$AZ$1646,1,OC_Amt)))</f>
        <v/>
      </c>
      <c r="K1646">
        <f>IF(OC_Name=0,"",IF(INDEX('OneCause_Paste'!$A$1646:$AZ$1646,1,OC_Name)="","",INDEX('OneCause_Paste'!$A$1646:$AZ$1646,1,OC_Name)))</f>
        <v/>
      </c>
      <c r="L1646">
        <f>IF(OC_Txn=0,"",IF(INDEX('OneCause_Paste'!$A$1646:$AZ$1646,1,OC_Txn)="","",INDEX('OneCause_Paste'!$A$1646:$AZ$1646,1,OC_Txn)))</f>
        <v/>
      </c>
      <c r="M1646">
        <f>IF(OC_Pay=0,"",IF(INDEX('OneCause_Paste'!$A$1646:$AZ$1646,1,OC_Pay)="","",INDEX('OneCause_Paste'!$A$1646:$AZ$1646,1,OC_Pay)))</f>
        <v/>
      </c>
      <c r="N1646">
        <f>IF(I1646="","",IF(ISNUMBER(I1646),INT(I1646),IFERROR(INT(DATEVALUE(I1646)),IFERROR(INT(VALUE(I1646)),"bad"))))</f>
        <v/>
      </c>
      <c r="O1646">
        <f>IF(J1646="","",IF(ISNUMBER(J1646),ROUND(J1646,2),IFERROR(ROUND(VALUE(SUBSTITUTE(SUBSTITUTE(SUBSTITUTE(J1646,"$",""),",","")," ","")),2),"bad")))</f>
        <v/>
      </c>
      <c r="P1646">
        <f>IF(TRIM(K1646)="","",IFERROR(MATCH(LOWER(TRIM(K1646)),'Students'!$AH$2:$AH$701,0),IFERROR(MATCH(LOWER(TRIM(K1646)),'Students'!$AF$2:$AF$701,0),IFERROR(MATCH(LOWER(TRIM(K1646)),'Students'!$AG$2:$AG$701,0),""))))</f>
        <v/>
      </c>
      <c r="R1646">
        <f>IF(P1646="","",INDEX('Students'!$AD$2:$AD$701,P1646))</f>
        <v/>
      </c>
      <c r="S1646">
        <f>IF(H1646="OK",O1646,0)</f>
        <v/>
      </c>
      <c r="T1646">
        <f>IF(H1646="OK",N1646,"")</f>
        <v/>
      </c>
      <c r="U1646">
        <f>IF(OC_Donor=0,"",IF(INDEX('OneCause_Paste'!$A$1646:$AZ$1646,1,OC_Donor)="","",INDEX('OneCause_Paste'!$A$1646:$AZ$1646,1,OC_Donor)))</f>
        <v/>
      </c>
    </row>
    <row r="1647">
      <c r="A1647" s="62">
        <f>IF(H1647="","",IF(ISNUMBER(N1647),N1647,I1647))</f>
        <v/>
      </c>
      <c r="B1647">
        <f>IF(H1647="","",U1647)</f>
        <v/>
      </c>
      <c r="C1647">
        <f>IF(H1647="","",IF(P1647="",K1647,INDEX('Students'!$A$2:$A$701,P1647)))</f>
        <v/>
      </c>
      <c r="D1647">
        <f>IF(OR(H1647="",P1647=""),"",INDEX('Students'!$B$2:$B$701,P1647))</f>
        <v/>
      </c>
      <c r="E1647">
        <f>IF(OR(H1647="",P1647=""),"",INDEX('Students'!$C$2:$C$701,P1647))</f>
        <v/>
      </c>
      <c r="F1647" s="48">
        <f>IF(H1647="","",IF(ISNUMBER(O1647),O1647,J1647))</f>
        <v/>
      </c>
      <c r="G1647">
        <f>IF(H1647="","","OneCause")</f>
        <v/>
      </c>
      <c r="H1647">
        <f>IF(AND(I1647="",J1647="",K1647=""),"",IF(NOT(ISNUMBER(O1647)),"Bad amount",IF(O1647&lt;0,"Refund (not counted)",IF(O1647=0,"Zero amount",IF(NOT(ISNUMBER(N1647)),"Bad date",IF(P1647="","NAME NOT ON ROSTER",IF(L1647="","OK",IF(MATCH(L1647,$L$2:$L$3001,0)&lt;ROW()-1,"Duplicate (ignored)","OK"))))))))</f>
        <v/>
      </c>
      <c r="I1647">
        <f>IF(OC_Date=0,"",IF(INDEX('OneCause_Paste'!$A$1647:$AZ$1647,1,OC_Date)="","",INDEX('OneCause_Paste'!$A$1647:$AZ$1647,1,OC_Date)))</f>
        <v/>
      </c>
      <c r="J1647">
        <f>IF(OC_Amt=0,"",IF(INDEX('OneCause_Paste'!$A$1647:$AZ$1647,1,OC_Amt)="","",INDEX('OneCause_Paste'!$A$1647:$AZ$1647,1,OC_Amt)))</f>
        <v/>
      </c>
      <c r="K1647">
        <f>IF(OC_Name=0,"",IF(INDEX('OneCause_Paste'!$A$1647:$AZ$1647,1,OC_Name)="","",INDEX('OneCause_Paste'!$A$1647:$AZ$1647,1,OC_Name)))</f>
        <v/>
      </c>
      <c r="L1647">
        <f>IF(OC_Txn=0,"",IF(INDEX('OneCause_Paste'!$A$1647:$AZ$1647,1,OC_Txn)="","",INDEX('OneCause_Paste'!$A$1647:$AZ$1647,1,OC_Txn)))</f>
        <v/>
      </c>
      <c r="M1647">
        <f>IF(OC_Pay=0,"",IF(INDEX('OneCause_Paste'!$A$1647:$AZ$1647,1,OC_Pay)="","",INDEX('OneCause_Paste'!$A$1647:$AZ$1647,1,OC_Pay)))</f>
        <v/>
      </c>
      <c r="N1647">
        <f>IF(I1647="","",IF(ISNUMBER(I1647),INT(I1647),IFERROR(INT(DATEVALUE(I1647)),IFERROR(INT(VALUE(I1647)),"bad"))))</f>
        <v/>
      </c>
      <c r="O1647">
        <f>IF(J1647="","",IF(ISNUMBER(J1647),ROUND(J1647,2),IFERROR(ROUND(VALUE(SUBSTITUTE(SUBSTITUTE(SUBSTITUTE(J1647,"$",""),",","")," ","")),2),"bad")))</f>
        <v/>
      </c>
      <c r="P1647">
        <f>IF(TRIM(K1647)="","",IFERROR(MATCH(LOWER(TRIM(K1647)),'Students'!$AH$2:$AH$701,0),IFERROR(MATCH(LOWER(TRIM(K1647)),'Students'!$AF$2:$AF$701,0),IFERROR(MATCH(LOWER(TRIM(K1647)),'Students'!$AG$2:$AG$701,0),""))))</f>
        <v/>
      </c>
      <c r="R1647">
        <f>IF(P1647="","",INDEX('Students'!$AD$2:$AD$701,P1647))</f>
        <v/>
      </c>
      <c r="S1647">
        <f>IF(H1647="OK",O1647,0)</f>
        <v/>
      </c>
      <c r="T1647">
        <f>IF(H1647="OK",N1647,"")</f>
        <v/>
      </c>
      <c r="U1647">
        <f>IF(OC_Donor=0,"",IF(INDEX('OneCause_Paste'!$A$1647:$AZ$1647,1,OC_Donor)="","",INDEX('OneCause_Paste'!$A$1647:$AZ$1647,1,OC_Donor)))</f>
        <v/>
      </c>
    </row>
    <row r="1648">
      <c r="A1648" s="62">
        <f>IF(H1648="","",IF(ISNUMBER(N1648),N1648,I1648))</f>
        <v/>
      </c>
      <c r="B1648">
        <f>IF(H1648="","",U1648)</f>
        <v/>
      </c>
      <c r="C1648">
        <f>IF(H1648="","",IF(P1648="",K1648,INDEX('Students'!$A$2:$A$701,P1648)))</f>
        <v/>
      </c>
      <c r="D1648">
        <f>IF(OR(H1648="",P1648=""),"",INDEX('Students'!$B$2:$B$701,P1648))</f>
        <v/>
      </c>
      <c r="E1648">
        <f>IF(OR(H1648="",P1648=""),"",INDEX('Students'!$C$2:$C$701,P1648))</f>
        <v/>
      </c>
      <c r="F1648" s="48">
        <f>IF(H1648="","",IF(ISNUMBER(O1648),O1648,J1648))</f>
        <v/>
      </c>
      <c r="G1648">
        <f>IF(H1648="","","OneCause")</f>
        <v/>
      </c>
      <c r="H1648">
        <f>IF(AND(I1648="",J1648="",K1648=""),"",IF(NOT(ISNUMBER(O1648)),"Bad amount",IF(O1648&lt;0,"Refund (not counted)",IF(O1648=0,"Zero amount",IF(NOT(ISNUMBER(N1648)),"Bad date",IF(P1648="","NAME NOT ON ROSTER",IF(L1648="","OK",IF(MATCH(L1648,$L$2:$L$3001,0)&lt;ROW()-1,"Duplicate (ignored)","OK"))))))))</f>
        <v/>
      </c>
      <c r="I1648">
        <f>IF(OC_Date=0,"",IF(INDEX('OneCause_Paste'!$A$1648:$AZ$1648,1,OC_Date)="","",INDEX('OneCause_Paste'!$A$1648:$AZ$1648,1,OC_Date)))</f>
        <v/>
      </c>
      <c r="J1648">
        <f>IF(OC_Amt=0,"",IF(INDEX('OneCause_Paste'!$A$1648:$AZ$1648,1,OC_Amt)="","",INDEX('OneCause_Paste'!$A$1648:$AZ$1648,1,OC_Amt)))</f>
        <v/>
      </c>
      <c r="K1648">
        <f>IF(OC_Name=0,"",IF(INDEX('OneCause_Paste'!$A$1648:$AZ$1648,1,OC_Name)="","",INDEX('OneCause_Paste'!$A$1648:$AZ$1648,1,OC_Name)))</f>
        <v/>
      </c>
      <c r="L1648">
        <f>IF(OC_Txn=0,"",IF(INDEX('OneCause_Paste'!$A$1648:$AZ$1648,1,OC_Txn)="","",INDEX('OneCause_Paste'!$A$1648:$AZ$1648,1,OC_Txn)))</f>
        <v/>
      </c>
      <c r="M1648">
        <f>IF(OC_Pay=0,"",IF(INDEX('OneCause_Paste'!$A$1648:$AZ$1648,1,OC_Pay)="","",INDEX('OneCause_Paste'!$A$1648:$AZ$1648,1,OC_Pay)))</f>
        <v/>
      </c>
      <c r="N1648">
        <f>IF(I1648="","",IF(ISNUMBER(I1648),INT(I1648),IFERROR(INT(DATEVALUE(I1648)),IFERROR(INT(VALUE(I1648)),"bad"))))</f>
        <v/>
      </c>
      <c r="O1648">
        <f>IF(J1648="","",IF(ISNUMBER(J1648),ROUND(J1648,2),IFERROR(ROUND(VALUE(SUBSTITUTE(SUBSTITUTE(SUBSTITUTE(J1648,"$",""),",","")," ","")),2),"bad")))</f>
        <v/>
      </c>
      <c r="P1648">
        <f>IF(TRIM(K1648)="","",IFERROR(MATCH(LOWER(TRIM(K1648)),'Students'!$AH$2:$AH$701,0),IFERROR(MATCH(LOWER(TRIM(K1648)),'Students'!$AF$2:$AF$701,0),IFERROR(MATCH(LOWER(TRIM(K1648)),'Students'!$AG$2:$AG$701,0),""))))</f>
        <v/>
      </c>
      <c r="R1648">
        <f>IF(P1648="","",INDEX('Students'!$AD$2:$AD$701,P1648))</f>
        <v/>
      </c>
      <c r="S1648">
        <f>IF(H1648="OK",O1648,0)</f>
        <v/>
      </c>
      <c r="T1648">
        <f>IF(H1648="OK",N1648,"")</f>
        <v/>
      </c>
      <c r="U1648">
        <f>IF(OC_Donor=0,"",IF(INDEX('OneCause_Paste'!$A$1648:$AZ$1648,1,OC_Donor)="","",INDEX('OneCause_Paste'!$A$1648:$AZ$1648,1,OC_Donor)))</f>
        <v/>
      </c>
    </row>
    <row r="1649">
      <c r="A1649" s="62">
        <f>IF(H1649="","",IF(ISNUMBER(N1649),N1649,I1649))</f>
        <v/>
      </c>
      <c r="B1649">
        <f>IF(H1649="","",U1649)</f>
        <v/>
      </c>
      <c r="C1649">
        <f>IF(H1649="","",IF(P1649="",K1649,INDEX('Students'!$A$2:$A$701,P1649)))</f>
        <v/>
      </c>
      <c r="D1649">
        <f>IF(OR(H1649="",P1649=""),"",INDEX('Students'!$B$2:$B$701,P1649))</f>
        <v/>
      </c>
      <c r="E1649">
        <f>IF(OR(H1649="",P1649=""),"",INDEX('Students'!$C$2:$C$701,P1649))</f>
        <v/>
      </c>
      <c r="F1649" s="48">
        <f>IF(H1649="","",IF(ISNUMBER(O1649),O1649,J1649))</f>
        <v/>
      </c>
      <c r="G1649">
        <f>IF(H1649="","","OneCause")</f>
        <v/>
      </c>
      <c r="H1649">
        <f>IF(AND(I1649="",J1649="",K1649=""),"",IF(NOT(ISNUMBER(O1649)),"Bad amount",IF(O1649&lt;0,"Refund (not counted)",IF(O1649=0,"Zero amount",IF(NOT(ISNUMBER(N1649)),"Bad date",IF(P1649="","NAME NOT ON ROSTER",IF(L1649="","OK",IF(MATCH(L1649,$L$2:$L$3001,0)&lt;ROW()-1,"Duplicate (ignored)","OK"))))))))</f>
        <v/>
      </c>
      <c r="I1649">
        <f>IF(OC_Date=0,"",IF(INDEX('OneCause_Paste'!$A$1649:$AZ$1649,1,OC_Date)="","",INDEX('OneCause_Paste'!$A$1649:$AZ$1649,1,OC_Date)))</f>
        <v/>
      </c>
      <c r="J1649">
        <f>IF(OC_Amt=0,"",IF(INDEX('OneCause_Paste'!$A$1649:$AZ$1649,1,OC_Amt)="","",INDEX('OneCause_Paste'!$A$1649:$AZ$1649,1,OC_Amt)))</f>
        <v/>
      </c>
      <c r="K1649">
        <f>IF(OC_Name=0,"",IF(INDEX('OneCause_Paste'!$A$1649:$AZ$1649,1,OC_Name)="","",INDEX('OneCause_Paste'!$A$1649:$AZ$1649,1,OC_Name)))</f>
        <v/>
      </c>
      <c r="L1649">
        <f>IF(OC_Txn=0,"",IF(INDEX('OneCause_Paste'!$A$1649:$AZ$1649,1,OC_Txn)="","",INDEX('OneCause_Paste'!$A$1649:$AZ$1649,1,OC_Txn)))</f>
        <v/>
      </c>
      <c r="M1649">
        <f>IF(OC_Pay=0,"",IF(INDEX('OneCause_Paste'!$A$1649:$AZ$1649,1,OC_Pay)="","",INDEX('OneCause_Paste'!$A$1649:$AZ$1649,1,OC_Pay)))</f>
        <v/>
      </c>
      <c r="N1649">
        <f>IF(I1649="","",IF(ISNUMBER(I1649),INT(I1649),IFERROR(INT(DATEVALUE(I1649)),IFERROR(INT(VALUE(I1649)),"bad"))))</f>
        <v/>
      </c>
      <c r="O1649">
        <f>IF(J1649="","",IF(ISNUMBER(J1649),ROUND(J1649,2),IFERROR(ROUND(VALUE(SUBSTITUTE(SUBSTITUTE(SUBSTITUTE(J1649,"$",""),",","")," ","")),2),"bad")))</f>
        <v/>
      </c>
      <c r="P1649">
        <f>IF(TRIM(K1649)="","",IFERROR(MATCH(LOWER(TRIM(K1649)),'Students'!$AH$2:$AH$701,0),IFERROR(MATCH(LOWER(TRIM(K1649)),'Students'!$AF$2:$AF$701,0),IFERROR(MATCH(LOWER(TRIM(K1649)),'Students'!$AG$2:$AG$701,0),""))))</f>
        <v/>
      </c>
      <c r="R1649">
        <f>IF(P1649="","",INDEX('Students'!$AD$2:$AD$701,P1649))</f>
        <v/>
      </c>
      <c r="S1649">
        <f>IF(H1649="OK",O1649,0)</f>
        <v/>
      </c>
      <c r="T1649">
        <f>IF(H1649="OK",N1649,"")</f>
        <v/>
      </c>
      <c r="U1649">
        <f>IF(OC_Donor=0,"",IF(INDEX('OneCause_Paste'!$A$1649:$AZ$1649,1,OC_Donor)="","",INDEX('OneCause_Paste'!$A$1649:$AZ$1649,1,OC_Donor)))</f>
        <v/>
      </c>
    </row>
    <row r="1650">
      <c r="A1650" s="62">
        <f>IF(H1650="","",IF(ISNUMBER(N1650),N1650,I1650))</f>
        <v/>
      </c>
      <c r="B1650">
        <f>IF(H1650="","",U1650)</f>
        <v/>
      </c>
      <c r="C1650">
        <f>IF(H1650="","",IF(P1650="",K1650,INDEX('Students'!$A$2:$A$701,P1650)))</f>
        <v/>
      </c>
      <c r="D1650">
        <f>IF(OR(H1650="",P1650=""),"",INDEX('Students'!$B$2:$B$701,P1650))</f>
        <v/>
      </c>
      <c r="E1650">
        <f>IF(OR(H1650="",P1650=""),"",INDEX('Students'!$C$2:$C$701,P1650))</f>
        <v/>
      </c>
      <c r="F1650" s="48">
        <f>IF(H1650="","",IF(ISNUMBER(O1650),O1650,J1650))</f>
        <v/>
      </c>
      <c r="G1650">
        <f>IF(H1650="","","OneCause")</f>
        <v/>
      </c>
      <c r="H1650">
        <f>IF(AND(I1650="",J1650="",K1650=""),"",IF(NOT(ISNUMBER(O1650)),"Bad amount",IF(O1650&lt;0,"Refund (not counted)",IF(O1650=0,"Zero amount",IF(NOT(ISNUMBER(N1650)),"Bad date",IF(P1650="","NAME NOT ON ROSTER",IF(L1650="","OK",IF(MATCH(L1650,$L$2:$L$3001,0)&lt;ROW()-1,"Duplicate (ignored)","OK"))))))))</f>
        <v/>
      </c>
      <c r="I1650">
        <f>IF(OC_Date=0,"",IF(INDEX('OneCause_Paste'!$A$1650:$AZ$1650,1,OC_Date)="","",INDEX('OneCause_Paste'!$A$1650:$AZ$1650,1,OC_Date)))</f>
        <v/>
      </c>
      <c r="J1650">
        <f>IF(OC_Amt=0,"",IF(INDEX('OneCause_Paste'!$A$1650:$AZ$1650,1,OC_Amt)="","",INDEX('OneCause_Paste'!$A$1650:$AZ$1650,1,OC_Amt)))</f>
        <v/>
      </c>
      <c r="K1650">
        <f>IF(OC_Name=0,"",IF(INDEX('OneCause_Paste'!$A$1650:$AZ$1650,1,OC_Name)="","",INDEX('OneCause_Paste'!$A$1650:$AZ$1650,1,OC_Name)))</f>
        <v/>
      </c>
      <c r="L1650">
        <f>IF(OC_Txn=0,"",IF(INDEX('OneCause_Paste'!$A$1650:$AZ$1650,1,OC_Txn)="","",INDEX('OneCause_Paste'!$A$1650:$AZ$1650,1,OC_Txn)))</f>
        <v/>
      </c>
      <c r="M1650">
        <f>IF(OC_Pay=0,"",IF(INDEX('OneCause_Paste'!$A$1650:$AZ$1650,1,OC_Pay)="","",INDEX('OneCause_Paste'!$A$1650:$AZ$1650,1,OC_Pay)))</f>
        <v/>
      </c>
      <c r="N1650">
        <f>IF(I1650="","",IF(ISNUMBER(I1650),INT(I1650),IFERROR(INT(DATEVALUE(I1650)),IFERROR(INT(VALUE(I1650)),"bad"))))</f>
        <v/>
      </c>
      <c r="O1650">
        <f>IF(J1650="","",IF(ISNUMBER(J1650),ROUND(J1650,2),IFERROR(ROUND(VALUE(SUBSTITUTE(SUBSTITUTE(SUBSTITUTE(J1650,"$",""),",","")," ","")),2),"bad")))</f>
        <v/>
      </c>
      <c r="P1650">
        <f>IF(TRIM(K1650)="","",IFERROR(MATCH(LOWER(TRIM(K1650)),'Students'!$AH$2:$AH$701,0),IFERROR(MATCH(LOWER(TRIM(K1650)),'Students'!$AF$2:$AF$701,0),IFERROR(MATCH(LOWER(TRIM(K1650)),'Students'!$AG$2:$AG$701,0),""))))</f>
        <v/>
      </c>
      <c r="R1650">
        <f>IF(P1650="","",INDEX('Students'!$AD$2:$AD$701,P1650))</f>
        <v/>
      </c>
      <c r="S1650">
        <f>IF(H1650="OK",O1650,0)</f>
        <v/>
      </c>
      <c r="T1650">
        <f>IF(H1650="OK",N1650,"")</f>
        <v/>
      </c>
      <c r="U1650">
        <f>IF(OC_Donor=0,"",IF(INDEX('OneCause_Paste'!$A$1650:$AZ$1650,1,OC_Donor)="","",INDEX('OneCause_Paste'!$A$1650:$AZ$1650,1,OC_Donor)))</f>
        <v/>
      </c>
    </row>
    <row r="1651">
      <c r="A1651" s="62">
        <f>IF(H1651="","",IF(ISNUMBER(N1651),N1651,I1651))</f>
        <v/>
      </c>
      <c r="B1651">
        <f>IF(H1651="","",U1651)</f>
        <v/>
      </c>
      <c r="C1651">
        <f>IF(H1651="","",IF(P1651="",K1651,INDEX('Students'!$A$2:$A$701,P1651)))</f>
        <v/>
      </c>
      <c r="D1651">
        <f>IF(OR(H1651="",P1651=""),"",INDEX('Students'!$B$2:$B$701,P1651))</f>
        <v/>
      </c>
      <c r="E1651">
        <f>IF(OR(H1651="",P1651=""),"",INDEX('Students'!$C$2:$C$701,P1651))</f>
        <v/>
      </c>
      <c r="F1651" s="48">
        <f>IF(H1651="","",IF(ISNUMBER(O1651),O1651,J1651))</f>
        <v/>
      </c>
      <c r="G1651">
        <f>IF(H1651="","","OneCause")</f>
        <v/>
      </c>
      <c r="H1651">
        <f>IF(AND(I1651="",J1651="",K1651=""),"",IF(NOT(ISNUMBER(O1651)),"Bad amount",IF(O1651&lt;0,"Refund (not counted)",IF(O1651=0,"Zero amount",IF(NOT(ISNUMBER(N1651)),"Bad date",IF(P1651="","NAME NOT ON ROSTER",IF(L1651="","OK",IF(MATCH(L1651,$L$2:$L$3001,0)&lt;ROW()-1,"Duplicate (ignored)","OK"))))))))</f>
        <v/>
      </c>
      <c r="I1651">
        <f>IF(OC_Date=0,"",IF(INDEX('OneCause_Paste'!$A$1651:$AZ$1651,1,OC_Date)="","",INDEX('OneCause_Paste'!$A$1651:$AZ$1651,1,OC_Date)))</f>
        <v/>
      </c>
      <c r="J1651">
        <f>IF(OC_Amt=0,"",IF(INDEX('OneCause_Paste'!$A$1651:$AZ$1651,1,OC_Amt)="","",INDEX('OneCause_Paste'!$A$1651:$AZ$1651,1,OC_Amt)))</f>
        <v/>
      </c>
      <c r="K1651">
        <f>IF(OC_Name=0,"",IF(INDEX('OneCause_Paste'!$A$1651:$AZ$1651,1,OC_Name)="","",INDEX('OneCause_Paste'!$A$1651:$AZ$1651,1,OC_Name)))</f>
        <v/>
      </c>
      <c r="L1651">
        <f>IF(OC_Txn=0,"",IF(INDEX('OneCause_Paste'!$A$1651:$AZ$1651,1,OC_Txn)="","",INDEX('OneCause_Paste'!$A$1651:$AZ$1651,1,OC_Txn)))</f>
        <v/>
      </c>
      <c r="M1651">
        <f>IF(OC_Pay=0,"",IF(INDEX('OneCause_Paste'!$A$1651:$AZ$1651,1,OC_Pay)="","",INDEX('OneCause_Paste'!$A$1651:$AZ$1651,1,OC_Pay)))</f>
        <v/>
      </c>
      <c r="N1651">
        <f>IF(I1651="","",IF(ISNUMBER(I1651),INT(I1651),IFERROR(INT(DATEVALUE(I1651)),IFERROR(INT(VALUE(I1651)),"bad"))))</f>
        <v/>
      </c>
      <c r="O1651">
        <f>IF(J1651="","",IF(ISNUMBER(J1651),ROUND(J1651,2),IFERROR(ROUND(VALUE(SUBSTITUTE(SUBSTITUTE(SUBSTITUTE(J1651,"$",""),",","")," ","")),2),"bad")))</f>
        <v/>
      </c>
      <c r="P1651">
        <f>IF(TRIM(K1651)="","",IFERROR(MATCH(LOWER(TRIM(K1651)),'Students'!$AH$2:$AH$701,0),IFERROR(MATCH(LOWER(TRIM(K1651)),'Students'!$AF$2:$AF$701,0),IFERROR(MATCH(LOWER(TRIM(K1651)),'Students'!$AG$2:$AG$701,0),""))))</f>
        <v/>
      </c>
      <c r="R1651">
        <f>IF(P1651="","",INDEX('Students'!$AD$2:$AD$701,P1651))</f>
        <v/>
      </c>
      <c r="S1651">
        <f>IF(H1651="OK",O1651,0)</f>
        <v/>
      </c>
      <c r="T1651">
        <f>IF(H1651="OK",N1651,"")</f>
        <v/>
      </c>
      <c r="U1651">
        <f>IF(OC_Donor=0,"",IF(INDEX('OneCause_Paste'!$A$1651:$AZ$1651,1,OC_Donor)="","",INDEX('OneCause_Paste'!$A$1651:$AZ$1651,1,OC_Donor)))</f>
        <v/>
      </c>
    </row>
    <row r="1652">
      <c r="A1652" s="62">
        <f>IF(H1652="","",IF(ISNUMBER(N1652),N1652,I1652))</f>
        <v/>
      </c>
      <c r="B1652">
        <f>IF(H1652="","",U1652)</f>
        <v/>
      </c>
      <c r="C1652">
        <f>IF(H1652="","",IF(P1652="",K1652,INDEX('Students'!$A$2:$A$701,P1652)))</f>
        <v/>
      </c>
      <c r="D1652">
        <f>IF(OR(H1652="",P1652=""),"",INDEX('Students'!$B$2:$B$701,P1652))</f>
        <v/>
      </c>
      <c r="E1652">
        <f>IF(OR(H1652="",P1652=""),"",INDEX('Students'!$C$2:$C$701,P1652))</f>
        <v/>
      </c>
      <c r="F1652" s="48">
        <f>IF(H1652="","",IF(ISNUMBER(O1652),O1652,J1652))</f>
        <v/>
      </c>
      <c r="G1652">
        <f>IF(H1652="","","OneCause")</f>
        <v/>
      </c>
      <c r="H1652">
        <f>IF(AND(I1652="",J1652="",K1652=""),"",IF(NOT(ISNUMBER(O1652)),"Bad amount",IF(O1652&lt;0,"Refund (not counted)",IF(O1652=0,"Zero amount",IF(NOT(ISNUMBER(N1652)),"Bad date",IF(P1652="","NAME NOT ON ROSTER",IF(L1652="","OK",IF(MATCH(L1652,$L$2:$L$3001,0)&lt;ROW()-1,"Duplicate (ignored)","OK"))))))))</f>
        <v/>
      </c>
      <c r="I1652">
        <f>IF(OC_Date=0,"",IF(INDEX('OneCause_Paste'!$A$1652:$AZ$1652,1,OC_Date)="","",INDEX('OneCause_Paste'!$A$1652:$AZ$1652,1,OC_Date)))</f>
        <v/>
      </c>
      <c r="J1652">
        <f>IF(OC_Amt=0,"",IF(INDEX('OneCause_Paste'!$A$1652:$AZ$1652,1,OC_Amt)="","",INDEX('OneCause_Paste'!$A$1652:$AZ$1652,1,OC_Amt)))</f>
        <v/>
      </c>
      <c r="K1652">
        <f>IF(OC_Name=0,"",IF(INDEX('OneCause_Paste'!$A$1652:$AZ$1652,1,OC_Name)="","",INDEX('OneCause_Paste'!$A$1652:$AZ$1652,1,OC_Name)))</f>
        <v/>
      </c>
      <c r="L1652">
        <f>IF(OC_Txn=0,"",IF(INDEX('OneCause_Paste'!$A$1652:$AZ$1652,1,OC_Txn)="","",INDEX('OneCause_Paste'!$A$1652:$AZ$1652,1,OC_Txn)))</f>
        <v/>
      </c>
      <c r="M1652">
        <f>IF(OC_Pay=0,"",IF(INDEX('OneCause_Paste'!$A$1652:$AZ$1652,1,OC_Pay)="","",INDEX('OneCause_Paste'!$A$1652:$AZ$1652,1,OC_Pay)))</f>
        <v/>
      </c>
      <c r="N1652">
        <f>IF(I1652="","",IF(ISNUMBER(I1652),INT(I1652),IFERROR(INT(DATEVALUE(I1652)),IFERROR(INT(VALUE(I1652)),"bad"))))</f>
        <v/>
      </c>
      <c r="O1652">
        <f>IF(J1652="","",IF(ISNUMBER(J1652),ROUND(J1652,2),IFERROR(ROUND(VALUE(SUBSTITUTE(SUBSTITUTE(SUBSTITUTE(J1652,"$",""),",","")," ","")),2),"bad")))</f>
        <v/>
      </c>
      <c r="P1652">
        <f>IF(TRIM(K1652)="","",IFERROR(MATCH(LOWER(TRIM(K1652)),'Students'!$AH$2:$AH$701,0),IFERROR(MATCH(LOWER(TRIM(K1652)),'Students'!$AF$2:$AF$701,0),IFERROR(MATCH(LOWER(TRIM(K1652)),'Students'!$AG$2:$AG$701,0),""))))</f>
        <v/>
      </c>
      <c r="R1652">
        <f>IF(P1652="","",INDEX('Students'!$AD$2:$AD$701,P1652))</f>
        <v/>
      </c>
      <c r="S1652">
        <f>IF(H1652="OK",O1652,0)</f>
        <v/>
      </c>
      <c r="T1652">
        <f>IF(H1652="OK",N1652,"")</f>
        <v/>
      </c>
      <c r="U1652">
        <f>IF(OC_Donor=0,"",IF(INDEX('OneCause_Paste'!$A$1652:$AZ$1652,1,OC_Donor)="","",INDEX('OneCause_Paste'!$A$1652:$AZ$1652,1,OC_Donor)))</f>
        <v/>
      </c>
    </row>
    <row r="1653">
      <c r="A1653" s="62">
        <f>IF(H1653="","",IF(ISNUMBER(N1653),N1653,I1653))</f>
        <v/>
      </c>
      <c r="B1653">
        <f>IF(H1653="","",U1653)</f>
        <v/>
      </c>
      <c r="C1653">
        <f>IF(H1653="","",IF(P1653="",K1653,INDEX('Students'!$A$2:$A$701,P1653)))</f>
        <v/>
      </c>
      <c r="D1653">
        <f>IF(OR(H1653="",P1653=""),"",INDEX('Students'!$B$2:$B$701,P1653))</f>
        <v/>
      </c>
      <c r="E1653">
        <f>IF(OR(H1653="",P1653=""),"",INDEX('Students'!$C$2:$C$701,P1653))</f>
        <v/>
      </c>
      <c r="F1653" s="48">
        <f>IF(H1653="","",IF(ISNUMBER(O1653),O1653,J1653))</f>
        <v/>
      </c>
      <c r="G1653">
        <f>IF(H1653="","","OneCause")</f>
        <v/>
      </c>
      <c r="H1653">
        <f>IF(AND(I1653="",J1653="",K1653=""),"",IF(NOT(ISNUMBER(O1653)),"Bad amount",IF(O1653&lt;0,"Refund (not counted)",IF(O1653=0,"Zero amount",IF(NOT(ISNUMBER(N1653)),"Bad date",IF(P1653="","NAME NOT ON ROSTER",IF(L1653="","OK",IF(MATCH(L1653,$L$2:$L$3001,0)&lt;ROW()-1,"Duplicate (ignored)","OK"))))))))</f>
        <v/>
      </c>
      <c r="I1653">
        <f>IF(OC_Date=0,"",IF(INDEX('OneCause_Paste'!$A$1653:$AZ$1653,1,OC_Date)="","",INDEX('OneCause_Paste'!$A$1653:$AZ$1653,1,OC_Date)))</f>
        <v/>
      </c>
      <c r="J1653">
        <f>IF(OC_Amt=0,"",IF(INDEX('OneCause_Paste'!$A$1653:$AZ$1653,1,OC_Amt)="","",INDEX('OneCause_Paste'!$A$1653:$AZ$1653,1,OC_Amt)))</f>
        <v/>
      </c>
      <c r="K1653">
        <f>IF(OC_Name=0,"",IF(INDEX('OneCause_Paste'!$A$1653:$AZ$1653,1,OC_Name)="","",INDEX('OneCause_Paste'!$A$1653:$AZ$1653,1,OC_Name)))</f>
        <v/>
      </c>
      <c r="L1653">
        <f>IF(OC_Txn=0,"",IF(INDEX('OneCause_Paste'!$A$1653:$AZ$1653,1,OC_Txn)="","",INDEX('OneCause_Paste'!$A$1653:$AZ$1653,1,OC_Txn)))</f>
        <v/>
      </c>
      <c r="M1653">
        <f>IF(OC_Pay=0,"",IF(INDEX('OneCause_Paste'!$A$1653:$AZ$1653,1,OC_Pay)="","",INDEX('OneCause_Paste'!$A$1653:$AZ$1653,1,OC_Pay)))</f>
        <v/>
      </c>
      <c r="N1653">
        <f>IF(I1653="","",IF(ISNUMBER(I1653),INT(I1653),IFERROR(INT(DATEVALUE(I1653)),IFERROR(INT(VALUE(I1653)),"bad"))))</f>
        <v/>
      </c>
      <c r="O1653">
        <f>IF(J1653="","",IF(ISNUMBER(J1653),ROUND(J1653,2),IFERROR(ROUND(VALUE(SUBSTITUTE(SUBSTITUTE(SUBSTITUTE(J1653,"$",""),",","")," ","")),2),"bad")))</f>
        <v/>
      </c>
      <c r="P1653">
        <f>IF(TRIM(K1653)="","",IFERROR(MATCH(LOWER(TRIM(K1653)),'Students'!$AH$2:$AH$701,0),IFERROR(MATCH(LOWER(TRIM(K1653)),'Students'!$AF$2:$AF$701,0),IFERROR(MATCH(LOWER(TRIM(K1653)),'Students'!$AG$2:$AG$701,0),""))))</f>
        <v/>
      </c>
      <c r="R1653">
        <f>IF(P1653="","",INDEX('Students'!$AD$2:$AD$701,P1653))</f>
        <v/>
      </c>
      <c r="S1653">
        <f>IF(H1653="OK",O1653,0)</f>
        <v/>
      </c>
      <c r="T1653">
        <f>IF(H1653="OK",N1653,"")</f>
        <v/>
      </c>
      <c r="U1653">
        <f>IF(OC_Donor=0,"",IF(INDEX('OneCause_Paste'!$A$1653:$AZ$1653,1,OC_Donor)="","",INDEX('OneCause_Paste'!$A$1653:$AZ$1653,1,OC_Donor)))</f>
        <v/>
      </c>
    </row>
    <row r="1654">
      <c r="A1654" s="62">
        <f>IF(H1654="","",IF(ISNUMBER(N1654),N1654,I1654))</f>
        <v/>
      </c>
      <c r="B1654">
        <f>IF(H1654="","",U1654)</f>
        <v/>
      </c>
      <c r="C1654">
        <f>IF(H1654="","",IF(P1654="",K1654,INDEX('Students'!$A$2:$A$701,P1654)))</f>
        <v/>
      </c>
      <c r="D1654">
        <f>IF(OR(H1654="",P1654=""),"",INDEX('Students'!$B$2:$B$701,P1654))</f>
        <v/>
      </c>
      <c r="E1654">
        <f>IF(OR(H1654="",P1654=""),"",INDEX('Students'!$C$2:$C$701,P1654))</f>
        <v/>
      </c>
      <c r="F1654" s="48">
        <f>IF(H1654="","",IF(ISNUMBER(O1654),O1654,J1654))</f>
        <v/>
      </c>
      <c r="G1654">
        <f>IF(H1654="","","OneCause")</f>
        <v/>
      </c>
      <c r="H1654">
        <f>IF(AND(I1654="",J1654="",K1654=""),"",IF(NOT(ISNUMBER(O1654)),"Bad amount",IF(O1654&lt;0,"Refund (not counted)",IF(O1654=0,"Zero amount",IF(NOT(ISNUMBER(N1654)),"Bad date",IF(P1654="","NAME NOT ON ROSTER",IF(L1654="","OK",IF(MATCH(L1654,$L$2:$L$3001,0)&lt;ROW()-1,"Duplicate (ignored)","OK"))))))))</f>
        <v/>
      </c>
      <c r="I1654">
        <f>IF(OC_Date=0,"",IF(INDEX('OneCause_Paste'!$A$1654:$AZ$1654,1,OC_Date)="","",INDEX('OneCause_Paste'!$A$1654:$AZ$1654,1,OC_Date)))</f>
        <v/>
      </c>
      <c r="J1654">
        <f>IF(OC_Amt=0,"",IF(INDEX('OneCause_Paste'!$A$1654:$AZ$1654,1,OC_Amt)="","",INDEX('OneCause_Paste'!$A$1654:$AZ$1654,1,OC_Amt)))</f>
        <v/>
      </c>
      <c r="K1654">
        <f>IF(OC_Name=0,"",IF(INDEX('OneCause_Paste'!$A$1654:$AZ$1654,1,OC_Name)="","",INDEX('OneCause_Paste'!$A$1654:$AZ$1654,1,OC_Name)))</f>
        <v/>
      </c>
      <c r="L1654">
        <f>IF(OC_Txn=0,"",IF(INDEX('OneCause_Paste'!$A$1654:$AZ$1654,1,OC_Txn)="","",INDEX('OneCause_Paste'!$A$1654:$AZ$1654,1,OC_Txn)))</f>
        <v/>
      </c>
      <c r="M1654">
        <f>IF(OC_Pay=0,"",IF(INDEX('OneCause_Paste'!$A$1654:$AZ$1654,1,OC_Pay)="","",INDEX('OneCause_Paste'!$A$1654:$AZ$1654,1,OC_Pay)))</f>
        <v/>
      </c>
      <c r="N1654">
        <f>IF(I1654="","",IF(ISNUMBER(I1654),INT(I1654),IFERROR(INT(DATEVALUE(I1654)),IFERROR(INT(VALUE(I1654)),"bad"))))</f>
        <v/>
      </c>
      <c r="O1654">
        <f>IF(J1654="","",IF(ISNUMBER(J1654),ROUND(J1654,2),IFERROR(ROUND(VALUE(SUBSTITUTE(SUBSTITUTE(SUBSTITUTE(J1654,"$",""),",","")," ","")),2),"bad")))</f>
        <v/>
      </c>
      <c r="P1654">
        <f>IF(TRIM(K1654)="","",IFERROR(MATCH(LOWER(TRIM(K1654)),'Students'!$AH$2:$AH$701,0),IFERROR(MATCH(LOWER(TRIM(K1654)),'Students'!$AF$2:$AF$701,0),IFERROR(MATCH(LOWER(TRIM(K1654)),'Students'!$AG$2:$AG$701,0),""))))</f>
        <v/>
      </c>
      <c r="R1654">
        <f>IF(P1654="","",INDEX('Students'!$AD$2:$AD$701,P1654))</f>
        <v/>
      </c>
      <c r="S1654">
        <f>IF(H1654="OK",O1654,0)</f>
        <v/>
      </c>
      <c r="T1654">
        <f>IF(H1654="OK",N1654,"")</f>
        <v/>
      </c>
      <c r="U1654">
        <f>IF(OC_Donor=0,"",IF(INDEX('OneCause_Paste'!$A$1654:$AZ$1654,1,OC_Donor)="","",INDEX('OneCause_Paste'!$A$1654:$AZ$1654,1,OC_Donor)))</f>
        <v/>
      </c>
    </row>
    <row r="1655">
      <c r="A1655" s="62">
        <f>IF(H1655="","",IF(ISNUMBER(N1655),N1655,I1655))</f>
        <v/>
      </c>
      <c r="B1655">
        <f>IF(H1655="","",U1655)</f>
        <v/>
      </c>
      <c r="C1655">
        <f>IF(H1655="","",IF(P1655="",K1655,INDEX('Students'!$A$2:$A$701,P1655)))</f>
        <v/>
      </c>
      <c r="D1655">
        <f>IF(OR(H1655="",P1655=""),"",INDEX('Students'!$B$2:$B$701,P1655))</f>
        <v/>
      </c>
      <c r="E1655">
        <f>IF(OR(H1655="",P1655=""),"",INDEX('Students'!$C$2:$C$701,P1655))</f>
        <v/>
      </c>
      <c r="F1655" s="48">
        <f>IF(H1655="","",IF(ISNUMBER(O1655),O1655,J1655))</f>
        <v/>
      </c>
      <c r="G1655">
        <f>IF(H1655="","","OneCause")</f>
        <v/>
      </c>
      <c r="H1655">
        <f>IF(AND(I1655="",J1655="",K1655=""),"",IF(NOT(ISNUMBER(O1655)),"Bad amount",IF(O1655&lt;0,"Refund (not counted)",IF(O1655=0,"Zero amount",IF(NOT(ISNUMBER(N1655)),"Bad date",IF(P1655="","NAME NOT ON ROSTER",IF(L1655="","OK",IF(MATCH(L1655,$L$2:$L$3001,0)&lt;ROW()-1,"Duplicate (ignored)","OK"))))))))</f>
        <v/>
      </c>
      <c r="I1655">
        <f>IF(OC_Date=0,"",IF(INDEX('OneCause_Paste'!$A$1655:$AZ$1655,1,OC_Date)="","",INDEX('OneCause_Paste'!$A$1655:$AZ$1655,1,OC_Date)))</f>
        <v/>
      </c>
      <c r="J1655">
        <f>IF(OC_Amt=0,"",IF(INDEX('OneCause_Paste'!$A$1655:$AZ$1655,1,OC_Amt)="","",INDEX('OneCause_Paste'!$A$1655:$AZ$1655,1,OC_Amt)))</f>
        <v/>
      </c>
      <c r="K1655">
        <f>IF(OC_Name=0,"",IF(INDEX('OneCause_Paste'!$A$1655:$AZ$1655,1,OC_Name)="","",INDEX('OneCause_Paste'!$A$1655:$AZ$1655,1,OC_Name)))</f>
        <v/>
      </c>
      <c r="L1655">
        <f>IF(OC_Txn=0,"",IF(INDEX('OneCause_Paste'!$A$1655:$AZ$1655,1,OC_Txn)="","",INDEX('OneCause_Paste'!$A$1655:$AZ$1655,1,OC_Txn)))</f>
        <v/>
      </c>
      <c r="M1655">
        <f>IF(OC_Pay=0,"",IF(INDEX('OneCause_Paste'!$A$1655:$AZ$1655,1,OC_Pay)="","",INDEX('OneCause_Paste'!$A$1655:$AZ$1655,1,OC_Pay)))</f>
        <v/>
      </c>
      <c r="N1655">
        <f>IF(I1655="","",IF(ISNUMBER(I1655),INT(I1655),IFERROR(INT(DATEVALUE(I1655)),IFERROR(INT(VALUE(I1655)),"bad"))))</f>
        <v/>
      </c>
      <c r="O1655">
        <f>IF(J1655="","",IF(ISNUMBER(J1655),ROUND(J1655,2),IFERROR(ROUND(VALUE(SUBSTITUTE(SUBSTITUTE(SUBSTITUTE(J1655,"$",""),",","")," ","")),2),"bad")))</f>
        <v/>
      </c>
      <c r="P1655">
        <f>IF(TRIM(K1655)="","",IFERROR(MATCH(LOWER(TRIM(K1655)),'Students'!$AH$2:$AH$701,0),IFERROR(MATCH(LOWER(TRIM(K1655)),'Students'!$AF$2:$AF$701,0),IFERROR(MATCH(LOWER(TRIM(K1655)),'Students'!$AG$2:$AG$701,0),""))))</f>
        <v/>
      </c>
      <c r="R1655">
        <f>IF(P1655="","",INDEX('Students'!$AD$2:$AD$701,P1655))</f>
        <v/>
      </c>
      <c r="S1655">
        <f>IF(H1655="OK",O1655,0)</f>
        <v/>
      </c>
      <c r="T1655">
        <f>IF(H1655="OK",N1655,"")</f>
        <v/>
      </c>
      <c r="U1655">
        <f>IF(OC_Donor=0,"",IF(INDEX('OneCause_Paste'!$A$1655:$AZ$1655,1,OC_Donor)="","",INDEX('OneCause_Paste'!$A$1655:$AZ$1655,1,OC_Donor)))</f>
        <v/>
      </c>
    </row>
    <row r="1656">
      <c r="A1656" s="62">
        <f>IF(H1656="","",IF(ISNUMBER(N1656),N1656,I1656))</f>
        <v/>
      </c>
      <c r="B1656">
        <f>IF(H1656="","",U1656)</f>
        <v/>
      </c>
      <c r="C1656">
        <f>IF(H1656="","",IF(P1656="",K1656,INDEX('Students'!$A$2:$A$701,P1656)))</f>
        <v/>
      </c>
      <c r="D1656">
        <f>IF(OR(H1656="",P1656=""),"",INDEX('Students'!$B$2:$B$701,P1656))</f>
        <v/>
      </c>
      <c r="E1656">
        <f>IF(OR(H1656="",P1656=""),"",INDEX('Students'!$C$2:$C$701,P1656))</f>
        <v/>
      </c>
      <c r="F1656" s="48">
        <f>IF(H1656="","",IF(ISNUMBER(O1656),O1656,J1656))</f>
        <v/>
      </c>
      <c r="G1656">
        <f>IF(H1656="","","OneCause")</f>
        <v/>
      </c>
      <c r="H1656">
        <f>IF(AND(I1656="",J1656="",K1656=""),"",IF(NOT(ISNUMBER(O1656)),"Bad amount",IF(O1656&lt;0,"Refund (not counted)",IF(O1656=0,"Zero amount",IF(NOT(ISNUMBER(N1656)),"Bad date",IF(P1656="","NAME NOT ON ROSTER",IF(L1656="","OK",IF(MATCH(L1656,$L$2:$L$3001,0)&lt;ROW()-1,"Duplicate (ignored)","OK"))))))))</f>
        <v/>
      </c>
      <c r="I1656">
        <f>IF(OC_Date=0,"",IF(INDEX('OneCause_Paste'!$A$1656:$AZ$1656,1,OC_Date)="","",INDEX('OneCause_Paste'!$A$1656:$AZ$1656,1,OC_Date)))</f>
        <v/>
      </c>
      <c r="J1656">
        <f>IF(OC_Amt=0,"",IF(INDEX('OneCause_Paste'!$A$1656:$AZ$1656,1,OC_Amt)="","",INDEX('OneCause_Paste'!$A$1656:$AZ$1656,1,OC_Amt)))</f>
        <v/>
      </c>
      <c r="K1656">
        <f>IF(OC_Name=0,"",IF(INDEX('OneCause_Paste'!$A$1656:$AZ$1656,1,OC_Name)="","",INDEX('OneCause_Paste'!$A$1656:$AZ$1656,1,OC_Name)))</f>
        <v/>
      </c>
      <c r="L1656">
        <f>IF(OC_Txn=0,"",IF(INDEX('OneCause_Paste'!$A$1656:$AZ$1656,1,OC_Txn)="","",INDEX('OneCause_Paste'!$A$1656:$AZ$1656,1,OC_Txn)))</f>
        <v/>
      </c>
      <c r="M1656">
        <f>IF(OC_Pay=0,"",IF(INDEX('OneCause_Paste'!$A$1656:$AZ$1656,1,OC_Pay)="","",INDEX('OneCause_Paste'!$A$1656:$AZ$1656,1,OC_Pay)))</f>
        <v/>
      </c>
      <c r="N1656">
        <f>IF(I1656="","",IF(ISNUMBER(I1656),INT(I1656),IFERROR(INT(DATEVALUE(I1656)),IFERROR(INT(VALUE(I1656)),"bad"))))</f>
        <v/>
      </c>
      <c r="O1656">
        <f>IF(J1656="","",IF(ISNUMBER(J1656),ROUND(J1656,2),IFERROR(ROUND(VALUE(SUBSTITUTE(SUBSTITUTE(SUBSTITUTE(J1656,"$",""),",","")," ","")),2),"bad")))</f>
        <v/>
      </c>
      <c r="P1656">
        <f>IF(TRIM(K1656)="","",IFERROR(MATCH(LOWER(TRIM(K1656)),'Students'!$AH$2:$AH$701,0),IFERROR(MATCH(LOWER(TRIM(K1656)),'Students'!$AF$2:$AF$701,0),IFERROR(MATCH(LOWER(TRIM(K1656)),'Students'!$AG$2:$AG$701,0),""))))</f>
        <v/>
      </c>
      <c r="R1656">
        <f>IF(P1656="","",INDEX('Students'!$AD$2:$AD$701,P1656))</f>
        <v/>
      </c>
      <c r="S1656">
        <f>IF(H1656="OK",O1656,0)</f>
        <v/>
      </c>
      <c r="T1656">
        <f>IF(H1656="OK",N1656,"")</f>
        <v/>
      </c>
      <c r="U1656">
        <f>IF(OC_Donor=0,"",IF(INDEX('OneCause_Paste'!$A$1656:$AZ$1656,1,OC_Donor)="","",INDEX('OneCause_Paste'!$A$1656:$AZ$1656,1,OC_Donor)))</f>
        <v/>
      </c>
    </row>
    <row r="1657">
      <c r="A1657" s="62">
        <f>IF(H1657="","",IF(ISNUMBER(N1657),N1657,I1657))</f>
        <v/>
      </c>
      <c r="B1657">
        <f>IF(H1657="","",U1657)</f>
        <v/>
      </c>
      <c r="C1657">
        <f>IF(H1657="","",IF(P1657="",K1657,INDEX('Students'!$A$2:$A$701,P1657)))</f>
        <v/>
      </c>
      <c r="D1657">
        <f>IF(OR(H1657="",P1657=""),"",INDEX('Students'!$B$2:$B$701,P1657))</f>
        <v/>
      </c>
      <c r="E1657">
        <f>IF(OR(H1657="",P1657=""),"",INDEX('Students'!$C$2:$C$701,P1657))</f>
        <v/>
      </c>
      <c r="F1657" s="48">
        <f>IF(H1657="","",IF(ISNUMBER(O1657),O1657,J1657))</f>
        <v/>
      </c>
      <c r="G1657">
        <f>IF(H1657="","","OneCause")</f>
        <v/>
      </c>
      <c r="H1657">
        <f>IF(AND(I1657="",J1657="",K1657=""),"",IF(NOT(ISNUMBER(O1657)),"Bad amount",IF(O1657&lt;0,"Refund (not counted)",IF(O1657=0,"Zero amount",IF(NOT(ISNUMBER(N1657)),"Bad date",IF(P1657="","NAME NOT ON ROSTER",IF(L1657="","OK",IF(MATCH(L1657,$L$2:$L$3001,0)&lt;ROW()-1,"Duplicate (ignored)","OK"))))))))</f>
        <v/>
      </c>
      <c r="I1657">
        <f>IF(OC_Date=0,"",IF(INDEX('OneCause_Paste'!$A$1657:$AZ$1657,1,OC_Date)="","",INDEX('OneCause_Paste'!$A$1657:$AZ$1657,1,OC_Date)))</f>
        <v/>
      </c>
      <c r="J1657">
        <f>IF(OC_Amt=0,"",IF(INDEX('OneCause_Paste'!$A$1657:$AZ$1657,1,OC_Amt)="","",INDEX('OneCause_Paste'!$A$1657:$AZ$1657,1,OC_Amt)))</f>
        <v/>
      </c>
      <c r="K1657">
        <f>IF(OC_Name=0,"",IF(INDEX('OneCause_Paste'!$A$1657:$AZ$1657,1,OC_Name)="","",INDEX('OneCause_Paste'!$A$1657:$AZ$1657,1,OC_Name)))</f>
        <v/>
      </c>
      <c r="L1657">
        <f>IF(OC_Txn=0,"",IF(INDEX('OneCause_Paste'!$A$1657:$AZ$1657,1,OC_Txn)="","",INDEX('OneCause_Paste'!$A$1657:$AZ$1657,1,OC_Txn)))</f>
        <v/>
      </c>
      <c r="M1657">
        <f>IF(OC_Pay=0,"",IF(INDEX('OneCause_Paste'!$A$1657:$AZ$1657,1,OC_Pay)="","",INDEX('OneCause_Paste'!$A$1657:$AZ$1657,1,OC_Pay)))</f>
        <v/>
      </c>
      <c r="N1657">
        <f>IF(I1657="","",IF(ISNUMBER(I1657),INT(I1657),IFERROR(INT(DATEVALUE(I1657)),IFERROR(INT(VALUE(I1657)),"bad"))))</f>
        <v/>
      </c>
      <c r="O1657">
        <f>IF(J1657="","",IF(ISNUMBER(J1657),ROUND(J1657,2),IFERROR(ROUND(VALUE(SUBSTITUTE(SUBSTITUTE(SUBSTITUTE(J1657,"$",""),",","")," ","")),2),"bad")))</f>
        <v/>
      </c>
      <c r="P1657">
        <f>IF(TRIM(K1657)="","",IFERROR(MATCH(LOWER(TRIM(K1657)),'Students'!$AH$2:$AH$701,0),IFERROR(MATCH(LOWER(TRIM(K1657)),'Students'!$AF$2:$AF$701,0),IFERROR(MATCH(LOWER(TRIM(K1657)),'Students'!$AG$2:$AG$701,0),""))))</f>
        <v/>
      </c>
      <c r="R1657">
        <f>IF(P1657="","",INDEX('Students'!$AD$2:$AD$701,P1657))</f>
        <v/>
      </c>
      <c r="S1657">
        <f>IF(H1657="OK",O1657,0)</f>
        <v/>
      </c>
      <c r="T1657">
        <f>IF(H1657="OK",N1657,"")</f>
        <v/>
      </c>
      <c r="U1657">
        <f>IF(OC_Donor=0,"",IF(INDEX('OneCause_Paste'!$A$1657:$AZ$1657,1,OC_Donor)="","",INDEX('OneCause_Paste'!$A$1657:$AZ$1657,1,OC_Donor)))</f>
        <v/>
      </c>
    </row>
    <row r="1658">
      <c r="A1658" s="62">
        <f>IF(H1658="","",IF(ISNUMBER(N1658),N1658,I1658))</f>
        <v/>
      </c>
      <c r="B1658">
        <f>IF(H1658="","",U1658)</f>
        <v/>
      </c>
      <c r="C1658">
        <f>IF(H1658="","",IF(P1658="",K1658,INDEX('Students'!$A$2:$A$701,P1658)))</f>
        <v/>
      </c>
      <c r="D1658">
        <f>IF(OR(H1658="",P1658=""),"",INDEX('Students'!$B$2:$B$701,P1658))</f>
        <v/>
      </c>
      <c r="E1658">
        <f>IF(OR(H1658="",P1658=""),"",INDEX('Students'!$C$2:$C$701,P1658))</f>
        <v/>
      </c>
      <c r="F1658" s="48">
        <f>IF(H1658="","",IF(ISNUMBER(O1658),O1658,J1658))</f>
        <v/>
      </c>
      <c r="G1658">
        <f>IF(H1658="","","OneCause")</f>
        <v/>
      </c>
      <c r="H1658">
        <f>IF(AND(I1658="",J1658="",K1658=""),"",IF(NOT(ISNUMBER(O1658)),"Bad amount",IF(O1658&lt;0,"Refund (not counted)",IF(O1658=0,"Zero amount",IF(NOT(ISNUMBER(N1658)),"Bad date",IF(P1658="","NAME NOT ON ROSTER",IF(L1658="","OK",IF(MATCH(L1658,$L$2:$L$3001,0)&lt;ROW()-1,"Duplicate (ignored)","OK"))))))))</f>
        <v/>
      </c>
      <c r="I1658">
        <f>IF(OC_Date=0,"",IF(INDEX('OneCause_Paste'!$A$1658:$AZ$1658,1,OC_Date)="","",INDEX('OneCause_Paste'!$A$1658:$AZ$1658,1,OC_Date)))</f>
        <v/>
      </c>
      <c r="J1658">
        <f>IF(OC_Amt=0,"",IF(INDEX('OneCause_Paste'!$A$1658:$AZ$1658,1,OC_Amt)="","",INDEX('OneCause_Paste'!$A$1658:$AZ$1658,1,OC_Amt)))</f>
        <v/>
      </c>
      <c r="K1658">
        <f>IF(OC_Name=0,"",IF(INDEX('OneCause_Paste'!$A$1658:$AZ$1658,1,OC_Name)="","",INDEX('OneCause_Paste'!$A$1658:$AZ$1658,1,OC_Name)))</f>
        <v/>
      </c>
      <c r="L1658">
        <f>IF(OC_Txn=0,"",IF(INDEX('OneCause_Paste'!$A$1658:$AZ$1658,1,OC_Txn)="","",INDEX('OneCause_Paste'!$A$1658:$AZ$1658,1,OC_Txn)))</f>
        <v/>
      </c>
      <c r="M1658">
        <f>IF(OC_Pay=0,"",IF(INDEX('OneCause_Paste'!$A$1658:$AZ$1658,1,OC_Pay)="","",INDEX('OneCause_Paste'!$A$1658:$AZ$1658,1,OC_Pay)))</f>
        <v/>
      </c>
      <c r="N1658">
        <f>IF(I1658="","",IF(ISNUMBER(I1658),INT(I1658),IFERROR(INT(DATEVALUE(I1658)),IFERROR(INT(VALUE(I1658)),"bad"))))</f>
        <v/>
      </c>
      <c r="O1658">
        <f>IF(J1658="","",IF(ISNUMBER(J1658),ROUND(J1658,2),IFERROR(ROUND(VALUE(SUBSTITUTE(SUBSTITUTE(SUBSTITUTE(J1658,"$",""),",","")," ","")),2),"bad")))</f>
        <v/>
      </c>
      <c r="P1658">
        <f>IF(TRIM(K1658)="","",IFERROR(MATCH(LOWER(TRIM(K1658)),'Students'!$AH$2:$AH$701,0),IFERROR(MATCH(LOWER(TRIM(K1658)),'Students'!$AF$2:$AF$701,0),IFERROR(MATCH(LOWER(TRIM(K1658)),'Students'!$AG$2:$AG$701,0),""))))</f>
        <v/>
      </c>
      <c r="R1658">
        <f>IF(P1658="","",INDEX('Students'!$AD$2:$AD$701,P1658))</f>
        <v/>
      </c>
      <c r="S1658">
        <f>IF(H1658="OK",O1658,0)</f>
        <v/>
      </c>
      <c r="T1658">
        <f>IF(H1658="OK",N1658,"")</f>
        <v/>
      </c>
      <c r="U1658">
        <f>IF(OC_Donor=0,"",IF(INDEX('OneCause_Paste'!$A$1658:$AZ$1658,1,OC_Donor)="","",INDEX('OneCause_Paste'!$A$1658:$AZ$1658,1,OC_Donor)))</f>
        <v/>
      </c>
    </row>
    <row r="1659">
      <c r="A1659" s="62">
        <f>IF(H1659="","",IF(ISNUMBER(N1659),N1659,I1659))</f>
        <v/>
      </c>
      <c r="B1659">
        <f>IF(H1659="","",U1659)</f>
        <v/>
      </c>
      <c r="C1659">
        <f>IF(H1659="","",IF(P1659="",K1659,INDEX('Students'!$A$2:$A$701,P1659)))</f>
        <v/>
      </c>
      <c r="D1659">
        <f>IF(OR(H1659="",P1659=""),"",INDEX('Students'!$B$2:$B$701,P1659))</f>
        <v/>
      </c>
      <c r="E1659">
        <f>IF(OR(H1659="",P1659=""),"",INDEX('Students'!$C$2:$C$701,P1659))</f>
        <v/>
      </c>
      <c r="F1659" s="48">
        <f>IF(H1659="","",IF(ISNUMBER(O1659),O1659,J1659))</f>
        <v/>
      </c>
      <c r="G1659">
        <f>IF(H1659="","","OneCause")</f>
        <v/>
      </c>
      <c r="H1659">
        <f>IF(AND(I1659="",J1659="",K1659=""),"",IF(NOT(ISNUMBER(O1659)),"Bad amount",IF(O1659&lt;0,"Refund (not counted)",IF(O1659=0,"Zero amount",IF(NOT(ISNUMBER(N1659)),"Bad date",IF(P1659="","NAME NOT ON ROSTER",IF(L1659="","OK",IF(MATCH(L1659,$L$2:$L$3001,0)&lt;ROW()-1,"Duplicate (ignored)","OK"))))))))</f>
        <v/>
      </c>
      <c r="I1659">
        <f>IF(OC_Date=0,"",IF(INDEX('OneCause_Paste'!$A$1659:$AZ$1659,1,OC_Date)="","",INDEX('OneCause_Paste'!$A$1659:$AZ$1659,1,OC_Date)))</f>
        <v/>
      </c>
      <c r="J1659">
        <f>IF(OC_Amt=0,"",IF(INDEX('OneCause_Paste'!$A$1659:$AZ$1659,1,OC_Amt)="","",INDEX('OneCause_Paste'!$A$1659:$AZ$1659,1,OC_Amt)))</f>
        <v/>
      </c>
      <c r="K1659">
        <f>IF(OC_Name=0,"",IF(INDEX('OneCause_Paste'!$A$1659:$AZ$1659,1,OC_Name)="","",INDEX('OneCause_Paste'!$A$1659:$AZ$1659,1,OC_Name)))</f>
        <v/>
      </c>
      <c r="L1659">
        <f>IF(OC_Txn=0,"",IF(INDEX('OneCause_Paste'!$A$1659:$AZ$1659,1,OC_Txn)="","",INDEX('OneCause_Paste'!$A$1659:$AZ$1659,1,OC_Txn)))</f>
        <v/>
      </c>
      <c r="M1659">
        <f>IF(OC_Pay=0,"",IF(INDEX('OneCause_Paste'!$A$1659:$AZ$1659,1,OC_Pay)="","",INDEX('OneCause_Paste'!$A$1659:$AZ$1659,1,OC_Pay)))</f>
        <v/>
      </c>
      <c r="N1659">
        <f>IF(I1659="","",IF(ISNUMBER(I1659),INT(I1659),IFERROR(INT(DATEVALUE(I1659)),IFERROR(INT(VALUE(I1659)),"bad"))))</f>
        <v/>
      </c>
      <c r="O1659">
        <f>IF(J1659="","",IF(ISNUMBER(J1659),ROUND(J1659,2),IFERROR(ROUND(VALUE(SUBSTITUTE(SUBSTITUTE(SUBSTITUTE(J1659,"$",""),",","")," ","")),2),"bad")))</f>
        <v/>
      </c>
      <c r="P1659">
        <f>IF(TRIM(K1659)="","",IFERROR(MATCH(LOWER(TRIM(K1659)),'Students'!$AH$2:$AH$701,0),IFERROR(MATCH(LOWER(TRIM(K1659)),'Students'!$AF$2:$AF$701,0),IFERROR(MATCH(LOWER(TRIM(K1659)),'Students'!$AG$2:$AG$701,0),""))))</f>
        <v/>
      </c>
      <c r="R1659">
        <f>IF(P1659="","",INDEX('Students'!$AD$2:$AD$701,P1659))</f>
        <v/>
      </c>
      <c r="S1659">
        <f>IF(H1659="OK",O1659,0)</f>
        <v/>
      </c>
      <c r="T1659">
        <f>IF(H1659="OK",N1659,"")</f>
        <v/>
      </c>
      <c r="U1659">
        <f>IF(OC_Donor=0,"",IF(INDEX('OneCause_Paste'!$A$1659:$AZ$1659,1,OC_Donor)="","",INDEX('OneCause_Paste'!$A$1659:$AZ$1659,1,OC_Donor)))</f>
        <v/>
      </c>
    </row>
    <row r="1660">
      <c r="A1660" s="62">
        <f>IF(H1660="","",IF(ISNUMBER(N1660),N1660,I1660))</f>
        <v/>
      </c>
      <c r="B1660">
        <f>IF(H1660="","",U1660)</f>
        <v/>
      </c>
      <c r="C1660">
        <f>IF(H1660="","",IF(P1660="",K1660,INDEX('Students'!$A$2:$A$701,P1660)))</f>
        <v/>
      </c>
      <c r="D1660">
        <f>IF(OR(H1660="",P1660=""),"",INDEX('Students'!$B$2:$B$701,P1660))</f>
        <v/>
      </c>
      <c r="E1660">
        <f>IF(OR(H1660="",P1660=""),"",INDEX('Students'!$C$2:$C$701,P1660))</f>
        <v/>
      </c>
      <c r="F1660" s="48">
        <f>IF(H1660="","",IF(ISNUMBER(O1660),O1660,J1660))</f>
        <v/>
      </c>
      <c r="G1660">
        <f>IF(H1660="","","OneCause")</f>
        <v/>
      </c>
      <c r="H1660">
        <f>IF(AND(I1660="",J1660="",K1660=""),"",IF(NOT(ISNUMBER(O1660)),"Bad amount",IF(O1660&lt;0,"Refund (not counted)",IF(O1660=0,"Zero amount",IF(NOT(ISNUMBER(N1660)),"Bad date",IF(P1660="","NAME NOT ON ROSTER",IF(L1660="","OK",IF(MATCH(L1660,$L$2:$L$3001,0)&lt;ROW()-1,"Duplicate (ignored)","OK"))))))))</f>
        <v/>
      </c>
      <c r="I1660">
        <f>IF(OC_Date=0,"",IF(INDEX('OneCause_Paste'!$A$1660:$AZ$1660,1,OC_Date)="","",INDEX('OneCause_Paste'!$A$1660:$AZ$1660,1,OC_Date)))</f>
        <v/>
      </c>
      <c r="J1660">
        <f>IF(OC_Amt=0,"",IF(INDEX('OneCause_Paste'!$A$1660:$AZ$1660,1,OC_Amt)="","",INDEX('OneCause_Paste'!$A$1660:$AZ$1660,1,OC_Amt)))</f>
        <v/>
      </c>
      <c r="K1660">
        <f>IF(OC_Name=0,"",IF(INDEX('OneCause_Paste'!$A$1660:$AZ$1660,1,OC_Name)="","",INDEX('OneCause_Paste'!$A$1660:$AZ$1660,1,OC_Name)))</f>
        <v/>
      </c>
      <c r="L1660">
        <f>IF(OC_Txn=0,"",IF(INDEX('OneCause_Paste'!$A$1660:$AZ$1660,1,OC_Txn)="","",INDEX('OneCause_Paste'!$A$1660:$AZ$1660,1,OC_Txn)))</f>
        <v/>
      </c>
      <c r="M1660">
        <f>IF(OC_Pay=0,"",IF(INDEX('OneCause_Paste'!$A$1660:$AZ$1660,1,OC_Pay)="","",INDEX('OneCause_Paste'!$A$1660:$AZ$1660,1,OC_Pay)))</f>
        <v/>
      </c>
      <c r="N1660">
        <f>IF(I1660="","",IF(ISNUMBER(I1660),INT(I1660),IFERROR(INT(DATEVALUE(I1660)),IFERROR(INT(VALUE(I1660)),"bad"))))</f>
        <v/>
      </c>
      <c r="O1660">
        <f>IF(J1660="","",IF(ISNUMBER(J1660),ROUND(J1660,2),IFERROR(ROUND(VALUE(SUBSTITUTE(SUBSTITUTE(SUBSTITUTE(J1660,"$",""),",","")," ","")),2),"bad")))</f>
        <v/>
      </c>
      <c r="P1660">
        <f>IF(TRIM(K1660)="","",IFERROR(MATCH(LOWER(TRIM(K1660)),'Students'!$AH$2:$AH$701,0),IFERROR(MATCH(LOWER(TRIM(K1660)),'Students'!$AF$2:$AF$701,0),IFERROR(MATCH(LOWER(TRIM(K1660)),'Students'!$AG$2:$AG$701,0),""))))</f>
        <v/>
      </c>
      <c r="R1660">
        <f>IF(P1660="","",INDEX('Students'!$AD$2:$AD$701,P1660))</f>
        <v/>
      </c>
      <c r="S1660">
        <f>IF(H1660="OK",O1660,0)</f>
        <v/>
      </c>
      <c r="T1660">
        <f>IF(H1660="OK",N1660,"")</f>
        <v/>
      </c>
      <c r="U1660">
        <f>IF(OC_Donor=0,"",IF(INDEX('OneCause_Paste'!$A$1660:$AZ$1660,1,OC_Donor)="","",INDEX('OneCause_Paste'!$A$1660:$AZ$1660,1,OC_Donor)))</f>
        <v/>
      </c>
    </row>
    <row r="1661">
      <c r="A1661" s="62">
        <f>IF(H1661="","",IF(ISNUMBER(N1661),N1661,I1661))</f>
        <v/>
      </c>
      <c r="B1661">
        <f>IF(H1661="","",U1661)</f>
        <v/>
      </c>
      <c r="C1661">
        <f>IF(H1661="","",IF(P1661="",K1661,INDEX('Students'!$A$2:$A$701,P1661)))</f>
        <v/>
      </c>
      <c r="D1661">
        <f>IF(OR(H1661="",P1661=""),"",INDEX('Students'!$B$2:$B$701,P1661))</f>
        <v/>
      </c>
      <c r="E1661">
        <f>IF(OR(H1661="",P1661=""),"",INDEX('Students'!$C$2:$C$701,P1661))</f>
        <v/>
      </c>
      <c r="F1661" s="48">
        <f>IF(H1661="","",IF(ISNUMBER(O1661),O1661,J1661))</f>
        <v/>
      </c>
      <c r="G1661">
        <f>IF(H1661="","","OneCause")</f>
        <v/>
      </c>
      <c r="H1661">
        <f>IF(AND(I1661="",J1661="",K1661=""),"",IF(NOT(ISNUMBER(O1661)),"Bad amount",IF(O1661&lt;0,"Refund (not counted)",IF(O1661=0,"Zero amount",IF(NOT(ISNUMBER(N1661)),"Bad date",IF(P1661="","NAME NOT ON ROSTER",IF(L1661="","OK",IF(MATCH(L1661,$L$2:$L$3001,0)&lt;ROW()-1,"Duplicate (ignored)","OK"))))))))</f>
        <v/>
      </c>
      <c r="I1661">
        <f>IF(OC_Date=0,"",IF(INDEX('OneCause_Paste'!$A$1661:$AZ$1661,1,OC_Date)="","",INDEX('OneCause_Paste'!$A$1661:$AZ$1661,1,OC_Date)))</f>
        <v/>
      </c>
      <c r="J1661">
        <f>IF(OC_Amt=0,"",IF(INDEX('OneCause_Paste'!$A$1661:$AZ$1661,1,OC_Amt)="","",INDEX('OneCause_Paste'!$A$1661:$AZ$1661,1,OC_Amt)))</f>
        <v/>
      </c>
      <c r="K1661">
        <f>IF(OC_Name=0,"",IF(INDEX('OneCause_Paste'!$A$1661:$AZ$1661,1,OC_Name)="","",INDEX('OneCause_Paste'!$A$1661:$AZ$1661,1,OC_Name)))</f>
        <v/>
      </c>
      <c r="L1661">
        <f>IF(OC_Txn=0,"",IF(INDEX('OneCause_Paste'!$A$1661:$AZ$1661,1,OC_Txn)="","",INDEX('OneCause_Paste'!$A$1661:$AZ$1661,1,OC_Txn)))</f>
        <v/>
      </c>
      <c r="M1661">
        <f>IF(OC_Pay=0,"",IF(INDEX('OneCause_Paste'!$A$1661:$AZ$1661,1,OC_Pay)="","",INDEX('OneCause_Paste'!$A$1661:$AZ$1661,1,OC_Pay)))</f>
        <v/>
      </c>
      <c r="N1661">
        <f>IF(I1661="","",IF(ISNUMBER(I1661),INT(I1661),IFERROR(INT(DATEVALUE(I1661)),IFERROR(INT(VALUE(I1661)),"bad"))))</f>
        <v/>
      </c>
      <c r="O1661">
        <f>IF(J1661="","",IF(ISNUMBER(J1661),ROUND(J1661,2),IFERROR(ROUND(VALUE(SUBSTITUTE(SUBSTITUTE(SUBSTITUTE(J1661,"$",""),",","")," ","")),2),"bad")))</f>
        <v/>
      </c>
      <c r="P1661">
        <f>IF(TRIM(K1661)="","",IFERROR(MATCH(LOWER(TRIM(K1661)),'Students'!$AH$2:$AH$701,0),IFERROR(MATCH(LOWER(TRIM(K1661)),'Students'!$AF$2:$AF$701,0),IFERROR(MATCH(LOWER(TRIM(K1661)),'Students'!$AG$2:$AG$701,0),""))))</f>
        <v/>
      </c>
      <c r="R1661">
        <f>IF(P1661="","",INDEX('Students'!$AD$2:$AD$701,P1661))</f>
        <v/>
      </c>
      <c r="S1661">
        <f>IF(H1661="OK",O1661,0)</f>
        <v/>
      </c>
      <c r="T1661">
        <f>IF(H1661="OK",N1661,"")</f>
        <v/>
      </c>
      <c r="U1661">
        <f>IF(OC_Donor=0,"",IF(INDEX('OneCause_Paste'!$A$1661:$AZ$1661,1,OC_Donor)="","",INDEX('OneCause_Paste'!$A$1661:$AZ$1661,1,OC_Donor)))</f>
        <v/>
      </c>
    </row>
    <row r="1662">
      <c r="A1662" s="62">
        <f>IF(H1662="","",IF(ISNUMBER(N1662),N1662,I1662))</f>
        <v/>
      </c>
      <c r="B1662">
        <f>IF(H1662="","",U1662)</f>
        <v/>
      </c>
      <c r="C1662">
        <f>IF(H1662="","",IF(P1662="",K1662,INDEX('Students'!$A$2:$A$701,P1662)))</f>
        <v/>
      </c>
      <c r="D1662">
        <f>IF(OR(H1662="",P1662=""),"",INDEX('Students'!$B$2:$B$701,P1662))</f>
        <v/>
      </c>
      <c r="E1662">
        <f>IF(OR(H1662="",P1662=""),"",INDEX('Students'!$C$2:$C$701,P1662))</f>
        <v/>
      </c>
      <c r="F1662" s="48">
        <f>IF(H1662="","",IF(ISNUMBER(O1662),O1662,J1662))</f>
        <v/>
      </c>
      <c r="G1662">
        <f>IF(H1662="","","OneCause")</f>
        <v/>
      </c>
      <c r="H1662">
        <f>IF(AND(I1662="",J1662="",K1662=""),"",IF(NOT(ISNUMBER(O1662)),"Bad amount",IF(O1662&lt;0,"Refund (not counted)",IF(O1662=0,"Zero amount",IF(NOT(ISNUMBER(N1662)),"Bad date",IF(P1662="","NAME NOT ON ROSTER",IF(L1662="","OK",IF(MATCH(L1662,$L$2:$L$3001,0)&lt;ROW()-1,"Duplicate (ignored)","OK"))))))))</f>
        <v/>
      </c>
      <c r="I1662">
        <f>IF(OC_Date=0,"",IF(INDEX('OneCause_Paste'!$A$1662:$AZ$1662,1,OC_Date)="","",INDEX('OneCause_Paste'!$A$1662:$AZ$1662,1,OC_Date)))</f>
        <v/>
      </c>
      <c r="J1662">
        <f>IF(OC_Amt=0,"",IF(INDEX('OneCause_Paste'!$A$1662:$AZ$1662,1,OC_Amt)="","",INDEX('OneCause_Paste'!$A$1662:$AZ$1662,1,OC_Amt)))</f>
        <v/>
      </c>
      <c r="K1662">
        <f>IF(OC_Name=0,"",IF(INDEX('OneCause_Paste'!$A$1662:$AZ$1662,1,OC_Name)="","",INDEX('OneCause_Paste'!$A$1662:$AZ$1662,1,OC_Name)))</f>
        <v/>
      </c>
      <c r="L1662">
        <f>IF(OC_Txn=0,"",IF(INDEX('OneCause_Paste'!$A$1662:$AZ$1662,1,OC_Txn)="","",INDEX('OneCause_Paste'!$A$1662:$AZ$1662,1,OC_Txn)))</f>
        <v/>
      </c>
      <c r="M1662">
        <f>IF(OC_Pay=0,"",IF(INDEX('OneCause_Paste'!$A$1662:$AZ$1662,1,OC_Pay)="","",INDEX('OneCause_Paste'!$A$1662:$AZ$1662,1,OC_Pay)))</f>
        <v/>
      </c>
      <c r="N1662">
        <f>IF(I1662="","",IF(ISNUMBER(I1662),INT(I1662),IFERROR(INT(DATEVALUE(I1662)),IFERROR(INT(VALUE(I1662)),"bad"))))</f>
        <v/>
      </c>
      <c r="O1662">
        <f>IF(J1662="","",IF(ISNUMBER(J1662),ROUND(J1662,2),IFERROR(ROUND(VALUE(SUBSTITUTE(SUBSTITUTE(SUBSTITUTE(J1662,"$",""),",","")," ","")),2),"bad")))</f>
        <v/>
      </c>
      <c r="P1662">
        <f>IF(TRIM(K1662)="","",IFERROR(MATCH(LOWER(TRIM(K1662)),'Students'!$AH$2:$AH$701,0),IFERROR(MATCH(LOWER(TRIM(K1662)),'Students'!$AF$2:$AF$701,0),IFERROR(MATCH(LOWER(TRIM(K1662)),'Students'!$AG$2:$AG$701,0),""))))</f>
        <v/>
      </c>
      <c r="R1662">
        <f>IF(P1662="","",INDEX('Students'!$AD$2:$AD$701,P1662))</f>
        <v/>
      </c>
      <c r="S1662">
        <f>IF(H1662="OK",O1662,0)</f>
        <v/>
      </c>
      <c r="T1662">
        <f>IF(H1662="OK",N1662,"")</f>
        <v/>
      </c>
      <c r="U1662">
        <f>IF(OC_Donor=0,"",IF(INDEX('OneCause_Paste'!$A$1662:$AZ$1662,1,OC_Donor)="","",INDEX('OneCause_Paste'!$A$1662:$AZ$1662,1,OC_Donor)))</f>
        <v/>
      </c>
    </row>
    <row r="1663">
      <c r="A1663" s="62">
        <f>IF(H1663="","",IF(ISNUMBER(N1663),N1663,I1663))</f>
        <v/>
      </c>
      <c r="B1663">
        <f>IF(H1663="","",U1663)</f>
        <v/>
      </c>
      <c r="C1663">
        <f>IF(H1663="","",IF(P1663="",K1663,INDEX('Students'!$A$2:$A$701,P1663)))</f>
        <v/>
      </c>
      <c r="D1663">
        <f>IF(OR(H1663="",P1663=""),"",INDEX('Students'!$B$2:$B$701,P1663))</f>
        <v/>
      </c>
      <c r="E1663">
        <f>IF(OR(H1663="",P1663=""),"",INDEX('Students'!$C$2:$C$701,P1663))</f>
        <v/>
      </c>
      <c r="F1663" s="48">
        <f>IF(H1663="","",IF(ISNUMBER(O1663),O1663,J1663))</f>
        <v/>
      </c>
      <c r="G1663">
        <f>IF(H1663="","","OneCause")</f>
        <v/>
      </c>
      <c r="H1663">
        <f>IF(AND(I1663="",J1663="",K1663=""),"",IF(NOT(ISNUMBER(O1663)),"Bad amount",IF(O1663&lt;0,"Refund (not counted)",IF(O1663=0,"Zero amount",IF(NOT(ISNUMBER(N1663)),"Bad date",IF(P1663="","NAME NOT ON ROSTER",IF(L1663="","OK",IF(MATCH(L1663,$L$2:$L$3001,0)&lt;ROW()-1,"Duplicate (ignored)","OK"))))))))</f>
        <v/>
      </c>
      <c r="I1663">
        <f>IF(OC_Date=0,"",IF(INDEX('OneCause_Paste'!$A$1663:$AZ$1663,1,OC_Date)="","",INDEX('OneCause_Paste'!$A$1663:$AZ$1663,1,OC_Date)))</f>
        <v/>
      </c>
      <c r="J1663">
        <f>IF(OC_Amt=0,"",IF(INDEX('OneCause_Paste'!$A$1663:$AZ$1663,1,OC_Amt)="","",INDEX('OneCause_Paste'!$A$1663:$AZ$1663,1,OC_Amt)))</f>
        <v/>
      </c>
      <c r="K1663">
        <f>IF(OC_Name=0,"",IF(INDEX('OneCause_Paste'!$A$1663:$AZ$1663,1,OC_Name)="","",INDEX('OneCause_Paste'!$A$1663:$AZ$1663,1,OC_Name)))</f>
        <v/>
      </c>
      <c r="L1663">
        <f>IF(OC_Txn=0,"",IF(INDEX('OneCause_Paste'!$A$1663:$AZ$1663,1,OC_Txn)="","",INDEX('OneCause_Paste'!$A$1663:$AZ$1663,1,OC_Txn)))</f>
        <v/>
      </c>
      <c r="M1663">
        <f>IF(OC_Pay=0,"",IF(INDEX('OneCause_Paste'!$A$1663:$AZ$1663,1,OC_Pay)="","",INDEX('OneCause_Paste'!$A$1663:$AZ$1663,1,OC_Pay)))</f>
        <v/>
      </c>
      <c r="N1663">
        <f>IF(I1663="","",IF(ISNUMBER(I1663),INT(I1663),IFERROR(INT(DATEVALUE(I1663)),IFERROR(INT(VALUE(I1663)),"bad"))))</f>
        <v/>
      </c>
      <c r="O1663">
        <f>IF(J1663="","",IF(ISNUMBER(J1663),ROUND(J1663,2),IFERROR(ROUND(VALUE(SUBSTITUTE(SUBSTITUTE(SUBSTITUTE(J1663,"$",""),",","")," ","")),2),"bad")))</f>
        <v/>
      </c>
      <c r="P1663">
        <f>IF(TRIM(K1663)="","",IFERROR(MATCH(LOWER(TRIM(K1663)),'Students'!$AH$2:$AH$701,0),IFERROR(MATCH(LOWER(TRIM(K1663)),'Students'!$AF$2:$AF$701,0),IFERROR(MATCH(LOWER(TRIM(K1663)),'Students'!$AG$2:$AG$701,0),""))))</f>
        <v/>
      </c>
      <c r="R1663">
        <f>IF(P1663="","",INDEX('Students'!$AD$2:$AD$701,P1663))</f>
        <v/>
      </c>
      <c r="S1663">
        <f>IF(H1663="OK",O1663,0)</f>
        <v/>
      </c>
      <c r="T1663">
        <f>IF(H1663="OK",N1663,"")</f>
        <v/>
      </c>
      <c r="U1663">
        <f>IF(OC_Donor=0,"",IF(INDEX('OneCause_Paste'!$A$1663:$AZ$1663,1,OC_Donor)="","",INDEX('OneCause_Paste'!$A$1663:$AZ$1663,1,OC_Donor)))</f>
        <v/>
      </c>
    </row>
    <row r="1664">
      <c r="A1664" s="62">
        <f>IF(H1664="","",IF(ISNUMBER(N1664),N1664,I1664))</f>
        <v/>
      </c>
      <c r="B1664">
        <f>IF(H1664="","",U1664)</f>
        <v/>
      </c>
      <c r="C1664">
        <f>IF(H1664="","",IF(P1664="",K1664,INDEX('Students'!$A$2:$A$701,P1664)))</f>
        <v/>
      </c>
      <c r="D1664">
        <f>IF(OR(H1664="",P1664=""),"",INDEX('Students'!$B$2:$B$701,P1664))</f>
        <v/>
      </c>
      <c r="E1664">
        <f>IF(OR(H1664="",P1664=""),"",INDEX('Students'!$C$2:$C$701,P1664))</f>
        <v/>
      </c>
      <c r="F1664" s="48">
        <f>IF(H1664="","",IF(ISNUMBER(O1664),O1664,J1664))</f>
        <v/>
      </c>
      <c r="G1664">
        <f>IF(H1664="","","OneCause")</f>
        <v/>
      </c>
      <c r="H1664">
        <f>IF(AND(I1664="",J1664="",K1664=""),"",IF(NOT(ISNUMBER(O1664)),"Bad amount",IF(O1664&lt;0,"Refund (not counted)",IF(O1664=0,"Zero amount",IF(NOT(ISNUMBER(N1664)),"Bad date",IF(P1664="","NAME NOT ON ROSTER",IF(L1664="","OK",IF(MATCH(L1664,$L$2:$L$3001,0)&lt;ROW()-1,"Duplicate (ignored)","OK"))))))))</f>
        <v/>
      </c>
      <c r="I1664">
        <f>IF(OC_Date=0,"",IF(INDEX('OneCause_Paste'!$A$1664:$AZ$1664,1,OC_Date)="","",INDEX('OneCause_Paste'!$A$1664:$AZ$1664,1,OC_Date)))</f>
        <v/>
      </c>
      <c r="J1664">
        <f>IF(OC_Amt=0,"",IF(INDEX('OneCause_Paste'!$A$1664:$AZ$1664,1,OC_Amt)="","",INDEX('OneCause_Paste'!$A$1664:$AZ$1664,1,OC_Amt)))</f>
        <v/>
      </c>
      <c r="K1664">
        <f>IF(OC_Name=0,"",IF(INDEX('OneCause_Paste'!$A$1664:$AZ$1664,1,OC_Name)="","",INDEX('OneCause_Paste'!$A$1664:$AZ$1664,1,OC_Name)))</f>
        <v/>
      </c>
      <c r="L1664">
        <f>IF(OC_Txn=0,"",IF(INDEX('OneCause_Paste'!$A$1664:$AZ$1664,1,OC_Txn)="","",INDEX('OneCause_Paste'!$A$1664:$AZ$1664,1,OC_Txn)))</f>
        <v/>
      </c>
      <c r="M1664">
        <f>IF(OC_Pay=0,"",IF(INDEX('OneCause_Paste'!$A$1664:$AZ$1664,1,OC_Pay)="","",INDEX('OneCause_Paste'!$A$1664:$AZ$1664,1,OC_Pay)))</f>
        <v/>
      </c>
      <c r="N1664">
        <f>IF(I1664="","",IF(ISNUMBER(I1664),INT(I1664),IFERROR(INT(DATEVALUE(I1664)),IFERROR(INT(VALUE(I1664)),"bad"))))</f>
        <v/>
      </c>
      <c r="O1664">
        <f>IF(J1664="","",IF(ISNUMBER(J1664),ROUND(J1664,2),IFERROR(ROUND(VALUE(SUBSTITUTE(SUBSTITUTE(SUBSTITUTE(J1664,"$",""),",","")," ","")),2),"bad")))</f>
        <v/>
      </c>
      <c r="P1664">
        <f>IF(TRIM(K1664)="","",IFERROR(MATCH(LOWER(TRIM(K1664)),'Students'!$AH$2:$AH$701,0),IFERROR(MATCH(LOWER(TRIM(K1664)),'Students'!$AF$2:$AF$701,0),IFERROR(MATCH(LOWER(TRIM(K1664)),'Students'!$AG$2:$AG$701,0),""))))</f>
        <v/>
      </c>
      <c r="R1664">
        <f>IF(P1664="","",INDEX('Students'!$AD$2:$AD$701,P1664))</f>
        <v/>
      </c>
      <c r="S1664">
        <f>IF(H1664="OK",O1664,0)</f>
        <v/>
      </c>
      <c r="T1664">
        <f>IF(H1664="OK",N1664,"")</f>
        <v/>
      </c>
      <c r="U1664">
        <f>IF(OC_Donor=0,"",IF(INDEX('OneCause_Paste'!$A$1664:$AZ$1664,1,OC_Donor)="","",INDEX('OneCause_Paste'!$A$1664:$AZ$1664,1,OC_Donor)))</f>
        <v/>
      </c>
    </row>
    <row r="1665">
      <c r="A1665" s="62">
        <f>IF(H1665="","",IF(ISNUMBER(N1665),N1665,I1665))</f>
        <v/>
      </c>
      <c r="B1665">
        <f>IF(H1665="","",U1665)</f>
        <v/>
      </c>
      <c r="C1665">
        <f>IF(H1665="","",IF(P1665="",K1665,INDEX('Students'!$A$2:$A$701,P1665)))</f>
        <v/>
      </c>
      <c r="D1665">
        <f>IF(OR(H1665="",P1665=""),"",INDEX('Students'!$B$2:$B$701,P1665))</f>
        <v/>
      </c>
      <c r="E1665">
        <f>IF(OR(H1665="",P1665=""),"",INDEX('Students'!$C$2:$C$701,P1665))</f>
        <v/>
      </c>
      <c r="F1665" s="48">
        <f>IF(H1665="","",IF(ISNUMBER(O1665),O1665,J1665))</f>
        <v/>
      </c>
      <c r="G1665">
        <f>IF(H1665="","","OneCause")</f>
        <v/>
      </c>
      <c r="H1665">
        <f>IF(AND(I1665="",J1665="",K1665=""),"",IF(NOT(ISNUMBER(O1665)),"Bad amount",IF(O1665&lt;0,"Refund (not counted)",IF(O1665=0,"Zero amount",IF(NOT(ISNUMBER(N1665)),"Bad date",IF(P1665="","NAME NOT ON ROSTER",IF(L1665="","OK",IF(MATCH(L1665,$L$2:$L$3001,0)&lt;ROW()-1,"Duplicate (ignored)","OK"))))))))</f>
        <v/>
      </c>
      <c r="I1665">
        <f>IF(OC_Date=0,"",IF(INDEX('OneCause_Paste'!$A$1665:$AZ$1665,1,OC_Date)="","",INDEX('OneCause_Paste'!$A$1665:$AZ$1665,1,OC_Date)))</f>
        <v/>
      </c>
      <c r="J1665">
        <f>IF(OC_Amt=0,"",IF(INDEX('OneCause_Paste'!$A$1665:$AZ$1665,1,OC_Amt)="","",INDEX('OneCause_Paste'!$A$1665:$AZ$1665,1,OC_Amt)))</f>
        <v/>
      </c>
      <c r="K1665">
        <f>IF(OC_Name=0,"",IF(INDEX('OneCause_Paste'!$A$1665:$AZ$1665,1,OC_Name)="","",INDEX('OneCause_Paste'!$A$1665:$AZ$1665,1,OC_Name)))</f>
        <v/>
      </c>
      <c r="L1665">
        <f>IF(OC_Txn=0,"",IF(INDEX('OneCause_Paste'!$A$1665:$AZ$1665,1,OC_Txn)="","",INDEX('OneCause_Paste'!$A$1665:$AZ$1665,1,OC_Txn)))</f>
        <v/>
      </c>
      <c r="M1665">
        <f>IF(OC_Pay=0,"",IF(INDEX('OneCause_Paste'!$A$1665:$AZ$1665,1,OC_Pay)="","",INDEX('OneCause_Paste'!$A$1665:$AZ$1665,1,OC_Pay)))</f>
        <v/>
      </c>
      <c r="N1665">
        <f>IF(I1665="","",IF(ISNUMBER(I1665),INT(I1665),IFERROR(INT(DATEVALUE(I1665)),IFERROR(INT(VALUE(I1665)),"bad"))))</f>
        <v/>
      </c>
      <c r="O1665">
        <f>IF(J1665="","",IF(ISNUMBER(J1665),ROUND(J1665,2),IFERROR(ROUND(VALUE(SUBSTITUTE(SUBSTITUTE(SUBSTITUTE(J1665,"$",""),",","")," ","")),2),"bad")))</f>
        <v/>
      </c>
      <c r="P1665">
        <f>IF(TRIM(K1665)="","",IFERROR(MATCH(LOWER(TRIM(K1665)),'Students'!$AH$2:$AH$701,0),IFERROR(MATCH(LOWER(TRIM(K1665)),'Students'!$AF$2:$AF$701,0),IFERROR(MATCH(LOWER(TRIM(K1665)),'Students'!$AG$2:$AG$701,0),""))))</f>
        <v/>
      </c>
      <c r="R1665">
        <f>IF(P1665="","",INDEX('Students'!$AD$2:$AD$701,P1665))</f>
        <v/>
      </c>
      <c r="S1665">
        <f>IF(H1665="OK",O1665,0)</f>
        <v/>
      </c>
      <c r="T1665">
        <f>IF(H1665="OK",N1665,"")</f>
        <v/>
      </c>
      <c r="U1665">
        <f>IF(OC_Donor=0,"",IF(INDEX('OneCause_Paste'!$A$1665:$AZ$1665,1,OC_Donor)="","",INDEX('OneCause_Paste'!$A$1665:$AZ$1665,1,OC_Donor)))</f>
        <v/>
      </c>
    </row>
    <row r="1666">
      <c r="A1666" s="62">
        <f>IF(H1666="","",IF(ISNUMBER(N1666),N1666,I1666))</f>
        <v/>
      </c>
      <c r="B1666">
        <f>IF(H1666="","",U1666)</f>
        <v/>
      </c>
      <c r="C1666">
        <f>IF(H1666="","",IF(P1666="",K1666,INDEX('Students'!$A$2:$A$701,P1666)))</f>
        <v/>
      </c>
      <c r="D1666">
        <f>IF(OR(H1666="",P1666=""),"",INDEX('Students'!$B$2:$B$701,P1666))</f>
        <v/>
      </c>
      <c r="E1666">
        <f>IF(OR(H1666="",P1666=""),"",INDEX('Students'!$C$2:$C$701,P1666))</f>
        <v/>
      </c>
      <c r="F1666" s="48">
        <f>IF(H1666="","",IF(ISNUMBER(O1666),O1666,J1666))</f>
        <v/>
      </c>
      <c r="G1666">
        <f>IF(H1666="","","OneCause")</f>
        <v/>
      </c>
      <c r="H1666">
        <f>IF(AND(I1666="",J1666="",K1666=""),"",IF(NOT(ISNUMBER(O1666)),"Bad amount",IF(O1666&lt;0,"Refund (not counted)",IF(O1666=0,"Zero amount",IF(NOT(ISNUMBER(N1666)),"Bad date",IF(P1666="","NAME NOT ON ROSTER",IF(L1666="","OK",IF(MATCH(L1666,$L$2:$L$3001,0)&lt;ROW()-1,"Duplicate (ignored)","OK"))))))))</f>
        <v/>
      </c>
      <c r="I1666">
        <f>IF(OC_Date=0,"",IF(INDEX('OneCause_Paste'!$A$1666:$AZ$1666,1,OC_Date)="","",INDEX('OneCause_Paste'!$A$1666:$AZ$1666,1,OC_Date)))</f>
        <v/>
      </c>
      <c r="J1666">
        <f>IF(OC_Amt=0,"",IF(INDEX('OneCause_Paste'!$A$1666:$AZ$1666,1,OC_Amt)="","",INDEX('OneCause_Paste'!$A$1666:$AZ$1666,1,OC_Amt)))</f>
        <v/>
      </c>
      <c r="K1666">
        <f>IF(OC_Name=0,"",IF(INDEX('OneCause_Paste'!$A$1666:$AZ$1666,1,OC_Name)="","",INDEX('OneCause_Paste'!$A$1666:$AZ$1666,1,OC_Name)))</f>
        <v/>
      </c>
      <c r="L1666">
        <f>IF(OC_Txn=0,"",IF(INDEX('OneCause_Paste'!$A$1666:$AZ$1666,1,OC_Txn)="","",INDEX('OneCause_Paste'!$A$1666:$AZ$1666,1,OC_Txn)))</f>
        <v/>
      </c>
      <c r="M1666">
        <f>IF(OC_Pay=0,"",IF(INDEX('OneCause_Paste'!$A$1666:$AZ$1666,1,OC_Pay)="","",INDEX('OneCause_Paste'!$A$1666:$AZ$1666,1,OC_Pay)))</f>
        <v/>
      </c>
      <c r="N1666">
        <f>IF(I1666="","",IF(ISNUMBER(I1666),INT(I1666),IFERROR(INT(DATEVALUE(I1666)),IFERROR(INT(VALUE(I1666)),"bad"))))</f>
        <v/>
      </c>
      <c r="O1666">
        <f>IF(J1666="","",IF(ISNUMBER(J1666),ROUND(J1666,2),IFERROR(ROUND(VALUE(SUBSTITUTE(SUBSTITUTE(SUBSTITUTE(J1666,"$",""),",","")," ","")),2),"bad")))</f>
        <v/>
      </c>
      <c r="P1666">
        <f>IF(TRIM(K1666)="","",IFERROR(MATCH(LOWER(TRIM(K1666)),'Students'!$AH$2:$AH$701,0),IFERROR(MATCH(LOWER(TRIM(K1666)),'Students'!$AF$2:$AF$701,0),IFERROR(MATCH(LOWER(TRIM(K1666)),'Students'!$AG$2:$AG$701,0),""))))</f>
        <v/>
      </c>
      <c r="R1666">
        <f>IF(P1666="","",INDEX('Students'!$AD$2:$AD$701,P1666))</f>
        <v/>
      </c>
      <c r="S1666">
        <f>IF(H1666="OK",O1666,0)</f>
        <v/>
      </c>
      <c r="T1666">
        <f>IF(H1666="OK",N1666,"")</f>
        <v/>
      </c>
      <c r="U1666">
        <f>IF(OC_Donor=0,"",IF(INDEX('OneCause_Paste'!$A$1666:$AZ$1666,1,OC_Donor)="","",INDEX('OneCause_Paste'!$A$1666:$AZ$1666,1,OC_Donor)))</f>
        <v/>
      </c>
    </row>
    <row r="1667">
      <c r="A1667" s="62">
        <f>IF(H1667="","",IF(ISNUMBER(N1667),N1667,I1667))</f>
        <v/>
      </c>
      <c r="B1667">
        <f>IF(H1667="","",U1667)</f>
        <v/>
      </c>
      <c r="C1667">
        <f>IF(H1667="","",IF(P1667="",K1667,INDEX('Students'!$A$2:$A$701,P1667)))</f>
        <v/>
      </c>
      <c r="D1667">
        <f>IF(OR(H1667="",P1667=""),"",INDEX('Students'!$B$2:$B$701,P1667))</f>
        <v/>
      </c>
      <c r="E1667">
        <f>IF(OR(H1667="",P1667=""),"",INDEX('Students'!$C$2:$C$701,P1667))</f>
        <v/>
      </c>
      <c r="F1667" s="48">
        <f>IF(H1667="","",IF(ISNUMBER(O1667),O1667,J1667))</f>
        <v/>
      </c>
      <c r="G1667">
        <f>IF(H1667="","","OneCause")</f>
        <v/>
      </c>
      <c r="H1667">
        <f>IF(AND(I1667="",J1667="",K1667=""),"",IF(NOT(ISNUMBER(O1667)),"Bad amount",IF(O1667&lt;0,"Refund (not counted)",IF(O1667=0,"Zero amount",IF(NOT(ISNUMBER(N1667)),"Bad date",IF(P1667="","NAME NOT ON ROSTER",IF(L1667="","OK",IF(MATCH(L1667,$L$2:$L$3001,0)&lt;ROW()-1,"Duplicate (ignored)","OK"))))))))</f>
        <v/>
      </c>
      <c r="I1667">
        <f>IF(OC_Date=0,"",IF(INDEX('OneCause_Paste'!$A$1667:$AZ$1667,1,OC_Date)="","",INDEX('OneCause_Paste'!$A$1667:$AZ$1667,1,OC_Date)))</f>
        <v/>
      </c>
      <c r="J1667">
        <f>IF(OC_Amt=0,"",IF(INDEX('OneCause_Paste'!$A$1667:$AZ$1667,1,OC_Amt)="","",INDEX('OneCause_Paste'!$A$1667:$AZ$1667,1,OC_Amt)))</f>
        <v/>
      </c>
      <c r="K1667">
        <f>IF(OC_Name=0,"",IF(INDEX('OneCause_Paste'!$A$1667:$AZ$1667,1,OC_Name)="","",INDEX('OneCause_Paste'!$A$1667:$AZ$1667,1,OC_Name)))</f>
        <v/>
      </c>
      <c r="L1667">
        <f>IF(OC_Txn=0,"",IF(INDEX('OneCause_Paste'!$A$1667:$AZ$1667,1,OC_Txn)="","",INDEX('OneCause_Paste'!$A$1667:$AZ$1667,1,OC_Txn)))</f>
        <v/>
      </c>
      <c r="M1667">
        <f>IF(OC_Pay=0,"",IF(INDEX('OneCause_Paste'!$A$1667:$AZ$1667,1,OC_Pay)="","",INDEX('OneCause_Paste'!$A$1667:$AZ$1667,1,OC_Pay)))</f>
        <v/>
      </c>
      <c r="N1667">
        <f>IF(I1667="","",IF(ISNUMBER(I1667),INT(I1667),IFERROR(INT(DATEVALUE(I1667)),IFERROR(INT(VALUE(I1667)),"bad"))))</f>
        <v/>
      </c>
      <c r="O1667">
        <f>IF(J1667="","",IF(ISNUMBER(J1667),ROUND(J1667,2),IFERROR(ROUND(VALUE(SUBSTITUTE(SUBSTITUTE(SUBSTITUTE(J1667,"$",""),",","")," ","")),2),"bad")))</f>
        <v/>
      </c>
      <c r="P1667">
        <f>IF(TRIM(K1667)="","",IFERROR(MATCH(LOWER(TRIM(K1667)),'Students'!$AH$2:$AH$701,0),IFERROR(MATCH(LOWER(TRIM(K1667)),'Students'!$AF$2:$AF$701,0),IFERROR(MATCH(LOWER(TRIM(K1667)),'Students'!$AG$2:$AG$701,0),""))))</f>
        <v/>
      </c>
      <c r="R1667">
        <f>IF(P1667="","",INDEX('Students'!$AD$2:$AD$701,P1667))</f>
        <v/>
      </c>
      <c r="S1667">
        <f>IF(H1667="OK",O1667,0)</f>
        <v/>
      </c>
      <c r="T1667">
        <f>IF(H1667="OK",N1667,"")</f>
        <v/>
      </c>
      <c r="U1667">
        <f>IF(OC_Donor=0,"",IF(INDEX('OneCause_Paste'!$A$1667:$AZ$1667,1,OC_Donor)="","",INDEX('OneCause_Paste'!$A$1667:$AZ$1667,1,OC_Donor)))</f>
        <v/>
      </c>
    </row>
    <row r="1668">
      <c r="A1668" s="62">
        <f>IF(H1668="","",IF(ISNUMBER(N1668),N1668,I1668))</f>
        <v/>
      </c>
      <c r="B1668">
        <f>IF(H1668="","",U1668)</f>
        <v/>
      </c>
      <c r="C1668">
        <f>IF(H1668="","",IF(P1668="",K1668,INDEX('Students'!$A$2:$A$701,P1668)))</f>
        <v/>
      </c>
      <c r="D1668">
        <f>IF(OR(H1668="",P1668=""),"",INDEX('Students'!$B$2:$B$701,P1668))</f>
        <v/>
      </c>
      <c r="E1668">
        <f>IF(OR(H1668="",P1668=""),"",INDEX('Students'!$C$2:$C$701,P1668))</f>
        <v/>
      </c>
      <c r="F1668" s="48">
        <f>IF(H1668="","",IF(ISNUMBER(O1668),O1668,J1668))</f>
        <v/>
      </c>
      <c r="G1668">
        <f>IF(H1668="","","OneCause")</f>
        <v/>
      </c>
      <c r="H1668">
        <f>IF(AND(I1668="",J1668="",K1668=""),"",IF(NOT(ISNUMBER(O1668)),"Bad amount",IF(O1668&lt;0,"Refund (not counted)",IF(O1668=0,"Zero amount",IF(NOT(ISNUMBER(N1668)),"Bad date",IF(P1668="","NAME NOT ON ROSTER",IF(L1668="","OK",IF(MATCH(L1668,$L$2:$L$3001,0)&lt;ROW()-1,"Duplicate (ignored)","OK"))))))))</f>
        <v/>
      </c>
      <c r="I1668">
        <f>IF(OC_Date=0,"",IF(INDEX('OneCause_Paste'!$A$1668:$AZ$1668,1,OC_Date)="","",INDEX('OneCause_Paste'!$A$1668:$AZ$1668,1,OC_Date)))</f>
        <v/>
      </c>
      <c r="J1668">
        <f>IF(OC_Amt=0,"",IF(INDEX('OneCause_Paste'!$A$1668:$AZ$1668,1,OC_Amt)="","",INDEX('OneCause_Paste'!$A$1668:$AZ$1668,1,OC_Amt)))</f>
        <v/>
      </c>
      <c r="K1668">
        <f>IF(OC_Name=0,"",IF(INDEX('OneCause_Paste'!$A$1668:$AZ$1668,1,OC_Name)="","",INDEX('OneCause_Paste'!$A$1668:$AZ$1668,1,OC_Name)))</f>
        <v/>
      </c>
      <c r="L1668">
        <f>IF(OC_Txn=0,"",IF(INDEX('OneCause_Paste'!$A$1668:$AZ$1668,1,OC_Txn)="","",INDEX('OneCause_Paste'!$A$1668:$AZ$1668,1,OC_Txn)))</f>
        <v/>
      </c>
      <c r="M1668">
        <f>IF(OC_Pay=0,"",IF(INDEX('OneCause_Paste'!$A$1668:$AZ$1668,1,OC_Pay)="","",INDEX('OneCause_Paste'!$A$1668:$AZ$1668,1,OC_Pay)))</f>
        <v/>
      </c>
      <c r="N1668">
        <f>IF(I1668="","",IF(ISNUMBER(I1668),INT(I1668),IFERROR(INT(DATEVALUE(I1668)),IFERROR(INT(VALUE(I1668)),"bad"))))</f>
        <v/>
      </c>
      <c r="O1668">
        <f>IF(J1668="","",IF(ISNUMBER(J1668),ROUND(J1668,2),IFERROR(ROUND(VALUE(SUBSTITUTE(SUBSTITUTE(SUBSTITUTE(J1668,"$",""),",","")," ","")),2),"bad")))</f>
        <v/>
      </c>
      <c r="P1668">
        <f>IF(TRIM(K1668)="","",IFERROR(MATCH(LOWER(TRIM(K1668)),'Students'!$AH$2:$AH$701,0),IFERROR(MATCH(LOWER(TRIM(K1668)),'Students'!$AF$2:$AF$701,0),IFERROR(MATCH(LOWER(TRIM(K1668)),'Students'!$AG$2:$AG$701,0),""))))</f>
        <v/>
      </c>
      <c r="R1668">
        <f>IF(P1668="","",INDEX('Students'!$AD$2:$AD$701,P1668))</f>
        <v/>
      </c>
      <c r="S1668">
        <f>IF(H1668="OK",O1668,0)</f>
        <v/>
      </c>
      <c r="T1668">
        <f>IF(H1668="OK",N1668,"")</f>
        <v/>
      </c>
      <c r="U1668">
        <f>IF(OC_Donor=0,"",IF(INDEX('OneCause_Paste'!$A$1668:$AZ$1668,1,OC_Donor)="","",INDEX('OneCause_Paste'!$A$1668:$AZ$1668,1,OC_Donor)))</f>
        <v/>
      </c>
    </row>
    <row r="1669">
      <c r="A1669" s="62">
        <f>IF(H1669="","",IF(ISNUMBER(N1669),N1669,I1669))</f>
        <v/>
      </c>
      <c r="B1669">
        <f>IF(H1669="","",U1669)</f>
        <v/>
      </c>
      <c r="C1669">
        <f>IF(H1669="","",IF(P1669="",K1669,INDEX('Students'!$A$2:$A$701,P1669)))</f>
        <v/>
      </c>
      <c r="D1669">
        <f>IF(OR(H1669="",P1669=""),"",INDEX('Students'!$B$2:$B$701,P1669))</f>
        <v/>
      </c>
      <c r="E1669">
        <f>IF(OR(H1669="",P1669=""),"",INDEX('Students'!$C$2:$C$701,P1669))</f>
        <v/>
      </c>
      <c r="F1669" s="48">
        <f>IF(H1669="","",IF(ISNUMBER(O1669),O1669,J1669))</f>
        <v/>
      </c>
      <c r="G1669">
        <f>IF(H1669="","","OneCause")</f>
        <v/>
      </c>
      <c r="H1669">
        <f>IF(AND(I1669="",J1669="",K1669=""),"",IF(NOT(ISNUMBER(O1669)),"Bad amount",IF(O1669&lt;0,"Refund (not counted)",IF(O1669=0,"Zero amount",IF(NOT(ISNUMBER(N1669)),"Bad date",IF(P1669="","NAME NOT ON ROSTER",IF(L1669="","OK",IF(MATCH(L1669,$L$2:$L$3001,0)&lt;ROW()-1,"Duplicate (ignored)","OK"))))))))</f>
        <v/>
      </c>
      <c r="I1669">
        <f>IF(OC_Date=0,"",IF(INDEX('OneCause_Paste'!$A$1669:$AZ$1669,1,OC_Date)="","",INDEX('OneCause_Paste'!$A$1669:$AZ$1669,1,OC_Date)))</f>
        <v/>
      </c>
      <c r="J1669">
        <f>IF(OC_Amt=0,"",IF(INDEX('OneCause_Paste'!$A$1669:$AZ$1669,1,OC_Amt)="","",INDEX('OneCause_Paste'!$A$1669:$AZ$1669,1,OC_Amt)))</f>
        <v/>
      </c>
      <c r="K1669">
        <f>IF(OC_Name=0,"",IF(INDEX('OneCause_Paste'!$A$1669:$AZ$1669,1,OC_Name)="","",INDEX('OneCause_Paste'!$A$1669:$AZ$1669,1,OC_Name)))</f>
        <v/>
      </c>
      <c r="L1669">
        <f>IF(OC_Txn=0,"",IF(INDEX('OneCause_Paste'!$A$1669:$AZ$1669,1,OC_Txn)="","",INDEX('OneCause_Paste'!$A$1669:$AZ$1669,1,OC_Txn)))</f>
        <v/>
      </c>
      <c r="M1669">
        <f>IF(OC_Pay=0,"",IF(INDEX('OneCause_Paste'!$A$1669:$AZ$1669,1,OC_Pay)="","",INDEX('OneCause_Paste'!$A$1669:$AZ$1669,1,OC_Pay)))</f>
        <v/>
      </c>
      <c r="N1669">
        <f>IF(I1669="","",IF(ISNUMBER(I1669),INT(I1669),IFERROR(INT(DATEVALUE(I1669)),IFERROR(INT(VALUE(I1669)),"bad"))))</f>
        <v/>
      </c>
      <c r="O1669">
        <f>IF(J1669="","",IF(ISNUMBER(J1669),ROUND(J1669,2),IFERROR(ROUND(VALUE(SUBSTITUTE(SUBSTITUTE(SUBSTITUTE(J1669,"$",""),",","")," ","")),2),"bad")))</f>
        <v/>
      </c>
      <c r="P1669">
        <f>IF(TRIM(K1669)="","",IFERROR(MATCH(LOWER(TRIM(K1669)),'Students'!$AH$2:$AH$701,0),IFERROR(MATCH(LOWER(TRIM(K1669)),'Students'!$AF$2:$AF$701,0),IFERROR(MATCH(LOWER(TRIM(K1669)),'Students'!$AG$2:$AG$701,0),""))))</f>
        <v/>
      </c>
      <c r="R1669">
        <f>IF(P1669="","",INDEX('Students'!$AD$2:$AD$701,P1669))</f>
        <v/>
      </c>
      <c r="S1669">
        <f>IF(H1669="OK",O1669,0)</f>
        <v/>
      </c>
      <c r="T1669">
        <f>IF(H1669="OK",N1669,"")</f>
        <v/>
      </c>
      <c r="U1669">
        <f>IF(OC_Donor=0,"",IF(INDEX('OneCause_Paste'!$A$1669:$AZ$1669,1,OC_Donor)="","",INDEX('OneCause_Paste'!$A$1669:$AZ$1669,1,OC_Donor)))</f>
        <v/>
      </c>
    </row>
    <row r="1670">
      <c r="A1670" s="62">
        <f>IF(H1670="","",IF(ISNUMBER(N1670),N1670,I1670))</f>
        <v/>
      </c>
      <c r="B1670">
        <f>IF(H1670="","",U1670)</f>
        <v/>
      </c>
      <c r="C1670">
        <f>IF(H1670="","",IF(P1670="",K1670,INDEX('Students'!$A$2:$A$701,P1670)))</f>
        <v/>
      </c>
      <c r="D1670">
        <f>IF(OR(H1670="",P1670=""),"",INDEX('Students'!$B$2:$B$701,P1670))</f>
        <v/>
      </c>
      <c r="E1670">
        <f>IF(OR(H1670="",P1670=""),"",INDEX('Students'!$C$2:$C$701,P1670))</f>
        <v/>
      </c>
      <c r="F1670" s="48">
        <f>IF(H1670="","",IF(ISNUMBER(O1670),O1670,J1670))</f>
        <v/>
      </c>
      <c r="G1670">
        <f>IF(H1670="","","OneCause")</f>
        <v/>
      </c>
      <c r="H1670">
        <f>IF(AND(I1670="",J1670="",K1670=""),"",IF(NOT(ISNUMBER(O1670)),"Bad amount",IF(O1670&lt;0,"Refund (not counted)",IF(O1670=0,"Zero amount",IF(NOT(ISNUMBER(N1670)),"Bad date",IF(P1670="","NAME NOT ON ROSTER",IF(L1670="","OK",IF(MATCH(L1670,$L$2:$L$3001,0)&lt;ROW()-1,"Duplicate (ignored)","OK"))))))))</f>
        <v/>
      </c>
      <c r="I1670">
        <f>IF(OC_Date=0,"",IF(INDEX('OneCause_Paste'!$A$1670:$AZ$1670,1,OC_Date)="","",INDEX('OneCause_Paste'!$A$1670:$AZ$1670,1,OC_Date)))</f>
        <v/>
      </c>
      <c r="J1670">
        <f>IF(OC_Amt=0,"",IF(INDEX('OneCause_Paste'!$A$1670:$AZ$1670,1,OC_Amt)="","",INDEX('OneCause_Paste'!$A$1670:$AZ$1670,1,OC_Amt)))</f>
        <v/>
      </c>
      <c r="K1670">
        <f>IF(OC_Name=0,"",IF(INDEX('OneCause_Paste'!$A$1670:$AZ$1670,1,OC_Name)="","",INDEX('OneCause_Paste'!$A$1670:$AZ$1670,1,OC_Name)))</f>
        <v/>
      </c>
      <c r="L1670">
        <f>IF(OC_Txn=0,"",IF(INDEX('OneCause_Paste'!$A$1670:$AZ$1670,1,OC_Txn)="","",INDEX('OneCause_Paste'!$A$1670:$AZ$1670,1,OC_Txn)))</f>
        <v/>
      </c>
      <c r="M1670">
        <f>IF(OC_Pay=0,"",IF(INDEX('OneCause_Paste'!$A$1670:$AZ$1670,1,OC_Pay)="","",INDEX('OneCause_Paste'!$A$1670:$AZ$1670,1,OC_Pay)))</f>
        <v/>
      </c>
      <c r="N1670">
        <f>IF(I1670="","",IF(ISNUMBER(I1670),INT(I1670),IFERROR(INT(DATEVALUE(I1670)),IFERROR(INT(VALUE(I1670)),"bad"))))</f>
        <v/>
      </c>
      <c r="O1670">
        <f>IF(J1670="","",IF(ISNUMBER(J1670),ROUND(J1670,2),IFERROR(ROUND(VALUE(SUBSTITUTE(SUBSTITUTE(SUBSTITUTE(J1670,"$",""),",","")," ","")),2),"bad")))</f>
        <v/>
      </c>
      <c r="P1670">
        <f>IF(TRIM(K1670)="","",IFERROR(MATCH(LOWER(TRIM(K1670)),'Students'!$AH$2:$AH$701,0),IFERROR(MATCH(LOWER(TRIM(K1670)),'Students'!$AF$2:$AF$701,0),IFERROR(MATCH(LOWER(TRIM(K1670)),'Students'!$AG$2:$AG$701,0),""))))</f>
        <v/>
      </c>
      <c r="R1670">
        <f>IF(P1670="","",INDEX('Students'!$AD$2:$AD$701,P1670))</f>
        <v/>
      </c>
      <c r="S1670">
        <f>IF(H1670="OK",O1670,0)</f>
        <v/>
      </c>
      <c r="T1670">
        <f>IF(H1670="OK",N1670,"")</f>
        <v/>
      </c>
      <c r="U1670">
        <f>IF(OC_Donor=0,"",IF(INDEX('OneCause_Paste'!$A$1670:$AZ$1670,1,OC_Donor)="","",INDEX('OneCause_Paste'!$A$1670:$AZ$1670,1,OC_Donor)))</f>
        <v/>
      </c>
    </row>
    <row r="1671">
      <c r="A1671" s="62">
        <f>IF(H1671="","",IF(ISNUMBER(N1671),N1671,I1671))</f>
        <v/>
      </c>
      <c r="B1671">
        <f>IF(H1671="","",U1671)</f>
        <v/>
      </c>
      <c r="C1671">
        <f>IF(H1671="","",IF(P1671="",K1671,INDEX('Students'!$A$2:$A$701,P1671)))</f>
        <v/>
      </c>
      <c r="D1671">
        <f>IF(OR(H1671="",P1671=""),"",INDEX('Students'!$B$2:$B$701,P1671))</f>
        <v/>
      </c>
      <c r="E1671">
        <f>IF(OR(H1671="",P1671=""),"",INDEX('Students'!$C$2:$C$701,P1671))</f>
        <v/>
      </c>
      <c r="F1671" s="48">
        <f>IF(H1671="","",IF(ISNUMBER(O1671),O1671,J1671))</f>
        <v/>
      </c>
      <c r="G1671">
        <f>IF(H1671="","","OneCause")</f>
        <v/>
      </c>
      <c r="H1671">
        <f>IF(AND(I1671="",J1671="",K1671=""),"",IF(NOT(ISNUMBER(O1671)),"Bad amount",IF(O1671&lt;0,"Refund (not counted)",IF(O1671=0,"Zero amount",IF(NOT(ISNUMBER(N1671)),"Bad date",IF(P1671="","NAME NOT ON ROSTER",IF(L1671="","OK",IF(MATCH(L1671,$L$2:$L$3001,0)&lt;ROW()-1,"Duplicate (ignored)","OK"))))))))</f>
        <v/>
      </c>
      <c r="I1671">
        <f>IF(OC_Date=0,"",IF(INDEX('OneCause_Paste'!$A$1671:$AZ$1671,1,OC_Date)="","",INDEX('OneCause_Paste'!$A$1671:$AZ$1671,1,OC_Date)))</f>
        <v/>
      </c>
      <c r="J1671">
        <f>IF(OC_Amt=0,"",IF(INDEX('OneCause_Paste'!$A$1671:$AZ$1671,1,OC_Amt)="","",INDEX('OneCause_Paste'!$A$1671:$AZ$1671,1,OC_Amt)))</f>
        <v/>
      </c>
      <c r="K1671">
        <f>IF(OC_Name=0,"",IF(INDEX('OneCause_Paste'!$A$1671:$AZ$1671,1,OC_Name)="","",INDEX('OneCause_Paste'!$A$1671:$AZ$1671,1,OC_Name)))</f>
        <v/>
      </c>
      <c r="L1671">
        <f>IF(OC_Txn=0,"",IF(INDEX('OneCause_Paste'!$A$1671:$AZ$1671,1,OC_Txn)="","",INDEX('OneCause_Paste'!$A$1671:$AZ$1671,1,OC_Txn)))</f>
        <v/>
      </c>
      <c r="M1671">
        <f>IF(OC_Pay=0,"",IF(INDEX('OneCause_Paste'!$A$1671:$AZ$1671,1,OC_Pay)="","",INDEX('OneCause_Paste'!$A$1671:$AZ$1671,1,OC_Pay)))</f>
        <v/>
      </c>
      <c r="N1671">
        <f>IF(I1671="","",IF(ISNUMBER(I1671),INT(I1671),IFERROR(INT(DATEVALUE(I1671)),IFERROR(INT(VALUE(I1671)),"bad"))))</f>
        <v/>
      </c>
      <c r="O1671">
        <f>IF(J1671="","",IF(ISNUMBER(J1671),ROUND(J1671,2),IFERROR(ROUND(VALUE(SUBSTITUTE(SUBSTITUTE(SUBSTITUTE(J1671,"$",""),",","")," ","")),2),"bad")))</f>
        <v/>
      </c>
      <c r="P1671">
        <f>IF(TRIM(K1671)="","",IFERROR(MATCH(LOWER(TRIM(K1671)),'Students'!$AH$2:$AH$701,0),IFERROR(MATCH(LOWER(TRIM(K1671)),'Students'!$AF$2:$AF$701,0),IFERROR(MATCH(LOWER(TRIM(K1671)),'Students'!$AG$2:$AG$701,0),""))))</f>
        <v/>
      </c>
      <c r="R1671">
        <f>IF(P1671="","",INDEX('Students'!$AD$2:$AD$701,P1671))</f>
        <v/>
      </c>
      <c r="S1671">
        <f>IF(H1671="OK",O1671,0)</f>
        <v/>
      </c>
      <c r="T1671">
        <f>IF(H1671="OK",N1671,"")</f>
        <v/>
      </c>
      <c r="U1671">
        <f>IF(OC_Donor=0,"",IF(INDEX('OneCause_Paste'!$A$1671:$AZ$1671,1,OC_Donor)="","",INDEX('OneCause_Paste'!$A$1671:$AZ$1671,1,OC_Donor)))</f>
        <v/>
      </c>
    </row>
    <row r="1672">
      <c r="A1672" s="62">
        <f>IF(H1672="","",IF(ISNUMBER(N1672),N1672,I1672))</f>
        <v/>
      </c>
      <c r="B1672">
        <f>IF(H1672="","",U1672)</f>
        <v/>
      </c>
      <c r="C1672">
        <f>IF(H1672="","",IF(P1672="",K1672,INDEX('Students'!$A$2:$A$701,P1672)))</f>
        <v/>
      </c>
      <c r="D1672">
        <f>IF(OR(H1672="",P1672=""),"",INDEX('Students'!$B$2:$B$701,P1672))</f>
        <v/>
      </c>
      <c r="E1672">
        <f>IF(OR(H1672="",P1672=""),"",INDEX('Students'!$C$2:$C$701,P1672))</f>
        <v/>
      </c>
      <c r="F1672" s="48">
        <f>IF(H1672="","",IF(ISNUMBER(O1672),O1672,J1672))</f>
        <v/>
      </c>
      <c r="G1672">
        <f>IF(H1672="","","OneCause")</f>
        <v/>
      </c>
      <c r="H1672">
        <f>IF(AND(I1672="",J1672="",K1672=""),"",IF(NOT(ISNUMBER(O1672)),"Bad amount",IF(O1672&lt;0,"Refund (not counted)",IF(O1672=0,"Zero amount",IF(NOT(ISNUMBER(N1672)),"Bad date",IF(P1672="","NAME NOT ON ROSTER",IF(L1672="","OK",IF(MATCH(L1672,$L$2:$L$3001,0)&lt;ROW()-1,"Duplicate (ignored)","OK"))))))))</f>
        <v/>
      </c>
      <c r="I1672">
        <f>IF(OC_Date=0,"",IF(INDEX('OneCause_Paste'!$A$1672:$AZ$1672,1,OC_Date)="","",INDEX('OneCause_Paste'!$A$1672:$AZ$1672,1,OC_Date)))</f>
        <v/>
      </c>
      <c r="J1672">
        <f>IF(OC_Amt=0,"",IF(INDEX('OneCause_Paste'!$A$1672:$AZ$1672,1,OC_Amt)="","",INDEX('OneCause_Paste'!$A$1672:$AZ$1672,1,OC_Amt)))</f>
        <v/>
      </c>
      <c r="K1672">
        <f>IF(OC_Name=0,"",IF(INDEX('OneCause_Paste'!$A$1672:$AZ$1672,1,OC_Name)="","",INDEX('OneCause_Paste'!$A$1672:$AZ$1672,1,OC_Name)))</f>
        <v/>
      </c>
      <c r="L1672">
        <f>IF(OC_Txn=0,"",IF(INDEX('OneCause_Paste'!$A$1672:$AZ$1672,1,OC_Txn)="","",INDEX('OneCause_Paste'!$A$1672:$AZ$1672,1,OC_Txn)))</f>
        <v/>
      </c>
      <c r="M1672">
        <f>IF(OC_Pay=0,"",IF(INDEX('OneCause_Paste'!$A$1672:$AZ$1672,1,OC_Pay)="","",INDEX('OneCause_Paste'!$A$1672:$AZ$1672,1,OC_Pay)))</f>
        <v/>
      </c>
      <c r="N1672">
        <f>IF(I1672="","",IF(ISNUMBER(I1672),INT(I1672),IFERROR(INT(DATEVALUE(I1672)),IFERROR(INT(VALUE(I1672)),"bad"))))</f>
        <v/>
      </c>
      <c r="O1672">
        <f>IF(J1672="","",IF(ISNUMBER(J1672),ROUND(J1672,2),IFERROR(ROUND(VALUE(SUBSTITUTE(SUBSTITUTE(SUBSTITUTE(J1672,"$",""),",","")," ","")),2),"bad")))</f>
        <v/>
      </c>
      <c r="P1672">
        <f>IF(TRIM(K1672)="","",IFERROR(MATCH(LOWER(TRIM(K1672)),'Students'!$AH$2:$AH$701,0),IFERROR(MATCH(LOWER(TRIM(K1672)),'Students'!$AF$2:$AF$701,0),IFERROR(MATCH(LOWER(TRIM(K1672)),'Students'!$AG$2:$AG$701,0),""))))</f>
        <v/>
      </c>
      <c r="R1672">
        <f>IF(P1672="","",INDEX('Students'!$AD$2:$AD$701,P1672))</f>
        <v/>
      </c>
      <c r="S1672">
        <f>IF(H1672="OK",O1672,0)</f>
        <v/>
      </c>
      <c r="T1672">
        <f>IF(H1672="OK",N1672,"")</f>
        <v/>
      </c>
      <c r="U1672">
        <f>IF(OC_Donor=0,"",IF(INDEX('OneCause_Paste'!$A$1672:$AZ$1672,1,OC_Donor)="","",INDEX('OneCause_Paste'!$A$1672:$AZ$1672,1,OC_Donor)))</f>
        <v/>
      </c>
    </row>
    <row r="1673">
      <c r="A1673" s="62">
        <f>IF(H1673="","",IF(ISNUMBER(N1673),N1673,I1673))</f>
        <v/>
      </c>
      <c r="B1673">
        <f>IF(H1673="","",U1673)</f>
        <v/>
      </c>
      <c r="C1673">
        <f>IF(H1673="","",IF(P1673="",K1673,INDEX('Students'!$A$2:$A$701,P1673)))</f>
        <v/>
      </c>
      <c r="D1673">
        <f>IF(OR(H1673="",P1673=""),"",INDEX('Students'!$B$2:$B$701,P1673))</f>
        <v/>
      </c>
      <c r="E1673">
        <f>IF(OR(H1673="",P1673=""),"",INDEX('Students'!$C$2:$C$701,P1673))</f>
        <v/>
      </c>
      <c r="F1673" s="48">
        <f>IF(H1673="","",IF(ISNUMBER(O1673),O1673,J1673))</f>
        <v/>
      </c>
      <c r="G1673">
        <f>IF(H1673="","","OneCause")</f>
        <v/>
      </c>
      <c r="H1673">
        <f>IF(AND(I1673="",J1673="",K1673=""),"",IF(NOT(ISNUMBER(O1673)),"Bad amount",IF(O1673&lt;0,"Refund (not counted)",IF(O1673=0,"Zero amount",IF(NOT(ISNUMBER(N1673)),"Bad date",IF(P1673="","NAME NOT ON ROSTER",IF(L1673="","OK",IF(MATCH(L1673,$L$2:$L$3001,0)&lt;ROW()-1,"Duplicate (ignored)","OK"))))))))</f>
        <v/>
      </c>
      <c r="I1673">
        <f>IF(OC_Date=0,"",IF(INDEX('OneCause_Paste'!$A$1673:$AZ$1673,1,OC_Date)="","",INDEX('OneCause_Paste'!$A$1673:$AZ$1673,1,OC_Date)))</f>
        <v/>
      </c>
      <c r="J1673">
        <f>IF(OC_Amt=0,"",IF(INDEX('OneCause_Paste'!$A$1673:$AZ$1673,1,OC_Amt)="","",INDEX('OneCause_Paste'!$A$1673:$AZ$1673,1,OC_Amt)))</f>
        <v/>
      </c>
      <c r="K1673">
        <f>IF(OC_Name=0,"",IF(INDEX('OneCause_Paste'!$A$1673:$AZ$1673,1,OC_Name)="","",INDEX('OneCause_Paste'!$A$1673:$AZ$1673,1,OC_Name)))</f>
        <v/>
      </c>
      <c r="L1673">
        <f>IF(OC_Txn=0,"",IF(INDEX('OneCause_Paste'!$A$1673:$AZ$1673,1,OC_Txn)="","",INDEX('OneCause_Paste'!$A$1673:$AZ$1673,1,OC_Txn)))</f>
        <v/>
      </c>
      <c r="M1673">
        <f>IF(OC_Pay=0,"",IF(INDEX('OneCause_Paste'!$A$1673:$AZ$1673,1,OC_Pay)="","",INDEX('OneCause_Paste'!$A$1673:$AZ$1673,1,OC_Pay)))</f>
        <v/>
      </c>
      <c r="N1673">
        <f>IF(I1673="","",IF(ISNUMBER(I1673),INT(I1673),IFERROR(INT(DATEVALUE(I1673)),IFERROR(INT(VALUE(I1673)),"bad"))))</f>
        <v/>
      </c>
      <c r="O1673">
        <f>IF(J1673="","",IF(ISNUMBER(J1673),ROUND(J1673,2),IFERROR(ROUND(VALUE(SUBSTITUTE(SUBSTITUTE(SUBSTITUTE(J1673,"$",""),",","")," ","")),2),"bad")))</f>
        <v/>
      </c>
      <c r="P1673">
        <f>IF(TRIM(K1673)="","",IFERROR(MATCH(LOWER(TRIM(K1673)),'Students'!$AH$2:$AH$701,0),IFERROR(MATCH(LOWER(TRIM(K1673)),'Students'!$AF$2:$AF$701,0),IFERROR(MATCH(LOWER(TRIM(K1673)),'Students'!$AG$2:$AG$701,0),""))))</f>
        <v/>
      </c>
      <c r="R1673">
        <f>IF(P1673="","",INDEX('Students'!$AD$2:$AD$701,P1673))</f>
        <v/>
      </c>
      <c r="S1673">
        <f>IF(H1673="OK",O1673,0)</f>
        <v/>
      </c>
      <c r="T1673">
        <f>IF(H1673="OK",N1673,"")</f>
        <v/>
      </c>
      <c r="U1673">
        <f>IF(OC_Donor=0,"",IF(INDEX('OneCause_Paste'!$A$1673:$AZ$1673,1,OC_Donor)="","",INDEX('OneCause_Paste'!$A$1673:$AZ$1673,1,OC_Donor)))</f>
        <v/>
      </c>
    </row>
    <row r="1674">
      <c r="A1674" s="62">
        <f>IF(H1674="","",IF(ISNUMBER(N1674),N1674,I1674))</f>
        <v/>
      </c>
      <c r="B1674">
        <f>IF(H1674="","",U1674)</f>
        <v/>
      </c>
      <c r="C1674">
        <f>IF(H1674="","",IF(P1674="",K1674,INDEX('Students'!$A$2:$A$701,P1674)))</f>
        <v/>
      </c>
      <c r="D1674">
        <f>IF(OR(H1674="",P1674=""),"",INDEX('Students'!$B$2:$B$701,P1674))</f>
        <v/>
      </c>
      <c r="E1674">
        <f>IF(OR(H1674="",P1674=""),"",INDEX('Students'!$C$2:$C$701,P1674))</f>
        <v/>
      </c>
      <c r="F1674" s="48">
        <f>IF(H1674="","",IF(ISNUMBER(O1674),O1674,J1674))</f>
        <v/>
      </c>
      <c r="G1674">
        <f>IF(H1674="","","OneCause")</f>
        <v/>
      </c>
      <c r="H1674">
        <f>IF(AND(I1674="",J1674="",K1674=""),"",IF(NOT(ISNUMBER(O1674)),"Bad amount",IF(O1674&lt;0,"Refund (not counted)",IF(O1674=0,"Zero amount",IF(NOT(ISNUMBER(N1674)),"Bad date",IF(P1674="","NAME NOT ON ROSTER",IF(L1674="","OK",IF(MATCH(L1674,$L$2:$L$3001,0)&lt;ROW()-1,"Duplicate (ignored)","OK"))))))))</f>
        <v/>
      </c>
      <c r="I1674">
        <f>IF(OC_Date=0,"",IF(INDEX('OneCause_Paste'!$A$1674:$AZ$1674,1,OC_Date)="","",INDEX('OneCause_Paste'!$A$1674:$AZ$1674,1,OC_Date)))</f>
        <v/>
      </c>
      <c r="J1674">
        <f>IF(OC_Amt=0,"",IF(INDEX('OneCause_Paste'!$A$1674:$AZ$1674,1,OC_Amt)="","",INDEX('OneCause_Paste'!$A$1674:$AZ$1674,1,OC_Amt)))</f>
        <v/>
      </c>
      <c r="K1674">
        <f>IF(OC_Name=0,"",IF(INDEX('OneCause_Paste'!$A$1674:$AZ$1674,1,OC_Name)="","",INDEX('OneCause_Paste'!$A$1674:$AZ$1674,1,OC_Name)))</f>
        <v/>
      </c>
      <c r="L1674">
        <f>IF(OC_Txn=0,"",IF(INDEX('OneCause_Paste'!$A$1674:$AZ$1674,1,OC_Txn)="","",INDEX('OneCause_Paste'!$A$1674:$AZ$1674,1,OC_Txn)))</f>
        <v/>
      </c>
      <c r="M1674">
        <f>IF(OC_Pay=0,"",IF(INDEX('OneCause_Paste'!$A$1674:$AZ$1674,1,OC_Pay)="","",INDEX('OneCause_Paste'!$A$1674:$AZ$1674,1,OC_Pay)))</f>
        <v/>
      </c>
      <c r="N1674">
        <f>IF(I1674="","",IF(ISNUMBER(I1674),INT(I1674),IFERROR(INT(DATEVALUE(I1674)),IFERROR(INT(VALUE(I1674)),"bad"))))</f>
        <v/>
      </c>
      <c r="O1674">
        <f>IF(J1674="","",IF(ISNUMBER(J1674),ROUND(J1674,2),IFERROR(ROUND(VALUE(SUBSTITUTE(SUBSTITUTE(SUBSTITUTE(J1674,"$",""),",","")," ","")),2),"bad")))</f>
        <v/>
      </c>
      <c r="P1674">
        <f>IF(TRIM(K1674)="","",IFERROR(MATCH(LOWER(TRIM(K1674)),'Students'!$AH$2:$AH$701,0),IFERROR(MATCH(LOWER(TRIM(K1674)),'Students'!$AF$2:$AF$701,0),IFERROR(MATCH(LOWER(TRIM(K1674)),'Students'!$AG$2:$AG$701,0),""))))</f>
        <v/>
      </c>
      <c r="R1674">
        <f>IF(P1674="","",INDEX('Students'!$AD$2:$AD$701,P1674))</f>
        <v/>
      </c>
      <c r="S1674">
        <f>IF(H1674="OK",O1674,0)</f>
        <v/>
      </c>
      <c r="T1674">
        <f>IF(H1674="OK",N1674,"")</f>
        <v/>
      </c>
      <c r="U1674">
        <f>IF(OC_Donor=0,"",IF(INDEX('OneCause_Paste'!$A$1674:$AZ$1674,1,OC_Donor)="","",INDEX('OneCause_Paste'!$A$1674:$AZ$1674,1,OC_Donor)))</f>
        <v/>
      </c>
    </row>
    <row r="1675">
      <c r="A1675" s="62">
        <f>IF(H1675="","",IF(ISNUMBER(N1675),N1675,I1675))</f>
        <v/>
      </c>
      <c r="B1675">
        <f>IF(H1675="","",U1675)</f>
        <v/>
      </c>
      <c r="C1675">
        <f>IF(H1675="","",IF(P1675="",K1675,INDEX('Students'!$A$2:$A$701,P1675)))</f>
        <v/>
      </c>
      <c r="D1675">
        <f>IF(OR(H1675="",P1675=""),"",INDEX('Students'!$B$2:$B$701,P1675))</f>
        <v/>
      </c>
      <c r="E1675">
        <f>IF(OR(H1675="",P1675=""),"",INDEX('Students'!$C$2:$C$701,P1675))</f>
        <v/>
      </c>
      <c r="F1675" s="48">
        <f>IF(H1675="","",IF(ISNUMBER(O1675),O1675,J1675))</f>
        <v/>
      </c>
      <c r="G1675">
        <f>IF(H1675="","","OneCause")</f>
        <v/>
      </c>
      <c r="H1675">
        <f>IF(AND(I1675="",J1675="",K1675=""),"",IF(NOT(ISNUMBER(O1675)),"Bad amount",IF(O1675&lt;0,"Refund (not counted)",IF(O1675=0,"Zero amount",IF(NOT(ISNUMBER(N1675)),"Bad date",IF(P1675="","NAME NOT ON ROSTER",IF(L1675="","OK",IF(MATCH(L1675,$L$2:$L$3001,0)&lt;ROW()-1,"Duplicate (ignored)","OK"))))))))</f>
        <v/>
      </c>
      <c r="I1675">
        <f>IF(OC_Date=0,"",IF(INDEX('OneCause_Paste'!$A$1675:$AZ$1675,1,OC_Date)="","",INDEX('OneCause_Paste'!$A$1675:$AZ$1675,1,OC_Date)))</f>
        <v/>
      </c>
      <c r="J1675">
        <f>IF(OC_Amt=0,"",IF(INDEX('OneCause_Paste'!$A$1675:$AZ$1675,1,OC_Amt)="","",INDEX('OneCause_Paste'!$A$1675:$AZ$1675,1,OC_Amt)))</f>
        <v/>
      </c>
      <c r="K1675">
        <f>IF(OC_Name=0,"",IF(INDEX('OneCause_Paste'!$A$1675:$AZ$1675,1,OC_Name)="","",INDEX('OneCause_Paste'!$A$1675:$AZ$1675,1,OC_Name)))</f>
        <v/>
      </c>
      <c r="L1675">
        <f>IF(OC_Txn=0,"",IF(INDEX('OneCause_Paste'!$A$1675:$AZ$1675,1,OC_Txn)="","",INDEX('OneCause_Paste'!$A$1675:$AZ$1675,1,OC_Txn)))</f>
        <v/>
      </c>
      <c r="M1675">
        <f>IF(OC_Pay=0,"",IF(INDEX('OneCause_Paste'!$A$1675:$AZ$1675,1,OC_Pay)="","",INDEX('OneCause_Paste'!$A$1675:$AZ$1675,1,OC_Pay)))</f>
        <v/>
      </c>
      <c r="N1675">
        <f>IF(I1675="","",IF(ISNUMBER(I1675),INT(I1675),IFERROR(INT(DATEVALUE(I1675)),IFERROR(INT(VALUE(I1675)),"bad"))))</f>
        <v/>
      </c>
      <c r="O1675">
        <f>IF(J1675="","",IF(ISNUMBER(J1675),ROUND(J1675,2),IFERROR(ROUND(VALUE(SUBSTITUTE(SUBSTITUTE(SUBSTITUTE(J1675,"$",""),",","")," ","")),2),"bad")))</f>
        <v/>
      </c>
      <c r="P1675">
        <f>IF(TRIM(K1675)="","",IFERROR(MATCH(LOWER(TRIM(K1675)),'Students'!$AH$2:$AH$701,0),IFERROR(MATCH(LOWER(TRIM(K1675)),'Students'!$AF$2:$AF$701,0),IFERROR(MATCH(LOWER(TRIM(K1675)),'Students'!$AG$2:$AG$701,0),""))))</f>
        <v/>
      </c>
      <c r="R1675">
        <f>IF(P1675="","",INDEX('Students'!$AD$2:$AD$701,P1675))</f>
        <v/>
      </c>
      <c r="S1675">
        <f>IF(H1675="OK",O1675,0)</f>
        <v/>
      </c>
      <c r="T1675">
        <f>IF(H1675="OK",N1675,"")</f>
        <v/>
      </c>
      <c r="U1675">
        <f>IF(OC_Donor=0,"",IF(INDEX('OneCause_Paste'!$A$1675:$AZ$1675,1,OC_Donor)="","",INDEX('OneCause_Paste'!$A$1675:$AZ$1675,1,OC_Donor)))</f>
        <v/>
      </c>
    </row>
    <row r="1676">
      <c r="A1676" s="62">
        <f>IF(H1676="","",IF(ISNUMBER(N1676),N1676,I1676))</f>
        <v/>
      </c>
      <c r="B1676">
        <f>IF(H1676="","",U1676)</f>
        <v/>
      </c>
      <c r="C1676">
        <f>IF(H1676="","",IF(P1676="",K1676,INDEX('Students'!$A$2:$A$701,P1676)))</f>
        <v/>
      </c>
      <c r="D1676">
        <f>IF(OR(H1676="",P1676=""),"",INDEX('Students'!$B$2:$B$701,P1676))</f>
        <v/>
      </c>
      <c r="E1676">
        <f>IF(OR(H1676="",P1676=""),"",INDEX('Students'!$C$2:$C$701,P1676))</f>
        <v/>
      </c>
      <c r="F1676" s="48">
        <f>IF(H1676="","",IF(ISNUMBER(O1676),O1676,J1676))</f>
        <v/>
      </c>
      <c r="G1676">
        <f>IF(H1676="","","OneCause")</f>
        <v/>
      </c>
      <c r="H1676">
        <f>IF(AND(I1676="",J1676="",K1676=""),"",IF(NOT(ISNUMBER(O1676)),"Bad amount",IF(O1676&lt;0,"Refund (not counted)",IF(O1676=0,"Zero amount",IF(NOT(ISNUMBER(N1676)),"Bad date",IF(P1676="","NAME NOT ON ROSTER",IF(L1676="","OK",IF(MATCH(L1676,$L$2:$L$3001,0)&lt;ROW()-1,"Duplicate (ignored)","OK"))))))))</f>
        <v/>
      </c>
      <c r="I1676">
        <f>IF(OC_Date=0,"",IF(INDEX('OneCause_Paste'!$A$1676:$AZ$1676,1,OC_Date)="","",INDEX('OneCause_Paste'!$A$1676:$AZ$1676,1,OC_Date)))</f>
        <v/>
      </c>
      <c r="J1676">
        <f>IF(OC_Amt=0,"",IF(INDEX('OneCause_Paste'!$A$1676:$AZ$1676,1,OC_Amt)="","",INDEX('OneCause_Paste'!$A$1676:$AZ$1676,1,OC_Amt)))</f>
        <v/>
      </c>
      <c r="K1676">
        <f>IF(OC_Name=0,"",IF(INDEX('OneCause_Paste'!$A$1676:$AZ$1676,1,OC_Name)="","",INDEX('OneCause_Paste'!$A$1676:$AZ$1676,1,OC_Name)))</f>
        <v/>
      </c>
      <c r="L1676">
        <f>IF(OC_Txn=0,"",IF(INDEX('OneCause_Paste'!$A$1676:$AZ$1676,1,OC_Txn)="","",INDEX('OneCause_Paste'!$A$1676:$AZ$1676,1,OC_Txn)))</f>
        <v/>
      </c>
      <c r="M1676">
        <f>IF(OC_Pay=0,"",IF(INDEX('OneCause_Paste'!$A$1676:$AZ$1676,1,OC_Pay)="","",INDEX('OneCause_Paste'!$A$1676:$AZ$1676,1,OC_Pay)))</f>
        <v/>
      </c>
      <c r="N1676">
        <f>IF(I1676="","",IF(ISNUMBER(I1676),INT(I1676),IFERROR(INT(DATEVALUE(I1676)),IFERROR(INT(VALUE(I1676)),"bad"))))</f>
        <v/>
      </c>
      <c r="O1676">
        <f>IF(J1676="","",IF(ISNUMBER(J1676),ROUND(J1676,2),IFERROR(ROUND(VALUE(SUBSTITUTE(SUBSTITUTE(SUBSTITUTE(J1676,"$",""),",","")," ","")),2),"bad")))</f>
        <v/>
      </c>
      <c r="P1676">
        <f>IF(TRIM(K1676)="","",IFERROR(MATCH(LOWER(TRIM(K1676)),'Students'!$AH$2:$AH$701,0),IFERROR(MATCH(LOWER(TRIM(K1676)),'Students'!$AF$2:$AF$701,0),IFERROR(MATCH(LOWER(TRIM(K1676)),'Students'!$AG$2:$AG$701,0),""))))</f>
        <v/>
      </c>
      <c r="R1676">
        <f>IF(P1676="","",INDEX('Students'!$AD$2:$AD$701,P1676))</f>
        <v/>
      </c>
      <c r="S1676">
        <f>IF(H1676="OK",O1676,0)</f>
        <v/>
      </c>
      <c r="T1676">
        <f>IF(H1676="OK",N1676,"")</f>
        <v/>
      </c>
      <c r="U1676">
        <f>IF(OC_Donor=0,"",IF(INDEX('OneCause_Paste'!$A$1676:$AZ$1676,1,OC_Donor)="","",INDEX('OneCause_Paste'!$A$1676:$AZ$1676,1,OC_Donor)))</f>
        <v/>
      </c>
    </row>
    <row r="1677">
      <c r="A1677" s="62">
        <f>IF(H1677="","",IF(ISNUMBER(N1677),N1677,I1677))</f>
        <v/>
      </c>
      <c r="B1677">
        <f>IF(H1677="","",U1677)</f>
        <v/>
      </c>
      <c r="C1677">
        <f>IF(H1677="","",IF(P1677="",K1677,INDEX('Students'!$A$2:$A$701,P1677)))</f>
        <v/>
      </c>
      <c r="D1677">
        <f>IF(OR(H1677="",P1677=""),"",INDEX('Students'!$B$2:$B$701,P1677))</f>
        <v/>
      </c>
      <c r="E1677">
        <f>IF(OR(H1677="",P1677=""),"",INDEX('Students'!$C$2:$C$701,P1677))</f>
        <v/>
      </c>
      <c r="F1677" s="48">
        <f>IF(H1677="","",IF(ISNUMBER(O1677),O1677,J1677))</f>
        <v/>
      </c>
      <c r="G1677">
        <f>IF(H1677="","","OneCause")</f>
        <v/>
      </c>
      <c r="H1677">
        <f>IF(AND(I1677="",J1677="",K1677=""),"",IF(NOT(ISNUMBER(O1677)),"Bad amount",IF(O1677&lt;0,"Refund (not counted)",IF(O1677=0,"Zero amount",IF(NOT(ISNUMBER(N1677)),"Bad date",IF(P1677="","NAME NOT ON ROSTER",IF(L1677="","OK",IF(MATCH(L1677,$L$2:$L$3001,0)&lt;ROW()-1,"Duplicate (ignored)","OK"))))))))</f>
        <v/>
      </c>
      <c r="I1677">
        <f>IF(OC_Date=0,"",IF(INDEX('OneCause_Paste'!$A$1677:$AZ$1677,1,OC_Date)="","",INDEX('OneCause_Paste'!$A$1677:$AZ$1677,1,OC_Date)))</f>
        <v/>
      </c>
      <c r="J1677">
        <f>IF(OC_Amt=0,"",IF(INDEX('OneCause_Paste'!$A$1677:$AZ$1677,1,OC_Amt)="","",INDEX('OneCause_Paste'!$A$1677:$AZ$1677,1,OC_Amt)))</f>
        <v/>
      </c>
      <c r="K1677">
        <f>IF(OC_Name=0,"",IF(INDEX('OneCause_Paste'!$A$1677:$AZ$1677,1,OC_Name)="","",INDEX('OneCause_Paste'!$A$1677:$AZ$1677,1,OC_Name)))</f>
        <v/>
      </c>
      <c r="L1677">
        <f>IF(OC_Txn=0,"",IF(INDEX('OneCause_Paste'!$A$1677:$AZ$1677,1,OC_Txn)="","",INDEX('OneCause_Paste'!$A$1677:$AZ$1677,1,OC_Txn)))</f>
        <v/>
      </c>
      <c r="M1677">
        <f>IF(OC_Pay=0,"",IF(INDEX('OneCause_Paste'!$A$1677:$AZ$1677,1,OC_Pay)="","",INDEX('OneCause_Paste'!$A$1677:$AZ$1677,1,OC_Pay)))</f>
        <v/>
      </c>
      <c r="N1677">
        <f>IF(I1677="","",IF(ISNUMBER(I1677),INT(I1677),IFERROR(INT(DATEVALUE(I1677)),IFERROR(INT(VALUE(I1677)),"bad"))))</f>
        <v/>
      </c>
      <c r="O1677">
        <f>IF(J1677="","",IF(ISNUMBER(J1677),ROUND(J1677,2),IFERROR(ROUND(VALUE(SUBSTITUTE(SUBSTITUTE(SUBSTITUTE(J1677,"$",""),",","")," ","")),2),"bad")))</f>
        <v/>
      </c>
      <c r="P1677">
        <f>IF(TRIM(K1677)="","",IFERROR(MATCH(LOWER(TRIM(K1677)),'Students'!$AH$2:$AH$701,0),IFERROR(MATCH(LOWER(TRIM(K1677)),'Students'!$AF$2:$AF$701,0),IFERROR(MATCH(LOWER(TRIM(K1677)),'Students'!$AG$2:$AG$701,0),""))))</f>
        <v/>
      </c>
      <c r="R1677">
        <f>IF(P1677="","",INDEX('Students'!$AD$2:$AD$701,P1677))</f>
        <v/>
      </c>
      <c r="S1677">
        <f>IF(H1677="OK",O1677,0)</f>
        <v/>
      </c>
      <c r="T1677">
        <f>IF(H1677="OK",N1677,"")</f>
        <v/>
      </c>
      <c r="U1677">
        <f>IF(OC_Donor=0,"",IF(INDEX('OneCause_Paste'!$A$1677:$AZ$1677,1,OC_Donor)="","",INDEX('OneCause_Paste'!$A$1677:$AZ$1677,1,OC_Donor)))</f>
        <v/>
      </c>
    </row>
    <row r="1678">
      <c r="A1678" s="62">
        <f>IF(H1678="","",IF(ISNUMBER(N1678),N1678,I1678))</f>
        <v/>
      </c>
      <c r="B1678">
        <f>IF(H1678="","",U1678)</f>
        <v/>
      </c>
      <c r="C1678">
        <f>IF(H1678="","",IF(P1678="",K1678,INDEX('Students'!$A$2:$A$701,P1678)))</f>
        <v/>
      </c>
      <c r="D1678">
        <f>IF(OR(H1678="",P1678=""),"",INDEX('Students'!$B$2:$B$701,P1678))</f>
        <v/>
      </c>
      <c r="E1678">
        <f>IF(OR(H1678="",P1678=""),"",INDEX('Students'!$C$2:$C$701,P1678))</f>
        <v/>
      </c>
      <c r="F1678" s="48">
        <f>IF(H1678="","",IF(ISNUMBER(O1678),O1678,J1678))</f>
        <v/>
      </c>
      <c r="G1678">
        <f>IF(H1678="","","OneCause")</f>
        <v/>
      </c>
      <c r="H1678">
        <f>IF(AND(I1678="",J1678="",K1678=""),"",IF(NOT(ISNUMBER(O1678)),"Bad amount",IF(O1678&lt;0,"Refund (not counted)",IF(O1678=0,"Zero amount",IF(NOT(ISNUMBER(N1678)),"Bad date",IF(P1678="","NAME NOT ON ROSTER",IF(L1678="","OK",IF(MATCH(L1678,$L$2:$L$3001,0)&lt;ROW()-1,"Duplicate (ignored)","OK"))))))))</f>
        <v/>
      </c>
      <c r="I1678">
        <f>IF(OC_Date=0,"",IF(INDEX('OneCause_Paste'!$A$1678:$AZ$1678,1,OC_Date)="","",INDEX('OneCause_Paste'!$A$1678:$AZ$1678,1,OC_Date)))</f>
        <v/>
      </c>
      <c r="J1678">
        <f>IF(OC_Amt=0,"",IF(INDEX('OneCause_Paste'!$A$1678:$AZ$1678,1,OC_Amt)="","",INDEX('OneCause_Paste'!$A$1678:$AZ$1678,1,OC_Amt)))</f>
        <v/>
      </c>
      <c r="K1678">
        <f>IF(OC_Name=0,"",IF(INDEX('OneCause_Paste'!$A$1678:$AZ$1678,1,OC_Name)="","",INDEX('OneCause_Paste'!$A$1678:$AZ$1678,1,OC_Name)))</f>
        <v/>
      </c>
      <c r="L1678">
        <f>IF(OC_Txn=0,"",IF(INDEX('OneCause_Paste'!$A$1678:$AZ$1678,1,OC_Txn)="","",INDEX('OneCause_Paste'!$A$1678:$AZ$1678,1,OC_Txn)))</f>
        <v/>
      </c>
      <c r="M1678">
        <f>IF(OC_Pay=0,"",IF(INDEX('OneCause_Paste'!$A$1678:$AZ$1678,1,OC_Pay)="","",INDEX('OneCause_Paste'!$A$1678:$AZ$1678,1,OC_Pay)))</f>
        <v/>
      </c>
      <c r="N1678">
        <f>IF(I1678="","",IF(ISNUMBER(I1678),INT(I1678),IFERROR(INT(DATEVALUE(I1678)),IFERROR(INT(VALUE(I1678)),"bad"))))</f>
        <v/>
      </c>
      <c r="O1678">
        <f>IF(J1678="","",IF(ISNUMBER(J1678),ROUND(J1678,2),IFERROR(ROUND(VALUE(SUBSTITUTE(SUBSTITUTE(SUBSTITUTE(J1678,"$",""),",","")," ","")),2),"bad")))</f>
        <v/>
      </c>
      <c r="P1678">
        <f>IF(TRIM(K1678)="","",IFERROR(MATCH(LOWER(TRIM(K1678)),'Students'!$AH$2:$AH$701,0),IFERROR(MATCH(LOWER(TRIM(K1678)),'Students'!$AF$2:$AF$701,0),IFERROR(MATCH(LOWER(TRIM(K1678)),'Students'!$AG$2:$AG$701,0),""))))</f>
        <v/>
      </c>
      <c r="R1678">
        <f>IF(P1678="","",INDEX('Students'!$AD$2:$AD$701,P1678))</f>
        <v/>
      </c>
      <c r="S1678">
        <f>IF(H1678="OK",O1678,0)</f>
        <v/>
      </c>
      <c r="T1678">
        <f>IF(H1678="OK",N1678,"")</f>
        <v/>
      </c>
      <c r="U1678">
        <f>IF(OC_Donor=0,"",IF(INDEX('OneCause_Paste'!$A$1678:$AZ$1678,1,OC_Donor)="","",INDEX('OneCause_Paste'!$A$1678:$AZ$1678,1,OC_Donor)))</f>
        <v/>
      </c>
    </row>
    <row r="1679">
      <c r="A1679" s="62">
        <f>IF(H1679="","",IF(ISNUMBER(N1679),N1679,I1679))</f>
        <v/>
      </c>
      <c r="B1679">
        <f>IF(H1679="","",U1679)</f>
        <v/>
      </c>
      <c r="C1679">
        <f>IF(H1679="","",IF(P1679="",K1679,INDEX('Students'!$A$2:$A$701,P1679)))</f>
        <v/>
      </c>
      <c r="D1679">
        <f>IF(OR(H1679="",P1679=""),"",INDEX('Students'!$B$2:$B$701,P1679))</f>
        <v/>
      </c>
      <c r="E1679">
        <f>IF(OR(H1679="",P1679=""),"",INDEX('Students'!$C$2:$C$701,P1679))</f>
        <v/>
      </c>
      <c r="F1679" s="48">
        <f>IF(H1679="","",IF(ISNUMBER(O1679),O1679,J1679))</f>
        <v/>
      </c>
      <c r="G1679">
        <f>IF(H1679="","","OneCause")</f>
        <v/>
      </c>
      <c r="H1679">
        <f>IF(AND(I1679="",J1679="",K1679=""),"",IF(NOT(ISNUMBER(O1679)),"Bad amount",IF(O1679&lt;0,"Refund (not counted)",IF(O1679=0,"Zero amount",IF(NOT(ISNUMBER(N1679)),"Bad date",IF(P1679="","NAME NOT ON ROSTER",IF(L1679="","OK",IF(MATCH(L1679,$L$2:$L$3001,0)&lt;ROW()-1,"Duplicate (ignored)","OK"))))))))</f>
        <v/>
      </c>
      <c r="I1679">
        <f>IF(OC_Date=0,"",IF(INDEX('OneCause_Paste'!$A$1679:$AZ$1679,1,OC_Date)="","",INDEX('OneCause_Paste'!$A$1679:$AZ$1679,1,OC_Date)))</f>
        <v/>
      </c>
      <c r="J1679">
        <f>IF(OC_Amt=0,"",IF(INDEX('OneCause_Paste'!$A$1679:$AZ$1679,1,OC_Amt)="","",INDEX('OneCause_Paste'!$A$1679:$AZ$1679,1,OC_Amt)))</f>
        <v/>
      </c>
      <c r="K1679">
        <f>IF(OC_Name=0,"",IF(INDEX('OneCause_Paste'!$A$1679:$AZ$1679,1,OC_Name)="","",INDEX('OneCause_Paste'!$A$1679:$AZ$1679,1,OC_Name)))</f>
        <v/>
      </c>
      <c r="L1679">
        <f>IF(OC_Txn=0,"",IF(INDEX('OneCause_Paste'!$A$1679:$AZ$1679,1,OC_Txn)="","",INDEX('OneCause_Paste'!$A$1679:$AZ$1679,1,OC_Txn)))</f>
        <v/>
      </c>
      <c r="M1679">
        <f>IF(OC_Pay=0,"",IF(INDEX('OneCause_Paste'!$A$1679:$AZ$1679,1,OC_Pay)="","",INDEX('OneCause_Paste'!$A$1679:$AZ$1679,1,OC_Pay)))</f>
        <v/>
      </c>
      <c r="N1679">
        <f>IF(I1679="","",IF(ISNUMBER(I1679),INT(I1679),IFERROR(INT(DATEVALUE(I1679)),IFERROR(INT(VALUE(I1679)),"bad"))))</f>
        <v/>
      </c>
      <c r="O1679">
        <f>IF(J1679="","",IF(ISNUMBER(J1679),ROUND(J1679,2),IFERROR(ROUND(VALUE(SUBSTITUTE(SUBSTITUTE(SUBSTITUTE(J1679,"$",""),",","")," ","")),2),"bad")))</f>
        <v/>
      </c>
      <c r="P1679">
        <f>IF(TRIM(K1679)="","",IFERROR(MATCH(LOWER(TRIM(K1679)),'Students'!$AH$2:$AH$701,0),IFERROR(MATCH(LOWER(TRIM(K1679)),'Students'!$AF$2:$AF$701,0),IFERROR(MATCH(LOWER(TRIM(K1679)),'Students'!$AG$2:$AG$701,0),""))))</f>
        <v/>
      </c>
      <c r="R1679">
        <f>IF(P1679="","",INDEX('Students'!$AD$2:$AD$701,P1679))</f>
        <v/>
      </c>
      <c r="S1679">
        <f>IF(H1679="OK",O1679,0)</f>
        <v/>
      </c>
      <c r="T1679">
        <f>IF(H1679="OK",N1679,"")</f>
        <v/>
      </c>
      <c r="U1679">
        <f>IF(OC_Donor=0,"",IF(INDEX('OneCause_Paste'!$A$1679:$AZ$1679,1,OC_Donor)="","",INDEX('OneCause_Paste'!$A$1679:$AZ$1679,1,OC_Donor)))</f>
        <v/>
      </c>
    </row>
    <row r="1680">
      <c r="A1680" s="62">
        <f>IF(H1680="","",IF(ISNUMBER(N1680),N1680,I1680))</f>
        <v/>
      </c>
      <c r="B1680">
        <f>IF(H1680="","",U1680)</f>
        <v/>
      </c>
      <c r="C1680">
        <f>IF(H1680="","",IF(P1680="",K1680,INDEX('Students'!$A$2:$A$701,P1680)))</f>
        <v/>
      </c>
      <c r="D1680">
        <f>IF(OR(H1680="",P1680=""),"",INDEX('Students'!$B$2:$B$701,P1680))</f>
        <v/>
      </c>
      <c r="E1680">
        <f>IF(OR(H1680="",P1680=""),"",INDEX('Students'!$C$2:$C$701,P1680))</f>
        <v/>
      </c>
      <c r="F1680" s="48">
        <f>IF(H1680="","",IF(ISNUMBER(O1680),O1680,J1680))</f>
        <v/>
      </c>
      <c r="G1680">
        <f>IF(H1680="","","OneCause")</f>
        <v/>
      </c>
      <c r="H1680">
        <f>IF(AND(I1680="",J1680="",K1680=""),"",IF(NOT(ISNUMBER(O1680)),"Bad amount",IF(O1680&lt;0,"Refund (not counted)",IF(O1680=0,"Zero amount",IF(NOT(ISNUMBER(N1680)),"Bad date",IF(P1680="","NAME NOT ON ROSTER",IF(L1680="","OK",IF(MATCH(L1680,$L$2:$L$3001,0)&lt;ROW()-1,"Duplicate (ignored)","OK"))))))))</f>
        <v/>
      </c>
      <c r="I1680">
        <f>IF(OC_Date=0,"",IF(INDEX('OneCause_Paste'!$A$1680:$AZ$1680,1,OC_Date)="","",INDEX('OneCause_Paste'!$A$1680:$AZ$1680,1,OC_Date)))</f>
        <v/>
      </c>
      <c r="J1680">
        <f>IF(OC_Amt=0,"",IF(INDEX('OneCause_Paste'!$A$1680:$AZ$1680,1,OC_Amt)="","",INDEX('OneCause_Paste'!$A$1680:$AZ$1680,1,OC_Amt)))</f>
        <v/>
      </c>
      <c r="K1680">
        <f>IF(OC_Name=0,"",IF(INDEX('OneCause_Paste'!$A$1680:$AZ$1680,1,OC_Name)="","",INDEX('OneCause_Paste'!$A$1680:$AZ$1680,1,OC_Name)))</f>
        <v/>
      </c>
      <c r="L1680">
        <f>IF(OC_Txn=0,"",IF(INDEX('OneCause_Paste'!$A$1680:$AZ$1680,1,OC_Txn)="","",INDEX('OneCause_Paste'!$A$1680:$AZ$1680,1,OC_Txn)))</f>
        <v/>
      </c>
      <c r="M1680">
        <f>IF(OC_Pay=0,"",IF(INDEX('OneCause_Paste'!$A$1680:$AZ$1680,1,OC_Pay)="","",INDEX('OneCause_Paste'!$A$1680:$AZ$1680,1,OC_Pay)))</f>
        <v/>
      </c>
      <c r="N1680">
        <f>IF(I1680="","",IF(ISNUMBER(I1680),INT(I1680),IFERROR(INT(DATEVALUE(I1680)),IFERROR(INT(VALUE(I1680)),"bad"))))</f>
        <v/>
      </c>
      <c r="O1680">
        <f>IF(J1680="","",IF(ISNUMBER(J1680),ROUND(J1680,2),IFERROR(ROUND(VALUE(SUBSTITUTE(SUBSTITUTE(SUBSTITUTE(J1680,"$",""),",","")," ","")),2),"bad")))</f>
        <v/>
      </c>
      <c r="P1680">
        <f>IF(TRIM(K1680)="","",IFERROR(MATCH(LOWER(TRIM(K1680)),'Students'!$AH$2:$AH$701,0),IFERROR(MATCH(LOWER(TRIM(K1680)),'Students'!$AF$2:$AF$701,0),IFERROR(MATCH(LOWER(TRIM(K1680)),'Students'!$AG$2:$AG$701,0),""))))</f>
        <v/>
      </c>
      <c r="R1680">
        <f>IF(P1680="","",INDEX('Students'!$AD$2:$AD$701,P1680))</f>
        <v/>
      </c>
      <c r="S1680">
        <f>IF(H1680="OK",O1680,0)</f>
        <v/>
      </c>
      <c r="T1680">
        <f>IF(H1680="OK",N1680,"")</f>
        <v/>
      </c>
      <c r="U1680">
        <f>IF(OC_Donor=0,"",IF(INDEX('OneCause_Paste'!$A$1680:$AZ$1680,1,OC_Donor)="","",INDEX('OneCause_Paste'!$A$1680:$AZ$1680,1,OC_Donor)))</f>
        <v/>
      </c>
    </row>
    <row r="1681">
      <c r="A1681" s="62">
        <f>IF(H1681="","",IF(ISNUMBER(N1681),N1681,I1681))</f>
        <v/>
      </c>
      <c r="B1681">
        <f>IF(H1681="","",U1681)</f>
        <v/>
      </c>
      <c r="C1681">
        <f>IF(H1681="","",IF(P1681="",K1681,INDEX('Students'!$A$2:$A$701,P1681)))</f>
        <v/>
      </c>
      <c r="D1681">
        <f>IF(OR(H1681="",P1681=""),"",INDEX('Students'!$B$2:$B$701,P1681))</f>
        <v/>
      </c>
      <c r="E1681">
        <f>IF(OR(H1681="",P1681=""),"",INDEX('Students'!$C$2:$C$701,P1681))</f>
        <v/>
      </c>
      <c r="F1681" s="48">
        <f>IF(H1681="","",IF(ISNUMBER(O1681),O1681,J1681))</f>
        <v/>
      </c>
      <c r="G1681">
        <f>IF(H1681="","","OneCause")</f>
        <v/>
      </c>
      <c r="H1681">
        <f>IF(AND(I1681="",J1681="",K1681=""),"",IF(NOT(ISNUMBER(O1681)),"Bad amount",IF(O1681&lt;0,"Refund (not counted)",IF(O1681=0,"Zero amount",IF(NOT(ISNUMBER(N1681)),"Bad date",IF(P1681="","NAME NOT ON ROSTER",IF(L1681="","OK",IF(MATCH(L1681,$L$2:$L$3001,0)&lt;ROW()-1,"Duplicate (ignored)","OK"))))))))</f>
        <v/>
      </c>
      <c r="I1681">
        <f>IF(OC_Date=0,"",IF(INDEX('OneCause_Paste'!$A$1681:$AZ$1681,1,OC_Date)="","",INDEX('OneCause_Paste'!$A$1681:$AZ$1681,1,OC_Date)))</f>
        <v/>
      </c>
      <c r="J1681">
        <f>IF(OC_Amt=0,"",IF(INDEX('OneCause_Paste'!$A$1681:$AZ$1681,1,OC_Amt)="","",INDEX('OneCause_Paste'!$A$1681:$AZ$1681,1,OC_Amt)))</f>
        <v/>
      </c>
      <c r="K1681">
        <f>IF(OC_Name=0,"",IF(INDEX('OneCause_Paste'!$A$1681:$AZ$1681,1,OC_Name)="","",INDEX('OneCause_Paste'!$A$1681:$AZ$1681,1,OC_Name)))</f>
        <v/>
      </c>
      <c r="L1681">
        <f>IF(OC_Txn=0,"",IF(INDEX('OneCause_Paste'!$A$1681:$AZ$1681,1,OC_Txn)="","",INDEX('OneCause_Paste'!$A$1681:$AZ$1681,1,OC_Txn)))</f>
        <v/>
      </c>
      <c r="M1681">
        <f>IF(OC_Pay=0,"",IF(INDEX('OneCause_Paste'!$A$1681:$AZ$1681,1,OC_Pay)="","",INDEX('OneCause_Paste'!$A$1681:$AZ$1681,1,OC_Pay)))</f>
        <v/>
      </c>
      <c r="N1681">
        <f>IF(I1681="","",IF(ISNUMBER(I1681),INT(I1681),IFERROR(INT(DATEVALUE(I1681)),IFERROR(INT(VALUE(I1681)),"bad"))))</f>
        <v/>
      </c>
      <c r="O1681">
        <f>IF(J1681="","",IF(ISNUMBER(J1681),ROUND(J1681,2),IFERROR(ROUND(VALUE(SUBSTITUTE(SUBSTITUTE(SUBSTITUTE(J1681,"$",""),",","")," ","")),2),"bad")))</f>
        <v/>
      </c>
      <c r="P1681">
        <f>IF(TRIM(K1681)="","",IFERROR(MATCH(LOWER(TRIM(K1681)),'Students'!$AH$2:$AH$701,0),IFERROR(MATCH(LOWER(TRIM(K1681)),'Students'!$AF$2:$AF$701,0),IFERROR(MATCH(LOWER(TRIM(K1681)),'Students'!$AG$2:$AG$701,0),""))))</f>
        <v/>
      </c>
      <c r="R1681">
        <f>IF(P1681="","",INDEX('Students'!$AD$2:$AD$701,P1681))</f>
        <v/>
      </c>
      <c r="S1681">
        <f>IF(H1681="OK",O1681,0)</f>
        <v/>
      </c>
      <c r="T1681">
        <f>IF(H1681="OK",N1681,"")</f>
        <v/>
      </c>
      <c r="U1681">
        <f>IF(OC_Donor=0,"",IF(INDEX('OneCause_Paste'!$A$1681:$AZ$1681,1,OC_Donor)="","",INDEX('OneCause_Paste'!$A$1681:$AZ$1681,1,OC_Donor)))</f>
        <v/>
      </c>
    </row>
    <row r="1682">
      <c r="A1682" s="62">
        <f>IF(H1682="","",IF(ISNUMBER(N1682),N1682,I1682))</f>
        <v/>
      </c>
      <c r="B1682">
        <f>IF(H1682="","",U1682)</f>
        <v/>
      </c>
      <c r="C1682">
        <f>IF(H1682="","",IF(P1682="",K1682,INDEX('Students'!$A$2:$A$701,P1682)))</f>
        <v/>
      </c>
      <c r="D1682">
        <f>IF(OR(H1682="",P1682=""),"",INDEX('Students'!$B$2:$B$701,P1682))</f>
        <v/>
      </c>
      <c r="E1682">
        <f>IF(OR(H1682="",P1682=""),"",INDEX('Students'!$C$2:$C$701,P1682))</f>
        <v/>
      </c>
      <c r="F1682" s="48">
        <f>IF(H1682="","",IF(ISNUMBER(O1682),O1682,J1682))</f>
        <v/>
      </c>
      <c r="G1682">
        <f>IF(H1682="","","OneCause")</f>
        <v/>
      </c>
      <c r="H1682">
        <f>IF(AND(I1682="",J1682="",K1682=""),"",IF(NOT(ISNUMBER(O1682)),"Bad amount",IF(O1682&lt;0,"Refund (not counted)",IF(O1682=0,"Zero amount",IF(NOT(ISNUMBER(N1682)),"Bad date",IF(P1682="","NAME NOT ON ROSTER",IF(L1682="","OK",IF(MATCH(L1682,$L$2:$L$3001,0)&lt;ROW()-1,"Duplicate (ignored)","OK"))))))))</f>
        <v/>
      </c>
      <c r="I1682">
        <f>IF(OC_Date=0,"",IF(INDEX('OneCause_Paste'!$A$1682:$AZ$1682,1,OC_Date)="","",INDEX('OneCause_Paste'!$A$1682:$AZ$1682,1,OC_Date)))</f>
        <v/>
      </c>
      <c r="J1682">
        <f>IF(OC_Amt=0,"",IF(INDEX('OneCause_Paste'!$A$1682:$AZ$1682,1,OC_Amt)="","",INDEX('OneCause_Paste'!$A$1682:$AZ$1682,1,OC_Amt)))</f>
        <v/>
      </c>
      <c r="K1682">
        <f>IF(OC_Name=0,"",IF(INDEX('OneCause_Paste'!$A$1682:$AZ$1682,1,OC_Name)="","",INDEX('OneCause_Paste'!$A$1682:$AZ$1682,1,OC_Name)))</f>
        <v/>
      </c>
      <c r="L1682">
        <f>IF(OC_Txn=0,"",IF(INDEX('OneCause_Paste'!$A$1682:$AZ$1682,1,OC_Txn)="","",INDEX('OneCause_Paste'!$A$1682:$AZ$1682,1,OC_Txn)))</f>
        <v/>
      </c>
      <c r="M1682">
        <f>IF(OC_Pay=0,"",IF(INDEX('OneCause_Paste'!$A$1682:$AZ$1682,1,OC_Pay)="","",INDEX('OneCause_Paste'!$A$1682:$AZ$1682,1,OC_Pay)))</f>
        <v/>
      </c>
      <c r="N1682">
        <f>IF(I1682="","",IF(ISNUMBER(I1682),INT(I1682),IFERROR(INT(DATEVALUE(I1682)),IFERROR(INT(VALUE(I1682)),"bad"))))</f>
        <v/>
      </c>
      <c r="O1682">
        <f>IF(J1682="","",IF(ISNUMBER(J1682),ROUND(J1682,2),IFERROR(ROUND(VALUE(SUBSTITUTE(SUBSTITUTE(SUBSTITUTE(J1682,"$",""),",","")," ","")),2),"bad")))</f>
        <v/>
      </c>
      <c r="P1682">
        <f>IF(TRIM(K1682)="","",IFERROR(MATCH(LOWER(TRIM(K1682)),'Students'!$AH$2:$AH$701,0),IFERROR(MATCH(LOWER(TRIM(K1682)),'Students'!$AF$2:$AF$701,0),IFERROR(MATCH(LOWER(TRIM(K1682)),'Students'!$AG$2:$AG$701,0),""))))</f>
        <v/>
      </c>
      <c r="R1682">
        <f>IF(P1682="","",INDEX('Students'!$AD$2:$AD$701,P1682))</f>
        <v/>
      </c>
      <c r="S1682">
        <f>IF(H1682="OK",O1682,0)</f>
        <v/>
      </c>
      <c r="T1682">
        <f>IF(H1682="OK",N1682,"")</f>
        <v/>
      </c>
      <c r="U1682">
        <f>IF(OC_Donor=0,"",IF(INDEX('OneCause_Paste'!$A$1682:$AZ$1682,1,OC_Donor)="","",INDEX('OneCause_Paste'!$A$1682:$AZ$1682,1,OC_Donor)))</f>
        <v/>
      </c>
    </row>
    <row r="1683">
      <c r="A1683" s="62">
        <f>IF(H1683="","",IF(ISNUMBER(N1683),N1683,I1683))</f>
        <v/>
      </c>
      <c r="B1683">
        <f>IF(H1683="","",U1683)</f>
        <v/>
      </c>
      <c r="C1683">
        <f>IF(H1683="","",IF(P1683="",K1683,INDEX('Students'!$A$2:$A$701,P1683)))</f>
        <v/>
      </c>
      <c r="D1683">
        <f>IF(OR(H1683="",P1683=""),"",INDEX('Students'!$B$2:$B$701,P1683))</f>
        <v/>
      </c>
      <c r="E1683">
        <f>IF(OR(H1683="",P1683=""),"",INDEX('Students'!$C$2:$C$701,P1683))</f>
        <v/>
      </c>
      <c r="F1683" s="48">
        <f>IF(H1683="","",IF(ISNUMBER(O1683),O1683,J1683))</f>
        <v/>
      </c>
      <c r="G1683">
        <f>IF(H1683="","","OneCause")</f>
        <v/>
      </c>
      <c r="H1683">
        <f>IF(AND(I1683="",J1683="",K1683=""),"",IF(NOT(ISNUMBER(O1683)),"Bad amount",IF(O1683&lt;0,"Refund (not counted)",IF(O1683=0,"Zero amount",IF(NOT(ISNUMBER(N1683)),"Bad date",IF(P1683="","NAME NOT ON ROSTER",IF(L1683="","OK",IF(MATCH(L1683,$L$2:$L$3001,0)&lt;ROW()-1,"Duplicate (ignored)","OK"))))))))</f>
        <v/>
      </c>
      <c r="I1683">
        <f>IF(OC_Date=0,"",IF(INDEX('OneCause_Paste'!$A$1683:$AZ$1683,1,OC_Date)="","",INDEX('OneCause_Paste'!$A$1683:$AZ$1683,1,OC_Date)))</f>
        <v/>
      </c>
      <c r="J1683">
        <f>IF(OC_Amt=0,"",IF(INDEX('OneCause_Paste'!$A$1683:$AZ$1683,1,OC_Amt)="","",INDEX('OneCause_Paste'!$A$1683:$AZ$1683,1,OC_Amt)))</f>
        <v/>
      </c>
      <c r="K1683">
        <f>IF(OC_Name=0,"",IF(INDEX('OneCause_Paste'!$A$1683:$AZ$1683,1,OC_Name)="","",INDEX('OneCause_Paste'!$A$1683:$AZ$1683,1,OC_Name)))</f>
        <v/>
      </c>
      <c r="L1683">
        <f>IF(OC_Txn=0,"",IF(INDEX('OneCause_Paste'!$A$1683:$AZ$1683,1,OC_Txn)="","",INDEX('OneCause_Paste'!$A$1683:$AZ$1683,1,OC_Txn)))</f>
        <v/>
      </c>
      <c r="M1683">
        <f>IF(OC_Pay=0,"",IF(INDEX('OneCause_Paste'!$A$1683:$AZ$1683,1,OC_Pay)="","",INDEX('OneCause_Paste'!$A$1683:$AZ$1683,1,OC_Pay)))</f>
        <v/>
      </c>
      <c r="N1683">
        <f>IF(I1683="","",IF(ISNUMBER(I1683),INT(I1683),IFERROR(INT(DATEVALUE(I1683)),IFERROR(INT(VALUE(I1683)),"bad"))))</f>
        <v/>
      </c>
      <c r="O1683">
        <f>IF(J1683="","",IF(ISNUMBER(J1683),ROUND(J1683,2),IFERROR(ROUND(VALUE(SUBSTITUTE(SUBSTITUTE(SUBSTITUTE(J1683,"$",""),",","")," ","")),2),"bad")))</f>
        <v/>
      </c>
      <c r="P1683">
        <f>IF(TRIM(K1683)="","",IFERROR(MATCH(LOWER(TRIM(K1683)),'Students'!$AH$2:$AH$701,0),IFERROR(MATCH(LOWER(TRIM(K1683)),'Students'!$AF$2:$AF$701,0),IFERROR(MATCH(LOWER(TRIM(K1683)),'Students'!$AG$2:$AG$701,0),""))))</f>
        <v/>
      </c>
      <c r="R1683">
        <f>IF(P1683="","",INDEX('Students'!$AD$2:$AD$701,P1683))</f>
        <v/>
      </c>
      <c r="S1683">
        <f>IF(H1683="OK",O1683,0)</f>
        <v/>
      </c>
      <c r="T1683">
        <f>IF(H1683="OK",N1683,"")</f>
        <v/>
      </c>
      <c r="U1683">
        <f>IF(OC_Donor=0,"",IF(INDEX('OneCause_Paste'!$A$1683:$AZ$1683,1,OC_Donor)="","",INDEX('OneCause_Paste'!$A$1683:$AZ$1683,1,OC_Donor)))</f>
        <v/>
      </c>
    </row>
    <row r="1684">
      <c r="A1684" s="62">
        <f>IF(H1684="","",IF(ISNUMBER(N1684),N1684,I1684))</f>
        <v/>
      </c>
      <c r="B1684">
        <f>IF(H1684="","",U1684)</f>
        <v/>
      </c>
      <c r="C1684">
        <f>IF(H1684="","",IF(P1684="",K1684,INDEX('Students'!$A$2:$A$701,P1684)))</f>
        <v/>
      </c>
      <c r="D1684">
        <f>IF(OR(H1684="",P1684=""),"",INDEX('Students'!$B$2:$B$701,P1684))</f>
        <v/>
      </c>
      <c r="E1684">
        <f>IF(OR(H1684="",P1684=""),"",INDEX('Students'!$C$2:$C$701,P1684))</f>
        <v/>
      </c>
      <c r="F1684" s="48">
        <f>IF(H1684="","",IF(ISNUMBER(O1684),O1684,J1684))</f>
        <v/>
      </c>
      <c r="G1684">
        <f>IF(H1684="","","OneCause")</f>
        <v/>
      </c>
      <c r="H1684">
        <f>IF(AND(I1684="",J1684="",K1684=""),"",IF(NOT(ISNUMBER(O1684)),"Bad amount",IF(O1684&lt;0,"Refund (not counted)",IF(O1684=0,"Zero amount",IF(NOT(ISNUMBER(N1684)),"Bad date",IF(P1684="","NAME NOT ON ROSTER",IF(L1684="","OK",IF(MATCH(L1684,$L$2:$L$3001,0)&lt;ROW()-1,"Duplicate (ignored)","OK"))))))))</f>
        <v/>
      </c>
      <c r="I1684">
        <f>IF(OC_Date=0,"",IF(INDEX('OneCause_Paste'!$A$1684:$AZ$1684,1,OC_Date)="","",INDEX('OneCause_Paste'!$A$1684:$AZ$1684,1,OC_Date)))</f>
        <v/>
      </c>
      <c r="J1684">
        <f>IF(OC_Amt=0,"",IF(INDEX('OneCause_Paste'!$A$1684:$AZ$1684,1,OC_Amt)="","",INDEX('OneCause_Paste'!$A$1684:$AZ$1684,1,OC_Amt)))</f>
        <v/>
      </c>
      <c r="K1684">
        <f>IF(OC_Name=0,"",IF(INDEX('OneCause_Paste'!$A$1684:$AZ$1684,1,OC_Name)="","",INDEX('OneCause_Paste'!$A$1684:$AZ$1684,1,OC_Name)))</f>
        <v/>
      </c>
      <c r="L1684">
        <f>IF(OC_Txn=0,"",IF(INDEX('OneCause_Paste'!$A$1684:$AZ$1684,1,OC_Txn)="","",INDEX('OneCause_Paste'!$A$1684:$AZ$1684,1,OC_Txn)))</f>
        <v/>
      </c>
      <c r="M1684">
        <f>IF(OC_Pay=0,"",IF(INDEX('OneCause_Paste'!$A$1684:$AZ$1684,1,OC_Pay)="","",INDEX('OneCause_Paste'!$A$1684:$AZ$1684,1,OC_Pay)))</f>
        <v/>
      </c>
      <c r="N1684">
        <f>IF(I1684="","",IF(ISNUMBER(I1684),INT(I1684),IFERROR(INT(DATEVALUE(I1684)),IFERROR(INT(VALUE(I1684)),"bad"))))</f>
        <v/>
      </c>
      <c r="O1684">
        <f>IF(J1684="","",IF(ISNUMBER(J1684),ROUND(J1684,2),IFERROR(ROUND(VALUE(SUBSTITUTE(SUBSTITUTE(SUBSTITUTE(J1684,"$",""),",","")," ","")),2),"bad")))</f>
        <v/>
      </c>
      <c r="P1684">
        <f>IF(TRIM(K1684)="","",IFERROR(MATCH(LOWER(TRIM(K1684)),'Students'!$AH$2:$AH$701,0),IFERROR(MATCH(LOWER(TRIM(K1684)),'Students'!$AF$2:$AF$701,0),IFERROR(MATCH(LOWER(TRIM(K1684)),'Students'!$AG$2:$AG$701,0),""))))</f>
        <v/>
      </c>
      <c r="R1684">
        <f>IF(P1684="","",INDEX('Students'!$AD$2:$AD$701,P1684))</f>
        <v/>
      </c>
      <c r="S1684">
        <f>IF(H1684="OK",O1684,0)</f>
        <v/>
      </c>
      <c r="T1684">
        <f>IF(H1684="OK",N1684,"")</f>
        <v/>
      </c>
      <c r="U1684">
        <f>IF(OC_Donor=0,"",IF(INDEX('OneCause_Paste'!$A$1684:$AZ$1684,1,OC_Donor)="","",INDEX('OneCause_Paste'!$A$1684:$AZ$1684,1,OC_Donor)))</f>
        <v/>
      </c>
    </row>
    <row r="1685">
      <c r="A1685" s="62">
        <f>IF(H1685="","",IF(ISNUMBER(N1685),N1685,I1685))</f>
        <v/>
      </c>
      <c r="B1685">
        <f>IF(H1685="","",U1685)</f>
        <v/>
      </c>
      <c r="C1685">
        <f>IF(H1685="","",IF(P1685="",K1685,INDEX('Students'!$A$2:$A$701,P1685)))</f>
        <v/>
      </c>
      <c r="D1685">
        <f>IF(OR(H1685="",P1685=""),"",INDEX('Students'!$B$2:$B$701,P1685))</f>
        <v/>
      </c>
      <c r="E1685">
        <f>IF(OR(H1685="",P1685=""),"",INDEX('Students'!$C$2:$C$701,P1685))</f>
        <v/>
      </c>
      <c r="F1685" s="48">
        <f>IF(H1685="","",IF(ISNUMBER(O1685),O1685,J1685))</f>
        <v/>
      </c>
      <c r="G1685">
        <f>IF(H1685="","","OneCause")</f>
        <v/>
      </c>
      <c r="H1685">
        <f>IF(AND(I1685="",J1685="",K1685=""),"",IF(NOT(ISNUMBER(O1685)),"Bad amount",IF(O1685&lt;0,"Refund (not counted)",IF(O1685=0,"Zero amount",IF(NOT(ISNUMBER(N1685)),"Bad date",IF(P1685="","NAME NOT ON ROSTER",IF(L1685="","OK",IF(MATCH(L1685,$L$2:$L$3001,0)&lt;ROW()-1,"Duplicate (ignored)","OK"))))))))</f>
        <v/>
      </c>
      <c r="I1685">
        <f>IF(OC_Date=0,"",IF(INDEX('OneCause_Paste'!$A$1685:$AZ$1685,1,OC_Date)="","",INDEX('OneCause_Paste'!$A$1685:$AZ$1685,1,OC_Date)))</f>
        <v/>
      </c>
      <c r="J1685">
        <f>IF(OC_Amt=0,"",IF(INDEX('OneCause_Paste'!$A$1685:$AZ$1685,1,OC_Amt)="","",INDEX('OneCause_Paste'!$A$1685:$AZ$1685,1,OC_Amt)))</f>
        <v/>
      </c>
      <c r="K1685">
        <f>IF(OC_Name=0,"",IF(INDEX('OneCause_Paste'!$A$1685:$AZ$1685,1,OC_Name)="","",INDEX('OneCause_Paste'!$A$1685:$AZ$1685,1,OC_Name)))</f>
        <v/>
      </c>
      <c r="L1685">
        <f>IF(OC_Txn=0,"",IF(INDEX('OneCause_Paste'!$A$1685:$AZ$1685,1,OC_Txn)="","",INDEX('OneCause_Paste'!$A$1685:$AZ$1685,1,OC_Txn)))</f>
        <v/>
      </c>
      <c r="M1685">
        <f>IF(OC_Pay=0,"",IF(INDEX('OneCause_Paste'!$A$1685:$AZ$1685,1,OC_Pay)="","",INDEX('OneCause_Paste'!$A$1685:$AZ$1685,1,OC_Pay)))</f>
        <v/>
      </c>
      <c r="N1685">
        <f>IF(I1685="","",IF(ISNUMBER(I1685),INT(I1685),IFERROR(INT(DATEVALUE(I1685)),IFERROR(INT(VALUE(I1685)),"bad"))))</f>
        <v/>
      </c>
      <c r="O1685">
        <f>IF(J1685="","",IF(ISNUMBER(J1685),ROUND(J1685,2),IFERROR(ROUND(VALUE(SUBSTITUTE(SUBSTITUTE(SUBSTITUTE(J1685,"$",""),",","")," ","")),2),"bad")))</f>
        <v/>
      </c>
      <c r="P1685">
        <f>IF(TRIM(K1685)="","",IFERROR(MATCH(LOWER(TRIM(K1685)),'Students'!$AH$2:$AH$701,0),IFERROR(MATCH(LOWER(TRIM(K1685)),'Students'!$AF$2:$AF$701,0),IFERROR(MATCH(LOWER(TRIM(K1685)),'Students'!$AG$2:$AG$701,0),""))))</f>
        <v/>
      </c>
      <c r="R1685">
        <f>IF(P1685="","",INDEX('Students'!$AD$2:$AD$701,P1685))</f>
        <v/>
      </c>
      <c r="S1685">
        <f>IF(H1685="OK",O1685,0)</f>
        <v/>
      </c>
      <c r="T1685">
        <f>IF(H1685="OK",N1685,"")</f>
        <v/>
      </c>
      <c r="U1685">
        <f>IF(OC_Donor=0,"",IF(INDEX('OneCause_Paste'!$A$1685:$AZ$1685,1,OC_Donor)="","",INDEX('OneCause_Paste'!$A$1685:$AZ$1685,1,OC_Donor)))</f>
        <v/>
      </c>
    </row>
    <row r="1686">
      <c r="A1686" s="62">
        <f>IF(H1686="","",IF(ISNUMBER(N1686),N1686,I1686))</f>
        <v/>
      </c>
      <c r="B1686">
        <f>IF(H1686="","",U1686)</f>
        <v/>
      </c>
      <c r="C1686">
        <f>IF(H1686="","",IF(P1686="",K1686,INDEX('Students'!$A$2:$A$701,P1686)))</f>
        <v/>
      </c>
      <c r="D1686">
        <f>IF(OR(H1686="",P1686=""),"",INDEX('Students'!$B$2:$B$701,P1686))</f>
        <v/>
      </c>
      <c r="E1686">
        <f>IF(OR(H1686="",P1686=""),"",INDEX('Students'!$C$2:$C$701,P1686))</f>
        <v/>
      </c>
      <c r="F1686" s="48">
        <f>IF(H1686="","",IF(ISNUMBER(O1686),O1686,J1686))</f>
        <v/>
      </c>
      <c r="G1686">
        <f>IF(H1686="","","OneCause")</f>
        <v/>
      </c>
      <c r="H1686">
        <f>IF(AND(I1686="",J1686="",K1686=""),"",IF(NOT(ISNUMBER(O1686)),"Bad amount",IF(O1686&lt;0,"Refund (not counted)",IF(O1686=0,"Zero amount",IF(NOT(ISNUMBER(N1686)),"Bad date",IF(P1686="","NAME NOT ON ROSTER",IF(L1686="","OK",IF(MATCH(L1686,$L$2:$L$3001,0)&lt;ROW()-1,"Duplicate (ignored)","OK"))))))))</f>
        <v/>
      </c>
      <c r="I1686">
        <f>IF(OC_Date=0,"",IF(INDEX('OneCause_Paste'!$A$1686:$AZ$1686,1,OC_Date)="","",INDEX('OneCause_Paste'!$A$1686:$AZ$1686,1,OC_Date)))</f>
        <v/>
      </c>
      <c r="J1686">
        <f>IF(OC_Amt=0,"",IF(INDEX('OneCause_Paste'!$A$1686:$AZ$1686,1,OC_Amt)="","",INDEX('OneCause_Paste'!$A$1686:$AZ$1686,1,OC_Amt)))</f>
        <v/>
      </c>
      <c r="K1686">
        <f>IF(OC_Name=0,"",IF(INDEX('OneCause_Paste'!$A$1686:$AZ$1686,1,OC_Name)="","",INDEX('OneCause_Paste'!$A$1686:$AZ$1686,1,OC_Name)))</f>
        <v/>
      </c>
      <c r="L1686">
        <f>IF(OC_Txn=0,"",IF(INDEX('OneCause_Paste'!$A$1686:$AZ$1686,1,OC_Txn)="","",INDEX('OneCause_Paste'!$A$1686:$AZ$1686,1,OC_Txn)))</f>
        <v/>
      </c>
      <c r="M1686">
        <f>IF(OC_Pay=0,"",IF(INDEX('OneCause_Paste'!$A$1686:$AZ$1686,1,OC_Pay)="","",INDEX('OneCause_Paste'!$A$1686:$AZ$1686,1,OC_Pay)))</f>
        <v/>
      </c>
      <c r="N1686">
        <f>IF(I1686="","",IF(ISNUMBER(I1686),INT(I1686),IFERROR(INT(DATEVALUE(I1686)),IFERROR(INT(VALUE(I1686)),"bad"))))</f>
        <v/>
      </c>
      <c r="O1686">
        <f>IF(J1686="","",IF(ISNUMBER(J1686),ROUND(J1686,2),IFERROR(ROUND(VALUE(SUBSTITUTE(SUBSTITUTE(SUBSTITUTE(J1686,"$",""),",","")," ","")),2),"bad")))</f>
        <v/>
      </c>
      <c r="P1686">
        <f>IF(TRIM(K1686)="","",IFERROR(MATCH(LOWER(TRIM(K1686)),'Students'!$AH$2:$AH$701,0),IFERROR(MATCH(LOWER(TRIM(K1686)),'Students'!$AF$2:$AF$701,0),IFERROR(MATCH(LOWER(TRIM(K1686)),'Students'!$AG$2:$AG$701,0),""))))</f>
        <v/>
      </c>
      <c r="R1686">
        <f>IF(P1686="","",INDEX('Students'!$AD$2:$AD$701,P1686))</f>
        <v/>
      </c>
      <c r="S1686">
        <f>IF(H1686="OK",O1686,0)</f>
        <v/>
      </c>
      <c r="T1686">
        <f>IF(H1686="OK",N1686,"")</f>
        <v/>
      </c>
      <c r="U1686">
        <f>IF(OC_Donor=0,"",IF(INDEX('OneCause_Paste'!$A$1686:$AZ$1686,1,OC_Donor)="","",INDEX('OneCause_Paste'!$A$1686:$AZ$1686,1,OC_Donor)))</f>
        <v/>
      </c>
    </row>
    <row r="1687">
      <c r="A1687" s="62">
        <f>IF(H1687="","",IF(ISNUMBER(N1687),N1687,I1687))</f>
        <v/>
      </c>
      <c r="B1687">
        <f>IF(H1687="","",U1687)</f>
        <v/>
      </c>
      <c r="C1687">
        <f>IF(H1687="","",IF(P1687="",K1687,INDEX('Students'!$A$2:$A$701,P1687)))</f>
        <v/>
      </c>
      <c r="D1687">
        <f>IF(OR(H1687="",P1687=""),"",INDEX('Students'!$B$2:$B$701,P1687))</f>
        <v/>
      </c>
      <c r="E1687">
        <f>IF(OR(H1687="",P1687=""),"",INDEX('Students'!$C$2:$C$701,P1687))</f>
        <v/>
      </c>
      <c r="F1687" s="48">
        <f>IF(H1687="","",IF(ISNUMBER(O1687),O1687,J1687))</f>
        <v/>
      </c>
      <c r="G1687">
        <f>IF(H1687="","","OneCause")</f>
        <v/>
      </c>
      <c r="H1687">
        <f>IF(AND(I1687="",J1687="",K1687=""),"",IF(NOT(ISNUMBER(O1687)),"Bad amount",IF(O1687&lt;0,"Refund (not counted)",IF(O1687=0,"Zero amount",IF(NOT(ISNUMBER(N1687)),"Bad date",IF(P1687="","NAME NOT ON ROSTER",IF(L1687="","OK",IF(MATCH(L1687,$L$2:$L$3001,0)&lt;ROW()-1,"Duplicate (ignored)","OK"))))))))</f>
        <v/>
      </c>
      <c r="I1687">
        <f>IF(OC_Date=0,"",IF(INDEX('OneCause_Paste'!$A$1687:$AZ$1687,1,OC_Date)="","",INDEX('OneCause_Paste'!$A$1687:$AZ$1687,1,OC_Date)))</f>
        <v/>
      </c>
      <c r="J1687">
        <f>IF(OC_Amt=0,"",IF(INDEX('OneCause_Paste'!$A$1687:$AZ$1687,1,OC_Amt)="","",INDEX('OneCause_Paste'!$A$1687:$AZ$1687,1,OC_Amt)))</f>
        <v/>
      </c>
      <c r="K1687">
        <f>IF(OC_Name=0,"",IF(INDEX('OneCause_Paste'!$A$1687:$AZ$1687,1,OC_Name)="","",INDEX('OneCause_Paste'!$A$1687:$AZ$1687,1,OC_Name)))</f>
        <v/>
      </c>
      <c r="L1687">
        <f>IF(OC_Txn=0,"",IF(INDEX('OneCause_Paste'!$A$1687:$AZ$1687,1,OC_Txn)="","",INDEX('OneCause_Paste'!$A$1687:$AZ$1687,1,OC_Txn)))</f>
        <v/>
      </c>
      <c r="M1687">
        <f>IF(OC_Pay=0,"",IF(INDEX('OneCause_Paste'!$A$1687:$AZ$1687,1,OC_Pay)="","",INDEX('OneCause_Paste'!$A$1687:$AZ$1687,1,OC_Pay)))</f>
        <v/>
      </c>
      <c r="N1687">
        <f>IF(I1687="","",IF(ISNUMBER(I1687),INT(I1687),IFERROR(INT(DATEVALUE(I1687)),IFERROR(INT(VALUE(I1687)),"bad"))))</f>
        <v/>
      </c>
      <c r="O1687">
        <f>IF(J1687="","",IF(ISNUMBER(J1687),ROUND(J1687,2),IFERROR(ROUND(VALUE(SUBSTITUTE(SUBSTITUTE(SUBSTITUTE(J1687,"$",""),",","")," ","")),2),"bad")))</f>
        <v/>
      </c>
      <c r="P1687">
        <f>IF(TRIM(K1687)="","",IFERROR(MATCH(LOWER(TRIM(K1687)),'Students'!$AH$2:$AH$701,0),IFERROR(MATCH(LOWER(TRIM(K1687)),'Students'!$AF$2:$AF$701,0),IFERROR(MATCH(LOWER(TRIM(K1687)),'Students'!$AG$2:$AG$701,0),""))))</f>
        <v/>
      </c>
      <c r="R1687">
        <f>IF(P1687="","",INDEX('Students'!$AD$2:$AD$701,P1687))</f>
        <v/>
      </c>
      <c r="S1687">
        <f>IF(H1687="OK",O1687,0)</f>
        <v/>
      </c>
      <c r="T1687">
        <f>IF(H1687="OK",N1687,"")</f>
        <v/>
      </c>
      <c r="U1687">
        <f>IF(OC_Donor=0,"",IF(INDEX('OneCause_Paste'!$A$1687:$AZ$1687,1,OC_Donor)="","",INDEX('OneCause_Paste'!$A$1687:$AZ$1687,1,OC_Donor)))</f>
        <v/>
      </c>
    </row>
    <row r="1688">
      <c r="A1688" s="62">
        <f>IF(H1688="","",IF(ISNUMBER(N1688),N1688,I1688))</f>
        <v/>
      </c>
      <c r="B1688">
        <f>IF(H1688="","",U1688)</f>
        <v/>
      </c>
      <c r="C1688">
        <f>IF(H1688="","",IF(P1688="",K1688,INDEX('Students'!$A$2:$A$701,P1688)))</f>
        <v/>
      </c>
      <c r="D1688">
        <f>IF(OR(H1688="",P1688=""),"",INDEX('Students'!$B$2:$B$701,P1688))</f>
        <v/>
      </c>
      <c r="E1688">
        <f>IF(OR(H1688="",P1688=""),"",INDEX('Students'!$C$2:$C$701,P1688))</f>
        <v/>
      </c>
      <c r="F1688" s="48">
        <f>IF(H1688="","",IF(ISNUMBER(O1688),O1688,J1688))</f>
        <v/>
      </c>
      <c r="G1688">
        <f>IF(H1688="","","OneCause")</f>
        <v/>
      </c>
      <c r="H1688">
        <f>IF(AND(I1688="",J1688="",K1688=""),"",IF(NOT(ISNUMBER(O1688)),"Bad amount",IF(O1688&lt;0,"Refund (not counted)",IF(O1688=0,"Zero amount",IF(NOT(ISNUMBER(N1688)),"Bad date",IF(P1688="","NAME NOT ON ROSTER",IF(L1688="","OK",IF(MATCH(L1688,$L$2:$L$3001,0)&lt;ROW()-1,"Duplicate (ignored)","OK"))))))))</f>
        <v/>
      </c>
      <c r="I1688">
        <f>IF(OC_Date=0,"",IF(INDEX('OneCause_Paste'!$A$1688:$AZ$1688,1,OC_Date)="","",INDEX('OneCause_Paste'!$A$1688:$AZ$1688,1,OC_Date)))</f>
        <v/>
      </c>
      <c r="J1688">
        <f>IF(OC_Amt=0,"",IF(INDEX('OneCause_Paste'!$A$1688:$AZ$1688,1,OC_Amt)="","",INDEX('OneCause_Paste'!$A$1688:$AZ$1688,1,OC_Amt)))</f>
        <v/>
      </c>
      <c r="K1688">
        <f>IF(OC_Name=0,"",IF(INDEX('OneCause_Paste'!$A$1688:$AZ$1688,1,OC_Name)="","",INDEX('OneCause_Paste'!$A$1688:$AZ$1688,1,OC_Name)))</f>
        <v/>
      </c>
      <c r="L1688">
        <f>IF(OC_Txn=0,"",IF(INDEX('OneCause_Paste'!$A$1688:$AZ$1688,1,OC_Txn)="","",INDEX('OneCause_Paste'!$A$1688:$AZ$1688,1,OC_Txn)))</f>
        <v/>
      </c>
      <c r="M1688">
        <f>IF(OC_Pay=0,"",IF(INDEX('OneCause_Paste'!$A$1688:$AZ$1688,1,OC_Pay)="","",INDEX('OneCause_Paste'!$A$1688:$AZ$1688,1,OC_Pay)))</f>
        <v/>
      </c>
      <c r="N1688">
        <f>IF(I1688="","",IF(ISNUMBER(I1688),INT(I1688),IFERROR(INT(DATEVALUE(I1688)),IFERROR(INT(VALUE(I1688)),"bad"))))</f>
        <v/>
      </c>
      <c r="O1688">
        <f>IF(J1688="","",IF(ISNUMBER(J1688),ROUND(J1688,2),IFERROR(ROUND(VALUE(SUBSTITUTE(SUBSTITUTE(SUBSTITUTE(J1688,"$",""),",","")," ","")),2),"bad")))</f>
        <v/>
      </c>
      <c r="P1688">
        <f>IF(TRIM(K1688)="","",IFERROR(MATCH(LOWER(TRIM(K1688)),'Students'!$AH$2:$AH$701,0),IFERROR(MATCH(LOWER(TRIM(K1688)),'Students'!$AF$2:$AF$701,0),IFERROR(MATCH(LOWER(TRIM(K1688)),'Students'!$AG$2:$AG$701,0),""))))</f>
        <v/>
      </c>
      <c r="R1688">
        <f>IF(P1688="","",INDEX('Students'!$AD$2:$AD$701,P1688))</f>
        <v/>
      </c>
      <c r="S1688">
        <f>IF(H1688="OK",O1688,0)</f>
        <v/>
      </c>
      <c r="T1688">
        <f>IF(H1688="OK",N1688,"")</f>
        <v/>
      </c>
      <c r="U1688">
        <f>IF(OC_Donor=0,"",IF(INDEX('OneCause_Paste'!$A$1688:$AZ$1688,1,OC_Donor)="","",INDEX('OneCause_Paste'!$A$1688:$AZ$1688,1,OC_Donor)))</f>
        <v/>
      </c>
    </row>
    <row r="1689">
      <c r="A1689" s="62">
        <f>IF(H1689="","",IF(ISNUMBER(N1689),N1689,I1689))</f>
        <v/>
      </c>
      <c r="B1689">
        <f>IF(H1689="","",U1689)</f>
        <v/>
      </c>
      <c r="C1689">
        <f>IF(H1689="","",IF(P1689="",K1689,INDEX('Students'!$A$2:$A$701,P1689)))</f>
        <v/>
      </c>
      <c r="D1689">
        <f>IF(OR(H1689="",P1689=""),"",INDEX('Students'!$B$2:$B$701,P1689))</f>
        <v/>
      </c>
      <c r="E1689">
        <f>IF(OR(H1689="",P1689=""),"",INDEX('Students'!$C$2:$C$701,P1689))</f>
        <v/>
      </c>
      <c r="F1689" s="48">
        <f>IF(H1689="","",IF(ISNUMBER(O1689),O1689,J1689))</f>
        <v/>
      </c>
      <c r="G1689">
        <f>IF(H1689="","","OneCause")</f>
        <v/>
      </c>
      <c r="H1689">
        <f>IF(AND(I1689="",J1689="",K1689=""),"",IF(NOT(ISNUMBER(O1689)),"Bad amount",IF(O1689&lt;0,"Refund (not counted)",IF(O1689=0,"Zero amount",IF(NOT(ISNUMBER(N1689)),"Bad date",IF(P1689="","NAME NOT ON ROSTER",IF(L1689="","OK",IF(MATCH(L1689,$L$2:$L$3001,0)&lt;ROW()-1,"Duplicate (ignored)","OK"))))))))</f>
        <v/>
      </c>
      <c r="I1689">
        <f>IF(OC_Date=0,"",IF(INDEX('OneCause_Paste'!$A$1689:$AZ$1689,1,OC_Date)="","",INDEX('OneCause_Paste'!$A$1689:$AZ$1689,1,OC_Date)))</f>
        <v/>
      </c>
      <c r="J1689">
        <f>IF(OC_Amt=0,"",IF(INDEX('OneCause_Paste'!$A$1689:$AZ$1689,1,OC_Amt)="","",INDEX('OneCause_Paste'!$A$1689:$AZ$1689,1,OC_Amt)))</f>
        <v/>
      </c>
      <c r="K1689">
        <f>IF(OC_Name=0,"",IF(INDEX('OneCause_Paste'!$A$1689:$AZ$1689,1,OC_Name)="","",INDEX('OneCause_Paste'!$A$1689:$AZ$1689,1,OC_Name)))</f>
        <v/>
      </c>
      <c r="L1689">
        <f>IF(OC_Txn=0,"",IF(INDEX('OneCause_Paste'!$A$1689:$AZ$1689,1,OC_Txn)="","",INDEX('OneCause_Paste'!$A$1689:$AZ$1689,1,OC_Txn)))</f>
        <v/>
      </c>
      <c r="M1689">
        <f>IF(OC_Pay=0,"",IF(INDEX('OneCause_Paste'!$A$1689:$AZ$1689,1,OC_Pay)="","",INDEX('OneCause_Paste'!$A$1689:$AZ$1689,1,OC_Pay)))</f>
        <v/>
      </c>
      <c r="N1689">
        <f>IF(I1689="","",IF(ISNUMBER(I1689),INT(I1689),IFERROR(INT(DATEVALUE(I1689)),IFERROR(INT(VALUE(I1689)),"bad"))))</f>
        <v/>
      </c>
      <c r="O1689">
        <f>IF(J1689="","",IF(ISNUMBER(J1689),ROUND(J1689,2),IFERROR(ROUND(VALUE(SUBSTITUTE(SUBSTITUTE(SUBSTITUTE(J1689,"$",""),",","")," ","")),2),"bad")))</f>
        <v/>
      </c>
      <c r="P1689">
        <f>IF(TRIM(K1689)="","",IFERROR(MATCH(LOWER(TRIM(K1689)),'Students'!$AH$2:$AH$701,0),IFERROR(MATCH(LOWER(TRIM(K1689)),'Students'!$AF$2:$AF$701,0),IFERROR(MATCH(LOWER(TRIM(K1689)),'Students'!$AG$2:$AG$701,0),""))))</f>
        <v/>
      </c>
      <c r="R1689">
        <f>IF(P1689="","",INDEX('Students'!$AD$2:$AD$701,P1689))</f>
        <v/>
      </c>
      <c r="S1689">
        <f>IF(H1689="OK",O1689,0)</f>
        <v/>
      </c>
      <c r="T1689">
        <f>IF(H1689="OK",N1689,"")</f>
        <v/>
      </c>
      <c r="U1689">
        <f>IF(OC_Donor=0,"",IF(INDEX('OneCause_Paste'!$A$1689:$AZ$1689,1,OC_Donor)="","",INDEX('OneCause_Paste'!$A$1689:$AZ$1689,1,OC_Donor)))</f>
        <v/>
      </c>
    </row>
    <row r="1690">
      <c r="A1690" s="62">
        <f>IF(H1690="","",IF(ISNUMBER(N1690),N1690,I1690))</f>
        <v/>
      </c>
      <c r="B1690">
        <f>IF(H1690="","",U1690)</f>
        <v/>
      </c>
      <c r="C1690">
        <f>IF(H1690="","",IF(P1690="",K1690,INDEX('Students'!$A$2:$A$701,P1690)))</f>
        <v/>
      </c>
      <c r="D1690">
        <f>IF(OR(H1690="",P1690=""),"",INDEX('Students'!$B$2:$B$701,P1690))</f>
        <v/>
      </c>
      <c r="E1690">
        <f>IF(OR(H1690="",P1690=""),"",INDEX('Students'!$C$2:$C$701,P1690))</f>
        <v/>
      </c>
      <c r="F1690" s="48">
        <f>IF(H1690="","",IF(ISNUMBER(O1690),O1690,J1690))</f>
        <v/>
      </c>
      <c r="G1690">
        <f>IF(H1690="","","OneCause")</f>
        <v/>
      </c>
      <c r="H1690">
        <f>IF(AND(I1690="",J1690="",K1690=""),"",IF(NOT(ISNUMBER(O1690)),"Bad amount",IF(O1690&lt;0,"Refund (not counted)",IF(O1690=0,"Zero amount",IF(NOT(ISNUMBER(N1690)),"Bad date",IF(P1690="","NAME NOT ON ROSTER",IF(L1690="","OK",IF(MATCH(L1690,$L$2:$L$3001,0)&lt;ROW()-1,"Duplicate (ignored)","OK"))))))))</f>
        <v/>
      </c>
      <c r="I1690">
        <f>IF(OC_Date=0,"",IF(INDEX('OneCause_Paste'!$A$1690:$AZ$1690,1,OC_Date)="","",INDEX('OneCause_Paste'!$A$1690:$AZ$1690,1,OC_Date)))</f>
        <v/>
      </c>
      <c r="J1690">
        <f>IF(OC_Amt=0,"",IF(INDEX('OneCause_Paste'!$A$1690:$AZ$1690,1,OC_Amt)="","",INDEX('OneCause_Paste'!$A$1690:$AZ$1690,1,OC_Amt)))</f>
        <v/>
      </c>
      <c r="K1690">
        <f>IF(OC_Name=0,"",IF(INDEX('OneCause_Paste'!$A$1690:$AZ$1690,1,OC_Name)="","",INDEX('OneCause_Paste'!$A$1690:$AZ$1690,1,OC_Name)))</f>
        <v/>
      </c>
      <c r="L1690">
        <f>IF(OC_Txn=0,"",IF(INDEX('OneCause_Paste'!$A$1690:$AZ$1690,1,OC_Txn)="","",INDEX('OneCause_Paste'!$A$1690:$AZ$1690,1,OC_Txn)))</f>
        <v/>
      </c>
      <c r="M1690">
        <f>IF(OC_Pay=0,"",IF(INDEX('OneCause_Paste'!$A$1690:$AZ$1690,1,OC_Pay)="","",INDEX('OneCause_Paste'!$A$1690:$AZ$1690,1,OC_Pay)))</f>
        <v/>
      </c>
      <c r="N1690">
        <f>IF(I1690="","",IF(ISNUMBER(I1690),INT(I1690),IFERROR(INT(DATEVALUE(I1690)),IFERROR(INT(VALUE(I1690)),"bad"))))</f>
        <v/>
      </c>
      <c r="O1690">
        <f>IF(J1690="","",IF(ISNUMBER(J1690),ROUND(J1690,2),IFERROR(ROUND(VALUE(SUBSTITUTE(SUBSTITUTE(SUBSTITUTE(J1690,"$",""),",","")," ","")),2),"bad")))</f>
        <v/>
      </c>
      <c r="P1690">
        <f>IF(TRIM(K1690)="","",IFERROR(MATCH(LOWER(TRIM(K1690)),'Students'!$AH$2:$AH$701,0),IFERROR(MATCH(LOWER(TRIM(K1690)),'Students'!$AF$2:$AF$701,0),IFERROR(MATCH(LOWER(TRIM(K1690)),'Students'!$AG$2:$AG$701,0),""))))</f>
        <v/>
      </c>
      <c r="R1690">
        <f>IF(P1690="","",INDEX('Students'!$AD$2:$AD$701,P1690))</f>
        <v/>
      </c>
      <c r="S1690">
        <f>IF(H1690="OK",O1690,0)</f>
        <v/>
      </c>
      <c r="T1690">
        <f>IF(H1690="OK",N1690,"")</f>
        <v/>
      </c>
      <c r="U1690">
        <f>IF(OC_Donor=0,"",IF(INDEX('OneCause_Paste'!$A$1690:$AZ$1690,1,OC_Donor)="","",INDEX('OneCause_Paste'!$A$1690:$AZ$1690,1,OC_Donor)))</f>
        <v/>
      </c>
    </row>
    <row r="1691">
      <c r="A1691" s="62">
        <f>IF(H1691="","",IF(ISNUMBER(N1691),N1691,I1691))</f>
        <v/>
      </c>
      <c r="B1691">
        <f>IF(H1691="","",U1691)</f>
        <v/>
      </c>
      <c r="C1691">
        <f>IF(H1691="","",IF(P1691="",K1691,INDEX('Students'!$A$2:$A$701,P1691)))</f>
        <v/>
      </c>
      <c r="D1691">
        <f>IF(OR(H1691="",P1691=""),"",INDEX('Students'!$B$2:$B$701,P1691))</f>
        <v/>
      </c>
      <c r="E1691">
        <f>IF(OR(H1691="",P1691=""),"",INDEX('Students'!$C$2:$C$701,P1691))</f>
        <v/>
      </c>
      <c r="F1691" s="48">
        <f>IF(H1691="","",IF(ISNUMBER(O1691),O1691,J1691))</f>
        <v/>
      </c>
      <c r="G1691">
        <f>IF(H1691="","","OneCause")</f>
        <v/>
      </c>
      <c r="H1691">
        <f>IF(AND(I1691="",J1691="",K1691=""),"",IF(NOT(ISNUMBER(O1691)),"Bad amount",IF(O1691&lt;0,"Refund (not counted)",IF(O1691=0,"Zero amount",IF(NOT(ISNUMBER(N1691)),"Bad date",IF(P1691="","NAME NOT ON ROSTER",IF(L1691="","OK",IF(MATCH(L1691,$L$2:$L$3001,0)&lt;ROW()-1,"Duplicate (ignored)","OK"))))))))</f>
        <v/>
      </c>
      <c r="I1691">
        <f>IF(OC_Date=0,"",IF(INDEX('OneCause_Paste'!$A$1691:$AZ$1691,1,OC_Date)="","",INDEX('OneCause_Paste'!$A$1691:$AZ$1691,1,OC_Date)))</f>
        <v/>
      </c>
      <c r="J1691">
        <f>IF(OC_Amt=0,"",IF(INDEX('OneCause_Paste'!$A$1691:$AZ$1691,1,OC_Amt)="","",INDEX('OneCause_Paste'!$A$1691:$AZ$1691,1,OC_Amt)))</f>
        <v/>
      </c>
      <c r="K1691">
        <f>IF(OC_Name=0,"",IF(INDEX('OneCause_Paste'!$A$1691:$AZ$1691,1,OC_Name)="","",INDEX('OneCause_Paste'!$A$1691:$AZ$1691,1,OC_Name)))</f>
        <v/>
      </c>
      <c r="L1691">
        <f>IF(OC_Txn=0,"",IF(INDEX('OneCause_Paste'!$A$1691:$AZ$1691,1,OC_Txn)="","",INDEX('OneCause_Paste'!$A$1691:$AZ$1691,1,OC_Txn)))</f>
        <v/>
      </c>
      <c r="M1691">
        <f>IF(OC_Pay=0,"",IF(INDEX('OneCause_Paste'!$A$1691:$AZ$1691,1,OC_Pay)="","",INDEX('OneCause_Paste'!$A$1691:$AZ$1691,1,OC_Pay)))</f>
        <v/>
      </c>
      <c r="N1691">
        <f>IF(I1691="","",IF(ISNUMBER(I1691),INT(I1691),IFERROR(INT(DATEVALUE(I1691)),IFERROR(INT(VALUE(I1691)),"bad"))))</f>
        <v/>
      </c>
      <c r="O1691">
        <f>IF(J1691="","",IF(ISNUMBER(J1691),ROUND(J1691,2),IFERROR(ROUND(VALUE(SUBSTITUTE(SUBSTITUTE(SUBSTITUTE(J1691,"$",""),",","")," ","")),2),"bad")))</f>
        <v/>
      </c>
      <c r="P1691">
        <f>IF(TRIM(K1691)="","",IFERROR(MATCH(LOWER(TRIM(K1691)),'Students'!$AH$2:$AH$701,0),IFERROR(MATCH(LOWER(TRIM(K1691)),'Students'!$AF$2:$AF$701,0),IFERROR(MATCH(LOWER(TRIM(K1691)),'Students'!$AG$2:$AG$701,0),""))))</f>
        <v/>
      </c>
      <c r="R1691">
        <f>IF(P1691="","",INDEX('Students'!$AD$2:$AD$701,P1691))</f>
        <v/>
      </c>
      <c r="S1691">
        <f>IF(H1691="OK",O1691,0)</f>
        <v/>
      </c>
      <c r="T1691">
        <f>IF(H1691="OK",N1691,"")</f>
        <v/>
      </c>
      <c r="U1691">
        <f>IF(OC_Donor=0,"",IF(INDEX('OneCause_Paste'!$A$1691:$AZ$1691,1,OC_Donor)="","",INDEX('OneCause_Paste'!$A$1691:$AZ$1691,1,OC_Donor)))</f>
        <v/>
      </c>
    </row>
    <row r="1692">
      <c r="A1692" s="62">
        <f>IF(H1692="","",IF(ISNUMBER(N1692),N1692,I1692))</f>
        <v/>
      </c>
      <c r="B1692">
        <f>IF(H1692="","",U1692)</f>
        <v/>
      </c>
      <c r="C1692">
        <f>IF(H1692="","",IF(P1692="",K1692,INDEX('Students'!$A$2:$A$701,P1692)))</f>
        <v/>
      </c>
      <c r="D1692">
        <f>IF(OR(H1692="",P1692=""),"",INDEX('Students'!$B$2:$B$701,P1692))</f>
        <v/>
      </c>
      <c r="E1692">
        <f>IF(OR(H1692="",P1692=""),"",INDEX('Students'!$C$2:$C$701,P1692))</f>
        <v/>
      </c>
      <c r="F1692" s="48">
        <f>IF(H1692="","",IF(ISNUMBER(O1692),O1692,J1692))</f>
        <v/>
      </c>
      <c r="G1692">
        <f>IF(H1692="","","OneCause")</f>
        <v/>
      </c>
      <c r="H1692">
        <f>IF(AND(I1692="",J1692="",K1692=""),"",IF(NOT(ISNUMBER(O1692)),"Bad amount",IF(O1692&lt;0,"Refund (not counted)",IF(O1692=0,"Zero amount",IF(NOT(ISNUMBER(N1692)),"Bad date",IF(P1692="","NAME NOT ON ROSTER",IF(L1692="","OK",IF(MATCH(L1692,$L$2:$L$3001,0)&lt;ROW()-1,"Duplicate (ignored)","OK"))))))))</f>
        <v/>
      </c>
      <c r="I1692">
        <f>IF(OC_Date=0,"",IF(INDEX('OneCause_Paste'!$A$1692:$AZ$1692,1,OC_Date)="","",INDEX('OneCause_Paste'!$A$1692:$AZ$1692,1,OC_Date)))</f>
        <v/>
      </c>
      <c r="J1692">
        <f>IF(OC_Amt=0,"",IF(INDEX('OneCause_Paste'!$A$1692:$AZ$1692,1,OC_Amt)="","",INDEX('OneCause_Paste'!$A$1692:$AZ$1692,1,OC_Amt)))</f>
        <v/>
      </c>
      <c r="K1692">
        <f>IF(OC_Name=0,"",IF(INDEX('OneCause_Paste'!$A$1692:$AZ$1692,1,OC_Name)="","",INDEX('OneCause_Paste'!$A$1692:$AZ$1692,1,OC_Name)))</f>
        <v/>
      </c>
      <c r="L1692">
        <f>IF(OC_Txn=0,"",IF(INDEX('OneCause_Paste'!$A$1692:$AZ$1692,1,OC_Txn)="","",INDEX('OneCause_Paste'!$A$1692:$AZ$1692,1,OC_Txn)))</f>
        <v/>
      </c>
      <c r="M1692">
        <f>IF(OC_Pay=0,"",IF(INDEX('OneCause_Paste'!$A$1692:$AZ$1692,1,OC_Pay)="","",INDEX('OneCause_Paste'!$A$1692:$AZ$1692,1,OC_Pay)))</f>
        <v/>
      </c>
      <c r="N1692">
        <f>IF(I1692="","",IF(ISNUMBER(I1692),INT(I1692),IFERROR(INT(DATEVALUE(I1692)),IFERROR(INT(VALUE(I1692)),"bad"))))</f>
        <v/>
      </c>
      <c r="O1692">
        <f>IF(J1692="","",IF(ISNUMBER(J1692),ROUND(J1692,2),IFERROR(ROUND(VALUE(SUBSTITUTE(SUBSTITUTE(SUBSTITUTE(J1692,"$",""),",","")," ","")),2),"bad")))</f>
        <v/>
      </c>
      <c r="P1692">
        <f>IF(TRIM(K1692)="","",IFERROR(MATCH(LOWER(TRIM(K1692)),'Students'!$AH$2:$AH$701,0),IFERROR(MATCH(LOWER(TRIM(K1692)),'Students'!$AF$2:$AF$701,0),IFERROR(MATCH(LOWER(TRIM(K1692)),'Students'!$AG$2:$AG$701,0),""))))</f>
        <v/>
      </c>
      <c r="R1692">
        <f>IF(P1692="","",INDEX('Students'!$AD$2:$AD$701,P1692))</f>
        <v/>
      </c>
      <c r="S1692">
        <f>IF(H1692="OK",O1692,0)</f>
        <v/>
      </c>
      <c r="T1692">
        <f>IF(H1692="OK",N1692,"")</f>
        <v/>
      </c>
      <c r="U1692">
        <f>IF(OC_Donor=0,"",IF(INDEX('OneCause_Paste'!$A$1692:$AZ$1692,1,OC_Donor)="","",INDEX('OneCause_Paste'!$A$1692:$AZ$1692,1,OC_Donor)))</f>
        <v/>
      </c>
    </row>
    <row r="1693">
      <c r="A1693" s="62">
        <f>IF(H1693="","",IF(ISNUMBER(N1693),N1693,I1693))</f>
        <v/>
      </c>
      <c r="B1693">
        <f>IF(H1693="","",U1693)</f>
        <v/>
      </c>
      <c r="C1693">
        <f>IF(H1693="","",IF(P1693="",K1693,INDEX('Students'!$A$2:$A$701,P1693)))</f>
        <v/>
      </c>
      <c r="D1693">
        <f>IF(OR(H1693="",P1693=""),"",INDEX('Students'!$B$2:$B$701,P1693))</f>
        <v/>
      </c>
      <c r="E1693">
        <f>IF(OR(H1693="",P1693=""),"",INDEX('Students'!$C$2:$C$701,P1693))</f>
        <v/>
      </c>
      <c r="F1693" s="48">
        <f>IF(H1693="","",IF(ISNUMBER(O1693),O1693,J1693))</f>
        <v/>
      </c>
      <c r="G1693">
        <f>IF(H1693="","","OneCause")</f>
        <v/>
      </c>
      <c r="H1693">
        <f>IF(AND(I1693="",J1693="",K1693=""),"",IF(NOT(ISNUMBER(O1693)),"Bad amount",IF(O1693&lt;0,"Refund (not counted)",IF(O1693=0,"Zero amount",IF(NOT(ISNUMBER(N1693)),"Bad date",IF(P1693="","NAME NOT ON ROSTER",IF(L1693="","OK",IF(MATCH(L1693,$L$2:$L$3001,0)&lt;ROW()-1,"Duplicate (ignored)","OK"))))))))</f>
        <v/>
      </c>
      <c r="I1693">
        <f>IF(OC_Date=0,"",IF(INDEX('OneCause_Paste'!$A$1693:$AZ$1693,1,OC_Date)="","",INDEX('OneCause_Paste'!$A$1693:$AZ$1693,1,OC_Date)))</f>
        <v/>
      </c>
      <c r="J1693">
        <f>IF(OC_Amt=0,"",IF(INDEX('OneCause_Paste'!$A$1693:$AZ$1693,1,OC_Amt)="","",INDEX('OneCause_Paste'!$A$1693:$AZ$1693,1,OC_Amt)))</f>
        <v/>
      </c>
      <c r="K1693">
        <f>IF(OC_Name=0,"",IF(INDEX('OneCause_Paste'!$A$1693:$AZ$1693,1,OC_Name)="","",INDEX('OneCause_Paste'!$A$1693:$AZ$1693,1,OC_Name)))</f>
        <v/>
      </c>
      <c r="L1693">
        <f>IF(OC_Txn=0,"",IF(INDEX('OneCause_Paste'!$A$1693:$AZ$1693,1,OC_Txn)="","",INDEX('OneCause_Paste'!$A$1693:$AZ$1693,1,OC_Txn)))</f>
        <v/>
      </c>
      <c r="M1693">
        <f>IF(OC_Pay=0,"",IF(INDEX('OneCause_Paste'!$A$1693:$AZ$1693,1,OC_Pay)="","",INDEX('OneCause_Paste'!$A$1693:$AZ$1693,1,OC_Pay)))</f>
        <v/>
      </c>
      <c r="N1693">
        <f>IF(I1693="","",IF(ISNUMBER(I1693),INT(I1693),IFERROR(INT(DATEVALUE(I1693)),IFERROR(INT(VALUE(I1693)),"bad"))))</f>
        <v/>
      </c>
      <c r="O1693">
        <f>IF(J1693="","",IF(ISNUMBER(J1693),ROUND(J1693,2),IFERROR(ROUND(VALUE(SUBSTITUTE(SUBSTITUTE(SUBSTITUTE(J1693,"$",""),",","")," ","")),2),"bad")))</f>
        <v/>
      </c>
      <c r="P1693">
        <f>IF(TRIM(K1693)="","",IFERROR(MATCH(LOWER(TRIM(K1693)),'Students'!$AH$2:$AH$701,0),IFERROR(MATCH(LOWER(TRIM(K1693)),'Students'!$AF$2:$AF$701,0),IFERROR(MATCH(LOWER(TRIM(K1693)),'Students'!$AG$2:$AG$701,0),""))))</f>
        <v/>
      </c>
      <c r="R1693">
        <f>IF(P1693="","",INDEX('Students'!$AD$2:$AD$701,P1693))</f>
        <v/>
      </c>
      <c r="S1693">
        <f>IF(H1693="OK",O1693,0)</f>
        <v/>
      </c>
      <c r="T1693">
        <f>IF(H1693="OK",N1693,"")</f>
        <v/>
      </c>
      <c r="U1693">
        <f>IF(OC_Donor=0,"",IF(INDEX('OneCause_Paste'!$A$1693:$AZ$1693,1,OC_Donor)="","",INDEX('OneCause_Paste'!$A$1693:$AZ$1693,1,OC_Donor)))</f>
        <v/>
      </c>
    </row>
    <row r="1694">
      <c r="A1694" s="62">
        <f>IF(H1694="","",IF(ISNUMBER(N1694),N1694,I1694))</f>
        <v/>
      </c>
      <c r="B1694">
        <f>IF(H1694="","",U1694)</f>
        <v/>
      </c>
      <c r="C1694">
        <f>IF(H1694="","",IF(P1694="",K1694,INDEX('Students'!$A$2:$A$701,P1694)))</f>
        <v/>
      </c>
      <c r="D1694">
        <f>IF(OR(H1694="",P1694=""),"",INDEX('Students'!$B$2:$B$701,P1694))</f>
        <v/>
      </c>
      <c r="E1694">
        <f>IF(OR(H1694="",P1694=""),"",INDEX('Students'!$C$2:$C$701,P1694))</f>
        <v/>
      </c>
      <c r="F1694" s="48">
        <f>IF(H1694="","",IF(ISNUMBER(O1694),O1694,J1694))</f>
        <v/>
      </c>
      <c r="G1694">
        <f>IF(H1694="","","OneCause")</f>
        <v/>
      </c>
      <c r="H1694">
        <f>IF(AND(I1694="",J1694="",K1694=""),"",IF(NOT(ISNUMBER(O1694)),"Bad amount",IF(O1694&lt;0,"Refund (not counted)",IF(O1694=0,"Zero amount",IF(NOT(ISNUMBER(N1694)),"Bad date",IF(P1694="","NAME NOT ON ROSTER",IF(L1694="","OK",IF(MATCH(L1694,$L$2:$L$3001,0)&lt;ROW()-1,"Duplicate (ignored)","OK"))))))))</f>
        <v/>
      </c>
      <c r="I1694">
        <f>IF(OC_Date=0,"",IF(INDEX('OneCause_Paste'!$A$1694:$AZ$1694,1,OC_Date)="","",INDEX('OneCause_Paste'!$A$1694:$AZ$1694,1,OC_Date)))</f>
        <v/>
      </c>
      <c r="J1694">
        <f>IF(OC_Amt=0,"",IF(INDEX('OneCause_Paste'!$A$1694:$AZ$1694,1,OC_Amt)="","",INDEX('OneCause_Paste'!$A$1694:$AZ$1694,1,OC_Amt)))</f>
        <v/>
      </c>
      <c r="K1694">
        <f>IF(OC_Name=0,"",IF(INDEX('OneCause_Paste'!$A$1694:$AZ$1694,1,OC_Name)="","",INDEX('OneCause_Paste'!$A$1694:$AZ$1694,1,OC_Name)))</f>
        <v/>
      </c>
      <c r="L1694">
        <f>IF(OC_Txn=0,"",IF(INDEX('OneCause_Paste'!$A$1694:$AZ$1694,1,OC_Txn)="","",INDEX('OneCause_Paste'!$A$1694:$AZ$1694,1,OC_Txn)))</f>
        <v/>
      </c>
      <c r="M1694">
        <f>IF(OC_Pay=0,"",IF(INDEX('OneCause_Paste'!$A$1694:$AZ$1694,1,OC_Pay)="","",INDEX('OneCause_Paste'!$A$1694:$AZ$1694,1,OC_Pay)))</f>
        <v/>
      </c>
      <c r="N1694">
        <f>IF(I1694="","",IF(ISNUMBER(I1694),INT(I1694),IFERROR(INT(DATEVALUE(I1694)),IFERROR(INT(VALUE(I1694)),"bad"))))</f>
        <v/>
      </c>
      <c r="O1694">
        <f>IF(J1694="","",IF(ISNUMBER(J1694),ROUND(J1694,2),IFERROR(ROUND(VALUE(SUBSTITUTE(SUBSTITUTE(SUBSTITUTE(J1694,"$",""),",","")," ","")),2),"bad")))</f>
        <v/>
      </c>
      <c r="P1694">
        <f>IF(TRIM(K1694)="","",IFERROR(MATCH(LOWER(TRIM(K1694)),'Students'!$AH$2:$AH$701,0),IFERROR(MATCH(LOWER(TRIM(K1694)),'Students'!$AF$2:$AF$701,0),IFERROR(MATCH(LOWER(TRIM(K1694)),'Students'!$AG$2:$AG$701,0),""))))</f>
        <v/>
      </c>
      <c r="R1694">
        <f>IF(P1694="","",INDEX('Students'!$AD$2:$AD$701,P1694))</f>
        <v/>
      </c>
      <c r="S1694">
        <f>IF(H1694="OK",O1694,0)</f>
        <v/>
      </c>
      <c r="T1694">
        <f>IF(H1694="OK",N1694,"")</f>
        <v/>
      </c>
      <c r="U1694">
        <f>IF(OC_Donor=0,"",IF(INDEX('OneCause_Paste'!$A$1694:$AZ$1694,1,OC_Donor)="","",INDEX('OneCause_Paste'!$A$1694:$AZ$1694,1,OC_Donor)))</f>
        <v/>
      </c>
    </row>
    <row r="1695">
      <c r="A1695" s="62">
        <f>IF(H1695="","",IF(ISNUMBER(N1695),N1695,I1695))</f>
        <v/>
      </c>
      <c r="B1695">
        <f>IF(H1695="","",U1695)</f>
        <v/>
      </c>
      <c r="C1695">
        <f>IF(H1695="","",IF(P1695="",K1695,INDEX('Students'!$A$2:$A$701,P1695)))</f>
        <v/>
      </c>
      <c r="D1695">
        <f>IF(OR(H1695="",P1695=""),"",INDEX('Students'!$B$2:$B$701,P1695))</f>
        <v/>
      </c>
      <c r="E1695">
        <f>IF(OR(H1695="",P1695=""),"",INDEX('Students'!$C$2:$C$701,P1695))</f>
        <v/>
      </c>
      <c r="F1695" s="48">
        <f>IF(H1695="","",IF(ISNUMBER(O1695),O1695,J1695))</f>
        <v/>
      </c>
      <c r="G1695">
        <f>IF(H1695="","","OneCause")</f>
        <v/>
      </c>
      <c r="H1695">
        <f>IF(AND(I1695="",J1695="",K1695=""),"",IF(NOT(ISNUMBER(O1695)),"Bad amount",IF(O1695&lt;0,"Refund (not counted)",IF(O1695=0,"Zero amount",IF(NOT(ISNUMBER(N1695)),"Bad date",IF(P1695="","NAME NOT ON ROSTER",IF(L1695="","OK",IF(MATCH(L1695,$L$2:$L$3001,0)&lt;ROW()-1,"Duplicate (ignored)","OK"))))))))</f>
        <v/>
      </c>
      <c r="I1695">
        <f>IF(OC_Date=0,"",IF(INDEX('OneCause_Paste'!$A$1695:$AZ$1695,1,OC_Date)="","",INDEX('OneCause_Paste'!$A$1695:$AZ$1695,1,OC_Date)))</f>
        <v/>
      </c>
      <c r="J1695">
        <f>IF(OC_Amt=0,"",IF(INDEX('OneCause_Paste'!$A$1695:$AZ$1695,1,OC_Amt)="","",INDEX('OneCause_Paste'!$A$1695:$AZ$1695,1,OC_Amt)))</f>
        <v/>
      </c>
      <c r="K1695">
        <f>IF(OC_Name=0,"",IF(INDEX('OneCause_Paste'!$A$1695:$AZ$1695,1,OC_Name)="","",INDEX('OneCause_Paste'!$A$1695:$AZ$1695,1,OC_Name)))</f>
        <v/>
      </c>
      <c r="L1695">
        <f>IF(OC_Txn=0,"",IF(INDEX('OneCause_Paste'!$A$1695:$AZ$1695,1,OC_Txn)="","",INDEX('OneCause_Paste'!$A$1695:$AZ$1695,1,OC_Txn)))</f>
        <v/>
      </c>
      <c r="M1695">
        <f>IF(OC_Pay=0,"",IF(INDEX('OneCause_Paste'!$A$1695:$AZ$1695,1,OC_Pay)="","",INDEX('OneCause_Paste'!$A$1695:$AZ$1695,1,OC_Pay)))</f>
        <v/>
      </c>
      <c r="N1695">
        <f>IF(I1695="","",IF(ISNUMBER(I1695),INT(I1695),IFERROR(INT(DATEVALUE(I1695)),IFERROR(INT(VALUE(I1695)),"bad"))))</f>
        <v/>
      </c>
      <c r="O1695">
        <f>IF(J1695="","",IF(ISNUMBER(J1695),ROUND(J1695,2),IFERROR(ROUND(VALUE(SUBSTITUTE(SUBSTITUTE(SUBSTITUTE(J1695,"$",""),",","")," ","")),2),"bad")))</f>
        <v/>
      </c>
      <c r="P1695">
        <f>IF(TRIM(K1695)="","",IFERROR(MATCH(LOWER(TRIM(K1695)),'Students'!$AH$2:$AH$701,0),IFERROR(MATCH(LOWER(TRIM(K1695)),'Students'!$AF$2:$AF$701,0),IFERROR(MATCH(LOWER(TRIM(K1695)),'Students'!$AG$2:$AG$701,0),""))))</f>
        <v/>
      </c>
      <c r="R1695">
        <f>IF(P1695="","",INDEX('Students'!$AD$2:$AD$701,P1695))</f>
        <v/>
      </c>
      <c r="S1695">
        <f>IF(H1695="OK",O1695,0)</f>
        <v/>
      </c>
      <c r="T1695">
        <f>IF(H1695="OK",N1695,"")</f>
        <v/>
      </c>
      <c r="U1695">
        <f>IF(OC_Donor=0,"",IF(INDEX('OneCause_Paste'!$A$1695:$AZ$1695,1,OC_Donor)="","",INDEX('OneCause_Paste'!$A$1695:$AZ$1695,1,OC_Donor)))</f>
        <v/>
      </c>
    </row>
    <row r="1696">
      <c r="A1696" s="62">
        <f>IF(H1696="","",IF(ISNUMBER(N1696),N1696,I1696))</f>
        <v/>
      </c>
      <c r="B1696">
        <f>IF(H1696="","",U1696)</f>
        <v/>
      </c>
      <c r="C1696">
        <f>IF(H1696="","",IF(P1696="",K1696,INDEX('Students'!$A$2:$A$701,P1696)))</f>
        <v/>
      </c>
      <c r="D1696">
        <f>IF(OR(H1696="",P1696=""),"",INDEX('Students'!$B$2:$B$701,P1696))</f>
        <v/>
      </c>
      <c r="E1696">
        <f>IF(OR(H1696="",P1696=""),"",INDEX('Students'!$C$2:$C$701,P1696))</f>
        <v/>
      </c>
      <c r="F1696" s="48">
        <f>IF(H1696="","",IF(ISNUMBER(O1696),O1696,J1696))</f>
        <v/>
      </c>
      <c r="G1696">
        <f>IF(H1696="","","OneCause")</f>
        <v/>
      </c>
      <c r="H1696">
        <f>IF(AND(I1696="",J1696="",K1696=""),"",IF(NOT(ISNUMBER(O1696)),"Bad amount",IF(O1696&lt;0,"Refund (not counted)",IF(O1696=0,"Zero amount",IF(NOT(ISNUMBER(N1696)),"Bad date",IF(P1696="","NAME NOT ON ROSTER",IF(L1696="","OK",IF(MATCH(L1696,$L$2:$L$3001,0)&lt;ROW()-1,"Duplicate (ignored)","OK"))))))))</f>
        <v/>
      </c>
      <c r="I1696">
        <f>IF(OC_Date=0,"",IF(INDEX('OneCause_Paste'!$A$1696:$AZ$1696,1,OC_Date)="","",INDEX('OneCause_Paste'!$A$1696:$AZ$1696,1,OC_Date)))</f>
        <v/>
      </c>
      <c r="J1696">
        <f>IF(OC_Amt=0,"",IF(INDEX('OneCause_Paste'!$A$1696:$AZ$1696,1,OC_Amt)="","",INDEX('OneCause_Paste'!$A$1696:$AZ$1696,1,OC_Amt)))</f>
        <v/>
      </c>
      <c r="K1696">
        <f>IF(OC_Name=0,"",IF(INDEX('OneCause_Paste'!$A$1696:$AZ$1696,1,OC_Name)="","",INDEX('OneCause_Paste'!$A$1696:$AZ$1696,1,OC_Name)))</f>
        <v/>
      </c>
      <c r="L1696">
        <f>IF(OC_Txn=0,"",IF(INDEX('OneCause_Paste'!$A$1696:$AZ$1696,1,OC_Txn)="","",INDEX('OneCause_Paste'!$A$1696:$AZ$1696,1,OC_Txn)))</f>
        <v/>
      </c>
      <c r="M1696">
        <f>IF(OC_Pay=0,"",IF(INDEX('OneCause_Paste'!$A$1696:$AZ$1696,1,OC_Pay)="","",INDEX('OneCause_Paste'!$A$1696:$AZ$1696,1,OC_Pay)))</f>
        <v/>
      </c>
      <c r="N1696">
        <f>IF(I1696="","",IF(ISNUMBER(I1696),INT(I1696),IFERROR(INT(DATEVALUE(I1696)),IFERROR(INT(VALUE(I1696)),"bad"))))</f>
        <v/>
      </c>
      <c r="O1696">
        <f>IF(J1696="","",IF(ISNUMBER(J1696),ROUND(J1696,2),IFERROR(ROUND(VALUE(SUBSTITUTE(SUBSTITUTE(SUBSTITUTE(J1696,"$",""),",","")," ","")),2),"bad")))</f>
        <v/>
      </c>
      <c r="P1696">
        <f>IF(TRIM(K1696)="","",IFERROR(MATCH(LOWER(TRIM(K1696)),'Students'!$AH$2:$AH$701,0),IFERROR(MATCH(LOWER(TRIM(K1696)),'Students'!$AF$2:$AF$701,0),IFERROR(MATCH(LOWER(TRIM(K1696)),'Students'!$AG$2:$AG$701,0),""))))</f>
        <v/>
      </c>
      <c r="R1696">
        <f>IF(P1696="","",INDEX('Students'!$AD$2:$AD$701,P1696))</f>
        <v/>
      </c>
      <c r="S1696">
        <f>IF(H1696="OK",O1696,0)</f>
        <v/>
      </c>
      <c r="T1696">
        <f>IF(H1696="OK",N1696,"")</f>
        <v/>
      </c>
      <c r="U1696">
        <f>IF(OC_Donor=0,"",IF(INDEX('OneCause_Paste'!$A$1696:$AZ$1696,1,OC_Donor)="","",INDEX('OneCause_Paste'!$A$1696:$AZ$1696,1,OC_Donor)))</f>
        <v/>
      </c>
    </row>
    <row r="1697">
      <c r="A1697" s="62">
        <f>IF(H1697="","",IF(ISNUMBER(N1697),N1697,I1697))</f>
        <v/>
      </c>
      <c r="B1697">
        <f>IF(H1697="","",U1697)</f>
        <v/>
      </c>
      <c r="C1697">
        <f>IF(H1697="","",IF(P1697="",K1697,INDEX('Students'!$A$2:$A$701,P1697)))</f>
        <v/>
      </c>
      <c r="D1697">
        <f>IF(OR(H1697="",P1697=""),"",INDEX('Students'!$B$2:$B$701,P1697))</f>
        <v/>
      </c>
      <c r="E1697">
        <f>IF(OR(H1697="",P1697=""),"",INDEX('Students'!$C$2:$C$701,P1697))</f>
        <v/>
      </c>
      <c r="F1697" s="48">
        <f>IF(H1697="","",IF(ISNUMBER(O1697),O1697,J1697))</f>
        <v/>
      </c>
      <c r="G1697">
        <f>IF(H1697="","","OneCause")</f>
        <v/>
      </c>
      <c r="H1697">
        <f>IF(AND(I1697="",J1697="",K1697=""),"",IF(NOT(ISNUMBER(O1697)),"Bad amount",IF(O1697&lt;0,"Refund (not counted)",IF(O1697=0,"Zero amount",IF(NOT(ISNUMBER(N1697)),"Bad date",IF(P1697="","NAME NOT ON ROSTER",IF(L1697="","OK",IF(MATCH(L1697,$L$2:$L$3001,0)&lt;ROW()-1,"Duplicate (ignored)","OK"))))))))</f>
        <v/>
      </c>
      <c r="I1697">
        <f>IF(OC_Date=0,"",IF(INDEX('OneCause_Paste'!$A$1697:$AZ$1697,1,OC_Date)="","",INDEX('OneCause_Paste'!$A$1697:$AZ$1697,1,OC_Date)))</f>
        <v/>
      </c>
      <c r="J1697">
        <f>IF(OC_Amt=0,"",IF(INDEX('OneCause_Paste'!$A$1697:$AZ$1697,1,OC_Amt)="","",INDEX('OneCause_Paste'!$A$1697:$AZ$1697,1,OC_Amt)))</f>
        <v/>
      </c>
      <c r="K1697">
        <f>IF(OC_Name=0,"",IF(INDEX('OneCause_Paste'!$A$1697:$AZ$1697,1,OC_Name)="","",INDEX('OneCause_Paste'!$A$1697:$AZ$1697,1,OC_Name)))</f>
        <v/>
      </c>
      <c r="L1697">
        <f>IF(OC_Txn=0,"",IF(INDEX('OneCause_Paste'!$A$1697:$AZ$1697,1,OC_Txn)="","",INDEX('OneCause_Paste'!$A$1697:$AZ$1697,1,OC_Txn)))</f>
        <v/>
      </c>
      <c r="M1697">
        <f>IF(OC_Pay=0,"",IF(INDEX('OneCause_Paste'!$A$1697:$AZ$1697,1,OC_Pay)="","",INDEX('OneCause_Paste'!$A$1697:$AZ$1697,1,OC_Pay)))</f>
        <v/>
      </c>
      <c r="N1697">
        <f>IF(I1697="","",IF(ISNUMBER(I1697),INT(I1697),IFERROR(INT(DATEVALUE(I1697)),IFERROR(INT(VALUE(I1697)),"bad"))))</f>
        <v/>
      </c>
      <c r="O1697">
        <f>IF(J1697="","",IF(ISNUMBER(J1697),ROUND(J1697,2),IFERROR(ROUND(VALUE(SUBSTITUTE(SUBSTITUTE(SUBSTITUTE(J1697,"$",""),",","")," ","")),2),"bad")))</f>
        <v/>
      </c>
      <c r="P1697">
        <f>IF(TRIM(K1697)="","",IFERROR(MATCH(LOWER(TRIM(K1697)),'Students'!$AH$2:$AH$701,0),IFERROR(MATCH(LOWER(TRIM(K1697)),'Students'!$AF$2:$AF$701,0),IFERROR(MATCH(LOWER(TRIM(K1697)),'Students'!$AG$2:$AG$701,0),""))))</f>
        <v/>
      </c>
      <c r="R1697">
        <f>IF(P1697="","",INDEX('Students'!$AD$2:$AD$701,P1697))</f>
        <v/>
      </c>
      <c r="S1697">
        <f>IF(H1697="OK",O1697,0)</f>
        <v/>
      </c>
      <c r="T1697">
        <f>IF(H1697="OK",N1697,"")</f>
        <v/>
      </c>
      <c r="U1697">
        <f>IF(OC_Donor=0,"",IF(INDEX('OneCause_Paste'!$A$1697:$AZ$1697,1,OC_Donor)="","",INDEX('OneCause_Paste'!$A$1697:$AZ$1697,1,OC_Donor)))</f>
        <v/>
      </c>
    </row>
    <row r="1698">
      <c r="A1698" s="62">
        <f>IF(H1698="","",IF(ISNUMBER(N1698),N1698,I1698))</f>
        <v/>
      </c>
      <c r="B1698">
        <f>IF(H1698="","",U1698)</f>
        <v/>
      </c>
      <c r="C1698">
        <f>IF(H1698="","",IF(P1698="",K1698,INDEX('Students'!$A$2:$A$701,P1698)))</f>
        <v/>
      </c>
      <c r="D1698">
        <f>IF(OR(H1698="",P1698=""),"",INDEX('Students'!$B$2:$B$701,P1698))</f>
        <v/>
      </c>
      <c r="E1698">
        <f>IF(OR(H1698="",P1698=""),"",INDEX('Students'!$C$2:$C$701,P1698))</f>
        <v/>
      </c>
      <c r="F1698" s="48">
        <f>IF(H1698="","",IF(ISNUMBER(O1698),O1698,J1698))</f>
        <v/>
      </c>
      <c r="G1698">
        <f>IF(H1698="","","OneCause")</f>
        <v/>
      </c>
      <c r="H1698">
        <f>IF(AND(I1698="",J1698="",K1698=""),"",IF(NOT(ISNUMBER(O1698)),"Bad amount",IF(O1698&lt;0,"Refund (not counted)",IF(O1698=0,"Zero amount",IF(NOT(ISNUMBER(N1698)),"Bad date",IF(P1698="","NAME NOT ON ROSTER",IF(L1698="","OK",IF(MATCH(L1698,$L$2:$L$3001,0)&lt;ROW()-1,"Duplicate (ignored)","OK"))))))))</f>
        <v/>
      </c>
      <c r="I1698">
        <f>IF(OC_Date=0,"",IF(INDEX('OneCause_Paste'!$A$1698:$AZ$1698,1,OC_Date)="","",INDEX('OneCause_Paste'!$A$1698:$AZ$1698,1,OC_Date)))</f>
        <v/>
      </c>
      <c r="J1698">
        <f>IF(OC_Amt=0,"",IF(INDEX('OneCause_Paste'!$A$1698:$AZ$1698,1,OC_Amt)="","",INDEX('OneCause_Paste'!$A$1698:$AZ$1698,1,OC_Amt)))</f>
        <v/>
      </c>
      <c r="K1698">
        <f>IF(OC_Name=0,"",IF(INDEX('OneCause_Paste'!$A$1698:$AZ$1698,1,OC_Name)="","",INDEX('OneCause_Paste'!$A$1698:$AZ$1698,1,OC_Name)))</f>
        <v/>
      </c>
      <c r="L1698">
        <f>IF(OC_Txn=0,"",IF(INDEX('OneCause_Paste'!$A$1698:$AZ$1698,1,OC_Txn)="","",INDEX('OneCause_Paste'!$A$1698:$AZ$1698,1,OC_Txn)))</f>
        <v/>
      </c>
      <c r="M1698">
        <f>IF(OC_Pay=0,"",IF(INDEX('OneCause_Paste'!$A$1698:$AZ$1698,1,OC_Pay)="","",INDEX('OneCause_Paste'!$A$1698:$AZ$1698,1,OC_Pay)))</f>
        <v/>
      </c>
      <c r="N1698">
        <f>IF(I1698="","",IF(ISNUMBER(I1698),INT(I1698),IFERROR(INT(DATEVALUE(I1698)),IFERROR(INT(VALUE(I1698)),"bad"))))</f>
        <v/>
      </c>
      <c r="O1698">
        <f>IF(J1698="","",IF(ISNUMBER(J1698),ROUND(J1698,2),IFERROR(ROUND(VALUE(SUBSTITUTE(SUBSTITUTE(SUBSTITUTE(J1698,"$",""),",","")," ","")),2),"bad")))</f>
        <v/>
      </c>
      <c r="P1698">
        <f>IF(TRIM(K1698)="","",IFERROR(MATCH(LOWER(TRIM(K1698)),'Students'!$AH$2:$AH$701,0),IFERROR(MATCH(LOWER(TRIM(K1698)),'Students'!$AF$2:$AF$701,0),IFERROR(MATCH(LOWER(TRIM(K1698)),'Students'!$AG$2:$AG$701,0),""))))</f>
        <v/>
      </c>
      <c r="R1698">
        <f>IF(P1698="","",INDEX('Students'!$AD$2:$AD$701,P1698))</f>
        <v/>
      </c>
      <c r="S1698">
        <f>IF(H1698="OK",O1698,0)</f>
        <v/>
      </c>
      <c r="T1698">
        <f>IF(H1698="OK",N1698,"")</f>
        <v/>
      </c>
      <c r="U1698">
        <f>IF(OC_Donor=0,"",IF(INDEX('OneCause_Paste'!$A$1698:$AZ$1698,1,OC_Donor)="","",INDEX('OneCause_Paste'!$A$1698:$AZ$1698,1,OC_Donor)))</f>
        <v/>
      </c>
    </row>
    <row r="1699">
      <c r="A1699" s="62">
        <f>IF(H1699="","",IF(ISNUMBER(N1699),N1699,I1699))</f>
        <v/>
      </c>
      <c r="B1699">
        <f>IF(H1699="","",U1699)</f>
        <v/>
      </c>
      <c r="C1699">
        <f>IF(H1699="","",IF(P1699="",K1699,INDEX('Students'!$A$2:$A$701,P1699)))</f>
        <v/>
      </c>
      <c r="D1699">
        <f>IF(OR(H1699="",P1699=""),"",INDEX('Students'!$B$2:$B$701,P1699))</f>
        <v/>
      </c>
      <c r="E1699">
        <f>IF(OR(H1699="",P1699=""),"",INDEX('Students'!$C$2:$C$701,P1699))</f>
        <v/>
      </c>
      <c r="F1699" s="48">
        <f>IF(H1699="","",IF(ISNUMBER(O1699),O1699,J1699))</f>
        <v/>
      </c>
      <c r="G1699">
        <f>IF(H1699="","","OneCause")</f>
        <v/>
      </c>
      <c r="H1699">
        <f>IF(AND(I1699="",J1699="",K1699=""),"",IF(NOT(ISNUMBER(O1699)),"Bad amount",IF(O1699&lt;0,"Refund (not counted)",IF(O1699=0,"Zero amount",IF(NOT(ISNUMBER(N1699)),"Bad date",IF(P1699="","NAME NOT ON ROSTER",IF(L1699="","OK",IF(MATCH(L1699,$L$2:$L$3001,0)&lt;ROW()-1,"Duplicate (ignored)","OK"))))))))</f>
        <v/>
      </c>
      <c r="I1699">
        <f>IF(OC_Date=0,"",IF(INDEX('OneCause_Paste'!$A$1699:$AZ$1699,1,OC_Date)="","",INDEX('OneCause_Paste'!$A$1699:$AZ$1699,1,OC_Date)))</f>
        <v/>
      </c>
      <c r="J1699">
        <f>IF(OC_Amt=0,"",IF(INDEX('OneCause_Paste'!$A$1699:$AZ$1699,1,OC_Amt)="","",INDEX('OneCause_Paste'!$A$1699:$AZ$1699,1,OC_Amt)))</f>
        <v/>
      </c>
      <c r="K1699">
        <f>IF(OC_Name=0,"",IF(INDEX('OneCause_Paste'!$A$1699:$AZ$1699,1,OC_Name)="","",INDEX('OneCause_Paste'!$A$1699:$AZ$1699,1,OC_Name)))</f>
        <v/>
      </c>
      <c r="L1699">
        <f>IF(OC_Txn=0,"",IF(INDEX('OneCause_Paste'!$A$1699:$AZ$1699,1,OC_Txn)="","",INDEX('OneCause_Paste'!$A$1699:$AZ$1699,1,OC_Txn)))</f>
        <v/>
      </c>
      <c r="M1699">
        <f>IF(OC_Pay=0,"",IF(INDEX('OneCause_Paste'!$A$1699:$AZ$1699,1,OC_Pay)="","",INDEX('OneCause_Paste'!$A$1699:$AZ$1699,1,OC_Pay)))</f>
        <v/>
      </c>
      <c r="N1699">
        <f>IF(I1699="","",IF(ISNUMBER(I1699),INT(I1699),IFERROR(INT(DATEVALUE(I1699)),IFERROR(INT(VALUE(I1699)),"bad"))))</f>
        <v/>
      </c>
      <c r="O1699">
        <f>IF(J1699="","",IF(ISNUMBER(J1699),ROUND(J1699,2),IFERROR(ROUND(VALUE(SUBSTITUTE(SUBSTITUTE(SUBSTITUTE(J1699,"$",""),",","")," ","")),2),"bad")))</f>
        <v/>
      </c>
      <c r="P1699">
        <f>IF(TRIM(K1699)="","",IFERROR(MATCH(LOWER(TRIM(K1699)),'Students'!$AH$2:$AH$701,0),IFERROR(MATCH(LOWER(TRIM(K1699)),'Students'!$AF$2:$AF$701,0),IFERROR(MATCH(LOWER(TRIM(K1699)),'Students'!$AG$2:$AG$701,0),""))))</f>
        <v/>
      </c>
      <c r="R1699">
        <f>IF(P1699="","",INDEX('Students'!$AD$2:$AD$701,P1699))</f>
        <v/>
      </c>
      <c r="S1699">
        <f>IF(H1699="OK",O1699,0)</f>
        <v/>
      </c>
      <c r="T1699">
        <f>IF(H1699="OK",N1699,"")</f>
        <v/>
      </c>
      <c r="U1699">
        <f>IF(OC_Donor=0,"",IF(INDEX('OneCause_Paste'!$A$1699:$AZ$1699,1,OC_Donor)="","",INDEX('OneCause_Paste'!$A$1699:$AZ$1699,1,OC_Donor)))</f>
        <v/>
      </c>
    </row>
    <row r="1700">
      <c r="A1700" s="62">
        <f>IF(H1700="","",IF(ISNUMBER(N1700),N1700,I1700))</f>
        <v/>
      </c>
      <c r="B1700">
        <f>IF(H1700="","",U1700)</f>
        <v/>
      </c>
      <c r="C1700">
        <f>IF(H1700="","",IF(P1700="",K1700,INDEX('Students'!$A$2:$A$701,P1700)))</f>
        <v/>
      </c>
      <c r="D1700">
        <f>IF(OR(H1700="",P1700=""),"",INDEX('Students'!$B$2:$B$701,P1700))</f>
        <v/>
      </c>
      <c r="E1700">
        <f>IF(OR(H1700="",P1700=""),"",INDEX('Students'!$C$2:$C$701,P1700))</f>
        <v/>
      </c>
      <c r="F1700" s="48">
        <f>IF(H1700="","",IF(ISNUMBER(O1700),O1700,J1700))</f>
        <v/>
      </c>
      <c r="G1700">
        <f>IF(H1700="","","OneCause")</f>
        <v/>
      </c>
      <c r="H1700">
        <f>IF(AND(I1700="",J1700="",K1700=""),"",IF(NOT(ISNUMBER(O1700)),"Bad amount",IF(O1700&lt;0,"Refund (not counted)",IF(O1700=0,"Zero amount",IF(NOT(ISNUMBER(N1700)),"Bad date",IF(P1700="","NAME NOT ON ROSTER",IF(L1700="","OK",IF(MATCH(L1700,$L$2:$L$3001,0)&lt;ROW()-1,"Duplicate (ignored)","OK"))))))))</f>
        <v/>
      </c>
      <c r="I1700">
        <f>IF(OC_Date=0,"",IF(INDEX('OneCause_Paste'!$A$1700:$AZ$1700,1,OC_Date)="","",INDEX('OneCause_Paste'!$A$1700:$AZ$1700,1,OC_Date)))</f>
        <v/>
      </c>
      <c r="J1700">
        <f>IF(OC_Amt=0,"",IF(INDEX('OneCause_Paste'!$A$1700:$AZ$1700,1,OC_Amt)="","",INDEX('OneCause_Paste'!$A$1700:$AZ$1700,1,OC_Amt)))</f>
        <v/>
      </c>
      <c r="K1700">
        <f>IF(OC_Name=0,"",IF(INDEX('OneCause_Paste'!$A$1700:$AZ$1700,1,OC_Name)="","",INDEX('OneCause_Paste'!$A$1700:$AZ$1700,1,OC_Name)))</f>
        <v/>
      </c>
      <c r="L1700">
        <f>IF(OC_Txn=0,"",IF(INDEX('OneCause_Paste'!$A$1700:$AZ$1700,1,OC_Txn)="","",INDEX('OneCause_Paste'!$A$1700:$AZ$1700,1,OC_Txn)))</f>
        <v/>
      </c>
      <c r="M1700">
        <f>IF(OC_Pay=0,"",IF(INDEX('OneCause_Paste'!$A$1700:$AZ$1700,1,OC_Pay)="","",INDEX('OneCause_Paste'!$A$1700:$AZ$1700,1,OC_Pay)))</f>
        <v/>
      </c>
      <c r="N1700">
        <f>IF(I1700="","",IF(ISNUMBER(I1700),INT(I1700),IFERROR(INT(DATEVALUE(I1700)),IFERROR(INT(VALUE(I1700)),"bad"))))</f>
        <v/>
      </c>
      <c r="O1700">
        <f>IF(J1700="","",IF(ISNUMBER(J1700),ROUND(J1700,2),IFERROR(ROUND(VALUE(SUBSTITUTE(SUBSTITUTE(SUBSTITUTE(J1700,"$",""),",","")," ","")),2),"bad")))</f>
        <v/>
      </c>
      <c r="P1700">
        <f>IF(TRIM(K1700)="","",IFERROR(MATCH(LOWER(TRIM(K1700)),'Students'!$AH$2:$AH$701,0),IFERROR(MATCH(LOWER(TRIM(K1700)),'Students'!$AF$2:$AF$701,0),IFERROR(MATCH(LOWER(TRIM(K1700)),'Students'!$AG$2:$AG$701,0),""))))</f>
        <v/>
      </c>
      <c r="R1700">
        <f>IF(P1700="","",INDEX('Students'!$AD$2:$AD$701,P1700))</f>
        <v/>
      </c>
      <c r="S1700">
        <f>IF(H1700="OK",O1700,0)</f>
        <v/>
      </c>
      <c r="T1700">
        <f>IF(H1700="OK",N1700,"")</f>
        <v/>
      </c>
      <c r="U1700">
        <f>IF(OC_Donor=0,"",IF(INDEX('OneCause_Paste'!$A$1700:$AZ$1700,1,OC_Donor)="","",INDEX('OneCause_Paste'!$A$1700:$AZ$1700,1,OC_Donor)))</f>
        <v/>
      </c>
    </row>
    <row r="1701">
      <c r="A1701" s="62">
        <f>IF(H1701="","",IF(ISNUMBER(N1701),N1701,I1701))</f>
        <v/>
      </c>
      <c r="B1701">
        <f>IF(H1701="","",U1701)</f>
        <v/>
      </c>
      <c r="C1701">
        <f>IF(H1701="","",IF(P1701="",K1701,INDEX('Students'!$A$2:$A$701,P1701)))</f>
        <v/>
      </c>
      <c r="D1701">
        <f>IF(OR(H1701="",P1701=""),"",INDEX('Students'!$B$2:$B$701,P1701))</f>
        <v/>
      </c>
      <c r="E1701">
        <f>IF(OR(H1701="",P1701=""),"",INDEX('Students'!$C$2:$C$701,P1701))</f>
        <v/>
      </c>
      <c r="F1701" s="48">
        <f>IF(H1701="","",IF(ISNUMBER(O1701),O1701,J1701))</f>
        <v/>
      </c>
      <c r="G1701">
        <f>IF(H1701="","","OneCause")</f>
        <v/>
      </c>
      <c r="H1701">
        <f>IF(AND(I1701="",J1701="",K1701=""),"",IF(NOT(ISNUMBER(O1701)),"Bad amount",IF(O1701&lt;0,"Refund (not counted)",IF(O1701=0,"Zero amount",IF(NOT(ISNUMBER(N1701)),"Bad date",IF(P1701="","NAME NOT ON ROSTER",IF(L1701="","OK",IF(MATCH(L1701,$L$2:$L$3001,0)&lt;ROW()-1,"Duplicate (ignored)","OK"))))))))</f>
        <v/>
      </c>
      <c r="I1701">
        <f>IF(OC_Date=0,"",IF(INDEX('OneCause_Paste'!$A$1701:$AZ$1701,1,OC_Date)="","",INDEX('OneCause_Paste'!$A$1701:$AZ$1701,1,OC_Date)))</f>
        <v/>
      </c>
      <c r="J1701">
        <f>IF(OC_Amt=0,"",IF(INDEX('OneCause_Paste'!$A$1701:$AZ$1701,1,OC_Amt)="","",INDEX('OneCause_Paste'!$A$1701:$AZ$1701,1,OC_Amt)))</f>
        <v/>
      </c>
      <c r="K1701">
        <f>IF(OC_Name=0,"",IF(INDEX('OneCause_Paste'!$A$1701:$AZ$1701,1,OC_Name)="","",INDEX('OneCause_Paste'!$A$1701:$AZ$1701,1,OC_Name)))</f>
        <v/>
      </c>
      <c r="L1701">
        <f>IF(OC_Txn=0,"",IF(INDEX('OneCause_Paste'!$A$1701:$AZ$1701,1,OC_Txn)="","",INDEX('OneCause_Paste'!$A$1701:$AZ$1701,1,OC_Txn)))</f>
        <v/>
      </c>
      <c r="M1701">
        <f>IF(OC_Pay=0,"",IF(INDEX('OneCause_Paste'!$A$1701:$AZ$1701,1,OC_Pay)="","",INDEX('OneCause_Paste'!$A$1701:$AZ$1701,1,OC_Pay)))</f>
        <v/>
      </c>
      <c r="N1701">
        <f>IF(I1701="","",IF(ISNUMBER(I1701),INT(I1701),IFERROR(INT(DATEVALUE(I1701)),IFERROR(INT(VALUE(I1701)),"bad"))))</f>
        <v/>
      </c>
      <c r="O1701">
        <f>IF(J1701="","",IF(ISNUMBER(J1701),ROUND(J1701,2),IFERROR(ROUND(VALUE(SUBSTITUTE(SUBSTITUTE(SUBSTITUTE(J1701,"$",""),",","")," ","")),2),"bad")))</f>
        <v/>
      </c>
      <c r="P1701">
        <f>IF(TRIM(K1701)="","",IFERROR(MATCH(LOWER(TRIM(K1701)),'Students'!$AH$2:$AH$701,0),IFERROR(MATCH(LOWER(TRIM(K1701)),'Students'!$AF$2:$AF$701,0),IFERROR(MATCH(LOWER(TRIM(K1701)),'Students'!$AG$2:$AG$701,0),""))))</f>
        <v/>
      </c>
      <c r="R1701">
        <f>IF(P1701="","",INDEX('Students'!$AD$2:$AD$701,P1701))</f>
        <v/>
      </c>
      <c r="S1701">
        <f>IF(H1701="OK",O1701,0)</f>
        <v/>
      </c>
      <c r="T1701">
        <f>IF(H1701="OK",N1701,"")</f>
        <v/>
      </c>
      <c r="U1701">
        <f>IF(OC_Donor=0,"",IF(INDEX('OneCause_Paste'!$A$1701:$AZ$1701,1,OC_Donor)="","",INDEX('OneCause_Paste'!$A$1701:$AZ$1701,1,OC_Donor)))</f>
        <v/>
      </c>
    </row>
    <row r="1702">
      <c r="A1702" s="62">
        <f>IF(H1702="","",IF(ISNUMBER(N1702),N1702,I1702))</f>
        <v/>
      </c>
      <c r="B1702">
        <f>IF(H1702="","",U1702)</f>
        <v/>
      </c>
      <c r="C1702">
        <f>IF(H1702="","",IF(P1702="",K1702,INDEX('Students'!$A$2:$A$701,P1702)))</f>
        <v/>
      </c>
      <c r="D1702">
        <f>IF(OR(H1702="",P1702=""),"",INDEX('Students'!$B$2:$B$701,P1702))</f>
        <v/>
      </c>
      <c r="E1702">
        <f>IF(OR(H1702="",P1702=""),"",INDEX('Students'!$C$2:$C$701,P1702))</f>
        <v/>
      </c>
      <c r="F1702" s="48">
        <f>IF(H1702="","",IF(ISNUMBER(O1702),O1702,J1702))</f>
        <v/>
      </c>
      <c r="G1702">
        <f>IF(H1702="","","OneCause")</f>
        <v/>
      </c>
      <c r="H1702">
        <f>IF(AND(I1702="",J1702="",K1702=""),"",IF(NOT(ISNUMBER(O1702)),"Bad amount",IF(O1702&lt;0,"Refund (not counted)",IF(O1702=0,"Zero amount",IF(NOT(ISNUMBER(N1702)),"Bad date",IF(P1702="","NAME NOT ON ROSTER",IF(L1702="","OK",IF(MATCH(L1702,$L$2:$L$3001,0)&lt;ROW()-1,"Duplicate (ignored)","OK"))))))))</f>
        <v/>
      </c>
      <c r="I1702">
        <f>IF(OC_Date=0,"",IF(INDEX('OneCause_Paste'!$A$1702:$AZ$1702,1,OC_Date)="","",INDEX('OneCause_Paste'!$A$1702:$AZ$1702,1,OC_Date)))</f>
        <v/>
      </c>
      <c r="J1702">
        <f>IF(OC_Amt=0,"",IF(INDEX('OneCause_Paste'!$A$1702:$AZ$1702,1,OC_Amt)="","",INDEX('OneCause_Paste'!$A$1702:$AZ$1702,1,OC_Amt)))</f>
        <v/>
      </c>
      <c r="K1702">
        <f>IF(OC_Name=0,"",IF(INDEX('OneCause_Paste'!$A$1702:$AZ$1702,1,OC_Name)="","",INDEX('OneCause_Paste'!$A$1702:$AZ$1702,1,OC_Name)))</f>
        <v/>
      </c>
      <c r="L1702">
        <f>IF(OC_Txn=0,"",IF(INDEX('OneCause_Paste'!$A$1702:$AZ$1702,1,OC_Txn)="","",INDEX('OneCause_Paste'!$A$1702:$AZ$1702,1,OC_Txn)))</f>
        <v/>
      </c>
      <c r="M1702">
        <f>IF(OC_Pay=0,"",IF(INDEX('OneCause_Paste'!$A$1702:$AZ$1702,1,OC_Pay)="","",INDEX('OneCause_Paste'!$A$1702:$AZ$1702,1,OC_Pay)))</f>
        <v/>
      </c>
      <c r="N1702">
        <f>IF(I1702="","",IF(ISNUMBER(I1702),INT(I1702),IFERROR(INT(DATEVALUE(I1702)),IFERROR(INT(VALUE(I1702)),"bad"))))</f>
        <v/>
      </c>
      <c r="O1702">
        <f>IF(J1702="","",IF(ISNUMBER(J1702),ROUND(J1702,2),IFERROR(ROUND(VALUE(SUBSTITUTE(SUBSTITUTE(SUBSTITUTE(J1702,"$",""),",","")," ","")),2),"bad")))</f>
        <v/>
      </c>
      <c r="P1702">
        <f>IF(TRIM(K1702)="","",IFERROR(MATCH(LOWER(TRIM(K1702)),'Students'!$AH$2:$AH$701,0),IFERROR(MATCH(LOWER(TRIM(K1702)),'Students'!$AF$2:$AF$701,0),IFERROR(MATCH(LOWER(TRIM(K1702)),'Students'!$AG$2:$AG$701,0),""))))</f>
        <v/>
      </c>
      <c r="R1702">
        <f>IF(P1702="","",INDEX('Students'!$AD$2:$AD$701,P1702))</f>
        <v/>
      </c>
      <c r="S1702">
        <f>IF(H1702="OK",O1702,0)</f>
        <v/>
      </c>
      <c r="T1702">
        <f>IF(H1702="OK",N1702,"")</f>
        <v/>
      </c>
      <c r="U1702">
        <f>IF(OC_Donor=0,"",IF(INDEX('OneCause_Paste'!$A$1702:$AZ$1702,1,OC_Donor)="","",INDEX('OneCause_Paste'!$A$1702:$AZ$1702,1,OC_Donor)))</f>
        <v/>
      </c>
    </row>
    <row r="1703">
      <c r="A1703" s="62">
        <f>IF(H1703="","",IF(ISNUMBER(N1703),N1703,I1703))</f>
        <v/>
      </c>
      <c r="B1703">
        <f>IF(H1703="","",U1703)</f>
        <v/>
      </c>
      <c r="C1703">
        <f>IF(H1703="","",IF(P1703="",K1703,INDEX('Students'!$A$2:$A$701,P1703)))</f>
        <v/>
      </c>
      <c r="D1703">
        <f>IF(OR(H1703="",P1703=""),"",INDEX('Students'!$B$2:$B$701,P1703))</f>
        <v/>
      </c>
      <c r="E1703">
        <f>IF(OR(H1703="",P1703=""),"",INDEX('Students'!$C$2:$C$701,P1703))</f>
        <v/>
      </c>
      <c r="F1703" s="48">
        <f>IF(H1703="","",IF(ISNUMBER(O1703),O1703,J1703))</f>
        <v/>
      </c>
      <c r="G1703">
        <f>IF(H1703="","","OneCause")</f>
        <v/>
      </c>
      <c r="H1703">
        <f>IF(AND(I1703="",J1703="",K1703=""),"",IF(NOT(ISNUMBER(O1703)),"Bad amount",IF(O1703&lt;0,"Refund (not counted)",IF(O1703=0,"Zero amount",IF(NOT(ISNUMBER(N1703)),"Bad date",IF(P1703="","NAME NOT ON ROSTER",IF(L1703="","OK",IF(MATCH(L1703,$L$2:$L$3001,0)&lt;ROW()-1,"Duplicate (ignored)","OK"))))))))</f>
        <v/>
      </c>
      <c r="I1703">
        <f>IF(OC_Date=0,"",IF(INDEX('OneCause_Paste'!$A$1703:$AZ$1703,1,OC_Date)="","",INDEX('OneCause_Paste'!$A$1703:$AZ$1703,1,OC_Date)))</f>
        <v/>
      </c>
      <c r="J1703">
        <f>IF(OC_Amt=0,"",IF(INDEX('OneCause_Paste'!$A$1703:$AZ$1703,1,OC_Amt)="","",INDEX('OneCause_Paste'!$A$1703:$AZ$1703,1,OC_Amt)))</f>
        <v/>
      </c>
      <c r="K1703">
        <f>IF(OC_Name=0,"",IF(INDEX('OneCause_Paste'!$A$1703:$AZ$1703,1,OC_Name)="","",INDEX('OneCause_Paste'!$A$1703:$AZ$1703,1,OC_Name)))</f>
        <v/>
      </c>
      <c r="L1703">
        <f>IF(OC_Txn=0,"",IF(INDEX('OneCause_Paste'!$A$1703:$AZ$1703,1,OC_Txn)="","",INDEX('OneCause_Paste'!$A$1703:$AZ$1703,1,OC_Txn)))</f>
        <v/>
      </c>
      <c r="M1703">
        <f>IF(OC_Pay=0,"",IF(INDEX('OneCause_Paste'!$A$1703:$AZ$1703,1,OC_Pay)="","",INDEX('OneCause_Paste'!$A$1703:$AZ$1703,1,OC_Pay)))</f>
        <v/>
      </c>
      <c r="N1703">
        <f>IF(I1703="","",IF(ISNUMBER(I1703),INT(I1703),IFERROR(INT(DATEVALUE(I1703)),IFERROR(INT(VALUE(I1703)),"bad"))))</f>
        <v/>
      </c>
      <c r="O1703">
        <f>IF(J1703="","",IF(ISNUMBER(J1703),ROUND(J1703,2),IFERROR(ROUND(VALUE(SUBSTITUTE(SUBSTITUTE(SUBSTITUTE(J1703,"$",""),",","")," ","")),2),"bad")))</f>
        <v/>
      </c>
      <c r="P1703">
        <f>IF(TRIM(K1703)="","",IFERROR(MATCH(LOWER(TRIM(K1703)),'Students'!$AH$2:$AH$701,0),IFERROR(MATCH(LOWER(TRIM(K1703)),'Students'!$AF$2:$AF$701,0),IFERROR(MATCH(LOWER(TRIM(K1703)),'Students'!$AG$2:$AG$701,0),""))))</f>
        <v/>
      </c>
      <c r="R1703">
        <f>IF(P1703="","",INDEX('Students'!$AD$2:$AD$701,P1703))</f>
        <v/>
      </c>
      <c r="S1703">
        <f>IF(H1703="OK",O1703,0)</f>
        <v/>
      </c>
      <c r="T1703">
        <f>IF(H1703="OK",N1703,"")</f>
        <v/>
      </c>
      <c r="U1703">
        <f>IF(OC_Donor=0,"",IF(INDEX('OneCause_Paste'!$A$1703:$AZ$1703,1,OC_Donor)="","",INDEX('OneCause_Paste'!$A$1703:$AZ$1703,1,OC_Donor)))</f>
        <v/>
      </c>
    </row>
    <row r="1704">
      <c r="A1704" s="62">
        <f>IF(H1704="","",IF(ISNUMBER(N1704),N1704,I1704))</f>
        <v/>
      </c>
      <c r="B1704">
        <f>IF(H1704="","",U1704)</f>
        <v/>
      </c>
      <c r="C1704">
        <f>IF(H1704="","",IF(P1704="",K1704,INDEX('Students'!$A$2:$A$701,P1704)))</f>
        <v/>
      </c>
      <c r="D1704">
        <f>IF(OR(H1704="",P1704=""),"",INDEX('Students'!$B$2:$B$701,P1704))</f>
        <v/>
      </c>
      <c r="E1704">
        <f>IF(OR(H1704="",P1704=""),"",INDEX('Students'!$C$2:$C$701,P1704))</f>
        <v/>
      </c>
      <c r="F1704" s="48">
        <f>IF(H1704="","",IF(ISNUMBER(O1704),O1704,J1704))</f>
        <v/>
      </c>
      <c r="G1704">
        <f>IF(H1704="","","OneCause")</f>
        <v/>
      </c>
      <c r="H1704">
        <f>IF(AND(I1704="",J1704="",K1704=""),"",IF(NOT(ISNUMBER(O1704)),"Bad amount",IF(O1704&lt;0,"Refund (not counted)",IF(O1704=0,"Zero amount",IF(NOT(ISNUMBER(N1704)),"Bad date",IF(P1704="","NAME NOT ON ROSTER",IF(L1704="","OK",IF(MATCH(L1704,$L$2:$L$3001,0)&lt;ROW()-1,"Duplicate (ignored)","OK"))))))))</f>
        <v/>
      </c>
      <c r="I1704">
        <f>IF(OC_Date=0,"",IF(INDEX('OneCause_Paste'!$A$1704:$AZ$1704,1,OC_Date)="","",INDEX('OneCause_Paste'!$A$1704:$AZ$1704,1,OC_Date)))</f>
        <v/>
      </c>
      <c r="J1704">
        <f>IF(OC_Amt=0,"",IF(INDEX('OneCause_Paste'!$A$1704:$AZ$1704,1,OC_Amt)="","",INDEX('OneCause_Paste'!$A$1704:$AZ$1704,1,OC_Amt)))</f>
        <v/>
      </c>
      <c r="K1704">
        <f>IF(OC_Name=0,"",IF(INDEX('OneCause_Paste'!$A$1704:$AZ$1704,1,OC_Name)="","",INDEX('OneCause_Paste'!$A$1704:$AZ$1704,1,OC_Name)))</f>
        <v/>
      </c>
      <c r="L1704">
        <f>IF(OC_Txn=0,"",IF(INDEX('OneCause_Paste'!$A$1704:$AZ$1704,1,OC_Txn)="","",INDEX('OneCause_Paste'!$A$1704:$AZ$1704,1,OC_Txn)))</f>
        <v/>
      </c>
      <c r="M1704">
        <f>IF(OC_Pay=0,"",IF(INDEX('OneCause_Paste'!$A$1704:$AZ$1704,1,OC_Pay)="","",INDEX('OneCause_Paste'!$A$1704:$AZ$1704,1,OC_Pay)))</f>
        <v/>
      </c>
      <c r="N1704">
        <f>IF(I1704="","",IF(ISNUMBER(I1704),INT(I1704),IFERROR(INT(DATEVALUE(I1704)),IFERROR(INT(VALUE(I1704)),"bad"))))</f>
        <v/>
      </c>
      <c r="O1704">
        <f>IF(J1704="","",IF(ISNUMBER(J1704),ROUND(J1704,2),IFERROR(ROUND(VALUE(SUBSTITUTE(SUBSTITUTE(SUBSTITUTE(J1704,"$",""),",","")," ","")),2),"bad")))</f>
        <v/>
      </c>
      <c r="P1704">
        <f>IF(TRIM(K1704)="","",IFERROR(MATCH(LOWER(TRIM(K1704)),'Students'!$AH$2:$AH$701,0),IFERROR(MATCH(LOWER(TRIM(K1704)),'Students'!$AF$2:$AF$701,0),IFERROR(MATCH(LOWER(TRIM(K1704)),'Students'!$AG$2:$AG$701,0),""))))</f>
        <v/>
      </c>
      <c r="R1704">
        <f>IF(P1704="","",INDEX('Students'!$AD$2:$AD$701,P1704))</f>
        <v/>
      </c>
      <c r="S1704">
        <f>IF(H1704="OK",O1704,0)</f>
        <v/>
      </c>
      <c r="T1704">
        <f>IF(H1704="OK",N1704,"")</f>
        <v/>
      </c>
      <c r="U1704">
        <f>IF(OC_Donor=0,"",IF(INDEX('OneCause_Paste'!$A$1704:$AZ$1704,1,OC_Donor)="","",INDEX('OneCause_Paste'!$A$1704:$AZ$1704,1,OC_Donor)))</f>
        <v/>
      </c>
    </row>
    <row r="1705">
      <c r="A1705" s="62">
        <f>IF(H1705="","",IF(ISNUMBER(N1705),N1705,I1705))</f>
        <v/>
      </c>
      <c r="B1705">
        <f>IF(H1705="","",U1705)</f>
        <v/>
      </c>
      <c r="C1705">
        <f>IF(H1705="","",IF(P1705="",K1705,INDEX('Students'!$A$2:$A$701,P1705)))</f>
        <v/>
      </c>
      <c r="D1705">
        <f>IF(OR(H1705="",P1705=""),"",INDEX('Students'!$B$2:$B$701,P1705))</f>
        <v/>
      </c>
      <c r="E1705">
        <f>IF(OR(H1705="",P1705=""),"",INDEX('Students'!$C$2:$C$701,P1705))</f>
        <v/>
      </c>
      <c r="F1705" s="48">
        <f>IF(H1705="","",IF(ISNUMBER(O1705),O1705,J1705))</f>
        <v/>
      </c>
      <c r="G1705">
        <f>IF(H1705="","","OneCause")</f>
        <v/>
      </c>
      <c r="H1705">
        <f>IF(AND(I1705="",J1705="",K1705=""),"",IF(NOT(ISNUMBER(O1705)),"Bad amount",IF(O1705&lt;0,"Refund (not counted)",IF(O1705=0,"Zero amount",IF(NOT(ISNUMBER(N1705)),"Bad date",IF(P1705="","NAME NOT ON ROSTER",IF(L1705="","OK",IF(MATCH(L1705,$L$2:$L$3001,0)&lt;ROW()-1,"Duplicate (ignored)","OK"))))))))</f>
        <v/>
      </c>
      <c r="I1705">
        <f>IF(OC_Date=0,"",IF(INDEX('OneCause_Paste'!$A$1705:$AZ$1705,1,OC_Date)="","",INDEX('OneCause_Paste'!$A$1705:$AZ$1705,1,OC_Date)))</f>
        <v/>
      </c>
      <c r="J1705">
        <f>IF(OC_Amt=0,"",IF(INDEX('OneCause_Paste'!$A$1705:$AZ$1705,1,OC_Amt)="","",INDEX('OneCause_Paste'!$A$1705:$AZ$1705,1,OC_Amt)))</f>
        <v/>
      </c>
      <c r="K1705">
        <f>IF(OC_Name=0,"",IF(INDEX('OneCause_Paste'!$A$1705:$AZ$1705,1,OC_Name)="","",INDEX('OneCause_Paste'!$A$1705:$AZ$1705,1,OC_Name)))</f>
        <v/>
      </c>
      <c r="L1705">
        <f>IF(OC_Txn=0,"",IF(INDEX('OneCause_Paste'!$A$1705:$AZ$1705,1,OC_Txn)="","",INDEX('OneCause_Paste'!$A$1705:$AZ$1705,1,OC_Txn)))</f>
        <v/>
      </c>
      <c r="M1705">
        <f>IF(OC_Pay=0,"",IF(INDEX('OneCause_Paste'!$A$1705:$AZ$1705,1,OC_Pay)="","",INDEX('OneCause_Paste'!$A$1705:$AZ$1705,1,OC_Pay)))</f>
        <v/>
      </c>
      <c r="N1705">
        <f>IF(I1705="","",IF(ISNUMBER(I1705),INT(I1705),IFERROR(INT(DATEVALUE(I1705)),IFERROR(INT(VALUE(I1705)),"bad"))))</f>
        <v/>
      </c>
      <c r="O1705">
        <f>IF(J1705="","",IF(ISNUMBER(J1705),ROUND(J1705,2),IFERROR(ROUND(VALUE(SUBSTITUTE(SUBSTITUTE(SUBSTITUTE(J1705,"$",""),",","")," ","")),2),"bad")))</f>
        <v/>
      </c>
      <c r="P1705">
        <f>IF(TRIM(K1705)="","",IFERROR(MATCH(LOWER(TRIM(K1705)),'Students'!$AH$2:$AH$701,0),IFERROR(MATCH(LOWER(TRIM(K1705)),'Students'!$AF$2:$AF$701,0),IFERROR(MATCH(LOWER(TRIM(K1705)),'Students'!$AG$2:$AG$701,0),""))))</f>
        <v/>
      </c>
      <c r="R1705">
        <f>IF(P1705="","",INDEX('Students'!$AD$2:$AD$701,P1705))</f>
        <v/>
      </c>
      <c r="S1705">
        <f>IF(H1705="OK",O1705,0)</f>
        <v/>
      </c>
      <c r="T1705">
        <f>IF(H1705="OK",N1705,"")</f>
        <v/>
      </c>
      <c r="U1705">
        <f>IF(OC_Donor=0,"",IF(INDEX('OneCause_Paste'!$A$1705:$AZ$1705,1,OC_Donor)="","",INDEX('OneCause_Paste'!$A$1705:$AZ$1705,1,OC_Donor)))</f>
        <v/>
      </c>
    </row>
    <row r="1706">
      <c r="A1706" s="62">
        <f>IF(H1706="","",IF(ISNUMBER(N1706),N1706,I1706))</f>
        <v/>
      </c>
      <c r="B1706">
        <f>IF(H1706="","",U1706)</f>
        <v/>
      </c>
      <c r="C1706">
        <f>IF(H1706="","",IF(P1706="",K1706,INDEX('Students'!$A$2:$A$701,P1706)))</f>
        <v/>
      </c>
      <c r="D1706">
        <f>IF(OR(H1706="",P1706=""),"",INDEX('Students'!$B$2:$B$701,P1706))</f>
        <v/>
      </c>
      <c r="E1706">
        <f>IF(OR(H1706="",P1706=""),"",INDEX('Students'!$C$2:$C$701,P1706))</f>
        <v/>
      </c>
      <c r="F1706" s="48">
        <f>IF(H1706="","",IF(ISNUMBER(O1706),O1706,J1706))</f>
        <v/>
      </c>
      <c r="G1706">
        <f>IF(H1706="","","OneCause")</f>
        <v/>
      </c>
      <c r="H1706">
        <f>IF(AND(I1706="",J1706="",K1706=""),"",IF(NOT(ISNUMBER(O1706)),"Bad amount",IF(O1706&lt;0,"Refund (not counted)",IF(O1706=0,"Zero amount",IF(NOT(ISNUMBER(N1706)),"Bad date",IF(P1706="","NAME NOT ON ROSTER",IF(L1706="","OK",IF(MATCH(L1706,$L$2:$L$3001,0)&lt;ROW()-1,"Duplicate (ignored)","OK"))))))))</f>
        <v/>
      </c>
      <c r="I1706">
        <f>IF(OC_Date=0,"",IF(INDEX('OneCause_Paste'!$A$1706:$AZ$1706,1,OC_Date)="","",INDEX('OneCause_Paste'!$A$1706:$AZ$1706,1,OC_Date)))</f>
        <v/>
      </c>
      <c r="J1706">
        <f>IF(OC_Amt=0,"",IF(INDEX('OneCause_Paste'!$A$1706:$AZ$1706,1,OC_Amt)="","",INDEX('OneCause_Paste'!$A$1706:$AZ$1706,1,OC_Amt)))</f>
        <v/>
      </c>
      <c r="K1706">
        <f>IF(OC_Name=0,"",IF(INDEX('OneCause_Paste'!$A$1706:$AZ$1706,1,OC_Name)="","",INDEX('OneCause_Paste'!$A$1706:$AZ$1706,1,OC_Name)))</f>
        <v/>
      </c>
      <c r="L1706">
        <f>IF(OC_Txn=0,"",IF(INDEX('OneCause_Paste'!$A$1706:$AZ$1706,1,OC_Txn)="","",INDEX('OneCause_Paste'!$A$1706:$AZ$1706,1,OC_Txn)))</f>
        <v/>
      </c>
      <c r="M1706">
        <f>IF(OC_Pay=0,"",IF(INDEX('OneCause_Paste'!$A$1706:$AZ$1706,1,OC_Pay)="","",INDEX('OneCause_Paste'!$A$1706:$AZ$1706,1,OC_Pay)))</f>
        <v/>
      </c>
      <c r="N1706">
        <f>IF(I1706="","",IF(ISNUMBER(I1706),INT(I1706),IFERROR(INT(DATEVALUE(I1706)),IFERROR(INT(VALUE(I1706)),"bad"))))</f>
        <v/>
      </c>
      <c r="O1706">
        <f>IF(J1706="","",IF(ISNUMBER(J1706),ROUND(J1706,2),IFERROR(ROUND(VALUE(SUBSTITUTE(SUBSTITUTE(SUBSTITUTE(J1706,"$",""),",","")," ","")),2),"bad")))</f>
        <v/>
      </c>
      <c r="P1706">
        <f>IF(TRIM(K1706)="","",IFERROR(MATCH(LOWER(TRIM(K1706)),'Students'!$AH$2:$AH$701,0),IFERROR(MATCH(LOWER(TRIM(K1706)),'Students'!$AF$2:$AF$701,0),IFERROR(MATCH(LOWER(TRIM(K1706)),'Students'!$AG$2:$AG$701,0),""))))</f>
        <v/>
      </c>
      <c r="R1706">
        <f>IF(P1706="","",INDEX('Students'!$AD$2:$AD$701,P1706))</f>
        <v/>
      </c>
      <c r="S1706">
        <f>IF(H1706="OK",O1706,0)</f>
        <v/>
      </c>
      <c r="T1706">
        <f>IF(H1706="OK",N1706,"")</f>
        <v/>
      </c>
      <c r="U1706">
        <f>IF(OC_Donor=0,"",IF(INDEX('OneCause_Paste'!$A$1706:$AZ$1706,1,OC_Donor)="","",INDEX('OneCause_Paste'!$A$1706:$AZ$1706,1,OC_Donor)))</f>
        <v/>
      </c>
    </row>
    <row r="1707">
      <c r="A1707" s="62">
        <f>IF(H1707="","",IF(ISNUMBER(N1707),N1707,I1707))</f>
        <v/>
      </c>
      <c r="B1707">
        <f>IF(H1707="","",U1707)</f>
        <v/>
      </c>
      <c r="C1707">
        <f>IF(H1707="","",IF(P1707="",K1707,INDEX('Students'!$A$2:$A$701,P1707)))</f>
        <v/>
      </c>
      <c r="D1707">
        <f>IF(OR(H1707="",P1707=""),"",INDEX('Students'!$B$2:$B$701,P1707))</f>
        <v/>
      </c>
      <c r="E1707">
        <f>IF(OR(H1707="",P1707=""),"",INDEX('Students'!$C$2:$C$701,P1707))</f>
        <v/>
      </c>
      <c r="F1707" s="48">
        <f>IF(H1707="","",IF(ISNUMBER(O1707),O1707,J1707))</f>
        <v/>
      </c>
      <c r="G1707">
        <f>IF(H1707="","","OneCause")</f>
        <v/>
      </c>
      <c r="H1707">
        <f>IF(AND(I1707="",J1707="",K1707=""),"",IF(NOT(ISNUMBER(O1707)),"Bad amount",IF(O1707&lt;0,"Refund (not counted)",IF(O1707=0,"Zero amount",IF(NOT(ISNUMBER(N1707)),"Bad date",IF(P1707="","NAME NOT ON ROSTER",IF(L1707="","OK",IF(MATCH(L1707,$L$2:$L$3001,0)&lt;ROW()-1,"Duplicate (ignored)","OK"))))))))</f>
        <v/>
      </c>
      <c r="I1707">
        <f>IF(OC_Date=0,"",IF(INDEX('OneCause_Paste'!$A$1707:$AZ$1707,1,OC_Date)="","",INDEX('OneCause_Paste'!$A$1707:$AZ$1707,1,OC_Date)))</f>
        <v/>
      </c>
      <c r="J1707">
        <f>IF(OC_Amt=0,"",IF(INDEX('OneCause_Paste'!$A$1707:$AZ$1707,1,OC_Amt)="","",INDEX('OneCause_Paste'!$A$1707:$AZ$1707,1,OC_Amt)))</f>
        <v/>
      </c>
      <c r="K1707">
        <f>IF(OC_Name=0,"",IF(INDEX('OneCause_Paste'!$A$1707:$AZ$1707,1,OC_Name)="","",INDEX('OneCause_Paste'!$A$1707:$AZ$1707,1,OC_Name)))</f>
        <v/>
      </c>
      <c r="L1707">
        <f>IF(OC_Txn=0,"",IF(INDEX('OneCause_Paste'!$A$1707:$AZ$1707,1,OC_Txn)="","",INDEX('OneCause_Paste'!$A$1707:$AZ$1707,1,OC_Txn)))</f>
        <v/>
      </c>
      <c r="M1707">
        <f>IF(OC_Pay=0,"",IF(INDEX('OneCause_Paste'!$A$1707:$AZ$1707,1,OC_Pay)="","",INDEX('OneCause_Paste'!$A$1707:$AZ$1707,1,OC_Pay)))</f>
        <v/>
      </c>
      <c r="N1707">
        <f>IF(I1707="","",IF(ISNUMBER(I1707),INT(I1707),IFERROR(INT(DATEVALUE(I1707)),IFERROR(INT(VALUE(I1707)),"bad"))))</f>
        <v/>
      </c>
      <c r="O1707">
        <f>IF(J1707="","",IF(ISNUMBER(J1707),ROUND(J1707,2),IFERROR(ROUND(VALUE(SUBSTITUTE(SUBSTITUTE(SUBSTITUTE(J1707,"$",""),",","")," ","")),2),"bad")))</f>
        <v/>
      </c>
      <c r="P1707">
        <f>IF(TRIM(K1707)="","",IFERROR(MATCH(LOWER(TRIM(K1707)),'Students'!$AH$2:$AH$701,0),IFERROR(MATCH(LOWER(TRIM(K1707)),'Students'!$AF$2:$AF$701,0),IFERROR(MATCH(LOWER(TRIM(K1707)),'Students'!$AG$2:$AG$701,0),""))))</f>
        <v/>
      </c>
      <c r="R1707">
        <f>IF(P1707="","",INDEX('Students'!$AD$2:$AD$701,P1707))</f>
        <v/>
      </c>
      <c r="S1707">
        <f>IF(H1707="OK",O1707,0)</f>
        <v/>
      </c>
      <c r="T1707">
        <f>IF(H1707="OK",N1707,"")</f>
        <v/>
      </c>
      <c r="U1707">
        <f>IF(OC_Donor=0,"",IF(INDEX('OneCause_Paste'!$A$1707:$AZ$1707,1,OC_Donor)="","",INDEX('OneCause_Paste'!$A$1707:$AZ$1707,1,OC_Donor)))</f>
        <v/>
      </c>
    </row>
    <row r="1708">
      <c r="A1708" s="62">
        <f>IF(H1708="","",IF(ISNUMBER(N1708),N1708,I1708))</f>
        <v/>
      </c>
      <c r="B1708">
        <f>IF(H1708="","",U1708)</f>
        <v/>
      </c>
      <c r="C1708">
        <f>IF(H1708="","",IF(P1708="",K1708,INDEX('Students'!$A$2:$A$701,P1708)))</f>
        <v/>
      </c>
      <c r="D1708">
        <f>IF(OR(H1708="",P1708=""),"",INDEX('Students'!$B$2:$B$701,P1708))</f>
        <v/>
      </c>
      <c r="E1708">
        <f>IF(OR(H1708="",P1708=""),"",INDEX('Students'!$C$2:$C$701,P1708))</f>
        <v/>
      </c>
      <c r="F1708" s="48">
        <f>IF(H1708="","",IF(ISNUMBER(O1708),O1708,J1708))</f>
        <v/>
      </c>
      <c r="G1708">
        <f>IF(H1708="","","OneCause")</f>
        <v/>
      </c>
      <c r="H1708">
        <f>IF(AND(I1708="",J1708="",K1708=""),"",IF(NOT(ISNUMBER(O1708)),"Bad amount",IF(O1708&lt;0,"Refund (not counted)",IF(O1708=0,"Zero amount",IF(NOT(ISNUMBER(N1708)),"Bad date",IF(P1708="","NAME NOT ON ROSTER",IF(L1708="","OK",IF(MATCH(L1708,$L$2:$L$3001,0)&lt;ROW()-1,"Duplicate (ignored)","OK"))))))))</f>
        <v/>
      </c>
      <c r="I1708">
        <f>IF(OC_Date=0,"",IF(INDEX('OneCause_Paste'!$A$1708:$AZ$1708,1,OC_Date)="","",INDEX('OneCause_Paste'!$A$1708:$AZ$1708,1,OC_Date)))</f>
        <v/>
      </c>
      <c r="J1708">
        <f>IF(OC_Amt=0,"",IF(INDEX('OneCause_Paste'!$A$1708:$AZ$1708,1,OC_Amt)="","",INDEX('OneCause_Paste'!$A$1708:$AZ$1708,1,OC_Amt)))</f>
        <v/>
      </c>
      <c r="K1708">
        <f>IF(OC_Name=0,"",IF(INDEX('OneCause_Paste'!$A$1708:$AZ$1708,1,OC_Name)="","",INDEX('OneCause_Paste'!$A$1708:$AZ$1708,1,OC_Name)))</f>
        <v/>
      </c>
      <c r="L1708">
        <f>IF(OC_Txn=0,"",IF(INDEX('OneCause_Paste'!$A$1708:$AZ$1708,1,OC_Txn)="","",INDEX('OneCause_Paste'!$A$1708:$AZ$1708,1,OC_Txn)))</f>
        <v/>
      </c>
      <c r="M1708">
        <f>IF(OC_Pay=0,"",IF(INDEX('OneCause_Paste'!$A$1708:$AZ$1708,1,OC_Pay)="","",INDEX('OneCause_Paste'!$A$1708:$AZ$1708,1,OC_Pay)))</f>
        <v/>
      </c>
      <c r="N1708">
        <f>IF(I1708="","",IF(ISNUMBER(I1708),INT(I1708),IFERROR(INT(DATEVALUE(I1708)),IFERROR(INT(VALUE(I1708)),"bad"))))</f>
        <v/>
      </c>
      <c r="O1708">
        <f>IF(J1708="","",IF(ISNUMBER(J1708),ROUND(J1708,2),IFERROR(ROUND(VALUE(SUBSTITUTE(SUBSTITUTE(SUBSTITUTE(J1708,"$",""),",","")," ","")),2),"bad")))</f>
        <v/>
      </c>
      <c r="P1708">
        <f>IF(TRIM(K1708)="","",IFERROR(MATCH(LOWER(TRIM(K1708)),'Students'!$AH$2:$AH$701,0),IFERROR(MATCH(LOWER(TRIM(K1708)),'Students'!$AF$2:$AF$701,0),IFERROR(MATCH(LOWER(TRIM(K1708)),'Students'!$AG$2:$AG$701,0),""))))</f>
        <v/>
      </c>
      <c r="R1708">
        <f>IF(P1708="","",INDEX('Students'!$AD$2:$AD$701,P1708))</f>
        <v/>
      </c>
      <c r="S1708">
        <f>IF(H1708="OK",O1708,0)</f>
        <v/>
      </c>
      <c r="T1708">
        <f>IF(H1708="OK",N1708,"")</f>
        <v/>
      </c>
      <c r="U1708">
        <f>IF(OC_Donor=0,"",IF(INDEX('OneCause_Paste'!$A$1708:$AZ$1708,1,OC_Donor)="","",INDEX('OneCause_Paste'!$A$1708:$AZ$1708,1,OC_Donor)))</f>
        <v/>
      </c>
    </row>
    <row r="1709">
      <c r="A1709" s="62">
        <f>IF(H1709="","",IF(ISNUMBER(N1709),N1709,I1709))</f>
        <v/>
      </c>
      <c r="B1709">
        <f>IF(H1709="","",U1709)</f>
        <v/>
      </c>
      <c r="C1709">
        <f>IF(H1709="","",IF(P1709="",K1709,INDEX('Students'!$A$2:$A$701,P1709)))</f>
        <v/>
      </c>
      <c r="D1709">
        <f>IF(OR(H1709="",P1709=""),"",INDEX('Students'!$B$2:$B$701,P1709))</f>
        <v/>
      </c>
      <c r="E1709">
        <f>IF(OR(H1709="",P1709=""),"",INDEX('Students'!$C$2:$C$701,P1709))</f>
        <v/>
      </c>
      <c r="F1709" s="48">
        <f>IF(H1709="","",IF(ISNUMBER(O1709),O1709,J1709))</f>
        <v/>
      </c>
      <c r="G1709">
        <f>IF(H1709="","","OneCause")</f>
        <v/>
      </c>
      <c r="H1709">
        <f>IF(AND(I1709="",J1709="",K1709=""),"",IF(NOT(ISNUMBER(O1709)),"Bad amount",IF(O1709&lt;0,"Refund (not counted)",IF(O1709=0,"Zero amount",IF(NOT(ISNUMBER(N1709)),"Bad date",IF(P1709="","NAME NOT ON ROSTER",IF(L1709="","OK",IF(MATCH(L1709,$L$2:$L$3001,0)&lt;ROW()-1,"Duplicate (ignored)","OK"))))))))</f>
        <v/>
      </c>
      <c r="I1709">
        <f>IF(OC_Date=0,"",IF(INDEX('OneCause_Paste'!$A$1709:$AZ$1709,1,OC_Date)="","",INDEX('OneCause_Paste'!$A$1709:$AZ$1709,1,OC_Date)))</f>
        <v/>
      </c>
      <c r="J1709">
        <f>IF(OC_Amt=0,"",IF(INDEX('OneCause_Paste'!$A$1709:$AZ$1709,1,OC_Amt)="","",INDEX('OneCause_Paste'!$A$1709:$AZ$1709,1,OC_Amt)))</f>
        <v/>
      </c>
      <c r="K1709">
        <f>IF(OC_Name=0,"",IF(INDEX('OneCause_Paste'!$A$1709:$AZ$1709,1,OC_Name)="","",INDEX('OneCause_Paste'!$A$1709:$AZ$1709,1,OC_Name)))</f>
        <v/>
      </c>
      <c r="L1709">
        <f>IF(OC_Txn=0,"",IF(INDEX('OneCause_Paste'!$A$1709:$AZ$1709,1,OC_Txn)="","",INDEX('OneCause_Paste'!$A$1709:$AZ$1709,1,OC_Txn)))</f>
        <v/>
      </c>
      <c r="M1709">
        <f>IF(OC_Pay=0,"",IF(INDEX('OneCause_Paste'!$A$1709:$AZ$1709,1,OC_Pay)="","",INDEX('OneCause_Paste'!$A$1709:$AZ$1709,1,OC_Pay)))</f>
        <v/>
      </c>
      <c r="N1709">
        <f>IF(I1709="","",IF(ISNUMBER(I1709),INT(I1709),IFERROR(INT(DATEVALUE(I1709)),IFERROR(INT(VALUE(I1709)),"bad"))))</f>
        <v/>
      </c>
      <c r="O1709">
        <f>IF(J1709="","",IF(ISNUMBER(J1709),ROUND(J1709,2),IFERROR(ROUND(VALUE(SUBSTITUTE(SUBSTITUTE(SUBSTITUTE(J1709,"$",""),",","")," ","")),2),"bad")))</f>
        <v/>
      </c>
      <c r="P1709">
        <f>IF(TRIM(K1709)="","",IFERROR(MATCH(LOWER(TRIM(K1709)),'Students'!$AH$2:$AH$701,0),IFERROR(MATCH(LOWER(TRIM(K1709)),'Students'!$AF$2:$AF$701,0),IFERROR(MATCH(LOWER(TRIM(K1709)),'Students'!$AG$2:$AG$701,0),""))))</f>
        <v/>
      </c>
      <c r="R1709">
        <f>IF(P1709="","",INDEX('Students'!$AD$2:$AD$701,P1709))</f>
        <v/>
      </c>
      <c r="S1709">
        <f>IF(H1709="OK",O1709,0)</f>
        <v/>
      </c>
      <c r="T1709">
        <f>IF(H1709="OK",N1709,"")</f>
        <v/>
      </c>
      <c r="U1709">
        <f>IF(OC_Donor=0,"",IF(INDEX('OneCause_Paste'!$A$1709:$AZ$1709,1,OC_Donor)="","",INDEX('OneCause_Paste'!$A$1709:$AZ$1709,1,OC_Donor)))</f>
        <v/>
      </c>
    </row>
    <row r="1710">
      <c r="A1710" s="62">
        <f>IF(H1710="","",IF(ISNUMBER(N1710),N1710,I1710))</f>
        <v/>
      </c>
      <c r="B1710">
        <f>IF(H1710="","",U1710)</f>
        <v/>
      </c>
      <c r="C1710">
        <f>IF(H1710="","",IF(P1710="",K1710,INDEX('Students'!$A$2:$A$701,P1710)))</f>
        <v/>
      </c>
      <c r="D1710">
        <f>IF(OR(H1710="",P1710=""),"",INDEX('Students'!$B$2:$B$701,P1710))</f>
        <v/>
      </c>
      <c r="E1710">
        <f>IF(OR(H1710="",P1710=""),"",INDEX('Students'!$C$2:$C$701,P1710))</f>
        <v/>
      </c>
      <c r="F1710" s="48">
        <f>IF(H1710="","",IF(ISNUMBER(O1710),O1710,J1710))</f>
        <v/>
      </c>
      <c r="G1710">
        <f>IF(H1710="","","OneCause")</f>
        <v/>
      </c>
      <c r="H1710">
        <f>IF(AND(I1710="",J1710="",K1710=""),"",IF(NOT(ISNUMBER(O1710)),"Bad amount",IF(O1710&lt;0,"Refund (not counted)",IF(O1710=0,"Zero amount",IF(NOT(ISNUMBER(N1710)),"Bad date",IF(P1710="","NAME NOT ON ROSTER",IF(L1710="","OK",IF(MATCH(L1710,$L$2:$L$3001,0)&lt;ROW()-1,"Duplicate (ignored)","OK"))))))))</f>
        <v/>
      </c>
      <c r="I1710">
        <f>IF(OC_Date=0,"",IF(INDEX('OneCause_Paste'!$A$1710:$AZ$1710,1,OC_Date)="","",INDEX('OneCause_Paste'!$A$1710:$AZ$1710,1,OC_Date)))</f>
        <v/>
      </c>
      <c r="J1710">
        <f>IF(OC_Amt=0,"",IF(INDEX('OneCause_Paste'!$A$1710:$AZ$1710,1,OC_Amt)="","",INDEX('OneCause_Paste'!$A$1710:$AZ$1710,1,OC_Amt)))</f>
        <v/>
      </c>
      <c r="K1710">
        <f>IF(OC_Name=0,"",IF(INDEX('OneCause_Paste'!$A$1710:$AZ$1710,1,OC_Name)="","",INDEX('OneCause_Paste'!$A$1710:$AZ$1710,1,OC_Name)))</f>
        <v/>
      </c>
      <c r="L1710">
        <f>IF(OC_Txn=0,"",IF(INDEX('OneCause_Paste'!$A$1710:$AZ$1710,1,OC_Txn)="","",INDEX('OneCause_Paste'!$A$1710:$AZ$1710,1,OC_Txn)))</f>
        <v/>
      </c>
      <c r="M1710">
        <f>IF(OC_Pay=0,"",IF(INDEX('OneCause_Paste'!$A$1710:$AZ$1710,1,OC_Pay)="","",INDEX('OneCause_Paste'!$A$1710:$AZ$1710,1,OC_Pay)))</f>
        <v/>
      </c>
      <c r="N1710">
        <f>IF(I1710="","",IF(ISNUMBER(I1710),INT(I1710),IFERROR(INT(DATEVALUE(I1710)),IFERROR(INT(VALUE(I1710)),"bad"))))</f>
        <v/>
      </c>
      <c r="O1710">
        <f>IF(J1710="","",IF(ISNUMBER(J1710),ROUND(J1710,2),IFERROR(ROUND(VALUE(SUBSTITUTE(SUBSTITUTE(SUBSTITUTE(J1710,"$",""),",","")," ","")),2),"bad")))</f>
        <v/>
      </c>
      <c r="P1710">
        <f>IF(TRIM(K1710)="","",IFERROR(MATCH(LOWER(TRIM(K1710)),'Students'!$AH$2:$AH$701,0),IFERROR(MATCH(LOWER(TRIM(K1710)),'Students'!$AF$2:$AF$701,0),IFERROR(MATCH(LOWER(TRIM(K1710)),'Students'!$AG$2:$AG$701,0),""))))</f>
        <v/>
      </c>
      <c r="R1710">
        <f>IF(P1710="","",INDEX('Students'!$AD$2:$AD$701,P1710))</f>
        <v/>
      </c>
      <c r="S1710">
        <f>IF(H1710="OK",O1710,0)</f>
        <v/>
      </c>
      <c r="T1710">
        <f>IF(H1710="OK",N1710,"")</f>
        <v/>
      </c>
      <c r="U1710">
        <f>IF(OC_Donor=0,"",IF(INDEX('OneCause_Paste'!$A$1710:$AZ$1710,1,OC_Donor)="","",INDEX('OneCause_Paste'!$A$1710:$AZ$1710,1,OC_Donor)))</f>
        <v/>
      </c>
    </row>
    <row r="1711">
      <c r="A1711" s="62">
        <f>IF(H1711="","",IF(ISNUMBER(N1711),N1711,I1711))</f>
        <v/>
      </c>
      <c r="B1711">
        <f>IF(H1711="","",U1711)</f>
        <v/>
      </c>
      <c r="C1711">
        <f>IF(H1711="","",IF(P1711="",K1711,INDEX('Students'!$A$2:$A$701,P1711)))</f>
        <v/>
      </c>
      <c r="D1711">
        <f>IF(OR(H1711="",P1711=""),"",INDEX('Students'!$B$2:$B$701,P1711))</f>
        <v/>
      </c>
      <c r="E1711">
        <f>IF(OR(H1711="",P1711=""),"",INDEX('Students'!$C$2:$C$701,P1711))</f>
        <v/>
      </c>
      <c r="F1711" s="48">
        <f>IF(H1711="","",IF(ISNUMBER(O1711),O1711,J1711))</f>
        <v/>
      </c>
      <c r="G1711">
        <f>IF(H1711="","","OneCause")</f>
        <v/>
      </c>
      <c r="H1711">
        <f>IF(AND(I1711="",J1711="",K1711=""),"",IF(NOT(ISNUMBER(O1711)),"Bad amount",IF(O1711&lt;0,"Refund (not counted)",IF(O1711=0,"Zero amount",IF(NOT(ISNUMBER(N1711)),"Bad date",IF(P1711="","NAME NOT ON ROSTER",IF(L1711="","OK",IF(MATCH(L1711,$L$2:$L$3001,0)&lt;ROW()-1,"Duplicate (ignored)","OK"))))))))</f>
        <v/>
      </c>
      <c r="I1711">
        <f>IF(OC_Date=0,"",IF(INDEX('OneCause_Paste'!$A$1711:$AZ$1711,1,OC_Date)="","",INDEX('OneCause_Paste'!$A$1711:$AZ$1711,1,OC_Date)))</f>
        <v/>
      </c>
      <c r="J1711">
        <f>IF(OC_Amt=0,"",IF(INDEX('OneCause_Paste'!$A$1711:$AZ$1711,1,OC_Amt)="","",INDEX('OneCause_Paste'!$A$1711:$AZ$1711,1,OC_Amt)))</f>
        <v/>
      </c>
      <c r="K1711">
        <f>IF(OC_Name=0,"",IF(INDEX('OneCause_Paste'!$A$1711:$AZ$1711,1,OC_Name)="","",INDEX('OneCause_Paste'!$A$1711:$AZ$1711,1,OC_Name)))</f>
        <v/>
      </c>
      <c r="L1711">
        <f>IF(OC_Txn=0,"",IF(INDEX('OneCause_Paste'!$A$1711:$AZ$1711,1,OC_Txn)="","",INDEX('OneCause_Paste'!$A$1711:$AZ$1711,1,OC_Txn)))</f>
        <v/>
      </c>
      <c r="M1711">
        <f>IF(OC_Pay=0,"",IF(INDEX('OneCause_Paste'!$A$1711:$AZ$1711,1,OC_Pay)="","",INDEX('OneCause_Paste'!$A$1711:$AZ$1711,1,OC_Pay)))</f>
        <v/>
      </c>
      <c r="N1711">
        <f>IF(I1711="","",IF(ISNUMBER(I1711),INT(I1711),IFERROR(INT(DATEVALUE(I1711)),IFERROR(INT(VALUE(I1711)),"bad"))))</f>
        <v/>
      </c>
      <c r="O1711">
        <f>IF(J1711="","",IF(ISNUMBER(J1711),ROUND(J1711,2),IFERROR(ROUND(VALUE(SUBSTITUTE(SUBSTITUTE(SUBSTITUTE(J1711,"$",""),",","")," ","")),2),"bad")))</f>
        <v/>
      </c>
      <c r="P1711">
        <f>IF(TRIM(K1711)="","",IFERROR(MATCH(LOWER(TRIM(K1711)),'Students'!$AH$2:$AH$701,0),IFERROR(MATCH(LOWER(TRIM(K1711)),'Students'!$AF$2:$AF$701,0),IFERROR(MATCH(LOWER(TRIM(K1711)),'Students'!$AG$2:$AG$701,0),""))))</f>
        <v/>
      </c>
      <c r="R1711">
        <f>IF(P1711="","",INDEX('Students'!$AD$2:$AD$701,P1711))</f>
        <v/>
      </c>
      <c r="S1711">
        <f>IF(H1711="OK",O1711,0)</f>
        <v/>
      </c>
      <c r="T1711">
        <f>IF(H1711="OK",N1711,"")</f>
        <v/>
      </c>
      <c r="U1711">
        <f>IF(OC_Donor=0,"",IF(INDEX('OneCause_Paste'!$A$1711:$AZ$1711,1,OC_Donor)="","",INDEX('OneCause_Paste'!$A$1711:$AZ$1711,1,OC_Donor)))</f>
        <v/>
      </c>
    </row>
    <row r="1712">
      <c r="A1712" s="62">
        <f>IF(H1712="","",IF(ISNUMBER(N1712),N1712,I1712))</f>
        <v/>
      </c>
      <c r="B1712">
        <f>IF(H1712="","",U1712)</f>
        <v/>
      </c>
      <c r="C1712">
        <f>IF(H1712="","",IF(P1712="",K1712,INDEX('Students'!$A$2:$A$701,P1712)))</f>
        <v/>
      </c>
      <c r="D1712">
        <f>IF(OR(H1712="",P1712=""),"",INDEX('Students'!$B$2:$B$701,P1712))</f>
        <v/>
      </c>
      <c r="E1712">
        <f>IF(OR(H1712="",P1712=""),"",INDEX('Students'!$C$2:$C$701,P1712))</f>
        <v/>
      </c>
      <c r="F1712" s="48">
        <f>IF(H1712="","",IF(ISNUMBER(O1712),O1712,J1712))</f>
        <v/>
      </c>
      <c r="G1712">
        <f>IF(H1712="","","OneCause")</f>
        <v/>
      </c>
      <c r="H1712">
        <f>IF(AND(I1712="",J1712="",K1712=""),"",IF(NOT(ISNUMBER(O1712)),"Bad amount",IF(O1712&lt;0,"Refund (not counted)",IF(O1712=0,"Zero amount",IF(NOT(ISNUMBER(N1712)),"Bad date",IF(P1712="","NAME NOT ON ROSTER",IF(L1712="","OK",IF(MATCH(L1712,$L$2:$L$3001,0)&lt;ROW()-1,"Duplicate (ignored)","OK"))))))))</f>
        <v/>
      </c>
      <c r="I1712">
        <f>IF(OC_Date=0,"",IF(INDEX('OneCause_Paste'!$A$1712:$AZ$1712,1,OC_Date)="","",INDEX('OneCause_Paste'!$A$1712:$AZ$1712,1,OC_Date)))</f>
        <v/>
      </c>
      <c r="J1712">
        <f>IF(OC_Amt=0,"",IF(INDEX('OneCause_Paste'!$A$1712:$AZ$1712,1,OC_Amt)="","",INDEX('OneCause_Paste'!$A$1712:$AZ$1712,1,OC_Amt)))</f>
        <v/>
      </c>
      <c r="K1712">
        <f>IF(OC_Name=0,"",IF(INDEX('OneCause_Paste'!$A$1712:$AZ$1712,1,OC_Name)="","",INDEX('OneCause_Paste'!$A$1712:$AZ$1712,1,OC_Name)))</f>
        <v/>
      </c>
      <c r="L1712">
        <f>IF(OC_Txn=0,"",IF(INDEX('OneCause_Paste'!$A$1712:$AZ$1712,1,OC_Txn)="","",INDEX('OneCause_Paste'!$A$1712:$AZ$1712,1,OC_Txn)))</f>
        <v/>
      </c>
      <c r="M1712">
        <f>IF(OC_Pay=0,"",IF(INDEX('OneCause_Paste'!$A$1712:$AZ$1712,1,OC_Pay)="","",INDEX('OneCause_Paste'!$A$1712:$AZ$1712,1,OC_Pay)))</f>
        <v/>
      </c>
      <c r="N1712">
        <f>IF(I1712="","",IF(ISNUMBER(I1712),INT(I1712),IFERROR(INT(DATEVALUE(I1712)),IFERROR(INT(VALUE(I1712)),"bad"))))</f>
        <v/>
      </c>
      <c r="O1712">
        <f>IF(J1712="","",IF(ISNUMBER(J1712),ROUND(J1712,2),IFERROR(ROUND(VALUE(SUBSTITUTE(SUBSTITUTE(SUBSTITUTE(J1712,"$",""),",","")," ","")),2),"bad")))</f>
        <v/>
      </c>
      <c r="P1712">
        <f>IF(TRIM(K1712)="","",IFERROR(MATCH(LOWER(TRIM(K1712)),'Students'!$AH$2:$AH$701,0),IFERROR(MATCH(LOWER(TRIM(K1712)),'Students'!$AF$2:$AF$701,0),IFERROR(MATCH(LOWER(TRIM(K1712)),'Students'!$AG$2:$AG$701,0),""))))</f>
        <v/>
      </c>
      <c r="R1712">
        <f>IF(P1712="","",INDEX('Students'!$AD$2:$AD$701,P1712))</f>
        <v/>
      </c>
      <c r="S1712">
        <f>IF(H1712="OK",O1712,0)</f>
        <v/>
      </c>
      <c r="T1712">
        <f>IF(H1712="OK",N1712,"")</f>
        <v/>
      </c>
      <c r="U1712">
        <f>IF(OC_Donor=0,"",IF(INDEX('OneCause_Paste'!$A$1712:$AZ$1712,1,OC_Donor)="","",INDEX('OneCause_Paste'!$A$1712:$AZ$1712,1,OC_Donor)))</f>
        <v/>
      </c>
    </row>
    <row r="1713">
      <c r="A1713" s="62">
        <f>IF(H1713="","",IF(ISNUMBER(N1713),N1713,I1713))</f>
        <v/>
      </c>
      <c r="B1713">
        <f>IF(H1713="","",U1713)</f>
        <v/>
      </c>
      <c r="C1713">
        <f>IF(H1713="","",IF(P1713="",K1713,INDEX('Students'!$A$2:$A$701,P1713)))</f>
        <v/>
      </c>
      <c r="D1713">
        <f>IF(OR(H1713="",P1713=""),"",INDEX('Students'!$B$2:$B$701,P1713))</f>
        <v/>
      </c>
      <c r="E1713">
        <f>IF(OR(H1713="",P1713=""),"",INDEX('Students'!$C$2:$C$701,P1713))</f>
        <v/>
      </c>
      <c r="F1713" s="48">
        <f>IF(H1713="","",IF(ISNUMBER(O1713),O1713,J1713))</f>
        <v/>
      </c>
      <c r="G1713">
        <f>IF(H1713="","","OneCause")</f>
        <v/>
      </c>
      <c r="H1713">
        <f>IF(AND(I1713="",J1713="",K1713=""),"",IF(NOT(ISNUMBER(O1713)),"Bad amount",IF(O1713&lt;0,"Refund (not counted)",IF(O1713=0,"Zero amount",IF(NOT(ISNUMBER(N1713)),"Bad date",IF(P1713="","NAME NOT ON ROSTER",IF(L1713="","OK",IF(MATCH(L1713,$L$2:$L$3001,0)&lt;ROW()-1,"Duplicate (ignored)","OK"))))))))</f>
        <v/>
      </c>
      <c r="I1713">
        <f>IF(OC_Date=0,"",IF(INDEX('OneCause_Paste'!$A$1713:$AZ$1713,1,OC_Date)="","",INDEX('OneCause_Paste'!$A$1713:$AZ$1713,1,OC_Date)))</f>
        <v/>
      </c>
      <c r="J1713">
        <f>IF(OC_Amt=0,"",IF(INDEX('OneCause_Paste'!$A$1713:$AZ$1713,1,OC_Amt)="","",INDEX('OneCause_Paste'!$A$1713:$AZ$1713,1,OC_Amt)))</f>
        <v/>
      </c>
      <c r="K1713">
        <f>IF(OC_Name=0,"",IF(INDEX('OneCause_Paste'!$A$1713:$AZ$1713,1,OC_Name)="","",INDEX('OneCause_Paste'!$A$1713:$AZ$1713,1,OC_Name)))</f>
        <v/>
      </c>
      <c r="L1713">
        <f>IF(OC_Txn=0,"",IF(INDEX('OneCause_Paste'!$A$1713:$AZ$1713,1,OC_Txn)="","",INDEX('OneCause_Paste'!$A$1713:$AZ$1713,1,OC_Txn)))</f>
        <v/>
      </c>
      <c r="M1713">
        <f>IF(OC_Pay=0,"",IF(INDEX('OneCause_Paste'!$A$1713:$AZ$1713,1,OC_Pay)="","",INDEX('OneCause_Paste'!$A$1713:$AZ$1713,1,OC_Pay)))</f>
        <v/>
      </c>
      <c r="N1713">
        <f>IF(I1713="","",IF(ISNUMBER(I1713),INT(I1713),IFERROR(INT(DATEVALUE(I1713)),IFERROR(INT(VALUE(I1713)),"bad"))))</f>
        <v/>
      </c>
      <c r="O1713">
        <f>IF(J1713="","",IF(ISNUMBER(J1713),ROUND(J1713,2),IFERROR(ROUND(VALUE(SUBSTITUTE(SUBSTITUTE(SUBSTITUTE(J1713,"$",""),",","")," ","")),2),"bad")))</f>
        <v/>
      </c>
      <c r="P1713">
        <f>IF(TRIM(K1713)="","",IFERROR(MATCH(LOWER(TRIM(K1713)),'Students'!$AH$2:$AH$701,0),IFERROR(MATCH(LOWER(TRIM(K1713)),'Students'!$AF$2:$AF$701,0),IFERROR(MATCH(LOWER(TRIM(K1713)),'Students'!$AG$2:$AG$701,0),""))))</f>
        <v/>
      </c>
      <c r="R1713">
        <f>IF(P1713="","",INDEX('Students'!$AD$2:$AD$701,P1713))</f>
        <v/>
      </c>
      <c r="S1713">
        <f>IF(H1713="OK",O1713,0)</f>
        <v/>
      </c>
      <c r="T1713">
        <f>IF(H1713="OK",N1713,"")</f>
        <v/>
      </c>
      <c r="U1713">
        <f>IF(OC_Donor=0,"",IF(INDEX('OneCause_Paste'!$A$1713:$AZ$1713,1,OC_Donor)="","",INDEX('OneCause_Paste'!$A$1713:$AZ$1713,1,OC_Donor)))</f>
        <v/>
      </c>
    </row>
    <row r="1714">
      <c r="A1714" s="62">
        <f>IF(H1714="","",IF(ISNUMBER(N1714),N1714,I1714))</f>
        <v/>
      </c>
      <c r="B1714">
        <f>IF(H1714="","",U1714)</f>
        <v/>
      </c>
      <c r="C1714">
        <f>IF(H1714="","",IF(P1714="",K1714,INDEX('Students'!$A$2:$A$701,P1714)))</f>
        <v/>
      </c>
      <c r="D1714">
        <f>IF(OR(H1714="",P1714=""),"",INDEX('Students'!$B$2:$B$701,P1714))</f>
        <v/>
      </c>
      <c r="E1714">
        <f>IF(OR(H1714="",P1714=""),"",INDEX('Students'!$C$2:$C$701,P1714))</f>
        <v/>
      </c>
      <c r="F1714" s="48">
        <f>IF(H1714="","",IF(ISNUMBER(O1714),O1714,J1714))</f>
        <v/>
      </c>
      <c r="G1714">
        <f>IF(H1714="","","OneCause")</f>
        <v/>
      </c>
      <c r="H1714">
        <f>IF(AND(I1714="",J1714="",K1714=""),"",IF(NOT(ISNUMBER(O1714)),"Bad amount",IF(O1714&lt;0,"Refund (not counted)",IF(O1714=0,"Zero amount",IF(NOT(ISNUMBER(N1714)),"Bad date",IF(P1714="","NAME NOT ON ROSTER",IF(L1714="","OK",IF(MATCH(L1714,$L$2:$L$3001,0)&lt;ROW()-1,"Duplicate (ignored)","OK"))))))))</f>
        <v/>
      </c>
      <c r="I1714">
        <f>IF(OC_Date=0,"",IF(INDEX('OneCause_Paste'!$A$1714:$AZ$1714,1,OC_Date)="","",INDEX('OneCause_Paste'!$A$1714:$AZ$1714,1,OC_Date)))</f>
        <v/>
      </c>
      <c r="J1714">
        <f>IF(OC_Amt=0,"",IF(INDEX('OneCause_Paste'!$A$1714:$AZ$1714,1,OC_Amt)="","",INDEX('OneCause_Paste'!$A$1714:$AZ$1714,1,OC_Amt)))</f>
        <v/>
      </c>
      <c r="K1714">
        <f>IF(OC_Name=0,"",IF(INDEX('OneCause_Paste'!$A$1714:$AZ$1714,1,OC_Name)="","",INDEX('OneCause_Paste'!$A$1714:$AZ$1714,1,OC_Name)))</f>
        <v/>
      </c>
      <c r="L1714">
        <f>IF(OC_Txn=0,"",IF(INDEX('OneCause_Paste'!$A$1714:$AZ$1714,1,OC_Txn)="","",INDEX('OneCause_Paste'!$A$1714:$AZ$1714,1,OC_Txn)))</f>
        <v/>
      </c>
      <c r="M1714">
        <f>IF(OC_Pay=0,"",IF(INDEX('OneCause_Paste'!$A$1714:$AZ$1714,1,OC_Pay)="","",INDEX('OneCause_Paste'!$A$1714:$AZ$1714,1,OC_Pay)))</f>
        <v/>
      </c>
      <c r="N1714">
        <f>IF(I1714="","",IF(ISNUMBER(I1714),INT(I1714),IFERROR(INT(DATEVALUE(I1714)),IFERROR(INT(VALUE(I1714)),"bad"))))</f>
        <v/>
      </c>
      <c r="O1714">
        <f>IF(J1714="","",IF(ISNUMBER(J1714),ROUND(J1714,2),IFERROR(ROUND(VALUE(SUBSTITUTE(SUBSTITUTE(SUBSTITUTE(J1714,"$",""),",","")," ","")),2),"bad")))</f>
        <v/>
      </c>
      <c r="P1714">
        <f>IF(TRIM(K1714)="","",IFERROR(MATCH(LOWER(TRIM(K1714)),'Students'!$AH$2:$AH$701,0),IFERROR(MATCH(LOWER(TRIM(K1714)),'Students'!$AF$2:$AF$701,0),IFERROR(MATCH(LOWER(TRIM(K1714)),'Students'!$AG$2:$AG$701,0),""))))</f>
        <v/>
      </c>
      <c r="R1714">
        <f>IF(P1714="","",INDEX('Students'!$AD$2:$AD$701,P1714))</f>
        <v/>
      </c>
      <c r="S1714">
        <f>IF(H1714="OK",O1714,0)</f>
        <v/>
      </c>
      <c r="T1714">
        <f>IF(H1714="OK",N1714,"")</f>
        <v/>
      </c>
      <c r="U1714">
        <f>IF(OC_Donor=0,"",IF(INDEX('OneCause_Paste'!$A$1714:$AZ$1714,1,OC_Donor)="","",INDEX('OneCause_Paste'!$A$1714:$AZ$1714,1,OC_Donor)))</f>
        <v/>
      </c>
    </row>
    <row r="1715">
      <c r="A1715" s="62">
        <f>IF(H1715="","",IF(ISNUMBER(N1715),N1715,I1715))</f>
        <v/>
      </c>
      <c r="B1715">
        <f>IF(H1715="","",U1715)</f>
        <v/>
      </c>
      <c r="C1715">
        <f>IF(H1715="","",IF(P1715="",K1715,INDEX('Students'!$A$2:$A$701,P1715)))</f>
        <v/>
      </c>
      <c r="D1715">
        <f>IF(OR(H1715="",P1715=""),"",INDEX('Students'!$B$2:$B$701,P1715))</f>
        <v/>
      </c>
      <c r="E1715">
        <f>IF(OR(H1715="",P1715=""),"",INDEX('Students'!$C$2:$C$701,P1715))</f>
        <v/>
      </c>
      <c r="F1715" s="48">
        <f>IF(H1715="","",IF(ISNUMBER(O1715),O1715,J1715))</f>
        <v/>
      </c>
      <c r="G1715">
        <f>IF(H1715="","","OneCause")</f>
        <v/>
      </c>
      <c r="H1715">
        <f>IF(AND(I1715="",J1715="",K1715=""),"",IF(NOT(ISNUMBER(O1715)),"Bad amount",IF(O1715&lt;0,"Refund (not counted)",IF(O1715=0,"Zero amount",IF(NOT(ISNUMBER(N1715)),"Bad date",IF(P1715="","NAME NOT ON ROSTER",IF(L1715="","OK",IF(MATCH(L1715,$L$2:$L$3001,0)&lt;ROW()-1,"Duplicate (ignored)","OK"))))))))</f>
        <v/>
      </c>
      <c r="I1715">
        <f>IF(OC_Date=0,"",IF(INDEX('OneCause_Paste'!$A$1715:$AZ$1715,1,OC_Date)="","",INDEX('OneCause_Paste'!$A$1715:$AZ$1715,1,OC_Date)))</f>
        <v/>
      </c>
      <c r="J1715">
        <f>IF(OC_Amt=0,"",IF(INDEX('OneCause_Paste'!$A$1715:$AZ$1715,1,OC_Amt)="","",INDEX('OneCause_Paste'!$A$1715:$AZ$1715,1,OC_Amt)))</f>
        <v/>
      </c>
      <c r="K1715">
        <f>IF(OC_Name=0,"",IF(INDEX('OneCause_Paste'!$A$1715:$AZ$1715,1,OC_Name)="","",INDEX('OneCause_Paste'!$A$1715:$AZ$1715,1,OC_Name)))</f>
        <v/>
      </c>
      <c r="L1715">
        <f>IF(OC_Txn=0,"",IF(INDEX('OneCause_Paste'!$A$1715:$AZ$1715,1,OC_Txn)="","",INDEX('OneCause_Paste'!$A$1715:$AZ$1715,1,OC_Txn)))</f>
        <v/>
      </c>
      <c r="M1715">
        <f>IF(OC_Pay=0,"",IF(INDEX('OneCause_Paste'!$A$1715:$AZ$1715,1,OC_Pay)="","",INDEX('OneCause_Paste'!$A$1715:$AZ$1715,1,OC_Pay)))</f>
        <v/>
      </c>
      <c r="N1715">
        <f>IF(I1715="","",IF(ISNUMBER(I1715),INT(I1715),IFERROR(INT(DATEVALUE(I1715)),IFERROR(INT(VALUE(I1715)),"bad"))))</f>
        <v/>
      </c>
      <c r="O1715">
        <f>IF(J1715="","",IF(ISNUMBER(J1715),ROUND(J1715,2),IFERROR(ROUND(VALUE(SUBSTITUTE(SUBSTITUTE(SUBSTITUTE(J1715,"$",""),",","")," ","")),2),"bad")))</f>
        <v/>
      </c>
      <c r="P1715">
        <f>IF(TRIM(K1715)="","",IFERROR(MATCH(LOWER(TRIM(K1715)),'Students'!$AH$2:$AH$701,0),IFERROR(MATCH(LOWER(TRIM(K1715)),'Students'!$AF$2:$AF$701,0),IFERROR(MATCH(LOWER(TRIM(K1715)),'Students'!$AG$2:$AG$701,0),""))))</f>
        <v/>
      </c>
      <c r="R1715">
        <f>IF(P1715="","",INDEX('Students'!$AD$2:$AD$701,P1715))</f>
        <v/>
      </c>
      <c r="S1715">
        <f>IF(H1715="OK",O1715,0)</f>
        <v/>
      </c>
      <c r="T1715">
        <f>IF(H1715="OK",N1715,"")</f>
        <v/>
      </c>
      <c r="U1715">
        <f>IF(OC_Donor=0,"",IF(INDEX('OneCause_Paste'!$A$1715:$AZ$1715,1,OC_Donor)="","",INDEX('OneCause_Paste'!$A$1715:$AZ$1715,1,OC_Donor)))</f>
        <v/>
      </c>
    </row>
    <row r="1716">
      <c r="A1716" s="62">
        <f>IF(H1716="","",IF(ISNUMBER(N1716),N1716,I1716))</f>
        <v/>
      </c>
      <c r="B1716">
        <f>IF(H1716="","",U1716)</f>
        <v/>
      </c>
      <c r="C1716">
        <f>IF(H1716="","",IF(P1716="",K1716,INDEX('Students'!$A$2:$A$701,P1716)))</f>
        <v/>
      </c>
      <c r="D1716">
        <f>IF(OR(H1716="",P1716=""),"",INDEX('Students'!$B$2:$B$701,P1716))</f>
        <v/>
      </c>
      <c r="E1716">
        <f>IF(OR(H1716="",P1716=""),"",INDEX('Students'!$C$2:$C$701,P1716))</f>
        <v/>
      </c>
      <c r="F1716" s="48">
        <f>IF(H1716="","",IF(ISNUMBER(O1716),O1716,J1716))</f>
        <v/>
      </c>
      <c r="G1716">
        <f>IF(H1716="","","OneCause")</f>
        <v/>
      </c>
      <c r="H1716">
        <f>IF(AND(I1716="",J1716="",K1716=""),"",IF(NOT(ISNUMBER(O1716)),"Bad amount",IF(O1716&lt;0,"Refund (not counted)",IF(O1716=0,"Zero amount",IF(NOT(ISNUMBER(N1716)),"Bad date",IF(P1716="","NAME NOT ON ROSTER",IF(L1716="","OK",IF(MATCH(L1716,$L$2:$L$3001,0)&lt;ROW()-1,"Duplicate (ignored)","OK"))))))))</f>
        <v/>
      </c>
      <c r="I1716">
        <f>IF(OC_Date=0,"",IF(INDEX('OneCause_Paste'!$A$1716:$AZ$1716,1,OC_Date)="","",INDEX('OneCause_Paste'!$A$1716:$AZ$1716,1,OC_Date)))</f>
        <v/>
      </c>
      <c r="J1716">
        <f>IF(OC_Amt=0,"",IF(INDEX('OneCause_Paste'!$A$1716:$AZ$1716,1,OC_Amt)="","",INDEX('OneCause_Paste'!$A$1716:$AZ$1716,1,OC_Amt)))</f>
        <v/>
      </c>
      <c r="K1716">
        <f>IF(OC_Name=0,"",IF(INDEX('OneCause_Paste'!$A$1716:$AZ$1716,1,OC_Name)="","",INDEX('OneCause_Paste'!$A$1716:$AZ$1716,1,OC_Name)))</f>
        <v/>
      </c>
      <c r="L1716">
        <f>IF(OC_Txn=0,"",IF(INDEX('OneCause_Paste'!$A$1716:$AZ$1716,1,OC_Txn)="","",INDEX('OneCause_Paste'!$A$1716:$AZ$1716,1,OC_Txn)))</f>
        <v/>
      </c>
      <c r="M1716">
        <f>IF(OC_Pay=0,"",IF(INDEX('OneCause_Paste'!$A$1716:$AZ$1716,1,OC_Pay)="","",INDEX('OneCause_Paste'!$A$1716:$AZ$1716,1,OC_Pay)))</f>
        <v/>
      </c>
      <c r="N1716">
        <f>IF(I1716="","",IF(ISNUMBER(I1716),INT(I1716),IFERROR(INT(DATEVALUE(I1716)),IFERROR(INT(VALUE(I1716)),"bad"))))</f>
        <v/>
      </c>
      <c r="O1716">
        <f>IF(J1716="","",IF(ISNUMBER(J1716),ROUND(J1716,2),IFERROR(ROUND(VALUE(SUBSTITUTE(SUBSTITUTE(SUBSTITUTE(J1716,"$",""),",","")," ","")),2),"bad")))</f>
        <v/>
      </c>
      <c r="P1716">
        <f>IF(TRIM(K1716)="","",IFERROR(MATCH(LOWER(TRIM(K1716)),'Students'!$AH$2:$AH$701,0),IFERROR(MATCH(LOWER(TRIM(K1716)),'Students'!$AF$2:$AF$701,0),IFERROR(MATCH(LOWER(TRIM(K1716)),'Students'!$AG$2:$AG$701,0),""))))</f>
        <v/>
      </c>
      <c r="R1716">
        <f>IF(P1716="","",INDEX('Students'!$AD$2:$AD$701,P1716))</f>
        <v/>
      </c>
      <c r="S1716">
        <f>IF(H1716="OK",O1716,0)</f>
        <v/>
      </c>
      <c r="T1716">
        <f>IF(H1716="OK",N1716,"")</f>
        <v/>
      </c>
      <c r="U1716">
        <f>IF(OC_Donor=0,"",IF(INDEX('OneCause_Paste'!$A$1716:$AZ$1716,1,OC_Donor)="","",INDEX('OneCause_Paste'!$A$1716:$AZ$1716,1,OC_Donor)))</f>
        <v/>
      </c>
    </row>
    <row r="1717">
      <c r="A1717" s="62">
        <f>IF(H1717="","",IF(ISNUMBER(N1717),N1717,I1717))</f>
        <v/>
      </c>
      <c r="B1717">
        <f>IF(H1717="","",U1717)</f>
        <v/>
      </c>
      <c r="C1717">
        <f>IF(H1717="","",IF(P1717="",K1717,INDEX('Students'!$A$2:$A$701,P1717)))</f>
        <v/>
      </c>
      <c r="D1717">
        <f>IF(OR(H1717="",P1717=""),"",INDEX('Students'!$B$2:$B$701,P1717))</f>
        <v/>
      </c>
      <c r="E1717">
        <f>IF(OR(H1717="",P1717=""),"",INDEX('Students'!$C$2:$C$701,P1717))</f>
        <v/>
      </c>
      <c r="F1717" s="48">
        <f>IF(H1717="","",IF(ISNUMBER(O1717),O1717,J1717))</f>
        <v/>
      </c>
      <c r="G1717">
        <f>IF(H1717="","","OneCause")</f>
        <v/>
      </c>
      <c r="H1717">
        <f>IF(AND(I1717="",J1717="",K1717=""),"",IF(NOT(ISNUMBER(O1717)),"Bad amount",IF(O1717&lt;0,"Refund (not counted)",IF(O1717=0,"Zero amount",IF(NOT(ISNUMBER(N1717)),"Bad date",IF(P1717="","NAME NOT ON ROSTER",IF(L1717="","OK",IF(MATCH(L1717,$L$2:$L$3001,0)&lt;ROW()-1,"Duplicate (ignored)","OK"))))))))</f>
        <v/>
      </c>
      <c r="I1717">
        <f>IF(OC_Date=0,"",IF(INDEX('OneCause_Paste'!$A$1717:$AZ$1717,1,OC_Date)="","",INDEX('OneCause_Paste'!$A$1717:$AZ$1717,1,OC_Date)))</f>
        <v/>
      </c>
      <c r="J1717">
        <f>IF(OC_Amt=0,"",IF(INDEX('OneCause_Paste'!$A$1717:$AZ$1717,1,OC_Amt)="","",INDEX('OneCause_Paste'!$A$1717:$AZ$1717,1,OC_Amt)))</f>
        <v/>
      </c>
      <c r="K1717">
        <f>IF(OC_Name=0,"",IF(INDEX('OneCause_Paste'!$A$1717:$AZ$1717,1,OC_Name)="","",INDEX('OneCause_Paste'!$A$1717:$AZ$1717,1,OC_Name)))</f>
        <v/>
      </c>
      <c r="L1717">
        <f>IF(OC_Txn=0,"",IF(INDEX('OneCause_Paste'!$A$1717:$AZ$1717,1,OC_Txn)="","",INDEX('OneCause_Paste'!$A$1717:$AZ$1717,1,OC_Txn)))</f>
        <v/>
      </c>
      <c r="M1717">
        <f>IF(OC_Pay=0,"",IF(INDEX('OneCause_Paste'!$A$1717:$AZ$1717,1,OC_Pay)="","",INDEX('OneCause_Paste'!$A$1717:$AZ$1717,1,OC_Pay)))</f>
        <v/>
      </c>
      <c r="N1717">
        <f>IF(I1717="","",IF(ISNUMBER(I1717),INT(I1717),IFERROR(INT(DATEVALUE(I1717)),IFERROR(INT(VALUE(I1717)),"bad"))))</f>
        <v/>
      </c>
      <c r="O1717">
        <f>IF(J1717="","",IF(ISNUMBER(J1717),ROUND(J1717,2),IFERROR(ROUND(VALUE(SUBSTITUTE(SUBSTITUTE(SUBSTITUTE(J1717,"$",""),",","")," ","")),2),"bad")))</f>
        <v/>
      </c>
      <c r="P1717">
        <f>IF(TRIM(K1717)="","",IFERROR(MATCH(LOWER(TRIM(K1717)),'Students'!$AH$2:$AH$701,0),IFERROR(MATCH(LOWER(TRIM(K1717)),'Students'!$AF$2:$AF$701,0),IFERROR(MATCH(LOWER(TRIM(K1717)),'Students'!$AG$2:$AG$701,0),""))))</f>
        <v/>
      </c>
      <c r="R1717">
        <f>IF(P1717="","",INDEX('Students'!$AD$2:$AD$701,P1717))</f>
        <v/>
      </c>
      <c r="S1717">
        <f>IF(H1717="OK",O1717,0)</f>
        <v/>
      </c>
      <c r="T1717">
        <f>IF(H1717="OK",N1717,"")</f>
        <v/>
      </c>
      <c r="U1717">
        <f>IF(OC_Donor=0,"",IF(INDEX('OneCause_Paste'!$A$1717:$AZ$1717,1,OC_Donor)="","",INDEX('OneCause_Paste'!$A$1717:$AZ$1717,1,OC_Donor)))</f>
        <v/>
      </c>
    </row>
    <row r="1718">
      <c r="A1718" s="62">
        <f>IF(H1718="","",IF(ISNUMBER(N1718),N1718,I1718))</f>
        <v/>
      </c>
      <c r="B1718">
        <f>IF(H1718="","",U1718)</f>
        <v/>
      </c>
      <c r="C1718">
        <f>IF(H1718="","",IF(P1718="",K1718,INDEX('Students'!$A$2:$A$701,P1718)))</f>
        <v/>
      </c>
      <c r="D1718">
        <f>IF(OR(H1718="",P1718=""),"",INDEX('Students'!$B$2:$B$701,P1718))</f>
        <v/>
      </c>
      <c r="E1718">
        <f>IF(OR(H1718="",P1718=""),"",INDEX('Students'!$C$2:$C$701,P1718))</f>
        <v/>
      </c>
      <c r="F1718" s="48">
        <f>IF(H1718="","",IF(ISNUMBER(O1718),O1718,J1718))</f>
        <v/>
      </c>
      <c r="G1718">
        <f>IF(H1718="","","OneCause")</f>
        <v/>
      </c>
      <c r="H1718">
        <f>IF(AND(I1718="",J1718="",K1718=""),"",IF(NOT(ISNUMBER(O1718)),"Bad amount",IF(O1718&lt;0,"Refund (not counted)",IF(O1718=0,"Zero amount",IF(NOT(ISNUMBER(N1718)),"Bad date",IF(P1718="","NAME NOT ON ROSTER",IF(L1718="","OK",IF(MATCH(L1718,$L$2:$L$3001,0)&lt;ROW()-1,"Duplicate (ignored)","OK"))))))))</f>
        <v/>
      </c>
      <c r="I1718">
        <f>IF(OC_Date=0,"",IF(INDEX('OneCause_Paste'!$A$1718:$AZ$1718,1,OC_Date)="","",INDEX('OneCause_Paste'!$A$1718:$AZ$1718,1,OC_Date)))</f>
        <v/>
      </c>
      <c r="J1718">
        <f>IF(OC_Amt=0,"",IF(INDEX('OneCause_Paste'!$A$1718:$AZ$1718,1,OC_Amt)="","",INDEX('OneCause_Paste'!$A$1718:$AZ$1718,1,OC_Amt)))</f>
        <v/>
      </c>
      <c r="K1718">
        <f>IF(OC_Name=0,"",IF(INDEX('OneCause_Paste'!$A$1718:$AZ$1718,1,OC_Name)="","",INDEX('OneCause_Paste'!$A$1718:$AZ$1718,1,OC_Name)))</f>
        <v/>
      </c>
      <c r="L1718">
        <f>IF(OC_Txn=0,"",IF(INDEX('OneCause_Paste'!$A$1718:$AZ$1718,1,OC_Txn)="","",INDEX('OneCause_Paste'!$A$1718:$AZ$1718,1,OC_Txn)))</f>
        <v/>
      </c>
      <c r="M1718">
        <f>IF(OC_Pay=0,"",IF(INDEX('OneCause_Paste'!$A$1718:$AZ$1718,1,OC_Pay)="","",INDEX('OneCause_Paste'!$A$1718:$AZ$1718,1,OC_Pay)))</f>
        <v/>
      </c>
      <c r="N1718">
        <f>IF(I1718="","",IF(ISNUMBER(I1718),INT(I1718),IFERROR(INT(DATEVALUE(I1718)),IFERROR(INT(VALUE(I1718)),"bad"))))</f>
        <v/>
      </c>
      <c r="O1718">
        <f>IF(J1718="","",IF(ISNUMBER(J1718),ROUND(J1718,2),IFERROR(ROUND(VALUE(SUBSTITUTE(SUBSTITUTE(SUBSTITUTE(J1718,"$",""),",","")," ","")),2),"bad")))</f>
        <v/>
      </c>
      <c r="P1718">
        <f>IF(TRIM(K1718)="","",IFERROR(MATCH(LOWER(TRIM(K1718)),'Students'!$AH$2:$AH$701,0),IFERROR(MATCH(LOWER(TRIM(K1718)),'Students'!$AF$2:$AF$701,0),IFERROR(MATCH(LOWER(TRIM(K1718)),'Students'!$AG$2:$AG$701,0),""))))</f>
        <v/>
      </c>
      <c r="R1718">
        <f>IF(P1718="","",INDEX('Students'!$AD$2:$AD$701,P1718))</f>
        <v/>
      </c>
      <c r="S1718">
        <f>IF(H1718="OK",O1718,0)</f>
        <v/>
      </c>
      <c r="T1718">
        <f>IF(H1718="OK",N1718,"")</f>
        <v/>
      </c>
      <c r="U1718">
        <f>IF(OC_Donor=0,"",IF(INDEX('OneCause_Paste'!$A$1718:$AZ$1718,1,OC_Donor)="","",INDEX('OneCause_Paste'!$A$1718:$AZ$1718,1,OC_Donor)))</f>
        <v/>
      </c>
    </row>
    <row r="1719">
      <c r="A1719" s="62">
        <f>IF(H1719="","",IF(ISNUMBER(N1719),N1719,I1719))</f>
        <v/>
      </c>
      <c r="B1719">
        <f>IF(H1719="","",U1719)</f>
        <v/>
      </c>
      <c r="C1719">
        <f>IF(H1719="","",IF(P1719="",K1719,INDEX('Students'!$A$2:$A$701,P1719)))</f>
        <v/>
      </c>
      <c r="D1719">
        <f>IF(OR(H1719="",P1719=""),"",INDEX('Students'!$B$2:$B$701,P1719))</f>
        <v/>
      </c>
      <c r="E1719">
        <f>IF(OR(H1719="",P1719=""),"",INDEX('Students'!$C$2:$C$701,P1719))</f>
        <v/>
      </c>
      <c r="F1719" s="48">
        <f>IF(H1719="","",IF(ISNUMBER(O1719),O1719,J1719))</f>
        <v/>
      </c>
      <c r="G1719">
        <f>IF(H1719="","","OneCause")</f>
        <v/>
      </c>
      <c r="H1719">
        <f>IF(AND(I1719="",J1719="",K1719=""),"",IF(NOT(ISNUMBER(O1719)),"Bad amount",IF(O1719&lt;0,"Refund (not counted)",IF(O1719=0,"Zero amount",IF(NOT(ISNUMBER(N1719)),"Bad date",IF(P1719="","NAME NOT ON ROSTER",IF(L1719="","OK",IF(MATCH(L1719,$L$2:$L$3001,0)&lt;ROW()-1,"Duplicate (ignored)","OK"))))))))</f>
        <v/>
      </c>
      <c r="I1719">
        <f>IF(OC_Date=0,"",IF(INDEX('OneCause_Paste'!$A$1719:$AZ$1719,1,OC_Date)="","",INDEX('OneCause_Paste'!$A$1719:$AZ$1719,1,OC_Date)))</f>
        <v/>
      </c>
      <c r="J1719">
        <f>IF(OC_Amt=0,"",IF(INDEX('OneCause_Paste'!$A$1719:$AZ$1719,1,OC_Amt)="","",INDEX('OneCause_Paste'!$A$1719:$AZ$1719,1,OC_Amt)))</f>
        <v/>
      </c>
      <c r="K1719">
        <f>IF(OC_Name=0,"",IF(INDEX('OneCause_Paste'!$A$1719:$AZ$1719,1,OC_Name)="","",INDEX('OneCause_Paste'!$A$1719:$AZ$1719,1,OC_Name)))</f>
        <v/>
      </c>
      <c r="L1719">
        <f>IF(OC_Txn=0,"",IF(INDEX('OneCause_Paste'!$A$1719:$AZ$1719,1,OC_Txn)="","",INDEX('OneCause_Paste'!$A$1719:$AZ$1719,1,OC_Txn)))</f>
        <v/>
      </c>
      <c r="M1719">
        <f>IF(OC_Pay=0,"",IF(INDEX('OneCause_Paste'!$A$1719:$AZ$1719,1,OC_Pay)="","",INDEX('OneCause_Paste'!$A$1719:$AZ$1719,1,OC_Pay)))</f>
        <v/>
      </c>
      <c r="N1719">
        <f>IF(I1719="","",IF(ISNUMBER(I1719),INT(I1719),IFERROR(INT(DATEVALUE(I1719)),IFERROR(INT(VALUE(I1719)),"bad"))))</f>
        <v/>
      </c>
      <c r="O1719">
        <f>IF(J1719="","",IF(ISNUMBER(J1719),ROUND(J1719,2),IFERROR(ROUND(VALUE(SUBSTITUTE(SUBSTITUTE(SUBSTITUTE(J1719,"$",""),",","")," ","")),2),"bad")))</f>
        <v/>
      </c>
      <c r="P1719">
        <f>IF(TRIM(K1719)="","",IFERROR(MATCH(LOWER(TRIM(K1719)),'Students'!$AH$2:$AH$701,0),IFERROR(MATCH(LOWER(TRIM(K1719)),'Students'!$AF$2:$AF$701,0),IFERROR(MATCH(LOWER(TRIM(K1719)),'Students'!$AG$2:$AG$701,0),""))))</f>
        <v/>
      </c>
      <c r="R1719">
        <f>IF(P1719="","",INDEX('Students'!$AD$2:$AD$701,P1719))</f>
        <v/>
      </c>
      <c r="S1719">
        <f>IF(H1719="OK",O1719,0)</f>
        <v/>
      </c>
      <c r="T1719">
        <f>IF(H1719="OK",N1719,"")</f>
        <v/>
      </c>
      <c r="U1719">
        <f>IF(OC_Donor=0,"",IF(INDEX('OneCause_Paste'!$A$1719:$AZ$1719,1,OC_Donor)="","",INDEX('OneCause_Paste'!$A$1719:$AZ$1719,1,OC_Donor)))</f>
        <v/>
      </c>
    </row>
    <row r="1720">
      <c r="A1720" s="62">
        <f>IF(H1720="","",IF(ISNUMBER(N1720),N1720,I1720))</f>
        <v/>
      </c>
      <c r="B1720">
        <f>IF(H1720="","",U1720)</f>
        <v/>
      </c>
      <c r="C1720">
        <f>IF(H1720="","",IF(P1720="",K1720,INDEX('Students'!$A$2:$A$701,P1720)))</f>
        <v/>
      </c>
      <c r="D1720">
        <f>IF(OR(H1720="",P1720=""),"",INDEX('Students'!$B$2:$B$701,P1720))</f>
        <v/>
      </c>
      <c r="E1720">
        <f>IF(OR(H1720="",P1720=""),"",INDEX('Students'!$C$2:$C$701,P1720))</f>
        <v/>
      </c>
      <c r="F1720" s="48">
        <f>IF(H1720="","",IF(ISNUMBER(O1720),O1720,J1720))</f>
        <v/>
      </c>
      <c r="G1720">
        <f>IF(H1720="","","OneCause")</f>
        <v/>
      </c>
      <c r="H1720">
        <f>IF(AND(I1720="",J1720="",K1720=""),"",IF(NOT(ISNUMBER(O1720)),"Bad amount",IF(O1720&lt;0,"Refund (not counted)",IF(O1720=0,"Zero amount",IF(NOT(ISNUMBER(N1720)),"Bad date",IF(P1720="","NAME NOT ON ROSTER",IF(L1720="","OK",IF(MATCH(L1720,$L$2:$L$3001,0)&lt;ROW()-1,"Duplicate (ignored)","OK"))))))))</f>
        <v/>
      </c>
      <c r="I1720">
        <f>IF(OC_Date=0,"",IF(INDEX('OneCause_Paste'!$A$1720:$AZ$1720,1,OC_Date)="","",INDEX('OneCause_Paste'!$A$1720:$AZ$1720,1,OC_Date)))</f>
        <v/>
      </c>
      <c r="J1720">
        <f>IF(OC_Amt=0,"",IF(INDEX('OneCause_Paste'!$A$1720:$AZ$1720,1,OC_Amt)="","",INDEX('OneCause_Paste'!$A$1720:$AZ$1720,1,OC_Amt)))</f>
        <v/>
      </c>
      <c r="K1720">
        <f>IF(OC_Name=0,"",IF(INDEX('OneCause_Paste'!$A$1720:$AZ$1720,1,OC_Name)="","",INDEX('OneCause_Paste'!$A$1720:$AZ$1720,1,OC_Name)))</f>
        <v/>
      </c>
      <c r="L1720">
        <f>IF(OC_Txn=0,"",IF(INDEX('OneCause_Paste'!$A$1720:$AZ$1720,1,OC_Txn)="","",INDEX('OneCause_Paste'!$A$1720:$AZ$1720,1,OC_Txn)))</f>
        <v/>
      </c>
      <c r="M1720">
        <f>IF(OC_Pay=0,"",IF(INDEX('OneCause_Paste'!$A$1720:$AZ$1720,1,OC_Pay)="","",INDEX('OneCause_Paste'!$A$1720:$AZ$1720,1,OC_Pay)))</f>
        <v/>
      </c>
      <c r="N1720">
        <f>IF(I1720="","",IF(ISNUMBER(I1720),INT(I1720),IFERROR(INT(DATEVALUE(I1720)),IFERROR(INT(VALUE(I1720)),"bad"))))</f>
        <v/>
      </c>
      <c r="O1720">
        <f>IF(J1720="","",IF(ISNUMBER(J1720),ROUND(J1720,2),IFERROR(ROUND(VALUE(SUBSTITUTE(SUBSTITUTE(SUBSTITUTE(J1720,"$",""),",","")," ","")),2),"bad")))</f>
        <v/>
      </c>
      <c r="P1720">
        <f>IF(TRIM(K1720)="","",IFERROR(MATCH(LOWER(TRIM(K1720)),'Students'!$AH$2:$AH$701,0),IFERROR(MATCH(LOWER(TRIM(K1720)),'Students'!$AF$2:$AF$701,0),IFERROR(MATCH(LOWER(TRIM(K1720)),'Students'!$AG$2:$AG$701,0),""))))</f>
        <v/>
      </c>
      <c r="R1720">
        <f>IF(P1720="","",INDEX('Students'!$AD$2:$AD$701,P1720))</f>
        <v/>
      </c>
      <c r="S1720">
        <f>IF(H1720="OK",O1720,0)</f>
        <v/>
      </c>
      <c r="T1720">
        <f>IF(H1720="OK",N1720,"")</f>
        <v/>
      </c>
      <c r="U1720">
        <f>IF(OC_Donor=0,"",IF(INDEX('OneCause_Paste'!$A$1720:$AZ$1720,1,OC_Donor)="","",INDEX('OneCause_Paste'!$A$1720:$AZ$1720,1,OC_Donor)))</f>
        <v/>
      </c>
    </row>
    <row r="1721">
      <c r="A1721" s="62">
        <f>IF(H1721="","",IF(ISNUMBER(N1721),N1721,I1721))</f>
        <v/>
      </c>
      <c r="B1721">
        <f>IF(H1721="","",U1721)</f>
        <v/>
      </c>
      <c r="C1721">
        <f>IF(H1721="","",IF(P1721="",K1721,INDEX('Students'!$A$2:$A$701,P1721)))</f>
        <v/>
      </c>
      <c r="D1721">
        <f>IF(OR(H1721="",P1721=""),"",INDEX('Students'!$B$2:$B$701,P1721))</f>
        <v/>
      </c>
      <c r="E1721">
        <f>IF(OR(H1721="",P1721=""),"",INDEX('Students'!$C$2:$C$701,P1721))</f>
        <v/>
      </c>
      <c r="F1721" s="48">
        <f>IF(H1721="","",IF(ISNUMBER(O1721),O1721,J1721))</f>
        <v/>
      </c>
      <c r="G1721">
        <f>IF(H1721="","","OneCause")</f>
        <v/>
      </c>
      <c r="H1721">
        <f>IF(AND(I1721="",J1721="",K1721=""),"",IF(NOT(ISNUMBER(O1721)),"Bad amount",IF(O1721&lt;0,"Refund (not counted)",IF(O1721=0,"Zero amount",IF(NOT(ISNUMBER(N1721)),"Bad date",IF(P1721="","NAME NOT ON ROSTER",IF(L1721="","OK",IF(MATCH(L1721,$L$2:$L$3001,0)&lt;ROW()-1,"Duplicate (ignored)","OK"))))))))</f>
        <v/>
      </c>
      <c r="I1721">
        <f>IF(OC_Date=0,"",IF(INDEX('OneCause_Paste'!$A$1721:$AZ$1721,1,OC_Date)="","",INDEX('OneCause_Paste'!$A$1721:$AZ$1721,1,OC_Date)))</f>
        <v/>
      </c>
      <c r="J1721">
        <f>IF(OC_Amt=0,"",IF(INDEX('OneCause_Paste'!$A$1721:$AZ$1721,1,OC_Amt)="","",INDEX('OneCause_Paste'!$A$1721:$AZ$1721,1,OC_Amt)))</f>
        <v/>
      </c>
      <c r="K1721">
        <f>IF(OC_Name=0,"",IF(INDEX('OneCause_Paste'!$A$1721:$AZ$1721,1,OC_Name)="","",INDEX('OneCause_Paste'!$A$1721:$AZ$1721,1,OC_Name)))</f>
        <v/>
      </c>
      <c r="L1721">
        <f>IF(OC_Txn=0,"",IF(INDEX('OneCause_Paste'!$A$1721:$AZ$1721,1,OC_Txn)="","",INDEX('OneCause_Paste'!$A$1721:$AZ$1721,1,OC_Txn)))</f>
        <v/>
      </c>
      <c r="M1721">
        <f>IF(OC_Pay=0,"",IF(INDEX('OneCause_Paste'!$A$1721:$AZ$1721,1,OC_Pay)="","",INDEX('OneCause_Paste'!$A$1721:$AZ$1721,1,OC_Pay)))</f>
        <v/>
      </c>
      <c r="N1721">
        <f>IF(I1721="","",IF(ISNUMBER(I1721),INT(I1721),IFERROR(INT(DATEVALUE(I1721)),IFERROR(INT(VALUE(I1721)),"bad"))))</f>
        <v/>
      </c>
      <c r="O1721">
        <f>IF(J1721="","",IF(ISNUMBER(J1721),ROUND(J1721,2),IFERROR(ROUND(VALUE(SUBSTITUTE(SUBSTITUTE(SUBSTITUTE(J1721,"$",""),",","")," ","")),2),"bad")))</f>
        <v/>
      </c>
      <c r="P1721">
        <f>IF(TRIM(K1721)="","",IFERROR(MATCH(LOWER(TRIM(K1721)),'Students'!$AH$2:$AH$701,0),IFERROR(MATCH(LOWER(TRIM(K1721)),'Students'!$AF$2:$AF$701,0),IFERROR(MATCH(LOWER(TRIM(K1721)),'Students'!$AG$2:$AG$701,0),""))))</f>
        <v/>
      </c>
      <c r="R1721">
        <f>IF(P1721="","",INDEX('Students'!$AD$2:$AD$701,P1721))</f>
        <v/>
      </c>
      <c r="S1721">
        <f>IF(H1721="OK",O1721,0)</f>
        <v/>
      </c>
      <c r="T1721">
        <f>IF(H1721="OK",N1721,"")</f>
        <v/>
      </c>
      <c r="U1721">
        <f>IF(OC_Donor=0,"",IF(INDEX('OneCause_Paste'!$A$1721:$AZ$1721,1,OC_Donor)="","",INDEX('OneCause_Paste'!$A$1721:$AZ$1721,1,OC_Donor)))</f>
        <v/>
      </c>
    </row>
    <row r="1722">
      <c r="A1722" s="62">
        <f>IF(H1722="","",IF(ISNUMBER(N1722),N1722,I1722))</f>
        <v/>
      </c>
      <c r="B1722">
        <f>IF(H1722="","",U1722)</f>
        <v/>
      </c>
      <c r="C1722">
        <f>IF(H1722="","",IF(P1722="",K1722,INDEX('Students'!$A$2:$A$701,P1722)))</f>
        <v/>
      </c>
      <c r="D1722">
        <f>IF(OR(H1722="",P1722=""),"",INDEX('Students'!$B$2:$B$701,P1722))</f>
        <v/>
      </c>
      <c r="E1722">
        <f>IF(OR(H1722="",P1722=""),"",INDEX('Students'!$C$2:$C$701,P1722))</f>
        <v/>
      </c>
      <c r="F1722" s="48">
        <f>IF(H1722="","",IF(ISNUMBER(O1722),O1722,J1722))</f>
        <v/>
      </c>
      <c r="G1722">
        <f>IF(H1722="","","OneCause")</f>
        <v/>
      </c>
      <c r="H1722">
        <f>IF(AND(I1722="",J1722="",K1722=""),"",IF(NOT(ISNUMBER(O1722)),"Bad amount",IF(O1722&lt;0,"Refund (not counted)",IF(O1722=0,"Zero amount",IF(NOT(ISNUMBER(N1722)),"Bad date",IF(P1722="","NAME NOT ON ROSTER",IF(L1722="","OK",IF(MATCH(L1722,$L$2:$L$3001,0)&lt;ROW()-1,"Duplicate (ignored)","OK"))))))))</f>
        <v/>
      </c>
      <c r="I1722">
        <f>IF(OC_Date=0,"",IF(INDEX('OneCause_Paste'!$A$1722:$AZ$1722,1,OC_Date)="","",INDEX('OneCause_Paste'!$A$1722:$AZ$1722,1,OC_Date)))</f>
        <v/>
      </c>
      <c r="J1722">
        <f>IF(OC_Amt=0,"",IF(INDEX('OneCause_Paste'!$A$1722:$AZ$1722,1,OC_Amt)="","",INDEX('OneCause_Paste'!$A$1722:$AZ$1722,1,OC_Amt)))</f>
        <v/>
      </c>
      <c r="K1722">
        <f>IF(OC_Name=0,"",IF(INDEX('OneCause_Paste'!$A$1722:$AZ$1722,1,OC_Name)="","",INDEX('OneCause_Paste'!$A$1722:$AZ$1722,1,OC_Name)))</f>
        <v/>
      </c>
      <c r="L1722">
        <f>IF(OC_Txn=0,"",IF(INDEX('OneCause_Paste'!$A$1722:$AZ$1722,1,OC_Txn)="","",INDEX('OneCause_Paste'!$A$1722:$AZ$1722,1,OC_Txn)))</f>
        <v/>
      </c>
      <c r="M1722">
        <f>IF(OC_Pay=0,"",IF(INDEX('OneCause_Paste'!$A$1722:$AZ$1722,1,OC_Pay)="","",INDEX('OneCause_Paste'!$A$1722:$AZ$1722,1,OC_Pay)))</f>
        <v/>
      </c>
      <c r="N1722">
        <f>IF(I1722="","",IF(ISNUMBER(I1722),INT(I1722),IFERROR(INT(DATEVALUE(I1722)),IFERROR(INT(VALUE(I1722)),"bad"))))</f>
        <v/>
      </c>
      <c r="O1722">
        <f>IF(J1722="","",IF(ISNUMBER(J1722),ROUND(J1722,2),IFERROR(ROUND(VALUE(SUBSTITUTE(SUBSTITUTE(SUBSTITUTE(J1722,"$",""),",","")," ","")),2),"bad")))</f>
        <v/>
      </c>
      <c r="P1722">
        <f>IF(TRIM(K1722)="","",IFERROR(MATCH(LOWER(TRIM(K1722)),'Students'!$AH$2:$AH$701,0),IFERROR(MATCH(LOWER(TRIM(K1722)),'Students'!$AF$2:$AF$701,0),IFERROR(MATCH(LOWER(TRIM(K1722)),'Students'!$AG$2:$AG$701,0),""))))</f>
        <v/>
      </c>
      <c r="R1722">
        <f>IF(P1722="","",INDEX('Students'!$AD$2:$AD$701,P1722))</f>
        <v/>
      </c>
      <c r="S1722">
        <f>IF(H1722="OK",O1722,0)</f>
        <v/>
      </c>
      <c r="T1722">
        <f>IF(H1722="OK",N1722,"")</f>
        <v/>
      </c>
      <c r="U1722">
        <f>IF(OC_Donor=0,"",IF(INDEX('OneCause_Paste'!$A$1722:$AZ$1722,1,OC_Donor)="","",INDEX('OneCause_Paste'!$A$1722:$AZ$1722,1,OC_Donor)))</f>
        <v/>
      </c>
    </row>
    <row r="1723">
      <c r="A1723" s="62">
        <f>IF(H1723="","",IF(ISNUMBER(N1723),N1723,I1723))</f>
        <v/>
      </c>
      <c r="B1723">
        <f>IF(H1723="","",U1723)</f>
        <v/>
      </c>
      <c r="C1723">
        <f>IF(H1723="","",IF(P1723="",K1723,INDEX('Students'!$A$2:$A$701,P1723)))</f>
        <v/>
      </c>
      <c r="D1723">
        <f>IF(OR(H1723="",P1723=""),"",INDEX('Students'!$B$2:$B$701,P1723))</f>
        <v/>
      </c>
      <c r="E1723">
        <f>IF(OR(H1723="",P1723=""),"",INDEX('Students'!$C$2:$C$701,P1723))</f>
        <v/>
      </c>
      <c r="F1723" s="48">
        <f>IF(H1723="","",IF(ISNUMBER(O1723),O1723,J1723))</f>
        <v/>
      </c>
      <c r="G1723">
        <f>IF(H1723="","","OneCause")</f>
        <v/>
      </c>
      <c r="H1723">
        <f>IF(AND(I1723="",J1723="",K1723=""),"",IF(NOT(ISNUMBER(O1723)),"Bad amount",IF(O1723&lt;0,"Refund (not counted)",IF(O1723=0,"Zero amount",IF(NOT(ISNUMBER(N1723)),"Bad date",IF(P1723="","NAME NOT ON ROSTER",IF(L1723="","OK",IF(MATCH(L1723,$L$2:$L$3001,0)&lt;ROW()-1,"Duplicate (ignored)","OK"))))))))</f>
        <v/>
      </c>
      <c r="I1723">
        <f>IF(OC_Date=0,"",IF(INDEX('OneCause_Paste'!$A$1723:$AZ$1723,1,OC_Date)="","",INDEX('OneCause_Paste'!$A$1723:$AZ$1723,1,OC_Date)))</f>
        <v/>
      </c>
      <c r="J1723">
        <f>IF(OC_Amt=0,"",IF(INDEX('OneCause_Paste'!$A$1723:$AZ$1723,1,OC_Amt)="","",INDEX('OneCause_Paste'!$A$1723:$AZ$1723,1,OC_Amt)))</f>
        <v/>
      </c>
      <c r="K1723">
        <f>IF(OC_Name=0,"",IF(INDEX('OneCause_Paste'!$A$1723:$AZ$1723,1,OC_Name)="","",INDEX('OneCause_Paste'!$A$1723:$AZ$1723,1,OC_Name)))</f>
        <v/>
      </c>
      <c r="L1723">
        <f>IF(OC_Txn=0,"",IF(INDEX('OneCause_Paste'!$A$1723:$AZ$1723,1,OC_Txn)="","",INDEX('OneCause_Paste'!$A$1723:$AZ$1723,1,OC_Txn)))</f>
        <v/>
      </c>
      <c r="M1723">
        <f>IF(OC_Pay=0,"",IF(INDEX('OneCause_Paste'!$A$1723:$AZ$1723,1,OC_Pay)="","",INDEX('OneCause_Paste'!$A$1723:$AZ$1723,1,OC_Pay)))</f>
        <v/>
      </c>
      <c r="N1723">
        <f>IF(I1723="","",IF(ISNUMBER(I1723),INT(I1723),IFERROR(INT(DATEVALUE(I1723)),IFERROR(INT(VALUE(I1723)),"bad"))))</f>
        <v/>
      </c>
      <c r="O1723">
        <f>IF(J1723="","",IF(ISNUMBER(J1723),ROUND(J1723,2),IFERROR(ROUND(VALUE(SUBSTITUTE(SUBSTITUTE(SUBSTITUTE(J1723,"$",""),",","")," ","")),2),"bad")))</f>
        <v/>
      </c>
      <c r="P1723">
        <f>IF(TRIM(K1723)="","",IFERROR(MATCH(LOWER(TRIM(K1723)),'Students'!$AH$2:$AH$701,0),IFERROR(MATCH(LOWER(TRIM(K1723)),'Students'!$AF$2:$AF$701,0),IFERROR(MATCH(LOWER(TRIM(K1723)),'Students'!$AG$2:$AG$701,0),""))))</f>
        <v/>
      </c>
      <c r="R1723">
        <f>IF(P1723="","",INDEX('Students'!$AD$2:$AD$701,P1723))</f>
        <v/>
      </c>
      <c r="S1723">
        <f>IF(H1723="OK",O1723,0)</f>
        <v/>
      </c>
      <c r="T1723">
        <f>IF(H1723="OK",N1723,"")</f>
        <v/>
      </c>
      <c r="U1723">
        <f>IF(OC_Donor=0,"",IF(INDEX('OneCause_Paste'!$A$1723:$AZ$1723,1,OC_Donor)="","",INDEX('OneCause_Paste'!$A$1723:$AZ$1723,1,OC_Donor)))</f>
        <v/>
      </c>
    </row>
    <row r="1724">
      <c r="A1724" s="62">
        <f>IF(H1724="","",IF(ISNUMBER(N1724),N1724,I1724))</f>
        <v/>
      </c>
      <c r="B1724">
        <f>IF(H1724="","",U1724)</f>
        <v/>
      </c>
      <c r="C1724">
        <f>IF(H1724="","",IF(P1724="",K1724,INDEX('Students'!$A$2:$A$701,P1724)))</f>
        <v/>
      </c>
      <c r="D1724">
        <f>IF(OR(H1724="",P1724=""),"",INDEX('Students'!$B$2:$B$701,P1724))</f>
        <v/>
      </c>
      <c r="E1724">
        <f>IF(OR(H1724="",P1724=""),"",INDEX('Students'!$C$2:$C$701,P1724))</f>
        <v/>
      </c>
      <c r="F1724" s="48">
        <f>IF(H1724="","",IF(ISNUMBER(O1724),O1724,J1724))</f>
        <v/>
      </c>
      <c r="G1724">
        <f>IF(H1724="","","OneCause")</f>
        <v/>
      </c>
      <c r="H1724">
        <f>IF(AND(I1724="",J1724="",K1724=""),"",IF(NOT(ISNUMBER(O1724)),"Bad amount",IF(O1724&lt;0,"Refund (not counted)",IF(O1724=0,"Zero amount",IF(NOT(ISNUMBER(N1724)),"Bad date",IF(P1724="","NAME NOT ON ROSTER",IF(L1724="","OK",IF(MATCH(L1724,$L$2:$L$3001,0)&lt;ROW()-1,"Duplicate (ignored)","OK"))))))))</f>
        <v/>
      </c>
      <c r="I1724">
        <f>IF(OC_Date=0,"",IF(INDEX('OneCause_Paste'!$A$1724:$AZ$1724,1,OC_Date)="","",INDEX('OneCause_Paste'!$A$1724:$AZ$1724,1,OC_Date)))</f>
        <v/>
      </c>
      <c r="J1724">
        <f>IF(OC_Amt=0,"",IF(INDEX('OneCause_Paste'!$A$1724:$AZ$1724,1,OC_Amt)="","",INDEX('OneCause_Paste'!$A$1724:$AZ$1724,1,OC_Amt)))</f>
        <v/>
      </c>
      <c r="K1724">
        <f>IF(OC_Name=0,"",IF(INDEX('OneCause_Paste'!$A$1724:$AZ$1724,1,OC_Name)="","",INDEX('OneCause_Paste'!$A$1724:$AZ$1724,1,OC_Name)))</f>
        <v/>
      </c>
      <c r="L1724">
        <f>IF(OC_Txn=0,"",IF(INDEX('OneCause_Paste'!$A$1724:$AZ$1724,1,OC_Txn)="","",INDEX('OneCause_Paste'!$A$1724:$AZ$1724,1,OC_Txn)))</f>
        <v/>
      </c>
      <c r="M1724">
        <f>IF(OC_Pay=0,"",IF(INDEX('OneCause_Paste'!$A$1724:$AZ$1724,1,OC_Pay)="","",INDEX('OneCause_Paste'!$A$1724:$AZ$1724,1,OC_Pay)))</f>
        <v/>
      </c>
      <c r="N1724">
        <f>IF(I1724="","",IF(ISNUMBER(I1724),INT(I1724),IFERROR(INT(DATEVALUE(I1724)),IFERROR(INT(VALUE(I1724)),"bad"))))</f>
        <v/>
      </c>
      <c r="O1724">
        <f>IF(J1724="","",IF(ISNUMBER(J1724),ROUND(J1724,2),IFERROR(ROUND(VALUE(SUBSTITUTE(SUBSTITUTE(SUBSTITUTE(J1724,"$",""),",","")," ","")),2),"bad")))</f>
        <v/>
      </c>
      <c r="P1724">
        <f>IF(TRIM(K1724)="","",IFERROR(MATCH(LOWER(TRIM(K1724)),'Students'!$AH$2:$AH$701,0),IFERROR(MATCH(LOWER(TRIM(K1724)),'Students'!$AF$2:$AF$701,0),IFERROR(MATCH(LOWER(TRIM(K1724)),'Students'!$AG$2:$AG$701,0),""))))</f>
        <v/>
      </c>
      <c r="R1724">
        <f>IF(P1724="","",INDEX('Students'!$AD$2:$AD$701,P1724))</f>
        <v/>
      </c>
      <c r="S1724">
        <f>IF(H1724="OK",O1724,0)</f>
        <v/>
      </c>
      <c r="T1724">
        <f>IF(H1724="OK",N1724,"")</f>
        <v/>
      </c>
      <c r="U1724">
        <f>IF(OC_Donor=0,"",IF(INDEX('OneCause_Paste'!$A$1724:$AZ$1724,1,OC_Donor)="","",INDEX('OneCause_Paste'!$A$1724:$AZ$1724,1,OC_Donor)))</f>
        <v/>
      </c>
    </row>
    <row r="1725">
      <c r="A1725" s="62">
        <f>IF(H1725="","",IF(ISNUMBER(N1725),N1725,I1725))</f>
        <v/>
      </c>
      <c r="B1725">
        <f>IF(H1725="","",U1725)</f>
        <v/>
      </c>
      <c r="C1725">
        <f>IF(H1725="","",IF(P1725="",K1725,INDEX('Students'!$A$2:$A$701,P1725)))</f>
        <v/>
      </c>
      <c r="D1725">
        <f>IF(OR(H1725="",P1725=""),"",INDEX('Students'!$B$2:$B$701,P1725))</f>
        <v/>
      </c>
      <c r="E1725">
        <f>IF(OR(H1725="",P1725=""),"",INDEX('Students'!$C$2:$C$701,P1725))</f>
        <v/>
      </c>
      <c r="F1725" s="48">
        <f>IF(H1725="","",IF(ISNUMBER(O1725),O1725,J1725))</f>
        <v/>
      </c>
      <c r="G1725">
        <f>IF(H1725="","","OneCause")</f>
        <v/>
      </c>
      <c r="H1725">
        <f>IF(AND(I1725="",J1725="",K1725=""),"",IF(NOT(ISNUMBER(O1725)),"Bad amount",IF(O1725&lt;0,"Refund (not counted)",IF(O1725=0,"Zero amount",IF(NOT(ISNUMBER(N1725)),"Bad date",IF(P1725="","NAME NOT ON ROSTER",IF(L1725="","OK",IF(MATCH(L1725,$L$2:$L$3001,0)&lt;ROW()-1,"Duplicate (ignored)","OK"))))))))</f>
        <v/>
      </c>
      <c r="I1725">
        <f>IF(OC_Date=0,"",IF(INDEX('OneCause_Paste'!$A$1725:$AZ$1725,1,OC_Date)="","",INDEX('OneCause_Paste'!$A$1725:$AZ$1725,1,OC_Date)))</f>
        <v/>
      </c>
      <c r="J1725">
        <f>IF(OC_Amt=0,"",IF(INDEX('OneCause_Paste'!$A$1725:$AZ$1725,1,OC_Amt)="","",INDEX('OneCause_Paste'!$A$1725:$AZ$1725,1,OC_Amt)))</f>
        <v/>
      </c>
      <c r="K1725">
        <f>IF(OC_Name=0,"",IF(INDEX('OneCause_Paste'!$A$1725:$AZ$1725,1,OC_Name)="","",INDEX('OneCause_Paste'!$A$1725:$AZ$1725,1,OC_Name)))</f>
        <v/>
      </c>
      <c r="L1725">
        <f>IF(OC_Txn=0,"",IF(INDEX('OneCause_Paste'!$A$1725:$AZ$1725,1,OC_Txn)="","",INDEX('OneCause_Paste'!$A$1725:$AZ$1725,1,OC_Txn)))</f>
        <v/>
      </c>
      <c r="M1725">
        <f>IF(OC_Pay=0,"",IF(INDEX('OneCause_Paste'!$A$1725:$AZ$1725,1,OC_Pay)="","",INDEX('OneCause_Paste'!$A$1725:$AZ$1725,1,OC_Pay)))</f>
        <v/>
      </c>
      <c r="N1725">
        <f>IF(I1725="","",IF(ISNUMBER(I1725),INT(I1725),IFERROR(INT(DATEVALUE(I1725)),IFERROR(INT(VALUE(I1725)),"bad"))))</f>
        <v/>
      </c>
      <c r="O1725">
        <f>IF(J1725="","",IF(ISNUMBER(J1725),ROUND(J1725,2),IFERROR(ROUND(VALUE(SUBSTITUTE(SUBSTITUTE(SUBSTITUTE(J1725,"$",""),",","")," ","")),2),"bad")))</f>
        <v/>
      </c>
      <c r="P1725">
        <f>IF(TRIM(K1725)="","",IFERROR(MATCH(LOWER(TRIM(K1725)),'Students'!$AH$2:$AH$701,0),IFERROR(MATCH(LOWER(TRIM(K1725)),'Students'!$AF$2:$AF$701,0),IFERROR(MATCH(LOWER(TRIM(K1725)),'Students'!$AG$2:$AG$701,0),""))))</f>
        <v/>
      </c>
      <c r="R1725">
        <f>IF(P1725="","",INDEX('Students'!$AD$2:$AD$701,P1725))</f>
        <v/>
      </c>
      <c r="S1725">
        <f>IF(H1725="OK",O1725,0)</f>
        <v/>
      </c>
      <c r="T1725">
        <f>IF(H1725="OK",N1725,"")</f>
        <v/>
      </c>
      <c r="U1725">
        <f>IF(OC_Donor=0,"",IF(INDEX('OneCause_Paste'!$A$1725:$AZ$1725,1,OC_Donor)="","",INDEX('OneCause_Paste'!$A$1725:$AZ$1725,1,OC_Donor)))</f>
        <v/>
      </c>
    </row>
    <row r="1726">
      <c r="A1726" s="62">
        <f>IF(H1726="","",IF(ISNUMBER(N1726),N1726,I1726))</f>
        <v/>
      </c>
      <c r="B1726">
        <f>IF(H1726="","",U1726)</f>
        <v/>
      </c>
      <c r="C1726">
        <f>IF(H1726="","",IF(P1726="",K1726,INDEX('Students'!$A$2:$A$701,P1726)))</f>
        <v/>
      </c>
      <c r="D1726">
        <f>IF(OR(H1726="",P1726=""),"",INDEX('Students'!$B$2:$B$701,P1726))</f>
        <v/>
      </c>
      <c r="E1726">
        <f>IF(OR(H1726="",P1726=""),"",INDEX('Students'!$C$2:$C$701,P1726))</f>
        <v/>
      </c>
      <c r="F1726" s="48">
        <f>IF(H1726="","",IF(ISNUMBER(O1726),O1726,J1726))</f>
        <v/>
      </c>
      <c r="G1726">
        <f>IF(H1726="","","OneCause")</f>
        <v/>
      </c>
      <c r="H1726">
        <f>IF(AND(I1726="",J1726="",K1726=""),"",IF(NOT(ISNUMBER(O1726)),"Bad amount",IF(O1726&lt;0,"Refund (not counted)",IF(O1726=0,"Zero amount",IF(NOT(ISNUMBER(N1726)),"Bad date",IF(P1726="","NAME NOT ON ROSTER",IF(L1726="","OK",IF(MATCH(L1726,$L$2:$L$3001,0)&lt;ROW()-1,"Duplicate (ignored)","OK"))))))))</f>
        <v/>
      </c>
      <c r="I1726">
        <f>IF(OC_Date=0,"",IF(INDEX('OneCause_Paste'!$A$1726:$AZ$1726,1,OC_Date)="","",INDEX('OneCause_Paste'!$A$1726:$AZ$1726,1,OC_Date)))</f>
        <v/>
      </c>
      <c r="J1726">
        <f>IF(OC_Amt=0,"",IF(INDEX('OneCause_Paste'!$A$1726:$AZ$1726,1,OC_Amt)="","",INDEX('OneCause_Paste'!$A$1726:$AZ$1726,1,OC_Amt)))</f>
        <v/>
      </c>
      <c r="K1726">
        <f>IF(OC_Name=0,"",IF(INDEX('OneCause_Paste'!$A$1726:$AZ$1726,1,OC_Name)="","",INDEX('OneCause_Paste'!$A$1726:$AZ$1726,1,OC_Name)))</f>
        <v/>
      </c>
      <c r="L1726">
        <f>IF(OC_Txn=0,"",IF(INDEX('OneCause_Paste'!$A$1726:$AZ$1726,1,OC_Txn)="","",INDEX('OneCause_Paste'!$A$1726:$AZ$1726,1,OC_Txn)))</f>
        <v/>
      </c>
      <c r="M1726">
        <f>IF(OC_Pay=0,"",IF(INDEX('OneCause_Paste'!$A$1726:$AZ$1726,1,OC_Pay)="","",INDEX('OneCause_Paste'!$A$1726:$AZ$1726,1,OC_Pay)))</f>
        <v/>
      </c>
      <c r="N1726">
        <f>IF(I1726="","",IF(ISNUMBER(I1726),INT(I1726),IFERROR(INT(DATEVALUE(I1726)),IFERROR(INT(VALUE(I1726)),"bad"))))</f>
        <v/>
      </c>
      <c r="O1726">
        <f>IF(J1726="","",IF(ISNUMBER(J1726),ROUND(J1726,2),IFERROR(ROUND(VALUE(SUBSTITUTE(SUBSTITUTE(SUBSTITUTE(J1726,"$",""),",","")," ","")),2),"bad")))</f>
        <v/>
      </c>
      <c r="P1726">
        <f>IF(TRIM(K1726)="","",IFERROR(MATCH(LOWER(TRIM(K1726)),'Students'!$AH$2:$AH$701,0),IFERROR(MATCH(LOWER(TRIM(K1726)),'Students'!$AF$2:$AF$701,0),IFERROR(MATCH(LOWER(TRIM(K1726)),'Students'!$AG$2:$AG$701,0),""))))</f>
        <v/>
      </c>
      <c r="R1726">
        <f>IF(P1726="","",INDEX('Students'!$AD$2:$AD$701,P1726))</f>
        <v/>
      </c>
      <c r="S1726">
        <f>IF(H1726="OK",O1726,0)</f>
        <v/>
      </c>
      <c r="T1726">
        <f>IF(H1726="OK",N1726,"")</f>
        <v/>
      </c>
      <c r="U1726">
        <f>IF(OC_Donor=0,"",IF(INDEX('OneCause_Paste'!$A$1726:$AZ$1726,1,OC_Donor)="","",INDEX('OneCause_Paste'!$A$1726:$AZ$1726,1,OC_Donor)))</f>
        <v/>
      </c>
    </row>
    <row r="1727">
      <c r="A1727" s="62">
        <f>IF(H1727="","",IF(ISNUMBER(N1727),N1727,I1727))</f>
        <v/>
      </c>
      <c r="B1727">
        <f>IF(H1727="","",U1727)</f>
        <v/>
      </c>
      <c r="C1727">
        <f>IF(H1727="","",IF(P1727="",K1727,INDEX('Students'!$A$2:$A$701,P1727)))</f>
        <v/>
      </c>
      <c r="D1727">
        <f>IF(OR(H1727="",P1727=""),"",INDEX('Students'!$B$2:$B$701,P1727))</f>
        <v/>
      </c>
      <c r="E1727">
        <f>IF(OR(H1727="",P1727=""),"",INDEX('Students'!$C$2:$C$701,P1727))</f>
        <v/>
      </c>
      <c r="F1727" s="48">
        <f>IF(H1727="","",IF(ISNUMBER(O1727),O1727,J1727))</f>
        <v/>
      </c>
      <c r="G1727">
        <f>IF(H1727="","","OneCause")</f>
        <v/>
      </c>
      <c r="H1727">
        <f>IF(AND(I1727="",J1727="",K1727=""),"",IF(NOT(ISNUMBER(O1727)),"Bad amount",IF(O1727&lt;0,"Refund (not counted)",IF(O1727=0,"Zero amount",IF(NOT(ISNUMBER(N1727)),"Bad date",IF(P1727="","NAME NOT ON ROSTER",IF(L1727="","OK",IF(MATCH(L1727,$L$2:$L$3001,0)&lt;ROW()-1,"Duplicate (ignored)","OK"))))))))</f>
        <v/>
      </c>
      <c r="I1727">
        <f>IF(OC_Date=0,"",IF(INDEX('OneCause_Paste'!$A$1727:$AZ$1727,1,OC_Date)="","",INDEX('OneCause_Paste'!$A$1727:$AZ$1727,1,OC_Date)))</f>
        <v/>
      </c>
      <c r="J1727">
        <f>IF(OC_Amt=0,"",IF(INDEX('OneCause_Paste'!$A$1727:$AZ$1727,1,OC_Amt)="","",INDEX('OneCause_Paste'!$A$1727:$AZ$1727,1,OC_Amt)))</f>
        <v/>
      </c>
      <c r="K1727">
        <f>IF(OC_Name=0,"",IF(INDEX('OneCause_Paste'!$A$1727:$AZ$1727,1,OC_Name)="","",INDEX('OneCause_Paste'!$A$1727:$AZ$1727,1,OC_Name)))</f>
        <v/>
      </c>
      <c r="L1727">
        <f>IF(OC_Txn=0,"",IF(INDEX('OneCause_Paste'!$A$1727:$AZ$1727,1,OC_Txn)="","",INDEX('OneCause_Paste'!$A$1727:$AZ$1727,1,OC_Txn)))</f>
        <v/>
      </c>
      <c r="M1727">
        <f>IF(OC_Pay=0,"",IF(INDEX('OneCause_Paste'!$A$1727:$AZ$1727,1,OC_Pay)="","",INDEX('OneCause_Paste'!$A$1727:$AZ$1727,1,OC_Pay)))</f>
        <v/>
      </c>
      <c r="N1727">
        <f>IF(I1727="","",IF(ISNUMBER(I1727),INT(I1727),IFERROR(INT(DATEVALUE(I1727)),IFERROR(INT(VALUE(I1727)),"bad"))))</f>
        <v/>
      </c>
      <c r="O1727">
        <f>IF(J1727="","",IF(ISNUMBER(J1727),ROUND(J1727,2),IFERROR(ROUND(VALUE(SUBSTITUTE(SUBSTITUTE(SUBSTITUTE(J1727,"$",""),",","")," ","")),2),"bad")))</f>
        <v/>
      </c>
      <c r="P1727">
        <f>IF(TRIM(K1727)="","",IFERROR(MATCH(LOWER(TRIM(K1727)),'Students'!$AH$2:$AH$701,0),IFERROR(MATCH(LOWER(TRIM(K1727)),'Students'!$AF$2:$AF$701,0),IFERROR(MATCH(LOWER(TRIM(K1727)),'Students'!$AG$2:$AG$701,0),""))))</f>
        <v/>
      </c>
      <c r="R1727">
        <f>IF(P1727="","",INDEX('Students'!$AD$2:$AD$701,P1727))</f>
        <v/>
      </c>
      <c r="S1727">
        <f>IF(H1727="OK",O1727,0)</f>
        <v/>
      </c>
      <c r="T1727">
        <f>IF(H1727="OK",N1727,"")</f>
        <v/>
      </c>
      <c r="U1727">
        <f>IF(OC_Donor=0,"",IF(INDEX('OneCause_Paste'!$A$1727:$AZ$1727,1,OC_Donor)="","",INDEX('OneCause_Paste'!$A$1727:$AZ$1727,1,OC_Donor)))</f>
        <v/>
      </c>
    </row>
    <row r="1728">
      <c r="A1728" s="62">
        <f>IF(H1728="","",IF(ISNUMBER(N1728),N1728,I1728))</f>
        <v/>
      </c>
      <c r="B1728">
        <f>IF(H1728="","",U1728)</f>
        <v/>
      </c>
      <c r="C1728">
        <f>IF(H1728="","",IF(P1728="",K1728,INDEX('Students'!$A$2:$A$701,P1728)))</f>
        <v/>
      </c>
      <c r="D1728">
        <f>IF(OR(H1728="",P1728=""),"",INDEX('Students'!$B$2:$B$701,P1728))</f>
        <v/>
      </c>
      <c r="E1728">
        <f>IF(OR(H1728="",P1728=""),"",INDEX('Students'!$C$2:$C$701,P1728))</f>
        <v/>
      </c>
      <c r="F1728" s="48">
        <f>IF(H1728="","",IF(ISNUMBER(O1728),O1728,J1728))</f>
        <v/>
      </c>
      <c r="G1728">
        <f>IF(H1728="","","OneCause")</f>
        <v/>
      </c>
      <c r="H1728">
        <f>IF(AND(I1728="",J1728="",K1728=""),"",IF(NOT(ISNUMBER(O1728)),"Bad amount",IF(O1728&lt;0,"Refund (not counted)",IF(O1728=0,"Zero amount",IF(NOT(ISNUMBER(N1728)),"Bad date",IF(P1728="","NAME NOT ON ROSTER",IF(L1728="","OK",IF(MATCH(L1728,$L$2:$L$3001,0)&lt;ROW()-1,"Duplicate (ignored)","OK"))))))))</f>
        <v/>
      </c>
      <c r="I1728">
        <f>IF(OC_Date=0,"",IF(INDEX('OneCause_Paste'!$A$1728:$AZ$1728,1,OC_Date)="","",INDEX('OneCause_Paste'!$A$1728:$AZ$1728,1,OC_Date)))</f>
        <v/>
      </c>
      <c r="J1728">
        <f>IF(OC_Amt=0,"",IF(INDEX('OneCause_Paste'!$A$1728:$AZ$1728,1,OC_Amt)="","",INDEX('OneCause_Paste'!$A$1728:$AZ$1728,1,OC_Amt)))</f>
        <v/>
      </c>
      <c r="K1728">
        <f>IF(OC_Name=0,"",IF(INDEX('OneCause_Paste'!$A$1728:$AZ$1728,1,OC_Name)="","",INDEX('OneCause_Paste'!$A$1728:$AZ$1728,1,OC_Name)))</f>
        <v/>
      </c>
      <c r="L1728">
        <f>IF(OC_Txn=0,"",IF(INDEX('OneCause_Paste'!$A$1728:$AZ$1728,1,OC_Txn)="","",INDEX('OneCause_Paste'!$A$1728:$AZ$1728,1,OC_Txn)))</f>
        <v/>
      </c>
      <c r="M1728">
        <f>IF(OC_Pay=0,"",IF(INDEX('OneCause_Paste'!$A$1728:$AZ$1728,1,OC_Pay)="","",INDEX('OneCause_Paste'!$A$1728:$AZ$1728,1,OC_Pay)))</f>
        <v/>
      </c>
      <c r="N1728">
        <f>IF(I1728="","",IF(ISNUMBER(I1728),INT(I1728),IFERROR(INT(DATEVALUE(I1728)),IFERROR(INT(VALUE(I1728)),"bad"))))</f>
        <v/>
      </c>
      <c r="O1728">
        <f>IF(J1728="","",IF(ISNUMBER(J1728),ROUND(J1728,2),IFERROR(ROUND(VALUE(SUBSTITUTE(SUBSTITUTE(SUBSTITUTE(J1728,"$",""),",","")," ","")),2),"bad")))</f>
        <v/>
      </c>
      <c r="P1728">
        <f>IF(TRIM(K1728)="","",IFERROR(MATCH(LOWER(TRIM(K1728)),'Students'!$AH$2:$AH$701,0),IFERROR(MATCH(LOWER(TRIM(K1728)),'Students'!$AF$2:$AF$701,0),IFERROR(MATCH(LOWER(TRIM(K1728)),'Students'!$AG$2:$AG$701,0),""))))</f>
        <v/>
      </c>
      <c r="R1728">
        <f>IF(P1728="","",INDEX('Students'!$AD$2:$AD$701,P1728))</f>
        <v/>
      </c>
      <c r="S1728">
        <f>IF(H1728="OK",O1728,0)</f>
        <v/>
      </c>
      <c r="T1728">
        <f>IF(H1728="OK",N1728,"")</f>
        <v/>
      </c>
      <c r="U1728">
        <f>IF(OC_Donor=0,"",IF(INDEX('OneCause_Paste'!$A$1728:$AZ$1728,1,OC_Donor)="","",INDEX('OneCause_Paste'!$A$1728:$AZ$1728,1,OC_Donor)))</f>
        <v/>
      </c>
    </row>
    <row r="1729">
      <c r="A1729" s="62">
        <f>IF(H1729="","",IF(ISNUMBER(N1729),N1729,I1729))</f>
        <v/>
      </c>
      <c r="B1729">
        <f>IF(H1729="","",U1729)</f>
        <v/>
      </c>
      <c r="C1729">
        <f>IF(H1729="","",IF(P1729="",K1729,INDEX('Students'!$A$2:$A$701,P1729)))</f>
        <v/>
      </c>
      <c r="D1729">
        <f>IF(OR(H1729="",P1729=""),"",INDEX('Students'!$B$2:$B$701,P1729))</f>
        <v/>
      </c>
      <c r="E1729">
        <f>IF(OR(H1729="",P1729=""),"",INDEX('Students'!$C$2:$C$701,P1729))</f>
        <v/>
      </c>
      <c r="F1729" s="48">
        <f>IF(H1729="","",IF(ISNUMBER(O1729),O1729,J1729))</f>
        <v/>
      </c>
      <c r="G1729">
        <f>IF(H1729="","","OneCause")</f>
        <v/>
      </c>
      <c r="H1729">
        <f>IF(AND(I1729="",J1729="",K1729=""),"",IF(NOT(ISNUMBER(O1729)),"Bad amount",IF(O1729&lt;0,"Refund (not counted)",IF(O1729=0,"Zero amount",IF(NOT(ISNUMBER(N1729)),"Bad date",IF(P1729="","NAME NOT ON ROSTER",IF(L1729="","OK",IF(MATCH(L1729,$L$2:$L$3001,0)&lt;ROW()-1,"Duplicate (ignored)","OK"))))))))</f>
        <v/>
      </c>
      <c r="I1729">
        <f>IF(OC_Date=0,"",IF(INDEX('OneCause_Paste'!$A$1729:$AZ$1729,1,OC_Date)="","",INDEX('OneCause_Paste'!$A$1729:$AZ$1729,1,OC_Date)))</f>
        <v/>
      </c>
      <c r="J1729">
        <f>IF(OC_Amt=0,"",IF(INDEX('OneCause_Paste'!$A$1729:$AZ$1729,1,OC_Amt)="","",INDEX('OneCause_Paste'!$A$1729:$AZ$1729,1,OC_Amt)))</f>
        <v/>
      </c>
      <c r="K1729">
        <f>IF(OC_Name=0,"",IF(INDEX('OneCause_Paste'!$A$1729:$AZ$1729,1,OC_Name)="","",INDEX('OneCause_Paste'!$A$1729:$AZ$1729,1,OC_Name)))</f>
        <v/>
      </c>
      <c r="L1729">
        <f>IF(OC_Txn=0,"",IF(INDEX('OneCause_Paste'!$A$1729:$AZ$1729,1,OC_Txn)="","",INDEX('OneCause_Paste'!$A$1729:$AZ$1729,1,OC_Txn)))</f>
        <v/>
      </c>
      <c r="M1729">
        <f>IF(OC_Pay=0,"",IF(INDEX('OneCause_Paste'!$A$1729:$AZ$1729,1,OC_Pay)="","",INDEX('OneCause_Paste'!$A$1729:$AZ$1729,1,OC_Pay)))</f>
        <v/>
      </c>
      <c r="N1729">
        <f>IF(I1729="","",IF(ISNUMBER(I1729),INT(I1729),IFERROR(INT(DATEVALUE(I1729)),IFERROR(INT(VALUE(I1729)),"bad"))))</f>
        <v/>
      </c>
      <c r="O1729">
        <f>IF(J1729="","",IF(ISNUMBER(J1729),ROUND(J1729,2),IFERROR(ROUND(VALUE(SUBSTITUTE(SUBSTITUTE(SUBSTITUTE(J1729,"$",""),",","")," ","")),2),"bad")))</f>
        <v/>
      </c>
      <c r="P1729">
        <f>IF(TRIM(K1729)="","",IFERROR(MATCH(LOWER(TRIM(K1729)),'Students'!$AH$2:$AH$701,0),IFERROR(MATCH(LOWER(TRIM(K1729)),'Students'!$AF$2:$AF$701,0),IFERROR(MATCH(LOWER(TRIM(K1729)),'Students'!$AG$2:$AG$701,0),""))))</f>
        <v/>
      </c>
      <c r="R1729">
        <f>IF(P1729="","",INDEX('Students'!$AD$2:$AD$701,P1729))</f>
        <v/>
      </c>
      <c r="S1729">
        <f>IF(H1729="OK",O1729,0)</f>
        <v/>
      </c>
      <c r="T1729">
        <f>IF(H1729="OK",N1729,"")</f>
        <v/>
      </c>
      <c r="U1729">
        <f>IF(OC_Donor=0,"",IF(INDEX('OneCause_Paste'!$A$1729:$AZ$1729,1,OC_Donor)="","",INDEX('OneCause_Paste'!$A$1729:$AZ$1729,1,OC_Donor)))</f>
        <v/>
      </c>
    </row>
    <row r="1730">
      <c r="A1730" s="62">
        <f>IF(H1730="","",IF(ISNUMBER(N1730),N1730,I1730))</f>
        <v/>
      </c>
      <c r="B1730">
        <f>IF(H1730="","",U1730)</f>
        <v/>
      </c>
      <c r="C1730">
        <f>IF(H1730="","",IF(P1730="",K1730,INDEX('Students'!$A$2:$A$701,P1730)))</f>
        <v/>
      </c>
      <c r="D1730">
        <f>IF(OR(H1730="",P1730=""),"",INDEX('Students'!$B$2:$B$701,P1730))</f>
        <v/>
      </c>
      <c r="E1730">
        <f>IF(OR(H1730="",P1730=""),"",INDEX('Students'!$C$2:$C$701,P1730))</f>
        <v/>
      </c>
      <c r="F1730" s="48">
        <f>IF(H1730="","",IF(ISNUMBER(O1730),O1730,J1730))</f>
        <v/>
      </c>
      <c r="G1730">
        <f>IF(H1730="","","OneCause")</f>
        <v/>
      </c>
      <c r="H1730">
        <f>IF(AND(I1730="",J1730="",K1730=""),"",IF(NOT(ISNUMBER(O1730)),"Bad amount",IF(O1730&lt;0,"Refund (not counted)",IF(O1730=0,"Zero amount",IF(NOT(ISNUMBER(N1730)),"Bad date",IF(P1730="","NAME NOT ON ROSTER",IF(L1730="","OK",IF(MATCH(L1730,$L$2:$L$3001,0)&lt;ROW()-1,"Duplicate (ignored)","OK"))))))))</f>
        <v/>
      </c>
      <c r="I1730">
        <f>IF(OC_Date=0,"",IF(INDEX('OneCause_Paste'!$A$1730:$AZ$1730,1,OC_Date)="","",INDEX('OneCause_Paste'!$A$1730:$AZ$1730,1,OC_Date)))</f>
        <v/>
      </c>
      <c r="J1730">
        <f>IF(OC_Amt=0,"",IF(INDEX('OneCause_Paste'!$A$1730:$AZ$1730,1,OC_Amt)="","",INDEX('OneCause_Paste'!$A$1730:$AZ$1730,1,OC_Amt)))</f>
        <v/>
      </c>
      <c r="K1730">
        <f>IF(OC_Name=0,"",IF(INDEX('OneCause_Paste'!$A$1730:$AZ$1730,1,OC_Name)="","",INDEX('OneCause_Paste'!$A$1730:$AZ$1730,1,OC_Name)))</f>
        <v/>
      </c>
      <c r="L1730">
        <f>IF(OC_Txn=0,"",IF(INDEX('OneCause_Paste'!$A$1730:$AZ$1730,1,OC_Txn)="","",INDEX('OneCause_Paste'!$A$1730:$AZ$1730,1,OC_Txn)))</f>
        <v/>
      </c>
      <c r="M1730">
        <f>IF(OC_Pay=0,"",IF(INDEX('OneCause_Paste'!$A$1730:$AZ$1730,1,OC_Pay)="","",INDEX('OneCause_Paste'!$A$1730:$AZ$1730,1,OC_Pay)))</f>
        <v/>
      </c>
      <c r="N1730">
        <f>IF(I1730="","",IF(ISNUMBER(I1730),INT(I1730),IFERROR(INT(DATEVALUE(I1730)),IFERROR(INT(VALUE(I1730)),"bad"))))</f>
        <v/>
      </c>
      <c r="O1730">
        <f>IF(J1730="","",IF(ISNUMBER(J1730),ROUND(J1730,2),IFERROR(ROUND(VALUE(SUBSTITUTE(SUBSTITUTE(SUBSTITUTE(J1730,"$",""),",","")," ","")),2),"bad")))</f>
        <v/>
      </c>
      <c r="P1730">
        <f>IF(TRIM(K1730)="","",IFERROR(MATCH(LOWER(TRIM(K1730)),'Students'!$AH$2:$AH$701,0),IFERROR(MATCH(LOWER(TRIM(K1730)),'Students'!$AF$2:$AF$701,0),IFERROR(MATCH(LOWER(TRIM(K1730)),'Students'!$AG$2:$AG$701,0),""))))</f>
        <v/>
      </c>
      <c r="R1730">
        <f>IF(P1730="","",INDEX('Students'!$AD$2:$AD$701,P1730))</f>
        <v/>
      </c>
      <c r="S1730">
        <f>IF(H1730="OK",O1730,0)</f>
        <v/>
      </c>
      <c r="T1730">
        <f>IF(H1730="OK",N1730,"")</f>
        <v/>
      </c>
      <c r="U1730">
        <f>IF(OC_Donor=0,"",IF(INDEX('OneCause_Paste'!$A$1730:$AZ$1730,1,OC_Donor)="","",INDEX('OneCause_Paste'!$A$1730:$AZ$1730,1,OC_Donor)))</f>
        <v/>
      </c>
    </row>
    <row r="1731">
      <c r="A1731" s="62">
        <f>IF(H1731="","",IF(ISNUMBER(N1731),N1731,I1731))</f>
        <v/>
      </c>
      <c r="B1731">
        <f>IF(H1731="","",U1731)</f>
        <v/>
      </c>
      <c r="C1731">
        <f>IF(H1731="","",IF(P1731="",K1731,INDEX('Students'!$A$2:$A$701,P1731)))</f>
        <v/>
      </c>
      <c r="D1731">
        <f>IF(OR(H1731="",P1731=""),"",INDEX('Students'!$B$2:$B$701,P1731))</f>
        <v/>
      </c>
      <c r="E1731">
        <f>IF(OR(H1731="",P1731=""),"",INDEX('Students'!$C$2:$C$701,P1731))</f>
        <v/>
      </c>
      <c r="F1731" s="48">
        <f>IF(H1731="","",IF(ISNUMBER(O1731),O1731,J1731))</f>
        <v/>
      </c>
      <c r="G1731">
        <f>IF(H1731="","","OneCause")</f>
        <v/>
      </c>
      <c r="H1731">
        <f>IF(AND(I1731="",J1731="",K1731=""),"",IF(NOT(ISNUMBER(O1731)),"Bad amount",IF(O1731&lt;0,"Refund (not counted)",IF(O1731=0,"Zero amount",IF(NOT(ISNUMBER(N1731)),"Bad date",IF(P1731="","NAME NOT ON ROSTER",IF(L1731="","OK",IF(MATCH(L1731,$L$2:$L$3001,0)&lt;ROW()-1,"Duplicate (ignored)","OK"))))))))</f>
        <v/>
      </c>
      <c r="I1731">
        <f>IF(OC_Date=0,"",IF(INDEX('OneCause_Paste'!$A$1731:$AZ$1731,1,OC_Date)="","",INDEX('OneCause_Paste'!$A$1731:$AZ$1731,1,OC_Date)))</f>
        <v/>
      </c>
      <c r="J1731">
        <f>IF(OC_Amt=0,"",IF(INDEX('OneCause_Paste'!$A$1731:$AZ$1731,1,OC_Amt)="","",INDEX('OneCause_Paste'!$A$1731:$AZ$1731,1,OC_Amt)))</f>
        <v/>
      </c>
      <c r="K1731">
        <f>IF(OC_Name=0,"",IF(INDEX('OneCause_Paste'!$A$1731:$AZ$1731,1,OC_Name)="","",INDEX('OneCause_Paste'!$A$1731:$AZ$1731,1,OC_Name)))</f>
        <v/>
      </c>
      <c r="L1731">
        <f>IF(OC_Txn=0,"",IF(INDEX('OneCause_Paste'!$A$1731:$AZ$1731,1,OC_Txn)="","",INDEX('OneCause_Paste'!$A$1731:$AZ$1731,1,OC_Txn)))</f>
        <v/>
      </c>
      <c r="M1731">
        <f>IF(OC_Pay=0,"",IF(INDEX('OneCause_Paste'!$A$1731:$AZ$1731,1,OC_Pay)="","",INDEX('OneCause_Paste'!$A$1731:$AZ$1731,1,OC_Pay)))</f>
        <v/>
      </c>
      <c r="N1731">
        <f>IF(I1731="","",IF(ISNUMBER(I1731),INT(I1731),IFERROR(INT(DATEVALUE(I1731)),IFERROR(INT(VALUE(I1731)),"bad"))))</f>
        <v/>
      </c>
      <c r="O1731">
        <f>IF(J1731="","",IF(ISNUMBER(J1731),ROUND(J1731,2),IFERROR(ROUND(VALUE(SUBSTITUTE(SUBSTITUTE(SUBSTITUTE(J1731,"$",""),",","")," ","")),2),"bad")))</f>
        <v/>
      </c>
      <c r="P1731">
        <f>IF(TRIM(K1731)="","",IFERROR(MATCH(LOWER(TRIM(K1731)),'Students'!$AH$2:$AH$701,0),IFERROR(MATCH(LOWER(TRIM(K1731)),'Students'!$AF$2:$AF$701,0),IFERROR(MATCH(LOWER(TRIM(K1731)),'Students'!$AG$2:$AG$701,0),""))))</f>
        <v/>
      </c>
      <c r="R1731">
        <f>IF(P1731="","",INDEX('Students'!$AD$2:$AD$701,P1731))</f>
        <v/>
      </c>
      <c r="S1731">
        <f>IF(H1731="OK",O1731,0)</f>
        <v/>
      </c>
      <c r="T1731">
        <f>IF(H1731="OK",N1731,"")</f>
        <v/>
      </c>
      <c r="U1731">
        <f>IF(OC_Donor=0,"",IF(INDEX('OneCause_Paste'!$A$1731:$AZ$1731,1,OC_Donor)="","",INDEX('OneCause_Paste'!$A$1731:$AZ$1731,1,OC_Donor)))</f>
        <v/>
      </c>
    </row>
    <row r="1732">
      <c r="A1732" s="62">
        <f>IF(H1732="","",IF(ISNUMBER(N1732),N1732,I1732))</f>
        <v/>
      </c>
      <c r="B1732">
        <f>IF(H1732="","",U1732)</f>
        <v/>
      </c>
      <c r="C1732">
        <f>IF(H1732="","",IF(P1732="",K1732,INDEX('Students'!$A$2:$A$701,P1732)))</f>
        <v/>
      </c>
      <c r="D1732">
        <f>IF(OR(H1732="",P1732=""),"",INDEX('Students'!$B$2:$B$701,P1732))</f>
        <v/>
      </c>
      <c r="E1732">
        <f>IF(OR(H1732="",P1732=""),"",INDEX('Students'!$C$2:$C$701,P1732))</f>
        <v/>
      </c>
      <c r="F1732" s="48">
        <f>IF(H1732="","",IF(ISNUMBER(O1732),O1732,J1732))</f>
        <v/>
      </c>
      <c r="G1732">
        <f>IF(H1732="","","OneCause")</f>
        <v/>
      </c>
      <c r="H1732">
        <f>IF(AND(I1732="",J1732="",K1732=""),"",IF(NOT(ISNUMBER(O1732)),"Bad amount",IF(O1732&lt;0,"Refund (not counted)",IF(O1732=0,"Zero amount",IF(NOT(ISNUMBER(N1732)),"Bad date",IF(P1732="","NAME NOT ON ROSTER",IF(L1732="","OK",IF(MATCH(L1732,$L$2:$L$3001,0)&lt;ROW()-1,"Duplicate (ignored)","OK"))))))))</f>
        <v/>
      </c>
      <c r="I1732">
        <f>IF(OC_Date=0,"",IF(INDEX('OneCause_Paste'!$A$1732:$AZ$1732,1,OC_Date)="","",INDEX('OneCause_Paste'!$A$1732:$AZ$1732,1,OC_Date)))</f>
        <v/>
      </c>
      <c r="J1732">
        <f>IF(OC_Amt=0,"",IF(INDEX('OneCause_Paste'!$A$1732:$AZ$1732,1,OC_Amt)="","",INDEX('OneCause_Paste'!$A$1732:$AZ$1732,1,OC_Amt)))</f>
        <v/>
      </c>
      <c r="K1732">
        <f>IF(OC_Name=0,"",IF(INDEX('OneCause_Paste'!$A$1732:$AZ$1732,1,OC_Name)="","",INDEX('OneCause_Paste'!$A$1732:$AZ$1732,1,OC_Name)))</f>
        <v/>
      </c>
      <c r="L1732">
        <f>IF(OC_Txn=0,"",IF(INDEX('OneCause_Paste'!$A$1732:$AZ$1732,1,OC_Txn)="","",INDEX('OneCause_Paste'!$A$1732:$AZ$1732,1,OC_Txn)))</f>
        <v/>
      </c>
      <c r="M1732">
        <f>IF(OC_Pay=0,"",IF(INDEX('OneCause_Paste'!$A$1732:$AZ$1732,1,OC_Pay)="","",INDEX('OneCause_Paste'!$A$1732:$AZ$1732,1,OC_Pay)))</f>
        <v/>
      </c>
      <c r="N1732">
        <f>IF(I1732="","",IF(ISNUMBER(I1732),INT(I1732),IFERROR(INT(DATEVALUE(I1732)),IFERROR(INT(VALUE(I1732)),"bad"))))</f>
        <v/>
      </c>
      <c r="O1732">
        <f>IF(J1732="","",IF(ISNUMBER(J1732),ROUND(J1732,2),IFERROR(ROUND(VALUE(SUBSTITUTE(SUBSTITUTE(SUBSTITUTE(J1732,"$",""),",","")," ","")),2),"bad")))</f>
        <v/>
      </c>
      <c r="P1732">
        <f>IF(TRIM(K1732)="","",IFERROR(MATCH(LOWER(TRIM(K1732)),'Students'!$AH$2:$AH$701,0),IFERROR(MATCH(LOWER(TRIM(K1732)),'Students'!$AF$2:$AF$701,0),IFERROR(MATCH(LOWER(TRIM(K1732)),'Students'!$AG$2:$AG$701,0),""))))</f>
        <v/>
      </c>
      <c r="R1732">
        <f>IF(P1732="","",INDEX('Students'!$AD$2:$AD$701,P1732))</f>
        <v/>
      </c>
      <c r="S1732">
        <f>IF(H1732="OK",O1732,0)</f>
        <v/>
      </c>
      <c r="T1732">
        <f>IF(H1732="OK",N1732,"")</f>
        <v/>
      </c>
      <c r="U1732">
        <f>IF(OC_Donor=0,"",IF(INDEX('OneCause_Paste'!$A$1732:$AZ$1732,1,OC_Donor)="","",INDEX('OneCause_Paste'!$A$1732:$AZ$1732,1,OC_Donor)))</f>
        <v/>
      </c>
    </row>
    <row r="1733">
      <c r="A1733" s="62">
        <f>IF(H1733="","",IF(ISNUMBER(N1733),N1733,I1733))</f>
        <v/>
      </c>
      <c r="B1733">
        <f>IF(H1733="","",U1733)</f>
        <v/>
      </c>
      <c r="C1733">
        <f>IF(H1733="","",IF(P1733="",K1733,INDEX('Students'!$A$2:$A$701,P1733)))</f>
        <v/>
      </c>
      <c r="D1733">
        <f>IF(OR(H1733="",P1733=""),"",INDEX('Students'!$B$2:$B$701,P1733))</f>
        <v/>
      </c>
      <c r="E1733">
        <f>IF(OR(H1733="",P1733=""),"",INDEX('Students'!$C$2:$C$701,P1733))</f>
        <v/>
      </c>
      <c r="F1733" s="48">
        <f>IF(H1733="","",IF(ISNUMBER(O1733),O1733,J1733))</f>
        <v/>
      </c>
      <c r="G1733">
        <f>IF(H1733="","","OneCause")</f>
        <v/>
      </c>
      <c r="H1733">
        <f>IF(AND(I1733="",J1733="",K1733=""),"",IF(NOT(ISNUMBER(O1733)),"Bad amount",IF(O1733&lt;0,"Refund (not counted)",IF(O1733=0,"Zero amount",IF(NOT(ISNUMBER(N1733)),"Bad date",IF(P1733="","NAME NOT ON ROSTER",IF(L1733="","OK",IF(MATCH(L1733,$L$2:$L$3001,0)&lt;ROW()-1,"Duplicate (ignored)","OK"))))))))</f>
        <v/>
      </c>
      <c r="I1733">
        <f>IF(OC_Date=0,"",IF(INDEX('OneCause_Paste'!$A$1733:$AZ$1733,1,OC_Date)="","",INDEX('OneCause_Paste'!$A$1733:$AZ$1733,1,OC_Date)))</f>
        <v/>
      </c>
      <c r="J1733">
        <f>IF(OC_Amt=0,"",IF(INDEX('OneCause_Paste'!$A$1733:$AZ$1733,1,OC_Amt)="","",INDEX('OneCause_Paste'!$A$1733:$AZ$1733,1,OC_Amt)))</f>
        <v/>
      </c>
      <c r="K1733">
        <f>IF(OC_Name=0,"",IF(INDEX('OneCause_Paste'!$A$1733:$AZ$1733,1,OC_Name)="","",INDEX('OneCause_Paste'!$A$1733:$AZ$1733,1,OC_Name)))</f>
        <v/>
      </c>
      <c r="L1733">
        <f>IF(OC_Txn=0,"",IF(INDEX('OneCause_Paste'!$A$1733:$AZ$1733,1,OC_Txn)="","",INDEX('OneCause_Paste'!$A$1733:$AZ$1733,1,OC_Txn)))</f>
        <v/>
      </c>
      <c r="M1733">
        <f>IF(OC_Pay=0,"",IF(INDEX('OneCause_Paste'!$A$1733:$AZ$1733,1,OC_Pay)="","",INDEX('OneCause_Paste'!$A$1733:$AZ$1733,1,OC_Pay)))</f>
        <v/>
      </c>
      <c r="N1733">
        <f>IF(I1733="","",IF(ISNUMBER(I1733),INT(I1733),IFERROR(INT(DATEVALUE(I1733)),IFERROR(INT(VALUE(I1733)),"bad"))))</f>
        <v/>
      </c>
      <c r="O1733">
        <f>IF(J1733="","",IF(ISNUMBER(J1733),ROUND(J1733,2),IFERROR(ROUND(VALUE(SUBSTITUTE(SUBSTITUTE(SUBSTITUTE(J1733,"$",""),",","")," ","")),2),"bad")))</f>
        <v/>
      </c>
      <c r="P1733">
        <f>IF(TRIM(K1733)="","",IFERROR(MATCH(LOWER(TRIM(K1733)),'Students'!$AH$2:$AH$701,0),IFERROR(MATCH(LOWER(TRIM(K1733)),'Students'!$AF$2:$AF$701,0),IFERROR(MATCH(LOWER(TRIM(K1733)),'Students'!$AG$2:$AG$701,0),""))))</f>
        <v/>
      </c>
      <c r="R1733">
        <f>IF(P1733="","",INDEX('Students'!$AD$2:$AD$701,P1733))</f>
        <v/>
      </c>
      <c r="S1733">
        <f>IF(H1733="OK",O1733,0)</f>
        <v/>
      </c>
      <c r="T1733">
        <f>IF(H1733="OK",N1733,"")</f>
        <v/>
      </c>
      <c r="U1733">
        <f>IF(OC_Donor=0,"",IF(INDEX('OneCause_Paste'!$A$1733:$AZ$1733,1,OC_Donor)="","",INDEX('OneCause_Paste'!$A$1733:$AZ$1733,1,OC_Donor)))</f>
        <v/>
      </c>
    </row>
    <row r="1734">
      <c r="A1734" s="62">
        <f>IF(H1734="","",IF(ISNUMBER(N1734),N1734,I1734))</f>
        <v/>
      </c>
      <c r="B1734">
        <f>IF(H1734="","",U1734)</f>
        <v/>
      </c>
      <c r="C1734">
        <f>IF(H1734="","",IF(P1734="",K1734,INDEX('Students'!$A$2:$A$701,P1734)))</f>
        <v/>
      </c>
      <c r="D1734">
        <f>IF(OR(H1734="",P1734=""),"",INDEX('Students'!$B$2:$B$701,P1734))</f>
        <v/>
      </c>
      <c r="E1734">
        <f>IF(OR(H1734="",P1734=""),"",INDEX('Students'!$C$2:$C$701,P1734))</f>
        <v/>
      </c>
      <c r="F1734" s="48">
        <f>IF(H1734="","",IF(ISNUMBER(O1734),O1734,J1734))</f>
        <v/>
      </c>
      <c r="G1734">
        <f>IF(H1734="","","OneCause")</f>
        <v/>
      </c>
      <c r="H1734">
        <f>IF(AND(I1734="",J1734="",K1734=""),"",IF(NOT(ISNUMBER(O1734)),"Bad amount",IF(O1734&lt;0,"Refund (not counted)",IF(O1734=0,"Zero amount",IF(NOT(ISNUMBER(N1734)),"Bad date",IF(P1734="","NAME NOT ON ROSTER",IF(L1734="","OK",IF(MATCH(L1734,$L$2:$L$3001,0)&lt;ROW()-1,"Duplicate (ignored)","OK"))))))))</f>
        <v/>
      </c>
      <c r="I1734">
        <f>IF(OC_Date=0,"",IF(INDEX('OneCause_Paste'!$A$1734:$AZ$1734,1,OC_Date)="","",INDEX('OneCause_Paste'!$A$1734:$AZ$1734,1,OC_Date)))</f>
        <v/>
      </c>
      <c r="J1734">
        <f>IF(OC_Amt=0,"",IF(INDEX('OneCause_Paste'!$A$1734:$AZ$1734,1,OC_Amt)="","",INDEX('OneCause_Paste'!$A$1734:$AZ$1734,1,OC_Amt)))</f>
        <v/>
      </c>
      <c r="K1734">
        <f>IF(OC_Name=0,"",IF(INDEX('OneCause_Paste'!$A$1734:$AZ$1734,1,OC_Name)="","",INDEX('OneCause_Paste'!$A$1734:$AZ$1734,1,OC_Name)))</f>
        <v/>
      </c>
      <c r="L1734">
        <f>IF(OC_Txn=0,"",IF(INDEX('OneCause_Paste'!$A$1734:$AZ$1734,1,OC_Txn)="","",INDEX('OneCause_Paste'!$A$1734:$AZ$1734,1,OC_Txn)))</f>
        <v/>
      </c>
      <c r="M1734">
        <f>IF(OC_Pay=0,"",IF(INDEX('OneCause_Paste'!$A$1734:$AZ$1734,1,OC_Pay)="","",INDEX('OneCause_Paste'!$A$1734:$AZ$1734,1,OC_Pay)))</f>
        <v/>
      </c>
      <c r="N1734">
        <f>IF(I1734="","",IF(ISNUMBER(I1734),INT(I1734),IFERROR(INT(DATEVALUE(I1734)),IFERROR(INT(VALUE(I1734)),"bad"))))</f>
        <v/>
      </c>
      <c r="O1734">
        <f>IF(J1734="","",IF(ISNUMBER(J1734),ROUND(J1734,2),IFERROR(ROUND(VALUE(SUBSTITUTE(SUBSTITUTE(SUBSTITUTE(J1734,"$",""),",","")," ","")),2),"bad")))</f>
        <v/>
      </c>
      <c r="P1734">
        <f>IF(TRIM(K1734)="","",IFERROR(MATCH(LOWER(TRIM(K1734)),'Students'!$AH$2:$AH$701,0),IFERROR(MATCH(LOWER(TRIM(K1734)),'Students'!$AF$2:$AF$701,0),IFERROR(MATCH(LOWER(TRIM(K1734)),'Students'!$AG$2:$AG$701,0),""))))</f>
        <v/>
      </c>
      <c r="R1734">
        <f>IF(P1734="","",INDEX('Students'!$AD$2:$AD$701,P1734))</f>
        <v/>
      </c>
      <c r="S1734">
        <f>IF(H1734="OK",O1734,0)</f>
        <v/>
      </c>
      <c r="T1734">
        <f>IF(H1734="OK",N1734,"")</f>
        <v/>
      </c>
      <c r="U1734">
        <f>IF(OC_Donor=0,"",IF(INDEX('OneCause_Paste'!$A$1734:$AZ$1734,1,OC_Donor)="","",INDEX('OneCause_Paste'!$A$1734:$AZ$1734,1,OC_Donor)))</f>
        <v/>
      </c>
    </row>
    <row r="1735">
      <c r="A1735" s="62">
        <f>IF(H1735="","",IF(ISNUMBER(N1735),N1735,I1735))</f>
        <v/>
      </c>
      <c r="B1735">
        <f>IF(H1735="","",U1735)</f>
        <v/>
      </c>
      <c r="C1735">
        <f>IF(H1735="","",IF(P1735="",K1735,INDEX('Students'!$A$2:$A$701,P1735)))</f>
        <v/>
      </c>
      <c r="D1735">
        <f>IF(OR(H1735="",P1735=""),"",INDEX('Students'!$B$2:$B$701,P1735))</f>
        <v/>
      </c>
      <c r="E1735">
        <f>IF(OR(H1735="",P1735=""),"",INDEX('Students'!$C$2:$C$701,P1735))</f>
        <v/>
      </c>
      <c r="F1735" s="48">
        <f>IF(H1735="","",IF(ISNUMBER(O1735),O1735,J1735))</f>
        <v/>
      </c>
      <c r="G1735">
        <f>IF(H1735="","","OneCause")</f>
        <v/>
      </c>
      <c r="H1735">
        <f>IF(AND(I1735="",J1735="",K1735=""),"",IF(NOT(ISNUMBER(O1735)),"Bad amount",IF(O1735&lt;0,"Refund (not counted)",IF(O1735=0,"Zero amount",IF(NOT(ISNUMBER(N1735)),"Bad date",IF(P1735="","NAME NOT ON ROSTER",IF(L1735="","OK",IF(MATCH(L1735,$L$2:$L$3001,0)&lt;ROW()-1,"Duplicate (ignored)","OK"))))))))</f>
        <v/>
      </c>
      <c r="I1735">
        <f>IF(OC_Date=0,"",IF(INDEX('OneCause_Paste'!$A$1735:$AZ$1735,1,OC_Date)="","",INDEX('OneCause_Paste'!$A$1735:$AZ$1735,1,OC_Date)))</f>
        <v/>
      </c>
      <c r="J1735">
        <f>IF(OC_Amt=0,"",IF(INDEX('OneCause_Paste'!$A$1735:$AZ$1735,1,OC_Amt)="","",INDEX('OneCause_Paste'!$A$1735:$AZ$1735,1,OC_Amt)))</f>
        <v/>
      </c>
      <c r="K1735">
        <f>IF(OC_Name=0,"",IF(INDEX('OneCause_Paste'!$A$1735:$AZ$1735,1,OC_Name)="","",INDEX('OneCause_Paste'!$A$1735:$AZ$1735,1,OC_Name)))</f>
        <v/>
      </c>
      <c r="L1735">
        <f>IF(OC_Txn=0,"",IF(INDEX('OneCause_Paste'!$A$1735:$AZ$1735,1,OC_Txn)="","",INDEX('OneCause_Paste'!$A$1735:$AZ$1735,1,OC_Txn)))</f>
        <v/>
      </c>
      <c r="M1735">
        <f>IF(OC_Pay=0,"",IF(INDEX('OneCause_Paste'!$A$1735:$AZ$1735,1,OC_Pay)="","",INDEX('OneCause_Paste'!$A$1735:$AZ$1735,1,OC_Pay)))</f>
        <v/>
      </c>
      <c r="N1735">
        <f>IF(I1735="","",IF(ISNUMBER(I1735),INT(I1735),IFERROR(INT(DATEVALUE(I1735)),IFERROR(INT(VALUE(I1735)),"bad"))))</f>
        <v/>
      </c>
      <c r="O1735">
        <f>IF(J1735="","",IF(ISNUMBER(J1735),ROUND(J1735,2),IFERROR(ROUND(VALUE(SUBSTITUTE(SUBSTITUTE(SUBSTITUTE(J1735,"$",""),",","")," ","")),2),"bad")))</f>
        <v/>
      </c>
      <c r="P1735">
        <f>IF(TRIM(K1735)="","",IFERROR(MATCH(LOWER(TRIM(K1735)),'Students'!$AH$2:$AH$701,0),IFERROR(MATCH(LOWER(TRIM(K1735)),'Students'!$AF$2:$AF$701,0),IFERROR(MATCH(LOWER(TRIM(K1735)),'Students'!$AG$2:$AG$701,0),""))))</f>
        <v/>
      </c>
      <c r="R1735">
        <f>IF(P1735="","",INDEX('Students'!$AD$2:$AD$701,P1735))</f>
        <v/>
      </c>
      <c r="S1735">
        <f>IF(H1735="OK",O1735,0)</f>
        <v/>
      </c>
      <c r="T1735">
        <f>IF(H1735="OK",N1735,"")</f>
        <v/>
      </c>
      <c r="U1735">
        <f>IF(OC_Donor=0,"",IF(INDEX('OneCause_Paste'!$A$1735:$AZ$1735,1,OC_Donor)="","",INDEX('OneCause_Paste'!$A$1735:$AZ$1735,1,OC_Donor)))</f>
        <v/>
      </c>
    </row>
    <row r="1736">
      <c r="A1736" s="62">
        <f>IF(H1736="","",IF(ISNUMBER(N1736),N1736,I1736))</f>
        <v/>
      </c>
      <c r="B1736">
        <f>IF(H1736="","",U1736)</f>
        <v/>
      </c>
      <c r="C1736">
        <f>IF(H1736="","",IF(P1736="",K1736,INDEX('Students'!$A$2:$A$701,P1736)))</f>
        <v/>
      </c>
      <c r="D1736">
        <f>IF(OR(H1736="",P1736=""),"",INDEX('Students'!$B$2:$B$701,P1736))</f>
        <v/>
      </c>
      <c r="E1736">
        <f>IF(OR(H1736="",P1736=""),"",INDEX('Students'!$C$2:$C$701,P1736))</f>
        <v/>
      </c>
      <c r="F1736" s="48">
        <f>IF(H1736="","",IF(ISNUMBER(O1736),O1736,J1736))</f>
        <v/>
      </c>
      <c r="G1736">
        <f>IF(H1736="","","OneCause")</f>
        <v/>
      </c>
      <c r="H1736">
        <f>IF(AND(I1736="",J1736="",K1736=""),"",IF(NOT(ISNUMBER(O1736)),"Bad amount",IF(O1736&lt;0,"Refund (not counted)",IF(O1736=0,"Zero amount",IF(NOT(ISNUMBER(N1736)),"Bad date",IF(P1736="","NAME NOT ON ROSTER",IF(L1736="","OK",IF(MATCH(L1736,$L$2:$L$3001,0)&lt;ROW()-1,"Duplicate (ignored)","OK"))))))))</f>
        <v/>
      </c>
      <c r="I1736">
        <f>IF(OC_Date=0,"",IF(INDEX('OneCause_Paste'!$A$1736:$AZ$1736,1,OC_Date)="","",INDEX('OneCause_Paste'!$A$1736:$AZ$1736,1,OC_Date)))</f>
        <v/>
      </c>
      <c r="J1736">
        <f>IF(OC_Amt=0,"",IF(INDEX('OneCause_Paste'!$A$1736:$AZ$1736,1,OC_Amt)="","",INDEX('OneCause_Paste'!$A$1736:$AZ$1736,1,OC_Amt)))</f>
        <v/>
      </c>
      <c r="K1736">
        <f>IF(OC_Name=0,"",IF(INDEX('OneCause_Paste'!$A$1736:$AZ$1736,1,OC_Name)="","",INDEX('OneCause_Paste'!$A$1736:$AZ$1736,1,OC_Name)))</f>
        <v/>
      </c>
      <c r="L1736">
        <f>IF(OC_Txn=0,"",IF(INDEX('OneCause_Paste'!$A$1736:$AZ$1736,1,OC_Txn)="","",INDEX('OneCause_Paste'!$A$1736:$AZ$1736,1,OC_Txn)))</f>
        <v/>
      </c>
      <c r="M1736">
        <f>IF(OC_Pay=0,"",IF(INDEX('OneCause_Paste'!$A$1736:$AZ$1736,1,OC_Pay)="","",INDEX('OneCause_Paste'!$A$1736:$AZ$1736,1,OC_Pay)))</f>
        <v/>
      </c>
      <c r="N1736">
        <f>IF(I1736="","",IF(ISNUMBER(I1736),INT(I1736),IFERROR(INT(DATEVALUE(I1736)),IFERROR(INT(VALUE(I1736)),"bad"))))</f>
        <v/>
      </c>
      <c r="O1736">
        <f>IF(J1736="","",IF(ISNUMBER(J1736),ROUND(J1736,2),IFERROR(ROUND(VALUE(SUBSTITUTE(SUBSTITUTE(SUBSTITUTE(J1736,"$",""),",","")," ","")),2),"bad")))</f>
        <v/>
      </c>
      <c r="P1736">
        <f>IF(TRIM(K1736)="","",IFERROR(MATCH(LOWER(TRIM(K1736)),'Students'!$AH$2:$AH$701,0),IFERROR(MATCH(LOWER(TRIM(K1736)),'Students'!$AF$2:$AF$701,0),IFERROR(MATCH(LOWER(TRIM(K1736)),'Students'!$AG$2:$AG$701,0),""))))</f>
        <v/>
      </c>
      <c r="R1736">
        <f>IF(P1736="","",INDEX('Students'!$AD$2:$AD$701,P1736))</f>
        <v/>
      </c>
      <c r="S1736">
        <f>IF(H1736="OK",O1736,0)</f>
        <v/>
      </c>
      <c r="T1736">
        <f>IF(H1736="OK",N1736,"")</f>
        <v/>
      </c>
      <c r="U1736">
        <f>IF(OC_Donor=0,"",IF(INDEX('OneCause_Paste'!$A$1736:$AZ$1736,1,OC_Donor)="","",INDEX('OneCause_Paste'!$A$1736:$AZ$1736,1,OC_Donor)))</f>
        <v/>
      </c>
    </row>
    <row r="1737">
      <c r="A1737" s="62">
        <f>IF(H1737="","",IF(ISNUMBER(N1737),N1737,I1737))</f>
        <v/>
      </c>
      <c r="B1737">
        <f>IF(H1737="","",U1737)</f>
        <v/>
      </c>
      <c r="C1737">
        <f>IF(H1737="","",IF(P1737="",K1737,INDEX('Students'!$A$2:$A$701,P1737)))</f>
        <v/>
      </c>
      <c r="D1737">
        <f>IF(OR(H1737="",P1737=""),"",INDEX('Students'!$B$2:$B$701,P1737))</f>
        <v/>
      </c>
      <c r="E1737">
        <f>IF(OR(H1737="",P1737=""),"",INDEX('Students'!$C$2:$C$701,P1737))</f>
        <v/>
      </c>
      <c r="F1737" s="48">
        <f>IF(H1737="","",IF(ISNUMBER(O1737),O1737,J1737))</f>
        <v/>
      </c>
      <c r="G1737">
        <f>IF(H1737="","","OneCause")</f>
        <v/>
      </c>
      <c r="H1737">
        <f>IF(AND(I1737="",J1737="",K1737=""),"",IF(NOT(ISNUMBER(O1737)),"Bad amount",IF(O1737&lt;0,"Refund (not counted)",IF(O1737=0,"Zero amount",IF(NOT(ISNUMBER(N1737)),"Bad date",IF(P1737="","NAME NOT ON ROSTER",IF(L1737="","OK",IF(MATCH(L1737,$L$2:$L$3001,0)&lt;ROW()-1,"Duplicate (ignored)","OK"))))))))</f>
        <v/>
      </c>
      <c r="I1737">
        <f>IF(OC_Date=0,"",IF(INDEX('OneCause_Paste'!$A$1737:$AZ$1737,1,OC_Date)="","",INDEX('OneCause_Paste'!$A$1737:$AZ$1737,1,OC_Date)))</f>
        <v/>
      </c>
      <c r="J1737">
        <f>IF(OC_Amt=0,"",IF(INDEX('OneCause_Paste'!$A$1737:$AZ$1737,1,OC_Amt)="","",INDEX('OneCause_Paste'!$A$1737:$AZ$1737,1,OC_Amt)))</f>
        <v/>
      </c>
      <c r="K1737">
        <f>IF(OC_Name=0,"",IF(INDEX('OneCause_Paste'!$A$1737:$AZ$1737,1,OC_Name)="","",INDEX('OneCause_Paste'!$A$1737:$AZ$1737,1,OC_Name)))</f>
        <v/>
      </c>
      <c r="L1737">
        <f>IF(OC_Txn=0,"",IF(INDEX('OneCause_Paste'!$A$1737:$AZ$1737,1,OC_Txn)="","",INDEX('OneCause_Paste'!$A$1737:$AZ$1737,1,OC_Txn)))</f>
        <v/>
      </c>
      <c r="M1737">
        <f>IF(OC_Pay=0,"",IF(INDEX('OneCause_Paste'!$A$1737:$AZ$1737,1,OC_Pay)="","",INDEX('OneCause_Paste'!$A$1737:$AZ$1737,1,OC_Pay)))</f>
        <v/>
      </c>
      <c r="N1737">
        <f>IF(I1737="","",IF(ISNUMBER(I1737),INT(I1737),IFERROR(INT(DATEVALUE(I1737)),IFERROR(INT(VALUE(I1737)),"bad"))))</f>
        <v/>
      </c>
      <c r="O1737">
        <f>IF(J1737="","",IF(ISNUMBER(J1737),ROUND(J1737,2),IFERROR(ROUND(VALUE(SUBSTITUTE(SUBSTITUTE(SUBSTITUTE(J1737,"$",""),",","")," ","")),2),"bad")))</f>
        <v/>
      </c>
      <c r="P1737">
        <f>IF(TRIM(K1737)="","",IFERROR(MATCH(LOWER(TRIM(K1737)),'Students'!$AH$2:$AH$701,0),IFERROR(MATCH(LOWER(TRIM(K1737)),'Students'!$AF$2:$AF$701,0),IFERROR(MATCH(LOWER(TRIM(K1737)),'Students'!$AG$2:$AG$701,0),""))))</f>
        <v/>
      </c>
      <c r="R1737">
        <f>IF(P1737="","",INDEX('Students'!$AD$2:$AD$701,P1737))</f>
        <v/>
      </c>
      <c r="S1737">
        <f>IF(H1737="OK",O1737,0)</f>
        <v/>
      </c>
      <c r="T1737">
        <f>IF(H1737="OK",N1737,"")</f>
        <v/>
      </c>
      <c r="U1737">
        <f>IF(OC_Donor=0,"",IF(INDEX('OneCause_Paste'!$A$1737:$AZ$1737,1,OC_Donor)="","",INDEX('OneCause_Paste'!$A$1737:$AZ$1737,1,OC_Donor)))</f>
        <v/>
      </c>
    </row>
    <row r="1738">
      <c r="A1738" s="62">
        <f>IF(H1738="","",IF(ISNUMBER(N1738),N1738,I1738))</f>
        <v/>
      </c>
      <c r="B1738">
        <f>IF(H1738="","",U1738)</f>
        <v/>
      </c>
      <c r="C1738">
        <f>IF(H1738="","",IF(P1738="",K1738,INDEX('Students'!$A$2:$A$701,P1738)))</f>
        <v/>
      </c>
      <c r="D1738">
        <f>IF(OR(H1738="",P1738=""),"",INDEX('Students'!$B$2:$B$701,P1738))</f>
        <v/>
      </c>
      <c r="E1738">
        <f>IF(OR(H1738="",P1738=""),"",INDEX('Students'!$C$2:$C$701,P1738))</f>
        <v/>
      </c>
      <c r="F1738" s="48">
        <f>IF(H1738="","",IF(ISNUMBER(O1738),O1738,J1738))</f>
        <v/>
      </c>
      <c r="G1738">
        <f>IF(H1738="","","OneCause")</f>
        <v/>
      </c>
      <c r="H1738">
        <f>IF(AND(I1738="",J1738="",K1738=""),"",IF(NOT(ISNUMBER(O1738)),"Bad amount",IF(O1738&lt;0,"Refund (not counted)",IF(O1738=0,"Zero amount",IF(NOT(ISNUMBER(N1738)),"Bad date",IF(P1738="","NAME NOT ON ROSTER",IF(L1738="","OK",IF(MATCH(L1738,$L$2:$L$3001,0)&lt;ROW()-1,"Duplicate (ignored)","OK"))))))))</f>
        <v/>
      </c>
      <c r="I1738">
        <f>IF(OC_Date=0,"",IF(INDEX('OneCause_Paste'!$A$1738:$AZ$1738,1,OC_Date)="","",INDEX('OneCause_Paste'!$A$1738:$AZ$1738,1,OC_Date)))</f>
        <v/>
      </c>
      <c r="J1738">
        <f>IF(OC_Amt=0,"",IF(INDEX('OneCause_Paste'!$A$1738:$AZ$1738,1,OC_Amt)="","",INDEX('OneCause_Paste'!$A$1738:$AZ$1738,1,OC_Amt)))</f>
        <v/>
      </c>
      <c r="K1738">
        <f>IF(OC_Name=0,"",IF(INDEX('OneCause_Paste'!$A$1738:$AZ$1738,1,OC_Name)="","",INDEX('OneCause_Paste'!$A$1738:$AZ$1738,1,OC_Name)))</f>
        <v/>
      </c>
      <c r="L1738">
        <f>IF(OC_Txn=0,"",IF(INDEX('OneCause_Paste'!$A$1738:$AZ$1738,1,OC_Txn)="","",INDEX('OneCause_Paste'!$A$1738:$AZ$1738,1,OC_Txn)))</f>
        <v/>
      </c>
      <c r="M1738">
        <f>IF(OC_Pay=0,"",IF(INDEX('OneCause_Paste'!$A$1738:$AZ$1738,1,OC_Pay)="","",INDEX('OneCause_Paste'!$A$1738:$AZ$1738,1,OC_Pay)))</f>
        <v/>
      </c>
      <c r="N1738">
        <f>IF(I1738="","",IF(ISNUMBER(I1738),INT(I1738),IFERROR(INT(DATEVALUE(I1738)),IFERROR(INT(VALUE(I1738)),"bad"))))</f>
        <v/>
      </c>
      <c r="O1738">
        <f>IF(J1738="","",IF(ISNUMBER(J1738),ROUND(J1738,2),IFERROR(ROUND(VALUE(SUBSTITUTE(SUBSTITUTE(SUBSTITUTE(J1738,"$",""),",","")," ","")),2),"bad")))</f>
        <v/>
      </c>
      <c r="P1738">
        <f>IF(TRIM(K1738)="","",IFERROR(MATCH(LOWER(TRIM(K1738)),'Students'!$AH$2:$AH$701,0),IFERROR(MATCH(LOWER(TRIM(K1738)),'Students'!$AF$2:$AF$701,0),IFERROR(MATCH(LOWER(TRIM(K1738)),'Students'!$AG$2:$AG$701,0),""))))</f>
        <v/>
      </c>
      <c r="R1738">
        <f>IF(P1738="","",INDEX('Students'!$AD$2:$AD$701,P1738))</f>
        <v/>
      </c>
      <c r="S1738">
        <f>IF(H1738="OK",O1738,0)</f>
        <v/>
      </c>
      <c r="T1738">
        <f>IF(H1738="OK",N1738,"")</f>
        <v/>
      </c>
      <c r="U1738">
        <f>IF(OC_Donor=0,"",IF(INDEX('OneCause_Paste'!$A$1738:$AZ$1738,1,OC_Donor)="","",INDEX('OneCause_Paste'!$A$1738:$AZ$1738,1,OC_Donor)))</f>
        <v/>
      </c>
    </row>
    <row r="1739">
      <c r="A1739" s="62">
        <f>IF(H1739="","",IF(ISNUMBER(N1739),N1739,I1739))</f>
        <v/>
      </c>
      <c r="B1739">
        <f>IF(H1739="","",U1739)</f>
        <v/>
      </c>
      <c r="C1739">
        <f>IF(H1739="","",IF(P1739="",K1739,INDEX('Students'!$A$2:$A$701,P1739)))</f>
        <v/>
      </c>
      <c r="D1739">
        <f>IF(OR(H1739="",P1739=""),"",INDEX('Students'!$B$2:$B$701,P1739))</f>
        <v/>
      </c>
      <c r="E1739">
        <f>IF(OR(H1739="",P1739=""),"",INDEX('Students'!$C$2:$C$701,P1739))</f>
        <v/>
      </c>
      <c r="F1739" s="48">
        <f>IF(H1739="","",IF(ISNUMBER(O1739),O1739,J1739))</f>
        <v/>
      </c>
      <c r="G1739">
        <f>IF(H1739="","","OneCause")</f>
        <v/>
      </c>
      <c r="H1739">
        <f>IF(AND(I1739="",J1739="",K1739=""),"",IF(NOT(ISNUMBER(O1739)),"Bad amount",IF(O1739&lt;0,"Refund (not counted)",IF(O1739=0,"Zero amount",IF(NOT(ISNUMBER(N1739)),"Bad date",IF(P1739="","NAME NOT ON ROSTER",IF(L1739="","OK",IF(MATCH(L1739,$L$2:$L$3001,0)&lt;ROW()-1,"Duplicate (ignored)","OK"))))))))</f>
        <v/>
      </c>
      <c r="I1739">
        <f>IF(OC_Date=0,"",IF(INDEX('OneCause_Paste'!$A$1739:$AZ$1739,1,OC_Date)="","",INDEX('OneCause_Paste'!$A$1739:$AZ$1739,1,OC_Date)))</f>
        <v/>
      </c>
      <c r="J1739">
        <f>IF(OC_Amt=0,"",IF(INDEX('OneCause_Paste'!$A$1739:$AZ$1739,1,OC_Amt)="","",INDEX('OneCause_Paste'!$A$1739:$AZ$1739,1,OC_Amt)))</f>
        <v/>
      </c>
      <c r="K1739">
        <f>IF(OC_Name=0,"",IF(INDEX('OneCause_Paste'!$A$1739:$AZ$1739,1,OC_Name)="","",INDEX('OneCause_Paste'!$A$1739:$AZ$1739,1,OC_Name)))</f>
        <v/>
      </c>
      <c r="L1739">
        <f>IF(OC_Txn=0,"",IF(INDEX('OneCause_Paste'!$A$1739:$AZ$1739,1,OC_Txn)="","",INDEX('OneCause_Paste'!$A$1739:$AZ$1739,1,OC_Txn)))</f>
        <v/>
      </c>
      <c r="M1739">
        <f>IF(OC_Pay=0,"",IF(INDEX('OneCause_Paste'!$A$1739:$AZ$1739,1,OC_Pay)="","",INDEX('OneCause_Paste'!$A$1739:$AZ$1739,1,OC_Pay)))</f>
        <v/>
      </c>
      <c r="N1739">
        <f>IF(I1739="","",IF(ISNUMBER(I1739),INT(I1739),IFERROR(INT(DATEVALUE(I1739)),IFERROR(INT(VALUE(I1739)),"bad"))))</f>
        <v/>
      </c>
      <c r="O1739">
        <f>IF(J1739="","",IF(ISNUMBER(J1739),ROUND(J1739,2),IFERROR(ROUND(VALUE(SUBSTITUTE(SUBSTITUTE(SUBSTITUTE(J1739,"$",""),",","")," ","")),2),"bad")))</f>
        <v/>
      </c>
      <c r="P1739">
        <f>IF(TRIM(K1739)="","",IFERROR(MATCH(LOWER(TRIM(K1739)),'Students'!$AH$2:$AH$701,0),IFERROR(MATCH(LOWER(TRIM(K1739)),'Students'!$AF$2:$AF$701,0),IFERROR(MATCH(LOWER(TRIM(K1739)),'Students'!$AG$2:$AG$701,0),""))))</f>
        <v/>
      </c>
      <c r="R1739">
        <f>IF(P1739="","",INDEX('Students'!$AD$2:$AD$701,P1739))</f>
        <v/>
      </c>
      <c r="S1739">
        <f>IF(H1739="OK",O1739,0)</f>
        <v/>
      </c>
      <c r="T1739">
        <f>IF(H1739="OK",N1739,"")</f>
        <v/>
      </c>
      <c r="U1739">
        <f>IF(OC_Donor=0,"",IF(INDEX('OneCause_Paste'!$A$1739:$AZ$1739,1,OC_Donor)="","",INDEX('OneCause_Paste'!$A$1739:$AZ$1739,1,OC_Donor)))</f>
        <v/>
      </c>
    </row>
    <row r="1740">
      <c r="A1740" s="62">
        <f>IF(H1740="","",IF(ISNUMBER(N1740),N1740,I1740))</f>
        <v/>
      </c>
      <c r="B1740">
        <f>IF(H1740="","",U1740)</f>
        <v/>
      </c>
      <c r="C1740">
        <f>IF(H1740="","",IF(P1740="",K1740,INDEX('Students'!$A$2:$A$701,P1740)))</f>
        <v/>
      </c>
      <c r="D1740">
        <f>IF(OR(H1740="",P1740=""),"",INDEX('Students'!$B$2:$B$701,P1740))</f>
        <v/>
      </c>
      <c r="E1740">
        <f>IF(OR(H1740="",P1740=""),"",INDEX('Students'!$C$2:$C$701,P1740))</f>
        <v/>
      </c>
      <c r="F1740" s="48">
        <f>IF(H1740="","",IF(ISNUMBER(O1740),O1740,J1740))</f>
        <v/>
      </c>
      <c r="G1740">
        <f>IF(H1740="","","OneCause")</f>
        <v/>
      </c>
      <c r="H1740">
        <f>IF(AND(I1740="",J1740="",K1740=""),"",IF(NOT(ISNUMBER(O1740)),"Bad amount",IF(O1740&lt;0,"Refund (not counted)",IF(O1740=0,"Zero amount",IF(NOT(ISNUMBER(N1740)),"Bad date",IF(P1740="","NAME NOT ON ROSTER",IF(L1740="","OK",IF(MATCH(L1740,$L$2:$L$3001,0)&lt;ROW()-1,"Duplicate (ignored)","OK"))))))))</f>
        <v/>
      </c>
      <c r="I1740">
        <f>IF(OC_Date=0,"",IF(INDEX('OneCause_Paste'!$A$1740:$AZ$1740,1,OC_Date)="","",INDEX('OneCause_Paste'!$A$1740:$AZ$1740,1,OC_Date)))</f>
        <v/>
      </c>
      <c r="J1740">
        <f>IF(OC_Amt=0,"",IF(INDEX('OneCause_Paste'!$A$1740:$AZ$1740,1,OC_Amt)="","",INDEX('OneCause_Paste'!$A$1740:$AZ$1740,1,OC_Amt)))</f>
        <v/>
      </c>
      <c r="K1740">
        <f>IF(OC_Name=0,"",IF(INDEX('OneCause_Paste'!$A$1740:$AZ$1740,1,OC_Name)="","",INDEX('OneCause_Paste'!$A$1740:$AZ$1740,1,OC_Name)))</f>
        <v/>
      </c>
      <c r="L1740">
        <f>IF(OC_Txn=0,"",IF(INDEX('OneCause_Paste'!$A$1740:$AZ$1740,1,OC_Txn)="","",INDEX('OneCause_Paste'!$A$1740:$AZ$1740,1,OC_Txn)))</f>
        <v/>
      </c>
      <c r="M1740">
        <f>IF(OC_Pay=0,"",IF(INDEX('OneCause_Paste'!$A$1740:$AZ$1740,1,OC_Pay)="","",INDEX('OneCause_Paste'!$A$1740:$AZ$1740,1,OC_Pay)))</f>
        <v/>
      </c>
      <c r="N1740">
        <f>IF(I1740="","",IF(ISNUMBER(I1740),INT(I1740),IFERROR(INT(DATEVALUE(I1740)),IFERROR(INT(VALUE(I1740)),"bad"))))</f>
        <v/>
      </c>
      <c r="O1740">
        <f>IF(J1740="","",IF(ISNUMBER(J1740),ROUND(J1740,2),IFERROR(ROUND(VALUE(SUBSTITUTE(SUBSTITUTE(SUBSTITUTE(J1740,"$",""),",","")," ","")),2),"bad")))</f>
        <v/>
      </c>
      <c r="P1740">
        <f>IF(TRIM(K1740)="","",IFERROR(MATCH(LOWER(TRIM(K1740)),'Students'!$AH$2:$AH$701,0),IFERROR(MATCH(LOWER(TRIM(K1740)),'Students'!$AF$2:$AF$701,0),IFERROR(MATCH(LOWER(TRIM(K1740)),'Students'!$AG$2:$AG$701,0),""))))</f>
        <v/>
      </c>
      <c r="R1740">
        <f>IF(P1740="","",INDEX('Students'!$AD$2:$AD$701,P1740))</f>
        <v/>
      </c>
      <c r="S1740">
        <f>IF(H1740="OK",O1740,0)</f>
        <v/>
      </c>
      <c r="T1740">
        <f>IF(H1740="OK",N1740,"")</f>
        <v/>
      </c>
      <c r="U1740">
        <f>IF(OC_Donor=0,"",IF(INDEX('OneCause_Paste'!$A$1740:$AZ$1740,1,OC_Donor)="","",INDEX('OneCause_Paste'!$A$1740:$AZ$1740,1,OC_Donor)))</f>
        <v/>
      </c>
    </row>
    <row r="1741">
      <c r="A1741" s="62">
        <f>IF(H1741="","",IF(ISNUMBER(N1741),N1741,I1741))</f>
        <v/>
      </c>
      <c r="B1741">
        <f>IF(H1741="","",U1741)</f>
        <v/>
      </c>
      <c r="C1741">
        <f>IF(H1741="","",IF(P1741="",K1741,INDEX('Students'!$A$2:$A$701,P1741)))</f>
        <v/>
      </c>
      <c r="D1741">
        <f>IF(OR(H1741="",P1741=""),"",INDEX('Students'!$B$2:$B$701,P1741))</f>
        <v/>
      </c>
      <c r="E1741">
        <f>IF(OR(H1741="",P1741=""),"",INDEX('Students'!$C$2:$C$701,P1741))</f>
        <v/>
      </c>
      <c r="F1741" s="48">
        <f>IF(H1741="","",IF(ISNUMBER(O1741),O1741,J1741))</f>
        <v/>
      </c>
      <c r="G1741">
        <f>IF(H1741="","","OneCause")</f>
        <v/>
      </c>
      <c r="H1741">
        <f>IF(AND(I1741="",J1741="",K1741=""),"",IF(NOT(ISNUMBER(O1741)),"Bad amount",IF(O1741&lt;0,"Refund (not counted)",IF(O1741=0,"Zero amount",IF(NOT(ISNUMBER(N1741)),"Bad date",IF(P1741="","NAME NOT ON ROSTER",IF(L1741="","OK",IF(MATCH(L1741,$L$2:$L$3001,0)&lt;ROW()-1,"Duplicate (ignored)","OK"))))))))</f>
        <v/>
      </c>
      <c r="I1741">
        <f>IF(OC_Date=0,"",IF(INDEX('OneCause_Paste'!$A$1741:$AZ$1741,1,OC_Date)="","",INDEX('OneCause_Paste'!$A$1741:$AZ$1741,1,OC_Date)))</f>
        <v/>
      </c>
      <c r="J1741">
        <f>IF(OC_Amt=0,"",IF(INDEX('OneCause_Paste'!$A$1741:$AZ$1741,1,OC_Amt)="","",INDEX('OneCause_Paste'!$A$1741:$AZ$1741,1,OC_Amt)))</f>
        <v/>
      </c>
      <c r="K1741">
        <f>IF(OC_Name=0,"",IF(INDEX('OneCause_Paste'!$A$1741:$AZ$1741,1,OC_Name)="","",INDEX('OneCause_Paste'!$A$1741:$AZ$1741,1,OC_Name)))</f>
        <v/>
      </c>
      <c r="L1741">
        <f>IF(OC_Txn=0,"",IF(INDEX('OneCause_Paste'!$A$1741:$AZ$1741,1,OC_Txn)="","",INDEX('OneCause_Paste'!$A$1741:$AZ$1741,1,OC_Txn)))</f>
        <v/>
      </c>
      <c r="M1741">
        <f>IF(OC_Pay=0,"",IF(INDEX('OneCause_Paste'!$A$1741:$AZ$1741,1,OC_Pay)="","",INDEX('OneCause_Paste'!$A$1741:$AZ$1741,1,OC_Pay)))</f>
        <v/>
      </c>
      <c r="N1741">
        <f>IF(I1741="","",IF(ISNUMBER(I1741),INT(I1741),IFERROR(INT(DATEVALUE(I1741)),IFERROR(INT(VALUE(I1741)),"bad"))))</f>
        <v/>
      </c>
      <c r="O1741">
        <f>IF(J1741="","",IF(ISNUMBER(J1741),ROUND(J1741,2),IFERROR(ROUND(VALUE(SUBSTITUTE(SUBSTITUTE(SUBSTITUTE(J1741,"$",""),",","")," ","")),2),"bad")))</f>
        <v/>
      </c>
      <c r="P1741">
        <f>IF(TRIM(K1741)="","",IFERROR(MATCH(LOWER(TRIM(K1741)),'Students'!$AH$2:$AH$701,0),IFERROR(MATCH(LOWER(TRIM(K1741)),'Students'!$AF$2:$AF$701,0),IFERROR(MATCH(LOWER(TRIM(K1741)),'Students'!$AG$2:$AG$701,0),""))))</f>
        <v/>
      </c>
      <c r="R1741">
        <f>IF(P1741="","",INDEX('Students'!$AD$2:$AD$701,P1741))</f>
        <v/>
      </c>
      <c r="S1741">
        <f>IF(H1741="OK",O1741,0)</f>
        <v/>
      </c>
      <c r="T1741">
        <f>IF(H1741="OK",N1741,"")</f>
        <v/>
      </c>
      <c r="U1741">
        <f>IF(OC_Donor=0,"",IF(INDEX('OneCause_Paste'!$A$1741:$AZ$1741,1,OC_Donor)="","",INDEX('OneCause_Paste'!$A$1741:$AZ$1741,1,OC_Donor)))</f>
        <v/>
      </c>
    </row>
    <row r="1742">
      <c r="A1742" s="62">
        <f>IF(H1742="","",IF(ISNUMBER(N1742),N1742,I1742))</f>
        <v/>
      </c>
      <c r="B1742">
        <f>IF(H1742="","",U1742)</f>
        <v/>
      </c>
      <c r="C1742">
        <f>IF(H1742="","",IF(P1742="",K1742,INDEX('Students'!$A$2:$A$701,P1742)))</f>
        <v/>
      </c>
      <c r="D1742">
        <f>IF(OR(H1742="",P1742=""),"",INDEX('Students'!$B$2:$B$701,P1742))</f>
        <v/>
      </c>
      <c r="E1742">
        <f>IF(OR(H1742="",P1742=""),"",INDEX('Students'!$C$2:$C$701,P1742))</f>
        <v/>
      </c>
      <c r="F1742" s="48">
        <f>IF(H1742="","",IF(ISNUMBER(O1742),O1742,J1742))</f>
        <v/>
      </c>
      <c r="G1742">
        <f>IF(H1742="","","OneCause")</f>
        <v/>
      </c>
      <c r="H1742">
        <f>IF(AND(I1742="",J1742="",K1742=""),"",IF(NOT(ISNUMBER(O1742)),"Bad amount",IF(O1742&lt;0,"Refund (not counted)",IF(O1742=0,"Zero amount",IF(NOT(ISNUMBER(N1742)),"Bad date",IF(P1742="","NAME NOT ON ROSTER",IF(L1742="","OK",IF(MATCH(L1742,$L$2:$L$3001,0)&lt;ROW()-1,"Duplicate (ignored)","OK"))))))))</f>
        <v/>
      </c>
      <c r="I1742">
        <f>IF(OC_Date=0,"",IF(INDEX('OneCause_Paste'!$A$1742:$AZ$1742,1,OC_Date)="","",INDEX('OneCause_Paste'!$A$1742:$AZ$1742,1,OC_Date)))</f>
        <v/>
      </c>
      <c r="J1742">
        <f>IF(OC_Amt=0,"",IF(INDEX('OneCause_Paste'!$A$1742:$AZ$1742,1,OC_Amt)="","",INDEX('OneCause_Paste'!$A$1742:$AZ$1742,1,OC_Amt)))</f>
        <v/>
      </c>
      <c r="K1742">
        <f>IF(OC_Name=0,"",IF(INDEX('OneCause_Paste'!$A$1742:$AZ$1742,1,OC_Name)="","",INDEX('OneCause_Paste'!$A$1742:$AZ$1742,1,OC_Name)))</f>
        <v/>
      </c>
      <c r="L1742">
        <f>IF(OC_Txn=0,"",IF(INDEX('OneCause_Paste'!$A$1742:$AZ$1742,1,OC_Txn)="","",INDEX('OneCause_Paste'!$A$1742:$AZ$1742,1,OC_Txn)))</f>
        <v/>
      </c>
      <c r="M1742">
        <f>IF(OC_Pay=0,"",IF(INDEX('OneCause_Paste'!$A$1742:$AZ$1742,1,OC_Pay)="","",INDEX('OneCause_Paste'!$A$1742:$AZ$1742,1,OC_Pay)))</f>
        <v/>
      </c>
      <c r="N1742">
        <f>IF(I1742="","",IF(ISNUMBER(I1742),INT(I1742),IFERROR(INT(DATEVALUE(I1742)),IFERROR(INT(VALUE(I1742)),"bad"))))</f>
        <v/>
      </c>
      <c r="O1742">
        <f>IF(J1742="","",IF(ISNUMBER(J1742),ROUND(J1742,2),IFERROR(ROUND(VALUE(SUBSTITUTE(SUBSTITUTE(SUBSTITUTE(J1742,"$",""),",","")," ","")),2),"bad")))</f>
        <v/>
      </c>
      <c r="P1742">
        <f>IF(TRIM(K1742)="","",IFERROR(MATCH(LOWER(TRIM(K1742)),'Students'!$AH$2:$AH$701,0),IFERROR(MATCH(LOWER(TRIM(K1742)),'Students'!$AF$2:$AF$701,0),IFERROR(MATCH(LOWER(TRIM(K1742)),'Students'!$AG$2:$AG$701,0),""))))</f>
        <v/>
      </c>
      <c r="R1742">
        <f>IF(P1742="","",INDEX('Students'!$AD$2:$AD$701,P1742))</f>
        <v/>
      </c>
      <c r="S1742">
        <f>IF(H1742="OK",O1742,0)</f>
        <v/>
      </c>
      <c r="T1742">
        <f>IF(H1742="OK",N1742,"")</f>
        <v/>
      </c>
      <c r="U1742">
        <f>IF(OC_Donor=0,"",IF(INDEX('OneCause_Paste'!$A$1742:$AZ$1742,1,OC_Donor)="","",INDEX('OneCause_Paste'!$A$1742:$AZ$1742,1,OC_Donor)))</f>
        <v/>
      </c>
    </row>
    <row r="1743">
      <c r="A1743" s="62">
        <f>IF(H1743="","",IF(ISNUMBER(N1743),N1743,I1743))</f>
        <v/>
      </c>
      <c r="B1743">
        <f>IF(H1743="","",U1743)</f>
        <v/>
      </c>
      <c r="C1743">
        <f>IF(H1743="","",IF(P1743="",K1743,INDEX('Students'!$A$2:$A$701,P1743)))</f>
        <v/>
      </c>
      <c r="D1743">
        <f>IF(OR(H1743="",P1743=""),"",INDEX('Students'!$B$2:$B$701,P1743))</f>
        <v/>
      </c>
      <c r="E1743">
        <f>IF(OR(H1743="",P1743=""),"",INDEX('Students'!$C$2:$C$701,P1743))</f>
        <v/>
      </c>
      <c r="F1743" s="48">
        <f>IF(H1743="","",IF(ISNUMBER(O1743),O1743,J1743))</f>
        <v/>
      </c>
      <c r="G1743">
        <f>IF(H1743="","","OneCause")</f>
        <v/>
      </c>
      <c r="H1743">
        <f>IF(AND(I1743="",J1743="",K1743=""),"",IF(NOT(ISNUMBER(O1743)),"Bad amount",IF(O1743&lt;0,"Refund (not counted)",IF(O1743=0,"Zero amount",IF(NOT(ISNUMBER(N1743)),"Bad date",IF(P1743="","NAME NOT ON ROSTER",IF(L1743="","OK",IF(MATCH(L1743,$L$2:$L$3001,0)&lt;ROW()-1,"Duplicate (ignored)","OK"))))))))</f>
        <v/>
      </c>
      <c r="I1743">
        <f>IF(OC_Date=0,"",IF(INDEX('OneCause_Paste'!$A$1743:$AZ$1743,1,OC_Date)="","",INDEX('OneCause_Paste'!$A$1743:$AZ$1743,1,OC_Date)))</f>
        <v/>
      </c>
      <c r="J1743">
        <f>IF(OC_Amt=0,"",IF(INDEX('OneCause_Paste'!$A$1743:$AZ$1743,1,OC_Amt)="","",INDEX('OneCause_Paste'!$A$1743:$AZ$1743,1,OC_Amt)))</f>
        <v/>
      </c>
      <c r="K1743">
        <f>IF(OC_Name=0,"",IF(INDEX('OneCause_Paste'!$A$1743:$AZ$1743,1,OC_Name)="","",INDEX('OneCause_Paste'!$A$1743:$AZ$1743,1,OC_Name)))</f>
        <v/>
      </c>
      <c r="L1743">
        <f>IF(OC_Txn=0,"",IF(INDEX('OneCause_Paste'!$A$1743:$AZ$1743,1,OC_Txn)="","",INDEX('OneCause_Paste'!$A$1743:$AZ$1743,1,OC_Txn)))</f>
        <v/>
      </c>
      <c r="M1743">
        <f>IF(OC_Pay=0,"",IF(INDEX('OneCause_Paste'!$A$1743:$AZ$1743,1,OC_Pay)="","",INDEX('OneCause_Paste'!$A$1743:$AZ$1743,1,OC_Pay)))</f>
        <v/>
      </c>
      <c r="N1743">
        <f>IF(I1743="","",IF(ISNUMBER(I1743),INT(I1743),IFERROR(INT(DATEVALUE(I1743)),IFERROR(INT(VALUE(I1743)),"bad"))))</f>
        <v/>
      </c>
      <c r="O1743">
        <f>IF(J1743="","",IF(ISNUMBER(J1743),ROUND(J1743,2),IFERROR(ROUND(VALUE(SUBSTITUTE(SUBSTITUTE(SUBSTITUTE(J1743,"$",""),",","")," ","")),2),"bad")))</f>
        <v/>
      </c>
      <c r="P1743">
        <f>IF(TRIM(K1743)="","",IFERROR(MATCH(LOWER(TRIM(K1743)),'Students'!$AH$2:$AH$701,0),IFERROR(MATCH(LOWER(TRIM(K1743)),'Students'!$AF$2:$AF$701,0),IFERROR(MATCH(LOWER(TRIM(K1743)),'Students'!$AG$2:$AG$701,0),""))))</f>
        <v/>
      </c>
      <c r="R1743">
        <f>IF(P1743="","",INDEX('Students'!$AD$2:$AD$701,P1743))</f>
        <v/>
      </c>
      <c r="S1743">
        <f>IF(H1743="OK",O1743,0)</f>
        <v/>
      </c>
      <c r="T1743">
        <f>IF(H1743="OK",N1743,"")</f>
        <v/>
      </c>
      <c r="U1743">
        <f>IF(OC_Donor=0,"",IF(INDEX('OneCause_Paste'!$A$1743:$AZ$1743,1,OC_Donor)="","",INDEX('OneCause_Paste'!$A$1743:$AZ$1743,1,OC_Donor)))</f>
        <v/>
      </c>
    </row>
    <row r="1744">
      <c r="A1744" s="62">
        <f>IF(H1744="","",IF(ISNUMBER(N1744),N1744,I1744))</f>
        <v/>
      </c>
      <c r="B1744">
        <f>IF(H1744="","",U1744)</f>
        <v/>
      </c>
      <c r="C1744">
        <f>IF(H1744="","",IF(P1744="",K1744,INDEX('Students'!$A$2:$A$701,P1744)))</f>
        <v/>
      </c>
      <c r="D1744">
        <f>IF(OR(H1744="",P1744=""),"",INDEX('Students'!$B$2:$B$701,P1744))</f>
        <v/>
      </c>
      <c r="E1744">
        <f>IF(OR(H1744="",P1744=""),"",INDEX('Students'!$C$2:$C$701,P1744))</f>
        <v/>
      </c>
      <c r="F1744" s="48">
        <f>IF(H1744="","",IF(ISNUMBER(O1744),O1744,J1744))</f>
        <v/>
      </c>
      <c r="G1744">
        <f>IF(H1744="","","OneCause")</f>
        <v/>
      </c>
      <c r="H1744">
        <f>IF(AND(I1744="",J1744="",K1744=""),"",IF(NOT(ISNUMBER(O1744)),"Bad amount",IF(O1744&lt;0,"Refund (not counted)",IF(O1744=0,"Zero amount",IF(NOT(ISNUMBER(N1744)),"Bad date",IF(P1744="","NAME NOT ON ROSTER",IF(L1744="","OK",IF(MATCH(L1744,$L$2:$L$3001,0)&lt;ROW()-1,"Duplicate (ignored)","OK"))))))))</f>
        <v/>
      </c>
      <c r="I1744">
        <f>IF(OC_Date=0,"",IF(INDEX('OneCause_Paste'!$A$1744:$AZ$1744,1,OC_Date)="","",INDEX('OneCause_Paste'!$A$1744:$AZ$1744,1,OC_Date)))</f>
        <v/>
      </c>
      <c r="J1744">
        <f>IF(OC_Amt=0,"",IF(INDEX('OneCause_Paste'!$A$1744:$AZ$1744,1,OC_Amt)="","",INDEX('OneCause_Paste'!$A$1744:$AZ$1744,1,OC_Amt)))</f>
        <v/>
      </c>
      <c r="K1744">
        <f>IF(OC_Name=0,"",IF(INDEX('OneCause_Paste'!$A$1744:$AZ$1744,1,OC_Name)="","",INDEX('OneCause_Paste'!$A$1744:$AZ$1744,1,OC_Name)))</f>
        <v/>
      </c>
      <c r="L1744">
        <f>IF(OC_Txn=0,"",IF(INDEX('OneCause_Paste'!$A$1744:$AZ$1744,1,OC_Txn)="","",INDEX('OneCause_Paste'!$A$1744:$AZ$1744,1,OC_Txn)))</f>
        <v/>
      </c>
      <c r="M1744">
        <f>IF(OC_Pay=0,"",IF(INDEX('OneCause_Paste'!$A$1744:$AZ$1744,1,OC_Pay)="","",INDEX('OneCause_Paste'!$A$1744:$AZ$1744,1,OC_Pay)))</f>
        <v/>
      </c>
      <c r="N1744">
        <f>IF(I1744="","",IF(ISNUMBER(I1744),INT(I1744),IFERROR(INT(DATEVALUE(I1744)),IFERROR(INT(VALUE(I1744)),"bad"))))</f>
        <v/>
      </c>
      <c r="O1744">
        <f>IF(J1744="","",IF(ISNUMBER(J1744),ROUND(J1744,2),IFERROR(ROUND(VALUE(SUBSTITUTE(SUBSTITUTE(SUBSTITUTE(J1744,"$",""),",","")," ","")),2),"bad")))</f>
        <v/>
      </c>
      <c r="P1744">
        <f>IF(TRIM(K1744)="","",IFERROR(MATCH(LOWER(TRIM(K1744)),'Students'!$AH$2:$AH$701,0),IFERROR(MATCH(LOWER(TRIM(K1744)),'Students'!$AF$2:$AF$701,0),IFERROR(MATCH(LOWER(TRIM(K1744)),'Students'!$AG$2:$AG$701,0),""))))</f>
        <v/>
      </c>
      <c r="R1744">
        <f>IF(P1744="","",INDEX('Students'!$AD$2:$AD$701,P1744))</f>
        <v/>
      </c>
      <c r="S1744">
        <f>IF(H1744="OK",O1744,0)</f>
        <v/>
      </c>
      <c r="T1744">
        <f>IF(H1744="OK",N1744,"")</f>
        <v/>
      </c>
      <c r="U1744">
        <f>IF(OC_Donor=0,"",IF(INDEX('OneCause_Paste'!$A$1744:$AZ$1744,1,OC_Donor)="","",INDEX('OneCause_Paste'!$A$1744:$AZ$1744,1,OC_Donor)))</f>
        <v/>
      </c>
    </row>
    <row r="1745">
      <c r="A1745" s="62">
        <f>IF(H1745="","",IF(ISNUMBER(N1745),N1745,I1745))</f>
        <v/>
      </c>
      <c r="B1745">
        <f>IF(H1745="","",U1745)</f>
        <v/>
      </c>
      <c r="C1745">
        <f>IF(H1745="","",IF(P1745="",K1745,INDEX('Students'!$A$2:$A$701,P1745)))</f>
        <v/>
      </c>
      <c r="D1745">
        <f>IF(OR(H1745="",P1745=""),"",INDEX('Students'!$B$2:$B$701,P1745))</f>
        <v/>
      </c>
      <c r="E1745">
        <f>IF(OR(H1745="",P1745=""),"",INDEX('Students'!$C$2:$C$701,P1745))</f>
        <v/>
      </c>
      <c r="F1745" s="48">
        <f>IF(H1745="","",IF(ISNUMBER(O1745),O1745,J1745))</f>
        <v/>
      </c>
      <c r="G1745">
        <f>IF(H1745="","","OneCause")</f>
        <v/>
      </c>
      <c r="H1745">
        <f>IF(AND(I1745="",J1745="",K1745=""),"",IF(NOT(ISNUMBER(O1745)),"Bad amount",IF(O1745&lt;0,"Refund (not counted)",IF(O1745=0,"Zero amount",IF(NOT(ISNUMBER(N1745)),"Bad date",IF(P1745="","NAME NOT ON ROSTER",IF(L1745="","OK",IF(MATCH(L1745,$L$2:$L$3001,0)&lt;ROW()-1,"Duplicate (ignored)","OK"))))))))</f>
        <v/>
      </c>
      <c r="I1745">
        <f>IF(OC_Date=0,"",IF(INDEX('OneCause_Paste'!$A$1745:$AZ$1745,1,OC_Date)="","",INDEX('OneCause_Paste'!$A$1745:$AZ$1745,1,OC_Date)))</f>
        <v/>
      </c>
      <c r="J1745">
        <f>IF(OC_Amt=0,"",IF(INDEX('OneCause_Paste'!$A$1745:$AZ$1745,1,OC_Amt)="","",INDEX('OneCause_Paste'!$A$1745:$AZ$1745,1,OC_Amt)))</f>
        <v/>
      </c>
      <c r="K1745">
        <f>IF(OC_Name=0,"",IF(INDEX('OneCause_Paste'!$A$1745:$AZ$1745,1,OC_Name)="","",INDEX('OneCause_Paste'!$A$1745:$AZ$1745,1,OC_Name)))</f>
        <v/>
      </c>
      <c r="L1745">
        <f>IF(OC_Txn=0,"",IF(INDEX('OneCause_Paste'!$A$1745:$AZ$1745,1,OC_Txn)="","",INDEX('OneCause_Paste'!$A$1745:$AZ$1745,1,OC_Txn)))</f>
        <v/>
      </c>
      <c r="M1745">
        <f>IF(OC_Pay=0,"",IF(INDEX('OneCause_Paste'!$A$1745:$AZ$1745,1,OC_Pay)="","",INDEX('OneCause_Paste'!$A$1745:$AZ$1745,1,OC_Pay)))</f>
        <v/>
      </c>
      <c r="N1745">
        <f>IF(I1745="","",IF(ISNUMBER(I1745),INT(I1745),IFERROR(INT(DATEVALUE(I1745)),IFERROR(INT(VALUE(I1745)),"bad"))))</f>
        <v/>
      </c>
      <c r="O1745">
        <f>IF(J1745="","",IF(ISNUMBER(J1745),ROUND(J1745,2),IFERROR(ROUND(VALUE(SUBSTITUTE(SUBSTITUTE(SUBSTITUTE(J1745,"$",""),",","")," ","")),2),"bad")))</f>
        <v/>
      </c>
      <c r="P1745">
        <f>IF(TRIM(K1745)="","",IFERROR(MATCH(LOWER(TRIM(K1745)),'Students'!$AH$2:$AH$701,0),IFERROR(MATCH(LOWER(TRIM(K1745)),'Students'!$AF$2:$AF$701,0),IFERROR(MATCH(LOWER(TRIM(K1745)),'Students'!$AG$2:$AG$701,0),""))))</f>
        <v/>
      </c>
      <c r="R1745">
        <f>IF(P1745="","",INDEX('Students'!$AD$2:$AD$701,P1745))</f>
        <v/>
      </c>
      <c r="S1745">
        <f>IF(H1745="OK",O1745,0)</f>
        <v/>
      </c>
      <c r="T1745">
        <f>IF(H1745="OK",N1745,"")</f>
        <v/>
      </c>
      <c r="U1745">
        <f>IF(OC_Donor=0,"",IF(INDEX('OneCause_Paste'!$A$1745:$AZ$1745,1,OC_Donor)="","",INDEX('OneCause_Paste'!$A$1745:$AZ$1745,1,OC_Donor)))</f>
        <v/>
      </c>
    </row>
    <row r="1746">
      <c r="A1746" s="62">
        <f>IF(H1746="","",IF(ISNUMBER(N1746),N1746,I1746))</f>
        <v/>
      </c>
      <c r="B1746">
        <f>IF(H1746="","",U1746)</f>
        <v/>
      </c>
      <c r="C1746">
        <f>IF(H1746="","",IF(P1746="",K1746,INDEX('Students'!$A$2:$A$701,P1746)))</f>
        <v/>
      </c>
      <c r="D1746">
        <f>IF(OR(H1746="",P1746=""),"",INDEX('Students'!$B$2:$B$701,P1746))</f>
        <v/>
      </c>
      <c r="E1746">
        <f>IF(OR(H1746="",P1746=""),"",INDEX('Students'!$C$2:$C$701,P1746))</f>
        <v/>
      </c>
      <c r="F1746" s="48">
        <f>IF(H1746="","",IF(ISNUMBER(O1746),O1746,J1746))</f>
        <v/>
      </c>
      <c r="G1746">
        <f>IF(H1746="","","OneCause")</f>
        <v/>
      </c>
      <c r="H1746">
        <f>IF(AND(I1746="",J1746="",K1746=""),"",IF(NOT(ISNUMBER(O1746)),"Bad amount",IF(O1746&lt;0,"Refund (not counted)",IF(O1746=0,"Zero amount",IF(NOT(ISNUMBER(N1746)),"Bad date",IF(P1746="","NAME NOT ON ROSTER",IF(L1746="","OK",IF(MATCH(L1746,$L$2:$L$3001,0)&lt;ROW()-1,"Duplicate (ignored)","OK"))))))))</f>
        <v/>
      </c>
      <c r="I1746">
        <f>IF(OC_Date=0,"",IF(INDEX('OneCause_Paste'!$A$1746:$AZ$1746,1,OC_Date)="","",INDEX('OneCause_Paste'!$A$1746:$AZ$1746,1,OC_Date)))</f>
        <v/>
      </c>
      <c r="J1746">
        <f>IF(OC_Amt=0,"",IF(INDEX('OneCause_Paste'!$A$1746:$AZ$1746,1,OC_Amt)="","",INDEX('OneCause_Paste'!$A$1746:$AZ$1746,1,OC_Amt)))</f>
        <v/>
      </c>
      <c r="K1746">
        <f>IF(OC_Name=0,"",IF(INDEX('OneCause_Paste'!$A$1746:$AZ$1746,1,OC_Name)="","",INDEX('OneCause_Paste'!$A$1746:$AZ$1746,1,OC_Name)))</f>
        <v/>
      </c>
      <c r="L1746">
        <f>IF(OC_Txn=0,"",IF(INDEX('OneCause_Paste'!$A$1746:$AZ$1746,1,OC_Txn)="","",INDEX('OneCause_Paste'!$A$1746:$AZ$1746,1,OC_Txn)))</f>
        <v/>
      </c>
      <c r="M1746">
        <f>IF(OC_Pay=0,"",IF(INDEX('OneCause_Paste'!$A$1746:$AZ$1746,1,OC_Pay)="","",INDEX('OneCause_Paste'!$A$1746:$AZ$1746,1,OC_Pay)))</f>
        <v/>
      </c>
      <c r="N1746">
        <f>IF(I1746="","",IF(ISNUMBER(I1746),INT(I1746),IFERROR(INT(DATEVALUE(I1746)),IFERROR(INT(VALUE(I1746)),"bad"))))</f>
        <v/>
      </c>
      <c r="O1746">
        <f>IF(J1746="","",IF(ISNUMBER(J1746),ROUND(J1746,2),IFERROR(ROUND(VALUE(SUBSTITUTE(SUBSTITUTE(SUBSTITUTE(J1746,"$",""),",","")," ","")),2),"bad")))</f>
        <v/>
      </c>
      <c r="P1746">
        <f>IF(TRIM(K1746)="","",IFERROR(MATCH(LOWER(TRIM(K1746)),'Students'!$AH$2:$AH$701,0),IFERROR(MATCH(LOWER(TRIM(K1746)),'Students'!$AF$2:$AF$701,0),IFERROR(MATCH(LOWER(TRIM(K1746)),'Students'!$AG$2:$AG$701,0),""))))</f>
        <v/>
      </c>
      <c r="R1746">
        <f>IF(P1746="","",INDEX('Students'!$AD$2:$AD$701,P1746))</f>
        <v/>
      </c>
      <c r="S1746">
        <f>IF(H1746="OK",O1746,0)</f>
        <v/>
      </c>
      <c r="T1746">
        <f>IF(H1746="OK",N1746,"")</f>
        <v/>
      </c>
      <c r="U1746">
        <f>IF(OC_Donor=0,"",IF(INDEX('OneCause_Paste'!$A$1746:$AZ$1746,1,OC_Donor)="","",INDEX('OneCause_Paste'!$A$1746:$AZ$1746,1,OC_Donor)))</f>
        <v/>
      </c>
    </row>
    <row r="1747">
      <c r="A1747" s="62">
        <f>IF(H1747="","",IF(ISNUMBER(N1747),N1747,I1747))</f>
        <v/>
      </c>
      <c r="B1747">
        <f>IF(H1747="","",U1747)</f>
        <v/>
      </c>
      <c r="C1747">
        <f>IF(H1747="","",IF(P1747="",K1747,INDEX('Students'!$A$2:$A$701,P1747)))</f>
        <v/>
      </c>
      <c r="D1747">
        <f>IF(OR(H1747="",P1747=""),"",INDEX('Students'!$B$2:$B$701,P1747))</f>
        <v/>
      </c>
      <c r="E1747">
        <f>IF(OR(H1747="",P1747=""),"",INDEX('Students'!$C$2:$C$701,P1747))</f>
        <v/>
      </c>
      <c r="F1747" s="48">
        <f>IF(H1747="","",IF(ISNUMBER(O1747),O1747,J1747))</f>
        <v/>
      </c>
      <c r="G1747">
        <f>IF(H1747="","","OneCause")</f>
        <v/>
      </c>
      <c r="H1747">
        <f>IF(AND(I1747="",J1747="",K1747=""),"",IF(NOT(ISNUMBER(O1747)),"Bad amount",IF(O1747&lt;0,"Refund (not counted)",IF(O1747=0,"Zero amount",IF(NOT(ISNUMBER(N1747)),"Bad date",IF(P1747="","NAME NOT ON ROSTER",IF(L1747="","OK",IF(MATCH(L1747,$L$2:$L$3001,0)&lt;ROW()-1,"Duplicate (ignored)","OK"))))))))</f>
        <v/>
      </c>
      <c r="I1747">
        <f>IF(OC_Date=0,"",IF(INDEX('OneCause_Paste'!$A$1747:$AZ$1747,1,OC_Date)="","",INDEX('OneCause_Paste'!$A$1747:$AZ$1747,1,OC_Date)))</f>
        <v/>
      </c>
      <c r="J1747">
        <f>IF(OC_Amt=0,"",IF(INDEX('OneCause_Paste'!$A$1747:$AZ$1747,1,OC_Amt)="","",INDEX('OneCause_Paste'!$A$1747:$AZ$1747,1,OC_Amt)))</f>
        <v/>
      </c>
      <c r="K1747">
        <f>IF(OC_Name=0,"",IF(INDEX('OneCause_Paste'!$A$1747:$AZ$1747,1,OC_Name)="","",INDEX('OneCause_Paste'!$A$1747:$AZ$1747,1,OC_Name)))</f>
        <v/>
      </c>
      <c r="L1747">
        <f>IF(OC_Txn=0,"",IF(INDEX('OneCause_Paste'!$A$1747:$AZ$1747,1,OC_Txn)="","",INDEX('OneCause_Paste'!$A$1747:$AZ$1747,1,OC_Txn)))</f>
        <v/>
      </c>
      <c r="M1747">
        <f>IF(OC_Pay=0,"",IF(INDEX('OneCause_Paste'!$A$1747:$AZ$1747,1,OC_Pay)="","",INDEX('OneCause_Paste'!$A$1747:$AZ$1747,1,OC_Pay)))</f>
        <v/>
      </c>
      <c r="N1747">
        <f>IF(I1747="","",IF(ISNUMBER(I1747),INT(I1747),IFERROR(INT(DATEVALUE(I1747)),IFERROR(INT(VALUE(I1747)),"bad"))))</f>
        <v/>
      </c>
      <c r="O1747">
        <f>IF(J1747="","",IF(ISNUMBER(J1747),ROUND(J1747,2),IFERROR(ROUND(VALUE(SUBSTITUTE(SUBSTITUTE(SUBSTITUTE(J1747,"$",""),",","")," ","")),2),"bad")))</f>
        <v/>
      </c>
      <c r="P1747">
        <f>IF(TRIM(K1747)="","",IFERROR(MATCH(LOWER(TRIM(K1747)),'Students'!$AH$2:$AH$701,0),IFERROR(MATCH(LOWER(TRIM(K1747)),'Students'!$AF$2:$AF$701,0),IFERROR(MATCH(LOWER(TRIM(K1747)),'Students'!$AG$2:$AG$701,0),""))))</f>
        <v/>
      </c>
      <c r="R1747">
        <f>IF(P1747="","",INDEX('Students'!$AD$2:$AD$701,P1747))</f>
        <v/>
      </c>
      <c r="S1747">
        <f>IF(H1747="OK",O1747,0)</f>
        <v/>
      </c>
      <c r="T1747">
        <f>IF(H1747="OK",N1747,"")</f>
        <v/>
      </c>
      <c r="U1747">
        <f>IF(OC_Donor=0,"",IF(INDEX('OneCause_Paste'!$A$1747:$AZ$1747,1,OC_Donor)="","",INDEX('OneCause_Paste'!$A$1747:$AZ$1747,1,OC_Donor)))</f>
        <v/>
      </c>
    </row>
    <row r="1748">
      <c r="A1748" s="62">
        <f>IF(H1748="","",IF(ISNUMBER(N1748),N1748,I1748))</f>
        <v/>
      </c>
      <c r="B1748">
        <f>IF(H1748="","",U1748)</f>
        <v/>
      </c>
      <c r="C1748">
        <f>IF(H1748="","",IF(P1748="",K1748,INDEX('Students'!$A$2:$A$701,P1748)))</f>
        <v/>
      </c>
      <c r="D1748">
        <f>IF(OR(H1748="",P1748=""),"",INDEX('Students'!$B$2:$B$701,P1748))</f>
        <v/>
      </c>
      <c r="E1748">
        <f>IF(OR(H1748="",P1748=""),"",INDEX('Students'!$C$2:$C$701,P1748))</f>
        <v/>
      </c>
      <c r="F1748" s="48">
        <f>IF(H1748="","",IF(ISNUMBER(O1748),O1748,J1748))</f>
        <v/>
      </c>
      <c r="G1748">
        <f>IF(H1748="","","OneCause")</f>
        <v/>
      </c>
      <c r="H1748">
        <f>IF(AND(I1748="",J1748="",K1748=""),"",IF(NOT(ISNUMBER(O1748)),"Bad amount",IF(O1748&lt;0,"Refund (not counted)",IF(O1748=0,"Zero amount",IF(NOT(ISNUMBER(N1748)),"Bad date",IF(P1748="","NAME NOT ON ROSTER",IF(L1748="","OK",IF(MATCH(L1748,$L$2:$L$3001,0)&lt;ROW()-1,"Duplicate (ignored)","OK"))))))))</f>
        <v/>
      </c>
      <c r="I1748">
        <f>IF(OC_Date=0,"",IF(INDEX('OneCause_Paste'!$A$1748:$AZ$1748,1,OC_Date)="","",INDEX('OneCause_Paste'!$A$1748:$AZ$1748,1,OC_Date)))</f>
        <v/>
      </c>
      <c r="J1748">
        <f>IF(OC_Amt=0,"",IF(INDEX('OneCause_Paste'!$A$1748:$AZ$1748,1,OC_Amt)="","",INDEX('OneCause_Paste'!$A$1748:$AZ$1748,1,OC_Amt)))</f>
        <v/>
      </c>
      <c r="K1748">
        <f>IF(OC_Name=0,"",IF(INDEX('OneCause_Paste'!$A$1748:$AZ$1748,1,OC_Name)="","",INDEX('OneCause_Paste'!$A$1748:$AZ$1748,1,OC_Name)))</f>
        <v/>
      </c>
      <c r="L1748">
        <f>IF(OC_Txn=0,"",IF(INDEX('OneCause_Paste'!$A$1748:$AZ$1748,1,OC_Txn)="","",INDEX('OneCause_Paste'!$A$1748:$AZ$1748,1,OC_Txn)))</f>
        <v/>
      </c>
      <c r="M1748">
        <f>IF(OC_Pay=0,"",IF(INDEX('OneCause_Paste'!$A$1748:$AZ$1748,1,OC_Pay)="","",INDEX('OneCause_Paste'!$A$1748:$AZ$1748,1,OC_Pay)))</f>
        <v/>
      </c>
      <c r="N1748">
        <f>IF(I1748="","",IF(ISNUMBER(I1748),INT(I1748),IFERROR(INT(DATEVALUE(I1748)),IFERROR(INT(VALUE(I1748)),"bad"))))</f>
        <v/>
      </c>
      <c r="O1748">
        <f>IF(J1748="","",IF(ISNUMBER(J1748),ROUND(J1748,2),IFERROR(ROUND(VALUE(SUBSTITUTE(SUBSTITUTE(SUBSTITUTE(J1748,"$",""),",","")," ","")),2),"bad")))</f>
        <v/>
      </c>
      <c r="P1748">
        <f>IF(TRIM(K1748)="","",IFERROR(MATCH(LOWER(TRIM(K1748)),'Students'!$AH$2:$AH$701,0),IFERROR(MATCH(LOWER(TRIM(K1748)),'Students'!$AF$2:$AF$701,0),IFERROR(MATCH(LOWER(TRIM(K1748)),'Students'!$AG$2:$AG$701,0),""))))</f>
        <v/>
      </c>
      <c r="R1748">
        <f>IF(P1748="","",INDEX('Students'!$AD$2:$AD$701,P1748))</f>
        <v/>
      </c>
      <c r="S1748">
        <f>IF(H1748="OK",O1748,0)</f>
        <v/>
      </c>
      <c r="T1748">
        <f>IF(H1748="OK",N1748,"")</f>
        <v/>
      </c>
      <c r="U1748">
        <f>IF(OC_Donor=0,"",IF(INDEX('OneCause_Paste'!$A$1748:$AZ$1748,1,OC_Donor)="","",INDEX('OneCause_Paste'!$A$1748:$AZ$1748,1,OC_Donor)))</f>
        <v/>
      </c>
    </row>
    <row r="1749">
      <c r="A1749" s="62">
        <f>IF(H1749="","",IF(ISNUMBER(N1749),N1749,I1749))</f>
        <v/>
      </c>
      <c r="B1749">
        <f>IF(H1749="","",U1749)</f>
        <v/>
      </c>
      <c r="C1749">
        <f>IF(H1749="","",IF(P1749="",K1749,INDEX('Students'!$A$2:$A$701,P1749)))</f>
        <v/>
      </c>
      <c r="D1749">
        <f>IF(OR(H1749="",P1749=""),"",INDEX('Students'!$B$2:$B$701,P1749))</f>
        <v/>
      </c>
      <c r="E1749">
        <f>IF(OR(H1749="",P1749=""),"",INDEX('Students'!$C$2:$C$701,P1749))</f>
        <v/>
      </c>
      <c r="F1749" s="48">
        <f>IF(H1749="","",IF(ISNUMBER(O1749),O1749,J1749))</f>
        <v/>
      </c>
      <c r="G1749">
        <f>IF(H1749="","","OneCause")</f>
        <v/>
      </c>
      <c r="H1749">
        <f>IF(AND(I1749="",J1749="",K1749=""),"",IF(NOT(ISNUMBER(O1749)),"Bad amount",IF(O1749&lt;0,"Refund (not counted)",IF(O1749=0,"Zero amount",IF(NOT(ISNUMBER(N1749)),"Bad date",IF(P1749="","NAME NOT ON ROSTER",IF(L1749="","OK",IF(MATCH(L1749,$L$2:$L$3001,0)&lt;ROW()-1,"Duplicate (ignored)","OK"))))))))</f>
        <v/>
      </c>
      <c r="I1749">
        <f>IF(OC_Date=0,"",IF(INDEX('OneCause_Paste'!$A$1749:$AZ$1749,1,OC_Date)="","",INDEX('OneCause_Paste'!$A$1749:$AZ$1749,1,OC_Date)))</f>
        <v/>
      </c>
      <c r="J1749">
        <f>IF(OC_Amt=0,"",IF(INDEX('OneCause_Paste'!$A$1749:$AZ$1749,1,OC_Amt)="","",INDEX('OneCause_Paste'!$A$1749:$AZ$1749,1,OC_Amt)))</f>
        <v/>
      </c>
      <c r="K1749">
        <f>IF(OC_Name=0,"",IF(INDEX('OneCause_Paste'!$A$1749:$AZ$1749,1,OC_Name)="","",INDEX('OneCause_Paste'!$A$1749:$AZ$1749,1,OC_Name)))</f>
        <v/>
      </c>
      <c r="L1749">
        <f>IF(OC_Txn=0,"",IF(INDEX('OneCause_Paste'!$A$1749:$AZ$1749,1,OC_Txn)="","",INDEX('OneCause_Paste'!$A$1749:$AZ$1749,1,OC_Txn)))</f>
        <v/>
      </c>
      <c r="M1749">
        <f>IF(OC_Pay=0,"",IF(INDEX('OneCause_Paste'!$A$1749:$AZ$1749,1,OC_Pay)="","",INDEX('OneCause_Paste'!$A$1749:$AZ$1749,1,OC_Pay)))</f>
        <v/>
      </c>
      <c r="N1749">
        <f>IF(I1749="","",IF(ISNUMBER(I1749),INT(I1749),IFERROR(INT(DATEVALUE(I1749)),IFERROR(INT(VALUE(I1749)),"bad"))))</f>
        <v/>
      </c>
      <c r="O1749">
        <f>IF(J1749="","",IF(ISNUMBER(J1749),ROUND(J1749,2),IFERROR(ROUND(VALUE(SUBSTITUTE(SUBSTITUTE(SUBSTITUTE(J1749,"$",""),",","")," ","")),2),"bad")))</f>
        <v/>
      </c>
      <c r="P1749">
        <f>IF(TRIM(K1749)="","",IFERROR(MATCH(LOWER(TRIM(K1749)),'Students'!$AH$2:$AH$701,0),IFERROR(MATCH(LOWER(TRIM(K1749)),'Students'!$AF$2:$AF$701,0),IFERROR(MATCH(LOWER(TRIM(K1749)),'Students'!$AG$2:$AG$701,0),""))))</f>
        <v/>
      </c>
      <c r="R1749">
        <f>IF(P1749="","",INDEX('Students'!$AD$2:$AD$701,P1749))</f>
        <v/>
      </c>
      <c r="S1749">
        <f>IF(H1749="OK",O1749,0)</f>
        <v/>
      </c>
      <c r="T1749">
        <f>IF(H1749="OK",N1749,"")</f>
        <v/>
      </c>
      <c r="U1749">
        <f>IF(OC_Donor=0,"",IF(INDEX('OneCause_Paste'!$A$1749:$AZ$1749,1,OC_Donor)="","",INDEX('OneCause_Paste'!$A$1749:$AZ$1749,1,OC_Donor)))</f>
        <v/>
      </c>
    </row>
    <row r="1750">
      <c r="A1750" s="62">
        <f>IF(H1750="","",IF(ISNUMBER(N1750),N1750,I1750))</f>
        <v/>
      </c>
      <c r="B1750">
        <f>IF(H1750="","",U1750)</f>
        <v/>
      </c>
      <c r="C1750">
        <f>IF(H1750="","",IF(P1750="",K1750,INDEX('Students'!$A$2:$A$701,P1750)))</f>
        <v/>
      </c>
      <c r="D1750">
        <f>IF(OR(H1750="",P1750=""),"",INDEX('Students'!$B$2:$B$701,P1750))</f>
        <v/>
      </c>
      <c r="E1750">
        <f>IF(OR(H1750="",P1750=""),"",INDEX('Students'!$C$2:$C$701,P1750))</f>
        <v/>
      </c>
      <c r="F1750" s="48">
        <f>IF(H1750="","",IF(ISNUMBER(O1750),O1750,J1750))</f>
        <v/>
      </c>
      <c r="G1750">
        <f>IF(H1750="","","OneCause")</f>
        <v/>
      </c>
      <c r="H1750">
        <f>IF(AND(I1750="",J1750="",K1750=""),"",IF(NOT(ISNUMBER(O1750)),"Bad amount",IF(O1750&lt;0,"Refund (not counted)",IF(O1750=0,"Zero amount",IF(NOT(ISNUMBER(N1750)),"Bad date",IF(P1750="","NAME NOT ON ROSTER",IF(L1750="","OK",IF(MATCH(L1750,$L$2:$L$3001,0)&lt;ROW()-1,"Duplicate (ignored)","OK"))))))))</f>
        <v/>
      </c>
      <c r="I1750">
        <f>IF(OC_Date=0,"",IF(INDEX('OneCause_Paste'!$A$1750:$AZ$1750,1,OC_Date)="","",INDEX('OneCause_Paste'!$A$1750:$AZ$1750,1,OC_Date)))</f>
        <v/>
      </c>
      <c r="J1750">
        <f>IF(OC_Amt=0,"",IF(INDEX('OneCause_Paste'!$A$1750:$AZ$1750,1,OC_Amt)="","",INDEX('OneCause_Paste'!$A$1750:$AZ$1750,1,OC_Amt)))</f>
        <v/>
      </c>
      <c r="K1750">
        <f>IF(OC_Name=0,"",IF(INDEX('OneCause_Paste'!$A$1750:$AZ$1750,1,OC_Name)="","",INDEX('OneCause_Paste'!$A$1750:$AZ$1750,1,OC_Name)))</f>
        <v/>
      </c>
      <c r="L1750">
        <f>IF(OC_Txn=0,"",IF(INDEX('OneCause_Paste'!$A$1750:$AZ$1750,1,OC_Txn)="","",INDEX('OneCause_Paste'!$A$1750:$AZ$1750,1,OC_Txn)))</f>
        <v/>
      </c>
      <c r="M1750">
        <f>IF(OC_Pay=0,"",IF(INDEX('OneCause_Paste'!$A$1750:$AZ$1750,1,OC_Pay)="","",INDEX('OneCause_Paste'!$A$1750:$AZ$1750,1,OC_Pay)))</f>
        <v/>
      </c>
      <c r="N1750">
        <f>IF(I1750="","",IF(ISNUMBER(I1750),INT(I1750),IFERROR(INT(DATEVALUE(I1750)),IFERROR(INT(VALUE(I1750)),"bad"))))</f>
        <v/>
      </c>
      <c r="O1750">
        <f>IF(J1750="","",IF(ISNUMBER(J1750),ROUND(J1750,2),IFERROR(ROUND(VALUE(SUBSTITUTE(SUBSTITUTE(SUBSTITUTE(J1750,"$",""),",","")," ","")),2),"bad")))</f>
        <v/>
      </c>
      <c r="P1750">
        <f>IF(TRIM(K1750)="","",IFERROR(MATCH(LOWER(TRIM(K1750)),'Students'!$AH$2:$AH$701,0),IFERROR(MATCH(LOWER(TRIM(K1750)),'Students'!$AF$2:$AF$701,0),IFERROR(MATCH(LOWER(TRIM(K1750)),'Students'!$AG$2:$AG$701,0),""))))</f>
        <v/>
      </c>
      <c r="R1750">
        <f>IF(P1750="","",INDEX('Students'!$AD$2:$AD$701,P1750))</f>
        <v/>
      </c>
      <c r="S1750">
        <f>IF(H1750="OK",O1750,0)</f>
        <v/>
      </c>
      <c r="T1750">
        <f>IF(H1750="OK",N1750,"")</f>
        <v/>
      </c>
      <c r="U1750">
        <f>IF(OC_Donor=0,"",IF(INDEX('OneCause_Paste'!$A$1750:$AZ$1750,1,OC_Donor)="","",INDEX('OneCause_Paste'!$A$1750:$AZ$1750,1,OC_Donor)))</f>
        <v/>
      </c>
    </row>
    <row r="1751">
      <c r="A1751" s="62">
        <f>IF(H1751="","",IF(ISNUMBER(N1751),N1751,I1751))</f>
        <v/>
      </c>
      <c r="B1751">
        <f>IF(H1751="","",U1751)</f>
        <v/>
      </c>
      <c r="C1751">
        <f>IF(H1751="","",IF(P1751="",K1751,INDEX('Students'!$A$2:$A$701,P1751)))</f>
        <v/>
      </c>
      <c r="D1751">
        <f>IF(OR(H1751="",P1751=""),"",INDEX('Students'!$B$2:$B$701,P1751))</f>
        <v/>
      </c>
      <c r="E1751">
        <f>IF(OR(H1751="",P1751=""),"",INDEX('Students'!$C$2:$C$701,P1751))</f>
        <v/>
      </c>
      <c r="F1751" s="48">
        <f>IF(H1751="","",IF(ISNUMBER(O1751),O1751,J1751))</f>
        <v/>
      </c>
      <c r="G1751">
        <f>IF(H1751="","","OneCause")</f>
        <v/>
      </c>
      <c r="H1751">
        <f>IF(AND(I1751="",J1751="",K1751=""),"",IF(NOT(ISNUMBER(O1751)),"Bad amount",IF(O1751&lt;0,"Refund (not counted)",IF(O1751=0,"Zero amount",IF(NOT(ISNUMBER(N1751)),"Bad date",IF(P1751="","NAME NOT ON ROSTER",IF(L1751="","OK",IF(MATCH(L1751,$L$2:$L$3001,0)&lt;ROW()-1,"Duplicate (ignored)","OK"))))))))</f>
        <v/>
      </c>
      <c r="I1751">
        <f>IF(OC_Date=0,"",IF(INDEX('OneCause_Paste'!$A$1751:$AZ$1751,1,OC_Date)="","",INDEX('OneCause_Paste'!$A$1751:$AZ$1751,1,OC_Date)))</f>
        <v/>
      </c>
      <c r="J1751">
        <f>IF(OC_Amt=0,"",IF(INDEX('OneCause_Paste'!$A$1751:$AZ$1751,1,OC_Amt)="","",INDEX('OneCause_Paste'!$A$1751:$AZ$1751,1,OC_Amt)))</f>
        <v/>
      </c>
      <c r="K1751">
        <f>IF(OC_Name=0,"",IF(INDEX('OneCause_Paste'!$A$1751:$AZ$1751,1,OC_Name)="","",INDEX('OneCause_Paste'!$A$1751:$AZ$1751,1,OC_Name)))</f>
        <v/>
      </c>
      <c r="L1751">
        <f>IF(OC_Txn=0,"",IF(INDEX('OneCause_Paste'!$A$1751:$AZ$1751,1,OC_Txn)="","",INDEX('OneCause_Paste'!$A$1751:$AZ$1751,1,OC_Txn)))</f>
        <v/>
      </c>
      <c r="M1751">
        <f>IF(OC_Pay=0,"",IF(INDEX('OneCause_Paste'!$A$1751:$AZ$1751,1,OC_Pay)="","",INDEX('OneCause_Paste'!$A$1751:$AZ$1751,1,OC_Pay)))</f>
        <v/>
      </c>
      <c r="N1751">
        <f>IF(I1751="","",IF(ISNUMBER(I1751),INT(I1751),IFERROR(INT(DATEVALUE(I1751)),IFERROR(INT(VALUE(I1751)),"bad"))))</f>
        <v/>
      </c>
      <c r="O1751">
        <f>IF(J1751="","",IF(ISNUMBER(J1751),ROUND(J1751,2),IFERROR(ROUND(VALUE(SUBSTITUTE(SUBSTITUTE(SUBSTITUTE(J1751,"$",""),",","")," ","")),2),"bad")))</f>
        <v/>
      </c>
      <c r="P1751">
        <f>IF(TRIM(K1751)="","",IFERROR(MATCH(LOWER(TRIM(K1751)),'Students'!$AH$2:$AH$701,0),IFERROR(MATCH(LOWER(TRIM(K1751)),'Students'!$AF$2:$AF$701,0),IFERROR(MATCH(LOWER(TRIM(K1751)),'Students'!$AG$2:$AG$701,0),""))))</f>
        <v/>
      </c>
      <c r="R1751">
        <f>IF(P1751="","",INDEX('Students'!$AD$2:$AD$701,P1751))</f>
        <v/>
      </c>
      <c r="S1751">
        <f>IF(H1751="OK",O1751,0)</f>
        <v/>
      </c>
      <c r="T1751">
        <f>IF(H1751="OK",N1751,"")</f>
        <v/>
      </c>
      <c r="U1751">
        <f>IF(OC_Donor=0,"",IF(INDEX('OneCause_Paste'!$A$1751:$AZ$1751,1,OC_Donor)="","",INDEX('OneCause_Paste'!$A$1751:$AZ$1751,1,OC_Donor)))</f>
        <v/>
      </c>
    </row>
    <row r="1752">
      <c r="A1752" s="62">
        <f>IF(H1752="","",IF(ISNUMBER(N1752),N1752,I1752))</f>
        <v/>
      </c>
      <c r="B1752">
        <f>IF(H1752="","",U1752)</f>
        <v/>
      </c>
      <c r="C1752">
        <f>IF(H1752="","",IF(P1752="",K1752,INDEX('Students'!$A$2:$A$701,P1752)))</f>
        <v/>
      </c>
      <c r="D1752">
        <f>IF(OR(H1752="",P1752=""),"",INDEX('Students'!$B$2:$B$701,P1752))</f>
        <v/>
      </c>
      <c r="E1752">
        <f>IF(OR(H1752="",P1752=""),"",INDEX('Students'!$C$2:$C$701,P1752))</f>
        <v/>
      </c>
      <c r="F1752" s="48">
        <f>IF(H1752="","",IF(ISNUMBER(O1752),O1752,J1752))</f>
        <v/>
      </c>
      <c r="G1752">
        <f>IF(H1752="","","OneCause")</f>
        <v/>
      </c>
      <c r="H1752">
        <f>IF(AND(I1752="",J1752="",K1752=""),"",IF(NOT(ISNUMBER(O1752)),"Bad amount",IF(O1752&lt;0,"Refund (not counted)",IF(O1752=0,"Zero amount",IF(NOT(ISNUMBER(N1752)),"Bad date",IF(P1752="","NAME NOT ON ROSTER",IF(L1752="","OK",IF(MATCH(L1752,$L$2:$L$3001,0)&lt;ROW()-1,"Duplicate (ignored)","OK"))))))))</f>
        <v/>
      </c>
      <c r="I1752">
        <f>IF(OC_Date=0,"",IF(INDEX('OneCause_Paste'!$A$1752:$AZ$1752,1,OC_Date)="","",INDEX('OneCause_Paste'!$A$1752:$AZ$1752,1,OC_Date)))</f>
        <v/>
      </c>
      <c r="J1752">
        <f>IF(OC_Amt=0,"",IF(INDEX('OneCause_Paste'!$A$1752:$AZ$1752,1,OC_Amt)="","",INDEX('OneCause_Paste'!$A$1752:$AZ$1752,1,OC_Amt)))</f>
        <v/>
      </c>
      <c r="K1752">
        <f>IF(OC_Name=0,"",IF(INDEX('OneCause_Paste'!$A$1752:$AZ$1752,1,OC_Name)="","",INDEX('OneCause_Paste'!$A$1752:$AZ$1752,1,OC_Name)))</f>
        <v/>
      </c>
      <c r="L1752">
        <f>IF(OC_Txn=0,"",IF(INDEX('OneCause_Paste'!$A$1752:$AZ$1752,1,OC_Txn)="","",INDEX('OneCause_Paste'!$A$1752:$AZ$1752,1,OC_Txn)))</f>
        <v/>
      </c>
      <c r="M1752">
        <f>IF(OC_Pay=0,"",IF(INDEX('OneCause_Paste'!$A$1752:$AZ$1752,1,OC_Pay)="","",INDEX('OneCause_Paste'!$A$1752:$AZ$1752,1,OC_Pay)))</f>
        <v/>
      </c>
      <c r="N1752">
        <f>IF(I1752="","",IF(ISNUMBER(I1752),INT(I1752),IFERROR(INT(DATEVALUE(I1752)),IFERROR(INT(VALUE(I1752)),"bad"))))</f>
        <v/>
      </c>
      <c r="O1752">
        <f>IF(J1752="","",IF(ISNUMBER(J1752),ROUND(J1752,2),IFERROR(ROUND(VALUE(SUBSTITUTE(SUBSTITUTE(SUBSTITUTE(J1752,"$",""),",","")," ","")),2),"bad")))</f>
        <v/>
      </c>
      <c r="P1752">
        <f>IF(TRIM(K1752)="","",IFERROR(MATCH(LOWER(TRIM(K1752)),'Students'!$AH$2:$AH$701,0),IFERROR(MATCH(LOWER(TRIM(K1752)),'Students'!$AF$2:$AF$701,0),IFERROR(MATCH(LOWER(TRIM(K1752)),'Students'!$AG$2:$AG$701,0),""))))</f>
        <v/>
      </c>
      <c r="R1752">
        <f>IF(P1752="","",INDEX('Students'!$AD$2:$AD$701,P1752))</f>
        <v/>
      </c>
      <c r="S1752">
        <f>IF(H1752="OK",O1752,0)</f>
        <v/>
      </c>
      <c r="T1752">
        <f>IF(H1752="OK",N1752,"")</f>
        <v/>
      </c>
      <c r="U1752">
        <f>IF(OC_Donor=0,"",IF(INDEX('OneCause_Paste'!$A$1752:$AZ$1752,1,OC_Donor)="","",INDEX('OneCause_Paste'!$A$1752:$AZ$1752,1,OC_Donor)))</f>
        <v/>
      </c>
    </row>
    <row r="1753">
      <c r="A1753" s="62">
        <f>IF(H1753="","",IF(ISNUMBER(N1753),N1753,I1753))</f>
        <v/>
      </c>
      <c r="B1753">
        <f>IF(H1753="","",U1753)</f>
        <v/>
      </c>
      <c r="C1753">
        <f>IF(H1753="","",IF(P1753="",K1753,INDEX('Students'!$A$2:$A$701,P1753)))</f>
        <v/>
      </c>
      <c r="D1753">
        <f>IF(OR(H1753="",P1753=""),"",INDEX('Students'!$B$2:$B$701,P1753))</f>
        <v/>
      </c>
      <c r="E1753">
        <f>IF(OR(H1753="",P1753=""),"",INDEX('Students'!$C$2:$C$701,P1753))</f>
        <v/>
      </c>
      <c r="F1753" s="48">
        <f>IF(H1753="","",IF(ISNUMBER(O1753),O1753,J1753))</f>
        <v/>
      </c>
      <c r="G1753">
        <f>IF(H1753="","","OneCause")</f>
        <v/>
      </c>
      <c r="H1753">
        <f>IF(AND(I1753="",J1753="",K1753=""),"",IF(NOT(ISNUMBER(O1753)),"Bad amount",IF(O1753&lt;0,"Refund (not counted)",IF(O1753=0,"Zero amount",IF(NOT(ISNUMBER(N1753)),"Bad date",IF(P1753="","NAME NOT ON ROSTER",IF(L1753="","OK",IF(MATCH(L1753,$L$2:$L$3001,0)&lt;ROW()-1,"Duplicate (ignored)","OK"))))))))</f>
        <v/>
      </c>
      <c r="I1753">
        <f>IF(OC_Date=0,"",IF(INDEX('OneCause_Paste'!$A$1753:$AZ$1753,1,OC_Date)="","",INDEX('OneCause_Paste'!$A$1753:$AZ$1753,1,OC_Date)))</f>
        <v/>
      </c>
      <c r="J1753">
        <f>IF(OC_Amt=0,"",IF(INDEX('OneCause_Paste'!$A$1753:$AZ$1753,1,OC_Amt)="","",INDEX('OneCause_Paste'!$A$1753:$AZ$1753,1,OC_Amt)))</f>
        <v/>
      </c>
      <c r="K1753">
        <f>IF(OC_Name=0,"",IF(INDEX('OneCause_Paste'!$A$1753:$AZ$1753,1,OC_Name)="","",INDEX('OneCause_Paste'!$A$1753:$AZ$1753,1,OC_Name)))</f>
        <v/>
      </c>
      <c r="L1753">
        <f>IF(OC_Txn=0,"",IF(INDEX('OneCause_Paste'!$A$1753:$AZ$1753,1,OC_Txn)="","",INDEX('OneCause_Paste'!$A$1753:$AZ$1753,1,OC_Txn)))</f>
        <v/>
      </c>
      <c r="M1753">
        <f>IF(OC_Pay=0,"",IF(INDEX('OneCause_Paste'!$A$1753:$AZ$1753,1,OC_Pay)="","",INDEX('OneCause_Paste'!$A$1753:$AZ$1753,1,OC_Pay)))</f>
        <v/>
      </c>
      <c r="N1753">
        <f>IF(I1753="","",IF(ISNUMBER(I1753),INT(I1753),IFERROR(INT(DATEVALUE(I1753)),IFERROR(INT(VALUE(I1753)),"bad"))))</f>
        <v/>
      </c>
      <c r="O1753">
        <f>IF(J1753="","",IF(ISNUMBER(J1753),ROUND(J1753,2),IFERROR(ROUND(VALUE(SUBSTITUTE(SUBSTITUTE(SUBSTITUTE(J1753,"$",""),",","")," ","")),2),"bad")))</f>
        <v/>
      </c>
      <c r="P1753">
        <f>IF(TRIM(K1753)="","",IFERROR(MATCH(LOWER(TRIM(K1753)),'Students'!$AH$2:$AH$701,0),IFERROR(MATCH(LOWER(TRIM(K1753)),'Students'!$AF$2:$AF$701,0),IFERROR(MATCH(LOWER(TRIM(K1753)),'Students'!$AG$2:$AG$701,0),""))))</f>
        <v/>
      </c>
      <c r="R1753">
        <f>IF(P1753="","",INDEX('Students'!$AD$2:$AD$701,P1753))</f>
        <v/>
      </c>
      <c r="S1753">
        <f>IF(H1753="OK",O1753,0)</f>
        <v/>
      </c>
      <c r="T1753">
        <f>IF(H1753="OK",N1753,"")</f>
        <v/>
      </c>
      <c r="U1753">
        <f>IF(OC_Donor=0,"",IF(INDEX('OneCause_Paste'!$A$1753:$AZ$1753,1,OC_Donor)="","",INDEX('OneCause_Paste'!$A$1753:$AZ$1753,1,OC_Donor)))</f>
        <v/>
      </c>
    </row>
    <row r="1754">
      <c r="A1754" s="62">
        <f>IF(H1754="","",IF(ISNUMBER(N1754),N1754,I1754))</f>
        <v/>
      </c>
      <c r="B1754">
        <f>IF(H1754="","",U1754)</f>
        <v/>
      </c>
      <c r="C1754">
        <f>IF(H1754="","",IF(P1754="",K1754,INDEX('Students'!$A$2:$A$701,P1754)))</f>
        <v/>
      </c>
      <c r="D1754">
        <f>IF(OR(H1754="",P1754=""),"",INDEX('Students'!$B$2:$B$701,P1754))</f>
        <v/>
      </c>
      <c r="E1754">
        <f>IF(OR(H1754="",P1754=""),"",INDEX('Students'!$C$2:$C$701,P1754))</f>
        <v/>
      </c>
      <c r="F1754" s="48">
        <f>IF(H1754="","",IF(ISNUMBER(O1754),O1754,J1754))</f>
        <v/>
      </c>
      <c r="G1754">
        <f>IF(H1754="","","OneCause")</f>
        <v/>
      </c>
      <c r="H1754">
        <f>IF(AND(I1754="",J1754="",K1754=""),"",IF(NOT(ISNUMBER(O1754)),"Bad amount",IF(O1754&lt;0,"Refund (not counted)",IF(O1754=0,"Zero amount",IF(NOT(ISNUMBER(N1754)),"Bad date",IF(P1754="","NAME NOT ON ROSTER",IF(L1754="","OK",IF(MATCH(L1754,$L$2:$L$3001,0)&lt;ROW()-1,"Duplicate (ignored)","OK"))))))))</f>
        <v/>
      </c>
      <c r="I1754">
        <f>IF(OC_Date=0,"",IF(INDEX('OneCause_Paste'!$A$1754:$AZ$1754,1,OC_Date)="","",INDEX('OneCause_Paste'!$A$1754:$AZ$1754,1,OC_Date)))</f>
        <v/>
      </c>
      <c r="J1754">
        <f>IF(OC_Amt=0,"",IF(INDEX('OneCause_Paste'!$A$1754:$AZ$1754,1,OC_Amt)="","",INDEX('OneCause_Paste'!$A$1754:$AZ$1754,1,OC_Amt)))</f>
        <v/>
      </c>
      <c r="K1754">
        <f>IF(OC_Name=0,"",IF(INDEX('OneCause_Paste'!$A$1754:$AZ$1754,1,OC_Name)="","",INDEX('OneCause_Paste'!$A$1754:$AZ$1754,1,OC_Name)))</f>
        <v/>
      </c>
      <c r="L1754">
        <f>IF(OC_Txn=0,"",IF(INDEX('OneCause_Paste'!$A$1754:$AZ$1754,1,OC_Txn)="","",INDEX('OneCause_Paste'!$A$1754:$AZ$1754,1,OC_Txn)))</f>
        <v/>
      </c>
      <c r="M1754">
        <f>IF(OC_Pay=0,"",IF(INDEX('OneCause_Paste'!$A$1754:$AZ$1754,1,OC_Pay)="","",INDEX('OneCause_Paste'!$A$1754:$AZ$1754,1,OC_Pay)))</f>
        <v/>
      </c>
      <c r="N1754">
        <f>IF(I1754="","",IF(ISNUMBER(I1754),INT(I1754),IFERROR(INT(DATEVALUE(I1754)),IFERROR(INT(VALUE(I1754)),"bad"))))</f>
        <v/>
      </c>
      <c r="O1754">
        <f>IF(J1754="","",IF(ISNUMBER(J1754),ROUND(J1754,2),IFERROR(ROUND(VALUE(SUBSTITUTE(SUBSTITUTE(SUBSTITUTE(J1754,"$",""),",","")," ","")),2),"bad")))</f>
        <v/>
      </c>
      <c r="P1754">
        <f>IF(TRIM(K1754)="","",IFERROR(MATCH(LOWER(TRIM(K1754)),'Students'!$AH$2:$AH$701,0),IFERROR(MATCH(LOWER(TRIM(K1754)),'Students'!$AF$2:$AF$701,0),IFERROR(MATCH(LOWER(TRIM(K1754)),'Students'!$AG$2:$AG$701,0),""))))</f>
        <v/>
      </c>
      <c r="R1754">
        <f>IF(P1754="","",INDEX('Students'!$AD$2:$AD$701,P1754))</f>
        <v/>
      </c>
      <c r="S1754">
        <f>IF(H1754="OK",O1754,0)</f>
        <v/>
      </c>
      <c r="T1754">
        <f>IF(H1754="OK",N1754,"")</f>
        <v/>
      </c>
      <c r="U1754">
        <f>IF(OC_Donor=0,"",IF(INDEX('OneCause_Paste'!$A$1754:$AZ$1754,1,OC_Donor)="","",INDEX('OneCause_Paste'!$A$1754:$AZ$1754,1,OC_Donor)))</f>
        <v/>
      </c>
    </row>
    <row r="1755">
      <c r="A1755" s="62">
        <f>IF(H1755="","",IF(ISNUMBER(N1755),N1755,I1755))</f>
        <v/>
      </c>
      <c r="B1755">
        <f>IF(H1755="","",U1755)</f>
        <v/>
      </c>
      <c r="C1755">
        <f>IF(H1755="","",IF(P1755="",K1755,INDEX('Students'!$A$2:$A$701,P1755)))</f>
        <v/>
      </c>
      <c r="D1755">
        <f>IF(OR(H1755="",P1755=""),"",INDEX('Students'!$B$2:$B$701,P1755))</f>
        <v/>
      </c>
      <c r="E1755">
        <f>IF(OR(H1755="",P1755=""),"",INDEX('Students'!$C$2:$C$701,P1755))</f>
        <v/>
      </c>
      <c r="F1755" s="48">
        <f>IF(H1755="","",IF(ISNUMBER(O1755),O1755,J1755))</f>
        <v/>
      </c>
      <c r="G1755">
        <f>IF(H1755="","","OneCause")</f>
        <v/>
      </c>
      <c r="H1755">
        <f>IF(AND(I1755="",J1755="",K1755=""),"",IF(NOT(ISNUMBER(O1755)),"Bad amount",IF(O1755&lt;0,"Refund (not counted)",IF(O1755=0,"Zero amount",IF(NOT(ISNUMBER(N1755)),"Bad date",IF(P1755="","NAME NOT ON ROSTER",IF(L1755="","OK",IF(MATCH(L1755,$L$2:$L$3001,0)&lt;ROW()-1,"Duplicate (ignored)","OK"))))))))</f>
        <v/>
      </c>
      <c r="I1755">
        <f>IF(OC_Date=0,"",IF(INDEX('OneCause_Paste'!$A$1755:$AZ$1755,1,OC_Date)="","",INDEX('OneCause_Paste'!$A$1755:$AZ$1755,1,OC_Date)))</f>
        <v/>
      </c>
      <c r="J1755">
        <f>IF(OC_Amt=0,"",IF(INDEX('OneCause_Paste'!$A$1755:$AZ$1755,1,OC_Amt)="","",INDEX('OneCause_Paste'!$A$1755:$AZ$1755,1,OC_Amt)))</f>
        <v/>
      </c>
      <c r="K1755">
        <f>IF(OC_Name=0,"",IF(INDEX('OneCause_Paste'!$A$1755:$AZ$1755,1,OC_Name)="","",INDEX('OneCause_Paste'!$A$1755:$AZ$1755,1,OC_Name)))</f>
        <v/>
      </c>
      <c r="L1755">
        <f>IF(OC_Txn=0,"",IF(INDEX('OneCause_Paste'!$A$1755:$AZ$1755,1,OC_Txn)="","",INDEX('OneCause_Paste'!$A$1755:$AZ$1755,1,OC_Txn)))</f>
        <v/>
      </c>
      <c r="M1755">
        <f>IF(OC_Pay=0,"",IF(INDEX('OneCause_Paste'!$A$1755:$AZ$1755,1,OC_Pay)="","",INDEX('OneCause_Paste'!$A$1755:$AZ$1755,1,OC_Pay)))</f>
        <v/>
      </c>
      <c r="N1755">
        <f>IF(I1755="","",IF(ISNUMBER(I1755),INT(I1755),IFERROR(INT(DATEVALUE(I1755)),IFERROR(INT(VALUE(I1755)),"bad"))))</f>
        <v/>
      </c>
      <c r="O1755">
        <f>IF(J1755="","",IF(ISNUMBER(J1755),ROUND(J1755,2),IFERROR(ROUND(VALUE(SUBSTITUTE(SUBSTITUTE(SUBSTITUTE(J1755,"$",""),",","")," ","")),2),"bad")))</f>
        <v/>
      </c>
      <c r="P1755">
        <f>IF(TRIM(K1755)="","",IFERROR(MATCH(LOWER(TRIM(K1755)),'Students'!$AH$2:$AH$701,0),IFERROR(MATCH(LOWER(TRIM(K1755)),'Students'!$AF$2:$AF$701,0),IFERROR(MATCH(LOWER(TRIM(K1755)),'Students'!$AG$2:$AG$701,0),""))))</f>
        <v/>
      </c>
      <c r="R1755">
        <f>IF(P1755="","",INDEX('Students'!$AD$2:$AD$701,P1755))</f>
        <v/>
      </c>
      <c r="S1755">
        <f>IF(H1755="OK",O1755,0)</f>
        <v/>
      </c>
      <c r="T1755">
        <f>IF(H1755="OK",N1755,"")</f>
        <v/>
      </c>
      <c r="U1755">
        <f>IF(OC_Donor=0,"",IF(INDEX('OneCause_Paste'!$A$1755:$AZ$1755,1,OC_Donor)="","",INDEX('OneCause_Paste'!$A$1755:$AZ$1755,1,OC_Donor)))</f>
        <v/>
      </c>
    </row>
    <row r="1756">
      <c r="A1756" s="62">
        <f>IF(H1756="","",IF(ISNUMBER(N1756),N1756,I1756))</f>
        <v/>
      </c>
      <c r="B1756">
        <f>IF(H1756="","",U1756)</f>
        <v/>
      </c>
      <c r="C1756">
        <f>IF(H1756="","",IF(P1756="",K1756,INDEX('Students'!$A$2:$A$701,P1756)))</f>
        <v/>
      </c>
      <c r="D1756">
        <f>IF(OR(H1756="",P1756=""),"",INDEX('Students'!$B$2:$B$701,P1756))</f>
        <v/>
      </c>
      <c r="E1756">
        <f>IF(OR(H1756="",P1756=""),"",INDEX('Students'!$C$2:$C$701,P1756))</f>
        <v/>
      </c>
      <c r="F1756" s="48">
        <f>IF(H1756="","",IF(ISNUMBER(O1756),O1756,J1756))</f>
        <v/>
      </c>
      <c r="G1756">
        <f>IF(H1756="","","OneCause")</f>
        <v/>
      </c>
      <c r="H1756">
        <f>IF(AND(I1756="",J1756="",K1756=""),"",IF(NOT(ISNUMBER(O1756)),"Bad amount",IF(O1756&lt;0,"Refund (not counted)",IF(O1756=0,"Zero amount",IF(NOT(ISNUMBER(N1756)),"Bad date",IF(P1756="","NAME NOT ON ROSTER",IF(L1756="","OK",IF(MATCH(L1756,$L$2:$L$3001,0)&lt;ROW()-1,"Duplicate (ignored)","OK"))))))))</f>
        <v/>
      </c>
      <c r="I1756">
        <f>IF(OC_Date=0,"",IF(INDEX('OneCause_Paste'!$A$1756:$AZ$1756,1,OC_Date)="","",INDEX('OneCause_Paste'!$A$1756:$AZ$1756,1,OC_Date)))</f>
        <v/>
      </c>
      <c r="J1756">
        <f>IF(OC_Amt=0,"",IF(INDEX('OneCause_Paste'!$A$1756:$AZ$1756,1,OC_Amt)="","",INDEX('OneCause_Paste'!$A$1756:$AZ$1756,1,OC_Amt)))</f>
        <v/>
      </c>
      <c r="K1756">
        <f>IF(OC_Name=0,"",IF(INDEX('OneCause_Paste'!$A$1756:$AZ$1756,1,OC_Name)="","",INDEX('OneCause_Paste'!$A$1756:$AZ$1756,1,OC_Name)))</f>
        <v/>
      </c>
      <c r="L1756">
        <f>IF(OC_Txn=0,"",IF(INDEX('OneCause_Paste'!$A$1756:$AZ$1756,1,OC_Txn)="","",INDEX('OneCause_Paste'!$A$1756:$AZ$1756,1,OC_Txn)))</f>
        <v/>
      </c>
      <c r="M1756">
        <f>IF(OC_Pay=0,"",IF(INDEX('OneCause_Paste'!$A$1756:$AZ$1756,1,OC_Pay)="","",INDEX('OneCause_Paste'!$A$1756:$AZ$1756,1,OC_Pay)))</f>
        <v/>
      </c>
      <c r="N1756">
        <f>IF(I1756="","",IF(ISNUMBER(I1756),INT(I1756),IFERROR(INT(DATEVALUE(I1756)),IFERROR(INT(VALUE(I1756)),"bad"))))</f>
        <v/>
      </c>
      <c r="O1756">
        <f>IF(J1756="","",IF(ISNUMBER(J1756),ROUND(J1756,2),IFERROR(ROUND(VALUE(SUBSTITUTE(SUBSTITUTE(SUBSTITUTE(J1756,"$",""),",","")," ","")),2),"bad")))</f>
        <v/>
      </c>
      <c r="P1756">
        <f>IF(TRIM(K1756)="","",IFERROR(MATCH(LOWER(TRIM(K1756)),'Students'!$AH$2:$AH$701,0),IFERROR(MATCH(LOWER(TRIM(K1756)),'Students'!$AF$2:$AF$701,0),IFERROR(MATCH(LOWER(TRIM(K1756)),'Students'!$AG$2:$AG$701,0),""))))</f>
        <v/>
      </c>
      <c r="R1756">
        <f>IF(P1756="","",INDEX('Students'!$AD$2:$AD$701,P1756))</f>
        <v/>
      </c>
      <c r="S1756">
        <f>IF(H1756="OK",O1756,0)</f>
        <v/>
      </c>
      <c r="T1756">
        <f>IF(H1756="OK",N1756,"")</f>
        <v/>
      </c>
      <c r="U1756">
        <f>IF(OC_Donor=0,"",IF(INDEX('OneCause_Paste'!$A$1756:$AZ$1756,1,OC_Donor)="","",INDEX('OneCause_Paste'!$A$1756:$AZ$1756,1,OC_Donor)))</f>
        <v/>
      </c>
    </row>
    <row r="1757">
      <c r="A1757" s="62">
        <f>IF(H1757="","",IF(ISNUMBER(N1757),N1757,I1757))</f>
        <v/>
      </c>
      <c r="B1757">
        <f>IF(H1757="","",U1757)</f>
        <v/>
      </c>
      <c r="C1757">
        <f>IF(H1757="","",IF(P1757="",K1757,INDEX('Students'!$A$2:$A$701,P1757)))</f>
        <v/>
      </c>
      <c r="D1757">
        <f>IF(OR(H1757="",P1757=""),"",INDEX('Students'!$B$2:$B$701,P1757))</f>
        <v/>
      </c>
      <c r="E1757">
        <f>IF(OR(H1757="",P1757=""),"",INDEX('Students'!$C$2:$C$701,P1757))</f>
        <v/>
      </c>
      <c r="F1757" s="48">
        <f>IF(H1757="","",IF(ISNUMBER(O1757),O1757,J1757))</f>
        <v/>
      </c>
      <c r="G1757">
        <f>IF(H1757="","","OneCause")</f>
        <v/>
      </c>
      <c r="H1757">
        <f>IF(AND(I1757="",J1757="",K1757=""),"",IF(NOT(ISNUMBER(O1757)),"Bad amount",IF(O1757&lt;0,"Refund (not counted)",IF(O1757=0,"Zero amount",IF(NOT(ISNUMBER(N1757)),"Bad date",IF(P1757="","NAME NOT ON ROSTER",IF(L1757="","OK",IF(MATCH(L1757,$L$2:$L$3001,0)&lt;ROW()-1,"Duplicate (ignored)","OK"))))))))</f>
        <v/>
      </c>
      <c r="I1757">
        <f>IF(OC_Date=0,"",IF(INDEX('OneCause_Paste'!$A$1757:$AZ$1757,1,OC_Date)="","",INDEX('OneCause_Paste'!$A$1757:$AZ$1757,1,OC_Date)))</f>
        <v/>
      </c>
      <c r="J1757">
        <f>IF(OC_Amt=0,"",IF(INDEX('OneCause_Paste'!$A$1757:$AZ$1757,1,OC_Amt)="","",INDEX('OneCause_Paste'!$A$1757:$AZ$1757,1,OC_Amt)))</f>
        <v/>
      </c>
      <c r="K1757">
        <f>IF(OC_Name=0,"",IF(INDEX('OneCause_Paste'!$A$1757:$AZ$1757,1,OC_Name)="","",INDEX('OneCause_Paste'!$A$1757:$AZ$1757,1,OC_Name)))</f>
        <v/>
      </c>
      <c r="L1757">
        <f>IF(OC_Txn=0,"",IF(INDEX('OneCause_Paste'!$A$1757:$AZ$1757,1,OC_Txn)="","",INDEX('OneCause_Paste'!$A$1757:$AZ$1757,1,OC_Txn)))</f>
        <v/>
      </c>
      <c r="M1757">
        <f>IF(OC_Pay=0,"",IF(INDEX('OneCause_Paste'!$A$1757:$AZ$1757,1,OC_Pay)="","",INDEX('OneCause_Paste'!$A$1757:$AZ$1757,1,OC_Pay)))</f>
        <v/>
      </c>
      <c r="N1757">
        <f>IF(I1757="","",IF(ISNUMBER(I1757),INT(I1757),IFERROR(INT(DATEVALUE(I1757)),IFERROR(INT(VALUE(I1757)),"bad"))))</f>
        <v/>
      </c>
      <c r="O1757">
        <f>IF(J1757="","",IF(ISNUMBER(J1757),ROUND(J1757,2),IFERROR(ROUND(VALUE(SUBSTITUTE(SUBSTITUTE(SUBSTITUTE(J1757,"$",""),",","")," ","")),2),"bad")))</f>
        <v/>
      </c>
      <c r="P1757">
        <f>IF(TRIM(K1757)="","",IFERROR(MATCH(LOWER(TRIM(K1757)),'Students'!$AH$2:$AH$701,0),IFERROR(MATCH(LOWER(TRIM(K1757)),'Students'!$AF$2:$AF$701,0),IFERROR(MATCH(LOWER(TRIM(K1757)),'Students'!$AG$2:$AG$701,0),""))))</f>
        <v/>
      </c>
      <c r="R1757">
        <f>IF(P1757="","",INDEX('Students'!$AD$2:$AD$701,P1757))</f>
        <v/>
      </c>
      <c r="S1757">
        <f>IF(H1757="OK",O1757,0)</f>
        <v/>
      </c>
      <c r="T1757">
        <f>IF(H1757="OK",N1757,"")</f>
        <v/>
      </c>
      <c r="U1757">
        <f>IF(OC_Donor=0,"",IF(INDEX('OneCause_Paste'!$A$1757:$AZ$1757,1,OC_Donor)="","",INDEX('OneCause_Paste'!$A$1757:$AZ$1757,1,OC_Donor)))</f>
        <v/>
      </c>
    </row>
    <row r="1758">
      <c r="A1758" s="62">
        <f>IF(H1758="","",IF(ISNUMBER(N1758),N1758,I1758))</f>
        <v/>
      </c>
      <c r="B1758">
        <f>IF(H1758="","",U1758)</f>
        <v/>
      </c>
      <c r="C1758">
        <f>IF(H1758="","",IF(P1758="",K1758,INDEX('Students'!$A$2:$A$701,P1758)))</f>
        <v/>
      </c>
      <c r="D1758">
        <f>IF(OR(H1758="",P1758=""),"",INDEX('Students'!$B$2:$B$701,P1758))</f>
        <v/>
      </c>
      <c r="E1758">
        <f>IF(OR(H1758="",P1758=""),"",INDEX('Students'!$C$2:$C$701,P1758))</f>
        <v/>
      </c>
      <c r="F1758" s="48">
        <f>IF(H1758="","",IF(ISNUMBER(O1758),O1758,J1758))</f>
        <v/>
      </c>
      <c r="G1758">
        <f>IF(H1758="","","OneCause")</f>
        <v/>
      </c>
      <c r="H1758">
        <f>IF(AND(I1758="",J1758="",K1758=""),"",IF(NOT(ISNUMBER(O1758)),"Bad amount",IF(O1758&lt;0,"Refund (not counted)",IF(O1758=0,"Zero amount",IF(NOT(ISNUMBER(N1758)),"Bad date",IF(P1758="","NAME NOT ON ROSTER",IF(L1758="","OK",IF(MATCH(L1758,$L$2:$L$3001,0)&lt;ROW()-1,"Duplicate (ignored)","OK"))))))))</f>
        <v/>
      </c>
      <c r="I1758">
        <f>IF(OC_Date=0,"",IF(INDEX('OneCause_Paste'!$A$1758:$AZ$1758,1,OC_Date)="","",INDEX('OneCause_Paste'!$A$1758:$AZ$1758,1,OC_Date)))</f>
        <v/>
      </c>
      <c r="J1758">
        <f>IF(OC_Amt=0,"",IF(INDEX('OneCause_Paste'!$A$1758:$AZ$1758,1,OC_Amt)="","",INDEX('OneCause_Paste'!$A$1758:$AZ$1758,1,OC_Amt)))</f>
        <v/>
      </c>
      <c r="K1758">
        <f>IF(OC_Name=0,"",IF(INDEX('OneCause_Paste'!$A$1758:$AZ$1758,1,OC_Name)="","",INDEX('OneCause_Paste'!$A$1758:$AZ$1758,1,OC_Name)))</f>
        <v/>
      </c>
      <c r="L1758">
        <f>IF(OC_Txn=0,"",IF(INDEX('OneCause_Paste'!$A$1758:$AZ$1758,1,OC_Txn)="","",INDEX('OneCause_Paste'!$A$1758:$AZ$1758,1,OC_Txn)))</f>
        <v/>
      </c>
      <c r="M1758">
        <f>IF(OC_Pay=0,"",IF(INDEX('OneCause_Paste'!$A$1758:$AZ$1758,1,OC_Pay)="","",INDEX('OneCause_Paste'!$A$1758:$AZ$1758,1,OC_Pay)))</f>
        <v/>
      </c>
      <c r="N1758">
        <f>IF(I1758="","",IF(ISNUMBER(I1758),INT(I1758),IFERROR(INT(DATEVALUE(I1758)),IFERROR(INT(VALUE(I1758)),"bad"))))</f>
        <v/>
      </c>
      <c r="O1758">
        <f>IF(J1758="","",IF(ISNUMBER(J1758),ROUND(J1758,2),IFERROR(ROUND(VALUE(SUBSTITUTE(SUBSTITUTE(SUBSTITUTE(J1758,"$",""),",","")," ","")),2),"bad")))</f>
        <v/>
      </c>
      <c r="P1758">
        <f>IF(TRIM(K1758)="","",IFERROR(MATCH(LOWER(TRIM(K1758)),'Students'!$AH$2:$AH$701,0),IFERROR(MATCH(LOWER(TRIM(K1758)),'Students'!$AF$2:$AF$701,0),IFERROR(MATCH(LOWER(TRIM(K1758)),'Students'!$AG$2:$AG$701,0),""))))</f>
        <v/>
      </c>
      <c r="R1758">
        <f>IF(P1758="","",INDEX('Students'!$AD$2:$AD$701,P1758))</f>
        <v/>
      </c>
      <c r="S1758">
        <f>IF(H1758="OK",O1758,0)</f>
        <v/>
      </c>
      <c r="T1758">
        <f>IF(H1758="OK",N1758,"")</f>
        <v/>
      </c>
      <c r="U1758">
        <f>IF(OC_Donor=0,"",IF(INDEX('OneCause_Paste'!$A$1758:$AZ$1758,1,OC_Donor)="","",INDEX('OneCause_Paste'!$A$1758:$AZ$1758,1,OC_Donor)))</f>
        <v/>
      </c>
    </row>
    <row r="1759">
      <c r="A1759" s="62">
        <f>IF(H1759="","",IF(ISNUMBER(N1759),N1759,I1759))</f>
        <v/>
      </c>
      <c r="B1759">
        <f>IF(H1759="","",U1759)</f>
        <v/>
      </c>
      <c r="C1759">
        <f>IF(H1759="","",IF(P1759="",K1759,INDEX('Students'!$A$2:$A$701,P1759)))</f>
        <v/>
      </c>
      <c r="D1759">
        <f>IF(OR(H1759="",P1759=""),"",INDEX('Students'!$B$2:$B$701,P1759))</f>
        <v/>
      </c>
      <c r="E1759">
        <f>IF(OR(H1759="",P1759=""),"",INDEX('Students'!$C$2:$C$701,P1759))</f>
        <v/>
      </c>
      <c r="F1759" s="48">
        <f>IF(H1759="","",IF(ISNUMBER(O1759),O1759,J1759))</f>
        <v/>
      </c>
      <c r="G1759">
        <f>IF(H1759="","","OneCause")</f>
        <v/>
      </c>
      <c r="H1759">
        <f>IF(AND(I1759="",J1759="",K1759=""),"",IF(NOT(ISNUMBER(O1759)),"Bad amount",IF(O1759&lt;0,"Refund (not counted)",IF(O1759=0,"Zero amount",IF(NOT(ISNUMBER(N1759)),"Bad date",IF(P1759="","NAME NOT ON ROSTER",IF(L1759="","OK",IF(MATCH(L1759,$L$2:$L$3001,0)&lt;ROW()-1,"Duplicate (ignored)","OK"))))))))</f>
        <v/>
      </c>
      <c r="I1759">
        <f>IF(OC_Date=0,"",IF(INDEX('OneCause_Paste'!$A$1759:$AZ$1759,1,OC_Date)="","",INDEX('OneCause_Paste'!$A$1759:$AZ$1759,1,OC_Date)))</f>
        <v/>
      </c>
      <c r="J1759">
        <f>IF(OC_Amt=0,"",IF(INDEX('OneCause_Paste'!$A$1759:$AZ$1759,1,OC_Amt)="","",INDEX('OneCause_Paste'!$A$1759:$AZ$1759,1,OC_Amt)))</f>
        <v/>
      </c>
      <c r="K1759">
        <f>IF(OC_Name=0,"",IF(INDEX('OneCause_Paste'!$A$1759:$AZ$1759,1,OC_Name)="","",INDEX('OneCause_Paste'!$A$1759:$AZ$1759,1,OC_Name)))</f>
        <v/>
      </c>
      <c r="L1759">
        <f>IF(OC_Txn=0,"",IF(INDEX('OneCause_Paste'!$A$1759:$AZ$1759,1,OC_Txn)="","",INDEX('OneCause_Paste'!$A$1759:$AZ$1759,1,OC_Txn)))</f>
        <v/>
      </c>
      <c r="M1759">
        <f>IF(OC_Pay=0,"",IF(INDEX('OneCause_Paste'!$A$1759:$AZ$1759,1,OC_Pay)="","",INDEX('OneCause_Paste'!$A$1759:$AZ$1759,1,OC_Pay)))</f>
        <v/>
      </c>
      <c r="N1759">
        <f>IF(I1759="","",IF(ISNUMBER(I1759),INT(I1759),IFERROR(INT(DATEVALUE(I1759)),IFERROR(INT(VALUE(I1759)),"bad"))))</f>
        <v/>
      </c>
      <c r="O1759">
        <f>IF(J1759="","",IF(ISNUMBER(J1759),ROUND(J1759,2),IFERROR(ROUND(VALUE(SUBSTITUTE(SUBSTITUTE(SUBSTITUTE(J1759,"$",""),",","")," ","")),2),"bad")))</f>
        <v/>
      </c>
      <c r="P1759">
        <f>IF(TRIM(K1759)="","",IFERROR(MATCH(LOWER(TRIM(K1759)),'Students'!$AH$2:$AH$701,0),IFERROR(MATCH(LOWER(TRIM(K1759)),'Students'!$AF$2:$AF$701,0),IFERROR(MATCH(LOWER(TRIM(K1759)),'Students'!$AG$2:$AG$701,0),""))))</f>
        <v/>
      </c>
      <c r="R1759">
        <f>IF(P1759="","",INDEX('Students'!$AD$2:$AD$701,P1759))</f>
        <v/>
      </c>
      <c r="S1759">
        <f>IF(H1759="OK",O1759,0)</f>
        <v/>
      </c>
      <c r="T1759">
        <f>IF(H1759="OK",N1759,"")</f>
        <v/>
      </c>
      <c r="U1759">
        <f>IF(OC_Donor=0,"",IF(INDEX('OneCause_Paste'!$A$1759:$AZ$1759,1,OC_Donor)="","",INDEX('OneCause_Paste'!$A$1759:$AZ$1759,1,OC_Donor)))</f>
        <v/>
      </c>
    </row>
    <row r="1760">
      <c r="A1760" s="62">
        <f>IF(H1760="","",IF(ISNUMBER(N1760),N1760,I1760))</f>
        <v/>
      </c>
      <c r="B1760">
        <f>IF(H1760="","",U1760)</f>
        <v/>
      </c>
      <c r="C1760">
        <f>IF(H1760="","",IF(P1760="",K1760,INDEX('Students'!$A$2:$A$701,P1760)))</f>
        <v/>
      </c>
      <c r="D1760">
        <f>IF(OR(H1760="",P1760=""),"",INDEX('Students'!$B$2:$B$701,P1760))</f>
        <v/>
      </c>
      <c r="E1760">
        <f>IF(OR(H1760="",P1760=""),"",INDEX('Students'!$C$2:$C$701,P1760))</f>
        <v/>
      </c>
      <c r="F1760" s="48">
        <f>IF(H1760="","",IF(ISNUMBER(O1760),O1760,J1760))</f>
        <v/>
      </c>
      <c r="G1760">
        <f>IF(H1760="","","OneCause")</f>
        <v/>
      </c>
      <c r="H1760">
        <f>IF(AND(I1760="",J1760="",K1760=""),"",IF(NOT(ISNUMBER(O1760)),"Bad amount",IF(O1760&lt;0,"Refund (not counted)",IF(O1760=0,"Zero amount",IF(NOT(ISNUMBER(N1760)),"Bad date",IF(P1760="","NAME NOT ON ROSTER",IF(L1760="","OK",IF(MATCH(L1760,$L$2:$L$3001,0)&lt;ROW()-1,"Duplicate (ignored)","OK"))))))))</f>
        <v/>
      </c>
      <c r="I1760">
        <f>IF(OC_Date=0,"",IF(INDEX('OneCause_Paste'!$A$1760:$AZ$1760,1,OC_Date)="","",INDEX('OneCause_Paste'!$A$1760:$AZ$1760,1,OC_Date)))</f>
        <v/>
      </c>
      <c r="J1760">
        <f>IF(OC_Amt=0,"",IF(INDEX('OneCause_Paste'!$A$1760:$AZ$1760,1,OC_Amt)="","",INDEX('OneCause_Paste'!$A$1760:$AZ$1760,1,OC_Amt)))</f>
        <v/>
      </c>
      <c r="K1760">
        <f>IF(OC_Name=0,"",IF(INDEX('OneCause_Paste'!$A$1760:$AZ$1760,1,OC_Name)="","",INDEX('OneCause_Paste'!$A$1760:$AZ$1760,1,OC_Name)))</f>
        <v/>
      </c>
      <c r="L1760">
        <f>IF(OC_Txn=0,"",IF(INDEX('OneCause_Paste'!$A$1760:$AZ$1760,1,OC_Txn)="","",INDEX('OneCause_Paste'!$A$1760:$AZ$1760,1,OC_Txn)))</f>
        <v/>
      </c>
      <c r="M1760">
        <f>IF(OC_Pay=0,"",IF(INDEX('OneCause_Paste'!$A$1760:$AZ$1760,1,OC_Pay)="","",INDEX('OneCause_Paste'!$A$1760:$AZ$1760,1,OC_Pay)))</f>
        <v/>
      </c>
      <c r="N1760">
        <f>IF(I1760="","",IF(ISNUMBER(I1760),INT(I1760),IFERROR(INT(DATEVALUE(I1760)),IFERROR(INT(VALUE(I1760)),"bad"))))</f>
        <v/>
      </c>
      <c r="O1760">
        <f>IF(J1760="","",IF(ISNUMBER(J1760),ROUND(J1760,2),IFERROR(ROUND(VALUE(SUBSTITUTE(SUBSTITUTE(SUBSTITUTE(J1760,"$",""),",","")," ","")),2),"bad")))</f>
        <v/>
      </c>
      <c r="P1760">
        <f>IF(TRIM(K1760)="","",IFERROR(MATCH(LOWER(TRIM(K1760)),'Students'!$AH$2:$AH$701,0),IFERROR(MATCH(LOWER(TRIM(K1760)),'Students'!$AF$2:$AF$701,0),IFERROR(MATCH(LOWER(TRIM(K1760)),'Students'!$AG$2:$AG$701,0),""))))</f>
        <v/>
      </c>
      <c r="R1760">
        <f>IF(P1760="","",INDEX('Students'!$AD$2:$AD$701,P1760))</f>
        <v/>
      </c>
      <c r="S1760">
        <f>IF(H1760="OK",O1760,0)</f>
        <v/>
      </c>
      <c r="T1760">
        <f>IF(H1760="OK",N1760,"")</f>
        <v/>
      </c>
      <c r="U1760">
        <f>IF(OC_Donor=0,"",IF(INDEX('OneCause_Paste'!$A$1760:$AZ$1760,1,OC_Donor)="","",INDEX('OneCause_Paste'!$A$1760:$AZ$1760,1,OC_Donor)))</f>
        <v/>
      </c>
    </row>
    <row r="1761">
      <c r="A1761" s="62">
        <f>IF(H1761="","",IF(ISNUMBER(N1761),N1761,I1761))</f>
        <v/>
      </c>
      <c r="B1761">
        <f>IF(H1761="","",U1761)</f>
        <v/>
      </c>
      <c r="C1761">
        <f>IF(H1761="","",IF(P1761="",K1761,INDEX('Students'!$A$2:$A$701,P1761)))</f>
        <v/>
      </c>
      <c r="D1761">
        <f>IF(OR(H1761="",P1761=""),"",INDEX('Students'!$B$2:$B$701,P1761))</f>
        <v/>
      </c>
      <c r="E1761">
        <f>IF(OR(H1761="",P1761=""),"",INDEX('Students'!$C$2:$C$701,P1761))</f>
        <v/>
      </c>
      <c r="F1761" s="48">
        <f>IF(H1761="","",IF(ISNUMBER(O1761),O1761,J1761))</f>
        <v/>
      </c>
      <c r="G1761">
        <f>IF(H1761="","","OneCause")</f>
        <v/>
      </c>
      <c r="H1761">
        <f>IF(AND(I1761="",J1761="",K1761=""),"",IF(NOT(ISNUMBER(O1761)),"Bad amount",IF(O1761&lt;0,"Refund (not counted)",IF(O1761=0,"Zero amount",IF(NOT(ISNUMBER(N1761)),"Bad date",IF(P1761="","NAME NOT ON ROSTER",IF(L1761="","OK",IF(MATCH(L1761,$L$2:$L$3001,0)&lt;ROW()-1,"Duplicate (ignored)","OK"))))))))</f>
        <v/>
      </c>
      <c r="I1761">
        <f>IF(OC_Date=0,"",IF(INDEX('OneCause_Paste'!$A$1761:$AZ$1761,1,OC_Date)="","",INDEX('OneCause_Paste'!$A$1761:$AZ$1761,1,OC_Date)))</f>
        <v/>
      </c>
      <c r="J1761">
        <f>IF(OC_Amt=0,"",IF(INDEX('OneCause_Paste'!$A$1761:$AZ$1761,1,OC_Amt)="","",INDEX('OneCause_Paste'!$A$1761:$AZ$1761,1,OC_Amt)))</f>
        <v/>
      </c>
      <c r="K1761">
        <f>IF(OC_Name=0,"",IF(INDEX('OneCause_Paste'!$A$1761:$AZ$1761,1,OC_Name)="","",INDEX('OneCause_Paste'!$A$1761:$AZ$1761,1,OC_Name)))</f>
        <v/>
      </c>
      <c r="L1761">
        <f>IF(OC_Txn=0,"",IF(INDEX('OneCause_Paste'!$A$1761:$AZ$1761,1,OC_Txn)="","",INDEX('OneCause_Paste'!$A$1761:$AZ$1761,1,OC_Txn)))</f>
        <v/>
      </c>
      <c r="M1761">
        <f>IF(OC_Pay=0,"",IF(INDEX('OneCause_Paste'!$A$1761:$AZ$1761,1,OC_Pay)="","",INDEX('OneCause_Paste'!$A$1761:$AZ$1761,1,OC_Pay)))</f>
        <v/>
      </c>
      <c r="N1761">
        <f>IF(I1761="","",IF(ISNUMBER(I1761),INT(I1761),IFERROR(INT(DATEVALUE(I1761)),IFERROR(INT(VALUE(I1761)),"bad"))))</f>
        <v/>
      </c>
      <c r="O1761">
        <f>IF(J1761="","",IF(ISNUMBER(J1761),ROUND(J1761,2),IFERROR(ROUND(VALUE(SUBSTITUTE(SUBSTITUTE(SUBSTITUTE(J1761,"$",""),",","")," ","")),2),"bad")))</f>
        <v/>
      </c>
      <c r="P1761">
        <f>IF(TRIM(K1761)="","",IFERROR(MATCH(LOWER(TRIM(K1761)),'Students'!$AH$2:$AH$701,0),IFERROR(MATCH(LOWER(TRIM(K1761)),'Students'!$AF$2:$AF$701,0),IFERROR(MATCH(LOWER(TRIM(K1761)),'Students'!$AG$2:$AG$701,0),""))))</f>
        <v/>
      </c>
      <c r="R1761">
        <f>IF(P1761="","",INDEX('Students'!$AD$2:$AD$701,P1761))</f>
        <v/>
      </c>
      <c r="S1761">
        <f>IF(H1761="OK",O1761,0)</f>
        <v/>
      </c>
      <c r="T1761">
        <f>IF(H1761="OK",N1761,"")</f>
        <v/>
      </c>
      <c r="U1761">
        <f>IF(OC_Donor=0,"",IF(INDEX('OneCause_Paste'!$A$1761:$AZ$1761,1,OC_Donor)="","",INDEX('OneCause_Paste'!$A$1761:$AZ$1761,1,OC_Donor)))</f>
        <v/>
      </c>
    </row>
    <row r="1762">
      <c r="A1762" s="62">
        <f>IF(H1762="","",IF(ISNUMBER(N1762),N1762,I1762))</f>
        <v/>
      </c>
      <c r="B1762">
        <f>IF(H1762="","",U1762)</f>
        <v/>
      </c>
      <c r="C1762">
        <f>IF(H1762="","",IF(P1762="",K1762,INDEX('Students'!$A$2:$A$701,P1762)))</f>
        <v/>
      </c>
      <c r="D1762">
        <f>IF(OR(H1762="",P1762=""),"",INDEX('Students'!$B$2:$B$701,P1762))</f>
        <v/>
      </c>
      <c r="E1762">
        <f>IF(OR(H1762="",P1762=""),"",INDEX('Students'!$C$2:$C$701,P1762))</f>
        <v/>
      </c>
      <c r="F1762" s="48">
        <f>IF(H1762="","",IF(ISNUMBER(O1762),O1762,J1762))</f>
        <v/>
      </c>
      <c r="G1762">
        <f>IF(H1762="","","OneCause")</f>
        <v/>
      </c>
      <c r="H1762">
        <f>IF(AND(I1762="",J1762="",K1762=""),"",IF(NOT(ISNUMBER(O1762)),"Bad amount",IF(O1762&lt;0,"Refund (not counted)",IF(O1762=0,"Zero amount",IF(NOT(ISNUMBER(N1762)),"Bad date",IF(P1762="","NAME NOT ON ROSTER",IF(L1762="","OK",IF(MATCH(L1762,$L$2:$L$3001,0)&lt;ROW()-1,"Duplicate (ignored)","OK"))))))))</f>
        <v/>
      </c>
      <c r="I1762">
        <f>IF(OC_Date=0,"",IF(INDEX('OneCause_Paste'!$A$1762:$AZ$1762,1,OC_Date)="","",INDEX('OneCause_Paste'!$A$1762:$AZ$1762,1,OC_Date)))</f>
        <v/>
      </c>
      <c r="J1762">
        <f>IF(OC_Amt=0,"",IF(INDEX('OneCause_Paste'!$A$1762:$AZ$1762,1,OC_Amt)="","",INDEX('OneCause_Paste'!$A$1762:$AZ$1762,1,OC_Amt)))</f>
        <v/>
      </c>
      <c r="K1762">
        <f>IF(OC_Name=0,"",IF(INDEX('OneCause_Paste'!$A$1762:$AZ$1762,1,OC_Name)="","",INDEX('OneCause_Paste'!$A$1762:$AZ$1762,1,OC_Name)))</f>
        <v/>
      </c>
      <c r="L1762">
        <f>IF(OC_Txn=0,"",IF(INDEX('OneCause_Paste'!$A$1762:$AZ$1762,1,OC_Txn)="","",INDEX('OneCause_Paste'!$A$1762:$AZ$1762,1,OC_Txn)))</f>
        <v/>
      </c>
      <c r="M1762">
        <f>IF(OC_Pay=0,"",IF(INDEX('OneCause_Paste'!$A$1762:$AZ$1762,1,OC_Pay)="","",INDEX('OneCause_Paste'!$A$1762:$AZ$1762,1,OC_Pay)))</f>
        <v/>
      </c>
      <c r="N1762">
        <f>IF(I1762="","",IF(ISNUMBER(I1762),INT(I1762),IFERROR(INT(DATEVALUE(I1762)),IFERROR(INT(VALUE(I1762)),"bad"))))</f>
        <v/>
      </c>
      <c r="O1762">
        <f>IF(J1762="","",IF(ISNUMBER(J1762),ROUND(J1762,2),IFERROR(ROUND(VALUE(SUBSTITUTE(SUBSTITUTE(SUBSTITUTE(J1762,"$",""),",","")," ","")),2),"bad")))</f>
        <v/>
      </c>
      <c r="P1762">
        <f>IF(TRIM(K1762)="","",IFERROR(MATCH(LOWER(TRIM(K1762)),'Students'!$AH$2:$AH$701,0),IFERROR(MATCH(LOWER(TRIM(K1762)),'Students'!$AF$2:$AF$701,0),IFERROR(MATCH(LOWER(TRIM(K1762)),'Students'!$AG$2:$AG$701,0),""))))</f>
        <v/>
      </c>
      <c r="R1762">
        <f>IF(P1762="","",INDEX('Students'!$AD$2:$AD$701,P1762))</f>
        <v/>
      </c>
      <c r="S1762">
        <f>IF(H1762="OK",O1762,0)</f>
        <v/>
      </c>
      <c r="T1762">
        <f>IF(H1762="OK",N1762,"")</f>
        <v/>
      </c>
      <c r="U1762">
        <f>IF(OC_Donor=0,"",IF(INDEX('OneCause_Paste'!$A$1762:$AZ$1762,1,OC_Donor)="","",INDEX('OneCause_Paste'!$A$1762:$AZ$1762,1,OC_Donor)))</f>
        <v/>
      </c>
    </row>
    <row r="1763">
      <c r="A1763" s="62">
        <f>IF(H1763="","",IF(ISNUMBER(N1763),N1763,I1763))</f>
        <v/>
      </c>
      <c r="B1763">
        <f>IF(H1763="","",U1763)</f>
        <v/>
      </c>
      <c r="C1763">
        <f>IF(H1763="","",IF(P1763="",K1763,INDEX('Students'!$A$2:$A$701,P1763)))</f>
        <v/>
      </c>
      <c r="D1763">
        <f>IF(OR(H1763="",P1763=""),"",INDEX('Students'!$B$2:$B$701,P1763))</f>
        <v/>
      </c>
      <c r="E1763">
        <f>IF(OR(H1763="",P1763=""),"",INDEX('Students'!$C$2:$C$701,P1763))</f>
        <v/>
      </c>
      <c r="F1763" s="48">
        <f>IF(H1763="","",IF(ISNUMBER(O1763),O1763,J1763))</f>
        <v/>
      </c>
      <c r="G1763">
        <f>IF(H1763="","","OneCause")</f>
        <v/>
      </c>
      <c r="H1763">
        <f>IF(AND(I1763="",J1763="",K1763=""),"",IF(NOT(ISNUMBER(O1763)),"Bad amount",IF(O1763&lt;0,"Refund (not counted)",IF(O1763=0,"Zero amount",IF(NOT(ISNUMBER(N1763)),"Bad date",IF(P1763="","NAME NOT ON ROSTER",IF(L1763="","OK",IF(MATCH(L1763,$L$2:$L$3001,0)&lt;ROW()-1,"Duplicate (ignored)","OK"))))))))</f>
        <v/>
      </c>
      <c r="I1763">
        <f>IF(OC_Date=0,"",IF(INDEX('OneCause_Paste'!$A$1763:$AZ$1763,1,OC_Date)="","",INDEX('OneCause_Paste'!$A$1763:$AZ$1763,1,OC_Date)))</f>
        <v/>
      </c>
      <c r="J1763">
        <f>IF(OC_Amt=0,"",IF(INDEX('OneCause_Paste'!$A$1763:$AZ$1763,1,OC_Amt)="","",INDEX('OneCause_Paste'!$A$1763:$AZ$1763,1,OC_Amt)))</f>
        <v/>
      </c>
      <c r="K1763">
        <f>IF(OC_Name=0,"",IF(INDEX('OneCause_Paste'!$A$1763:$AZ$1763,1,OC_Name)="","",INDEX('OneCause_Paste'!$A$1763:$AZ$1763,1,OC_Name)))</f>
        <v/>
      </c>
      <c r="L1763">
        <f>IF(OC_Txn=0,"",IF(INDEX('OneCause_Paste'!$A$1763:$AZ$1763,1,OC_Txn)="","",INDEX('OneCause_Paste'!$A$1763:$AZ$1763,1,OC_Txn)))</f>
        <v/>
      </c>
      <c r="M1763">
        <f>IF(OC_Pay=0,"",IF(INDEX('OneCause_Paste'!$A$1763:$AZ$1763,1,OC_Pay)="","",INDEX('OneCause_Paste'!$A$1763:$AZ$1763,1,OC_Pay)))</f>
        <v/>
      </c>
      <c r="N1763">
        <f>IF(I1763="","",IF(ISNUMBER(I1763),INT(I1763),IFERROR(INT(DATEVALUE(I1763)),IFERROR(INT(VALUE(I1763)),"bad"))))</f>
        <v/>
      </c>
      <c r="O1763">
        <f>IF(J1763="","",IF(ISNUMBER(J1763),ROUND(J1763,2),IFERROR(ROUND(VALUE(SUBSTITUTE(SUBSTITUTE(SUBSTITUTE(J1763,"$",""),",","")," ","")),2),"bad")))</f>
        <v/>
      </c>
      <c r="P1763">
        <f>IF(TRIM(K1763)="","",IFERROR(MATCH(LOWER(TRIM(K1763)),'Students'!$AH$2:$AH$701,0),IFERROR(MATCH(LOWER(TRIM(K1763)),'Students'!$AF$2:$AF$701,0),IFERROR(MATCH(LOWER(TRIM(K1763)),'Students'!$AG$2:$AG$701,0),""))))</f>
        <v/>
      </c>
      <c r="R1763">
        <f>IF(P1763="","",INDEX('Students'!$AD$2:$AD$701,P1763))</f>
        <v/>
      </c>
      <c r="S1763">
        <f>IF(H1763="OK",O1763,0)</f>
        <v/>
      </c>
      <c r="T1763">
        <f>IF(H1763="OK",N1763,"")</f>
        <v/>
      </c>
      <c r="U1763">
        <f>IF(OC_Donor=0,"",IF(INDEX('OneCause_Paste'!$A$1763:$AZ$1763,1,OC_Donor)="","",INDEX('OneCause_Paste'!$A$1763:$AZ$1763,1,OC_Donor)))</f>
        <v/>
      </c>
    </row>
    <row r="1764">
      <c r="A1764" s="62">
        <f>IF(H1764="","",IF(ISNUMBER(N1764),N1764,I1764))</f>
        <v/>
      </c>
      <c r="B1764">
        <f>IF(H1764="","",U1764)</f>
        <v/>
      </c>
      <c r="C1764">
        <f>IF(H1764="","",IF(P1764="",K1764,INDEX('Students'!$A$2:$A$701,P1764)))</f>
        <v/>
      </c>
      <c r="D1764">
        <f>IF(OR(H1764="",P1764=""),"",INDEX('Students'!$B$2:$B$701,P1764))</f>
        <v/>
      </c>
      <c r="E1764">
        <f>IF(OR(H1764="",P1764=""),"",INDEX('Students'!$C$2:$C$701,P1764))</f>
        <v/>
      </c>
      <c r="F1764" s="48">
        <f>IF(H1764="","",IF(ISNUMBER(O1764),O1764,J1764))</f>
        <v/>
      </c>
      <c r="G1764">
        <f>IF(H1764="","","OneCause")</f>
        <v/>
      </c>
      <c r="H1764">
        <f>IF(AND(I1764="",J1764="",K1764=""),"",IF(NOT(ISNUMBER(O1764)),"Bad amount",IF(O1764&lt;0,"Refund (not counted)",IF(O1764=0,"Zero amount",IF(NOT(ISNUMBER(N1764)),"Bad date",IF(P1764="","NAME NOT ON ROSTER",IF(L1764="","OK",IF(MATCH(L1764,$L$2:$L$3001,0)&lt;ROW()-1,"Duplicate (ignored)","OK"))))))))</f>
        <v/>
      </c>
      <c r="I1764">
        <f>IF(OC_Date=0,"",IF(INDEX('OneCause_Paste'!$A$1764:$AZ$1764,1,OC_Date)="","",INDEX('OneCause_Paste'!$A$1764:$AZ$1764,1,OC_Date)))</f>
        <v/>
      </c>
      <c r="J1764">
        <f>IF(OC_Amt=0,"",IF(INDEX('OneCause_Paste'!$A$1764:$AZ$1764,1,OC_Amt)="","",INDEX('OneCause_Paste'!$A$1764:$AZ$1764,1,OC_Amt)))</f>
        <v/>
      </c>
      <c r="K1764">
        <f>IF(OC_Name=0,"",IF(INDEX('OneCause_Paste'!$A$1764:$AZ$1764,1,OC_Name)="","",INDEX('OneCause_Paste'!$A$1764:$AZ$1764,1,OC_Name)))</f>
        <v/>
      </c>
      <c r="L1764">
        <f>IF(OC_Txn=0,"",IF(INDEX('OneCause_Paste'!$A$1764:$AZ$1764,1,OC_Txn)="","",INDEX('OneCause_Paste'!$A$1764:$AZ$1764,1,OC_Txn)))</f>
        <v/>
      </c>
      <c r="M1764">
        <f>IF(OC_Pay=0,"",IF(INDEX('OneCause_Paste'!$A$1764:$AZ$1764,1,OC_Pay)="","",INDEX('OneCause_Paste'!$A$1764:$AZ$1764,1,OC_Pay)))</f>
        <v/>
      </c>
      <c r="N1764">
        <f>IF(I1764="","",IF(ISNUMBER(I1764),INT(I1764),IFERROR(INT(DATEVALUE(I1764)),IFERROR(INT(VALUE(I1764)),"bad"))))</f>
        <v/>
      </c>
      <c r="O1764">
        <f>IF(J1764="","",IF(ISNUMBER(J1764),ROUND(J1764,2),IFERROR(ROUND(VALUE(SUBSTITUTE(SUBSTITUTE(SUBSTITUTE(J1764,"$",""),",","")," ","")),2),"bad")))</f>
        <v/>
      </c>
      <c r="P1764">
        <f>IF(TRIM(K1764)="","",IFERROR(MATCH(LOWER(TRIM(K1764)),'Students'!$AH$2:$AH$701,0),IFERROR(MATCH(LOWER(TRIM(K1764)),'Students'!$AF$2:$AF$701,0),IFERROR(MATCH(LOWER(TRIM(K1764)),'Students'!$AG$2:$AG$701,0),""))))</f>
        <v/>
      </c>
      <c r="R1764">
        <f>IF(P1764="","",INDEX('Students'!$AD$2:$AD$701,P1764))</f>
        <v/>
      </c>
      <c r="S1764">
        <f>IF(H1764="OK",O1764,0)</f>
        <v/>
      </c>
      <c r="T1764">
        <f>IF(H1764="OK",N1764,"")</f>
        <v/>
      </c>
      <c r="U1764">
        <f>IF(OC_Donor=0,"",IF(INDEX('OneCause_Paste'!$A$1764:$AZ$1764,1,OC_Donor)="","",INDEX('OneCause_Paste'!$A$1764:$AZ$1764,1,OC_Donor)))</f>
        <v/>
      </c>
    </row>
    <row r="1765">
      <c r="A1765" s="62">
        <f>IF(H1765="","",IF(ISNUMBER(N1765),N1765,I1765))</f>
        <v/>
      </c>
      <c r="B1765">
        <f>IF(H1765="","",U1765)</f>
        <v/>
      </c>
      <c r="C1765">
        <f>IF(H1765="","",IF(P1765="",K1765,INDEX('Students'!$A$2:$A$701,P1765)))</f>
        <v/>
      </c>
      <c r="D1765">
        <f>IF(OR(H1765="",P1765=""),"",INDEX('Students'!$B$2:$B$701,P1765))</f>
        <v/>
      </c>
      <c r="E1765">
        <f>IF(OR(H1765="",P1765=""),"",INDEX('Students'!$C$2:$C$701,P1765))</f>
        <v/>
      </c>
      <c r="F1765" s="48">
        <f>IF(H1765="","",IF(ISNUMBER(O1765),O1765,J1765))</f>
        <v/>
      </c>
      <c r="G1765">
        <f>IF(H1765="","","OneCause")</f>
        <v/>
      </c>
      <c r="H1765">
        <f>IF(AND(I1765="",J1765="",K1765=""),"",IF(NOT(ISNUMBER(O1765)),"Bad amount",IF(O1765&lt;0,"Refund (not counted)",IF(O1765=0,"Zero amount",IF(NOT(ISNUMBER(N1765)),"Bad date",IF(P1765="","NAME NOT ON ROSTER",IF(L1765="","OK",IF(MATCH(L1765,$L$2:$L$3001,0)&lt;ROW()-1,"Duplicate (ignored)","OK"))))))))</f>
        <v/>
      </c>
      <c r="I1765">
        <f>IF(OC_Date=0,"",IF(INDEX('OneCause_Paste'!$A$1765:$AZ$1765,1,OC_Date)="","",INDEX('OneCause_Paste'!$A$1765:$AZ$1765,1,OC_Date)))</f>
        <v/>
      </c>
      <c r="J1765">
        <f>IF(OC_Amt=0,"",IF(INDEX('OneCause_Paste'!$A$1765:$AZ$1765,1,OC_Amt)="","",INDEX('OneCause_Paste'!$A$1765:$AZ$1765,1,OC_Amt)))</f>
        <v/>
      </c>
      <c r="K1765">
        <f>IF(OC_Name=0,"",IF(INDEX('OneCause_Paste'!$A$1765:$AZ$1765,1,OC_Name)="","",INDEX('OneCause_Paste'!$A$1765:$AZ$1765,1,OC_Name)))</f>
        <v/>
      </c>
      <c r="L1765">
        <f>IF(OC_Txn=0,"",IF(INDEX('OneCause_Paste'!$A$1765:$AZ$1765,1,OC_Txn)="","",INDEX('OneCause_Paste'!$A$1765:$AZ$1765,1,OC_Txn)))</f>
        <v/>
      </c>
      <c r="M1765">
        <f>IF(OC_Pay=0,"",IF(INDEX('OneCause_Paste'!$A$1765:$AZ$1765,1,OC_Pay)="","",INDEX('OneCause_Paste'!$A$1765:$AZ$1765,1,OC_Pay)))</f>
        <v/>
      </c>
      <c r="N1765">
        <f>IF(I1765="","",IF(ISNUMBER(I1765),INT(I1765),IFERROR(INT(DATEVALUE(I1765)),IFERROR(INT(VALUE(I1765)),"bad"))))</f>
        <v/>
      </c>
      <c r="O1765">
        <f>IF(J1765="","",IF(ISNUMBER(J1765),ROUND(J1765,2),IFERROR(ROUND(VALUE(SUBSTITUTE(SUBSTITUTE(SUBSTITUTE(J1765,"$",""),",","")," ","")),2),"bad")))</f>
        <v/>
      </c>
      <c r="P1765">
        <f>IF(TRIM(K1765)="","",IFERROR(MATCH(LOWER(TRIM(K1765)),'Students'!$AH$2:$AH$701,0),IFERROR(MATCH(LOWER(TRIM(K1765)),'Students'!$AF$2:$AF$701,0),IFERROR(MATCH(LOWER(TRIM(K1765)),'Students'!$AG$2:$AG$701,0),""))))</f>
        <v/>
      </c>
      <c r="R1765">
        <f>IF(P1765="","",INDEX('Students'!$AD$2:$AD$701,P1765))</f>
        <v/>
      </c>
      <c r="S1765">
        <f>IF(H1765="OK",O1765,0)</f>
        <v/>
      </c>
      <c r="T1765">
        <f>IF(H1765="OK",N1765,"")</f>
        <v/>
      </c>
      <c r="U1765">
        <f>IF(OC_Donor=0,"",IF(INDEX('OneCause_Paste'!$A$1765:$AZ$1765,1,OC_Donor)="","",INDEX('OneCause_Paste'!$A$1765:$AZ$1765,1,OC_Donor)))</f>
        <v/>
      </c>
    </row>
    <row r="1766">
      <c r="A1766" s="62">
        <f>IF(H1766="","",IF(ISNUMBER(N1766),N1766,I1766))</f>
        <v/>
      </c>
      <c r="B1766">
        <f>IF(H1766="","",U1766)</f>
        <v/>
      </c>
      <c r="C1766">
        <f>IF(H1766="","",IF(P1766="",K1766,INDEX('Students'!$A$2:$A$701,P1766)))</f>
        <v/>
      </c>
      <c r="D1766">
        <f>IF(OR(H1766="",P1766=""),"",INDEX('Students'!$B$2:$B$701,P1766))</f>
        <v/>
      </c>
      <c r="E1766">
        <f>IF(OR(H1766="",P1766=""),"",INDEX('Students'!$C$2:$C$701,P1766))</f>
        <v/>
      </c>
      <c r="F1766" s="48">
        <f>IF(H1766="","",IF(ISNUMBER(O1766),O1766,J1766))</f>
        <v/>
      </c>
      <c r="G1766">
        <f>IF(H1766="","","OneCause")</f>
        <v/>
      </c>
      <c r="H1766">
        <f>IF(AND(I1766="",J1766="",K1766=""),"",IF(NOT(ISNUMBER(O1766)),"Bad amount",IF(O1766&lt;0,"Refund (not counted)",IF(O1766=0,"Zero amount",IF(NOT(ISNUMBER(N1766)),"Bad date",IF(P1766="","NAME NOT ON ROSTER",IF(L1766="","OK",IF(MATCH(L1766,$L$2:$L$3001,0)&lt;ROW()-1,"Duplicate (ignored)","OK"))))))))</f>
        <v/>
      </c>
      <c r="I1766">
        <f>IF(OC_Date=0,"",IF(INDEX('OneCause_Paste'!$A$1766:$AZ$1766,1,OC_Date)="","",INDEX('OneCause_Paste'!$A$1766:$AZ$1766,1,OC_Date)))</f>
        <v/>
      </c>
      <c r="J1766">
        <f>IF(OC_Amt=0,"",IF(INDEX('OneCause_Paste'!$A$1766:$AZ$1766,1,OC_Amt)="","",INDEX('OneCause_Paste'!$A$1766:$AZ$1766,1,OC_Amt)))</f>
        <v/>
      </c>
      <c r="K1766">
        <f>IF(OC_Name=0,"",IF(INDEX('OneCause_Paste'!$A$1766:$AZ$1766,1,OC_Name)="","",INDEX('OneCause_Paste'!$A$1766:$AZ$1766,1,OC_Name)))</f>
        <v/>
      </c>
      <c r="L1766">
        <f>IF(OC_Txn=0,"",IF(INDEX('OneCause_Paste'!$A$1766:$AZ$1766,1,OC_Txn)="","",INDEX('OneCause_Paste'!$A$1766:$AZ$1766,1,OC_Txn)))</f>
        <v/>
      </c>
      <c r="M1766">
        <f>IF(OC_Pay=0,"",IF(INDEX('OneCause_Paste'!$A$1766:$AZ$1766,1,OC_Pay)="","",INDEX('OneCause_Paste'!$A$1766:$AZ$1766,1,OC_Pay)))</f>
        <v/>
      </c>
      <c r="N1766">
        <f>IF(I1766="","",IF(ISNUMBER(I1766),INT(I1766),IFERROR(INT(DATEVALUE(I1766)),IFERROR(INT(VALUE(I1766)),"bad"))))</f>
        <v/>
      </c>
      <c r="O1766">
        <f>IF(J1766="","",IF(ISNUMBER(J1766),ROUND(J1766,2),IFERROR(ROUND(VALUE(SUBSTITUTE(SUBSTITUTE(SUBSTITUTE(J1766,"$",""),",","")," ","")),2),"bad")))</f>
        <v/>
      </c>
      <c r="P1766">
        <f>IF(TRIM(K1766)="","",IFERROR(MATCH(LOWER(TRIM(K1766)),'Students'!$AH$2:$AH$701,0),IFERROR(MATCH(LOWER(TRIM(K1766)),'Students'!$AF$2:$AF$701,0),IFERROR(MATCH(LOWER(TRIM(K1766)),'Students'!$AG$2:$AG$701,0),""))))</f>
        <v/>
      </c>
      <c r="R1766">
        <f>IF(P1766="","",INDEX('Students'!$AD$2:$AD$701,P1766))</f>
        <v/>
      </c>
      <c r="S1766">
        <f>IF(H1766="OK",O1766,0)</f>
        <v/>
      </c>
      <c r="T1766">
        <f>IF(H1766="OK",N1766,"")</f>
        <v/>
      </c>
      <c r="U1766">
        <f>IF(OC_Donor=0,"",IF(INDEX('OneCause_Paste'!$A$1766:$AZ$1766,1,OC_Donor)="","",INDEX('OneCause_Paste'!$A$1766:$AZ$1766,1,OC_Donor)))</f>
        <v/>
      </c>
    </row>
    <row r="1767">
      <c r="A1767" s="62">
        <f>IF(H1767="","",IF(ISNUMBER(N1767),N1767,I1767))</f>
        <v/>
      </c>
      <c r="B1767">
        <f>IF(H1767="","",U1767)</f>
        <v/>
      </c>
      <c r="C1767">
        <f>IF(H1767="","",IF(P1767="",K1767,INDEX('Students'!$A$2:$A$701,P1767)))</f>
        <v/>
      </c>
      <c r="D1767">
        <f>IF(OR(H1767="",P1767=""),"",INDEX('Students'!$B$2:$B$701,P1767))</f>
        <v/>
      </c>
      <c r="E1767">
        <f>IF(OR(H1767="",P1767=""),"",INDEX('Students'!$C$2:$C$701,P1767))</f>
        <v/>
      </c>
      <c r="F1767" s="48">
        <f>IF(H1767="","",IF(ISNUMBER(O1767),O1767,J1767))</f>
        <v/>
      </c>
      <c r="G1767">
        <f>IF(H1767="","","OneCause")</f>
        <v/>
      </c>
      <c r="H1767">
        <f>IF(AND(I1767="",J1767="",K1767=""),"",IF(NOT(ISNUMBER(O1767)),"Bad amount",IF(O1767&lt;0,"Refund (not counted)",IF(O1767=0,"Zero amount",IF(NOT(ISNUMBER(N1767)),"Bad date",IF(P1767="","NAME NOT ON ROSTER",IF(L1767="","OK",IF(MATCH(L1767,$L$2:$L$3001,0)&lt;ROW()-1,"Duplicate (ignored)","OK"))))))))</f>
        <v/>
      </c>
      <c r="I1767">
        <f>IF(OC_Date=0,"",IF(INDEX('OneCause_Paste'!$A$1767:$AZ$1767,1,OC_Date)="","",INDEX('OneCause_Paste'!$A$1767:$AZ$1767,1,OC_Date)))</f>
        <v/>
      </c>
      <c r="J1767">
        <f>IF(OC_Amt=0,"",IF(INDEX('OneCause_Paste'!$A$1767:$AZ$1767,1,OC_Amt)="","",INDEX('OneCause_Paste'!$A$1767:$AZ$1767,1,OC_Amt)))</f>
        <v/>
      </c>
      <c r="K1767">
        <f>IF(OC_Name=0,"",IF(INDEX('OneCause_Paste'!$A$1767:$AZ$1767,1,OC_Name)="","",INDEX('OneCause_Paste'!$A$1767:$AZ$1767,1,OC_Name)))</f>
        <v/>
      </c>
      <c r="L1767">
        <f>IF(OC_Txn=0,"",IF(INDEX('OneCause_Paste'!$A$1767:$AZ$1767,1,OC_Txn)="","",INDEX('OneCause_Paste'!$A$1767:$AZ$1767,1,OC_Txn)))</f>
        <v/>
      </c>
      <c r="M1767">
        <f>IF(OC_Pay=0,"",IF(INDEX('OneCause_Paste'!$A$1767:$AZ$1767,1,OC_Pay)="","",INDEX('OneCause_Paste'!$A$1767:$AZ$1767,1,OC_Pay)))</f>
        <v/>
      </c>
      <c r="N1767">
        <f>IF(I1767="","",IF(ISNUMBER(I1767),INT(I1767),IFERROR(INT(DATEVALUE(I1767)),IFERROR(INT(VALUE(I1767)),"bad"))))</f>
        <v/>
      </c>
      <c r="O1767">
        <f>IF(J1767="","",IF(ISNUMBER(J1767),ROUND(J1767,2),IFERROR(ROUND(VALUE(SUBSTITUTE(SUBSTITUTE(SUBSTITUTE(J1767,"$",""),",","")," ","")),2),"bad")))</f>
        <v/>
      </c>
      <c r="P1767">
        <f>IF(TRIM(K1767)="","",IFERROR(MATCH(LOWER(TRIM(K1767)),'Students'!$AH$2:$AH$701,0),IFERROR(MATCH(LOWER(TRIM(K1767)),'Students'!$AF$2:$AF$701,0),IFERROR(MATCH(LOWER(TRIM(K1767)),'Students'!$AG$2:$AG$701,0),""))))</f>
        <v/>
      </c>
      <c r="R1767">
        <f>IF(P1767="","",INDEX('Students'!$AD$2:$AD$701,P1767))</f>
        <v/>
      </c>
      <c r="S1767">
        <f>IF(H1767="OK",O1767,0)</f>
        <v/>
      </c>
      <c r="T1767">
        <f>IF(H1767="OK",N1767,"")</f>
        <v/>
      </c>
      <c r="U1767">
        <f>IF(OC_Donor=0,"",IF(INDEX('OneCause_Paste'!$A$1767:$AZ$1767,1,OC_Donor)="","",INDEX('OneCause_Paste'!$A$1767:$AZ$1767,1,OC_Donor)))</f>
        <v/>
      </c>
    </row>
    <row r="1768">
      <c r="A1768" s="62">
        <f>IF(H1768="","",IF(ISNUMBER(N1768),N1768,I1768))</f>
        <v/>
      </c>
      <c r="B1768">
        <f>IF(H1768="","",U1768)</f>
        <v/>
      </c>
      <c r="C1768">
        <f>IF(H1768="","",IF(P1768="",K1768,INDEX('Students'!$A$2:$A$701,P1768)))</f>
        <v/>
      </c>
      <c r="D1768">
        <f>IF(OR(H1768="",P1768=""),"",INDEX('Students'!$B$2:$B$701,P1768))</f>
        <v/>
      </c>
      <c r="E1768">
        <f>IF(OR(H1768="",P1768=""),"",INDEX('Students'!$C$2:$C$701,P1768))</f>
        <v/>
      </c>
      <c r="F1768" s="48">
        <f>IF(H1768="","",IF(ISNUMBER(O1768),O1768,J1768))</f>
        <v/>
      </c>
      <c r="G1768">
        <f>IF(H1768="","","OneCause")</f>
        <v/>
      </c>
      <c r="H1768">
        <f>IF(AND(I1768="",J1768="",K1768=""),"",IF(NOT(ISNUMBER(O1768)),"Bad amount",IF(O1768&lt;0,"Refund (not counted)",IF(O1768=0,"Zero amount",IF(NOT(ISNUMBER(N1768)),"Bad date",IF(P1768="","NAME NOT ON ROSTER",IF(L1768="","OK",IF(MATCH(L1768,$L$2:$L$3001,0)&lt;ROW()-1,"Duplicate (ignored)","OK"))))))))</f>
        <v/>
      </c>
      <c r="I1768">
        <f>IF(OC_Date=0,"",IF(INDEX('OneCause_Paste'!$A$1768:$AZ$1768,1,OC_Date)="","",INDEX('OneCause_Paste'!$A$1768:$AZ$1768,1,OC_Date)))</f>
        <v/>
      </c>
      <c r="J1768">
        <f>IF(OC_Amt=0,"",IF(INDEX('OneCause_Paste'!$A$1768:$AZ$1768,1,OC_Amt)="","",INDEX('OneCause_Paste'!$A$1768:$AZ$1768,1,OC_Amt)))</f>
        <v/>
      </c>
      <c r="K1768">
        <f>IF(OC_Name=0,"",IF(INDEX('OneCause_Paste'!$A$1768:$AZ$1768,1,OC_Name)="","",INDEX('OneCause_Paste'!$A$1768:$AZ$1768,1,OC_Name)))</f>
        <v/>
      </c>
      <c r="L1768">
        <f>IF(OC_Txn=0,"",IF(INDEX('OneCause_Paste'!$A$1768:$AZ$1768,1,OC_Txn)="","",INDEX('OneCause_Paste'!$A$1768:$AZ$1768,1,OC_Txn)))</f>
        <v/>
      </c>
      <c r="M1768">
        <f>IF(OC_Pay=0,"",IF(INDEX('OneCause_Paste'!$A$1768:$AZ$1768,1,OC_Pay)="","",INDEX('OneCause_Paste'!$A$1768:$AZ$1768,1,OC_Pay)))</f>
        <v/>
      </c>
      <c r="N1768">
        <f>IF(I1768="","",IF(ISNUMBER(I1768),INT(I1768),IFERROR(INT(DATEVALUE(I1768)),IFERROR(INT(VALUE(I1768)),"bad"))))</f>
        <v/>
      </c>
      <c r="O1768">
        <f>IF(J1768="","",IF(ISNUMBER(J1768),ROUND(J1768,2),IFERROR(ROUND(VALUE(SUBSTITUTE(SUBSTITUTE(SUBSTITUTE(J1768,"$",""),",","")," ","")),2),"bad")))</f>
        <v/>
      </c>
      <c r="P1768">
        <f>IF(TRIM(K1768)="","",IFERROR(MATCH(LOWER(TRIM(K1768)),'Students'!$AH$2:$AH$701,0),IFERROR(MATCH(LOWER(TRIM(K1768)),'Students'!$AF$2:$AF$701,0),IFERROR(MATCH(LOWER(TRIM(K1768)),'Students'!$AG$2:$AG$701,0),""))))</f>
        <v/>
      </c>
      <c r="R1768">
        <f>IF(P1768="","",INDEX('Students'!$AD$2:$AD$701,P1768))</f>
        <v/>
      </c>
      <c r="S1768">
        <f>IF(H1768="OK",O1768,0)</f>
        <v/>
      </c>
      <c r="T1768">
        <f>IF(H1768="OK",N1768,"")</f>
        <v/>
      </c>
      <c r="U1768">
        <f>IF(OC_Donor=0,"",IF(INDEX('OneCause_Paste'!$A$1768:$AZ$1768,1,OC_Donor)="","",INDEX('OneCause_Paste'!$A$1768:$AZ$1768,1,OC_Donor)))</f>
        <v/>
      </c>
    </row>
    <row r="1769">
      <c r="A1769" s="62">
        <f>IF(H1769="","",IF(ISNUMBER(N1769),N1769,I1769))</f>
        <v/>
      </c>
      <c r="B1769">
        <f>IF(H1769="","",U1769)</f>
        <v/>
      </c>
      <c r="C1769">
        <f>IF(H1769="","",IF(P1769="",K1769,INDEX('Students'!$A$2:$A$701,P1769)))</f>
        <v/>
      </c>
      <c r="D1769">
        <f>IF(OR(H1769="",P1769=""),"",INDEX('Students'!$B$2:$B$701,P1769))</f>
        <v/>
      </c>
      <c r="E1769">
        <f>IF(OR(H1769="",P1769=""),"",INDEX('Students'!$C$2:$C$701,P1769))</f>
        <v/>
      </c>
      <c r="F1769" s="48">
        <f>IF(H1769="","",IF(ISNUMBER(O1769),O1769,J1769))</f>
        <v/>
      </c>
      <c r="G1769">
        <f>IF(H1769="","","OneCause")</f>
        <v/>
      </c>
      <c r="H1769">
        <f>IF(AND(I1769="",J1769="",K1769=""),"",IF(NOT(ISNUMBER(O1769)),"Bad amount",IF(O1769&lt;0,"Refund (not counted)",IF(O1769=0,"Zero amount",IF(NOT(ISNUMBER(N1769)),"Bad date",IF(P1769="","NAME NOT ON ROSTER",IF(L1769="","OK",IF(MATCH(L1769,$L$2:$L$3001,0)&lt;ROW()-1,"Duplicate (ignored)","OK"))))))))</f>
        <v/>
      </c>
      <c r="I1769">
        <f>IF(OC_Date=0,"",IF(INDEX('OneCause_Paste'!$A$1769:$AZ$1769,1,OC_Date)="","",INDEX('OneCause_Paste'!$A$1769:$AZ$1769,1,OC_Date)))</f>
        <v/>
      </c>
      <c r="J1769">
        <f>IF(OC_Amt=0,"",IF(INDEX('OneCause_Paste'!$A$1769:$AZ$1769,1,OC_Amt)="","",INDEX('OneCause_Paste'!$A$1769:$AZ$1769,1,OC_Amt)))</f>
        <v/>
      </c>
      <c r="K1769">
        <f>IF(OC_Name=0,"",IF(INDEX('OneCause_Paste'!$A$1769:$AZ$1769,1,OC_Name)="","",INDEX('OneCause_Paste'!$A$1769:$AZ$1769,1,OC_Name)))</f>
        <v/>
      </c>
      <c r="L1769">
        <f>IF(OC_Txn=0,"",IF(INDEX('OneCause_Paste'!$A$1769:$AZ$1769,1,OC_Txn)="","",INDEX('OneCause_Paste'!$A$1769:$AZ$1769,1,OC_Txn)))</f>
        <v/>
      </c>
      <c r="M1769">
        <f>IF(OC_Pay=0,"",IF(INDEX('OneCause_Paste'!$A$1769:$AZ$1769,1,OC_Pay)="","",INDEX('OneCause_Paste'!$A$1769:$AZ$1769,1,OC_Pay)))</f>
        <v/>
      </c>
      <c r="N1769">
        <f>IF(I1769="","",IF(ISNUMBER(I1769),INT(I1769),IFERROR(INT(DATEVALUE(I1769)),IFERROR(INT(VALUE(I1769)),"bad"))))</f>
        <v/>
      </c>
      <c r="O1769">
        <f>IF(J1769="","",IF(ISNUMBER(J1769),ROUND(J1769,2),IFERROR(ROUND(VALUE(SUBSTITUTE(SUBSTITUTE(SUBSTITUTE(J1769,"$",""),",","")," ","")),2),"bad")))</f>
        <v/>
      </c>
      <c r="P1769">
        <f>IF(TRIM(K1769)="","",IFERROR(MATCH(LOWER(TRIM(K1769)),'Students'!$AH$2:$AH$701,0),IFERROR(MATCH(LOWER(TRIM(K1769)),'Students'!$AF$2:$AF$701,0),IFERROR(MATCH(LOWER(TRIM(K1769)),'Students'!$AG$2:$AG$701,0),""))))</f>
        <v/>
      </c>
      <c r="R1769">
        <f>IF(P1769="","",INDEX('Students'!$AD$2:$AD$701,P1769))</f>
        <v/>
      </c>
      <c r="S1769">
        <f>IF(H1769="OK",O1769,0)</f>
        <v/>
      </c>
      <c r="T1769">
        <f>IF(H1769="OK",N1769,"")</f>
        <v/>
      </c>
      <c r="U1769">
        <f>IF(OC_Donor=0,"",IF(INDEX('OneCause_Paste'!$A$1769:$AZ$1769,1,OC_Donor)="","",INDEX('OneCause_Paste'!$A$1769:$AZ$1769,1,OC_Donor)))</f>
        <v/>
      </c>
    </row>
    <row r="1770">
      <c r="A1770" s="62">
        <f>IF(H1770="","",IF(ISNUMBER(N1770),N1770,I1770))</f>
        <v/>
      </c>
      <c r="B1770">
        <f>IF(H1770="","",U1770)</f>
        <v/>
      </c>
      <c r="C1770">
        <f>IF(H1770="","",IF(P1770="",K1770,INDEX('Students'!$A$2:$A$701,P1770)))</f>
        <v/>
      </c>
      <c r="D1770">
        <f>IF(OR(H1770="",P1770=""),"",INDEX('Students'!$B$2:$B$701,P1770))</f>
        <v/>
      </c>
      <c r="E1770">
        <f>IF(OR(H1770="",P1770=""),"",INDEX('Students'!$C$2:$C$701,P1770))</f>
        <v/>
      </c>
      <c r="F1770" s="48">
        <f>IF(H1770="","",IF(ISNUMBER(O1770),O1770,J1770))</f>
        <v/>
      </c>
      <c r="G1770">
        <f>IF(H1770="","","OneCause")</f>
        <v/>
      </c>
      <c r="H1770">
        <f>IF(AND(I1770="",J1770="",K1770=""),"",IF(NOT(ISNUMBER(O1770)),"Bad amount",IF(O1770&lt;0,"Refund (not counted)",IF(O1770=0,"Zero amount",IF(NOT(ISNUMBER(N1770)),"Bad date",IF(P1770="","NAME NOT ON ROSTER",IF(L1770="","OK",IF(MATCH(L1770,$L$2:$L$3001,0)&lt;ROW()-1,"Duplicate (ignored)","OK"))))))))</f>
        <v/>
      </c>
      <c r="I1770">
        <f>IF(OC_Date=0,"",IF(INDEX('OneCause_Paste'!$A$1770:$AZ$1770,1,OC_Date)="","",INDEX('OneCause_Paste'!$A$1770:$AZ$1770,1,OC_Date)))</f>
        <v/>
      </c>
      <c r="J1770">
        <f>IF(OC_Amt=0,"",IF(INDEX('OneCause_Paste'!$A$1770:$AZ$1770,1,OC_Amt)="","",INDEX('OneCause_Paste'!$A$1770:$AZ$1770,1,OC_Amt)))</f>
        <v/>
      </c>
      <c r="K1770">
        <f>IF(OC_Name=0,"",IF(INDEX('OneCause_Paste'!$A$1770:$AZ$1770,1,OC_Name)="","",INDEX('OneCause_Paste'!$A$1770:$AZ$1770,1,OC_Name)))</f>
        <v/>
      </c>
      <c r="L1770">
        <f>IF(OC_Txn=0,"",IF(INDEX('OneCause_Paste'!$A$1770:$AZ$1770,1,OC_Txn)="","",INDEX('OneCause_Paste'!$A$1770:$AZ$1770,1,OC_Txn)))</f>
        <v/>
      </c>
      <c r="M1770">
        <f>IF(OC_Pay=0,"",IF(INDEX('OneCause_Paste'!$A$1770:$AZ$1770,1,OC_Pay)="","",INDEX('OneCause_Paste'!$A$1770:$AZ$1770,1,OC_Pay)))</f>
        <v/>
      </c>
      <c r="N1770">
        <f>IF(I1770="","",IF(ISNUMBER(I1770),INT(I1770),IFERROR(INT(DATEVALUE(I1770)),IFERROR(INT(VALUE(I1770)),"bad"))))</f>
        <v/>
      </c>
      <c r="O1770">
        <f>IF(J1770="","",IF(ISNUMBER(J1770),ROUND(J1770,2),IFERROR(ROUND(VALUE(SUBSTITUTE(SUBSTITUTE(SUBSTITUTE(J1770,"$",""),",","")," ","")),2),"bad")))</f>
        <v/>
      </c>
      <c r="P1770">
        <f>IF(TRIM(K1770)="","",IFERROR(MATCH(LOWER(TRIM(K1770)),'Students'!$AH$2:$AH$701,0),IFERROR(MATCH(LOWER(TRIM(K1770)),'Students'!$AF$2:$AF$701,0),IFERROR(MATCH(LOWER(TRIM(K1770)),'Students'!$AG$2:$AG$701,0),""))))</f>
        <v/>
      </c>
      <c r="R1770">
        <f>IF(P1770="","",INDEX('Students'!$AD$2:$AD$701,P1770))</f>
        <v/>
      </c>
      <c r="S1770">
        <f>IF(H1770="OK",O1770,0)</f>
        <v/>
      </c>
      <c r="T1770">
        <f>IF(H1770="OK",N1770,"")</f>
        <v/>
      </c>
      <c r="U1770">
        <f>IF(OC_Donor=0,"",IF(INDEX('OneCause_Paste'!$A$1770:$AZ$1770,1,OC_Donor)="","",INDEX('OneCause_Paste'!$A$1770:$AZ$1770,1,OC_Donor)))</f>
        <v/>
      </c>
    </row>
    <row r="1771">
      <c r="A1771" s="62">
        <f>IF(H1771="","",IF(ISNUMBER(N1771),N1771,I1771))</f>
        <v/>
      </c>
      <c r="B1771">
        <f>IF(H1771="","",U1771)</f>
        <v/>
      </c>
      <c r="C1771">
        <f>IF(H1771="","",IF(P1771="",K1771,INDEX('Students'!$A$2:$A$701,P1771)))</f>
        <v/>
      </c>
      <c r="D1771">
        <f>IF(OR(H1771="",P1771=""),"",INDEX('Students'!$B$2:$B$701,P1771))</f>
        <v/>
      </c>
      <c r="E1771">
        <f>IF(OR(H1771="",P1771=""),"",INDEX('Students'!$C$2:$C$701,P1771))</f>
        <v/>
      </c>
      <c r="F1771" s="48">
        <f>IF(H1771="","",IF(ISNUMBER(O1771),O1771,J1771))</f>
        <v/>
      </c>
      <c r="G1771">
        <f>IF(H1771="","","OneCause")</f>
        <v/>
      </c>
      <c r="H1771">
        <f>IF(AND(I1771="",J1771="",K1771=""),"",IF(NOT(ISNUMBER(O1771)),"Bad amount",IF(O1771&lt;0,"Refund (not counted)",IF(O1771=0,"Zero amount",IF(NOT(ISNUMBER(N1771)),"Bad date",IF(P1771="","NAME NOT ON ROSTER",IF(L1771="","OK",IF(MATCH(L1771,$L$2:$L$3001,0)&lt;ROW()-1,"Duplicate (ignored)","OK"))))))))</f>
        <v/>
      </c>
      <c r="I1771">
        <f>IF(OC_Date=0,"",IF(INDEX('OneCause_Paste'!$A$1771:$AZ$1771,1,OC_Date)="","",INDEX('OneCause_Paste'!$A$1771:$AZ$1771,1,OC_Date)))</f>
        <v/>
      </c>
      <c r="J1771">
        <f>IF(OC_Amt=0,"",IF(INDEX('OneCause_Paste'!$A$1771:$AZ$1771,1,OC_Amt)="","",INDEX('OneCause_Paste'!$A$1771:$AZ$1771,1,OC_Amt)))</f>
        <v/>
      </c>
      <c r="K1771">
        <f>IF(OC_Name=0,"",IF(INDEX('OneCause_Paste'!$A$1771:$AZ$1771,1,OC_Name)="","",INDEX('OneCause_Paste'!$A$1771:$AZ$1771,1,OC_Name)))</f>
        <v/>
      </c>
      <c r="L1771">
        <f>IF(OC_Txn=0,"",IF(INDEX('OneCause_Paste'!$A$1771:$AZ$1771,1,OC_Txn)="","",INDEX('OneCause_Paste'!$A$1771:$AZ$1771,1,OC_Txn)))</f>
        <v/>
      </c>
      <c r="M1771">
        <f>IF(OC_Pay=0,"",IF(INDEX('OneCause_Paste'!$A$1771:$AZ$1771,1,OC_Pay)="","",INDEX('OneCause_Paste'!$A$1771:$AZ$1771,1,OC_Pay)))</f>
        <v/>
      </c>
      <c r="N1771">
        <f>IF(I1771="","",IF(ISNUMBER(I1771),INT(I1771),IFERROR(INT(DATEVALUE(I1771)),IFERROR(INT(VALUE(I1771)),"bad"))))</f>
        <v/>
      </c>
      <c r="O1771">
        <f>IF(J1771="","",IF(ISNUMBER(J1771),ROUND(J1771,2),IFERROR(ROUND(VALUE(SUBSTITUTE(SUBSTITUTE(SUBSTITUTE(J1771,"$",""),",","")," ","")),2),"bad")))</f>
        <v/>
      </c>
      <c r="P1771">
        <f>IF(TRIM(K1771)="","",IFERROR(MATCH(LOWER(TRIM(K1771)),'Students'!$AH$2:$AH$701,0),IFERROR(MATCH(LOWER(TRIM(K1771)),'Students'!$AF$2:$AF$701,0),IFERROR(MATCH(LOWER(TRIM(K1771)),'Students'!$AG$2:$AG$701,0),""))))</f>
        <v/>
      </c>
      <c r="R1771">
        <f>IF(P1771="","",INDEX('Students'!$AD$2:$AD$701,P1771))</f>
        <v/>
      </c>
      <c r="S1771">
        <f>IF(H1771="OK",O1771,0)</f>
        <v/>
      </c>
      <c r="T1771">
        <f>IF(H1771="OK",N1771,"")</f>
        <v/>
      </c>
      <c r="U1771">
        <f>IF(OC_Donor=0,"",IF(INDEX('OneCause_Paste'!$A$1771:$AZ$1771,1,OC_Donor)="","",INDEX('OneCause_Paste'!$A$1771:$AZ$1771,1,OC_Donor)))</f>
        <v/>
      </c>
    </row>
    <row r="1772">
      <c r="A1772" s="62">
        <f>IF(H1772="","",IF(ISNUMBER(N1772),N1772,I1772))</f>
        <v/>
      </c>
      <c r="B1772">
        <f>IF(H1772="","",U1772)</f>
        <v/>
      </c>
      <c r="C1772">
        <f>IF(H1772="","",IF(P1772="",K1772,INDEX('Students'!$A$2:$A$701,P1772)))</f>
        <v/>
      </c>
      <c r="D1772">
        <f>IF(OR(H1772="",P1772=""),"",INDEX('Students'!$B$2:$B$701,P1772))</f>
        <v/>
      </c>
      <c r="E1772">
        <f>IF(OR(H1772="",P1772=""),"",INDEX('Students'!$C$2:$C$701,P1772))</f>
        <v/>
      </c>
      <c r="F1772" s="48">
        <f>IF(H1772="","",IF(ISNUMBER(O1772),O1772,J1772))</f>
        <v/>
      </c>
      <c r="G1772">
        <f>IF(H1772="","","OneCause")</f>
        <v/>
      </c>
      <c r="H1772">
        <f>IF(AND(I1772="",J1772="",K1772=""),"",IF(NOT(ISNUMBER(O1772)),"Bad amount",IF(O1772&lt;0,"Refund (not counted)",IF(O1772=0,"Zero amount",IF(NOT(ISNUMBER(N1772)),"Bad date",IF(P1772="","NAME NOT ON ROSTER",IF(L1772="","OK",IF(MATCH(L1772,$L$2:$L$3001,0)&lt;ROW()-1,"Duplicate (ignored)","OK"))))))))</f>
        <v/>
      </c>
      <c r="I1772">
        <f>IF(OC_Date=0,"",IF(INDEX('OneCause_Paste'!$A$1772:$AZ$1772,1,OC_Date)="","",INDEX('OneCause_Paste'!$A$1772:$AZ$1772,1,OC_Date)))</f>
        <v/>
      </c>
      <c r="J1772">
        <f>IF(OC_Amt=0,"",IF(INDEX('OneCause_Paste'!$A$1772:$AZ$1772,1,OC_Amt)="","",INDEX('OneCause_Paste'!$A$1772:$AZ$1772,1,OC_Amt)))</f>
        <v/>
      </c>
      <c r="K1772">
        <f>IF(OC_Name=0,"",IF(INDEX('OneCause_Paste'!$A$1772:$AZ$1772,1,OC_Name)="","",INDEX('OneCause_Paste'!$A$1772:$AZ$1772,1,OC_Name)))</f>
        <v/>
      </c>
      <c r="L1772">
        <f>IF(OC_Txn=0,"",IF(INDEX('OneCause_Paste'!$A$1772:$AZ$1772,1,OC_Txn)="","",INDEX('OneCause_Paste'!$A$1772:$AZ$1772,1,OC_Txn)))</f>
        <v/>
      </c>
      <c r="M1772">
        <f>IF(OC_Pay=0,"",IF(INDEX('OneCause_Paste'!$A$1772:$AZ$1772,1,OC_Pay)="","",INDEX('OneCause_Paste'!$A$1772:$AZ$1772,1,OC_Pay)))</f>
        <v/>
      </c>
      <c r="N1772">
        <f>IF(I1772="","",IF(ISNUMBER(I1772),INT(I1772),IFERROR(INT(DATEVALUE(I1772)),IFERROR(INT(VALUE(I1772)),"bad"))))</f>
        <v/>
      </c>
      <c r="O1772">
        <f>IF(J1772="","",IF(ISNUMBER(J1772),ROUND(J1772,2),IFERROR(ROUND(VALUE(SUBSTITUTE(SUBSTITUTE(SUBSTITUTE(J1772,"$",""),",","")," ","")),2),"bad")))</f>
        <v/>
      </c>
      <c r="P1772">
        <f>IF(TRIM(K1772)="","",IFERROR(MATCH(LOWER(TRIM(K1772)),'Students'!$AH$2:$AH$701,0),IFERROR(MATCH(LOWER(TRIM(K1772)),'Students'!$AF$2:$AF$701,0),IFERROR(MATCH(LOWER(TRIM(K1772)),'Students'!$AG$2:$AG$701,0),""))))</f>
        <v/>
      </c>
      <c r="R1772">
        <f>IF(P1772="","",INDEX('Students'!$AD$2:$AD$701,P1772))</f>
        <v/>
      </c>
      <c r="S1772">
        <f>IF(H1772="OK",O1772,0)</f>
        <v/>
      </c>
      <c r="T1772">
        <f>IF(H1772="OK",N1772,"")</f>
        <v/>
      </c>
      <c r="U1772">
        <f>IF(OC_Donor=0,"",IF(INDEX('OneCause_Paste'!$A$1772:$AZ$1772,1,OC_Donor)="","",INDEX('OneCause_Paste'!$A$1772:$AZ$1772,1,OC_Donor)))</f>
        <v/>
      </c>
    </row>
    <row r="1773">
      <c r="A1773" s="62">
        <f>IF(H1773="","",IF(ISNUMBER(N1773),N1773,I1773))</f>
        <v/>
      </c>
      <c r="B1773">
        <f>IF(H1773="","",U1773)</f>
        <v/>
      </c>
      <c r="C1773">
        <f>IF(H1773="","",IF(P1773="",K1773,INDEX('Students'!$A$2:$A$701,P1773)))</f>
        <v/>
      </c>
      <c r="D1773">
        <f>IF(OR(H1773="",P1773=""),"",INDEX('Students'!$B$2:$B$701,P1773))</f>
        <v/>
      </c>
      <c r="E1773">
        <f>IF(OR(H1773="",P1773=""),"",INDEX('Students'!$C$2:$C$701,P1773))</f>
        <v/>
      </c>
      <c r="F1773" s="48">
        <f>IF(H1773="","",IF(ISNUMBER(O1773),O1773,J1773))</f>
        <v/>
      </c>
      <c r="G1773">
        <f>IF(H1773="","","OneCause")</f>
        <v/>
      </c>
      <c r="H1773">
        <f>IF(AND(I1773="",J1773="",K1773=""),"",IF(NOT(ISNUMBER(O1773)),"Bad amount",IF(O1773&lt;0,"Refund (not counted)",IF(O1773=0,"Zero amount",IF(NOT(ISNUMBER(N1773)),"Bad date",IF(P1773="","NAME NOT ON ROSTER",IF(L1773="","OK",IF(MATCH(L1773,$L$2:$L$3001,0)&lt;ROW()-1,"Duplicate (ignored)","OK"))))))))</f>
        <v/>
      </c>
      <c r="I1773">
        <f>IF(OC_Date=0,"",IF(INDEX('OneCause_Paste'!$A$1773:$AZ$1773,1,OC_Date)="","",INDEX('OneCause_Paste'!$A$1773:$AZ$1773,1,OC_Date)))</f>
        <v/>
      </c>
      <c r="J1773">
        <f>IF(OC_Amt=0,"",IF(INDEX('OneCause_Paste'!$A$1773:$AZ$1773,1,OC_Amt)="","",INDEX('OneCause_Paste'!$A$1773:$AZ$1773,1,OC_Amt)))</f>
        <v/>
      </c>
      <c r="K1773">
        <f>IF(OC_Name=0,"",IF(INDEX('OneCause_Paste'!$A$1773:$AZ$1773,1,OC_Name)="","",INDEX('OneCause_Paste'!$A$1773:$AZ$1773,1,OC_Name)))</f>
        <v/>
      </c>
      <c r="L1773">
        <f>IF(OC_Txn=0,"",IF(INDEX('OneCause_Paste'!$A$1773:$AZ$1773,1,OC_Txn)="","",INDEX('OneCause_Paste'!$A$1773:$AZ$1773,1,OC_Txn)))</f>
        <v/>
      </c>
      <c r="M1773">
        <f>IF(OC_Pay=0,"",IF(INDEX('OneCause_Paste'!$A$1773:$AZ$1773,1,OC_Pay)="","",INDEX('OneCause_Paste'!$A$1773:$AZ$1773,1,OC_Pay)))</f>
        <v/>
      </c>
      <c r="N1773">
        <f>IF(I1773="","",IF(ISNUMBER(I1773),INT(I1773),IFERROR(INT(DATEVALUE(I1773)),IFERROR(INT(VALUE(I1773)),"bad"))))</f>
        <v/>
      </c>
      <c r="O1773">
        <f>IF(J1773="","",IF(ISNUMBER(J1773),ROUND(J1773,2),IFERROR(ROUND(VALUE(SUBSTITUTE(SUBSTITUTE(SUBSTITUTE(J1773,"$",""),",","")," ","")),2),"bad")))</f>
        <v/>
      </c>
      <c r="P1773">
        <f>IF(TRIM(K1773)="","",IFERROR(MATCH(LOWER(TRIM(K1773)),'Students'!$AH$2:$AH$701,0),IFERROR(MATCH(LOWER(TRIM(K1773)),'Students'!$AF$2:$AF$701,0),IFERROR(MATCH(LOWER(TRIM(K1773)),'Students'!$AG$2:$AG$701,0),""))))</f>
        <v/>
      </c>
      <c r="R1773">
        <f>IF(P1773="","",INDEX('Students'!$AD$2:$AD$701,P1773))</f>
        <v/>
      </c>
      <c r="S1773">
        <f>IF(H1773="OK",O1773,0)</f>
        <v/>
      </c>
      <c r="T1773">
        <f>IF(H1773="OK",N1773,"")</f>
        <v/>
      </c>
      <c r="U1773">
        <f>IF(OC_Donor=0,"",IF(INDEX('OneCause_Paste'!$A$1773:$AZ$1773,1,OC_Donor)="","",INDEX('OneCause_Paste'!$A$1773:$AZ$1773,1,OC_Donor)))</f>
        <v/>
      </c>
    </row>
    <row r="1774">
      <c r="A1774" s="62">
        <f>IF(H1774="","",IF(ISNUMBER(N1774),N1774,I1774))</f>
        <v/>
      </c>
      <c r="B1774">
        <f>IF(H1774="","",U1774)</f>
        <v/>
      </c>
      <c r="C1774">
        <f>IF(H1774="","",IF(P1774="",K1774,INDEX('Students'!$A$2:$A$701,P1774)))</f>
        <v/>
      </c>
      <c r="D1774">
        <f>IF(OR(H1774="",P1774=""),"",INDEX('Students'!$B$2:$B$701,P1774))</f>
        <v/>
      </c>
      <c r="E1774">
        <f>IF(OR(H1774="",P1774=""),"",INDEX('Students'!$C$2:$C$701,P1774))</f>
        <v/>
      </c>
      <c r="F1774" s="48">
        <f>IF(H1774="","",IF(ISNUMBER(O1774),O1774,J1774))</f>
        <v/>
      </c>
      <c r="G1774">
        <f>IF(H1774="","","OneCause")</f>
        <v/>
      </c>
      <c r="H1774">
        <f>IF(AND(I1774="",J1774="",K1774=""),"",IF(NOT(ISNUMBER(O1774)),"Bad amount",IF(O1774&lt;0,"Refund (not counted)",IF(O1774=0,"Zero amount",IF(NOT(ISNUMBER(N1774)),"Bad date",IF(P1774="","NAME NOT ON ROSTER",IF(L1774="","OK",IF(MATCH(L1774,$L$2:$L$3001,0)&lt;ROW()-1,"Duplicate (ignored)","OK"))))))))</f>
        <v/>
      </c>
      <c r="I1774">
        <f>IF(OC_Date=0,"",IF(INDEX('OneCause_Paste'!$A$1774:$AZ$1774,1,OC_Date)="","",INDEX('OneCause_Paste'!$A$1774:$AZ$1774,1,OC_Date)))</f>
        <v/>
      </c>
      <c r="J1774">
        <f>IF(OC_Amt=0,"",IF(INDEX('OneCause_Paste'!$A$1774:$AZ$1774,1,OC_Amt)="","",INDEX('OneCause_Paste'!$A$1774:$AZ$1774,1,OC_Amt)))</f>
        <v/>
      </c>
      <c r="K1774">
        <f>IF(OC_Name=0,"",IF(INDEX('OneCause_Paste'!$A$1774:$AZ$1774,1,OC_Name)="","",INDEX('OneCause_Paste'!$A$1774:$AZ$1774,1,OC_Name)))</f>
        <v/>
      </c>
      <c r="L1774">
        <f>IF(OC_Txn=0,"",IF(INDEX('OneCause_Paste'!$A$1774:$AZ$1774,1,OC_Txn)="","",INDEX('OneCause_Paste'!$A$1774:$AZ$1774,1,OC_Txn)))</f>
        <v/>
      </c>
      <c r="M1774">
        <f>IF(OC_Pay=0,"",IF(INDEX('OneCause_Paste'!$A$1774:$AZ$1774,1,OC_Pay)="","",INDEX('OneCause_Paste'!$A$1774:$AZ$1774,1,OC_Pay)))</f>
        <v/>
      </c>
      <c r="N1774">
        <f>IF(I1774="","",IF(ISNUMBER(I1774),INT(I1774),IFERROR(INT(DATEVALUE(I1774)),IFERROR(INT(VALUE(I1774)),"bad"))))</f>
        <v/>
      </c>
      <c r="O1774">
        <f>IF(J1774="","",IF(ISNUMBER(J1774),ROUND(J1774,2),IFERROR(ROUND(VALUE(SUBSTITUTE(SUBSTITUTE(SUBSTITUTE(J1774,"$",""),",","")," ","")),2),"bad")))</f>
        <v/>
      </c>
      <c r="P1774">
        <f>IF(TRIM(K1774)="","",IFERROR(MATCH(LOWER(TRIM(K1774)),'Students'!$AH$2:$AH$701,0),IFERROR(MATCH(LOWER(TRIM(K1774)),'Students'!$AF$2:$AF$701,0),IFERROR(MATCH(LOWER(TRIM(K1774)),'Students'!$AG$2:$AG$701,0),""))))</f>
        <v/>
      </c>
      <c r="R1774">
        <f>IF(P1774="","",INDEX('Students'!$AD$2:$AD$701,P1774))</f>
        <v/>
      </c>
      <c r="S1774">
        <f>IF(H1774="OK",O1774,0)</f>
        <v/>
      </c>
      <c r="T1774">
        <f>IF(H1774="OK",N1774,"")</f>
        <v/>
      </c>
      <c r="U1774">
        <f>IF(OC_Donor=0,"",IF(INDEX('OneCause_Paste'!$A$1774:$AZ$1774,1,OC_Donor)="","",INDEX('OneCause_Paste'!$A$1774:$AZ$1774,1,OC_Donor)))</f>
        <v/>
      </c>
    </row>
    <row r="1775">
      <c r="A1775" s="62">
        <f>IF(H1775="","",IF(ISNUMBER(N1775),N1775,I1775))</f>
        <v/>
      </c>
      <c r="B1775">
        <f>IF(H1775="","",U1775)</f>
        <v/>
      </c>
      <c r="C1775">
        <f>IF(H1775="","",IF(P1775="",K1775,INDEX('Students'!$A$2:$A$701,P1775)))</f>
        <v/>
      </c>
      <c r="D1775">
        <f>IF(OR(H1775="",P1775=""),"",INDEX('Students'!$B$2:$B$701,P1775))</f>
        <v/>
      </c>
      <c r="E1775">
        <f>IF(OR(H1775="",P1775=""),"",INDEX('Students'!$C$2:$C$701,P1775))</f>
        <v/>
      </c>
      <c r="F1775" s="48">
        <f>IF(H1775="","",IF(ISNUMBER(O1775),O1775,J1775))</f>
        <v/>
      </c>
      <c r="G1775">
        <f>IF(H1775="","","OneCause")</f>
        <v/>
      </c>
      <c r="H1775">
        <f>IF(AND(I1775="",J1775="",K1775=""),"",IF(NOT(ISNUMBER(O1775)),"Bad amount",IF(O1775&lt;0,"Refund (not counted)",IF(O1775=0,"Zero amount",IF(NOT(ISNUMBER(N1775)),"Bad date",IF(P1775="","NAME NOT ON ROSTER",IF(L1775="","OK",IF(MATCH(L1775,$L$2:$L$3001,0)&lt;ROW()-1,"Duplicate (ignored)","OK"))))))))</f>
        <v/>
      </c>
      <c r="I1775">
        <f>IF(OC_Date=0,"",IF(INDEX('OneCause_Paste'!$A$1775:$AZ$1775,1,OC_Date)="","",INDEX('OneCause_Paste'!$A$1775:$AZ$1775,1,OC_Date)))</f>
        <v/>
      </c>
      <c r="J1775">
        <f>IF(OC_Amt=0,"",IF(INDEX('OneCause_Paste'!$A$1775:$AZ$1775,1,OC_Amt)="","",INDEX('OneCause_Paste'!$A$1775:$AZ$1775,1,OC_Amt)))</f>
        <v/>
      </c>
      <c r="K1775">
        <f>IF(OC_Name=0,"",IF(INDEX('OneCause_Paste'!$A$1775:$AZ$1775,1,OC_Name)="","",INDEX('OneCause_Paste'!$A$1775:$AZ$1775,1,OC_Name)))</f>
        <v/>
      </c>
      <c r="L1775">
        <f>IF(OC_Txn=0,"",IF(INDEX('OneCause_Paste'!$A$1775:$AZ$1775,1,OC_Txn)="","",INDEX('OneCause_Paste'!$A$1775:$AZ$1775,1,OC_Txn)))</f>
        <v/>
      </c>
      <c r="M1775">
        <f>IF(OC_Pay=0,"",IF(INDEX('OneCause_Paste'!$A$1775:$AZ$1775,1,OC_Pay)="","",INDEX('OneCause_Paste'!$A$1775:$AZ$1775,1,OC_Pay)))</f>
        <v/>
      </c>
      <c r="N1775">
        <f>IF(I1775="","",IF(ISNUMBER(I1775),INT(I1775),IFERROR(INT(DATEVALUE(I1775)),IFERROR(INT(VALUE(I1775)),"bad"))))</f>
        <v/>
      </c>
      <c r="O1775">
        <f>IF(J1775="","",IF(ISNUMBER(J1775),ROUND(J1775,2),IFERROR(ROUND(VALUE(SUBSTITUTE(SUBSTITUTE(SUBSTITUTE(J1775,"$",""),",","")," ","")),2),"bad")))</f>
        <v/>
      </c>
      <c r="P1775">
        <f>IF(TRIM(K1775)="","",IFERROR(MATCH(LOWER(TRIM(K1775)),'Students'!$AH$2:$AH$701,0),IFERROR(MATCH(LOWER(TRIM(K1775)),'Students'!$AF$2:$AF$701,0),IFERROR(MATCH(LOWER(TRIM(K1775)),'Students'!$AG$2:$AG$701,0),""))))</f>
        <v/>
      </c>
      <c r="R1775">
        <f>IF(P1775="","",INDEX('Students'!$AD$2:$AD$701,P1775))</f>
        <v/>
      </c>
      <c r="S1775">
        <f>IF(H1775="OK",O1775,0)</f>
        <v/>
      </c>
      <c r="T1775">
        <f>IF(H1775="OK",N1775,"")</f>
        <v/>
      </c>
      <c r="U1775">
        <f>IF(OC_Donor=0,"",IF(INDEX('OneCause_Paste'!$A$1775:$AZ$1775,1,OC_Donor)="","",INDEX('OneCause_Paste'!$A$1775:$AZ$1775,1,OC_Donor)))</f>
        <v/>
      </c>
    </row>
    <row r="1776">
      <c r="A1776" s="62">
        <f>IF(H1776="","",IF(ISNUMBER(N1776),N1776,I1776))</f>
        <v/>
      </c>
      <c r="B1776">
        <f>IF(H1776="","",U1776)</f>
        <v/>
      </c>
      <c r="C1776">
        <f>IF(H1776="","",IF(P1776="",K1776,INDEX('Students'!$A$2:$A$701,P1776)))</f>
        <v/>
      </c>
      <c r="D1776">
        <f>IF(OR(H1776="",P1776=""),"",INDEX('Students'!$B$2:$B$701,P1776))</f>
        <v/>
      </c>
      <c r="E1776">
        <f>IF(OR(H1776="",P1776=""),"",INDEX('Students'!$C$2:$C$701,P1776))</f>
        <v/>
      </c>
      <c r="F1776" s="48">
        <f>IF(H1776="","",IF(ISNUMBER(O1776),O1776,J1776))</f>
        <v/>
      </c>
      <c r="G1776">
        <f>IF(H1776="","","OneCause")</f>
        <v/>
      </c>
      <c r="H1776">
        <f>IF(AND(I1776="",J1776="",K1776=""),"",IF(NOT(ISNUMBER(O1776)),"Bad amount",IF(O1776&lt;0,"Refund (not counted)",IF(O1776=0,"Zero amount",IF(NOT(ISNUMBER(N1776)),"Bad date",IF(P1776="","NAME NOT ON ROSTER",IF(L1776="","OK",IF(MATCH(L1776,$L$2:$L$3001,0)&lt;ROW()-1,"Duplicate (ignored)","OK"))))))))</f>
        <v/>
      </c>
      <c r="I1776">
        <f>IF(OC_Date=0,"",IF(INDEX('OneCause_Paste'!$A$1776:$AZ$1776,1,OC_Date)="","",INDEX('OneCause_Paste'!$A$1776:$AZ$1776,1,OC_Date)))</f>
        <v/>
      </c>
      <c r="J1776">
        <f>IF(OC_Amt=0,"",IF(INDEX('OneCause_Paste'!$A$1776:$AZ$1776,1,OC_Amt)="","",INDEX('OneCause_Paste'!$A$1776:$AZ$1776,1,OC_Amt)))</f>
        <v/>
      </c>
      <c r="K1776">
        <f>IF(OC_Name=0,"",IF(INDEX('OneCause_Paste'!$A$1776:$AZ$1776,1,OC_Name)="","",INDEX('OneCause_Paste'!$A$1776:$AZ$1776,1,OC_Name)))</f>
        <v/>
      </c>
      <c r="L1776">
        <f>IF(OC_Txn=0,"",IF(INDEX('OneCause_Paste'!$A$1776:$AZ$1776,1,OC_Txn)="","",INDEX('OneCause_Paste'!$A$1776:$AZ$1776,1,OC_Txn)))</f>
        <v/>
      </c>
      <c r="M1776">
        <f>IF(OC_Pay=0,"",IF(INDEX('OneCause_Paste'!$A$1776:$AZ$1776,1,OC_Pay)="","",INDEX('OneCause_Paste'!$A$1776:$AZ$1776,1,OC_Pay)))</f>
        <v/>
      </c>
      <c r="N1776">
        <f>IF(I1776="","",IF(ISNUMBER(I1776),INT(I1776),IFERROR(INT(DATEVALUE(I1776)),IFERROR(INT(VALUE(I1776)),"bad"))))</f>
        <v/>
      </c>
      <c r="O1776">
        <f>IF(J1776="","",IF(ISNUMBER(J1776),ROUND(J1776,2),IFERROR(ROUND(VALUE(SUBSTITUTE(SUBSTITUTE(SUBSTITUTE(J1776,"$",""),",","")," ","")),2),"bad")))</f>
        <v/>
      </c>
      <c r="P1776">
        <f>IF(TRIM(K1776)="","",IFERROR(MATCH(LOWER(TRIM(K1776)),'Students'!$AH$2:$AH$701,0),IFERROR(MATCH(LOWER(TRIM(K1776)),'Students'!$AF$2:$AF$701,0),IFERROR(MATCH(LOWER(TRIM(K1776)),'Students'!$AG$2:$AG$701,0),""))))</f>
        <v/>
      </c>
      <c r="R1776">
        <f>IF(P1776="","",INDEX('Students'!$AD$2:$AD$701,P1776))</f>
        <v/>
      </c>
      <c r="S1776">
        <f>IF(H1776="OK",O1776,0)</f>
        <v/>
      </c>
      <c r="T1776">
        <f>IF(H1776="OK",N1776,"")</f>
        <v/>
      </c>
      <c r="U1776">
        <f>IF(OC_Donor=0,"",IF(INDEX('OneCause_Paste'!$A$1776:$AZ$1776,1,OC_Donor)="","",INDEX('OneCause_Paste'!$A$1776:$AZ$1776,1,OC_Donor)))</f>
        <v/>
      </c>
    </row>
    <row r="1777">
      <c r="A1777" s="62">
        <f>IF(H1777="","",IF(ISNUMBER(N1777),N1777,I1777))</f>
        <v/>
      </c>
      <c r="B1777">
        <f>IF(H1777="","",U1777)</f>
        <v/>
      </c>
      <c r="C1777">
        <f>IF(H1777="","",IF(P1777="",K1777,INDEX('Students'!$A$2:$A$701,P1777)))</f>
        <v/>
      </c>
      <c r="D1777">
        <f>IF(OR(H1777="",P1777=""),"",INDEX('Students'!$B$2:$B$701,P1777))</f>
        <v/>
      </c>
      <c r="E1777">
        <f>IF(OR(H1777="",P1777=""),"",INDEX('Students'!$C$2:$C$701,P1777))</f>
        <v/>
      </c>
      <c r="F1777" s="48">
        <f>IF(H1777="","",IF(ISNUMBER(O1777),O1777,J1777))</f>
        <v/>
      </c>
      <c r="G1777">
        <f>IF(H1777="","","OneCause")</f>
        <v/>
      </c>
      <c r="H1777">
        <f>IF(AND(I1777="",J1777="",K1777=""),"",IF(NOT(ISNUMBER(O1777)),"Bad amount",IF(O1777&lt;0,"Refund (not counted)",IF(O1777=0,"Zero amount",IF(NOT(ISNUMBER(N1777)),"Bad date",IF(P1777="","NAME NOT ON ROSTER",IF(L1777="","OK",IF(MATCH(L1777,$L$2:$L$3001,0)&lt;ROW()-1,"Duplicate (ignored)","OK"))))))))</f>
        <v/>
      </c>
      <c r="I1777">
        <f>IF(OC_Date=0,"",IF(INDEX('OneCause_Paste'!$A$1777:$AZ$1777,1,OC_Date)="","",INDEX('OneCause_Paste'!$A$1777:$AZ$1777,1,OC_Date)))</f>
        <v/>
      </c>
      <c r="J1777">
        <f>IF(OC_Amt=0,"",IF(INDEX('OneCause_Paste'!$A$1777:$AZ$1777,1,OC_Amt)="","",INDEX('OneCause_Paste'!$A$1777:$AZ$1777,1,OC_Amt)))</f>
        <v/>
      </c>
      <c r="K1777">
        <f>IF(OC_Name=0,"",IF(INDEX('OneCause_Paste'!$A$1777:$AZ$1777,1,OC_Name)="","",INDEX('OneCause_Paste'!$A$1777:$AZ$1777,1,OC_Name)))</f>
        <v/>
      </c>
      <c r="L1777">
        <f>IF(OC_Txn=0,"",IF(INDEX('OneCause_Paste'!$A$1777:$AZ$1777,1,OC_Txn)="","",INDEX('OneCause_Paste'!$A$1777:$AZ$1777,1,OC_Txn)))</f>
        <v/>
      </c>
      <c r="M1777">
        <f>IF(OC_Pay=0,"",IF(INDEX('OneCause_Paste'!$A$1777:$AZ$1777,1,OC_Pay)="","",INDEX('OneCause_Paste'!$A$1777:$AZ$1777,1,OC_Pay)))</f>
        <v/>
      </c>
      <c r="N1777">
        <f>IF(I1777="","",IF(ISNUMBER(I1777),INT(I1777),IFERROR(INT(DATEVALUE(I1777)),IFERROR(INT(VALUE(I1777)),"bad"))))</f>
        <v/>
      </c>
      <c r="O1777">
        <f>IF(J1777="","",IF(ISNUMBER(J1777),ROUND(J1777,2),IFERROR(ROUND(VALUE(SUBSTITUTE(SUBSTITUTE(SUBSTITUTE(J1777,"$",""),",","")," ","")),2),"bad")))</f>
        <v/>
      </c>
      <c r="P1777">
        <f>IF(TRIM(K1777)="","",IFERROR(MATCH(LOWER(TRIM(K1777)),'Students'!$AH$2:$AH$701,0),IFERROR(MATCH(LOWER(TRIM(K1777)),'Students'!$AF$2:$AF$701,0),IFERROR(MATCH(LOWER(TRIM(K1777)),'Students'!$AG$2:$AG$701,0),""))))</f>
        <v/>
      </c>
      <c r="R1777">
        <f>IF(P1777="","",INDEX('Students'!$AD$2:$AD$701,P1777))</f>
        <v/>
      </c>
      <c r="S1777">
        <f>IF(H1777="OK",O1777,0)</f>
        <v/>
      </c>
      <c r="T1777">
        <f>IF(H1777="OK",N1777,"")</f>
        <v/>
      </c>
      <c r="U1777">
        <f>IF(OC_Donor=0,"",IF(INDEX('OneCause_Paste'!$A$1777:$AZ$1777,1,OC_Donor)="","",INDEX('OneCause_Paste'!$A$1777:$AZ$1777,1,OC_Donor)))</f>
        <v/>
      </c>
    </row>
    <row r="1778">
      <c r="A1778" s="62">
        <f>IF(H1778="","",IF(ISNUMBER(N1778),N1778,I1778))</f>
        <v/>
      </c>
      <c r="B1778">
        <f>IF(H1778="","",U1778)</f>
        <v/>
      </c>
      <c r="C1778">
        <f>IF(H1778="","",IF(P1778="",K1778,INDEX('Students'!$A$2:$A$701,P1778)))</f>
        <v/>
      </c>
      <c r="D1778">
        <f>IF(OR(H1778="",P1778=""),"",INDEX('Students'!$B$2:$B$701,P1778))</f>
        <v/>
      </c>
      <c r="E1778">
        <f>IF(OR(H1778="",P1778=""),"",INDEX('Students'!$C$2:$C$701,P1778))</f>
        <v/>
      </c>
      <c r="F1778" s="48">
        <f>IF(H1778="","",IF(ISNUMBER(O1778),O1778,J1778))</f>
        <v/>
      </c>
      <c r="G1778">
        <f>IF(H1778="","","OneCause")</f>
        <v/>
      </c>
      <c r="H1778">
        <f>IF(AND(I1778="",J1778="",K1778=""),"",IF(NOT(ISNUMBER(O1778)),"Bad amount",IF(O1778&lt;0,"Refund (not counted)",IF(O1778=0,"Zero amount",IF(NOT(ISNUMBER(N1778)),"Bad date",IF(P1778="","NAME NOT ON ROSTER",IF(L1778="","OK",IF(MATCH(L1778,$L$2:$L$3001,0)&lt;ROW()-1,"Duplicate (ignored)","OK"))))))))</f>
        <v/>
      </c>
      <c r="I1778">
        <f>IF(OC_Date=0,"",IF(INDEX('OneCause_Paste'!$A$1778:$AZ$1778,1,OC_Date)="","",INDEX('OneCause_Paste'!$A$1778:$AZ$1778,1,OC_Date)))</f>
        <v/>
      </c>
      <c r="J1778">
        <f>IF(OC_Amt=0,"",IF(INDEX('OneCause_Paste'!$A$1778:$AZ$1778,1,OC_Amt)="","",INDEX('OneCause_Paste'!$A$1778:$AZ$1778,1,OC_Amt)))</f>
        <v/>
      </c>
      <c r="K1778">
        <f>IF(OC_Name=0,"",IF(INDEX('OneCause_Paste'!$A$1778:$AZ$1778,1,OC_Name)="","",INDEX('OneCause_Paste'!$A$1778:$AZ$1778,1,OC_Name)))</f>
        <v/>
      </c>
      <c r="L1778">
        <f>IF(OC_Txn=0,"",IF(INDEX('OneCause_Paste'!$A$1778:$AZ$1778,1,OC_Txn)="","",INDEX('OneCause_Paste'!$A$1778:$AZ$1778,1,OC_Txn)))</f>
        <v/>
      </c>
      <c r="M1778">
        <f>IF(OC_Pay=0,"",IF(INDEX('OneCause_Paste'!$A$1778:$AZ$1778,1,OC_Pay)="","",INDEX('OneCause_Paste'!$A$1778:$AZ$1778,1,OC_Pay)))</f>
        <v/>
      </c>
      <c r="N1778">
        <f>IF(I1778="","",IF(ISNUMBER(I1778),INT(I1778),IFERROR(INT(DATEVALUE(I1778)),IFERROR(INT(VALUE(I1778)),"bad"))))</f>
        <v/>
      </c>
      <c r="O1778">
        <f>IF(J1778="","",IF(ISNUMBER(J1778),ROUND(J1778,2),IFERROR(ROUND(VALUE(SUBSTITUTE(SUBSTITUTE(SUBSTITUTE(J1778,"$",""),",","")," ","")),2),"bad")))</f>
        <v/>
      </c>
      <c r="P1778">
        <f>IF(TRIM(K1778)="","",IFERROR(MATCH(LOWER(TRIM(K1778)),'Students'!$AH$2:$AH$701,0),IFERROR(MATCH(LOWER(TRIM(K1778)),'Students'!$AF$2:$AF$701,0),IFERROR(MATCH(LOWER(TRIM(K1778)),'Students'!$AG$2:$AG$701,0),""))))</f>
        <v/>
      </c>
      <c r="R1778">
        <f>IF(P1778="","",INDEX('Students'!$AD$2:$AD$701,P1778))</f>
        <v/>
      </c>
      <c r="S1778">
        <f>IF(H1778="OK",O1778,0)</f>
        <v/>
      </c>
      <c r="T1778">
        <f>IF(H1778="OK",N1778,"")</f>
        <v/>
      </c>
      <c r="U1778">
        <f>IF(OC_Donor=0,"",IF(INDEX('OneCause_Paste'!$A$1778:$AZ$1778,1,OC_Donor)="","",INDEX('OneCause_Paste'!$A$1778:$AZ$1778,1,OC_Donor)))</f>
        <v/>
      </c>
    </row>
    <row r="1779">
      <c r="A1779" s="62">
        <f>IF(H1779="","",IF(ISNUMBER(N1779),N1779,I1779))</f>
        <v/>
      </c>
      <c r="B1779">
        <f>IF(H1779="","",U1779)</f>
        <v/>
      </c>
      <c r="C1779">
        <f>IF(H1779="","",IF(P1779="",K1779,INDEX('Students'!$A$2:$A$701,P1779)))</f>
        <v/>
      </c>
      <c r="D1779">
        <f>IF(OR(H1779="",P1779=""),"",INDEX('Students'!$B$2:$B$701,P1779))</f>
        <v/>
      </c>
      <c r="E1779">
        <f>IF(OR(H1779="",P1779=""),"",INDEX('Students'!$C$2:$C$701,P1779))</f>
        <v/>
      </c>
      <c r="F1779" s="48">
        <f>IF(H1779="","",IF(ISNUMBER(O1779),O1779,J1779))</f>
        <v/>
      </c>
      <c r="G1779">
        <f>IF(H1779="","","OneCause")</f>
        <v/>
      </c>
      <c r="H1779">
        <f>IF(AND(I1779="",J1779="",K1779=""),"",IF(NOT(ISNUMBER(O1779)),"Bad amount",IF(O1779&lt;0,"Refund (not counted)",IF(O1779=0,"Zero amount",IF(NOT(ISNUMBER(N1779)),"Bad date",IF(P1779="","NAME NOT ON ROSTER",IF(L1779="","OK",IF(MATCH(L1779,$L$2:$L$3001,0)&lt;ROW()-1,"Duplicate (ignored)","OK"))))))))</f>
        <v/>
      </c>
      <c r="I1779">
        <f>IF(OC_Date=0,"",IF(INDEX('OneCause_Paste'!$A$1779:$AZ$1779,1,OC_Date)="","",INDEX('OneCause_Paste'!$A$1779:$AZ$1779,1,OC_Date)))</f>
        <v/>
      </c>
      <c r="J1779">
        <f>IF(OC_Amt=0,"",IF(INDEX('OneCause_Paste'!$A$1779:$AZ$1779,1,OC_Amt)="","",INDEX('OneCause_Paste'!$A$1779:$AZ$1779,1,OC_Amt)))</f>
        <v/>
      </c>
      <c r="K1779">
        <f>IF(OC_Name=0,"",IF(INDEX('OneCause_Paste'!$A$1779:$AZ$1779,1,OC_Name)="","",INDEX('OneCause_Paste'!$A$1779:$AZ$1779,1,OC_Name)))</f>
        <v/>
      </c>
      <c r="L1779">
        <f>IF(OC_Txn=0,"",IF(INDEX('OneCause_Paste'!$A$1779:$AZ$1779,1,OC_Txn)="","",INDEX('OneCause_Paste'!$A$1779:$AZ$1779,1,OC_Txn)))</f>
        <v/>
      </c>
      <c r="M1779">
        <f>IF(OC_Pay=0,"",IF(INDEX('OneCause_Paste'!$A$1779:$AZ$1779,1,OC_Pay)="","",INDEX('OneCause_Paste'!$A$1779:$AZ$1779,1,OC_Pay)))</f>
        <v/>
      </c>
      <c r="N1779">
        <f>IF(I1779="","",IF(ISNUMBER(I1779),INT(I1779),IFERROR(INT(DATEVALUE(I1779)),IFERROR(INT(VALUE(I1779)),"bad"))))</f>
        <v/>
      </c>
      <c r="O1779">
        <f>IF(J1779="","",IF(ISNUMBER(J1779),ROUND(J1779,2),IFERROR(ROUND(VALUE(SUBSTITUTE(SUBSTITUTE(SUBSTITUTE(J1779,"$",""),",","")," ","")),2),"bad")))</f>
        <v/>
      </c>
      <c r="P1779">
        <f>IF(TRIM(K1779)="","",IFERROR(MATCH(LOWER(TRIM(K1779)),'Students'!$AH$2:$AH$701,0),IFERROR(MATCH(LOWER(TRIM(K1779)),'Students'!$AF$2:$AF$701,0),IFERROR(MATCH(LOWER(TRIM(K1779)),'Students'!$AG$2:$AG$701,0),""))))</f>
        <v/>
      </c>
      <c r="R1779">
        <f>IF(P1779="","",INDEX('Students'!$AD$2:$AD$701,P1779))</f>
        <v/>
      </c>
      <c r="S1779">
        <f>IF(H1779="OK",O1779,0)</f>
        <v/>
      </c>
      <c r="T1779">
        <f>IF(H1779="OK",N1779,"")</f>
        <v/>
      </c>
      <c r="U1779">
        <f>IF(OC_Donor=0,"",IF(INDEX('OneCause_Paste'!$A$1779:$AZ$1779,1,OC_Donor)="","",INDEX('OneCause_Paste'!$A$1779:$AZ$1779,1,OC_Donor)))</f>
        <v/>
      </c>
    </row>
    <row r="1780">
      <c r="A1780" s="62">
        <f>IF(H1780="","",IF(ISNUMBER(N1780),N1780,I1780))</f>
        <v/>
      </c>
      <c r="B1780">
        <f>IF(H1780="","",U1780)</f>
        <v/>
      </c>
      <c r="C1780">
        <f>IF(H1780="","",IF(P1780="",K1780,INDEX('Students'!$A$2:$A$701,P1780)))</f>
        <v/>
      </c>
      <c r="D1780">
        <f>IF(OR(H1780="",P1780=""),"",INDEX('Students'!$B$2:$B$701,P1780))</f>
        <v/>
      </c>
      <c r="E1780">
        <f>IF(OR(H1780="",P1780=""),"",INDEX('Students'!$C$2:$C$701,P1780))</f>
        <v/>
      </c>
      <c r="F1780" s="48">
        <f>IF(H1780="","",IF(ISNUMBER(O1780),O1780,J1780))</f>
        <v/>
      </c>
      <c r="G1780">
        <f>IF(H1780="","","OneCause")</f>
        <v/>
      </c>
      <c r="H1780">
        <f>IF(AND(I1780="",J1780="",K1780=""),"",IF(NOT(ISNUMBER(O1780)),"Bad amount",IF(O1780&lt;0,"Refund (not counted)",IF(O1780=0,"Zero amount",IF(NOT(ISNUMBER(N1780)),"Bad date",IF(P1780="","NAME NOT ON ROSTER",IF(L1780="","OK",IF(MATCH(L1780,$L$2:$L$3001,0)&lt;ROW()-1,"Duplicate (ignored)","OK"))))))))</f>
        <v/>
      </c>
      <c r="I1780">
        <f>IF(OC_Date=0,"",IF(INDEX('OneCause_Paste'!$A$1780:$AZ$1780,1,OC_Date)="","",INDEX('OneCause_Paste'!$A$1780:$AZ$1780,1,OC_Date)))</f>
        <v/>
      </c>
      <c r="J1780">
        <f>IF(OC_Amt=0,"",IF(INDEX('OneCause_Paste'!$A$1780:$AZ$1780,1,OC_Amt)="","",INDEX('OneCause_Paste'!$A$1780:$AZ$1780,1,OC_Amt)))</f>
        <v/>
      </c>
      <c r="K1780">
        <f>IF(OC_Name=0,"",IF(INDEX('OneCause_Paste'!$A$1780:$AZ$1780,1,OC_Name)="","",INDEX('OneCause_Paste'!$A$1780:$AZ$1780,1,OC_Name)))</f>
        <v/>
      </c>
      <c r="L1780">
        <f>IF(OC_Txn=0,"",IF(INDEX('OneCause_Paste'!$A$1780:$AZ$1780,1,OC_Txn)="","",INDEX('OneCause_Paste'!$A$1780:$AZ$1780,1,OC_Txn)))</f>
        <v/>
      </c>
      <c r="M1780">
        <f>IF(OC_Pay=0,"",IF(INDEX('OneCause_Paste'!$A$1780:$AZ$1780,1,OC_Pay)="","",INDEX('OneCause_Paste'!$A$1780:$AZ$1780,1,OC_Pay)))</f>
        <v/>
      </c>
      <c r="N1780">
        <f>IF(I1780="","",IF(ISNUMBER(I1780),INT(I1780),IFERROR(INT(DATEVALUE(I1780)),IFERROR(INT(VALUE(I1780)),"bad"))))</f>
        <v/>
      </c>
      <c r="O1780">
        <f>IF(J1780="","",IF(ISNUMBER(J1780),ROUND(J1780,2),IFERROR(ROUND(VALUE(SUBSTITUTE(SUBSTITUTE(SUBSTITUTE(J1780,"$",""),",","")," ","")),2),"bad")))</f>
        <v/>
      </c>
      <c r="P1780">
        <f>IF(TRIM(K1780)="","",IFERROR(MATCH(LOWER(TRIM(K1780)),'Students'!$AH$2:$AH$701,0),IFERROR(MATCH(LOWER(TRIM(K1780)),'Students'!$AF$2:$AF$701,0),IFERROR(MATCH(LOWER(TRIM(K1780)),'Students'!$AG$2:$AG$701,0),""))))</f>
        <v/>
      </c>
      <c r="R1780">
        <f>IF(P1780="","",INDEX('Students'!$AD$2:$AD$701,P1780))</f>
        <v/>
      </c>
      <c r="S1780">
        <f>IF(H1780="OK",O1780,0)</f>
        <v/>
      </c>
      <c r="T1780">
        <f>IF(H1780="OK",N1780,"")</f>
        <v/>
      </c>
      <c r="U1780">
        <f>IF(OC_Donor=0,"",IF(INDEX('OneCause_Paste'!$A$1780:$AZ$1780,1,OC_Donor)="","",INDEX('OneCause_Paste'!$A$1780:$AZ$1780,1,OC_Donor)))</f>
        <v/>
      </c>
    </row>
    <row r="1781">
      <c r="A1781" s="62">
        <f>IF(H1781="","",IF(ISNUMBER(N1781),N1781,I1781))</f>
        <v/>
      </c>
      <c r="B1781">
        <f>IF(H1781="","",U1781)</f>
        <v/>
      </c>
      <c r="C1781">
        <f>IF(H1781="","",IF(P1781="",K1781,INDEX('Students'!$A$2:$A$701,P1781)))</f>
        <v/>
      </c>
      <c r="D1781">
        <f>IF(OR(H1781="",P1781=""),"",INDEX('Students'!$B$2:$B$701,P1781))</f>
        <v/>
      </c>
      <c r="E1781">
        <f>IF(OR(H1781="",P1781=""),"",INDEX('Students'!$C$2:$C$701,P1781))</f>
        <v/>
      </c>
      <c r="F1781" s="48">
        <f>IF(H1781="","",IF(ISNUMBER(O1781),O1781,J1781))</f>
        <v/>
      </c>
      <c r="G1781">
        <f>IF(H1781="","","OneCause")</f>
        <v/>
      </c>
      <c r="H1781">
        <f>IF(AND(I1781="",J1781="",K1781=""),"",IF(NOT(ISNUMBER(O1781)),"Bad amount",IF(O1781&lt;0,"Refund (not counted)",IF(O1781=0,"Zero amount",IF(NOT(ISNUMBER(N1781)),"Bad date",IF(P1781="","NAME NOT ON ROSTER",IF(L1781="","OK",IF(MATCH(L1781,$L$2:$L$3001,0)&lt;ROW()-1,"Duplicate (ignored)","OK"))))))))</f>
        <v/>
      </c>
      <c r="I1781">
        <f>IF(OC_Date=0,"",IF(INDEX('OneCause_Paste'!$A$1781:$AZ$1781,1,OC_Date)="","",INDEX('OneCause_Paste'!$A$1781:$AZ$1781,1,OC_Date)))</f>
        <v/>
      </c>
      <c r="J1781">
        <f>IF(OC_Amt=0,"",IF(INDEX('OneCause_Paste'!$A$1781:$AZ$1781,1,OC_Amt)="","",INDEX('OneCause_Paste'!$A$1781:$AZ$1781,1,OC_Amt)))</f>
        <v/>
      </c>
      <c r="K1781">
        <f>IF(OC_Name=0,"",IF(INDEX('OneCause_Paste'!$A$1781:$AZ$1781,1,OC_Name)="","",INDEX('OneCause_Paste'!$A$1781:$AZ$1781,1,OC_Name)))</f>
        <v/>
      </c>
      <c r="L1781">
        <f>IF(OC_Txn=0,"",IF(INDEX('OneCause_Paste'!$A$1781:$AZ$1781,1,OC_Txn)="","",INDEX('OneCause_Paste'!$A$1781:$AZ$1781,1,OC_Txn)))</f>
        <v/>
      </c>
      <c r="M1781">
        <f>IF(OC_Pay=0,"",IF(INDEX('OneCause_Paste'!$A$1781:$AZ$1781,1,OC_Pay)="","",INDEX('OneCause_Paste'!$A$1781:$AZ$1781,1,OC_Pay)))</f>
        <v/>
      </c>
      <c r="N1781">
        <f>IF(I1781="","",IF(ISNUMBER(I1781),INT(I1781),IFERROR(INT(DATEVALUE(I1781)),IFERROR(INT(VALUE(I1781)),"bad"))))</f>
        <v/>
      </c>
      <c r="O1781">
        <f>IF(J1781="","",IF(ISNUMBER(J1781),ROUND(J1781,2),IFERROR(ROUND(VALUE(SUBSTITUTE(SUBSTITUTE(SUBSTITUTE(J1781,"$",""),",","")," ","")),2),"bad")))</f>
        <v/>
      </c>
      <c r="P1781">
        <f>IF(TRIM(K1781)="","",IFERROR(MATCH(LOWER(TRIM(K1781)),'Students'!$AH$2:$AH$701,0),IFERROR(MATCH(LOWER(TRIM(K1781)),'Students'!$AF$2:$AF$701,0),IFERROR(MATCH(LOWER(TRIM(K1781)),'Students'!$AG$2:$AG$701,0),""))))</f>
        <v/>
      </c>
      <c r="R1781">
        <f>IF(P1781="","",INDEX('Students'!$AD$2:$AD$701,P1781))</f>
        <v/>
      </c>
      <c r="S1781">
        <f>IF(H1781="OK",O1781,0)</f>
        <v/>
      </c>
      <c r="T1781">
        <f>IF(H1781="OK",N1781,"")</f>
        <v/>
      </c>
      <c r="U1781">
        <f>IF(OC_Donor=0,"",IF(INDEX('OneCause_Paste'!$A$1781:$AZ$1781,1,OC_Donor)="","",INDEX('OneCause_Paste'!$A$1781:$AZ$1781,1,OC_Donor)))</f>
        <v/>
      </c>
    </row>
    <row r="1782">
      <c r="A1782" s="62">
        <f>IF(H1782="","",IF(ISNUMBER(N1782),N1782,I1782))</f>
        <v/>
      </c>
      <c r="B1782">
        <f>IF(H1782="","",U1782)</f>
        <v/>
      </c>
      <c r="C1782">
        <f>IF(H1782="","",IF(P1782="",K1782,INDEX('Students'!$A$2:$A$701,P1782)))</f>
        <v/>
      </c>
      <c r="D1782">
        <f>IF(OR(H1782="",P1782=""),"",INDEX('Students'!$B$2:$B$701,P1782))</f>
        <v/>
      </c>
      <c r="E1782">
        <f>IF(OR(H1782="",P1782=""),"",INDEX('Students'!$C$2:$C$701,P1782))</f>
        <v/>
      </c>
      <c r="F1782" s="48">
        <f>IF(H1782="","",IF(ISNUMBER(O1782),O1782,J1782))</f>
        <v/>
      </c>
      <c r="G1782">
        <f>IF(H1782="","","OneCause")</f>
        <v/>
      </c>
      <c r="H1782">
        <f>IF(AND(I1782="",J1782="",K1782=""),"",IF(NOT(ISNUMBER(O1782)),"Bad amount",IF(O1782&lt;0,"Refund (not counted)",IF(O1782=0,"Zero amount",IF(NOT(ISNUMBER(N1782)),"Bad date",IF(P1782="","NAME NOT ON ROSTER",IF(L1782="","OK",IF(MATCH(L1782,$L$2:$L$3001,0)&lt;ROW()-1,"Duplicate (ignored)","OK"))))))))</f>
        <v/>
      </c>
      <c r="I1782">
        <f>IF(OC_Date=0,"",IF(INDEX('OneCause_Paste'!$A$1782:$AZ$1782,1,OC_Date)="","",INDEX('OneCause_Paste'!$A$1782:$AZ$1782,1,OC_Date)))</f>
        <v/>
      </c>
      <c r="J1782">
        <f>IF(OC_Amt=0,"",IF(INDEX('OneCause_Paste'!$A$1782:$AZ$1782,1,OC_Amt)="","",INDEX('OneCause_Paste'!$A$1782:$AZ$1782,1,OC_Amt)))</f>
        <v/>
      </c>
      <c r="K1782">
        <f>IF(OC_Name=0,"",IF(INDEX('OneCause_Paste'!$A$1782:$AZ$1782,1,OC_Name)="","",INDEX('OneCause_Paste'!$A$1782:$AZ$1782,1,OC_Name)))</f>
        <v/>
      </c>
      <c r="L1782">
        <f>IF(OC_Txn=0,"",IF(INDEX('OneCause_Paste'!$A$1782:$AZ$1782,1,OC_Txn)="","",INDEX('OneCause_Paste'!$A$1782:$AZ$1782,1,OC_Txn)))</f>
        <v/>
      </c>
      <c r="M1782">
        <f>IF(OC_Pay=0,"",IF(INDEX('OneCause_Paste'!$A$1782:$AZ$1782,1,OC_Pay)="","",INDEX('OneCause_Paste'!$A$1782:$AZ$1782,1,OC_Pay)))</f>
        <v/>
      </c>
      <c r="N1782">
        <f>IF(I1782="","",IF(ISNUMBER(I1782),INT(I1782),IFERROR(INT(DATEVALUE(I1782)),IFERROR(INT(VALUE(I1782)),"bad"))))</f>
        <v/>
      </c>
      <c r="O1782">
        <f>IF(J1782="","",IF(ISNUMBER(J1782),ROUND(J1782,2),IFERROR(ROUND(VALUE(SUBSTITUTE(SUBSTITUTE(SUBSTITUTE(J1782,"$",""),",","")," ","")),2),"bad")))</f>
        <v/>
      </c>
      <c r="P1782">
        <f>IF(TRIM(K1782)="","",IFERROR(MATCH(LOWER(TRIM(K1782)),'Students'!$AH$2:$AH$701,0),IFERROR(MATCH(LOWER(TRIM(K1782)),'Students'!$AF$2:$AF$701,0),IFERROR(MATCH(LOWER(TRIM(K1782)),'Students'!$AG$2:$AG$701,0),""))))</f>
        <v/>
      </c>
      <c r="R1782">
        <f>IF(P1782="","",INDEX('Students'!$AD$2:$AD$701,P1782))</f>
        <v/>
      </c>
      <c r="S1782">
        <f>IF(H1782="OK",O1782,0)</f>
        <v/>
      </c>
      <c r="T1782">
        <f>IF(H1782="OK",N1782,"")</f>
        <v/>
      </c>
      <c r="U1782">
        <f>IF(OC_Donor=0,"",IF(INDEX('OneCause_Paste'!$A$1782:$AZ$1782,1,OC_Donor)="","",INDEX('OneCause_Paste'!$A$1782:$AZ$1782,1,OC_Donor)))</f>
        <v/>
      </c>
    </row>
    <row r="1783">
      <c r="A1783" s="62">
        <f>IF(H1783="","",IF(ISNUMBER(N1783),N1783,I1783))</f>
        <v/>
      </c>
      <c r="B1783">
        <f>IF(H1783="","",U1783)</f>
        <v/>
      </c>
      <c r="C1783">
        <f>IF(H1783="","",IF(P1783="",K1783,INDEX('Students'!$A$2:$A$701,P1783)))</f>
        <v/>
      </c>
      <c r="D1783">
        <f>IF(OR(H1783="",P1783=""),"",INDEX('Students'!$B$2:$B$701,P1783))</f>
        <v/>
      </c>
      <c r="E1783">
        <f>IF(OR(H1783="",P1783=""),"",INDEX('Students'!$C$2:$C$701,P1783))</f>
        <v/>
      </c>
      <c r="F1783" s="48">
        <f>IF(H1783="","",IF(ISNUMBER(O1783),O1783,J1783))</f>
        <v/>
      </c>
      <c r="G1783">
        <f>IF(H1783="","","OneCause")</f>
        <v/>
      </c>
      <c r="H1783">
        <f>IF(AND(I1783="",J1783="",K1783=""),"",IF(NOT(ISNUMBER(O1783)),"Bad amount",IF(O1783&lt;0,"Refund (not counted)",IF(O1783=0,"Zero amount",IF(NOT(ISNUMBER(N1783)),"Bad date",IF(P1783="","NAME NOT ON ROSTER",IF(L1783="","OK",IF(MATCH(L1783,$L$2:$L$3001,0)&lt;ROW()-1,"Duplicate (ignored)","OK"))))))))</f>
        <v/>
      </c>
      <c r="I1783">
        <f>IF(OC_Date=0,"",IF(INDEX('OneCause_Paste'!$A$1783:$AZ$1783,1,OC_Date)="","",INDEX('OneCause_Paste'!$A$1783:$AZ$1783,1,OC_Date)))</f>
        <v/>
      </c>
      <c r="J1783">
        <f>IF(OC_Amt=0,"",IF(INDEX('OneCause_Paste'!$A$1783:$AZ$1783,1,OC_Amt)="","",INDEX('OneCause_Paste'!$A$1783:$AZ$1783,1,OC_Amt)))</f>
        <v/>
      </c>
      <c r="K1783">
        <f>IF(OC_Name=0,"",IF(INDEX('OneCause_Paste'!$A$1783:$AZ$1783,1,OC_Name)="","",INDEX('OneCause_Paste'!$A$1783:$AZ$1783,1,OC_Name)))</f>
        <v/>
      </c>
      <c r="L1783">
        <f>IF(OC_Txn=0,"",IF(INDEX('OneCause_Paste'!$A$1783:$AZ$1783,1,OC_Txn)="","",INDEX('OneCause_Paste'!$A$1783:$AZ$1783,1,OC_Txn)))</f>
        <v/>
      </c>
      <c r="M1783">
        <f>IF(OC_Pay=0,"",IF(INDEX('OneCause_Paste'!$A$1783:$AZ$1783,1,OC_Pay)="","",INDEX('OneCause_Paste'!$A$1783:$AZ$1783,1,OC_Pay)))</f>
        <v/>
      </c>
      <c r="N1783">
        <f>IF(I1783="","",IF(ISNUMBER(I1783),INT(I1783),IFERROR(INT(DATEVALUE(I1783)),IFERROR(INT(VALUE(I1783)),"bad"))))</f>
        <v/>
      </c>
      <c r="O1783">
        <f>IF(J1783="","",IF(ISNUMBER(J1783),ROUND(J1783,2),IFERROR(ROUND(VALUE(SUBSTITUTE(SUBSTITUTE(SUBSTITUTE(J1783,"$",""),",","")," ","")),2),"bad")))</f>
        <v/>
      </c>
      <c r="P1783">
        <f>IF(TRIM(K1783)="","",IFERROR(MATCH(LOWER(TRIM(K1783)),'Students'!$AH$2:$AH$701,0),IFERROR(MATCH(LOWER(TRIM(K1783)),'Students'!$AF$2:$AF$701,0),IFERROR(MATCH(LOWER(TRIM(K1783)),'Students'!$AG$2:$AG$701,0),""))))</f>
        <v/>
      </c>
      <c r="R1783">
        <f>IF(P1783="","",INDEX('Students'!$AD$2:$AD$701,P1783))</f>
        <v/>
      </c>
      <c r="S1783">
        <f>IF(H1783="OK",O1783,0)</f>
        <v/>
      </c>
      <c r="T1783">
        <f>IF(H1783="OK",N1783,"")</f>
        <v/>
      </c>
      <c r="U1783">
        <f>IF(OC_Donor=0,"",IF(INDEX('OneCause_Paste'!$A$1783:$AZ$1783,1,OC_Donor)="","",INDEX('OneCause_Paste'!$A$1783:$AZ$1783,1,OC_Donor)))</f>
        <v/>
      </c>
    </row>
    <row r="1784">
      <c r="A1784" s="62">
        <f>IF(H1784="","",IF(ISNUMBER(N1784),N1784,I1784))</f>
        <v/>
      </c>
      <c r="B1784">
        <f>IF(H1784="","",U1784)</f>
        <v/>
      </c>
      <c r="C1784">
        <f>IF(H1784="","",IF(P1784="",K1784,INDEX('Students'!$A$2:$A$701,P1784)))</f>
        <v/>
      </c>
      <c r="D1784">
        <f>IF(OR(H1784="",P1784=""),"",INDEX('Students'!$B$2:$B$701,P1784))</f>
        <v/>
      </c>
      <c r="E1784">
        <f>IF(OR(H1784="",P1784=""),"",INDEX('Students'!$C$2:$C$701,P1784))</f>
        <v/>
      </c>
      <c r="F1784" s="48">
        <f>IF(H1784="","",IF(ISNUMBER(O1784),O1784,J1784))</f>
        <v/>
      </c>
      <c r="G1784">
        <f>IF(H1784="","","OneCause")</f>
        <v/>
      </c>
      <c r="H1784">
        <f>IF(AND(I1784="",J1784="",K1784=""),"",IF(NOT(ISNUMBER(O1784)),"Bad amount",IF(O1784&lt;0,"Refund (not counted)",IF(O1784=0,"Zero amount",IF(NOT(ISNUMBER(N1784)),"Bad date",IF(P1784="","NAME NOT ON ROSTER",IF(L1784="","OK",IF(MATCH(L1784,$L$2:$L$3001,0)&lt;ROW()-1,"Duplicate (ignored)","OK"))))))))</f>
        <v/>
      </c>
      <c r="I1784">
        <f>IF(OC_Date=0,"",IF(INDEX('OneCause_Paste'!$A$1784:$AZ$1784,1,OC_Date)="","",INDEX('OneCause_Paste'!$A$1784:$AZ$1784,1,OC_Date)))</f>
        <v/>
      </c>
      <c r="J1784">
        <f>IF(OC_Amt=0,"",IF(INDEX('OneCause_Paste'!$A$1784:$AZ$1784,1,OC_Amt)="","",INDEX('OneCause_Paste'!$A$1784:$AZ$1784,1,OC_Amt)))</f>
        <v/>
      </c>
      <c r="K1784">
        <f>IF(OC_Name=0,"",IF(INDEX('OneCause_Paste'!$A$1784:$AZ$1784,1,OC_Name)="","",INDEX('OneCause_Paste'!$A$1784:$AZ$1784,1,OC_Name)))</f>
        <v/>
      </c>
      <c r="L1784">
        <f>IF(OC_Txn=0,"",IF(INDEX('OneCause_Paste'!$A$1784:$AZ$1784,1,OC_Txn)="","",INDEX('OneCause_Paste'!$A$1784:$AZ$1784,1,OC_Txn)))</f>
        <v/>
      </c>
      <c r="M1784">
        <f>IF(OC_Pay=0,"",IF(INDEX('OneCause_Paste'!$A$1784:$AZ$1784,1,OC_Pay)="","",INDEX('OneCause_Paste'!$A$1784:$AZ$1784,1,OC_Pay)))</f>
        <v/>
      </c>
      <c r="N1784">
        <f>IF(I1784="","",IF(ISNUMBER(I1784),INT(I1784),IFERROR(INT(DATEVALUE(I1784)),IFERROR(INT(VALUE(I1784)),"bad"))))</f>
        <v/>
      </c>
      <c r="O1784">
        <f>IF(J1784="","",IF(ISNUMBER(J1784),ROUND(J1784,2),IFERROR(ROUND(VALUE(SUBSTITUTE(SUBSTITUTE(SUBSTITUTE(J1784,"$",""),",","")," ","")),2),"bad")))</f>
        <v/>
      </c>
      <c r="P1784">
        <f>IF(TRIM(K1784)="","",IFERROR(MATCH(LOWER(TRIM(K1784)),'Students'!$AH$2:$AH$701,0),IFERROR(MATCH(LOWER(TRIM(K1784)),'Students'!$AF$2:$AF$701,0),IFERROR(MATCH(LOWER(TRIM(K1784)),'Students'!$AG$2:$AG$701,0),""))))</f>
        <v/>
      </c>
      <c r="R1784">
        <f>IF(P1784="","",INDEX('Students'!$AD$2:$AD$701,P1784))</f>
        <v/>
      </c>
      <c r="S1784">
        <f>IF(H1784="OK",O1784,0)</f>
        <v/>
      </c>
      <c r="T1784">
        <f>IF(H1784="OK",N1784,"")</f>
        <v/>
      </c>
      <c r="U1784">
        <f>IF(OC_Donor=0,"",IF(INDEX('OneCause_Paste'!$A$1784:$AZ$1784,1,OC_Donor)="","",INDEX('OneCause_Paste'!$A$1784:$AZ$1784,1,OC_Donor)))</f>
        <v/>
      </c>
    </row>
    <row r="1785">
      <c r="A1785" s="62">
        <f>IF(H1785="","",IF(ISNUMBER(N1785),N1785,I1785))</f>
        <v/>
      </c>
      <c r="B1785">
        <f>IF(H1785="","",U1785)</f>
        <v/>
      </c>
      <c r="C1785">
        <f>IF(H1785="","",IF(P1785="",K1785,INDEX('Students'!$A$2:$A$701,P1785)))</f>
        <v/>
      </c>
      <c r="D1785">
        <f>IF(OR(H1785="",P1785=""),"",INDEX('Students'!$B$2:$B$701,P1785))</f>
        <v/>
      </c>
      <c r="E1785">
        <f>IF(OR(H1785="",P1785=""),"",INDEX('Students'!$C$2:$C$701,P1785))</f>
        <v/>
      </c>
      <c r="F1785" s="48">
        <f>IF(H1785="","",IF(ISNUMBER(O1785),O1785,J1785))</f>
        <v/>
      </c>
      <c r="G1785">
        <f>IF(H1785="","","OneCause")</f>
        <v/>
      </c>
      <c r="H1785">
        <f>IF(AND(I1785="",J1785="",K1785=""),"",IF(NOT(ISNUMBER(O1785)),"Bad amount",IF(O1785&lt;0,"Refund (not counted)",IF(O1785=0,"Zero amount",IF(NOT(ISNUMBER(N1785)),"Bad date",IF(P1785="","NAME NOT ON ROSTER",IF(L1785="","OK",IF(MATCH(L1785,$L$2:$L$3001,0)&lt;ROW()-1,"Duplicate (ignored)","OK"))))))))</f>
        <v/>
      </c>
      <c r="I1785">
        <f>IF(OC_Date=0,"",IF(INDEX('OneCause_Paste'!$A$1785:$AZ$1785,1,OC_Date)="","",INDEX('OneCause_Paste'!$A$1785:$AZ$1785,1,OC_Date)))</f>
        <v/>
      </c>
      <c r="J1785">
        <f>IF(OC_Amt=0,"",IF(INDEX('OneCause_Paste'!$A$1785:$AZ$1785,1,OC_Amt)="","",INDEX('OneCause_Paste'!$A$1785:$AZ$1785,1,OC_Amt)))</f>
        <v/>
      </c>
      <c r="K1785">
        <f>IF(OC_Name=0,"",IF(INDEX('OneCause_Paste'!$A$1785:$AZ$1785,1,OC_Name)="","",INDEX('OneCause_Paste'!$A$1785:$AZ$1785,1,OC_Name)))</f>
        <v/>
      </c>
      <c r="L1785">
        <f>IF(OC_Txn=0,"",IF(INDEX('OneCause_Paste'!$A$1785:$AZ$1785,1,OC_Txn)="","",INDEX('OneCause_Paste'!$A$1785:$AZ$1785,1,OC_Txn)))</f>
        <v/>
      </c>
      <c r="M1785">
        <f>IF(OC_Pay=0,"",IF(INDEX('OneCause_Paste'!$A$1785:$AZ$1785,1,OC_Pay)="","",INDEX('OneCause_Paste'!$A$1785:$AZ$1785,1,OC_Pay)))</f>
        <v/>
      </c>
      <c r="N1785">
        <f>IF(I1785="","",IF(ISNUMBER(I1785),INT(I1785),IFERROR(INT(DATEVALUE(I1785)),IFERROR(INT(VALUE(I1785)),"bad"))))</f>
        <v/>
      </c>
      <c r="O1785">
        <f>IF(J1785="","",IF(ISNUMBER(J1785),ROUND(J1785,2),IFERROR(ROUND(VALUE(SUBSTITUTE(SUBSTITUTE(SUBSTITUTE(J1785,"$",""),",","")," ","")),2),"bad")))</f>
        <v/>
      </c>
      <c r="P1785">
        <f>IF(TRIM(K1785)="","",IFERROR(MATCH(LOWER(TRIM(K1785)),'Students'!$AH$2:$AH$701,0),IFERROR(MATCH(LOWER(TRIM(K1785)),'Students'!$AF$2:$AF$701,0),IFERROR(MATCH(LOWER(TRIM(K1785)),'Students'!$AG$2:$AG$701,0),""))))</f>
        <v/>
      </c>
      <c r="R1785">
        <f>IF(P1785="","",INDEX('Students'!$AD$2:$AD$701,P1785))</f>
        <v/>
      </c>
      <c r="S1785">
        <f>IF(H1785="OK",O1785,0)</f>
        <v/>
      </c>
      <c r="T1785">
        <f>IF(H1785="OK",N1785,"")</f>
        <v/>
      </c>
      <c r="U1785">
        <f>IF(OC_Donor=0,"",IF(INDEX('OneCause_Paste'!$A$1785:$AZ$1785,1,OC_Donor)="","",INDEX('OneCause_Paste'!$A$1785:$AZ$1785,1,OC_Donor)))</f>
        <v/>
      </c>
    </row>
    <row r="1786">
      <c r="A1786" s="62">
        <f>IF(H1786="","",IF(ISNUMBER(N1786),N1786,I1786))</f>
        <v/>
      </c>
      <c r="B1786">
        <f>IF(H1786="","",U1786)</f>
        <v/>
      </c>
      <c r="C1786">
        <f>IF(H1786="","",IF(P1786="",K1786,INDEX('Students'!$A$2:$A$701,P1786)))</f>
        <v/>
      </c>
      <c r="D1786">
        <f>IF(OR(H1786="",P1786=""),"",INDEX('Students'!$B$2:$B$701,P1786))</f>
        <v/>
      </c>
      <c r="E1786">
        <f>IF(OR(H1786="",P1786=""),"",INDEX('Students'!$C$2:$C$701,P1786))</f>
        <v/>
      </c>
      <c r="F1786" s="48">
        <f>IF(H1786="","",IF(ISNUMBER(O1786),O1786,J1786))</f>
        <v/>
      </c>
      <c r="G1786">
        <f>IF(H1786="","","OneCause")</f>
        <v/>
      </c>
      <c r="H1786">
        <f>IF(AND(I1786="",J1786="",K1786=""),"",IF(NOT(ISNUMBER(O1786)),"Bad amount",IF(O1786&lt;0,"Refund (not counted)",IF(O1786=0,"Zero amount",IF(NOT(ISNUMBER(N1786)),"Bad date",IF(P1786="","NAME NOT ON ROSTER",IF(L1786="","OK",IF(MATCH(L1786,$L$2:$L$3001,0)&lt;ROW()-1,"Duplicate (ignored)","OK"))))))))</f>
        <v/>
      </c>
      <c r="I1786">
        <f>IF(OC_Date=0,"",IF(INDEX('OneCause_Paste'!$A$1786:$AZ$1786,1,OC_Date)="","",INDEX('OneCause_Paste'!$A$1786:$AZ$1786,1,OC_Date)))</f>
        <v/>
      </c>
      <c r="J1786">
        <f>IF(OC_Amt=0,"",IF(INDEX('OneCause_Paste'!$A$1786:$AZ$1786,1,OC_Amt)="","",INDEX('OneCause_Paste'!$A$1786:$AZ$1786,1,OC_Amt)))</f>
        <v/>
      </c>
      <c r="K1786">
        <f>IF(OC_Name=0,"",IF(INDEX('OneCause_Paste'!$A$1786:$AZ$1786,1,OC_Name)="","",INDEX('OneCause_Paste'!$A$1786:$AZ$1786,1,OC_Name)))</f>
        <v/>
      </c>
      <c r="L1786">
        <f>IF(OC_Txn=0,"",IF(INDEX('OneCause_Paste'!$A$1786:$AZ$1786,1,OC_Txn)="","",INDEX('OneCause_Paste'!$A$1786:$AZ$1786,1,OC_Txn)))</f>
        <v/>
      </c>
      <c r="M1786">
        <f>IF(OC_Pay=0,"",IF(INDEX('OneCause_Paste'!$A$1786:$AZ$1786,1,OC_Pay)="","",INDEX('OneCause_Paste'!$A$1786:$AZ$1786,1,OC_Pay)))</f>
        <v/>
      </c>
      <c r="N1786">
        <f>IF(I1786="","",IF(ISNUMBER(I1786),INT(I1786),IFERROR(INT(DATEVALUE(I1786)),IFERROR(INT(VALUE(I1786)),"bad"))))</f>
        <v/>
      </c>
      <c r="O1786">
        <f>IF(J1786="","",IF(ISNUMBER(J1786),ROUND(J1786,2),IFERROR(ROUND(VALUE(SUBSTITUTE(SUBSTITUTE(SUBSTITUTE(J1786,"$",""),",","")," ","")),2),"bad")))</f>
        <v/>
      </c>
      <c r="P1786">
        <f>IF(TRIM(K1786)="","",IFERROR(MATCH(LOWER(TRIM(K1786)),'Students'!$AH$2:$AH$701,0),IFERROR(MATCH(LOWER(TRIM(K1786)),'Students'!$AF$2:$AF$701,0),IFERROR(MATCH(LOWER(TRIM(K1786)),'Students'!$AG$2:$AG$701,0),""))))</f>
        <v/>
      </c>
      <c r="R1786">
        <f>IF(P1786="","",INDEX('Students'!$AD$2:$AD$701,P1786))</f>
        <v/>
      </c>
      <c r="S1786">
        <f>IF(H1786="OK",O1786,0)</f>
        <v/>
      </c>
      <c r="T1786">
        <f>IF(H1786="OK",N1786,"")</f>
        <v/>
      </c>
      <c r="U1786">
        <f>IF(OC_Donor=0,"",IF(INDEX('OneCause_Paste'!$A$1786:$AZ$1786,1,OC_Donor)="","",INDEX('OneCause_Paste'!$A$1786:$AZ$1786,1,OC_Donor)))</f>
        <v/>
      </c>
    </row>
    <row r="1787">
      <c r="A1787" s="62">
        <f>IF(H1787="","",IF(ISNUMBER(N1787),N1787,I1787))</f>
        <v/>
      </c>
      <c r="B1787">
        <f>IF(H1787="","",U1787)</f>
        <v/>
      </c>
      <c r="C1787">
        <f>IF(H1787="","",IF(P1787="",K1787,INDEX('Students'!$A$2:$A$701,P1787)))</f>
        <v/>
      </c>
      <c r="D1787">
        <f>IF(OR(H1787="",P1787=""),"",INDEX('Students'!$B$2:$B$701,P1787))</f>
        <v/>
      </c>
      <c r="E1787">
        <f>IF(OR(H1787="",P1787=""),"",INDEX('Students'!$C$2:$C$701,P1787))</f>
        <v/>
      </c>
      <c r="F1787" s="48">
        <f>IF(H1787="","",IF(ISNUMBER(O1787),O1787,J1787))</f>
        <v/>
      </c>
      <c r="G1787">
        <f>IF(H1787="","","OneCause")</f>
        <v/>
      </c>
      <c r="H1787">
        <f>IF(AND(I1787="",J1787="",K1787=""),"",IF(NOT(ISNUMBER(O1787)),"Bad amount",IF(O1787&lt;0,"Refund (not counted)",IF(O1787=0,"Zero amount",IF(NOT(ISNUMBER(N1787)),"Bad date",IF(P1787="","NAME NOT ON ROSTER",IF(L1787="","OK",IF(MATCH(L1787,$L$2:$L$3001,0)&lt;ROW()-1,"Duplicate (ignored)","OK"))))))))</f>
        <v/>
      </c>
      <c r="I1787">
        <f>IF(OC_Date=0,"",IF(INDEX('OneCause_Paste'!$A$1787:$AZ$1787,1,OC_Date)="","",INDEX('OneCause_Paste'!$A$1787:$AZ$1787,1,OC_Date)))</f>
        <v/>
      </c>
      <c r="J1787">
        <f>IF(OC_Amt=0,"",IF(INDEX('OneCause_Paste'!$A$1787:$AZ$1787,1,OC_Amt)="","",INDEX('OneCause_Paste'!$A$1787:$AZ$1787,1,OC_Amt)))</f>
        <v/>
      </c>
      <c r="K1787">
        <f>IF(OC_Name=0,"",IF(INDEX('OneCause_Paste'!$A$1787:$AZ$1787,1,OC_Name)="","",INDEX('OneCause_Paste'!$A$1787:$AZ$1787,1,OC_Name)))</f>
        <v/>
      </c>
      <c r="L1787">
        <f>IF(OC_Txn=0,"",IF(INDEX('OneCause_Paste'!$A$1787:$AZ$1787,1,OC_Txn)="","",INDEX('OneCause_Paste'!$A$1787:$AZ$1787,1,OC_Txn)))</f>
        <v/>
      </c>
      <c r="M1787">
        <f>IF(OC_Pay=0,"",IF(INDEX('OneCause_Paste'!$A$1787:$AZ$1787,1,OC_Pay)="","",INDEX('OneCause_Paste'!$A$1787:$AZ$1787,1,OC_Pay)))</f>
        <v/>
      </c>
      <c r="N1787">
        <f>IF(I1787="","",IF(ISNUMBER(I1787),INT(I1787),IFERROR(INT(DATEVALUE(I1787)),IFERROR(INT(VALUE(I1787)),"bad"))))</f>
        <v/>
      </c>
      <c r="O1787">
        <f>IF(J1787="","",IF(ISNUMBER(J1787),ROUND(J1787,2),IFERROR(ROUND(VALUE(SUBSTITUTE(SUBSTITUTE(SUBSTITUTE(J1787,"$",""),",","")," ","")),2),"bad")))</f>
        <v/>
      </c>
      <c r="P1787">
        <f>IF(TRIM(K1787)="","",IFERROR(MATCH(LOWER(TRIM(K1787)),'Students'!$AH$2:$AH$701,0),IFERROR(MATCH(LOWER(TRIM(K1787)),'Students'!$AF$2:$AF$701,0),IFERROR(MATCH(LOWER(TRIM(K1787)),'Students'!$AG$2:$AG$701,0),""))))</f>
        <v/>
      </c>
      <c r="R1787">
        <f>IF(P1787="","",INDEX('Students'!$AD$2:$AD$701,P1787))</f>
        <v/>
      </c>
      <c r="S1787">
        <f>IF(H1787="OK",O1787,0)</f>
        <v/>
      </c>
      <c r="T1787">
        <f>IF(H1787="OK",N1787,"")</f>
        <v/>
      </c>
      <c r="U1787">
        <f>IF(OC_Donor=0,"",IF(INDEX('OneCause_Paste'!$A$1787:$AZ$1787,1,OC_Donor)="","",INDEX('OneCause_Paste'!$A$1787:$AZ$1787,1,OC_Donor)))</f>
        <v/>
      </c>
    </row>
    <row r="1788">
      <c r="A1788" s="62">
        <f>IF(H1788="","",IF(ISNUMBER(N1788),N1788,I1788))</f>
        <v/>
      </c>
      <c r="B1788">
        <f>IF(H1788="","",U1788)</f>
        <v/>
      </c>
      <c r="C1788">
        <f>IF(H1788="","",IF(P1788="",K1788,INDEX('Students'!$A$2:$A$701,P1788)))</f>
        <v/>
      </c>
      <c r="D1788">
        <f>IF(OR(H1788="",P1788=""),"",INDEX('Students'!$B$2:$B$701,P1788))</f>
        <v/>
      </c>
      <c r="E1788">
        <f>IF(OR(H1788="",P1788=""),"",INDEX('Students'!$C$2:$C$701,P1788))</f>
        <v/>
      </c>
      <c r="F1788" s="48">
        <f>IF(H1788="","",IF(ISNUMBER(O1788),O1788,J1788))</f>
        <v/>
      </c>
      <c r="G1788">
        <f>IF(H1788="","","OneCause")</f>
        <v/>
      </c>
      <c r="H1788">
        <f>IF(AND(I1788="",J1788="",K1788=""),"",IF(NOT(ISNUMBER(O1788)),"Bad amount",IF(O1788&lt;0,"Refund (not counted)",IF(O1788=0,"Zero amount",IF(NOT(ISNUMBER(N1788)),"Bad date",IF(P1788="","NAME NOT ON ROSTER",IF(L1788="","OK",IF(MATCH(L1788,$L$2:$L$3001,0)&lt;ROW()-1,"Duplicate (ignored)","OK"))))))))</f>
        <v/>
      </c>
      <c r="I1788">
        <f>IF(OC_Date=0,"",IF(INDEX('OneCause_Paste'!$A$1788:$AZ$1788,1,OC_Date)="","",INDEX('OneCause_Paste'!$A$1788:$AZ$1788,1,OC_Date)))</f>
        <v/>
      </c>
      <c r="J1788">
        <f>IF(OC_Amt=0,"",IF(INDEX('OneCause_Paste'!$A$1788:$AZ$1788,1,OC_Amt)="","",INDEX('OneCause_Paste'!$A$1788:$AZ$1788,1,OC_Amt)))</f>
        <v/>
      </c>
      <c r="K1788">
        <f>IF(OC_Name=0,"",IF(INDEX('OneCause_Paste'!$A$1788:$AZ$1788,1,OC_Name)="","",INDEX('OneCause_Paste'!$A$1788:$AZ$1788,1,OC_Name)))</f>
        <v/>
      </c>
      <c r="L1788">
        <f>IF(OC_Txn=0,"",IF(INDEX('OneCause_Paste'!$A$1788:$AZ$1788,1,OC_Txn)="","",INDEX('OneCause_Paste'!$A$1788:$AZ$1788,1,OC_Txn)))</f>
        <v/>
      </c>
      <c r="M1788">
        <f>IF(OC_Pay=0,"",IF(INDEX('OneCause_Paste'!$A$1788:$AZ$1788,1,OC_Pay)="","",INDEX('OneCause_Paste'!$A$1788:$AZ$1788,1,OC_Pay)))</f>
        <v/>
      </c>
      <c r="N1788">
        <f>IF(I1788="","",IF(ISNUMBER(I1788),INT(I1788),IFERROR(INT(DATEVALUE(I1788)),IFERROR(INT(VALUE(I1788)),"bad"))))</f>
        <v/>
      </c>
      <c r="O1788">
        <f>IF(J1788="","",IF(ISNUMBER(J1788),ROUND(J1788,2),IFERROR(ROUND(VALUE(SUBSTITUTE(SUBSTITUTE(SUBSTITUTE(J1788,"$",""),",","")," ","")),2),"bad")))</f>
        <v/>
      </c>
      <c r="P1788">
        <f>IF(TRIM(K1788)="","",IFERROR(MATCH(LOWER(TRIM(K1788)),'Students'!$AH$2:$AH$701,0),IFERROR(MATCH(LOWER(TRIM(K1788)),'Students'!$AF$2:$AF$701,0),IFERROR(MATCH(LOWER(TRIM(K1788)),'Students'!$AG$2:$AG$701,0),""))))</f>
        <v/>
      </c>
      <c r="R1788">
        <f>IF(P1788="","",INDEX('Students'!$AD$2:$AD$701,P1788))</f>
        <v/>
      </c>
      <c r="S1788">
        <f>IF(H1788="OK",O1788,0)</f>
        <v/>
      </c>
      <c r="T1788">
        <f>IF(H1788="OK",N1788,"")</f>
        <v/>
      </c>
      <c r="U1788">
        <f>IF(OC_Donor=0,"",IF(INDEX('OneCause_Paste'!$A$1788:$AZ$1788,1,OC_Donor)="","",INDEX('OneCause_Paste'!$A$1788:$AZ$1788,1,OC_Donor)))</f>
        <v/>
      </c>
    </row>
    <row r="1789">
      <c r="A1789" s="62">
        <f>IF(H1789="","",IF(ISNUMBER(N1789),N1789,I1789))</f>
        <v/>
      </c>
      <c r="B1789">
        <f>IF(H1789="","",U1789)</f>
        <v/>
      </c>
      <c r="C1789">
        <f>IF(H1789="","",IF(P1789="",K1789,INDEX('Students'!$A$2:$A$701,P1789)))</f>
        <v/>
      </c>
      <c r="D1789">
        <f>IF(OR(H1789="",P1789=""),"",INDEX('Students'!$B$2:$B$701,P1789))</f>
        <v/>
      </c>
      <c r="E1789">
        <f>IF(OR(H1789="",P1789=""),"",INDEX('Students'!$C$2:$C$701,P1789))</f>
        <v/>
      </c>
      <c r="F1789" s="48">
        <f>IF(H1789="","",IF(ISNUMBER(O1789),O1789,J1789))</f>
        <v/>
      </c>
      <c r="G1789">
        <f>IF(H1789="","","OneCause")</f>
        <v/>
      </c>
      <c r="H1789">
        <f>IF(AND(I1789="",J1789="",K1789=""),"",IF(NOT(ISNUMBER(O1789)),"Bad amount",IF(O1789&lt;0,"Refund (not counted)",IF(O1789=0,"Zero amount",IF(NOT(ISNUMBER(N1789)),"Bad date",IF(P1789="","NAME NOT ON ROSTER",IF(L1789="","OK",IF(MATCH(L1789,$L$2:$L$3001,0)&lt;ROW()-1,"Duplicate (ignored)","OK"))))))))</f>
        <v/>
      </c>
      <c r="I1789">
        <f>IF(OC_Date=0,"",IF(INDEX('OneCause_Paste'!$A$1789:$AZ$1789,1,OC_Date)="","",INDEX('OneCause_Paste'!$A$1789:$AZ$1789,1,OC_Date)))</f>
        <v/>
      </c>
      <c r="J1789">
        <f>IF(OC_Amt=0,"",IF(INDEX('OneCause_Paste'!$A$1789:$AZ$1789,1,OC_Amt)="","",INDEX('OneCause_Paste'!$A$1789:$AZ$1789,1,OC_Amt)))</f>
        <v/>
      </c>
      <c r="K1789">
        <f>IF(OC_Name=0,"",IF(INDEX('OneCause_Paste'!$A$1789:$AZ$1789,1,OC_Name)="","",INDEX('OneCause_Paste'!$A$1789:$AZ$1789,1,OC_Name)))</f>
        <v/>
      </c>
      <c r="L1789">
        <f>IF(OC_Txn=0,"",IF(INDEX('OneCause_Paste'!$A$1789:$AZ$1789,1,OC_Txn)="","",INDEX('OneCause_Paste'!$A$1789:$AZ$1789,1,OC_Txn)))</f>
        <v/>
      </c>
      <c r="M1789">
        <f>IF(OC_Pay=0,"",IF(INDEX('OneCause_Paste'!$A$1789:$AZ$1789,1,OC_Pay)="","",INDEX('OneCause_Paste'!$A$1789:$AZ$1789,1,OC_Pay)))</f>
        <v/>
      </c>
      <c r="N1789">
        <f>IF(I1789="","",IF(ISNUMBER(I1789),INT(I1789),IFERROR(INT(DATEVALUE(I1789)),IFERROR(INT(VALUE(I1789)),"bad"))))</f>
        <v/>
      </c>
      <c r="O1789">
        <f>IF(J1789="","",IF(ISNUMBER(J1789),ROUND(J1789,2),IFERROR(ROUND(VALUE(SUBSTITUTE(SUBSTITUTE(SUBSTITUTE(J1789,"$",""),",","")," ","")),2),"bad")))</f>
        <v/>
      </c>
      <c r="P1789">
        <f>IF(TRIM(K1789)="","",IFERROR(MATCH(LOWER(TRIM(K1789)),'Students'!$AH$2:$AH$701,0),IFERROR(MATCH(LOWER(TRIM(K1789)),'Students'!$AF$2:$AF$701,0),IFERROR(MATCH(LOWER(TRIM(K1789)),'Students'!$AG$2:$AG$701,0),""))))</f>
        <v/>
      </c>
      <c r="R1789">
        <f>IF(P1789="","",INDEX('Students'!$AD$2:$AD$701,P1789))</f>
        <v/>
      </c>
      <c r="S1789">
        <f>IF(H1789="OK",O1789,0)</f>
        <v/>
      </c>
      <c r="T1789">
        <f>IF(H1789="OK",N1789,"")</f>
        <v/>
      </c>
      <c r="U1789">
        <f>IF(OC_Donor=0,"",IF(INDEX('OneCause_Paste'!$A$1789:$AZ$1789,1,OC_Donor)="","",INDEX('OneCause_Paste'!$A$1789:$AZ$1789,1,OC_Donor)))</f>
        <v/>
      </c>
    </row>
    <row r="1790">
      <c r="A1790" s="62">
        <f>IF(H1790="","",IF(ISNUMBER(N1790),N1790,I1790))</f>
        <v/>
      </c>
      <c r="B1790">
        <f>IF(H1790="","",U1790)</f>
        <v/>
      </c>
      <c r="C1790">
        <f>IF(H1790="","",IF(P1790="",K1790,INDEX('Students'!$A$2:$A$701,P1790)))</f>
        <v/>
      </c>
      <c r="D1790">
        <f>IF(OR(H1790="",P1790=""),"",INDEX('Students'!$B$2:$B$701,P1790))</f>
        <v/>
      </c>
      <c r="E1790">
        <f>IF(OR(H1790="",P1790=""),"",INDEX('Students'!$C$2:$C$701,P1790))</f>
        <v/>
      </c>
      <c r="F1790" s="48">
        <f>IF(H1790="","",IF(ISNUMBER(O1790),O1790,J1790))</f>
        <v/>
      </c>
      <c r="G1790">
        <f>IF(H1790="","","OneCause")</f>
        <v/>
      </c>
      <c r="H1790">
        <f>IF(AND(I1790="",J1790="",K1790=""),"",IF(NOT(ISNUMBER(O1790)),"Bad amount",IF(O1790&lt;0,"Refund (not counted)",IF(O1790=0,"Zero amount",IF(NOT(ISNUMBER(N1790)),"Bad date",IF(P1790="","NAME NOT ON ROSTER",IF(L1790="","OK",IF(MATCH(L1790,$L$2:$L$3001,0)&lt;ROW()-1,"Duplicate (ignored)","OK"))))))))</f>
        <v/>
      </c>
      <c r="I1790">
        <f>IF(OC_Date=0,"",IF(INDEX('OneCause_Paste'!$A$1790:$AZ$1790,1,OC_Date)="","",INDEX('OneCause_Paste'!$A$1790:$AZ$1790,1,OC_Date)))</f>
        <v/>
      </c>
      <c r="J1790">
        <f>IF(OC_Amt=0,"",IF(INDEX('OneCause_Paste'!$A$1790:$AZ$1790,1,OC_Amt)="","",INDEX('OneCause_Paste'!$A$1790:$AZ$1790,1,OC_Amt)))</f>
        <v/>
      </c>
      <c r="K1790">
        <f>IF(OC_Name=0,"",IF(INDEX('OneCause_Paste'!$A$1790:$AZ$1790,1,OC_Name)="","",INDEX('OneCause_Paste'!$A$1790:$AZ$1790,1,OC_Name)))</f>
        <v/>
      </c>
      <c r="L1790">
        <f>IF(OC_Txn=0,"",IF(INDEX('OneCause_Paste'!$A$1790:$AZ$1790,1,OC_Txn)="","",INDEX('OneCause_Paste'!$A$1790:$AZ$1790,1,OC_Txn)))</f>
        <v/>
      </c>
      <c r="M1790">
        <f>IF(OC_Pay=0,"",IF(INDEX('OneCause_Paste'!$A$1790:$AZ$1790,1,OC_Pay)="","",INDEX('OneCause_Paste'!$A$1790:$AZ$1790,1,OC_Pay)))</f>
        <v/>
      </c>
      <c r="N1790">
        <f>IF(I1790="","",IF(ISNUMBER(I1790),INT(I1790),IFERROR(INT(DATEVALUE(I1790)),IFERROR(INT(VALUE(I1790)),"bad"))))</f>
        <v/>
      </c>
      <c r="O1790">
        <f>IF(J1790="","",IF(ISNUMBER(J1790),ROUND(J1790,2),IFERROR(ROUND(VALUE(SUBSTITUTE(SUBSTITUTE(SUBSTITUTE(J1790,"$",""),",","")," ","")),2),"bad")))</f>
        <v/>
      </c>
      <c r="P1790">
        <f>IF(TRIM(K1790)="","",IFERROR(MATCH(LOWER(TRIM(K1790)),'Students'!$AH$2:$AH$701,0),IFERROR(MATCH(LOWER(TRIM(K1790)),'Students'!$AF$2:$AF$701,0),IFERROR(MATCH(LOWER(TRIM(K1790)),'Students'!$AG$2:$AG$701,0),""))))</f>
        <v/>
      </c>
      <c r="R1790">
        <f>IF(P1790="","",INDEX('Students'!$AD$2:$AD$701,P1790))</f>
        <v/>
      </c>
      <c r="S1790">
        <f>IF(H1790="OK",O1790,0)</f>
        <v/>
      </c>
      <c r="T1790">
        <f>IF(H1790="OK",N1790,"")</f>
        <v/>
      </c>
      <c r="U1790">
        <f>IF(OC_Donor=0,"",IF(INDEX('OneCause_Paste'!$A$1790:$AZ$1790,1,OC_Donor)="","",INDEX('OneCause_Paste'!$A$1790:$AZ$1790,1,OC_Donor)))</f>
        <v/>
      </c>
    </row>
    <row r="1791">
      <c r="A1791" s="62">
        <f>IF(H1791="","",IF(ISNUMBER(N1791),N1791,I1791))</f>
        <v/>
      </c>
      <c r="B1791">
        <f>IF(H1791="","",U1791)</f>
        <v/>
      </c>
      <c r="C1791">
        <f>IF(H1791="","",IF(P1791="",K1791,INDEX('Students'!$A$2:$A$701,P1791)))</f>
        <v/>
      </c>
      <c r="D1791">
        <f>IF(OR(H1791="",P1791=""),"",INDEX('Students'!$B$2:$B$701,P1791))</f>
        <v/>
      </c>
      <c r="E1791">
        <f>IF(OR(H1791="",P1791=""),"",INDEX('Students'!$C$2:$C$701,P1791))</f>
        <v/>
      </c>
      <c r="F1791" s="48">
        <f>IF(H1791="","",IF(ISNUMBER(O1791),O1791,J1791))</f>
        <v/>
      </c>
      <c r="G1791">
        <f>IF(H1791="","","OneCause")</f>
        <v/>
      </c>
      <c r="H1791">
        <f>IF(AND(I1791="",J1791="",K1791=""),"",IF(NOT(ISNUMBER(O1791)),"Bad amount",IF(O1791&lt;0,"Refund (not counted)",IF(O1791=0,"Zero amount",IF(NOT(ISNUMBER(N1791)),"Bad date",IF(P1791="","NAME NOT ON ROSTER",IF(L1791="","OK",IF(MATCH(L1791,$L$2:$L$3001,0)&lt;ROW()-1,"Duplicate (ignored)","OK"))))))))</f>
        <v/>
      </c>
      <c r="I1791">
        <f>IF(OC_Date=0,"",IF(INDEX('OneCause_Paste'!$A$1791:$AZ$1791,1,OC_Date)="","",INDEX('OneCause_Paste'!$A$1791:$AZ$1791,1,OC_Date)))</f>
        <v/>
      </c>
      <c r="J1791">
        <f>IF(OC_Amt=0,"",IF(INDEX('OneCause_Paste'!$A$1791:$AZ$1791,1,OC_Amt)="","",INDEX('OneCause_Paste'!$A$1791:$AZ$1791,1,OC_Amt)))</f>
        <v/>
      </c>
      <c r="K1791">
        <f>IF(OC_Name=0,"",IF(INDEX('OneCause_Paste'!$A$1791:$AZ$1791,1,OC_Name)="","",INDEX('OneCause_Paste'!$A$1791:$AZ$1791,1,OC_Name)))</f>
        <v/>
      </c>
      <c r="L1791">
        <f>IF(OC_Txn=0,"",IF(INDEX('OneCause_Paste'!$A$1791:$AZ$1791,1,OC_Txn)="","",INDEX('OneCause_Paste'!$A$1791:$AZ$1791,1,OC_Txn)))</f>
        <v/>
      </c>
      <c r="M1791">
        <f>IF(OC_Pay=0,"",IF(INDEX('OneCause_Paste'!$A$1791:$AZ$1791,1,OC_Pay)="","",INDEX('OneCause_Paste'!$A$1791:$AZ$1791,1,OC_Pay)))</f>
        <v/>
      </c>
      <c r="N1791">
        <f>IF(I1791="","",IF(ISNUMBER(I1791),INT(I1791),IFERROR(INT(DATEVALUE(I1791)),IFERROR(INT(VALUE(I1791)),"bad"))))</f>
        <v/>
      </c>
      <c r="O1791">
        <f>IF(J1791="","",IF(ISNUMBER(J1791),ROUND(J1791,2),IFERROR(ROUND(VALUE(SUBSTITUTE(SUBSTITUTE(SUBSTITUTE(J1791,"$",""),",","")," ","")),2),"bad")))</f>
        <v/>
      </c>
      <c r="P1791">
        <f>IF(TRIM(K1791)="","",IFERROR(MATCH(LOWER(TRIM(K1791)),'Students'!$AH$2:$AH$701,0),IFERROR(MATCH(LOWER(TRIM(K1791)),'Students'!$AF$2:$AF$701,0),IFERROR(MATCH(LOWER(TRIM(K1791)),'Students'!$AG$2:$AG$701,0),""))))</f>
        <v/>
      </c>
      <c r="R1791">
        <f>IF(P1791="","",INDEX('Students'!$AD$2:$AD$701,P1791))</f>
        <v/>
      </c>
      <c r="S1791">
        <f>IF(H1791="OK",O1791,0)</f>
        <v/>
      </c>
      <c r="T1791">
        <f>IF(H1791="OK",N1791,"")</f>
        <v/>
      </c>
      <c r="U1791">
        <f>IF(OC_Donor=0,"",IF(INDEX('OneCause_Paste'!$A$1791:$AZ$1791,1,OC_Donor)="","",INDEX('OneCause_Paste'!$A$1791:$AZ$1791,1,OC_Donor)))</f>
        <v/>
      </c>
    </row>
    <row r="1792">
      <c r="A1792" s="62">
        <f>IF(H1792="","",IF(ISNUMBER(N1792),N1792,I1792))</f>
        <v/>
      </c>
      <c r="B1792">
        <f>IF(H1792="","",U1792)</f>
        <v/>
      </c>
      <c r="C1792">
        <f>IF(H1792="","",IF(P1792="",K1792,INDEX('Students'!$A$2:$A$701,P1792)))</f>
        <v/>
      </c>
      <c r="D1792">
        <f>IF(OR(H1792="",P1792=""),"",INDEX('Students'!$B$2:$B$701,P1792))</f>
        <v/>
      </c>
      <c r="E1792">
        <f>IF(OR(H1792="",P1792=""),"",INDEX('Students'!$C$2:$C$701,P1792))</f>
        <v/>
      </c>
      <c r="F1792" s="48">
        <f>IF(H1792="","",IF(ISNUMBER(O1792),O1792,J1792))</f>
        <v/>
      </c>
      <c r="G1792">
        <f>IF(H1792="","","OneCause")</f>
        <v/>
      </c>
      <c r="H1792">
        <f>IF(AND(I1792="",J1792="",K1792=""),"",IF(NOT(ISNUMBER(O1792)),"Bad amount",IF(O1792&lt;0,"Refund (not counted)",IF(O1792=0,"Zero amount",IF(NOT(ISNUMBER(N1792)),"Bad date",IF(P1792="","NAME NOT ON ROSTER",IF(L1792="","OK",IF(MATCH(L1792,$L$2:$L$3001,0)&lt;ROW()-1,"Duplicate (ignored)","OK"))))))))</f>
        <v/>
      </c>
      <c r="I1792">
        <f>IF(OC_Date=0,"",IF(INDEX('OneCause_Paste'!$A$1792:$AZ$1792,1,OC_Date)="","",INDEX('OneCause_Paste'!$A$1792:$AZ$1792,1,OC_Date)))</f>
        <v/>
      </c>
      <c r="J1792">
        <f>IF(OC_Amt=0,"",IF(INDEX('OneCause_Paste'!$A$1792:$AZ$1792,1,OC_Amt)="","",INDEX('OneCause_Paste'!$A$1792:$AZ$1792,1,OC_Amt)))</f>
        <v/>
      </c>
      <c r="K1792">
        <f>IF(OC_Name=0,"",IF(INDEX('OneCause_Paste'!$A$1792:$AZ$1792,1,OC_Name)="","",INDEX('OneCause_Paste'!$A$1792:$AZ$1792,1,OC_Name)))</f>
        <v/>
      </c>
      <c r="L1792">
        <f>IF(OC_Txn=0,"",IF(INDEX('OneCause_Paste'!$A$1792:$AZ$1792,1,OC_Txn)="","",INDEX('OneCause_Paste'!$A$1792:$AZ$1792,1,OC_Txn)))</f>
        <v/>
      </c>
      <c r="M1792">
        <f>IF(OC_Pay=0,"",IF(INDEX('OneCause_Paste'!$A$1792:$AZ$1792,1,OC_Pay)="","",INDEX('OneCause_Paste'!$A$1792:$AZ$1792,1,OC_Pay)))</f>
        <v/>
      </c>
      <c r="N1792">
        <f>IF(I1792="","",IF(ISNUMBER(I1792),INT(I1792),IFERROR(INT(DATEVALUE(I1792)),IFERROR(INT(VALUE(I1792)),"bad"))))</f>
        <v/>
      </c>
      <c r="O1792">
        <f>IF(J1792="","",IF(ISNUMBER(J1792),ROUND(J1792,2),IFERROR(ROUND(VALUE(SUBSTITUTE(SUBSTITUTE(SUBSTITUTE(J1792,"$",""),",","")," ","")),2),"bad")))</f>
        <v/>
      </c>
      <c r="P1792">
        <f>IF(TRIM(K1792)="","",IFERROR(MATCH(LOWER(TRIM(K1792)),'Students'!$AH$2:$AH$701,0),IFERROR(MATCH(LOWER(TRIM(K1792)),'Students'!$AF$2:$AF$701,0),IFERROR(MATCH(LOWER(TRIM(K1792)),'Students'!$AG$2:$AG$701,0),""))))</f>
        <v/>
      </c>
      <c r="R1792">
        <f>IF(P1792="","",INDEX('Students'!$AD$2:$AD$701,P1792))</f>
        <v/>
      </c>
      <c r="S1792">
        <f>IF(H1792="OK",O1792,0)</f>
        <v/>
      </c>
      <c r="T1792">
        <f>IF(H1792="OK",N1792,"")</f>
        <v/>
      </c>
      <c r="U1792">
        <f>IF(OC_Donor=0,"",IF(INDEX('OneCause_Paste'!$A$1792:$AZ$1792,1,OC_Donor)="","",INDEX('OneCause_Paste'!$A$1792:$AZ$1792,1,OC_Donor)))</f>
        <v/>
      </c>
    </row>
    <row r="1793">
      <c r="A1793" s="62">
        <f>IF(H1793="","",IF(ISNUMBER(N1793),N1793,I1793))</f>
        <v/>
      </c>
      <c r="B1793">
        <f>IF(H1793="","",U1793)</f>
        <v/>
      </c>
      <c r="C1793">
        <f>IF(H1793="","",IF(P1793="",K1793,INDEX('Students'!$A$2:$A$701,P1793)))</f>
        <v/>
      </c>
      <c r="D1793">
        <f>IF(OR(H1793="",P1793=""),"",INDEX('Students'!$B$2:$B$701,P1793))</f>
        <v/>
      </c>
      <c r="E1793">
        <f>IF(OR(H1793="",P1793=""),"",INDEX('Students'!$C$2:$C$701,P1793))</f>
        <v/>
      </c>
      <c r="F1793" s="48">
        <f>IF(H1793="","",IF(ISNUMBER(O1793),O1793,J1793))</f>
        <v/>
      </c>
      <c r="G1793">
        <f>IF(H1793="","","OneCause")</f>
        <v/>
      </c>
      <c r="H1793">
        <f>IF(AND(I1793="",J1793="",K1793=""),"",IF(NOT(ISNUMBER(O1793)),"Bad amount",IF(O1793&lt;0,"Refund (not counted)",IF(O1793=0,"Zero amount",IF(NOT(ISNUMBER(N1793)),"Bad date",IF(P1793="","NAME NOT ON ROSTER",IF(L1793="","OK",IF(MATCH(L1793,$L$2:$L$3001,0)&lt;ROW()-1,"Duplicate (ignored)","OK"))))))))</f>
        <v/>
      </c>
      <c r="I1793">
        <f>IF(OC_Date=0,"",IF(INDEX('OneCause_Paste'!$A$1793:$AZ$1793,1,OC_Date)="","",INDEX('OneCause_Paste'!$A$1793:$AZ$1793,1,OC_Date)))</f>
        <v/>
      </c>
      <c r="J1793">
        <f>IF(OC_Amt=0,"",IF(INDEX('OneCause_Paste'!$A$1793:$AZ$1793,1,OC_Amt)="","",INDEX('OneCause_Paste'!$A$1793:$AZ$1793,1,OC_Amt)))</f>
        <v/>
      </c>
      <c r="K1793">
        <f>IF(OC_Name=0,"",IF(INDEX('OneCause_Paste'!$A$1793:$AZ$1793,1,OC_Name)="","",INDEX('OneCause_Paste'!$A$1793:$AZ$1793,1,OC_Name)))</f>
        <v/>
      </c>
      <c r="L1793">
        <f>IF(OC_Txn=0,"",IF(INDEX('OneCause_Paste'!$A$1793:$AZ$1793,1,OC_Txn)="","",INDEX('OneCause_Paste'!$A$1793:$AZ$1793,1,OC_Txn)))</f>
        <v/>
      </c>
      <c r="M1793">
        <f>IF(OC_Pay=0,"",IF(INDEX('OneCause_Paste'!$A$1793:$AZ$1793,1,OC_Pay)="","",INDEX('OneCause_Paste'!$A$1793:$AZ$1793,1,OC_Pay)))</f>
        <v/>
      </c>
      <c r="N1793">
        <f>IF(I1793="","",IF(ISNUMBER(I1793),INT(I1793),IFERROR(INT(DATEVALUE(I1793)),IFERROR(INT(VALUE(I1793)),"bad"))))</f>
        <v/>
      </c>
      <c r="O1793">
        <f>IF(J1793="","",IF(ISNUMBER(J1793),ROUND(J1793,2),IFERROR(ROUND(VALUE(SUBSTITUTE(SUBSTITUTE(SUBSTITUTE(J1793,"$",""),",","")," ","")),2),"bad")))</f>
        <v/>
      </c>
      <c r="P1793">
        <f>IF(TRIM(K1793)="","",IFERROR(MATCH(LOWER(TRIM(K1793)),'Students'!$AH$2:$AH$701,0),IFERROR(MATCH(LOWER(TRIM(K1793)),'Students'!$AF$2:$AF$701,0),IFERROR(MATCH(LOWER(TRIM(K1793)),'Students'!$AG$2:$AG$701,0),""))))</f>
        <v/>
      </c>
      <c r="R1793">
        <f>IF(P1793="","",INDEX('Students'!$AD$2:$AD$701,P1793))</f>
        <v/>
      </c>
      <c r="S1793">
        <f>IF(H1793="OK",O1793,0)</f>
        <v/>
      </c>
      <c r="T1793">
        <f>IF(H1793="OK",N1793,"")</f>
        <v/>
      </c>
      <c r="U1793">
        <f>IF(OC_Donor=0,"",IF(INDEX('OneCause_Paste'!$A$1793:$AZ$1793,1,OC_Donor)="","",INDEX('OneCause_Paste'!$A$1793:$AZ$1793,1,OC_Donor)))</f>
        <v/>
      </c>
    </row>
    <row r="1794">
      <c r="A1794" s="62">
        <f>IF(H1794="","",IF(ISNUMBER(N1794),N1794,I1794))</f>
        <v/>
      </c>
      <c r="B1794">
        <f>IF(H1794="","",U1794)</f>
        <v/>
      </c>
      <c r="C1794">
        <f>IF(H1794="","",IF(P1794="",K1794,INDEX('Students'!$A$2:$A$701,P1794)))</f>
        <v/>
      </c>
      <c r="D1794">
        <f>IF(OR(H1794="",P1794=""),"",INDEX('Students'!$B$2:$B$701,P1794))</f>
        <v/>
      </c>
      <c r="E1794">
        <f>IF(OR(H1794="",P1794=""),"",INDEX('Students'!$C$2:$C$701,P1794))</f>
        <v/>
      </c>
      <c r="F1794" s="48">
        <f>IF(H1794="","",IF(ISNUMBER(O1794),O1794,J1794))</f>
        <v/>
      </c>
      <c r="G1794">
        <f>IF(H1794="","","OneCause")</f>
        <v/>
      </c>
      <c r="H1794">
        <f>IF(AND(I1794="",J1794="",K1794=""),"",IF(NOT(ISNUMBER(O1794)),"Bad amount",IF(O1794&lt;0,"Refund (not counted)",IF(O1794=0,"Zero amount",IF(NOT(ISNUMBER(N1794)),"Bad date",IF(P1794="","NAME NOT ON ROSTER",IF(L1794="","OK",IF(MATCH(L1794,$L$2:$L$3001,0)&lt;ROW()-1,"Duplicate (ignored)","OK"))))))))</f>
        <v/>
      </c>
      <c r="I1794">
        <f>IF(OC_Date=0,"",IF(INDEX('OneCause_Paste'!$A$1794:$AZ$1794,1,OC_Date)="","",INDEX('OneCause_Paste'!$A$1794:$AZ$1794,1,OC_Date)))</f>
        <v/>
      </c>
      <c r="J1794">
        <f>IF(OC_Amt=0,"",IF(INDEX('OneCause_Paste'!$A$1794:$AZ$1794,1,OC_Amt)="","",INDEX('OneCause_Paste'!$A$1794:$AZ$1794,1,OC_Amt)))</f>
        <v/>
      </c>
      <c r="K1794">
        <f>IF(OC_Name=0,"",IF(INDEX('OneCause_Paste'!$A$1794:$AZ$1794,1,OC_Name)="","",INDEX('OneCause_Paste'!$A$1794:$AZ$1794,1,OC_Name)))</f>
        <v/>
      </c>
      <c r="L1794">
        <f>IF(OC_Txn=0,"",IF(INDEX('OneCause_Paste'!$A$1794:$AZ$1794,1,OC_Txn)="","",INDEX('OneCause_Paste'!$A$1794:$AZ$1794,1,OC_Txn)))</f>
        <v/>
      </c>
      <c r="M1794">
        <f>IF(OC_Pay=0,"",IF(INDEX('OneCause_Paste'!$A$1794:$AZ$1794,1,OC_Pay)="","",INDEX('OneCause_Paste'!$A$1794:$AZ$1794,1,OC_Pay)))</f>
        <v/>
      </c>
      <c r="N1794">
        <f>IF(I1794="","",IF(ISNUMBER(I1794),INT(I1794),IFERROR(INT(DATEVALUE(I1794)),IFERROR(INT(VALUE(I1794)),"bad"))))</f>
        <v/>
      </c>
      <c r="O1794">
        <f>IF(J1794="","",IF(ISNUMBER(J1794),ROUND(J1794,2),IFERROR(ROUND(VALUE(SUBSTITUTE(SUBSTITUTE(SUBSTITUTE(J1794,"$",""),",","")," ","")),2),"bad")))</f>
        <v/>
      </c>
      <c r="P1794">
        <f>IF(TRIM(K1794)="","",IFERROR(MATCH(LOWER(TRIM(K1794)),'Students'!$AH$2:$AH$701,0),IFERROR(MATCH(LOWER(TRIM(K1794)),'Students'!$AF$2:$AF$701,0),IFERROR(MATCH(LOWER(TRIM(K1794)),'Students'!$AG$2:$AG$701,0),""))))</f>
        <v/>
      </c>
      <c r="R1794">
        <f>IF(P1794="","",INDEX('Students'!$AD$2:$AD$701,P1794))</f>
        <v/>
      </c>
      <c r="S1794">
        <f>IF(H1794="OK",O1794,0)</f>
        <v/>
      </c>
      <c r="T1794">
        <f>IF(H1794="OK",N1794,"")</f>
        <v/>
      </c>
      <c r="U1794">
        <f>IF(OC_Donor=0,"",IF(INDEX('OneCause_Paste'!$A$1794:$AZ$1794,1,OC_Donor)="","",INDEX('OneCause_Paste'!$A$1794:$AZ$1794,1,OC_Donor)))</f>
        <v/>
      </c>
    </row>
    <row r="1795">
      <c r="A1795" s="62">
        <f>IF(H1795="","",IF(ISNUMBER(N1795),N1795,I1795))</f>
        <v/>
      </c>
      <c r="B1795">
        <f>IF(H1795="","",U1795)</f>
        <v/>
      </c>
      <c r="C1795">
        <f>IF(H1795="","",IF(P1795="",K1795,INDEX('Students'!$A$2:$A$701,P1795)))</f>
        <v/>
      </c>
      <c r="D1795">
        <f>IF(OR(H1795="",P1795=""),"",INDEX('Students'!$B$2:$B$701,P1795))</f>
        <v/>
      </c>
      <c r="E1795">
        <f>IF(OR(H1795="",P1795=""),"",INDEX('Students'!$C$2:$C$701,P1795))</f>
        <v/>
      </c>
      <c r="F1795" s="48">
        <f>IF(H1795="","",IF(ISNUMBER(O1795),O1795,J1795))</f>
        <v/>
      </c>
      <c r="G1795">
        <f>IF(H1795="","","OneCause")</f>
        <v/>
      </c>
      <c r="H1795">
        <f>IF(AND(I1795="",J1795="",K1795=""),"",IF(NOT(ISNUMBER(O1795)),"Bad amount",IF(O1795&lt;0,"Refund (not counted)",IF(O1795=0,"Zero amount",IF(NOT(ISNUMBER(N1795)),"Bad date",IF(P1795="","NAME NOT ON ROSTER",IF(L1795="","OK",IF(MATCH(L1795,$L$2:$L$3001,0)&lt;ROW()-1,"Duplicate (ignored)","OK"))))))))</f>
        <v/>
      </c>
      <c r="I1795">
        <f>IF(OC_Date=0,"",IF(INDEX('OneCause_Paste'!$A$1795:$AZ$1795,1,OC_Date)="","",INDEX('OneCause_Paste'!$A$1795:$AZ$1795,1,OC_Date)))</f>
        <v/>
      </c>
      <c r="J1795">
        <f>IF(OC_Amt=0,"",IF(INDEX('OneCause_Paste'!$A$1795:$AZ$1795,1,OC_Amt)="","",INDEX('OneCause_Paste'!$A$1795:$AZ$1795,1,OC_Amt)))</f>
        <v/>
      </c>
      <c r="K1795">
        <f>IF(OC_Name=0,"",IF(INDEX('OneCause_Paste'!$A$1795:$AZ$1795,1,OC_Name)="","",INDEX('OneCause_Paste'!$A$1795:$AZ$1795,1,OC_Name)))</f>
        <v/>
      </c>
      <c r="L1795">
        <f>IF(OC_Txn=0,"",IF(INDEX('OneCause_Paste'!$A$1795:$AZ$1795,1,OC_Txn)="","",INDEX('OneCause_Paste'!$A$1795:$AZ$1795,1,OC_Txn)))</f>
        <v/>
      </c>
      <c r="M1795">
        <f>IF(OC_Pay=0,"",IF(INDEX('OneCause_Paste'!$A$1795:$AZ$1795,1,OC_Pay)="","",INDEX('OneCause_Paste'!$A$1795:$AZ$1795,1,OC_Pay)))</f>
        <v/>
      </c>
      <c r="N1795">
        <f>IF(I1795="","",IF(ISNUMBER(I1795),INT(I1795),IFERROR(INT(DATEVALUE(I1795)),IFERROR(INT(VALUE(I1795)),"bad"))))</f>
        <v/>
      </c>
      <c r="O1795">
        <f>IF(J1795="","",IF(ISNUMBER(J1795),ROUND(J1795,2),IFERROR(ROUND(VALUE(SUBSTITUTE(SUBSTITUTE(SUBSTITUTE(J1795,"$",""),",","")," ","")),2),"bad")))</f>
        <v/>
      </c>
      <c r="P1795">
        <f>IF(TRIM(K1795)="","",IFERROR(MATCH(LOWER(TRIM(K1795)),'Students'!$AH$2:$AH$701,0),IFERROR(MATCH(LOWER(TRIM(K1795)),'Students'!$AF$2:$AF$701,0),IFERROR(MATCH(LOWER(TRIM(K1795)),'Students'!$AG$2:$AG$701,0),""))))</f>
        <v/>
      </c>
      <c r="R1795">
        <f>IF(P1795="","",INDEX('Students'!$AD$2:$AD$701,P1795))</f>
        <v/>
      </c>
      <c r="S1795">
        <f>IF(H1795="OK",O1795,0)</f>
        <v/>
      </c>
      <c r="T1795">
        <f>IF(H1795="OK",N1795,"")</f>
        <v/>
      </c>
      <c r="U1795">
        <f>IF(OC_Donor=0,"",IF(INDEX('OneCause_Paste'!$A$1795:$AZ$1795,1,OC_Donor)="","",INDEX('OneCause_Paste'!$A$1795:$AZ$1795,1,OC_Donor)))</f>
        <v/>
      </c>
    </row>
    <row r="1796">
      <c r="A1796" s="62">
        <f>IF(H1796="","",IF(ISNUMBER(N1796),N1796,I1796))</f>
        <v/>
      </c>
      <c r="B1796">
        <f>IF(H1796="","",U1796)</f>
        <v/>
      </c>
      <c r="C1796">
        <f>IF(H1796="","",IF(P1796="",K1796,INDEX('Students'!$A$2:$A$701,P1796)))</f>
        <v/>
      </c>
      <c r="D1796">
        <f>IF(OR(H1796="",P1796=""),"",INDEX('Students'!$B$2:$B$701,P1796))</f>
        <v/>
      </c>
      <c r="E1796">
        <f>IF(OR(H1796="",P1796=""),"",INDEX('Students'!$C$2:$C$701,P1796))</f>
        <v/>
      </c>
      <c r="F1796" s="48">
        <f>IF(H1796="","",IF(ISNUMBER(O1796),O1796,J1796))</f>
        <v/>
      </c>
      <c r="G1796">
        <f>IF(H1796="","","OneCause")</f>
        <v/>
      </c>
      <c r="H1796">
        <f>IF(AND(I1796="",J1796="",K1796=""),"",IF(NOT(ISNUMBER(O1796)),"Bad amount",IF(O1796&lt;0,"Refund (not counted)",IF(O1796=0,"Zero amount",IF(NOT(ISNUMBER(N1796)),"Bad date",IF(P1796="","NAME NOT ON ROSTER",IF(L1796="","OK",IF(MATCH(L1796,$L$2:$L$3001,0)&lt;ROW()-1,"Duplicate (ignored)","OK"))))))))</f>
        <v/>
      </c>
      <c r="I1796">
        <f>IF(OC_Date=0,"",IF(INDEX('OneCause_Paste'!$A$1796:$AZ$1796,1,OC_Date)="","",INDEX('OneCause_Paste'!$A$1796:$AZ$1796,1,OC_Date)))</f>
        <v/>
      </c>
      <c r="J1796">
        <f>IF(OC_Amt=0,"",IF(INDEX('OneCause_Paste'!$A$1796:$AZ$1796,1,OC_Amt)="","",INDEX('OneCause_Paste'!$A$1796:$AZ$1796,1,OC_Amt)))</f>
        <v/>
      </c>
      <c r="K1796">
        <f>IF(OC_Name=0,"",IF(INDEX('OneCause_Paste'!$A$1796:$AZ$1796,1,OC_Name)="","",INDEX('OneCause_Paste'!$A$1796:$AZ$1796,1,OC_Name)))</f>
        <v/>
      </c>
      <c r="L1796">
        <f>IF(OC_Txn=0,"",IF(INDEX('OneCause_Paste'!$A$1796:$AZ$1796,1,OC_Txn)="","",INDEX('OneCause_Paste'!$A$1796:$AZ$1796,1,OC_Txn)))</f>
        <v/>
      </c>
      <c r="M1796">
        <f>IF(OC_Pay=0,"",IF(INDEX('OneCause_Paste'!$A$1796:$AZ$1796,1,OC_Pay)="","",INDEX('OneCause_Paste'!$A$1796:$AZ$1796,1,OC_Pay)))</f>
        <v/>
      </c>
      <c r="N1796">
        <f>IF(I1796="","",IF(ISNUMBER(I1796),INT(I1796),IFERROR(INT(DATEVALUE(I1796)),IFERROR(INT(VALUE(I1796)),"bad"))))</f>
        <v/>
      </c>
      <c r="O1796">
        <f>IF(J1796="","",IF(ISNUMBER(J1796),ROUND(J1796,2),IFERROR(ROUND(VALUE(SUBSTITUTE(SUBSTITUTE(SUBSTITUTE(J1796,"$",""),",","")," ","")),2),"bad")))</f>
        <v/>
      </c>
      <c r="P1796">
        <f>IF(TRIM(K1796)="","",IFERROR(MATCH(LOWER(TRIM(K1796)),'Students'!$AH$2:$AH$701,0),IFERROR(MATCH(LOWER(TRIM(K1796)),'Students'!$AF$2:$AF$701,0),IFERROR(MATCH(LOWER(TRIM(K1796)),'Students'!$AG$2:$AG$701,0),""))))</f>
        <v/>
      </c>
      <c r="R1796">
        <f>IF(P1796="","",INDEX('Students'!$AD$2:$AD$701,P1796))</f>
        <v/>
      </c>
      <c r="S1796">
        <f>IF(H1796="OK",O1796,0)</f>
        <v/>
      </c>
      <c r="T1796">
        <f>IF(H1796="OK",N1796,"")</f>
        <v/>
      </c>
      <c r="U1796">
        <f>IF(OC_Donor=0,"",IF(INDEX('OneCause_Paste'!$A$1796:$AZ$1796,1,OC_Donor)="","",INDEX('OneCause_Paste'!$A$1796:$AZ$1796,1,OC_Donor)))</f>
        <v/>
      </c>
    </row>
    <row r="1797">
      <c r="A1797" s="62">
        <f>IF(H1797="","",IF(ISNUMBER(N1797),N1797,I1797))</f>
        <v/>
      </c>
      <c r="B1797">
        <f>IF(H1797="","",U1797)</f>
        <v/>
      </c>
      <c r="C1797">
        <f>IF(H1797="","",IF(P1797="",K1797,INDEX('Students'!$A$2:$A$701,P1797)))</f>
        <v/>
      </c>
      <c r="D1797">
        <f>IF(OR(H1797="",P1797=""),"",INDEX('Students'!$B$2:$B$701,P1797))</f>
        <v/>
      </c>
      <c r="E1797">
        <f>IF(OR(H1797="",P1797=""),"",INDEX('Students'!$C$2:$C$701,P1797))</f>
        <v/>
      </c>
      <c r="F1797" s="48">
        <f>IF(H1797="","",IF(ISNUMBER(O1797),O1797,J1797))</f>
        <v/>
      </c>
      <c r="G1797">
        <f>IF(H1797="","","OneCause")</f>
        <v/>
      </c>
      <c r="H1797">
        <f>IF(AND(I1797="",J1797="",K1797=""),"",IF(NOT(ISNUMBER(O1797)),"Bad amount",IF(O1797&lt;0,"Refund (not counted)",IF(O1797=0,"Zero amount",IF(NOT(ISNUMBER(N1797)),"Bad date",IF(P1797="","NAME NOT ON ROSTER",IF(L1797="","OK",IF(MATCH(L1797,$L$2:$L$3001,0)&lt;ROW()-1,"Duplicate (ignored)","OK"))))))))</f>
        <v/>
      </c>
      <c r="I1797">
        <f>IF(OC_Date=0,"",IF(INDEX('OneCause_Paste'!$A$1797:$AZ$1797,1,OC_Date)="","",INDEX('OneCause_Paste'!$A$1797:$AZ$1797,1,OC_Date)))</f>
        <v/>
      </c>
      <c r="J1797">
        <f>IF(OC_Amt=0,"",IF(INDEX('OneCause_Paste'!$A$1797:$AZ$1797,1,OC_Amt)="","",INDEX('OneCause_Paste'!$A$1797:$AZ$1797,1,OC_Amt)))</f>
        <v/>
      </c>
      <c r="K1797">
        <f>IF(OC_Name=0,"",IF(INDEX('OneCause_Paste'!$A$1797:$AZ$1797,1,OC_Name)="","",INDEX('OneCause_Paste'!$A$1797:$AZ$1797,1,OC_Name)))</f>
        <v/>
      </c>
      <c r="L1797">
        <f>IF(OC_Txn=0,"",IF(INDEX('OneCause_Paste'!$A$1797:$AZ$1797,1,OC_Txn)="","",INDEX('OneCause_Paste'!$A$1797:$AZ$1797,1,OC_Txn)))</f>
        <v/>
      </c>
      <c r="M1797">
        <f>IF(OC_Pay=0,"",IF(INDEX('OneCause_Paste'!$A$1797:$AZ$1797,1,OC_Pay)="","",INDEX('OneCause_Paste'!$A$1797:$AZ$1797,1,OC_Pay)))</f>
        <v/>
      </c>
      <c r="N1797">
        <f>IF(I1797="","",IF(ISNUMBER(I1797),INT(I1797),IFERROR(INT(DATEVALUE(I1797)),IFERROR(INT(VALUE(I1797)),"bad"))))</f>
        <v/>
      </c>
      <c r="O1797">
        <f>IF(J1797="","",IF(ISNUMBER(J1797),ROUND(J1797,2),IFERROR(ROUND(VALUE(SUBSTITUTE(SUBSTITUTE(SUBSTITUTE(J1797,"$",""),",","")," ","")),2),"bad")))</f>
        <v/>
      </c>
      <c r="P1797">
        <f>IF(TRIM(K1797)="","",IFERROR(MATCH(LOWER(TRIM(K1797)),'Students'!$AH$2:$AH$701,0),IFERROR(MATCH(LOWER(TRIM(K1797)),'Students'!$AF$2:$AF$701,0),IFERROR(MATCH(LOWER(TRIM(K1797)),'Students'!$AG$2:$AG$701,0),""))))</f>
        <v/>
      </c>
      <c r="R1797">
        <f>IF(P1797="","",INDEX('Students'!$AD$2:$AD$701,P1797))</f>
        <v/>
      </c>
      <c r="S1797">
        <f>IF(H1797="OK",O1797,0)</f>
        <v/>
      </c>
      <c r="T1797">
        <f>IF(H1797="OK",N1797,"")</f>
        <v/>
      </c>
      <c r="U1797">
        <f>IF(OC_Donor=0,"",IF(INDEX('OneCause_Paste'!$A$1797:$AZ$1797,1,OC_Donor)="","",INDEX('OneCause_Paste'!$A$1797:$AZ$1797,1,OC_Donor)))</f>
        <v/>
      </c>
    </row>
    <row r="1798">
      <c r="A1798" s="62">
        <f>IF(H1798="","",IF(ISNUMBER(N1798),N1798,I1798))</f>
        <v/>
      </c>
      <c r="B1798">
        <f>IF(H1798="","",U1798)</f>
        <v/>
      </c>
      <c r="C1798">
        <f>IF(H1798="","",IF(P1798="",K1798,INDEX('Students'!$A$2:$A$701,P1798)))</f>
        <v/>
      </c>
      <c r="D1798">
        <f>IF(OR(H1798="",P1798=""),"",INDEX('Students'!$B$2:$B$701,P1798))</f>
        <v/>
      </c>
      <c r="E1798">
        <f>IF(OR(H1798="",P1798=""),"",INDEX('Students'!$C$2:$C$701,P1798))</f>
        <v/>
      </c>
      <c r="F1798" s="48">
        <f>IF(H1798="","",IF(ISNUMBER(O1798),O1798,J1798))</f>
        <v/>
      </c>
      <c r="G1798">
        <f>IF(H1798="","","OneCause")</f>
        <v/>
      </c>
      <c r="H1798">
        <f>IF(AND(I1798="",J1798="",K1798=""),"",IF(NOT(ISNUMBER(O1798)),"Bad amount",IF(O1798&lt;0,"Refund (not counted)",IF(O1798=0,"Zero amount",IF(NOT(ISNUMBER(N1798)),"Bad date",IF(P1798="","NAME NOT ON ROSTER",IF(L1798="","OK",IF(MATCH(L1798,$L$2:$L$3001,0)&lt;ROW()-1,"Duplicate (ignored)","OK"))))))))</f>
        <v/>
      </c>
      <c r="I1798">
        <f>IF(OC_Date=0,"",IF(INDEX('OneCause_Paste'!$A$1798:$AZ$1798,1,OC_Date)="","",INDEX('OneCause_Paste'!$A$1798:$AZ$1798,1,OC_Date)))</f>
        <v/>
      </c>
      <c r="J1798">
        <f>IF(OC_Amt=0,"",IF(INDEX('OneCause_Paste'!$A$1798:$AZ$1798,1,OC_Amt)="","",INDEX('OneCause_Paste'!$A$1798:$AZ$1798,1,OC_Amt)))</f>
        <v/>
      </c>
      <c r="K1798">
        <f>IF(OC_Name=0,"",IF(INDEX('OneCause_Paste'!$A$1798:$AZ$1798,1,OC_Name)="","",INDEX('OneCause_Paste'!$A$1798:$AZ$1798,1,OC_Name)))</f>
        <v/>
      </c>
      <c r="L1798">
        <f>IF(OC_Txn=0,"",IF(INDEX('OneCause_Paste'!$A$1798:$AZ$1798,1,OC_Txn)="","",INDEX('OneCause_Paste'!$A$1798:$AZ$1798,1,OC_Txn)))</f>
        <v/>
      </c>
      <c r="M1798">
        <f>IF(OC_Pay=0,"",IF(INDEX('OneCause_Paste'!$A$1798:$AZ$1798,1,OC_Pay)="","",INDEX('OneCause_Paste'!$A$1798:$AZ$1798,1,OC_Pay)))</f>
        <v/>
      </c>
      <c r="N1798">
        <f>IF(I1798="","",IF(ISNUMBER(I1798),INT(I1798),IFERROR(INT(DATEVALUE(I1798)),IFERROR(INT(VALUE(I1798)),"bad"))))</f>
        <v/>
      </c>
      <c r="O1798">
        <f>IF(J1798="","",IF(ISNUMBER(J1798),ROUND(J1798,2),IFERROR(ROUND(VALUE(SUBSTITUTE(SUBSTITUTE(SUBSTITUTE(J1798,"$",""),",","")," ","")),2),"bad")))</f>
        <v/>
      </c>
      <c r="P1798">
        <f>IF(TRIM(K1798)="","",IFERROR(MATCH(LOWER(TRIM(K1798)),'Students'!$AH$2:$AH$701,0),IFERROR(MATCH(LOWER(TRIM(K1798)),'Students'!$AF$2:$AF$701,0),IFERROR(MATCH(LOWER(TRIM(K1798)),'Students'!$AG$2:$AG$701,0),""))))</f>
        <v/>
      </c>
      <c r="R1798">
        <f>IF(P1798="","",INDEX('Students'!$AD$2:$AD$701,P1798))</f>
        <v/>
      </c>
      <c r="S1798">
        <f>IF(H1798="OK",O1798,0)</f>
        <v/>
      </c>
      <c r="T1798">
        <f>IF(H1798="OK",N1798,"")</f>
        <v/>
      </c>
      <c r="U1798">
        <f>IF(OC_Donor=0,"",IF(INDEX('OneCause_Paste'!$A$1798:$AZ$1798,1,OC_Donor)="","",INDEX('OneCause_Paste'!$A$1798:$AZ$1798,1,OC_Donor)))</f>
        <v/>
      </c>
    </row>
    <row r="1799">
      <c r="A1799" s="62">
        <f>IF(H1799="","",IF(ISNUMBER(N1799),N1799,I1799))</f>
        <v/>
      </c>
      <c r="B1799">
        <f>IF(H1799="","",U1799)</f>
        <v/>
      </c>
      <c r="C1799">
        <f>IF(H1799="","",IF(P1799="",K1799,INDEX('Students'!$A$2:$A$701,P1799)))</f>
        <v/>
      </c>
      <c r="D1799">
        <f>IF(OR(H1799="",P1799=""),"",INDEX('Students'!$B$2:$B$701,P1799))</f>
        <v/>
      </c>
      <c r="E1799">
        <f>IF(OR(H1799="",P1799=""),"",INDEX('Students'!$C$2:$C$701,P1799))</f>
        <v/>
      </c>
      <c r="F1799" s="48">
        <f>IF(H1799="","",IF(ISNUMBER(O1799),O1799,J1799))</f>
        <v/>
      </c>
      <c r="G1799">
        <f>IF(H1799="","","OneCause")</f>
        <v/>
      </c>
      <c r="H1799">
        <f>IF(AND(I1799="",J1799="",K1799=""),"",IF(NOT(ISNUMBER(O1799)),"Bad amount",IF(O1799&lt;0,"Refund (not counted)",IF(O1799=0,"Zero amount",IF(NOT(ISNUMBER(N1799)),"Bad date",IF(P1799="","NAME NOT ON ROSTER",IF(L1799="","OK",IF(MATCH(L1799,$L$2:$L$3001,0)&lt;ROW()-1,"Duplicate (ignored)","OK"))))))))</f>
        <v/>
      </c>
      <c r="I1799">
        <f>IF(OC_Date=0,"",IF(INDEX('OneCause_Paste'!$A$1799:$AZ$1799,1,OC_Date)="","",INDEX('OneCause_Paste'!$A$1799:$AZ$1799,1,OC_Date)))</f>
        <v/>
      </c>
      <c r="J1799">
        <f>IF(OC_Amt=0,"",IF(INDEX('OneCause_Paste'!$A$1799:$AZ$1799,1,OC_Amt)="","",INDEX('OneCause_Paste'!$A$1799:$AZ$1799,1,OC_Amt)))</f>
        <v/>
      </c>
      <c r="K1799">
        <f>IF(OC_Name=0,"",IF(INDEX('OneCause_Paste'!$A$1799:$AZ$1799,1,OC_Name)="","",INDEX('OneCause_Paste'!$A$1799:$AZ$1799,1,OC_Name)))</f>
        <v/>
      </c>
      <c r="L1799">
        <f>IF(OC_Txn=0,"",IF(INDEX('OneCause_Paste'!$A$1799:$AZ$1799,1,OC_Txn)="","",INDEX('OneCause_Paste'!$A$1799:$AZ$1799,1,OC_Txn)))</f>
        <v/>
      </c>
      <c r="M1799">
        <f>IF(OC_Pay=0,"",IF(INDEX('OneCause_Paste'!$A$1799:$AZ$1799,1,OC_Pay)="","",INDEX('OneCause_Paste'!$A$1799:$AZ$1799,1,OC_Pay)))</f>
        <v/>
      </c>
      <c r="N1799">
        <f>IF(I1799="","",IF(ISNUMBER(I1799),INT(I1799),IFERROR(INT(DATEVALUE(I1799)),IFERROR(INT(VALUE(I1799)),"bad"))))</f>
        <v/>
      </c>
      <c r="O1799">
        <f>IF(J1799="","",IF(ISNUMBER(J1799),ROUND(J1799,2),IFERROR(ROUND(VALUE(SUBSTITUTE(SUBSTITUTE(SUBSTITUTE(J1799,"$",""),",","")," ","")),2),"bad")))</f>
        <v/>
      </c>
      <c r="P1799">
        <f>IF(TRIM(K1799)="","",IFERROR(MATCH(LOWER(TRIM(K1799)),'Students'!$AH$2:$AH$701,0),IFERROR(MATCH(LOWER(TRIM(K1799)),'Students'!$AF$2:$AF$701,0),IFERROR(MATCH(LOWER(TRIM(K1799)),'Students'!$AG$2:$AG$701,0),""))))</f>
        <v/>
      </c>
      <c r="R1799">
        <f>IF(P1799="","",INDEX('Students'!$AD$2:$AD$701,P1799))</f>
        <v/>
      </c>
      <c r="S1799">
        <f>IF(H1799="OK",O1799,0)</f>
        <v/>
      </c>
      <c r="T1799">
        <f>IF(H1799="OK",N1799,"")</f>
        <v/>
      </c>
      <c r="U1799">
        <f>IF(OC_Donor=0,"",IF(INDEX('OneCause_Paste'!$A$1799:$AZ$1799,1,OC_Donor)="","",INDEX('OneCause_Paste'!$A$1799:$AZ$1799,1,OC_Donor)))</f>
        <v/>
      </c>
    </row>
    <row r="1800">
      <c r="A1800" s="62">
        <f>IF(H1800="","",IF(ISNUMBER(N1800),N1800,I1800))</f>
        <v/>
      </c>
      <c r="B1800">
        <f>IF(H1800="","",U1800)</f>
        <v/>
      </c>
      <c r="C1800">
        <f>IF(H1800="","",IF(P1800="",K1800,INDEX('Students'!$A$2:$A$701,P1800)))</f>
        <v/>
      </c>
      <c r="D1800">
        <f>IF(OR(H1800="",P1800=""),"",INDEX('Students'!$B$2:$B$701,P1800))</f>
        <v/>
      </c>
      <c r="E1800">
        <f>IF(OR(H1800="",P1800=""),"",INDEX('Students'!$C$2:$C$701,P1800))</f>
        <v/>
      </c>
      <c r="F1800" s="48">
        <f>IF(H1800="","",IF(ISNUMBER(O1800),O1800,J1800))</f>
        <v/>
      </c>
      <c r="G1800">
        <f>IF(H1800="","","OneCause")</f>
        <v/>
      </c>
      <c r="H1800">
        <f>IF(AND(I1800="",J1800="",K1800=""),"",IF(NOT(ISNUMBER(O1800)),"Bad amount",IF(O1800&lt;0,"Refund (not counted)",IF(O1800=0,"Zero amount",IF(NOT(ISNUMBER(N1800)),"Bad date",IF(P1800="","NAME NOT ON ROSTER",IF(L1800="","OK",IF(MATCH(L1800,$L$2:$L$3001,0)&lt;ROW()-1,"Duplicate (ignored)","OK"))))))))</f>
        <v/>
      </c>
      <c r="I1800">
        <f>IF(OC_Date=0,"",IF(INDEX('OneCause_Paste'!$A$1800:$AZ$1800,1,OC_Date)="","",INDEX('OneCause_Paste'!$A$1800:$AZ$1800,1,OC_Date)))</f>
        <v/>
      </c>
      <c r="J1800">
        <f>IF(OC_Amt=0,"",IF(INDEX('OneCause_Paste'!$A$1800:$AZ$1800,1,OC_Amt)="","",INDEX('OneCause_Paste'!$A$1800:$AZ$1800,1,OC_Amt)))</f>
        <v/>
      </c>
      <c r="K1800">
        <f>IF(OC_Name=0,"",IF(INDEX('OneCause_Paste'!$A$1800:$AZ$1800,1,OC_Name)="","",INDEX('OneCause_Paste'!$A$1800:$AZ$1800,1,OC_Name)))</f>
        <v/>
      </c>
      <c r="L1800">
        <f>IF(OC_Txn=0,"",IF(INDEX('OneCause_Paste'!$A$1800:$AZ$1800,1,OC_Txn)="","",INDEX('OneCause_Paste'!$A$1800:$AZ$1800,1,OC_Txn)))</f>
        <v/>
      </c>
      <c r="M1800">
        <f>IF(OC_Pay=0,"",IF(INDEX('OneCause_Paste'!$A$1800:$AZ$1800,1,OC_Pay)="","",INDEX('OneCause_Paste'!$A$1800:$AZ$1800,1,OC_Pay)))</f>
        <v/>
      </c>
      <c r="N1800">
        <f>IF(I1800="","",IF(ISNUMBER(I1800),INT(I1800),IFERROR(INT(DATEVALUE(I1800)),IFERROR(INT(VALUE(I1800)),"bad"))))</f>
        <v/>
      </c>
      <c r="O1800">
        <f>IF(J1800="","",IF(ISNUMBER(J1800),ROUND(J1800,2),IFERROR(ROUND(VALUE(SUBSTITUTE(SUBSTITUTE(SUBSTITUTE(J1800,"$",""),",","")," ","")),2),"bad")))</f>
        <v/>
      </c>
      <c r="P1800">
        <f>IF(TRIM(K1800)="","",IFERROR(MATCH(LOWER(TRIM(K1800)),'Students'!$AH$2:$AH$701,0),IFERROR(MATCH(LOWER(TRIM(K1800)),'Students'!$AF$2:$AF$701,0),IFERROR(MATCH(LOWER(TRIM(K1800)),'Students'!$AG$2:$AG$701,0),""))))</f>
        <v/>
      </c>
      <c r="R1800">
        <f>IF(P1800="","",INDEX('Students'!$AD$2:$AD$701,P1800))</f>
        <v/>
      </c>
      <c r="S1800">
        <f>IF(H1800="OK",O1800,0)</f>
        <v/>
      </c>
      <c r="T1800">
        <f>IF(H1800="OK",N1800,"")</f>
        <v/>
      </c>
      <c r="U1800">
        <f>IF(OC_Donor=0,"",IF(INDEX('OneCause_Paste'!$A$1800:$AZ$1800,1,OC_Donor)="","",INDEX('OneCause_Paste'!$A$1800:$AZ$1800,1,OC_Donor)))</f>
        <v/>
      </c>
    </row>
    <row r="1801">
      <c r="A1801" s="62">
        <f>IF(H1801="","",IF(ISNUMBER(N1801),N1801,I1801))</f>
        <v/>
      </c>
      <c r="B1801">
        <f>IF(H1801="","",U1801)</f>
        <v/>
      </c>
      <c r="C1801">
        <f>IF(H1801="","",IF(P1801="",K1801,INDEX('Students'!$A$2:$A$701,P1801)))</f>
        <v/>
      </c>
      <c r="D1801">
        <f>IF(OR(H1801="",P1801=""),"",INDEX('Students'!$B$2:$B$701,P1801))</f>
        <v/>
      </c>
      <c r="E1801">
        <f>IF(OR(H1801="",P1801=""),"",INDEX('Students'!$C$2:$C$701,P1801))</f>
        <v/>
      </c>
      <c r="F1801" s="48">
        <f>IF(H1801="","",IF(ISNUMBER(O1801),O1801,J1801))</f>
        <v/>
      </c>
      <c r="G1801">
        <f>IF(H1801="","","OneCause")</f>
        <v/>
      </c>
      <c r="H1801">
        <f>IF(AND(I1801="",J1801="",K1801=""),"",IF(NOT(ISNUMBER(O1801)),"Bad amount",IF(O1801&lt;0,"Refund (not counted)",IF(O1801=0,"Zero amount",IF(NOT(ISNUMBER(N1801)),"Bad date",IF(P1801="","NAME NOT ON ROSTER",IF(L1801="","OK",IF(MATCH(L1801,$L$2:$L$3001,0)&lt;ROW()-1,"Duplicate (ignored)","OK"))))))))</f>
        <v/>
      </c>
      <c r="I1801">
        <f>IF(OC_Date=0,"",IF(INDEX('OneCause_Paste'!$A$1801:$AZ$1801,1,OC_Date)="","",INDEX('OneCause_Paste'!$A$1801:$AZ$1801,1,OC_Date)))</f>
        <v/>
      </c>
      <c r="J1801">
        <f>IF(OC_Amt=0,"",IF(INDEX('OneCause_Paste'!$A$1801:$AZ$1801,1,OC_Amt)="","",INDEX('OneCause_Paste'!$A$1801:$AZ$1801,1,OC_Amt)))</f>
        <v/>
      </c>
      <c r="K1801">
        <f>IF(OC_Name=0,"",IF(INDEX('OneCause_Paste'!$A$1801:$AZ$1801,1,OC_Name)="","",INDEX('OneCause_Paste'!$A$1801:$AZ$1801,1,OC_Name)))</f>
        <v/>
      </c>
      <c r="L1801">
        <f>IF(OC_Txn=0,"",IF(INDEX('OneCause_Paste'!$A$1801:$AZ$1801,1,OC_Txn)="","",INDEX('OneCause_Paste'!$A$1801:$AZ$1801,1,OC_Txn)))</f>
        <v/>
      </c>
      <c r="M1801">
        <f>IF(OC_Pay=0,"",IF(INDEX('OneCause_Paste'!$A$1801:$AZ$1801,1,OC_Pay)="","",INDEX('OneCause_Paste'!$A$1801:$AZ$1801,1,OC_Pay)))</f>
        <v/>
      </c>
      <c r="N1801">
        <f>IF(I1801="","",IF(ISNUMBER(I1801),INT(I1801),IFERROR(INT(DATEVALUE(I1801)),IFERROR(INT(VALUE(I1801)),"bad"))))</f>
        <v/>
      </c>
      <c r="O1801">
        <f>IF(J1801="","",IF(ISNUMBER(J1801),ROUND(J1801,2),IFERROR(ROUND(VALUE(SUBSTITUTE(SUBSTITUTE(SUBSTITUTE(J1801,"$",""),",","")," ","")),2),"bad")))</f>
        <v/>
      </c>
      <c r="P1801">
        <f>IF(TRIM(K1801)="","",IFERROR(MATCH(LOWER(TRIM(K1801)),'Students'!$AH$2:$AH$701,0),IFERROR(MATCH(LOWER(TRIM(K1801)),'Students'!$AF$2:$AF$701,0),IFERROR(MATCH(LOWER(TRIM(K1801)),'Students'!$AG$2:$AG$701,0),""))))</f>
        <v/>
      </c>
      <c r="R1801">
        <f>IF(P1801="","",INDEX('Students'!$AD$2:$AD$701,P1801))</f>
        <v/>
      </c>
      <c r="S1801">
        <f>IF(H1801="OK",O1801,0)</f>
        <v/>
      </c>
      <c r="T1801">
        <f>IF(H1801="OK",N1801,"")</f>
        <v/>
      </c>
      <c r="U1801">
        <f>IF(OC_Donor=0,"",IF(INDEX('OneCause_Paste'!$A$1801:$AZ$1801,1,OC_Donor)="","",INDEX('OneCause_Paste'!$A$1801:$AZ$1801,1,OC_Donor)))</f>
        <v/>
      </c>
    </row>
    <row r="1802">
      <c r="A1802" s="62">
        <f>IF(H1802="","",IF(ISNUMBER(N1802),N1802,I1802))</f>
        <v/>
      </c>
      <c r="B1802">
        <f>IF(H1802="","",U1802)</f>
        <v/>
      </c>
      <c r="C1802">
        <f>IF(H1802="","",IF(P1802="",K1802,INDEX('Students'!$A$2:$A$701,P1802)))</f>
        <v/>
      </c>
      <c r="D1802">
        <f>IF(OR(H1802="",P1802=""),"",INDEX('Students'!$B$2:$B$701,P1802))</f>
        <v/>
      </c>
      <c r="E1802">
        <f>IF(OR(H1802="",P1802=""),"",INDEX('Students'!$C$2:$C$701,P1802))</f>
        <v/>
      </c>
      <c r="F1802" s="48">
        <f>IF(H1802="","",IF(ISNUMBER(O1802),O1802,J1802))</f>
        <v/>
      </c>
      <c r="G1802">
        <f>IF(H1802="","","OneCause")</f>
        <v/>
      </c>
      <c r="H1802">
        <f>IF(AND(I1802="",J1802="",K1802=""),"",IF(NOT(ISNUMBER(O1802)),"Bad amount",IF(O1802&lt;0,"Refund (not counted)",IF(O1802=0,"Zero amount",IF(NOT(ISNUMBER(N1802)),"Bad date",IF(P1802="","NAME NOT ON ROSTER",IF(L1802="","OK",IF(MATCH(L1802,$L$2:$L$3001,0)&lt;ROW()-1,"Duplicate (ignored)","OK"))))))))</f>
        <v/>
      </c>
      <c r="I1802">
        <f>IF(OC_Date=0,"",IF(INDEX('OneCause_Paste'!$A$1802:$AZ$1802,1,OC_Date)="","",INDEX('OneCause_Paste'!$A$1802:$AZ$1802,1,OC_Date)))</f>
        <v/>
      </c>
      <c r="J1802">
        <f>IF(OC_Amt=0,"",IF(INDEX('OneCause_Paste'!$A$1802:$AZ$1802,1,OC_Amt)="","",INDEX('OneCause_Paste'!$A$1802:$AZ$1802,1,OC_Amt)))</f>
        <v/>
      </c>
      <c r="K1802">
        <f>IF(OC_Name=0,"",IF(INDEX('OneCause_Paste'!$A$1802:$AZ$1802,1,OC_Name)="","",INDEX('OneCause_Paste'!$A$1802:$AZ$1802,1,OC_Name)))</f>
        <v/>
      </c>
      <c r="L1802">
        <f>IF(OC_Txn=0,"",IF(INDEX('OneCause_Paste'!$A$1802:$AZ$1802,1,OC_Txn)="","",INDEX('OneCause_Paste'!$A$1802:$AZ$1802,1,OC_Txn)))</f>
        <v/>
      </c>
      <c r="M1802">
        <f>IF(OC_Pay=0,"",IF(INDEX('OneCause_Paste'!$A$1802:$AZ$1802,1,OC_Pay)="","",INDEX('OneCause_Paste'!$A$1802:$AZ$1802,1,OC_Pay)))</f>
        <v/>
      </c>
      <c r="N1802">
        <f>IF(I1802="","",IF(ISNUMBER(I1802),INT(I1802),IFERROR(INT(DATEVALUE(I1802)),IFERROR(INT(VALUE(I1802)),"bad"))))</f>
        <v/>
      </c>
      <c r="O1802">
        <f>IF(J1802="","",IF(ISNUMBER(J1802),ROUND(J1802,2),IFERROR(ROUND(VALUE(SUBSTITUTE(SUBSTITUTE(SUBSTITUTE(J1802,"$",""),",","")," ","")),2),"bad")))</f>
        <v/>
      </c>
      <c r="P1802">
        <f>IF(TRIM(K1802)="","",IFERROR(MATCH(LOWER(TRIM(K1802)),'Students'!$AH$2:$AH$701,0),IFERROR(MATCH(LOWER(TRIM(K1802)),'Students'!$AF$2:$AF$701,0),IFERROR(MATCH(LOWER(TRIM(K1802)),'Students'!$AG$2:$AG$701,0),""))))</f>
        <v/>
      </c>
      <c r="R1802">
        <f>IF(P1802="","",INDEX('Students'!$AD$2:$AD$701,P1802))</f>
        <v/>
      </c>
      <c r="S1802">
        <f>IF(H1802="OK",O1802,0)</f>
        <v/>
      </c>
      <c r="T1802">
        <f>IF(H1802="OK",N1802,"")</f>
        <v/>
      </c>
      <c r="U1802">
        <f>IF(OC_Donor=0,"",IF(INDEX('OneCause_Paste'!$A$1802:$AZ$1802,1,OC_Donor)="","",INDEX('OneCause_Paste'!$A$1802:$AZ$1802,1,OC_Donor)))</f>
        <v/>
      </c>
    </row>
    <row r="1803">
      <c r="A1803" s="62">
        <f>IF(H1803="","",IF(ISNUMBER(N1803),N1803,I1803))</f>
        <v/>
      </c>
      <c r="B1803">
        <f>IF(H1803="","",U1803)</f>
        <v/>
      </c>
      <c r="C1803">
        <f>IF(H1803="","",IF(P1803="",K1803,INDEX('Students'!$A$2:$A$701,P1803)))</f>
        <v/>
      </c>
      <c r="D1803">
        <f>IF(OR(H1803="",P1803=""),"",INDEX('Students'!$B$2:$B$701,P1803))</f>
        <v/>
      </c>
      <c r="E1803">
        <f>IF(OR(H1803="",P1803=""),"",INDEX('Students'!$C$2:$C$701,P1803))</f>
        <v/>
      </c>
      <c r="F1803" s="48">
        <f>IF(H1803="","",IF(ISNUMBER(O1803),O1803,J1803))</f>
        <v/>
      </c>
      <c r="G1803">
        <f>IF(H1803="","","OneCause")</f>
        <v/>
      </c>
      <c r="H1803">
        <f>IF(AND(I1803="",J1803="",K1803=""),"",IF(NOT(ISNUMBER(O1803)),"Bad amount",IF(O1803&lt;0,"Refund (not counted)",IF(O1803=0,"Zero amount",IF(NOT(ISNUMBER(N1803)),"Bad date",IF(P1803="","NAME NOT ON ROSTER",IF(L1803="","OK",IF(MATCH(L1803,$L$2:$L$3001,0)&lt;ROW()-1,"Duplicate (ignored)","OK"))))))))</f>
        <v/>
      </c>
      <c r="I1803">
        <f>IF(OC_Date=0,"",IF(INDEX('OneCause_Paste'!$A$1803:$AZ$1803,1,OC_Date)="","",INDEX('OneCause_Paste'!$A$1803:$AZ$1803,1,OC_Date)))</f>
        <v/>
      </c>
      <c r="J1803">
        <f>IF(OC_Amt=0,"",IF(INDEX('OneCause_Paste'!$A$1803:$AZ$1803,1,OC_Amt)="","",INDEX('OneCause_Paste'!$A$1803:$AZ$1803,1,OC_Amt)))</f>
        <v/>
      </c>
      <c r="K1803">
        <f>IF(OC_Name=0,"",IF(INDEX('OneCause_Paste'!$A$1803:$AZ$1803,1,OC_Name)="","",INDEX('OneCause_Paste'!$A$1803:$AZ$1803,1,OC_Name)))</f>
        <v/>
      </c>
      <c r="L1803">
        <f>IF(OC_Txn=0,"",IF(INDEX('OneCause_Paste'!$A$1803:$AZ$1803,1,OC_Txn)="","",INDEX('OneCause_Paste'!$A$1803:$AZ$1803,1,OC_Txn)))</f>
        <v/>
      </c>
      <c r="M1803">
        <f>IF(OC_Pay=0,"",IF(INDEX('OneCause_Paste'!$A$1803:$AZ$1803,1,OC_Pay)="","",INDEX('OneCause_Paste'!$A$1803:$AZ$1803,1,OC_Pay)))</f>
        <v/>
      </c>
      <c r="N1803">
        <f>IF(I1803="","",IF(ISNUMBER(I1803),INT(I1803),IFERROR(INT(DATEVALUE(I1803)),IFERROR(INT(VALUE(I1803)),"bad"))))</f>
        <v/>
      </c>
      <c r="O1803">
        <f>IF(J1803="","",IF(ISNUMBER(J1803),ROUND(J1803,2),IFERROR(ROUND(VALUE(SUBSTITUTE(SUBSTITUTE(SUBSTITUTE(J1803,"$",""),",","")," ","")),2),"bad")))</f>
        <v/>
      </c>
      <c r="P1803">
        <f>IF(TRIM(K1803)="","",IFERROR(MATCH(LOWER(TRIM(K1803)),'Students'!$AH$2:$AH$701,0),IFERROR(MATCH(LOWER(TRIM(K1803)),'Students'!$AF$2:$AF$701,0),IFERROR(MATCH(LOWER(TRIM(K1803)),'Students'!$AG$2:$AG$701,0),""))))</f>
        <v/>
      </c>
      <c r="R1803">
        <f>IF(P1803="","",INDEX('Students'!$AD$2:$AD$701,P1803))</f>
        <v/>
      </c>
      <c r="S1803">
        <f>IF(H1803="OK",O1803,0)</f>
        <v/>
      </c>
      <c r="T1803">
        <f>IF(H1803="OK",N1803,"")</f>
        <v/>
      </c>
      <c r="U1803">
        <f>IF(OC_Donor=0,"",IF(INDEX('OneCause_Paste'!$A$1803:$AZ$1803,1,OC_Donor)="","",INDEX('OneCause_Paste'!$A$1803:$AZ$1803,1,OC_Donor)))</f>
        <v/>
      </c>
    </row>
    <row r="1804">
      <c r="A1804" s="62">
        <f>IF(H1804="","",IF(ISNUMBER(N1804),N1804,I1804))</f>
        <v/>
      </c>
      <c r="B1804">
        <f>IF(H1804="","",U1804)</f>
        <v/>
      </c>
      <c r="C1804">
        <f>IF(H1804="","",IF(P1804="",K1804,INDEX('Students'!$A$2:$A$701,P1804)))</f>
        <v/>
      </c>
      <c r="D1804">
        <f>IF(OR(H1804="",P1804=""),"",INDEX('Students'!$B$2:$B$701,P1804))</f>
        <v/>
      </c>
      <c r="E1804">
        <f>IF(OR(H1804="",P1804=""),"",INDEX('Students'!$C$2:$C$701,P1804))</f>
        <v/>
      </c>
      <c r="F1804" s="48">
        <f>IF(H1804="","",IF(ISNUMBER(O1804),O1804,J1804))</f>
        <v/>
      </c>
      <c r="G1804">
        <f>IF(H1804="","","OneCause")</f>
        <v/>
      </c>
      <c r="H1804">
        <f>IF(AND(I1804="",J1804="",K1804=""),"",IF(NOT(ISNUMBER(O1804)),"Bad amount",IF(O1804&lt;0,"Refund (not counted)",IF(O1804=0,"Zero amount",IF(NOT(ISNUMBER(N1804)),"Bad date",IF(P1804="","NAME NOT ON ROSTER",IF(L1804="","OK",IF(MATCH(L1804,$L$2:$L$3001,0)&lt;ROW()-1,"Duplicate (ignored)","OK"))))))))</f>
        <v/>
      </c>
      <c r="I1804">
        <f>IF(OC_Date=0,"",IF(INDEX('OneCause_Paste'!$A$1804:$AZ$1804,1,OC_Date)="","",INDEX('OneCause_Paste'!$A$1804:$AZ$1804,1,OC_Date)))</f>
        <v/>
      </c>
      <c r="J1804">
        <f>IF(OC_Amt=0,"",IF(INDEX('OneCause_Paste'!$A$1804:$AZ$1804,1,OC_Amt)="","",INDEX('OneCause_Paste'!$A$1804:$AZ$1804,1,OC_Amt)))</f>
        <v/>
      </c>
      <c r="K1804">
        <f>IF(OC_Name=0,"",IF(INDEX('OneCause_Paste'!$A$1804:$AZ$1804,1,OC_Name)="","",INDEX('OneCause_Paste'!$A$1804:$AZ$1804,1,OC_Name)))</f>
        <v/>
      </c>
      <c r="L1804">
        <f>IF(OC_Txn=0,"",IF(INDEX('OneCause_Paste'!$A$1804:$AZ$1804,1,OC_Txn)="","",INDEX('OneCause_Paste'!$A$1804:$AZ$1804,1,OC_Txn)))</f>
        <v/>
      </c>
      <c r="M1804">
        <f>IF(OC_Pay=0,"",IF(INDEX('OneCause_Paste'!$A$1804:$AZ$1804,1,OC_Pay)="","",INDEX('OneCause_Paste'!$A$1804:$AZ$1804,1,OC_Pay)))</f>
        <v/>
      </c>
      <c r="N1804">
        <f>IF(I1804="","",IF(ISNUMBER(I1804),INT(I1804),IFERROR(INT(DATEVALUE(I1804)),IFERROR(INT(VALUE(I1804)),"bad"))))</f>
        <v/>
      </c>
      <c r="O1804">
        <f>IF(J1804="","",IF(ISNUMBER(J1804),ROUND(J1804,2),IFERROR(ROUND(VALUE(SUBSTITUTE(SUBSTITUTE(SUBSTITUTE(J1804,"$",""),",","")," ","")),2),"bad")))</f>
        <v/>
      </c>
      <c r="P1804">
        <f>IF(TRIM(K1804)="","",IFERROR(MATCH(LOWER(TRIM(K1804)),'Students'!$AH$2:$AH$701,0),IFERROR(MATCH(LOWER(TRIM(K1804)),'Students'!$AF$2:$AF$701,0),IFERROR(MATCH(LOWER(TRIM(K1804)),'Students'!$AG$2:$AG$701,0),""))))</f>
        <v/>
      </c>
      <c r="R1804">
        <f>IF(P1804="","",INDEX('Students'!$AD$2:$AD$701,P1804))</f>
        <v/>
      </c>
      <c r="S1804">
        <f>IF(H1804="OK",O1804,0)</f>
        <v/>
      </c>
      <c r="T1804">
        <f>IF(H1804="OK",N1804,"")</f>
        <v/>
      </c>
      <c r="U1804">
        <f>IF(OC_Donor=0,"",IF(INDEX('OneCause_Paste'!$A$1804:$AZ$1804,1,OC_Donor)="","",INDEX('OneCause_Paste'!$A$1804:$AZ$1804,1,OC_Donor)))</f>
        <v/>
      </c>
    </row>
    <row r="1805">
      <c r="A1805" s="62">
        <f>IF(H1805="","",IF(ISNUMBER(N1805),N1805,I1805))</f>
        <v/>
      </c>
      <c r="B1805">
        <f>IF(H1805="","",U1805)</f>
        <v/>
      </c>
      <c r="C1805">
        <f>IF(H1805="","",IF(P1805="",K1805,INDEX('Students'!$A$2:$A$701,P1805)))</f>
        <v/>
      </c>
      <c r="D1805">
        <f>IF(OR(H1805="",P1805=""),"",INDEX('Students'!$B$2:$B$701,P1805))</f>
        <v/>
      </c>
      <c r="E1805">
        <f>IF(OR(H1805="",P1805=""),"",INDEX('Students'!$C$2:$C$701,P1805))</f>
        <v/>
      </c>
      <c r="F1805" s="48">
        <f>IF(H1805="","",IF(ISNUMBER(O1805),O1805,J1805))</f>
        <v/>
      </c>
      <c r="G1805">
        <f>IF(H1805="","","OneCause")</f>
        <v/>
      </c>
      <c r="H1805">
        <f>IF(AND(I1805="",J1805="",K1805=""),"",IF(NOT(ISNUMBER(O1805)),"Bad amount",IF(O1805&lt;0,"Refund (not counted)",IF(O1805=0,"Zero amount",IF(NOT(ISNUMBER(N1805)),"Bad date",IF(P1805="","NAME NOT ON ROSTER",IF(L1805="","OK",IF(MATCH(L1805,$L$2:$L$3001,0)&lt;ROW()-1,"Duplicate (ignored)","OK"))))))))</f>
        <v/>
      </c>
      <c r="I1805">
        <f>IF(OC_Date=0,"",IF(INDEX('OneCause_Paste'!$A$1805:$AZ$1805,1,OC_Date)="","",INDEX('OneCause_Paste'!$A$1805:$AZ$1805,1,OC_Date)))</f>
        <v/>
      </c>
      <c r="J1805">
        <f>IF(OC_Amt=0,"",IF(INDEX('OneCause_Paste'!$A$1805:$AZ$1805,1,OC_Amt)="","",INDEX('OneCause_Paste'!$A$1805:$AZ$1805,1,OC_Amt)))</f>
        <v/>
      </c>
      <c r="K1805">
        <f>IF(OC_Name=0,"",IF(INDEX('OneCause_Paste'!$A$1805:$AZ$1805,1,OC_Name)="","",INDEX('OneCause_Paste'!$A$1805:$AZ$1805,1,OC_Name)))</f>
        <v/>
      </c>
      <c r="L1805">
        <f>IF(OC_Txn=0,"",IF(INDEX('OneCause_Paste'!$A$1805:$AZ$1805,1,OC_Txn)="","",INDEX('OneCause_Paste'!$A$1805:$AZ$1805,1,OC_Txn)))</f>
        <v/>
      </c>
      <c r="M1805">
        <f>IF(OC_Pay=0,"",IF(INDEX('OneCause_Paste'!$A$1805:$AZ$1805,1,OC_Pay)="","",INDEX('OneCause_Paste'!$A$1805:$AZ$1805,1,OC_Pay)))</f>
        <v/>
      </c>
      <c r="N1805">
        <f>IF(I1805="","",IF(ISNUMBER(I1805),INT(I1805),IFERROR(INT(DATEVALUE(I1805)),IFERROR(INT(VALUE(I1805)),"bad"))))</f>
        <v/>
      </c>
      <c r="O1805">
        <f>IF(J1805="","",IF(ISNUMBER(J1805),ROUND(J1805,2),IFERROR(ROUND(VALUE(SUBSTITUTE(SUBSTITUTE(SUBSTITUTE(J1805,"$",""),",","")," ","")),2),"bad")))</f>
        <v/>
      </c>
      <c r="P1805">
        <f>IF(TRIM(K1805)="","",IFERROR(MATCH(LOWER(TRIM(K1805)),'Students'!$AH$2:$AH$701,0),IFERROR(MATCH(LOWER(TRIM(K1805)),'Students'!$AF$2:$AF$701,0),IFERROR(MATCH(LOWER(TRIM(K1805)),'Students'!$AG$2:$AG$701,0),""))))</f>
        <v/>
      </c>
      <c r="R1805">
        <f>IF(P1805="","",INDEX('Students'!$AD$2:$AD$701,P1805))</f>
        <v/>
      </c>
      <c r="S1805">
        <f>IF(H1805="OK",O1805,0)</f>
        <v/>
      </c>
      <c r="T1805">
        <f>IF(H1805="OK",N1805,"")</f>
        <v/>
      </c>
      <c r="U1805">
        <f>IF(OC_Donor=0,"",IF(INDEX('OneCause_Paste'!$A$1805:$AZ$1805,1,OC_Donor)="","",INDEX('OneCause_Paste'!$A$1805:$AZ$1805,1,OC_Donor)))</f>
        <v/>
      </c>
    </row>
    <row r="1806">
      <c r="A1806" s="62">
        <f>IF(H1806="","",IF(ISNUMBER(N1806),N1806,I1806))</f>
        <v/>
      </c>
      <c r="B1806">
        <f>IF(H1806="","",U1806)</f>
        <v/>
      </c>
      <c r="C1806">
        <f>IF(H1806="","",IF(P1806="",K1806,INDEX('Students'!$A$2:$A$701,P1806)))</f>
        <v/>
      </c>
      <c r="D1806">
        <f>IF(OR(H1806="",P1806=""),"",INDEX('Students'!$B$2:$B$701,P1806))</f>
        <v/>
      </c>
      <c r="E1806">
        <f>IF(OR(H1806="",P1806=""),"",INDEX('Students'!$C$2:$C$701,P1806))</f>
        <v/>
      </c>
      <c r="F1806" s="48">
        <f>IF(H1806="","",IF(ISNUMBER(O1806),O1806,J1806))</f>
        <v/>
      </c>
      <c r="G1806">
        <f>IF(H1806="","","OneCause")</f>
        <v/>
      </c>
      <c r="H1806">
        <f>IF(AND(I1806="",J1806="",K1806=""),"",IF(NOT(ISNUMBER(O1806)),"Bad amount",IF(O1806&lt;0,"Refund (not counted)",IF(O1806=0,"Zero amount",IF(NOT(ISNUMBER(N1806)),"Bad date",IF(P1806="","NAME NOT ON ROSTER",IF(L1806="","OK",IF(MATCH(L1806,$L$2:$L$3001,0)&lt;ROW()-1,"Duplicate (ignored)","OK"))))))))</f>
        <v/>
      </c>
      <c r="I1806">
        <f>IF(OC_Date=0,"",IF(INDEX('OneCause_Paste'!$A$1806:$AZ$1806,1,OC_Date)="","",INDEX('OneCause_Paste'!$A$1806:$AZ$1806,1,OC_Date)))</f>
        <v/>
      </c>
      <c r="J1806">
        <f>IF(OC_Amt=0,"",IF(INDEX('OneCause_Paste'!$A$1806:$AZ$1806,1,OC_Amt)="","",INDEX('OneCause_Paste'!$A$1806:$AZ$1806,1,OC_Amt)))</f>
        <v/>
      </c>
      <c r="K1806">
        <f>IF(OC_Name=0,"",IF(INDEX('OneCause_Paste'!$A$1806:$AZ$1806,1,OC_Name)="","",INDEX('OneCause_Paste'!$A$1806:$AZ$1806,1,OC_Name)))</f>
        <v/>
      </c>
      <c r="L1806">
        <f>IF(OC_Txn=0,"",IF(INDEX('OneCause_Paste'!$A$1806:$AZ$1806,1,OC_Txn)="","",INDEX('OneCause_Paste'!$A$1806:$AZ$1806,1,OC_Txn)))</f>
        <v/>
      </c>
      <c r="M1806">
        <f>IF(OC_Pay=0,"",IF(INDEX('OneCause_Paste'!$A$1806:$AZ$1806,1,OC_Pay)="","",INDEX('OneCause_Paste'!$A$1806:$AZ$1806,1,OC_Pay)))</f>
        <v/>
      </c>
      <c r="N1806">
        <f>IF(I1806="","",IF(ISNUMBER(I1806),INT(I1806),IFERROR(INT(DATEVALUE(I1806)),IFERROR(INT(VALUE(I1806)),"bad"))))</f>
        <v/>
      </c>
      <c r="O1806">
        <f>IF(J1806="","",IF(ISNUMBER(J1806),ROUND(J1806,2),IFERROR(ROUND(VALUE(SUBSTITUTE(SUBSTITUTE(SUBSTITUTE(J1806,"$",""),",","")," ","")),2),"bad")))</f>
        <v/>
      </c>
      <c r="P1806">
        <f>IF(TRIM(K1806)="","",IFERROR(MATCH(LOWER(TRIM(K1806)),'Students'!$AH$2:$AH$701,0),IFERROR(MATCH(LOWER(TRIM(K1806)),'Students'!$AF$2:$AF$701,0),IFERROR(MATCH(LOWER(TRIM(K1806)),'Students'!$AG$2:$AG$701,0),""))))</f>
        <v/>
      </c>
      <c r="R1806">
        <f>IF(P1806="","",INDEX('Students'!$AD$2:$AD$701,P1806))</f>
        <v/>
      </c>
      <c r="S1806">
        <f>IF(H1806="OK",O1806,0)</f>
        <v/>
      </c>
      <c r="T1806">
        <f>IF(H1806="OK",N1806,"")</f>
        <v/>
      </c>
      <c r="U1806">
        <f>IF(OC_Donor=0,"",IF(INDEX('OneCause_Paste'!$A$1806:$AZ$1806,1,OC_Donor)="","",INDEX('OneCause_Paste'!$A$1806:$AZ$1806,1,OC_Donor)))</f>
        <v/>
      </c>
    </row>
    <row r="1807">
      <c r="A1807" s="62">
        <f>IF(H1807="","",IF(ISNUMBER(N1807),N1807,I1807))</f>
        <v/>
      </c>
      <c r="B1807">
        <f>IF(H1807="","",U1807)</f>
        <v/>
      </c>
      <c r="C1807">
        <f>IF(H1807="","",IF(P1807="",K1807,INDEX('Students'!$A$2:$A$701,P1807)))</f>
        <v/>
      </c>
      <c r="D1807">
        <f>IF(OR(H1807="",P1807=""),"",INDEX('Students'!$B$2:$B$701,P1807))</f>
        <v/>
      </c>
      <c r="E1807">
        <f>IF(OR(H1807="",P1807=""),"",INDEX('Students'!$C$2:$C$701,P1807))</f>
        <v/>
      </c>
      <c r="F1807" s="48">
        <f>IF(H1807="","",IF(ISNUMBER(O1807),O1807,J1807))</f>
        <v/>
      </c>
      <c r="G1807">
        <f>IF(H1807="","","OneCause")</f>
        <v/>
      </c>
      <c r="H1807">
        <f>IF(AND(I1807="",J1807="",K1807=""),"",IF(NOT(ISNUMBER(O1807)),"Bad amount",IF(O1807&lt;0,"Refund (not counted)",IF(O1807=0,"Zero amount",IF(NOT(ISNUMBER(N1807)),"Bad date",IF(P1807="","NAME NOT ON ROSTER",IF(L1807="","OK",IF(MATCH(L1807,$L$2:$L$3001,0)&lt;ROW()-1,"Duplicate (ignored)","OK"))))))))</f>
        <v/>
      </c>
      <c r="I1807">
        <f>IF(OC_Date=0,"",IF(INDEX('OneCause_Paste'!$A$1807:$AZ$1807,1,OC_Date)="","",INDEX('OneCause_Paste'!$A$1807:$AZ$1807,1,OC_Date)))</f>
        <v/>
      </c>
      <c r="J1807">
        <f>IF(OC_Amt=0,"",IF(INDEX('OneCause_Paste'!$A$1807:$AZ$1807,1,OC_Amt)="","",INDEX('OneCause_Paste'!$A$1807:$AZ$1807,1,OC_Amt)))</f>
        <v/>
      </c>
      <c r="K1807">
        <f>IF(OC_Name=0,"",IF(INDEX('OneCause_Paste'!$A$1807:$AZ$1807,1,OC_Name)="","",INDEX('OneCause_Paste'!$A$1807:$AZ$1807,1,OC_Name)))</f>
        <v/>
      </c>
      <c r="L1807">
        <f>IF(OC_Txn=0,"",IF(INDEX('OneCause_Paste'!$A$1807:$AZ$1807,1,OC_Txn)="","",INDEX('OneCause_Paste'!$A$1807:$AZ$1807,1,OC_Txn)))</f>
        <v/>
      </c>
      <c r="M1807">
        <f>IF(OC_Pay=0,"",IF(INDEX('OneCause_Paste'!$A$1807:$AZ$1807,1,OC_Pay)="","",INDEX('OneCause_Paste'!$A$1807:$AZ$1807,1,OC_Pay)))</f>
        <v/>
      </c>
      <c r="N1807">
        <f>IF(I1807="","",IF(ISNUMBER(I1807),INT(I1807),IFERROR(INT(DATEVALUE(I1807)),IFERROR(INT(VALUE(I1807)),"bad"))))</f>
        <v/>
      </c>
      <c r="O1807">
        <f>IF(J1807="","",IF(ISNUMBER(J1807),ROUND(J1807,2),IFERROR(ROUND(VALUE(SUBSTITUTE(SUBSTITUTE(SUBSTITUTE(J1807,"$",""),",","")," ","")),2),"bad")))</f>
        <v/>
      </c>
      <c r="P1807">
        <f>IF(TRIM(K1807)="","",IFERROR(MATCH(LOWER(TRIM(K1807)),'Students'!$AH$2:$AH$701,0),IFERROR(MATCH(LOWER(TRIM(K1807)),'Students'!$AF$2:$AF$701,0),IFERROR(MATCH(LOWER(TRIM(K1807)),'Students'!$AG$2:$AG$701,0),""))))</f>
        <v/>
      </c>
      <c r="R1807">
        <f>IF(P1807="","",INDEX('Students'!$AD$2:$AD$701,P1807))</f>
        <v/>
      </c>
      <c r="S1807">
        <f>IF(H1807="OK",O1807,0)</f>
        <v/>
      </c>
      <c r="T1807">
        <f>IF(H1807="OK",N1807,"")</f>
        <v/>
      </c>
      <c r="U1807">
        <f>IF(OC_Donor=0,"",IF(INDEX('OneCause_Paste'!$A$1807:$AZ$1807,1,OC_Donor)="","",INDEX('OneCause_Paste'!$A$1807:$AZ$1807,1,OC_Donor)))</f>
        <v/>
      </c>
    </row>
    <row r="1808">
      <c r="A1808" s="62">
        <f>IF(H1808="","",IF(ISNUMBER(N1808),N1808,I1808))</f>
        <v/>
      </c>
      <c r="B1808">
        <f>IF(H1808="","",U1808)</f>
        <v/>
      </c>
      <c r="C1808">
        <f>IF(H1808="","",IF(P1808="",K1808,INDEX('Students'!$A$2:$A$701,P1808)))</f>
        <v/>
      </c>
      <c r="D1808">
        <f>IF(OR(H1808="",P1808=""),"",INDEX('Students'!$B$2:$B$701,P1808))</f>
        <v/>
      </c>
      <c r="E1808">
        <f>IF(OR(H1808="",P1808=""),"",INDEX('Students'!$C$2:$C$701,P1808))</f>
        <v/>
      </c>
      <c r="F1808" s="48">
        <f>IF(H1808="","",IF(ISNUMBER(O1808),O1808,J1808))</f>
        <v/>
      </c>
      <c r="G1808">
        <f>IF(H1808="","","OneCause")</f>
        <v/>
      </c>
      <c r="H1808">
        <f>IF(AND(I1808="",J1808="",K1808=""),"",IF(NOT(ISNUMBER(O1808)),"Bad amount",IF(O1808&lt;0,"Refund (not counted)",IF(O1808=0,"Zero amount",IF(NOT(ISNUMBER(N1808)),"Bad date",IF(P1808="","NAME NOT ON ROSTER",IF(L1808="","OK",IF(MATCH(L1808,$L$2:$L$3001,0)&lt;ROW()-1,"Duplicate (ignored)","OK"))))))))</f>
        <v/>
      </c>
      <c r="I1808">
        <f>IF(OC_Date=0,"",IF(INDEX('OneCause_Paste'!$A$1808:$AZ$1808,1,OC_Date)="","",INDEX('OneCause_Paste'!$A$1808:$AZ$1808,1,OC_Date)))</f>
        <v/>
      </c>
      <c r="J1808">
        <f>IF(OC_Amt=0,"",IF(INDEX('OneCause_Paste'!$A$1808:$AZ$1808,1,OC_Amt)="","",INDEX('OneCause_Paste'!$A$1808:$AZ$1808,1,OC_Amt)))</f>
        <v/>
      </c>
      <c r="K1808">
        <f>IF(OC_Name=0,"",IF(INDEX('OneCause_Paste'!$A$1808:$AZ$1808,1,OC_Name)="","",INDEX('OneCause_Paste'!$A$1808:$AZ$1808,1,OC_Name)))</f>
        <v/>
      </c>
      <c r="L1808">
        <f>IF(OC_Txn=0,"",IF(INDEX('OneCause_Paste'!$A$1808:$AZ$1808,1,OC_Txn)="","",INDEX('OneCause_Paste'!$A$1808:$AZ$1808,1,OC_Txn)))</f>
        <v/>
      </c>
      <c r="M1808">
        <f>IF(OC_Pay=0,"",IF(INDEX('OneCause_Paste'!$A$1808:$AZ$1808,1,OC_Pay)="","",INDEX('OneCause_Paste'!$A$1808:$AZ$1808,1,OC_Pay)))</f>
        <v/>
      </c>
      <c r="N1808">
        <f>IF(I1808="","",IF(ISNUMBER(I1808),INT(I1808),IFERROR(INT(DATEVALUE(I1808)),IFERROR(INT(VALUE(I1808)),"bad"))))</f>
        <v/>
      </c>
      <c r="O1808">
        <f>IF(J1808="","",IF(ISNUMBER(J1808),ROUND(J1808,2),IFERROR(ROUND(VALUE(SUBSTITUTE(SUBSTITUTE(SUBSTITUTE(J1808,"$",""),",","")," ","")),2),"bad")))</f>
        <v/>
      </c>
      <c r="P1808">
        <f>IF(TRIM(K1808)="","",IFERROR(MATCH(LOWER(TRIM(K1808)),'Students'!$AH$2:$AH$701,0),IFERROR(MATCH(LOWER(TRIM(K1808)),'Students'!$AF$2:$AF$701,0),IFERROR(MATCH(LOWER(TRIM(K1808)),'Students'!$AG$2:$AG$701,0),""))))</f>
        <v/>
      </c>
      <c r="R1808">
        <f>IF(P1808="","",INDEX('Students'!$AD$2:$AD$701,P1808))</f>
        <v/>
      </c>
      <c r="S1808">
        <f>IF(H1808="OK",O1808,0)</f>
        <v/>
      </c>
      <c r="T1808">
        <f>IF(H1808="OK",N1808,"")</f>
        <v/>
      </c>
      <c r="U1808">
        <f>IF(OC_Donor=0,"",IF(INDEX('OneCause_Paste'!$A$1808:$AZ$1808,1,OC_Donor)="","",INDEX('OneCause_Paste'!$A$1808:$AZ$1808,1,OC_Donor)))</f>
        <v/>
      </c>
    </row>
    <row r="1809">
      <c r="A1809" s="62">
        <f>IF(H1809="","",IF(ISNUMBER(N1809),N1809,I1809))</f>
        <v/>
      </c>
      <c r="B1809">
        <f>IF(H1809="","",U1809)</f>
        <v/>
      </c>
      <c r="C1809">
        <f>IF(H1809="","",IF(P1809="",K1809,INDEX('Students'!$A$2:$A$701,P1809)))</f>
        <v/>
      </c>
      <c r="D1809">
        <f>IF(OR(H1809="",P1809=""),"",INDEX('Students'!$B$2:$B$701,P1809))</f>
        <v/>
      </c>
      <c r="E1809">
        <f>IF(OR(H1809="",P1809=""),"",INDEX('Students'!$C$2:$C$701,P1809))</f>
        <v/>
      </c>
      <c r="F1809" s="48">
        <f>IF(H1809="","",IF(ISNUMBER(O1809),O1809,J1809))</f>
        <v/>
      </c>
      <c r="G1809">
        <f>IF(H1809="","","OneCause")</f>
        <v/>
      </c>
      <c r="H1809">
        <f>IF(AND(I1809="",J1809="",K1809=""),"",IF(NOT(ISNUMBER(O1809)),"Bad amount",IF(O1809&lt;0,"Refund (not counted)",IF(O1809=0,"Zero amount",IF(NOT(ISNUMBER(N1809)),"Bad date",IF(P1809="","NAME NOT ON ROSTER",IF(L1809="","OK",IF(MATCH(L1809,$L$2:$L$3001,0)&lt;ROW()-1,"Duplicate (ignored)","OK"))))))))</f>
        <v/>
      </c>
      <c r="I1809">
        <f>IF(OC_Date=0,"",IF(INDEX('OneCause_Paste'!$A$1809:$AZ$1809,1,OC_Date)="","",INDEX('OneCause_Paste'!$A$1809:$AZ$1809,1,OC_Date)))</f>
        <v/>
      </c>
      <c r="J1809">
        <f>IF(OC_Amt=0,"",IF(INDEX('OneCause_Paste'!$A$1809:$AZ$1809,1,OC_Amt)="","",INDEX('OneCause_Paste'!$A$1809:$AZ$1809,1,OC_Amt)))</f>
        <v/>
      </c>
      <c r="K1809">
        <f>IF(OC_Name=0,"",IF(INDEX('OneCause_Paste'!$A$1809:$AZ$1809,1,OC_Name)="","",INDEX('OneCause_Paste'!$A$1809:$AZ$1809,1,OC_Name)))</f>
        <v/>
      </c>
      <c r="L1809">
        <f>IF(OC_Txn=0,"",IF(INDEX('OneCause_Paste'!$A$1809:$AZ$1809,1,OC_Txn)="","",INDEX('OneCause_Paste'!$A$1809:$AZ$1809,1,OC_Txn)))</f>
        <v/>
      </c>
      <c r="M1809">
        <f>IF(OC_Pay=0,"",IF(INDEX('OneCause_Paste'!$A$1809:$AZ$1809,1,OC_Pay)="","",INDEX('OneCause_Paste'!$A$1809:$AZ$1809,1,OC_Pay)))</f>
        <v/>
      </c>
      <c r="N1809">
        <f>IF(I1809="","",IF(ISNUMBER(I1809),INT(I1809),IFERROR(INT(DATEVALUE(I1809)),IFERROR(INT(VALUE(I1809)),"bad"))))</f>
        <v/>
      </c>
      <c r="O1809">
        <f>IF(J1809="","",IF(ISNUMBER(J1809),ROUND(J1809,2),IFERROR(ROUND(VALUE(SUBSTITUTE(SUBSTITUTE(SUBSTITUTE(J1809,"$",""),",","")," ","")),2),"bad")))</f>
        <v/>
      </c>
      <c r="P1809">
        <f>IF(TRIM(K1809)="","",IFERROR(MATCH(LOWER(TRIM(K1809)),'Students'!$AH$2:$AH$701,0),IFERROR(MATCH(LOWER(TRIM(K1809)),'Students'!$AF$2:$AF$701,0),IFERROR(MATCH(LOWER(TRIM(K1809)),'Students'!$AG$2:$AG$701,0),""))))</f>
        <v/>
      </c>
      <c r="R1809">
        <f>IF(P1809="","",INDEX('Students'!$AD$2:$AD$701,P1809))</f>
        <v/>
      </c>
      <c r="S1809">
        <f>IF(H1809="OK",O1809,0)</f>
        <v/>
      </c>
      <c r="T1809">
        <f>IF(H1809="OK",N1809,"")</f>
        <v/>
      </c>
      <c r="U1809">
        <f>IF(OC_Donor=0,"",IF(INDEX('OneCause_Paste'!$A$1809:$AZ$1809,1,OC_Donor)="","",INDEX('OneCause_Paste'!$A$1809:$AZ$1809,1,OC_Donor)))</f>
        <v/>
      </c>
    </row>
    <row r="1810">
      <c r="A1810" s="62">
        <f>IF(H1810="","",IF(ISNUMBER(N1810),N1810,I1810))</f>
        <v/>
      </c>
      <c r="B1810">
        <f>IF(H1810="","",U1810)</f>
        <v/>
      </c>
      <c r="C1810">
        <f>IF(H1810="","",IF(P1810="",K1810,INDEX('Students'!$A$2:$A$701,P1810)))</f>
        <v/>
      </c>
      <c r="D1810">
        <f>IF(OR(H1810="",P1810=""),"",INDEX('Students'!$B$2:$B$701,P1810))</f>
        <v/>
      </c>
      <c r="E1810">
        <f>IF(OR(H1810="",P1810=""),"",INDEX('Students'!$C$2:$C$701,P1810))</f>
        <v/>
      </c>
      <c r="F1810" s="48">
        <f>IF(H1810="","",IF(ISNUMBER(O1810),O1810,J1810))</f>
        <v/>
      </c>
      <c r="G1810">
        <f>IF(H1810="","","OneCause")</f>
        <v/>
      </c>
      <c r="H1810">
        <f>IF(AND(I1810="",J1810="",K1810=""),"",IF(NOT(ISNUMBER(O1810)),"Bad amount",IF(O1810&lt;0,"Refund (not counted)",IF(O1810=0,"Zero amount",IF(NOT(ISNUMBER(N1810)),"Bad date",IF(P1810="","NAME NOT ON ROSTER",IF(L1810="","OK",IF(MATCH(L1810,$L$2:$L$3001,0)&lt;ROW()-1,"Duplicate (ignored)","OK"))))))))</f>
        <v/>
      </c>
      <c r="I1810">
        <f>IF(OC_Date=0,"",IF(INDEX('OneCause_Paste'!$A$1810:$AZ$1810,1,OC_Date)="","",INDEX('OneCause_Paste'!$A$1810:$AZ$1810,1,OC_Date)))</f>
        <v/>
      </c>
      <c r="J1810">
        <f>IF(OC_Amt=0,"",IF(INDEX('OneCause_Paste'!$A$1810:$AZ$1810,1,OC_Amt)="","",INDEX('OneCause_Paste'!$A$1810:$AZ$1810,1,OC_Amt)))</f>
        <v/>
      </c>
      <c r="K1810">
        <f>IF(OC_Name=0,"",IF(INDEX('OneCause_Paste'!$A$1810:$AZ$1810,1,OC_Name)="","",INDEX('OneCause_Paste'!$A$1810:$AZ$1810,1,OC_Name)))</f>
        <v/>
      </c>
      <c r="L1810">
        <f>IF(OC_Txn=0,"",IF(INDEX('OneCause_Paste'!$A$1810:$AZ$1810,1,OC_Txn)="","",INDEX('OneCause_Paste'!$A$1810:$AZ$1810,1,OC_Txn)))</f>
        <v/>
      </c>
      <c r="M1810">
        <f>IF(OC_Pay=0,"",IF(INDEX('OneCause_Paste'!$A$1810:$AZ$1810,1,OC_Pay)="","",INDEX('OneCause_Paste'!$A$1810:$AZ$1810,1,OC_Pay)))</f>
        <v/>
      </c>
      <c r="N1810">
        <f>IF(I1810="","",IF(ISNUMBER(I1810),INT(I1810),IFERROR(INT(DATEVALUE(I1810)),IFERROR(INT(VALUE(I1810)),"bad"))))</f>
        <v/>
      </c>
      <c r="O1810">
        <f>IF(J1810="","",IF(ISNUMBER(J1810),ROUND(J1810,2),IFERROR(ROUND(VALUE(SUBSTITUTE(SUBSTITUTE(SUBSTITUTE(J1810,"$",""),",","")," ","")),2),"bad")))</f>
        <v/>
      </c>
      <c r="P1810">
        <f>IF(TRIM(K1810)="","",IFERROR(MATCH(LOWER(TRIM(K1810)),'Students'!$AH$2:$AH$701,0),IFERROR(MATCH(LOWER(TRIM(K1810)),'Students'!$AF$2:$AF$701,0),IFERROR(MATCH(LOWER(TRIM(K1810)),'Students'!$AG$2:$AG$701,0),""))))</f>
        <v/>
      </c>
      <c r="R1810">
        <f>IF(P1810="","",INDEX('Students'!$AD$2:$AD$701,P1810))</f>
        <v/>
      </c>
      <c r="S1810">
        <f>IF(H1810="OK",O1810,0)</f>
        <v/>
      </c>
      <c r="T1810">
        <f>IF(H1810="OK",N1810,"")</f>
        <v/>
      </c>
      <c r="U1810">
        <f>IF(OC_Donor=0,"",IF(INDEX('OneCause_Paste'!$A$1810:$AZ$1810,1,OC_Donor)="","",INDEX('OneCause_Paste'!$A$1810:$AZ$1810,1,OC_Donor)))</f>
        <v/>
      </c>
    </row>
    <row r="1811">
      <c r="A1811" s="62">
        <f>IF(H1811="","",IF(ISNUMBER(N1811),N1811,I1811))</f>
        <v/>
      </c>
      <c r="B1811">
        <f>IF(H1811="","",U1811)</f>
        <v/>
      </c>
      <c r="C1811">
        <f>IF(H1811="","",IF(P1811="",K1811,INDEX('Students'!$A$2:$A$701,P1811)))</f>
        <v/>
      </c>
      <c r="D1811">
        <f>IF(OR(H1811="",P1811=""),"",INDEX('Students'!$B$2:$B$701,P1811))</f>
        <v/>
      </c>
      <c r="E1811">
        <f>IF(OR(H1811="",P1811=""),"",INDEX('Students'!$C$2:$C$701,P1811))</f>
        <v/>
      </c>
      <c r="F1811" s="48">
        <f>IF(H1811="","",IF(ISNUMBER(O1811),O1811,J1811))</f>
        <v/>
      </c>
      <c r="G1811">
        <f>IF(H1811="","","OneCause")</f>
        <v/>
      </c>
      <c r="H1811">
        <f>IF(AND(I1811="",J1811="",K1811=""),"",IF(NOT(ISNUMBER(O1811)),"Bad amount",IF(O1811&lt;0,"Refund (not counted)",IF(O1811=0,"Zero amount",IF(NOT(ISNUMBER(N1811)),"Bad date",IF(P1811="","NAME NOT ON ROSTER",IF(L1811="","OK",IF(MATCH(L1811,$L$2:$L$3001,0)&lt;ROW()-1,"Duplicate (ignored)","OK"))))))))</f>
        <v/>
      </c>
      <c r="I1811">
        <f>IF(OC_Date=0,"",IF(INDEX('OneCause_Paste'!$A$1811:$AZ$1811,1,OC_Date)="","",INDEX('OneCause_Paste'!$A$1811:$AZ$1811,1,OC_Date)))</f>
        <v/>
      </c>
      <c r="J1811">
        <f>IF(OC_Amt=0,"",IF(INDEX('OneCause_Paste'!$A$1811:$AZ$1811,1,OC_Amt)="","",INDEX('OneCause_Paste'!$A$1811:$AZ$1811,1,OC_Amt)))</f>
        <v/>
      </c>
      <c r="K1811">
        <f>IF(OC_Name=0,"",IF(INDEX('OneCause_Paste'!$A$1811:$AZ$1811,1,OC_Name)="","",INDEX('OneCause_Paste'!$A$1811:$AZ$1811,1,OC_Name)))</f>
        <v/>
      </c>
      <c r="L1811">
        <f>IF(OC_Txn=0,"",IF(INDEX('OneCause_Paste'!$A$1811:$AZ$1811,1,OC_Txn)="","",INDEX('OneCause_Paste'!$A$1811:$AZ$1811,1,OC_Txn)))</f>
        <v/>
      </c>
      <c r="M1811">
        <f>IF(OC_Pay=0,"",IF(INDEX('OneCause_Paste'!$A$1811:$AZ$1811,1,OC_Pay)="","",INDEX('OneCause_Paste'!$A$1811:$AZ$1811,1,OC_Pay)))</f>
        <v/>
      </c>
      <c r="N1811">
        <f>IF(I1811="","",IF(ISNUMBER(I1811),INT(I1811),IFERROR(INT(DATEVALUE(I1811)),IFERROR(INT(VALUE(I1811)),"bad"))))</f>
        <v/>
      </c>
      <c r="O1811">
        <f>IF(J1811="","",IF(ISNUMBER(J1811),ROUND(J1811,2),IFERROR(ROUND(VALUE(SUBSTITUTE(SUBSTITUTE(SUBSTITUTE(J1811,"$",""),",","")," ","")),2),"bad")))</f>
        <v/>
      </c>
      <c r="P1811">
        <f>IF(TRIM(K1811)="","",IFERROR(MATCH(LOWER(TRIM(K1811)),'Students'!$AH$2:$AH$701,0),IFERROR(MATCH(LOWER(TRIM(K1811)),'Students'!$AF$2:$AF$701,0),IFERROR(MATCH(LOWER(TRIM(K1811)),'Students'!$AG$2:$AG$701,0),""))))</f>
        <v/>
      </c>
      <c r="R1811">
        <f>IF(P1811="","",INDEX('Students'!$AD$2:$AD$701,P1811))</f>
        <v/>
      </c>
      <c r="S1811">
        <f>IF(H1811="OK",O1811,0)</f>
        <v/>
      </c>
      <c r="T1811">
        <f>IF(H1811="OK",N1811,"")</f>
        <v/>
      </c>
      <c r="U1811">
        <f>IF(OC_Donor=0,"",IF(INDEX('OneCause_Paste'!$A$1811:$AZ$1811,1,OC_Donor)="","",INDEX('OneCause_Paste'!$A$1811:$AZ$1811,1,OC_Donor)))</f>
        <v/>
      </c>
    </row>
    <row r="1812">
      <c r="A1812" s="62">
        <f>IF(H1812="","",IF(ISNUMBER(N1812),N1812,I1812))</f>
        <v/>
      </c>
      <c r="B1812">
        <f>IF(H1812="","",U1812)</f>
        <v/>
      </c>
      <c r="C1812">
        <f>IF(H1812="","",IF(P1812="",K1812,INDEX('Students'!$A$2:$A$701,P1812)))</f>
        <v/>
      </c>
      <c r="D1812">
        <f>IF(OR(H1812="",P1812=""),"",INDEX('Students'!$B$2:$B$701,P1812))</f>
        <v/>
      </c>
      <c r="E1812">
        <f>IF(OR(H1812="",P1812=""),"",INDEX('Students'!$C$2:$C$701,P1812))</f>
        <v/>
      </c>
      <c r="F1812" s="48">
        <f>IF(H1812="","",IF(ISNUMBER(O1812),O1812,J1812))</f>
        <v/>
      </c>
      <c r="G1812">
        <f>IF(H1812="","","OneCause")</f>
        <v/>
      </c>
      <c r="H1812">
        <f>IF(AND(I1812="",J1812="",K1812=""),"",IF(NOT(ISNUMBER(O1812)),"Bad amount",IF(O1812&lt;0,"Refund (not counted)",IF(O1812=0,"Zero amount",IF(NOT(ISNUMBER(N1812)),"Bad date",IF(P1812="","NAME NOT ON ROSTER",IF(L1812="","OK",IF(MATCH(L1812,$L$2:$L$3001,0)&lt;ROW()-1,"Duplicate (ignored)","OK"))))))))</f>
        <v/>
      </c>
      <c r="I1812">
        <f>IF(OC_Date=0,"",IF(INDEX('OneCause_Paste'!$A$1812:$AZ$1812,1,OC_Date)="","",INDEX('OneCause_Paste'!$A$1812:$AZ$1812,1,OC_Date)))</f>
        <v/>
      </c>
      <c r="J1812">
        <f>IF(OC_Amt=0,"",IF(INDEX('OneCause_Paste'!$A$1812:$AZ$1812,1,OC_Amt)="","",INDEX('OneCause_Paste'!$A$1812:$AZ$1812,1,OC_Amt)))</f>
        <v/>
      </c>
      <c r="K1812">
        <f>IF(OC_Name=0,"",IF(INDEX('OneCause_Paste'!$A$1812:$AZ$1812,1,OC_Name)="","",INDEX('OneCause_Paste'!$A$1812:$AZ$1812,1,OC_Name)))</f>
        <v/>
      </c>
      <c r="L1812">
        <f>IF(OC_Txn=0,"",IF(INDEX('OneCause_Paste'!$A$1812:$AZ$1812,1,OC_Txn)="","",INDEX('OneCause_Paste'!$A$1812:$AZ$1812,1,OC_Txn)))</f>
        <v/>
      </c>
      <c r="M1812">
        <f>IF(OC_Pay=0,"",IF(INDEX('OneCause_Paste'!$A$1812:$AZ$1812,1,OC_Pay)="","",INDEX('OneCause_Paste'!$A$1812:$AZ$1812,1,OC_Pay)))</f>
        <v/>
      </c>
      <c r="N1812">
        <f>IF(I1812="","",IF(ISNUMBER(I1812),INT(I1812),IFERROR(INT(DATEVALUE(I1812)),IFERROR(INT(VALUE(I1812)),"bad"))))</f>
        <v/>
      </c>
      <c r="O1812">
        <f>IF(J1812="","",IF(ISNUMBER(J1812),ROUND(J1812,2),IFERROR(ROUND(VALUE(SUBSTITUTE(SUBSTITUTE(SUBSTITUTE(J1812,"$",""),",","")," ","")),2),"bad")))</f>
        <v/>
      </c>
      <c r="P1812">
        <f>IF(TRIM(K1812)="","",IFERROR(MATCH(LOWER(TRIM(K1812)),'Students'!$AH$2:$AH$701,0),IFERROR(MATCH(LOWER(TRIM(K1812)),'Students'!$AF$2:$AF$701,0),IFERROR(MATCH(LOWER(TRIM(K1812)),'Students'!$AG$2:$AG$701,0),""))))</f>
        <v/>
      </c>
      <c r="R1812">
        <f>IF(P1812="","",INDEX('Students'!$AD$2:$AD$701,P1812))</f>
        <v/>
      </c>
      <c r="S1812">
        <f>IF(H1812="OK",O1812,0)</f>
        <v/>
      </c>
      <c r="T1812">
        <f>IF(H1812="OK",N1812,"")</f>
        <v/>
      </c>
      <c r="U1812">
        <f>IF(OC_Donor=0,"",IF(INDEX('OneCause_Paste'!$A$1812:$AZ$1812,1,OC_Donor)="","",INDEX('OneCause_Paste'!$A$1812:$AZ$1812,1,OC_Donor)))</f>
        <v/>
      </c>
    </row>
    <row r="1813">
      <c r="A1813" s="62">
        <f>IF(H1813="","",IF(ISNUMBER(N1813),N1813,I1813))</f>
        <v/>
      </c>
      <c r="B1813">
        <f>IF(H1813="","",U1813)</f>
        <v/>
      </c>
      <c r="C1813">
        <f>IF(H1813="","",IF(P1813="",K1813,INDEX('Students'!$A$2:$A$701,P1813)))</f>
        <v/>
      </c>
      <c r="D1813">
        <f>IF(OR(H1813="",P1813=""),"",INDEX('Students'!$B$2:$B$701,P1813))</f>
        <v/>
      </c>
      <c r="E1813">
        <f>IF(OR(H1813="",P1813=""),"",INDEX('Students'!$C$2:$C$701,P1813))</f>
        <v/>
      </c>
      <c r="F1813" s="48">
        <f>IF(H1813="","",IF(ISNUMBER(O1813),O1813,J1813))</f>
        <v/>
      </c>
      <c r="G1813">
        <f>IF(H1813="","","OneCause")</f>
        <v/>
      </c>
      <c r="H1813">
        <f>IF(AND(I1813="",J1813="",K1813=""),"",IF(NOT(ISNUMBER(O1813)),"Bad amount",IF(O1813&lt;0,"Refund (not counted)",IF(O1813=0,"Zero amount",IF(NOT(ISNUMBER(N1813)),"Bad date",IF(P1813="","NAME NOT ON ROSTER",IF(L1813="","OK",IF(MATCH(L1813,$L$2:$L$3001,0)&lt;ROW()-1,"Duplicate (ignored)","OK"))))))))</f>
        <v/>
      </c>
      <c r="I1813">
        <f>IF(OC_Date=0,"",IF(INDEX('OneCause_Paste'!$A$1813:$AZ$1813,1,OC_Date)="","",INDEX('OneCause_Paste'!$A$1813:$AZ$1813,1,OC_Date)))</f>
        <v/>
      </c>
      <c r="J1813">
        <f>IF(OC_Amt=0,"",IF(INDEX('OneCause_Paste'!$A$1813:$AZ$1813,1,OC_Amt)="","",INDEX('OneCause_Paste'!$A$1813:$AZ$1813,1,OC_Amt)))</f>
        <v/>
      </c>
      <c r="K1813">
        <f>IF(OC_Name=0,"",IF(INDEX('OneCause_Paste'!$A$1813:$AZ$1813,1,OC_Name)="","",INDEX('OneCause_Paste'!$A$1813:$AZ$1813,1,OC_Name)))</f>
        <v/>
      </c>
      <c r="L1813">
        <f>IF(OC_Txn=0,"",IF(INDEX('OneCause_Paste'!$A$1813:$AZ$1813,1,OC_Txn)="","",INDEX('OneCause_Paste'!$A$1813:$AZ$1813,1,OC_Txn)))</f>
        <v/>
      </c>
      <c r="M1813">
        <f>IF(OC_Pay=0,"",IF(INDEX('OneCause_Paste'!$A$1813:$AZ$1813,1,OC_Pay)="","",INDEX('OneCause_Paste'!$A$1813:$AZ$1813,1,OC_Pay)))</f>
        <v/>
      </c>
      <c r="N1813">
        <f>IF(I1813="","",IF(ISNUMBER(I1813),INT(I1813),IFERROR(INT(DATEVALUE(I1813)),IFERROR(INT(VALUE(I1813)),"bad"))))</f>
        <v/>
      </c>
      <c r="O1813">
        <f>IF(J1813="","",IF(ISNUMBER(J1813),ROUND(J1813,2),IFERROR(ROUND(VALUE(SUBSTITUTE(SUBSTITUTE(SUBSTITUTE(J1813,"$",""),",","")," ","")),2),"bad")))</f>
        <v/>
      </c>
      <c r="P1813">
        <f>IF(TRIM(K1813)="","",IFERROR(MATCH(LOWER(TRIM(K1813)),'Students'!$AH$2:$AH$701,0),IFERROR(MATCH(LOWER(TRIM(K1813)),'Students'!$AF$2:$AF$701,0),IFERROR(MATCH(LOWER(TRIM(K1813)),'Students'!$AG$2:$AG$701,0),""))))</f>
        <v/>
      </c>
      <c r="R1813">
        <f>IF(P1813="","",INDEX('Students'!$AD$2:$AD$701,P1813))</f>
        <v/>
      </c>
      <c r="S1813">
        <f>IF(H1813="OK",O1813,0)</f>
        <v/>
      </c>
      <c r="T1813">
        <f>IF(H1813="OK",N1813,"")</f>
        <v/>
      </c>
      <c r="U1813">
        <f>IF(OC_Donor=0,"",IF(INDEX('OneCause_Paste'!$A$1813:$AZ$1813,1,OC_Donor)="","",INDEX('OneCause_Paste'!$A$1813:$AZ$1813,1,OC_Donor)))</f>
        <v/>
      </c>
    </row>
    <row r="1814">
      <c r="A1814" s="62">
        <f>IF(H1814="","",IF(ISNUMBER(N1814),N1814,I1814))</f>
        <v/>
      </c>
      <c r="B1814">
        <f>IF(H1814="","",U1814)</f>
        <v/>
      </c>
      <c r="C1814">
        <f>IF(H1814="","",IF(P1814="",K1814,INDEX('Students'!$A$2:$A$701,P1814)))</f>
        <v/>
      </c>
      <c r="D1814">
        <f>IF(OR(H1814="",P1814=""),"",INDEX('Students'!$B$2:$B$701,P1814))</f>
        <v/>
      </c>
      <c r="E1814">
        <f>IF(OR(H1814="",P1814=""),"",INDEX('Students'!$C$2:$C$701,P1814))</f>
        <v/>
      </c>
      <c r="F1814" s="48">
        <f>IF(H1814="","",IF(ISNUMBER(O1814),O1814,J1814))</f>
        <v/>
      </c>
      <c r="G1814">
        <f>IF(H1814="","","OneCause")</f>
        <v/>
      </c>
      <c r="H1814">
        <f>IF(AND(I1814="",J1814="",K1814=""),"",IF(NOT(ISNUMBER(O1814)),"Bad amount",IF(O1814&lt;0,"Refund (not counted)",IF(O1814=0,"Zero amount",IF(NOT(ISNUMBER(N1814)),"Bad date",IF(P1814="","NAME NOT ON ROSTER",IF(L1814="","OK",IF(MATCH(L1814,$L$2:$L$3001,0)&lt;ROW()-1,"Duplicate (ignored)","OK"))))))))</f>
        <v/>
      </c>
      <c r="I1814">
        <f>IF(OC_Date=0,"",IF(INDEX('OneCause_Paste'!$A$1814:$AZ$1814,1,OC_Date)="","",INDEX('OneCause_Paste'!$A$1814:$AZ$1814,1,OC_Date)))</f>
        <v/>
      </c>
      <c r="J1814">
        <f>IF(OC_Amt=0,"",IF(INDEX('OneCause_Paste'!$A$1814:$AZ$1814,1,OC_Amt)="","",INDEX('OneCause_Paste'!$A$1814:$AZ$1814,1,OC_Amt)))</f>
        <v/>
      </c>
      <c r="K1814">
        <f>IF(OC_Name=0,"",IF(INDEX('OneCause_Paste'!$A$1814:$AZ$1814,1,OC_Name)="","",INDEX('OneCause_Paste'!$A$1814:$AZ$1814,1,OC_Name)))</f>
        <v/>
      </c>
      <c r="L1814">
        <f>IF(OC_Txn=0,"",IF(INDEX('OneCause_Paste'!$A$1814:$AZ$1814,1,OC_Txn)="","",INDEX('OneCause_Paste'!$A$1814:$AZ$1814,1,OC_Txn)))</f>
        <v/>
      </c>
      <c r="M1814">
        <f>IF(OC_Pay=0,"",IF(INDEX('OneCause_Paste'!$A$1814:$AZ$1814,1,OC_Pay)="","",INDEX('OneCause_Paste'!$A$1814:$AZ$1814,1,OC_Pay)))</f>
        <v/>
      </c>
      <c r="N1814">
        <f>IF(I1814="","",IF(ISNUMBER(I1814),INT(I1814),IFERROR(INT(DATEVALUE(I1814)),IFERROR(INT(VALUE(I1814)),"bad"))))</f>
        <v/>
      </c>
      <c r="O1814">
        <f>IF(J1814="","",IF(ISNUMBER(J1814),ROUND(J1814,2),IFERROR(ROUND(VALUE(SUBSTITUTE(SUBSTITUTE(SUBSTITUTE(J1814,"$",""),",","")," ","")),2),"bad")))</f>
        <v/>
      </c>
      <c r="P1814">
        <f>IF(TRIM(K1814)="","",IFERROR(MATCH(LOWER(TRIM(K1814)),'Students'!$AH$2:$AH$701,0),IFERROR(MATCH(LOWER(TRIM(K1814)),'Students'!$AF$2:$AF$701,0),IFERROR(MATCH(LOWER(TRIM(K1814)),'Students'!$AG$2:$AG$701,0),""))))</f>
        <v/>
      </c>
      <c r="R1814">
        <f>IF(P1814="","",INDEX('Students'!$AD$2:$AD$701,P1814))</f>
        <v/>
      </c>
      <c r="S1814">
        <f>IF(H1814="OK",O1814,0)</f>
        <v/>
      </c>
      <c r="T1814">
        <f>IF(H1814="OK",N1814,"")</f>
        <v/>
      </c>
      <c r="U1814">
        <f>IF(OC_Donor=0,"",IF(INDEX('OneCause_Paste'!$A$1814:$AZ$1814,1,OC_Donor)="","",INDEX('OneCause_Paste'!$A$1814:$AZ$1814,1,OC_Donor)))</f>
        <v/>
      </c>
    </row>
    <row r="1815">
      <c r="A1815" s="62">
        <f>IF(H1815="","",IF(ISNUMBER(N1815),N1815,I1815))</f>
        <v/>
      </c>
      <c r="B1815">
        <f>IF(H1815="","",U1815)</f>
        <v/>
      </c>
      <c r="C1815">
        <f>IF(H1815="","",IF(P1815="",K1815,INDEX('Students'!$A$2:$A$701,P1815)))</f>
        <v/>
      </c>
      <c r="D1815">
        <f>IF(OR(H1815="",P1815=""),"",INDEX('Students'!$B$2:$B$701,P1815))</f>
        <v/>
      </c>
      <c r="E1815">
        <f>IF(OR(H1815="",P1815=""),"",INDEX('Students'!$C$2:$C$701,P1815))</f>
        <v/>
      </c>
      <c r="F1815" s="48">
        <f>IF(H1815="","",IF(ISNUMBER(O1815),O1815,J1815))</f>
        <v/>
      </c>
      <c r="G1815">
        <f>IF(H1815="","","OneCause")</f>
        <v/>
      </c>
      <c r="H1815">
        <f>IF(AND(I1815="",J1815="",K1815=""),"",IF(NOT(ISNUMBER(O1815)),"Bad amount",IF(O1815&lt;0,"Refund (not counted)",IF(O1815=0,"Zero amount",IF(NOT(ISNUMBER(N1815)),"Bad date",IF(P1815="","NAME NOT ON ROSTER",IF(L1815="","OK",IF(MATCH(L1815,$L$2:$L$3001,0)&lt;ROW()-1,"Duplicate (ignored)","OK"))))))))</f>
        <v/>
      </c>
      <c r="I1815">
        <f>IF(OC_Date=0,"",IF(INDEX('OneCause_Paste'!$A$1815:$AZ$1815,1,OC_Date)="","",INDEX('OneCause_Paste'!$A$1815:$AZ$1815,1,OC_Date)))</f>
        <v/>
      </c>
      <c r="J1815">
        <f>IF(OC_Amt=0,"",IF(INDEX('OneCause_Paste'!$A$1815:$AZ$1815,1,OC_Amt)="","",INDEX('OneCause_Paste'!$A$1815:$AZ$1815,1,OC_Amt)))</f>
        <v/>
      </c>
      <c r="K1815">
        <f>IF(OC_Name=0,"",IF(INDEX('OneCause_Paste'!$A$1815:$AZ$1815,1,OC_Name)="","",INDEX('OneCause_Paste'!$A$1815:$AZ$1815,1,OC_Name)))</f>
        <v/>
      </c>
      <c r="L1815">
        <f>IF(OC_Txn=0,"",IF(INDEX('OneCause_Paste'!$A$1815:$AZ$1815,1,OC_Txn)="","",INDEX('OneCause_Paste'!$A$1815:$AZ$1815,1,OC_Txn)))</f>
        <v/>
      </c>
      <c r="M1815">
        <f>IF(OC_Pay=0,"",IF(INDEX('OneCause_Paste'!$A$1815:$AZ$1815,1,OC_Pay)="","",INDEX('OneCause_Paste'!$A$1815:$AZ$1815,1,OC_Pay)))</f>
        <v/>
      </c>
      <c r="N1815">
        <f>IF(I1815="","",IF(ISNUMBER(I1815),INT(I1815),IFERROR(INT(DATEVALUE(I1815)),IFERROR(INT(VALUE(I1815)),"bad"))))</f>
        <v/>
      </c>
      <c r="O1815">
        <f>IF(J1815="","",IF(ISNUMBER(J1815),ROUND(J1815,2),IFERROR(ROUND(VALUE(SUBSTITUTE(SUBSTITUTE(SUBSTITUTE(J1815,"$",""),",","")," ","")),2),"bad")))</f>
        <v/>
      </c>
      <c r="P1815">
        <f>IF(TRIM(K1815)="","",IFERROR(MATCH(LOWER(TRIM(K1815)),'Students'!$AH$2:$AH$701,0),IFERROR(MATCH(LOWER(TRIM(K1815)),'Students'!$AF$2:$AF$701,0),IFERROR(MATCH(LOWER(TRIM(K1815)),'Students'!$AG$2:$AG$701,0),""))))</f>
        <v/>
      </c>
      <c r="R1815">
        <f>IF(P1815="","",INDEX('Students'!$AD$2:$AD$701,P1815))</f>
        <v/>
      </c>
      <c r="S1815">
        <f>IF(H1815="OK",O1815,0)</f>
        <v/>
      </c>
      <c r="T1815">
        <f>IF(H1815="OK",N1815,"")</f>
        <v/>
      </c>
      <c r="U1815">
        <f>IF(OC_Donor=0,"",IF(INDEX('OneCause_Paste'!$A$1815:$AZ$1815,1,OC_Donor)="","",INDEX('OneCause_Paste'!$A$1815:$AZ$1815,1,OC_Donor)))</f>
        <v/>
      </c>
    </row>
    <row r="1816">
      <c r="A1816" s="62">
        <f>IF(H1816="","",IF(ISNUMBER(N1816),N1816,I1816))</f>
        <v/>
      </c>
      <c r="B1816">
        <f>IF(H1816="","",U1816)</f>
        <v/>
      </c>
      <c r="C1816">
        <f>IF(H1816="","",IF(P1816="",K1816,INDEX('Students'!$A$2:$A$701,P1816)))</f>
        <v/>
      </c>
      <c r="D1816">
        <f>IF(OR(H1816="",P1816=""),"",INDEX('Students'!$B$2:$B$701,P1816))</f>
        <v/>
      </c>
      <c r="E1816">
        <f>IF(OR(H1816="",P1816=""),"",INDEX('Students'!$C$2:$C$701,P1816))</f>
        <v/>
      </c>
      <c r="F1816" s="48">
        <f>IF(H1816="","",IF(ISNUMBER(O1816),O1816,J1816))</f>
        <v/>
      </c>
      <c r="G1816">
        <f>IF(H1816="","","OneCause")</f>
        <v/>
      </c>
      <c r="H1816">
        <f>IF(AND(I1816="",J1816="",K1816=""),"",IF(NOT(ISNUMBER(O1816)),"Bad amount",IF(O1816&lt;0,"Refund (not counted)",IF(O1816=0,"Zero amount",IF(NOT(ISNUMBER(N1816)),"Bad date",IF(P1816="","NAME NOT ON ROSTER",IF(L1816="","OK",IF(MATCH(L1816,$L$2:$L$3001,0)&lt;ROW()-1,"Duplicate (ignored)","OK"))))))))</f>
        <v/>
      </c>
      <c r="I1816">
        <f>IF(OC_Date=0,"",IF(INDEX('OneCause_Paste'!$A$1816:$AZ$1816,1,OC_Date)="","",INDEX('OneCause_Paste'!$A$1816:$AZ$1816,1,OC_Date)))</f>
        <v/>
      </c>
      <c r="J1816">
        <f>IF(OC_Amt=0,"",IF(INDEX('OneCause_Paste'!$A$1816:$AZ$1816,1,OC_Amt)="","",INDEX('OneCause_Paste'!$A$1816:$AZ$1816,1,OC_Amt)))</f>
        <v/>
      </c>
      <c r="K1816">
        <f>IF(OC_Name=0,"",IF(INDEX('OneCause_Paste'!$A$1816:$AZ$1816,1,OC_Name)="","",INDEX('OneCause_Paste'!$A$1816:$AZ$1816,1,OC_Name)))</f>
        <v/>
      </c>
      <c r="L1816">
        <f>IF(OC_Txn=0,"",IF(INDEX('OneCause_Paste'!$A$1816:$AZ$1816,1,OC_Txn)="","",INDEX('OneCause_Paste'!$A$1816:$AZ$1816,1,OC_Txn)))</f>
        <v/>
      </c>
      <c r="M1816">
        <f>IF(OC_Pay=0,"",IF(INDEX('OneCause_Paste'!$A$1816:$AZ$1816,1,OC_Pay)="","",INDEX('OneCause_Paste'!$A$1816:$AZ$1816,1,OC_Pay)))</f>
        <v/>
      </c>
      <c r="N1816">
        <f>IF(I1816="","",IF(ISNUMBER(I1816),INT(I1816),IFERROR(INT(DATEVALUE(I1816)),IFERROR(INT(VALUE(I1816)),"bad"))))</f>
        <v/>
      </c>
      <c r="O1816">
        <f>IF(J1816="","",IF(ISNUMBER(J1816),ROUND(J1816,2),IFERROR(ROUND(VALUE(SUBSTITUTE(SUBSTITUTE(SUBSTITUTE(J1816,"$",""),",","")," ","")),2),"bad")))</f>
        <v/>
      </c>
      <c r="P1816">
        <f>IF(TRIM(K1816)="","",IFERROR(MATCH(LOWER(TRIM(K1816)),'Students'!$AH$2:$AH$701,0),IFERROR(MATCH(LOWER(TRIM(K1816)),'Students'!$AF$2:$AF$701,0),IFERROR(MATCH(LOWER(TRIM(K1816)),'Students'!$AG$2:$AG$701,0),""))))</f>
        <v/>
      </c>
      <c r="R1816">
        <f>IF(P1816="","",INDEX('Students'!$AD$2:$AD$701,P1816))</f>
        <v/>
      </c>
      <c r="S1816">
        <f>IF(H1816="OK",O1816,0)</f>
        <v/>
      </c>
      <c r="T1816">
        <f>IF(H1816="OK",N1816,"")</f>
        <v/>
      </c>
      <c r="U1816">
        <f>IF(OC_Donor=0,"",IF(INDEX('OneCause_Paste'!$A$1816:$AZ$1816,1,OC_Donor)="","",INDEX('OneCause_Paste'!$A$1816:$AZ$1816,1,OC_Donor)))</f>
        <v/>
      </c>
    </row>
    <row r="1817">
      <c r="A1817" s="62">
        <f>IF(H1817="","",IF(ISNUMBER(N1817),N1817,I1817))</f>
        <v/>
      </c>
      <c r="B1817">
        <f>IF(H1817="","",U1817)</f>
        <v/>
      </c>
      <c r="C1817">
        <f>IF(H1817="","",IF(P1817="",K1817,INDEX('Students'!$A$2:$A$701,P1817)))</f>
        <v/>
      </c>
      <c r="D1817">
        <f>IF(OR(H1817="",P1817=""),"",INDEX('Students'!$B$2:$B$701,P1817))</f>
        <v/>
      </c>
      <c r="E1817">
        <f>IF(OR(H1817="",P1817=""),"",INDEX('Students'!$C$2:$C$701,P1817))</f>
        <v/>
      </c>
      <c r="F1817" s="48">
        <f>IF(H1817="","",IF(ISNUMBER(O1817),O1817,J1817))</f>
        <v/>
      </c>
      <c r="G1817">
        <f>IF(H1817="","","OneCause")</f>
        <v/>
      </c>
      <c r="H1817">
        <f>IF(AND(I1817="",J1817="",K1817=""),"",IF(NOT(ISNUMBER(O1817)),"Bad amount",IF(O1817&lt;0,"Refund (not counted)",IF(O1817=0,"Zero amount",IF(NOT(ISNUMBER(N1817)),"Bad date",IF(P1817="","NAME NOT ON ROSTER",IF(L1817="","OK",IF(MATCH(L1817,$L$2:$L$3001,0)&lt;ROW()-1,"Duplicate (ignored)","OK"))))))))</f>
        <v/>
      </c>
      <c r="I1817">
        <f>IF(OC_Date=0,"",IF(INDEX('OneCause_Paste'!$A$1817:$AZ$1817,1,OC_Date)="","",INDEX('OneCause_Paste'!$A$1817:$AZ$1817,1,OC_Date)))</f>
        <v/>
      </c>
      <c r="J1817">
        <f>IF(OC_Amt=0,"",IF(INDEX('OneCause_Paste'!$A$1817:$AZ$1817,1,OC_Amt)="","",INDEX('OneCause_Paste'!$A$1817:$AZ$1817,1,OC_Amt)))</f>
        <v/>
      </c>
      <c r="K1817">
        <f>IF(OC_Name=0,"",IF(INDEX('OneCause_Paste'!$A$1817:$AZ$1817,1,OC_Name)="","",INDEX('OneCause_Paste'!$A$1817:$AZ$1817,1,OC_Name)))</f>
        <v/>
      </c>
      <c r="L1817">
        <f>IF(OC_Txn=0,"",IF(INDEX('OneCause_Paste'!$A$1817:$AZ$1817,1,OC_Txn)="","",INDEX('OneCause_Paste'!$A$1817:$AZ$1817,1,OC_Txn)))</f>
        <v/>
      </c>
      <c r="M1817">
        <f>IF(OC_Pay=0,"",IF(INDEX('OneCause_Paste'!$A$1817:$AZ$1817,1,OC_Pay)="","",INDEX('OneCause_Paste'!$A$1817:$AZ$1817,1,OC_Pay)))</f>
        <v/>
      </c>
      <c r="N1817">
        <f>IF(I1817="","",IF(ISNUMBER(I1817),INT(I1817),IFERROR(INT(DATEVALUE(I1817)),IFERROR(INT(VALUE(I1817)),"bad"))))</f>
        <v/>
      </c>
      <c r="O1817">
        <f>IF(J1817="","",IF(ISNUMBER(J1817),ROUND(J1817,2),IFERROR(ROUND(VALUE(SUBSTITUTE(SUBSTITUTE(SUBSTITUTE(J1817,"$",""),",","")," ","")),2),"bad")))</f>
        <v/>
      </c>
      <c r="P1817">
        <f>IF(TRIM(K1817)="","",IFERROR(MATCH(LOWER(TRIM(K1817)),'Students'!$AH$2:$AH$701,0),IFERROR(MATCH(LOWER(TRIM(K1817)),'Students'!$AF$2:$AF$701,0),IFERROR(MATCH(LOWER(TRIM(K1817)),'Students'!$AG$2:$AG$701,0),""))))</f>
        <v/>
      </c>
      <c r="R1817">
        <f>IF(P1817="","",INDEX('Students'!$AD$2:$AD$701,P1817))</f>
        <v/>
      </c>
      <c r="S1817">
        <f>IF(H1817="OK",O1817,0)</f>
        <v/>
      </c>
      <c r="T1817">
        <f>IF(H1817="OK",N1817,"")</f>
        <v/>
      </c>
      <c r="U1817">
        <f>IF(OC_Donor=0,"",IF(INDEX('OneCause_Paste'!$A$1817:$AZ$1817,1,OC_Donor)="","",INDEX('OneCause_Paste'!$A$1817:$AZ$1817,1,OC_Donor)))</f>
        <v/>
      </c>
    </row>
    <row r="1818">
      <c r="A1818" s="62">
        <f>IF(H1818="","",IF(ISNUMBER(N1818),N1818,I1818))</f>
        <v/>
      </c>
      <c r="B1818">
        <f>IF(H1818="","",U1818)</f>
        <v/>
      </c>
      <c r="C1818">
        <f>IF(H1818="","",IF(P1818="",K1818,INDEX('Students'!$A$2:$A$701,P1818)))</f>
        <v/>
      </c>
      <c r="D1818">
        <f>IF(OR(H1818="",P1818=""),"",INDEX('Students'!$B$2:$B$701,P1818))</f>
        <v/>
      </c>
      <c r="E1818">
        <f>IF(OR(H1818="",P1818=""),"",INDEX('Students'!$C$2:$C$701,P1818))</f>
        <v/>
      </c>
      <c r="F1818" s="48">
        <f>IF(H1818="","",IF(ISNUMBER(O1818),O1818,J1818))</f>
        <v/>
      </c>
      <c r="G1818">
        <f>IF(H1818="","","OneCause")</f>
        <v/>
      </c>
      <c r="H1818">
        <f>IF(AND(I1818="",J1818="",K1818=""),"",IF(NOT(ISNUMBER(O1818)),"Bad amount",IF(O1818&lt;0,"Refund (not counted)",IF(O1818=0,"Zero amount",IF(NOT(ISNUMBER(N1818)),"Bad date",IF(P1818="","NAME NOT ON ROSTER",IF(L1818="","OK",IF(MATCH(L1818,$L$2:$L$3001,0)&lt;ROW()-1,"Duplicate (ignored)","OK"))))))))</f>
        <v/>
      </c>
      <c r="I1818">
        <f>IF(OC_Date=0,"",IF(INDEX('OneCause_Paste'!$A$1818:$AZ$1818,1,OC_Date)="","",INDEX('OneCause_Paste'!$A$1818:$AZ$1818,1,OC_Date)))</f>
        <v/>
      </c>
      <c r="J1818">
        <f>IF(OC_Amt=0,"",IF(INDEX('OneCause_Paste'!$A$1818:$AZ$1818,1,OC_Amt)="","",INDEX('OneCause_Paste'!$A$1818:$AZ$1818,1,OC_Amt)))</f>
        <v/>
      </c>
      <c r="K1818">
        <f>IF(OC_Name=0,"",IF(INDEX('OneCause_Paste'!$A$1818:$AZ$1818,1,OC_Name)="","",INDEX('OneCause_Paste'!$A$1818:$AZ$1818,1,OC_Name)))</f>
        <v/>
      </c>
      <c r="L1818">
        <f>IF(OC_Txn=0,"",IF(INDEX('OneCause_Paste'!$A$1818:$AZ$1818,1,OC_Txn)="","",INDEX('OneCause_Paste'!$A$1818:$AZ$1818,1,OC_Txn)))</f>
        <v/>
      </c>
      <c r="M1818">
        <f>IF(OC_Pay=0,"",IF(INDEX('OneCause_Paste'!$A$1818:$AZ$1818,1,OC_Pay)="","",INDEX('OneCause_Paste'!$A$1818:$AZ$1818,1,OC_Pay)))</f>
        <v/>
      </c>
      <c r="N1818">
        <f>IF(I1818="","",IF(ISNUMBER(I1818),INT(I1818),IFERROR(INT(DATEVALUE(I1818)),IFERROR(INT(VALUE(I1818)),"bad"))))</f>
        <v/>
      </c>
      <c r="O1818">
        <f>IF(J1818="","",IF(ISNUMBER(J1818),ROUND(J1818,2),IFERROR(ROUND(VALUE(SUBSTITUTE(SUBSTITUTE(SUBSTITUTE(J1818,"$",""),",","")," ","")),2),"bad")))</f>
        <v/>
      </c>
      <c r="P1818">
        <f>IF(TRIM(K1818)="","",IFERROR(MATCH(LOWER(TRIM(K1818)),'Students'!$AH$2:$AH$701,0),IFERROR(MATCH(LOWER(TRIM(K1818)),'Students'!$AF$2:$AF$701,0),IFERROR(MATCH(LOWER(TRIM(K1818)),'Students'!$AG$2:$AG$701,0),""))))</f>
        <v/>
      </c>
      <c r="R1818">
        <f>IF(P1818="","",INDEX('Students'!$AD$2:$AD$701,P1818))</f>
        <v/>
      </c>
      <c r="S1818">
        <f>IF(H1818="OK",O1818,0)</f>
        <v/>
      </c>
      <c r="T1818">
        <f>IF(H1818="OK",N1818,"")</f>
        <v/>
      </c>
      <c r="U1818">
        <f>IF(OC_Donor=0,"",IF(INDEX('OneCause_Paste'!$A$1818:$AZ$1818,1,OC_Donor)="","",INDEX('OneCause_Paste'!$A$1818:$AZ$1818,1,OC_Donor)))</f>
        <v/>
      </c>
    </row>
    <row r="1819">
      <c r="A1819" s="62">
        <f>IF(H1819="","",IF(ISNUMBER(N1819),N1819,I1819))</f>
        <v/>
      </c>
      <c r="B1819">
        <f>IF(H1819="","",U1819)</f>
        <v/>
      </c>
      <c r="C1819">
        <f>IF(H1819="","",IF(P1819="",K1819,INDEX('Students'!$A$2:$A$701,P1819)))</f>
        <v/>
      </c>
      <c r="D1819">
        <f>IF(OR(H1819="",P1819=""),"",INDEX('Students'!$B$2:$B$701,P1819))</f>
        <v/>
      </c>
      <c r="E1819">
        <f>IF(OR(H1819="",P1819=""),"",INDEX('Students'!$C$2:$C$701,P1819))</f>
        <v/>
      </c>
      <c r="F1819" s="48">
        <f>IF(H1819="","",IF(ISNUMBER(O1819),O1819,J1819))</f>
        <v/>
      </c>
      <c r="G1819">
        <f>IF(H1819="","","OneCause")</f>
        <v/>
      </c>
      <c r="H1819">
        <f>IF(AND(I1819="",J1819="",K1819=""),"",IF(NOT(ISNUMBER(O1819)),"Bad amount",IF(O1819&lt;0,"Refund (not counted)",IF(O1819=0,"Zero amount",IF(NOT(ISNUMBER(N1819)),"Bad date",IF(P1819="","NAME NOT ON ROSTER",IF(L1819="","OK",IF(MATCH(L1819,$L$2:$L$3001,0)&lt;ROW()-1,"Duplicate (ignored)","OK"))))))))</f>
        <v/>
      </c>
      <c r="I1819">
        <f>IF(OC_Date=0,"",IF(INDEX('OneCause_Paste'!$A$1819:$AZ$1819,1,OC_Date)="","",INDEX('OneCause_Paste'!$A$1819:$AZ$1819,1,OC_Date)))</f>
        <v/>
      </c>
      <c r="J1819">
        <f>IF(OC_Amt=0,"",IF(INDEX('OneCause_Paste'!$A$1819:$AZ$1819,1,OC_Amt)="","",INDEX('OneCause_Paste'!$A$1819:$AZ$1819,1,OC_Amt)))</f>
        <v/>
      </c>
      <c r="K1819">
        <f>IF(OC_Name=0,"",IF(INDEX('OneCause_Paste'!$A$1819:$AZ$1819,1,OC_Name)="","",INDEX('OneCause_Paste'!$A$1819:$AZ$1819,1,OC_Name)))</f>
        <v/>
      </c>
      <c r="L1819">
        <f>IF(OC_Txn=0,"",IF(INDEX('OneCause_Paste'!$A$1819:$AZ$1819,1,OC_Txn)="","",INDEX('OneCause_Paste'!$A$1819:$AZ$1819,1,OC_Txn)))</f>
        <v/>
      </c>
      <c r="M1819">
        <f>IF(OC_Pay=0,"",IF(INDEX('OneCause_Paste'!$A$1819:$AZ$1819,1,OC_Pay)="","",INDEX('OneCause_Paste'!$A$1819:$AZ$1819,1,OC_Pay)))</f>
        <v/>
      </c>
      <c r="N1819">
        <f>IF(I1819="","",IF(ISNUMBER(I1819),INT(I1819),IFERROR(INT(DATEVALUE(I1819)),IFERROR(INT(VALUE(I1819)),"bad"))))</f>
        <v/>
      </c>
      <c r="O1819">
        <f>IF(J1819="","",IF(ISNUMBER(J1819),ROUND(J1819,2),IFERROR(ROUND(VALUE(SUBSTITUTE(SUBSTITUTE(SUBSTITUTE(J1819,"$",""),",","")," ","")),2),"bad")))</f>
        <v/>
      </c>
      <c r="P1819">
        <f>IF(TRIM(K1819)="","",IFERROR(MATCH(LOWER(TRIM(K1819)),'Students'!$AH$2:$AH$701,0),IFERROR(MATCH(LOWER(TRIM(K1819)),'Students'!$AF$2:$AF$701,0),IFERROR(MATCH(LOWER(TRIM(K1819)),'Students'!$AG$2:$AG$701,0),""))))</f>
        <v/>
      </c>
      <c r="R1819">
        <f>IF(P1819="","",INDEX('Students'!$AD$2:$AD$701,P1819))</f>
        <v/>
      </c>
      <c r="S1819">
        <f>IF(H1819="OK",O1819,0)</f>
        <v/>
      </c>
      <c r="T1819">
        <f>IF(H1819="OK",N1819,"")</f>
        <v/>
      </c>
      <c r="U1819">
        <f>IF(OC_Donor=0,"",IF(INDEX('OneCause_Paste'!$A$1819:$AZ$1819,1,OC_Donor)="","",INDEX('OneCause_Paste'!$A$1819:$AZ$1819,1,OC_Donor)))</f>
        <v/>
      </c>
    </row>
    <row r="1820">
      <c r="A1820" s="62">
        <f>IF(H1820="","",IF(ISNUMBER(N1820),N1820,I1820))</f>
        <v/>
      </c>
      <c r="B1820">
        <f>IF(H1820="","",U1820)</f>
        <v/>
      </c>
      <c r="C1820">
        <f>IF(H1820="","",IF(P1820="",K1820,INDEX('Students'!$A$2:$A$701,P1820)))</f>
        <v/>
      </c>
      <c r="D1820">
        <f>IF(OR(H1820="",P1820=""),"",INDEX('Students'!$B$2:$B$701,P1820))</f>
        <v/>
      </c>
      <c r="E1820">
        <f>IF(OR(H1820="",P1820=""),"",INDEX('Students'!$C$2:$C$701,P1820))</f>
        <v/>
      </c>
      <c r="F1820" s="48">
        <f>IF(H1820="","",IF(ISNUMBER(O1820),O1820,J1820))</f>
        <v/>
      </c>
      <c r="G1820">
        <f>IF(H1820="","","OneCause")</f>
        <v/>
      </c>
      <c r="H1820">
        <f>IF(AND(I1820="",J1820="",K1820=""),"",IF(NOT(ISNUMBER(O1820)),"Bad amount",IF(O1820&lt;0,"Refund (not counted)",IF(O1820=0,"Zero amount",IF(NOT(ISNUMBER(N1820)),"Bad date",IF(P1820="","NAME NOT ON ROSTER",IF(L1820="","OK",IF(MATCH(L1820,$L$2:$L$3001,0)&lt;ROW()-1,"Duplicate (ignored)","OK"))))))))</f>
        <v/>
      </c>
      <c r="I1820">
        <f>IF(OC_Date=0,"",IF(INDEX('OneCause_Paste'!$A$1820:$AZ$1820,1,OC_Date)="","",INDEX('OneCause_Paste'!$A$1820:$AZ$1820,1,OC_Date)))</f>
        <v/>
      </c>
      <c r="J1820">
        <f>IF(OC_Amt=0,"",IF(INDEX('OneCause_Paste'!$A$1820:$AZ$1820,1,OC_Amt)="","",INDEX('OneCause_Paste'!$A$1820:$AZ$1820,1,OC_Amt)))</f>
        <v/>
      </c>
      <c r="K1820">
        <f>IF(OC_Name=0,"",IF(INDEX('OneCause_Paste'!$A$1820:$AZ$1820,1,OC_Name)="","",INDEX('OneCause_Paste'!$A$1820:$AZ$1820,1,OC_Name)))</f>
        <v/>
      </c>
      <c r="L1820">
        <f>IF(OC_Txn=0,"",IF(INDEX('OneCause_Paste'!$A$1820:$AZ$1820,1,OC_Txn)="","",INDEX('OneCause_Paste'!$A$1820:$AZ$1820,1,OC_Txn)))</f>
        <v/>
      </c>
      <c r="M1820">
        <f>IF(OC_Pay=0,"",IF(INDEX('OneCause_Paste'!$A$1820:$AZ$1820,1,OC_Pay)="","",INDEX('OneCause_Paste'!$A$1820:$AZ$1820,1,OC_Pay)))</f>
        <v/>
      </c>
      <c r="N1820">
        <f>IF(I1820="","",IF(ISNUMBER(I1820),INT(I1820),IFERROR(INT(DATEVALUE(I1820)),IFERROR(INT(VALUE(I1820)),"bad"))))</f>
        <v/>
      </c>
      <c r="O1820">
        <f>IF(J1820="","",IF(ISNUMBER(J1820),ROUND(J1820,2),IFERROR(ROUND(VALUE(SUBSTITUTE(SUBSTITUTE(SUBSTITUTE(J1820,"$",""),",","")," ","")),2),"bad")))</f>
        <v/>
      </c>
      <c r="P1820">
        <f>IF(TRIM(K1820)="","",IFERROR(MATCH(LOWER(TRIM(K1820)),'Students'!$AH$2:$AH$701,0),IFERROR(MATCH(LOWER(TRIM(K1820)),'Students'!$AF$2:$AF$701,0),IFERROR(MATCH(LOWER(TRIM(K1820)),'Students'!$AG$2:$AG$701,0),""))))</f>
        <v/>
      </c>
      <c r="R1820">
        <f>IF(P1820="","",INDEX('Students'!$AD$2:$AD$701,P1820))</f>
        <v/>
      </c>
      <c r="S1820">
        <f>IF(H1820="OK",O1820,0)</f>
        <v/>
      </c>
      <c r="T1820">
        <f>IF(H1820="OK",N1820,"")</f>
        <v/>
      </c>
      <c r="U1820">
        <f>IF(OC_Donor=0,"",IF(INDEX('OneCause_Paste'!$A$1820:$AZ$1820,1,OC_Donor)="","",INDEX('OneCause_Paste'!$A$1820:$AZ$1820,1,OC_Donor)))</f>
        <v/>
      </c>
    </row>
    <row r="1821">
      <c r="A1821" s="62">
        <f>IF(H1821="","",IF(ISNUMBER(N1821),N1821,I1821))</f>
        <v/>
      </c>
      <c r="B1821">
        <f>IF(H1821="","",U1821)</f>
        <v/>
      </c>
      <c r="C1821">
        <f>IF(H1821="","",IF(P1821="",K1821,INDEX('Students'!$A$2:$A$701,P1821)))</f>
        <v/>
      </c>
      <c r="D1821">
        <f>IF(OR(H1821="",P1821=""),"",INDEX('Students'!$B$2:$B$701,P1821))</f>
        <v/>
      </c>
      <c r="E1821">
        <f>IF(OR(H1821="",P1821=""),"",INDEX('Students'!$C$2:$C$701,P1821))</f>
        <v/>
      </c>
      <c r="F1821" s="48">
        <f>IF(H1821="","",IF(ISNUMBER(O1821),O1821,J1821))</f>
        <v/>
      </c>
      <c r="G1821">
        <f>IF(H1821="","","OneCause")</f>
        <v/>
      </c>
      <c r="H1821">
        <f>IF(AND(I1821="",J1821="",K1821=""),"",IF(NOT(ISNUMBER(O1821)),"Bad amount",IF(O1821&lt;0,"Refund (not counted)",IF(O1821=0,"Zero amount",IF(NOT(ISNUMBER(N1821)),"Bad date",IF(P1821="","NAME NOT ON ROSTER",IF(L1821="","OK",IF(MATCH(L1821,$L$2:$L$3001,0)&lt;ROW()-1,"Duplicate (ignored)","OK"))))))))</f>
        <v/>
      </c>
      <c r="I1821">
        <f>IF(OC_Date=0,"",IF(INDEX('OneCause_Paste'!$A$1821:$AZ$1821,1,OC_Date)="","",INDEX('OneCause_Paste'!$A$1821:$AZ$1821,1,OC_Date)))</f>
        <v/>
      </c>
      <c r="J1821">
        <f>IF(OC_Amt=0,"",IF(INDEX('OneCause_Paste'!$A$1821:$AZ$1821,1,OC_Amt)="","",INDEX('OneCause_Paste'!$A$1821:$AZ$1821,1,OC_Amt)))</f>
        <v/>
      </c>
      <c r="K1821">
        <f>IF(OC_Name=0,"",IF(INDEX('OneCause_Paste'!$A$1821:$AZ$1821,1,OC_Name)="","",INDEX('OneCause_Paste'!$A$1821:$AZ$1821,1,OC_Name)))</f>
        <v/>
      </c>
      <c r="L1821">
        <f>IF(OC_Txn=0,"",IF(INDEX('OneCause_Paste'!$A$1821:$AZ$1821,1,OC_Txn)="","",INDEX('OneCause_Paste'!$A$1821:$AZ$1821,1,OC_Txn)))</f>
        <v/>
      </c>
      <c r="M1821">
        <f>IF(OC_Pay=0,"",IF(INDEX('OneCause_Paste'!$A$1821:$AZ$1821,1,OC_Pay)="","",INDEX('OneCause_Paste'!$A$1821:$AZ$1821,1,OC_Pay)))</f>
        <v/>
      </c>
      <c r="N1821">
        <f>IF(I1821="","",IF(ISNUMBER(I1821),INT(I1821),IFERROR(INT(DATEVALUE(I1821)),IFERROR(INT(VALUE(I1821)),"bad"))))</f>
        <v/>
      </c>
      <c r="O1821">
        <f>IF(J1821="","",IF(ISNUMBER(J1821),ROUND(J1821,2),IFERROR(ROUND(VALUE(SUBSTITUTE(SUBSTITUTE(SUBSTITUTE(J1821,"$",""),",","")," ","")),2),"bad")))</f>
        <v/>
      </c>
      <c r="P1821">
        <f>IF(TRIM(K1821)="","",IFERROR(MATCH(LOWER(TRIM(K1821)),'Students'!$AH$2:$AH$701,0),IFERROR(MATCH(LOWER(TRIM(K1821)),'Students'!$AF$2:$AF$701,0),IFERROR(MATCH(LOWER(TRIM(K1821)),'Students'!$AG$2:$AG$701,0),""))))</f>
        <v/>
      </c>
      <c r="R1821">
        <f>IF(P1821="","",INDEX('Students'!$AD$2:$AD$701,P1821))</f>
        <v/>
      </c>
      <c r="S1821">
        <f>IF(H1821="OK",O1821,0)</f>
        <v/>
      </c>
      <c r="T1821">
        <f>IF(H1821="OK",N1821,"")</f>
        <v/>
      </c>
      <c r="U1821">
        <f>IF(OC_Donor=0,"",IF(INDEX('OneCause_Paste'!$A$1821:$AZ$1821,1,OC_Donor)="","",INDEX('OneCause_Paste'!$A$1821:$AZ$1821,1,OC_Donor)))</f>
        <v/>
      </c>
    </row>
    <row r="1822">
      <c r="A1822" s="62">
        <f>IF(H1822="","",IF(ISNUMBER(N1822),N1822,I1822))</f>
        <v/>
      </c>
      <c r="B1822">
        <f>IF(H1822="","",U1822)</f>
        <v/>
      </c>
      <c r="C1822">
        <f>IF(H1822="","",IF(P1822="",K1822,INDEX('Students'!$A$2:$A$701,P1822)))</f>
        <v/>
      </c>
      <c r="D1822">
        <f>IF(OR(H1822="",P1822=""),"",INDEX('Students'!$B$2:$B$701,P1822))</f>
        <v/>
      </c>
      <c r="E1822">
        <f>IF(OR(H1822="",P1822=""),"",INDEX('Students'!$C$2:$C$701,P1822))</f>
        <v/>
      </c>
      <c r="F1822" s="48">
        <f>IF(H1822="","",IF(ISNUMBER(O1822),O1822,J1822))</f>
        <v/>
      </c>
      <c r="G1822">
        <f>IF(H1822="","","OneCause")</f>
        <v/>
      </c>
      <c r="H1822">
        <f>IF(AND(I1822="",J1822="",K1822=""),"",IF(NOT(ISNUMBER(O1822)),"Bad amount",IF(O1822&lt;0,"Refund (not counted)",IF(O1822=0,"Zero amount",IF(NOT(ISNUMBER(N1822)),"Bad date",IF(P1822="","NAME NOT ON ROSTER",IF(L1822="","OK",IF(MATCH(L1822,$L$2:$L$3001,0)&lt;ROW()-1,"Duplicate (ignored)","OK"))))))))</f>
        <v/>
      </c>
      <c r="I1822">
        <f>IF(OC_Date=0,"",IF(INDEX('OneCause_Paste'!$A$1822:$AZ$1822,1,OC_Date)="","",INDEX('OneCause_Paste'!$A$1822:$AZ$1822,1,OC_Date)))</f>
        <v/>
      </c>
      <c r="J1822">
        <f>IF(OC_Amt=0,"",IF(INDEX('OneCause_Paste'!$A$1822:$AZ$1822,1,OC_Amt)="","",INDEX('OneCause_Paste'!$A$1822:$AZ$1822,1,OC_Amt)))</f>
        <v/>
      </c>
      <c r="K1822">
        <f>IF(OC_Name=0,"",IF(INDEX('OneCause_Paste'!$A$1822:$AZ$1822,1,OC_Name)="","",INDEX('OneCause_Paste'!$A$1822:$AZ$1822,1,OC_Name)))</f>
        <v/>
      </c>
      <c r="L1822">
        <f>IF(OC_Txn=0,"",IF(INDEX('OneCause_Paste'!$A$1822:$AZ$1822,1,OC_Txn)="","",INDEX('OneCause_Paste'!$A$1822:$AZ$1822,1,OC_Txn)))</f>
        <v/>
      </c>
      <c r="M1822">
        <f>IF(OC_Pay=0,"",IF(INDEX('OneCause_Paste'!$A$1822:$AZ$1822,1,OC_Pay)="","",INDEX('OneCause_Paste'!$A$1822:$AZ$1822,1,OC_Pay)))</f>
        <v/>
      </c>
      <c r="N1822">
        <f>IF(I1822="","",IF(ISNUMBER(I1822),INT(I1822),IFERROR(INT(DATEVALUE(I1822)),IFERROR(INT(VALUE(I1822)),"bad"))))</f>
        <v/>
      </c>
      <c r="O1822">
        <f>IF(J1822="","",IF(ISNUMBER(J1822),ROUND(J1822,2),IFERROR(ROUND(VALUE(SUBSTITUTE(SUBSTITUTE(SUBSTITUTE(J1822,"$",""),",","")," ","")),2),"bad")))</f>
        <v/>
      </c>
      <c r="P1822">
        <f>IF(TRIM(K1822)="","",IFERROR(MATCH(LOWER(TRIM(K1822)),'Students'!$AH$2:$AH$701,0),IFERROR(MATCH(LOWER(TRIM(K1822)),'Students'!$AF$2:$AF$701,0),IFERROR(MATCH(LOWER(TRIM(K1822)),'Students'!$AG$2:$AG$701,0),""))))</f>
        <v/>
      </c>
      <c r="R1822">
        <f>IF(P1822="","",INDEX('Students'!$AD$2:$AD$701,P1822))</f>
        <v/>
      </c>
      <c r="S1822">
        <f>IF(H1822="OK",O1822,0)</f>
        <v/>
      </c>
      <c r="T1822">
        <f>IF(H1822="OK",N1822,"")</f>
        <v/>
      </c>
      <c r="U1822">
        <f>IF(OC_Donor=0,"",IF(INDEX('OneCause_Paste'!$A$1822:$AZ$1822,1,OC_Donor)="","",INDEX('OneCause_Paste'!$A$1822:$AZ$1822,1,OC_Donor)))</f>
        <v/>
      </c>
    </row>
    <row r="1823">
      <c r="A1823" s="62">
        <f>IF(H1823="","",IF(ISNUMBER(N1823),N1823,I1823))</f>
        <v/>
      </c>
      <c r="B1823">
        <f>IF(H1823="","",U1823)</f>
        <v/>
      </c>
      <c r="C1823">
        <f>IF(H1823="","",IF(P1823="",K1823,INDEX('Students'!$A$2:$A$701,P1823)))</f>
        <v/>
      </c>
      <c r="D1823">
        <f>IF(OR(H1823="",P1823=""),"",INDEX('Students'!$B$2:$B$701,P1823))</f>
        <v/>
      </c>
      <c r="E1823">
        <f>IF(OR(H1823="",P1823=""),"",INDEX('Students'!$C$2:$C$701,P1823))</f>
        <v/>
      </c>
      <c r="F1823" s="48">
        <f>IF(H1823="","",IF(ISNUMBER(O1823),O1823,J1823))</f>
        <v/>
      </c>
      <c r="G1823">
        <f>IF(H1823="","","OneCause")</f>
        <v/>
      </c>
      <c r="H1823">
        <f>IF(AND(I1823="",J1823="",K1823=""),"",IF(NOT(ISNUMBER(O1823)),"Bad amount",IF(O1823&lt;0,"Refund (not counted)",IF(O1823=0,"Zero amount",IF(NOT(ISNUMBER(N1823)),"Bad date",IF(P1823="","NAME NOT ON ROSTER",IF(L1823="","OK",IF(MATCH(L1823,$L$2:$L$3001,0)&lt;ROW()-1,"Duplicate (ignored)","OK"))))))))</f>
        <v/>
      </c>
      <c r="I1823">
        <f>IF(OC_Date=0,"",IF(INDEX('OneCause_Paste'!$A$1823:$AZ$1823,1,OC_Date)="","",INDEX('OneCause_Paste'!$A$1823:$AZ$1823,1,OC_Date)))</f>
        <v/>
      </c>
      <c r="J1823">
        <f>IF(OC_Amt=0,"",IF(INDEX('OneCause_Paste'!$A$1823:$AZ$1823,1,OC_Amt)="","",INDEX('OneCause_Paste'!$A$1823:$AZ$1823,1,OC_Amt)))</f>
        <v/>
      </c>
      <c r="K1823">
        <f>IF(OC_Name=0,"",IF(INDEX('OneCause_Paste'!$A$1823:$AZ$1823,1,OC_Name)="","",INDEX('OneCause_Paste'!$A$1823:$AZ$1823,1,OC_Name)))</f>
        <v/>
      </c>
      <c r="L1823">
        <f>IF(OC_Txn=0,"",IF(INDEX('OneCause_Paste'!$A$1823:$AZ$1823,1,OC_Txn)="","",INDEX('OneCause_Paste'!$A$1823:$AZ$1823,1,OC_Txn)))</f>
        <v/>
      </c>
      <c r="M1823">
        <f>IF(OC_Pay=0,"",IF(INDEX('OneCause_Paste'!$A$1823:$AZ$1823,1,OC_Pay)="","",INDEX('OneCause_Paste'!$A$1823:$AZ$1823,1,OC_Pay)))</f>
        <v/>
      </c>
      <c r="N1823">
        <f>IF(I1823="","",IF(ISNUMBER(I1823),INT(I1823),IFERROR(INT(DATEVALUE(I1823)),IFERROR(INT(VALUE(I1823)),"bad"))))</f>
        <v/>
      </c>
      <c r="O1823">
        <f>IF(J1823="","",IF(ISNUMBER(J1823),ROUND(J1823,2),IFERROR(ROUND(VALUE(SUBSTITUTE(SUBSTITUTE(SUBSTITUTE(J1823,"$",""),",","")," ","")),2),"bad")))</f>
        <v/>
      </c>
      <c r="P1823">
        <f>IF(TRIM(K1823)="","",IFERROR(MATCH(LOWER(TRIM(K1823)),'Students'!$AH$2:$AH$701,0),IFERROR(MATCH(LOWER(TRIM(K1823)),'Students'!$AF$2:$AF$701,0),IFERROR(MATCH(LOWER(TRIM(K1823)),'Students'!$AG$2:$AG$701,0),""))))</f>
        <v/>
      </c>
      <c r="R1823">
        <f>IF(P1823="","",INDEX('Students'!$AD$2:$AD$701,P1823))</f>
        <v/>
      </c>
      <c r="S1823">
        <f>IF(H1823="OK",O1823,0)</f>
        <v/>
      </c>
      <c r="T1823">
        <f>IF(H1823="OK",N1823,"")</f>
        <v/>
      </c>
      <c r="U1823">
        <f>IF(OC_Donor=0,"",IF(INDEX('OneCause_Paste'!$A$1823:$AZ$1823,1,OC_Donor)="","",INDEX('OneCause_Paste'!$A$1823:$AZ$1823,1,OC_Donor)))</f>
        <v/>
      </c>
    </row>
    <row r="1824">
      <c r="A1824" s="62">
        <f>IF(H1824="","",IF(ISNUMBER(N1824),N1824,I1824))</f>
        <v/>
      </c>
      <c r="B1824">
        <f>IF(H1824="","",U1824)</f>
        <v/>
      </c>
      <c r="C1824">
        <f>IF(H1824="","",IF(P1824="",K1824,INDEX('Students'!$A$2:$A$701,P1824)))</f>
        <v/>
      </c>
      <c r="D1824">
        <f>IF(OR(H1824="",P1824=""),"",INDEX('Students'!$B$2:$B$701,P1824))</f>
        <v/>
      </c>
      <c r="E1824">
        <f>IF(OR(H1824="",P1824=""),"",INDEX('Students'!$C$2:$C$701,P1824))</f>
        <v/>
      </c>
      <c r="F1824" s="48">
        <f>IF(H1824="","",IF(ISNUMBER(O1824),O1824,J1824))</f>
        <v/>
      </c>
      <c r="G1824">
        <f>IF(H1824="","","OneCause")</f>
        <v/>
      </c>
      <c r="H1824">
        <f>IF(AND(I1824="",J1824="",K1824=""),"",IF(NOT(ISNUMBER(O1824)),"Bad amount",IF(O1824&lt;0,"Refund (not counted)",IF(O1824=0,"Zero amount",IF(NOT(ISNUMBER(N1824)),"Bad date",IF(P1824="","NAME NOT ON ROSTER",IF(L1824="","OK",IF(MATCH(L1824,$L$2:$L$3001,0)&lt;ROW()-1,"Duplicate (ignored)","OK"))))))))</f>
        <v/>
      </c>
      <c r="I1824">
        <f>IF(OC_Date=0,"",IF(INDEX('OneCause_Paste'!$A$1824:$AZ$1824,1,OC_Date)="","",INDEX('OneCause_Paste'!$A$1824:$AZ$1824,1,OC_Date)))</f>
        <v/>
      </c>
      <c r="J1824">
        <f>IF(OC_Amt=0,"",IF(INDEX('OneCause_Paste'!$A$1824:$AZ$1824,1,OC_Amt)="","",INDEX('OneCause_Paste'!$A$1824:$AZ$1824,1,OC_Amt)))</f>
        <v/>
      </c>
      <c r="K1824">
        <f>IF(OC_Name=0,"",IF(INDEX('OneCause_Paste'!$A$1824:$AZ$1824,1,OC_Name)="","",INDEX('OneCause_Paste'!$A$1824:$AZ$1824,1,OC_Name)))</f>
        <v/>
      </c>
      <c r="L1824">
        <f>IF(OC_Txn=0,"",IF(INDEX('OneCause_Paste'!$A$1824:$AZ$1824,1,OC_Txn)="","",INDEX('OneCause_Paste'!$A$1824:$AZ$1824,1,OC_Txn)))</f>
        <v/>
      </c>
      <c r="M1824">
        <f>IF(OC_Pay=0,"",IF(INDEX('OneCause_Paste'!$A$1824:$AZ$1824,1,OC_Pay)="","",INDEX('OneCause_Paste'!$A$1824:$AZ$1824,1,OC_Pay)))</f>
        <v/>
      </c>
      <c r="N1824">
        <f>IF(I1824="","",IF(ISNUMBER(I1824),INT(I1824),IFERROR(INT(DATEVALUE(I1824)),IFERROR(INT(VALUE(I1824)),"bad"))))</f>
        <v/>
      </c>
      <c r="O1824">
        <f>IF(J1824="","",IF(ISNUMBER(J1824),ROUND(J1824,2),IFERROR(ROUND(VALUE(SUBSTITUTE(SUBSTITUTE(SUBSTITUTE(J1824,"$",""),",","")," ","")),2),"bad")))</f>
        <v/>
      </c>
      <c r="P1824">
        <f>IF(TRIM(K1824)="","",IFERROR(MATCH(LOWER(TRIM(K1824)),'Students'!$AH$2:$AH$701,0),IFERROR(MATCH(LOWER(TRIM(K1824)),'Students'!$AF$2:$AF$701,0),IFERROR(MATCH(LOWER(TRIM(K1824)),'Students'!$AG$2:$AG$701,0),""))))</f>
        <v/>
      </c>
      <c r="R1824">
        <f>IF(P1824="","",INDEX('Students'!$AD$2:$AD$701,P1824))</f>
        <v/>
      </c>
      <c r="S1824">
        <f>IF(H1824="OK",O1824,0)</f>
        <v/>
      </c>
      <c r="T1824">
        <f>IF(H1824="OK",N1824,"")</f>
        <v/>
      </c>
      <c r="U1824">
        <f>IF(OC_Donor=0,"",IF(INDEX('OneCause_Paste'!$A$1824:$AZ$1824,1,OC_Donor)="","",INDEX('OneCause_Paste'!$A$1824:$AZ$1824,1,OC_Donor)))</f>
        <v/>
      </c>
    </row>
    <row r="1825">
      <c r="A1825" s="62">
        <f>IF(H1825="","",IF(ISNUMBER(N1825),N1825,I1825))</f>
        <v/>
      </c>
      <c r="B1825">
        <f>IF(H1825="","",U1825)</f>
        <v/>
      </c>
      <c r="C1825">
        <f>IF(H1825="","",IF(P1825="",K1825,INDEX('Students'!$A$2:$A$701,P1825)))</f>
        <v/>
      </c>
      <c r="D1825">
        <f>IF(OR(H1825="",P1825=""),"",INDEX('Students'!$B$2:$B$701,P1825))</f>
        <v/>
      </c>
      <c r="E1825">
        <f>IF(OR(H1825="",P1825=""),"",INDEX('Students'!$C$2:$C$701,P1825))</f>
        <v/>
      </c>
      <c r="F1825" s="48">
        <f>IF(H1825="","",IF(ISNUMBER(O1825),O1825,J1825))</f>
        <v/>
      </c>
      <c r="G1825">
        <f>IF(H1825="","","OneCause")</f>
        <v/>
      </c>
      <c r="H1825">
        <f>IF(AND(I1825="",J1825="",K1825=""),"",IF(NOT(ISNUMBER(O1825)),"Bad amount",IF(O1825&lt;0,"Refund (not counted)",IF(O1825=0,"Zero amount",IF(NOT(ISNUMBER(N1825)),"Bad date",IF(P1825="","NAME NOT ON ROSTER",IF(L1825="","OK",IF(MATCH(L1825,$L$2:$L$3001,0)&lt;ROW()-1,"Duplicate (ignored)","OK"))))))))</f>
        <v/>
      </c>
      <c r="I1825">
        <f>IF(OC_Date=0,"",IF(INDEX('OneCause_Paste'!$A$1825:$AZ$1825,1,OC_Date)="","",INDEX('OneCause_Paste'!$A$1825:$AZ$1825,1,OC_Date)))</f>
        <v/>
      </c>
      <c r="J1825">
        <f>IF(OC_Amt=0,"",IF(INDEX('OneCause_Paste'!$A$1825:$AZ$1825,1,OC_Amt)="","",INDEX('OneCause_Paste'!$A$1825:$AZ$1825,1,OC_Amt)))</f>
        <v/>
      </c>
      <c r="K1825">
        <f>IF(OC_Name=0,"",IF(INDEX('OneCause_Paste'!$A$1825:$AZ$1825,1,OC_Name)="","",INDEX('OneCause_Paste'!$A$1825:$AZ$1825,1,OC_Name)))</f>
        <v/>
      </c>
      <c r="L1825">
        <f>IF(OC_Txn=0,"",IF(INDEX('OneCause_Paste'!$A$1825:$AZ$1825,1,OC_Txn)="","",INDEX('OneCause_Paste'!$A$1825:$AZ$1825,1,OC_Txn)))</f>
        <v/>
      </c>
      <c r="M1825">
        <f>IF(OC_Pay=0,"",IF(INDEX('OneCause_Paste'!$A$1825:$AZ$1825,1,OC_Pay)="","",INDEX('OneCause_Paste'!$A$1825:$AZ$1825,1,OC_Pay)))</f>
        <v/>
      </c>
      <c r="N1825">
        <f>IF(I1825="","",IF(ISNUMBER(I1825),INT(I1825),IFERROR(INT(DATEVALUE(I1825)),IFERROR(INT(VALUE(I1825)),"bad"))))</f>
        <v/>
      </c>
      <c r="O1825">
        <f>IF(J1825="","",IF(ISNUMBER(J1825),ROUND(J1825,2),IFERROR(ROUND(VALUE(SUBSTITUTE(SUBSTITUTE(SUBSTITUTE(J1825,"$",""),",","")," ","")),2),"bad")))</f>
        <v/>
      </c>
      <c r="P1825">
        <f>IF(TRIM(K1825)="","",IFERROR(MATCH(LOWER(TRIM(K1825)),'Students'!$AH$2:$AH$701,0),IFERROR(MATCH(LOWER(TRIM(K1825)),'Students'!$AF$2:$AF$701,0),IFERROR(MATCH(LOWER(TRIM(K1825)),'Students'!$AG$2:$AG$701,0),""))))</f>
        <v/>
      </c>
      <c r="R1825">
        <f>IF(P1825="","",INDEX('Students'!$AD$2:$AD$701,P1825))</f>
        <v/>
      </c>
      <c r="S1825">
        <f>IF(H1825="OK",O1825,0)</f>
        <v/>
      </c>
      <c r="T1825">
        <f>IF(H1825="OK",N1825,"")</f>
        <v/>
      </c>
      <c r="U1825">
        <f>IF(OC_Donor=0,"",IF(INDEX('OneCause_Paste'!$A$1825:$AZ$1825,1,OC_Donor)="","",INDEX('OneCause_Paste'!$A$1825:$AZ$1825,1,OC_Donor)))</f>
        <v/>
      </c>
    </row>
    <row r="1826">
      <c r="A1826" s="62">
        <f>IF(H1826="","",IF(ISNUMBER(N1826),N1826,I1826))</f>
        <v/>
      </c>
      <c r="B1826">
        <f>IF(H1826="","",U1826)</f>
        <v/>
      </c>
      <c r="C1826">
        <f>IF(H1826="","",IF(P1826="",K1826,INDEX('Students'!$A$2:$A$701,P1826)))</f>
        <v/>
      </c>
      <c r="D1826">
        <f>IF(OR(H1826="",P1826=""),"",INDEX('Students'!$B$2:$B$701,P1826))</f>
        <v/>
      </c>
      <c r="E1826">
        <f>IF(OR(H1826="",P1826=""),"",INDEX('Students'!$C$2:$C$701,P1826))</f>
        <v/>
      </c>
      <c r="F1826" s="48">
        <f>IF(H1826="","",IF(ISNUMBER(O1826),O1826,J1826))</f>
        <v/>
      </c>
      <c r="G1826">
        <f>IF(H1826="","","OneCause")</f>
        <v/>
      </c>
      <c r="H1826">
        <f>IF(AND(I1826="",J1826="",K1826=""),"",IF(NOT(ISNUMBER(O1826)),"Bad amount",IF(O1826&lt;0,"Refund (not counted)",IF(O1826=0,"Zero amount",IF(NOT(ISNUMBER(N1826)),"Bad date",IF(P1826="","NAME NOT ON ROSTER",IF(L1826="","OK",IF(MATCH(L1826,$L$2:$L$3001,0)&lt;ROW()-1,"Duplicate (ignored)","OK"))))))))</f>
        <v/>
      </c>
      <c r="I1826">
        <f>IF(OC_Date=0,"",IF(INDEX('OneCause_Paste'!$A$1826:$AZ$1826,1,OC_Date)="","",INDEX('OneCause_Paste'!$A$1826:$AZ$1826,1,OC_Date)))</f>
        <v/>
      </c>
      <c r="J1826">
        <f>IF(OC_Amt=0,"",IF(INDEX('OneCause_Paste'!$A$1826:$AZ$1826,1,OC_Amt)="","",INDEX('OneCause_Paste'!$A$1826:$AZ$1826,1,OC_Amt)))</f>
        <v/>
      </c>
      <c r="K1826">
        <f>IF(OC_Name=0,"",IF(INDEX('OneCause_Paste'!$A$1826:$AZ$1826,1,OC_Name)="","",INDEX('OneCause_Paste'!$A$1826:$AZ$1826,1,OC_Name)))</f>
        <v/>
      </c>
      <c r="L1826">
        <f>IF(OC_Txn=0,"",IF(INDEX('OneCause_Paste'!$A$1826:$AZ$1826,1,OC_Txn)="","",INDEX('OneCause_Paste'!$A$1826:$AZ$1826,1,OC_Txn)))</f>
        <v/>
      </c>
      <c r="M1826">
        <f>IF(OC_Pay=0,"",IF(INDEX('OneCause_Paste'!$A$1826:$AZ$1826,1,OC_Pay)="","",INDEX('OneCause_Paste'!$A$1826:$AZ$1826,1,OC_Pay)))</f>
        <v/>
      </c>
      <c r="N1826">
        <f>IF(I1826="","",IF(ISNUMBER(I1826),INT(I1826),IFERROR(INT(DATEVALUE(I1826)),IFERROR(INT(VALUE(I1826)),"bad"))))</f>
        <v/>
      </c>
      <c r="O1826">
        <f>IF(J1826="","",IF(ISNUMBER(J1826),ROUND(J1826,2),IFERROR(ROUND(VALUE(SUBSTITUTE(SUBSTITUTE(SUBSTITUTE(J1826,"$",""),",","")," ","")),2),"bad")))</f>
        <v/>
      </c>
      <c r="P1826">
        <f>IF(TRIM(K1826)="","",IFERROR(MATCH(LOWER(TRIM(K1826)),'Students'!$AH$2:$AH$701,0),IFERROR(MATCH(LOWER(TRIM(K1826)),'Students'!$AF$2:$AF$701,0),IFERROR(MATCH(LOWER(TRIM(K1826)),'Students'!$AG$2:$AG$701,0),""))))</f>
        <v/>
      </c>
      <c r="R1826">
        <f>IF(P1826="","",INDEX('Students'!$AD$2:$AD$701,P1826))</f>
        <v/>
      </c>
      <c r="S1826">
        <f>IF(H1826="OK",O1826,0)</f>
        <v/>
      </c>
      <c r="T1826">
        <f>IF(H1826="OK",N1826,"")</f>
        <v/>
      </c>
      <c r="U1826">
        <f>IF(OC_Donor=0,"",IF(INDEX('OneCause_Paste'!$A$1826:$AZ$1826,1,OC_Donor)="","",INDEX('OneCause_Paste'!$A$1826:$AZ$1826,1,OC_Donor)))</f>
        <v/>
      </c>
    </row>
    <row r="1827">
      <c r="A1827" s="62">
        <f>IF(H1827="","",IF(ISNUMBER(N1827),N1827,I1827))</f>
        <v/>
      </c>
      <c r="B1827">
        <f>IF(H1827="","",U1827)</f>
        <v/>
      </c>
      <c r="C1827">
        <f>IF(H1827="","",IF(P1827="",K1827,INDEX('Students'!$A$2:$A$701,P1827)))</f>
        <v/>
      </c>
      <c r="D1827">
        <f>IF(OR(H1827="",P1827=""),"",INDEX('Students'!$B$2:$B$701,P1827))</f>
        <v/>
      </c>
      <c r="E1827">
        <f>IF(OR(H1827="",P1827=""),"",INDEX('Students'!$C$2:$C$701,P1827))</f>
        <v/>
      </c>
      <c r="F1827" s="48">
        <f>IF(H1827="","",IF(ISNUMBER(O1827),O1827,J1827))</f>
        <v/>
      </c>
      <c r="G1827">
        <f>IF(H1827="","","OneCause")</f>
        <v/>
      </c>
      <c r="H1827">
        <f>IF(AND(I1827="",J1827="",K1827=""),"",IF(NOT(ISNUMBER(O1827)),"Bad amount",IF(O1827&lt;0,"Refund (not counted)",IF(O1827=0,"Zero amount",IF(NOT(ISNUMBER(N1827)),"Bad date",IF(P1827="","NAME NOT ON ROSTER",IF(L1827="","OK",IF(MATCH(L1827,$L$2:$L$3001,0)&lt;ROW()-1,"Duplicate (ignored)","OK"))))))))</f>
        <v/>
      </c>
      <c r="I1827">
        <f>IF(OC_Date=0,"",IF(INDEX('OneCause_Paste'!$A$1827:$AZ$1827,1,OC_Date)="","",INDEX('OneCause_Paste'!$A$1827:$AZ$1827,1,OC_Date)))</f>
        <v/>
      </c>
      <c r="J1827">
        <f>IF(OC_Amt=0,"",IF(INDEX('OneCause_Paste'!$A$1827:$AZ$1827,1,OC_Amt)="","",INDEX('OneCause_Paste'!$A$1827:$AZ$1827,1,OC_Amt)))</f>
        <v/>
      </c>
      <c r="K1827">
        <f>IF(OC_Name=0,"",IF(INDEX('OneCause_Paste'!$A$1827:$AZ$1827,1,OC_Name)="","",INDEX('OneCause_Paste'!$A$1827:$AZ$1827,1,OC_Name)))</f>
        <v/>
      </c>
      <c r="L1827">
        <f>IF(OC_Txn=0,"",IF(INDEX('OneCause_Paste'!$A$1827:$AZ$1827,1,OC_Txn)="","",INDEX('OneCause_Paste'!$A$1827:$AZ$1827,1,OC_Txn)))</f>
        <v/>
      </c>
      <c r="M1827">
        <f>IF(OC_Pay=0,"",IF(INDEX('OneCause_Paste'!$A$1827:$AZ$1827,1,OC_Pay)="","",INDEX('OneCause_Paste'!$A$1827:$AZ$1827,1,OC_Pay)))</f>
        <v/>
      </c>
      <c r="N1827">
        <f>IF(I1827="","",IF(ISNUMBER(I1827),INT(I1827),IFERROR(INT(DATEVALUE(I1827)),IFERROR(INT(VALUE(I1827)),"bad"))))</f>
        <v/>
      </c>
      <c r="O1827">
        <f>IF(J1827="","",IF(ISNUMBER(J1827),ROUND(J1827,2),IFERROR(ROUND(VALUE(SUBSTITUTE(SUBSTITUTE(SUBSTITUTE(J1827,"$",""),",","")," ","")),2),"bad")))</f>
        <v/>
      </c>
      <c r="P1827">
        <f>IF(TRIM(K1827)="","",IFERROR(MATCH(LOWER(TRIM(K1827)),'Students'!$AH$2:$AH$701,0),IFERROR(MATCH(LOWER(TRIM(K1827)),'Students'!$AF$2:$AF$701,0),IFERROR(MATCH(LOWER(TRIM(K1827)),'Students'!$AG$2:$AG$701,0),""))))</f>
        <v/>
      </c>
      <c r="R1827">
        <f>IF(P1827="","",INDEX('Students'!$AD$2:$AD$701,P1827))</f>
        <v/>
      </c>
      <c r="S1827">
        <f>IF(H1827="OK",O1827,0)</f>
        <v/>
      </c>
      <c r="T1827">
        <f>IF(H1827="OK",N1827,"")</f>
        <v/>
      </c>
      <c r="U1827">
        <f>IF(OC_Donor=0,"",IF(INDEX('OneCause_Paste'!$A$1827:$AZ$1827,1,OC_Donor)="","",INDEX('OneCause_Paste'!$A$1827:$AZ$1827,1,OC_Donor)))</f>
        <v/>
      </c>
    </row>
    <row r="1828">
      <c r="A1828" s="62">
        <f>IF(H1828="","",IF(ISNUMBER(N1828),N1828,I1828))</f>
        <v/>
      </c>
      <c r="B1828">
        <f>IF(H1828="","",U1828)</f>
        <v/>
      </c>
      <c r="C1828">
        <f>IF(H1828="","",IF(P1828="",K1828,INDEX('Students'!$A$2:$A$701,P1828)))</f>
        <v/>
      </c>
      <c r="D1828">
        <f>IF(OR(H1828="",P1828=""),"",INDEX('Students'!$B$2:$B$701,P1828))</f>
        <v/>
      </c>
      <c r="E1828">
        <f>IF(OR(H1828="",P1828=""),"",INDEX('Students'!$C$2:$C$701,P1828))</f>
        <v/>
      </c>
      <c r="F1828" s="48">
        <f>IF(H1828="","",IF(ISNUMBER(O1828),O1828,J1828))</f>
        <v/>
      </c>
      <c r="G1828">
        <f>IF(H1828="","","OneCause")</f>
        <v/>
      </c>
      <c r="H1828">
        <f>IF(AND(I1828="",J1828="",K1828=""),"",IF(NOT(ISNUMBER(O1828)),"Bad amount",IF(O1828&lt;0,"Refund (not counted)",IF(O1828=0,"Zero amount",IF(NOT(ISNUMBER(N1828)),"Bad date",IF(P1828="","NAME NOT ON ROSTER",IF(L1828="","OK",IF(MATCH(L1828,$L$2:$L$3001,0)&lt;ROW()-1,"Duplicate (ignored)","OK"))))))))</f>
        <v/>
      </c>
      <c r="I1828">
        <f>IF(OC_Date=0,"",IF(INDEX('OneCause_Paste'!$A$1828:$AZ$1828,1,OC_Date)="","",INDEX('OneCause_Paste'!$A$1828:$AZ$1828,1,OC_Date)))</f>
        <v/>
      </c>
      <c r="J1828">
        <f>IF(OC_Amt=0,"",IF(INDEX('OneCause_Paste'!$A$1828:$AZ$1828,1,OC_Amt)="","",INDEX('OneCause_Paste'!$A$1828:$AZ$1828,1,OC_Amt)))</f>
        <v/>
      </c>
      <c r="K1828">
        <f>IF(OC_Name=0,"",IF(INDEX('OneCause_Paste'!$A$1828:$AZ$1828,1,OC_Name)="","",INDEX('OneCause_Paste'!$A$1828:$AZ$1828,1,OC_Name)))</f>
        <v/>
      </c>
      <c r="L1828">
        <f>IF(OC_Txn=0,"",IF(INDEX('OneCause_Paste'!$A$1828:$AZ$1828,1,OC_Txn)="","",INDEX('OneCause_Paste'!$A$1828:$AZ$1828,1,OC_Txn)))</f>
        <v/>
      </c>
      <c r="M1828">
        <f>IF(OC_Pay=0,"",IF(INDEX('OneCause_Paste'!$A$1828:$AZ$1828,1,OC_Pay)="","",INDEX('OneCause_Paste'!$A$1828:$AZ$1828,1,OC_Pay)))</f>
        <v/>
      </c>
      <c r="N1828">
        <f>IF(I1828="","",IF(ISNUMBER(I1828),INT(I1828),IFERROR(INT(DATEVALUE(I1828)),IFERROR(INT(VALUE(I1828)),"bad"))))</f>
        <v/>
      </c>
      <c r="O1828">
        <f>IF(J1828="","",IF(ISNUMBER(J1828),ROUND(J1828,2),IFERROR(ROUND(VALUE(SUBSTITUTE(SUBSTITUTE(SUBSTITUTE(J1828,"$",""),",","")," ","")),2),"bad")))</f>
        <v/>
      </c>
      <c r="P1828">
        <f>IF(TRIM(K1828)="","",IFERROR(MATCH(LOWER(TRIM(K1828)),'Students'!$AH$2:$AH$701,0),IFERROR(MATCH(LOWER(TRIM(K1828)),'Students'!$AF$2:$AF$701,0),IFERROR(MATCH(LOWER(TRIM(K1828)),'Students'!$AG$2:$AG$701,0),""))))</f>
        <v/>
      </c>
      <c r="R1828">
        <f>IF(P1828="","",INDEX('Students'!$AD$2:$AD$701,P1828))</f>
        <v/>
      </c>
      <c r="S1828">
        <f>IF(H1828="OK",O1828,0)</f>
        <v/>
      </c>
      <c r="T1828">
        <f>IF(H1828="OK",N1828,"")</f>
        <v/>
      </c>
      <c r="U1828">
        <f>IF(OC_Donor=0,"",IF(INDEX('OneCause_Paste'!$A$1828:$AZ$1828,1,OC_Donor)="","",INDEX('OneCause_Paste'!$A$1828:$AZ$1828,1,OC_Donor)))</f>
        <v/>
      </c>
    </row>
    <row r="1829">
      <c r="A1829" s="62">
        <f>IF(H1829="","",IF(ISNUMBER(N1829),N1829,I1829))</f>
        <v/>
      </c>
      <c r="B1829">
        <f>IF(H1829="","",U1829)</f>
        <v/>
      </c>
      <c r="C1829">
        <f>IF(H1829="","",IF(P1829="",K1829,INDEX('Students'!$A$2:$A$701,P1829)))</f>
        <v/>
      </c>
      <c r="D1829">
        <f>IF(OR(H1829="",P1829=""),"",INDEX('Students'!$B$2:$B$701,P1829))</f>
        <v/>
      </c>
      <c r="E1829">
        <f>IF(OR(H1829="",P1829=""),"",INDEX('Students'!$C$2:$C$701,P1829))</f>
        <v/>
      </c>
      <c r="F1829" s="48">
        <f>IF(H1829="","",IF(ISNUMBER(O1829),O1829,J1829))</f>
        <v/>
      </c>
      <c r="G1829">
        <f>IF(H1829="","","OneCause")</f>
        <v/>
      </c>
      <c r="H1829">
        <f>IF(AND(I1829="",J1829="",K1829=""),"",IF(NOT(ISNUMBER(O1829)),"Bad amount",IF(O1829&lt;0,"Refund (not counted)",IF(O1829=0,"Zero amount",IF(NOT(ISNUMBER(N1829)),"Bad date",IF(P1829="","NAME NOT ON ROSTER",IF(L1829="","OK",IF(MATCH(L1829,$L$2:$L$3001,0)&lt;ROW()-1,"Duplicate (ignored)","OK"))))))))</f>
        <v/>
      </c>
      <c r="I1829">
        <f>IF(OC_Date=0,"",IF(INDEX('OneCause_Paste'!$A$1829:$AZ$1829,1,OC_Date)="","",INDEX('OneCause_Paste'!$A$1829:$AZ$1829,1,OC_Date)))</f>
        <v/>
      </c>
      <c r="J1829">
        <f>IF(OC_Amt=0,"",IF(INDEX('OneCause_Paste'!$A$1829:$AZ$1829,1,OC_Amt)="","",INDEX('OneCause_Paste'!$A$1829:$AZ$1829,1,OC_Amt)))</f>
        <v/>
      </c>
      <c r="K1829">
        <f>IF(OC_Name=0,"",IF(INDEX('OneCause_Paste'!$A$1829:$AZ$1829,1,OC_Name)="","",INDEX('OneCause_Paste'!$A$1829:$AZ$1829,1,OC_Name)))</f>
        <v/>
      </c>
      <c r="L1829">
        <f>IF(OC_Txn=0,"",IF(INDEX('OneCause_Paste'!$A$1829:$AZ$1829,1,OC_Txn)="","",INDEX('OneCause_Paste'!$A$1829:$AZ$1829,1,OC_Txn)))</f>
        <v/>
      </c>
      <c r="M1829">
        <f>IF(OC_Pay=0,"",IF(INDEX('OneCause_Paste'!$A$1829:$AZ$1829,1,OC_Pay)="","",INDEX('OneCause_Paste'!$A$1829:$AZ$1829,1,OC_Pay)))</f>
        <v/>
      </c>
      <c r="N1829">
        <f>IF(I1829="","",IF(ISNUMBER(I1829),INT(I1829),IFERROR(INT(DATEVALUE(I1829)),IFERROR(INT(VALUE(I1829)),"bad"))))</f>
        <v/>
      </c>
      <c r="O1829">
        <f>IF(J1829="","",IF(ISNUMBER(J1829),ROUND(J1829,2),IFERROR(ROUND(VALUE(SUBSTITUTE(SUBSTITUTE(SUBSTITUTE(J1829,"$",""),",","")," ","")),2),"bad")))</f>
        <v/>
      </c>
      <c r="P1829">
        <f>IF(TRIM(K1829)="","",IFERROR(MATCH(LOWER(TRIM(K1829)),'Students'!$AH$2:$AH$701,0),IFERROR(MATCH(LOWER(TRIM(K1829)),'Students'!$AF$2:$AF$701,0),IFERROR(MATCH(LOWER(TRIM(K1829)),'Students'!$AG$2:$AG$701,0),""))))</f>
        <v/>
      </c>
      <c r="R1829">
        <f>IF(P1829="","",INDEX('Students'!$AD$2:$AD$701,P1829))</f>
        <v/>
      </c>
      <c r="S1829">
        <f>IF(H1829="OK",O1829,0)</f>
        <v/>
      </c>
      <c r="T1829">
        <f>IF(H1829="OK",N1829,"")</f>
        <v/>
      </c>
      <c r="U1829">
        <f>IF(OC_Donor=0,"",IF(INDEX('OneCause_Paste'!$A$1829:$AZ$1829,1,OC_Donor)="","",INDEX('OneCause_Paste'!$A$1829:$AZ$1829,1,OC_Donor)))</f>
        <v/>
      </c>
    </row>
    <row r="1830">
      <c r="A1830" s="62">
        <f>IF(H1830="","",IF(ISNUMBER(N1830),N1830,I1830))</f>
        <v/>
      </c>
      <c r="B1830">
        <f>IF(H1830="","",U1830)</f>
        <v/>
      </c>
      <c r="C1830">
        <f>IF(H1830="","",IF(P1830="",K1830,INDEX('Students'!$A$2:$A$701,P1830)))</f>
        <v/>
      </c>
      <c r="D1830">
        <f>IF(OR(H1830="",P1830=""),"",INDEX('Students'!$B$2:$B$701,P1830))</f>
        <v/>
      </c>
      <c r="E1830">
        <f>IF(OR(H1830="",P1830=""),"",INDEX('Students'!$C$2:$C$701,P1830))</f>
        <v/>
      </c>
      <c r="F1830" s="48">
        <f>IF(H1830="","",IF(ISNUMBER(O1830),O1830,J1830))</f>
        <v/>
      </c>
      <c r="G1830">
        <f>IF(H1830="","","OneCause")</f>
        <v/>
      </c>
      <c r="H1830">
        <f>IF(AND(I1830="",J1830="",K1830=""),"",IF(NOT(ISNUMBER(O1830)),"Bad amount",IF(O1830&lt;0,"Refund (not counted)",IF(O1830=0,"Zero amount",IF(NOT(ISNUMBER(N1830)),"Bad date",IF(P1830="","NAME NOT ON ROSTER",IF(L1830="","OK",IF(MATCH(L1830,$L$2:$L$3001,0)&lt;ROW()-1,"Duplicate (ignored)","OK"))))))))</f>
        <v/>
      </c>
      <c r="I1830">
        <f>IF(OC_Date=0,"",IF(INDEX('OneCause_Paste'!$A$1830:$AZ$1830,1,OC_Date)="","",INDEX('OneCause_Paste'!$A$1830:$AZ$1830,1,OC_Date)))</f>
        <v/>
      </c>
      <c r="J1830">
        <f>IF(OC_Amt=0,"",IF(INDEX('OneCause_Paste'!$A$1830:$AZ$1830,1,OC_Amt)="","",INDEX('OneCause_Paste'!$A$1830:$AZ$1830,1,OC_Amt)))</f>
        <v/>
      </c>
      <c r="K1830">
        <f>IF(OC_Name=0,"",IF(INDEX('OneCause_Paste'!$A$1830:$AZ$1830,1,OC_Name)="","",INDEX('OneCause_Paste'!$A$1830:$AZ$1830,1,OC_Name)))</f>
        <v/>
      </c>
      <c r="L1830">
        <f>IF(OC_Txn=0,"",IF(INDEX('OneCause_Paste'!$A$1830:$AZ$1830,1,OC_Txn)="","",INDEX('OneCause_Paste'!$A$1830:$AZ$1830,1,OC_Txn)))</f>
        <v/>
      </c>
      <c r="M1830">
        <f>IF(OC_Pay=0,"",IF(INDEX('OneCause_Paste'!$A$1830:$AZ$1830,1,OC_Pay)="","",INDEX('OneCause_Paste'!$A$1830:$AZ$1830,1,OC_Pay)))</f>
        <v/>
      </c>
      <c r="N1830">
        <f>IF(I1830="","",IF(ISNUMBER(I1830),INT(I1830),IFERROR(INT(DATEVALUE(I1830)),IFERROR(INT(VALUE(I1830)),"bad"))))</f>
        <v/>
      </c>
      <c r="O1830">
        <f>IF(J1830="","",IF(ISNUMBER(J1830),ROUND(J1830,2),IFERROR(ROUND(VALUE(SUBSTITUTE(SUBSTITUTE(SUBSTITUTE(J1830,"$",""),",","")," ","")),2),"bad")))</f>
        <v/>
      </c>
      <c r="P1830">
        <f>IF(TRIM(K1830)="","",IFERROR(MATCH(LOWER(TRIM(K1830)),'Students'!$AH$2:$AH$701,0),IFERROR(MATCH(LOWER(TRIM(K1830)),'Students'!$AF$2:$AF$701,0),IFERROR(MATCH(LOWER(TRIM(K1830)),'Students'!$AG$2:$AG$701,0),""))))</f>
        <v/>
      </c>
      <c r="R1830">
        <f>IF(P1830="","",INDEX('Students'!$AD$2:$AD$701,P1830))</f>
        <v/>
      </c>
      <c r="S1830">
        <f>IF(H1830="OK",O1830,0)</f>
        <v/>
      </c>
      <c r="T1830">
        <f>IF(H1830="OK",N1830,"")</f>
        <v/>
      </c>
      <c r="U1830">
        <f>IF(OC_Donor=0,"",IF(INDEX('OneCause_Paste'!$A$1830:$AZ$1830,1,OC_Donor)="","",INDEX('OneCause_Paste'!$A$1830:$AZ$1830,1,OC_Donor)))</f>
        <v/>
      </c>
    </row>
    <row r="1831">
      <c r="A1831" s="62">
        <f>IF(H1831="","",IF(ISNUMBER(N1831),N1831,I1831))</f>
        <v/>
      </c>
      <c r="B1831">
        <f>IF(H1831="","",U1831)</f>
        <v/>
      </c>
      <c r="C1831">
        <f>IF(H1831="","",IF(P1831="",K1831,INDEX('Students'!$A$2:$A$701,P1831)))</f>
        <v/>
      </c>
      <c r="D1831">
        <f>IF(OR(H1831="",P1831=""),"",INDEX('Students'!$B$2:$B$701,P1831))</f>
        <v/>
      </c>
      <c r="E1831">
        <f>IF(OR(H1831="",P1831=""),"",INDEX('Students'!$C$2:$C$701,P1831))</f>
        <v/>
      </c>
      <c r="F1831" s="48">
        <f>IF(H1831="","",IF(ISNUMBER(O1831),O1831,J1831))</f>
        <v/>
      </c>
      <c r="G1831">
        <f>IF(H1831="","","OneCause")</f>
        <v/>
      </c>
      <c r="H1831">
        <f>IF(AND(I1831="",J1831="",K1831=""),"",IF(NOT(ISNUMBER(O1831)),"Bad amount",IF(O1831&lt;0,"Refund (not counted)",IF(O1831=0,"Zero amount",IF(NOT(ISNUMBER(N1831)),"Bad date",IF(P1831="","NAME NOT ON ROSTER",IF(L1831="","OK",IF(MATCH(L1831,$L$2:$L$3001,0)&lt;ROW()-1,"Duplicate (ignored)","OK"))))))))</f>
        <v/>
      </c>
      <c r="I1831">
        <f>IF(OC_Date=0,"",IF(INDEX('OneCause_Paste'!$A$1831:$AZ$1831,1,OC_Date)="","",INDEX('OneCause_Paste'!$A$1831:$AZ$1831,1,OC_Date)))</f>
        <v/>
      </c>
      <c r="J1831">
        <f>IF(OC_Amt=0,"",IF(INDEX('OneCause_Paste'!$A$1831:$AZ$1831,1,OC_Amt)="","",INDEX('OneCause_Paste'!$A$1831:$AZ$1831,1,OC_Amt)))</f>
        <v/>
      </c>
      <c r="K1831">
        <f>IF(OC_Name=0,"",IF(INDEX('OneCause_Paste'!$A$1831:$AZ$1831,1,OC_Name)="","",INDEX('OneCause_Paste'!$A$1831:$AZ$1831,1,OC_Name)))</f>
        <v/>
      </c>
      <c r="L1831">
        <f>IF(OC_Txn=0,"",IF(INDEX('OneCause_Paste'!$A$1831:$AZ$1831,1,OC_Txn)="","",INDEX('OneCause_Paste'!$A$1831:$AZ$1831,1,OC_Txn)))</f>
        <v/>
      </c>
      <c r="M1831">
        <f>IF(OC_Pay=0,"",IF(INDEX('OneCause_Paste'!$A$1831:$AZ$1831,1,OC_Pay)="","",INDEX('OneCause_Paste'!$A$1831:$AZ$1831,1,OC_Pay)))</f>
        <v/>
      </c>
      <c r="N1831">
        <f>IF(I1831="","",IF(ISNUMBER(I1831),INT(I1831),IFERROR(INT(DATEVALUE(I1831)),IFERROR(INT(VALUE(I1831)),"bad"))))</f>
        <v/>
      </c>
      <c r="O1831">
        <f>IF(J1831="","",IF(ISNUMBER(J1831),ROUND(J1831,2),IFERROR(ROUND(VALUE(SUBSTITUTE(SUBSTITUTE(SUBSTITUTE(J1831,"$",""),",","")," ","")),2),"bad")))</f>
        <v/>
      </c>
      <c r="P1831">
        <f>IF(TRIM(K1831)="","",IFERROR(MATCH(LOWER(TRIM(K1831)),'Students'!$AH$2:$AH$701,0),IFERROR(MATCH(LOWER(TRIM(K1831)),'Students'!$AF$2:$AF$701,0),IFERROR(MATCH(LOWER(TRIM(K1831)),'Students'!$AG$2:$AG$701,0),""))))</f>
        <v/>
      </c>
      <c r="R1831">
        <f>IF(P1831="","",INDEX('Students'!$AD$2:$AD$701,P1831))</f>
        <v/>
      </c>
      <c r="S1831">
        <f>IF(H1831="OK",O1831,0)</f>
        <v/>
      </c>
      <c r="T1831">
        <f>IF(H1831="OK",N1831,"")</f>
        <v/>
      </c>
      <c r="U1831">
        <f>IF(OC_Donor=0,"",IF(INDEX('OneCause_Paste'!$A$1831:$AZ$1831,1,OC_Donor)="","",INDEX('OneCause_Paste'!$A$1831:$AZ$1831,1,OC_Donor)))</f>
        <v/>
      </c>
    </row>
    <row r="1832">
      <c r="A1832" s="62">
        <f>IF(H1832="","",IF(ISNUMBER(N1832),N1832,I1832))</f>
        <v/>
      </c>
      <c r="B1832">
        <f>IF(H1832="","",U1832)</f>
        <v/>
      </c>
      <c r="C1832">
        <f>IF(H1832="","",IF(P1832="",K1832,INDEX('Students'!$A$2:$A$701,P1832)))</f>
        <v/>
      </c>
      <c r="D1832">
        <f>IF(OR(H1832="",P1832=""),"",INDEX('Students'!$B$2:$B$701,P1832))</f>
        <v/>
      </c>
      <c r="E1832">
        <f>IF(OR(H1832="",P1832=""),"",INDEX('Students'!$C$2:$C$701,P1832))</f>
        <v/>
      </c>
      <c r="F1832" s="48">
        <f>IF(H1832="","",IF(ISNUMBER(O1832),O1832,J1832))</f>
        <v/>
      </c>
      <c r="G1832">
        <f>IF(H1832="","","OneCause")</f>
        <v/>
      </c>
      <c r="H1832">
        <f>IF(AND(I1832="",J1832="",K1832=""),"",IF(NOT(ISNUMBER(O1832)),"Bad amount",IF(O1832&lt;0,"Refund (not counted)",IF(O1832=0,"Zero amount",IF(NOT(ISNUMBER(N1832)),"Bad date",IF(P1832="","NAME NOT ON ROSTER",IF(L1832="","OK",IF(MATCH(L1832,$L$2:$L$3001,0)&lt;ROW()-1,"Duplicate (ignored)","OK"))))))))</f>
        <v/>
      </c>
      <c r="I1832">
        <f>IF(OC_Date=0,"",IF(INDEX('OneCause_Paste'!$A$1832:$AZ$1832,1,OC_Date)="","",INDEX('OneCause_Paste'!$A$1832:$AZ$1832,1,OC_Date)))</f>
        <v/>
      </c>
      <c r="J1832">
        <f>IF(OC_Amt=0,"",IF(INDEX('OneCause_Paste'!$A$1832:$AZ$1832,1,OC_Amt)="","",INDEX('OneCause_Paste'!$A$1832:$AZ$1832,1,OC_Amt)))</f>
        <v/>
      </c>
      <c r="K1832">
        <f>IF(OC_Name=0,"",IF(INDEX('OneCause_Paste'!$A$1832:$AZ$1832,1,OC_Name)="","",INDEX('OneCause_Paste'!$A$1832:$AZ$1832,1,OC_Name)))</f>
        <v/>
      </c>
      <c r="L1832">
        <f>IF(OC_Txn=0,"",IF(INDEX('OneCause_Paste'!$A$1832:$AZ$1832,1,OC_Txn)="","",INDEX('OneCause_Paste'!$A$1832:$AZ$1832,1,OC_Txn)))</f>
        <v/>
      </c>
      <c r="M1832">
        <f>IF(OC_Pay=0,"",IF(INDEX('OneCause_Paste'!$A$1832:$AZ$1832,1,OC_Pay)="","",INDEX('OneCause_Paste'!$A$1832:$AZ$1832,1,OC_Pay)))</f>
        <v/>
      </c>
      <c r="N1832">
        <f>IF(I1832="","",IF(ISNUMBER(I1832),INT(I1832),IFERROR(INT(DATEVALUE(I1832)),IFERROR(INT(VALUE(I1832)),"bad"))))</f>
        <v/>
      </c>
      <c r="O1832">
        <f>IF(J1832="","",IF(ISNUMBER(J1832),ROUND(J1832,2),IFERROR(ROUND(VALUE(SUBSTITUTE(SUBSTITUTE(SUBSTITUTE(J1832,"$",""),",","")," ","")),2),"bad")))</f>
        <v/>
      </c>
      <c r="P1832">
        <f>IF(TRIM(K1832)="","",IFERROR(MATCH(LOWER(TRIM(K1832)),'Students'!$AH$2:$AH$701,0),IFERROR(MATCH(LOWER(TRIM(K1832)),'Students'!$AF$2:$AF$701,0),IFERROR(MATCH(LOWER(TRIM(K1832)),'Students'!$AG$2:$AG$701,0),""))))</f>
        <v/>
      </c>
      <c r="R1832">
        <f>IF(P1832="","",INDEX('Students'!$AD$2:$AD$701,P1832))</f>
        <v/>
      </c>
      <c r="S1832">
        <f>IF(H1832="OK",O1832,0)</f>
        <v/>
      </c>
      <c r="T1832">
        <f>IF(H1832="OK",N1832,"")</f>
        <v/>
      </c>
      <c r="U1832">
        <f>IF(OC_Donor=0,"",IF(INDEX('OneCause_Paste'!$A$1832:$AZ$1832,1,OC_Donor)="","",INDEX('OneCause_Paste'!$A$1832:$AZ$1832,1,OC_Donor)))</f>
        <v/>
      </c>
    </row>
    <row r="1833">
      <c r="A1833" s="62">
        <f>IF(H1833="","",IF(ISNUMBER(N1833),N1833,I1833))</f>
        <v/>
      </c>
      <c r="B1833">
        <f>IF(H1833="","",U1833)</f>
        <v/>
      </c>
      <c r="C1833">
        <f>IF(H1833="","",IF(P1833="",K1833,INDEX('Students'!$A$2:$A$701,P1833)))</f>
        <v/>
      </c>
      <c r="D1833">
        <f>IF(OR(H1833="",P1833=""),"",INDEX('Students'!$B$2:$B$701,P1833))</f>
        <v/>
      </c>
      <c r="E1833">
        <f>IF(OR(H1833="",P1833=""),"",INDEX('Students'!$C$2:$C$701,P1833))</f>
        <v/>
      </c>
      <c r="F1833" s="48">
        <f>IF(H1833="","",IF(ISNUMBER(O1833),O1833,J1833))</f>
        <v/>
      </c>
      <c r="G1833">
        <f>IF(H1833="","","OneCause")</f>
        <v/>
      </c>
      <c r="H1833">
        <f>IF(AND(I1833="",J1833="",K1833=""),"",IF(NOT(ISNUMBER(O1833)),"Bad amount",IF(O1833&lt;0,"Refund (not counted)",IF(O1833=0,"Zero amount",IF(NOT(ISNUMBER(N1833)),"Bad date",IF(P1833="","NAME NOT ON ROSTER",IF(L1833="","OK",IF(MATCH(L1833,$L$2:$L$3001,0)&lt;ROW()-1,"Duplicate (ignored)","OK"))))))))</f>
        <v/>
      </c>
      <c r="I1833">
        <f>IF(OC_Date=0,"",IF(INDEX('OneCause_Paste'!$A$1833:$AZ$1833,1,OC_Date)="","",INDEX('OneCause_Paste'!$A$1833:$AZ$1833,1,OC_Date)))</f>
        <v/>
      </c>
      <c r="J1833">
        <f>IF(OC_Amt=0,"",IF(INDEX('OneCause_Paste'!$A$1833:$AZ$1833,1,OC_Amt)="","",INDEX('OneCause_Paste'!$A$1833:$AZ$1833,1,OC_Amt)))</f>
        <v/>
      </c>
      <c r="K1833">
        <f>IF(OC_Name=0,"",IF(INDEX('OneCause_Paste'!$A$1833:$AZ$1833,1,OC_Name)="","",INDEX('OneCause_Paste'!$A$1833:$AZ$1833,1,OC_Name)))</f>
        <v/>
      </c>
      <c r="L1833">
        <f>IF(OC_Txn=0,"",IF(INDEX('OneCause_Paste'!$A$1833:$AZ$1833,1,OC_Txn)="","",INDEX('OneCause_Paste'!$A$1833:$AZ$1833,1,OC_Txn)))</f>
        <v/>
      </c>
      <c r="M1833">
        <f>IF(OC_Pay=0,"",IF(INDEX('OneCause_Paste'!$A$1833:$AZ$1833,1,OC_Pay)="","",INDEX('OneCause_Paste'!$A$1833:$AZ$1833,1,OC_Pay)))</f>
        <v/>
      </c>
      <c r="N1833">
        <f>IF(I1833="","",IF(ISNUMBER(I1833),INT(I1833),IFERROR(INT(DATEVALUE(I1833)),IFERROR(INT(VALUE(I1833)),"bad"))))</f>
        <v/>
      </c>
      <c r="O1833">
        <f>IF(J1833="","",IF(ISNUMBER(J1833),ROUND(J1833,2),IFERROR(ROUND(VALUE(SUBSTITUTE(SUBSTITUTE(SUBSTITUTE(J1833,"$",""),",","")," ","")),2),"bad")))</f>
        <v/>
      </c>
      <c r="P1833">
        <f>IF(TRIM(K1833)="","",IFERROR(MATCH(LOWER(TRIM(K1833)),'Students'!$AH$2:$AH$701,0),IFERROR(MATCH(LOWER(TRIM(K1833)),'Students'!$AF$2:$AF$701,0),IFERROR(MATCH(LOWER(TRIM(K1833)),'Students'!$AG$2:$AG$701,0),""))))</f>
        <v/>
      </c>
      <c r="R1833">
        <f>IF(P1833="","",INDEX('Students'!$AD$2:$AD$701,P1833))</f>
        <v/>
      </c>
      <c r="S1833">
        <f>IF(H1833="OK",O1833,0)</f>
        <v/>
      </c>
      <c r="T1833">
        <f>IF(H1833="OK",N1833,"")</f>
        <v/>
      </c>
      <c r="U1833">
        <f>IF(OC_Donor=0,"",IF(INDEX('OneCause_Paste'!$A$1833:$AZ$1833,1,OC_Donor)="","",INDEX('OneCause_Paste'!$A$1833:$AZ$1833,1,OC_Donor)))</f>
        <v/>
      </c>
    </row>
    <row r="1834">
      <c r="A1834" s="62">
        <f>IF(H1834="","",IF(ISNUMBER(N1834),N1834,I1834))</f>
        <v/>
      </c>
      <c r="B1834">
        <f>IF(H1834="","",U1834)</f>
        <v/>
      </c>
      <c r="C1834">
        <f>IF(H1834="","",IF(P1834="",K1834,INDEX('Students'!$A$2:$A$701,P1834)))</f>
        <v/>
      </c>
      <c r="D1834">
        <f>IF(OR(H1834="",P1834=""),"",INDEX('Students'!$B$2:$B$701,P1834))</f>
        <v/>
      </c>
      <c r="E1834">
        <f>IF(OR(H1834="",P1834=""),"",INDEX('Students'!$C$2:$C$701,P1834))</f>
        <v/>
      </c>
      <c r="F1834" s="48">
        <f>IF(H1834="","",IF(ISNUMBER(O1834),O1834,J1834))</f>
        <v/>
      </c>
      <c r="G1834">
        <f>IF(H1834="","","OneCause")</f>
        <v/>
      </c>
      <c r="H1834">
        <f>IF(AND(I1834="",J1834="",K1834=""),"",IF(NOT(ISNUMBER(O1834)),"Bad amount",IF(O1834&lt;0,"Refund (not counted)",IF(O1834=0,"Zero amount",IF(NOT(ISNUMBER(N1834)),"Bad date",IF(P1834="","NAME NOT ON ROSTER",IF(L1834="","OK",IF(MATCH(L1834,$L$2:$L$3001,0)&lt;ROW()-1,"Duplicate (ignored)","OK"))))))))</f>
        <v/>
      </c>
      <c r="I1834">
        <f>IF(OC_Date=0,"",IF(INDEX('OneCause_Paste'!$A$1834:$AZ$1834,1,OC_Date)="","",INDEX('OneCause_Paste'!$A$1834:$AZ$1834,1,OC_Date)))</f>
        <v/>
      </c>
      <c r="J1834">
        <f>IF(OC_Amt=0,"",IF(INDEX('OneCause_Paste'!$A$1834:$AZ$1834,1,OC_Amt)="","",INDEX('OneCause_Paste'!$A$1834:$AZ$1834,1,OC_Amt)))</f>
        <v/>
      </c>
      <c r="K1834">
        <f>IF(OC_Name=0,"",IF(INDEX('OneCause_Paste'!$A$1834:$AZ$1834,1,OC_Name)="","",INDEX('OneCause_Paste'!$A$1834:$AZ$1834,1,OC_Name)))</f>
        <v/>
      </c>
      <c r="L1834">
        <f>IF(OC_Txn=0,"",IF(INDEX('OneCause_Paste'!$A$1834:$AZ$1834,1,OC_Txn)="","",INDEX('OneCause_Paste'!$A$1834:$AZ$1834,1,OC_Txn)))</f>
        <v/>
      </c>
      <c r="M1834">
        <f>IF(OC_Pay=0,"",IF(INDEX('OneCause_Paste'!$A$1834:$AZ$1834,1,OC_Pay)="","",INDEX('OneCause_Paste'!$A$1834:$AZ$1834,1,OC_Pay)))</f>
        <v/>
      </c>
      <c r="N1834">
        <f>IF(I1834="","",IF(ISNUMBER(I1834),INT(I1834),IFERROR(INT(DATEVALUE(I1834)),IFERROR(INT(VALUE(I1834)),"bad"))))</f>
        <v/>
      </c>
      <c r="O1834">
        <f>IF(J1834="","",IF(ISNUMBER(J1834),ROUND(J1834,2),IFERROR(ROUND(VALUE(SUBSTITUTE(SUBSTITUTE(SUBSTITUTE(J1834,"$",""),",","")," ","")),2),"bad")))</f>
        <v/>
      </c>
      <c r="P1834">
        <f>IF(TRIM(K1834)="","",IFERROR(MATCH(LOWER(TRIM(K1834)),'Students'!$AH$2:$AH$701,0),IFERROR(MATCH(LOWER(TRIM(K1834)),'Students'!$AF$2:$AF$701,0),IFERROR(MATCH(LOWER(TRIM(K1834)),'Students'!$AG$2:$AG$701,0),""))))</f>
        <v/>
      </c>
      <c r="R1834">
        <f>IF(P1834="","",INDEX('Students'!$AD$2:$AD$701,P1834))</f>
        <v/>
      </c>
      <c r="S1834">
        <f>IF(H1834="OK",O1834,0)</f>
        <v/>
      </c>
      <c r="T1834">
        <f>IF(H1834="OK",N1834,"")</f>
        <v/>
      </c>
      <c r="U1834">
        <f>IF(OC_Donor=0,"",IF(INDEX('OneCause_Paste'!$A$1834:$AZ$1834,1,OC_Donor)="","",INDEX('OneCause_Paste'!$A$1834:$AZ$1834,1,OC_Donor)))</f>
        <v/>
      </c>
    </row>
    <row r="1835">
      <c r="A1835" s="62">
        <f>IF(H1835="","",IF(ISNUMBER(N1835),N1835,I1835))</f>
        <v/>
      </c>
      <c r="B1835">
        <f>IF(H1835="","",U1835)</f>
        <v/>
      </c>
      <c r="C1835">
        <f>IF(H1835="","",IF(P1835="",K1835,INDEX('Students'!$A$2:$A$701,P1835)))</f>
        <v/>
      </c>
      <c r="D1835">
        <f>IF(OR(H1835="",P1835=""),"",INDEX('Students'!$B$2:$B$701,P1835))</f>
        <v/>
      </c>
      <c r="E1835">
        <f>IF(OR(H1835="",P1835=""),"",INDEX('Students'!$C$2:$C$701,P1835))</f>
        <v/>
      </c>
      <c r="F1835" s="48">
        <f>IF(H1835="","",IF(ISNUMBER(O1835),O1835,J1835))</f>
        <v/>
      </c>
      <c r="G1835">
        <f>IF(H1835="","","OneCause")</f>
        <v/>
      </c>
      <c r="H1835">
        <f>IF(AND(I1835="",J1835="",K1835=""),"",IF(NOT(ISNUMBER(O1835)),"Bad amount",IF(O1835&lt;0,"Refund (not counted)",IF(O1835=0,"Zero amount",IF(NOT(ISNUMBER(N1835)),"Bad date",IF(P1835="","NAME NOT ON ROSTER",IF(L1835="","OK",IF(MATCH(L1835,$L$2:$L$3001,0)&lt;ROW()-1,"Duplicate (ignored)","OK"))))))))</f>
        <v/>
      </c>
      <c r="I1835">
        <f>IF(OC_Date=0,"",IF(INDEX('OneCause_Paste'!$A$1835:$AZ$1835,1,OC_Date)="","",INDEX('OneCause_Paste'!$A$1835:$AZ$1835,1,OC_Date)))</f>
        <v/>
      </c>
      <c r="J1835">
        <f>IF(OC_Amt=0,"",IF(INDEX('OneCause_Paste'!$A$1835:$AZ$1835,1,OC_Amt)="","",INDEX('OneCause_Paste'!$A$1835:$AZ$1835,1,OC_Amt)))</f>
        <v/>
      </c>
      <c r="K1835">
        <f>IF(OC_Name=0,"",IF(INDEX('OneCause_Paste'!$A$1835:$AZ$1835,1,OC_Name)="","",INDEX('OneCause_Paste'!$A$1835:$AZ$1835,1,OC_Name)))</f>
        <v/>
      </c>
      <c r="L1835">
        <f>IF(OC_Txn=0,"",IF(INDEX('OneCause_Paste'!$A$1835:$AZ$1835,1,OC_Txn)="","",INDEX('OneCause_Paste'!$A$1835:$AZ$1835,1,OC_Txn)))</f>
        <v/>
      </c>
      <c r="M1835">
        <f>IF(OC_Pay=0,"",IF(INDEX('OneCause_Paste'!$A$1835:$AZ$1835,1,OC_Pay)="","",INDEX('OneCause_Paste'!$A$1835:$AZ$1835,1,OC_Pay)))</f>
        <v/>
      </c>
      <c r="N1835">
        <f>IF(I1835="","",IF(ISNUMBER(I1835),INT(I1835),IFERROR(INT(DATEVALUE(I1835)),IFERROR(INT(VALUE(I1835)),"bad"))))</f>
        <v/>
      </c>
      <c r="O1835">
        <f>IF(J1835="","",IF(ISNUMBER(J1835),ROUND(J1835,2),IFERROR(ROUND(VALUE(SUBSTITUTE(SUBSTITUTE(SUBSTITUTE(J1835,"$",""),",","")," ","")),2),"bad")))</f>
        <v/>
      </c>
      <c r="P1835">
        <f>IF(TRIM(K1835)="","",IFERROR(MATCH(LOWER(TRIM(K1835)),'Students'!$AH$2:$AH$701,0),IFERROR(MATCH(LOWER(TRIM(K1835)),'Students'!$AF$2:$AF$701,0),IFERROR(MATCH(LOWER(TRIM(K1835)),'Students'!$AG$2:$AG$701,0),""))))</f>
        <v/>
      </c>
      <c r="R1835">
        <f>IF(P1835="","",INDEX('Students'!$AD$2:$AD$701,P1835))</f>
        <v/>
      </c>
      <c r="S1835">
        <f>IF(H1835="OK",O1835,0)</f>
        <v/>
      </c>
      <c r="T1835">
        <f>IF(H1835="OK",N1835,"")</f>
        <v/>
      </c>
      <c r="U1835">
        <f>IF(OC_Donor=0,"",IF(INDEX('OneCause_Paste'!$A$1835:$AZ$1835,1,OC_Donor)="","",INDEX('OneCause_Paste'!$A$1835:$AZ$1835,1,OC_Donor)))</f>
        <v/>
      </c>
    </row>
    <row r="1836">
      <c r="A1836" s="62">
        <f>IF(H1836="","",IF(ISNUMBER(N1836),N1836,I1836))</f>
        <v/>
      </c>
      <c r="B1836">
        <f>IF(H1836="","",U1836)</f>
        <v/>
      </c>
      <c r="C1836">
        <f>IF(H1836="","",IF(P1836="",K1836,INDEX('Students'!$A$2:$A$701,P1836)))</f>
        <v/>
      </c>
      <c r="D1836">
        <f>IF(OR(H1836="",P1836=""),"",INDEX('Students'!$B$2:$B$701,P1836))</f>
        <v/>
      </c>
      <c r="E1836">
        <f>IF(OR(H1836="",P1836=""),"",INDEX('Students'!$C$2:$C$701,P1836))</f>
        <v/>
      </c>
      <c r="F1836" s="48">
        <f>IF(H1836="","",IF(ISNUMBER(O1836),O1836,J1836))</f>
        <v/>
      </c>
      <c r="G1836">
        <f>IF(H1836="","","OneCause")</f>
        <v/>
      </c>
      <c r="H1836">
        <f>IF(AND(I1836="",J1836="",K1836=""),"",IF(NOT(ISNUMBER(O1836)),"Bad amount",IF(O1836&lt;0,"Refund (not counted)",IF(O1836=0,"Zero amount",IF(NOT(ISNUMBER(N1836)),"Bad date",IF(P1836="","NAME NOT ON ROSTER",IF(L1836="","OK",IF(MATCH(L1836,$L$2:$L$3001,0)&lt;ROW()-1,"Duplicate (ignored)","OK"))))))))</f>
        <v/>
      </c>
      <c r="I1836">
        <f>IF(OC_Date=0,"",IF(INDEX('OneCause_Paste'!$A$1836:$AZ$1836,1,OC_Date)="","",INDEX('OneCause_Paste'!$A$1836:$AZ$1836,1,OC_Date)))</f>
        <v/>
      </c>
      <c r="J1836">
        <f>IF(OC_Amt=0,"",IF(INDEX('OneCause_Paste'!$A$1836:$AZ$1836,1,OC_Amt)="","",INDEX('OneCause_Paste'!$A$1836:$AZ$1836,1,OC_Amt)))</f>
        <v/>
      </c>
      <c r="K1836">
        <f>IF(OC_Name=0,"",IF(INDEX('OneCause_Paste'!$A$1836:$AZ$1836,1,OC_Name)="","",INDEX('OneCause_Paste'!$A$1836:$AZ$1836,1,OC_Name)))</f>
        <v/>
      </c>
      <c r="L1836">
        <f>IF(OC_Txn=0,"",IF(INDEX('OneCause_Paste'!$A$1836:$AZ$1836,1,OC_Txn)="","",INDEX('OneCause_Paste'!$A$1836:$AZ$1836,1,OC_Txn)))</f>
        <v/>
      </c>
      <c r="M1836">
        <f>IF(OC_Pay=0,"",IF(INDEX('OneCause_Paste'!$A$1836:$AZ$1836,1,OC_Pay)="","",INDEX('OneCause_Paste'!$A$1836:$AZ$1836,1,OC_Pay)))</f>
        <v/>
      </c>
      <c r="N1836">
        <f>IF(I1836="","",IF(ISNUMBER(I1836),INT(I1836),IFERROR(INT(DATEVALUE(I1836)),IFERROR(INT(VALUE(I1836)),"bad"))))</f>
        <v/>
      </c>
      <c r="O1836">
        <f>IF(J1836="","",IF(ISNUMBER(J1836),ROUND(J1836,2),IFERROR(ROUND(VALUE(SUBSTITUTE(SUBSTITUTE(SUBSTITUTE(J1836,"$",""),",","")," ","")),2),"bad")))</f>
        <v/>
      </c>
      <c r="P1836">
        <f>IF(TRIM(K1836)="","",IFERROR(MATCH(LOWER(TRIM(K1836)),'Students'!$AH$2:$AH$701,0),IFERROR(MATCH(LOWER(TRIM(K1836)),'Students'!$AF$2:$AF$701,0),IFERROR(MATCH(LOWER(TRIM(K1836)),'Students'!$AG$2:$AG$701,0),""))))</f>
        <v/>
      </c>
      <c r="R1836">
        <f>IF(P1836="","",INDEX('Students'!$AD$2:$AD$701,P1836))</f>
        <v/>
      </c>
      <c r="S1836">
        <f>IF(H1836="OK",O1836,0)</f>
        <v/>
      </c>
      <c r="T1836">
        <f>IF(H1836="OK",N1836,"")</f>
        <v/>
      </c>
      <c r="U1836">
        <f>IF(OC_Donor=0,"",IF(INDEX('OneCause_Paste'!$A$1836:$AZ$1836,1,OC_Donor)="","",INDEX('OneCause_Paste'!$A$1836:$AZ$1836,1,OC_Donor)))</f>
        <v/>
      </c>
    </row>
    <row r="1837">
      <c r="A1837" s="62">
        <f>IF(H1837="","",IF(ISNUMBER(N1837),N1837,I1837))</f>
        <v/>
      </c>
      <c r="B1837">
        <f>IF(H1837="","",U1837)</f>
        <v/>
      </c>
      <c r="C1837">
        <f>IF(H1837="","",IF(P1837="",K1837,INDEX('Students'!$A$2:$A$701,P1837)))</f>
        <v/>
      </c>
      <c r="D1837">
        <f>IF(OR(H1837="",P1837=""),"",INDEX('Students'!$B$2:$B$701,P1837))</f>
        <v/>
      </c>
      <c r="E1837">
        <f>IF(OR(H1837="",P1837=""),"",INDEX('Students'!$C$2:$C$701,P1837))</f>
        <v/>
      </c>
      <c r="F1837" s="48">
        <f>IF(H1837="","",IF(ISNUMBER(O1837),O1837,J1837))</f>
        <v/>
      </c>
      <c r="G1837">
        <f>IF(H1837="","","OneCause")</f>
        <v/>
      </c>
      <c r="H1837">
        <f>IF(AND(I1837="",J1837="",K1837=""),"",IF(NOT(ISNUMBER(O1837)),"Bad amount",IF(O1837&lt;0,"Refund (not counted)",IF(O1837=0,"Zero amount",IF(NOT(ISNUMBER(N1837)),"Bad date",IF(P1837="","NAME NOT ON ROSTER",IF(L1837="","OK",IF(MATCH(L1837,$L$2:$L$3001,0)&lt;ROW()-1,"Duplicate (ignored)","OK"))))))))</f>
        <v/>
      </c>
      <c r="I1837">
        <f>IF(OC_Date=0,"",IF(INDEX('OneCause_Paste'!$A$1837:$AZ$1837,1,OC_Date)="","",INDEX('OneCause_Paste'!$A$1837:$AZ$1837,1,OC_Date)))</f>
        <v/>
      </c>
      <c r="J1837">
        <f>IF(OC_Amt=0,"",IF(INDEX('OneCause_Paste'!$A$1837:$AZ$1837,1,OC_Amt)="","",INDEX('OneCause_Paste'!$A$1837:$AZ$1837,1,OC_Amt)))</f>
        <v/>
      </c>
      <c r="K1837">
        <f>IF(OC_Name=0,"",IF(INDEX('OneCause_Paste'!$A$1837:$AZ$1837,1,OC_Name)="","",INDEX('OneCause_Paste'!$A$1837:$AZ$1837,1,OC_Name)))</f>
        <v/>
      </c>
      <c r="L1837">
        <f>IF(OC_Txn=0,"",IF(INDEX('OneCause_Paste'!$A$1837:$AZ$1837,1,OC_Txn)="","",INDEX('OneCause_Paste'!$A$1837:$AZ$1837,1,OC_Txn)))</f>
        <v/>
      </c>
      <c r="M1837">
        <f>IF(OC_Pay=0,"",IF(INDEX('OneCause_Paste'!$A$1837:$AZ$1837,1,OC_Pay)="","",INDEX('OneCause_Paste'!$A$1837:$AZ$1837,1,OC_Pay)))</f>
        <v/>
      </c>
      <c r="N1837">
        <f>IF(I1837="","",IF(ISNUMBER(I1837),INT(I1837),IFERROR(INT(DATEVALUE(I1837)),IFERROR(INT(VALUE(I1837)),"bad"))))</f>
        <v/>
      </c>
      <c r="O1837">
        <f>IF(J1837="","",IF(ISNUMBER(J1837),ROUND(J1837,2),IFERROR(ROUND(VALUE(SUBSTITUTE(SUBSTITUTE(SUBSTITUTE(J1837,"$",""),",","")," ","")),2),"bad")))</f>
        <v/>
      </c>
      <c r="P1837">
        <f>IF(TRIM(K1837)="","",IFERROR(MATCH(LOWER(TRIM(K1837)),'Students'!$AH$2:$AH$701,0),IFERROR(MATCH(LOWER(TRIM(K1837)),'Students'!$AF$2:$AF$701,0),IFERROR(MATCH(LOWER(TRIM(K1837)),'Students'!$AG$2:$AG$701,0),""))))</f>
        <v/>
      </c>
      <c r="R1837">
        <f>IF(P1837="","",INDEX('Students'!$AD$2:$AD$701,P1837))</f>
        <v/>
      </c>
      <c r="S1837">
        <f>IF(H1837="OK",O1837,0)</f>
        <v/>
      </c>
      <c r="T1837">
        <f>IF(H1837="OK",N1837,"")</f>
        <v/>
      </c>
      <c r="U1837">
        <f>IF(OC_Donor=0,"",IF(INDEX('OneCause_Paste'!$A$1837:$AZ$1837,1,OC_Donor)="","",INDEX('OneCause_Paste'!$A$1837:$AZ$1837,1,OC_Donor)))</f>
        <v/>
      </c>
    </row>
    <row r="1838">
      <c r="A1838" s="62">
        <f>IF(H1838="","",IF(ISNUMBER(N1838),N1838,I1838))</f>
        <v/>
      </c>
      <c r="B1838">
        <f>IF(H1838="","",U1838)</f>
        <v/>
      </c>
      <c r="C1838">
        <f>IF(H1838="","",IF(P1838="",K1838,INDEX('Students'!$A$2:$A$701,P1838)))</f>
        <v/>
      </c>
      <c r="D1838">
        <f>IF(OR(H1838="",P1838=""),"",INDEX('Students'!$B$2:$B$701,P1838))</f>
        <v/>
      </c>
      <c r="E1838">
        <f>IF(OR(H1838="",P1838=""),"",INDEX('Students'!$C$2:$C$701,P1838))</f>
        <v/>
      </c>
      <c r="F1838" s="48">
        <f>IF(H1838="","",IF(ISNUMBER(O1838),O1838,J1838))</f>
        <v/>
      </c>
      <c r="G1838">
        <f>IF(H1838="","","OneCause")</f>
        <v/>
      </c>
      <c r="H1838">
        <f>IF(AND(I1838="",J1838="",K1838=""),"",IF(NOT(ISNUMBER(O1838)),"Bad amount",IF(O1838&lt;0,"Refund (not counted)",IF(O1838=0,"Zero amount",IF(NOT(ISNUMBER(N1838)),"Bad date",IF(P1838="","NAME NOT ON ROSTER",IF(L1838="","OK",IF(MATCH(L1838,$L$2:$L$3001,0)&lt;ROW()-1,"Duplicate (ignored)","OK"))))))))</f>
        <v/>
      </c>
      <c r="I1838">
        <f>IF(OC_Date=0,"",IF(INDEX('OneCause_Paste'!$A$1838:$AZ$1838,1,OC_Date)="","",INDEX('OneCause_Paste'!$A$1838:$AZ$1838,1,OC_Date)))</f>
        <v/>
      </c>
      <c r="J1838">
        <f>IF(OC_Amt=0,"",IF(INDEX('OneCause_Paste'!$A$1838:$AZ$1838,1,OC_Amt)="","",INDEX('OneCause_Paste'!$A$1838:$AZ$1838,1,OC_Amt)))</f>
        <v/>
      </c>
      <c r="K1838">
        <f>IF(OC_Name=0,"",IF(INDEX('OneCause_Paste'!$A$1838:$AZ$1838,1,OC_Name)="","",INDEX('OneCause_Paste'!$A$1838:$AZ$1838,1,OC_Name)))</f>
        <v/>
      </c>
      <c r="L1838">
        <f>IF(OC_Txn=0,"",IF(INDEX('OneCause_Paste'!$A$1838:$AZ$1838,1,OC_Txn)="","",INDEX('OneCause_Paste'!$A$1838:$AZ$1838,1,OC_Txn)))</f>
        <v/>
      </c>
      <c r="M1838">
        <f>IF(OC_Pay=0,"",IF(INDEX('OneCause_Paste'!$A$1838:$AZ$1838,1,OC_Pay)="","",INDEX('OneCause_Paste'!$A$1838:$AZ$1838,1,OC_Pay)))</f>
        <v/>
      </c>
      <c r="N1838">
        <f>IF(I1838="","",IF(ISNUMBER(I1838),INT(I1838),IFERROR(INT(DATEVALUE(I1838)),IFERROR(INT(VALUE(I1838)),"bad"))))</f>
        <v/>
      </c>
      <c r="O1838">
        <f>IF(J1838="","",IF(ISNUMBER(J1838),ROUND(J1838,2),IFERROR(ROUND(VALUE(SUBSTITUTE(SUBSTITUTE(SUBSTITUTE(J1838,"$",""),",","")," ","")),2),"bad")))</f>
        <v/>
      </c>
      <c r="P1838">
        <f>IF(TRIM(K1838)="","",IFERROR(MATCH(LOWER(TRIM(K1838)),'Students'!$AH$2:$AH$701,0),IFERROR(MATCH(LOWER(TRIM(K1838)),'Students'!$AF$2:$AF$701,0),IFERROR(MATCH(LOWER(TRIM(K1838)),'Students'!$AG$2:$AG$701,0),""))))</f>
        <v/>
      </c>
      <c r="R1838">
        <f>IF(P1838="","",INDEX('Students'!$AD$2:$AD$701,P1838))</f>
        <v/>
      </c>
      <c r="S1838">
        <f>IF(H1838="OK",O1838,0)</f>
        <v/>
      </c>
      <c r="T1838">
        <f>IF(H1838="OK",N1838,"")</f>
        <v/>
      </c>
      <c r="U1838">
        <f>IF(OC_Donor=0,"",IF(INDEX('OneCause_Paste'!$A$1838:$AZ$1838,1,OC_Donor)="","",INDEX('OneCause_Paste'!$A$1838:$AZ$1838,1,OC_Donor)))</f>
        <v/>
      </c>
    </row>
    <row r="1839">
      <c r="A1839" s="62">
        <f>IF(H1839="","",IF(ISNUMBER(N1839),N1839,I1839))</f>
        <v/>
      </c>
      <c r="B1839">
        <f>IF(H1839="","",U1839)</f>
        <v/>
      </c>
      <c r="C1839">
        <f>IF(H1839="","",IF(P1839="",K1839,INDEX('Students'!$A$2:$A$701,P1839)))</f>
        <v/>
      </c>
      <c r="D1839">
        <f>IF(OR(H1839="",P1839=""),"",INDEX('Students'!$B$2:$B$701,P1839))</f>
        <v/>
      </c>
      <c r="E1839">
        <f>IF(OR(H1839="",P1839=""),"",INDEX('Students'!$C$2:$C$701,P1839))</f>
        <v/>
      </c>
      <c r="F1839" s="48">
        <f>IF(H1839="","",IF(ISNUMBER(O1839),O1839,J1839))</f>
        <v/>
      </c>
      <c r="G1839">
        <f>IF(H1839="","","OneCause")</f>
        <v/>
      </c>
      <c r="H1839">
        <f>IF(AND(I1839="",J1839="",K1839=""),"",IF(NOT(ISNUMBER(O1839)),"Bad amount",IF(O1839&lt;0,"Refund (not counted)",IF(O1839=0,"Zero amount",IF(NOT(ISNUMBER(N1839)),"Bad date",IF(P1839="","NAME NOT ON ROSTER",IF(L1839="","OK",IF(MATCH(L1839,$L$2:$L$3001,0)&lt;ROW()-1,"Duplicate (ignored)","OK"))))))))</f>
        <v/>
      </c>
      <c r="I1839">
        <f>IF(OC_Date=0,"",IF(INDEX('OneCause_Paste'!$A$1839:$AZ$1839,1,OC_Date)="","",INDEX('OneCause_Paste'!$A$1839:$AZ$1839,1,OC_Date)))</f>
        <v/>
      </c>
      <c r="J1839">
        <f>IF(OC_Amt=0,"",IF(INDEX('OneCause_Paste'!$A$1839:$AZ$1839,1,OC_Amt)="","",INDEX('OneCause_Paste'!$A$1839:$AZ$1839,1,OC_Amt)))</f>
        <v/>
      </c>
      <c r="K1839">
        <f>IF(OC_Name=0,"",IF(INDEX('OneCause_Paste'!$A$1839:$AZ$1839,1,OC_Name)="","",INDEX('OneCause_Paste'!$A$1839:$AZ$1839,1,OC_Name)))</f>
        <v/>
      </c>
      <c r="L1839">
        <f>IF(OC_Txn=0,"",IF(INDEX('OneCause_Paste'!$A$1839:$AZ$1839,1,OC_Txn)="","",INDEX('OneCause_Paste'!$A$1839:$AZ$1839,1,OC_Txn)))</f>
        <v/>
      </c>
      <c r="M1839">
        <f>IF(OC_Pay=0,"",IF(INDEX('OneCause_Paste'!$A$1839:$AZ$1839,1,OC_Pay)="","",INDEX('OneCause_Paste'!$A$1839:$AZ$1839,1,OC_Pay)))</f>
        <v/>
      </c>
      <c r="N1839">
        <f>IF(I1839="","",IF(ISNUMBER(I1839),INT(I1839),IFERROR(INT(DATEVALUE(I1839)),IFERROR(INT(VALUE(I1839)),"bad"))))</f>
        <v/>
      </c>
      <c r="O1839">
        <f>IF(J1839="","",IF(ISNUMBER(J1839),ROUND(J1839,2),IFERROR(ROUND(VALUE(SUBSTITUTE(SUBSTITUTE(SUBSTITUTE(J1839,"$",""),",","")," ","")),2),"bad")))</f>
        <v/>
      </c>
      <c r="P1839">
        <f>IF(TRIM(K1839)="","",IFERROR(MATCH(LOWER(TRIM(K1839)),'Students'!$AH$2:$AH$701,0),IFERROR(MATCH(LOWER(TRIM(K1839)),'Students'!$AF$2:$AF$701,0),IFERROR(MATCH(LOWER(TRIM(K1839)),'Students'!$AG$2:$AG$701,0),""))))</f>
        <v/>
      </c>
      <c r="R1839">
        <f>IF(P1839="","",INDEX('Students'!$AD$2:$AD$701,P1839))</f>
        <v/>
      </c>
      <c r="S1839">
        <f>IF(H1839="OK",O1839,0)</f>
        <v/>
      </c>
      <c r="T1839">
        <f>IF(H1839="OK",N1839,"")</f>
        <v/>
      </c>
      <c r="U1839">
        <f>IF(OC_Donor=0,"",IF(INDEX('OneCause_Paste'!$A$1839:$AZ$1839,1,OC_Donor)="","",INDEX('OneCause_Paste'!$A$1839:$AZ$1839,1,OC_Donor)))</f>
        <v/>
      </c>
    </row>
    <row r="1840">
      <c r="A1840" s="62">
        <f>IF(H1840="","",IF(ISNUMBER(N1840),N1840,I1840))</f>
        <v/>
      </c>
      <c r="B1840">
        <f>IF(H1840="","",U1840)</f>
        <v/>
      </c>
      <c r="C1840">
        <f>IF(H1840="","",IF(P1840="",K1840,INDEX('Students'!$A$2:$A$701,P1840)))</f>
        <v/>
      </c>
      <c r="D1840">
        <f>IF(OR(H1840="",P1840=""),"",INDEX('Students'!$B$2:$B$701,P1840))</f>
        <v/>
      </c>
      <c r="E1840">
        <f>IF(OR(H1840="",P1840=""),"",INDEX('Students'!$C$2:$C$701,P1840))</f>
        <v/>
      </c>
      <c r="F1840" s="48">
        <f>IF(H1840="","",IF(ISNUMBER(O1840),O1840,J1840))</f>
        <v/>
      </c>
      <c r="G1840">
        <f>IF(H1840="","","OneCause")</f>
        <v/>
      </c>
      <c r="H1840">
        <f>IF(AND(I1840="",J1840="",K1840=""),"",IF(NOT(ISNUMBER(O1840)),"Bad amount",IF(O1840&lt;0,"Refund (not counted)",IF(O1840=0,"Zero amount",IF(NOT(ISNUMBER(N1840)),"Bad date",IF(P1840="","NAME NOT ON ROSTER",IF(L1840="","OK",IF(MATCH(L1840,$L$2:$L$3001,0)&lt;ROW()-1,"Duplicate (ignored)","OK"))))))))</f>
        <v/>
      </c>
      <c r="I1840">
        <f>IF(OC_Date=0,"",IF(INDEX('OneCause_Paste'!$A$1840:$AZ$1840,1,OC_Date)="","",INDEX('OneCause_Paste'!$A$1840:$AZ$1840,1,OC_Date)))</f>
        <v/>
      </c>
      <c r="J1840">
        <f>IF(OC_Amt=0,"",IF(INDEX('OneCause_Paste'!$A$1840:$AZ$1840,1,OC_Amt)="","",INDEX('OneCause_Paste'!$A$1840:$AZ$1840,1,OC_Amt)))</f>
        <v/>
      </c>
      <c r="K1840">
        <f>IF(OC_Name=0,"",IF(INDEX('OneCause_Paste'!$A$1840:$AZ$1840,1,OC_Name)="","",INDEX('OneCause_Paste'!$A$1840:$AZ$1840,1,OC_Name)))</f>
        <v/>
      </c>
      <c r="L1840">
        <f>IF(OC_Txn=0,"",IF(INDEX('OneCause_Paste'!$A$1840:$AZ$1840,1,OC_Txn)="","",INDEX('OneCause_Paste'!$A$1840:$AZ$1840,1,OC_Txn)))</f>
        <v/>
      </c>
      <c r="M1840">
        <f>IF(OC_Pay=0,"",IF(INDEX('OneCause_Paste'!$A$1840:$AZ$1840,1,OC_Pay)="","",INDEX('OneCause_Paste'!$A$1840:$AZ$1840,1,OC_Pay)))</f>
        <v/>
      </c>
      <c r="N1840">
        <f>IF(I1840="","",IF(ISNUMBER(I1840),INT(I1840),IFERROR(INT(DATEVALUE(I1840)),IFERROR(INT(VALUE(I1840)),"bad"))))</f>
        <v/>
      </c>
      <c r="O1840">
        <f>IF(J1840="","",IF(ISNUMBER(J1840),ROUND(J1840,2),IFERROR(ROUND(VALUE(SUBSTITUTE(SUBSTITUTE(SUBSTITUTE(J1840,"$",""),",","")," ","")),2),"bad")))</f>
        <v/>
      </c>
      <c r="P1840">
        <f>IF(TRIM(K1840)="","",IFERROR(MATCH(LOWER(TRIM(K1840)),'Students'!$AH$2:$AH$701,0),IFERROR(MATCH(LOWER(TRIM(K1840)),'Students'!$AF$2:$AF$701,0),IFERROR(MATCH(LOWER(TRIM(K1840)),'Students'!$AG$2:$AG$701,0),""))))</f>
        <v/>
      </c>
      <c r="R1840">
        <f>IF(P1840="","",INDEX('Students'!$AD$2:$AD$701,P1840))</f>
        <v/>
      </c>
      <c r="S1840">
        <f>IF(H1840="OK",O1840,0)</f>
        <v/>
      </c>
      <c r="T1840">
        <f>IF(H1840="OK",N1840,"")</f>
        <v/>
      </c>
      <c r="U1840">
        <f>IF(OC_Donor=0,"",IF(INDEX('OneCause_Paste'!$A$1840:$AZ$1840,1,OC_Donor)="","",INDEX('OneCause_Paste'!$A$1840:$AZ$1840,1,OC_Donor)))</f>
        <v/>
      </c>
    </row>
    <row r="1841">
      <c r="A1841" s="62">
        <f>IF(H1841="","",IF(ISNUMBER(N1841),N1841,I1841))</f>
        <v/>
      </c>
      <c r="B1841">
        <f>IF(H1841="","",U1841)</f>
        <v/>
      </c>
      <c r="C1841">
        <f>IF(H1841="","",IF(P1841="",K1841,INDEX('Students'!$A$2:$A$701,P1841)))</f>
        <v/>
      </c>
      <c r="D1841">
        <f>IF(OR(H1841="",P1841=""),"",INDEX('Students'!$B$2:$B$701,P1841))</f>
        <v/>
      </c>
      <c r="E1841">
        <f>IF(OR(H1841="",P1841=""),"",INDEX('Students'!$C$2:$C$701,P1841))</f>
        <v/>
      </c>
      <c r="F1841" s="48">
        <f>IF(H1841="","",IF(ISNUMBER(O1841),O1841,J1841))</f>
        <v/>
      </c>
      <c r="G1841">
        <f>IF(H1841="","","OneCause")</f>
        <v/>
      </c>
      <c r="H1841">
        <f>IF(AND(I1841="",J1841="",K1841=""),"",IF(NOT(ISNUMBER(O1841)),"Bad amount",IF(O1841&lt;0,"Refund (not counted)",IF(O1841=0,"Zero amount",IF(NOT(ISNUMBER(N1841)),"Bad date",IF(P1841="","NAME NOT ON ROSTER",IF(L1841="","OK",IF(MATCH(L1841,$L$2:$L$3001,0)&lt;ROW()-1,"Duplicate (ignored)","OK"))))))))</f>
        <v/>
      </c>
      <c r="I1841">
        <f>IF(OC_Date=0,"",IF(INDEX('OneCause_Paste'!$A$1841:$AZ$1841,1,OC_Date)="","",INDEX('OneCause_Paste'!$A$1841:$AZ$1841,1,OC_Date)))</f>
        <v/>
      </c>
      <c r="J1841">
        <f>IF(OC_Amt=0,"",IF(INDEX('OneCause_Paste'!$A$1841:$AZ$1841,1,OC_Amt)="","",INDEX('OneCause_Paste'!$A$1841:$AZ$1841,1,OC_Amt)))</f>
        <v/>
      </c>
      <c r="K1841">
        <f>IF(OC_Name=0,"",IF(INDEX('OneCause_Paste'!$A$1841:$AZ$1841,1,OC_Name)="","",INDEX('OneCause_Paste'!$A$1841:$AZ$1841,1,OC_Name)))</f>
        <v/>
      </c>
      <c r="L1841">
        <f>IF(OC_Txn=0,"",IF(INDEX('OneCause_Paste'!$A$1841:$AZ$1841,1,OC_Txn)="","",INDEX('OneCause_Paste'!$A$1841:$AZ$1841,1,OC_Txn)))</f>
        <v/>
      </c>
      <c r="M1841">
        <f>IF(OC_Pay=0,"",IF(INDEX('OneCause_Paste'!$A$1841:$AZ$1841,1,OC_Pay)="","",INDEX('OneCause_Paste'!$A$1841:$AZ$1841,1,OC_Pay)))</f>
        <v/>
      </c>
      <c r="N1841">
        <f>IF(I1841="","",IF(ISNUMBER(I1841),INT(I1841),IFERROR(INT(DATEVALUE(I1841)),IFERROR(INT(VALUE(I1841)),"bad"))))</f>
        <v/>
      </c>
      <c r="O1841">
        <f>IF(J1841="","",IF(ISNUMBER(J1841),ROUND(J1841,2),IFERROR(ROUND(VALUE(SUBSTITUTE(SUBSTITUTE(SUBSTITUTE(J1841,"$",""),",","")," ","")),2),"bad")))</f>
        <v/>
      </c>
      <c r="P1841">
        <f>IF(TRIM(K1841)="","",IFERROR(MATCH(LOWER(TRIM(K1841)),'Students'!$AH$2:$AH$701,0),IFERROR(MATCH(LOWER(TRIM(K1841)),'Students'!$AF$2:$AF$701,0),IFERROR(MATCH(LOWER(TRIM(K1841)),'Students'!$AG$2:$AG$701,0),""))))</f>
        <v/>
      </c>
      <c r="R1841">
        <f>IF(P1841="","",INDEX('Students'!$AD$2:$AD$701,P1841))</f>
        <v/>
      </c>
      <c r="S1841">
        <f>IF(H1841="OK",O1841,0)</f>
        <v/>
      </c>
      <c r="T1841">
        <f>IF(H1841="OK",N1841,"")</f>
        <v/>
      </c>
      <c r="U1841">
        <f>IF(OC_Donor=0,"",IF(INDEX('OneCause_Paste'!$A$1841:$AZ$1841,1,OC_Donor)="","",INDEX('OneCause_Paste'!$A$1841:$AZ$1841,1,OC_Donor)))</f>
        <v/>
      </c>
    </row>
    <row r="1842">
      <c r="A1842" s="62">
        <f>IF(H1842="","",IF(ISNUMBER(N1842),N1842,I1842))</f>
        <v/>
      </c>
      <c r="B1842">
        <f>IF(H1842="","",U1842)</f>
        <v/>
      </c>
      <c r="C1842">
        <f>IF(H1842="","",IF(P1842="",K1842,INDEX('Students'!$A$2:$A$701,P1842)))</f>
        <v/>
      </c>
      <c r="D1842">
        <f>IF(OR(H1842="",P1842=""),"",INDEX('Students'!$B$2:$B$701,P1842))</f>
        <v/>
      </c>
      <c r="E1842">
        <f>IF(OR(H1842="",P1842=""),"",INDEX('Students'!$C$2:$C$701,P1842))</f>
        <v/>
      </c>
      <c r="F1842" s="48">
        <f>IF(H1842="","",IF(ISNUMBER(O1842),O1842,J1842))</f>
        <v/>
      </c>
      <c r="G1842">
        <f>IF(H1842="","","OneCause")</f>
        <v/>
      </c>
      <c r="H1842">
        <f>IF(AND(I1842="",J1842="",K1842=""),"",IF(NOT(ISNUMBER(O1842)),"Bad amount",IF(O1842&lt;0,"Refund (not counted)",IF(O1842=0,"Zero amount",IF(NOT(ISNUMBER(N1842)),"Bad date",IF(P1842="","NAME NOT ON ROSTER",IF(L1842="","OK",IF(MATCH(L1842,$L$2:$L$3001,0)&lt;ROW()-1,"Duplicate (ignored)","OK"))))))))</f>
        <v/>
      </c>
      <c r="I1842">
        <f>IF(OC_Date=0,"",IF(INDEX('OneCause_Paste'!$A$1842:$AZ$1842,1,OC_Date)="","",INDEX('OneCause_Paste'!$A$1842:$AZ$1842,1,OC_Date)))</f>
        <v/>
      </c>
      <c r="J1842">
        <f>IF(OC_Amt=0,"",IF(INDEX('OneCause_Paste'!$A$1842:$AZ$1842,1,OC_Amt)="","",INDEX('OneCause_Paste'!$A$1842:$AZ$1842,1,OC_Amt)))</f>
        <v/>
      </c>
      <c r="K1842">
        <f>IF(OC_Name=0,"",IF(INDEX('OneCause_Paste'!$A$1842:$AZ$1842,1,OC_Name)="","",INDEX('OneCause_Paste'!$A$1842:$AZ$1842,1,OC_Name)))</f>
        <v/>
      </c>
      <c r="L1842">
        <f>IF(OC_Txn=0,"",IF(INDEX('OneCause_Paste'!$A$1842:$AZ$1842,1,OC_Txn)="","",INDEX('OneCause_Paste'!$A$1842:$AZ$1842,1,OC_Txn)))</f>
        <v/>
      </c>
      <c r="M1842">
        <f>IF(OC_Pay=0,"",IF(INDEX('OneCause_Paste'!$A$1842:$AZ$1842,1,OC_Pay)="","",INDEX('OneCause_Paste'!$A$1842:$AZ$1842,1,OC_Pay)))</f>
        <v/>
      </c>
      <c r="N1842">
        <f>IF(I1842="","",IF(ISNUMBER(I1842),INT(I1842),IFERROR(INT(DATEVALUE(I1842)),IFERROR(INT(VALUE(I1842)),"bad"))))</f>
        <v/>
      </c>
      <c r="O1842">
        <f>IF(J1842="","",IF(ISNUMBER(J1842),ROUND(J1842,2),IFERROR(ROUND(VALUE(SUBSTITUTE(SUBSTITUTE(SUBSTITUTE(J1842,"$",""),",","")," ","")),2),"bad")))</f>
        <v/>
      </c>
      <c r="P1842">
        <f>IF(TRIM(K1842)="","",IFERROR(MATCH(LOWER(TRIM(K1842)),'Students'!$AH$2:$AH$701,0),IFERROR(MATCH(LOWER(TRIM(K1842)),'Students'!$AF$2:$AF$701,0),IFERROR(MATCH(LOWER(TRIM(K1842)),'Students'!$AG$2:$AG$701,0),""))))</f>
        <v/>
      </c>
      <c r="R1842">
        <f>IF(P1842="","",INDEX('Students'!$AD$2:$AD$701,P1842))</f>
        <v/>
      </c>
      <c r="S1842">
        <f>IF(H1842="OK",O1842,0)</f>
        <v/>
      </c>
      <c r="T1842">
        <f>IF(H1842="OK",N1842,"")</f>
        <v/>
      </c>
      <c r="U1842">
        <f>IF(OC_Donor=0,"",IF(INDEX('OneCause_Paste'!$A$1842:$AZ$1842,1,OC_Donor)="","",INDEX('OneCause_Paste'!$A$1842:$AZ$1842,1,OC_Donor)))</f>
        <v/>
      </c>
    </row>
    <row r="1843">
      <c r="A1843" s="62">
        <f>IF(H1843="","",IF(ISNUMBER(N1843),N1843,I1843))</f>
        <v/>
      </c>
      <c r="B1843">
        <f>IF(H1843="","",U1843)</f>
        <v/>
      </c>
      <c r="C1843">
        <f>IF(H1843="","",IF(P1843="",K1843,INDEX('Students'!$A$2:$A$701,P1843)))</f>
        <v/>
      </c>
      <c r="D1843">
        <f>IF(OR(H1843="",P1843=""),"",INDEX('Students'!$B$2:$B$701,P1843))</f>
        <v/>
      </c>
      <c r="E1843">
        <f>IF(OR(H1843="",P1843=""),"",INDEX('Students'!$C$2:$C$701,P1843))</f>
        <v/>
      </c>
      <c r="F1843" s="48">
        <f>IF(H1843="","",IF(ISNUMBER(O1843),O1843,J1843))</f>
        <v/>
      </c>
      <c r="G1843">
        <f>IF(H1843="","","OneCause")</f>
        <v/>
      </c>
      <c r="H1843">
        <f>IF(AND(I1843="",J1843="",K1843=""),"",IF(NOT(ISNUMBER(O1843)),"Bad amount",IF(O1843&lt;0,"Refund (not counted)",IF(O1843=0,"Zero amount",IF(NOT(ISNUMBER(N1843)),"Bad date",IF(P1843="","NAME NOT ON ROSTER",IF(L1843="","OK",IF(MATCH(L1843,$L$2:$L$3001,0)&lt;ROW()-1,"Duplicate (ignored)","OK"))))))))</f>
        <v/>
      </c>
      <c r="I1843">
        <f>IF(OC_Date=0,"",IF(INDEX('OneCause_Paste'!$A$1843:$AZ$1843,1,OC_Date)="","",INDEX('OneCause_Paste'!$A$1843:$AZ$1843,1,OC_Date)))</f>
        <v/>
      </c>
      <c r="J1843">
        <f>IF(OC_Amt=0,"",IF(INDEX('OneCause_Paste'!$A$1843:$AZ$1843,1,OC_Amt)="","",INDEX('OneCause_Paste'!$A$1843:$AZ$1843,1,OC_Amt)))</f>
        <v/>
      </c>
      <c r="K1843">
        <f>IF(OC_Name=0,"",IF(INDEX('OneCause_Paste'!$A$1843:$AZ$1843,1,OC_Name)="","",INDEX('OneCause_Paste'!$A$1843:$AZ$1843,1,OC_Name)))</f>
        <v/>
      </c>
      <c r="L1843">
        <f>IF(OC_Txn=0,"",IF(INDEX('OneCause_Paste'!$A$1843:$AZ$1843,1,OC_Txn)="","",INDEX('OneCause_Paste'!$A$1843:$AZ$1843,1,OC_Txn)))</f>
        <v/>
      </c>
      <c r="M1843">
        <f>IF(OC_Pay=0,"",IF(INDEX('OneCause_Paste'!$A$1843:$AZ$1843,1,OC_Pay)="","",INDEX('OneCause_Paste'!$A$1843:$AZ$1843,1,OC_Pay)))</f>
        <v/>
      </c>
      <c r="N1843">
        <f>IF(I1843="","",IF(ISNUMBER(I1843),INT(I1843),IFERROR(INT(DATEVALUE(I1843)),IFERROR(INT(VALUE(I1843)),"bad"))))</f>
        <v/>
      </c>
      <c r="O1843">
        <f>IF(J1843="","",IF(ISNUMBER(J1843),ROUND(J1843,2),IFERROR(ROUND(VALUE(SUBSTITUTE(SUBSTITUTE(SUBSTITUTE(J1843,"$",""),",","")," ","")),2),"bad")))</f>
        <v/>
      </c>
      <c r="P1843">
        <f>IF(TRIM(K1843)="","",IFERROR(MATCH(LOWER(TRIM(K1843)),'Students'!$AH$2:$AH$701,0),IFERROR(MATCH(LOWER(TRIM(K1843)),'Students'!$AF$2:$AF$701,0),IFERROR(MATCH(LOWER(TRIM(K1843)),'Students'!$AG$2:$AG$701,0),""))))</f>
        <v/>
      </c>
      <c r="R1843">
        <f>IF(P1843="","",INDEX('Students'!$AD$2:$AD$701,P1843))</f>
        <v/>
      </c>
      <c r="S1843">
        <f>IF(H1843="OK",O1843,0)</f>
        <v/>
      </c>
      <c r="T1843">
        <f>IF(H1843="OK",N1843,"")</f>
        <v/>
      </c>
      <c r="U1843">
        <f>IF(OC_Donor=0,"",IF(INDEX('OneCause_Paste'!$A$1843:$AZ$1843,1,OC_Donor)="","",INDEX('OneCause_Paste'!$A$1843:$AZ$1843,1,OC_Donor)))</f>
        <v/>
      </c>
    </row>
    <row r="1844">
      <c r="A1844" s="62">
        <f>IF(H1844="","",IF(ISNUMBER(N1844),N1844,I1844))</f>
        <v/>
      </c>
      <c r="B1844">
        <f>IF(H1844="","",U1844)</f>
        <v/>
      </c>
      <c r="C1844">
        <f>IF(H1844="","",IF(P1844="",K1844,INDEX('Students'!$A$2:$A$701,P1844)))</f>
        <v/>
      </c>
      <c r="D1844">
        <f>IF(OR(H1844="",P1844=""),"",INDEX('Students'!$B$2:$B$701,P1844))</f>
        <v/>
      </c>
      <c r="E1844">
        <f>IF(OR(H1844="",P1844=""),"",INDEX('Students'!$C$2:$C$701,P1844))</f>
        <v/>
      </c>
      <c r="F1844" s="48">
        <f>IF(H1844="","",IF(ISNUMBER(O1844),O1844,J1844))</f>
        <v/>
      </c>
      <c r="G1844">
        <f>IF(H1844="","","OneCause")</f>
        <v/>
      </c>
      <c r="H1844">
        <f>IF(AND(I1844="",J1844="",K1844=""),"",IF(NOT(ISNUMBER(O1844)),"Bad amount",IF(O1844&lt;0,"Refund (not counted)",IF(O1844=0,"Zero amount",IF(NOT(ISNUMBER(N1844)),"Bad date",IF(P1844="","NAME NOT ON ROSTER",IF(L1844="","OK",IF(MATCH(L1844,$L$2:$L$3001,0)&lt;ROW()-1,"Duplicate (ignored)","OK"))))))))</f>
        <v/>
      </c>
      <c r="I1844">
        <f>IF(OC_Date=0,"",IF(INDEX('OneCause_Paste'!$A$1844:$AZ$1844,1,OC_Date)="","",INDEX('OneCause_Paste'!$A$1844:$AZ$1844,1,OC_Date)))</f>
        <v/>
      </c>
      <c r="J1844">
        <f>IF(OC_Amt=0,"",IF(INDEX('OneCause_Paste'!$A$1844:$AZ$1844,1,OC_Amt)="","",INDEX('OneCause_Paste'!$A$1844:$AZ$1844,1,OC_Amt)))</f>
        <v/>
      </c>
      <c r="K1844">
        <f>IF(OC_Name=0,"",IF(INDEX('OneCause_Paste'!$A$1844:$AZ$1844,1,OC_Name)="","",INDEX('OneCause_Paste'!$A$1844:$AZ$1844,1,OC_Name)))</f>
        <v/>
      </c>
      <c r="L1844">
        <f>IF(OC_Txn=0,"",IF(INDEX('OneCause_Paste'!$A$1844:$AZ$1844,1,OC_Txn)="","",INDEX('OneCause_Paste'!$A$1844:$AZ$1844,1,OC_Txn)))</f>
        <v/>
      </c>
      <c r="M1844">
        <f>IF(OC_Pay=0,"",IF(INDEX('OneCause_Paste'!$A$1844:$AZ$1844,1,OC_Pay)="","",INDEX('OneCause_Paste'!$A$1844:$AZ$1844,1,OC_Pay)))</f>
        <v/>
      </c>
      <c r="N1844">
        <f>IF(I1844="","",IF(ISNUMBER(I1844),INT(I1844),IFERROR(INT(DATEVALUE(I1844)),IFERROR(INT(VALUE(I1844)),"bad"))))</f>
        <v/>
      </c>
      <c r="O1844">
        <f>IF(J1844="","",IF(ISNUMBER(J1844),ROUND(J1844,2),IFERROR(ROUND(VALUE(SUBSTITUTE(SUBSTITUTE(SUBSTITUTE(J1844,"$",""),",","")," ","")),2),"bad")))</f>
        <v/>
      </c>
      <c r="P1844">
        <f>IF(TRIM(K1844)="","",IFERROR(MATCH(LOWER(TRIM(K1844)),'Students'!$AH$2:$AH$701,0),IFERROR(MATCH(LOWER(TRIM(K1844)),'Students'!$AF$2:$AF$701,0),IFERROR(MATCH(LOWER(TRIM(K1844)),'Students'!$AG$2:$AG$701,0),""))))</f>
        <v/>
      </c>
      <c r="R1844">
        <f>IF(P1844="","",INDEX('Students'!$AD$2:$AD$701,P1844))</f>
        <v/>
      </c>
      <c r="S1844">
        <f>IF(H1844="OK",O1844,0)</f>
        <v/>
      </c>
      <c r="T1844">
        <f>IF(H1844="OK",N1844,"")</f>
        <v/>
      </c>
      <c r="U1844">
        <f>IF(OC_Donor=0,"",IF(INDEX('OneCause_Paste'!$A$1844:$AZ$1844,1,OC_Donor)="","",INDEX('OneCause_Paste'!$A$1844:$AZ$1844,1,OC_Donor)))</f>
        <v/>
      </c>
    </row>
    <row r="1845">
      <c r="A1845" s="62">
        <f>IF(H1845="","",IF(ISNUMBER(N1845),N1845,I1845))</f>
        <v/>
      </c>
      <c r="B1845">
        <f>IF(H1845="","",U1845)</f>
        <v/>
      </c>
      <c r="C1845">
        <f>IF(H1845="","",IF(P1845="",K1845,INDEX('Students'!$A$2:$A$701,P1845)))</f>
        <v/>
      </c>
      <c r="D1845">
        <f>IF(OR(H1845="",P1845=""),"",INDEX('Students'!$B$2:$B$701,P1845))</f>
        <v/>
      </c>
      <c r="E1845">
        <f>IF(OR(H1845="",P1845=""),"",INDEX('Students'!$C$2:$C$701,P1845))</f>
        <v/>
      </c>
      <c r="F1845" s="48">
        <f>IF(H1845="","",IF(ISNUMBER(O1845),O1845,J1845))</f>
        <v/>
      </c>
      <c r="G1845">
        <f>IF(H1845="","","OneCause")</f>
        <v/>
      </c>
      <c r="H1845">
        <f>IF(AND(I1845="",J1845="",K1845=""),"",IF(NOT(ISNUMBER(O1845)),"Bad amount",IF(O1845&lt;0,"Refund (not counted)",IF(O1845=0,"Zero amount",IF(NOT(ISNUMBER(N1845)),"Bad date",IF(P1845="","NAME NOT ON ROSTER",IF(L1845="","OK",IF(MATCH(L1845,$L$2:$L$3001,0)&lt;ROW()-1,"Duplicate (ignored)","OK"))))))))</f>
        <v/>
      </c>
      <c r="I1845">
        <f>IF(OC_Date=0,"",IF(INDEX('OneCause_Paste'!$A$1845:$AZ$1845,1,OC_Date)="","",INDEX('OneCause_Paste'!$A$1845:$AZ$1845,1,OC_Date)))</f>
        <v/>
      </c>
      <c r="J1845">
        <f>IF(OC_Amt=0,"",IF(INDEX('OneCause_Paste'!$A$1845:$AZ$1845,1,OC_Amt)="","",INDEX('OneCause_Paste'!$A$1845:$AZ$1845,1,OC_Amt)))</f>
        <v/>
      </c>
      <c r="K1845">
        <f>IF(OC_Name=0,"",IF(INDEX('OneCause_Paste'!$A$1845:$AZ$1845,1,OC_Name)="","",INDEX('OneCause_Paste'!$A$1845:$AZ$1845,1,OC_Name)))</f>
        <v/>
      </c>
      <c r="L1845">
        <f>IF(OC_Txn=0,"",IF(INDEX('OneCause_Paste'!$A$1845:$AZ$1845,1,OC_Txn)="","",INDEX('OneCause_Paste'!$A$1845:$AZ$1845,1,OC_Txn)))</f>
        <v/>
      </c>
      <c r="M1845">
        <f>IF(OC_Pay=0,"",IF(INDEX('OneCause_Paste'!$A$1845:$AZ$1845,1,OC_Pay)="","",INDEX('OneCause_Paste'!$A$1845:$AZ$1845,1,OC_Pay)))</f>
        <v/>
      </c>
      <c r="N1845">
        <f>IF(I1845="","",IF(ISNUMBER(I1845),INT(I1845),IFERROR(INT(DATEVALUE(I1845)),IFERROR(INT(VALUE(I1845)),"bad"))))</f>
        <v/>
      </c>
      <c r="O1845">
        <f>IF(J1845="","",IF(ISNUMBER(J1845),ROUND(J1845,2),IFERROR(ROUND(VALUE(SUBSTITUTE(SUBSTITUTE(SUBSTITUTE(J1845,"$",""),",","")," ","")),2),"bad")))</f>
        <v/>
      </c>
      <c r="P1845">
        <f>IF(TRIM(K1845)="","",IFERROR(MATCH(LOWER(TRIM(K1845)),'Students'!$AH$2:$AH$701,0),IFERROR(MATCH(LOWER(TRIM(K1845)),'Students'!$AF$2:$AF$701,0),IFERROR(MATCH(LOWER(TRIM(K1845)),'Students'!$AG$2:$AG$701,0),""))))</f>
        <v/>
      </c>
      <c r="R1845">
        <f>IF(P1845="","",INDEX('Students'!$AD$2:$AD$701,P1845))</f>
        <v/>
      </c>
      <c r="S1845">
        <f>IF(H1845="OK",O1845,0)</f>
        <v/>
      </c>
      <c r="T1845">
        <f>IF(H1845="OK",N1845,"")</f>
        <v/>
      </c>
      <c r="U1845">
        <f>IF(OC_Donor=0,"",IF(INDEX('OneCause_Paste'!$A$1845:$AZ$1845,1,OC_Donor)="","",INDEX('OneCause_Paste'!$A$1845:$AZ$1845,1,OC_Donor)))</f>
        <v/>
      </c>
    </row>
    <row r="1846">
      <c r="A1846" s="62">
        <f>IF(H1846="","",IF(ISNUMBER(N1846),N1846,I1846))</f>
        <v/>
      </c>
      <c r="B1846">
        <f>IF(H1846="","",U1846)</f>
        <v/>
      </c>
      <c r="C1846">
        <f>IF(H1846="","",IF(P1846="",K1846,INDEX('Students'!$A$2:$A$701,P1846)))</f>
        <v/>
      </c>
      <c r="D1846">
        <f>IF(OR(H1846="",P1846=""),"",INDEX('Students'!$B$2:$B$701,P1846))</f>
        <v/>
      </c>
      <c r="E1846">
        <f>IF(OR(H1846="",P1846=""),"",INDEX('Students'!$C$2:$C$701,P1846))</f>
        <v/>
      </c>
      <c r="F1846" s="48">
        <f>IF(H1846="","",IF(ISNUMBER(O1846),O1846,J1846))</f>
        <v/>
      </c>
      <c r="G1846">
        <f>IF(H1846="","","OneCause")</f>
        <v/>
      </c>
      <c r="H1846">
        <f>IF(AND(I1846="",J1846="",K1846=""),"",IF(NOT(ISNUMBER(O1846)),"Bad amount",IF(O1846&lt;0,"Refund (not counted)",IF(O1846=0,"Zero amount",IF(NOT(ISNUMBER(N1846)),"Bad date",IF(P1846="","NAME NOT ON ROSTER",IF(L1846="","OK",IF(MATCH(L1846,$L$2:$L$3001,0)&lt;ROW()-1,"Duplicate (ignored)","OK"))))))))</f>
        <v/>
      </c>
      <c r="I1846">
        <f>IF(OC_Date=0,"",IF(INDEX('OneCause_Paste'!$A$1846:$AZ$1846,1,OC_Date)="","",INDEX('OneCause_Paste'!$A$1846:$AZ$1846,1,OC_Date)))</f>
        <v/>
      </c>
      <c r="J1846">
        <f>IF(OC_Amt=0,"",IF(INDEX('OneCause_Paste'!$A$1846:$AZ$1846,1,OC_Amt)="","",INDEX('OneCause_Paste'!$A$1846:$AZ$1846,1,OC_Amt)))</f>
        <v/>
      </c>
      <c r="K1846">
        <f>IF(OC_Name=0,"",IF(INDEX('OneCause_Paste'!$A$1846:$AZ$1846,1,OC_Name)="","",INDEX('OneCause_Paste'!$A$1846:$AZ$1846,1,OC_Name)))</f>
        <v/>
      </c>
      <c r="L1846">
        <f>IF(OC_Txn=0,"",IF(INDEX('OneCause_Paste'!$A$1846:$AZ$1846,1,OC_Txn)="","",INDEX('OneCause_Paste'!$A$1846:$AZ$1846,1,OC_Txn)))</f>
        <v/>
      </c>
      <c r="M1846">
        <f>IF(OC_Pay=0,"",IF(INDEX('OneCause_Paste'!$A$1846:$AZ$1846,1,OC_Pay)="","",INDEX('OneCause_Paste'!$A$1846:$AZ$1846,1,OC_Pay)))</f>
        <v/>
      </c>
      <c r="N1846">
        <f>IF(I1846="","",IF(ISNUMBER(I1846),INT(I1846),IFERROR(INT(DATEVALUE(I1846)),IFERROR(INT(VALUE(I1846)),"bad"))))</f>
        <v/>
      </c>
      <c r="O1846">
        <f>IF(J1846="","",IF(ISNUMBER(J1846),ROUND(J1846,2),IFERROR(ROUND(VALUE(SUBSTITUTE(SUBSTITUTE(SUBSTITUTE(J1846,"$",""),",","")," ","")),2),"bad")))</f>
        <v/>
      </c>
      <c r="P1846">
        <f>IF(TRIM(K1846)="","",IFERROR(MATCH(LOWER(TRIM(K1846)),'Students'!$AH$2:$AH$701,0),IFERROR(MATCH(LOWER(TRIM(K1846)),'Students'!$AF$2:$AF$701,0),IFERROR(MATCH(LOWER(TRIM(K1846)),'Students'!$AG$2:$AG$701,0),""))))</f>
        <v/>
      </c>
      <c r="R1846">
        <f>IF(P1846="","",INDEX('Students'!$AD$2:$AD$701,P1846))</f>
        <v/>
      </c>
      <c r="S1846">
        <f>IF(H1846="OK",O1846,0)</f>
        <v/>
      </c>
      <c r="T1846">
        <f>IF(H1846="OK",N1846,"")</f>
        <v/>
      </c>
      <c r="U1846">
        <f>IF(OC_Donor=0,"",IF(INDEX('OneCause_Paste'!$A$1846:$AZ$1846,1,OC_Donor)="","",INDEX('OneCause_Paste'!$A$1846:$AZ$1846,1,OC_Donor)))</f>
        <v/>
      </c>
    </row>
    <row r="1847">
      <c r="A1847" s="62">
        <f>IF(H1847="","",IF(ISNUMBER(N1847),N1847,I1847))</f>
        <v/>
      </c>
      <c r="B1847">
        <f>IF(H1847="","",U1847)</f>
        <v/>
      </c>
      <c r="C1847">
        <f>IF(H1847="","",IF(P1847="",K1847,INDEX('Students'!$A$2:$A$701,P1847)))</f>
        <v/>
      </c>
      <c r="D1847">
        <f>IF(OR(H1847="",P1847=""),"",INDEX('Students'!$B$2:$B$701,P1847))</f>
        <v/>
      </c>
      <c r="E1847">
        <f>IF(OR(H1847="",P1847=""),"",INDEX('Students'!$C$2:$C$701,P1847))</f>
        <v/>
      </c>
      <c r="F1847" s="48">
        <f>IF(H1847="","",IF(ISNUMBER(O1847),O1847,J1847))</f>
        <v/>
      </c>
      <c r="G1847">
        <f>IF(H1847="","","OneCause")</f>
        <v/>
      </c>
      <c r="H1847">
        <f>IF(AND(I1847="",J1847="",K1847=""),"",IF(NOT(ISNUMBER(O1847)),"Bad amount",IF(O1847&lt;0,"Refund (not counted)",IF(O1847=0,"Zero amount",IF(NOT(ISNUMBER(N1847)),"Bad date",IF(P1847="","NAME NOT ON ROSTER",IF(L1847="","OK",IF(MATCH(L1847,$L$2:$L$3001,0)&lt;ROW()-1,"Duplicate (ignored)","OK"))))))))</f>
        <v/>
      </c>
      <c r="I1847">
        <f>IF(OC_Date=0,"",IF(INDEX('OneCause_Paste'!$A$1847:$AZ$1847,1,OC_Date)="","",INDEX('OneCause_Paste'!$A$1847:$AZ$1847,1,OC_Date)))</f>
        <v/>
      </c>
      <c r="J1847">
        <f>IF(OC_Amt=0,"",IF(INDEX('OneCause_Paste'!$A$1847:$AZ$1847,1,OC_Amt)="","",INDEX('OneCause_Paste'!$A$1847:$AZ$1847,1,OC_Amt)))</f>
        <v/>
      </c>
      <c r="K1847">
        <f>IF(OC_Name=0,"",IF(INDEX('OneCause_Paste'!$A$1847:$AZ$1847,1,OC_Name)="","",INDEX('OneCause_Paste'!$A$1847:$AZ$1847,1,OC_Name)))</f>
        <v/>
      </c>
      <c r="L1847">
        <f>IF(OC_Txn=0,"",IF(INDEX('OneCause_Paste'!$A$1847:$AZ$1847,1,OC_Txn)="","",INDEX('OneCause_Paste'!$A$1847:$AZ$1847,1,OC_Txn)))</f>
        <v/>
      </c>
      <c r="M1847">
        <f>IF(OC_Pay=0,"",IF(INDEX('OneCause_Paste'!$A$1847:$AZ$1847,1,OC_Pay)="","",INDEX('OneCause_Paste'!$A$1847:$AZ$1847,1,OC_Pay)))</f>
        <v/>
      </c>
      <c r="N1847">
        <f>IF(I1847="","",IF(ISNUMBER(I1847),INT(I1847),IFERROR(INT(DATEVALUE(I1847)),IFERROR(INT(VALUE(I1847)),"bad"))))</f>
        <v/>
      </c>
      <c r="O1847">
        <f>IF(J1847="","",IF(ISNUMBER(J1847),ROUND(J1847,2),IFERROR(ROUND(VALUE(SUBSTITUTE(SUBSTITUTE(SUBSTITUTE(J1847,"$",""),",","")," ","")),2),"bad")))</f>
        <v/>
      </c>
      <c r="P1847">
        <f>IF(TRIM(K1847)="","",IFERROR(MATCH(LOWER(TRIM(K1847)),'Students'!$AH$2:$AH$701,0),IFERROR(MATCH(LOWER(TRIM(K1847)),'Students'!$AF$2:$AF$701,0),IFERROR(MATCH(LOWER(TRIM(K1847)),'Students'!$AG$2:$AG$701,0),""))))</f>
        <v/>
      </c>
      <c r="R1847">
        <f>IF(P1847="","",INDEX('Students'!$AD$2:$AD$701,P1847))</f>
        <v/>
      </c>
      <c r="S1847">
        <f>IF(H1847="OK",O1847,0)</f>
        <v/>
      </c>
      <c r="T1847">
        <f>IF(H1847="OK",N1847,"")</f>
        <v/>
      </c>
      <c r="U1847">
        <f>IF(OC_Donor=0,"",IF(INDEX('OneCause_Paste'!$A$1847:$AZ$1847,1,OC_Donor)="","",INDEX('OneCause_Paste'!$A$1847:$AZ$1847,1,OC_Donor)))</f>
        <v/>
      </c>
    </row>
    <row r="1848">
      <c r="A1848" s="62">
        <f>IF(H1848="","",IF(ISNUMBER(N1848),N1848,I1848))</f>
        <v/>
      </c>
      <c r="B1848">
        <f>IF(H1848="","",U1848)</f>
        <v/>
      </c>
      <c r="C1848">
        <f>IF(H1848="","",IF(P1848="",K1848,INDEX('Students'!$A$2:$A$701,P1848)))</f>
        <v/>
      </c>
      <c r="D1848">
        <f>IF(OR(H1848="",P1848=""),"",INDEX('Students'!$B$2:$B$701,P1848))</f>
        <v/>
      </c>
      <c r="E1848">
        <f>IF(OR(H1848="",P1848=""),"",INDEX('Students'!$C$2:$C$701,P1848))</f>
        <v/>
      </c>
      <c r="F1848" s="48">
        <f>IF(H1848="","",IF(ISNUMBER(O1848),O1848,J1848))</f>
        <v/>
      </c>
      <c r="G1848">
        <f>IF(H1848="","","OneCause")</f>
        <v/>
      </c>
      <c r="H1848">
        <f>IF(AND(I1848="",J1848="",K1848=""),"",IF(NOT(ISNUMBER(O1848)),"Bad amount",IF(O1848&lt;0,"Refund (not counted)",IF(O1848=0,"Zero amount",IF(NOT(ISNUMBER(N1848)),"Bad date",IF(P1848="","NAME NOT ON ROSTER",IF(L1848="","OK",IF(MATCH(L1848,$L$2:$L$3001,0)&lt;ROW()-1,"Duplicate (ignored)","OK"))))))))</f>
        <v/>
      </c>
      <c r="I1848">
        <f>IF(OC_Date=0,"",IF(INDEX('OneCause_Paste'!$A$1848:$AZ$1848,1,OC_Date)="","",INDEX('OneCause_Paste'!$A$1848:$AZ$1848,1,OC_Date)))</f>
        <v/>
      </c>
      <c r="J1848">
        <f>IF(OC_Amt=0,"",IF(INDEX('OneCause_Paste'!$A$1848:$AZ$1848,1,OC_Amt)="","",INDEX('OneCause_Paste'!$A$1848:$AZ$1848,1,OC_Amt)))</f>
        <v/>
      </c>
      <c r="K1848">
        <f>IF(OC_Name=0,"",IF(INDEX('OneCause_Paste'!$A$1848:$AZ$1848,1,OC_Name)="","",INDEX('OneCause_Paste'!$A$1848:$AZ$1848,1,OC_Name)))</f>
        <v/>
      </c>
      <c r="L1848">
        <f>IF(OC_Txn=0,"",IF(INDEX('OneCause_Paste'!$A$1848:$AZ$1848,1,OC_Txn)="","",INDEX('OneCause_Paste'!$A$1848:$AZ$1848,1,OC_Txn)))</f>
        <v/>
      </c>
      <c r="M1848">
        <f>IF(OC_Pay=0,"",IF(INDEX('OneCause_Paste'!$A$1848:$AZ$1848,1,OC_Pay)="","",INDEX('OneCause_Paste'!$A$1848:$AZ$1848,1,OC_Pay)))</f>
        <v/>
      </c>
      <c r="N1848">
        <f>IF(I1848="","",IF(ISNUMBER(I1848),INT(I1848),IFERROR(INT(DATEVALUE(I1848)),IFERROR(INT(VALUE(I1848)),"bad"))))</f>
        <v/>
      </c>
      <c r="O1848">
        <f>IF(J1848="","",IF(ISNUMBER(J1848),ROUND(J1848,2),IFERROR(ROUND(VALUE(SUBSTITUTE(SUBSTITUTE(SUBSTITUTE(J1848,"$",""),",","")," ","")),2),"bad")))</f>
        <v/>
      </c>
      <c r="P1848">
        <f>IF(TRIM(K1848)="","",IFERROR(MATCH(LOWER(TRIM(K1848)),'Students'!$AH$2:$AH$701,0),IFERROR(MATCH(LOWER(TRIM(K1848)),'Students'!$AF$2:$AF$701,0),IFERROR(MATCH(LOWER(TRIM(K1848)),'Students'!$AG$2:$AG$701,0),""))))</f>
        <v/>
      </c>
      <c r="R1848">
        <f>IF(P1848="","",INDEX('Students'!$AD$2:$AD$701,P1848))</f>
        <v/>
      </c>
      <c r="S1848">
        <f>IF(H1848="OK",O1848,0)</f>
        <v/>
      </c>
      <c r="T1848">
        <f>IF(H1848="OK",N1848,"")</f>
        <v/>
      </c>
      <c r="U1848">
        <f>IF(OC_Donor=0,"",IF(INDEX('OneCause_Paste'!$A$1848:$AZ$1848,1,OC_Donor)="","",INDEX('OneCause_Paste'!$A$1848:$AZ$1848,1,OC_Donor)))</f>
        <v/>
      </c>
    </row>
    <row r="1849">
      <c r="A1849" s="62">
        <f>IF(H1849="","",IF(ISNUMBER(N1849),N1849,I1849))</f>
        <v/>
      </c>
      <c r="B1849">
        <f>IF(H1849="","",U1849)</f>
        <v/>
      </c>
      <c r="C1849">
        <f>IF(H1849="","",IF(P1849="",K1849,INDEX('Students'!$A$2:$A$701,P1849)))</f>
        <v/>
      </c>
      <c r="D1849">
        <f>IF(OR(H1849="",P1849=""),"",INDEX('Students'!$B$2:$B$701,P1849))</f>
        <v/>
      </c>
      <c r="E1849">
        <f>IF(OR(H1849="",P1849=""),"",INDEX('Students'!$C$2:$C$701,P1849))</f>
        <v/>
      </c>
      <c r="F1849" s="48">
        <f>IF(H1849="","",IF(ISNUMBER(O1849),O1849,J1849))</f>
        <v/>
      </c>
      <c r="G1849">
        <f>IF(H1849="","","OneCause")</f>
        <v/>
      </c>
      <c r="H1849">
        <f>IF(AND(I1849="",J1849="",K1849=""),"",IF(NOT(ISNUMBER(O1849)),"Bad amount",IF(O1849&lt;0,"Refund (not counted)",IF(O1849=0,"Zero amount",IF(NOT(ISNUMBER(N1849)),"Bad date",IF(P1849="","NAME NOT ON ROSTER",IF(L1849="","OK",IF(MATCH(L1849,$L$2:$L$3001,0)&lt;ROW()-1,"Duplicate (ignored)","OK"))))))))</f>
        <v/>
      </c>
      <c r="I1849">
        <f>IF(OC_Date=0,"",IF(INDEX('OneCause_Paste'!$A$1849:$AZ$1849,1,OC_Date)="","",INDEX('OneCause_Paste'!$A$1849:$AZ$1849,1,OC_Date)))</f>
        <v/>
      </c>
      <c r="J1849">
        <f>IF(OC_Amt=0,"",IF(INDEX('OneCause_Paste'!$A$1849:$AZ$1849,1,OC_Amt)="","",INDEX('OneCause_Paste'!$A$1849:$AZ$1849,1,OC_Amt)))</f>
        <v/>
      </c>
      <c r="K1849">
        <f>IF(OC_Name=0,"",IF(INDEX('OneCause_Paste'!$A$1849:$AZ$1849,1,OC_Name)="","",INDEX('OneCause_Paste'!$A$1849:$AZ$1849,1,OC_Name)))</f>
        <v/>
      </c>
      <c r="L1849">
        <f>IF(OC_Txn=0,"",IF(INDEX('OneCause_Paste'!$A$1849:$AZ$1849,1,OC_Txn)="","",INDEX('OneCause_Paste'!$A$1849:$AZ$1849,1,OC_Txn)))</f>
        <v/>
      </c>
      <c r="M1849">
        <f>IF(OC_Pay=0,"",IF(INDEX('OneCause_Paste'!$A$1849:$AZ$1849,1,OC_Pay)="","",INDEX('OneCause_Paste'!$A$1849:$AZ$1849,1,OC_Pay)))</f>
        <v/>
      </c>
      <c r="N1849">
        <f>IF(I1849="","",IF(ISNUMBER(I1849),INT(I1849),IFERROR(INT(DATEVALUE(I1849)),IFERROR(INT(VALUE(I1849)),"bad"))))</f>
        <v/>
      </c>
      <c r="O1849">
        <f>IF(J1849="","",IF(ISNUMBER(J1849),ROUND(J1849,2),IFERROR(ROUND(VALUE(SUBSTITUTE(SUBSTITUTE(SUBSTITUTE(J1849,"$",""),",","")," ","")),2),"bad")))</f>
        <v/>
      </c>
      <c r="P1849">
        <f>IF(TRIM(K1849)="","",IFERROR(MATCH(LOWER(TRIM(K1849)),'Students'!$AH$2:$AH$701,0),IFERROR(MATCH(LOWER(TRIM(K1849)),'Students'!$AF$2:$AF$701,0),IFERROR(MATCH(LOWER(TRIM(K1849)),'Students'!$AG$2:$AG$701,0),""))))</f>
        <v/>
      </c>
      <c r="R1849">
        <f>IF(P1849="","",INDEX('Students'!$AD$2:$AD$701,P1849))</f>
        <v/>
      </c>
      <c r="S1849">
        <f>IF(H1849="OK",O1849,0)</f>
        <v/>
      </c>
      <c r="T1849">
        <f>IF(H1849="OK",N1849,"")</f>
        <v/>
      </c>
      <c r="U1849">
        <f>IF(OC_Donor=0,"",IF(INDEX('OneCause_Paste'!$A$1849:$AZ$1849,1,OC_Donor)="","",INDEX('OneCause_Paste'!$A$1849:$AZ$1849,1,OC_Donor)))</f>
        <v/>
      </c>
    </row>
    <row r="1850">
      <c r="A1850" s="62">
        <f>IF(H1850="","",IF(ISNUMBER(N1850),N1850,I1850))</f>
        <v/>
      </c>
      <c r="B1850">
        <f>IF(H1850="","",U1850)</f>
        <v/>
      </c>
      <c r="C1850">
        <f>IF(H1850="","",IF(P1850="",K1850,INDEX('Students'!$A$2:$A$701,P1850)))</f>
        <v/>
      </c>
      <c r="D1850">
        <f>IF(OR(H1850="",P1850=""),"",INDEX('Students'!$B$2:$B$701,P1850))</f>
        <v/>
      </c>
      <c r="E1850">
        <f>IF(OR(H1850="",P1850=""),"",INDEX('Students'!$C$2:$C$701,P1850))</f>
        <v/>
      </c>
      <c r="F1850" s="48">
        <f>IF(H1850="","",IF(ISNUMBER(O1850),O1850,J1850))</f>
        <v/>
      </c>
      <c r="G1850">
        <f>IF(H1850="","","OneCause")</f>
        <v/>
      </c>
      <c r="H1850">
        <f>IF(AND(I1850="",J1850="",K1850=""),"",IF(NOT(ISNUMBER(O1850)),"Bad amount",IF(O1850&lt;0,"Refund (not counted)",IF(O1850=0,"Zero amount",IF(NOT(ISNUMBER(N1850)),"Bad date",IF(P1850="","NAME NOT ON ROSTER",IF(L1850="","OK",IF(MATCH(L1850,$L$2:$L$3001,0)&lt;ROW()-1,"Duplicate (ignored)","OK"))))))))</f>
        <v/>
      </c>
      <c r="I1850">
        <f>IF(OC_Date=0,"",IF(INDEX('OneCause_Paste'!$A$1850:$AZ$1850,1,OC_Date)="","",INDEX('OneCause_Paste'!$A$1850:$AZ$1850,1,OC_Date)))</f>
        <v/>
      </c>
      <c r="J1850">
        <f>IF(OC_Amt=0,"",IF(INDEX('OneCause_Paste'!$A$1850:$AZ$1850,1,OC_Amt)="","",INDEX('OneCause_Paste'!$A$1850:$AZ$1850,1,OC_Amt)))</f>
        <v/>
      </c>
      <c r="K1850">
        <f>IF(OC_Name=0,"",IF(INDEX('OneCause_Paste'!$A$1850:$AZ$1850,1,OC_Name)="","",INDEX('OneCause_Paste'!$A$1850:$AZ$1850,1,OC_Name)))</f>
        <v/>
      </c>
      <c r="L1850">
        <f>IF(OC_Txn=0,"",IF(INDEX('OneCause_Paste'!$A$1850:$AZ$1850,1,OC_Txn)="","",INDEX('OneCause_Paste'!$A$1850:$AZ$1850,1,OC_Txn)))</f>
        <v/>
      </c>
      <c r="M1850">
        <f>IF(OC_Pay=0,"",IF(INDEX('OneCause_Paste'!$A$1850:$AZ$1850,1,OC_Pay)="","",INDEX('OneCause_Paste'!$A$1850:$AZ$1850,1,OC_Pay)))</f>
        <v/>
      </c>
      <c r="N1850">
        <f>IF(I1850="","",IF(ISNUMBER(I1850),INT(I1850),IFERROR(INT(DATEVALUE(I1850)),IFERROR(INT(VALUE(I1850)),"bad"))))</f>
        <v/>
      </c>
      <c r="O1850">
        <f>IF(J1850="","",IF(ISNUMBER(J1850),ROUND(J1850,2),IFERROR(ROUND(VALUE(SUBSTITUTE(SUBSTITUTE(SUBSTITUTE(J1850,"$",""),",","")," ","")),2),"bad")))</f>
        <v/>
      </c>
      <c r="P1850">
        <f>IF(TRIM(K1850)="","",IFERROR(MATCH(LOWER(TRIM(K1850)),'Students'!$AH$2:$AH$701,0),IFERROR(MATCH(LOWER(TRIM(K1850)),'Students'!$AF$2:$AF$701,0),IFERROR(MATCH(LOWER(TRIM(K1850)),'Students'!$AG$2:$AG$701,0),""))))</f>
        <v/>
      </c>
      <c r="R1850">
        <f>IF(P1850="","",INDEX('Students'!$AD$2:$AD$701,P1850))</f>
        <v/>
      </c>
      <c r="S1850">
        <f>IF(H1850="OK",O1850,0)</f>
        <v/>
      </c>
      <c r="T1850">
        <f>IF(H1850="OK",N1850,"")</f>
        <v/>
      </c>
      <c r="U1850">
        <f>IF(OC_Donor=0,"",IF(INDEX('OneCause_Paste'!$A$1850:$AZ$1850,1,OC_Donor)="","",INDEX('OneCause_Paste'!$A$1850:$AZ$1850,1,OC_Donor)))</f>
        <v/>
      </c>
    </row>
    <row r="1851">
      <c r="A1851" s="62">
        <f>IF(H1851="","",IF(ISNUMBER(N1851),N1851,I1851))</f>
        <v/>
      </c>
      <c r="B1851">
        <f>IF(H1851="","",U1851)</f>
        <v/>
      </c>
      <c r="C1851">
        <f>IF(H1851="","",IF(P1851="",K1851,INDEX('Students'!$A$2:$A$701,P1851)))</f>
        <v/>
      </c>
      <c r="D1851">
        <f>IF(OR(H1851="",P1851=""),"",INDEX('Students'!$B$2:$B$701,P1851))</f>
        <v/>
      </c>
      <c r="E1851">
        <f>IF(OR(H1851="",P1851=""),"",INDEX('Students'!$C$2:$C$701,P1851))</f>
        <v/>
      </c>
      <c r="F1851" s="48">
        <f>IF(H1851="","",IF(ISNUMBER(O1851),O1851,J1851))</f>
        <v/>
      </c>
      <c r="G1851">
        <f>IF(H1851="","","OneCause")</f>
        <v/>
      </c>
      <c r="H1851">
        <f>IF(AND(I1851="",J1851="",K1851=""),"",IF(NOT(ISNUMBER(O1851)),"Bad amount",IF(O1851&lt;0,"Refund (not counted)",IF(O1851=0,"Zero amount",IF(NOT(ISNUMBER(N1851)),"Bad date",IF(P1851="","NAME NOT ON ROSTER",IF(L1851="","OK",IF(MATCH(L1851,$L$2:$L$3001,0)&lt;ROW()-1,"Duplicate (ignored)","OK"))))))))</f>
        <v/>
      </c>
      <c r="I1851">
        <f>IF(OC_Date=0,"",IF(INDEX('OneCause_Paste'!$A$1851:$AZ$1851,1,OC_Date)="","",INDEX('OneCause_Paste'!$A$1851:$AZ$1851,1,OC_Date)))</f>
        <v/>
      </c>
      <c r="J1851">
        <f>IF(OC_Amt=0,"",IF(INDEX('OneCause_Paste'!$A$1851:$AZ$1851,1,OC_Amt)="","",INDEX('OneCause_Paste'!$A$1851:$AZ$1851,1,OC_Amt)))</f>
        <v/>
      </c>
      <c r="K1851">
        <f>IF(OC_Name=0,"",IF(INDEX('OneCause_Paste'!$A$1851:$AZ$1851,1,OC_Name)="","",INDEX('OneCause_Paste'!$A$1851:$AZ$1851,1,OC_Name)))</f>
        <v/>
      </c>
      <c r="L1851">
        <f>IF(OC_Txn=0,"",IF(INDEX('OneCause_Paste'!$A$1851:$AZ$1851,1,OC_Txn)="","",INDEX('OneCause_Paste'!$A$1851:$AZ$1851,1,OC_Txn)))</f>
        <v/>
      </c>
      <c r="M1851">
        <f>IF(OC_Pay=0,"",IF(INDEX('OneCause_Paste'!$A$1851:$AZ$1851,1,OC_Pay)="","",INDEX('OneCause_Paste'!$A$1851:$AZ$1851,1,OC_Pay)))</f>
        <v/>
      </c>
      <c r="N1851">
        <f>IF(I1851="","",IF(ISNUMBER(I1851),INT(I1851),IFERROR(INT(DATEVALUE(I1851)),IFERROR(INT(VALUE(I1851)),"bad"))))</f>
        <v/>
      </c>
      <c r="O1851">
        <f>IF(J1851="","",IF(ISNUMBER(J1851),ROUND(J1851,2),IFERROR(ROUND(VALUE(SUBSTITUTE(SUBSTITUTE(SUBSTITUTE(J1851,"$",""),",","")," ","")),2),"bad")))</f>
        <v/>
      </c>
      <c r="P1851">
        <f>IF(TRIM(K1851)="","",IFERROR(MATCH(LOWER(TRIM(K1851)),'Students'!$AH$2:$AH$701,0),IFERROR(MATCH(LOWER(TRIM(K1851)),'Students'!$AF$2:$AF$701,0),IFERROR(MATCH(LOWER(TRIM(K1851)),'Students'!$AG$2:$AG$701,0),""))))</f>
        <v/>
      </c>
      <c r="R1851">
        <f>IF(P1851="","",INDEX('Students'!$AD$2:$AD$701,P1851))</f>
        <v/>
      </c>
      <c r="S1851">
        <f>IF(H1851="OK",O1851,0)</f>
        <v/>
      </c>
      <c r="T1851">
        <f>IF(H1851="OK",N1851,"")</f>
        <v/>
      </c>
      <c r="U1851">
        <f>IF(OC_Donor=0,"",IF(INDEX('OneCause_Paste'!$A$1851:$AZ$1851,1,OC_Donor)="","",INDEX('OneCause_Paste'!$A$1851:$AZ$1851,1,OC_Donor)))</f>
        <v/>
      </c>
    </row>
    <row r="1852">
      <c r="A1852" s="62">
        <f>IF(H1852="","",IF(ISNUMBER(N1852),N1852,I1852))</f>
        <v/>
      </c>
      <c r="B1852">
        <f>IF(H1852="","",U1852)</f>
        <v/>
      </c>
      <c r="C1852">
        <f>IF(H1852="","",IF(P1852="",K1852,INDEX('Students'!$A$2:$A$701,P1852)))</f>
        <v/>
      </c>
      <c r="D1852">
        <f>IF(OR(H1852="",P1852=""),"",INDEX('Students'!$B$2:$B$701,P1852))</f>
        <v/>
      </c>
      <c r="E1852">
        <f>IF(OR(H1852="",P1852=""),"",INDEX('Students'!$C$2:$C$701,P1852))</f>
        <v/>
      </c>
      <c r="F1852" s="48">
        <f>IF(H1852="","",IF(ISNUMBER(O1852),O1852,J1852))</f>
        <v/>
      </c>
      <c r="G1852">
        <f>IF(H1852="","","OneCause")</f>
        <v/>
      </c>
      <c r="H1852">
        <f>IF(AND(I1852="",J1852="",K1852=""),"",IF(NOT(ISNUMBER(O1852)),"Bad amount",IF(O1852&lt;0,"Refund (not counted)",IF(O1852=0,"Zero amount",IF(NOT(ISNUMBER(N1852)),"Bad date",IF(P1852="","NAME NOT ON ROSTER",IF(L1852="","OK",IF(MATCH(L1852,$L$2:$L$3001,0)&lt;ROW()-1,"Duplicate (ignored)","OK"))))))))</f>
        <v/>
      </c>
      <c r="I1852">
        <f>IF(OC_Date=0,"",IF(INDEX('OneCause_Paste'!$A$1852:$AZ$1852,1,OC_Date)="","",INDEX('OneCause_Paste'!$A$1852:$AZ$1852,1,OC_Date)))</f>
        <v/>
      </c>
      <c r="J1852">
        <f>IF(OC_Amt=0,"",IF(INDEX('OneCause_Paste'!$A$1852:$AZ$1852,1,OC_Amt)="","",INDEX('OneCause_Paste'!$A$1852:$AZ$1852,1,OC_Amt)))</f>
        <v/>
      </c>
      <c r="K1852">
        <f>IF(OC_Name=0,"",IF(INDEX('OneCause_Paste'!$A$1852:$AZ$1852,1,OC_Name)="","",INDEX('OneCause_Paste'!$A$1852:$AZ$1852,1,OC_Name)))</f>
        <v/>
      </c>
      <c r="L1852">
        <f>IF(OC_Txn=0,"",IF(INDEX('OneCause_Paste'!$A$1852:$AZ$1852,1,OC_Txn)="","",INDEX('OneCause_Paste'!$A$1852:$AZ$1852,1,OC_Txn)))</f>
        <v/>
      </c>
      <c r="M1852">
        <f>IF(OC_Pay=0,"",IF(INDEX('OneCause_Paste'!$A$1852:$AZ$1852,1,OC_Pay)="","",INDEX('OneCause_Paste'!$A$1852:$AZ$1852,1,OC_Pay)))</f>
        <v/>
      </c>
      <c r="N1852">
        <f>IF(I1852="","",IF(ISNUMBER(I1852),INT(I1852),IFERROR(INT(DATEVALUE(I1852)),IFERROR(INT(VALUE(I1852)),"bad"))))</f>
        <v/>
      </c>
      <c r="O1852">
        <f>IF(J1852="","",IF(ISNUMBER(J1852),ROUND(J1852,2),IFERROR(ROUND(VALUE(SUBSTITUTE(SUBSTITUTE(SUBSTITUTE(J1852,"$",""),",","")," ","")),2),"bad")))</f>
        <v/>
      </c>
      <c r="P1852">
        <f>IF(TRIM(K1852)="","",IFERROR(MATCH(LOWER(TRIM(K1852)),'Students'!$AH$2:$AH$701,0),IFERROR(MATCH(LOWER(TRIM(K1852)),'Students'!$AF$2:$AF$701,0),IFERROR(MATCH(LOWER(TRIM(K1852)),'Students'!$AG$2:$AG$701,0),""))))</f>
        <v/>
      </c>
      <c r="R1852">
        <f>IF(P1852="","",INDEX('Students'!$AD$2:$AD$701,P1852))</f>
        <v/>
      </c>
      <c r="S1852">
        <f>IF(H1852="OK",O1852,0)</f>
        <v/>
      </c>
      <c r="T1852">
        <f>IF(H1852="OK",N1852,"")</f>
        <v/>
      </c>
      <c r="U1852">
        <f>IF(OC_Donor=0,"",IF(INDEX('OneCause_Paste'!$A$1852:$AZ$1852,1,OC_Donor)="","",INDEX('OneCause_Paste'!$A$1852:$AZ$1852,1,OC_Donor)))</f>
        <v/>
      </c>
    </row>
    <row r="1853">
      <c r="A1853" s="62">
        <f>IF(H1853="","",IF(ISNUMBER(N1853),N1853,I1853))</f>
        <v/>
      </c>
      <c r="B1853">
        <f>IF(H1853="","",U1853)</f>
        <v/>
      </c>
      <c r="C1853">
        <f>IF(H1853="","",IF(P1853="",K1853,INDEX('Students'!$A$2:$A$701,P1853)))</f>
        <v/>
      </c>
      <c r="D1853">
        <f>IF(OR(H1853="",P1853=""),"",INDEX('Students'!$B$2:$B$701,P1853))</f>
        <v/>
      </c>
      <c r="E1853">
        <f>IF(OR(H1853="",P1853=""),"",INDEX('Students'!$C$2:$C$701,P1853))</f>
        <v/>
      </c>
      <c r="F1853" s="48">
        <f>IF(H1853="","",IF(ISNUMBER(O1853),O1853,J1853))</f>
        <v/>
      </c>
      <c r="G1853">
        <f>IF(H1853="","","OneCause")</f>
        <v/>
      </c>
      <c r="H1853">
        <f>IF(AND(I1853="",J1853="",K1853=""),"",IF(NOT(ISNUMBER(O1853)),"Bad amount",IF(O1853&lt;0,"Refund (not counted)",IF(O1853=0,"Zero amount",IF(NOT(ISNUMBER(N1853)),"Bad date",IF(P1853="","NAME NOT ON ROSTER",IF(L1853="","OK",IF(MATCH(L1853,$L$2:$L$3001,0)&lt;ROW()-1,"Duplicate (ignored)","OK"))))))))</f>
        <v/>
      </c>
      <c r="I1853">
        <f>IF(OC_Date=0,"",IF(INDEX('OneCause_Paste'!$A$1853:$AZ$1853,1,OC_Date)="","",INDEX('OneCause_Paste'!$A$1853:$AZ$1853,1,OC_Date)))</f>
        <v/>
      </c>
      <c r="J1853">
        <f>IF(OC_Amt=0,"",IF(INDEX('OneCause_Paste'!$A$1853:$AZ$1853,1,OC_Amt)="","",INDEX('OneCause_Paste'!$A$1853:$AZ$1853,1,OC_Amt)))</f>
        <v/>
      </c>
      <c r="K1853">
        <f>IF(OC_Name=0,"",IF(INDEX('OneCause_Paste'!$A$1853:$AZ$1853,1,OC_Name)="","",INDEX('OneCause_Paste'!$A$1853:$AZ$1853,1,OC_Name)))</f>
        <v/>
      </c>
      <c r="L1853">
        <f>IF(OC_Txn=0,"",IF(INDEX('OneCause_Paste'!$A$1853:$AZ$1853,1,OC_Txn)="","",INDEX('OneCause_Paste'!$A$1853:$AZ$1853,1,OC_Txn)))</f>
        <v/>
      </c>
      <c r="M1853">
        <f>IF(OC_Pay=0,"",IF(INDEX('OneCause_Paste'!$A$1853:$AZ$1853,1,OC_Pay)="","",INDEX('OneCause_Paste'!$A$1853:$AZ$1853,1,OC_Pay)))</f>
        <v/>
      </c>
      <c r="N1853">
        <f>IF(I1853="","",IF(ISNUMBER(I1853),INT(I1853),IFERROR(INT(DATEVALUE(I1853)),IFERROR(INT(VALUE(I1853)),"bad"))))</f>
        <v/>
      </c>
      <c r="O1853">
        <f>IF(J1853="","",IF(ISNUMBER(J1853),ROUND(J1853,2),IFERROR(ROUND(VALUE(SUBSTITUTE(SUBSTITUTE(SUBSTITUTE(J1853,"$",""),",","")," ","")),2),"bad")))</f>
        <v/>
      </c>
      <c r="P1853">
        <f>IF(TRIM(K1853)="","",IFERROR(MATCH(LOWER(TRIM(K1853)),'Students'!$AH$2:$AH$701,0),IFERROR(MATCH(LOWER(TRIM(K1853)),'Students'!$AF$2:$AF$701,0),IFERROR(MATCH(LOWER(TRIM(K1853)),'Students'!$AG$2:$AG$701,0),""))))</f>
        <v/>
      </c>
      <c r="R1853">
        <f>IF(P1853="","",INDEX('Students'!$AD$2:$AD$701,P1853))</f>
        <v/>
      </c>
      <c r="S1853">
        <f>IF(H1853="OK",O1853,0)</f>
        <v/>
      </c>
      <c r="T1853">
        <f>IF(H1853="OK",N1853,"")</f>
        <v/>
      </c>
      <c r="U1853">
        <f>IF(OC_Donor=0,"",IF(INDEX('OneCause_Paste'!$A$1853:$AZ$1853,1,OC_Donor)="","",INDEX('OneCause_Paste'!$A$1853:$AZ$1853,1,OC_Donor)))</f>
        <v/>
      </c>
    </row>
    <row r="1854">
      <c r="A1854" s="62">
        <f>IF(H1854="","",IF(ISNUMBER(N1854),N1854,I1854))</f>
        <v/>
      </c>
      <c r="B1854">
        <f>IF(H1854="","",U1854)</f>
        <v/>
      </c>
      <c r="C1854">
        <f>IF(H1854="","",IF(P1854="",K1854,INDEX('Students'!$A$2:$A$701,P1854)))</f>
        <v/>
      </c>
      <c r="D1854">
        <f>IF(OR(H1854="",P1854=""),"",INDEX('Students'!$B$2:$B$701,P1854))</f>
        <v/>
      </c>
      <c r="E1854">
        <f>IF(OR(H1854="",P1854=""),"",INDEX('Students'!$C$2:$C$701,P1854))</f>
        <v/>
      </c>
      <c r="F1854" s="48">
        <f>IF(H1854="","",IF(ISNUMBER(O1854),O1854,J1854))</f>
        <v/>
      </c>
      <c r="G1854">
        <f>IF(H1854="","","OneCause")</f>
        <v/>
      </c>
      <c r="H1854">
        <f>IF(AND(I1854="",J1854="",K1854=""),"",IF(NOT(ISNUMBER(O1854)),"Bad amount",IF(O1854&lt;0,"Refund (not counted)",IF(O1854=0,"Zero amount",IF(NOT(ISNUMBER(N1854)),"Bad date",IF(P1854="","NAME NOT ON ROSTER",IF(L1854="","OK",IF(MATCH(L1854,$L$2:$L$3001,0)&lt;ROW()-1,"Duplicate (ignored)","OK"))))))))</f>
        <v/>
      </c>
      <c r="I1854">
        <f>IF(OC_Date=0,"",IF(INDEX('OneCause_Paste'!$A$1854:$AZ$1854,1,OC_Date)="","",INDEX('OneCause_Paste'!$A$1854:$AZ$1854,1,OC_Date)))</f>
        <v/>
      </c>
      <c r="J1854">
        <f>IF(OC_Amt=0,"",IF(INDEX('OneCause_Paste'!$A$1854:$AZ$1854,1,OC_Amt)="","",INDEX('OneCause_Paste'!$A$1854:$AZ$1854,1,OC_Amt)))</f>
        <v/>
      </c>
      <c r="K1854">
        <f>IF(OC_Name=0,"",IF(INDEX('OneCause_Paste'!$A$1854:$AZ$1854,1,OC_Name)="","",INDEX('OneCause_Paste'!$A$1854:$AZ$1854,1,OC_Name)))</f>
        <v/>
      </c>
      <c r="L1854">
        <f>IF(OC_Txn=0,"",IF(INDEX('OneCause_Paste'!$A$1854:$AZ$1854,1,OC_Txn)="","",INDEX('OneCause_Paste'!$A$1854:$AZ$1854,1,OC_Txn)))</f>
        <v/>
      </c>
      <c r="M1854">
        <f>IF(OC_Pay=0,"",IF(INDEX('OneCause_Paste'!$A$1854:$AZ$1854,1,OC_Pay)="","",INDEX('OneCause_Paste'!$A$1854:$AZ$1854,1,OC_Pay)))</f>
        <v/>
      </c>
      <c r="N1854">
        <f>IF(I1854="","",IF(ISNUMBER(I1854),INT(I1854),IFERROR(INT(DATEVALUE(I1854)),IFERROR(INT(VALUE(I1854)),"bad"))))</f>
        <v/>
      </c>
      <c r="O1854">
        <f>IF(J1854="","",IF(ISNUMBER(J1854),ROUND(J1854,2),IFERROR(ROUND(VALUE(SUBSTITUTE(SUBSTITUTE(SUBSTITUTE(J1854,"$",""),",","")," ","")),2),"bad")))</f>
        <v/>
      </c>
      <c r="P1854">
        <f>IF(TRIM(K1854)="","",IFERROR(MATCH(LOWER(TRIM(K1854)),'Students'!$AH$2:$AH$701,0),IFERROR(MATCH(LOWER(TRIM(K1854)),'Students'!$AF$2:$AF$701,0),IFERROR(MATCH(LOWER(TRIM(K1854)),'Students'!$AG$2:$AG$701,0),""))))</f>
        <v/>
      </c>
      <c r="R1854">
        <f>IF(P1854="","",INDEX('Students'!$AD$2:$AD$701,P1854))</f>
        <v/>
      </c>
      <c r="S1854">
        <f>IF(H1854="OK",O1854,0)</f>
        <v/>
      </c>
      <c r="T1854">
        <f>IF(H1854="OK",N1854,"")</f>
        <v/>
      </c>
      <c r="U1854">
        <f>IF(OC_Donor=0,"",IF(INDEX('OneCause_Paste'!$A$1854:$AZ$1854,1,OC_Donor)="","",INDEX('OneCause_Paste'!$A$1854:$AZ$1854,1,OC_Donor)))</f>
        <v/>
      </c>
    </row>
    <row r="1855">
      <c r="A1855" s="62">
        <f>IF(H1855="","",IF(ISNUMBER(N1855),N1855,I1855))</f>
        <v/>
      </c>
      <c r="B1855">
        <f>IF(H1855="","",U1855)</f>
        <v/>
      </c>
      <c r="C1855">
        <f>IF(H1855="","",IF(P1855="",K1855,INDEX('Students'!$A$2:$A$701,P1855)))</f>
        <v/>
      </c>
      <c r="D1855">
        <f>IF(OR(H1855="",P1855=""),"",INDEX('Students'!$B$2:$B$701,P1855))</f>
        <v/>
      </c>
      <c r="E1855">
        <f>IF(OR(H1855="",P1855=""),"",INDEX('Students'!$C$2:$C$701,P1855))</f>
        <v/>
      </c>
      <c r="F1855" s="48">
        <f>IF(H1855="","",IF(ISNUMBER(O1855),O1855,J1855))</f>
        <v/>
      </c>
      <c r="G1855">
        <f>IF(H1855="","","OneCause")</f>
        <v/>
      </c>
      <c r="H1855">
        <f>IF(AND(I1855="",J1855="",K1855=""),"",IF(NOT(ISNUMBER(O1855)),"Bad amount",IF(O1855&lt;0,"Refund (not counted)",IF(O1855=0,"Zero amount",IF(NOT(ISNUMBER(N1855)),"Bad date",IF(P1855="","NAME NOT ON ROSTER",IF(L1855="","OK",IF(MATCH(L1855,$L$2:$L$3001,0)&lt;ROW()-1,"Duplicate (ignored)","OK"))))))))</f>
        <v/>
      </c>
      <c r="I1855">
        <f>IF(OC_Date=0,"",IF(INDEX('OneCause_Paste'!$A$1855:$AZ$1855,1,OC_Date)="","",INDEX('OneCause_Paste'!$A$1855:$AZ$1855,1,OC_Date)))</f>
        <v/>
      </c>
      <c r="J1855">
        <f>IF(OC_Amt=0,"",IF(INDEX('OneCause_Paste'!$A$1855:$AZ$1855,1,OC_Amt)="","",INDEX('OneCause_Paste'!$A$1855:$AZ$1855,1,OC_Amt)))</f>
        <v/>
      </c>
      <c r="K1855">
        <f>IF(OC_Name=0,"",IF(INDEX('OneCause_Paste'!$A$1855:$AZ$1855,1,OC_Name)="","",INDEX('OneCause_Paste'!$A$1855:$AZ$1855,1,OC_Name)))</f>
        <v/>
      </c>
      <c r="L1855">
        <f>IF(OC_Txn=0,"",IF(INDEX('OneCause_Paste'!$A$1855:$AZ$1855,1,OC_Txn)="","",INDEX('OneCause_Paste'!$A$1855:$AZ$1855,1,OC_Txn)))</f>
        <v/>
      </c>
      <c r="M1855">
        <f>IF(OC_Pay=0,"",IF(INDEX('OneCause_Paste'!$A$1855:$AZ$1855,1,OC_Pay)="","",INDEX('OneCause_Paste'!$A$1855:$AZ$1855,1,OC_Pay)))</f>
        <v/>
      </c>
      <c r="N1855">
        <f>IF(I1855="","",IF(ISNUMBER(I1855),INT(I1855),IFERROR(INT(DATEVALUE(I1855)),IFERROR(INT(VALUE(I1855)),"bad"))))</f>
        <v/>
      </c>
      <c r="O1855">
        <f>IF(J1855="","",IF(ISNUMBER(J1855),ROUND(J1855,2),IFERROR(ROUND(VALUE(SUBSTITUTE(SUBSTITUTE(SUBSTITUTE(J1855,"$",""),",","")," ","")),2),"bad")))</f>
        <v/>
      </c>
      <c r="P1855">
        <f>IF(TRIM(K1855)="","",IFERROR(MATCH(LOWER(TRIM(K1855)),'Students'!$AH$2:$AH$701,0),IFERROR(MATCH(LOWER(TRIM(K1855)),'Students'!$AF$2:$AF$701,0),IFERROR(MATCH(LOWER(TRIM(K1855)),'Students'!$AG$2:$AG$701,0),""))))</f>
        <v/>
      </c>
      <c r="R1855">
        <f>IF(P1855="","",INDEX('Students'!$AD$2:$AD$701,P1855))</f>
        <v/>
      </c>
      <c r="S1855">
        <f>IF(H1855="OK",O1855,0)</f>
        <v/>
      </c>
      <c r="T1855">
        <f>IF(H1855="OK",N1855,"")</f>
        <v/>
      </c>
      <c r="U1855">
        <f>IF(OC_Donor=0,"",IF(INDEX('OneCause_Paste'!$A$1855:$AZ$1855,1,OC_Donor)="","",INDEX('OneCause_Paste'!$A$1855:$AZ$1855,1,OC_Donor)))</f>
        <v/>
      </c>
    </row>
    <row r="1856">
      <c r="A1856" s="62">
        <f>IF(H1856="","",IF(ISNUMBER(N1856),N1856,I1856))</f>
        <v/>
      </c>
      <c r="B1856">
        <f>IF(H1856="","",U1856)</f>
        <v/>
      </c>
      <c r="C1856">
        <f>IF(H1856="","",IF(P1856="",K1856,INDEX('Students'!$A$2:$A$701,P1856)))</f>
        <v/>
      </c>
      <c r="D1856">
        <f>IF(OR(H1856="",P1856=""),"",INDEX('Students'!$B$2:$B$701,P1856))</f>
        <v/>
      </c>
      <c r="E1856">
        <f>IF(OR(H1856="",P1856=""),"",INDEX('Students'!$C$2:$C$701,P1856))</f>
        <v/>
      </c>
      <c r="F1856" s="48">
        <f>IF(H1856="","",IF(ISNUMBER(O1856),O1856,J1856))</f>
        <v/>
      </c>
      <c r="G1856">
        <f>IF(H1856="","","OneCause")</f>
        <v/>
      </c>
      <c r="H1856">
        <f>IF(AND(I1856="",J1856="",K1856=""),"",IF(NOT(ISNUMBER(O1856)),"Bad amount",IF(O1856&lt;0,"Refund (not counted)",IF(O1856=0,"Zero amount",IF(NOT(ISNUMBER(N1856)),"Bad date",IF(P1856="","NAME NOT ON ROSTER",IF(L1856="","OK",IF(MATCH(L1856,$L$2:$L$3001,0)&lt;ROW()-1,"Duplicate (ignored)","OK"))))))))</f>
        <v/>
      </c>
      <c r="I1856">
        <f>IF(OC_Date=0,"",IF(INDEX('OneCause_Paste'!$A$1856:$AZ$1856,1,OC_Date)="","",INDEX('OneCause_Paste'!$A$1856:$AZ$1856,1,OC_Date)))</f>
        <v/>
      </c>
      <c r="J1856">
        <f>IF(OC_Amt=0,"",IF(INDEX('OneCause_Paste'!$A$1856:$AZ$1856,1,OC_Amt)="","",INDEX('OneCause_Paste'!$A$1856:$AZ$1856,1,OC_Amt)))</f>
        <v/>
      </c>
      <c r="K1856">
        <f>IF(OC_Name=0,"",IF(INDEX('OneCause_Paste'!$A$1856:$AZ$1856,1,OC_Name)="","",INDEX('OneCause_Paste'!$A$1856:$AZ$1856,1,OC_Name)))</f>
        <v/>
      </c>
      <c r="L1856">
        <f>IF(OC_Txn=0,"",IF(INDEX('OneCause_Paste'!$A$1856:$AZ$1856,1,OC_Txn)="","",INDEX('OneCause_Paste'!$A$1856:$AZ$1856,1,OC_Txn)))</f>
        <v/>
      </c>
      <c r="M1856">
        <f>IF(OC_Pay=0,"",IF(INDEX('OneCause_Paste'!$A$1856:$AZ$1856,1,OC_Pay)="","",INDEX('OneCause_Paste'!$A$1856:$AZ$1856,1,OC_Pay)))</f>
        <v/>
      </c>
      <c r="N1856">
        <f>IF(I1856="","",IF(ISNUMBER(I1856),INT(I1856),IFERROR(INT(DATEVALUE(I1856)),IFERROR(INT(VALUE(I1856)),"bad"))))</f>
        <v/>
      </c>
      <c r="O1856">
        <f>IF(J1856="","",IF(ISNUMBER(J1856),ROUND(J1856,2),IFERROR(ROUND(VALUE(SUBSTITUTE(SUBSTITUTE(SUBSTITUTE(J1856,"$",""),",","")," ","")),2),"bad")))</f>
        <v/>
      </c>
      <c r="P1856">
        <f>IF(TRIM(K1856)="","",IFERROR(MATCH(LOWER(TRIM(K1856)),'Students'!$AH$2:$AH$701,0),IFERROR(MATCH(LOWER(TRIM(K1856)),'Students'!$AF$2:$AF$701,0),IFERROR(MATCH(LOWER(TRIM(K1856)),'Students'!$AG$2:$AG$701,0),""))))</f>
        <v/>
      </c>
      <c r="R1856">
        <f>IF(P1856="","",INDEX('Students'!$AD$2:$AD$701,P1856))</f>
        <v/>
      </c>
      <c r="S1856">
        <f>IF(H1856="OK",O1856,0)</f>
        <v/>
      </c>
      <c r="T1856">
        <f>IF(H1856="OK",N1856,"")</f>
        <v/>
      </c>
      <c r="U1856">
        <f>IF(OC_Donor=0,"",IF(INDEX('OneCause_Paste'!$A$1856:$AZ$1856,1,OC_Donor)="","",INDEX('OneCause_Paste'!$A$1856:$AZ$1856,1,OC_Donor)))</f>
        <v/>
      </c>
    </row>
    <row r="1857">
      <c r="A1857" s="62">
        <f>IF(H1857="","",IF(ISNUMBER(N1857),N1857,I1857))</f>
        <v/>
      </c>
      <c r="B1857">
        <f>IF(H1857="","",U1857)</f>
        <v/>
      </c>
      <c r="C1857">
        <f>IF(H1857="","",IF(P1857="",K1857,INDEX('Students'!$A$2:$A$701,P1857)))</f>
        <v/>
      </c>
      <c r="D1857">
        <f>IF(OR(H1857="",P1857=""),"",INDEX('Students'!$B$2:$B$701,P1857))</f>
        <v/>
      </c>
      <c r="E1857">
        <f>IF(OR(H1857="",P1857=""),"",INDEX('Students'!$C$2:$C$701,P1857))</f>
        <v/>
      </c>
      <c r="F1857" s="48">
        <f>IF(H1857="","",IF(ISNUMBER(O1857),O1857,J1857))</f>
        <v/>
      </c>
      <c r="G1857">
        <f>IF(H1857="","","OneCause")</f>
        <v/>
      </c>
      <c r="H1857">
        <f>IF(AND(I1857="",J1857="",K1857=""),"",IF(NOT(ISNUMBER(O1857)),"Bad amount",IF(O1857&lt;0,"Refund (not counted)",IF(O1857=0,"Zero amount",IF(NOT(ISNUMBER(N1857)),"Bad date",IF(P1857="","NAME NOT ON ROSTER",IF(L1857="","OK",IF(MATCH(L1857,$L$2:$L$3001,0)&lt;ROW()-1,"Duplicate (ignored)","OK"))))))))</f>
        <v/>
      </c>
      <c r="I1857">
        <f>IF(OC_Date=0,"",IF(INDEX('OneCause_Paste'!$A$1857:$AZ$1857,1,OC_Date)="","",INDEX('OneCause_Paste'!$A$1857:$AZ$1857,1,OC_Date)))</f>
        <v/>
      </c>
      <c r="J1857">
        <f>IF(OC_Amt=0,"",IF(INDEX('OneCause_Paste'!$A$1857:$AZ$1857,1,OC_Amt)="","",INDEX('OneCause_Paste'!$A$1857:$AZ$1857,1,OC_Amt)))</f>
        <v/>
      </c>
      <c r="K1857">
        <f>IF(OC_Name=0,"",IF(INDEX('OneCause_Paste'!$A$1857:$AZ$1857,1,OC_Name)="","",INDEX('OneCause_Paste'!$A$1857:$AZ$1857,1,OC_Name)))</f>
        <v/>
      </c>
      <c r="L1857">
        <f>IF(OC_Txn=0,"",IF(INDEX('OneCause_Paste'!$A$1857:$AZ$1857,1,OC_Txn)="","",INDEX('OneCause_Paste'!$A$1857:$AZ$1857,1,OC_Txn)))</f>
        <v/>
      </c>
      <c r="M1857">
        <f>IF(OC_Pay=0,"",IF(INDEX('OneCause_Paste'!$A$1857:$AZ$1857,1,OC_Pay)="","",INDEX('OneCause_Paste'!$A$1857:$AZ$1857,1,OC_Pay)))</f>
        <v/>
      </c>
      <c r="N1857">
        <f>IF(I1857="","",IF(ISNUMBER(I1857),INT(I1857),IFERROR(INT(DATEVALUE(I1857)),IFERROR(INT(VALUE(I1857)),"bad"))))</f>
        <v/>
      </c>
      <c r="O1857">
        <f>IF(J1857="","",IF(ISNUMBER(J1857),ROUND(J1857,2),IFERROR(ROUND(VALUE(SUBSTITUTE(SUBSTITUTE(SUBSTITUTE(J1857,"$",""),",","")," ","")),2),"bad")))</f>
        <v/>
      </c>
      <c r="P1857">
        <f>IF(TRIM(K1857)="","",IFERROR(MATCH(LOWER(TRIM(K1857)),'Students'!$AH$2:$AH$701,0),IFERROR(MATCH(LOWER(TRIM(K1857)),'Students'!$AF$2:$AF$701,0),IFERROR(MATCH(LOWER(TRIM(K1857)),'Students'!$AG$2:$AG$701,0),""))))</f>
        <v/>
      </c>
      <c r="R1857">
        <f>IF(P1857="","",INDEX('Students'!$AD$2:$AD$701,P1857))</f>
        <v/>
      </c>
      <c r="S1857">
        <f>IF(H1857="OK",O1857,0)</f>
        <v/>
      </c>
      <c r="T1857">
        <f>IF(H1857="OK",N1857,"")</f>
        <v/>
      </c>
      <c r="U1857">
        <f>IF(OC_Donor=0,"",IF(INDEX('OneCause_Paste'!$A$1857:$AZ$1857,1,OC_Donor)="","",INDEX('OneCause_Paste'!$A$1857:$AZ$1857,1,OC_Donor)))</f>
        <v/>
      </c>
    </row>
    <row r="1858">
      <c r="A1858" s="62">
        <f>IF(H1858="","",IF(ISNUMBER(N1858),N1858,I1858))</f>
        <v/>
      </c>
      <c r="B1858">
        <f>IF(H1858="","",U1858)</f>
        <v/>
      </c>
      <c r="C1858">
        <f>IF(H1858="","",IF(P1858="",K1858,INDEX('Students'!$A$2:$A$701,P1858)))</f>
        <v/>
      </c>
      <c r="D1858">
        <f>IF(OR(H1858="",P1858=""),"",INDEX('Students'!$B$2:$B$701,P1858))</f>
        <v/>
      </c>
      <c r="E1858">
        <f>IF(OR(H1858="",P1858=""),"",INDEX('Students'!$C$2:$C$701,P1858))</f>
        <v/>
      </c>
      <c r="F1858" s="48">
        <f>IF(H1858="","",IF(ISNUMBER(O1858),O1858,J1858))</f>
        <v/>
      </c>
      <c r="G1858">
        <f>IF(H1858="","","OneCause")</f>
        <v/>
      </c>
      <c r="H1858">
        <f>IF(AND(I1858="",J1858="",K1858=""),"",IF(NOT(ISNUMBER(O1858)),"Bad amount",IF(O1858&lt;0,"Refund (not counted)",IF(O1858=0,"Zero amount",IF(NOT(ISNUMBER(N1858)),"Bad date",IF(P1858="","NAME NOT ON ROSTER",IF(L1858="","OK",IF(MATCH(L1858,$L$2:$L$3001,0)&lt;ROW()-1,"Duplicate (ignored)","OK"))))))))</f>
        <v/>
      </c>
      <c r="I1858">
        <f>IF(OC_Date=0,"",IF(INDEX('OneCause_Paste'!$A$1858:$AZ$1858,1,OC_Date)="","",INDEX('OneCause_Paste'!$A$1858:$AZ$1858,1,OC_Date)))</f>
        <v/>
      </c>
      <c r="J1858">
        <f>IF(OC_Amt=0,"",IF(INDEX('OneCause_Paste'!$A$1858:$AZ$1858,1,OC_Amt)="","",INDEX('OneCause_Paste'!$A$1858:$AZ$1858,1,OC_Amt)))</f>
        <v/>
      </c>
      <c r="K1858">
        <f>IF(OC_Name=0,"",IF(INDEX('OneCause_Paste'!$A$1858:$AZ$1858,1,OC_Name)="","",INDEX('OneCause_Paste'!$A$1858:$AZ$1858,1,OC_Name)))</f>
        <v/>
      </c>
      <c r="L1858">
        <f>IF(OC_Txn=0,"",IF(INDEX('OneCause_Paste'!$A$1858:$AZ$1858,1,OC_Txn)="","",INDEX('OneCause_Paste'!$A$1858:$AZ$1858,1,OC_Txn)))</f>
        <v/>
      </c>
      <c r="M1858">
        <f>IF(OC_Pay=0,"",IF(INDEX('OneCause_Paste'!$A$1858:$AZ$1858,1,OC_Pay)="","",INDEX('OneCause_Paste'!$A$1858:$AZ$1858,1,OC_Pay)))</f>
        <v/>
      </c>
      <c r="N1858">
        <f>IF(I1858="","",IF(ISNUMBER(I1858),INT(I1858),IFERROR(INT(DATEVALUE(I1858)),IFERROR(INT(VALUE(I1858)),"bad"))))</f>
        <v/>
      </c>
      <c r="O1858">
        <f>IF(J1858="","",IF(ISNUMBER(J1858),ROUND(J1858,2),IFERROR(ROUND(VALUE(SUBSTITUTE(SUBSTITUTE(SUBSTITUTE(J1858,"$",""),",","")," ","")),2),"bad")))</f>
        <v/>
      </c>
      <c r="P1858">
        <f>IF(TRIM(K1858)="","",IFERROR(MATCH(LOWER(TRIM(K1858)),'Students'!$AH$2:$AH$701,0),IFERROR(MATCH(LOWER(TRIM(K1858)),'Students'!$AF$2:$AF$701,0),IFERROR(MATCH(LOWER(TRIM(K1858)),'Students'!$AG$2:$AG$701,0),""))))</f>
        <v/>
      </c>
      <c r="R1858">
        <f>IF(P1858="","",INDEX('Students'!$AD$2:$AD$701,P1858))</f>
        <v/>
      </c>
      <c r="S1858">
        <f>IF(H1858="OK",O1858,0)</f>
        <v/>
      </c>
      <c r="T1858">
        <f>IF(H1858="OK",N1858,"")</f>
        <v/>
      </c>
      <c r="U1858">
        <f>IF(OC_Donor=0,"",IF(INDEX('OneCause_Paste'!$A$1858:$AZ$1858,1,OC_Donor)="","",INDEX('OneCause_Paste'!$A$1858:$AZ$1858,1,OC_Donor)))</f>
        <v/>
      </c>
    </row>
    <row r="1859">
      <c r="A1859" s="62">
        <f>IF(H1859="","",IF(ISNUMBER(N1859),N1859,I1859))</f>
        <v/>
      </c>
      <c r="B1859">
        <f>IF(H1859="","",U1859)</f>
        <v/>
      </c>
      <c r="C1859">
        <f>IF(H1859="","",IF(P1859="",K1859,INDEX('Students'!$A$2:$A$701,P1859)))</f>
        <v/>
      </c>
      <c r="D1859">
        <f>IF(OR(H1859="",P1859=""),"",INDEX('Students'!$B$2:$B$701,P1859))</f>
        <v/>
      </c>
      <c r="E1859">
        <f>IF(OR(H1859="",P1859=""),"",INDEX('Students'!$C$2:$C$701,P1859))</f>
        <v/>
      </c>
      <c r="F1859" s="48">
        <f>IF(H1859="","",IF(ISNUMBER(O1859),O1859,J1859))</f>
        <v/>
      </c>
      <c r="G1859">
        <f>IF(H1859="","","OneCause")</f>
        <v/>
      </c>
      <c r="H1859">
        <f>IF(AND(I1859="",J1859="",K1859=""),"",IF(NOT(ISNUMBER(O1859)),"Bad amount",IF(O1859&lt;0,"Refund (not counted)",IF(O1859=0,"Zero amount",IF(NOT(ISNUMBER(N1859)),"Bad date",IF(P1859="","NAME NOT ON ROSTER",IF(L1859="","OK",IF(MATCH(L1859,$L$2:$L$3001,0)&lt;ROW()-1,"Duplicate (ignored)","OK"))))))))</f>
        <v/>
      </c>
      <c r="I1859">
        <f>IF(OC_Date=0,"",IF(INDEX('OneCause_Paste'!$A$1859:$AZ$1859,1,OC_Date)="","",INDEX('OneCause_Paste'!$A$1859:$AZ$1859,1,OC_Date)))</f>
        <v/>
      </c>
      <c r="J1859">
        <f>IF(OC_Amt=0,"",IF(INDEX('OneCause_Paste'!$A$1859:$AZ$1859,1,OC_Amt)="","",INDEX('OneCause_Paste'!$A$1859:$AZ$1859,1,OC_Amt)))</f>
        <v/>
      </c>
      <c r="K1859">
        <f>IF(OC_Name=0,"",IF(INDEX('OneCause_Paste'!$A$1859:$AZ$1859,1,OC_Name)="","",INDEX('OneCause_Paste'!$A$1859:$AZ$1859,1,OC_Name)))</f>
        <v/>
      </c>
      <c r="L1859">
        <f>IF(OC_Txn=0,"",IF(INDEX('OneCause_Paste'!$A$1859:$AZ$1859,1,OC_Txn)="","",INDEX('OneCause_Paste'!$A$1859:$AZ$1859,1,OC_Txn)))</f>
        <v/>
      </c>
      <c r="M1859">
        <f>IF(OC_Pay=0,"",IF(INDEX('OneCause_Paste'!$A$1859:$AZ$1859,1,OC_Pay)="","",INDEX('OneCause_Paste'!$A$1859:$AZ$1859,1,OC_Pay)))</f>
        <v/>
      </c>
      <c r="N1859">
        <f>IF(I1859="","",IF(ISNUMBER(I1859),INT(I1859),IFERROR(INT(DATEVALUE(I1859)),IFERROR(INT(VALUE(I1859)),"bad"))))</f>
        <v/>
      </c>
      <c r="O1859">
        <f>IF(J1859="","",IF(ISNUMBER(J1859),ROUND(J1859,2),IFERROR(ROUND(VALUE(SUBSTITUTE(SUBSTITUTE(SUBSTITUTE(J1859,"$",""),",","")," ","")),2),"bad")))</f>
        <v/>
      </c>
      <c r="P1859">
        <f>IF(TRIM(K1859)="","",IFERROR(MATCH(LOWER(TRIM(K1859)),'Students'!$AH$2:$AH$701,0),IFERROR(MATCH(LOWER(TRIM(K1859)),'Students'!$AF$2:$AF$701,0),IFERROR(MATCH(LOWER(TRIM(K1859)),'Students'!$AG$2:$AG$701,0),""))))</f>
        <v/>
      </c>
      <c r="R1859">
        <f>IF(P1859="","",INDEX('Students'!$AD$2:$AD$701,P1859))</f>
        <v/>
      </c>
      <c r="S1859">
        <f>IF(H1859="OK",O1859,0)</f>
        <v/>
      </c>
      <c r="T1859">
        <f>IF(H1859="OK",N1859,"")</f>
        <v/>
      </c>
      <c r="U1859">
        <f>IF(OC_Donor=0,"",IF(INDEX('OneCause_Paste'!$A$1859:$AZ$1859,1,OC_Donor)="","",INDEX('OneCause_Paste'!$A$1859:$AZ$1859,1,OC_Donor)))</f>
        <v/>
      </c>
    </row>
    <row r="1860">
      <c r="A1860" s="62">
        <f>IF(H1860="","",IF(ISNUMBER(N1860),N1860,I1860))</f>
        <v/>
      </c>
      <c r="B1860">
        <f>IF(H1860="","",U1860)</f>
        <v/>
      </c>
      <c r="C1860">
        <f>IF(H1860="","",IF(P1860="",K1860,INDEX('Students'!$A$2:$A$701,P1860)))</f>
        <v/>
      </c>
      <c r="D1860">
        <f>IF(OR(H1860="",P1860=""),"",INDEX('Students'!$B$2:$B$701,P1860))</f>
        <v/>
      </c>
      <c r="E1860">
        <f>IF(OR(H1860="",P1860=""),"",INDEX('Students'!$C$2:$C$701,P1860))</f>
        <v/>
      </c>
      <c r="F1860" s="48">
        <f>IF(H1860="","",IF(ISNUMBER(O1860),O1860,J1860))</f>
        <v/>
      </c>
      <c r="G1860">
        <f>IF(H1860="","","OneCause")</f>
        <v/>
      </c>
      <c r="H1860">
        <f>IF(AND(I1860="",J1860="",K1860=""),"",IF(NOT(ISNUMBER(O1860)),"Bad amount",IF(O1860&lt;0,"Refund (not counted)",IF(O1860=0,"Zero amount",IF(NOT(ISNUMBER(N1860)),"Bad date",IF(P1860="","NAME NOT ON ROSTER",IF(L1860="","OK",IF(MATCH(L1860,$L$2:$L$3001,0)&lt;ROW()-1,"Duplicate (ignored)","OK"))))))))</f>
        <v/>
      </c>
      <c r="I1860">
        <f>IF(OC_Date=0,"",IF(INDEX('OneCause_Paste'!$A$1860:$AZ$1860,1,OC_Date)="","",INDEX('OneCause_Paste'!$A$1860:$AZ$1860,1,OC_Date)))</f>
        <v/>
      </c>
      <c r="J1860">
        <f>IF(OC_Amt=0,"",IF(INDEX('OneCause_Paste'!$A$1860:$AZ$1860,1,OC_Amt)="","",INDEX('OneCause_Paste'!$A$1860:$AZ$1860,1,OC_Amt)))</f>
        <v/>
      </c>
      <c r="K1860">
        <f>IF(OC_Name=0,"",IF(INDEX('OneCause_Paste'!$A$1860:$AZ$1860,1,OC_Name)="","",INDEX('OneCause_Paste'!$A$1860:$AZ$1860,1,OC_Name)))</f>
        <v/>
      </c>
      <c r="L1860">
        <f>IF(OC_Txn=0,"",IF(INDEX('OneCause_Paste'!$A$1860:$AZ$1860,1,OC_Txn)="","",INDEX('OneCause_Paste'!$A$1860:$AZ$1860,1,OC_Txn)))</f>
        <v/>
      </c>
      <c r="M1860">
        <f>IF(OC_Pay=0,"",IF(INDEX('OneCause_Paste'!$A$1860:$AZ$1860,1,OC_Pay)="","",INDEX('OneCause_Paste'!$A$1860:$AZ$1860,1,OC_Pay)))</f>
        <v/>
      </c>
      <c r="N1860">
        <f>IF(I1860="","",IF(ISNUMBER(I1860),INT(I1860),IFERROR(INT(DATEVALUE(I1860)),IFERROR(INT(VALUE(I1860)),"bad"))))</f>
        <v/>
      </c>
      <c r="O1860">
        <f>IF(J1860="","",IF(ISNUMBER(J1860),ROUND(J1860,2),IFERROR(ROUND(VALUE(SUBSTITUTE(SUBSTITUTE(SUBSTITUTE(J1860,"$",""),",","")," ","")),2),"bad")))</f>
        <v/>
      </c>
      <c r="P1860">
        <f>IF(TRIM(K1860)="","",IFERROR(MATCH(LOWER(TRIM(K1860)),'Students'!$AH$2:$AH$701,0),IFERROR(MATCH(LOWER(TRIM(K1860)),'Students'!$AF$2:$AF$701,0),IFERROR(MATCH(LOWER(TRIM(K1860)),'Students'!$AG$2:$AG$701,0),""))))</f>
        <v/>
      </c>
      <c r="R1860">
        <f>IF(P1860="","",INDEX('Students'!$AD$2:$AD$701,P1860))</f>
        <v/>
      </c>
      <c r="S1860">
        <f>IF(H1860="OK",O1860,0)</f>
        <v/>
      </c>
      <c r="T1860">
        <f>IF(H1860="OK",N1860,"")</f>
        <v/>
      </c>
      <c r="U1860">
        <f>IF(OC_Donor=0,"",IF(INDEX('OneCause_Paste'!$A$1860:$AZ$1860,1,OC_Donor)="","",INDEX('OneCause_Paste'!$A$1860:$AZ$1860,1,OC_Donor)))</f>
        <v/>
      </c>
    </row>
    <row r="1861">
      <c r="A1861" s="62">
        <f>IF(H1861="","",IF(ISNUMBER(N1861),N1861,I1861))</f>
        <v/>
      </c>
      <c r="B1861">
        <f>IF(H1861="","",U1861)</f>
        <v/>
      </c>
      <c r="C1861">
        <f>IF(H1861="","",IF(P1861="",K1861,INDEX('Students'!$A$2:$A$701,P1861)))</f>
        <v/>
      </c>
      <c r="D1861">
        <f>IF(OR(H1861="",P1861=""),"",INDEX('Students'!$B$2:$B$701,P1861))</f>
        <v/>
      </c>
      <c r="E1861">
        <f>IF(OR(H1861="",P1861=""),"",INDEX('Students'!$C$2:$C$701,P1861))</f>
        <v/>
      </c>
      <c r="F1861" s="48">
        <f>IF(H1861="","",IF(ISNUMBER(O1861),O1861,J1861))</f>
        <v/>
      </c>
      <c r="G1861">
        <f>IF(H1861="","","OneCause")</f>
        <v/>
      </c>
      <c r="H1861">
        <f>IF(AND(I1861="",J1861="",K1861=""),"",IF(NOT(ISNUMBER(O1861)),"Bad amount",IF(O1861&lt;0,"Refund (not counted)",IF(O1861=0,"Zero amount",IF(NOT(ISNUMBER(N1861)),"Bad date",IF(P1861="","NAME NOT ON ROSTER",IF(L1861="","OK",IF(MATCH(L1861,$L$2:$L$3001,0)&lt;ROW()-1,"Duplicate (ignored)","OK"))))))))</f>
        <v/>
      </c>
      <c r="I1861">
        <f>IF(OC_Date=0,"",IF(INDEX('OneCause_Paste'!$A$1861:$AZ$1861,1,OC_Date)="","",INDEX('OneCause_Paste'!$A$1861:$AZ$1861,1,OC_Date)))</f>
        <v/>
      </c>
      <c r="J1861">
        <f>IF(OC_Amt=0,"",IF(INDEX('OneCause_Paste'!$A$1861:$AZ$1861,1,OC_Amt)="","",INDEX('OneCause_Paste'!$A$1861:$AZ$1861,1,OC_Amt)))</f>
        <v/>
      </c>
      <c r="K1861">
        <f>IF(OC_Name=0,"",IF(INDEX('OneCause_Paste'!$A$1861:$AZ$1861,1,OC_Name)="","",INDEX('OneCause_Paste'!$A$1861:$AZ$1861,1,OC_Name)))</f>
        <v/>
      </c>
      <c r="L1861">
        <f>IF(OC_Txn=0,"",IF(INDEX('OneCause_Paste'!$A$1861:$AZ$1861,1,OC_Txn)="","",INDEX('OneCause_Paste'!$A$1861:$AZ$1861,1,OC_Txn)))</f>
        <v/>
      </c>
      <c r="M1861">
        <f>IF(OC_Pay=0,"",IF(INDEX('OneCause_Paste'!$A$1861:$AZ$1861,1,OC_Pay)="","",INDEX('OneCause_Paste'!$A$1861:$AZ$1861,1,OC_Pay)))</f>
        <v/>
      </c>
      <c r="N1861">
        <f>IF(I1861="","",IF(ISNUMBER(I1861),INT(I1861),IFERROR(INT(DATEVALUE(I1861)),IFERROR(INT(VALUE(I1861)),"bad"))))</f>
        <v/>
      </c>
      <c r="O1861">
        <f>IF(J1861="","",IF(ISNUMBER(J1861),ROUND(J1861,2),IFERROR(ROUND(VALUE(SUBSTITUTE(SUBSTITUTE(SUBSTITUTE(J1861,"$",""),",","")," ","")),2),"bad")))</f>
        <v/>
      </c>
      <c r="P1861">
        <f>IF(TRIM(K1861)="","",IFERROR(MATCH(LOWER(TRIM(K1861)),'Students'!$AH$2:$AH$701,0),IFERROR(MATCH(LOWER(TRIM(K1861)),'Students'!$AF$2:$AF$701,0),IFERROR(MATCH(LOWER(TRIM(K1861)),'Students'!$AG$2:$AG$701,0),""))))</f>
        <v/>
      </c>
      <c r="R1861">
        <f>IF(P1861="","",INDEX('Students'!$AD$2:$AD$701,P1861))</f>
        <v/>
      </c>
      <c r="S1861">
        <f>IF(H1861="OK",O1861,0)</f>
        <v/>
      </c>
      <c r="T1861">
        <f>IF(H1861="OK",N1861,"")</f>
        <v/>
      </c>
      <c r="U1861">
        <f>IF(OC_Donor=0,"",IF(INDEX('OneCause_Paste'!$A$1861:$AZ$1861,1,OC_Donor)="","",INDEX('OneCause_Paste'!$A$1861:$AZ$1861,1,OC_Donor)))</f>
        <v/>
      </c>
    </row>
    <row r="1862">
      <c r="A1862" s="62">
        <f>IF(H1862="","",IF(ISNUMBER(N1862),N1862,I1862))</f>
        <v/>
      </c>
      <c r="B1862">
        <f>IF(H1862="","",U1862)</f>
        <v/>
      </c>
      <c r="C1862">
        <f>IF(H1862="","",IF(P1862="",K1862,INDEX('Students'!$A$2:$A$701,P1862)))</f>
        <v/>
      </c>
      <c r="D1862">
        <f>IF(OR(H1862="",P1862=""),"",INDEX('Students'!$B$2:$B$701,P1862))</f>
        <v/>
      </c>
      <c r="E1862">
        <f>IF(OR(H1862="",P1862=""),"",INDEX('Students'!$C$2:$C$701,P1862))</f>
        <v/>
      </c>
      <c r="F1862" s="48">
        <f>IF(H1862="","",IF(ISNUMBER(O1862),O1862,J1862))</f>
        <v/>
      </c>
      <c r="G1862">
        <f>IF(H1862="","","OneCause")</f>
        <v/>
      </c>
      <c r="H1862">
        <f>IF(AND(I1862="",J1862="",K1862=""),"",IF(NOT(ISNUMBER(O1862)),"Bad amount",IF(O1862&lt;0,"Refund (not counted)",IF(O1862=0,"Zero amount",IF(NOT(ISNUMBER(N1862)),"Bad date",IF(P1862="","NAME NOT ON ROSTER",IF(L1862="","OK",IF(MATCH(L1862,$L$2:$L$3001,0)&lt;ROW()-1,"Duplicate (ignored)","OK"))))))))</f>
        <v/>
      </c>
      <c r="I1862">
        <f>IF(OC_Date=0,"",IF(INDEX('OneCause_Paste'!$A$1862:$AZ$1862,1,OC_Date)="","",INDEX('OneCause_Paste'!$A$1862:$AZ$1862,1,OC_Date)))</f>
        <v/>
      </c>
      <c r="J1862">
        <f>IF(OC_Amt=0,"",IF(INDEX('OneCause_Paste'!$A$1862:$AZ$1862,1,OC_Amt)="","",INDEX('OneCause_Paste'!$A$1862:$AZ$1862,1,OC_Amt)))</f>
        <v/>
      </c>
      <c r="K1862">
        <f>IF(OC_Name=0,"",IF(INDEX('OneCause_Paste'!$A$1862:$AZ$1862,1,OC_Name)="","",INDEX('OneCause_Paste'!$A$1862:$AZ$1862,1,OC_Name)))</f>
        <v/>
      </c>
      <c r="L1862">
        <f>IF(OC_Txn=0,"",IF(INDEX('OneCause_Paste'!$A$1862:$AZ$1862,1,OC_Txn)="","",INDEX('OneCause_Paste'!$A$1862:$AZ$1862,1,OC_Txn)))</f>
        <v/>
      </c>
      <c r="M1862">
        <f>IF(OC_Pay=0,"",IF(INDEX('OneCause_Paste'!$A$1862:$AZ$1862,1,OC_Pay)="","",INDEX('OneCause_Paste'!$A$1862:$AZ$1862,1,OC_Pay)))</f>
        <v/>
      </c>
      <c r="N1862">
        <f>IF(I1862="","",IF(ISNUMBER(I1862),INT(I1862),IFERROR(INT(DATEVALUE(I1862)),IFERROR(INT(VALUE(I1862)),"bad"))))</f>
        <v/>
      </c>
      <c r="O1862">
        <f>IF(J1862="","",IF(ISNUMBER(J1862),ROUND(J1862,2),IFERROR(ROUND(VALUE(SUBSTITUTE(SUBSTITUTE(SUBSTITUTE(J1862,"$",""),",","")," ","")),2),"bad")))</f>
        <v/>
      </c>
      <c r="P1862">
        <f>IF(TRIM(K1862)="","",IFERROR(MATCH(LOWER(TRIM(K1862)),'Students'!$AH$2:$AH$701,0),IFERROR(MATCH(LOWER(TRIM(K1862)),'Students'!$AF$2:$AF$701,0),IFERROR(MATCH(LOWER(TRIM(K1862)),'Students'!$AG$2:$AG$701,0),""))))</f>
        <v/>
      </c>
      <c r="R1862">
        <f>IF(P1862="","",INDEX('Students'!$AD$2:$AD$701,P1862))</f>
        <v/>
      </c>
      <c r="S1862">
        <f>IF(H1862="OK",O1862,0)</f>
        <v/>
      </c>
      <c r="T1862">
        <f>IF(H1862="OK",N1862,"")</f>
        <v/>
      </c>
      <c r="U1862">
        <f>IF(OC_Donor=0,"",IF(INDEX('OneCause_Paste'!$A$1862:$AZ$1862,1,OC_Donor)="","",INDEX('OneCause_Paste'!$A$1862:$AZ$1862,1,OC_Donor)))</f>
        <v/>
      </c>
    </row>
    <row r="1863">
      <c r="A1863" s="62">
        <f>IF(H1863="","",IF(ISNUMBER(N1863),N1863,I1863))</f>
        <v/>
      </c>
      <c r="B1863">
        <f>IF(H1863="","",U1863)</f>
        <v/>
      </c>
      <c r="C1863">
        <f>IF(H1863="","",IF(P1863="",K1863,INDEX('Students'!$A$2:$A$701,P1863)))</f>
        <v/>
      </c>
      <c r="D1863">
        <f>IF(OR(H1863="",P1863=""),"",INDEX('Students'!$B$2:$B$701,P1863))</f>
        <v/>
      </c>
      <c r="E1863">
        <f>IF(OR(H1863="",P1863=""),"",INDEX('Students'!$C$2:$C$701,P1863))</f>
        <v/>
      </c>
      <c r="F1863" s="48">
        <f>IF(H1863="","",IF(ISNUMBER(O1863),O1863,J1863))</f>
        <v/>
      </c>
      <c r="G1863">
        <f>IF(H1863="","","OneCause")</f>
        <v/>
      </c>
      <c r="H1863">
        <f>IF(AND(I1863="",J1863="",K1863=""),"",IF(NOT(ISNUMBER(O1863)),"Bad amount",IF(O1863&lt;0,"Refund (not counted)",IF(O1863=0,"Zero amount",IF(NOT(ISNUMBER(N1863)),"Bad date",IF(P1863="","NAME NOT ON ROSTER",IF(L1863="","OK",IF(MATCH(L1863,$L$2:$L$3001,0)&lt;ROW()-1,"Duplicate (ignored)","OK"))))))))</f>
        <v/>
      </c>
      <c r="I1863">
        <f>IF(OC_Date=0,"",IF(INDEX('OneCause_Paste'!$A$1863:$AZ$1863,1,OC_Date)="","",INDEX('OneCause_Paste'!$A$1863:$AZ$1863,1,OC_Date)))</f>
        <v/>
      </c>
      <c r="J1863">
        <f>IF(OC_Amt=0,"",IF(INDEX('OneCause_Paste'!$A$1863:$AZ$1863,1,OC_Amt)="","",INDEX('OneCause_Paste'!$A$1863:$AZ$1863,1,OC_Amt)))</f>
        <v/>
      </c>
      <c r="K1863">
        <f>IF(OC_Name=0,"",IF(INDEX('OneCause_Paste'!$A$1863:$AZ$1863,1,OC_Name)="","",INDEX('OneCause_Paste'!$A$1863:$AZ$1863,1,OC_Name)))</f>
        <v/>
      </c>
      <c r="L1863">
        <f>IF(OC_Txn=0,"",IF(INDEX('OneCause_Paste'!$A$1863:$AZ$1863,1,OC_Txn)="","",INDEX('OneCause_Paste'!$A$1863:$AZ$1863,1,OC_Txn)))</f>
        <v/>
      </c>
      <c r="M1863">
        <f>IF(OC_Pay=0,"",IF(INDEX('OneCause_Paste'!$A$1863:$AZ$1863,1,OC_Pay)="","",INDEX('OneCause_Paste'!$A$1863:$AZ$1863,1,OC_Pay)))</f>
        <v/>
      </c>
      <c r="N1863">
        <f>IF(I1863="","",IF(ISNUMBER(I1863),INT(I1863),IFERROR(INT(DATEVALUE(I1863)),IFERROR(INT(VALUE(I1863)),"bad"))))</f>
        <v/>
      </c>
      <c r="O1863">
        <f>IF(J1863="","",IF(ISNUMBER(J1863),ROUND(J1863,2),IFERROR(ROUND(VALUE(SUBSTITUTE(SUBSTITUTE(SUBSTITUTE(J1863,"$",""),",","")," ","")),2),"bad")))</f>
        <v/>
      </c>
      <c r="P1863">
        <f>IF(TRIM(K1863)="","",IFERROR(MATCH(LOWER(TRIM(K1863)),'Students'!$AH$2:$AH$701,0),IFERROR(MATCH(LOWER(TRIM(K1863)),'Students'!$AF$2:$AF$701,0),IFERROR(MATCH(LOWER(TRIM(K1863)),'Students'!$AG$2:$AG$701,0),""))))</f>
        <v/>
      </c>
      <c r="R1863">
        <f>IF(P1863="","",INDEX('Students'!$AD$2:$AD$701,P1863))</f>
        <v/>
      </c>
      <c r="S1863">
        <f>IF(H1863="OK",O1863,0)</f>
        <v/>
      </c>
      <c r="T1863">
        <f>IF(H1863="OK",N1863,"")</f>
        <v/>
      </c>
      <c r="U1863">
        <f>IF(OC_Donor=0,"",IF(INDEX('OneCause_Paste'!$A$1863:$AZ$1863,1,OC_Donor)="","",INDEX('OneCause_Paste'!$A$1863:$AZ$1863,1,OC_Donor)))</f>
        <v/>
      </c>
    </row>
    <row r="1864">
      <c r="A1864" s="62">
        <f>IF(H1864="","",IF(ISNUMBER(N1864),N1864,I1864))</f>
        <v/>
      </c>
      <c r="B1864">
        <f>IF(H1864="","",U1864)</f>
        <v/>
      </c>
      <c r="C1864">
        <f>IF(H1864="","",IF(P1864="",K1864,INDEX('Students'!$A$2:$A$701,P1864)))</f>
        <v/>
      </c>
      <c r="D1864">
        <f>IF(OR(H1864="",P1864=""),"",INDEX('Students'!$B$2:$B$701,P1864))</f>
        <v/>
      </c>
      <c r="E1864">
        <f>IF(OR(H1864="",P1864=""),"",INDEX('Students'!$C$2:$C$701,P1864))</f>
        <v/>
      </c>
      <c r="F1864" s="48">
        <f>IF(H1864="","",IF(ISNUMBER(O1864),O1864,J1864))</f>
        <v/>
      </c>
      <c r="G1864">
        <f>IF(H1864="","","OneCause")</f>
        <v/>
      </c>
      <c r="H1864">
        <f>IF(AND(I1864="",J1864="",K1864=""),"",IF(NOT(ISNUMBER(O1864)),"Bad amount",IF(O1864&lt;0,"Refund (not counted)",IF(O1864=0,"Zero amount",IF(NOT(ISNUMBER(N1864)),"Bad date",IF(P1864="","NAME NOT ON ROSTER",IF(L1864="","OK",IF(MATCH(L1864,$L$2:$L$3001,0)&lt;ROW()-1,"Duplicate (ignored)","OK"))))))))</f>
        <v/>
      </c>
      <c r="I1864">
        <f>IF(OC_Date=0,"",IF(INDEX('OneCause_Paste'!$A$1864:$AZ$1864,1,OC_Date)="","",INDEX('OneCause_Paste'!$A$1864:$AZ$1864,1,OC_Date)))</f>
        <v/>
      </c>
      <c r="J1864">
        <f>IF(OC_Amt=0,"",IF(INDEX('OneCause_Paste'!$A$1864:$AZ$1864,1,OC_Amt)="","",INDEX('OneCause_Paste'!$A$1864:$AZ$1864,1,OC_Amt)))</f>
        <v/>
      </c>
      <c r="K1864">
        <f>IF(OC_Name=0,"",IF(INDEX('OneCause_Paste'!$A$1864:$AZ$1864,1,OC_Name)="","",INDEX('OneCause_Paste'!$A$1864:$AZ$1864,1,OC_Name)))</f>
        <v/>
      </c>
      <c r="L1864">
        <f>IF(OC_Txn=0,"",IF(INDEX('OneCause_Paste'!$A$1864:$AZ$1864,1,OC_Txn)="","",INDEX('OneCause_Paste'!$A$1864:$AZ$1864,1,OC_Txn)))</f>
        <v/>
      </c>
      <c r="M1864">
        <f>IF(OC_Pay=0,"",IF(INDEX('OneCause_Paste'!$A$1864:$AZ$1864,1,OC_Pay)="","",INDEX('OneCause_Paste'!$A$1864:$AZ$1864,1,OC_Pay)))</f>
        <v/>
      </c>
      <c r="N1864">
        <f>IF(I1864="","",IF(ISNUMBER(I1864),INT(I1864),IFERROR(INT(DATEVALUE(I1864)),IFERROR(INT(VALUE(I1864)),"bad"))))</f>
        <v/>
      </c>
      <c r="O1864">
        <f>IF(J1864="","",IF(ISNUMBER(J1864),ROUND(J1864,2),IFERROR(ROUND(VALUE(SUBSTITUTE(SUBSTITUTE(SUBSTITUTE(J1864,"$",""),",","")," ","")),2),"bad")))</f>
        <v/>
      </c>
      <c r="P1864">
        <f>IF(TRIM(K1864)="","",IFERROR(MATCH(LOWER(TRIM(K1864)),'Students'!$AH$2:$AH$701,0),IFERROR(MATCH(LOWER(TRIM(K1864)),'Students'!$AF$2:$AF$701,0),IFERROR(MATCH(LOWER(TRIM(K1864)),'Students'!$AG$2:$AG$701,0),""))))</f>
        <v/>
      </c>
      <c r="R1864">
        <f>IF(P1864="","",INDEX('Students'!$AD$2:$AD$701,P1864))</f>
        <v/>
      </c>
      <c r="S1864">
        <f>IF(H1864="OK",O1864,0)</f>
        <v/>
      </c>
      <c r="T1864">
        <f>IF(H1864="OK",N1864,"")</f>
        <v/>
      </c>
      <c r="U1864">
        <f>IF(OC_Donor=0,"",IF(INDEX('OneCause_Paste'!$A$1864:$AZ$1864,1,OC_Donor)="","",INDEX('OneCause_Paste'!$A$1864:$AZ$1864,1,OC_Donor)))</f>
        <v/>
      </c>
    </row>
    <row r="1865">
      <c r="A1865" s="62">
        <f>IF(H1865="","",IF(ISNUMBER(N1865),N1865,I1865))</f>
        <v/>
      </c>
      <c r="B1865">
        <f>IF(H1865="","",U1865)</f>
        <v/>
      </c>
      <c r="C1865">
        <f>IF(H1865="","",IF(P1865="",K1865,INDEX('Students'!$A$2:$A$701,P1865)))</f>
        <v/>
      </c>
      <c r="D1865">
        <f>IF(OR(H1865="",P1865=""),"",INDEX('Students'!$B$2:$B$701,P1865))</f>
        <v/>
      </c>
      <c r="E1865">
        <f>IF(OR(H1865="",P1865=""),"",INDEX('Students'!$C$2:$C$701,P1865))</f>
        <v/>
      </c>
      <c r="F1865" s="48">
        <f>IF(H1865="","",IF(ISNUMBER(O1865),O1865,J1865))</f>
        <v/>
      </c>
      <c r="G1865">
        <f>IF(H1865="","","OneCause")</f>
        <v/>
      </c>
      <c r="H1865">
        <f>IF(AND(I1865="",J1865="",K1865=""),"",IF(NOT(ISNUMBER(O1865)),"Bad amount",IF(O1865&lt;0,"Refund (not counted)",IF(O1865=0,"Zero amount",IF(NOT(ISNUMBER(N1865)),"Bad date",IF(P1865="","NAME NOT ON ROSTER",IF(L1865="","OK",IF(MATCH(L1865,$L$2:$L$3001,0)&lt;ROW()-1,"Duplicate (ignored)","OK"))))))))</f>
        <v/>
      </c>
      <c r="I1865">
        <f>IF(OC_Date=0,"",IF(INDEX('OneCause_Paste'!$A$1865:$AZ$1865,1,OC_Date)="","",INDEX('OneCause_Paste'!$A$1865:$AZ$1865,1,OC_Date)))</f>
        <v/>
      </c>
      <c r="J1865">
        <f>IF(OC_Amt=0,"",IF(INDEX('OneCause_Paste'!$A$1865:$AZ$1865,1,OC_Amt)="","",INDEX('OneCause_Paste'!$A$1865:$AZ$1865,1,OC_Amt)))</f>
        <v/>
      </c>
      <c r="K1865">
        <f>IF(OC_Name=0,"",IF(INDEX('OneCause_Paste'!$A$1865:$AZ$1865,1,OC_Name)="","",INDEX('OneCause_Paste'!$A$1865:$AZ$1865,1,OC_Name)))</f>
        <v/>
      </c>
      <c r="L1865">
        <f>IF(OC_Txn=0,"",IF(INDEX('OneCause_Paste'!$A$1865:$AZ$1865,1,OC_Txn)="","",INDEX('OneCause_Paste'!$A$1865:$AZ$1865,1,OC_Txn)))</f>
        <v/>
      </c>
      <c r="M1865">
        <f>IF(OC_Pay=0,"",IF(INDEX('OneCause_Paste'!$A$1865:$AZ$1865,1,OC_Pay)="","",INDEX('OneCause_Paste'!$A$1865:$AZ$1865,1,OC_Pay)))</f>
        <v/>
      </c>
      <c r="N1865">
        <f>IF(I1865="","",IF(ISNUMBER(I1865),INT(I1865),IFERROR(INT(DATEVALUE(I1865)),IFERROR(INT(VALUE(I1865)),"bad"))))</f>
        <v/>
      </c>
      <c r="O1865">
        <f>IF(J1865="","",IF(ISNUMBER(J1865),ROUND(J1865,2),IFERROR(ROUND(VALUE(SUBSTITUTE(SUBSTITUTE(SUBSTITUTE(J1865,"$",""),",","")," ","")),2),"bad")))</f>
        <v/>
      </c>
      <c r="P1865">
        <f>IF(TRIM(K1865)="","",IFERROR(MATCH(LOWER(TRIM(K1865)),'Students'!$AH$2:$AH$701,0),IFERROR(MATCH(LOWER(TRIM(K1865)),'Students'!$AF$2:$AF$701,0),IFERROR(MATCH(LOWER(TRIM(K1865)),'Students'!$AG$2:$AG$701,0),""))))</f>
        <v/>
      </c>
      <c r="R1865">
        <f>IF(P1865="","",INDEX('Students'!$AD$2:$AD$701,P1865))</f>
        <v/>
      </c>
      <c r="S1865">
        <f>IF(H1865="OK",O1865,0)</f>
        <v/>
      </c>
      <c r="T1865">
        <f>IF(H1865="OK",N1865,"")</f>
        <v/>
      </c>
      <c r="U1865">
        <f>IF(OC_Donor=0,"",IF(INDEX('OneCause_Paste'!$A$1865:$AZ$1865,1,OC_Donor)="","",INDEX('OneCause_Paste'!$A$1865:$AZ$1865,1,OC_Donor)))</f>
        <v/>
      </c>
    </row>
    <row r="1866">
      <c r="A1866" s="62">
        <f>IF(H1866="","",IF(ISNUMBER(N1866),N1866,I1866))</f>
        <v/>
      </c>
      <c r="B1866">
        <f>IF(H1866="","",U1866)</f>
        <v/>
      </c>
      <c r="C1866">
        <f>IF(H1866="","",IF(P1866="",K1866,INDEX('Students'!$A$2:$A$701,P1866)))</f>
        <v/>
      </c>
      <c r="D1866">
        <f>IF(OR(H1866="",P1866=""),"",INDEX('Students'!$B$2:$B$701,P1866))</f>
        <v/>
      </c>
      <c r="E1866">
        <f>IF(OR(H1866="",P1866=""),"",INDEX('Students'!$C$2:$C$701,P1866))</f>
        <v/>
      </c>
      <c r="F1866" s="48">
        <f>IF(H1866="","",IF(ISNUMBER(O1866),O1866,J1866))</f>
        <v/>
      </c>
      <c r="G1866">
        <f>IF(H1866="","","OneCause")</f>
        <v/>
      </c>
      <c r="H1866">
        <f>IF(AND(I1866="",J1866="",K1866=""),"",IF(NOT(ISNUMBER(O1866)),"Bad amount",IF(O1866&lt;0,"Refund (not counted)",IF(O1866=0,"Zero amount",IF(NOT(ISNUMBER(N1866)),"Bad date",IF(P1866="","NAME NOT ON ROSTER",IF(L1866="","OK",IF(MATCH(L1866,$L$2:$L$3001,0)&lt;ROW()-1,"Duplicate (ignored)","OK"))))))))</f>
        <v/>
      </c>
      <c r="I1866">
        <f>IF(OC_Date=0,"",IF(INDEX('OneCause_Paste'!$A$1866:$AZ$1866,1,OC_Date)="","",INDEX('OneCause_Paste'!$A$1866:$AZ$1866,1,OC_Date)))</f>
        <v/>
      </c>
      <c r="J1866">
        <f>IF(OC_Amt=0,"",IF(INDEX('OneCause_Paste'!$A$1866:$AZ$1866,1,OC_Amt)="","",INDEX('OneCause_Paste'!$A$1866:$AZ$1866,1,OC_Amt)))</f>
        <v/>
      </c>
      <c r="K1866">
        <f>IF(OC_Name=0,"",IF(INDEX('OneCause_Paste'!$A$1866:$AZ$1866,1,OC_Name)="","",INDEX('OneCause_Paste'!$A$1866:$AZ$1866,1,OC_Name)))</f>
        <v/>
      </c>
      <c r="L1866">
        <f>IF(OC_Txn=0,"",IF(INDEX('OneCause_Paste'!$A$1866:$AZ$1866,1,OC_Txn)="","",INDEX('OneCause_Paste'!$A$1866:$AZ$1866,1,OC_Txn)))</f>
        <v/>
      </c>
      <c r="M1866">
        <f>IF(OC_Pay=0,"",IF(INDEX('OneCause_Paste'!$A$1866:$AZ$1866,1,OC_Pay)="","",INDEX('OneCause_Paste'!$A$1866:$AZ$1866,1,OC_Pay)))</f>
        <v/>
      </c>
      <c r="N1866">
        <f>IF(I1866="","",IF(ISNUMBER(I1866),INT(I1866),IFERROR(INT(DATEVALUE(I1866)),IFERROR(INT(VALUE(I1866)),"bad"))))</f>
        <v/>
      </c>
      <c r="O1866">
        <f>IF(J1866="","",IF(ISNUMBER(J1866),ROUND(J1866,2),IFERROR(ROUND(VALUE(SUBSTITUTE(SUBSTITUTE(SUBSTITUTE(J1866,"$",""),",","")," ","")),2),"bad")))</f>
        <v/>
      </c>
      <c r="P1866">
        <f>IF(TRIM(K1866)="","",IFERROR(MATCH(LOWER(TRIM(K1866)),'Students'!$AH$2:$AH$701,0),IFERROR(MATCH(LOWER(TRIM(K1866)),'Students'!$AF$2:$AF$701,0),IFERROR(MATCH(LOWER(TRIM(K1866)),'Students'!$AG$2:$AG$701,0),""))))</f>
        <v/>
      </c>
      <c r="R1866">
        <f>IF(P1866="","",INDEX('Students'!$AD$2:$AD$701,P1866))</f>
        <v/>
      </c>
      <c r="S1866">
        <f>IF(H1866="OK",O1866,0)</f>
        <v/>
      </c>
      <c r="T1866">
        <f>IF(H1866="OK",N1866,"")</f>
        <v/>
      </c>
      <c r="U1866">
        <f>IF(OC_Donor=0,"",IF(INDEX('OneCause_Paste'!$A$1866:$AZ$1866,1,OC_Donor)="","",INDEX('OneCause_Paste'!$A$1866:$AZ$1866,1,OC_Donor)))</f>
        <v/>
      </c>
    </row>
    <row r="1867">
      <c r="A1867" s="62">
        <f>IF(H1867="","",IF(ISNUMBER(N1867),N1867,I1867))</f>
        <v/>
      </c>
      <c r="B1867">
        <f>IF(H1867="","",U1867)</f>
        <v/>
      </c>
      <c r="C1867">
        <f>IF(H1867="","",IF(P1867="",K1867,INDEX('Students'!$A$2:$A$701,P1867)))</f>
        <v/>
      </c>
      <c r="D1867">
        <f>IF(OR(H1867="",P1867=""),"",INDEX('Students'!$B$2:$B$701,P1867))</f>
        <v/>
      </c>
      <c r="E1867">
        <f>IF(OR(H1867="",P1867=""),"",INDEX('Students'!$C$2:$C$701,P1867))</f>
        <v/>
      </c>
      <c r="F1867" s="48">
        <f>IF(H1867="","",IF(ISNUMBER(O1867),O1867,J1867))</f>
        <v/>
      </c>
      <c r="G1867">
        <f>IF(H1867="","","OneCause")</f>
        <v/>
      </c>
      <c r="H1867">
        <f>IF(AND(I1867="",J1867="",K1867=""),"",IF(NOT(ISNUMBER(O1867)),"Bad amount",IF(O1867&lt;0,"Refund (not counted)",IF(O1867=0,"Zero amount",IF(NOT(ISNUMBER(N1867)),"Bad date",IF(P1867="","NAME NOT ON ROSTER",IF(L1867="","OK",IF(MATCH(L1867,$L$2:$L$3001,0)&lt;ROW()-1,"Duplicate (ignored)","OK"))))))))</f>
        <v/>
      </c>
      <c r="I1867">
        <f>IF(OC_Date=0,"",IF(INDEX('OneCause_Paste'!$A$1867:$AZ$1867,1,OC_Date)="","",INDEX('OneCause_Paste'!$A$1867:$AZ$1867,1,OC_Date)))</f>
        <v/>
      </c>
      <c r="J1867">
        <f>IF(OC_Amt=0,"",IF(INDEX('OneCause_Paste'!$A$1867:$AZ$1867,1,OC_Amt)="","",INDEX('OneCause_Paste'!$A$1867:$AZ$1867,1,OC_Amt)))</f>
        <v/>
      </c>
      <c r="K1867">
        <f>IF(OC_Name=0,"",IF(INDEX('OneCause_Paste'!$A$1867:$AZ$1867,1,OC_Name)="","",INDEX('OneCause_Paste'!$A$1867:$AZ$1867,1,OC_Name)))</f>
        <v/>
      </c>
      <c r="L1867">
        <f>IF(OC_Txn=0,"",IF(INDEX('OneCause_Paste'!$A$1867:$AZ$1867,1,OC_Txn)="","",INDEX('OneCause_Paste'!$A$1867:$AZ$1867,1,OC_Txn)))</f>
        <v/>
      </c>
      <c r="M1867">
        <f>IF(OC_Pay=0,"",IF(INDEX('OneCause_Paste'!$A$1867:$AZ$1867,1,OC_Pay)="","",INDEX('OneCause_Paste'!$A$1867:$AZ$1867,1,OC_Pay)))</f>
        <v/>
      </c>
      <c r="N1867">
        <f>IF(I1867="","",IF(ISNUMBER(I1867),INT(I1867),IFERROR(INT(DATEVALUE(I1867)),IFERROR(INT(VALUE(I1867)),"bad"))))</f>
        <v/>
      </c>
      <c r="O1867">
        <f>IF(J1867="","",IF(ISNUMBER(J1867),ROUND(J1867,2),IFERROR(ROUND(VALUE(SUBSTITUTE(SUBSTITUTE(SUBSTITUTE(J1867,"$",""),",","")," ","")),2),"bad")))</f>
        <v/>
      </c>
      <c r="P1867">
        <f>IF(TRIM(K1867)="","",IFERROR(MATCH(LOWER(TRIM(K1867)),'Students'!$AH$2:$AH$701,0),IFERROR(MATCH(LOWER(TRIM(K1867)),'Students'!$AF$2:$AF$701,0),IFERROR(MATCH(LOWER(TRIM(K1867)),'Students'!$AG$2:$AG$701,0),""))))</f>
        <v/>
      </c>
      <c r="R1867">
        <f>IF(P1867="","",INDEX('Students'!$AD$2:$AD$701,P1867))</f>
        <v/>
      </c>
      <c r="S1867">
        <f>IF(H1867="OK",O1867,0)</f>
        <v/>
      </c>
      <c r="T1867">
        <f>IF(H1867="OK",N1867,"")</f>
        <v/>
      </c>
      <c r="U1867">
        <f>IF(OC_Donor=0,"",IF(INDEX('OneCause_Paste'!$A$1867:$AZ$1867,1,OC_Donor)="","",INDEX('OneCause_Paste'!$A$1867:$AZ$1867,1,OC_Donor)))</f>
        <v/>
      </c>
    </row>
    <row r="1868">
      <c r="A1868" s="62">
        <f>IF(H1868="","",IF(ISNUMBER(N1868),N1868,I1868))</f>
        <v/>
      </c>
      <c r="B1868">
        <f>IF(H1868="","",U1868)</f>
        <v/>
      </c>
      <c r="C1868">
        <f>IF(H1868="","",IF(P1868="",K1868,INDEX('Students'!$A$2:$A$701,P1868)))</f>
        <v/>
      </c>
      <c r="D1868">
        <f>IF(OR(H1868="",P1868=""),"",INDEX('Students'!$B$2:$B$701,P1868))</f>
        <v/>
      </c>
      <c r="E1868">
        <f>IF(OR(H1868="",P1868=""),"",INDEX('Students'!$C$2:$C$701,P1868))</f>
        <v/>
      </c>
      <c r="F1868" s="48">
        <f>IF(H1868="","",IF(ISNUMBER(O1868),O1868,J1868))</f>
        <v/>
      </c>
      <c r="G1868">
        <f>IF(H1868="","","OneCause")</f>
        <v/>
      </c>
      <c r="H1868">
        <f>IF(AND(I1868="",J1868="",K1868=""),"",IF(NOT(ISNUMBER(O1868)),"Bad amount",IF(O1868&lt;0,"Refund (not counted)",IF(O1868=0,"Zero amount",IF(NOT(ISNUMBER(N1868)),"Bad date",IF(P1868="","NAME NOT ON ROSTER",IF(L1868="","OK",IF(MATCH(L1868,$L$2:$L$3001,0)&lt;ROW()-1,"Duplicate (ignored)","OK"))))))))</f>
        <v/>
      </c>
      <c r="I1868">
        <f>IF(OC_Date=0,"",IF(INDEX('OneCause_Paste'!$A$1868:$AZ$1868,1,OC_Date)="","",INDEX('OneCause_Paste'!$A$1868:$AZ$1868,1,OC_Date)))</f>
        <v/>
      </c>
      <c r="J1868">
        <f>IF(OC_Amt=0,"",IF(INDEX('OneCause_Paste'!$A$1868:$AZ$1868,1,OC_Amt)="","",INDEX('OneCause_Paste'!$A$1868:$AZ$1868,1,OC_Amt)))</f>
        <v/>
      </c>
      <c r="K1868">
        <f>IF(OC_Name=0,"",IF(INDEX('OneCause_Paste'!$A$1868:$AZ$1868,1,OC_Name)="","",INDEX('OneCause_Paste'!$A$1868:$AZ$1868,1,OC_Name)))</f>
        <v/>
      </c>
      <c r="L1868">
        <f>IF(OC_Txn=0,"",IF(INDEX('OneCause_Paste'!$A$1868:$AZ$1868,1,OC_Txn)="","",INDEX('OneCause_Paste'!$A$1868:$AZ$1868,1,OC_Txn)))</f>
        <v/>
      </c>
      <c r="M1868">
        <f>IF(OC_Pay=0,"",IF(INDEX('OneCause_Paste'!$A$1868:$AZ$1868,1,OC_Pay)="","",INDEX('OneCause_Paste'!$A$1868:$AZ$1868,1,OC_Pay)))</f>
        <v/>
      </c>
      <c r="N1868">
        <f>IF(I1868="","",IF(ISNUMBER(I1868),INT(I1868),IFERROR(INT(DATEVALUE(I1868)),IFERROR(INT(VALUE(I1868)),"bad"))))</f>
        <v/>
      </c>
      <c r="O1868">
        <f>IF(J1868="","",IF(ISNUMBER(J1868),ROUND(J1868,2),IFERROR(ROUND(VALUE(SUBSTITUTE(SUBSTITUTE(SUBSTITUTE(J1868,"$",""),",","")," ","")),2),"bad")))</f>
        <v/>
      </c>
      <c r="P1868">
        <f>IF(TRIM(K1868)="","",IFERROR(MATCH(LOWER(TRIM(K1868)),'Students'!$AH$2:$AH$701,0),IFERROR(MATCH(LOWER(TRIM(K1868)),'Students'!$AF$2:$AF$701,0),IFERROR(MATCH(LOWER(TRIM(K1868)),'Students'!$AG$2:$AG$701,0),""))))</f>
        <v/>
      </c>
      <c r="R1868">
        <f>IF(P1868="","",INDEX('Students'!$AD$2:$AD$701,P1868))</f>
        <v/>
      </c>
      <c r="S1868">
        <f>IF(H1868="OK",O1868,0)</f>
        <v/>
      </c>
      <c r="T1868">
        <f>IF(H1868="OK",N1868,"")</f>
        <v/>
      </c>
      <c r="U1868">
        <f>IF(OC_Donor=0,"",IF(INDEX('OneCause_Paste'!$A$1868:$AZ$1868,1,OC_Donor)="","",INDEX('OneCause_Paste'!$A$1868:$AZ$1868,1,OC_Donor)))</f>
        <v/>
      </c>
    </row>
    <row r="1869">
      <c r="A1869" s="62">
        <f>IF(H1869="","",IF(ISNUMBER(N1869),N1869,I1869))</f>
        <v/>
      </c>
      <c r="B1869">
        <f>IF(H1869="","",U1869)</f>
        <v/>
      </c>
      <c r="C1869">
        <f>IF(H1869="","",IF(P1869="",K1869,INDEX('Students'!$A$2:$A$701,P1869)))</f>
        <v/>
      </c>
      <c r="D1869">
        <f>IF(OR(H1869="",P1869=""),"",INDEX('Students'!$B$2:$B$701,P1869))</f>
        <v/>
      </c>
      <c r="E1869">
        <f>IF(OR(H1869="",P1869=""),"",INDEX('Students'!$C$2:$C$701,P1869))</f>
        <v/>
      </c>
      <c r="F1869" s="48">
        <f>IF(H1869="","",IF(ISNUMBER(O1869),O1869,J1869))</f>
        <v/>
      </c>
      <c r="G1869">
        <f>IF(H1869="","","OneCause")</f>
        <v/>
      </c>
      <c r="H1869">
        <f>IF(AND(I1869="",J1869="",K1869=""),"",IF(NOT(ISNUMBER(O1869)),"Bad amount",IF(O1869&lt;0,"Refund (not counted)",IF(O1869=0,"Zero amount",IF(NOT(ISNUMBER(N1869)),"Bad date",IF(P1869="","NAME NOT ON ROSTER",IF(L1869="","OK",IF(MATCH(L1869,$L$2:$L$3001,0)&lt;ROW()-1,"Duplicate (ignored)","OK"))))))))</f>
        <v/>
      </c>
      <c r="I1869">
        <f>IF(OC_Date=0,"",IF(INDEX('OneCause_Paste'!$A$1869:$AZ$1869,1,OC_Date)="","",INDEX('OneCause_Paste'!$A$1869:$AZ$1869,1,OC_Date)))</f>
        <v/>
      </c>
      <c r="J1869">
        <f>IF(OC_Amt=0,"",IF(INDEX('OneCause_Paste'!$A$1869:$AZ$1869,1,OC_Amt)="","",INDEX('OneCause_Paste'!$A$1869:$AZ$1869,1,OC_Amt)))</f>
        <v/>
      </c>
      <c r="K1869">
        <f>IF(OC_Name=0,"",IF(INDEX('OneCause_Paste'!$A$1869:$AZ$1869,1,OC_Name)="","",INDEX('OneCause_Paste'!$A$1869:$AZ$1869,1,OC_Name)))</f>
        <v/>
      </c>
      <c r="L1869">
        <f>IF(OC_Txn=0,"",IF(INDEX('OneCause_Paste'!$A$1869:$AZ$1869,1,OC_Txn)="","",INDEX('OneCause_Paste'!$A$1869:$AZ$1869,1,OC_Txn)))</f>
        <v/>
      </c>
      <c r="M1869">
        <f>IF(OC_Pay=0,"",IF(INDEX('OneCause_Paste'!$A$1869:$AZ$1869,1,OC_Pay)="","",INDEX('OneCause_Paste'!$A$1869:$AZ$1869,1,OC_Pay)))</f>
        <v/>
      </c>
      <c r="N1869">
        <f>IF(I1869="","",IF(ISNUMBER(I1869),INT(I1869),IFERROR(INT(DATEVALUE(I1869)),IFERROR(INT(VALUE(I1869)),"bad"))))</f>
        <v/>
      </c>
      <c r="O1869">
        <f>IF(J1869="","",IF(ISNUMBER(J1869),ROUND(J1869,2),IFERROR(ROUND(VALUE(SUBSTITUTE(SUBSTITUTE(SUBSTITUTE(J1869,"$",""),",","")," ","")),2),"bad")))</f>
        <v/>
      </c>
      <c r="P1869">
        <f>IF(TRIM(K1869)="","",IFERROR(MATCH(LOWER(TRIM(K1869)),'Students'!$AH$2:$AH$701,0),IFERROR(MATCH(LOWER(TRIM(K1869)),'Students'!$AF$2:$AF$701,0),IFERROR(MATCH(LOWER(TRIM(K1869)),'Students'!$AG$2:$AG$701,0),""))))</f>
        <v/>
      </c>
      <c r="R1869">
        <f>IF(P1869="","",INDEX('Students'!$AD$2:$AD$701,P1869))</f>
        <v/>
      </c>
      <c r="S1869">
        <f>IF(H1869="OK",O1869,0)</f>
        <v/>
      </c>
      <c r="T1869">
        <f>IF(H1869="OK",N1869,"")</f>
        <v/>
      </c>
      <c r="U1869">
        <f>IF(OC_Donor=0,"",IF(INDEX('OneCause_Paste'!$A$1869:$AZ$1869,1,OC_Donor)="","",INDEX('OneCause_Paste'!$A$1869:$AZ$1869,1,OC_Donor)))</f>
        <v/>
      </c>
    </row>
    <row r="1870">
      <c r="A1870" s="62">
        <f>IF(H1870="","",IF(ISNUMBER(N1870),N1870,I1870))</f>
        <v/>
      </c>
      <c r="B1870">
        <f>IF(H1870="","",U1870)</f>
        <v/>
      </c>
      <c r="C1870">
        <f>IF(H1870="","",IF(P1870="",K1870,INDEX('Students'!$A$2:$A$701,P1870)))</f>
        <v/>
      </c>
      <c r="D1870">
        <f>IF(OR(H1870="",P1870=""),"",INDEX('Students'!$B$2:$B$701,P1870))</f>
        <v/>
      </c>
      <c r="E1870">
        <f>IF(OR(H1870="",P1870=""),"",INDEX('Students'!$C$2:$C$701,P1870))</f>
        <v/>
      </c>
      <c r="F1870" s="48">
        <f>IF(H1870="","",IF(ISNUMBER(O1870),O1870,J1870))</f>
        <v/>
      </c>
      <c r="G1870">
        <f>IF(H1870="","","OneCause")</f>
        <v/>
      </c>
      <c r="H1870">
        <f>IF(AND(I1870="",J1870="",K1870=""),"",IF(NOT(ISNUMBER(O1870)),"Bad amount",IF(O1870&lt;0,"Refund (not counted)",IF(O1870=0,"Zero amount",IF(NOT(ISNUMBER(N1870)),"Bad date",IF(P1870="","NAME NOT ON ROSTER",IF(L1870="","OK",IF(MATCH(L1870,$L$2:$L$3001,0)&lt;ROW()-1,"Duplicate (ignored)","OK"))))))))</f>
        <v/>
      </c>
      <c r="I1870">
        <f>IF(OC_Date=0,"",IF(INDEX('OneCause_Paste'!$A$1870:$AZ$1870,1,OC_Date)="","",INDEX('OneCause_Paste'!$A$1870:$AZ$1870,1,OC_Date)))</f>
        <v/>
      </c>
      <c r="J1870">
        <f>IF(OC_Amt=0,"",IF(INDEX('OneCause_Paste'!$A$1870:$AZ$1870,1,OC_Amt)="","",INDEX('OneCause_Paste'!$A$1870:$AZ$1870,1,OC_Amt)))</f>
        <v/>
      </c>
      <c r="K1870">
        <f>IF(OC_Name=0,"",IF(INDEX('OneCause_Paste'!$A$1870:$AZ$1870,1,OC_Name)="","",INDEX('OneCause_Paste'!$A$1870:$AZ$1870,1,OC_Name)))</f>
        <v/>
      </c>
      <c r="L1870">
        <f>IF(OC_Txn=0,"",IF(INDEX('OneCause_Paste'!$A$1870:$AZ$1870,1,OC_Txn)="","",INDEX('OneCause_Paste'!$A$1870:$AZ$1870,1,OC_Txn)))</f>
        <v/>
      </c>
      <c r="M1870">
        <f>IF(OC_Pay=0,"",IF(INDEX('OneCause_Paste'!$A$1870:$AZ$1870,1,OC_Pay)="","",INDEX('OneCause_Paste'!$A$1870:$AZ$1870,1,OC_Pay)))</f>
        <v/>
      </c>
      <c r="N1870">
        <f>IF(I1870="","",IF(ISNUMBER(I1870),INT(I1870),IFERROR(INT(DATEVALUE(I1870)),IFERROR(INT(VALUE(I1870)),"bad"))))</f>
        <v/>
      </c>
      <c r="O1870">
        <f>IF(J1870="","",IF(ISNUMBER(J1870),ROUND(J1870,2),IFERROR(ROUND(VALUE(SUBSTITUTE(SUBSTITUTE(SUBSTITUTE(J1870,"$",""),",","")," ","")),2),"bad")))</f>
        <v/>
      </c>
      <c r="P1870">
        <f>IF(TRIM(K1870)="","",IFERROR(MATCH(LOWER(TRIM(K1870)),'Students'!$AH$2:$AH$701,0),IFERROR(MATCH(LOWER(TRIM(K1870)),'Students'!$AF$2:$AF$701,0),IFERROR(MATCH(LOWER(TRIM(K1870)),'Students'!$AG$2:$AG$701,0),""))))</f>
        <v/>
      </c>
      <c r="R1870">
        <f>IF(P1870="","",INDEX('Students'!$AD$2:$AD$701,P1870))</f>
        <v/>
      </c>
      <c r="S1870">
        <f>IF(H1870="OK",O1870,0)</f>
        <v/>
      </c>
      <c r="T1870">
        <f>IF(H1870="OK",N1870,"")</f>
        <v/>
      </c>
      <c r="U1870">
        <f>IF(OC_Donor=0,"",IF(INDEX('OneCause_Paste'!$A$1870:$AZ$1870,1,OC_Donor)="","",INDEX('OneCause_Paste'!$A$1870:$AZ$1870,1,OC_Donor)))</f>
        <v/>
      </c>
    </row>
    <row r="1871">
      <c r="A1871" s="62">
        <f>IF(H1871="","",IF(ISNUMBER(N1871),N1871,I1871))</f>
        <v/>
      </c>
      <c r="B1871">
        <f>IF(H1871="","",U1871)</f>
        <v/>
      </c>
      <c r="C1871">
        <f>IF(H1871="","",IF(P1871="",K1871,INDEX('Students'!$A$2:$A$701,P1871)))</f>
        <v/>
      </c>
      <c r="D1871">
        <f>IF(OR(H1871="",P1871=""),"",INDEX('Students'!$B$2:$B$701,P1871))</f>
        <v/>
      </c>
      <c r="E1871">
        <f>IF(OR(H1871="",P1871=""),"",INDEX('Students'!$C$2:$C$701,P1871))</f>
        <v/>
      </c>
      <c r="F1871" s="48">
        <f>IF(H1871="","",IF(ISNUMBER(O1871),O1871,J1871))</f>
        <v/>
      </c>
      <c r="G1871">
        <f>IF(H1871="","","OneCause")</f>
        <v/>
      </c>
      <c r="H1871">
        <f>IF(AND(I1871="",J1871="",K1871=""),"",IF(NOT(ISNUMBER(O1871)),"Bad amount",IF(O1871&lt;0,"Refund (not counted)",IF(O1871=0,"Zero amount",IF(NOT(ISNUMBER(N1871)),"Bad date",IF(P1871="","NAME NOT ON ROSTER",IF(L1871="","OK",IF(MATCH(L1871,$L$2:$L$3001,0)&lt;ROW()-1,"Duplicate (ignored)","OK"))))))))</f>
        <v/>
      </c>
      <c r="I1871">
        <f>IF(OC_Date=0,"",IF(INDEX('OneCause_Paste'!$A$1871:$AZ$1871,1,OC_Date)="","",INDEX('OneCause_Paste'!$A$1871:$AZ$1871,1,OC_Date)))</f>
        <v/>
      </c>
      <c r="J1871">
        <f>IF(OC_Amt=0,"",IF(INDEX('OneCause_Paste'!$A$1871:$AZ$1871,1,OC_Amt)="","",INDEX('OneCause_Paste'!$A$1871:$AZ$1871,1,OC_Amt)))</f>
        <v/>
      </c>
      <c r="K1871">
        <f>IF(OC_Name=0,"",IF(INDEX('OneCause_Paste'!$A$1871:$AZ$1871,1,OC_Name)="","",INDEX('OneCause_Paste'!$A$1871:$AZ$1871,1,OC_Name)))</f>
        <v/>
      </c>
      <c r="L1871">
        <f>IF(OC_Txn=0,"",IF(INDEX('OneCause_Paste'!$A$1871:$AZ$1871,1,OC_Txn)="","",INDEX('OneCause_Paste'!$A$1871:$AZ$1871,1,OC_Txn)))</f>
        <v/>
      </c>
      <c r="M1871">
        <f>IF(OC_Pay=0,"",IF(INDEX('OneCause_Paste'!$A$1871:$AZ$1871,1,OC_Pay)="","",INDEX('OneCause_Paste'!$A$1871:$AZ$1871,1,OC_Pay)))</f>
        <v/>
      </c>
      <c r="N1871">
        <f>IF(I1871="","",IF(ISNUMBER(I1871),INT(I1871),IFERROR(INT(DATEVALUE(I1871)),IFERROR(INT(VALUE(I1871)),"bad"))))</f>
        <v/>
      </c>
      <c r="O1871">
        <f>IF(J1871="","",IF(ISNUMBER(J1871),ROUND(J1871,2),IFERROR(ROUND(VALUE(SUBSTITUTE(SUBSTITUTE(SUBSTITUTE(J1871,"$",""),",","")," ","")),2),"bad")))</f>
        <v/>
      </c>
      <c r="P1871">
        <f>IF(TRIM(K1871)="","",IFERROR(MATCH(LOWER(TRIM(K1871)),'Students'!$AH$2:$AH$701,0),IFERROR(MATCH(LOWER(TRIM(K1871)),'Students'!$AF$2:$AF$701,0),IFERROR(MATCH(LOWER(TRIM(K1871)),'Students'!$AG$2:$AG$701,0),""))))</f>
        <v/>
      </c>
      <c r="R1871">
        <f>IF(P1871="","",INDEX('Students'!$AD$2:$AD$701,P1871))</f>
        <v/>
      </c>
      <c r="S1871">
        <f>IF(H1871="OK",O1871,0)</f>
        <v/>
      </c>
      <c r="T1871">
        <f>IF(H1871="OK",N1871,"")</f>
        <v/>
      </c>
      <c r="U1871">
        <f>IF(OC_Donor=0,"",IF(INDEX('OneCause_Paste'!$A$1871:$AZ$1871,1,OC_Donor)="","",INDEX('OneCause_Paste'!$A$1871:$AZ$1871,1,OC_Donor)))</f>
        <v/>
      </c>
    </row>
    <row r="1872">
      <c r="A1872" s="62">
        <f>IF(H1872="","",IF(ISNUMBER(N1872),N1872,I1872))</f>
        <v/>
      </c>
      <c r="B1872">
        <f>IF(H1872="","",U1872)</f>
        <v/>
      </c>
      <c r="C1872">
        <f>IF(H1872="","",IF(P1872="",K1872,INDEX('Students'!$A$2:$A$701,P1872)))</f>
        <v/>
      </c>
      <c r="D1872">
        <f>IF(OR(H1872="",P1872=""),"",INDEX('Students'!$B$2:$B$701,P1872))</f>
        <v/>
      </c>
      <c r="E1872">
        <f>IF(OR(H1872="",P1872=""),"",INDEX('Students'!$C$2:$C$701,P1872))</f>
        <v/>
      </c>
      <c r="F1872" s="48">
        <f>IF(H1872="","",IF(ISNUMBER(O1872),O1872,J1872))</f>
        <v/>
      </c>
      <c r="G1872">
        <f>IF(H1872="","","OneCause")</f>
        <v/>
      </c>
      <c r="H1872">
        <f>IF(AND(I1872="",J1872="",K1872=""),"",IF(NOT(ISNUMBER(O1872)),"Bad amount",IF(O1872&lt;0,"Refund (not counted)",IF(O1872=0,"Zero amount",IF(NOT(ISNUMBER(N1872)),"Bad date",IF(P1872="","NAME NOT ON ROSTER",IF(L1872="","OK",IF(MATCH(L1872,$L$2:$L$3001,0)&lt;ROW()-1,"Duplicate (ignored)","OK"))))))))</f>
        <v/>
      </c>
      <c r="I1872">
        <f>IF(OC_Date=0,"",IF(INDEX('OneCause_Paste'!$A$1872:$AZ$1872,1,OC_Date)="","",INDEX('OneCause_Paste'!$A$1872:$AZ$1872,1,OC_Date)))</f>
        <v/>
      </c>
      <c r="J1872">
        <f>IF(OC_Amt=0,"",IF(INDEX('OneCause_Paste'!$A$1872:$AZ$1872,1,OC_Amt)="","",INDEX('OneCause_Paste'!$A$1872:$AZ$1872,1,OC_Amt)))</f>
        <v/>
      </c>
      <c r="K1872">
        <f>IF(OC_Name=0,"",IF(INDEX('OneCause_Paste'!$A$1872:$AZ$1872,1,OC_Name)="","",INDEX('OneCause_Paste'!$A$1872:$AZ$1872,1,OC_Name)))</f>
        <v/>
      </c>
      <c r="L1872">
        <f>IF(OC_Txn=0,"",IF(INDEX('OneCause_Paste'!$A$1872:$AZ$1872,1,OC_Txn)="","",INDEX('OneCause_Paste'!$A$1872:$AZ$1872,1,OC_Txn)))</f>
        <v/>
      </c>
      <c r="M1872">
        <f>IF(OC_Pay=0,"",IF(INDEX('OneCause_Paste'!$A$1872:$AZ$1872,1,OC_Pay)="","",INDEX('OneCause_Paste'!$A$1872:$AZ$1872,1,OC_Pay)))</f>
        <v/>
      </c>
      <c r="N1872">
        <f>IF(I1872="","",IF(ISNUMBER(I1872),INT(I1872),IFERROR(INT(DATEVALUE(I1872)),IFERROR(INT(VALUE(I1872)),"bad"))))</f>
        <v/>
      </c>
      <c r="O1872">
        <f>IF(J1872="","",IF(ISNUMBER(J1872),ROUND(J1872,2),IFERROR(ROUND(VALUE(SUBSTITUTE(SUBSTITUTE(SUBSTITUTE(J1872,"$",""),",","")," ","")),2),"bad")))</f>
        <v/>
      </c>
      <c r="P1872">
        <f>IF(TRIM(K1872)="","",IFERROR(MATCH(LOWER(TRIM(K1872)),'Students'!$AH$2:$AH$701,0),IFERROR(MATCH(LOWER(TRIM(K1872)),'Students'!$AF$2:$AF$701,0),IFERROR(MATCH(LOWER(TRIM(K1872)),'Students'!$AG$2:$AG$701,0),""))))</f>
        <v/>
      </c>
      <c r="R1872">
        <f>IF(P1872="","",INDEX('Students'!$AD$2:$AD$701,P1872))</f>
        <v/>
      </c>
      <c r="S1872">
        <f>IF(H1872="OK",O1872,0)</f>
        <v/>
      </c>
      <c r="T1872">
        <f>IF(H1872="OK",N1872,"")</f>
        <v/>
      </c>
      <c r="U1872">
        <f>IF(OC_Donor=0,"",IF(INDEX('OneCause_Paste'!$A$1872:$AZ$1872,1,OC_Donor)="","",INDEX('OneCause_Paste'!$A$1872:$AZ$1872,1,OC_Donor)))</f>
        <v/>
      </c>
    </row>
    <row r="1873">
      <c r="A1873" s="62">
        <f>IF(H1873="","",IF(ISNUMBER(N1873),N1873,I1873))</f>
        <v/>
      </c>
      <c r="B1873">
        <f>IF(H1873="","",U1873)</f>
        <v/>
      </c>
      <c r="C1873">
        <f>IF(H1873="","",IF(P1873="",K1873,INDEX('Students'!$A$2:$A$701,P1873)))</f>
        <v/>
      </c>
      <c r="D1873">
        <f>IF(OR(H1873="",P1873=""),"",INDEX('Students'!$B$2:$B$701,P1873))</f>
        <v/>
      </c>
      <c r="E1873">
        <f>IF(OR(H1873="",P1873=""),"",INDEX('Students'!$C$2:$C$701,P1873))</f>
        <v/>
      </c>
      <c r="F1873" s="48">
        <f>IF(H1873="","",IF(ISNUMBER(O1873),O1873,J1873))</f>
        <v/>
      </c>
      <c r="G1873">
        <f>IF(H1873="","","OneCause")</f>
        <v/>
      </c>
      <c r="H1873">
        <f>IF(AND(I1873="",J1873="",K1873=""),"",IF(NOT(ISNUMBER(O1873)),"Bad amount",IF(O1873&lt;0,"Refund (not counted)",IF(O1873=0,"Zero amount",IF(NOT(ISNUMBER(N1873)),"Bad date",IF(P1873="","NAME NOT ON ROSTER",IF(L1873="","OK",IF(MATCH(L1873,$L$2:$L$3001,0)&lt;ROW()-1,"Duplicate (ignored)","OK"))))))))</f>
        <v/>
      </c>
      <c r="I1873">
        <f>IF(OC_Date=0,"",IF(INDEX('OneCause_Paste'!$A$1873:$AZ$1873,1,OC_Date)="","",INDEX('OneCause_Paste'!$A$1873:$AZ$1873,1,OC_Date)))</f>
        <v/>
      </c>
      <c r="J1873">
        <f>IF(OC_Amt=0,"",IF(INDEX('OneCause_Paste'!$A$1873:$AZ$1873,1,OC_Amt)="","",INDEX('OneCause_Paste'!$A$1873:$AZ$1873,1,OC_Amt)))</f>
        <v/>
      </c>
      <c r="K1873">
        <f>IF(OC_Name=0,"",IF(INDEX('OneCause_Paste'!$A$1873:$AZ$1873,1,OC_Name)="","",INDEX('OneCause_Paste'!$A$1873:$AZ$1873,1,OC_Name)))</f>
        <v/>
      </c>
      <c r="L1873">
        <f>IF(OC_Txn=0,"",IF(INDEX('OneCause_Paste'!$A$1873:$AZ$1873,1,OC_Txn)="","",INDEX('OneCause_Paste'!$A$1873:$AZ$1873,1,OC_Txn)))</f>
        <v/>
      </c>
      <c r="M1873">
        <f>IF(OC_Pay=0,"",IF(INDEX('OneCause_Paste'!$A$1873:$AZ$1873,1,OC_Pay)="","",INDEX('OneCause_Paste'!$A$1873:$AZ$1873,1,OC_Pay)))</f>
        <v/>
      </c>
      <c r="N1873">
        <f>IF(I1873="","",IF(ISNUMBER(I1873),INT(I1873),IFERROR(INT(DATEVALUE(I1873)),IFERROR(INT(VALUE(I1873)),"bad"))))</f>
        <v/>
      </c>
      <c r="O1873">
        <f>IF(J1873="","",IF(ISNUMBER(J1873),ROUND(J1873,2),IFERROR(ROUND(VALUE(SUBSTITUTE(SUBSTITUTE(SUBSTITUTE(J1873,"$",""),",","")," ","")),2),"bad")))</f>
        <v/>
      </c>
      <c r="P1873">
        <f>IF(TRIM(K1873)="","",IFERROR(MATCH(LOWER(TRIM(K1873)),'Students'!$AH$2:$AH$701,0),IFERROR(MATCH(LOWER(TRIM(K1873)),'Students'!$AF$2:$AF$701,0),IFERROR(MATCH(LOWER(TRIM(K1873)),'Students'!$AG$2:$AG$701,0),""))))</f>
        <v/>
      </c>
      <c r="R1873">
        <f>IF(P1873="","",INDEX('Students'!$AD$2:$AD$701,P1873))</f>
        <v/>
      </c>
      <c r="S1873">
        <f>IF(H1873="OK",O1873,0)</f>
        <v/>
      </c>
      <c r="T1873">
        <f>IF(H1873="OK",N1873,"")</f>
        <v/>
      </c>
      <c r="U1873">
        <f>IF(OC_Donor=0,"",IF(INDEX('OneCause_Paste'!$A$1873:$AZ$1873,1,OC_Donor)="","",INDEX('OneCause_Paste'!$A$1873:$AZ$1873,1,OC_Donor)))</f>
        <v/>
      </c>
    </row>
    <row r="1874">
      <c r="A1874" s="62">
        <f>IF(H1874="","",IF(ISNUMBER(N1874),N1874,I1874))</f>
        <v/>
      </c>
      <c r="B1874">
        <f>IF(H1874="","",U1874)</f>
        <v/>
      </c>
      <c r="C1874">
        <f>IF(H1874="","",IF(P1874="",K1874,INDEX('Students'!$A$2:$A$701,P1874)))</f>
        <v/>
      </c>
      <c r="D1874">
        <f>IF(OR(H1874="",P1874=""),"",INDEX('Students'!$B$2:$B$701,P1874))</f>
        <v/>
      </c>
      <c r="E1874">
        <f>IF(OR(H1874="",P1874=""),"",INDEX('Students'!$C$2:$C$701,P1874))</f>
        <v/>
      </c>
      <c r="F1874" s="48">
        <f>IF(H1874="","",IF(ISNUMBER(O1874),O1874,J1874))</f>
        <v/>
      </c>
      <c r="G1874">
        <f>IF(H1874="","","OneCause")</f>
        <v/>
      </c>
      <c r="H1874">
        <f>IF(AND(I1874="",J1874="",K1874=""),"",IF(NOT(ISNUMBER(O1874)),"Bad amount",IF(O1874&lt;0,"Refund (not counted)",IF(O1874=0,"Zero amount",IF(NOT(ISNUMBER(N1874)),"Bad date",IF(P1874="","NAME NOT ON ROSTER",IF(L1874="","OK",IF(MATCH(L1874,$L$2:$L$3001,0)&lt;ROW()-1,"Duplicate (ignored)","OK"))))))))</f>
        <v/>
      </c>
      <c r="I1874">
        <f>IF(OC_Date=0,"",IF(INDEX('OneCause_Paste'!$A$1874:$AZ$1874,1,OC_Date)="","",INDEX('OneCause_Paste'!$A$1874:$AZ$1874,1,OC_Date)))</f>
        <v/>
      </c>
      <c r="J1874">
        <f>IF(OC_Amt=0,"",IF(INDEX('OneCause_Paste'!$A$1874:$AZ$1874,1,OC_Amt)="","",INDEX('OneCause_Paste'!$A$1874:$AZ$1874,1,OC_Amt)))</f>
        <v/>
      </c>
      <c r="K1874">
        <f>IF(OC_Name=0,"",IF(INDEX('OneCause_Paste'!$A$1874:$AZ$1874,1,OC_Name)="","",INDEX('OneCause_Paste'!$A$1874:$AZ$1874,1,OC_Name)))</f>
        <v/>
      </c>
      <c r="L1874">
        <f>IF(OC_Txn=0,"",IF(INDEX('OneCause_Paste'!$A$1874:$AZ$1874,1,OC_Txn)="","",INDEX('OneCause_Paste'!$A$1874:$AZ$1874,1,OC_Txn)))</f>
        <v/>
      </c>
      <c r="M1874">
        <f>IF(OC_Pay=0,"",IF(INDEX('OneCause_Paste'!$A$1874:$AZ$1874,1,OC_Pay)="","",INDEX('OneCause_Paste'!$A$1874:$AZ$1874,1,OC_Pay)))</f>
        <v/>
      </c>
      <c r="N1874">
        <f>IF(I1874="","",IF(ISNUMBER(I1874),INT(I1874),IFERROR(INT(DATEVALUE(I1874)),IFERROR(INT(VALUE(I1874)),"bad"))))</f>
        <v/>
      </c>
      <c r="O1874">
        <f>IF(J1874="","",IF(ISNUMBER(J1874),ROUND(J1874,2),IFERROR(ROUND(VALUE(SUBSTITUTE(SUBSTITUTE(SUBSTITUTE(J1874,"$",""),",","")," ","")),2),"bad")))</f>
        <v/>
      </c>
      <c r="P1874">
        <f>IF(TRIM(K1874)="","",IFERROR(MATCH(LOWER(TRIM(K1874)),'Students'!$AH$2:$AH$701,0),IFERROR(MATCH(LOWER(TRIM(K1874)),'Students'!$AF$2:$AF$701,0),IFERROR(MATCH(LOWER(TRIM(K1874)),'Students'!$AG$2:$AG$701,0),""))))</f>
        <v/>
      </c>
      <c r="R1874">
        <f>IF(P1874="","",INDEX('Students'!$AD$2:$AD$701,P1874))</f>
        <v/>
      </c>
      <c r="S1874">
        <f>IF(H1874="OK",O1874,0)</f>
        <v/>
      </c>
      <c r="T1874">
        <f>IF(H1874="OK",N1874,"")</f>
        <v/>
      </c>
      <c r="U1874">
        <f>IF(OC_Donor=0,"",IF(INDEX('OneCause_Paste'!$A$1874:$AZ$1874,1,OC_Donor)="","",INDEX('OneCause_Paste'!$A$1874:$AZ$1874,1,OC_Donor)))</f>
        <v/>
      </c>
    </row>
    <row r="1875">
      <c r="A1875" s="62">
        <f>IF(H1875="","",IF(ISNUMBER(N1875),N1875,I1875))</f>
        <v/>
      </c>
      <c r="B1875">
        <f>IF(H1875="","",U1875)</f>
        <v/>
      </c>
      <c r="C1875">
        <f>IF(H1875="","",IF(P1875="",K1875,INDEX('Students'!$A$2:$A$701,P1875)))</f>
        <v/>
      </c>
      <c r="D1875">
        <f>IF(OR(H1875="",P1875=""),"",INDEX('Students'!$B$2:$B$701,P1875))</f>
        <v/>
      </c>
      <c r="E1875">
        <f>IF(OR(H1875="",P1875=""),"",INDEX('Students'!$C$2:$C$701,P1875))</f>
        <v/>
      </c>
      <c r="F1875" s="48">
        <f>IF(H1875="","",IF(ISNUMBER(O1875),O1875,J1875))</f>
        <v/>
      </c>
      <c r="G1875">
        <f>IF(H1875="","","OneCause")</f>
        <v/>
      </c>
      <c r="H1875">
        <f>IF(AND(I1875="",J1875="",K1875=""),"",IF(NOT(ISNUMBER(O1875)),"Bad amount",IF(O1875&lt;0,"Refund (not counted)",IF(O1875=0,"Zero amount",IF(NOT(ISNUMBER(N1875)),"Bad date",IF(P1875="","NAME NOT ON ROSTER",IF(L1875="","OK",IF(MATCH(L1875,$L$2:$L$3001,0)&lt;ROW()-1,"Duplicate (ignored)","OK"))))))))</f>
        <v/>
      </c>
      <c r="I1875">
        <f>IF(OC_Date=0,"",IF(INDEX('OneCause_Paste'!$A$1875:$AZ$1875,1,OC_Date)="","",INDEX('OneCause_Paste'!$A$1875:$AZ$1875,1,OC_Date)))</f>
        <v/>
      </c>
      <c r="J1875">
        <f>IF(OC_Amt=0,"",IF(INDEX('OneCause_Paste'!$A$1875:$AZ$1875,1,OC_Amt)="","",INDEX('OneCause_Paste'!$A$1875:$AZ$1875,1,OC_Amt)))</f>
        <v/>
      </c>
      <c r="K1875">
        <f>IF(OC_Name=0,"",IF(INDEX('OneCause_Paste'!$A$1875:$AZ$1875,1,OC_Name)="","",INDEX('OneCause_Paste'!$A$1875:$AZ$1875,1,OC_Name)))</f>
        <v/>
      </c>
      <c r="L1875">
        <f>IF(OC_Txn=0,"",IF(INDEX('OneCause_Paste'!$A$1875:$AZ$1875,1,OC_Txn)="","",INDEX('OneCause_Paste'!$A$1875:$AZ$1875,1,OC_Txn)))</f>
        <v/>
      </c>
      <c r="M1875">
        <f>IF(OC_Pay=0,"",IF(INDEX('OneCause_Paste'!$A$1875:$AZ$1875,1,OC_Pay)="","",INDEX('OneCause_Paste'!$A$1875:$AZ$1875,1,OC_Pay)))</f>
        <v/>
      </c>
      <c r="N1875">
        <f>IF(I1875="","",IF(ISNUMBER(I1875),INT(I1875),IFERROR(INT(DATEVALUE(I1875)),IFERROR(INT(VALUE(I1875)),"bad"))))</f>
        <v/>
      </c>
      <c r="O1875">
        <f>IF(J1875="","",IF(ISNUMBER(J1875),ROUND(J1875,2),IFERROR(ROUND(VALUE(SUBSTITUTE(SUBSTITUTE(SUBSTITUTE(J1875,"$",""),",","")," ","")),2),"bad")))</f>
        <v/>
      </c>
      <c r="P1875">
        <f>IF(TRIM(K1875)="","",IFERROR(MATCH(LOWER(TRIM(K1875)),'Students'!$AH$2:$AH$701,0),IFERROR(MATCH(LOWER(TRIM(K1875)),'Students'!$AF$2:$AF$701,0),IFERROR(MATCH(LOWER(TRIM(K1875)),'Students'!$AG$2:$AG$701,0),""))))</f>
        <v/>
      </c>
      <c r="R1875">
        <f>IF(P1875="","",INDEX('Students'!$AD$2:$AD$701,P1875))</f>
        <v/>
      </c>
      <c r="S1875">
        <f>IF(H1875="OK",O1875,0)</f>
        <v/>
      </c>
      <c r="T1875">
        <f>IF(H1875="OK",N1875,"")</f>
        <v/>
      </c>
      <c r="U1875">
        <f>IF(OC_Donor=0,"",IF(INDEX('OneCause_Paste'!$A$1875:$AZ$1875,1,OC_Donor)="","",INDEX('OneCause_Paste'!$A$1875:$AZ$1875,1,OC_Donor)))</f>
        <v/>
      </c>
    </row>
    <row r="1876">
      <c r="A1876" s="62">
        <f>IF(H1876="","",IF(ISNUMBER(N1876),N1876,I1876))</f>
        <v/>
      </c>
      <c r="B1876">
        <f>IF(H1876="","",U1876)</f>
        <v/>
      </c>
      <c r="C1876">
        <f>IF(H1876="","",IF(P1876="",K1876,INDEX('Students'!$A$2:$A$701,P1876)))</f>
        <v/>
      </c>
      <c r="D1876">
        <f>IF(OR(H1876="",P1876=""),"",INDEX('Students'!$B$2:$B$701,P1876))</f>
        <v/>
      </c>
      <c r="E1876">
        <f>IF(OR(H1876="",P1876=""),"",INDEX('Students'!$C$2:$C$701,P1876))</f>
        <v/>
      </c>
      <c r="F1876" s="48">
        <f>IF(H1876="","",IF(ISNUMBER(O1876),O1876,J1876))</f>
        <v/>
      </c>
      <c r="G1876">
        <f>IF(H1876="","","OneCause")</f>
        <v/>
      </c>
      <c r="H1876">
        <f>IF(AND(I1876="",J1876="",K1876=""),"",IF(NOT(ISNUMBER(O1876)),"Bad amount",IF(O1876&lt;0,"Refund (not counted)",IF(O1876=0,"Zero amount",IF(NOT(ISNUMBER(N1876)),"Bad date",IF(P1876="","NAME NOT ON ROSTER",IF(L1876="","OK",IF(MATCH(L1876,$L$2:$L$3001,0)&lt;ROW()-1,"Duplicate (ignored)","OK"))))))))</f>
        <v/>
      </c>
      <c r="I1876">
        <f>IF(OC_Date=0,"",IF(INDEX('OneCause_Paste'!$A$1876:$AZ$1876,1,OC_Date)="","",INDEX('OneCause_Paste'!$A$1876:$AZ$1876,1,OC_Date)))</f>
        <v/>
      </c>
      <c r="J1876">
        <f>IF(OC_Amt=0,"",IF(INDEX('OneCause_Paste'!$A$1876:$AZ$1876,1,OC_Amt)="","",INDEX('OneCause_Paste'!$A$1876:$AZ$1876,1,OC_Amt)))</f>
        <v/>
      </c>
      <c r="K1876">
        <f>IF(OC_Name=0,"",IF(INDEX('OneCause_Paste'!$A$1876:$AZ$1876,1,OC_Name)="","",INDEX('OneCause_Paste'!$A$1876:$AZ$1876,1,OC_Name)))</f>
        <v/>
      </c>
      <c r="L1876">
        <f>IF(OC_Txn=0,"",IF(INDEX('OneCause_Paste'!$A$1876:$AZ$1876,1,OC_Txn)="","",INDEX('OneCause_Paste'!$A$1876:$AZ$1876,1,OC_Txn)))</f>
        <v/>
      </c>
      <c r="M1876">
        <f>IF(OC_Pay=0,"",IF(INDEX('OneCause_Paste'!$A$1876:$AZ$1876,1,OC_Pay)="","",INDEX('OneCause_Paste'!$A$1876:$AZ$1876,1,OC_Pay)))</f>
        <v/>
      </c>
      <c r="N1876">
        <f>IF(I1876="","",IF(ISNUMBER(I1876),INT(I1876),IFERROR(INT(DATEVALUE(I1876)),IFERROR(INT(VALUE(I1876)),"bad"))))</f>
        <v/>
      </c>
      <c r="O1876">
        <f>IF(J1876="","",IF(ISNUMBER(J1876),ROUND(J1876,2),IFERROR(ROUND(VALUE(SUBSTITUTE(SUBSTITUTE(SUBSTITUTE(J1876,"$",""),",","")," ","")),2),"bad")))</f>
        <v/>
      </c>
      <c r="P1876">
        <f>IF(TRIM(K1876)="","",IFERROR(MATCH(LOWER(TRIM(K1876)),'Students'!$AH$2:$AH$701,0),IFERROR(MATCH(LOWER(TRIM(K1876)),'Students'!$AF$2:$AF$701,0),IFERROR(MATCH(LOWER(TRIM(K1876)),'Students'!$AG$2:$AG$701,0),""))))</f>
        <v/>
      </c>
      <c r="R1876">
        <f>IF(P1876="","",INDEX('Students'!$AD$2:$AD$701,P1876))</f>
        <v/>
      </c>
      <c r="S1876">
        <f>IF(H1876="OK",O1876,0)</f>
        <v/>
      </c>
      <c r="T1876">
        <f>IF(H1876="OK",N1876,"")</f>
        <v/>
      </c>
      <c r="U1876">
        <f>IF(OC_Donor=0,"",IF(INDEX('OneCause_Paste'!$A$1876:$AZ$1876,1,OC_Donor)="","",INDEX('OneCause_Paste'!$A$1876:$AZ$1876,1,OC_Donor)))</f>
        <v/>
      </c>
    </row>
    <row r="1877">
      <c r="A1877" s="62">
        <f>IF(H1877="","",IF(ISNUMBER(N1877),N1877,I1877))</f>
        <v/>
      </c>
      <c r="B1877">
        <f>IF(H1877="","",U1877)</f>
        <v/>
      </c>
      <c r="C1877">
        <f>IF(H1877="","",IF(P1877="",K1877,INDEX('Students'!$A$2:$A$701,P1877)))</f>
        <v/>
      </c>
      <c r="D1877">
        <f>IF(OR(H1877="",P1877=""),"",INDEX('Students'!$B$2:$B$701,P1877))</f>
        <v/>
      </c>
      <c r="E1877">
        <f>IF(OR(H1877="",P1877=""),"",INDEX('Students'!$C$2:$C$701,P1877))</f>
        <v/>
      </c>
      <c r="F1877" s="48">
        <f>IF(H1877="","",IF(ISNUMBER(O1877),O1877,J1877))</f>
        <v/>
      </c>
      <c r="G1877">
        <f>IF(H1877="","","OneCause")</f>
        <v/>
      </c>
      <c r="H1877">
        <f>IF(AND(I1877="",J1877="",K1877=""),"",IF(NOT(ISNUMBER(O1877)),"Bad amount",IF(O1877&lt;0,"Refund (not counted)",IF(O1877=0,"Zero amount",IF(NOT(ISNUMBER(N1877)),"Bad date",IF(P1877="","NAME NOT ON ROSTER",IF(L1877="","OK",IF(MATCH(L1877,$L$2:$L$3001,0)&lt;ROW()-1,"Duplicate (ignored)","OK"))))))))</f>
        <v/>
      </c>
      <c r="I1877">
        <f>IF(OC_Date=0,"",IF(INDEX('OneCause_Paste'!$A$1877:$AZ$1877,1,OC_Date)="","",INDEX('OneCause_Paste'!$A$1877:$AZ$1877,1,OC_Date)))</f>
        <v/>
      </c>
      <c r="J1877">
        <f>IF(OC_Amt=0,"",IF(INDEX('OneCause_Paste'!$A$1877:$AZ$1877,1,OC_Amt)="","",INDEX('OneCause_Paste'!$A$1877:$AZ$1877,1,OC_Amt)))</f>
        <v/>
      </c>
      <c r="K1877">
        <f>IF(OC_Name=0,"",IF(INDEX('OneCause_Paste'!$A$1877:$AZ$1877,1,OC_Name)="","",INDEX('OneCause_Paste'!$A$1877:$AZ$1877,1,OC_Name)))</f>
        <v/>
      </c>
      <c r="L1877">
        <f>IF(OC_Txn=0,"",IF(INDEX('OneCause_Paste'!$A$1877:$AZ$1877,1,OC_Txn)="","",INDEX('OneCause_Paste'!$A$1877:$AZ$1877,1,OC_Txn)))</f>
        <v/>
      </c>
      <c r="M1877">
        <f>IF(OC_Pay=0,"",IF(INDEX('OneCause_Paste'!$A$1877:$AZ$1877,1,OC_Pay)="","",INDEX('OneCause_Paste'!$A$1877:$AZ$1877,1,OC_Pay)))</f>
        <v/>
      </c>
      <c r="N1877">
        <f>IF(I1877="","",IF(ISNUMBER(I1877),INT(I1877),IFERROR(INT(DATEVALUE(I1877)),IFERROR(INT(VALUE(I1877)),"bad"))))</f>
        <v/>
      </c>
      <c r="O1877">
        <f>IF(J1877="","",IF(ISNUMBER(J1877),ROUND(J1877,2),IFERROR(ROUND(VALUE(SUBSTITUTE(SUBSTITUTE(SUBSTITUTE(J1877,"$",""),",","")," ","")),2),"bad")))</f>
        <v/>
      </c>
      <c r="P1877">
        <f>IF(TRIM(K1877)="","",IFERROR(MATCH(LOWER(TRIM(K1877)),'Students'!$AH$2:$AH$701,0),IFERROR(MATCH(LOWER(TRIM(K1877)),'Students'!$AF$2:$AF$701,0),IFERROR(MATCH(LOWER(TRIM(K1877)),'Students'!$AG$2:$AG$701,0),""))))</f>
        <v/>
      </c>
      <c r="R1877">
        <f>IF(P1877="","",INDEX('Students'!$AD$2:$AD$701,P1877))</f>
        <v/>
      </c>
      <c r="S1877">
        <f>IF(H1877="OK",O1877,0)</f>
        <v/>
      </c>
      <c r="T1877">
        <f>IF(H1877="OK",N1877,"")</f>
        <v/>
      </c>
      <c r="U1877">
        <f>IF(OC_Donor=0,"",IF(INDEX('OneCause_Paste'!$A$1877:$AZ$1877,1,OC_Donor)="","",INDEX('OneCause_Paste'!$A$1877:$AZ$1877,1,OC_Donor)))</f>
        <v/>
      </c>
    </row>
    <row r="1878">
      <c r="A1878" s="62">
        <f>IF(H1878="","",IF(ISNUMBER(N1878),N1878,I1878))</f>
        <v/>
      </c>
      <c r="B1878">
        <f>IF(H1878="","",U1878)</f>
        <v/>
      </c>
      <c r="C1878">
        <f>IF(H1878="","",IF(P1878="",K1878,INDEX('Students'!$A$2:$A$701,P1878)))</f>
        <v/>
      </c>
      <c r="D1878">
        <f>IF(OR(H1878="",P1878=""),"",INDEX('Students'!$B$2:$B$701,P1878))</f>
        <v/>
      </c>
      <c r="E1878">
        <f>IF(OR(H1878="",P1878=""),"",INDEX('Students'!$C$2:$C$701,P1878))</f>
        <v/>
      </c>
      <c r="F1878" s="48">
        <f>IF(H1878="","",IF(ISNUMBER(O1878),O1878,J1878))</f>
        <v/>
      </c>
      <c r="G1878">
        <f>IF(H1878="","","OneCause")</f>
        <v/>
      </c>
      <c r="H1878">
        <f>IF(AND(I1878="",J1878="",K1878=""),"",IF(NOT(ISNUMBER(O1878)),"Bad amount",IF(O1878&lt;0,"Refund (not counted)",IF(O1878=0,"Zero amount",IF(NOT(ISNUMBER(N1878)),"Bad date",IF(P1878="","NAME NOT ON ROSTER",IF(L1878="","OK",IF(MATCH(L1878,$L$2:$L$3001,0)&lt;ROW()-1,"Duplicate (ignored)","OK"))))))))</f>
        <v/>
      </c>
      <c r="I1878">
        <f>IF(OC_Date=0,"",IF(INDEX('OneCause_Paste'!$A$1878:$AZ$1878,1,OC_Date)="","",INDEX('OneCause_Paste'!$A$1878:$AZ$1878,1,OC_Date)))</f>
        <v/>
      </c>
      <c r="J1878">
        <f>IF(OC_Amt=0,"",IF(INDEX('OneCause_Paste'!$A$1878:$AZ$1878,1,OC_Amt)="","",INDEX('OneCause_Paste'!$A$1878:$AZ$1878,1,OC_Amt)))</f>
        <v/>
      </c>
      <c r="K1878">
        <f>IF(OC_Name=0,"",IF(INDEX('OneCause_Paste'!$A$1878:$AZ$1878,1,OC_Name)="","",INDEX('OneCause_Paste'!$A$1878:$AZ$1878,1,OC_Name)))</f>
        <v/>
      </c>
      <c r="L1878">
        <f>IF(OC_Txn=0,"",IF(INDEX('OneCause_Paste'!$A$1878:$AZ$1878,1,OC_Txn)="","",INDEX('OneCause_Paste'!$A$1878:$AZ$1878,1,OC_Txn)))</f>
        <v/>
      </c>
      <c r="M1878">
        <f>IF(OC_Pay=0,"",IF(INDEX('OneCause_Paste'!$A$1878:$AZ$1878,1,OC_Pay)="","",INDEX('OneCause_Paste'!$A$1878:$AZ$1878,1,OC_Pay)))</f>
        <v/>
      </c>
      <c r="N1878">
        <f>IF(I1878="","",IF(ISNUMBER(I1878),INT(I1878),IFERROR(INT(DATEVALUE(I1878)),IFERROR(INT(VALUE(I1878)),"bad"))))</f>
        <v/>
      </c>
      <c r="O1878">
        <f>IF(J1878="","",IF(ISNUMBER(J1878),ROUND(J1878,2),IFERROR(ROUND(VALUE(SUBSTITUTE(SUBSTITUTE(SUBSTITUTE(J1878,"$",""),",","")," ","")),2),"bad")))</f>
        <v/>
      </c>
      <c r="P1878">
        <f>IF(TRIM(K1878)="","",IFERROR(MATCH(LOWER(TRIM(K1878)),'Students'!$AH$2:$AH$701,0),IFERROR(MATCH(LOWER(TRIM(K1878)),'Students'!$AF$2:$AF$701,0),IFERROR(MATCH(LOWER(TRIM(K1878)),'Students'!$AG$2:$AG$701,0),""))))</f>
        <v/>
      </c>
      <c r="R1878">
        <f>IF(P1878="","",INDEX('Students'!$AD$2:$AD$701,P1878))</f>
        <v/>
      </c>
      <c r="S1878">
        <f>IF(H1878="OK",O1878,0)</f>
        <v/>
      </c>
      <c r="T1878">
        <f>IF(H1878="OK",N1878,"")</f>
        <v/>
      </c>
      <c r="U1878">
        <f>IF(OC_Donor=0,"",IF(INDEX('OneCause_Paste'!$A$1878:$AZ$1878,1,OC_Donor)="","",INDEX('OneCause_Paste'!$A$1878:$AZ$1878,1,OC_Donor)))</f>
        <v/>
      </c>
    </row>
    <row r="1879">
      <c r="A1879" s="62">
        <f>IF(H1879="","",IF(ISNUMBER(N1879),N1879,I1879))</f>
        <v/>
      </c>
      <c r="B1879">
        <f>IF(H1879="","",U1879)</f>
        <v/>
      </c>
      <c r="C1879">
        <f>IF(H1879="","",IF(P1879="",K1879,INDEX('Students'!$A$2:$A$701,P1879)))</f>
        <v/>
      </c>
      <c r="D1879">
        <f>IF(OR(H1879="",P1879=""),"",INDEX('Students'!$B$2:$B$701,P1879))</f>
        <v/>
      </c>
      <c r="E1879">
        <f>IF(OR(H1879="",P1879=""),"",INDEX('Students'!$C$2:$C$701,P1879))</f>
        <v/>
      </c>
      <c r="F1879" s="48">
        <f>IF(H1879="","",IF(ISNUMBER(O1879),O1879,J1879))</f>
        <v/>
      </c>
      <c r="G1879">
        <f>IF(H1879="","","OneCause")</f>
        <v/>
      </c>
      <c r="H1879">
        <f>IF(AND(I1879="",J1879="",K1879=""),"",IF(NOT(ISNUMBER(O1879)),"Bad amount",IF(O1879&lt;0,"Refund (not counted)",IF(O1879=0,"Zero amount",IF(NOT(ISNUMBER(N1879)),"Bad date",IF(P1879="","NAME NOT ON ROSTER",IF(L1879="","OK",IF(MATCH(L1879,$L$2:$L$3001,0)&lt;ROW()-1,"Duplicate (ignored)","OK"))))))))</f>
        <v/>
      </c>
      <c r="I1879">
        <f>IF(OC_Date=0,"",IF(INDEX('OneCause_Paste'!$A$1879:$AZ$1879,1,OC_Date)="","",INDEX('OneCause_Paste'!$A$1879:$AZ$1879,1,OC_Date)))</f>
        <v/>
      </c>
      <c r="J1879">
        <f>IF(OC_Amt=0,"",IF(INDEX('OneCause_Paste'!$A$1879:$AZ$1879,1,OC_Amt)="","",INDEX('OneCause_Paste'!$A$1879:$AZ$1879,1,OC_Amt)))</f>
        <v/>
      </c>
      <c r="K1879">
        <f>IF(OC_Name=0,"",IF(INDEX('OneCause_Paste'!$A$1879:$AZ$1879,1,OC_Name)="","",INDEX('OneCause_Paste'!$A$1879:$AZ$1879,1,OC_Name)))</f>
        <v/>
      </c>
      <c r="L1879">
        <f>IF(OC_Txn=0,"",IF(INDEX('OneCause_Paste'!$A$1879:$AZ$1879,1,OC_Txn)="","",INDEX('OneCause_Paste'!$A$1879:$AZ$1879,1,OC_Txn)))</f>
        <v/>
      </c>
      <c r="M1879">
        <f>IF(OC_Pay=0,"",IF(INDEX('OneCause_Paste'!$A$1879:$AZ$1879,1,OC_Pay)="","",INDEX('OneCause_Paste'!$A$1879:$AZ$1879,1,OC_Pay)))</f>
        <v/>
      </c>
      <c r="N1879">
        <f>IF(I1879="","",IF(ISNUMBER(I1879),INT(I1879),IFERROR(INT(DATEVALUE(I1879)),IFERROR(INT(VALUE(I1879)),"bad"))))</f>
        <v/>
      </c>
      <c r="O1879">
        <f>IF(J1879="","",IF(ISNUMBER(J1879),ROUND(J1879,2),IFERROR(ROUND(VALUE(SUBSTITUTE(SUBSTITUTE(SUBSTITUTE(J1879,"$",""),",","")," ","")),2),"bad")))</f>
        <v/>
      </c>
      <c r="P1879">
        <f>IF(TRIM(K1879)="","",IFERROR(MATCH(LOWER(TRIM(K1879)),'Students'!$AH$2:$AH$701,0),IFERROR(MATCH(LOWER(TRIM(K1879)),'Students'!$AF$2:$AF$701,0),IFERROR(MATCH(LOWER(TRIM(K1879)),'Students'!$AG$2:$AG$701,0),""))))</f>
        <v/>
      </c>
      <c r="R1879">
        <f>IF(P1879="","",INDEX('Students'!$AD$2:$AD$701,P1879))</f>
        <v/>
      </c>
      <c r="S1879">
        <f>IF(H1879="OK",O1879,0)</f>
        <v/>
      </c>
      <c r="T1879">
        <f>IF(H1879="OK",N1879,"")</f>
        <v/>
      </c>
      <c r="U1879">
        <f>IF(OC_Donor=0,"",IF(INDEX('OneCause_Paste'!$A$1879:$AZ$1879,1,OC_Donor)="","",INDEX('OneCause_Paste'!$A$1879:$AZ$1879,1,OC_Donor)))</f>
        <v/>
      </c>
    </row>
    <row r="1880">
      <c r="A1880" s="62">
        <f>IF(H1880="","",IF(ISNUMBER(N1880),N1880,I1880))</f>
        <v/>
      </c>
      <c r="B1880">
        <f>IF(H1880="","",U1880)</f>
        <v/>
      </c>
      <c r="C1880">
        <f>IF(H1880="","",IF(P1880="",K1880,INDEX('Students'!$A$2:$A$701,P1880)))</f>
        <v/>
      </c>
      <c r="D1880">
        <f>IF(OR(H1880="",P1880=""),"",INDEX('Students'!$B$2:$B$701,P1880))</f>
        <v/>
      </c>
      <c r="E1880">
        <f>IF(OR(H1880="",P1880=""),"",INDEX('Students'!$C$2:$C$701,P1880))</f>
        <v/>
      </c>
      <c r="F1880" s="48">
        <f>IF(H1880="","",IF(ISNUMBER(O1880),O1880,J1880))</f>
        <v/>
      </c>
      <c r="G1880">
        <f>IF(H1880="","","OneCause")</f>
        <v/>
      </c>
      <c r="H1880">
        <f>IF(AND(I1880="",J1880="",K1880=""),"",IF(NOT(ISNUMBER(O1880)),"Bad amount",IF(O1880&lt;0,"Refund (not counted)",IF(O1880=0,"Zero amount",IF(NOT(ISNUMBER(N1880)),"Bad date",IF(P1880="","NAME NOT ON ROSTER",IF(L1880="","OK",IF(MATCH(L1880,$L$2:$L$3001,0)&lt;ROW()-1,"Duplicate (ignored)","OK"))))))))</f>
        <v/>
      </c>
      <c r="I1880">
        <f>IF(OC_Date=0,"",IF(INDEX('OneCause_Paste'!$A$1880:$AZ$1880,1,OC_Date)="","",INDEX('OneCause_Paste'!$A$1880:$AZ$1880,1,OC_Date)))</f>
        <v/>
      </c>
      <c r="J1880">
        <f>IF(OC_Amt=0,"",IF(INDEX('OneCause_Paste'!$A$1880:$AZ$1880,1,OC_Amt)="","",INDEX('OneCause_Paste'!$A$1880:$AZ$1880,1,OC_Amt)))</f>
        <v/>
      </c>
      <c r="K1880">
        <f>IF(OC_Name=0,"",IF(INDEX('OneCause_Paste'!$A$1880:$AZ$1880,1,OC_Name)="","",INDEX('OneCause_Paste'!$A$1880:$AZ$1880,1,OC_Name)))</f>
        <v/>
      </c>
      <c r="L1880">
        <f>IF(OC_Txn=0,"",IF(INDEX('OneCause_Paste'!$A$1880:$AZ$1880,1,OC_Txn)="","",INDEX('OneCause_Paste'!$A$1880:$AZ$1880,1,OC_Txn)))</f>
        <v/>
      </c>
      <c r="M1880">
        <f>IF(OC_Pay=0,"",IF(INDEX('OneCause_Paste'!$A$1880:$AZ$1880,1,OC_Pay)="","",INDEX('OneCause_Paste'!$A$1880:$AZ$1880,1,OC_Pay)))</f>
        <v/>
      </c>
      <c r="N1880">
        <f>IF(I1880="","",IF(ISNUMBER(I1880),INT(I1880),IFERROR(INT(DATEVALUE(I1880)),IFERROR(INT(VALUE(I1880)),"bad"))))</f>
        <v/>
      </c>
      <c r="O1880">
        <f>IF(J1880="","",IF(ISNUMBER(J1880),ROUND(J1880,2),IFERROR(ROUND(VALUE(SUBSTITUTE(SUBSTITUTE(SUBSTITUTE(J1880,"$",""),",","")," ","")),2),"bad")))</f>
        <v/>
      </c>
      <c r="P1880">
        <f>IF(TRIM(K1880)="","",IFERROR(MATCH(LOWER(TRIM(K1880)),'Students'!$AH$2:$AH$701,0),IFERROR(MATCH(LOWER(TRIM(K1880)),'Students'!$AF$2:$AF$701,0),IFERROR(MATCH(LOWER(TRIM(K1880)),'Students'!$AG$2:$AG$701,0),""))))</f>
        <v/>
      </c>
      <c r="R1880">
        <f>IF(P1880="","",INDEX('Students'!$AD$2:$AD$701,P1880))</f>
        <v/>
      </c>
      <c r="S1880">
        <f>IF(H1880="OK",O1880,0)</f>
        <v/>
      </c>
      <c r="T1880">
        <f>IF(H1880="OK",N1880,"")</f>
        <v/>
      </c>
      <c r="U1880">
        <f>IF(OC_Donor=0,"",IF(INDEX('OneCause_Paste'!$A$1880:$AZ$1880,1,OC_Donor)="","",INDEX('OneCause_Paste'!$A$1880:$AZ$1880,1,OC_Donor)))</f>
        <v/>
      </c>
    </row>
    <row r="1881">
      <c r="A1881" s="62">
        <f>IF(H1881="","",IF(ISNUMBER(N1881),N1881,I1881))</f>
        <v/>
      </c>
      <c r="B1881">
        <f>IF(H1881="","",U1881)</f>
        <v/>
      </c>
      <c r="C1881">
        <f>IF(H1881="","",IF(P1881="",K1881,INDEX('Students'!$A$2:$A$701,P1881)))</f>
        <v/>
      </c>
      <c r="D1881">
        <f>IF(OR(H1881="",P1881=""),"",INDEX('Students'!$B$2:$B$701,P1881))</f>
        <v/>
      </c>
      <c r="E1881">
        <f>IF(OR(H1881="",P1881=""),"",INDEX('Students'!$C$2:$C$701,P1881))</f>
        <v/>
      </c>
      <c r="F1881" s="48">
        <f>IF(H1881="","",IF(ISNUMBER(O1881),O1881,J1881))</f>
        <v/>
      </c>
      <c r="G1881">
        <f>IF(H1881="","","OneCause")</f>
        <v/>
      </c>
      <c r="H1881">
        <f>IF(AND(I1881="",J1881="",K1881=""),"",IF(NOT(ISNUMBER(O1881)),"Bad amount",IF(O1881&lt;0,"Refund (not counted)",IF(O1881=0,"Zero amount",IF(NOT(ISNUMBER(N1881)),"Bad date",IF(P1881="","NAME NOT ON ROSTER",IF(L1881="","OK",IF(MATCH(L1881,$L$2:$L$3001,0)&lt;ROW()-1,"Duplicate (ignored)","OK"))))))))</f>
        <v/>
      </c>
      <c r="I1881">
        <f>IF(OC_Date=0,"",IF(INDEX('OneCause_Paste'!$A$1881:$AZ$1881,1,OC_Date)="","",INDEX('OneCause_Paste'!$A$1881:$AZ$1881,1,OC_Date)))</f>
        <v/>
      </c>
      <c r="J1881">
        <f>IF(OC_Amt=0,"",IF(INDEX('OneCause_Paste'!$A$1881:$AZ$1881,1,OC_Amt)="","",INDEX('OneCause_Paste'!$A$1881:$AZ$1881,1,OC_Amt)))</f>
        <v/>
      </c>
      <c r="K1881">
        <f>IF(OC_Name=0,"",IF(INDEX('OneCause_Paste'!$A$1881:$AZ$1881,1,OC_Name)="","",INDEX('OneCause_Paste'!$A$1881:$AZ$1881,1,OC_Name)))</f>
        <v/>
      </c>
      <c r="L1881">
        <f>IF(OC_Txn=0,"",IF(INDEX('OneCause_Paste'!$A$1881:$AZ$1881,1,OC_Txn)="","",INDEX('OneCause_Paste'!$A$1881:$AZ$1881,1,OC_Txn)))</f>
        <v/>
      </c>
      <c r="M1881">
        <f>IF(OC_Pay=0,"",IF(INDEX('OneCause_Paste'!$A$1881:$AZ$1881,1,OC_Pay)="","",INDEX('OneCause_Paste'!$A$1881:$AZ$1881,1,OC_Pay)))</f>
        <v/>
      </c>
      <c r="N1881">
        <f>IF(I1881="","",IF(ISNUMBER(I1881),INT(I1881),IFERROR(INT(DATEVALUE(I1881)),IFERROR(INT(VALUE(I1881)),"bad"))))</f>
        <v/>
      </c>
      <c r="O1881">
        <f>IF(J1881="","",IF(ISNUMBER(J1881),ROUND(J1881,2),IFERROR(ROUND(VALUE(SUBSTITUTE(SUBSTITUTE(SUBSTITUTE(J1881,"$",""),",","")," ","")),2),"bad")))</f>
        <v/>
      </c>
      <c r="P1881">
        <f>IF(TRIM(K1881)="","",IFERROR(MATCH(LOWER(TRIM(K1881)),'Students'!$AH$2:$AH$701,0),IFERROR(MATCH(LOWER(TRIM(K1881)),'Students'!$AF$2:$AF$701,0),IFERROR(MATCH(LOWER(TRIM(K1881)),'Students'!$AG$2:$AG$701,0),""))))</f>
        <v/>
      </c>
      <c r="R1881">
        <f>IF(P1881="","",INDEX('Students'!$AD$2:$AD$701,P1881))</f>
        <v/>
      </c>
      <c r="S1881">
        <f>IF(H1881="OK",O1881,0)</f>
        <v/>
      </c>
      <c r="T1881">
        <f>IF(H1881="OK",N1881,"")</f>
        <v/>
      </c>
      <c r="U1881">
        <f>IF(OC_Donor=0,"",IF(INDEX('OneCause_Paste'!$A$1881:$AZ$1881,1,OC_Donor)="","",INDEX('OneCause_Paste'!$A$1881:$AZ$1881,1,OC_Donor)))</f>
        <v/>
      </c>
    </row>
    <row r="1882">
      <c r="A1882" s="62">
        <f>IF(H1882="","",IF(ISNUMBER(N1882),N1882,I1882))</f>
        <v/>
      </c>
      <c r="B1882">
        <f>IF(H1882="","",U1882)</f>
        <v/>
      </c>
      <c r="C1882">
        <f>IF(H1882="","",IF(P1882="",K1882,INDEX('Students'!$A$2:$A$701,P1882)))</f>
        <v/>
      </c>
      <c r="D1882">
        <f>IF(OR(H1882="",P1882=""),"",INDEX('Students'!$B$2:$B$701,P1882))</f>
        <v/>
      </c>
      <c r="E1882">
        <f>IF(OR(H1882="",P1882=""),"",INDEX('Students'!$C$2:$C$701,P1882))</f>
        <v/>
      </c>
      <c r="F1882" s="48">
        <f>IF(H1882="","",IF(ISNUMBER(O1882),O1882,J1882))</f>
        <v/>
      </c>
      <c r="G1882">
        <f>IF(H1882="","","OneCause")</f>
        <v/>
      </c>
      <c r="H1882">
        <f>IF(AND(I1882="",J1882="",K1882=""),"",IF(NOT(ISNUMBER(O1882)),"Bad amount",IF(O1882&lt;0,"Refund (not counted)",IF(O1882=0,"Zero amount",IF(NOT(ISNUMBER(N1882)),"Bad date",IF(P1882="","NAME NOT ON ROSTER",IF(L1882="","OK",IF(MATCH(L1882,$L$2:$L$3001,0)&lt;ROW()-1,"Duplicate (ignored)","OK"))))))))</f>
        <v/>
      </c>
      <c r="I1882">
        <f>IF(OC_Date=0,"",IF(INDEX('OneCause_Paste'!$A$1882:$AZ$1882,1,OC_Date)="","",INDEX('OneCause_Paste'!$A$1882:$AZ$1882,1,OC_Date)))</f>
        <v/>
      </c>
      <c r="J1882">
        <f>IF(OC_Amt=0,"",IF(INDEX('OneCause_Paste'!$A$1882:$AZ$1882,1,OC_Amt)="","",INDEX('OneCause_Paste'!$A$1882:$AZ$1882,1,OC_Amt)))</f>
        <v/>
      </c>
      <c r="K1882">
        <f>IF(OC_Name=0,"",IF(INDEX('OneCause_Paste'!$A$1882:$AZ$1882,1,OC_Name)="","",INDEX('OneCause_Paste'!$A$1882:$AZ$1882,1,OC_Name)))</f>
        <v/>
      </c>
      <c r="L1882">
        <f>IF(OC_Txn=0,"",IF(INDEX('OneCause_Paste'!$A$1882:$AZ$1882,1,OC_Txn)="","",INDEX('OneCause_Paste'!$A$1882:$AZ$1882,1,OC_Txn)))</f>
        <v/>
      </c>
      <c r="M1882">
        <f>IF(OC_Pay=0,"",IF(INDEX('OneCause_Paste'!$A$1882:$AZ$1882,1,OC_Pay)="","",INDEX('OneCause_Paste'!$A$1882:$AZ$1882,1,OC_Pay)))</f>
        <v/>
      </c>
      <c r="N1882">
        <f>IF(I1882="","",IF(ISNUMBER(I1882),INT(I1882),IFERROR(INT(DATEVALUE(I1882)),IFERROR(INT(VALUE(I1882)),"bad"))))</f>
        <v/>
      </c>
      <c r="O1882">
        <f>IF(J1882="","",IF(ISNUMBER(J1882),ROUND(J1882,2),IFERROR(ROUND(VALUE(SUBSTITUTE(SUBSTITUTE(SUBSTITUTE(J1882,"$",""),",","")," ","")),2),"bad")))</f>
        <v/>
      </c>
      <c r="P1882">
        <f>IF(TRIM(K1882)="","",IFERROR(MATCH(LOWER(TRIM(K1882)),'Students'!$AH$2:$AH$701,0),IFERROR(MATCH(LOWER(TRIM(K1882)),'Students'!$AF$2:$AF$701,0),IFERROR(MATCH(LOWER(TRIM(K1882)),'Students'!$AG$2:$AG$701,0),""))))</f>
        <v/>
      </c>
      <c r="R1882">
        <f>IF(P1882="","",INDEX('Students'!$AD$2:$AD$701,P1882))</f>
        <v/>
      </c>
      <c r="S1882">
        <f>IF(H1882="OK",O1882,0)</f>
        <v/>
      </c>
      <c r="T1882">
        <f>IF(H1882="OK",N1882,"")</f>
        <v/>
      </c>
      <c r="U1882">
        <f>IF(OC_Donor=0,"",IF(INDEX('OneCause_Paste'!$A$1882:$AZ$1882,1,OC_Donor)="","",INDEX('OneCause_Paste'!$A$1882:$AZ$1882,1,OC_Donor)))</f>
        <v/>
      </c>
    </row>
    <row r="1883">
      <c r="A1883" s="62">
        <f>IF(H1883="","",IF(ISNUMBER(N1883),N1883,I1883))</f>
        <v/>
      </c>
      <c r="B1883">
        <f>IF(H1883="","",U1883)</f>
        <v/>
      </c>
      <c r="C1883">
        <f>IF(H1883="","",IF(P1883="",K1883,INDEX('Students'!$A$2:$A$701,P1883)))</f>
        <v/>
      </c>
      <c r="D1883">
        <f>IF(OR(H1883="",P1883=""),"",INDEX('Students'!$B$2:$B$701,P1883))</f>
        <v/>
      </c>
      <c r="E1883">
        <f>IF(OR(H1883="",P1883=""),"",INDEX('Students'!$C$2:$C$701,P1883))</f>
        <v/>
      </c>
      <c r="F1883" s="48">
        <f>IF(H1883="","",IF(ISNUMBER(O1883),O1883,J1883))</f>
        <v/>
      </c>
      <c r="G1883">
        <f>IF(H1883="","","OneCause")</f>
        <v/>
      </c>
      <c r="H1883">
        <f>IF(AND(I1883="",J1883="",K1883=""),"",IF(NOT(ISNUMBER(O1883)),"Bad amount",IF(O1883&lt;0,"Refund (not counted)",IF(O1883=0,"Zero amount",IF(NOT(ISNUMBER(N1883)),"Bad date",IF(P1883="","NAME NOT ON ROSTER",IF(L1883="","OK",IF(MATCH(L1883,$L$2:$L$3001,0)&lt;ROW()-1,"Duplicate (ignored)","OK"))))))))</f>
        <v/>
      </c>
      <c r="I1883">
        <f>IF(OC_Date=0,"",IF(INDEX('OneCause_Paste'!$A$1883:$AZ$1883,1,OC_Date)="","",INDEX('OneCause_Paste'!$A$1883:$AZ$1883,1,OC_Date)))</f>
        <v/>
      </c>
      <c r="J1883">
        <f>IF(OC_Amt=0,"",IF(INDEX('OneCause_Paste'!$A$1883:$AZ$1883,1,OC_Amt)="","",INDEX('OneCause_Paste'!$A$1883:$AZ$1883,1,OC_Amt)))</f>
        <v/>
      </c>
      <c r="K1883">
        <f>IF(OC_Name=0,"",IF(INDEX('OneCause_Paste'!$A$1883:$AZ$1883,1,OC_Name)="","",INDEX('OneCause_Paste'!$A$1883:$AZ$1883,1,OC_Name)))</f>
        <v/>
      </c>
      <c r="L1883">
        <f>IF(OC_Txn=0,"",IF(INDEX('OneCause_Paste'!$A$1883:$AZ$1883,1,OC_Txn)="","",INDEX('OneCause_Paste'!$A$1883:$AZ$1883,1,OC_Txn)))</f>
        <v/>
      </c>
      <c r="M1883">
        <f>IF(OC_Pay=0,"",IF(INDEX('OneCause_Paste'!$A$1883:$AZ$1883,1,OC_Pay)="","",INDEX('OneCause_Paste'!$A$1883:$AZ$1883,1,OC_Pay)))</f>
        <v/>
      </c>
      <c r="N1883">
        <f>IF(I1883="","",IF(ISNUMBER(I1883),INT(I1883),IFERROR(INT(DATEVALUE(I1883)),IFERROR(INT(VALUE(I1883)),"bad"))))</f>
        <v/>
      </c>
      <c r="O1883">
        <f>IF(J1883="","",IF(ISNUMBER(J1883),ROUND(J1883,2),IFERROR(ROUND(VALUE(SUBSTITUTE(SUBSTITUTE(SUBSTITUTE(J1883,"$",""),",","")," ","")),2),"bad")))</f>
        <v/>
      </c>
      <c r="P1883">
        <f>IF(TRIM(K1883)="","",IFERROR(MATCH(LOWER(TRIM(K1883)),'Students'!$AH$2:$AH$701,0),IFERROR(MATCH(LOWER(TRIM(K1883)),'Students'!$AF$2:$AF$701,0),IFERROR(MATCH(LOWER(TRIM(K1883)),'Students'!$AG$2:$AG$701,0),""))))</f>
        <v/>
      </c>
      <c r="R1883">
        <f>IF(P1883="","",INDEX('Students'!$AD$2:$AD$701,P1883))</f>
        <v/>
      </c>
      <c r="S1883">
        <f>IF(H1883="OK",O1883,0)</f>
        <v/>
      </c>
      <c r="T1883">
        <f>IF(H1883="OK",N1883,"")</f>
        <v/>
      </c>
      <c r="U1883">
        <f>IF(OC_Donor=0,"",IF(INDEX('OneCause_Paste'!$A$1883:$AZ$1883,1,OC_Donor)="","",INDEX('OneCause_Paste'!$A$1883:$AZ$1883,1,OC_Donor)))</f>
        <v/>
      </c>
    </row>
    <row r="1884">
      <c r="A1884" s="62">
        <f>IF(H1884="","",IF(ISNUMBER(N1884),N1884,I1884))</f>
        <v/>
      </c>
      <c r="B1884">
        <f>IF(H1884="","",U1884)</f>
        <v/>
      </c>
      <c r="C1884">
        <f>IF(H1884="","",IF(P1884="",K1884,INDEX('Students'!$A$2:$A$701,P1884)))</f>
        <v/>
      </c>
      <c r="D1884">
        <f>IF(OR(H1884="",P1884=""),"",INDEX('Students'!$B$2:$B$701,P1884))</f>
        <v/>
      </c>
      <c r="E1884">
        <f>IF(OR(H1884="",P1884=""),"",INDEX('Students'!$C$2:$C$701,P1884))</f>
        <v/>
      </c>
      <c r="F1884" s="48">
        <f>IF(H1884="","",IF(ISNUMBER(O1884),O1884,J1884))</f>
        <v/>
      </c>
      <c r="G1884">
        <f>IF(H1884="","","OneCause")</f>
        <v/>
      </c>
      <c r="H1884">
        <f>IF(AND(I1884="",J1884="",K1884=""),"",IF(NOT(ISNUMBER(O1884)),"Bad amount",IF(O1884&lt;0,"Refund (not counted)",IF(O1884=0,"Zero amount",IF(NOT(ISNUMBER(N1884)),"Bad date",IF(P1884="","NAME NOT ON ROSTER",IF(L1884="","OK",IF(MATCH(L1884,$L$2:$L$3001,0)&lt;ROW()-1,"Duplicate (ignored)","OK"))))))))</f>
        <v/>
      </c>
      <c r="I1884">
        <f>IF(OC_Date=0,"",IF(INDEX('OneCause_Paste'!$A$1884:$AZ$1884,1,OC_Date)="","",INDEX('OneCause_Paste'!$A$1884:$AZ$1884,1,OC_Date)))</f>
        <v/>
      </c>
      <c r="J1884">
        <f>IF(OC_Amt=0,"",IF(INDEX('OneCause_Paste'!$A$1884:$AZ$1884,1,OC_Amt)="","",INDEX('OneCause_Paste'!$A$1884:$AZ$1884,1,OC_Amt)))</f>
        <v/>
      </c>
      <c r="K1884">
        <f>IF(OC_Name=0,"",IF(INDEX('OneCause_Paste'!$A$1884:$AZ$1884,1,OC_Name)="","",INDEX('OneCause_Paste'!$A$1884:$AZ$1884,1,OC_Name)))</f>
        <v/>
      </c>
      <c r="L1884">
        <f>IF(OC_Txn=0,"",IF(INDEX('OneCause_Paste'!$A$1884:$AZ$1884,1,OC_Txn)="","",INDEX('OneCause_Paste'!$A$1884:$AZ$1884,1,OC_Txn)))</f>
        <v/>
      </c>
      <c r="M1884">
        <f>IF(OC_Pay=0,"",IF(INDEX('OneCause_Paste'!$A$1884:$AZ$1884,1,OC_Pay)="","",INDEX('OneCause_Paste'!$A$1884:$AZ$1884,1,OC_Pay)))</f>
        <v/>
      </c>
      <c r="N1884">
        <f>IF(I1884="","",IF(ISNUMBER(I1884),INT(I1884),IFERROR(INT(DATEVALUE(I1884)),IFERROR(INT(VALUE(I1884)),"bad"))))</f>
        <v/>
      </c>
      <c r="O1884">
        <f>IF(J1884="","",IF(ISNUMBER(J1884),ROUND(J1884,2),IFERROR(ROUND(VALUE(SUBSTITUTE(SUBSTITUTE(SUBSTITUTE(J1884,"$",""),",","")," ","")),2),"bad")))</f>
        <v/>
      </c>
      <c r="P1884">
        <f>IF(TRIM(K1884)="","",IFERROR(MATCH(LOWER(TRIM(K1884)),'Students'!$AH$2:$AH$701,0),IFERROR(MATCH(LOWER(TRIM(K1884)),'Students'!$AF$2:$AF$701,0),IFERROR(MATCH(LOWER(TRIM(K1884)),'Students'!$AG$2:$AG$701,0),""))))</f>
        <v/>
      </c>
      <c r="R1884">
        <f>IF(P1884="","",INDEX('Students'!$AD$2:$AD$701,P1884))</f>
        <v/>
      </c>
      <c r="S1884">
        <f>IF(H1884="OK",O1884,0)</f>
        <v/>
      </c>
      <c r="T1884">
        <f>IF(H1884="OK",N1884,"")</f>
        <v/>
      </c>
      <c r="U1884">
        <f>IF(OC_Donor=0,"",IF(INDEX('OneCause_Paste'!$A$1884:$AZ$1884,1,OC_Donor)="","",INDEX('OneCause_Paste'!$A$1884:$AZ$1884,1,OC_Donor)))</f>
        <v/>
      </c>
    </row>
    <row r="1885">
      <c r="A1885" s="62">
        <f>IF(H1885="","",IF(ISNUMBER(N1885),N1885,I1885))</f>
        <v/>
      </c>
      <c r="B1885">
        <f>IF(H1885="","",U1885)</f>
        <v/>
      </c>
      <c r="C1885">
        <f>IF(H1885="","",IF(P1885="",K1885,INDEX('Students'!$A$2:$A$701,P1885)))</f>
        <v/>
      </c>
      <c r="D1885">
        <f>IF(OR(H1885="",P1885=""),"",INDEX('Students'!$B$2:$B$701,P1885))</f>
        <v/>
      </c>
      <c r="E1885">
        <f>IF(OR(H1885="",P1885=""),"",INDEX('Students'!$C$2:$C$701,P1885))</f>
        <v/>
      </c>
      <c r="F1885" s="48">
        <f>IF(H1885="","",IF(ISNUMBER(O1885),O1885,J1885))</f>
        <v/>
      </c>
      <c r="G1885">
        <f>IF(H1885="","","OneCause")</f>
        <v/>
      </c>
      <c r="H1885">
        <f>IF(AND(I1885="",J1885="",K1885=""),"",IF(NOT(ISNUMBER(O1885)),"Bad amount",IF(O1885&lt;0,"Refund (not counted)",IF(O1885=0,"Zero amount",IF(NOT(ISNUMBER(N1885)),"Bad date",IF(P1885="","NAME NOT ON ROSTER",IF(L1885="","OK",IF(MATCH(L1885,$L$2:$L$3001,0)&lt;ROW()-1,"Duplicate (ignored)","OK"))))))))</f>
        <v/>
      </c>
      <c r="I1885">
        <f>IF(OC_Date=0,"",IF(INDEX('OneCause_Paste'!$A$1885:$AZ$1885,1,OC_Date)="","",INDEX('OneCause_Paste'!$A$1885:$AZ$1885,1,OC_Date)))</f>
        <v/>
      </c>
      <c r="J1885">
        <f>IF(OC_Amt=0,"",IF(INDEX('OneCause_Paste'!$A$1885:$AZ$1885,1,OC_Amt)="","",INDEX('OneCause_Paste'!$A$1885:$AZ$1885,1,OC_Amt)))</f>
        <v/>
      </c>
      <c r="K1885">
        <f>IF(OC_Name=0,"",IF(INDEX('OneCause_Paste'!$A$1885:$AZ$1885,1,OC_Name)="","",INDEX('OneCause_Paste'!$A$1885:$AZ$1885,1,OC_Name)))</f>
        <v/>
      </c>
      <c r="L1885">
        <f>IF(OC_Txn=0,"",IF(INDEX('OneCause_Paste'!$A$1885:$AZ$1885,1,OC_Txn)="","",INDEX('OneCause_Paste'!$A$1885:$AZ$1885,1,OC_Txn)))</f>
        <v/>
      </c>
      <c r="M1885">
        <f>IF(OC_Pay=0,"",IF(INDEX('OneCause_Paste'!$A$1885:$AZ$1885,1,OC_Pay)="","",INDEX('OneCause_Paste'!$A$1885:$AZ$1885,1,OC_Pay)))</f>
        <v/>
      </c>
      <c r="N1885">
        <f>IF(I1885="","",IF(ISNUMBER(I1885),INT(I1885),IFERROR(INT(DATEVALUE(I1885)),IFERROR(INT(VALUE(I1885)),"bad"))))</f>
        <v/>
      </c>
      <c r="O1885">
        <f>IF(J1885="","",IF(ISNUMBER(J1885),ROUND(J1885,2),IFERROR(ROUND(VALUE(SUBSTITUTE(SUBSTITUTE(SUBSTITUTE(J1885,"$",""),",","")," ","")),2),"bad")))</f>
        <v/>
      </c>
      <c r="P1885">
        <f>IF(TRIM(K1885)="","",IFERROR(MATCH(LOWER(TRIM(K1885)),'Students'!$AH$2:$AH$701,0),IFERROR(MATCH(LOWER(TRIM(K1885)),'Students'!$AF$2:$AF$701,0),IFERROR(MATCH(LOWER(TRIM(K1885)),'Students'!$AG$2:$AG$701,0),""))))</f>
        <v/>
      </c>
      <c r="R1885">
        <f>IF(P1885="","",INDEX('Students'!$AD$2:$AD$701,P1885))</f>
        <v/>
      </c>
      <c r="S1885">
        <f>IF(H1885="OK",O1885,0)</f>
        <v/>
      </c>
      <c r="T1885">
        <f>IF(H1885="OK",N1885,"")</f>
        <v/>
      </c>
      <c r="U1885">
        <f>IF(OC_Donor=0,"",IF(INDEX('OneCause_Paste'!$A$1885:$AZ$1885,1,OC_Donor)="","",INDEX('OneCause_Paste'!$A$1885:$AZ$1885,1,OC_Donor)))</f>
        <v/>
      </c>
    </row>
    <row r="1886">
      <c r="A1886" s="62">
        <f>IF(H1886="","",IF(ISNUMBER(N1886),N1886,I1886))</f>
        <v/>
      </c>
      <c r="B1886">
        <f>IF(H1886="","",U1886)</f>
        <v/>
      </c>
      <c r="C1886">
        <f>IF(H1886="","",IF(P1886="",K1886,INDEX('Students'!$A$2:$A$701,P1886)))</f>
        <v/>
      </c>
      <c r="D1886">
        <f>IF(OR(H1886="",P1886=""),"",INDEX('Students'!$B$2:$B$701,P1886))</f>
        <v/>
      </c>
      <c r="E1886">
        <f>IF(OR(H1886="",P1886=""),"",INDEX('Students'!$C$2:$C$701,P1886))</f>
        <v/>
      </c>
      <c r="F1886" s="48">
        <f>IF(H1886="","",IF(ISNUMBER(O1886),O1886,J1886))</f>
        <v/>
      </c>
      <c r="G1886">
        <f>IF(H1886="","","OneCause")</f>
        <v/>
      </c>
      <c r="H1886">
        <f>IF(AND(I1886="",J1886="",K1886=""),"",IF(NOT(ISNUMBER(O1886)),"Bad amount",IF(O1886&lt;0,"Refund (not counted)",IF(O1886=0,"Zero amount",IF(NOT(ISNUMBER(N1886)),"Bad date",IF(P1886="","NAME NOT ON ROSTER",IF(L1886="","OK",IF(MATCH(L1886,$L$2:$L$3001,0)&lt;ROW()-1,"Duplicate (ignored)","OK"))))))))</f>
        <v/>
      </c>
      <c r="I1886">
        <f>IF(OC_Date=0,"",IF(INDEX('OneCause_Paste'!$A$1886:$AZ$1886,1,OC_Date)="","",INDEX('OneCause_Paste'!$A$1886:$AZ$1886,1,OC_Date)))</f>
        <v/>
      </c>
      <c r="J1886">
        <f>IF(OC_Amt=0,"",IF(INDEX('OneCause_Paste'!$A$1886:$AZ$1886,1,OC_Amt)="","",INDEX('OneCause_Paste'!$A$1886:$AZ$1886,1,OC_Amt)))</f>
        <v/>
      </c>
      <c r="K1886">
        <f>IF(OC_Name=0,"",IF(INDEX('OneCause_Paste'!$A$1886:$AZ$1886,1,OC_Name)="","",INDEX('OneCause_Paste'!$A$1886:$AZ$1886,1,OC_Name)))</f>
        <v/>
      </c>
      <c r="L1886">
        <f>IF(OC_Txn=0,"",IF(INDEX('OneCause_Paste'!$A$1886:$AZ$1886,1,OC_Txn)="","",INDEX('OneCause_Paste'!$A$1886:$AZ$1886,1,OC_Txn)))</f>
        <v/>
      </c>
      <c r="M1886">
        <f>IF(OC_Pay=0,"",IF(INDEX('OneCause_Paste'!$A$1886:$AZ$1886,1,OC_Pay)="","",INDEX('OneCause_Paste'!$A$1886:$AZ$1886,1,OC_Pay)))</f>
        <v/>
      </c>
      <c r="N1886">
        <f>IF(I1886="","",IF(ISNUMBER(I1886),INT(I1886),IFERROR(INT(DATEVALUE(I1886)),IFERROR(INT(VALUE(I1886)),"bad"))))</f>
        <v/>
      </c>
      <c r="O1886">
        <f>IF(J1886="","",IF(ISNUMBER(J1886),ROUND(J1886,2),IFERROR(ROUND(VALUE(SUBSTITUTE(SUBSTITUTE(SUBSTITUTE(J1886,"$",""),",","")," ","")),2),"bad")))</f>
        <v/>
      </c>
      <c r="P1886">
        <f>IF(TRIM(K1886)="","",IFERROR(MATCH(LOWER(TRIM(K1886)),'Students'!$AH$2:$AH$701,0),IFERROR(MATCH(LOWER(TRIM(K1886)),'Students'!$AF$2:$AF$701,0),IFERROR(MATCH(LOWER(TRIM(K1886)),'Students'!$AG$2:$AG$701,0),""))))</f>
        <v/>
      </c>
      <c r="R1886">
        <f>IF(P1886="","",INDEX('Students'!$AD$2:$AD$701,P1886))</f>
        <v/>
      </c>
      <c r="S1886">
        <f>IF(H1886="OK",O1886,0)</f>
        <v/>
      </c>
      <c r="T1886">
        <f>IF(H1886="OK",N1886,"")</f>
        <v/>
      </c>
      <c r="U1886">
        <f>IF(OC_Donor=0,"",IF(INDEX('OneCause_Paste'!$A$1886:$AZ$1886,1,OC_Donor)="","",INDEX('OneCause_Paste'!$A$1886:$AZ$1886,1,OC_Donor)))</f>
        <v/>
      </c>
    </row>
    <row r="1887">
      <c r="A1887" s="62">
        <f>IF(H1887="","",IF(ISNUMBER(N1887),N1887,I1887))</f>
        <v/>
      </c>
      <c r="B1887">
        <f>IF(H1887="","",U1887)</f>
        <v/>
      </c>
      <c r="C1887">
        <f>IF(H1887="","",IF(P1887="",K1887,INDEX('Students'!$A$2:$A$701,P1887)))</f>
        <v/>
      </c>
      <c r="D1887">
        <f>IF(OR(H1887="",P1887=""),"",INDEX('Students'!$B$2:$B$701,P1887))</f>
        <v/>
      </c>
      <c r="E1887">
        <f>IF(OR(H1887="",P1887=""),"",INDEX('Students'!$C$2:$C$701,P1887))</f>
        <v/>
      </c>
      <c r="F1887" s="48">
        <f>IF(H1887="","",IF(ISNUMBER(O1887),O1887,J1887))</f>
        <v/>
      </c>
      <c r="G1887">
        <f>IF(H1887="","","OneCause")</f>
        <v/>
      </c>
      <c r="H1887">
        <f>IF(AND(I1887="",J1887="",K1887=""),"",IF(NOT(ISNUMBER(O1887)),"Bad amount",IF(O1887&lt;0,"Refund (not counted)",IF(O1887=0,"Zero amount",IF(NOT(ISNUMBER(N1887)),"Bad date",IF(P1887="","NAME NOT ON ROSTER",IF(L1887="","OK",IF(MATCH(L1887,$L$2:$L$3001,0)&lt;ROW()-1,"Duplicate (ignored)","OK"))))))))</f>
        <v/>
      </c>
      <c r="I1887">
        <f>IF(OC_Date=0,"",IF(INDEX('OneCause_Paste'!$A$1887:$AZ$1887,1,OC_Date)="","",INDEX('OneCause_Paste'!$A$1887:$AZ$1887,1,OC_Date)))</f>
        <v/>
      </c>
      <c r="J1887">
        <f>IF(OC_Amt=0,"",IF(INDEX('OneCause_Paste'!$A$1887:$AZ$1887,1,OC_Amt)="","",INDEX('OneCause_Paste'!$A$1887:$AZ$1887,1,OC_Amt)))</f>
        <v/>
      </c>
      <c r="K1887">
        <f>IF(OC_Name=0,"",IF(INDEX('OneCause_Paste'!$A$1887:$AZ$1887,1,OC_Name)="","",INDEX('OneCause_Paste'!$A$1887:$AZ$1887,1,OC_Name)))</f>
        <v/>
      </c>
      <c r="L1887">
        <f>IF(OC_Txn=0,"",IF(INDEX('OneCause_Paste'!$A$1887:$AZ$1887,1,OC_Txn)="","",INDEX('OneCause_Paste'!$A$1887:$AZ$1887,1,OC_Txn)))</f>
        <v/>
      </c>
      <c r="M1887">
        <f>IF(OC_Pay=0,"",IF(INDEX('OneCause_Paste'!$A$1887:$AZ$1887,1,OC_Pay)="","",INDEX('OneCause_Paste'!$A$1887:$AZ$1887,1,OC_Pay)))</f>
        <v/>
      </c>
      <c r="N1887">
        <f>IF(I1887="","",IF(ISNUMBER(I1887),INT(I1887),IFERROR(INT(DATEVALUE(I1887)),IFERROR(INT(VALUE(I1887)),"bad"))))</f>
        <v/>
      </c>
      <c r="O1887">
        <f>IF(J1887="","",IF(ISNUMBER(J1887),ROUND(J1887,2),IFERROR(ROUND(VALUE(SUBSTITUTE(SUBSTITUTE(SUBSTITUTE(J1887,"$",""),",","")," ","")),2),"bad")))</f>
        <v/>
      </c>
      <c r="P1887">
        <f>IF(TRIM(K1887)="","",IFERROR(MATCH(LOWER(TRIM(K1887)),'Students'!$AH$2:$AH$701,0),IFERROR(MATCH(LOWER(TRIM(K1887)),'Students'!$AF$2:$AF$701,0),IFERROR(MATCH(LOWER(TRIM(K1887)),'Students'!$AG$2:$AG$701,0),""))))</f>
        <v/>
      </c>
      <c r="R1887">
        <f>IF(P1887="","",INDEX('Students'!$AD$2:$AD$701,P1887))</f>
        <v/>
      </c>
      <c r="S1887">
        <f>IF(H1887="OK",O1887,0)</f>
        <v/>
      </c>
      <c r="T1887">
        <f>IF(H1887="OK",N1887,"")</f>
        <v/>
      </c>
      <c r="U1887">
        <f>IF(OC_Donor=0,"",IF(INDEX('OneCause_Paste'!$A$1887:$AZ$1887,1,OC_Donor)="","",INDEX('OneCause_Paste'!$A$1887:$AZ$1887,1,OC_Donor)))</f>
        <v/>
      </c>
    </row>
    <row r="1888">
      <c r="A1888" s="62">
        <f>IF(H1888="","",IF(ISNUMBER(N1888),N1888,I1888))</f>
        <v/>
      </c>
      <c r="B1888">
        <f>IF(H1888="","",U1888)</f>
        <v/>
      </c>
      <c r="C1888">
        <f>IF(H1888="","",IF(P1888="",K1888,INDEX('Students'!$A$2:$A$701,P1888)))</f>
        <v/>
      </c>
      <c r="D1888">
        <f>IF(OR(H1888="",P1888=""),"",INDEX('Students'!$B$2:$B$701,P1888))</f>
        <v/>
      </c>
      <c r="E1888">
        <f>IF(OR(H1888="",P1888=""),"",INDEX('Students'!$C$2:$C$701,P1888))</f>
        <v/>
      </c>
      <c r="F1888" s="48">
        <f>IF(H1888="","",IF(ISNUMBER(O1888),O1888,J1888))</f>
        <v/>
      </c>
      <c r="G1888">
        <f>IF(H1888="","","OneCause")</f>
        <v/>
      </c>
      <c r="H1888">
        <f>IF(AND(I1888="",J1888="",K1888=""),"",IF(NOT(ISNUMBER(O1888)),"Bad amount",IF(O1888&lt;0,"Refund (not counted)",IF(O1888=0,"Zero amount",IF(NOT(ISNUMBER(N1888)),"Bad date",IF(P1888="","NAME NOT ON ROSTER",IF(L1888="","OK",IF(MATCH(L1888,$L$2:$L$3001,0)&lt;ROW()-1,"Duplicate (ignored)","OK"))))))))</f>
        <v/>
      </c>
      <c r="I1888">
        <f>IF(OC_Date=0,"",IF(INDEX('OneCause_Paste'!$A$1888:$AZ$1888,1,OC_Date)="","",INDEX('OneCause_Paste'!$A$1888:$AZ$1888,1,OC_Date)))</f>
        <v/>
      </c>
      <c r="J1888">
        <f>IF(OC_Amt=0,"",IF(INDEX('OneCause_Paste'!$A$1888:$AZ$1888,1,OC_Amt)="","",INDEX('OneCause_Paste'!$A$1888:$AZ$1888,1,OC_Amt)))</f>
        <v/>
      </c>
      <c r="K1888">
        <f>IF(OC_Name=0,"",IF(INDEX('OneCause_Paste'!$A$1888:$AZ$1888,1,OC_Name)="","",INDEX('OneCause_Paste'!$A$1888:$AZ$1888,1,OC_Name)))</f>
        <v/>
      </c>
      <c r="L1888">
        <f>IF(OC_Txn=0,"",IF(INDEX('OneCause_Paste'!$A$1888:$AZ$1888,1,OC_Txn)="","",INDEX('OneCause_Paste'!$A$1888:$AZ$1888,1,OC_Txn)))</f>
        <v/>
      </c>
      <c r="M1888">
        <f>IF(OC_Pay=0,"",IF(INDEX('OneCause_Paste'!$A$1888:$AZ$1888,1,OC_Pay)="","",INDEX('OneCause_Paste'!$A$1888:$AZ$1888,1,OC_Pay)))</f>
        <v/>
      </c>
      <c r="N1888">
        <f>IF(I1888="","",IF(ISNUMBER(I1888),INT(I1888),IFERROR(INT(DATEVALUE(I1888)),IFERROR(INT(VALUE(I1888)),"bad"))))</f>
        <v/>
      </c>
      <c r="O1888">
        <f>IF(J1888="","",IF(ISNUMBER(J1888),ROUND(J1888,2),IFERROR(ROUND(VALUE(SUBSTITUTE(SUBSTITUTE(SUBSTITUTE(J1888,"$",""),",","")," ","")),2),"bad")))</f>
        <v/>
      </c>
      <c r="P1888">
        <f>IF(TRIM(K1888)="","",IFERROR(MATCH(LOWER(TRIM(K1888)),'Students'!$AH$2:$AH$701,0),IFERROR(MATCH(LOWER(TRIM(K1888)),'Students'!$AF$2:$AF$701,0),IFERROR(MATCH(LOWER(TRIM(K1888)),'Students'!$AG$2:$AG$701,0),""))))</f>
        <v/>
      </c>
      <c r="R1888">
        <f>IF(P1888="","",INDEX('Students'!$AD$2:$AD$701,P1888))</f>
        <v/>
      </c>
      <c r="S1888">
        <f>IF(H1888="OK",O1888,0)</f>
        <v/>
      </c>
      <c r="T1888">
        <f>IF(H1888="OK",N1888,"")</f>
        <v/>
      </c>
      <c r="U1888">
        <f>IF(OC_Donor=0,"",IF(INDEX('OneCause_Paste'!$A$1888:$AZ$1888,1,OC_Donor)="","",INDEX('OneCause_Paste'!$A$1888:$AZ$1888,1,OC_Donor)))</f>
        <v/>
      </c>
    </row>
    <row r="1889">
      <c r="A1889" s="62">
        <f>IF(H1889="","",IF(ISNUMBER(N1889),N1889,I1889))</f>
        <v/>
      </c>
      <c r="B1889">
        <f>IF(H1889="","",U1889)</f>
        <v/>
      </c>
      <c r="C1889">
        <f>IF(H1889="","",IF(P1889="",K1889,INDEX('Students'!$A$2:$A$701,P1889)))</f>
        <v/>
      </c>
      <c r="D1889">
        <f>IF(OR(H1889="",P1889=""),"",INDEX('Students'!$B$2:$B$701,P1889))</f>
        <v/>
      </c>
      <c r="E1889">
        <f>IF(OR(H1889="",P1889=""),"",INDEX('Students'!$C$2:$C$701,P1889))</f>
        <v/>
      </c>
      <c r="F1889" s="48">
        <f>IF(H1889="","",IF(ISNUMBER(O1889),O1889,J1889))</f>
        <v/>
      </c>
      <c r="G1889">
        <f>IF(H1889="","","OneCause")</f>
        <v/>
      </c>
      <c r="H1889">
        <f>IF(AND(I1889="",J1889="",K1889=""),"",IF(NOT(ISNUMBER(O1889)),"Bad amount",IF(O1889&lt;0,"Refund (not counted)",IF(O1889=0,"Zero amount",IF(NOT(ISNUMBER(N1889)),"Bad date",IF(P1889="","NAME NOT ON ROSTER",IF(L1889="","OK",IF(MATCH(L1889,$L$2:$L$3001,0)&lt;ROW()-1,"Duplicate (ignored)","OK"))))))))</f>
        <v/>
      </c>
      <c r="I1889">
        <f>IF(OC_Date=0,"",IF(INDEX('OneCause_Paste'!$A$1889:$AZ$1889,1,OC_Date)="","",INDEX('OneCause_Paste'!$A$1889:$AZ$1889,1,OC_Date)))</f>
        <v/>
      </c>
      <c r="J1889">
        <f>IF(OC_Amt=0,"",IF(INDEX('OneCause_Paste'!$A$1889:$AZ$1889,1,OC_Amt)="","",INDEX('OneCause_Paste'!$A$1889:$AZ$1889,1,OC_Amt)))</f>
        <v/>
      </c>
      <c r="K1889">
        <f>IF(OC_Name=0,"",IF(INDEX('OneCause_Paste'!$A$1889:$AZ$1889,1,OC_Name)="","",INDEX('OneCause_Paste'!$A$1889:$AZ$1889,1,OC_Name)))</f>
        <v/>
      </c>
      <c r="L1889">
        <f>IF(OC_Txn=0,"",IF(INDEX('OneCause_Paste'!$A$1889:$AZ$1889,1,OC_Txn)="","",INDEX('OneCause_Paste'!$A$1889:$AZ$1889,1,OC_Txn)))</f>
        <v/>
      </c>
      <c r="M1889">
        <f>IF(OC_Pay=0,"",IF(INDEX('OneCause_Paste'!$A$1889:$AZ$1889,1,OC_Pay)="","",INDEX('OneCause_Paste'!$A$1889:$AZ$1889,1,OC_Pay)))</f>
        <v/>
      </c>
      <c r="N1889">
        <f>IF(I1889="","",IF(ISNUMBER(I1889),INT(I1889),IFERROR(INT(DATEVALUE(I1889)),IFERROR(INT(VALUE(I1889)),"bad"))))</f>
        <v/>
      </c>
      <c r="O1889">
        <f>IF(J1889="","",IF(ISNUMBER(J1889),ROUND(J1889,2),IFERROR(ROUND(VALUE(SUBSTITUTE(SUBSTITUTE(SUBSTITUTE(J1889,"$",""),",","")," ","")),2),"bad")))</f>
        <v/>
      </c>
      <c r="P1889">
        <f>IF(TRIM(K1889)="","",IFERROR(MATCH(LOWER(TRIM(K1889)),'Students'!$AH$2:$AH$701,0),IFERROR(MATCH(LOWER(TRIM(K1889)),'Students'!$AF$2:$AF$701,0),IFERROR(MATCH(LOWER(TRIM(K1889)),'Students'!$AG$2:$AG$701,0),""))))</f>
        <v/>
      </c>
      <c r="R1889">
        <f>IF(P1889="","",INDEX('Students'!$AD$2:$AD$701,P1889))</f>
        <v/>
      </c>
      <c r="S1889">
        <f>IF(H1889="OK",O1889,0)</f>
        <v/>
      </c>
      <c r="T1889">
        <f>IF(H1889="OK",N1889,"")</f>
        <v/>
      </c>
      <c r="U1889">
        <f>IF(OC_Donor=0,"",IF(INDEX('OneCause_Paste'!$A$1889:$AZ$1889,1,OC_Donor)="","",INDEX('OneCause_Paste'!$A$1889:$AZ$1889,1,OC_Donor)))</f>
        <v/>
      </c>
    </row>
    <row r="1890">
      <c r="A1890" s="62">
        <f>IF(H1890="","",IF(ISNUMBER(N1890),N1890,I1890))</f>
        <v/>
      </c>
      <c r="B1890">
        <f>IF(H1890="","",U1890)</f>
        <v/>
      </c>
      <c r="C1890">
        <f>IF(H1890="","",IF(P1890="",K1890,INDEX('Students'!$A$2:$A$701,P1890)))</f>
        <v/>
      </c>
      <c r="D1890">
        <f>IF(OR(H1890="",P1890=""),"",INDEX('Students'!$B$2:$B$701,P1890))</f>
        <v/>
      </c>
      <c r="E1890">
        <f>IF(OR(H1890="",P1890=""),"",INDEX('Students'!$C$2:$C$701,P1890))</f>
        <v/>
      </c>
      <c r="F1890" s="48">
        <f>IF(H1890="","",IF(ISNUMBER(O1890),O1890,J1890))</f>
        <v/>
      </c>
      <c r="G1890">
        <f>IF(H1890="","","OneCause")</f>
        <v/>
      </c>
      <c r="H1890">
        <f>IF(AND(I1890="",J1890="",K1890=""),"",IF(NOT(ISNUMBER(O1890)),"Bad amount",IF(O1890&lt;0,"Refund (not counted)",IF(O1890=0,"Zero amount",IF(NOT(ISNUMBER(N1890)),"Bad date",IF(P1890="","NAME NOT ON ROSTER",IF(L1890="","OK",IF(MATCH(L1890,$L$2:$L$3001,0)&lt;ROW()-1,"Duplicate (ignored)","OK"))))))))</f>
        <v/>
      </c>
      <c r="I1890">
        <f>IF(OC_Date=0,"",IF(INDEX('OneCause_Paste'!$A$1890:$AZ$1890,1,OC_Date)="","",INDEX('OneCause_Paste'!$A$1890:$AZ$1890,1,OC_Date)))</f>
        <v/>
      </c>
      <c r="J1890">
        <f>IF(OC_Amt=0,"",IF(INDEX('OneCause_Paste'!$A$1890:$AZ$1890,1,OC_Amt)="","",INDEX('OneCause_Paste'!$A$1890:$AZ$1890,1,OC_Amt)))</f>
        <v/>
      </c>
      <c r="K1890">
        <f>IF(OC_Name=0,"",IF(INDEX('OneCause_Paste'!$A$1890:$AZ$1890,1,OC_Name)="","",INDEX('OneCause_Paste'!$A$1890:$AZ$1890,1,OC_Name)))</f>
        <v/>
      </c>
      <c r="L1890">
        <f>IF(OC_Txn=0,"",IF(INDEX('OneCause_Paste'!$A$1890:$AZ$1890,1,OC_Txn)="","",INDEX('OneCause_Paste'!$A$1890:$AZ$1890,1,OC_Txn)))</f>
        <v/>
      </c>
      <c r="M1890">
        <f>IF(OC_Pay=0,"",IF(INDEX('OneCause_Paste'!$A$1890:$AZ$1890,1,OC_Pay)="","",INDEX('OneCause_Paste'!$A$1890:$AZ$1890,1,OC_Pay)))</f>
        <v/>
      </c>
      <c r="N1890">
        <f>IF(I1890="","",IF(ISNUMBER(I1890),INT(I1890),IFERROR(INT(DATEVALUE(I1890)),IFERROR(INT(VALUE(I1890)),"bad"))))</f>
        <v/>
      </c>
      <c r="O1890">
        <f>IF(J1890="","",IF(ISNUMBER(J1890),ROUND(J1890,2),IFERROR(ROUND(VALUE(SUBSTITUTE(SUBSTITUTE(SUBSTITUTE(J1890,"$",""),",","")," ","")),2),"bad")))</f>
        <v/>
      </c>
      <c r="P1890">
        <f>IF(TRIM(K1890)="","",IFERROR(MATCH(LOWER(TRIM(K1890)),'Students'!$AH$2:$AH$701,0),IFERROR(MATCH(LOWER(TRIM(K1890)),'Students'!$AF$2:$AF$701,0),IFERROR(MATCH(LOWER(TRIM(K1890)),'Students'!$AG$2:$AG$701,0),""))))</f>
        <v/>
      </c>
      <c r="R1890">
        <f>IF(P1890="","",INDEX('Students'!$AD$2:$AD$701,P1890))</f>
        <v/>
      </c>
      <c r="S1890">
        <f>IF(H1890="OK",O1890,0)</f>
        <v/>
      </c>
      <c r="T1890">
        <f>IF(H1890="OK",N1890,"")</f>
        <v/>
      </c>
      <c r="U1890">
        <f>IF(OC_Donor=0,"",IF(INDEX('OneCause_Paste'!$A$1890:$AZ$1890,1,OC_Donor)="","",INDEX('OneCause_Paste'!$A$1890:$AZ$1890,1,OC_Donor)))</f>
        <v/>
      </c>
    </row>
    <row r="1891">
      <c r="A1891" s="62">
        <f>IF(H1891="","",IF(ISNUMBER(N1891),N1891,I1891))</f>
        <v/>
      </c>
      <c r="B1891">
        <f>IF(H1891="","",U1891)</f>
        <v/>
      </c>
      <c r="C1891">
        <f>IF(H1891="","",IF(P1891="",K1891,INDEX('Students'!$A$2:$A$701,P1891)))</f>
        <v/>
      </c>
      <c r="D1891">
        <f>IF(OR(H1891="",P1891=""),"",INDEX('Students'!$B$2:$B$701,P1891))</f>
        <v/>
      </c>
      <c r="E1891">
        <f>IF(OR(H1891="",P1891=""),"",INDEX('Students'!$C$2:$C$701,P1891))</f>
        <v/>
      </c>
      <c r="F1891" s="48">
        <f>IF(H1891="","",IF(ISNUMBER(O1891),O1891,J1891))</f>
        <v/>
      </c>
      <c r="G1891">
        <f>IF(H1891="","","OneCause")</f>
        <v/>
      </c>
      <c r="H1891">
        <f>IF(AND(I1891="",J1891="",K1891=""),"",IF(NOT(ISNUMBER(O1891)),"Bad amount",IF(O1891&lt;0,"Refund (not counted)",IF(O1891=0,"Zero amount",IF(NOT(ISNUMBER(N1891)),"Bad date",IF(P1891="","NAME NOT ON ROSTER",IF(L1891="","OK",IF(MATCH(L1891,$L$2:$L$3001,0)&lt;ROW()-1,"Duplicate (ignored)","OK"))))))))</f>
        <v/>
      </c>
      <c r="I1891">
        <f>IF(OC_Date=0,"",IF(INDEX('OneCause_Paste'!$A$1891:$AZ$1891,1,OC_Date)="","",INDEX('OneCause_Paste'!$A$1891:$AZ$1891,1,OC_Date)))</f>
        <v/>
      </c>
      <c r="J1891">
        <f>IF(OC_Amt=0,"",IF(INDEX('OneCause_Paste'!$A$1891:$AZ$1891,1,OC_Amt)="","",INDEX('OneCause_Paste'!$A$1891:$AZ$1891,1,OC_Amt)))</f>
        <v/>
      </c>
      <c r="K1891">
        <f>IF(OC_Name=0,"",IF(INDEX('OneCause_Paste'!$A$1891:$AZ$1891,1,OC_Name)="","",INDEX('OneCause_Paste'!$A$1891:$AZ$1891,1,OC_Name)))</f>
        <v/>
      </c>
      <c r="L1891">
        <f>IF(OC_Txn=0,"",IF(INDEX('OneCause_Paste'!$A$1891:$AZ$1891,1,OC_Txn)="","",INDEX('OneCause_Paste'!$A$1891:$AZ$1891,1,OC_Txn)))</f>
        <v/>
      </c>
      <c r="M1891">
        <f>IF(OC_Pay=0,"",IF(INDEX('OneCause_Paste'!$A$1891:$AZ$1891,1,OC_Pay)="","",INDEX('OneCause_Paste'!$A$1891:$AZ$1891,1,OC_Pay)))</f>
        <v/>
      </c>
      <c r="N1891">
        <f>IF(I1891="","",IF(ISNUMBER(I1891),INT(I1891),IFERROR(INT(DATEVALUE(I1891)),IFERROR(INT(VALUE(I1891)),"bad"))))</f>
        <v/>
      </c>
      <c r="O1891">
        <f>IF(J1891="","",IF(ISNUMBER(J1891),ROUND(J1891,2),IFERROR(ROUND(VALUE(SUBSTITUTE(SUBSTITUTE(SUBSTITUTE(J1891,"$",""),",","")," ","")),2),"bad")))</f>
        <v/>
      </c>
      <c r="P1891">
        <f>IF(TRIM(K1891)="","",IFERROR(MATCH(LOWER(TRIM(K1891)),'Students'!$AH$2:$AH$701,0),IFERROR(MATCH(LOWER(TRIM(K1891)),'Students'!$AF$2:$AF$701,0),IFERROR(MATCH(LOWER(TRIM(K1891)),'Students'!$AG$2:$AG$701,0),""))))</f>
        <v/>
      </c>
      <c r="R1891">
        <f>IF(P1891="","",INDEX('Students'!$AD$2:$AD$701,P1891))</f>
        <v/>
      </c>
      <c r="S1891">
        <f>IF(H1891="OK",O1891,0)</f>
        <v/>
      </c>
      <c r="T1891">
        <f>IF(H1891="OK",N1891,"")</f>
        <v/>
      </c>
      <c r="U1891">
        <f>IF(OC_Donor=0,"",IF(INDEX('OneCause_Paste'!$A$1891:$AZ$1891,1,OC_Donor)="","",INDEX('OneCause_Paste'!$A$1891:$AZ$1891,1,OC_Donor)))</f>
        <v/>
      </c>
    </row>
    <row r="1892">
      <c r="A1892" s="62">
        <f>IF(H1892="","",IF(ISNUMBER(N1892),N1892,I1892))</f>
        <v/>
      </c>
      <c r="B1892">
        <f>IF(H1892="","",U1892)</f>
        <v/>
      </c>
      <c r="C1892">
        <f>IF(H1892="","",IF(P1892="",K1892,INDEX('Students'!$A$2:$A$701,P1892)))</f>
        <v/>
      </c>
      <c r="D1892">
        <f>IF(OR(H1892="",P1892=""),"",INDEX('Students'!$B$2:$B$701,P1892))</f>
        <v/>
      </c>
      <c r="E1892">
        <f>IF(OR(H1892="",P1892=""),"",INDEX('Students'!$C$2:$C$701,P1892))</f>
        <v/>
      </c>
      <c r="F1892" s="48">
        <f>IF(H1892="","",IF(ISNUMBER(O1892),O1892,J1892))</f>
        <v/>
      </c>
      <c r="G1892">
        <f>IF(H1892="","","OneCause")</f>
        <v/>
      </c>
      <c r="H1892">
        <f>IF(AND(I1892="",J1892="",K1892=""),"",IF(NOT(ISNUMBER(O1892)),"Bad amount",IF(O1892&lt;0,"Refund (not counted)",IF(O1892=0,"Zero amount",IF(NOT(ISNUMBER(N1892)),"Bad date",IF(P1892="","NAME NOT ON ROSTER",IF(L1892="","OK",IF(MATCH(L1892,$L$2:$L$3001,0)&lt;ROW()-1,"Duplicate (ignored)","OK"))))))))</f>
        <v/>
      </c>
      <c r="I1892">
        <f>IF(OC_Date=0,"",IF(INDEX('OneCause_Paste'!$A$1892:$AZ$1892,1,OC_Date)="","",INDEX('OneCause_Paste'!$A$1892:$AZ$1892,1,OC_Date)))</f>
        <v/>
      </c>
      <c r="J1892">
        <f>IF(OC_Amt=0,"",IF(INDEX('OneCause_Paste'!$A$1892:$AZ$1892,1,OC_Amt)="","",INDEX('OneCause_Paste'!$A$1892:$AZ$1892,1,OC_Amt)))</f>
        <v/>
      </c>
      <c r="K1892">
        <f>IF(OC_Name=0,"",IF(INDEX('OneCause_Paste'!$A$1892:$AZ$1892,1,OC_Name)="","",INDEX('OneCause_Paste'!$A$1892:$AZ$1892,1,OC_Name)))</f>
        <v/>
      </c>
      <c r="L1892">
        <f>IF(OC_Txn=0,"",IF(INDEX('OneCause_Paste'!$A$1892:$AZ$1892,1,OC_Txn)="","",INDEX('OneCause_Paste'!$A$1892:$AZ$1892,1,OC_Txn)))</f>
        <v/>
      </c>
      <c r="M1892">
        <f>IF(OC_Pay=0,"",IF(INDEX('OneCause_Paste'!$A$1892:$AZ$1892,1,OC_Pay)="","",INDEX('OneCause_Paste'!$A$1892:$AZ$1892,1,OC_Pay)))</f>
        <v/>
      </c>
      <c r="N1892">
        <f>IF(I1892="","",IF(ISNUMBER(I1892),INT(I1892),IFERROR(INT(DATEVALUE(I1892)),IFERROR(INT(VALUE(I1892)),"bad"))))</f>
        <v/>
      </c>
      <c r="O1892">
        <f>IF(J1892="","",IF(ISNUMBER(J1892),ROUND(J1892,2),IFERROR(ROUND(VALUE(SUBSTITUTE(SUBSTITUTE(SUBSTITUTE(J1892,"$",""),",","")," ","")),2),"bad")))</f>
        <v/>
      </c>
      <c r="P1892">
        <f>IF(TRIM(K1892)="","",IFERROR(MATCH(LOWER(TRIM(K1892)),'Students'!$AH$2:$AH$701,0),IFERROR(MATCH(LOWER(TRIM(K1892)),'Students'!$AF$2:$AF$701,0),IFERROR(MATCH(LOWER(TRIM(K1892)),'Students'!$AG$2:$AG$701,0),""))))</f>
        <v/>
      </c>
      <c r="R1892">
        <f>IF(P1892="","",INDEX('Students'!$AD$2:$AD$701,P1892))</f>
        <v/>
      </c>
      <c r="S1892">
        <f>IF(H1892="OK",O1892,0)</f>
        <v/>
      </c>
      <c r="T1892">
        <f>IF(H1892="OK",N1892,"")</f>
        <v/>
      </c>
      <c r="U1892">
        <f>IF(OC_Donor=0,"",IF(INDEX('OneCause_Paste'!$A$1892:$AZ$1892,1,OC_Donor)="","",INDEX('OneCause_Paste'!$A$1892:$AZ$1892,1,OC_Donor)))</f>
        <v/>
      </c>
    </row>
    <row r="1893">
      <c r="A1893" s="62">
        <f>IF(H1893="","",IF(ISNUMBER(N1893),N1893,I1893))</f>
        <v/>
      </c>
      <c r="B1893">
        <f>IF(H1893="","",U1893)</f>
        <v/>
      </c>
      <c r="C1893">
        <f>IF(H1893="","",IF(P1893="",K1893,INDEX('Students'!$A$2:$A$701,P1893)))</f>
        <v/>
      </c>
      <c r="D1893">
        <f>IF(OR(H1893="",P1893=""),"",INDEX('Students'!$B$2:$B$701,P1893))</f>
        <v/>
      </c>
      <c r="E1893">
        <f>IF(OR(H1893="",P1893=""),"",INDEX('Students'!$C$2:$C$701,P1893))</f>
        <v/>
      </c>
      <c r="F1893" s="48">
        <f>IF(H1893="","",IF(ISNUMBER(O1893),O1893,J1893))</f>
        <v/>
      </c>
      <c r="G1893">
        <f>IF(H1893="","","OneCause")</f>
        <v/>
      </c>
      <c r="H1893">
        <f>IF(AND(I1893="",J1893="",K1893=""),"",IF(NOT(ISNUMBER(O1893)),"Bad amount",IF(O1893&lt;0,"Refund (not counted)",IF(O1893=0,"Zero amount",IF(NOT(ISNUMBER(N1893)),"Bad date",IF(P1893="","NAME NOT ON ROSTER",IF(L1893="","OK",IF(MATCH(L1893,$L$2:$L$3001,0)&lt;ROW()-1,"Duplicate (ignored)","OK"))))))))</f>
        <v/>
      </c>
      <c r="I1893">
        <f>IF(OC_Date=0,"",IF(INDEX('OneCause_Paste'!$A$1893:$AZ$1893,1,OC_Date)="","",INDEX('OneCause_Paste'!$A$1893:$AZ$1893,1,OC_Date)))</f>
        <v/>
      </c>
      <c r="J1893">
        <f>IF(OC_Amt=0,"",IF(INDEX('OneCause_Paste'!$A$1893:$AZ$1893,1,OC_Amt)="","",INDEX('OneCause_Paste'!$A$1893:$AZ$1893,1,OC_Amt)))</f>
        <v/>
      </c>
      <c r="K1893">
        <f>IF(OC_Name=0,"",IF(INDEX('OneCause_Paste'!$A$1893:$AZ$1893,1,OC_Name)="","",INDEX('OneCause_Paste'!$A$1893:$AZ$1893,1,OC_Name)))</f>
        <v/>
      </c>
      <c r="L1893">
        <f>IF(OC_Txn=0,"",IF(INDEX('OneCause_Paste'!$A$1893:$AZ$1893,1,OC_Txn)="","",INDEX('OneCause_Paste'!$A$1893:$AZ$1893,1,OC_Txn)))</f>
        <v/>
      </c>
      <c r="M1893">
        <f>IF(OC_Pay=0,"",IF(INDEX('OneCause_Paste'!$A$1893:$AZ$1893,1,OC_Pay)="","",INDEX('OneCause_Paste'!$A$1893:$AZ$1893,1,OC_Pay)))</f>
        <v/>
      </c>
      <c r="N1893">
        <f>IF(I1893="","",IF(ISNUMBER(I1893),INT(I1893),IFERROR(INT(DATEVALUE(I1893)),IFERROR(INT(VALUE(I1893)),"bad"))))</f>
        <v/>
      </c>
      <c r="O1893">
        <f>IF(J1893="","",IF(ISNUMBER(J1893),ROUND(J1893,2),IFERROR(ROUND(VALUE(SUBSTITUTE(SUBSTITUTE(SUBSTITUTE(J1893,"$",""),",","")," ","")),2),"bad")))</f>
        <v/>
      </c>
      <c r="P1893">
        <f>IF(TRIM(K1893)="","",IFERROR(MATCH(LOWER(TRIM(K1893)),'Students'!$AH$2:$AH$701,0),IFERROR(MATCH(LOWER(TRIM(K1893)),'Students'!$AF$2:$AF$701,0),IFERROR(MATCH(LOWER(TRIM(K1893)),'Students'!$AG$2:$AG$701,0),""))))</f>
        <v/>
      </c>
      <c r="R1893">
        <f>IF(P1893="","",INDEX('Students'!$AD$2:$AD$701,P1893))</f>
        <v/>
      </c>
      <c r="S1893">
        <f>IF(H1893="OK",O1893,0)</f>
        <v/>
      </c>
      <c r="T1893">
        <f>IF(H1893="OK",N1893,"")</f>
        <v/>
      </c>
      <c r="U1893">
        <f>IF(OC_Donor=0,"",IF(INDEX('OneCause_Paste'!$A$1893:$AZ$1893,1,OC_Donor)="","",INDEX('OneCause_Paste'!$A$1893:$AZ$1893,1,OC_Donor)))</f>
        <v/>
      </c>
    </row>
    <row r="1894">
      <c r="A1894" s="62">
        <f>IF(H1894="","",IF(ISNUMBER(N1894),N1894,I1894))</f>
        <v/>
      </c>
      <c r="B1894">
        <f>IF(H1894="","",U1894)</f>
        <v/>
      </c>
      <c r="C1894">
        <f>IF(H1894="","",IF(P1894="",K1894,INDEX('Students'!$A$2:$A$701,P1894)))</f>
        <v/>
      </c>
      <c r="D1894">
        <f>IF(OR(H1894="",P1894=""),"",INDEX('Students'!$B$2:$B$701,P1894))</f>
        <v/>
      </c>
      <c r="E1894">
        <f>IF(OR(H1894="",P1894=""),"",INDEX('Students'!$C$2:$C$701,P1894))</f>
        <v/>
      </c>
      <c r="F1894" s="48">
        <f>IF(H1894="","",IF(ISNUMBER(O1894),O1894,J1894))</f>
        <v/>
      </c>
      <c r="G1894">
        <f>IF(H1894="","","OneCause")</f>
        <v/>
      </c>
      <c r="H1894">
        <f>IF(AND(I1894="",J1894="",K1894=""),"",IF(NOT(ISNUMBER(O1894)),"Bad amount",IF(O1894&lt;0,"Refund (not counted)",IF(O1894=0,"Zero amount",IF(NOT(ISNUMBER(N1894)),"Bad date",IF(P1894="","NAME NOT ON ROSTER",IF(L1894="","OK",IF(MATCH(L1894,$L$2:$L$3001,0)&lt;ROW()-1,"Duplicate (ignored)","OK"))))))))</f>
        <v/>
      </c>
      <c r="I1894">
        <f>IF(OC_Date=0,"",IF(INDEX('OneCause_Paste'!$A$1894:$AZ$1894,1,OC_Date)="","",INDEX('OneCause_Paste'!$A$1894:$AZ$1894,1,OC_Date)))</f>
        <v/>
      </c>
      <c r="J1894">
        <f>IF(OC_Amt=0,"",IF(INDEX('OneCause_Paste'!$A$1894:$AZ$1894,1,OC_Amt)="","",INDEX('OneCause_Paste'!$A$1894:$AZ$1894,1,OC_Amt)))</f>
        <v/>
      </c>
      <c r="K1894">
        <f>IF(OC_Name=0,"",IF(INDEX('OneCause_Paste'!$A$1894:$AZ$1894,1,OC_Name)="","",INDEX('OneCause_Paste'!$A$1894:$AZ$1894,1,OC_Name)))</f>
        <v/>
      </c>
      <c r="L1894">
        <f>IF(OC_Txn=0,"",IF(INDEX('OneCause_Paste'!$A$1894:$AZ$1894,1,OC_Txn)="","",INDEX('OneCause_Paste'!$A$1894:$AZ$1894,1,OC_Txn)))</f>
        <v/>
      </c>
      <c r="M1894">
        <f>IF(OC_Pay=0,"",IF(INDEX('OneCause_Paste'!$A$1894:$AZ$1894,1,OC_Pay)="","",INDEX('OneCause_Paste'!$A$1894:$AZ$1894,1,OC_Pay)))</f>
        <v/>
      </c>
      <c r="N1894">
        <f>IF(I1894="","",IF(ISNUMBER(I1894),INT(I1894),IFERROR(INT(DATEVALUE(I1894)),IFERROR(INT(VALUE(I1894)),"bad"))))</f>
        <v/>
      </c>
      <c r="O1894">
        <f>IF(J1894="","",IF(ISNUMBER(J1894),ROUND(J1894,2),IFERROR(ROUND(VALUE(SUBSTITUTE(SUBSTITUTE(SUBSTITUTE(J1894,"$",""),",","")," ","")),2),"bad")))</f>
        <v/>
      </c>
      <c r="P1894">
        <f>IF(TRIM(K1894)="","",IFERROR(MATCH(LOWER(TRIM(K1894)),'Students'!$AH$2:$AH$701,0),IFERROR(MATCH(LOWER(TRIM(K1894)),'Students'!$AF$2:$AF$701,0),IFERROR(MATCH(LOWER(TRIM(K1894)),'Students'!$AG$2:$AG$701,0),""))))</f>
        <v/>
      </c>
      <c r="R1894">
        <f>IF(P1894="","",INDEX('Students'!$AD$2:$AD$701,P1894))</f>
        <v/>
      </c>
      <c r="S1894">
        <f>IF(H1894="OK",O1894,0)</f>
        <v/>
      </c>
      <c r="T1894">
        <f>IF(H1894="OK",N1894,"")</f>
        <v/>
      </c>
      <c r="U1894">
        <f>IF(OC_Donor=0,"",IF(INDEX('OneCause_Paste'!$A$1894:$AZ$1894,1,OC_Donor)="","",INDEX('OneCause_Paste'!$A$1894:$AZ$1894,1,OC_Donor)))</f>
        <v/>
      </c>
    </row>
    <row r="1895">
      <c r="A1895" s="62">
        <f>IF(H1895="","",IF(ISNUMBER(N1895),N1895,I1895))</f>
        <v/>
      </c>
      <c r="B1895">
        <f>IF(H1895="","",U1895)</f>
        <v/>
      </c>
      <c r="C1895">
        <f>IF(H1895="","",IF(P1895="",K1895,INDEX('Students'!$A$2:$A$701,P1895)))</f>
        <v/>
      </c>
      <c r="D1895">
        <f>IF(OR(H1895="",P1895=""),"",INDEX('Students'!$B$2:$B$701,P1895))</f>
        <v/>
      </c>
      <c r="E1895">
        <f>IF(OR(H1895="",P1895=""),"",INDEX('Students'!$C$2:$C$701,P1895))</f>
        <v/>
      </c>
      <c r="F1895" s="48">
        <f>IF(H1895="","",IF(ISNUMBER(O1895),O1895,J1895))</f>
        <v/>
      </c>
      <c r="G1895">
        <f>IF(H1895="","","OneCause")</f>
        <v/>
      </c>
      <c r="H1895">
        <f>IF(AND(I1895="",J1895="",K1895=""),"",IF(NOT(ISNUMBER(O1895)),"Bad amount",IF(O1895&lt;0,"Refund (not counted)",IF(O1895=0,"Zero amount",IF(NOT(ISNUMBER(N1895)),"Bad date",IF(P1895="","NAME NOT ON ROSTER",IF(L1895="","OK",IF(MATCH(L1895,$L$2:$L$3001,0)&lt;ROW()-1,"Duplicate (ignored)","OK"))))))))</f>
        <v/>
      </c>
      <c r="I1895">
        <f>IF(OC_Date=0,"",IF(INDEX('OneCause_Paste'!$A$1895:$AZ$1895,1,OC_Date)="","",INDEX('OneCause_Paste'!$A$1895:$AZ$1895,1,OC_Date)))</f>
        <v/>
      </c>
      <c r="J1895">
        <f>IF(OC_Amt=0,"",IF(INDEX('OneCause_Paste'!$A$1895:$AZ$1895,1,OC_Amt)="","",INDEX('OneCause_Paste'!$A$1895:$AZ$1895,1,OC_Amt)))</f>
        <v/>
      </c>
      <c r="K1895">
        <f>IF(OC_Name=0,"",IF(INDEX('OneCause_Paste'!$A$1895:$AZ$1895,1,OC_Name)="","",INDEX('OneCause_Paste'!$A$1895:$AZ$1895,1,OC_Name)))</f>
        <v/>
      </c>
      <c r="L1895">
        <f>IF(OC_Txn=0,"",IF(INDEX('OneCause_Paste'!$A$1895:$AZ$1895,1,OC_Txn)="","",INDEX('OneCause_Paste'!$A$1895:$AZ$1895,1,OC_Txn)))</f>
        <v/>
      </c>
      <c r="M1895">
        <f>IF(OC_Pay=0,"",IF(INDEX('OneCause_Paste'!$A$1895:$AZ$1895,1,OC_Pay)="","",INDEX('OneCause_Paste'!$A$1895:$AZ$1895,1,OC_Pay)))</f>
        <v/>
      </c>
      <c r="N1895">
        <f>IF(I1895="","",IF(ISNUMBER(I1895),INT(I1895),IFERROR(INT(DATEVALUE(I1895)),IFERROR(INT(VALUE(I1895)),"bad"))))</f>
        <v/>
      </c>
      <c r="O1895">
        <f>IF(J1895="","",IF(ISNUMBER(J1895),ROUND(J1895,2),IFERROR(ROUND(VALUE(SUBSTITUTE(SUBSTITUTE(SUBSTITUTE(J1895,"$",""),",","")," ","")),2),"bad")))</f>
        <v/>
      </c>
      <c r="P1895">
        <f>IF(TRIM(K1895)="","",IFERROR(MATCH(LOWER(TRIM(K1895)),'Students'!$AH$2:$AH$701,0),IFERROR(MATCH(LOWER(TRIM(K1895)),'Students'!$AF$2:$AF$701,0),IFERROR(MATCH(LOWER(TRIM(K1895)),'Students'!$AG$2:$AG$701,0),""))))</f>
        <v/>
      </c>
      <c r="R1895">
        <f>IF(P1895="","",INDEX('Students'!$AD$2:$AD$701,P1895))</f>
        <v/>
      </c>
      <c r="S1895">
        <f>IF(H1895="OK",O1895,0)</f>
        <v/>
      </c>
      <c r="T1895">
        <f>IF(H1895="OK",N1895,"")</f>
        <v/>
      </c>
      <c r="U1895">
        <f>IF(OC_Donor=0,"",IF(INDEX('OneCause_Paste'!$A$1895:$AZ$1895,1,OC_Donor)="","",INDEX('OneCause_Paste'!$A$1895:$AZ$1895,1,OC_Donor)))</f>
        <v/>
      </c>
    </row>
    <row r="1896">
      <c r="A1896" s="62">
        <f>IF(H1896="","",IF(ISNUMBER(N1896),N1896,I1896))</f>
        <v/>
      </c>
      <c r="B1896">
        <f>IF(H1896="","",U1896)</f>
        <v/>
      </c>
      <c r="C1896">
        <f>IF(H1896="","",IF(P1896="",K1896,INDEX('Students'!$A$2:$A$701,P1896)))</f>
        <v/>
      </c>
      <c r="D1896">
        <f>IF(OR(H1896="",P1896=""),"",INDEX('Students'!$B$2:$B$701,P1896))</f>
        <v/>
      </c>
      <c r="E1896">
        <f>IF(OR(H1896="",P1896=""),"",INDEX('Students'!$C$2:$C$701,P1896))</f>
        <v/>
      </c>
      <c r="F1896" s="48">
        <f>IF(H1896="","",IF(ISNUMBER(O1896),O1896,J1896))</f>
        <v/>
      </c>
      <c r="G1896">
        <f>IF(H1896="","","OneCause")</f>
        <v/>
      </c>
      <c r="H1896">
        <f>IF(AND(I1896="",J1896="",K1896=""),"",IF(NOT(ISNUMBER(O1896)),"Bad amount",IF(O1896&lt;0,"Refund (not counted)",IF(O1896=0,"Zero amount",IF(NOT(ISNUMBER(N1896)),"Bad date",IF(P1896="","NAME NOT ON ROSTER",IF(L1896="","OK",IF(MATCH(L1896,$L$2:$L$3001,0)&lt;ROW()-1,"Duplicate (ignored)","OK"))))))))</f>
        <v/>
      </c>
      <c r="I1896">
        <f>IF(OC_Date=0,"",IF(INDEX('OneCause_Paste'!$A$1896:$AZ$1896,1,OC_Date)="","",INDEX('OneCause_Paste'!$A$1896:$AZ$1896,1,OC_Date)))</f>
        <v/>
      </c>
      <c r="J1896">
        <f>IF(OC_Amt=0,"",IF(INDEX('OneCause_Paste'!$A$1896:$AZ$1896,1,OC_Amt)="","",INDEX('OneCause_Paste'!$A$1896:$AZ$1896,1,OC_Amt)))</f>
        <v/>
      </c>
      <c r="K1896">
        <f>IF(OC_Name=0,"",IF(INDEX('OneCause_Paste'!$A$1896:$AZ$1896,1,OC_Name)="","",INDEX('OneCause_Paste'!$A$1896:$AZ$1896,1,OC_Name)))</f>
        <v/>
      </c>
      <c r="L1896">
        <f>IF(OC_Txn=0,"",IF(INDEX('OneCause_Paste'!$A$1896:$AZ$1896,1,OC_Txn)="","",INDEX('OneCause_Paste'!$A$1896:$AZ$1896,1,OC_Txn)))</f>
        <v/>
      </c>
      <c r="M1896">
        <f>IF(OC_Pay=0,"",IF(INDEX('OneCause_Paste'!$A$1896:$AZ$1896,1,OC_Pay)="","",INDEX('OneCause_Paste'!$A$1896:$AZ$1896,1,OC_Pay)))</f>
        <v/>
      </c>
      <c r="N1896">
        <f>IF(I1896="","",IF(ISNUMBER(I1896),INT(I1896),IFERROR(INT(DATEVALUE(I1896)),IFERROR(INT(VALUE(I1896)),"bad"))))</f>
        <v/>
      </c>
      <c r="O1896">
        <f>IF(J1896="","",IF(ISNUMBER(J1896),ROUND(J1896,2),IFERROR(ROUND(VALUE(SUBSTITUTE(SUBSTITUTE(SUBSTITUTE(J1896,"$",""),",","")," ","")),2),"bad")))</f>
        <v/>
      </c>
      <c r="P1896">
        <f>IF(TRIM(K1896)="","",IFERROR(MATCH(LOWER(TRIM(K1896)),'Students'!$AH$2:$AH$701,0),IFERROR(MATCH(LOWER(TRIM(K1896)),'Students'!$AF$2:$AF$701,0),IFERROR(MATCH(LOWER(TRIM(K1896)),'Students'!$AG$2:$AG$701,0),""))))</f>
        <v/>
      </c>
      <c r="R1896">
        <f>IF(P1896="","",INDEX('Students'!$AD$2:$AD$701,P1896))</f>
        <v/>
      </c>
      <c r="S1896">
        <f>IF(H1896="OK",O1896,0)</f>
        <v/>
      </c>
      <c r="T1896">
        <f>IF(H1896="OK",N1896,"")</f>
        <v/>
      </c>
      <c r="U1896">
        <f>IF(OC_Donor=0,"",IF(INDEX('OneCause_Paste'!$A$1896:$AZ$1896,1,OC_Donor)="","",INDEX('OneCause_Paste'!$A$1896:$AZ$1896,1,OC_Donor)))</f>
        <v/>
      </c>
    </row>
    <row r="1897">
      <c r="A1897" s="62">
        <f>IF(H1897="","",IF(ISNUMBER(N1897),N1897,I1897))</f>
        <v/>
      </c>
      <c r="B1897">
        <f>IF(H1897="","",U1897)</f>
        <v/>
      </c>
      <c r="C1897">
        <f>IF(H1897="","",IF(P1897="",K1897,INDEX('Students'!$A$2:$A$701,P1897)))</f>
        <v/>
      </c>
      <c r="D1897">
        <f>IF(OR(H1897="",P1897=""),"",INDEX('Students'!$B$2:$B$701,P1897))</f>
        <v/>
      </c>
      <c r="E1897">
        <f>IF(OR(H1897="",P1897=""),"",INDEX('Students'!$C$2:$C$701,P1897))</f>
        <v/>
      </c>
      <c r="F1897" s="48">
        <f>IF(H1897="","",IF(ISNUMBER(O1897),O1897,J1897))</f>
        <v/>
      </c>
      <c r="G1897">
        <f>IF(H1897="","","OneCause")</f>
        <v/>
      </c>
      <c r="H1897">
        <f>IF(AND(I1897="",J1897="",K1897=""),"",IF(NOT(ISNUMBER(O1897)),"Bad amount",IF(O1897&lt;0,"Refund (not counted)",IF(O1897=0,"Zero amount",IF(NOT(ISNUMBER(N1897)),"Bad date",IF(P1897="","NAME NOT ON ROSTER",IF(L1897="","OK",IF(MATCH(L1897,$L$2:$L$3001,0)&lt;ROW()-1,"Duplicate (ignored)","OK"))))))))</f>
        <v/>
      </c>
      <c r="I1897">
        <f>IF(OC_Date=0,"",IF(INDEX('OneCause_Paste'!$A$1897:$AZ$1897,1,OC_Date)="","",INDEX('OneCause_Paste'!$A$1897:$AZ$1897,1,OC_Date)))</f>
        <v/>
      </c>
      <c r="J1897">
        <f>IF(OC_Amt=0,"",IF(INDEX('OneCause_Paste'!$A$1897:$AZ$1897,1,OC_Amt)="","",INDEX('OneCause_Paste'!$A$1897:$AZ$1897,1,OC_Amt)))</f>
        <v/>
      </c>
      <c r="K1897">
        <f>IF(OC_Name=0,"",IF(INDEX('OneCause_Paste'!$A$1897:$AZ$1897,1,OC_Name)="","",INDEX('OneCause_Paste'!$A$1897:$AZ$1897,1,OC_Name)))</f>
        <v/>
      </c>
      <c r="L1897">
        <f>IF(OC_Txn=0,"",IF(INDEX('OneCause_Paste'!$A$1897:$AZ$1897,1,OC_Txn)="","",INDEX('OneCause_Paste'!$A$1897:$AZ$1897,1,OC_Txn)))</f>
        <v/>
      </c>
      <c r="M1897">
        <f>IF(OC_Pay=0,"",IF(INDEX('OneCause_Paste'!$A$1897:$AZ$1897,1,OC_Pay)="","",INDEX('OneCause_Paste'!$A$1897:$AZ$1897,1,OC_Pay)))</f>
        <v/>
      </c>
      <c r="N1897">
        <f>IF(I1897="","",IF(ISNUMBER(I1897),INT(I1897),IFERROR(INT(DATEVALUE(I1897)),IFERROR(INT(VALUE(I1897)),"bad"))))</f>
        <v/>
      </c>
      <c r="O1897">
        <f>IF(J1897="","",IF(ISNUMBER(J1897),ROUND(J1897,2),IFERROR(ROUND(VALUE(SUBSTITUTE(SUBSTITUTE(SUBSTITUTE(J1897,"$",""),",","")," ","")),2),"bad")))</f>
        <v/>
      </c>
      <c r="P1897">
        <f>IF(TRIM(K1897)="","",IFERROR(MATCH(LOWER(TRIM(K1897)),'Students'!$AH$2:$AH$701,0),IFERROR(MATCH(LOWER(TRIM(K1897)),'Students'!$AF$2:$AF$701,0),IFERROR(MATCH(LOWER(TRIM(K1897)),'Students'!$AG$2:$AG$701,0),""))))</f>
        <v/>
      </c>
      <c r="R1897">
        <f>IF(P1897="","",INDEX('Students'!$AD$2:$AD$701,P1897))</f>
        <v/>
      </c>
      <c r="S1897">
        <f>IF(H1897="OK",O1897,0)</f>
        <v/>
      </c>
      <c r="T1897">
        <f>IF(H1897="OK",N1897,"")</f>
        <v/>
      </c>
      <c r="U1897">
        <f>IF(OC_Donor=0,"",IF(INDEX('OneCause_Paste'!$A$1897:$AZ$1897,1,OC_Donor)="","",INDEX('OneCause_Paste'!$A$1897:$AZ$1897,1,OC_Donor)))</f>
        <v/>
      </c>
    </row>
    <row r="1898">
      <c r="A1898" s="62">
        <f>IF(H1898="","",IF(ISNUMBER(N1898),N1898,I1898))</f>
        <v/>
      </c>
      <c r="B1898">
        <f>IF(H1898="","",U1898)</f>
        <v/>
      </c>
      <c r="C1898">
        <f>IF(H1898="","",IF(P1898="",K1898,INDEX('Students'!$A$2:$A$701,P1898)))</f>
        <v/>
      </c>
      <c r="D1898">
        <f>IF(OR(H1898="",P1898=""),"",INDEX('Students'!$B$2:$B$701,P1898))</f>
        <v/>
      </c>
      <c r="E1898">
        <f>IF(OR(H1898="",P1898=""),"",INDEX('Students'!$C$2:$C$701,P1898))</f>
        <v/>
      </c>
      <c r="F1898" s="48">
        <f>IF(H1898="","",IF(ISNUMBER(O1898),O1898,J1898))</f>
        <v/>
      </c>
      <c r="G1898">
        <f>IF(H1898="","","OneCause")</f>
        <v/>
      </c>
      <c r="H1898">
        <f>IF(AND(I1898="",J1898="",K1898=""),"",IF(NOT(ISNUMBER(O1898)),"Bad amount",IF(O1898&lt;0,"Refund (not counted)",IF(O1898=0,"Zero amount",IF(NOT(ISNUMBER(N1898)),"Bad date",IF(P1898="","NAME NOT ON ROSTER",IF(L1898="","OK",IF(MATCH(L1898,$L$2:$L$3001,0)&lt;ROW()-1,"Duplicate (ignored)","OK"))))))))</f>
        <v/>
      </c>
      <c r="I1898">
        <f>IF(OC_Date=0,"",IF(INDEX('OneCause_Paste'!$A$1898:$AZ$1898,1,OC_Date)="","",INDEX('OneCause_Paste'!$A$1898:$AZ$1898,1,OC_Date)))</f>
        <v/>
      </c>
      <c r="J1898">
        <f>IF(OC_Amt=0,"",IF(INDEX('OneCause_Paste'!$A$1898:$AZ$1898,1,OC_Amt)="","",INDEX('OneCause_Paste'!$A$1898:$AZ$1898,1,OC_Amt)))</f>
        <v/>
      </c>
      <c r="K1898">
        <f>IF(OC_Name=0,"",IF(INDEX('OneCause_Paste'!$A$1898:$AZ$1898,1,OC_Name)="","",INDEX('OneCause_Paste'!$A$1898:$AZ$1898,1,OC_Name)))</f>
        <v/>
      </c>
      <c r="L1898">
        <f>IF(OC_Txn=0,"",IF(INDEX('OneCause_Paste'!$A$1898:$AZ$1898,1,OC_Txn)="","",INDEX('OneCause_Paste'!$A$1898:$AZ$1898,1,OC_Txn)))</f>
        <v/>
      </c>
      <c r="M1898">
        <f>IF(OC_Pay=0,"",IF(INDEX('OneCause_Paste'!$A$1898:$AZ$1898,1,OC_Pay)="","",INDEX('OneCause_Paste'!$A$1898:$AZ$1898,1,OC_Pay)))</f>
        <v/>
      </c>
      <c r="N1898">
        <f>IF(I1898="","",IF(ISNUMBER(I1898),INT(I1898),IFERROR(INT(DATEVALUE(I1898)),IFERROR(INT(VALUE(I1898)),"bad"))))</f>
        <v/>
      </c>
      <c r="O1898">
        <f>IF(J1898="","",IF(ISNUMBER(J1898),ROUND(J1898,2),IFERROR(ROUND(VALUE(SUBSTITUTE(SUBSTITUTE(SUBSTITUTE(J1898,"$",""),",","")," ","")),2),"bad")))</f>
        <v/>
      </c>
      <c r="P1898">
        <f>IF(TRIM(K1898)="","",IFERROR(MATCH(LOWER(TRIM(K1898)),'Students'!$AH$2:$AH$701,0),IFERROR(MATCH(LOWER(TRIM(K1898)),'Students'!$AF$2:$AF$701,0),IFERROR(MATCH(LOWER(TRIM(K1898)),'Students'!$AG$2:$AG$701,0),""))))</f>
        <v/>
      </c>
      <c r="R1898">
        <f>IF(P1898="","",INDEX('Students'!$AD$2:$AD$701,P1898))</f>
        <v/>
      </c>
      <c r="S1898">
        <f>IF(H1898="OK",O1898,0)</f>
        <v/>
      </c>
      <c r="T1898">
        <f>IF(H1898="OK",N1898,"")</f>
        <v/>
      </c>
      <c r="U1898">
        <f>IF(OC_Donor=0,"",IF(INDEX('OneCause_Paste'!$A$1898:$AZ$1898,1,OC_Donor)="","",INDEX('OneCause_Paste'!$A$1898:$AZ$1898,1,OC_Donor)))</f>
        <v/>
      </c>
    </row>
    <row r="1899">
      <c r="A1899" s="62">
        <f>IF(H1899="","",IF(ISNUMBER(N1899),N1899,I1899))</f>
        <v/>
      </c>
      <c r="B1899">
        <f>IF(H1899="","",U1899)</f>
        <v/>
      </c>
      <c r="C1899">
        <f>IF(H1899="","",IF(P1899="",K1899,INDEX('Students'!$A$2:$A$701,P1899)))</f>
        <v/>
      </c>
      <c r="D1899">
        <f>IF(OR(H1899="",P1899=""),"",INDEX('Students'!$B$2:$B$701,P1899))</f>
        <v/>
      </c>
      <c r="E1899">
        <f>IF(OR(H1899="",P1899=""),"",INDEX('Students'!$C$2:$C$701,P1899))</f>
        <v/>
      </c>
      <c r="F1899" s="48">
        <f>IF(H1899="","",IF(ISNUMBER(O1899),O1899,J1899))</f>
        <v/>
      </c>
      <c r="G1899">
        <f>IF(H1899="","","OneCause")</f>
        <v/>
      </c>
      <c r="H1899">
        <f>IF(AND(I1899="",J1899="",K1899=""),"",IF(NOT(ISNUMBER(O1899)),"Bad amount",IF(O1899&lt;0,"Refund (not counted)",IF(O1899=0,"Zero amount",IF(NOT(ISNUMBER(N1899)),"Bad date",IF(P1899="","NAME NOT ON ROSTER",IF(L1899="","OK",IF(MATCH(L1899,$L$2:$L$3001,0)&lt;ROW()-1,"Duplicate (ignored)","OK"))))))))</f>
        <v/>
      </c>
      <c r="I1899">
        <f>IF(OC_Date=0,"",IF(INDEX('OneCause_Paste'!$A$1899:$AZ$1899,1,OC_Date)="","",INDEX('OneCause_Paste'!$A$1899:$AZ$1899,1,OC_Date)))</f>
        <v/>
      </c>
      <c r="J1899">
        <f>IF(OC_Amt=0,"",IF(INDEX('OneCause_Paste'!$A$1899:$AZ$1899,1,OC_Amt)="","",INDEX('OneCause_Paste'!$A$1899:$AZ$1899,1,OC_Amt)))</f>
        <v/>
      </c>
      <c r="K1899">
        <f>IF(OC_Name=0,"",IF(INDEX('OneCause_Paste'!$A$1899:$AZ$1899,1,OC_Name)="","",INDEX('OneCause_Paste'!$A$1899:$AZ$1899,1,OC_Name)))</f>
        <v/>
      </c>
      <c r="L1899">
        <f>IF(OC_Txn=0,"",IF(INDEX('OneCause_Paste'!$A$1899:$AZ$1899,1,OC_Txn)="","",INDEX('OneCause_Paste'!$A$1899:$AZ$1899,1,OC_Txn)))</f>
        <v/>
      </c>
      <c r="M1899">
        <f>IF(OC_Pay=0,"",IF(INDEX('OneCause_Paste'!$A$1899:$AZ$1899,1,OC_Pay)="","",INDEX('OneCause_Paste'!$A$1899:$AZ$1899,1,OC_Pay)))</f>
        <v/>
      </c>
      <c r="N1899">
        <f>IF(I1899="","",IF(ISNUMBER(I1899),INT(I1899),IFERROR(INT(DATEVALUE(I1899)),IFERROR(INT(VALUE(I1899)),"bad"))))</f>
        <v/>
      </c>
      <c r="O1899">
        <f>IF(J1899="","",IF(ISNUMBER(J1899),ROUND(J1899,2),IFERROR(ROUND(VALUE(SUBSTITUTE(SUBSTITUTE(SUBSTITUTE(J1899,"$",""),",","")," ","")),2),"bad")))</f>
        <v/>
      </c>
      <c r="P1899">
        <f>IF(TRIM(K1899)="","",IFERROR(MATCH(LOWER(TRIM(K1899)),'Students'!$AH$2:$AH$701,0),IFERROR(MATCH(LOWER(TRIM(K1899)),'Students'!$AF$2:$AF$701,0),IFERROR(MATCH(LOWER(TRIM(K1899)),'Students'!$AG$2:$AG$701,0),""))))</f>
        <v/>
      </c>
      <c r="R1899">
        <f>IF(P1899="","",INDEX('Students'!$AD$2:$AD$701,P1899))</f>
        <v/>
      </c>
      <c r="S1899">
        <f>IF(H1899="OK",O1899,0)</f>
        <v/>
      </c>
      <c r="T1899">
        <f>IF(H1899="OK",N1899,"")</f>
        <v/>
      </c>
      <c r="U1899">
        <f>IF(OC_Donor=0,"",IF(INDEX('OneCause_Paste'!$A$1899:$AZ$1899,1,OC_Donor)="","",INDEX('OneCause_Paste'!$A$1899:$AZ$1899,1,OC_Donor)))</f>
        <v/>
      </c>
    </row>
    <row r="1900">
      <c r="A1900" s="62">
        <f>IF(H1900="","",IF(ISNUMBER(N1900),N1900,I1900))</f>
        <v/>
      </c>
      <c r="B1900">
        <f>IF(H1900="","",U1900)</f>
        <v/>
      </c>
      <c r="C1900">
        <f>IF(H1900="","",IF(P1900="",K1900,INDEX('Students'!$A$2:$A$701,P1900)))</f>
        <v/>
      </c>
      <c r="D1900">
        <f>IF(OR(H1900="",P1900=""),"",INDEX('Students'!$B$2:$B$701,P1900))</f>
        <v/>
      </c>
      <c r="E1900">
        <f>IF(OR(H1900="",P1900=""),"",INDEX('Students'!$C$2:$C$701,P1900))</f>
        <v/>
      </c>
      <c r="F1900" s="48">
        <f>IF(H1900="","",IF(ISNUMBER(O1900),O1900,J1900))</f>
        <v/>
      </c>
      <c r="G1900">
        <f>IF(H1900="","","OneCause")</f>
        <v/>
      </c>
      <c r="H1900">
        <f>IF(AND(I1900="",J1900="",K1900=""),"",IF(NOT(ISNUMBER(O1900)),"Bad amount",IF(O1900&lt;0,"Refund (not counted)",IF(O1900=0,"Zero amount",IF(NOT(ISNUMBER(N1900)),"Bad date",IF(P1900="","NAME NOT ON ROSTER",IF(L1900="","OK",IF(MATCH(L1900,$L$2:$L$3001,0)&lt;ROW()-1,"Duplicate (ignored)","OK"))))))))</f>
        <v/>
      </c>
      <c r="I1900">
        <f>IF(OC_Date=0,"",IF(INDEX('OneCause_Paste'!$A$1900:$AZ$1900,1,OC_Date)="","",INDEX('OneCause_Paste'!$A$1900:$AZ$1900,1,OC_Date)))</f>
        <v/>
      </c>
      <c r="J1900">
        <f>IF(OC_Amt=0,"",IF(INDEX('OneCause_Paste'!$A$1900:$AZ$1900,1,OC_Amt)="","",INDEX('OneCause_Paste'!$A$1900:$AZ$1900,1,OC_Amt)))</f>
        <v/>
      </c>
      <c r="K1900">
        <f>IF(OC_Name=0,"",IF(INDEX('OneCause_Paste'!$A$1900:$AZ$1900,1,OC_Name)="","",INDEX('OneCause_Paste'!$A$1900:$AZ$1900,1,OC_Name)))</f>
        <v/>
      </c>
      <c r="L1900">
        <f>IF(OC_Txn=0,"",IF(INDEX('OneCause_Paste'!$A$1900:$AZ$1900,1,OC_Txn)="","",INDEX('OneCause_Paste'!$A$1900:$AZ$1900,1,OC_Txn)))</f>
        <v/>
      </c>
      <c r="M1900">
        <f>IF(OC_Pay=0,"",IF(INDEX('OneCause_Paste'!$A$1900:$AZ$1900,1,OC_Pay)="","",INDEX('OneCause_Paste'!$A$1900:$AZ$1900,1,OC_Pay)))</f>
        <v/>
      </c>
      <c r="N1900">
        <f>IF(I1900="","",IF(ISNUMBER(I1900),INT(I1900),IFERROR(INT(DATEVALUE(I1900)),IFERROR(INT(VALUE(I1900)),"bad"))))</f>
        <v/>
      </c>
      <c r="O1900">
        <f>IF(J1900="","",IF(ISNUMBER(J1900),ROUND(J1900,2),IFERROR(ROUND(VALUE(SUBSTITUTE(SUBSTITUTE(SUBSTITUTE(J1900,"$",""),",","")," ","")),2),"bad")))</f>
        <v/>
      </c>
      <c r="P1900">
        <f>IF(TRIM(K1900)="","",IFERROR(MATCH(LOWER(TRIM(K1900)),'Students'!$AH$2:$AH$701,0),IFERROR(MATCH(LOWER(TRIM(K1900)),'Students'!$AF$2:$AF$701,0),IFERROR(MATCH(LOWER(TRIM(K1900)),'Students'!$AG$2:$AG$701,0),""))))</f>
        <v/>
      </c>
      <c r="R1900">
        <f>IF(P1900="","",INDEX('Students'!$AD$2:$AD$701,P1900))</f>
        <v/>
      </c>
      <c r="S1900">
        <f>IF(H1900="OK",O1900,0)</f>
        <v/>
      </c>
      <c r="T1900">
        <f>IF(H1900="OK",N1900,"")</f>
        <v/>
      </c>
      <c r="U1900">
        <f>IF(OC_Donor=0,"",IF(INDEX('OneCause_Paste'!$A$1900:$AZ$1900,1,OC_Donor)="","",INDEX('OneCause_Paste'!$A$1900:$AZ$1900,1,OC_Donor)))</f>
        <v/>
      </c>
    </row>
    <row r="1901">
      <c r="A1901" s="62">
        <f>IF(H1901="","",IF(ISNUMBER(N1901),N1901,I1901))</f>
        <v/>
      </c>
      <c r="B1901">
        <f>IF(H1901="","",U1901)</f>
        <v/>
      </c>
      <c r="C1901">
        <f>IF(H1901="","",IF(P1901="",K1901,INDEX('Students'!$A$2:$A$701,P1901)))</f>
        <v/>
      </c>
      <c r="D1901">
        <f>IF(OR(H1901="",P1901=""),"",INDEX('Students'!$B$2:$B$701,P1901))</f>
        <v/>
      </c>
      <c r="E1901">
        <f>IF(OR(H1901="",P1901=""),"",INDEX('Students'!$C$2:$C$701,P1901))</f>
        <v/>
      </c>
      <c r="F1901" s="48">
        <f>IF(H1901="","",IF(ISNUMBER(O1901),O1901,J1901))</f>
        <v/>
      </c>
      <c r="G1901">
        <f>IF(H1901="","","OneCause")</f>
        <v/>
      </c>
      <c r="H1901">
        <f>IF(AND(I1901="",J1901="",K1901=""),"",IF(NOT(ISNUMBER(O1901)),"Bad amount",IF(O1901&lt;0,"Refund (not counted)",IF(O1901=0,"Zero amount",IF(NOT(ISNUMBER(N1901)),"Bad date",IF(P1901="","NAME NOT ON ROSTER",IF(L1901="","OK",IF(MATCH(L1901,$L$2:$L$3001,0)&lt;ROW()-1,"Duplicate (ignored)","OK"))))))))</f>
        <v/>
      </c>
      <c r="I1901">
        <f>IF(OC_Date=0,"",IF(INDEX('OneCause_Paste'!$A$1901:$AZ$1901,1,OC_Date)="","",INDEX('OneCause_Paste'!$A$1901:$AZ$1901,1,OC_Date)))</f>
        <v/>
      </c>
      <c r="J1901">
        <f>IF(OC_Amt=0,"",IF(INDEX('OneCause_Paste'!$A$1901:$AZ$1901,1,OC_Amt)="","",INDEX('OneCause_Paste'!$A$1901:$AZ$1901,1,OC_Amt)))</f>
        <v/>
      </c>
      <c r="K1901">
        <f>IF(OC_Name=0,"",IF(INDEX('OneCause_Paste'!$A$1901:$AZ$1901,1,OC_Name)="","",INDEX('OneCause_Paste'!$A$1901:$AZ$1901,1,OC_Name)))</f>
        <v/>
      </c>
      <c r="L1901">
        <f>IF(OC_Txn=0,"",IF(INDEX('OneCause_Paste'!$A$1901:$AZ$1901,1,OC_Txn)="","",INDEX('OneCause_Paste'!$A$1901:$AZ$1901,1,OC_Txn)))</f>
        <v/>
      </c>
      <c r="M1901">
        <f>IF(OC_Pay=0,"",IF(INDEX('OneCause_Paste'!$A$1901:$AZ$1901,1,OC_Pay)="","",INDEX('OneCause_Paste'!$A$1901:$AZ$1901,1,OC_Pay)))</f>
        <v/>
      </c>
      <c r="N1901">
        <f>IF(I1901="","",IF(ISNUMBER(I1901),INT(I1901),IFERROR(INT(DATEVALUE(I1901)),IFERROR(INT(VALUE(I1901)),"bad"))))</f>
        <v/>
      </c>
      <c r="O1901">
        <f>IF(J1901="","",IF(ISNUMBER(J1901),ROUND(J1901,2),IFERROR(ROUND(VALUE(SUBSTITUTE(SUBSTITUTE(SUBSTITUTE(J1901,"$",""),",","")," ","")),2),"bad")))</f>
        <v/>
      </c>
      <c r="P1901">
        <f>IF(TRIM(K1901)="","",IFERROR(MATCH(LOWER(TRIM(K1901)),'Students'!$AH$2:$AH$701,0),IFERROR(MATCH(LOWER(TRIM(K1901)),'Students'!$AF$2:$AF$701,0),IFERROR(MATCH(LOWER(TRIM(K1901)),'Students'!$AG$2:$AG$701,0),""))))</f>
        <v/>
      </c>
      <c r="R1901">
        <f>IF(P1901="","",INDEX('Students'!$AD$2:$AD$701,P1901))</f>
        <v/>
      </c>
      <c r="S1901">
        <f>IF(H1901="OK",O1901,0)</f>
        <v/>
      </c>
      <c r="T1901">
        <f>IF(H1901="OK",N1901,"")</f>
        <v/>
      </c>
      <c r="U1901">
        <f>IF(OC_Donor=0,"",IF(INDEX('OneCause_Paste'!$A$1901:$AZ$1901,1,OC_Donor)="","",INDEX('OneCause_Paste'!$A$1901:$AZ$1901,1,OC_Donor)))</f>
        <v/>
      </c>
    </row>
    <row r="1902">
      <c r="A1902" s="62">
        <f>IF(H1902="","",IF(ISNUMBER(N1902),N1902,I1902))</f>
        <v/>
      </c>
      <c r="B1902">
        <f>IF(H1902="","",U1902)</f>
        <v/>
      </c>
      <c r="C1902">
        <f>IF(H1902="","",IF(P1902="",K1902,INDEX('Students'!$A$2:$A$701,P1902)))</f>
        <v/>
      </c>
      <c r="D1902">
        <f>IF(OR(H1902="",P1902=""),"",INDEX('Students'!$B$2:$B$701,P1902))</f>
        <v/>
      </c>
      <c r="E1902">
        <f>IF(OR(H1902="",P1902=""),"",INDEX('Students'!$C$2:$C$701,P1902))</f>
        <v/>
      </c>
      <c r="F1902" s="48">
        <f>IF(H1902="","",IF(ISNUMBER(O1902),O1902,J1902))</f>
        <v/>
      </c>
      <c r="G1902">
        <f>IF(H1902="","","OneCause")</f>
        <v/>
      </c>
      <c r="H1902">
        <f>IF(AND(I1902="",J1902="",K1902=""),"",IF(NOT(ISNUMBER(O1902)),"Bad amount",IF(O1902&lt;0,"Refund (not counted)",IF(O1902=0,"Zero amount",IF(NOT(ISNUMBER(N1902)),"Bad date",IF(P1902="","NAME NOT ON ROSTER",IF(L1902="","OK",IF(MATCH(L1902,$L$2:$L$3001,0)&lt;ROW()-1,"Duplicate (ignored)","OK"))))))))</f>
        <v/>
      </c>
      <c r="I1902">
        <f>IF(OC_Date=0,"",IF(INDEX('OneCause_Paste'!$A$1902:$AZ$1902,1,OC_Date)="","",INDEX('OneCause_Paste'!$A$1902:$AZ$1902,1,OC_Date)))</f>
        <v/>
      </c>
      <c r="J1902">
        <f>IF(OC_Amt=0,"",IF(INDEX('OneCause_Paste'!$A$1902:$AZ$1902,1,OC_Amt)="","",INDEX('OneCause_Paste'!$A$1902:$AZ$1902,1,OC_Amt)))</f>
        <v/>
      </c>
      <c r="K1902">
        <f>IF(OC_Name=0,"",IF(INDEX('OneCause_Paste'!$A$1902:$AZ$1902,1,OC_Name)="","",INDEX('OneCause_Paste'!$A$1902:$AZ$1902,1,OC_Name)))</f>
        <v/>
      </c>
      <c r="L1902">
        <f>IF(OC_Txn=0,"",IF(INDEX('OneCause_Paste'!$A$1902:$AZ$1902,1,OC_Txn)="","",INDEX('OneCause_Paste'!$A$1902:$AZ$1902,1,OC_Txn)))</f>
        <v/>
      </c>
      <c r="M1902">
        <f>IF(OC_Pay=0,"",IF(INDEX('OneCause_Paste'!$A$1902:$AZ$1902,1,OC_Pay)="","",INDEX('OneCause_Paste'!$A$1902:$AZ$1902,1,OC_Pay)))</f>
        <v/>
      </c>
      <c r="N1902">
        <f>IF(I1902="","",IF(ISNUMBER(I1902),INT(I1902),IFERROR(INT(DATEVALUE(I1902)),IFERROR(INT(VALUE(I1902)),"bad"))))</f>
        <v/>
      </c>
      <c r="O1902">
        <f>IF(J1902="","",IF(ISNUMBER(J1902),ROUND(J1902,2),IFERROR(ROUND(VALUE(SUBSTITUTE(SUBSTITUTE(SUBSTITUTE(J1902,"$",""),",","")," ","")),2),"bad")))</f>
        <v/>
      </c>
      <c r="P1902">
        <f>IF(TRIM(K1902)="","",IFERROR(MATCH(LOWER(TRIM(K1902)),'Students'!$AH$2:$AH$701,0),IFERROR(MATCH(LOWER(TRIM(K1902)),'Students'!$AF$2:$AF$701,0),IFERROR(MATCH(LOWER(TRIM(K1902)),'Students'!$AG$2:$AG$701,0),""))))</f>
        <v/>
      </c>
      <c r="R1902">
        <f>IF(P1902="","",INDEX('Students'!$AD$2:$AD$701,P1902))</f>
        <v/>
      </c>
      <c r="S1902">
        <f>IF(H1902="OK",O1902,0)</f>
        <v/>
      </c>
      <c r="T1902">
        <f>IF(H1902="OK",N1902,"")</f>
        <v/>
      </c>
      <c r="U1902">
        <f>IF(OC_Donor=0,"",IF(INDEX('OneCause_Paste'!$A$1902:$AZ$1902,1,OC_Donor)="","",INDEX('OneCause_Paste'!$A$1902:$AZ$1902,1,OC_Donor)))</f>
        <v/>
      </c>
    </row>
    <row r="1903">
      <c r="A1903" s="62">
        <f>IF(H1903="","",IF(ISNUMBER(N1903),N1903,I1903))</f>
        <v/>
      </c>
      <c r="B1903">
        <f>IF(H1903="","",U1903)</f>
        <v/>
      </c>
      <c r="C1903">
        <f>IF(H1903="","",IF(P1903="",K1903,INDEX('Students'!$A$2:$A$701,P1903)))</f>
        <v/>
      </c>
      <c r="D1903">
        <f>IF(OR(H1903="",P1903=""),"",INDEX('Students'!$B$2:$B$701,P1903))</f>
        <v/>
      </c>
      <c r="E1903">
        <f>IF(OR(H1903="",P1903=""),"",INDEX('Students'!$C$2:$C$701,P1903))</f>
        <v/>
      </c>
      <c r="F1903" s="48">
        <f>IF(H1903="","",IF(ISNUMBER(O1903),O1903,J1903))</f>
        <v/>
      </c>
      <c r="G1903">
        <f>IF(H1903="","","OneCause")</f>
        <v/>
      </c>
      <c r="H1903">
        <f>IF(AND(I1903="",J1903="",K1903=""),"",IF(NOT(ISNUMBER(O1903)),"Bad amount",IF(O1903&lt;0,"Refund (not counted)",IF(O1903=0,"Zero amount",IF(NOT(ISNUMBER(N1903)),"Bad date",IF(P1903="","NAME NOT ON ROSTER",IF(L1903="","OK",IF(MATCH(L1903,$L$2:$L$3001,0)&lt;ROW()-1,"Duplicate (ignored)","OK"))))))))</f>
        <v/>
      </c>
      <c r="I1903">
        <f>IF(OC_Date=0,"",IF(INDEX('OneCause_Paste'!$A$1903:$AZ$1903,1,OC_Date)="","",INDEX('OneCause_Paste'!$A$1903:$AZ$1903,1,OC_Date)))</f>
        <v/>
      </c>
      <c r="J1903">
        <f>IF(OC_Amt=0,"",IF(INDEX('OneCause_Paste'!$A$1903:$AZ$1903,1,OC_Amt)="","",INDEX('OneCause_Paste'!$A$1903:$AZ$1903,1,OC_Amt)))</f>
        <v/>
      </c>
      <c r="K1903">
        <f>IF(OC_Name=0,"",IF(INDEX('OneCause_Paste'!$A$1903:$AZ$1903,1,OC_Name)="","",INDEX('OneCause_Paste'!$A$1903:$AZ$1903,1,OC_Name)))</f>
        <v/>
      </c>
      <c r="L1903">
        <f>IF(OC_Txn=0,"",IF(INDEX('OneCause_Paste'!$A$1903:$AZ$1903,1,OC_Txn)="","",INDEX('OneCause_Paste'!$A$1903:$AZ$1903,1,OC_Txn)))</f>
        <v/>
      </c>
      <c r="M1903">
        <f>IF(OC_Pay=0,"",IF(INDEX('OneCause_Paste'!$A$1903:$AZ$1903,1,OC_Pay)="","",INDEX('OneCause_Paste'!$A$1903:$AZ$1903,1,OC_Pay)))</f>
        <v/>
      </c>
      <c r="N1903">
        <f>IF(I1903="","",IF(ISNUMBER(I1903),INT(I1903),IFERROR(INT(DATEVALUE(I1903)),IFERROR(INT(VALUE(I1903)),"bad"))))</f>
        <v/>
      </c>
      <c r="O1903">
        <f>IF(J1903="","",IF(ISNUMBER(J1903),ROUND(J1903,2),IFERROR(ROUND(VALUE(SUBSTITUTE(SUBSTITUTE(SUBSTITUTE(J1903,"$",""),",","")," ","")),2),"bad")))</f>
        <v/>
      </c>
      <c r="P1903">
        <f>IF(TRIM(K1903)="","",IFERROR(MATCH(LOWER(TRIM(K1903)),'Students'!$AH$2:$AH$701,0),IFERROR(MATCH(LOWER(TRIM(K1903)),'Students'!$AF$2:$AF$701,0),IFERROR(MATCH(LOWER(TRIM(K1903)),'Students'!$AG$2:$AG$701,0),""))))</f>
        <v/>
      </c>
      <c r="R1903">
        <f>IF(P1903="","",INDEX('Students'!$AD$2:$AD$701,P1903))</f>
        <v/>
      </c>
      <c r="S1903">
        <f>IF(H1903="OK",O1903,0)</f>
        <v/>
      </c>
      <c r="T1903">
        <f>IF(H1903="OK",N1903,"")</f>
        <v/>
      </c>
      <c r="U1903">
        <f>IF(OC_Donor=0,"",IF(INDEX('OneCause_Paste'!$A$1903:$AZ$1903,1,OC_Donor)="","",INDEX('OneCause_Paste'!$A$1903:$AZ$1903,1,OC_Donor)))</f>
        <v/>
      </c>
    </row>
    <row r="1904">
      <c r="A1904" s="62">
        <f>IF(H1904="","",IF(ISNUMBER(N1904),N1904,I1904))</f>
        <v/>
      </c>
      <c r="B1904">
        <f>IF(H1904="","",U1904)</f>
        <v/>
      </c>
      <c r="C1904">
        <f>IF(H1904="","",IF(P1904="",K1904,INDEX('Students'!$A$2:$A$701,P1904)))</f>
        <v/>
      </c>
      <c r="D1904">
        <f>IF(OR(H1904="",P1904=""),"",INDEX('Students'!$B$2:$B$701,P1904))</f>
        <v/>
      </c>
      <c r="E1904">
        <f>IF(OR(H1904="",P1904=""),"",INDEX('Students'!$C$2:$C$701,P1904))</f>
        <v/>
      </c>
      <c r="F1904" s="48">
        <f>IF(H1904="","",IF(ISNUMBER(O1904),O1904,J1904))</f>
        <v/>
      </c>
      <c r="G1904">
        <f>IF(H1904="","","OneCause")</f>
        <v/>
      </c>
      <c r="H1904">
        <f>IF(AND(I1904="",J1904="",K1904=""),"",IF(NOT(ISNUMBER(O1904)),"Bad amount",IF(O1904&lt;0,"Refund (not counted)",IF(O1904=0,"Zero amount",IF(NOT(ISNUMBER(N1904)),"Bad date",IF(P1904="","NAME NOT ON ROSTER",IF(L1904="","OK",IF(MATCH(L1904,$L$2:$L$3001,0)&lt;ROW()-1,"Duplicate (ignored)","OK"))))))))</f>
        <v/>
      </c>
      <c r="I1904">
        <f>IF(OC_Date=0,"",IF(INDEX('OneCause_Paste'!$A$1904:$AZ$1904,1,OC_Date)="","",INDEX('OneCause_Paste'!$A$1904:$AZ$1904,1,OC_Date)))</f>
        <v/>
      </c>
      <c r="J1904">
        <f>IF(OC_Amt=0,"",IF(INDEX('OneCause_Paste'!$A$1904:$AZ$1904,1,OC_Amt)="","",INDEX('OneCause_Paste'!$A$1904:$AZ$1904,1,OC_Amt)))</f>
        <v/>
      </c>
      <c r="K1904">
        <f>IF(OC_Name=0,"",IF(INDEX('OneCause_Paste'!$A$1904:$AZ$1904,1,OC_Name)="","",INDEX('OneCause_Paste'!$A$1904:$AZ$1904,1,OC_Name)))</f>
        <v/>
      </c>
      <c r="L1904">
        <f>IF(OC_Txn=0,"",IF(INDEX('OneCause_Paste'!$A$1904:$AZ$1904,1,OC_Txn)="","",INDEX('OneCause_Paste'!$A$1904:$AZ$1904,1,OC_Txn)))</f>
        <v/>
      </c>
      <c r="M1904">
        <f>IF(OC_Pay=0,"",IF(INDEX('OneCause_Paste'!$A$1904:$AZ$1904,1,OC_Pay)="","",INDEX('OneCause_Paste'!$A$1904:$AZ$1904,1,OC_Pay)))</f>
        <v/>
      </c>
      <c r="N1904">
        <f>IF(I1904="","",IF(ISNUMBER(I1904),INT(I1904),IFERROR(INT(DATEVALUE(I1904)),IFERROR(INT(VALUE(I1904)),"bad"))))</f>
        <v/>
      </c>
      <c r="O1904">
        <f>IF(J1904="","",IF(ISNUMBER(J1904),ROUND(J1904,2),IFERROR(ROUND(VALUE(SUBSTITUTE(SUBSTITUTE(SUBSTITUTE(J1904,"$",""),",","")," ","")),2),"bad")))</f>
        <v/>
      </c>
      <c r="P1904">
        <f>IF(TRIM(K1904)="","",IFERROR(MATCH(LOWER(TRIM(K1904)),'Students'!$AH$2:$AH$701,0),IFERROR(MATCH(LOWER(TRIM(K1904)),'Students'!$AF$2:$AF$701,0),IFERROR(MATCH(LOWER(TRIM(K1904)),'Students'!$AG$2:$AG$701,0),""))))</f>
        <v/>
      </c>
      <c r="R1904">
        <f>IF(P1904="","",INDEX('Students'!$AD$2:$AD$701,P1904))</f>
        <v/>
      </c>
      <c r="S1904">
        <f>IF(H1904="OK",O1904,0)</f>
        <v/>
      </c>
      <c r="T1904">
        <f>IF(H1904="OK",N1904,"")</f>
        <v/>
      </c>
      <c r="U1904">
        <f>IF(OC_Donor=0,"",IF(INDEX('OneCause_Paste'!$A$1904:$AZ$1904,1,OC_Donor)="","",INDEX('OneCause_Paste'!$A$1904:$AZ$1904,1,OC_Donor)))</f>
        <v/>
      </c>
    </row>
    <row r="1905">
      <c r="A1905" s="62">
        <f>IF(H1905="","",IF(ISNUMBER(N1905),N1905,I1905))</f>
        <v/>
      </c>
      <c r="B1905">
        <f>IF(H1905="","",U1905)</f>
        <v/>
      </c>
      <c r="C1905">
        <f>IF(H1905="","",IF(P1905="",K1905,INDEX('Students'!$A$2:$A$701,P1905)))</f>
        <v/>
      </c>
      <c r="D1905">
        <f>IF(OR(H1905="",P1905=""),"",INDEX('Students'!$B$2:$B$701,P1905))</f>
        <v/>
      </c>
      <c r="E1905">
        <f>IF(OR(H1905="",P1905=""),"",INDEX('Students'!$C$2:$C$701,P1905))</f>
        <v/>
      </c>
      <c r="F1905" s="48">
        <f>IF(H1905="","",IF(ISNUMBER(O1905),O1905,J1905))</f>
        <v/>
      </c>
      <c r="G1905">
        <f>IF(H1905="","","OneCause")</f>
        <v/>
      </c>
      <c r="H1905">
        <f>IF(AND(I1905="",J1905="",K1905=""),"",IF(NOT(ISNUMBER(O1905)),"Bad amount",IF(O1905&lt;0,"Refund (not counted)",IF(O1905=0,"Zero amount",IF(NOT(ISNUMBER(N1905)),"Bad date",IF(P1905="","NAME NOT ON ROSTER",IF(L1905="","OK",IF(MATCH(L1905,$L$2:$L$3001,0)&lt;ROW()-1,"Duplicate (ignored)","OK"))))))))</f>
        <v/>
      </c>
      <c r="I1905">
        <f>IF(OC_Date=0,"",IF(INDEX('OneCause_Paste'!$A$1905:$AZ$1905,1,OC_Date)="","",INDEX('OneCause_Paste'!$A$1905:$AZ$1905,1,OC_Date)))</f>
        <v/>
      </c>
      <c r="J1905">
        <f>IF(OC_Amt=0,"",IF(INDEX('OneCause_Paste'!$A$1905:$AZ$1905,1,OC_Amt)="","",INDEX('OneCause_Paste'!$A$1905:$AZ$1905,1,OC_Amt)))</f>
        <v/>
      </c>
      <c r="K1905">
        <f>IF(OC_Name=0,"",IF(INDEX('OneCause_Paste'!$A$1905:$AZ$1905,1,OC_Name)="","",INDEX('OneCause_Paste'!$A$1905:$AZ$1905,1,OC_Name)))</f>
        <v/>
      </c>
      <c r="L1905">
        <f>IF(OC_Txn=0,"",IF(INDEX('OneCause_Paste'!$A$1905:$AZ$1905,1,OC_Txn)="","",INDEX('OneCause_Paste'!$A$1905:$AZ$1905,1,OC_Txn)))</f>
        <v/>
      </c>
      <c r="M1905">
        <f>IF(OC_Pay=0,"",IF(INDEX('OneCause_Paste'!$A$1905:$AZ$1905,1,OC_Pay)="","",INDEX('OneCause_Paste'!$A$1905:$AZ$1905,1,OC_Pay)))</f>
        <v/>
      </c>
      <c r="N1905">
        <f>IF(I1905="","",IF(ISNUMBER(I1905),INT(I1905),IFERROR(INT(DATEVALUE(I1905)),IFERROR(INT(VALUE(I1905)),"bad"))))</f>
        <v/>
      </c>
      <c r="O1905">
        <f>IF(J1905="","",IF(ISNUMBER(J1905),ROUND(J1905,2),IFERROR(ROUND(VALUE(SUBSTITUTE(SUBSTITUTE(SUBSTITUTE(J1905,"$",""),",","")," ","")),2),"bad")))</f>
        <v/>
      </c>
      <c r="P1905">
        <f>IF(TRIM(K1905)="","",IFERROR(MATCH(LOWER(TRIM(K1905)),'Students'!$AH$2:$AH$701,0),IFERROR(MATCH(LOWER(TRIM(K1905)),'Students'!$AF$2:$AF$701,0),IFERROR(MATCH(LOWER(TRIM(K1905)),'Students'!$AG$2:$AG$701,0),""))))</f>
        <v/>
      </c>
      <c r="R1905">
        <f>IF(P1905="","",INDEX('Students'!$AD$2:$AD$701,P1905))</f>
        <v/>
      </c>
      <c r="S1905">
        <f>IF(H1905="OK",O1905,0)</f>
        <v/>
      </c>
      <c r="T1905">
        <f>IF(H1905="OK",N1905,"")</f>
        <v/>
      </c>
      <c r="U1905">
        <f>IF(OC_Donor=0,"",IF(INDEX('OneCause_Paste'!$A$1905:$AZ$1905,1,OC_Donor)="","",INDEX('OneCause_Paste'!$A$1905:$AZ$1905,1,OC_Donor)))</f>
        <v/>
      </c>
    </row>
    <row r="1906">
      <c r="A1906" s="62">
        <f>IF(H1906="","",IF(ISNUMBER(N1906),N1906,I1906))</f>
        <v/>
      </c>
      <c r="B1906">
        <f>IF(H1906="","",U1906)</f>
        <v/>
      </c>
      <c r="C1906">
        <f>IF(H1906="","",IF(P1906="",K1906,INDEX('Students'!$A$2:$A$701,P1906)))</f>
        <v/>
      </c>
      <c r="D1906">
        <f>IF(OR(H1906="",P1906=""),"",INDEX('Students'!$B$2:$B$701,P1906))</f>
        <v/>
      </c>
      <c r="E1906">
        <f>IF(OR(H1906="",P1906=""),"",INDEX('Students'!$C$2:$C$701,P1906))</f>
        <v/>
      </c>
      <c r="F1906" s="48">
        <f>IF(H1906="","",IF(ISNUMBER(O1906),O1906,J1906))</f>
        <v/>
      </c>
      <c r="G1906">
        <f>IF(H1906="","","OneCause")</f>
        <v/>
      </c>
      <c r="H1906">
        <f>IF(AND(I1906="",J1906="",K1906=""),"",IF(NOT(ISNUMBER(O1906)),"Bad amount",IF(O1906&lt;0,"Refund (not counted)",IF(O1906=0,"Zero amount",IF(NOT(ISNUMBER(N1906)),"Bad date",IF(P1906="","NAME NOT ON ROSTER",IF(L1906="","OK",IF(MATCH(L1906,$L$2:$L$3001,0)&lt;ROW()-1,"Duplicate (ignored)","OK"))))))))</f>
        <v/>
      </c>
      <c r="I1906">
        <f>IF(OC_Date=0,"",IF(INDEX('OneCause_Paste'!$A$1906:$AZ$1906,1,OC_Date)="","",INDEX('OneCause_Paste'!$A$1906:$AZ$1906,1,OC_Date)))</f>
        <v/>
      </c>
      <c r="J1906">
        <f>IF(OC_Amt=0,"",IF(INDEX('OneCause_Paste'!$A$1906:$AZ$1906,1,OC_Amt)="","",INDEX('OneCause_Paste'!$A$1906:$AZ$1906,1,OC_Amt)))</f>
        <v/>
      </c>
      <c r="K1906">
        <f>IF(OC_Name=0,"",IF(INDEX('OneCause_Paste'!$A$1906:$AZ$1906,1,OC_Name)="","",INDEX('OneCause_Paste'!$A$1906:$AZ$1906,1,OC_Name)))</f>
        <v/>
      </c>
      <c r="L1906">
        <f>IF(OC_Txn=0,"",IF(INDEX('OneCause_Paste'!$A$1906:$AZ$1906,1,OC_Txn)="","",INDEX('OneCause_Paste'!$A$1906:$AZ$1906,1,OC_Txn)))</f>
        <v/>
      </c>
      <c r="M1906">
        <f>IF(OC_Pay=0,"",IF(INDEX('OneCause_Paste'!$A$1906:$AZ$1906,1,OC_Pay)="","",INDEX('OneCause_Paste'!$A$1906:$AZ$1906,1,OC_Pay)))</f>
        <v/>
      </c>
      <c r="N1906">
        <f>IF(I1906="","",IF(ISNUMBER(I1906),INT(I1906),IFERROR(INT(DATEVALUE(I1906)),IFERROR(INT(VALUE(I1906)),"bad"))))</f>
        <v/>
      </c>
      <c r="O1906">
        <f>IF(J1906="","",IF(ISNUMBER(J1906),ROUND(J1906,2),IFERROR(ROUND(VALUE(SUBSTITUTE(SUBSTITUTE(SUBSTITUTE(J1906,"$",""),",","")," ","")),2),"bad")))</f>
        <v/>
      </c>
      <c r="P1906">
        <f>IF(TRIM(K1906)="","",IFERROR(MATCH(LOWER(TRIM(K1906)),'Students'!$AH$2:$AH$701,0),IFERROR(MATCH(LOWER(TRIM(K1906)),'Students'!$AF$2:$AF$701,0),IFERROR(MATCH(LOWER(TRIM(K1906)),'Students'!$AG$2:$AG$701,0),""))))</f>
        <v/>
      </c>
      <c r="R1906">
        <f>IF(P1906="","",INDEX('Students'!$AD$2:$AD$701,P1906))</f>
        <v/>
      </c>
      <c r="S1906">
        <f>IF(H1906="OK",O1906,0)</f>
        <v/>
      </c>
      <c r="T1906">
        <f>IF(H1906="OK",N1906,"")</f>
        <v/>
      </c>
      <c r="U1906">
        <f>IF(OC_Donor=0,"",IF(INDEX('OneCause_Paste'!$A$1906:$AZ$1906,1,OC_Donor)="","",INDEX('OneCause_Paste'!$A$1906:$AZ$1906,1,OC_Donor)))</f>
        <v/>
      </c>
    </row>
    <row r="1907">
      <c r="A1907" s="62">
        <f>IF(H1907="","",IF(ISNUMBER(N1907),N1907,I1907))</f>
        <v/>
      </c>
      <c r="B1907">
        <f>IF(H1907="","",U1907)</f>
        <v/>
      </c>
      <c r="C1907">
        <f>IF(H1907="","",IF(P1907="",K1907,INDEX('Students'!$A$2:$A$701,P1907)))</f>
        <v/>
      </c>
      <c r="D1907">
        <f>IF(OR(H1907="",P1907=""),"",INDEX('Students'!$B$2:$B$701,P1907))</f>
        <v/>
      </c>
      <c r="E1907">
        <f>IF(OR(H1907="",P1907=""),"",INDEX('Students'!$C$2:$C$701,P1907))</f>
        <v/>
      </c>
      <c r="F1907" s="48">
        <f>IF(H1907="","",IF(ISNUMBER(O1907),O1907,J1907))</f>
        <v/>
      </c>
      <c r="G1907">
        <f>IF(H1907="","","OneCause")</f>
        <v/>
      </c>
      <c r="H1907">
        <f>IF(AND(I1907="",J1907="",K1907=""),"",IF(NOT(ISNUMBER(O1907)),"Bad amount",IF(O1907&lt;0,"Refund (not counted)",IF(O1907=0,"Zero amount",IF(NOT(ISNUMBER(N1907)),"Bad date",IF(P1907="","NAME NOT ON ROSTER",IF(L1907="","OK",IF(MATCH(L1907,$L$2:$L$3001,0)&lt;ROW()-1,"Duplicate (ignored)","OK"))))))))</f>
        <v/>
      </c>
      <c r="I1907">
        <f>IF(OC_Date=0,"",IF(INDEX('OneCause_Paste'!$A$1907:$AZ$1907,1,OC_Date)="","",INDEX('OneCause_Paste'!$A$1907:$AZ$1907,1,OC_Date)))</f>
        <v/>
      </c>
      <c r="J1907">
        <f>IF(OC_Amt=0,"",IF(INDEX('OneCause_Paste'!$A$1907:$AZ$1907,1,OC_Amt)="","",INDEX('OneCause_Paste'!$A$1907:$AZ$1907,1,OC_Amt)))</f>
        <v/>
      </c>
      <c r="K1907">
        <f>IF(OC_Name=0,"",IF(INDEX('OneCause_Paste'!$A$1907:$AZ$1907,1,OC_Name)="","",INDEX('OneCause_Paste'!$A$1907:$AZ$1907,1,OC_Name)))</f>
        <v/>
      </c>
      <c r="L1907">
        <f>IF(OC_Txn=0,"",IF(INDEX('OneCause_Paste'!$A$1907:$AZ$1907,1,OC_Txn)="","",INDEX('OneCause_Paste'!$A$1907:$AZ$1907,1,OC_Txn)))</f>
        <v/>
      </c>
      <c r="M1907">
        <f>IF(OC_Pay=0,"",IF(INDEX('OneCause_Paste'!$A$1907:$AZ$1907,1,OC_Pay)="","",INDEX('OneCause_Paste'!$A$1907:$AZ$1907,1,OC_Pay)))</f>
        <v/>
      </c>
      <c r="N1907">
        <f>IF(I1907="","",IF(ISNUMBER(I1907),INT(I1907),IFERROR(INT(DATEVALUE(I1907)),IFERROR(INT(VALUE(I1907)),"bad"))))</f>
        <v/>
      </c>
      <c r="O1907">
        <f>IF(J1907="","",IF(ISNUMBER(J1907),ROUND(J1907,2),IFERROR(ROUND(VALUE(SUBSTITUTE(SUBSTITUTE(SUBSTITUTE(J1907,"$",""),",","")," ","")),2),"bad")))</f>
        <v/>
      </c>
      <c r="P1907">
        <f>IF(TRIM(K1907)="","",IFERROR(MATCH(LOWER(TRIM(K1907)),'Students'!$AH$2:$AH$701,0),IFERROR(MATCH(LOWER(TRIM(K1907)),'Students'!$AF$2:$AF$701,0),IFERROR(MATCH(LOWER(TRIM(K1907)),'Students'!$AG$2:$AG$701,0),""))))</f>
        <v/>
      </c>
      <c r="R1907">
        <f>IF(P1907="","",INDEX('Students'!$AD$2:$AD$701,P1907))</f>
        <v/>
      </c>
      <c r="S1907">
        <f>IF(H1907="OK",O1907,0)</f>
        <v/>
      </c>
      <c r="T1907">
        <f>IF(H1907="OK",N1907,"")</f>
        <v/>
      </c>
      <c r="U1907">
        <f>IF(OC_Donor=0,"",IF(INDEX('OneCause_Paste'!$A$1907:$AZ$1907,1,OC_Donor)="","",INDEX('OneCause_Paste'!$A$1907:$AZ$1907,1,OC_Donor)))</f>
        <v/>
      </c>
    </row>
    <row r="1908">
      <c r="A1908" s="62">
        <f>IF(H1908="","",IF(ISNUMBER(N1908),N1908,I1908))</f>
        <v/>
      </c>
      <c r="B1908">
        <f>IF(H1908="","",U1908)</f>
        <v/>
      </c>
      <c r="C1908">
        <f>IF(H1908="","",IF(P1908="",K1908,INDEX('Students'!$A$2:$A$701,P1908)))</f>
        <v/>
      </c>
      <c r="D1908">
        <f>IF(OR(H1908="",P1908=""),"",INDEX('Students'!$B$2:$B$701,P1908))</f>
        <v/>
      </c>
      <c r="E1908">
        <f>IF(OR(H1908="",P1908=""),"",INDEX('Students'!$C$2:$C$701,P1908))</f>
        <v/>
      </c>
      <c r="F1908" s="48">
        <f>IF(H1908="","",IF(ISNUMBER(O1908),O1908,J1908))</f>
        <v/>
      </c>
      <c r="G1908">
        <f>IF(H1908="","","OneCause")</f>
        <v/>
      </c>
      <c r="H1908">
        <f>IF(AND(I1908="",J1908="",K1908=""),"",IF(NOT(ISNUMBER(O1908)),"Bad amount",IF(O1908&lt;0,"Refund (not counted)",IF(O1908=0,"Zero amount",IF(NOT(ISNUMBER(N1908)),"Bad date",IF(P1908="","NAME NOT ON ROSTER",IF(L1908="","OK",IF(MATCH(L1908,$L$2:$L$3001,0)&lt;ROW()-1,"Duplicate (ignored)","OK"))))))))</f>
        <v/>
      </c>
      <c r="I1908">
        <f>IF(OC_Date=0,"",IF(INDEX('OneCause_Paste'!$A$1908:$AZ$1908,1,OC_Date)="","",INDEX('OneCause_Paste'!$A$1908:$AZ$1908,1,OC_Date)))</f>
        <v/>
      </c>
      <c r="J1908">
        <f>IF(OC_Amt=0,"",IF(INDEX('OneCause_Paste'!$A$1908:$AZ$1908,1,OC_Amt)="","",INDEX('OneCause_Paste'!$A$1908:$AZ$1908,1,OC_Amt)))</f>
        <v/>
      </c>
      <c r="K1908">
        <f>IF(OC_Name=0,"",IF(INDEX('OneCause_Paste'!$A$1908:$AZ$1908,1,OC_Name)="","",INDEX('OneCause_Paste'!$A$1908:$AZ$1908,1,OC_Name)))</f>
        <v/>
      </c>
      <c r="L1908">
        <f>IF(OC_Txn=0,"",IF(INDEX('OneCause_Paste'!$A$1908:$AZ$1908,1,OC_Txn)="","",INDEX('OneCause_Paste'!$A$1908:$AZ$1908,1,OC_Txn)))</f>
        <v/>
      </c>
      <c r="M1908">
        <f>IF(OC_Pay=0,"",IF(INDEX('OneCause_Paste'!$A$1908:$AZ$1908,1,OC_Pay)="","",INDEX('OneCause_Paste'!$A$1908:$AZ$1908,1,OC_Pay)))</f>
        <v/>
      </c>
      <c r="N1908">
        <f>IF(I1908="","",IF(ISNUMBER(I1908),INT(I1908),IFERROR(INT(DATEVALUE(I1908)),IFERROR(INT(VALUE(I1908)),"bad"))))</f>
        <v/>
      </c>
      <c r="O1908">
        <f>IF(J1908="","",IF(ISNUMBER(J1908),ROUND(J1908,2),IFERROR(ROUND(VALUE(SUBSTITUTE(SUBSTITUTE(SUBSTITUTE(J1908,"$",""),",","")," ","")),2),"bad")))</f>
        <v/>
      </c>
      <c r="P1908">
        <f>IF(TRIM(K1908)="","",IFERROR(MATCH(LOWER(TRIM(K1908)),'Students'!$AH$2:$AH$701,0),IFERROR(MATCH(LOWER(TRIM(K1908)),'Students'!$AF$2:$AF$701,0),IFERROR(MATCH(LOWER(TRIM(K1908)),'Students'!$AG$2:$AG$701,0),""))))</f>
        <v/>
      </c>
      <c r="R1908">
        <f>IF(P1908="","",INDEX('Students'!$AD$2:$AD$701,P1908))</f>
        <v/>
      </c>
      <c r="S1908">
        <f>IF(H1908="OK",O1908,0)</f>
        <v/>
      </c>
      <c r="T1908">
        <f>IF(H1908="OK",N1908,"")</f>
        <v/>
      </c>
      <c r="U1908">
        <f>IF(OC_Donor=0,"",IF(INDEX('OneCause_Paste'!$A$1908:$AZ$1908,1,OC_Donor)="","",INDEX('OneCause_Paste'!$A$1908:$AZ$1908,1,OC_Donor)))</f>
        <v/>
      </c>
    </row>
    <row r="1909">
      <c r="A1909" s="62">
        <f>IF(H1909="","",IF(ISNUMBER(N1909),N1909,I1909))</f>
        <v/>
      </c>
      <c r="B1909">
        <f>IF(H1909="","",U1909)</f>
        <v/>
      </c>
      <c r="C1909">
        <f>IF(H1909="","",IF(P1909="",K1909,INDEX('Students'!$A$2:$A$701,P1909)))</f>
        <v/>
      </c>
      <c r="D1909">
        <f>IF(OR(H1909="",P1909=""),"",INDEX('Students'!$B$2:$B$701,P1909))</f>
        <v/>
      </c>
      <c r="E1909">
        <f>IF(OR(H1909="",P1909=""),"",INDEX('Students'!$C$2:$C$701,P1909))</f>
        <v/>
      </c>
      <c r="F1909" s="48">
        <f>IF(H1909="","",IF(ISNUMBER(O1909),O1909,J1909))</f>
        <v/>
      </c>
      <c r="G1909">
        <f>IF(H1909="","","OneCause")</f>
        <v/>
      </c>
      <c r="H1909">
        <f>IF(AND(I1909="",J1909="",K1909=""),"",IF(NOT(ISNUMBER(O1909)),"Bad amount",IF(O1909&lt;0,"Refund (not counted)",IF(O1909=0,"Zero amount",IF(NOT(ISNUMBER(N1909)),"Bad date",IF(P1909="","NAME NOT ON ROSTER",IF(L1909="","OK",IF(MATCH(L1909,$L$2:$L$3001,0)&lt;ROW()-1,"Duplicate (ignored)","OK"))))))))</f>
        <v/>
      </c>
      <c r="I1909">
        <f>IF(OC_Date=0,"",IF(INDEX('OneCause_Paste'!$A$1909:$AZ$1909,1,OC_Date)="","",INDEX('OneCause_Paste'!$A$1909:$AZ$1909,1,OC_Date)))</f>
        <v/>
      </c>
      <c r="J1909">
        <f>IF(OC_Amt=0,"",IF(INDEX('OneCause_Paste'!$A$1909:$AZ$1909,1,OC_Amt)="","",INDEX('OneCause_Paste'!$A$1909:$AZ$1909,1,OC_Amt)))</f>
        <v/>
      </c>
      <c r="K1909">
        <f>IF(OC_Name=0,"",IF(INDEX('OneCause_Paste'!$A$1909:$AZ$1909,1,OC_Name)="","",INDEX('OneCause_Paste'!$A$1909:$AZ$1909,1,OC_Name)))</f>
        <v/>
      </c>
      <c r="L1909">
        <f>IF(OC_Txn=0,"",IF(INDEX('OneCause_Paste'!$A$1909:$AZ$1909,1,OC_Txn)="","",INDEX('OneCause_Paste'!$A$1909:$AZ$1909,1,OC_Txn)))</f>
        <v/>
      </c>
      <c r="M1909">
        <f>IF(OC_Pay=0,"",IF(INDEX('OneCause_Paste'!$A$1909:$AZ$1909,1,OC_Pay)="","",INDEX('OneCause_Paste'!$A$1909:$AZ$1909,1,OC_Pay)))</f>
        <v/>
      </c>
      <c r="N1909">
        <f>IF(I1909="","",IF(ISNUMBER(I1909),INT(I1909),IFERROR(INT(DATEVALUE(I1909)),IFERROR(INT(VALUE(I1909)),"bad"))))</f>
        <v/>
      </c>
      <c r="O1909">
        <f>IF(J1909="","",IF(ISNUMBER(J1909),ROUND(J1909,2),IFERROR(ROUND(VALUE(SUBSTITUTE(SUBSTITUTE(SUBSTITUTE(J1909,"$",""),",","")," ","")),2),"bad")))</f>
        <v/>
      </c>
      <c r="P1909">
        <f>IF(TRIM(K1909)="","",IFERROR(MATCH(LOWER(TRIM(K1909)),'Students'!$AH$2:$AH$701,0),IFERROR(MATCH(LOWER(TRIM(K1909)),'Students'!$AF$2:$AF$701,0),IFERROR(MATCH(LOWER(TRIM(K1909)),'Students'!$AG$2:$AG$701,0),""))))</f>
        <v/>
      </c>
      <c r="R1909">
        <f>IF(P1909="","",INDEX('Students'!$AD$2:$AD$701,P1909))</f>
        <v/>
      </c>
      <c r="S1909">
        <f>IF(H1909="OK",O1909,0)</f>
        <v/>
      </c>
      <c r="T1909">
        <f>IF(H1909="OK",N1909,"")</f>
        <v/>
      </c>
      <c r="U1909">
        <f>IF(OC_Donor=0,"",IF(INDEX('OneCause_Paste'!$A$1909:$AZ$1909,1,OC_Donor)="","",INDEX('OneCause_Paste'!$A$1909:$AZ$1909,1,OC_Donor)))</f>
        <v/>
      </c>
    </row>
    <row r="1910">
      <c r="A1910" s="62">
        <f>IF(H1910="","",IF(ISNUMBER(N1910),N1910,I1910))</f>
        <v/>
      </c>
      <c r="B1910">
        <f>IF(H1910="","",U1910)</f>
        <v/>
      </c>
      <c r="C1910">
        <f>IF(H1910="","",IF(P1910="",K1910,INDEX('Students'!$A$2:$A$701,P1910)))</f>
        <v/>
      </c>
      <c r="D1910">
        <f>IF(OR(H1910="",P1910=""),"",INDEX('Students'!$B$2:$B$701,P1910))</f>
        <v/>
      </c>
      <c r="E1910">
        <f>IF(OR(H1910="",P1910=""),"",INDEX('Students'!$C$2:$C$701,P1910))</f>
        <v/>
      </c>
      <c r="F1910" s="48">
        <f>IF(H1910="","",IF(ISNUMBER(O1910),O1910,J1910))</f>
        <v/>
      </c>
      <c r="G1910">
        <f>IF(H1910="","","OneCause")</f>
        <v/>
      </c>
      <c r="H1910">
        <f>IF(AND(I1910="",J1910="",K1910=""),"",IF(NOT(ISNUMBER(O1910)),"Bad amount",IF(O1910&lt;0,"Refund (not counted)",IF(O1910=0,"Zero amount",IF(NOT(ISNUMBER(N1910)),"Bad date",IF(P1910="","NAME NOT ON ROSTER",IF(L1910="","OK",IF(MATCH(L1910,$L$2:$L$3001,0)&lt;ROW()-1,"Duplicate (ignored)","OK"))))))))</f>
        <v/>
      </c>
      <c r="I1910">
        <f>IF(OC_Date=0,"",IF(INDEX('OneCause_Paste'!$A$1910:$AZ$1910,1,OC_Date)="","",INDEX('OneCause_Paste'!$A$1910:$AZ$1910,1,OC_Date)))</f>
        <v/>
      </c>
      <c r="J1910">
        <f>IF(OC_Amt=0,"",IF(INDEX('OneCause_Paste'!$A$1910:$AZ$1910,1,OC_Amt)="","",INDEX('OneCause_Paste'!$A$1910:$AZ$1910,1,OC_Amt)))</f>
        <v/>
      </c>
      <c r="K1910">
        <f>IF(OC_Name=0,"",IF(INDEX('OneCause_Paste'!$A$1910:$AZ$1910,1,OC_Name)="","",INDEX('OneCause_Paste'!$A$1910:$AZ$1910,1,OC_Name)))</f>
        <v/>
      </c>
      <c r="L1910">
        <f>IF(OC_Txn=0,"",IF(INDEX('OneCause_Paste'!$A$1910:$AZ$1910,1,OC_Txn)="","",INDEX('OneCause_Paste'!$A$1910:$AZ$1910,1,OC_Txn)))</f>
        <v/>
      </c>
      <c r="M1910">
        <f>IF(OC_Pay=0,"",IF(INDEX('OneCause_Paste'!$A$1910:$AZ$1910,1,OC_Pay)="","",INDEX('OneCause_Paste'!$A$1910:$AZ$1910,1,OC_Pay)))</f>
        <v/>
      </c>
      <c r="N1910">
        <f>IF(I1910="","",IF(ISNUMBER(I1910),INT(I1910),IFERROR(INT(DATEVALUE(I1910)),IFERROR(INT(VALUE(I1910)),"bad"))))</f>
        <v/>
      </c>
      <c r="O1910">
        <f>IF(J1910="","",IF(ISNUMBER(J1910),ROUND(J1910,2),IFERROR(ROUND(VALUE(SUBSTITUTE(SUBSTITUTE(SUBSTITUTE(J1910,"$",""),",","")," ","")),2),"bad")))</f>
        <v/>
      </c>
      <c r="P1910">
        <f>IF(TRIM(K1910)="","",IFERROR(MATCH(LOWER(TRIM(K1910)),'Students'!$AH$2:$AH$701,0),IFERROR(MATCH(LOWER(TRIM(K1910)),'Students'!$AF$2:$AF$701,0),IFERROR(MATCH(LOWER(TRIM(K1910)),'Students'!$AG$2:$AG$701,0),""))))</f>
        <v/>
      </c>
      <c r="R1910">
        <f>IF(P1910="","",INDEX('Students'!$AD$2:$AD$701,P1910))</f>
        <v/>
      </c>
      <c r="S1910">
        <f>IF(H1910="OK",O1910,0)</f>
        <v/>
      </c>
      <c r="T1910">
        <f>IF(H1910="OK",N1910,"")</f>
        <v/>
      </c>
      <c r="U1910">
        <f>IF(OC_Donor=0,"",IF(INDEX('OneCause_Paste'!$A$1910:$AZ$1910,1,OC_Donor)="","",INDEX('OneCause_Paste'!$A$1910:$AZ$1910,1,OC_Donor)))</f>
        <v/>
      </c>
    </row>
    <row r="1911">
      <c r="A1911" s="62">
        <f>IF(H1911="","",IF(ISNUMBER(N1911),N1911,I1911))</f>
        <v/>
      </c>
      <c r="B1911">
        <f>IF(H1911="","",U1911)</f>
        <v/>
      </c>
      <c r="C1911">
        <f>IF(H1911="","",IF(P1911="",K1911,INDEX('Students'!$A$2:$A$701,P1911)))</f>
        <v/>
      </c>
      <c r="D1911">
        <f>IF(OR(H1911="",P1911=""),"",INDEX('Students'!$B$2:$B$701,P1911))</f>
        <v/>
      </c>
      <c r="E1911">
        <f>IF(OR(H1911="",P1911=""),"",INDEX('Students'!$C$2:$C$701,P1911))</f>
        <v/>
      </c>
      <c r="F1911" s="48">
        <f>IF(H1911="","",IF(ISNUMBER(O1911),O1911,J1911))</f>
        <v/>
      </c>
      <c r="G1911">
        <f>IF(H1911="","","OneCause")</f>
        <v/>
      </c>
      <c r="H1911">
        <f>IF(AND(I1911="",J1911="",K1911=""),"",IF(NOT(ISNUMBER(O1911)),"Bad amount",IF(O1911&lt;0,"Refund (not counted)",IF(O1911=0,"Zero amount",IF(NOT(ISNUMBER(N1911)),"Bad date",IF(P1911="","NAME NOT ON ROSTER",IF(L1911="","OK",IF(MATCH(L1911,$L$2:$L$3001,0)&lt;ROW()-1,"Duplicate (ignored)","OK"))))))))</f>
        <v/>
      </c>
      <c r="I1911">
        <f>IF(OC_Date=0,"",IF(INDEX('OneCause_Paste'!$A$1911:$AZ$1911,1,OC_Date)="","",INDEX('OneCause_Paste'!$A$1911:$AZ$1911,1,OC_Date)))</f>
        <v/>
      </c>
      <c r="J1911">
        <f>IF(OC_Amt=0,"",IF(INDEX('OneCause_Paste'!$A$1911:$AZ$1911,1,OC_Amt)="","",INDEX('OneCause_Paste'!$A$1911:$AZ$1911,1,OC_Amt)))</f>
        <v/>
      </c>
      <c r="K1911">
        <f>IF(OC_Name=0,"",IF(INDEX('OneCause_Paste'!$A$1911:$AZ$1911,1,OC_Name)="","",INDEX('OneCause_Paste'!$A$1911:$AZ$1911,1,OC_Name)))</f>
        <v/>
      </c>
      <c r="L1911">
        <f>IF(OC_Txn=0,"",IF(INDEX('OneCause_Paste'!$A$1911:$AZ$1911,1,OC_Txn)="","",INDEX('OneCause_Paste'!$A$1911:$AZ$1911,1,OC_Txn)))</f>
        <v/>
      </c>
      <c r="M1911">
        <f>IF(OC_Pay=0,"",IF(INDEX('OneCause_Paste'!$A$1911:$AZ$1911,1,OC_Pay)="","",INDEX('OneCause_Paste'!$A$1911:$AZ$1911,1,OC_Pay)))</f>
        <v/>
      </c>
      <c r="N1911">
        <f>IF(I1911="","",IF(ISNUMBER(I1911),INT(I1911),IFERROR(INT(DATEVALUE(I1911)),IFERROR(INT(VALUE(I1911)),"bad"))))</f>
        <v/>
      </c>
      <c r="O1911">
        <f>IF(J1911="","",IF(ISNUMBER(J1911),ROUND(J1911,2),IFERROR(ROUND(VALUE(SUBSTITUTE(SUBSTITUTE(SUBSTITUTE(J1911,"$",""),",","")," ","")),2),"bad")))</f>
        <v/>
      </c>
      <c r="P1911">
        <f>IF(TRIM(K1911)="","",IFERROR(MATCH(LOWER(TRIM(K1911)),'Students'!$AH$2:$AH$701,0),IFERROR(MATCH(LOWER(TRIM(K1911)),'Students'!$AF$2:$AF$701,0),IFERROR(MATCH(LOWER(TRIM(K1911)),'Students'!$AG$2:$AG$701,0),""))))</f>
        <v/>
      </c>
      <c r="R1911">
        <f>IF(P1911="","",INDEX('Students'!$AD$2:$AD$701,P1911))</f>
        <v/>
      </c>
      <c r="S1911">
        <f>IF(H1911="OK",O1911,0)</f>
        <v/>
      </c>
      <c r="T1911">
        <f>IF(H1911="OK",N1911,"")</f>
        <v/>
      </c>
      <c r="U1911">
        <f>IF(OC_Donor=0,"",IF(INDEX('OneCause_Paste'!$A$1911:$AZ$1911,1,OC_Donor)="","",INDEX('OneCause_Paste'!$A$1911:$AZ$1911,1,OC_Donor)))</f>
        <v/>
      </c>
    </row>
    <row r="1912">
      <c r="A1912" s="62">
        <f>IF(H1912="","",IF(ISNUMBER(N1912),N1912,I1912))</f>
        <v/>
      </c>
      <c r="B1912">
        <f>IF(H1912="","",U1912)</f>
        <v/>
      </c>
      <c r="C1912">
        <f>IF(H1912="","",IF(P1912="",K1912,INDEX('Students'!$A$2:$A$701,P1912)))</f>
        <v/>
      </c>
      <c r="D1912">
        <f>IF(OR(H1912="",P1912=""),"",INDEX('Students'!$B$2:$B$701,P1912))</f>
        <v/>
      </c>
      <c r="E1912">
        <f>IF(OR(H1912="",P1912=""),"",INDEX('Students'!$C$2:$C$701,P1912))</f>
        <v/>
      </c>
      <c r="F1912" s="48">
        <f>IF(H1912="","",IF(ISNUMBER(O1912),O1912,J1912))</f>
        <v/>
      </c>
      <c r="G1912">
        <f>IF(H1912="","","OneCause")</f>
        <v/>
      </c>
      <c r="H1912">
        <f>IF(AND(I1912="",J1912="",K1912=""),"",IF(NOT(ISNUMBER(O1912)),"Bad amount",IF(O1912&lt;0,"Refund (not counted)",IF(O1912=0,"Zero amount",IF(NOT(ISNUMBER(N1912)),"Bad date",IF(P1912="","NAME NOT ON ROSTER",IF(L1912="","OK",IF(MATCH(L1912,$L$2:$L$3001,0)&lt;ROW()-1,"Duplicate (ignored)","OK"))))))))</f>
        <v/>
      </c>
      <c r="I1912">
        <f>IF(OC_Date=0,"",IF(INDEX('OneCause_Paste'!$A$1912:$AZ$1912,1,OC_Date)="","",INDEX('OneCause_Paste'!$A$1912:$AZ$1912,1,OC_Date)))</f>
        <v/>
      </c>
      <c r="J1912">
        <f>IF(OC_Amt=0,"",IF(INDEX('OneCause_Paste'!$A$1912:$AZ$1912,1,OC_Amt)="","",INDEX('OneCause_Paste'!$A$1912:$AZ$1912,1,OC_Amt)))</f>
        <v/>
      </c>
      <c r="K1912">
        <f>IF(OC_Name=0,"",IF(INDEX('OneCause_Paste'!$A$1912:$AZ$1912,1,OC_Name)="","",INDEX('OneCause_Paste'!$A$1912:$AZ$1912,1,OC_Name)))</f>
        <v/>
      </c>
      <c r="L1912">
        <f>IF(OC_Txn=0,"",IF(INDEX('OneCause_Paste'!$A$1912:$AZ$1912,1,OC_Txn)="","",INDEX('OneCause_Paste'!$A$1912:$AZ$1912,1,OC_Txn)))</f>
        <v/>
      </c>
      <c r="M1912">
        <f>IF(OC_Pay=0,"",IF(INDEX('OneCause_Paste'!$A$1912:$AZ$1912,1,OC_Pay)="","",INDEX('OneCause_Paste'!$A$1912:$AZ$1912,1,OC_Pay)))</f>
        <v/>
      </c>
      <c r="N1912">
        <f>IF(I1912="","",IF(ISNUMBER(I1912),INT(I1912),IFERROR(INT(DATEVALUE(I1912)),IFERROR(INT(VALUE(I1912)),"bad"))))</f>
        <v/>
      </c>
      <c r="O1912">
        <f>IF(J1912="","",IF(ISNUMBER(J1912),ROUND(J1912,2),IFERROR(ROUND(VALUE(SUBSTITUTE(SUBSTITUTE(SUBSTITUTE(J1912,"$",""),",","")," ","")),2),"bad")))</f>
        <v/>
      </c>
      <c r="P1912">
        <f>IF(TRIM(K1912)="","",IFERROR(MATCH(LOWER(TRIM(K1912)),'Students'!$AH$2:$AH$701,0),IFERROR(MATCH(LOWER(TRIM(K1912)),'Students'!$AF$2:$AF$701,0),IFERROR(MATCH(LOWER(TRIM(K1912)),'Students'!$AG$2:$AG$701,0),""))))</f>
        <v/>
      </c>
      <c r="R1912">
        <f>IF(P1912="","",INDEX('Students'!$AD$2:$AD$701,P1912))</f>
        <v/>
      </c>
      <c r="S1912">
        <f>IF(H1912="OK",O1912,0)</f>
        <v/>
      </c>
      <c r="T1912">
        <f>IF(H1912="OK",N1912,"")</f>
        <v/>
      </c>
      <c r="U1912">
        <f>IF(OC_Donor=0,"",IF(INDEX('OneCause_Paste'!$A$1912:$AZ$1912,1,OC_Donor)="","",INDEX('OneCause_Paste'!$A$1912:$AZ$1912,1,OC_Donor)))</f>
        <v/>
      </c>
    </row>
    <row r="1913">
      <c r="A1913" s="62">
        <f>IF(H1913="","",IF(ISNUMBER(N1913),N1913,I1913))</f>
        <v/>
      </c>
      <c r="B1913">
        <f>IF(H1913="","",U1913)</f>
        <v/>
      </c>
      <c r="C1913">
        <f>IF(H1913="","",IF(P1913="",K1913,INDEX('Students'!$A$2:$A$701,P1913)))</f>
        <v/>
      </c>
      <c r="D1913">
        <f>IF(OR(H1913="",P1913=""),"",INDEX('Students'!$B$2:$B$701,P1913))</f>
        <v/>
      </c>
      <c r="E1913">
        <f>IF(OR(H1913="",P1913=""),"",INDEX('Students'!$C$2:$C$701,P1913))</f>
        <v/>
      </c>
      <c r="F1913" s="48">
        <f>IF(H1913="","",IF(ISNUMBER(O1913),O1913,J1913))</f>
        <v/>
      </c>
      <c r="G1913">
        <f>IF(H1913="","","OneCause")</f>
        <v/>
      </c>
      <c r="H1913">
        <f>IF(AND(I1913="",J1913="",K1913=""),"",IF(NOT(ISNUMBER(O1913)),"Bad amount",IF(O1913&lt;0,"Refund (not counted)",IF(O1913=0,"Zero amount",IF(NOT(ISNUMBER(N1913)),"Bad date",IF(P1913="","NAME NOT ON ROSTER",IF(L1913="","OK",IF(MATCH(L1913,$L$2:$L$3001,0)&lt;ROW()-1,"Duplicate (ignored)","OK"))))))))</f>
        <v/>
      </c>
      <c r="I1913">
        <f>IF(OC_Date=0,"",IF(INDEX('OneCause_Paste'!$A$1913:$AZ$1913,1,OC_Date)="","",INDEX('OneCause_Paste'!$A$1913:$AZ$1913,1,OC_Date)))</f>
        <v/>
      </c>
      <c r="J1913">
        <f>IF(OC_Amt=0,"",IF(INDEX('OneCause_Paste'!$A$1913:$AZ$1913,1,OC_Amt)="","",INDEX('OneCause_Paste'!$A$1913:$AZ$1913,1,OC_Amt)))</f>
        <v/>
      </c>
      <c r="K1913">
        <f>IF(OC_Name=0,"",IF(INDEX('OneCause_Paste'!$A$1913:$AZ$1913,1,OC_Name)="","",INDEX('OneCause_Paste'!$A$1913:$AZ$1913,1,OC_Name)))</f>
        <v/>
      </c>
      <c r="L1913">
        <f>IF(OC_Txn=0,"",IF(INDEX('OneCause_Paste'!$A$1913:$AZ$1913,1,OC_Txn)="","",INDEX('OneCause_Paste'!$A$1913:$AZ$1913,1,OC_Txn)))</f>
        <v/>
      </c>
      <c r="M1913">
        <f>IF(OC_Pay=0,"",IF(INDEX('OneCause_Paste'!$A$1913:$AZ$1913,1,OC_Pay)="","",INDEX('OneCause_Paste'!$A$1913:$AZ$1913,1,OC_Pay)))</f>
        <v/>
      </c>
      <c r="N1913">
        <f>IF(I1913="","",IF(ISNUMBER(I1913),INT(I1913),IFERROR(INT(DATEVALUE(I1913)),IFERROR(INT(VALUE(I1913)),"bad"))))</f>
        <v/>
      </c>
      <c r="O1913">
        <f>IF(J1913="","",IF(ISNUMBER(J1913),ROUND(J1913,2),IFERROR(ROUND(VALUE(SUBSTITUTE(SUBSTITUTE(SUBSTITUTE(J1913,"$",""),",","")," ","")),2),"bad")))</f>
        <v/>
      </c>
      <c r="P1913">
        <f>IF(TRIM(K1913)="","",IFERROR(MATCH(LOWER(TRIM(K1913)),'Students'!$AH$2:$AH$701,0),IFERROR(MATCH(LOWER(TRIM(K1913)),'Students'!$AF$2:$AF$701,0),IFERROR(MATCH(LOWER(TRIM(K1913)),'Students'!$AG$2:$AG$701,0),""))))</f>
        <v/>
      </c>
      <c r="R1913">
        <f>IF(P1913="","",INDEX('Students'!$AD$2:$AD$701,P1913))</f>
        <v/>
      </c>
      <c r="S1913">
        <f>IF(H1913="OK",O1913,0)</f>
        <v/>
      </c>
      <c r="T1913">
        <f>IF(H1913="OK",N1913,"")</f>
        <v/>
      </c>
      <c r="U1913">
        <f>IF(OC_Donor=0,"",IF(INDEX('OneCause_Paste'!$A$1913:$AZ$1913,1,OC_Donor)="","",INDEX('OneCause_Paste'!$A$1913:$AZ$1913,1,OC_Donor)))</f>
        <v/>
      </c>
    </row>
    <row r="1914">
      <c r="A1914" s="62">
        <f>IF(H1914="","",IF(ISNUMBER(N1914),N1914,I1914))</f>
        <v/>
      </c>
      <c r="B1914">
        <f>IF(H1914="","",U1914)</f>
        <v/>
      </c>
      <c r="C1914">
        <f>IF(H1914="","",IF(P1914="",K1914,INDEX('Students'!$A$2:$A$701,P1914)))</f>
        <v/>
      </c>
      <c r="D1914">
        <f>IF(OR(H1914="",P1914=""),"",INDEX('Students'!$B$2:$B$701,P1914))</f>
        <v/>
      </c>
      <c r="E1914">
        <f>IF(OR(H1914="",P1914=""),"",INDEX('Students'!$C$2:$C$701,P1914))</f>
        <v/>
      </c>
      <c r="F1914" s="48">
        <f>IF(H1914="","",IF(ISNUMBER(O1914),O1914,J1914))</f>
        <v/>
      </c>
      <c r="G1914">
        <f>IF(H1914="","","OneCause")</f>
        <v/>
      </c>
      <c r="H1914">
        <f>IF(AND(I1914="",J1914="",K1914=""),"",IF(NOT(ISNUMBER(O1914)),"Bad amount",IF(O1914&lt;0,"Refund (not counted)",IF(O1914=0,"Zero amount",IF(NOT(ISNUMBER(N1914)),"Bad date",IF(P1914="","NAME NOT ON ROSTER",IF(L1914="","OK",IF(MATCH(L1914,$L$2:$L$3001,0)&lt;ROW()-1,"Duplicate (ignored)","OK"))))))))</f>
        <v/>
      </c>
      <c r="I1914">
        <f>IF(OC_Date=0,"",IF(INDEX('OneCause_Paste'!$A$1914:$AZ$1914,1,OC_Date)="","",INDEX('OneCause_Paste'!$A$1914:$AZ$1914,1,OC_Date)))</f>
        <v/>
      </c>
      <c r="J1914">
        <f>IF(OC_Amt=0,"",IF(INDEX('OneCause_Paste'!$A$1914:$AZ$1914,1,OC_Amt)="","",INDEX('OneCause_Paste'!$A$1914:$AZ$1914,1,OC_Amt)))</f>
        <v/>
      </c>
      <c r="K1914">
        <f>IF(OC_Name=0,"",IF(INDEX('OneCause_Paste'!$A$1914:$AZ$1914,1,OC_Name)="","",INDEX('OneCause_Paste'!$A$1914:$AZ$1914,1,OC_Name)))</f>
        <v/>
      </c>
      <c r="L1914">
        <f>IF(OC_Txn=0,"",IF(INDEX('OneCause_Paste'!$A$1914:$AZ$1914,1,OC_Txn)="","",INDEX('OneCause_Paste'!$A$1914:$AZ$1914,1,OC_Txn)))</f>
        <v/>
      </c>
      <c r="M1914">
        <f>IF(OC_Pay=0,"",IF(INDEX('OneCause_Paste'!$A$1914:$AZ$1914,1,OC_Pay)="","",INDEX('OneCause_Paste'!$A$1914:$AZ$1914,1,OC_Pay)))</f>
        <v/>
      </c>
      <c r="N1914">
        <f>IF(I1914="","",IF(ISNUMBER(I1914),INT(I1914),IFERROR(INT(DATEVALUE(I1914)),IFERROR(INT(VALUE(I1914)),"bad"))))</f>
        <v/>
      </c>
      <c r="O1914">
        <f>IF(J1914="","",IF(ISNUMBER(J1914),ROUND(J1914,2),IFERROR(ROUND(VALUE(SUBSTITUTE(SUBSTITUTE(SUBSTITUTE(J1914,"$",""),",","")," ","")),2),"bad")))</f>
        <v/>
      </c>
      <c r="P1914">
        <f>IF(TRIM(K1914)="","",IFERROR(MATCH(LOWER(TRIM(K1914)),'Students'!$AH$2:$AH$701,0),IFERROR(MATCH(LOWER(TRIM(K1914)),'Students'!$AF$2:$AF$701,0),IFERROR(MATCH(LOWER(TRIM(K1914)),'Students'!$AG$2:$AG$701,0),""))))</f>
        <v/>
      </c>
      <c r="R1914">
        <f>IF(P1914="","",INDEX('Students'!$AD$2:$AD$701,P1914))</f>
        <v/>
      </c>
      <c r="S1914">
        <f>IF(H1914="OK",O1914,0)</f>
        <v/>
      </c>
      <c r="T1914">
        <f>IF(H1914="OK",N1914,"")</f>
        <v/>
      </c>
      <c r="U1914">
        <f>IF(OC_Donor=0,"",IF(INDEX('OneCause_Paste'!$A$1914:$AZ$1914,1,OC_Donor)="","",INDEX('OneCause_Paste'!$A$1914:$AZ$1914,1,OC_Donor)))</f>
        <v/>
      </c>
    </row>
    <row r="1915">
      <c r="A1915" s="62">
        <f>IF(H1915="","",IF(ISNUMBER(N1915),N1915,I1915))</f>
        <v/>
      </c>
      <c r="B1915">
        <f>IF(H1915="","",U1915)</f>
        <v/>
      </c>
      <c r="C1915">
        <f>IF(H1915="","",IF(P1915="",K1915,INDEX('Students'!$A$2:$A$701,P1915)))</f>
        <v/>
      </c>
      <c r="D1915">
        <f>IF(OR(H1915="",P1915=""),"",INDEX('Students'!$B$2:$B$701,P1915))</f>
        <v/>
      </c>
      <c r="E1915">
        <f>IF(OR(H1915="",P1915=""),"",INDEX('Students'!$C$2:$C$701,P1915))</f>
        <v/>
      </c>
      <c r="F1915" s="48">
        <f>IF(H1915="","",IF(ISNUMBER(O1915),O1915,J1915))</f>
        <v/>
      </c>
      <c r="G1915">
        <f>IF(H1915="","","OneCause")</f>
        <v/>
      </c>
      <c r="H1915">
        <f>IF(AND(I1915="",J1915="",K1915=""),"",IF(NOT(ISNUMBER(O1915)),"Bad amount",IF(O1915&lt;0,"Refund (not counted)",IF(O1915=0,"Zero amount",IF(NOT(ISNUMBER(N1915)),"Bad date",IF(P1915="","NAME NOT ON ROSTER",IF(L1915="","OK",IF(MATCH(L1915,$L$2:$L$3001,0)&lt;ROW()-1,"Duplicate (ignored)","OK"))))))))</f>
        <v/>
      </c>
      <c r="I1915">
        <f>IF(OC_Date=0,"",IF(INDEX('OneCause_Paste'!$A$1915:$AZ$1915,1,OC_Date)="","",INDEX('OneCause_Paste'!$A$1915:$AZ$1915,1,OC_Date)))</f>
        <v/>
      </c>
      <c r="J1915">
        <f>IF(OC_Amt=0,"",IF(INDEX('OneCause_Paste'!$A$1915:$AZ$1915,1,OC_Amt)="","",INDEX('OneCause_Paste'!$A$1915:$AZ$1915,1,OC_Amt)))</f>
        <v/>
      </c>
      <c r="K1915">
        <f>IF(OC_Name=0,"",IF(INDEX('OneCause_Paste'!$A$1915:$AZ$1915,1,OC_Name)="","",INDEX('OneCause_Paste'!$A$1915:$AZ$1915,1,OC_Name)))</f>
        <v/>
      </c>
      <c r="L1915">
        <f>IF(OC_Txn=0,"",IF(INDEX('OneCause_Paste'!$A$1915:$AZ$1915,1,OC_Txn)="","",INDEX('OneCause_Paste'!$A$1915:$AZ$1915,1,OC_Txn)))</f>
        <v/>
      </c>
      <c r="M1915">
        <f>IF(OC_Pay=0,"",IF(INDEX('OneCause_Paste'!$A$1915:$AZ$1915,1,OC_Pay)="","",INDEX('OneCause_Paste'!$A$1915:$AZ$1915,1,OC_Pay)))</f>
        <v/>
      </c>
      <c r="N1915">
        <f>IF(I1915="","",IF(ISNUMBER(I1915),INT(I1915),IFERROR(INT(DATEVALUE(I1915)),IFERROR(INT(VALUE(I1915)),"bad"))))</f>
        <v/>
      </c>
      <c r="O1915">
        <f>IF(J1915="","",IF(ISNUMBER(J1915),ROUND(J1915,2),IFERROR(ROUND(VALUE(SUBSTITUTE(SUBSTITUTE(SUBSTITUTE(J1915,"$",""),",","")," ","")),2),"bad")))</f>
        <v/>
      </c>
      <c r="P1915">
        <f>IF(TRIM(K1915)="","",IFERROR(MATCH(LOWER(TRIM(K1915)),'Students'!$AH$2:$AH$701,0),IFERROR(MATCH(LOWER(TRIM(K1915)),'Students'!$AF$2:$AF$701,0),IFERROR(MATCH(LOWER(TRIM(K1915)),'Students'!$AG$2:$AG$701,0),""))))</f>
        <v/>
      </c>
      <c r="R1915">
        <f>IF(P1915="","",INDEX('Students'!$AD$2:$AD$701,P1915))</f>
        <v/>
      </c>
      <c r="S1915">
        <f>IF(H1915="OK",O1915,0)</f>
        <v/>
      </c>
      <c r="T1915">
        <f>IF(H1915="OK",N1915,"")</f>
        <v/>
      </c>
      <c r="U1915">
        <f>IF(OC_Donor=0,"",IF(INDEX('OneCause_Paste'!$A$1915:$AZ$1915,1,OC_Donor)="","",INDEX('OneCause_Paste'!$A$1915:$AZ$1915,1,OC_Donor)))</f>
        <v/>
      </c>
    </row>
    <row r="1916">
      <c r="A1916" s="62">
        <f>IF(H1916="","",IF(ISNUMBER(N1916),N1916,I1916))</f>
        <v/>
      </c>
      <c r="B1916">
        <f>IF(H1916="","",U1916)</f>
        <v/>
      </c>
      <c r="C1916">
        <f>IF(H1916="","",IF(P1916="",K1916,INDEX('Students'!$A$2:$A$701,P1916)))</f>
        <v/>
      </c>
      <c r="D1916">
        <f>IF(OR(H1916="",P1916=""),"",INDEX('Students'!$B$2:$B$701,P1916))</f>
        <v/>
      </c>
      <c r="E1916">
        <f>IF(OR(H1916="",P1916=""),"",INDEX('Students'!$C$2:$C$701,P1916))</f>
        <v/>
      </c>
      <c r="F1916" s="48">
        <f>IF(H1916="","",IF(ISNUMBER(O1916),O1916,J1916))</f>
        <v/>
      </c>
      <c r="G1916">
        <f>IF(H1916="","","OneCause")</f>
        <v/>
      </c>
      <c r="H1916">
        <f>IF(AND(I1916="",J1916="",K1916=""),"",IF(NOT(ISNUMBER(O1916)),"Bad amount",IF(O1916&lt;0,"Refund (not counted)",IF(O1916=0,"Zero amount",IF(NOT(ISNUMBER(N1916)),"Bad date",IF(P1916="","NAME NOT ON ROSTER",IF(L1916="","OK",IF(MATCH(L1916,$L$2:$L$3001,0)&lt;ROW()-1,"Duplicate (ignored)","OK"))))))))</f>
        <v/>
      </c>
      <c r="I1916">
        <f>IF(OC_Date=0,"",IF(INDEX('OneCause_Paste'!$A$1916:$AZ$1916,1,OC_Date)="","",INDEX('OneCause_Paste'!$A$1916:$AZ$1916,1,OC_Date)))</f>
        <v/>
      </c>
      <c r="J1916">
        <f>IF(OC_Amt=0,"",IF(INDEX('OneCause_Paste'!$A$1916:$AZ$1916,1,OC_Amt)="","",INDEX('OneCause_Paste'!$A$1916:$AZ$1916,1,OC_Amt)))</f>
        <v/>
      </c>
      <c r="K1916">
        <f>IF(OC_Name=0,"",IF(INDEX('OneCause_Paste'!$A$1916:$AZ$1916,1,OC_Name)="","",INDEX('OneCause_Paste'!$A$1916:$AZ$1916,1,OC_Name)))</f>
        <v/>
      </c>
      <c r="L1916">
        <f>IF(OC_Txn=0,"",IF(INDEX('OneCause_Paste'!$A$1916:$AZ$1916,1,OC_Txn)="","",INDEX('OneCause_Paste'!$A$1916:$AZ$1916,1,OC_Txn)))</f>
        <v/>
      </c>
      <c r="M1916">
        <f>IF(OC_Pay=0,"",IF(INDEX('OneCause_Paste'!$A$1916:$AZ$1916,1,OC_Pay)="","",INDEX('OneCause_Paste'!$A$1916:$AZ$1916,1,OC_Pay)))</f>
        <v/>
      </c>
      <c r="N1916">
        <f>IF(I1916="","",IF(ISNUMBER(I1916),INT(I1916),IFERROR(INT(DATEVALUE(I1916)),IFERROR(INT(VALUE(I1916)),"bad"))))</f>
        <v/>
      </c>
      <c r="O1916">
        <f>IF(J1916="","",IF(ISNUMBER(J1916),ROUND(J1916,2),IFERROR(ROUND(VALUE(SUBSTITUTE(SUBSTITUTE(SUBSTITUTE(J1916,"$",""),",","")," ","")),2),"bad")))</f>
        <v/>
      </c>
      <c r="P1916">
        <f>IF(TRIM(K1916)="","",IFERROR(MATCH(LOWER(TRIM(K1916)),'Students'!$AH$2:$AH$701,0),IFERROR(MATCH(LOWER(TRIM(K1916)),'Students'!$AF$2:$AF$701,0),IFERROR(MATCH(LOWER(TRIM(K1916)),'Students'!$AG$2:$AG$701,0),""))))</f>
        <v/>
      </c>
      <c r="R1916">
        <f>IF(P1916="","",INDEX('Students'!$AD$2:$AD$701,P1916))</f>
        <v/>
      </c>
      <c r="S1916">
        <f>IF(H1916="OK",O1916,0)</f>
        <v/>
      </c>
      <c r="T1916">
        <f>IF(H1916="OK",N1916,"")</f>
        <v/>
      </c>
      <c r="U1916">
        <f>IF(OC_Donor=0,"",IF(INDEX('OneCause_Paste'!$A$1916:$AZ$1916,1,OC_Donor)="","",INDEX('OneCause_Paste'!$A$1916:$AZ$1916,1,OC_Donor)))</f>
        <v/>
      </c>
    </row>
    <row r="1917">
      <c r="A1917" s="62">
        <f>IF(H1917="","",IF(ISNUMBER(N1917),N1917,I1917))</f>
        <v/>
      </c>
      <c r="B1917">
        <f>IF(H1917="","",U1917)</f>
        <v/>
      </c>
      <c r="C1917">
        <f>IF(H1917="","",IF(P1917="",K1917,INDEX('Students'!$A$2:$A$701,P1917)))</f>
        <v/>
      </c>
      <c r="D1917">
        <f>IF(OR(H1917="",P1917=""),"",INDEX('Students'!$B$2:$B$701,P1917))</f>
        <v/>
      </c>
      <c r="E1917">
        <f>IF(OR(H1917="",P1917=""),"",INDEX('Students'!$C$2:$C$701,P1917))</f>
        <v/>
      </c>
      <c r="F1917" s="48">
        <f>IF(H1917="","",IF(ISNUMBER(O1917),O1917,J1917))</f>
        <v/>
      </c>
      <c r="G1917">
        <f>IF(H1917="","","OneCause")</f>
        <v/>
      </c>
      <c r="H1917">
        <f>IF(AND(I1917="",J1917="",K1917=""),"",IF(NOT(ISNUMBER(O1917)),"Bad amount",IF(O1917&lt;0,"Refund (not counted)",IF(O1917=0,"Zero amount",IF(NOT(ISNUMBER(N1917)),"Bad date",IF(P1917="","NAME NOT ON ROSTER",IF(L1917="","OK",IF(MATCH(L1917,$L$2:$L$3001,0)&lt;ROW()-1,"Duplicate (ignored)","OK"))))))))</f>
        <v/>
      </c>
      <c r="I1917">
        <f>IF(OC_Date=0,"",IF(INDEX('OneCause_Paste'!$A$1917:$AZ$1917,1,OC_Date)="","",INDEX('OneCause_Paste'!$A$1917:$AZ$1917,1,OC_Date)))</f>
        <v/>
      </c>
      <c r="J1917">
        <f>IF(OC_Amt=0,"",IF(INDEX('OneCause_Paste'!$A$1917:$AZ$1917,1,OC_Amt)="","",INDEX('OneCause_Paste'!$A$1917:$AZ$1917,1,OC_Amt)))</f>
        <v/>
      </c>
      <c r="K1917">
        <f>IF(OC_Name=0,"",IF(INDEX('OneCause_Paste'!$A$1917:$AZ$1917,1,OC_Name)="","",INDEX('OneCause_Paste'!$A$1917:$AZ$1917,1,OC_Name)))</f>
        <v/>
      </c>
      <c r="L1917">
        <f>IF(OC_Txn=0,"",IF(INDEX('OneCause_Paste'!$A$1917:$AZ$1917,1,OC_Txn)="","",INDEX('OneCause_Paste'!$A$1917:$AZ$1917,1,OC_Txn)))</f>
        <v/>
      </c>
      <c r="M1917">
        <f>IF(OC_Pay=0,"",IF(INDEX('OneCause_Paste'!$A$1917:$AZ$1917,1,OC_Pay)="","",INDEX('OneCause_Paste'!$A$1917:$AZ$1917,1,OC_Pay)))</f>
        <v/>
      </c>
      <c r="N1917">
        <f>IF(I1917="","",IF(ISNUMBER(I1917),INT(I1917),IFERROR(INT(DATEVALUE(I1917)),IFERROR(INT(VALUE(I1917)),"bad"))))</f>
        <v/>
      </c>
      <c r="O1917">
        <f>IF(J1917="","",IF(ISNUMBER(J1917),ROUND(J1917,2),IFERROR(ROUND(VALUE(SUBSTITUTE(SUBSTITUTE(SUBSTITUTE(J1917,"$",""),",","")," ","")),2),"bad")))</f>
        <v/>
      </c>
      <c r="P1917">
        <f>IF(TRIM(K1917)="","",IFERROR(MATCH(LOWER(TRIM(K1917)),'Students'!$AH$2:$AH$701,0),IFERROR(MATCH(LOWER(TRIM(K1917)),'Students'!$AF$2:$AF$701,0),IFERROR(MATCH(LOWER(TRIM(K1917)),'Students'!$AG$2:$AG$701,0),""))))</f>
        <v/>
      </c>
      <c r="R1917">
        <f>IF(P1917="","",INDEX('Students'!$AD$2:$AD$701,P1917))</f>
        <v/>
      </c>
      <c r="S1917">
        <f>IF(H1917="OK",O1917,0)</f>
        <v/>
      </c>
      <c r="T1917">
        <f>IF(H1917="OK",N1917,"")</f>
        <v/>
      </c>
      <c r="U1917">
        <f>IF(OC_Donor=0,"",IF(INDEX('OneCause_Paste'!$A$1917:$AZ$1917,1,OC_Donor)="","",INDEX('OneCause_Paste'!$A$1917:$AZ$1917,1,OC_Donor)))</f>
        <v/>
      </c>
    </row>
    <row r="1918">
      <c r="A1918" s="62">
        <f>IF(H1918="","",IF(ISNUMBER(N1918),N1918,I1918))</f>
        <v/>
      </c>
      <c r="B1918">
        <f>IF(H1918="","",U1918)</f>
        <v/>
      </c>
      <c r="C1918">
        <f>IF(H1918="","",IF(P1918="",K1918,INDEX('Students'!$A$2:$A$701,P1918)))</f>
        <v/>
      </c>
      <c r="D1918">
        <f>IF(OR(H1918="",P1918=""),"",INDEX('Students'!$B$2:$B$701,P1918))</f>
        <v/>
      </c>
      <c r="E1918">
        <f>IF(OR(H1918="",P1918=""),"",INDEX('Students'!$C$2:$C$701,P1918))</f>
        <v/>
      </c>
      <c r="F1918" s="48">
        <f>IF(H1918="","",IF(ISNUMBER(O1918),O1918,J1918))</f>
        <v/>
      </c>
      <c r="G1918">
        <f>IF(H1918="","","OneCause")</f>
        <v/>
      </c>
      <c r="H1918">
        <f>IF(AND(I1918="",J1918="",K1918=""),"",IF(NOT(ISNUMBER(O1918)),"Bad amount",IF(O1918&lt;0,"Refund (not counted)",IF(O1918=0,"Zero amount",IF(NOT(ISNUMBER(N1918)),"Bad date",IF(P1918="","NAME NOT ON ROSTER",IF(L1918="","OK",IF(MATCH(L1918,$L$2:$L$3001,0)&lt;ROW()-1,"Duplicate (ignored)","OK"))))))))</f>
        <v/>
      </c>
      <c r="I1918">
        <f>IF(OC_Date=0,"",IF(INDEX('OneCause_Paste'!$A$1918:$AZ$1918,1,OC_Date)="","",INDEX('OneCause_Paste'!$A$1918:$AZ$1918,1,OC_Date)))</f>
        <v/>
      </c>
      <c r="J1918">
        <f>IF(OC_Amt=0,"",IF(INDEX('OneCause_Paste'!$A$1918:$AZ$1918,1,OC_Amt)="","",INDEX('OneCause_Paste'!$A$1918:$AZ$1918,1,OC_Amt)))</f>
        <v/>
      </c>
      <c r="K1918">
        <f>IF(OC_Name=0,"",IF(INDEX('OneCause_Paste'!$A$1918:$AZ$1918,1,OC_Name)="","",INDEX('OneCause_Paste'!$A$1918:$AZ$1918,1,OC_Name)))</f>
        <v/>
      </c>
      <c r="L1918">
        <f>IF(OC_Txn=0,"",IF(INDEX('OneCause_Paste'!$A$1918:$AZ$1918,1,OC_Txn)="","",INDEX('OneCause_Paste'!$A$1918:$AZ$1918,1,OC_Txn)))</f>
        <v/>
      </c>
      <c r="M1918">
        <f>IF(OC_Pay=0,"",IF(INDEX('OneCause_Paste'!$A$1918:$AZ$1918,1,OC_Pay)="","",INDEX('OneCause_Paste'!$A$1918:$AZ$1918,1,OC_Pay)))</f>
        <v/>
      </c>
      <c r="N1918">
        <f>IF(I1918="","",IF(ISNUMBER(I1918),INT(I1918),IFERROR(INT(DATEVALUE(I1918)),IFERROR(INT(VALUE(I1918)),"bad"))))</f>
        <v/>
      </c>
      <c r="O1918">
        <f>IF(J1918="","",IF(ISNUMBER(J1918),ROUND(J1918,2),IFERROR(ROUND(VALUE(SUBSTITUTE(SUBSTITUTE(SUBSTITUTE(J1918,"$",""),",","")," ","")),2),"bad")))</f>
        <v/>
      </c>
      <c r="P1918">
        <f>IF(TRIM(K1918)="","",IFERROR(MATCH(LOWER(TRIM(K1918)),'Students'!$AH$2:$AH$701,0),IFERROR(MATCH(LOWER(TRIM(K1918)),'Students'!$AF$2:$AF$701,0),IFERROR(MATCH(LOWER(TRIM(K1918)),'Students'!$AG$2:$AG$701,0),""))))</f>
        <v/>
      </c>
      <c r="R1918">
        <f>IF(P1918="","",INDEX('Students'!$AD$2:$AD$701,P1918))</f>
        <v/>
      </c>
      <c r="S1918">
        <f>IF(H1918="OK",O1918,0)</f>
        <v/>
      </c>
      <c r="T1918">
        <f>IF(H1918="OK",N1918,"")</f>
        <v/>
      </c>
      <c r="U1918">
        <f>IF(OC_Donor=0,"",IF(INDEX('OneCause_Paste'!$A$1918:$AZ$1918,1,OC_Donor)="","",INDEX('OneCause_Paste'!$A$1918:$AZ$1918,1,OC_Donor)))</f>
        <v/>
      </c>
    </row>
    <row r="1919">
      <c r="A1919" s="62">
        <f>IF(H1919="","",IF(ISNUMBER(N1919),N1919,I1919))</f>
        <v/>
      </c>
      <c r="B1919">
        <f>IF(H1919="","",U1919)</f>
        <v/>
      </c>
      <c r="C1919">
        <f>IF(H1919="","",IF(P1919="",K1919,INDEX('Students'!$A$2:$A$701,P1919)))</f>
        <v/>
      </c>
      <c r="D1919">
        <f>IF(OR(H1919="",P1919=""),"",INDEX('Students'!$B$2:$B$701,P1919))</f>
        <v/>
      </c>
      <c r="E1919">
        <f>IF(OR(H1919="",P1919=""),"",INDEX('Students'!$C$2:$C$701,P1919))</f>
        <v/>
      </c>
      <c r="F1919" s="48">
        <f>IF(H1919="","",IF(ISNUMBER(O1919),O1919,J1919))</f>
        <v/>
      </c>
      <c r="G1919">
        <f>IF(H1919="","","OneCause")</f>
        <v/>
      </c>
      <c r="H1919">
        <f>IF(AND(I1919="",J1919="",K1919=""),"",IF(NOT(ISNUMBER(O1919)),"Bad amount",IF(O1919&lt;0,"Refund (not counted)",IF(O1919=0,"Zero amount",IF(NOT(ISNUMBER(N1919)),"Bad date",IF(P1919="","NAME NOT ON ROSTER",IF(L1919="","OK",IF(MATCH(L1919,$L$2:$L$3001,0)&lt;ROW()-1,"Duplicate (ignored)","OK"))))))))</f>
        <v/>
      </c>
      <c r="I1919">
        <f>IF(OC_Date=0,"",IF(INDEX('OneCause_Paste'!$A$1919:$AZ$1919,1,OC_Date)="","",INDEX('OneCause_Paste'!$A$1919:$AZ$1919,1,OC_Date)))</f>
        <v/>
      </c>
      <c r="J1919">
        <f>IF(OC_Amt=0,"",IF(INDEX('OneCause_Paste'!$A$1919:$AZ$1919,1,OC_Amt)="","",INDEX('OneCause_Paste'!$A$1919:$AZ$1919,1,OC_Amt)))</f>
        <v/>
      </c>
      <c r="K1919">
        <f>IF(OC_Name=0,"",IF(INDEX('OneCause_Paste'!$A$1919:$AZ$1919,1,OC_Name)="","",INDEX('OneCause_Paste'!$A$1919:$AZ$1919,1,OC_Name)))</f>
        <v/>
      </c>
      <c r="L1919">
        <f>IF(OC_Txn=0,"",IF(INDEX('OneCause_Paste'!$A$1919:$AZ$1919,1,OC_Txn)="","",INDEX('OneCause_Paste'!$A$1919:$AZ$1919,1,OC_Txn)))</f>
        <v/>
      </c>
      <c r="M1919">
        <f>IF(OC_Pay=0,"",IF(INDEX('OneCause_Paste'!$A$1919:$AZ$1919,1,OC_Pay)="","",INDEX('OneCause_Paste'!$A$1919:$AZ$1919,1,OC_Pay)))</f>
        <v/>
      </c>
      <c r="N1919">
        <f>IF(I1919="","",IF(ISNUMBER(I1919),INT(I1919),IFERROR(INT(DATEVALUE(I1919)),IFERROR(INT(VALUE(I1919)),"bad"))))</f>
        <v/>
      </c>
      <c r="O1919">
        <f>IF(J1919="","",IF(ISNUMBER(J1919),ROUND(J1919,2),IFERROR(ROUND(VALUE(SUBSTITUTE(SUBSTITUTE(SUBSTITUTE(J1919,"$",""),",","")," ","")),2),"bad")))</f>
        <v/>
      </c>
      <c r="P1919">
        <f>IF(TRIM(K1919)="","",IFERROR(MATCH(LOWER(TRIM(K1919)),'Students'!$AH$2:$AH$701,0),IFERROR(MATCH(LOWER(TRIM(K1919)),'Students'!$AF$2:$AF$701,0),IFERROR(MATCH(LOWER(TRIM(K1919)),'Students'!$AG$2:$AG$701,0),""))))</f>
        <v/>
      </c>
      <c r="R1919">
        <f>IF(P1919="","",INDEX('Students'!$AD$2:$AD$701,P1919))</f>
        <v/>
      </c>
      <c r="S1919">
        <f>IF(H1919="OK",O1919,0)</f>
        <v/>
      </c>
      <c r="T1919">
        <f>IF(H1919="OK",N1919,"")</f>
        <v/>
      </c>
      <c r="U1919">
        <f>IF(OC_Donor=0,"",IF(INDEX('OneCause_Paste'!$A$1919:$AZ$1919,1,OC_Donor)="","",INDEX('OneCause_Paste'!$A$1919:$AZ$1919,1,OC_Donor)))</f>
        <v/>
      </c>
    </row>
    <row r="1920">
      <c r="A1920" s="62">
        <f>IF(H1920="","",IF(ISNUMBER(N1920),N1920,I1920))</f>
        <v/>
      </c>
      <c r="B1920">
        <f>IF(H1920="","",U1920)</f>
        <v/>
      </c>
      <c r="C1920">
        <f>IF(H1920="","",IF(P1920="",K1920,INDEX('Students'!$A$2:$A$701,P1920)))</f>
        <v/>
      </c>
      <c r="D1920">
        <f>IF(OR(H1920="",P1920=""),"",INDEX('Students'!$B$2:$B$701,P1920))</f>
        <v/>
      </c>
      <c r="E1920">
        <f>IF(OR(H1920="",P1920=""),"",INDEX('Students'!$C$2:$C$701,P1920))</f>
        <v/>
      </c>
      <c r="F1920" s="48">
        <f>IF(H1920="","",IF(ISNUMBER(O1920),O1920,J1920))</f>
        <v/>
      </c>
      <c r="G1920">
        <f>IF(H1920="","","OneCause")</f>
        <v/>
      </c>
      <c r="H1920">
        <f>IF(AND(I1920="",J1920="",K1920=""),"",IF(NOT(ISNUMBER(O1920)),"Bad amount",IF(O1920&lt;0,"Refund (not counted)",IF(O1920=0,"Zero amount",IF(NOT(ISNUMBER(N1920)),"Bad date",IF(P1920="","NAME NOT ON ROSTER",IF(L1920="","OK",IF(MATCH(L1920,$L$2:$L$3001,0)&lt;ROW()-1,"Duplicate (ignored)","OK"))))))))</f>
        <v/>
      </c>
      <c r="I1920">
        <f>IF(OC_Date=0,"",IF(INDEX('OneCause_Paste'!$A$1920:$AZ$1920,1,OC_Date)="","",INDEX('OneCause_Paste'!$A$1920:$AZ$1920,1,OC_Date)))</f>
        <v/>
      </c>
      <c r="J1920">
        <f>IF(OC_Amt=0,"",IF(INDEX('OneCause_Paste'!$A$1920:$AZ$1920,1,OC_Amt)="","",INDEX('OneCause_Paste'!$A$1920:$AZ$1920,1,OC_Amt)))</f>
        <v/>
      </c>
      <c r="K1920">
        <f>IF(OC_Name=0,"",IF(INDEX('OneCause_Paste'!$A$1920:$AZ$1920,1,OC_Name)="","",INDEX('OneCause_Paste'!$A$1920:$AZ$1920,1,OC_Name)))</f>
        <v/>
      </c>
      <c r="L1920">
        <f>IF(OC_Txn=0,"",IF(INDEX('OneCause_Paste'!$A$1920:$AZ$1920,1,OC_Txn)="","",INDEX('OneCause_Paste'!$A$1920:$AZ$1920,1,OC_Txn)))</f>
        <v/>
      </c>
      <c r="M1920">
        <f>IF(OC_Pay=0,"",IF(INDEX('OneCause_Paste'!$A$1920:$AZ$1920,1,OC_Pay)="","",INDEX('OneCause_Paste'!$A$1920:$AZ$1920,1,OC_Pay)))</f>
        <v/>
      </c>
      <c r="N1920">
        <f>IF(I1920="","",IF(ISNUMBER(I1920),INT(I1920),IFERROR(INT(DATEVALUE(I1920)),IFERROR(INT(VALUE(I1920)),"bad"))))</f>
        <v/>
      </c>
      <c r="O1920">
        <f>IF(J1920="","",IF(ISNUMBER(J1920),ROUND(J1920,2),IFERROR(ROUND(VALUE(SUBSTITUTE(SUBSTITUTE(SUBSTITUTE(J1920,"$",""),",","")," ","")),2),"bad")))</f>
        <v/>
      </c>
      <c r="P1920">
        <f>IF(TRIM(K1920)="","",IFERROR(MATCH(LOWER(TRIM(K1920)),'Students'!$AH$2:$AH$701,0),IFERROR(MATCH(LOWER(TRIM(K1920)),'Students'!$AF$2:$AF$701,0),IFERROR(MATCH(LOWER(TRIM(K1920)),'Students'!$AG$2:$AG$701,0),""))))</f>
        <v/>
      </c>
      <c r="R1920">
        <f>IF(P1920="","",INDEX('Students'!$AD$2:$AD$701,P1920))</f>
        <v/>
      </c>
      <c r="S1920">
        <f>IF(H1920="OK",O1920,0)</f>
        <v/>
      </c>
      <c r="T1920">
        <f>IF(H1920="OK",N1920,"")</f>
        <v/>
      </c>
      <c r="U1920">
        <f>IF(OC_Donor=0,"",IF(INDEX('OneCause_Paste'!$A$1920:$AZ$1920,1,OC_Donor)="","",INDEX('OneCause_Paste'!$A$1920:$AZ$1920,1,OC_Donor)))</f>
        <v/>
      </c>
    </row>
    <row r="1921">
      <c r="A1921" s="62">
        <f>IF(H1921="","",IF(ISNUMBER(N1921),N1921,I1921))</f>
        <v/>
      </c>
      <c r="B1921">
        <f>IF(H1921="","",U1921)</f>
        <v/>
      </c>
      <c r="C1921">
        <f>IF(H1921="","",IF(P1921="",K1921,INDEX('Students'!$A$2:$A$701,P1921)))</f>
        <v/>
      </c>
      <c r="D1921">
        <f>IF(OR(H1921="",P1921=""),"",INDEX('Students'!$B$2:$B$701,P1921))</f>
        <v/>
      </c>
      <c r="E1921">
        <f>IF(OR(H1921="",P1921=""),"",INDEX('Students'!$C$2:$C$701,P1921))</f>
        <v/>
      </c>
      <c r="F1921" s="48">
        <f>IF(H1921="","",IF(ISNUMBER(O1921),O1921,J1921))</f>
        <v/>
      </c>
      <c r="G1921">
        <f>IF(H1921="","","OneCause")</f>
        <v/>
      </c>
      <c r="H1921">
        <f>IF(AND(I1921="",J1921="",K1921=""),"",IF(NOT(ISNUMBER(O1921)),"Bad amount",IF(O1921&lt;0,"Refund (not counted)",IF(O1921=0,"Zero amount",IF(NOT(ISNUMBER(N1921)),"Bad date",IF(P1921="","NAME NOT ON ROSTER",IF(L1921="","OK",IF(MATCH(L1921,$L$2:$L$3001,0)&lt;ROW()-1,"Duplicate (ignored)","OK"))))))))</f>
        <v/>
      </c>
      <c r="I1921">
        <f>IF(OC_Date=0,"",IF(INDEX('OneCause_Paste'!$A$1921:$AZ$1921,1,OC_Date)="","",INDEX('OneCause_Paste'!$A$1921:$AZ$1921,1,OC_Date)))</f>
        <v/>
      </c>
      <c r="J1921">
        <f>IF(OC_Amt=0,"",IF(INDEX('OneCause_Paste'!$A$1921:$AZ$1921,1,OC_Amt)="","",INDEX('OneCause_Paste'!$A$1921:$AZ$1921,1,OC_Amt)))</f>
        <v/>
      </c>
      <c r="K1921">
        <f>IF(OC_Name=0,"",IF(INDEX('OneCause_Paste'!$A$1921:$AZ$1921,1,OC_Name)="","",INDEX('OneCause_Paste'!$A$1921:$AZ$1921,1,OC_Name)))</f>
        <v/>
      </c>
      <c r="L1921">
        <f>IF(OC_Txn=0,"",IF(INDEX('OneCause_Paste'!$A$1921:$AZ$1921,1,OC_Txn)="","",INDEX('OneCause_Paste'!$A$1921:$AZ$1921,1,OC_Txn)))</f>
        <v/>
      </c>
      <c r="M1921">
        <f>IF(OC_Pay=0,"",IF(INDEX('OneCause_Paste'!$A$1921:$AZ$1921,1,OC_Pay)="","",INDEX('OneCause_Paste'!$A$1921:$AZ$1921,1,OC_Pay)))</f>
        <v/>
      </c>
      <c r="N1921">
        <f>IF(I1921="","",IF(ISNUMBER(I1921),INT(I1921),IFERROR(INT(DATEVALUE(I1921)),IFERROR(INT(VALUE(I1921)),"bad"))))</f>
        <v/>
      </c>
      <c r="O1921">
        <f>IF(J1921="","",IF(ISNUMBER(J1921),ROUND(J1921,2),IFERROR(ROUND(VALUE(SUBSTITUTE(SUBSTITUTE(SUBSTITUTE(J1921,"$",""),",","")," ","")),2),"bad")))</f>
        <v/>
      </c>
      <c r="P1921">
        <f>IF(TRIM(K1921)="","",IFERROR(MATCH(LOWER(TRIM(K1921)),'Students'!$AH$2:$AH$701,0),IFERROR(MATCH(LOWER(TRIM(K1921)),'Students'!$AF$2:$AF$701,0),IFERROR(MATCH(LOWER(TRIM(K1921)),'Students'!$AG$2:$AG$701,0),""))))</f>
        <v/>
      </c>
      <c r="R1921">
        <f>IF(P1921="","",INDEX('Students'!$AD$2:$AD$701,P1921))</f>
        <v/>
      </c>
      <c r="S1921">
        <f>IF(H1921="OK",O1921,0)</f>
        <v/>
      </c>
      <c r="T1921">
        <f>IF(H1921="OK",N1921,"")</f>
        <v/>
      </c>
      <c r="U1921">
        <f>IF(OC_Donor=0,"",IF(INDEX('OneCause_Paste'!$A$1921:$AZ$1921,1,OC_Donor)="","",INDEX('OneCause_Paste'!$A$1921:$AZ$1921,1,OC_Donor)))</f>
        <v/>
      </c>
    </row>
    <row r="1922">
      <c r="A1922" s="62">
        <f>IF(H1922="","",IF(ISNUMBER(N1922),N1922,I1922))</f>
        <v/>
      </c>
      <c r="B1922">
        <f>IF(H1922="","",U1922)</f>
        <v/>
      </c>
      <c r="C1922">
        <f>IF(H1922="","",IF(P1922="",K1922,INDEX('Students'!$A$2:$A$701,P1922)))</f>
        <v/>
      </c>
      <c r="D1922">
        <f>IF(OR(H1922="",P1922=""),"",INDEX('Students'!$B$2:$B$701,P1922))</f>
        <v/>
      </c>
      <c r="E1922">
        <f>IF(OR(H1922="",P1922=""),"",INDEX('Students'!$C$2:$C$701,P1922))</f>
        <v/>
      </c>
      <c r="F1922" s="48">
        <f>IF(H1922="","",IF(ISNUMBER(O1922),O1922,J1922))</f>
        <v/>
      </c>
      <c r="G1922">
        <f>IF(H1922="","","OneCause")</f>
        <v/>
      </c>
      <c r="H1922">
        <f>IF(AND(I1922="",J1922="",K1922=""),"",IF(NOT(ISNUMBER(O1922)),"Bad amount",IF(O1922&lt;0,"Refund (not counted)",IF(O1922=0,"Zero amount",IF(NOT(ISNUMBER(N1922)),"Bad date",IF(P1922="","NAME NOT ON ROSTER",IF(L1922="","OK",IF(MATCH(L1922,$L$2:$L$3001,0)&lt;ROW()-1,"Duplicate (ignored)","OK"))))))))</f>
        <v/>
      </c>
      <c r="I1922">
        <f>IF(OC_Date=0,"",IF(INDEX('OneCause_Paste'!$A$1922:$AZ$1922,1,OC_Date)="","",INDEX('OneCause_Paste'!$A$1922:$AZ$1922,1,OC_Date)))</f>
        <v/>
      </c>
      <c r="J1922">
        <f>IF(OC_Amt=0,"",IF(INDEX('OneCause_Paste'!$A$1922:$AZ$1922,1,OC_Amt)="","",INDEX('OneCause_Paste'!$A$1922:$AZ$1922,1,OC_Amt)))</f>
        <v/>
      </c>
      <c r="K1922">
        <f>IF(OC_Name=0,"",IF(INDEX('OneCause_Paste'!$A$1922:$AZ$1922,1,OC_Name)="","",INDEX('OneCause_Paste'!$A$1922:$AZ$1922,1,OC_Name)))</f>
        <v/>
      </c>
      <c r="L1922">
        <f>IF(OC_Txn=0,"",IF(INDEX('OneCause_Paste'!$A$1922:$AZ$1922,1,OC_Txn)="","",INDEX('OneCause_Paste'!$A$1922:$AZ$1922,1,OC_Txn)))</f>
        <v/>
      </c>
      <c r="M1922">
        <f>IF(OC_Pay=0,"",IF(INDEX('OneCause_Paste'!$A$1922:$AZ$1922,1,OC_Pay)="","",INDEX('OneCause_Paste'!$A$1922:$AZ$1922,1,OC_Pay)))</f>
        <v/>
      </c>
      <c r="N1922">
        <f>IF(I1922="","",IF(ISNUMBER(I1922),INT(I1922),IFERROR(INT(DATEVALUE(I1922)),IFERROR(INT(VALUE(I1922)),"bad"))))</f>
        <v/>
      </c>
      <c r="O1922">
        <f>IF(J1922="","",IF(ISNUMBER(J1922),ROUND(J1922,2),IFERROR(ROUND(VALUE(SUBSTITUTE(SUBSTITUTE(SUBSTITUTE(J1922,"$",""),",","")," ","")),2),"bad")))</f>
        <v/>
      </c>
      <c r="P1922">
        <f>IF(TRIM(K1922)="","",IFERROR(MATCH(LOWER(TRIM(K1922)),'Students'!$AH$2:$AH$701,0),IFERROR(MATCH(LOWER(TRIM(K1922)),'Students'!$AF$2:$AF$701,0),IFERROR(MATCH(LOWER(TRIM(K1922)),'Students'!$AG$2:$AG$701,0),""))))</f>
        <v/>
      </c>
      <c r="R1922">
        <f>IF(P1922="","",INDEX('Students'!$AD$2:$AD$701,P1922))</f>
        <v/>
      </c>
      <c r="S1922">
        <f>IF(H1922="OK",O1922,0)</f>
        <v/>
      </c>
      <c r="T1922">
        <f>IF(H1922="OK",N1922,"")</f>
        <v/>
      </c>
      <c r="U1922">
        <f>IF(OC_Donor=0,"",IF(INDEX('OneCause_Paste'!$A$1922:$AZ$1922,1,OC_Donor)="","",INDEX('OneCause_Paste'!$A$1922:$AZ$1922,1,OC_Donor)))</f>
        <v/>
      </c>
    </row>
    <row r="1923">
      <c r="A1923" s="62">
        <f>IF(H1923="","",IF(ISNUMBER(N1923),N1923,I1923))</f>
        <v/>
      </c>
      <c r="B1923">
        <f>IF(H1923="","",U1923)</f>
        <v/>
      </c>
      <c r="C1923">
        <f>IF(H1923="","",IF(P1923="",K1923,INDEX('Students'!$A$2:$A$701,P1923)))</f>
        <v/>
      </c>
      <c r="D1923">
        <f>IF(OR(H1923="",P1923=""),"",INDEX('Students'!$B$2:$B$701,P1923))</f>
        <v/>
      </c>
      <c r="E1923">
        <f>IF(OR(H1923="",P1923=""),"",INDEX('Students'!$C$2:$C$701,P1923))</f>
        <v/>
      </c>
      <c r="F1923" s="48">
        <f>IF(H1923="","",IF(ISNUMBER(O1923),O1923,J1923))</f>
        <v/>
      </c>
      <c r="G1923">
        <f>IF(H1923="","","OneCause")</f>
        <v/>
      </c>
      <c r="H1923">
        <f>IF(AND(I1923="",J1923="",K1923=""),"",IF(NOT(ISNUMBER(O1923)),"Bad amount",IF(O1923&lt;0,"Refund (not counted)",IF(O1923=0,"Zero amount",IF(NOT(ISNUMBER(N1923)),"Bad date",IF(P1923="","NAME NOT ON ROSTER",IF(L1923="","OK",IF(MATCH(L1923,$L$2:$L$3001,0)&lt;ROW()-1,"Duplicate (ignored)","OK"))))))))</f>
        <v/>
      </c>
      <c r="I1923">
        <f>IF(OC_Date=0,"",IF(INDEX('OneCause_Paste'!$A$1923:$AZ$1923,1,OC_Date)="","",INDEX('OneCause_Paste'!$A$1923:$AZ$1923,1,OC_Date)))</f>
        <v/>
      </c>
      <c r="J1923">
        <f>IF(OC_Amt=0,"",IF(INDEX('OneCause_Paste'!$A$1923:$AZ$1923,1,OC_Amt)="","",INDEX('OneCause_Paste'!$A$1923:$AZ$1923,1,OC_Amt)))</f>
        <v/>
      </c>
      <c r="K1923">
        <f>IF(OC_Name=0,"",IF(INDEX('OneCause_Paste'!$A$1923:$AZ$1923,1,OC_Name)="","",INDEX('OneCause_Paste'!$A$1923:$AZ$1923,1,OC_Name)))</f>
        <v/>
      </c>
      <c r="L1923">
        <f>IF(OC_Txn=0,"",IF(INDEX('OneCause_Paste'!$A$1923:$AZ$1923,1,OC_Txn)="","",INDEX('OneCause_Paste'!$A$1923:$AZ$1923,1,OC_Txn)))</f>
        <v/>
      </c>
      <c r="M1923">
        <f>IF(OC_Pay=0,"",IF(INDEX('OneCause_Paste'!$A$1923:$AZ$1923,1,OC_Pay)="","",INDEX('OneCause_Paste'!$A$1923:$AZ$1923,1,OC_Pay)))</f>
        <v/>
      </c>
      <c r="N1923">
        <f>IF(I1923="","",IF(ISNUMBER(I1923),INT(I1923),IFERROR(INT(DATEVALUE(I1923)),IFERROR(INT(VALUE(I1923)),"bad"))))</f>
        <v/>
      </c>
      <c r="O1923">
        <f>IF(J1923="","",IF(ISNUMBER(J1923),ROUND(J1923,2),IFERROR(ROUND(VALUE(SUBSTITUTE(SUBSTITUTE(SUBSTITUTE(J1923,"$",""),",","")," ","")),2),"bad")))</f>
        <v/>
      </c>
      <c r="P1923">
        <f>IF(TRIM(K1923)="","",IFERROR(MATCH(LOWER(TRIM(K1923)),'Students'!$AH$2:$AH$701,0),IFERROR(MATCH(LOWER(TRIM(K1923)),'Students'!$AF$2:$AF$701,0),IFERROR(MATCH(LOWER(TRIM(K1923)),'Students'!$AG$2:$AG$701,0),""))))</f>
        <v/>
      </c>
      <c r="R1923">
        <f>IF(P1923="","",INDEX('Students'!$AD$2:$AD$701,P1923))</f>
        <v/>
      </c>
      <c r="S1923">
        <f>IF(H1923="OK",O1923,0)</f>
        <v/>
      </c>
      <c r="T1923">
        <f>IF(H1923="OK",N1923,"")</f>
        <v/>
      </c>
      <c r="U1923">
        <f>IF(OC_Donor=0,"",IF(INDEX('OneCause_Paste'!$A$1923:$AZ$1923,1,OC_Donor)="","",INDEX('OneCause_Paste'!$A$1923:$AZ$1923,1,OC_Donor)))</f>
        <v/>
      </c>
    </row>
    <row r="1924">
      <c r="A1924" s="62">
        <f>IF(H1924="","",IF(ISNUMBER(N1924),N1924,I1924))</f>
        <v/>
      </c>
      <c r="B1924">
        <f>IF(H1924="","",U1924)</f>
        <v/>
      </c>
      <c r="C1924">
        <f>IF(H1924="","",IF(P1924="",K1924,INDEX('Students'!$A$2:$A$701,P1924)))</f>
        <v/>
      </c>
      <c r="D1924">
        <f>IF(OR(H1924="",P1924=""),"",INDEX('Students'!$B$2:$B$701,P1924))</f>
        <v/>
      </c>
      <c r="E1924">
        <f>IF(OR(H1924="",P1924=""),"",INDEX('Students'!$C$2:$C$701,P1924))</f>
        <v/>
      </c>
      <c r="F1924" s="48">
        <f>IF(H1924="","",IF(ISNUMBER(O1924),O1924,J1924))</f>
        <v/>
      </c>
      <c r="G1924">
        <f>IF(H1924="","","OneCause")</f>
        <v/>
      </c>
      <c r="H1924">
        <f>IF(AND(I1924="",J1924="",K1924=""),"",IF(NOT(ISNUMBER(O1924)),"Bad amount",IF(O1924&lt;0,"Refund (not counted)",IF(O1924=0,"Zero amount",IF(NOT(ISNUMBER(N1924)),"Bad date",IF(P1924="","NAME NOT ON ROSTER",IF(L1924="","OK",IF(MATCH(L1924,$L$2:$L$3001,0)&lt;ROW()-1,"Duplicate (ignored)","OK"))))))))</f>
        <v/>
      </c>
      <c r="I1924">
        <f>IF(OC_Date=0,"",IF(INDEX('OneCause_Paste'!$A$1924:$AZ$1924,1,OC_Date)="","",INDEX('OneCause_Paste'!$A$1924:$AZ$1924,1,OC_Date)))</f>
        <v/>
      </c>
      <c r="J1924">
        <f>IF(OC_Amt=0,"",IF(INDEX('OneCause_Paste'!$A$1924:$AZ$1924,1,OC_Amt)="","",INDEX('OneCause_Paste'!$A$1924:$AZ$1924,1,OC_Amt)))</f>
        <v/>
      </c>
      <c r="K1924">
        <f>IF(OC_Name=0,"",IF(INDEX('OneCause_Paste'!$A$1924:$AZ$1924,1,OC_Name)="","",INDEX('OneCause_Paste'!$A$1924:$AZ$1924,1,OC_Name)))</f>
        <v/>
      </c>
      <c r="L1924">
        <f>IF(OC_Txn=0,"",IF(INDEX('OneCause_Paste'!$A$1924:$AZ$1924,1,OC_Txn)="","",INDEX('OneCause_Paste'!$A$1924:$AZ$1924,1,OC_Txn)))</f>
        <v/>
      </c>
      <c r="M1924">
        <f>IF(OC_Pay=0,"",IF(INDEX('OneCause_Paste'!$A$1924:$AZ$1924,1,OC_Pay)="","",INDEX('OneCause_Paste'!$A$1924:$AZ$1924,1,OC_Pay)))</f>
        <v/>
      </c>
      <c r="N1924">
        <f>IF(I1924="","",IF(ISNUMBER(I1924),INT(I1924),IFERROR(INT(DATEVALUE(I1924)),IFERROR(INT(VALUE(I1924)),"bad"))))</f>
        <v/>
      </c>
      <c r="O1924">
        <f>IF(J1924="","",IF(ISNUMBER(J1924),ROUND(J1924,2),IFERROR(ROUND(VALUE(SUBSTITUTE(SUBSTITUTE(SUBSTITUTE(J1924,"$",""),",","")," ","")),2),"bad")))</f>
        <v/>
      </c>
      <c r="P1924">
        <f>IF(TRIM(K1924)="","",IFERROR(MATCH(LOWER(TRIM(K1924)),'Students'!$AH$2:$AH$701,0),IFERROR(MATCH(LOWER(TRIM(K1924)),'Students'!$AF$2:$AF$701,0),IFERROR(MATCH(LOWER(TRIM(K1924)),'Students'!$AG$2:$AG$701,0),""))))</f>
        <v/>
      </c>
      <c r="R1924">
        <f>IF(P1924="","",INDEX('Students'!$AD$2:$AD$701,P1924))</f>
        <v/>
      </c>
      <c r="S1924">
        <f>IF(H1924="OK",O1924,0)</f>
        <v/>
      </c>
      <c r="T1924">
        <f>IF(H1924="OK",N1924,"")</f>
        <v/>
      </c>
      <c r="U1924">
        <f>IF(OC_Donor=0,"",IF(INDEX('OneCause_Paste'!$A$1924:$AZ$1924,1,OC_Donor)="","",INDEX('OneCause_Paste'!$A$1924:$AZ$1924,1,OC_Donor)))</f>
        <v/>
      </c>
    </row>
    <row r="1925">
      <c r="A1925" s="62">
        <f>IF(H1925="","",IF(ISNUMBER(N1925),N1925,I1925))</f>
        <v/>
      </c>
      <c r="B1925">
        <f>IF(H1925="","",U1925)</f>
        <v/>
      </c>
      <c r="C1925">
        <f>IF(H1925="","",IF(P1925="",K1925,INDEX('Students'!$A$2:$A$701,P1925)))</f>
        <v/>
      </c>
      <c r="D1925">
        <f>IF(OR(H1925="",P1925=""),"",INDEX('Students'!$B$2:$B$701,P1925))</f>
        <v/>
      </c>
      <c r="E1925">
        <f>IF(OR(H1925="",P1925=""),"",INDEX('Students'!$C$2:$C$701,P1925))</f>
        <v/>
      </c>
      <c r="F1925" s="48">
        <f>IF(H1925="","",IF(ISNUMBER(O1925),O1925,J1925))</f>
        <v/>
      </c>
      <c r="G1925">
        <f>IF(H1925="","","OneCause")</f>
        <v/>
      </c>
      <c r="H1925">
        <f>IF(AND(I1925="",J1925="",K1925=""),"",IF(NOT(ISNUMBER(O1925)),"Bad amount",IF(O1925&lt;0,"Refund (not counted)",IF(O1925=0,"Zero amount",IF(NOT(ISNUMBER(N1925)),"Bad date",IF(P1925="","NAME NOT ON ROSTER",IF(L1925="","OK",IF(MATCH(L1925,$L$2:$L$3001,0)&lt;ROW()-1,"Duplicate (ignored)","OK"))))))))</f>
        <v/>
      </c>
      <c r="I1925">
        <f>IF(OC_Date=0,"",IF(INDEX('OneCause_Paste'!$A$1925:$AZ$1925,1,OC_Date)="","",INDEX('OneCause_Paste'!$A$1925:$AZ$1925,1,OC_Date)))</f>
        <v/>
      </c>
      <c r="J1925">
        <f>IF(OC_Amt=0,"",IF(INDEX('OneCause_Paste'!$A$1925:$AZ$1925,1,OC_Amt)="","",INDEX('OneCause_Paste'!$A$1925:$AZ$1925,1,OC_Amt)))</f>
        <v/>
      </c>
      <c r="K1925">
        <f>IF(OC_Name=0,"",IF(INDEX('OneCause_Paste'!$A$1925:$AZ$1925,1,OC_Name)="","",INDEX('OneCause_Paste'!$A$1925:$AZ$1925,1,OC_Name)))</f>
        <v/>
      </c>
      <c r="L1925">
        <f>IF(OC_Txn=0,"",IF(INDEX('OneCause_Paste'!$A$1925:$AZ$1925,1,OC_Txn)="","",INDEX('OneCause_Paste'!$A$1925:$AZ$1925,1,OC_Txn)))</f>
        <v/>
      </c>
      <c r="M1925">
        <f>IF(OC_Pay=0,"",IF(INDEX('OneCause_Paste'!$A$1925:$AZ$1925,1,OC_Pay)="","",INDEX('OneCause_Paste'!$A$1925:$AZ$1925,1,OC_Pay)))</f>
        <v/>
      </c>
      <c r="N1925">
        <f>IF(I1925="","",IF(ISNUMBER(I1925),INT(I1925),IFERROR(INT(DATEVALUE(I1925)),IFERROR(INT(VALUE(I1925)),"bad"))))</f>
        <v/>
      </c>
      <c r="O1925">
        <f>IF(J1925="","",IF(ISNUMBER(J1925),ROUND(J1925,2),IFERROR(ROUND(VALUE(SUBSTITUTE(SUBSTITUTE(SUBSTITUTE(J1925,"$",""),",","")," ","")),2),"bad")))</f>
        <v/>
      </c>
      <c r="P1925">
        <f>IF(TRIM(K1925)="","",IFERROR(MATCH(LOWER(TRIM(K1925)),'Students'!$AH$2:$AH$701,0),IFERROR(MATCH(LOWER(TRIM(K1925)),'Students'!$AF$2:$AF$701,0),IFERROR(MATCH(LOWER(TRIM(K1925)),'Students'!$AG$2:$AG$701,0),""))))</f>
        <v/>
      </c>
      <c r="R1925">
        <f>IF(P1925="","",INDEX('Students'!$AD$2:$AD$701,P1925))</f>
        <v/>
      </c>
      <c r="S1925">
        <f>IF(H1925="OK",O1925,0)</f>
        <v/>
      </c>
      <c r="T1925">
        <f>IF(H1925="OK",N1925,"")</f>
        <v/>
      </c>
      <c r="U1925">
        <f>IF(OC_Donor=0,"",IF(INDEX('OneCause_Paste'!$A$1925:$AZ$1925,1,OC_Donor)="","",INDEX('OneCause_Paste'!$A$1925:$AZ$1925,1,OC_Donor)))</f>
        <v/>
      </c>
    </row>
    <row r="1926">
      <c r="A1926" s="62">
        <f>IF(H1926="","",IF(ISNUMBER(N1926),N1926,I1926))</f>
        <v/>
      </c>
      <c r="B1926">
        <f>IF(H1926="","",U1926)</f>
        <v/>
      </c>
      <c r="C1926">
        <f>IF(H1926="","",IF(P1926="",K1926,INDEX('Students'!$A$2:$A$701,P1926)))</f>
        <v/>
      </c>
      <c r="D1926">
        <f>IF(OR(H1926="",P1926=""),"",INDEX('Students'!$B$2:$B$701,P1926))</f>
        <v/>
      </c>
      <c r="E1926">
        <f>IF(OR(H1926="",P1926=""),"",INDEX('Students'!$C$2:$C$701,P1926))</f>
        <v/>
      </c>
      <c r="F1926" s="48">
        <f>IF(H1926="","",IF(ISNUMBER(O1926),O1926,J1926))</f>
        <v/>
      </c>
      <c r="G1926">
        <f>IF(H1926="","","OneCause")</f>
        <v/>
      </c>
      <c r="H1926">
        <f>IF(AND(I1926="",J1926="",K1926=""),"",IF(NOT(ISNUMBER(O1926)),"Bad amount",IF(O1926&lt;0,"Refund (not counted)",IF(O1926=0,"Zero amount",IF(NOT(ISNUMBER(N1926)),"Bad date",IF(P1926="","NAME NOT ON ROSTER",IF(L1926="","OK",IF(MATCH(L1926,$L$2:$L$3001,0)&lt;ROW()-1,"Duplicate (ignored)","OK"))))))))</f>
        <v/>
      </c>
      <c r="I1926">
        <f>IF(OC_Date=0,"",IF(INDEX('OneCause_Paste'!$A$1926:$AZ$1926,1,OC_Date)="","",INDEX('OneCause_Paste'!$A$1926:$AZ$1926,1,OC_Date)))</f>
        <v/>
      </c>
      <c r="J1926">
        <f>IF(OC_Amt=0,"",IF(INDEX('OneCause_Paste'!$A$1926:$AZ$1926,1,OC_Amt)="","",INDEX('OneCause_Paste'!$A$1926:$AZ$1926,1,OC_Amt)))</f>
        <v/>
      </c>
      <c r="K1926">
        <f>IF(OC_Name=0,"",IF(INDEX('OneCause_Paste'!$A$1926:$AZ$1926,1,OC_Name)="","",INDEX('OneCause_Paste'!$A$1926:$AZ$1926,1,OC_Name)))</f>
        <v/>
      </c>
      <c r="L1926">
        <f>IF(OC_Txn=0,"",IF(INDEX('OneCause_Paste'!$A$1926:$AZ$1926,1,OC_Txn)="","",INDEX('OneCause_Paste'!$A$1926:$AZ$1926,1,OC_Txn)))</f>
        <v/>
      </c>
      <c r="M1926">
        <f>IF(OC_Pay=0,"",IF(INDEX('OneCause_Paste'!$A$1926:$AZ$1926,1,OC_Pay)="","",INDEX('OneCause_Paste'!$A$1926:$AZ$1926,1,OC_Pay)))</f>
        <v/>
      </c>
      <c r="N1926">
        <f>IF(I1926="","",IF(ISNUMBER(I1926),INT(I1926),IFERROR(INT(DATEVALUE(I1926)),IFERROR(INT(VALUE(I1926)),"bad"))))</f>
        <v/>
      </c>
      <c r="O1926">
        <f>IF(J1926="","",IF(ISNUMBER(J1926),ROUND(J1926,2),IFERROR(ROUND(VALUE(SUBSTITUTE(SUBSTITUTE(SUBSTITUTE(J1926,"$",""),",","")," ","")),2),"bad")))</f>
        <v/>
      </c>
      <c r="P1926">
        <f>IF(TRIM(K1926)="","",IFERROR(MATCH(LOWER(TRIM(K1926)),'Students'!$AH$2:$AH$701,0),IFERROR(MATCH(LOWER(TRIM(K1926)),'Students'!$AF$2:$AF$701,0),IFERROR(MATCH(LOWER(TRIM(K1926)),'Students'!$AG$2:$AG$701,0),""))))</f>
        <v/>
      </c>
      <c r="R1926">
        <f>IF(P1926="","",INDEX('Students'!$AD$2:$AD$701,P1926))</f>
        <v/>
      </c>
      <c r="S1926">
        <f>IF(H1926="OK",O1926,0)</f>
        <v/>
      </c>
      <c r="T1926">
        <f>IF(H1926="OK",N1926,"")</f>
        <v/>
      </c>
      <c r="U1926">
        <f>IF(OC_Donor=0,"",IF(INDEX('OneCause_Paste'!$A$1926:$AZ$1926,1,OC_Donor)="","",INDEX('OneCause_Paste'!$A$1926:$AZ$1926,1,OC_Donor)))</f>
        <v/>
      </c>
    </row>
    <row r="1927">
      <c r="A1927" s="62">
        <f>IF(H1927="","",IF(ISNUMBER(N1927),N1927,I1927))</f>
        <v/>
      </c>
      <c r="B1927">
        <f>IF(H1927="","",U1927)</f>
        <v/>
      </c>
      <c r="C1927">
        <f>IF(H1927="","",IF(P1927="",K1927,INDEX('Students'!$A$2:$A$701,P1927)))</f>
        <v/>
      </c>
      <c r="D1927">
        <f>IF(OR(H1927="",P1927=""),"",INDEX('Students'!$B$2:$B$701,P1927))</f>
        <v/>
      </c>
      <c r="E1927">
        <f>IF(OR(H1927="",P1927=""),"",INDEX('Students'!$C$2:$C$701,P1927))</f>
        <v/>
      </c>
      <c r="F1927" s="48">
        <f>IF(H1927="","",IF(ISNUMBER(O1927),O1927,J1927))</f>
        <v/>
      </c>
      <c r="G1927">
        <f>IF(H1927="","","OneCause")</f>
        <v/>
      </c>
      <c r="H1927">
        <f>IF(AND(I1927="",J1927="",K1927=""),"",IF(NOT(ISNUMBER(O1927)),"Bad amount",IF(O1927&lt;0,"Refund (not counted)",IF(O1927=0,"Zero amount",IF(NOT(ISNUMBER(N1927)),"Bad date",IF(P1927="","NAME NOT ON ROSTER",IF(L1927="","OK",IF(MATCH(L1927,$L$2:$L$3001,0)&lt;ROW()-1,"Duplicate (ignored)","OK"))))))))</f>
        <v/>
      </c>
      <c r="I1927">
        <f>IF(OC_Date=0,"",IF(INDEX('OneCause_Paste'!$A$1927:$AZ$1927,1,OC_Date)="","",INDEX('OneCause_Paste'!$A$1927:$AZ$1927,1,OC_Date)))</f>
        <v/>
      </c>
      <c r="J1927">
        <f>IF(OC_Amt=0,"",IF(INDEX('OneCause_Paste'!$A$1927:$AZ$1927,1,OC_Amt)="","",INDEX('OneCause_Paste'!$A$1927:$AZ$1927,1,OC_Amt)))</f>
        <v/>
      </c>
      <c r="K1927">
        <f>IF(OC_Name=0,"",IF(INDEX('OneCause_Paste'!$A$1927:$AZ$1927,1,OC_Name)="","",INDEX('OneCause_Paste'!$A$1927:$AZ$1927,1,OC_Name)))</f>
        <v/>
      </c>
      <c r="L1927">
        <f>IF(OC_Txn=0,"",IF(INDEX('OneCause_Paste'!$A$1927:$AZ$1927,1,OC_Txn)="","",INDEX('OneCause_Paste'!$A$1927:$AZ$1927,1,OC_Txn)))</f>
        <v/>
      </c>
      <c r="M1927">
        <f>IF(OC_Pay=0,"",IF(INDEX('OneCause_Paste'!$A$1927:$AZ$1927,1,OC_Pay)="","",INDEX('OneCause_Paste'!$A$1927:$AZ$1927,1,OC_Pay)))</f>
        <v/>
      </c>
      <c r="N1927">
        <f>IF(I1927="","",IF(ISNUMBER(I1927),INT(I1927),IFERROR(INT(DATEVALUE(I1927)),IFERROR(INT(VALUE(I1927)),"bad"))))</f>
        <v/>
      </c>
      <c r="O1927">
        <f>IF(J1927="","",IF(ISNUMBER(J1927),ROUND(J1927,2),IFERROR(ROUND(VALUE(SUBSTITUTE(SUBSTITUTE(SUBSTITUTE(J1927,"$",""),",","")," ","")),2),"bad")))</f>
        <v/>
      </c>
      <c r="P1927">
        <f>IF(TRIM(K1927)="","",IFERROR(MATCH(LOWER(TRIM(K1927)),'Students'!$AH$2:$AH$701,0),IFERROR(MATCH(LOWER(TRIM(K1927)),'Students'!$AF$2:$AF$701,0),IFERROR(MATCH(LOWER(TRIM(K1927)),'Students'!$AG$2:$AG$701,0),""))))</f>
        <v/>
      </c>
      <c r="R1927">
        <f>IF(P1927="","",INDEX('Students'!$AD$2:$AD$701,P1927))</f>
        <v/>
      </c>
      <c r="S1927">
        <f>IF(H1927="OK",O1927,0)</f>
        <v/>
      </c>
      <c r="T1927">
        <f>IF(H1927="OK",N1927,"")</f>
        <v/>
      </c>
      <c r="U1927">
        <f>IF(OC_Donor=0,"",IF(INDEX('OneCause_Paste'!$A$1927:$AZ$1927,1,OC_Donor)="","",INDEX('OneCause_Paste'!$A$1927:$AZ$1927,1,OC_Donor)))</f>
        <v/>
      </c>
    </row>
    <row r="1928">
      <c r="A1928" s="62">
        <f>IF(H1928="","",IF(ISNUMBER(N1928),N1928,I1928))</f>
        <v/>
      </c>
      <c r="B1928">
        <f>IF(H1928="","",U1928)</f>
        <v/>
      </c>
      <c r="C1928">
        <f>IF(H1928="","",IF(P1928="",K1928,INDEX('Students'!$A$2:$A$701,P1928)))</f>
        <v/>
      </c>
      <c r="D1928">
        <f>IF(OR(H1928="",P1928=""),"",INDEX('Students'!$B$2:$B$701,P1928))</f>
        <v/>
      </c>
      <c r="E1928">
        <f>IF(OR(H1928="",P1928=""),"",INDEX('Students'!$C$2:$C$701,P1928))</f>
        <v/>
      </c>
      <c r="F1928" s="48">
        <f>IF(H1928="","",IF(ISNUMBER(O1928),O1928,J1928))</f>
        <v/>
      </c>
      <c r="G1928">
        <f>IF(H1928="","","OneCause")</f>
        <v/>
      </c>
      <c r="H1928">
        <f>IF(AND(I1928="",J1928="",K1928=""),"",IF(NOT(ISNUMBER(O1928)),"Bad amount",IF(O1928&lt;0,"Refund (not counted)",IF(O1928=0,"Zero amount",IF(NOT(ISNUMBER(N1928)),"Bad date",IF(P1928="","NAME NOT ON ROSTER",IF(L1928="","OK",IF(MATCH(L1928,$L$2:$L$3001,0)&lt;ROW()-1,"Duplicate (ignored)","OK"))))))))</f>
        <v/>
      </c>
      <c r="I1928">
        <f>IF(OC_Date=0,"",IF(INDEX('OneCause_Paste'!$A$1928:$AZ$1928,1,OC_Date)="","",INDEX('OneCause_Paste'!$A$1928:$AZ$1928,1,OC_Date)))</f>
        <v/>
      </c>
      <c r="J1928">
        <f>IF(OC_Amt=0,"",IF(INDEX('OneCause_Paste'!$A$1928:$AZ$1928,1,OC_Amt)="","",INDEX('OneCause_Paste'!$A$1928:$AZ$1928,1,OC_Amt)))</f>
        <v/>
      </c>
      <c r="K1928">
        <f>IF(OC_Name=0,"",IF(INDEX('OneCause_Paste'!$A$1928:$AZ$1928,1,OC_Name)="","",INDEX('OneCause_Paste'!$A$1928:$AZ$1928,1,OC_Name)))</f>
        <v/>
      </c>
      <c r="L1928">
        <f>IF(OC_Txn=0,"",IF(INDEX('OneCause_Paste'!$A$1928:$AZ$1928,1,OC_Txn)="","",INDEX('OneCause_Paste'!$A$1928:$AZ$1928,1,OC_Txn)))</f>
        <v/>
      </c>
      <c r="M1928">
        <f>IF(OC_Pay=0,"",IF(INDEX('OneCause_Paste'!$A$1928:$AZ$1928,1,OC_Pay)="","",INDEX('OneCause_Paste'!$A$1928:$AZ$1928,1,OC_Pay)))</f>
        <v/>
      </c>
      <c r="N1928">
        <f>IF(I1928="","",IF(ISNUMBER(I1928),INT(I1928),IFERROR(INT(DATEVALUE(I1928)),IFERROR(INT(VALUE(I1928)),"bad"))))</f>
        <v/>
      </c>
      <c r="O1928">
        <f>IF(J1928="","",IF(ISNUMBER(J1928),ROUND(J1928,2),IFERROR(ROUND(VALUE(SUBSTITUTE(SUBSTITUTE(SUBSTITUTE(J1928,"$",""),",","")," ","")),2),"bad")))</f>
        <v/>
      </c>
      <c r="P1928">
        <f>IF(TRIM(K1928)="","",IFERROR(MATCH(LOWER(TRIM(K1928)),'Students'!$AH$2:$AH$701,0),IFERROR(MATCH(LOWER(TRIM(K1928)),'Students'!$AF$2:$AF$701,0),IFERROR(MATCH(LOWER(TRIM(K1928)),'Students'!$AG$2:$AG$701,0),""))))</f>
        <v/>
      </c>
      <c r="R1928">
        <f>IF(P1928="","",INDEX('Students'!$AD$2:$AD$701,P1928))</f>
        <v/>
      </c>
      <c r="S1928">
        <f>IF(H1928="OK",O1928,0)</f>
        <v/>
      </c>
      <c r="T1928">
        <f>IF(H1928="OK",N1928,"")</f>
        <v/>
      </c>
      <c r="U1928">
        <f>IF(OC_Donor=0,"",IF(INDEX('OneCause_Paste'!$A$1928:$AZ$1928,1,OC_Donor)="","",INDEX('OneCause_Paste'!$A$1928:$AZ$1928,1,OC_Donor)))</f>
        <v/>
      </c>
    </row>
    <row r="1929">
      <c r="A1929" s="62">
        <f>IF(H1929="","",IF(ISNUMBER(N1929),N1929,I1929))</f>
        <v/>
      </c>
      <c r="B1929">
        <f>IF(H1929="","",U1929)</f>
        <v/>
      </c>
      <c r="C1929">
        <f>IF(H1929="","",IF(P1929="",K1929,INDEX('Students'!$A$2:$A$701,P1929)))</f>
        <v/>
      </c>
      <c r="D1929">
        <f>IF(OR(H1929="",P1929=""),"",INDEX('Students'!$B$2:$B$701,P1929))</f>
        <v/>
      </c>
      <c r="E1929">
        <f>IF(OR(H1929="",P1929=""),"",INDEX('Students'!$C$2:$C$701,P1929))</f>
        <v/>
      </c>
      <c r="F1929" s="48">
        <f>IF(H1929="","",IF(ISNUMBER(O1929),O1929,J1929))</f>
        <v/>
      </c>
      <c r="G1929">
        <f>IF(H1929="","","OneCause")</f>
        <v/>
      </c>
      <c r="H1929">
        <f>IF(AND(I1929="",J1929="",K1929=""),"",IF(NOT(ISNUMBER(O1929)),"Bad amount",IF(O1929&lt;0,"Refund (not counted)",IF(O1929=0,"Zero amount",IF(NOT(ISNUMBER(N1929)),"Bad date",IF(P1929="","NAME NOT ON ROSTER",IF(L1929="","OK",IF(MATCH(L1929,$L$2:$L$3001,0)&lt;ROW()-1,"Duplicate (ignored)","OK"))))))))</f>
        <v/>
      </c>
      <c r="I1929">
        <f>IF(OC_Date=0,"",IF(INDEX('OneCause_Paste'!$A$1929:$AZ$1929,1,OC_Date)="","",INDEX('OneCause_Paste'!$A$1929:$AZ$1929,1,OC_Date)))</f>
        <v/>
      </c>
      <c r="J1929">
        <f>IF(OC_Amt=0,"",IF(INDEX('OneCause_Paste'!$A$1929:$AZ$1929,1,OC_Amt)="","",INDEX('OneCause_Paste'!$A$1929:$AZ$1929,1,OC_Amt)))</f>
        <v/>
      </c>
      <c r="K1929">
        <f>IF(OC_Name=0,"",IF(INDEX('OneCause_Paste'!$A$1929:$AZ$1929,1,OC_Name)="","",INDEX('OneCause_Paste'!$A$1929:$AZ$1929,1,OC_Name)))</f>
        <v/>
      </c>
      <c r="L1929">
        <f>IF(OC_Txn=0,"",IF(INDEX('OneCause_Paste'!$A$1929:$AZ$1929,1,OC_Txn)="","",INDEX('OneCause_Paste'!$A$1929:$AZ$1929,1,OC_Txn)))</f>
        <v/>
      </c>
      <c r="M1929">
        <f>IF(OC_Pay=0,"",IF(INDEX('OneCause_Paste'!$A$1929:$AZ$1929,1,OC_Pay)="","",INDEX('OneCause_Paste'!$A$1929:$AZ$1929,1,OC_Pay)))</f>
        <v/>
      </c>
      <c r="N1929">
        <f>IF(I1929="","",IF(ISNUMBER(I1929),INT(I1929),IFERROR(INT(DATEVALUE(I1929)),IFERROR(INT(VALUE(I1929)),"bad"))))</f>
        <v/>
      </c>
      <c r="O1929">
        <f>IF(J1929="","",IF(ISNUMBER(J1929),ROUND(J1929,2),IFERROR(ROUND(VALUE(SUBSTITUTE(SUBSTITUTE(SUBSTITUTE(J1929,"$",""),",","")," ","")),2),"bad")))</f>
        <v/>
      </c>
      <c r="P1929">
        <f>IF(TRIM(K1929)="","",IFERROR(MATCH(LOWER(TRIM(K1929)),'Students'!$AH$2:$AH$701,0),IFERROR(MATCH(LOWER(TRIM(K1929)),'Students'!$AF$2:$AF$701,0),IFERROR(MATCH(LOWER(TRIM(K1929)),'Students'!$AG$2:$AG$701,0),""))))</f>
        <v/>
      </c>
      <c r="R1929">
        <f>IF(P1929="","",INDEX('Students'!$AD$2:$AD$701,P1929))</f>
        <v/>
      </c>
      <c r="S1929">
        <f>IF(H1929="OK",O1929,0)</f>
        <v/>
      </c>
      <c r="T1929">
        <f>IF(H1929="OK",N1929,"")</f>
        <v/>
      </c>
      <c r="U1929">
        <f>IF(OC_Donor=0,"",IF(INDEX('OneCause_Paste'!$A$1929:$AZ$1929,1,OC_Donor)="","",INDEX('OneCause_Paste'!$A$1929:$AZ$1929,1,OC_Donor)))</f>
        <v/>
      </c>
    </row>
    <row r="1930">
      <c r="A1930" s="62">
        <f>IF(H1930="","",IF(ISNUMBER(N1930),N1930,I1930))</f>
        <v/>
      </c>
      <c r="B1930">
        <f>IF(H1930="","",U1930)</f>
        <v/>
      </c>
      <c r="C1930">
        <f>IF(H1930="","",IF(P1930="",K1930,INDEX('Students'!$A$2:$A$701,P1930)))</f>
        <v/>
      </c>
      <c r="D1930">
        <f>IF(OR(H1930="",P1930=""),"",INDEX('Students'!$B$2:$B$701,P1930))</f>
        <v/>
      </c>
      <c r="E1930">
        <f>IF(OR(H1930="",P1930=""),"",INDEX('Students'!$C$2:$C$701,P1930))</f>
        <v/>
      </c>
      <c r="F1930" s="48">
        <f>IF(H1930="","",IF(ISNUMBER(O1930),O1930,J1930))</f>
        <v/>
      </c>
      <c r="G1930">
        <f>IF(H1930="","","OneCause")</f>
        <v/>
      </c>
      <c r="H1930">
        <f>IF(AND(I1930="",J1930="",K1930=""),"",IF(NOT(ISNUMBER(O1930)),"Bad amount",IF(O1930&lt;0,"Refund (not counted)",IF(O1930=0,"Zero amount",IF(NOT(ISNUMBER(N1930)),"Bad date",IF(P1930="","NAME NOT ON ROSTER",IF(L1930="","OK",IF(MATCH(L1930,$L$2:$L$3001,0)&lt;ROW()-1,"Duplicate (ignored)","OK"))))))))</f>
        <v/>
      </c>
      <c r="I1930">
        <f>IF(OC_Date=0,"",IF(INDEX('OneCause_Paste'!$A$1930:$AZ$1930,1,OC_Date)="","",INDEX('OneCause_Paste'!$A$1930:$AZ$1930,1,OC_Date)))</f>
        <v/>
      </c>
      <c r="J1930">
        <f>IF(OC_Amt=0,"",IF(INDEX('OneCause_Paste'!$A$1930:$AZ$1930,1,OC_Amt)="","",INDEX('OneCause_Paste'!$A$1930:$AZ$1930,1,OC_Amt)))</f>
        <v/>
      </c>
      <c r="K1930">
        <f>IF(OC_Name=0,"",IF(INDEX('OneCause_Paste'!$A$1930:$AZ$1930,1,OC_Name)="","",INDEX('OneCause_Paste'!$A$1930:$AZ$1930,1,OC_Name)))</f>
        <v/>
      </c>
      <c r="L1930">
        <f>IF(OC_Txn=0,"",IF(INDEX('OneCause_Paste'!$A$1930:$AZ$1930,1,OC_Txn)="","",INDEX('OneCause_Paste'!$A$1930:$AZ$1930,1,OC_Txn)))</f>
        <v/>
      </c>
      <c r="M1930">
        <f>IF(OC_Pay=0,"",IF(INDEX('OneCause_Paste'!$A$1930:$AZ$1930,1,OC_Pay)="","",INDEX('OneCause_Paste'!$A$1930:$AZ$1930,1,OC_Pay)))</f>
        <v/>
      </c>
      <c r="N1930">
        <f>IF(I1930="","",IF(ISNUMBER(I1930),INT(I1930),IFERROR(INT(DATEVALUE(I1930)),IFERROR(INT(VALUE(I1930)),"bad"))))</f>
        <v/>
      </c>
      <c r="O1930">
        <f>IF(J1930="","",IF(ISNUMBER(J1930),ROUND(J1930,2),IFERROR(ROUND(VALUE(SUBSTITUTE(SUBSTITUTE(SUBSTITUTE(J1930,"$",""),",","")," ","")),2),"bad")))</f>
        <v/>
      </c>
      <c r="P1930">
        <f>IF(TRIM(K1930)="","",IFERROR(MATCH(LOWER(TRIM(K1930)),'Students'!$AH$2:$AH$701,0),IFERROR(MATCH(LOWER(TRIM(K1930)),'Students'!$AF$2:$AF$701,0),IFERROR(MATCH(LOWER(TRIM(K1930)),'Students'!$AG$2:$AG$701,0),""))))</f>
        <v/>
      </c>
      <c r="R1930">
        <f>IF(P1930="","",INDEX('Students'!$AD$2:$AD$701,P1930))</f>
        <v/>
      </c>
      <c r="S1930">
        <f>IF(H1930="OK",O1930,0)</f>
        <v/>
      </c>
      <c r="T1930">
        <f>IF(H1930="OK",N1930,"")</f>
        <v/>
      </c>
      <c r="U1930">
        <f>IF(OC_Donor=0,"",IF(INDEX('OneCause_Paste'!$A$1930:$AZ$1930,1,OC_Donor)="","",INDEX('OneCause_Paste'!$A$1930:$AZ$1930,1,OC_Donor)))</f>
        <v/>
      </c>
    </row>
    <row r="1931">
      <c r="A1931" s="62">
        <f>IF(H1931="","",IF(ISNUMBER(N1931),N1931,I1931))</f>
        <v/>
      </c>
      <c r="B1931">
        <f>IF(H1931="","",U1931)</f>
        <v/>
      </c>
      <c r="C1931">
        <f>IF(H1931="","",IF(P1931="",K1931,INDEX('Students'!$A$2:$A$701,P1931)))</f>
        <v/>
      </c>
      <c r="D1931">
        <f>IF(OR(H1931="",P1931=""),"",INDEX('Students'!$B$2:$B$701,P1931))</f>
        <v/>
      </c>
      <c r="E1931">
        <f>IF(OR(H1931="",P1931=""),"",INDEX('Students'!$C$2:$C$701,P1931))</f>
        <v/>
      </c>
      <c r="F1931" s="48">
        <f>IF(H1931="","",IF(ISNUMBER(O1931),O1931,J1931))</f>
        <v/>
      </c>
      <c r="G1931">
        <f>IF(H1931="","","OneCause")</f>
        <v/>
      </c>
      <c r="H1931">
        <f>IF(AND(I1931="",J1931="",K1931=""),"",IF(NOT(ISNUMBER(O1931)),"Bad amount",IF(O1931&lt;0,"Refund (not counted)",IF(O1931=0,"Zero amount",IF(NOT(ISNUMBER(N1931)),"Bad date",IF(P1931="","NAME NOT ON ROSTER",IF(L1931="","OK",IF(MATCH(L1931,$L$2:$L$3001,0)&lt;ROW()-1,"Duplicate (ignored)","OK"))))))))</f>
        <v/>
      </c>
      <c r="I1931">
        <f>IF(OC_Date=0,"",IF(INDEX('OneCause_Paste'!$A$1931:$AZ$1931,1,OC_Date)="","",INDEX('OneCause_Paste'!$A$1931:$AZ$1931,1,OC_Date)))</f>
        <v/>
      </c>
      <c r="J1931">
        <f>IF(OC_Amt=0,"",IF(INDEX('OneCause_Paste'!$A$1931:$AZ$1931,1,OC_Amt)="","",INDEX('OneCause_Paste'!$A$1931:$AZ$1931,1,OC_Amt)))</f>
        <v/>
      </c>
      <c r="K1931">
        <f>IF(OC_Name=0,"",IF(INDEX('OneCause_Paste'!$A$1931:$AZ$1931,1,OC_Name)="","",INDEX('OneCause_Paste'!$A$1931:$AZ$1931,1,OC_Name)))</f>
        <v/>
      </c>
      <c r="L1931">
        <f>IF(OC_Txn=0,"",IF(INDEX('OneCause_Paste'!$A$1931:$AZ$1931,1,OC_Txn)="","",INDEX('OneCause_Paste'!$A$1931:$AZ$1931,1,OC_Txn)))</f>
        <v/>
      </c>
      <c r="M1931">
        <f>IF(OC_Pay=0,"",IF(INDEX('OneCause_Paste'!$A$1931:$AZ$1931,1,OC_Pay)="","",INDEX('OneCause_Paste'!$A$1931:$AZ$1931,1,OC_Pay)))</f>
        <v/>
      </c>
      <c r="N1931">
        <f>IF(I1931="","",IF(ISNUMBER(I1931),INT(I1931),IFERROR(INT(DATEVALUE(I1931)),IFERROR(INT(VALUE(I1931)),"bad"))))</f>
        <v/>
      </c>
      <c r="O1931">
        <f>IF(J1931="","",IF(ISNUMBER(J1931),ROUND(J1931,2),IFERROR(ROUND(VALUE(SUBSTITUTE(SUBSTITUTE(SUBSTITUTE(J1931,"$",""),",","")," ","")),2),"bad")))</f>
        <v/>
      </c>
      <c r="P1931">
        <f>IF(TRIM(K1931)="","",IFERROR(MATCH(LOWER(TRIM(K1931)),'Students'!$AH$2:$AH$701,0),IFERROR(MATCH(LOWER(TRIM(K1931)),'Students'!$AF$2:$AF$701,0),IFERROR(MATCH(LOWER(TRIM(K1931)),'Students'!$AG$2:$AG$701,0),""))))</f>
        <v/>
      </c>
      <c r="R1931">
        <f>IF(P1931="","",INDEX('Students'!$AD$2:$AD$701,P1931))</f>
        <v/>
      </c>
      <c r="S1931">
        <f>IF(H1931="OK",O1931,0)</f>
        <v/>
      </c>
      <c r="T1931">
        <f>IF(H1931="OK",N1931,"")</f>
        <v/>
      </c>
      <c r="U1931">
        <f>IF(OC_Donor=0,"",IF(INDEX('OneCause_Paste'!$A$1931:$AZ$1931,1,OC_Donor)="","",INDEX('OneCause_Paste'!$A$1931:$AZ$1931,1,OC_Donor)))</f>
        <v/>
      </c>
    </row>
    <row r="1932">
      <c r="A1932" s="62">
        <f>IF(H1932="","",IF(ISNUMBER(N1932),N1932,I1932))</f>
        <v/>
      </c>
      <c r="B1932">
        <f>IF(H1932="","",U1932)</f>
        <v/>
      </c>
      <c r="C1932">
        <f>IF(H1932="","",IF(P1932="",K1932,INDEX('Students'!$A$2:$A$701,P1932)))</f>
        <v/>
      </c>
      <c r="D1932">
        <f>IF(OR(H1932="",P1932=""),"",INDEX('Students'!$B$2:$B$701,P1932))</f>
        <v/>
      </c>
      <c r="E1932">
        <f>IF(OR(H1932="",P1932=""),"",INDEX('Students'!$C$2:$C$701,P1932))</f>
        <v/>
      </c>
      <c r="F1932" s="48">
        <f>IF(H1932="","",IF(ISNUMBER(O1932),O1932,J1932))</f>
        <v/>
      </c>
      <c r="G1932">
        <f>IF(H1932="","","OneCause")</f>
        <v/>
      </c>
      <c r="H1932">
        <f>IF(AND(I1932="",J1932="",K1932=""),"",IF(NOT(ISNUMBER(O1932)),"Bad amount",IF(O1932&lt;0,"Refund (not counted)",IF(O1932=0,"Zero amount",IF(NOT(ISNUMBER(N1932)),"Bad date",IF(P1932="","NAME NOT ON ROSTER",IF(L1932="","OK",IF(MATCH(L1932,$L$2:$L$3001,0)&lt;ROW()-1,"Duplicate (ignored)","OK"))))))))</f>
        <v/>
      </c>
      <c r="I1932">
        <f>IF(OC_Date=0,"",IF(INDEX('OneCause_Paste'!$A$1932:$AZ$1932,1,OC_Date)="","",INDEX('OneCause_Paste'!$A$1932:$AZ$1932,1,OC_Date)))</f>
        <v/>
      </c>
      <c r="J1932">
        <f>IF(OC_Amt=0,"",IF(INDEX('OneCause_Paste'!$A$1932:$AZ$1932,1,OC_Amt)="","",INDEX('OneCause_Paste'!$A$1932:$AZ$1932,1,OC_Amt)))</f>
        <v/>
      </c>
      <c r="K1932">
        <f>IF(OC_Name=0,"",IF(INDEX('OneCause_Paste'!$A$1932:$AZ$1932,1,OC_Name)="","",INDEX('OneCause_Paste'!$A$1932:$AZ$1932,1,OC_Name)))</f>
        <v/>
      </c>
      <c r="L1932">
        <f>IF(OC_Txn=0,"",IF(INDEX('OneCause_Paste'!$A$1932:$AZ$1932,1,OC_Txn)="","",INDEX('OneCause_Paste'!$A$1932:$AZ$1932,1,OC_Txn)))</f>
        <v/>
      </c>
      <c r="M1932">
        <f>IF(OC_Pay=0,"",IF(INDEX('OneCause_Paste'!$A$1932:$AZ$1932,1,OC_Pay)="","",INDEX('OneCause_Paste'!$A$1932:$AZ$1932,1,OC_Pay)))</f>
        <v/>
      </c>
      <c r="N1932">
        <f>IF(I1932="","",IF(ISNUMBER(I1932),INT(I1932),IFERROR(INT(DATEVALUE(I1932)),IFERROR(INT(VALUE(I1932)),"bad"))))</f>
        <v/>
      </c>
      <c r="O1932">
        <f>IF(J1932="","",IF(ISNUMBER(J1932),ROUND(J1932,2),IFERROR(ROUND(VALUE(SUBSTITUTE(SUBSTITUTE(SUBSTITUTE(J1932,"$",""),",","")," ","")),2),"bad")))</f>
        <v/>
      </c>
      <c r="P1932">
        <f>IF(TRIM(K1932)="","",IFERROR(MATCH(LOWER(TRIM(K1932)),'Students'!$AH$2:$AH$701,0),IFERROR(MATCH(LOWER(TRIM(K1932)),'Students'!$AF$2:$AF$701,0),IFERROR(MATCH(LOWER(TRIM(K1932)),'Students'!$AG$2:$AG$701,0),""))))</f>
        <v/>
      </c>
      <c r="R1932">
        <f>IF(P1932="","",INDEX('Students'!$AD$2:$AD$701,P1932))</f>
        <v/>
      </c>
      <c r="S1932">
        <f>IF(H1932="OK",O1932,0)</f>
        <v/>
      </c>
      <c r="T1932">
        <f>IF(H1932="OK",N1932,"")</f>
        <v/>
      </c>
      <c r="U1932">
        <f>IF(OC_Donor=0,"",IF(INDEX('OneCause_Paste'!$A$1932:$AZ$1932,1,OC_Donor)="","",INDEX('OneCause_Paste'!$A$1932:$AZ$1932,1,OC_Donor)))</f>
        <v/>
      </c>
    </row>
    <row r="1933">
      <c r="A1933" s="62">
        <f>IF(H1933="","",IF(ISNUMBER(N1933),N1933,I1933))</f>
        <v/>
      </c>
      <c r="B1933">
        <f>IF(H1933="","",U1933)</f>
        <v/>
      </c>
      <c r="C1933">
        <f>IF(H1933="","",IF(P1933="",K1933,INDEX('Students'!$A$2:$A$701,P1933)))</f>
        <v/>
      </c>
      <c r="D1933">
        <f>IF(OR(H1933="",P1933=""),"",INDEX('Students'!$B$2:$B$701,P1933))</f>
        <v/>
      </c>
      <c r="E1933">
        <f>IF(OR(H1933="",P1933=""),"",INDEX('Students'!$C$2:$C$701,P1933))</f>
        <v/>
      </c>
      <c r="F1933" s="48">
        <f>IF(H1933="","",IF(ISNUMBER(O1933),O1933,J1933))</f>
        <v/>
      </c>
      <c r="G1933">
        <f>IF(H1933="","","OneCause")</f>
        <v/>
      </c>
      <c r="H1933">
        <f>IF(AND(I1933="",J1933="",K1933=""),"",IF(NOT(ISNUMBER(O1933)),"Bad amount",IF(O1933&lt;0,"Refund (not counted)",IF(O1933=0,"Zero amount",IF(NOT(ISNUMBER(N1933)),"Bad date",IF(P1933="","NAME NOT ON ROSTER",IF(L1933="","OK",IF(MATCH(L1933,$L$2:$L$3001,0)&lt;ROW()-1,"Duplicate (ignored)","OK"))))))))</f>
        <v/>
      </c>
      <c r="I1933">
        <f>IF(OC_Date=0,"",IF(INDEX('OneCause_Paste'!$A$1933:$AZ$1933,1,OC_Date)="","",INDEX('OneCause_Paste'!$A$1933:$AZ$1933,1,OC_Date)))</f>
        <v/>
      </c>
      <c r="J1933">
        <f>IF(OC_Amt=0,"",IF(INDEX('OneCause_Paste'!$A$1933:$AZ$1933,1,OC_Amt)="","",INDEX('OneCause_Paste'!$A$1933:$AZ$1933,1,OC_Amt)))</f>
        <v/>
      </c>
      <c r="K1933">
        <f>IF(OC_Name=0,"",IF(INDEX('OneCause_Paste'!$A$1933:$AZ$1933,1,OC_Name)="","",INDEX('OneCause_Paste'!$A$1933:$AZ$1933,1,OC_Name)))</f>
        <v/>
      </c>
      <c r="L1933">
        <f>IF(OC_Txn=0,"",IF(INDEX('OneCause_Paste'!$A$1933:$AZ$1933,1,OC_Txn)="","",INDEX('OneCause_Paste'!$A$1933:$AZ$1933,1,OC_Txn)))</f>
        <v/>
      </c>
      <c r="M1933">
        <f>IF(OC_Pay=0,"",IF(INDEX('OneCause_Paste'!$A$1933:$AZ$1933,1,OC_Pay)="","",INDEX('OneCause_Paste'!$A$1933:$AZ$1933,1,OC_Pay)))</f>
        <v/>
      </c>
      <c r="N1933">
        <f>IF(I1933="","",IF(ISNUMBER(I1933),INT(I1933),IFERROR(INT(DATEVALUE(I1933)),IFERROR(INT(VALUE(I1933)),"bad"))))</f>
        <v/>
      </c>
      <c r="O1933">
        <f>IF(J1933="","",IF(ISNUMBER(J1933),ROUND(J1933,2),IFERROR(ROUND(VALUE(SUBSTITUTE(SUBSTITUTE(SUBSTITUTE(J1933,"$",""),",","")," ","")),2),"bad")))</f>
        <v/>
      </c>
      <c r="P1933">
        <f>IF(TRIM(K1933)="","",IFERROR(MATCH(LOWER(TRIM(K1933)),'Students'!$AH$2:$AH$701,0),IFERROR(MATCH(LOWER(TRIM(K1933)),'Students'!$AF$2:$AF$701,0),IFERROR(MATCH(LOWER(TRIM(K1933)),'Students'!$AG$2:$AG$701,0),""))))</f>
        <v/>
      </c>
      <c r="R1933">
        <f>IF(P1933="","",INDEX('Students'!$AD$2:$AD$701,P1933))</f>
        <v/>
      </c>
      <c r="S1933">
        <f>IF(H1933="OK",O1933,0)</f>
        <v/>
      </c>
      <c r="T1933">
        <f>IF(H1933="OK",N1933,"")</f>
        <v/>
      </c>
      <c r="U1933">
        <f>IF(OC_Donor=0,"",IF(INDEX('OneCause_Paste'!$A$1933:$AZ$1933,1,OC_Donor)="","",INDEX('OneCause_Paste'!$A$1933:$AZ$1933,1,OC_Donor)))</f>
        <v/>
      </c>
    </row>
    <row r="1934">
      <c r="A1934" s="62">
        <f>IF(H1934="","",IF(ISNUMBER(N1934),N1934,I1934))</f>
        <v/>
      </c>
      <c r="B1934">
        <f>IF(H1934="","",U1934)</f>
        <v/>
      </c>
      <c r="C1934">
        <f>IF(H1934="","",IF(P1934="",K1934,INDEX('Students'!$A$2:$A$701,P1934)))</f>
        <v/>
      </c>
      <c r="D1934">
        <f>IF(OR(H1934="",P1934=""),"",INDEX('Students'!$B$2:$B$701,P1934))</f>
        <v/>
      </c>
      <c r="E1934">
        <f>IF(OR(H1934="",P1934=""),"",INDEX('Students'!$C$2:$C$701,P1934))</f>
        <v/>
      </c>
      <c r="F1934" s="48">
        <f>IF(H1934="","",IF(ISNUMBER(O1934),O1934,J1934))</f>
        <v/>
      </c>
      <c r="G1934">
        <f>IF(H1934="","","OneCause")</f>
        <v/>
      </c>
      <c r="H1934">
        <f>IF(AND(I1934="",J1934="",K1934=""),"",IF(NOT(ISNUMBER(O1934)),"Bad amount",IF(O1934&lt;0,"Refund (not counted)",IF(O1934=0,"Zero amount",IF(NOT(ISNUMBER(N1934)),"Bad date",IF(P1934="","NAME NOT ON ROSTER",IF(L1934="","OK",IF(MATCH(L1934,$L$2:$L$3001,0)&lt;ROW()-1,"Duplicate (ignored)","OK"))))))))</f>
        <v/>
      </c>
      <c r="I1934">
        <f>IF(OC_Date=0,"",IF(INDEX('OneCause_Paste'!$A$1934:$AZ$1934,1,OC_Date)="","",INDEX('OneCause_Paste'!$A$1934:$AZ$1934,1,OC_Date)))</f>
        <v/>
      </c>
      <c r="J1934">
        <f>IF(OC_Amt=0,"",IF(INDEX('OneCause_Paste'!$A$1934:$AZ$1934,1,OC_Amt)="","",INDEX('OneCause_Paste'!$A$1934:$AZ$1934,1,OC_Amt)))</f>
        <v/>
      </c>
      <c r="K1934">
        <f>IF(OC_Name=0,"",IF(INDEX('OneCause_Paste'!$A$1934:$AZ$1934,1,OC_Name)="","",INDEX('OneCause_Paste'!$A$1934:$AZ$1934,1,OC_Name)))</f>
        <v/>
      </c>
      <c r="L1934">
        <f>IF(OC_Txn=0,"",IF(INDEX('OneCause_Paste'!$A$1934:$AZ$1934,1,OC_Txn)="","",INDEX('OneCause_Paste'!$A$1934:$AZ$1934,1,OC_Txn)))</f>
        <v/>
      </c>
      <c r="M1934">
        <f>IF(OC_Pay=0,"",IF(INDEX('OneCause_Paste'!$A$1934:$AZ$1934,1,OC_Pay)="","",INDEX('OneCause_Paste'!$A$1934:$AZ$1934,1,OC_Pay)))</f>
        <v/>
      </c>
      <c r="N1934">
        <f>IF(I1934="","",IF(ISNUMBER(I1934),INT(I1934),IFERROR(INT(DATEVALUE(I1934)),IFERROR(INT(VALUE(I1934)),"bad"))))</f>
        <v/>
      </c>
      <c r="O1934">
        <f>IF(J1934="","",IF(ISNUMBER(J1934),ROUND(J1934,2),IFERROR(ROUND(VALUE(SUBSTITUTE(SUBSTITUTE(SUBSTITUTE(J1934,"$",""),",","")," ","")),2),"bad")))</f>
        <v/>
      </c>
      <c r="P1934">
        <f>IF(TRIM(K1934)="","",IFERROR(MATCH(LOWER(TRIM(K1934)),'Students'!$AH$2:$AH$701,0),IFERROR(MATCH(LOWER(TRIM(K1934)),'Students'!$AF$2:$AF$701,0),IFERROR(MATCH(LOWER(TRIM(K1934)),'Students'!$AG$2:$AG$701,0),""))))</f>
        <v/>
      </c>
      <c r="R1934">
        <f>IF(P1934="","",INDEX('Students'!$AD$2:$AD$701,P1934))</f>
        <v/>
      </c>
      <c r="S1934">
        <f>IF(H1934="OK",O1934,0)</f>
        <v/>
      </c>
      <c r="T1934">
        <f>IF(H1934="OK",N1934,"")</f>
        <v/>
      </c>
      <c r="U1934">
        <f>IF(OC_Donor=0,"",IF(INDEX('OneCause_Paste'!$A$1934:$AZ$1934,1,OC_Donor)="","",INDEX('OneCause_Paste'!$A$1934:$AZ$1934,1,OC_Donor)))</f>
        <v/>
      </c>
    </row>
    <row r="1935">
      <c r="A1935" s="62">
        <f>IF(H1935="","",IF(ISNUMBER(N1935),N1935,I1935))</f>
        <v/>
      </c>
      <c r="B1935">
        <f>IF(H1935="","",U1935)</f>
        <v/>
      </c>
      <c r="C1935">
        <f>IF(H1935="","",IF(P1935="",K1935,INDEX('Students'!$A$2:$A$701,P1935)))</f>
        <v/>
      </c>
      <c r="D1935">
        <f>IF(OR(H1935="",P1935=""),"",INDEX('Students'!$B$2:$B$701,P1935))</f>
        <v/>
      </c>
      <c r="E1935">
        <f>IF(OR(H1935="",P1935=""),"",INDEX('Students'!$C$2:$C$701,P1935))</f>
        <v/>
      </c>
      <c r="F1935" s="48">
        <f>IF(H1935="","",IF(ISNUMBER(O1935),O1935,J1935))</f>
        <v/>
      </c>
      <c r="G1935">
        <f>IF(H1935="","","OneCause")</f>
        <v/>
      </c>
      <c r="H1935">
        <f>IF(AND(I1935="",J1935="",K1935=""),"",IF(NOT(ISNUMBER(O1935)),"Bad amount",IF(O1935&lt;0,"Refund (not counted)",IF(O1935=0,"Zero amount",IF(NOT(ISNUMBER(N1935)),"Bad date",IF(P1935="","NAME NOT ON ROSTER",IF(L1935="","OK",IF(MATCH(L1935,$L$2:$L$3001,0)&lt;ROW()-1,"Duplicate (ignored)","OK"))))))))</f>
        <v/>
      </c>
      <c r="I1935">
        <f>IF(OC_Date=0,"",IF(INDEX('OneCause_Paste'!$A$1935:$AZ$1935,1,OC_Date)="","",INDEX('OneCause_Paste'!$A$1935:$AZ$1935,1,OC_Date)))</f>
        <v/>
      </c>
      <c r="J1935">
        <f>IF(OC_Amt=0,"",IF(INDEX('OneCause_Paste'!$A$1935:$AZ$1935,1,OC_Amt)="","",INDEX('OneCause_Paste'!$A$1935:$AZ$1935,1,OC_Amt)))</f>
        <v/>
      </c>
      <c r="K1935">
        <f>IF(OC_Name=0,"",IF(INDEX('OneCause_Paste'!$A$1935:$AZ$1935,1,OC_Name)="","",INDEX('OneCause_Paste'!$A$1935:$AZ$1935,1,OC_Name)))</f>
        <v/>
      </c>
      <c r="L1935">
        <f>IF(OC_Txn=0,"",IF(INDEX('OneCause_Paste'!$A$1935:$AZ$1935,1,OC_Txn)="","",INDEX('OneCause_Paste'!$A$1935:$AZ$1935,1,OC_Txn)))</f>
        <v/>
      </c>
      <c r="M1935">
        <f>IF(OC_Pay=0,"",IF(INDEX('OneCause_Paste'!$A$1935:$AZ$1935,1,OC_Pay)="","",INDEX('OneCause_Paste'!$A$1935:$AZ$1935,1,OC_Pay)))</f>
        <v/>
      </c>
      <c r="N1935">
        <f>IF(I1935="","",IF(ISNUMBER(I1935),INT(I1935),IFERROR(INT(DATEVALUE(I1935)),IFERROR(INT(VALUE(I1935)),"bad"))))</f>
        <v/>
      </c>
      <c r="O1935">
        <f>IF(J1935="","",IF(ISNUMBER(J1935),ROUND(J1935,2),IFERROR(ROUND(VALUE(SUBSTITUTE(SUBSTITUTE(SUBSTITUTE(J1935,"$",""),",","")," ","")),2),"bad")))</f>
        <v/>
      </c>
      <c r="P1935">
        <f>IF(TRIM(K1935)="","",IFERROR(MATCH(LOWER(TRIM(K1935)),'Students'!$AH$2:$AH$701,0),IFERROR(MATCH(LOWER(TRIM(K1935)),'Students'!$AF$2:$AF$701,0),IFERROR(MATCH(LOWER(TRIM(K1935)),'Students'!$AG$2:$AG$701,0),""))))</f>
        <v/>
      </c>
      <c r="R1935">
        <f>IF(P1935="","",INDEX('Students'!$AD$2:$AD$701,P1935))</f>
        <v/>
      </c>
      <c r="S1935">
        <f>IF(H1935="OK",O1935,0)</f>
        <v/>
      </c>
      <c r="T1935">
        <f>IF(H1935="OK",N1935,"")</f>
        <v/>
      </c>
      <c r="U1935">
        <f>IF(OC_Donor=0,"",IF(INDEX('OneCause_Paste'!$A$1935:$AZ$1935,1,OC_Donor)="","",INDEX('OneCause_Paste'!$A$1935:$AZ$1935,1,OC_Donor)))</f>
        <v/>
      </c>
    </row>
    <row r="1936">
      <c r="A1936" s="62">
        <f>IF(H1936="","",IF(ISNUMBER(N1936),N1936,I1936))</f>
        <v/>
      </c>
      <c r="B1936">
        <f>IF(H1936="","",U1936)</f>
        <v/>
      </c>
      <c r="C1936">
        <f>IF(H1936="","",IF(P1936="",K1936,INDEX('Students'!$A$2:$A$701,P1936)))</f>
        <v/>
      </c>
      <c r="D1936">
        <f>IF(OR(H1936="",P1936=""),"",INDEX('Students'!$B$2:$B$701,P1936))</f>
        <v/>
      </c>
      <c r="E1936">
        <f>IF(OR(H1936="",P1936=""),"",INDEX('Students'!$C$2:$C$701,P1936))</f>
        <v/>
      </c>
      <c r="F1936" s="48">
        <f>IF(H1936="","",IF(ISNUMBER(O1936),O1936,J1936))</f>
        <v/>
      </c>
      <c r="G1936">
        <f>IF(H1936="","","OneCause")</f>
        <v/>
      </c>
      <c r="H1936">
        <f>IF(AND(I1936="",J1936="",K1936=""),"",IF(NOT(ISNUMBER(O1936)),"Bad amount",IF(O1936&lt;0,"Refund (not counted)",IF(O1936=0,"Zero amount",IF(NOT(ISNUMBER(N1936)),"Bad date",IF(P1936="","NAME NOT ON ROSTER",IF(L1936="","OK",IF(MATCH(L1936,$L$2:$L$3001,0)&lt;ROW()-1,"Duplicate (ignored)","OK"))))))))</f>
        <v/>
      </c>
      <c r="I1936">
        <f>IF(OC_Date=0,"",IF(INDEX('OneCause_Paste'!$A$1936:$AZ$1936,1,OC_Date)="","",INDEX('OneCause_Paste'!$A$1936:$AZ$1936,1,OC_Date)))</f>
        <v/>
      </c>
      <c r="J1936">
        <f>IF(OC_Amt=0,"",IF(INDEX('OneCause_Paste'!$A$1936:$AZ$1936,1,OC_Amt)="","",INDEX('OneCause_Paste'!$A$1936:$AZ$1936,1,OC_Amt)))</f>
        <v/>
      </c>
      <c r="K1936">
        <f>IF(OC_Name=0,"",IF(INDEX('OneCause_Paste'!$A$1936:$AZ$1936,1,OC_Name)="","",INDEX('OneCause_Paste'!$A$1936:$AZ$1936,1,OC_Name)))</f>
        <v/>
      </c>
      <c r="L1936">
        <f>IF(OC_Txn=0,"",IF(INDEX('OneCause_Paste'!$A$1936:$AZ$1936,1,OC_Txn)="","",INDEX('OneCause_Paste'!$A$1936:$AZ$1936,1,OC_Txn)))</f>
        <v/>
      </c>
      <c r="M1936">
        <f>IF(OC_Pay=0,"",IF(INDEX('OneCause_Paste'!$A$1936:$AZ$1936,1,OC_Pay)="","",INDEX('OneCause_Paste'!$A$1936:$AZ$1936,1,OC_Pay)))</f>
        <v/>
      </c>
      <c r="N1936">
        <f>IF(I1936="","",IF(ISNUMBER(I1936),INT(I1936),IFERROR(INT(DATEVALUE(I1936)),IFERROR(INT(VALUE(I1936)),"bad"))))</f>
        <v/>
      </c>
      <c r="O1936">
        <f>IF(J1936="","",IF(ISNUMBER(J1936),ROUND(J1936,2),IFERROR(ROUND(VALUE(SUBSTITUTE(SUBSTITUTE(SUBSTITUTE(J1936,"$",""),",","")," ","")),2),"bad")))</f>
        <v/>
      </c>
      <c r="P1936">
        <f>IF(TRIM(K1936)="","",IFERROR(MATCH(LOWER(TRIM(K1936)),'Students'!$AH$2:$AH$701,0),IFERROR(MATCH(LOWER(TRIM(K1936)),'Students'!$AF$2:$AF$701,0),IFERROR(MATCH(LOWER(TRIM(K1936)),'Students'!$AG$2:$AG$701,0),""))))</f>
        <v/>
      </c>
      <c r="R1936">
        <f>IF(P1936="","",INDEX('Students'!$AD$2:$AD$701,P1936))</f>
        <v/>
      </c>
      <c r="S1936">
        <f>IF(H1936="OK",O1936,0)</f>
        <v/>
      </c>
      <c r="T1936">
        <f>IF(H1936="OK",N1936,"")</f>
        <v/>
      </c>
      <c r="U1936">
        <f>IF(OC_Donor=0,"",IF(INDEX('OneCause_Paste'!$A$1936:$AZ$1936,1,OC_Donor)="","",INDEX('OneCause_Paste'!$A$1936:$AZ$1936,1,OC_Donor)))</f>
        <v/>
      </c>
    </row>
    <row r="1937">
      <c r="A1937" s="62">
        <f>IF(H1937="","",IF(ISNUMBER(N1937),N1937,I1937))</f>
        <v/>
      </c>
      <c r="B1937">
        <f>IF(H1937="","",U1937)</f>
        <v/>
      </c>
      <c r="C1937">
        <f>IF(H1937="","",IF(P1937="",K1937,INDEX('Students'!$A$2:$A$701,P1937)))</f>
        <v/>
      </c>
      <c r="D1937">
        <f>IF(OR(H1937="",P1937=""),"",INDEX('Students'!$B$2:$B$701,P1937))</f>
        <v/>
      </c>
      <c r="E1937">
        <f>IF(OR(H1937="",P1937=""),"",INDEX('Students'!$C$2:$C$701,P1937))</f>
        <v/>
      </c>
      <c r="F1937" s="48">
        <f>IF(H1937="","",IF(ISNUMBER(O1937),O1937,J1937))</f>
        <v/>
      </c>
      <c r="G1937">
        <f>IF(H1937="","","OneCause")</f>
        <v/>
      </c>
      <c r="H1937">
        <f>IF(AND(I1937="",J1937="",K1937=""),"",IF(NOT(ISNUMBER(O1937)),"Bad amount",IF(O1937&lt;0,"Refund (not counted)",IF(O1937=0,"Zero amount",IF(NOT(ISNUMBER(N1937)),"Bad date",IF(P1937="","NAME NOT ON ROSTER",IF(L1937="","OK",IF(MATCH(L1937,$L$2:$L$3001,0)&lt;ROW()-1,"Duplicate (ignored)","OK"))))))))</f>
        <v/>
      </c>
      <c r="I1937">
        <f>IF(OC_Date=0,"",IF(INDEX('OneCause_Paste'!$A$1937:$AZ$1937,1,OC_Date)="","",INDEX('OneCause_Paste'!$A$1937:$AZ$1937,1,OC_Date)))</f>
        <v/>
      </c>
      <c r="J1937">
        <f>IF(OC_Amt=0,"",IF(INDEX('OneCause_Paste'!$A$1937:$AZ$1937,1,OC_Amt)="","",INDEX('OneCause_Paste'!$A$1937:$AZ$1937,1,OC_Amt)))</f>
        <v/>
      </c>
      <c r="K1937">
        <f>IF(OC_Name=0,"",IF(INDEX('OneCause_Paste'!$A$1937:$AZ$1937,1,OC_Name)="","",INDEX('OneCause_Paste'!$A$1937:$AZ$1937,1,OC_Name)))</f>
        <v/>
      </c>
      <c r="L1937">
        <f>IF(OC_Txn=0,"",IF(INDEX('OneCause_Paste'!$A$1937:$AZ$1937,1,OC_Txn)="","",INDEX('OneCause_Paste'!$A$1937:$AZ$1937,1,OC_Txn)))</f>
        <v/>
      </c>
      <c r="M1937">
        <f>IF(OC_Pay=0,"",IF(INDEX('OneCause_Paste'!$A$1937:$AZ$1937,1,OC_Pay)="","",INDEX('OneCause_Paste'!$A$1937:$AZ$1937,1,OC_Pay)))</f>
        <v/>
      </c>
      <c r="N1937">
        <f>IF(I1937="","",IF(ISNUMBER(I1937),INT(I1937),IFERROR(INT(DATEVALUE(I1937)),IFERROR(INT(VALUE(I1937)),"bad"))))</f>
        <v/>
      </c>
      <c r="O1937">
        <f>IF(J1937="","",IF(ISNUMBER(J1937),ROUND(J1937,2),IFERROR(ROUND(VALUE(SUBSTITUTE(SUBSTITUTE(SUBSTITUTE(J1937,"$",""),",","")," ","")),2),"bad")))</f>
        <v/>
      </c>
      <c r="P1937">
        <f>IF(TRIM(K1937)="","",IFERROR(MATCH(LOWER(TRIM(K1937)),'Students'!$AH$2:$AH$701,0),IFERROR(MATCH(LOWER(TRIM(K1937)),'Students'!$AF$2:$AF$701,0),IFERROR(MATCH(LOWER(TRIM(K1937)),'Students'!$AG$2:$AG$701,0),""))))</f>
        <v/>
      </c>
      <c r="R1937">
        <f>IF(P1937="","",INDEX('Students'!$AD$2:$AD$701,P1937))</f>
        <v/>
      </c>
      <c r="S1937">
        <f>IF(H1937="OK",O1937,0)</f>
        <v/>
      </c>
      <c r="T1937">
        <f>IF(H1937="OK",N1937,"")</f>
        <v/>
      </c>
      <c r="U1937">
        <f>IF(OC_Donor=0,"",IF(INDEX('OneCause_Paste'!$A$1937:$AZ$1937,1,OC_Donor)="","",INDEX('OneCause_Paste'!$A$1937:$AZ$1937,1,OC_Donor)))</f>
        <v/>
      </c>
    </row>
    <row r="1938">
      <c r="A1938" s="62">
        <f>IF(H1938="","",IF(ISNUMBER(N1938),N1938,I1938))</f>
        <v/>
      </c>
      <c r="B1938">
        <f>IF(H1938="","",U1938)</f>
        <v/>
      </c>
      <c r="C1938">
        <f>IF(H1938="","",IF(P1938="",K1938,INDEX('Students'!$A$2:$A$701,P1938)))</f>
        <v/>
      </c>
      <c r="D1938">
        <f>IF(OR(H1938="",P1938=""),"",INDEX('Students'!$B$2:$B$701,P1938))</f>
        <v/>
      </c>
      <c r="E1938">
        <f>IF(OR(H1938="",P1938=""),"",INDEX('Students'!$C$2:$C$701,P1938))</f>
        <v/>
      </c>
      <c r="F1938" s="48">
        <f>IF(H1938="","",IF(ISNUMBER(O1938),O1938,J1938))</f>
        <v/>
      </c>
      <c r="G1938">
        <f>IF(H1938="","","OneCause")</f>
        <v/>
      </c>
      <c r="H1938">
        <f>IF(AND(I1938="",J1938="",K1938=""),"",IF(NOT(ISNUMBER(O1938)),"Bad amount",IF(O1938&lt;0,"Refund (not counted)",IF(O1938=0,"Zero amount",IF(NOT(ISNUMBER(N1938)),"Bad date",IF(P1938="","NAME NOT ON ROSTER",IF(L1938="","OK",IF(MATCH(L1938,$L$2:$L$3001,0)&lt;ROW()-1,"Duplicate (ignored)","OK"))))))))</f>
        <v/>
      </c>
      <c r="I1938">
        <f>IF(OC_Date=0,"",IF(INDEX('OneCause_Paste'!$A$1938:$AZ$1938,1,OC_Date)="","",INDEX('OneCause_Paste'!$A$1938:$AZ$1938,1,OC_Date)))</f>
        <v/>
      </c>
      <c r="J1938">
        <f>IF(OC_Amt=0,"",IF(INDEX('OneCause_Paste'!$A$1938:$AZ$1938,1,OC_Amt)="","",INDEX('OneCause_Paste'!$A$1938:$AZ$1938,1,OC_Amt)))</f>
        <v/>
      </c>
      <c r="K1938">
        <f>IF(OC_Name=0,"",IF(INDEX('OneCause_Paste'!$A$1938:$AZ$1938,1,OC_Name)="","",INDEX('OneCause_Paste'!$A$1938:$AZ$1938,1,OC_Name)))</f>
        <v/>
      </c>
      <c r="L1938">
        <f>IF(OC_Txn=0,"",IF(INDEX('OneCause_Paste'!$A$1938:$AZ$1938,1,OC_Txn)="","",INDEX('OneCause_Paste'!$A$1938:$AZ$1938,1,OC_Txn)))</f>
        <v/>
      </c>
      <c r="M1938">
        <f>IF(OC_Pay=0,"",IF(INDEX('OneCause_Paste'!$A$1938:$AZ$1938,1,OC_Pay)="","",INDEX('OneCause_Paste'!$A$1938:$AZ$1938,1,OC_Pay)))</f>
        <v/>
      </c>
      <c r="N1938">
        <f>IF(I1938="","",IF(ISNUMBER(I1938),INT(I1938),IFERROR(INT(DATEVALUE(I1938)),IFERROR(INT(VALUE(I1938)),"bad"))))</f>
        <v/>
      </c>
      <c r="O1938">
        <f>IF(J1938="","",IF(ISNUMBER(J1938),ROUND(J1938,2),IFERROR(ROUND(VALUE(SUBSTITUTE(SUBSTITUTE(SUBSTITUTE(J1938,"$",""),",","")," ","")),2),"bad")))</f>
        <v/>
      </c>
      <c r="P1938">
        <f>IF(TRIM(K1938)="","",IFERROR(MATCH(LOWER(TRIM(K1938)),'Students'!$AH$2:$AH$701,0),IFERROR(MATCH(LOWER(TRIM(K1938)),'Students'!$AF$2:$AF$701,0),IFERROR(MATCH(LOWER(TRIM(K1938)),'Students'!$AG$2:$AG$701,0),""))))</f>
        <v/>
      </c>
      <c r="R1938">
        <f>IF(P1938="","",INDEX('Students'!$AD$2:$AD$701,P1938))</f>
        <v/>
      </c>
      <c r="S1938">
        <f>IF(H1938="OK",O1938,0)</f>
        <v/>
      </c>
      <c r="T1938">
        <f>IF(H1938="OK",N1938,"")</f>
        <v/>
      </c>
      <c r="U1938">
        <f>IF(OC_Donor=0,"",IF(INDEX('OneCause_Paste'!$A$1938:$AZ$1938,1,OC_Donor)="","",INDEX('OneCause_Paste'!$A$1938:$AZ$1938,1,OC_Donor)))</f>
        <v/>
      </c>
    </row>
    <row r="1939">
      <c r="A1939" s="62">
        <f>IF(H1939="","",IF(ISNUMBER(N1939),N1939,I1939))</f>
        <v/>
      </c>
      <c r="B1939">
        <f>IF(H1939="","",U1939)</f>
        <v/>
      </c>
      <c r="C1939">
        <f>IF(H1939="","",IF(P1939="",K1939,INDEX('Students'!$A$2:$A$701,P1939)))</f>
        <v/>
      </c>
      <c r="D1939">
        <f>IF(OR(H1939="",P1939=""),"",INDEX('Students'!$B$2:$B$701,P1939))</f>
        <v/>
      </c>
      <c r="E1939">
        <f>IF(OR(H1939="",P1939=""),"",INDEX('Students'!$C$2:$C$701,P1939))</f>
        <v/>
      </c>
      <c r="F1939" s="48">
        <f>IF(H1939="","",IF(ISNUMBER(O1939),O1939,J1939))</f>
        <v/>
      </c>
      <c r="G1939">
        <f>IF(H1939="","","OneCause")</f>
        <v/>
      </c>
      <c r="H1939">
        <f>IF(AND(I1939="",J1939="",K1939=""),"",IF(NOT(ISNUMBER(O1939)),"Bad amount",IF(O1939&lt;0,"Refund (not counted)",IF(O1939=0,"Zero amount",IF(NOT(ISNUMBER(N1939)),"Bad date",IF(P1939="","NAME NOT ON ROSTER",IF(L1939="","OK",IF(MATCH(L1939,$L$2:$L$3001,0)&lt;ROW()-1,"Duplicate (ignored)","OK"))))))))</f>
        <v/>
      </c>
      <c r="I1939">
        <f>IF(OC_Date=0,"",IF(INDEX('OneCause_Paste'!$A$1939:$AZ$1939,1,OC_Date)="","",INDEX('OneCause_Paste'!$A$1939:$AZ$1939,1,OC_Date)))</f>
        <v/>
      </c>
      <c r="J1939">
        <f>IF(OC_Amt=0,"",IF(INDEX('OneCause_Paste'!$A$1939:$AZ$1939,1,OC_Amt)="","",INDEX('OneCause_Paste'!$A$1939:$AZ$1939,1,OC_Amt)))</f>
        <v/>
      </c>
      <c r="K1939">
        <f>IF(OC_Name=0,"",IF(INDEX('OneCause_Paste'!$A$1939:$AZ$1939,1,OC_Name)="","",INDEX('OneCause_Paste'!$A$1939:$AZ$1939,1,OC_Name)))</f>
        <v/>
      </c>
      <c r="L1939">
        <f>IF(OC_Txn=0,"",IF(INDEX('OneCause_Paste'!$A$1939:$AZ$1939,1,OC_Txn)="","",INDEX('OneCause_Paste'!$A$1939:$AZ$1939,1,OC_Txn)))</f>
        <v/>
      </c>
      <c r="M1939">
        <f>IF(OC_Pay=0,"",IF(INDEX('OneCause_Paste'!$A$1939:$AZ$1939,1,OC_Pay)="","",INDEX('OneCause_Paste'!$A$1939:$AZ$1939,1,OC_Pay)))</f>
        <v/>
      </c>
      <c r="N1939">
        <f>IF(I1939="","",IF(ISNUMBER(I1939),INT(I1939),IFERROR(INT(DATEVALUE(I1939)),IFERROR(INT(VALUE(I1939)),"bad"))))</f>
        <v/>
      </c>
      <c r="O1939">
        <f>IF(J1939="","",IF(ISNUMBER(J1939),ROUND(J1939,2),IFERROR(ROUND(VALUE(SUBSTITUTE(SUBSTITUTE(SUBSTITUTE(J1939,"$",""),",","")," ","")),2),"bad")))</f>
        <v/>
      </c>
      <c r="P1939">
        <f>IF(TRIM(K1939)="","",IFERROR(MATCH(LOWER(TRIM(K1939)),'Students'!$AH$2:$AH$701,0),IFERROR(MATCH(LOWER(TRIM(K1939)),'Students'!$AF$2:$AF$701,0),IFERROR(MATCH(LOWER(TRIM(K1939)),'Students'!$AG$2:$AG$701,0),""))))</f>
        <v/>
      </c>
      <c r="R1939">
        <f>IF(P1939="","",INDEX('Students'!$AD$2:$AD$701,P1939))</f>
        <v/>
      </c>
      <c r="S1939">
        <f>IF(H1939="OK",O1939,0)</f>
        <v/>
      </c>
      <c r="T1939">
        <f>IF(H1939="OK",N1939,"")</f>
        <v/>
      </c>
      <c r="U1939">
        <f>IF(OC_Donor=0,"",IF(INDEX('OneCause_Paste'!$A$1939:$AZ$1939,1,OC_Donor)="","",INDEX('OneCause_Paste'!$A$1939:$AZ$1939,1,OC_Donor)))</f>
        <v/>
      </c>
    </row>
    <row r="1940">
      <c r="A1940" s="62">
        <f>IF(H1940="","",IF(ISNUMBER(N1940),N1940,I1940))</f>
        <v/>
      </c>
      <c r="B1940">
        <f>IF(H1940="","",U1940)</f>
        <v/>
      </c>
      <c r="C1940">
        <f>IF(H1940="","",IF(P1940="",K1940,INDEX('Students'!$A$2:$A$701,P1940)))</f>
        <v/>
      </c>
      <c r="D1940">
        <f>IF(OR(H1940="",P1940=""),"",INDEX('Students'!$B$2:$B$701,P1940))</f>
        <v/>
      </c>
      <c r="E1940">
        <f>IF(OR(H1940="",P1940=""),"",INDEX('Students'!$C$2:$C$701,P1940))</f>
        <v/>
      </c>
      <c r="F1940" s="48">
        <f>IF(H1940="","",IF(ISNUMBER(O1940),O1940,J1940))</f>
        <v/>
      </c>
      <c r="G1940">
        <f>IF(H1940="","","OneCause")</f>
        <v/>
      </c>
      <c r="H1940">
        <f>IF(AND(I1940="",J1940="",K1940=""),"",IF(NOT(ISNUMBER(O1940)),"Bad amount",IF(O1940&lt;0,"Refund (not counted)",IF(O1940=0,"Zero amount",IF(NOT(ISNUMBER(N1940)),"Bad date",IF(P1940="","NAME NOT ON ROSTER",IF(L1940="","OK",IF(MATCH(L1940,$L$2:$L$3001,0)&lt;ROW()-1,"Duplicate (ignored)","OK"))))))))</f>
        <v/>
      </c>
      <c r="I1940">
        <f>IF(OC_Date=0,"",IF(INDEX('OneCause_Paste'!$A$1940:$AZ$1940,1,OC_Date)="","",INDEX('OneCause_Paste'!$A$1940:$AZ$1940,1,OC_Date)))</f>
        <v/>
      </c>
      <c r="J1940">
        <f>IF(OC_Amt=0,"",IF(INDEX('OneCause_Paste'!$A$1940:$AZ$1940,1,OC_Amt)="","",INDEX('OneCause_Paste'!$A$1940:$AZ$1940,1,OC_Amt)))</f>
        <v/>
      </c>
      <c r="K1940">
        <f>IF(OC_Name=0,"",IF(INDEX('OneCause_Paste'!$A$1940:$AZ$1940,1,OC_Name)="","",INDEX('OneCause_Paste'!$A$1940:$AZ$1940,1,OC_Name)))</f>
        <v/>
      </c>
      <c r="L1940">
        <f>IF(OC_Txn=0,"",IF(INDEX('OneCause_Paste'!$A$1940:$AZ$1940,1,OC_Txn)="","",INDEX('OneCause_Paste'!$A$1940:$AZ$1940,1,OC_Txn)))</f>
        <v/>
      </c>
      <c r="M1940">
        <f>IF(OC_Pay=0,"",IF(INDEX('OneCause_Paste'!$A$1940:$AZ$1940,1,OC_Pay)="","",INDEX('OneCause_Paste'!$A$1940:$AZ$1940,1,OC_Pay)))</f>
        <v/>
      </c>
      <c r="N1940">
        <f>IF(I1940="","",IF(ISNUMBER(I1940),INT(I1940),IFERROR(INT(DATEVALUE(I1940)),IFERROR(INT(VALUE(I1940)),"bad"))))</f>
        <v/>
      </c>
      <c r="O1940">
        <f>IF(J1940="","",IF(ISNUMBER(J1940),ROUND(J1940,2),IFERROR(ROUND(VALUE(SUBSTITUTE(SUBSTITUTE(SUBSTITUTE(J1940,"$",""),",","")," ","")),2),"bad")))</f>
        <v/>
      </c>
      <c r="P1940">
        <f>IF(TRIM(K1940)="","",IFERROR(MATCH(LOWER(TRIM(K1940)),'Students'!$AH$2:$AH$701,0),IFERROR(MATCH(LOWER(TRIM(K1940)),'Students'!$AF$2:$AF$701,0),IFERROR(MATCH(LOWER(TRIM(K1940)),'Students'!$AG$2:$AG$701,0),""))))</f>
        <v/>
      </c>
      <c r="R1940">
        <f>IF(P1940="","",INDEX('Students'!$AD$2:$AD$701,P1940))</f>
        <v/>
      </c>
      <c r="S1940">
        <f>IF(H1940="OK",O1940,0)</f>
        <v/>
      </c>
      <c r="T1940">
        <f>IF(H1940="OK",N1940,"")</f>
        <v/>
      </c>
      <c r="U1940">
        <f>IF(OC_Donor=0,"",IF(INDEX('OneCause_Paste'!$A$1940:$AZ$1940,1,OC_Donor)="","",INDEX('OneCause_Paste'!$A$1940:$AZ$1940,1,OC_Donor)))</f>
        <v/>
      </c>
    </row>
    <row r="1941">
      <c r="A1941" s="62">
        <f>IF(H1941="","",IF(ISNUMBER(N1941),N1941,I1941))</f>
        <v/>
      </c>
      <c r="B1941">
        <f>IF(H1941="","",U1941)</f>
        <v/>
      </c>
      <c r="C1941">
        <f>IF(H1941="","",IF(P1941="",K1941,INDEX('Students'!$A$2:$A$701,P1941)))</f>
        <v/>
      </c>
      <c r="D1941">
        <f>IF(OR(H1941="",P1941=""),"",INDEX('Students'!$B$2:$B$701,P1941))</f>
        <v/>
      </c>
      <c r="E1941">
        <f>IF(OR(H1941="",P1941=""),"",INDEX('Students'!$C$2:$C$701,P1941))</f>
        <v/>
      </c>
      <c r="F1941" s="48">
        <f>IF(H1941="","",IF(ISNUMBER(O1941),O1941,J1941))</f>
        <v/>
      </c>
      <c r="G1941">
        <f>IF(H1941="","","OneCause")</f>
        <v/>
      </c>
      <c r="H1941">
        <f>IF(AND(I1941="",J1941="",K1941=""),"",IF(NOT(ISNUMBER(O1941)),"Bad amount",IF(O1941&lt;0,"Refund (not counted)",IF(O1941=0,"Zero amount",IF(NOT(ISNUMBER(N1941)),"Bad date",IF(P1941="","NAME NOT ON ROSTER",IF(L1941="","OK",IF(MATCH(L1941,$L$2:$L$3001,0)&lt;ROW()-1,"Duplicate (ignored)","OK"))))))))</f>
        <v/>
      </c>
      <c r="I1941">
        <f>IF(OC_Date=0,"",IF(INDEX('OneCause_Paste'!$A$1941:$AZ$1941,1,OC_Date)="","",INDEX('OneCause_Paste'!$A$1941:$AZ$1941,1,OC_Date)))</f>
        <v/>
      </c>
      <c r="J1941">
        <f>IF(OC_Amt=0,"",IF(INDEX('OneCause_Paste'!$A$1941:$AZ$1941,1,OC_Amt)="","",INDEX('OneCause_Paste'!$A$1941:$AZ$1941,1,OC_Amt)))</f>
        <v/>
      </c>
      <c r="K1941">
        <f>IF(OC_Name=0,"",IF(INDEX('OneCause_Paste'!$A$1941:$AZ$1941,1,OC_Name)="","",INDEX('OneCause_Paste'!$A$1941:$AZ$1941,1,OC_Name)))</f>
        <v/>
      </c>
      <c r="L1941">
        <f>IF(OC_Txn=0,"",IF(INDEX('OneCause_Paste'!$A$1941:$AZ$1941,1,OC_Txn)="","",INDEX('OneCause_Paste'!$A$1941:$AZ$1941,1,OC_Txn)))</f>
        <v/>
      </c>
      <c r="M1941">
        <f>IF(OC_Pay=0,"",IF(INDEX('OneCause_Paste'!$A$1941:$AZ$1941,1,OC_Pay)="","",INDEX('OneCause_Paste'!$A$1941:$AZ$1941,1,OC_Pay)))</f>
        <v/>
      </c>
      <c r="N1941">
        <f>IF(I1941="","",IF(ISNUMBER(I1941),INT(I1941),IFERROR(INT(DATEVALUE(I1941)),IFERROR(INT(VALUE(I1941)),"bad"))))</f>
        <v/>
      </c>
      <c r="O1941">
        <f>IF(J1941="","",IF(ISNUMBER(J1941),ROUND(J1941,2),IFERROR(ROUND(VALUE(SUBSTITUTE(SUBSTITUTE(SUBSTITUTE(J1941,"$",""),",","")," ","")),2),"bad")))</f>
        <v/>
      </c>
      <c r="P1941">
        <f>IF(TRIM(K1941)="","",IFERROR(MATCH(LOWER(TRIM(K1941)),'Students'!$AH$2:$AH$701,0),IFERROR(MATCH(LOWER(TRIM(K1941)),'Students'!$AF$2:$AF$701,0),IFERROR(MATCH(LOWER(TRIM(K1941)),'Students'!$AG$2:$AG$701,0),""))))</f>
        <v/>
      </c>
      <c r="R1941">
        <f>IF(P1941="","",INDEX('Students'!$AD$2:$AD$701,P1941))</f>
        <v/>
      </c>
      <c r="S1941">
        <f>IF(H1941="OK",O1941,0)</f>
        <v/>
      </c>
      <c r="T1941">
        <f>IF(H1941="OK",N1941,"")</f>
        <v/>
      </c>
      <c r="U1941">
        <f>IF(OC_Donor=0,"",IF(INDEX('OneCause_Paste'!$A$1941:$AZ$1941,1,OC_Donor)="","",INDEX('OneCause_Paste'!$A$1941:$AZ$1941,1,OC_Donor)))</f>
        <v/>
      </c>
    </row>
    <row r="1942">
      <c r="A1942" s="62">
        <f>IF(H1942="","",IF(ISNUMBER(N1942),N1942,I1942))</f>
        <v/>
      </c>
      <c r="B1942">
        <f>IF(H1942="","",U1942)</f>
        <v/>
      </c>
      <c r="C1942">
        <f>IF(H1942="","",IF(P1942="",K1942,INDEX('Students'!$A$2:$A$701,P1942)))</f>
        <v/>
      </c>
      <c r="D1942">
        <f>IF(OR(H1942="",P1942=""),"",INDEX('Students'!$B$2:$B$701,P1942))</f>
        <v/>
      </c>
      <c r="E1942">
        <f>IF(OR(H1942="",P1942=""),"",INDEX('Students'!$C$2:$C$701,P1942))</f>
        <v/>
      </c>
      <c r="F1942" s="48">
        <f>IF(H1942="","",IF(ISNUMBER(O1942),O1942,J1942))</f>
        <v/>
      </c>
      <c r="G1942">
        <f>IF(H1942="","","OneCause")</f>
        <v/>
      </c>
      <c r="H1942">
        <f>IF(AND(I1942="",J1942="",K1942=""),"",IF(NOT(ISNUMBER(O1942)),"Bad amount",IF(O1942&lt;0,"Refund (not counted)",IF(O1942=0,"Zero amount",IF(NOT(ISNUMBER(N1942)),"Bad date",IF(P1942="","NAME NOT ON ROSTER",IF(L1942="","OK",IF(MATCH(L1942,$L$2:$L$3001,0)&lt;ROW()-1,"Duplicate (ignored)","OK"))))))))</f>
        <v/>
      </c>
      <c r="I1942">
        <f>IF(OC_Date=0,"",IF(INDEX('OneCause_Paste'!$A$1942:$AZ$1942,1,OC_Date)="","",INDEX('OneCause_Paste'!$A$1942:$AZ$1942,1,OC_Date)))</f>
        <v/>
      </c>
      <c r="J1942">
        <f>IF(OC_Amt=0,"",IF(INDEX('OneCause_Paste'!$A$1942:$AZ$1942,1,OC_Amt)="","",INDEX('OneCause_Paste'!$A$1942:$AZ$1942,1,OC_Amt)))</f>
        <v/>
      </c>
      <c r="K1942">
        <f>IF(OC_Name=0,"",IF(INDEX('OneCause_Paste'!$A$1942:$AZ$1942,1,OC_Name)="","",INDEX('OneCause_Paste'!$A$1942:$AZ$1942,1,OC_Name)))</f>
        <v/>
      </c>
      <c r="L1942">
        <f>IF(OC_Txn=0,"",IF(INDEX('OneCause_Paste'!$A$1942:$AZ$1942,1,OC_Txn)="","",INDEX('OneCause_Paste'!$A$1942:$AZ$1942,1,OC_Txn)))</f>
        <v/>
      </c>
      <c r="M1942">
        <f>IF(OC_Pay=0,"",IF(INDEX('OneCause_Paste'!$A$1942:$AZ$1942,1,OC_Pay)="","",INDEX('OneCause_Paste'!$A$1942:$AZ$1942,1,OC_Pay)))</f>
        <v/>
      </c>
      <c r="N1942">
        <f>IF(I1942="","",IF(ISNUMBER(I1942),INT(I1942),IFERROR(INT(DATEVALUE(I1942)),IFERROR(INT(VALUE(I1942)),"bad"))))</f>
        <v/>
      </c>
      <c r="O1942">
        <f>IF(J1942="","",IF(ISNUMBER(J1942),ROUND(J1942,2),IFERROR(ROUND(VALUE(SUBSTITUTE(SUBSTITUTE(SUBSTITUTE(J1942,"$",""),",","")," ","")),2),"bad")))</f>
        <v/>
      </c>
      <c r="P1942">
        <f>IF(TRIM(K1942)="","",IFERROR(MATCH(LOWER(TRIM(K1942)),'Students'!$AH$2:$AH$701,0),IFERROR(MATCH(LOWER(TRIM(K1942)),'Students'!$AF$2:$AF$701,0),IFERROR(MATCH(LOWER(TRIM(K1942)),'Students'!$AG$2:$AG$701,0),""))))</f>
        <v/>
      </c>
      <c r="R1942">
        <f>IF(P1942="","",INDEX('Students'!$AD$2:$AD$701,P1942))</f>
        <v/>
      </c>
      <c r="S1942">
        <f>IF(H1942="OK",O1942,0)</f>
        <v/>
      </c>
      <c r="T1942">
        <f>IF(H1942="OK",N1942,"")</f>
        <v/>
      </c>
      <c r="U1942">
        <f>IF(OC_Donor=0,"",IF(INDEX('OneCause_Paste'!$A$1942:$AZ$1942,1,OC_Donor)="","",INDEX('OneCause_Paste'!$A$1942:$AZ$1942,1,OC_Donor)))</f>
        <v/>
      </c>
    </row>
    <row r="1943">
      <c r="A1943" s="62">
        <f>IF(H1943="","",IF(ISNUMBER(N1943),N1943,I1943))</f>
        <v/>
      </c>
      <c r="B1943">
        <f>IF(H1943="","",U1943)</f>
        <v/>
      </c>
      <c r="C1943">
        <f>IF(H1943="","",IF(P1943="",K1943,INDEX('Students'!$A$2:$A$701,P1943)))</f>
        <v/>
      </c>
      <c r="D1943">
        <f>IF(OR(H1943="",P1943=""),"",INDEX('Students'!$B$2:$B$701,P1943))</f>
        <v/>
      </c>
      <c r="E1943">
        <f>IF(OR(H1943="",P1943=""),"",INDEX('Students'!$C$2:$C$701,P1943))</f>
        <v/>
      </c>
      <c r="F1943" s="48">
        <f>IF(H1943="","",IF(ISNUMBER(O1943),O1943,J1943))</f>
        <v/>
      </c>
      <c r="G1943">
        <f>IF(H1943="","","OneCause")</f>
        <v/>
      </c>
      <c r="H1943">
        <f>IF(AND(I1943="",J1943="",K1943=""),"",IF(NOT(ISNUMBER(O1943)),"Bad amount",IF(O1943&lt;0,"Refund (not counted)",IF(O1943=0,"Zero amount",IF(NOT(ISNUMBER(N1943)),"Bad date",IF(P1943="","NAME NOT ON ROSTER",IF(L1943="","OK",IF(MATCH(L1943,$L$2:$L$3001,0)&lt;ROW()-1,"Duplicate (ignored)","OK"))))))))</f>
        <v/>
      </c>
      <c r="I1943">
        <f>IF(OC_Date=0,"",IF(INDEX('OneCause_Paste'!$A$1943:$AZ$1943,1,OC_Date)="","",INDEX('OneCause_Paste'!$A$1943:$AZ$1943,1,OC_Date)))</f>
        <v/>
      </c>
      <c r="J1943">
        <f>IF(OC_Amt=0,"",IF(INDEX('OneCause_Paste'!$A$1943:$AZ$1943,1,OC_Amt)="","",INDEX('OneCause_Paste'!$A$1943:$AZ$1943,1,OC_Amt)))</f>
        <v/>
      </c>
      <c r="K1943">
        <f>IF(OC_Name=0,"",IF(INDEX('OneCause_Paste'!$A$1943:$AZ$1943,1,OC_Name)="","",INDEX('OneCause_Paste'!$A$1943:$AZ$1943,1,OC_Name)))</f>
        <v/>
      </c>
      <c r="L1943">
        <f>IF(OC_Txn=0,"",IF(INDEX('OneCause_Paste'!$A$1943:$AZ$1943,1,OC_Txn)="","",INDEX('OneCause_Paste'!$A$1943:$AZ$1943,1,OC_Txn)))</f>
        <v/>
      </c>
      <c r="M1943">
        <f>IF(OC_Pay=0,"",IF(INDEX('OneCause_Paste'!$A$1943:$AZ$1943,1,OC_Pay)="","",INDEX('OneCause_Paste'!$A$1943:$AZ$1943,1,OC_Pay)))</f>
        <v/>
      </c>
      <c r="N1943">
        <f>IF(I1943="","",IF(ISNUMBER(I1943),INT(I1943),IFERROR(INT(DATEVALUE(I1943)),IFERROR(INT(VALUE(I1943)),"bad"))))</f>
        <v/>
      </c>
      <c r="O1943">
        <f>IF(J1943="","",IF(ISNUMBER(J1943),ROUND(J1943,2),IFERROR(ROUND(VALUE(SUBSTITUTE(SUBSTITUTE(SUBSTITUTE(J1943,"$",""),",","")," ","")),2),"bad")))</f>
        <v/>
      </c>
      <c r="P1943">
        <f>IF(TRIM(K1943)="","",IFERROR(MATCH(LOWER(TRIM(K1943)),'Students'!$AH$2:$AH$701,0),IFERROR(MATCH(LOWER(TRIM(K1943)),'Students'!$AF$2:$AF$701,0),IFERROR(MATCH(LOWER(TRIM(K1943)),'Students'!$AG$2:$AG$701,0),""))))</f>
        <v/>
      </c>
      <c r="R1943">
        <f>IF(P1943="","",INDEX('Students'!$AD$2:$AD$701,P1943))</f>
        <v/>
      </c>
      <c r="S1943">
        <f>IF(H1943="OK",O1943,0)</f>
        <v/>
      </c>
      <c r="T1943">
        <f>IF(H1943="OK",N1943,"")</f>
        <v/>
      </c>
      <c r="U1943">
        <f>IF(OC_Donor=0,"",IF(INDEX('OneCause_Paste'!$A$1943:$AZ$1943,1,OC_Donor)="","",INDEX('OneCause_Paste'!$A$1943:$AZ$1943,1,OC_Donor)))</f>
        <v/>
      </c>
    </row>
    <row r="1944">
      <c r="A1944" s="62">
        <f>IF(H1944="","",IF(ISNUMBER(N1944),N1944,I1944))</f>
        <v/>
      </c>
      <c r="B1944">
        <f>IF(H1944="","",U1944)</f>
        <v/>
      </c>
      <c r="C1944">
        <f>IF(H1944="","",IF(P1944="",K1944,INDEX('Students'!$A$2:$A$701,P1944)))</f>
        <v/>
      </c>
      <c r="D1944">
        <f>IF(OR(H1944="",P1944=""),"",INDEX('Students'!$B$2:$B$701,P1944))</f>
        <v/>
      </c>
      <c r="E1944">
        <f>IF(OR(H1944="",P1944=""),"",INDEX('Students'!$C$2:$C$701,P1944))</f>
        <v/>
      </c>
      <c r="F1944" s="48">
        <f>IF(H1944="","",IF(ISNUMBER(O1944),O1944,J1944))</f>
        <v/>
      </c>
      <c r="G1944">
        <f>IF(H1944="","","OneCause")</f>
        <v/>
      </c>
      <c r="H1944">
        <f>IF(AND(I1944="",J1944="",K1944=""),"",IF(NOT(ISNUMBER(O1944)),"Bad amount",IF(O1944&lt;0,"Refund (not counted)",IF(O1944=0,"Zero amount",IF(NOT(ISNUMBER(N1944)),"Bad date",IF(P1944="","NAME NOT ON ROSTER",IF(L1944="","OK",IF(MATCH(L1944,$L$2:$L$3001,0)&lt;ROW()-1,"Duplicate (ignored)","OK"))))))))</f>
        <v/>
      </c>
      <c r="I1944">
        <f>IF(OC_Date=0,"",IF(INDEX('OneCause_Paste'!$A$1944:$AZ$1944,1,OC_Date)="","",INDEX('OneCause_Paste'!$A$1944:$AZ$1944,1,OC_Date)))</f>
        <v/>
      </c>
      <c r="J1944">
        <f>IF(OC_Amt=0,"",IF(INDEX('OneCause_Paste'!$A$1944:$AZ$1944,1,OC_Amt)="","",INDEX('OneCause_Paste'!$A$1944:$AZ$1944,1,OC_Amt)))</f>
        <v/>
      </c>
      <c r="K1944">
        <f>IF(OC_Name=0,"",IF(INDEX('OneCause_Paste'!$A$1944:$AZ$1944,1,OC_Name)="","",INDEX('OneCause_Paste'!$A$1944:$AZ$1944,1,OC_Name)))</f>
        <v/>
      </c>
      <c r="L1944">
        <f>IF(OC_Txn=0,"",IF(INDEX('OneCause_Paste'!$A$1944:$AZ$1944,1,OC_Txn)="","",INDEX('OneCause_Paste'!$A$1944:$AZ$1944,1,OC_Txn)))</f>
        <v/>
      </c>
      <c r="M1944">
        <f>IF(OC_Pay=0,"",IF(INDEX('OneCause_Paste'!$A$1944:$AZ$1944,1,OC_Pay)="","",INDEX('OneCause_Paste'!$A$1944:$AZ$1944,1,OC_Pay)))</f>
        <v/>
      </c>
      <c r="N1944">
        <f>IF(I1944="","",IF(ISNUMBER(I1944),INT(I1944),IFERROR(INT(DATEVALUE(I1944)),IFERROR(INT(VALUE(I1944)),"bad"))))</f>
        <v/>
      </c>
      <c r="O1944">
        <f>IF(J1944="","",IF(ISNUMBER(J1944),ROUND(J1944,2),IFERROR(ROUND(VALUE(SUBSTITUTE(SUBSTITUTE(SUBSTITUTE(J1944,"$",""),",","")," ","")),2),"bad")))</f>
        <v/>
      </c>
      <c r="P1944">
        <f>IF(TRIM(K1944)="","",IFERROR(MATCH(LOWER(TRIM(K1944)),'Students'!$AH$2:$AH$701,0),IFERROR(MATCH(LOWER(TRIM(K1944)),'Students'!$AF$2:$AF$701,0),IFERROR(MATCH(LOWER(TRIM(K1944)),'Students'!$AG$2:$AG$701,0),""))))</f>
        <v/>
      </c>
      <c r="R1944">
        <f>IF(P1944="","",INDEX('Students'!$AD$2:$AD$701,P1944))</f>
        <v/>
      </c>
      <c r="S1944">
        <f>IF(H1944="OK",O1944,0)</f>
        <v/>
      </c>
      <c r="T1944">
        <f>IF(H1944="OK",N1944,"")</f>
        <v/>
      </c>
      <c r="U1944">
        <f>IF(OC_Donor=0,"",IF(INDEX('OneCause_Paste'!$A$1944:$AZ$1944,1,OC_Donor)="","",INDEX('OneCause_Paste'!$A$1944:$AZ$1944,1,OC_Donor)))</f>
        <v/>
      </c>
    </row>
    <row r="1945">
      <c r="A1945" s="62">
        <f>IF(H1945="","",IF(ISNUMBER(N1945),N1945,I1945))</f>
        <v/>
      </c>
      <c r="B1945">
        <f>IF(H1945="","",U1945)</f>
        <v/>
      </c>
      <c r="C1945">
        <f>IF(H1945="","",IF(P1945="",K1945,INDEX('Students'!$A$2:$A$701,P1945)))</f>
        <v/>
      </c>
      <c r="D1945">
        <f>IF(OR(H1945="",P1945=""),"",INDEX('Students'!$B$2:$B$701,P1945))</f>
        <v/>
      </c>
      <c r="E1945">
        <f>IF(OR(H1945="",P1945=""),"",INDEX('Students'!$C$2:$C$701,P1945))</f>
        <v/>
      </c>
      <c r="F1945" s="48">
        <f>IF(H1945="","",IF(ISNUMBER(O1945),O1945,J1945))</f>
        <v/>
      </c>
      <c r="G1945">
        <f>IF(H1945="","","OneCause")</f>
        <v/>
      </c>
      <c r="H1945">
        <f>IF(AND(I1945="",J1945="",K1945=""),"",IF(NOT(ISNUMBER(O1945)),"Bad amount",IF(O1945&lt;0,"Refund (not counted)",IF(O1945=0,"Zero amount",IF(NOT(ISNUMBER(N1945)),"Bad date",IF(P1945="","NAME NOT ON ROSTER",IF(L1945="","OK",IF(MATCH(L1945,$L$2:$L$3001,0)&lt;ROW()-1,"Duplicate (ignored)","OK"))))))))</f>
        <v/>
      </c>
      <c r="I1945">
        <f>IF(OC_Date=0,"",IF(INDEX('OneCause_Paste'!$A$1945:$AZ$1945,1,OC_Date)="","",INDEX('OneCause_Paste'!$A$1945:$AZ$1945,1,OC_Date)))</f>
        <v/>
      </c>
      <c r="J1945">
        <f>IF(OC_Amt=0,"",IF(INDEX('OneCause_Paste'!$A$1945:$AZ$1945,1,OC_Amt)="","",INDEX('OneCause_Paste'!$A$1945:$AZ$1945,1,OC_Amt)))</f>
        <v/>
      </c>
      <c r="K1945">
        <f>IF(OC_Name=0,"",IF(INDEX('OneCause_Paste'!$A$1945:$AZ$1945,1,OC_Name)="","",INDEX('OneCause_Paste'!$A$1945:$AZ$1945,1,OC_Name)))</f>
        <v/>
      </c>
      <c r="L1945">
        <f>IF(OC_Txn=0,"",IF(INDEX('OneCause_Paste'!$A$1945:$AZ$1945,1,OC_Txn)="","",INDEX('OneCause_Paste'!$A$1945:$AZ$1945,1,OC_Txn)))</f>
        <v/>
      </c>
      <c r="M1945">
        <f>IF(OC_Pay=0,"",IF(INDEX('OneCause_Paste'!$A$1945:$AZ$1945,1,OC_Pay)="","",INDEX('OneCause_Paste'!$A$1945:$AZ$1945,1,OC_Pay)))</f>
        <v/>
      </c>
      <c r="N1945">
        <f>IF(I1945="","",IF(ISNUMBER(I1945),INT(I1945),IFERROR(INT(DATEVALUE(I1945)),IFERROR(INT(VALUE(I1945)),"bad"))))</f>
        <v/>
      </c>
      <c r="O1945">
        <f>IF(J1945="","",IF(ISNUMBER(J1945),ROUND(J1945,2),IFERROR(ROUND(VALUE(SUBSTITUTE(SUBSTITUTE(SUBSTITUTE(J1945,"$",""),",","")," ","")),2),"bad")))</f>
        <v/>
      </c>
      <c r="P1945">
        <f>IF(TRIM(K1945)="","",IFERROR(MATCH(LOWER(TRIM(K1945)),'Students'!$AH$2:$AH$701,0),IFERROR(MATCH(LOWER(TRIM(K1945)),'Students'!$AF$2:$AF$701,0),IFERROR(MATCH(LOWER(TRIM(K1945)),'Students'!$AG$2:$AG$701,0),""))))</f>
        <v/>
      </c>
      <c r="R1945">
        <f>IF(P1945="","",INDEX('Students'!$AD$2:$AD$701,P1945))</f>
        <v/>
      </c>
      <c r="S1945">
        <f>IF(H1945="OK",O1945,0)</f>
        <v/>
      </c>
      <c r="T1945">
        <f>IF(H1945="OK",N1945,"")</f>
        <v/>
      </c>
      <c r="U1945">
        <f>IF(OC_Donor=0,"",IF(INDEX('OneCause_Paste'!$A$1945:$AZ$1945,1,OC_Donor)="","",INDEX('OneCause_Paste'!$A$1945:$AZ$1945,1,OC_Donor)))</f>
        <v/>
      </c>
    </row>
    <row r="1946">
      <c r="A1946" s="62">
        <f>IF(H1946="","",IF(ISNUMBER(N1946),N1946,I1946))</f>
        <v/>
      </c>
      <c r="B1946">
        <f>IF(H1946="","",U1946)</f>
        <v/>
      </c>
      <c r="C1946">
        <f>IF(H1946="","",IF(P1946="",K1946,INDEX('Students'!$A$2:$A$701,P1946)))</f>
        <v/>
      </c>
      <c r="D1946">
        <f>IF(OR(H1946="",P1946=""),"",INDEX('Students'!$B$2:$B$701,P1946))</f>
        <v/>
      </c>
      <c r="E1946">
        <f>IF(OR(H1946="",P1946=""),"",INDEX('Students'!$C$2:$C$701,P1946))</f>
        <v/>
      </c>
      <c r="F1946" s="48">
        <f>IF(H1946="","",IF(ISNUMBER(O1946),O1946,J1946))</f>
        <v/>
      </c>
      <c r="G1946">
        <f>IF(H1946="","","OneCause")</f>
        <v/>
      </c>
      <c r="H1946">
        <f>IF(AND(I1946="",J1946="",K1946=""),"",IF(NOT(ISNUMBER(O1946)),"Bad amount",IF(O1946&lt;0,"Refund (not counted)",IF(O1946=0,"Zero amount",IF(NOT(ISNUMBER(N1946)),"Bad date",IF(P1946="","NAME NOT ON ROSTER",IF(L1946="","OK",IF(MATCH(L1946,$L$2:$L$3001,0)&lt;ROW()-1,"Duplicate (ignored)","OK"))))))))</f>
        <v/>
      </c>
      <c r="I1946">
        <f>IF(OC_Date=0,"",IF(INDEX('OneCause_Paste'!$A$1946:$AZ$1946,1,OC_Date)="","",INDEX('OneCause_Paste'!$A$1946:$AZ$1946,1,OC_Date)))</f>
        <v/>
      </c>
      <c r="J1946">
        <f>IF(OC_Amt=0,"",IF(INDEX('OneCause_Paste'!$A$1946:$AZ$1946,1,OC_Amt)="","",INDEX('OneCause_Paste'!$A$1946:$AZ$1946,1,OC_Amt)))</f>
        <v/>
      </c>
      <c r="K1946">
        <f>IF(OC_Name=0,"",IF(INDEX('OneCause_Paste'!$A$1946:$AZ$1946,1,OC_Name)="","",INDEX('OneCause_Paste'!$A$1946:$AZ$1946,1,OC_Name)))</f>
        <v/>
      </c>
      <c r="L1946">
        <f>IF(OC_Txn=0,"",IF(INDEX('OneCause_Paste'!$A$1946:$AZ$1946,1,OC_Txn)="","",INDEX('OneCause_Paste'!$A$1946:$AZ$1946,1,OC_Txn)))</f>
        <v/>
      </c>
      <c r="M1946">
        <f>IF(OC_Pay=0,"",IF(INDEX('OneCause_Paste'!$A$1946:$AZ$1946,1,OC_Pay)="","",INDEX('OneCause_Paste'!$A$1946:$AZ$1946,1,OC_Pay)))</f>
        <v/>
      </c>
      <c r="N1946">
        <f>IF(I1946="","",IF(ISNUMBER(I1946),INT(I1946),IFERROR(INT(DATEVALUE(I1946)),IFERROR(INT(VALUE(I1946)),"bad"))))</f>
        <v/>
      </c>
      <c r="O1946">
        <f>IF(J1946="","",IF(ISNUMBER(J1946),ROUND(J1946,2),IFERROR(ROUND(VALUE(SUBSTITUTE(SUBSTITUTE(SUBSTITUTE(J1946,"$",""),",","")," ","")),2),"bad")))</f>
        <v/>
      </c>
      <c r="P1946">
        <f>IF(TRIM(K1946)="","",IFERROR(MATCH(LOWER(TRIM(K1946)),'Students'!$AH$2:$AH$701,0),IFERROR(MATCH(LOWER(TRIM(K1946)),'Students'!$AF$2:$AF$701,0),IFERROR(MATCH(LOWER(TRIM(K1946)),'Students'!$AG$2:$AG$701,0),""))))</f>
        <v/>
      </c>
      <c r="R1946">
        <f>IF(P1946="","",INDEX('Students'!$AD$2:$AD$701,P1946))</f>
        <v/>
      </c>
      <c r="S1946">
        <f>IF(H1946="OK",O1946,0)</f>
        <v/>
      </c>
      <c r="T1946">
        <f>IF(H1946="OK",N1946,"")</f>
        <v/>
      </c>
      <c r="U1946">
        <f>IF(OC_Donor=0,"",IF(INDEX('OneCause_Paste'!$A$1946:$AZ$1946,1,OC_Donor)="","",INDEX('OneCause_Paste'!$A$1946:$AZ$1946,1,OC_Donor)))</f>
        <v/>
      </c>
    </row>
    <row r="1947">
      <c r="A1947" s="62">
        <f>IF(H1947="","",IF(ISNUMBER(N1947),N1947,I1947))</f>
        <v/>
      </c>
      <c r="B1947">
        <f>IF(H1947="","",U1947)</f>
        <v/>
      </c>
      <c r="C1947">
        <f>IF(H1947="","",IF(P1947="",K1947,INDEX('Students'!$A$2:$A$701,P1947)))</f>
        <v/>
      </c>
      <c r="D1947">
        <f>IF(OR(H1947="",P1947=""),"",INDEX('Students'!$B$2:$B$701,P1947))</f>
        <v/>
      </c>
      <c r="E1947">
        <f>IF(OR(H1947="",P1947=""),"",INDEX('Students'!$C$2:$C$701,P1947))</f>
        <v/>
      </c>
      <c r="F1947" s="48">
        <f>IF(H1947="","",IF(ISNUMBER(O1947),O1947,J1947))</f>
        <v/>
      </c>
      <c r="G1947">
        <f>IF(H1947="","","OneCause")</f>
        <v/>
      </c>
      <c r="H1947">
        <f>IF(AND(I1947="",J1947="",K1947=""),"",IF(NOT(ISNUMBER(O1947)),"Bad amount",IF(O1947&lt;0,"Refund (not counted)",IF(O1947=0,"Zero amount",IF(NOT(ISNUMBER(N1947)),"Bad date",IF(P1947="","NAME NOT ON ROSTER",IF(L1947="","OK",IF(MATCH(L1947,$L$2:$L$3001,0)&lt;ROW()-1,"Duplicate (ignored)","OK"))))))))</f>
        <v/>
      </c>
      <c r="I1947">
        <f>IF(OC_Date=0,"",IF(INDEX('OneCause_Paste'!$A$1947:$AZ$1947,1,OC_Date)="","",INDEX('OneCause_Paste'!$A$1947:$AZ$1947,1,OC_Date)))</f>
        <v/>
      </c>
      <c r="J1947">
        <f>IF(OC_Amt=0,"",IF(INDEX('OneCause_Paste'!$A$1947:$AZ$1947,1,OC_Amt)="","",INDEX('OneCause_Paste'!$A$1947:$AZ$1947,1,OC_Amt)))</f>
        <v/>
      </c>
      <c r="K1947">
        <f>IF(OC_Name=0,"",IF(INDEX('OneCause_Paste'!$A$1947:$AZ$1947,1,OC_Name)="","",INDEX('OneCause_Paste'!$A$1947:$AZ$1947,1,OC_Name)))</f>
        <v/>
      </c>
      <c r="L1947">
        <f>IF(OC_Txn=0,"",IF(INDEX('OneCause_Paste'!$A$1947:$AZ$1947,1,OC_Txn)="","",INDEX('OneCause_Paste'!$A$1947:$AZ$1947,1,OC_Txn)))</f>
        <v/>
      </c>
      <c r="M1947">
        <f>IF(OC_Pay=0,"",IF(INDEX('OneCause_Paste'!$A$1947:$AZ$1947,1,OC_Pay)="","",INDEX('OneCause_Paste'!$A$1947:$AZ$1947,1,OC_Pay)))</f>
        <v/>
      </c>
      <c r="N1947">
        <f>IF(I1947="","",IF(ISNUMBER(I1947),INT(I1947),IFERROR(INT(DATEVALUE(I1947)),IFERROR(INT(VALUE(I1947)),"bad"))))</f>
        <v/>
      </c>
      <c r="O1947">
        <f>IF(J1947="","",IF(ISNUMBER(J1947),ROUND(J1947,2),IFERROR(ROUND(VALUE(SUBSTITUTE(SUBSTITUTE(SUBSTITUTE(J1947,"$",""),",","")," ","")),2),"bad")))</f>
        <v/>
      </c>
      <c r="P1947">
        <f>IF(TRIM(K1947)="","",IFERROR(MATCH(LOWER(TRIM(K1947)),'Students'!$AH$2:$AH$701,0),IFERROR(MATCH(LOWER(TRIM(K1947)),'Students'!$AF$2:$AF$701,0),IFERROR(MATCH(LOWER(TRIM(K1947)),'Students'!$AG$2:$AG$701,0),""))))</f>
        <v/>
      </c>
      <c r="R1947">
        <f>IF(P1947="","",INDEX('Students'!$AD$2:$AD$701,P1947))</f>
        <v/>
      </c>
      <c r="S1947">
        <f>IF(H1947="OK",O1947,0)</f>
        <v/>
      </c>
      <c r="T1947">
        <f>IF(H1947="OK",N1947,"")</f>
        <v/>
      </c>
      <c r="U1947">
        <f>IF(OC_Donor=0,"",IF(INDEX('OneCause_Paste'!$A$1947:$AZ$1947,1,OC_Donor)="","",INDEX('OneCause_Paste'!$A$1947:$AZ$1947,1,OC_Donor)))</f>
        <v/>
      </c>
    </row>
    <row r="1948">
      <c r="A1948" s="62">
        <f>IF(H1948="","",IF(ISNUMBER(N1948),N1948,I1948))</f>
        <v/>
      </c>
      <c r="B1948">
        <f>IF(H1948="","",U1948)</f>
        <v/>
      </c>
      <c r="C1948">
        <f>IF(H1948="","",IF(P1948="",K1948,INDEX('Students'!$A$2:$A$701,P1948)))</f>
        <v/>
      </c>
      <c r="D1948">
        <f>IF(OR(H1948="",P1948=""),"",INDEX('Students'!$B$2:$B$701,P1948))</f>
        <v/>
      </c>
      <c r="E1948">
        <f>IF(OR(H1948="",P1948=""),"",INDEX('Students'!$C$2:$C$701,P1948))</f>
        <v/>
      </c>
      <c r="F1948" s="48">
        <f>IF(H1948="","",IF(ISNUMBER(O1948),O1948,J1948))</f>
        <v/>
      </c>
      <c r="G1948">
        <f>IF(H1948="","","OneCause")</f>
        <v/>
      </c>
      <c r="H1948">
        <f>IF(AND(I1948="",J1948="",K1948=""),"",IF(NOT(ISNUMBER(O1948)),"Bad amount",IF(O1948&lt;0,"Refund (not counted)",IF(O1948=0,"Zero amount",IF(NOT(ISNUMBER(N1948)),"Bad date",IF(P1948="","NAME NOT ON ROSTER",IF(L1948="","OK",IF(MATCH(L1948,$L$2:$L$3001,0)&lt;ROW()-1,"Duplicate (ignored)","OK"))))))))</f>
        <v/>
      </c>
      <c r="I1948">
        <f>IF(OC_Date=0,"",IF(INDEX('OneCause_Paste'!$A$1948:$AZ$1948,1,OC_Date)="","",INDEX('OneCause_Paste'!$A$1948:$AZ$1948,1,OC_Date)))</f>
        <v/>
      </c>
      <c r="J1948">
        <f>IF(OC_Amt=0,"",IF(INDEX('OneCause_Paste'!$A$1948:$AZ$1948,1,OC_Amt)="","",INDEX('OneCause_Paste'!$A$1948:$AZ$1948,1,OC_Amt)))</f>
        <v/>
      </c>
      <c r="K1948">
        <f>IF(OC_Name=0,"",IF(INDEX('OneCause_Paste'!$A$1948:$AZ$1948,1,OC_Name)="","",INDEX('OneCause_Paste'!$A$1948:$AZ$1948,1,OC_Name)))</f>
        <v/>
      </c>
      <c r="L1948">
        <f>IF(OC_Txn=0,"",IF(INDEX('OneCause_Paste'!$A$1948:$AZ$1948,1,OC_Txn)="","",INDEX('OneCause_Paste'!$A$1948:$AZ$1948,1,OC_Txn)))</f>
        <v/>
      </c>
      <c r="M1948">
        <f>IF(OC_Pay=0,"",IF(INDEX('OneCause_Paste'!$A$1948:$AZ$1948,1,OC_Pay)="","",INDEX('OneCause_Paste'!$A$1948:$AZ$1948,1,OC_Pay)))</f>
        <v/>
      </c>
      <c r="N1948">
        <f>IF(I1948="","",IF(ISNUMBER(I1948),INT(I1948),IFERROR(INT(DATEVALUE(I1948)),IFERROR(INT(VALUE(I1948)),"bad"))))</f>
        <v/>
      </c>
      <c r="O1948">
        <f>IF(J1948="","",IF(ISNUMBER(J1948),ROUND(J1948,2),IFERROR(ROUND(VALUE(SUBSTITUTE(SUBSTITUTE(SUBSTITUTE(J1948,"$",""),",","")," ","")),2),"bad")))</f>
        <v/>
      </c>
      <c r="P1948">
        <f>IF(TRIM(K1948)="","",IFERROR(MATCH(LOWER(TRIM(K1948)),'Students'!$AH$2:$AH$701,0),IFERROR(MATCH(LOWER(TRIM(K1948)),'Students'!$AF$2:$AF$701,0),IFERROR(MATCH(LOWER(TRIM(K1948)),'Students'!$AG$2:$AG$701,0),""))))</f>
        <v/>
      </c>
      <c r="R1948">
        <f>IF(P1948="","",INDEX('Students'!$AD$2:$AD$701,P1948))</f>
        <v/>
      </c>
      <c r="S1948">
        <f>IF(H1948="OK",O1948,0)</f>
        <v/>
      </c>
      <c r="T1948">
        <f>IF(H1948="OK",N1948,"")</f>
        <v/>
      </c>
      <c r="U1948">
        <f>IF(OC_Donor=0,"",IF(INDEX('OneCause_Paste'!$A$1948:$AZ$1948,1,OC_Donor)="","",INDEX('OneCause_Paste'!$A$1948:$AZ$1948,1,OC_Donor)))</f>
        <v/>
      </c>
    </row>
    <row r="1949">
      <c r="A1949" s="62">
        <f>IF(H1949="","",IF(ISNUMBER(N1949),N1949,I1949))</f>
        <v/>
      </c>
      <c r="B1949">
        <f>IF(H1949="","",U1949)</f>
        <v/>
      </c>
      <c r="C1949">
        <f>IF(H1949="","",IF(P1949="",K1949,INDEX('Students'!$A$2:$A$701,P1949)))</f>
        <v/>
      </c>
      <c r="D1949">
        <f>IF(OR(H1949="",P1949=""),"",INDEX('Students'!$B$2:$B$701,P1949))</f>
        <v/>
      </c>
      <c r="E1949">
        <f>IF(OR(H1949="",P1949=""),"",INDEX('Students'!$C$2:$C$701,P1949))</f>
        <v/>
      </c>
      <c r="F1949" s="48">
        <f>IF(H1949="","",IF(ISNUMBER(O1949),O1949,J1949))</f>
        <v/>
      </c>
      <c r="G1949">
        <f>IF(H1949="","","OneCause")</f>
        <v/>
      </c>
      <c r="H1949">
        <f>IF(AND(I1949="",J1949="",K1949=""),"",IF(NOT(ISNUMBER(O1949)),"Bad amount",IF(O1949&lt;0,"Refund (not counted)",IF(O1949=0,"Zero amount",IF(NOT(ISNUMBER(N1949)),"Bad date",IF(P1949="","NAME NOT ON ROSTER",IF(L1949="","OK",IF(MATCH(L1949,$L$2:$L$3001,0)&lt;ROW()-1,"Duplicate (ignored)","OK"))))))))</f>
        <v/>
      </c>
      <c r="I1949">
        <f>IF(OC_Date=0,"",IF(INDEX('OneCause_Paste'!$A$1949:$AZ$1949,1,OC_Date)="","",INDEX('OneCause_Paste'!$A$1949:$AZ$1949,1,OC_Date)))</f>
        <v/>
      </c>
      <c r="J1949">
        <f>IF(OC_Amt=0,"",IF(INDEX('OneCause_Paste'!$A$1949:$AZ$1949,1,OC_Amt)="","",INDEX('OneCause_Paste'!$A$1949:$AZ$1949,1,OC_Amt)))</f>
        <v/>
      </c>
      <c r="K1949">
        <f>IF(OC_Name=0,"",IF(INDEX('OneCause_Paste'!$A$1949:$AZ$1949,1,OC_Name)="","",INDEX('OneCause_Paste'!$A$1949:$AZ$1949,1,OC_Name)))</f>
        <v/>
      </c>
      <c r="L1949">
        <f>IF(OC_Txn=0,"",IF(INDEX('OneCause_Paste'!$A$1949:$AZ$1949,1,OC_Txn)="","",INDEX('OneCause_Paste'!$A$1949:$AZ$1949,1,OC_Txn)))</f>
        <v/>
      </c>
      <c r="M1949">
        <f>IF(OC_Pay=0,"",IF(INDEX('OneCause_Paste'!$A$1949:$AZ$1949,1,OC_Pay)="","",INDEX('OneCause_Paste'!$A$1949:$AZ$1949,1,OC_Pay)))</f>
        <v/>
      </c>
      <c r="N1949">
        <f>IF(I1949="","",IF(ISNUMBER(I1949),INT(I1949),IFERROR(INT(DATEVALUE(I1949)),IFERROR(INT(VALUE(I1949)),"bad"))))</f>
        <v/>
      </c>
      <c r="O1949">
        <f>IF(J1949="","",IF(ISNUMBER(J1949),ROUND(J1949,2),IFERROR(ROUND(VALUE(SUBSTITUTE(SUBSTITUTE(SUBSTITUTE(J1949,"$",""),",","")," ","")),2),"bad")))</f>
        <v/>
      </c>
      <c r="P1949">
        <f>IF(TRIM(K1949)="","",IFERROR(MATCH(LOWER(TRIM(K1949)),'Students'!$AH$2:$AH$701,0),IFERROR(MATCH(LOWER(TRIM(K1949)),'Students'!$AF$2:$AF$701,0),IFERROR(MATCH(LOWER(TRIM(K1949)),'Students'!$AG$2:$AG$701,0),""))))</f>
        <v/>
      </c>
      <c r="R1949">
        <f>IF(P1949="","",INDEX('Students'!$AD$2:$AD$701,P1949))</f>
        <v/>
      </c>
      <c r="S1949">
        <f>IF(H1949="OK",O1949,0)</f>
        <v/>
      </c>
      <c r="T1949">
        <f>IF(H1949="OK",N1949,"")</f>
        <v/>
      </c>
      <c r="U1949">
        <f>IF(OC_Donor=0,"",IF(INDEX('OneCause_Paste'!$A$1949:$AZ$1949,1,OC_Donor)="","",INDEX('OneCause_Paste'!$A$1949:$AZ$1949,1,OC_Donor)))</f>
        <v/>
      </c>
    </row>
    <row r="1950">
      <c r="A1950" s="62">
        <f>IF(H1950="","",IF(ISNUMBER(N1950),N1950,I1950))</f>
        <v/>
      </c>
      <c r="B1950">
        <f>IF(H1950="","",U1950)</f>
        <v/>
      </c>
      <c r="C1950">
        <f>IF(H1950="","",IF(P1950="",K1950,INDEX('Students'!$A$2:$A$701,P1950)))</f>
        <v/>
      </c>
      <c r="D1950">
        <f>IF(OR(H1950="",P1950=""),"",INDEX('Students'!$B$2:$B$701,P1950))</f>
        <v/>
      </c>
      <c r="E1950">
        <f>IF(OR(H1950="",P1950=""),"",INDEX('Students'!$C$2:$C$701,P1950))</f>
        <v/>
      </c>
      <c r="F1950" s="48">
        <f>IF(H1950="","",IF(ISNUMBER(O1950),O1950,J1950))</f>
        <v/>
      </c>
      <c r="G1950">
        <f>IF(H1950="","","OneCause")</f>
        <v/>
      </c>
      <c r="H1950">
        <f>IF(AND(I1950="",J1950="",K1950=""),"",IF(NOT(ISNUMBER(O1950)),"Bad amount",IF(O1950&lt;0,"Refund (not counted)",IF(O1950=0,"Zero amount",IF(NOT(ISNUMBER(N1950)),"Bad date",IF(P1950="","NAME NOT ON ROSTER",IF(L1950="","OK",IF(MATCH(L1950,$L$2:$L$3001,0)&lt;ROW()-1,"Duplicate (ignored)","OK"))))))))</f>
        <v/>
      </c>
      <c r="I1950">
        <f>IF(OC_Date=0,"",IF(INDEX('OneCause_Paste'!$A$1950:$AZ$1950,1,OC_Date)="","",INDEX('OneCause_Paste'!$A$1950:$AZ$1950,1,OC_Date)))</f>
        <v/>
      </c>
      <c r="J1950">
        <f>IF(OC_Amt=0,"",IF(INDEX('OneCause_Paste'!$A$1950:$AZ$1950,1,OC_Amt)="","",INDEX('OneCause_Paste'!$A$1950:$AZ$1950,1,OC_Amt)))</f>
        <v/>
      </c>
      <c r="K1950">
        <f>IF(OC_Name=0,"",IF(INDEX('OneCause_Paste'!$A$1950:$AZ$1950,1,OC_Name)="","",INDEX('OneCause_Paste'!$A$1950:$AZ$1950,1,OC_Name)))</f>
        <v/>
      </c>
      <c r="L1950">
        <f>IF(OC_Txn=0,"",IF(INDEX('OneCause_Paste'!$A$1950:$AZ$1950,1,OC_Txn)="","",INDEX('OneCause_Paste'!$A$1950:$AZ$1950,1,OC_Txn)))</f>
        <v/>
      </c>
      <c r="M1950">
        <f>IF(OC_Pay=0,"",IF(INDEX('OneCause_Paste'!$A$1950:$AZ$1950,1,OC_Pay)="","",INDEX('OneCause_Paste'!$A$1950:$AZ$1950,1,OC_Pay)))</f>
        <v/>
      </c>
      <c r="N1950">
        <f>IF(I1950="","",IF(ISNUMBER(I1950),INT(I1950),IFERROR(INT(DATEVALUE(I1950)),IFERROR(INT(VALUE(I1950)),"bad"))))</f>
        <v/>
      </c>
      <c r="O1950">
        <f>IF(J1950="","",IF(ISNUMBER(J1950),ROUND(J1950,2),IFERROR(ROUND(VALUE(SUBSTITUTE(SUBSTITUTE(SUBSTITUTE(J1950,"$",""),",","")," ","")),2),"bad")))</f>
        <v/>
      </c>
      <c r="P1950">
        <f>IF(TRIM(K1950)="","",IFERROR(MATCH(LOWER(TRIM(K1950)),'Students'!$AH$2:$AH$701,0),IFERROR(MATCH(LOWER(TRIM(K1950)),'Students'!$AF$2:$AF$701,0),IFERROR(MATCH(LOWER(TRIM(K1950)),'Students'!$AG$2:$AG$701,0),""))))</f>
        <v/>
      </c>
      <c r="R1950">
        <f>IF(P1950="","",INDEX('Students'!$AD$2:$AD$701,P1950))</f>
        <v/>
      </c>
      <c r="S1950">
        <f>IF(H1950="OK",O1950,0)</f>
        <v/>
      </c>
      <c r="T1950">
        <f>IF(H1950="OK",N1950,"")</f>
        <v/>
      </c>
      <c r="U1950">
        <f>IF(OC_Donor=0,"",IF(INDEX('OneCause_Paste'!$A$1950:$AZ$1950,1,OC_Donor)="","",INDEX('OneCause_Paste'!$A$1950:$AZ$1950,1,OC_Donor)))</f>
        <v/>
      </c>
    </row>
    <row r="1951">
      <c r="A1951" s="62">
        <f>IF(H1951="","",IF(ISNUMBER(N1951),N1951,I1951))</f>
        <v/>
      </c>
      <c r="B1951">
        <f>IF(H1951="","",U1951)</f>
        <v/>
      </c>
      <c r="C1951">
        <f>IF(H1951="","",IF(P1951="",K1951,INDEX('Students'!$A$2:$A$701,P1951)))</f>
        <v/>
      </c>
      <c r="D1951">
        <f>IF(OR(H1951="",P1951=""),"",INDEX('Students'!$B$2:$B$701,P1951))</f>
        <v/>
      </c>
      <c r="E1951">
        <f>IF(OR(H1951="",P1951=""),"",INDEX('Students'!$C$2:$C$701,P1951))</f>
        <v/>
      </c>
      <c r="F1951" s="48">
        <f>IF(H1951="","",IF(ISNUMBER(O1951),O1951,J1951))</f>
        <v/>
      </c>
      <c r="G1951">
        <f>IF(H1951="","","OneCause")</f>
        <v/>
      </c>
      <c r="H1951">
        <f>IF(AND(I1951="",J1951="",K1951=""),"",IF(NOT(ISNUMBER(O1951)),"Bad amount",IF(O1951&lt;0,"Refund (not counted)",IF(O1951=0,"Zero amount",IF(NOT(ISNUMBER(N1951)),"Bad date",IF(P1951="","NAME NOT ON ROSTER",IF(L1951="","OK",IF(MATCH(L1951,$L$2:$L$3001,0)&lt;ROW()-1,"Duplicate (ignored)","OK"))))))))</f>
        <v/>
      </c>
      <c r="I1951">
        <f>IF(OC_Date=0,"",IF(INDEX('OneCause_Paste'!$A$1951:$AZ$1951,1,OC_Date)="","",INDEX('OneCause_Paste'!$A$1951:$AZ$1951,1,OC_Date)))</f>
        <v/>
      </c>
      <c r="J1951">
        <f>IF(OC_Amt=0,"",IF(INDEX('OneCause_Paste'!$A$1951:$AZ$1951,1,OC_Amt)="","",INDEX('OneCause_Paste'!$A$1951:$AZ$1951,1,OC_Amt)))</f>
        <v/>
      </c>
      <c r="K1951">
        <f>IF(OC_Name=0,"",IF(INDEX('OneCause_Paste'!$A$1951:$AZ$1951,1,OC_Name)="","",INDEX('OneCause_Paste'!$A$1951:$AZ$1951,1,OC_Name)))</f>
        <v/>
      </c>
      <c r="L1951">
        <f>IF(OC_Txn=0,"",IF(INDEX('OneCause_Paste'!$A$1951:$AZ$1951,1,OC_Txn)="","",INDEX('OneCause_Paste'!$A$1951:$AZ$1951,1,OC_Txn)))</f>
        <v/>
      </c>
      <c r="M1951">
        <f>IF(OC_Pay=0,"",IF(INDEX('OneCause_Paste'!$A$1951:$AZ$1951,1,OC_Pay)="","",INDEX('OneCause_Paste'!$A$1951:$AZ$1951,1,OC_Pay)))</f>
        <v/>
      </c>
      <c r="N1951">
        <f>IF(I1951="","",IF(ISNUMBER(I1951),INT(I1951),IFERROR(INT(DATEVALUE(I1951)),IFERROR(INT(VALUE(I1951)),"bad"))))</f>
        <v/>
      </c>
      <c r="O1951">
        <f>IF(J1951="","",IF(ISNUMBER(J1951),ROUND(J1951,2),IFERROR(ROUND(VALUE(SUBSTITUTE(SUBSTITUTE(SUBSTITUTE(J1951,"$",""),",","")," ","")),2),"bad")))</f>
        <v/>
      </c>
      <c r="P1951">
        <f>IF(TRIM(K1951)="","",IFERROR(MATCH(LOWER(TRIM(K1951)),'Students'!$AH$2:$AH$701,0),IFERROR(MATCH(LOWER(TRIM(K1951)),'Students'!$AF$2:$AF$701,0),IFERROR(MATCH(LOWER(TRIM(K1951)),'Students'!$AG$2:$AG$701,0),""))))</f>
        <v/>
      </c>
      <c r="R1951">
        <f>IF(P1951="","",INDEX('Students'!$AD$2:$AD$701,P1951))</f>
        <v/>
      </c>
      <c r="S1951">
        <f>IF(H1951="OK",O1951,0)</f>
        <v/>
      </c>
      <c r="T1951">
        <f>IF(H1951="OK",N1951,"")</f>
        <v/>
      </c>
      <c r="U1951">
        <f>IF(OC_Donor=0,"",IF(INDEX('OneCause_Paste'!$A$1951:$AZ$1951,1,OC_Donor)="","",INDEX('OneCause_Paste'!$A$1951:$AZ$1951,1,OC_Donor)))</f>
        <v/>
      </c>
    </row>
    <row r="1952">
      <c r="A1952" s="62">
        <f>IF(H1952="","",IF(ISNUMBER(N1952),N1952,I1952))</f>
        <v/>
      </c>
      <c r="B1952">
        <f>IF(H1952="","",U1952)</f>
        <v/>
      </c>
      <c r="C1952">
        <f>IF(H1952="","",IF(P1952="",K1952,INDEX('Students'!$A$2:$A$701,P1952)))</f>
        <v/>
      </c>
      <c r="D1952">
        <f>IF(OR(H1952="",P1952=""),"",INDEX('Students'!$B$2:$B$701,P1952))</f>
        <v/>
      </c>
      <c r="E1952">
        <f>IF(OR(H1952="",P1952=""),"",INDEX('Students'!$C$2:$C$701,P1952))</f>
        <v/>
      </c>
      <c r="F1952" s="48">
        <f>IF(H1952="","",IF(ISNUMBER(O1952),O1952,J1952))</f>
        <v/>
      </c>
      <c r="G1952">
        <f>IF(H1952="","","OneCause")</f>
        <v/>
      </c>
      <c r="H1952">
        <f>IF(AND(I1952="",J1952="",K1952=""),"",IF(NOT(ISNUMBER(O1952)),"Bad amount",IF(O1952&lt;0,"Refund (not counted)",IF(O1952=0,"Zero amount",IF(NOT(ISNUMBER(N1952)),"Bad date",IF(P1952="","NAME NOT ON ROSTER",IF(L1952="","OK",IF(MATCH(L1952,$L$2:$L$3001,0)&lt;ROW()-1,"Duplicate (ignored)","OK"))))))))</f>
        <v/>
      </c>
      <c r="I1952">
        <f>IF(OC_Date=0,"",IF(INDEX('OneCause_Paste'!$A$1952:$AZ$1952,1,OC_Date)="","",INDEX('OneCause_Paste'!$A$1952:$AZ$1952,1,OC_Date)))</f>
        <v/>
      </c>
      <c r="J1952">
        <f>IF(OC_Amt=0,"",IF(INDEX('OneCause_Paste'!$A$1952:$AZ$1952,1,OC_Amt)="","",INDEX('OneCause_Paste'!$A$1952:$AZ$1952,1,OC_Amt)))</f>
        <v/>
      </c>
      <c r="K1952">
        <f>IF(OC_Name=0,"",IF(INDEX('OneCause_Paste'!$A$1952:$AZ$1952,1,OC_Name)="","",INDEX('OneCause_Paste'!$A$1952:$AZ$1952,1,OC_Name)))</f>
        <v/>
      </c>
      <c r="L1952">
        <f>IF(OC_Txn=0,"",IF(INDEX('OneCause_Paste'!$A$1952:$AZ$1952,1,OC_Txn)="","",INDEX('OneCause_Paste'!$A$1952:$AZ$1952,1,OC_Txn)))</f>
        <v/>
      </c>
      <c r="M1952">
        <f>IF(OC_Pay=0,"",IF(INDEX('OneCause_Paste'!$A$1952:$AZ$1952,1,OC_Pay)="","",INDEX('OneCause_Paste'!$A$1952:$AZ$1952,1,OC_Pay)))</f>
        <v/>
      </c>
      <c r="N1952">
        <f>IF(I1952="","",IF(ISNUMBER(I1952),INT(I1952),IFERROR(INT(DATEVALUE(I1952)),IFERROR(INT(VALUE(I1952)),"bad"))))</f>
        <v/>
      </c>
      <c r="O1952">
        <f>IF(J1952="","",IF(ISNUMBER(J1952),ROUND(J1952,2),IFERROR(ROUND(VALUE(SUBSTITUTE(SUBSTITUTE(SUBSTITUTE(J1952,"$",""),",","")," ","")),2),"bad")))</f>
        <v/>
      </c>
      <c r="P1952">
        <f>IF(TRIM(K1952)="","",IFERROR(MATCH(LOWER(TRIM(K1952)),'Students'!$AH$2:$AH$701,0),IFERROR(MATCH(LOWER(TRIM(K1952)),'Students'!$AF$2:$AF$701,0),IFERROR(MATCH(LOWER(TRIM(K1952)),'Students'!$AG$2:$AG$701,0),""))))</f>
        <v/>
      </c>
      <c r="R1952">
        <f>IF(P1952="","",INDEX('Students'!$AD$2:$AD$701,P1952))</f>
        <v/>
      </c>
      <c r="S1952">
        <f>IF(H1952="OK",O1952,0)</f>
        <v/>
      </c>
      <c r="T1952">
        <f>IF(H1952="OK",N1952,"")</f>
        <v/>
      </c>
      <c r="U1952">
        <f>IF(OC_Donor=0,"",IF(INDEX('OneCause_Paste'!$A$1952:$AZ$1952,1,OC_Donor)="","",INDEX('OneCause_Paste'!$A$1952:$AZ$1952,1,OC_Donor)))</f>
        <v/>
      </c>
    </row>
    <row r="1953">
      <c r="A1953" s="62">
        <f>IF(H1953="","",IF(ISNUMBER(N1953),N1953,I1953))</f>
        <v/>
      </c>
      <c r="B1953">
        <f>IF(H1953="","",U1953)</f>
        <v/>
      </c>
      <c r="C1953">
        <f>IF(H1953="","",IF(P1953="",K1953,INDEX('Students'!$A$2:$A$701,P1953)))</f>
        <v/>
      </c>
      <c r="D1953">
        <f>IF(OR(H1953="",P1953=""),"",INDEX('Students'!$B$2:$B$701,P1953))</f>
        <v/>
      </c>
      <c r="E1953">
        <f>IF(OR(H1953="",P1953=""),"",INDEX('Students'!$C$2:$C$701,P1953))</f>
        <v/>
      </c>
      <c r="F1953" s="48">
        <f>IF(H1953="","",IF(ISNUMBER(O1953),O1953,J1953))</f>
        <v/>
      </c>
      <c r="G1953">
        <f>IF(H1953="","","OneCause")</f>
        <v/>
      </c>
      <c r="H1953">
        <f>IF(AND(I1953="",J1953="",K1953=""),"",IF(NOT(ISNUMBER(O1953)),"Bad amount",IF(O1953&lt;0,"Refund (not counted)",IF(O1953=0,"Zero amount",IF(NOT(ISNUMBER(N1953)),"Bad date",IF(P1953="","NAME NOT ON ROSTER",IF(L1953="","OK",IF(MATCH(L1953,$L$2:$L$3001,0)&lt;ROW()-1,"Duplicate (ignored)","OK"))))))))</f>
        <v/>
      </c>
      <c r="I1953">
        <f>IF(OC_Date=0,"",IF(INDEX('OneCause_Paste'!$A$1953:$AZ$1953,1,OC_Date)="","",INDEX('OneCause_Paste'!$A$1953:$AZ$1953,1,OC_Date)))</f>
        <v/>
      </c>
      <c r="J1953">
        <f>IF(OC_Amt=0,"",IF(INDEX('OneCause_Paste'!$A$1953:$AZ$1953,1,OC_Amt)="","",INDEX('OneCause_Paste'!$A$1953:$AZ$1953,1,OC_Amt)))</f>
        <v/>
      </c>
      <c r="K1953">
        <f>IF(OC_Name=0,"",IF(INDEX('OneCause_Paste'!$A$1953:$AZ$1953,1,OC_Name)="","",INDEX('OneCause_Paste'!$A$1953:$AZ$1953,1,OC_Name)))</f>
        <v/>
      </c>
      <c r="L1953">
        <f>IF(OC_Txn=0,"",IF(INDEX('OneCause_Paste'!$A$1953:$AZ$1953,1,OC_Txn)="","",INDEX('OneCause_Paste'!$A$1953:$AZ$1953,1,OC_Txn)))</f>
        <v/>
      </c>
      <c r="M1953">
        <f>IF(OC_Pay=0,"",IF(INDEX('OneCause_Paste'!$A$1953:$AZ$1953,1,OC_Pay)="","",INDEX('OneCause_Paste'!$A$1953:$AZ$1953,1,OC_Pay)))</f>
        <v/>
      </c>
      <c r="N1953">
        <f>IF(I1953="","",IF(ISNUMBER(I1953),INT(I1953),IFERROR(INT(DATEVALUE(I1953)),IFERROR(INT(VALUE(I1953)),"bad"))))</f>
        <v/>
      </c>
      <c r="O1953">
        <f>IF(J1953="","",IF(ISNUMBER(J1953),ROUND(J1953,2),IFERROR(ROUND(VALUE(SUBSTITUTE(SUBSTITUTE(SUBSTITUTE(J1953,"$",""),",","")," ","")),2),"bad")))</f>
        <v/>
      </c>
      <c r="P1953">
        <f>IF(TRIM(K1953)="","",IFERROR(MATCH(LOWER(TRIM(K1953)),'Students'!$AH$2:$AH$701,0),IFERROR(MATCH(LOWER(TRIM(K1953)),'Students'!$AF$2:$AF$701,0),IFERROR(MATCH(LOWER(TRIM(K1953)),'Students'!$AG$2:$AG$701,0),""))))</f>
        <v/>
      </c>
      <c r="R1953">
        <f>IF(P1953="","",INDEX('Students'!$AD$2:$AD$701,P1953))</f>
        <v/>
      </c>
      <c r="S1953">
        <f>IF(H1953="OK",O1953,0)</f>
        <v/>
      </c>
      <c r="T1953">
        <f>IF(H1953="OK",N1953,"")</f>
        <v/>
      </c>
      <c r="U1953">
        <f>IF(OC_Donor=0,"",IF(INDEX('OneCause_Paste'!$A$1953:$AZ$1953,1,OC_Donor)="","",INDEX('OneCause_Paste'!$A$1953:$AZ$1953,1,OC_Donor)))</f>
        <v/>
      </c>
    </row>
    <row r="1954">
      <c r="A1954" s="62">
        <f>IF(H1954="","",IF(ISNUMBER(N1954),N1954,I1954))</f>
        <v/>
      </c>
      <c r="B1954">
        <f>IF(H1954="","",U1954)</f>
        <v/>
      </c>
      <c r="C1954">
        <f>IF(H1954="","",IF(P1954="",K1954,INDEX('Students'!$A$2:$A$701,P1954)))</f>
        <v/>
      </c>
      <c r="D1954">
        <f>IF(OR(H1954="",P1954=""),"",INDEX('Students'!$B$2:$B$701,P1954))</f>
        <v/>
      </c>
      <c r="E1954">
        <f>IF(OR(H1954="",P1954=""),"",INDEX('Students'!$C$2:$C$701,P1954))</f>
        <v/>
      </c>
      <c r="F1954" s="48">
        <f>IF(H1954="","",IF(ISNUMBER(O1954),O1954,J1954))</f>
        <v/>
      </c>
      <c r="G1954">
        <f>IF(H1954="","","OneCause")</f>
        <v/>
      </c>
      <c r="H1954">
        <f>IF(AND(I1954="",J1954="",K1954=""),"",IF(NOT(ISNUMBER(O1954)),"Bad amount",IF(O1954&lt;0,"Refund (not counted)",IF(O1954=0,"Zero amount",IF(NOT(ISNUMBER(N1954)),"Bad date",IF(P1954="","NAME NOT ON ROSTER",IF(L1954="","OK",IF(MATCH(L1954,$L$2:$L$3001,0)&lt;ROW()-1,"Duplicate (ignored)","OK"))))))))</f>
        <v/>
      </c>
      <c r="I1954">
        <f>IF(OC_Date=0,"",IF(INDEX('OneCause_Paste'!$A$1954:$AZ$1954,1,OC_Date)="","",INDEX('OneCause_Paste'!$A$1954:$AZ$1954,1,OC_Date)))</f>
        <v/>
      </c>
      <c r="J1954">
        <f>IF(OC_Amt=0,"",IF(INDEX('OneCause_Paste'!$A$1954:$AZ$1954,1,OC_Amt)="","",INDEX('OneCause_Paste'!$A$1954:$AZ$1954,1,OC_Amt)))</f>
        <v/>
      </c>
      <c r="K1954">
        <f>IF(OC_Name=0,"",IF(INDEX('OneCause_Paste'!$A$1954:$AZ$1954,1,OC_Name)="","",INDEX('OneCause_Paste'!$A$1954:$AZ$1954,1,OC_Name)))</f>
        <v/>
      </c>
      <c r="L1954">
        <f>IF(OC_Txn=0,"",IF(INDEX('OneCause_Paste'!$A$1954:$AZ$1954,1,OC_Txn)="","",INDEX('OneCause_Paste'!$A$1954:$AZ$1954,1,OC_Txn)))</f>
        <v/>
      </c>
      <c r="M1954">
        <f>IF(OC_Pay=0,"",IF(INDEX('OneCause_Paste'!$A$1954:$AZ$1954,1,OC_Pay)="","",INDEX('OneCause_Paste'!$A$1954:$AZ$1954,1,OC_Pay)))</f>
        <v/>
      </c>
      <c r="N1954">
        <f>IF(I1954="","",IF(ISNUMBER(I1954),INT(I1954),IFERROR(INT(DATEVALUE(I1954)),IFERROR(INT(VALUE(I1954)),"bad"))))</f>
        <v/>
      </c>
      <c r="O1954">
        <f>IF(J1954="","",IF(ISNUMBER(J1954),ROUND(J1954,2),IFERROR(ROUND(VALUE(SUBSTITUTE(SUBSTITUTE(SUBSTITUTE(J1954,"$",""),",","")," ","")),2),"bad")))</f>
        <v/>
      </c>
      <c r="P1954">
        <f>IF(TRIM(K1954)="","",IFERROR(MATCH(LOWER(TRIM(K1954)),'Students'!$AH$2:$AH$701,0),IFERROR(MATCH(LOWER(TRIM(K1954)),'Students'!$AF$2:$AF$701,0),IFERROR(MATCH(LOWER(TRIM(K1954)),'Students'!$AG$2:$AG$701,0),""))))</f>
        <v/>
      </c>
      <c r="R1954">
        <f>IF(P1954="","",INDEX('Students'!$AD$2:$AD$701,P1954))</f>
        <v/>
      </c>
      <c r="S1954">
        <f>IF(H1954="OK",O1954,0)</f>
        <v/>
      </c>
      <c r="T1954">
        <f>IF(H1954="OK",N1954,"")</f>
        <v/>
      </c>
      <c r="U1954">
        <f>IF(OC_Donor=0,"",IF(INDEX('OneCause_Paste'!$A$1954:$AZ$1954,1,OC_Donor)="","",INDEX('OneCause_Paste'!$A$1954:$AZ$1954,1,OC_Donor)))</f>
        <v/>
      </c>
    </row>
    <row r="1955">
      <c r="A1955" s="62">
        <f>IF(H1955="","",IF(ISNUMBER(N1955),N1955,I1955))</f>
        <v/>
      </c>
      <c r="B1955">
        <f>IF(H1955="","",U1955)</f>
        <v/>
      </c>
      <c r="C1955">
        <f>IF(H1955="","",IF(P1955="",K1955,INDEX('Students'!$A$2:$A$701,P1955)))</f>
        <v/>
      </c>
      <c r="D1955">
        <f>IF(OR(H1955="",P1955=""),"",INDEX('Students'!$B$2:$B$701,P1955))</f>
        <v/>
      </c>
      <c r="E1955">
        <f>IF(OR(H1955="",P1955=""),"",INDEX('Students'!$C$2:$C$701,P1955))</f>
        <v/>
      </c>
      <c r="F1955" s="48">
        <f>IF(H1955="","",IF(ISNUMBER(O1955),O1955,J1955))</f>
        <v/>
      </c>
      <c r="G1955">
        <f>IF(H1955="","","OneCause")</f>
        <v/>
      </c>
      <c r="H1955">
        <f>IF(AND(I1955="",J1955="",K1955=""),"",IF(NOT(ISNUMBER(O1955)),"Bad amount",IF(O1955&lt;0,"Refund (not counted)",IF(O1955=0,"Zero amount",IF(NOT(ISNUMBER(N1955)),"Bad date",IF(P1955="","NAME NOT ON ROSTER",IF(L1955="","OK",IF(MATCH(L1955,$L$2:$L$3001,0)&lt;ROW()-1,"Duplicate (ignored)","OK"))))))))</f>
        <v/>
      </c>
      <c r="I1955">
        <f>IF(OC_Date=0,"",IF(INDEX('OneCause_Paste'!$A$1955:$AZ$1955,1,OC_Date)="","",INDEX('OneCause_Paste'!$A$1955:$AZ$1955,1,OC_Date)))</f>
        <v/>
      </c>
      <c r="J1955">
        <f>IF(OC_Amt=0,"",IF(INDEX('OneCause_Paste'!$A$1955:$AZ$1955,1,OC_Amt)="","",INDEX('OneCause_Paste'!$A$1955:$AZ$1955,1,OC_Amt)))</f>
        <v/>
      </c>
      <c r="K1955">
        <f>IF(OC_Name=0,"",IF(INDEX('OneCause_Paste'!$A$1955:$AZ$1955,1,OC_Name)="","",INDEX('OneCause_Paste'!$A$1955:$AZ$1955,1,OC_Name)))</f>
        <v/>
      </c>
      <c r="L1955">
        <f>IF(OC_Txn=0,"",IF(INDEX('OneCause_Paste'!$A$1955:$AZ$1955,1,OC_Txn)="","",INDEX('OneCause_Paste'!$A$1955:$AZ$1955,1,OC_Txn)))</f>
        <v/>
      </c>
      <c r="M1955">
        <f>IF(OC_Pay=0,"",IF(INDEX('OneCause_Paste'!$A$1955:$AZ$1955,1,OC_Pay)="","",INDEX('OneCause_Paste'!$A$1955:$AZ$1955,1,OC_Pay)))</f>
        <v/>
      </c>
      <c r="N1955">
        <f>IF(I1955="","",IF(ISNUMBER(I1955),INT(I1955),IFERROR(INT(DATEVALUE(I1955)),IFERROR(INT(VALUE(I1955)),"bad"))))</f>
        <v/>
      </c>
      <c r="O1955">
        <f>IF(J1955="","",IF(ISNUMBER(J1955),ROUND(J1955,2),IFERROR(ROUND(VALUE(SUBSTITUTE(SUBSTITUTE(SUBSTITUTE(J1955,"$",""),",","")," ","")),2),"bad")))</f>
        <v/>
      </c>
      <c r="P1955">
        <f>IF(TRIM(K1955)="","",IFERROR(MATCH(LOWER(TRIM(K1955)),'Students'!$AH$2:$AH$701,0),IFERROR(MATCH(LOWER(TRIM(K1955)),'Students'!$AF$2:$AF$701,0),IFERROR(MATCH(LOWER(TRIM(K1955)),'Students'!$AG$2:$AG$701,0),""))))</f>
        <v/>
      </c>
      <c r="R1955">
        <f>IF(P1955="","",INDEX('Students'!$AD$2:$AD$701,P1955))</f>
        <v/>
      </c>
      <c r="S1955">
        <f>IF(H1955="OK",O1955,0)</f>
        <v/>
      </c>
      <c r="T1955">
        <f>IF(H1955="OK",N1955,"")</f>
        <v/>
      </c>
      <c r="U1955">
        <f>IF(OC_Donor=0,"",IF(INDEX('OneCause_Paste'!$A$1955:$AZ$1955,1,OC_Donor)="","",INDEX('OneCause_Paste'!$A$1955:$AZ$1955,1,OC_Donor)))</f>
        <v/>
      </c>
    </row>
    <row r="1956">
      <c r="A1956" s="62">
        <f>IF(H1956="","",IF(ISNUMBER(N1956),N1956,I1956))</f>
        <v/>
      </c>
      <c r="B1956">
        <f>IF(H1956="","",U1956)</f>
        <v/>
      </c>
      <c r="C1956">
        <f>IF(H1956="","",IF(P1956="",K1956,INDEX('Students'!$A$2:$A$701,P1956)))</f>
        <v/>
      </c>
      <c r="D1956">
        <f>IF(OR(H1956="",P1956=""),"",INDEX('Students'!$B$2:$B$701,P1956))</f>
        <v/>
      </c>
      <c r="E1956">
        <f>IF(OR(H1956="",P1956=""),"",INDEX('Students'!$C$2:$C$701,P1956))</f>
        <v/>
      </c>
      <c r="F1956" s="48">
        <f>IF(H1956="","",IF(ISNUMBER(O1956),O1956,J1956))</f>
        <v/>
      </c>
      <c r="G1956">
        <f>IF(H1956="","","OneCause")</f>
        <v/>
      </c>
      <c r="H1956">
        <f>IF(AND(I1956="",J1956="",K1956=""),"",IF(NOT(ISNUMBER(O1956)),"Bad amount",IF(O1956&lt;0,"Refund (not counted)",IF(O1956=0,"Zero amount",IF(NOT(ISNUMBER(N1956)),"Bad date",IF(P1956="","NAME NOT ON ROSTER",IF(L1956="","OK",IF(MATCH(L1956,$L$2:$L$3001,0)&lt;ROW()-1,"Duplicate (ignored)","OK"))))))))</f>
        <v/>
      </c>
      <c r="I1956">
        <f>IF(OC_Date=0,"",IF(INDEX('OneCause_Paste'!$A$1956:$AZ$1956,1,OC_Date)="","",INDEX('OneCause_Paste'!$A$1956:$AZ$1956,1,OC_Date)))</f>
        <v/>
      </c>
      <c r="J1956">
        <f>IF(OC_Amt=0,"",IF(INDEX('OneCause_Paste'!$A$1956:$AZ$1956,1,OC_Amt)="","",INDEX('OneCause_Paste'!$A$1956:$AZ$1956,1,OC_Amt)))</f>
        <v/>
      </c>
      <c r="K1956">
        <f>IF(OC_Name=0,"",IF(INDEX('OneCause_Paste'!$A$1956:$AZ$1956,1,OC_Name)="","",INDEX('OneCause_Paste'!$A$1956:$AZ$1956,1,OC_Name)))</f>
        <v/>
      </c>
      <c r="L1956">
        <f>IF(OC_Txn=0,"",IF(INDEX('OneCause_Paste'!$A$1956:$AZ$1956,1,OC_Txn)="","",INDEX('OneCause_Paste'!$A$1956:$AZ$1956,1,OC_Txn)))</f>
        <v/>
      </c>
      <c r="M1956">
        <f>IF(OC_Pay=0,"",IF(INDEX('OneCause_Paste'!$A$1956:$AZ$1956,1,OC_Pay)="","",INDEX('OneCause_Paste'!$A$1956:$AZ$1956,1,OC_Pay)))</f>
        <v/>
      </c>
      <c r="N1956">
        <f>IF(I1956="","",IF(ISNUMBER(I1956),INT(I1956),IFERROR(INT(DATEVALUE(I1956)),IFERROR(INT(VALUE(I1956)),"bad"))))</f>
        <v/>
      </c>
      <c r="O1956">
        <f>IF(J1956="","",IF(ISNUMBER(J1956),ROUND(J1956,2),IFERROR(ROUND(VALUE(SUBSTITUTE(SUBSTITUTE(SUBSTITUTE(J1956,"$",""),",","")," ","")),2),"bad")))</f>
        <v/>
      </c>
      <c r="P1956">
        <f>IF(TRIM(K1956)="","",IFERROR(MATCH(LOWER(TRIM(K1956)),'Students'!$AH$2:$AH$701,0),IFERROR(MATCH(LOWER(TRIM(K1956)),'Students'!$AF$2:$AF$701,0),IFERROR(MATCH(LOWER(TRIM(K1956)),'Students'!$AG$2:$AG$701,0),""))))</f>
        <v/>
      </c>
      <c r="R1956">
        <f>IF(P1956="","",INDEX('Students'!$AD$2:$AD$701,P1956))</f>
        <v/>
      </c>
      <c r="S1956">
        <f>IF(H1956="OK",O1956,0)</f>
        <v/>
      </c>
      <c r="T1956">
        <f>IF(H1956="OK",N1956,"")</f>
        <v/>
      </c>
      <c r="U1956">
        <f>IF(OC_Donor=0,"",IF(INDEX('OneCause_Paste'!$A$1956:$AZ$1956,1,OC_Donor)="","",INDEX('OneCause_Paste'!$A$1956:$AZ$1956,1,OC_Donor)))</f>
        <v/>
      </c>
    </row>
    <row r="1957">
      <c r="A1957" s="62">
        <f>IF(H1957="","",IF(ISNUMBER(N1957),N1957,I1957))</f>
        <v/>
      </c>
      <c r="B1957">
        <f>IF(H1957="","",U1957)</f>
        <v/>
      </c>
      <c r="C1957">
        <f>IF(H1957="","",IF(P1957="",K1957,INDEX('Students'!$A$2:$A$701,P1957)))</f>
        <v/>
      </c>
      <c r="D1957">
        <f>IF(OR(H1957="",P1957=""),"",INDEX('Students'!$B$2:$B$701,P1957))</f>
        <v/>
      </c>
      <c r="E1957">
        <f>IF(OR(H1957="",P1957=""),"",INDEX('Students'!$C$2:$C$701,P1957))</f>
        <v/>
      </c>
      <c r="F1957" s="48">
        <f>IF(H1957="","",IF(ISNUMBER(O1957),O1957,J1957))</f>
        <v/>
      </c>
      <c r="G1957">
        <f>IF(H1957="","","OneCause")</f>
        <v/>
      </c>
      <c r="H1957">
        <f>IF(AND(I1957="",J1957="",K1957=""),"",IF(NOT(ISNUMBER(O1957)),"Bad amount",IF(O1957&lt;0,"Refund (not counted)",IF(O1957=0,"Zero amount",IF(NOT(ISNUMBER(N1957)),"Bad date",IF(P1957="","NAME NOT ON ROSTER",IF(L1957="","OK",IF(MATCH(L1957,$L$2:$L$3001,0)&lt;ROW()-1,"Duplicate (ignored)","OK"))))))))</f>
        <v/>
      </c>
      <c r="I1957">
        <f>IF(OC_Date=0,"",IF(INDEX('OneCause_Paste'!$A$1957:$AZ$1957,1,OC_Date)="","",INDEX('OneCause_Paste'!$A$1957:$AZ$1957,1,OC_Date)))</f>
        <v/>
      </c>
      <c r="J1957">
        <f>IF(OC_Amt=0,"",IF(INDEX('OneCause_Paste'!$A$1957:$AZ$1957,1,OC_Amt)="","",INDEX('OneCause_Paste'!$A$1957:$AZ$1957,1,OC_Amt)))</f>
        <v/>
      </c>
      <c r="K1957">
        <f>IF(OC_Name=0,"",IF(INDEX('OneCause_Paste'!$A$1957:$AZ$1957,1,OC_Name)="","",INDEX('OneCause_Paste'!$A$1957:$AZ$1957,1,OC_Name)))</f>
        <v/>
      </c>
      <c r="L1957">
        <f>IF(OC_Txn=0,"",IF(INDEX('OneCause_Paste'!$A$1957:$AZ$1957,1,OC_Txn)="","",INDEX('OneCause_Paste'!$A$1957:$AZ$1957,1,OC_Txn)))</f>
        <v/>
      </c>
      <c r="M1957">
        <f>IF(OC_Pay=0,"",IF(INDEX('OneCause_Paste'!$A$1957:$AZ$1957,1,OC_Pay)="","",INDEX('OneCause_Paste'!$A$1957:$AZ$1957,1,OC_Pay)))</f>
        <v/>
      </c>
      <c r="N1957">
        <f>IF(I1957="","",IF(ISNUMBER(I1957),INT(I1957),IFERROR(INT(DATEVALUE(I1957)),IFERROR(INT(VALUE(I1957)),"bad"))))</f>
        <v/>
      </c>
      <c r="O1957">
        <f>IF(J1957="","",IF(ISNUMBER(J1957),ROUND(J1957,2),IFERROR(ROUND(VALUE(SUBSTITUTE(SUBSTITUTE(SUBSTITUTE(J1957,"$",""),",","")," ","")),2),"bad")))</f>
        <v/>
      </c>
      <c r="P1957">
        <f>IF(TRIM(K1957)="","",IFERROR(MATCH(LOWER(TRIM(K1957)),'Students'!$AH$2:$AH$701,0),IFERROR(MATCH(LOWER(TRIM(K1957)),'Students'!$AF$2:$AF$701,0),IFERROR(MATCH(LOWER(TRIM(K1957)),'Students'!$AG$2:$AG$701,0),""))))</f>
        <v/>
      </c>
      <c r="R1957">
        <f>IF(P1957="","",INDEX('Students'!$AD$2:$AD$701,P1957))</f>
        <v/>
      </c>
      <c r="S1957">
        <f>IF(H1957="OK",O1957,0)</f>
        <v/>
      </c>
      <c r="T1957">
        <f>IF(H1957="OK",N1957,"")</f>
        <v/>
      </c>
      <c r="U1957">
        <f>IF(OC_Donor=0,"",IF(INDEX('OneCause_Paste'!$A$1957:$AZ$1957,1,OC_Donor)="","",INDEX('OneCause_Paste'!$A$1957:$AZ$1957,1,OC_Donor)))</f>
        <v/>
      </c>
    </row>
    <row r="1958">
      <c r="A1958" s="62">
        <f>IF(H1958="","",IF(ISNUMBER(N1958),N1958,I1958))</f>
        <v/>
      </c>
      <c r="B1958">
        <f>IF(H1958="","",U1958)</f>
        <v/>
      </c>
      <c r="C1958">
        <f>IF(H1958="","",IF(P1958="",K1958,INDEX('Students'!$A$2:$A$701,P1958)))</f>
        <v/>
      </c>
      <c r="D1958">
        <f>IF(OR(H1958="",P1958=""),"",INDEX('Students'!$B$2:$B$701,P1958))</f>
        <v/>
      </c>
      <c r="E1958">
        <f>IF(OR(H1958="",P1958=""),"",INDEX('Students'!$C$2:$C$701,P1958))</f>
        <v/>
      </c>
      <c r="F1958" s="48">
        <f>IF(H1958="","",IF(ISNUMBER(O1958),O1958,J1958))</f>
        <v/>
      </c>
      <c r="G1958">
        <f>IF(H1958="","","OneCause")</f>
        <v/>
      </c>
      <c r="H1958">
        <f>IF(AND(I1958="",J1958="",K1958=""),"",IF(NOT(ISNUMBER(O1958)),"Bad amount",IF(O1958&lt;0,"Refund (not counted)",IF(O1958=0,"Zero amount",IF(NOT(ISNUMBER(N1958)),"Bad date",IF(P1958="","NAME NOT ON ROSTER",IF(L1958="","OK",IF(MATCH(L1958,$L$2:$L$3001,0)&lt;ROW()-1,"Duplicate (ignored)","OK"))))))))</f>
        <v/>
      </c>
      <c r="I1958">
        <f>IF(OC_Date=0,"",IF(INDEX('OneCause_Paste'!$A$1958:$AZ$1958,1,OC_Date)="","",INDEX('OneCause_Paste'!$A$1958:$AZ$1958,1,OC_Date)))</f>
        <v/>
      </c>
      <c r="J1958">
        <f>IF(OC_Amt=0,"",IF(INDEX('OneCause_Paste'!$A$1958:$AZ$1958,1,OC_Amt)="","",INDEX('OneCause_Paste'!$A$1958:$AZ$1958,1,OC_Amt)))</f>
        <v/>
      </c>
      <c r="K1958">
        <f>IF(OC_Name=0,"",IF(INDEX('OneCause_Paste'!$A$1958:$AZ$1958,1,OC_Name)="","",INDEX('OneCause_Paste'!$A$1958:$AZ$1958,1,OC_Name)))</f>
        <v/>
      </c>
      <c r="L1958">
        <f>IF(OC_Txn=0,"",IF(INDEX('OneCause_Paste'!$A$1958:$AZ$1958,1,OC_Txn)="","",INDEX('OneCause_Paste'!$A$1958:$AZ$1958,1,OC_Txn)))</f>
        <v/>
      </c>
      <c r="M1958">
        <f>IF(OC_Pay=0,"",IF(INDEX('OneCause_Paste'!$A$1958:$AZ$1958,1,OC_Pay)="","",INDEX('OneCause_Paste'!$A$1958:$AZ$1958,1,OC_Pay)))</f>
        <v/>
      </c>
      <c r="N1958">
        <f>IF(I1958="","",IF(ISNUMBER(I1958),INT(I1958),IFERROR(INT(DATEVALUE(I1958)),IFERROR(INT(VALUE(I1958)),"bad"))))</f>
        <v/>
      </c>
      <c r="O1958">
        <f>IF(J1958="","",IF(ISNUMBER(J1958),ROUND(J1958,2),IFERROR(ROUND(VALUE(SUBSTITUTE(SUBSTITUTE(SUBSTITUTE(J1958,"$",""),",","")," ","")),2),"bad")))</f>
        <v/>
      </c>
      <c r="P1958">
        <f>IF(TRIM(K1958)="","",IFERROR(MATCH(LOWER(TRIM(K1958)),'Students'!$AH$2:$AH$701,0),IFERROR(MATCH(LOWER(TRIM(K1958)),'Students'!$AF$2:$AF$701,0),IFERROR(MATCH(LOWER(TRIM(K1958)),'Students'!$AG$2:$AG$701,0),""))))</f>
        <v/>
      </c>
      <c r="R1958">
        <f>IF(P1958="","",INDEX('Students'!$AD$2:$AD$701,P1958))</f>
        <v/>
      </c>
      <c r="S1958">
        <f>IF(H1958="OK",O1958,0)</f>
        <v/>
      </c>
      <c r="T1958">
        <f>IF(H1958="OK",N1958,"")</f>
        <v/>
      </c>
      <c r="U1958">
        <f>IF(OC_Donor=0,"",IF(INDEX('OneCause_Paste'!$A$1958:$AZ$1958,1,OC_Donor)="","",INDEX('OneCause_Paste'!$A$1958:$AZ$1958,1,OC_Donor)))</f>
        <v/>
      </c>
    </row>
    <row r="1959">
      <c r="A1959" s="62">
        <f>IF(H1959="","",IF(ISNUMBER(N1959),N1959,I1959))</f>
        <v/>
      </c>
      <c r="B1959">
        <f>IF(H1959="","",U1959)</f>
        <v/>
      </c>
      <c r="C1959">
        <f>IF(H1959="","",IF(P1959="",K1959,INDEX('Students'!$A$2:$A$701,P1959)))</f>
        <v/>
      </c>
      <c r="D1959">
        <f>IF(OR(H1959="",P1959=""),"",INDEX('Students'!$B$2:$B$701,P1959))</f>
        <v/>
      </c>
      <c r="E1959">
        <f>IF(OR(H1959="",P1959=""),"",INDEX('Students'!$C$2:$C$701,P1959))</f>
        <v/>
      </c>
      <c r="F1959" s="48">
        <f>IF(H1959="","",IF(ISNUMBER(O1959),O1959,J1959))</f>
        <v/>
      </c>
      <c r="G1959">
        <f>IF(H1959="","","OneCause")</f>
        <v/>
      </c>
      <c r="H1959">
        <f>IF(AND(I1959="",J1959="",K1959=""),"",IF(NOT(ISNUMBER(O1959)),"Bad amount",IF(O1959&lt;0,"Refund (not counted)",IF(O1959=0,"Zero amount",IF(NOT(ISNUMBER(N1959)),"Bad date",IF(P1959="","NAME NOT ON ROSTER",IF(L1959="","OK",IF(MATCH(L1959,$L$2:$L$3001,0)&lt;ROW()-1,"Duplicate (ignored)","OK"))))))))</f>
        <v/>
      </c>
      <c r="I1959">
        <f>IF(OC_Date=0,"",IF(INDEX('OneCause_Paste'!$A$1959:$AZ$1959,1,OC_Date)="","",INDEX('OneCause_Paste'!$A$1959:$AZ$1959,1,OC_Date)))</f>
        <v/>
      </c>
      <c r="J1959">
        <f>IF(OC_Amt=0,"",IF(INDEX('OneCause_Paste'!$A$1959:$AZ$1959,1,OC_Amt)="","",INDEX('OneCause_Paste'!$A$1959:$AZ$1959,1,OC_Amt)))</f>
        <v/>
      </c>
      <c r="K1959">
        <f>IF(OC_Name=0,"",IF(INDEX('OneCause_Paste'!$A$1959:$AZ$1959,1,OC_Name)="","",INDEX('OneCause_Paste'!$A$1959:$AZ$1959,1,OC_Name)))</f>
        <v/>
      </c>
      <c r="L1959">
        <f>IF(OC_Txn=0,"",IF(INDEX('OneCause_Paste'!$A$1959:$AZ$1959,1,OC_Txn)="","",INDEX('OneCause_Paste'!$A$1959:$AZ$1959,1,OC_Txn)))</f>
        <v/>
      </c>
      <c r="M1959">
        <f>IF(OC_Pay=0,"",IF(INDEX('OneCause_Paste'!$A$1959:$AZ$1959,1,OC_Pay)="","",INDEX('OneCause_Paste'!$A$1959:$AZ$1959,1,OC_Pay)))</f>
        <v/>
      </c>
      <c r="N1959">
        <f>IF(I1959="","",IF(ISNUMBER(I1959),INT(I1959),IFERROR(INT(DATEVALUE(I1959)),IFERROR(INT(VALUE(I1959)),"bad"))))</f>
        <v/>
      </c>
      <c r="O1959">
        <f>IF(J1959="","",IF(ISNUMBER(J1959),ROUND(J1959,2),IFERROR(ROUND(VALUE(SUBSTITUTE(SUBSTITUTE(SUBSTITUTE(J1959,"$",""),",","")," ","")),2),"bad")))</f>
        <v/>
      </c>
      <c r="P1959">
        <f>IF(TRIM(K1959)="","",IFERROR(MATCH(LOWER(TRIM(K1959)),'Students'!$AH$2:$AH$701,0),IFERROR(MATCH(LOWER(TRIM(K1959)),'Students'!$AF$2:$AF$701,0),IFERROR(MATCH(LOWER(TRIM(K1959)),'Students'!$AG$2:$AG$701,0),""))))</f>
        <v/>
      </c>
      <c r="R1959">
        <f>IF(P1959="","",INDEX('Students'!$AD$2:$AD$701,P1959))</f>
        <v/>
      </c>
      <c r="S1959">
        <f>IF(H1959="OK",O1959,0)</f>
        <v/>
      </c>
      <c r="T1959">
        <f>IF(H1959="OK",N1959,"")</f>
        <v/>
      </c>
      <c r="U1959">
        <f>IF(OC_Donor=0,"",IF(INDEX('OneCause_Paste'!$A$1959:$AZ$1959,1,OC_Donor)="","",INDEX('OneCause_Paste'!$A$1959:$AZ$1959,1,OC_Donor)))</f>
        <v/>
      </c>
    </row>
    <row r="1960">
      <c r="A1960" s="62">
        <f>IF(H1960="","",IF(ISNUMBER(N1960),N1960,I1960))</f>
        <v/>
      </c>
      <c r="B1960">
        <f>IF(H1960="","",U1960)</f>
        <v/>
      </c>
      <c r="C1960">
        <f>IF(H1960="","",IF(P1960="",K1960,INDEX('Students'!$A$2:$A$701,P1960)))</f>
        <v/>
      </c>
      <c r="D1960">
        <f>IF(OR(H1960="",P1960=""),"",INDEX('Students'!$B$2:$B$701,P1960))</f>
        <v/>
      </c>
      <c r="E1960">
        <f>IF(OR(H1960="",P1960=""),"",INDEX('Students'!$C$2:$C$701,P1960))</f>
        <v/>
      </c>
      <c r="F1960" s="48">
        <f>IF(H1960="","",IF(ISNUMBER(O1960),O1960,J1960))</f>
        <v/>
      </c>
      <c r="G1960">
        <f>IF(H1960="","","OneCause")</f>
        <v/>
      </c>
      <c r="H1960">
        <f>IF(AND(I1960="",J1960="",K1960=""),"",IF(NOT(ISNUMBER(O1960)),"Bad amount",IF(O1960&lt;0,"Refund (not counted)",IF(O1960=0,"Zero amount",IF(NOT(ISNUMBER(N1960)),"Bad date",IF(P1960="","NAME NOT ON ROSTER",IF(L1960="","OK",IF(MATCH(L1960,$L$2:$L$3001,0)&lt;ROW()-1,"Duplicate (ignored)","OK"))))))))</f>
        <v/>
      </c>
      <c r="I1960">
        <f>IF(OC_Date=0,"",IF(INDEX('OneCause_Paste'!$A$1960:$AZ$1960,1,OC_Date)="","",INDEX('OneCause_Paste'!$A$1960:$AZ$1960,1,OC_Date)))</f>
        <v/>
      </c>
      <c r="J1960">
        <f>IF(OC_Amt=0,"",IF(INDEX('OneCause_Paste'!$A$1960:$AZ$1960,1,OC_Amt)="","",INDEX('OneCause_Paste'!$A$1960:$AZ$1960,1,OC_Amt)))</f>
        <v/>
      </c>
      <c r="K1960">
        <f>IF(OC_Name=0,"",IF(INDEX('OneCause_Paste'!$A$1960:$AZ$1960,1,OC_Name)="","",INDEX('OneCause_Paste'!$A$1960:$AZ$1960,1,OC_Name)))</f>
        <v/>
      </c>
      <c r="L1960">
        <f>IF(OC_Txn=0,"",IF(INDEX('OneCause_Paste'!$A$1960:$AZ$1960,1,OC_Txn)="","",INDEX('OneCause_Paste'!$A$1960:$AZ$1960,1,OC_Txn)))</f>
        <v/>
      </c>
      <c r="M1960">
        <f>IF(OC_Pay=0,"",IF(INDEX('OneCause_Paste'!$A$1960:$AZ$1960,1,OC_Pay)="","",INDEX('OneCause_Paste'!$A$1960:$AZ$1960,1,OC_Pay)))</f>
        <v/>
      </c>
      <c r="N1960">
        <f>IF(I1960="","",IF(ISNUMBER(I1960),INT(I1960),IFERROR(INT(DATEVALUE(I1960)),IFERROR(INT(VALUE(I1960)),"bad"))))</f>
        <v/>
      </c>
      <c r="O1960">
        <f>IF(J1960="","",IF(ISNUMBER(J1960),ROUND(J1960,2),IFERROR(ROUND(VALUE(SUBSTITUTE(SUBSTITUTE(SUBSTITUTE(J1960,"$",""),",","")," ","")),2),"bad")))</f>
        <v/>
      </c>
      <c r="P1960">
        <f>IF(TRIM(K1960)="","",IFERROR(MATCH(LOWER(TRIM(K1960)),'Students'!$AH$2:$AH$701,0),IFERROR(MATCH(LOWER(TRIM(K1960)),'Students'!$AF$2:$AF$701,0),IFERROR(MATCH(LOWER(TRIM(K1960)),'Students'!$AG$2:$AG$701,0),""))))</f>
        <v/>
      </c>
      <c r="R1960">
        <f>IF(P1960="","",INDEX('Students'!$AD$2:$AD$701,P1960))</f>
        <v/>
      </c>
      <c r="S1960">
        <f>IF(H1960="OK",O1960,0)</f>
        <v/>
      </c>
      <c r="T1960">
        <f>IF(H1960="OK",N1960,"")</f>
        <v/>
      </c>
      <c r="U1960">
        <f>IF(OC_Donor=0,"",IF(INDEX('OneCause_Paste'!$A$1960:$AZ$1960,1,OC_Donor)="","",INDEX('OneCause_Paste'!$A$1960:$AZ$1960,1,OC_Donor)))</f>
        <v/>
      </c>
    </row>
    <row r="1961">
      <c r="A1961" s="62">
        <f>IF(H1961="","",IF(ISNUMBER(N1961),N1961,I1961))</f>
        <v/>
      </c>
      <c r="B1961">
        <f>IF(H1961="","",U1961)</f>
        <v/>
      </c>
      <c r="C1961">
        <f>IF(H1961="","",IF(P1961="",K1961,INDEX('Students'!$A$2:$A$701,P1961)))</f>
        <v/>
      </c>
      <c r="D1961">
        <f>IF(OR(H1961="",P1961=""),"",INDEX('Students'!$B$2:$B$701,P1961))</f>
        <v/>
      </c>
      <c r="E1961">
        <f>IF(OR(H1961="",P1961=""),"",INDEX('Students'!$C$2:$C$701,P1961))</f>
        <v/>
      </c>
      <c r="F1961" s="48">
        <f>IF(H1961="","",IF(ISNUMBER(O1961),O1961,J1961))</f>
        <v/>
      </c>
      <c r="G1961">
        <f>IF(H1961="","","OneCause")</f>
        <v/>
      </c>
      <c r="H1961">
        <f>IF(AND(I1961="",J1961="",K1961=""),"",IF(NOT(ISNUMBER(O1961)),"Bad amount",IF(O1961&lt;0,"Refund (not counted)",IF(O1961=0,"Zero amount",IF(NOT(ISNUMBER(N1961)),"Bad date",IF(P1961="","NAME NOT ON ROSTER",IF(L1961="","OK",IF(MATCH(L1961,$L$2:$L$3001,0)&lt;ROW()-1,"Duplicate (ignored)","OK"))))))))</f>
        <v/>
      </c>
      <c r="I1961">
        <f>IF(OC_Date=0,"",IF(INDEX('OneCause_Paste'!$A$1961:$AZ$1961,1,OC_Date)="","",INDEX('OneCause_Paste'!$A$1961:$AZ$1961,1,OC_Date)))</f>
        <v/>
      </c>
      <c r="J1961">
        <f>IF(OC_Amt=0,"",IF(INDEX('OneCause_Paste'!$A$1961:$AZ$1961,1,OC_Amt)="","",INDEX('OneCause_Paste'!$A$1961:$AZ$1961,1,OC_Amt)))</f>
        <v/>
      </c>
      <c r="K1961">
        <f>IF(OC_Name=0,"",IF(INDEX('OneCause_Paste'!$A$1961:$AZ$1961,1,OC_Name)="","",INDEX('OneCause_Paste'!$A$1961:$AZ$1961,1,OC_Name)))</f>
        <v/>
      </c>
      <c r="L1961">
        <f>IF(OC_Txn=0,"",IF(INDEX('OneCause_Paste'!$A$1961:$AZ$1961,1,OC_Txn)="","",INDEX('OneCause_Paste'!$A$1961:$AZ$1961,1,OC_Txn)))</f>
        <v/>
      </c>
      <c r="M1961">
        <f>IF(OC_Pay=0,"",IF(INDEX('OneCause_Paste'!$A$1961:$AZ$1961,1,OC_Pay)="","",INDEX('OneCause_Paste'!$A$1961:$AZ$1961,1,OC_Pay)))</f>
        <v/>
      </c>
      <c r="N1961">
        <f>IF(I1961="","",IF(ISNUMBER(I1961),INT(I1961),IFERROR(INT(DATEVALUE(I1961)),IFERROR(INT(VALUE(I1961)),"bad"))))</f>
        <v/>
      </c>
      <c r="O1961">
        <f>IF(J1961="","",IF(ISNUMBER(J1961),ROUND(J1961,2),IFERROR(ROUND(VALUE(SUBSTITUTE(SUBSTITUTE(SUBSTITUTE(J1961,"$",""),",","")," ","")),2),"bad")))</f>
        <v/>
      </c>
      <c r="P1961">
        <f>IF(TRIM(K1961)="","",IFERROR(MATCH(LOWER(TRIM(K1961)),'Students'!$AH$2:$AH$701,0),IFERROR(MATCH(LOWER(TRIM(K1961)),'Students'!$AF$2:$AF$701,0),IFERROR(MATCH(LOWER(TRIM(K1961)),'Students'!$AG$2:$AG$701,0),""))))</f>
        <v/>
      </c>
      <c r="R1961">
        <f>IF(P1961="","",INDEX('Students'!$AD$2:$AD$701,P1961))</f>
        <v/>
      </c>
      <c r="S1961">
        <f>IF(H1961="OK",O1961,0)</f>
        <v/>
      </c>
      <c r="T1961">
        <f>IF(H1961="OK",N1961,"")</f>
        <v/>
      </c>
      <c r="U1961">
        <f>IF(OC_Donor=0,"",IF(INDEX('OneCause_Paste'!$A$1961:$AZ$1961,1,OC_Donor)="","",INDEX('OneCause_Paste'!$A$1961:$AZ$1961,1,OC_Donor)))</f>
        <v/>
      </c>
    </row>
    <row r="1962">
      <c r="A1962" s="62">
        <f>IF(H1962="","",IF(ISNUMBER(N1962),N1962,I1962))</f>
        <v/>
      </c>
      <c r="B1962">
        <f>IF(H1962="","",U1962)</f>
        <v/>
      </c>
      <c r="C1962">
        <f>IF(H1962="","",IF(P1962="",K1962,INDEX('Students'!$A$2:$A$701,P1962)))</f>
        <v/>
      </c>
      <c r="D1962">
        <f>IF(OR(H1962="",P1962=""),"",INDEX('Students'!$B$2:$B$701,P1962))</f>
        <v/>
      </c>
      <c r="E1962">
        <f>IF(OR(H1962="",P1962=""),"",INDEX('Students'!$C$2:$C$701,P1962))</f>
        <v/>
      </c>
      <c r="F1962" s="48">
        <f>IF(H1962="","",IF(ISNUMBER(O1962),O1962,J1962))</f>
        <v/>
      </c>
      <c r="G1962">
        <f>IF(H1962="","","OneCause")</f>
        <v/>
      </c>
      <c r="H1962">
        <f>IF(AND(I1962="",J1962="",K1962=""),"",IF(NOT(ISNUMBER(O1962)),"Bad amount",IF(O1962&lt;0,"Refund (not counted)",IF(O1962=0,"Zero amount",IF(NOT(ISNUMBER(N1962)),"Bad date",IF(P1962="","NAME NOT ON ROSTER",IF(L1962="","OK",IF(MATCH(L1962,$L$2:$L$3001,0)&lt;ROW()-1,"Duplicate (ignored)","OK"))))))))</f>
        <v/>
      </c>
      <c r="I1962">
        <f>IF(OC_Date=0,"",IF(INDEX('OneCause_Paste'!$A$1962:$AZ$1962,1,OC_Date)="","",INDEX('OneCause_Paste'!$A$1962:$AZ$1962,1,OC_Date)))</f>
        <v/>
      </c>
      <c r="J1962">
        <f>IF(OC_Amt=0,"",IF(INDEX('OneCause_Paste'!$A$1962:$AZ$1962,1,OC_Amt)="","",INDEX('OneCause_Paste'!$A$1962:$AZ$1962,1,OC_Amt)))</f>
        <v/>
      </c>
      <c r="K1962">
        <f>IF(OC_Name=0,"",IF(INDEX('OneCause_Paste'!$A$1962:$AZ$1962,1,OC_Name)="","",INDEX('OneCause_Paste'!$A$1962:$AZ$1962,1,OC_Name)))</f>
        <v/>
      </c>
      <c r="L1962">
        <f>IF(OC_Txn=0,"",IF(INDEX('OneCause_Paste'!$A$1962:$AZ$1962,1,OC_Txn)="","",INDEX('OneCause_Paste'!$A$1962:$AZ$1962,1,OC_Txn)))</f>
        <v/>
      </c>
      <c r="M1962">
        <f>IF(OC_Pay=0,"",IF(INDEX('OneCause_Paste'!$A$1962:$AZ$1962,1,OC_Pay)="","",INDEX('OneCause_Paste'!$A$1962:$AZ$1962,1,OC_Pay)))</f>
        <v/>
      </c>
      <c r="N1962">
        <f>IF(I1962="","",IF(ISNUMBER(I1962),INT(I1962),IFERROR(INT(DATEVALUE(I1962)),IFERROR(INT(VALUE(I1962)),"bad"))))</f>
        <v/>
      </c>
      <c r="O1962">
        <f>IF(J1962="","",IF(ISNUMBER(J1962),ROUND(J1962,2),IFERROR(ROUND(VALUE(SUBSTITUTE(SUBSTITUTE(SUBSTITUTE(J1962,"$",""),",","")," ","")),2),"bad")))</f>
        <v/>
      </c>
      <c r="P1962">
        <f>IF(TRIM(K1962)="","",IFERROR(MATCH(LOWER(TRIM(K1962)),'Students'!$AH$2:$AH$701,0),IFERROR(MATCH(LOWER(TRIM(K1962)),'Students'!$AF$2:$AF$701,0),IFERROR(MATCH(LOWER(TRIM(K1962)),'Students'!$AG$2:$AG$701,0),""))))</f>
        <v/>
      </c>
      <c r="R1962">
        <f>IF(P1962="","",INDEX('Students'!$AD$2:$AD$701,P1962))</f>
        <v/>
      </c>
      <c r="S1962">
        <f>IF(H1962="OK",O1962,0)</f>
        <v/>
      </c>
      <c r="T1962">
        <f>IF(H1962="OK",N1962,"")</f>
        <v/>
      </c>
      <c r="U1962">
        <f>IF(OC_Donor=0,"",IF(INDEX('OneCause_Paste'!$A$1962:$AZ$1962,1,OC_Donor)="","",INDEX('OneCause_Paste'!$A$1962:$AZ$1962,1,OC_Donor)))</f>
        <v/>
      </c>
    </row>
    <row r="1963">
      <c r="A1963" s="62">
        <f>IF(H1963="","",IF(ISNUMBER(N1963),N1963,I1963))</f>
        <v/>
      </c>
      <c r="B1963">
        <f>IF(H1963="","",U1963)</f>
        <v/>
      </c>
      <c r="C1963">
        <f>IF(H1963="","",IF(P1963="",K1963,INDEX('Students'!$A$2:$A$701,P1963)))</f>
        <v/>
      </c>
      <c r="D1963">
        <f>IF(OR(H1963="",P1963=""),"",INDEX('Students'!$B$2:$B$701,P1963))</f>
        <v/>
      </c>
      <c r="E1963">
        <f>IF(OR(H1963="",P1963=""),"",INDEX('Students'!$C$2:$C$701,P1963))</f>
        <v/>
      </c>
      <c r="F1963" s="48">
        <f>IF(H1963="","",IF(ISNUMBER(O1963),O1963,J1963))</f>
        <v/>
      </c>
      <c r="G1963">
        <f>IF(H1963="","","OneCause")</f>
        <v/>
      </c>
      <c r="H1963">
        <f>IF(AND(I1963="",J1963="",K1963=""),"",IF(NOT(ISNUMBER(O1963)),"Bad amount",IF(O1963&lt;0,"Refund (not counted)",IF(O1963=0,"Zero amount",IF(NOT(ISNUMBER(N1963)),"Bad date",IF(P1963="","NAME NOT ON ROSTER",IF(L1963="","OK",IF(MATCH(L1963,$L$2:$L$3001,0)&lt;ROW()-1,"Duplicate (ignored)","OK"))))))))</f>
        <v/>
      </c>
      <c r="I1963">
        <f>IF(OC_Date=0,"",IF(INDEX('OneCause_Paste'!$A$1963:$AZ$1963,1,OC_Date)="","",INDEX('OneCause_Paste'!$A$1963:$AZ$1963,1,OC_Date)))</f>
        <v/>
      </c>
      <c r="J1963">
        <f>IF(OC_Amt=0,"",IF(INDEX('OneCause_Paste'!$A$1963:$AZ$1963,1,OC_Amt)="","",INDEX('OneCause_Paste'!$A$1963:$AZ$1963,1,OC_Amt)))</f>
        <v/>
      </c>
      <c r="K1963">
        <f>IF(OC_Name=0,"",IF(INDEX('OneCause_Paste'!$A$1963:$AZ$1963,1,OC_Name)="","",INDEX('OneCause_Paste'!$A$1963:$AZ$1963,1,OC_Name)))</f>
        <v/>
      </c>
      <c r="L1963">
        <f>IF(OC_Txn=0,"",IF(INDEX('OneCause_Paste'!$A$1963:$AZ$1963,1,OC_Txn)="","",INDEX('OneCause_Paste'!$A$1963:$AZ$1963,1,OC_Txn)))</f>
        <v/>
      </c>
      <c r="M1963">
        <f>IF(OC_Pay=0,"",IF(INDEX('OneCause_Paste'!$A$1963:$AZ$1963,1,OC_Pay)="","",INDEX('OneCause_Paste'!$A$1963:$AZ$1963,1,OC_Pay)))</f>
        <v/>
      </c>
      <c r="N1963">
        <f>IF(I1963="","",IF(ISNUMBER(I1963),INT(I1963),IFERROR(INT(DATEVALUE(I1963)),IFERROR(INT(VALUE(I1963)),"bad"))))</f>
        <v/>
      </c>
      <c r="O1963">
        <f>IF(J1963="","",IF(ISNUMBER(J1963),ROUND(J1963,2),IFERROR(ROUND(VALUE(SUBSTITUTE(SUBSTITUTE(SUBSTITUTE(J1963,"$",""),",","")," ","")),2),"bad")))</f>
        <v/>
      </c>
      <c r="P1963">
        <f>IF(TRIM(K1963)="","",IFERROR(MATCH(LOWER(TRIM(K1963)),'Students'!$AH$2:$AH$701,0),IFERROR(MATCH(LOWER(TRIM(K1963)),'Students'!$AF$2:$AF$701,0),IFERROR(MATCH(LOWER(TRIM(K1963)),'Students'!$AG$2:$AG$701,0),""))))</f>
        <v/>
      </c>
      <c r="R1963">
        <f>IF(P1963="","",INDEX('Students'!$AD$2:$AD$701,P1963))</f>
        <v/>
      </c>
      <c r="S1963">
        <f>IF(H1963="OK",O1963,0)</f>
        <v/>
      </c>
      <c r="T1963">
        <f>IF(H1963="OK",N1963,"")</f>
        <v/>
      </c>
      <c r="U1963">
        <f>IF(OC_Donor=0,"",IF(INDEX('OneCause_Paste'!$A$1963:$AZ$1963,1,OC_Donor)="","",INDEX('OneCause_Paste'!$A$1963:$AZ$1963,1,OC_Donor)))</f>
        <v/>
      </c>
    </row>
    <row r="1964">
      <c r="A1964" s="62">
        <f>IF(H1964="","",IF(ISNUMBER(N1964),N1964,I1964))</f>
        <v/>
      </c>
      <c r="B1964">
        <f>IF(H1964="","",U1964)</f>
        <v/>
      </c>
      <c r="C1964">
        <f>IF(H1964="","",IF(P1964="",K1964,INDEX('Students'!$A$2:$A$701,P1964)))</f>
        <v/>
      </c>
      <c r="D1964">
        <f>IF(OR(H1964="",P1964=""),"",INDEX('Students'!$B$2:$B$701,P1964))</f>
        <v/>
      </c>
      <c r="E1964">
        <f>IF(OR(H1964="",P1964=""),"",INDEX('Students'!$C$2:$C$701,P1964))</f>
        <v/>
      </c>
      <c r="F1964" s="48">
        <f>IF(H1964="","",IF(ISNUMBER(O1964),O1964,J1964))</f>
        <v/>
      </c>
      <c r="G1964">
        <f>IF(H1964="","","OneCause")</f>
        <v/>
      </c>
      <c r="H1964">
        <f>IF(AND(I1964="",J1964="",K1964=""),"",IF(NOT(ISNUMBER(O1964)),"Bad amount",IF(O1964&lt;0,"Refund (not counted)",IF(O1964=0,"Zero amount",IF(NOT(ISNUMBER(N1964)),"Bad date",IF(P1964="","NAME NOT ON ROSTER",IF(L1964="","OK",IF(MATCH(L1964,$L$2:$L$3001,0)&lt;ROW()-1,"Duplicate (ignored)","OK"))))))))</f>
        <v/>
      </c>
      <c r="I1964">
        <f>IF(OC_Date=0,"",IF(INDEX('OneCause_Paste'!$A$1964:$AZ$1964,1,OC_Date)="","",INDEX('OneCause_Paste'!$A$1964:$AZ$1964,1,OC_Date)))</f>
        <v/>
      </c>
      <c r="J1964">
        <f>IF(OC_Amt=0,"",IF(INDEX('OneCause_Paste'!$A$1964:$AZ$1964,1,OC_Amt)="","",INDEX('OneCause_Paste'!$A$1964:$AZ$1964,1,OC_Amt)))</f>
        <v/>
      </c>
      <c r="K1964">
        <f>IF(OC_Name=0,"",IF(INDEX('OneCause_Paste'!$A$1964:$AZ$1964,1,OC_Name)="","",INDEX('OneCause_Paste'!$A$1964:$AZ$1964,1,OC_Name)))</f>
        <v/>
      </c>
      <c r="L1964">
        <f>IF(OC_Txn=0,"",IF(INDEX('OneCause_Paste'!$A$1964:$AZ$1964,1,OC_Txn)="","",INDEX('OneCause_Paste'!$A$1964:$AZ$1964,1,OC_Txn)))</f>
        <v/>
      </c>
      <c r="M1964">
        <f>IF(OC_Pay=0,"",IF(INDEX('OneCause_Paste'!$A$1964:$AZ$1964,1,OC_Pay)="","",INDEX('OneCause_Paste'!$A$1964:$AZ$1964,1,OC_Pay)))</f>
        <v/>
      </c>
      <c r="N1964">
        <f>IF(I1964="","",IF(ISNUMBER(I1964),INT(I1964),IFERROR(INT(DATEVALUE(I1964)),IFERROR(INT(VALUE(I1964)),"bad"))))</f>
        <v/>
      </c>
      <c r="O1964">
        <f>IF(J1964="","",IF(ISNUMBER(J1964),ROUND(J1964,2),IFERROR(ROUND(VALUE(SUBSTITUTE(SUBSTITUTE(SUBSTITUTE(J1964,"$",""),",","")," ","")),2),"bad")))</f>
        <v/>
      </c>
      <c r="P1964">
        <f>IF(TRIM(K1964)="","",IFERROR(MATCH(LOWER(TRIM(K1964)),'Students'!$AH$2:$AH$701,0),IFERROR(MATCH(LOWER(TRIM(K1964)),'Students'!$AF$2:$AF$701,0),IFERROR(MATCH(LOWER(TRIM(K1964)),'Students'!$AG$2:$AG$701,0),""))))</f>
        <v/>
      </c>
      <c r="R1964">
        <f>IF(P1964="","",INDEX('Students'!$AD$2:$AD$701,P1964))</f>
        <v/>
      </c>
      <c r="S1964">
        <f>IF(H1964="OK",O1964,0)</f>
        <v/>
      </c>
      <c r="T1964">
        <f>IF(H1964="OK",N1964,"")</f>
        <v/>
      </c>
      <c r="U1964">
        <f>IF(OC_Donor=0,"",IF(INDEX('OneCause_Paste'!$A$1964:$AZ$1964,1,OC_Donor)="","",INDEX('OneCause_Paste'!$A$1964:$AZ$1964,1,OC_Donor)))</f>
        <v/>
      </c>
    </row>
    <row r="1965">
      <c r="A1965" s="62">
        <f>IF(H1965="","",IF(ISNUMBER(N1965),N1965,I1965))</f>
        <v/>
      </c>
      <c r="B1965">
        <f>IF(H1965="","",U1965)</f>
        <v/>
      </c>
      <c r="C1965">
        <f>IF(H1965="","",IF(P1965="",K1965,INDEX('Students'!$A$2:$A$701,P1965)))</f>
        <v/>
      </c>
      <c r="D1965">
        <f>IF(OR(H1965="",P1965=""),"",INDEX('Students'!$B$2:$B$701,P1965))</f>
        <v/>
      </c>
      <c r="E1965">
        <f>IF(OR(H1965="",P1965=""),"",INDEX('Students'!$C$2:$C$701,P1965))</f>
        <v/>
      </c>
      <c r="F1965" s="48">
        <f>IF(H1965="","",IF(ISNUMBER(O1965),O1965,J1965))</f>
        <v/>
      </c>
      <c r="G1965">
        <f>IF(H1965="","","OneCause")</f>
        <v/>
      </c>
      <c r="H1965">
        <f>IF(AND(I1965="",J1965="",K1965=""),"",IF(NOT(ISNUMBER(O1965)),"Bad amount",IF(O1965&lt;0,"Refund (not counted)",IF(O1965=0,"Zero amount",IF(NOT(ISNUMBER(N1965)),"Bad date",IF(P1965="","NAME NOT ON ROSTER",IF(L1965="","OK",IF(MATCH(L1965,$L$2:$L$3001,0)&lt;ROW()-1,"Duplicate (ignored)","OK"))))))))</f>
        <v/>
      </c>
      <c r="I1965">
        <f>IF(OC_Date=0,"",IF(INDEX('OneCause_Paste'!$A$1965:$AZ$1965,1,OC_Date)="","",INDEX('OneCause_Paste'!$A$1965:$AZ$1965,1,OC_Date)))</f>
        <v/>
      </c>
      <c r="J1965">
        <f>IF(OC_Amt=0,"",IF(INDEX('OneCause_Paste'!$A$1965:$AZ$1965,1,OC_Amt)="","",INDEX('OneCause_Paste'!$A$1965:$AZ$1965,1,OC_Amt)))</f>
        <v/>
      </c>
      <c r="K1965">
        <f>IF(OC_Name=0,"",IF(INDEX('OneCause_Paste'!$A$1965:$AZ$1965,1,OC_Name)="","",INDEX('OneCause_Paste'!$A$1965:$AZ$1965,1,OC_Name)))</f>
        <v/>
      </c>
      <c r="L1965">
        <f>IF(OC_Txn=0,"",IF(INDEX('OneCause_Paste'!$A$1965:$AZ$1965,1,OC_Txn)="","",INDEX('OneCause_Paste'!$A$1965:$AZ$1965,1,OC_Txn)))</f>
        <v/>
      </c>
      <c r="M1965">
        <f>IF(OC_Pay=0,"",IF(INDEX('OneCause_Paste'!$A$1965:$AZ$1965,1,OC_Pay)="","",INDEX('OneCause_Paste'!$A$1965:$AZ$1965,1,OC_Pay)))</f>
        <v/>
      </c>
      <c r="N1965">
        <f>IF(I1965="","",IF(ISNUMBER(I1965),INT(I1965),IFERROR(INT(DATEVALUE(I1965)),IFERROR(INT(VALUE(I1965)),"bad"))))</f>
        <v/>
      </c>
      <c r="O1965">
        <f>IF(J1965="","",IF(ISNUMBER(J1965),ROUND(J1965,2),IFERROR(ROUND(VALUE(SUBSTITUTE(SUBSTITUTE(SUBSTITUTE(J1965,"$",""),",","")," ","")),2),"bad")))</f>
        <v/>
      </c>
      <c r="P1965">
        <f>IF(TRIM(K1965)="","",IFERROR(MATCH(LOWER(TRIM(K1965)),'Students'!$AH$2:$AH$701,0),IFERROR(MATCH(LOWER(TRIM(K1965)),'Students'!$AF$2:$AF$701,0),IFERROR(MATCH(LOWER(TRIM(K1965)),'Students'!$AG$2:$AG$701,0),""))))</f>
        <v/>
      </c>
      <c r="R1965">
        <f>IF(P1965="","",INDEX('Students'!$AD$2:$AD$701,P1965))</f>
        <v/>
      </c>
      <c r="S1965">
        <f>IF(H1965="OK",O1965,0)</f>
        <v/>
      </c>
      <c r="T1965">
        <f>IF(H1965="OK",N1965,"")</f>
        <v/>
      </c>
      <c r="U1965">
        <f>IF(OC_Donor=0,"",IF(INDEX('OneCause_Paste'!$A$1965:$AZ$1965,1,OC_Donor)="","",INDEX('OneCause_Paste'!$A$1965:$AZ$1965,1,OC_Donor)))</f>
        <v/>
      </c>
    </row>
    <row r="1966">
      <c r="A1966" s="62">
        <f>IF(H1966="","",IF(ISNUMBER(N1966),N1966,I1966))</f>
        <v/>
      </c>
      <c r="B1966">
        <f>IF(H1966="","",U1966)</f>
        <v/>
      </c>
      <c r="C1966">
        <f>IF(H1966="","",IF(P1966="",K1966,INDEX('Students'!$A$2:$A$701,P1966)))</f>
        <v/>
      </c>
      <c r="D1966">
        <f>IF(OR(H1966="",P1966=""),"",INDEX('Students'!$B$2:$B$701,P1966))</f>
        <v/>
      </c>
      <c r="E1966">
        <f>IF(OR(H1966="",P1966=""),"",INDEX('Students'!$C$2:$C$701,P1966))</f>
        <v/>
      </c>
      <c r="F1966" s="48">
        <f>IF(H1966="","",IF(ISNUMBER(O1966),O1966,J1966))</f>
        <v/>
      </c>
      <c r="G1966">
        <f>IF(H1966="","","OneCause")</f>
        <v/>
      </c>
      <c r="H1966">
        <f>IF(AND(I1966="",J1966="",K1966=""),"",IF(NOT(ISNUMBER(O1966)),"Bad amount",IF(O1966&lt;0,"Refund (not counted)",IF(O1966=0,"Zero amount",IF(NOT(ISNUMBER(N1966)),"Bad date",IF(P1966="","NAME NOT ON ROSTER",IF(L1966="","OK",IF(MATCH(L1966,$L$2:$L$3001,0)&lt;ROW()-1,"Duplicate (ignored)","OK"))))))))</f>
        <v/>
      </c>
      <c r="I1966">
        <f>IF(OC_Date=0,"",IF(INDEX('OneCause_Paste'!$A$1966:$AZ$1966,1,OC_Date)="","",INDEX('OneCause_Paste'!$A$1966:$AZ$1966,1,OC_Date)))</f>
        <v/>
      </c>
      <c r="J1966">
        <f>IF(OC_Amt=0,"",IF(INDEX('OneCause_Paste'!$A$1966:$AZ$1966,1,OC_Amt)="","",INDEX('OneCause_Paste'!$A$1966:$AZ$1966,1,OC_Amt)))</f>
        <v/>
      </c>
      <c r="K1966">
        <f>IF(OC_Name=0,"",IF(INDEX('OneCause_Paste'!$A$1966:$AZ$1966,1,OC_Name)="","",INDEX('OneCause_Paste'!$A$1966:$AZ$1966,1,OC_Name)))</f>
        <v/>
      </c>
      <c r="L1966">
        <f>IF(OC_Txn=0,"",IF(INDEX('OneCause_Paste'!$A$1966:$AZ$1966,1,OC_Txn)="","",INDEX('OneCause_Paste'!$A$1966:$AZ$1966,1,OC_Txn)))</f>
        <v/>
      </c>
      <c r="M1966">
        <f>IF(OC_Pay=0,"",IF(INDEX('OneCause_Paste'!$A$1966:$AZ$1966,1,OC_Pay)="","",INDEX('OneCause_Paste'!$A$1966:$AZ$1966,1,OC_Pay)))</f>
        <v/>
      </c>
      <c r="N1966">
        <f>IF(I1966="","",IF(ISNUMBER(I1966),INT(I1966),IFERROR(INT(DATEVALUE(I1966)),IFERROR(INT(VALUE(I1966)),"bad"))))</f>
        <v/>
      </c>
      <c r="O1966">
        <f>IF(J1966="","",IF(ISNUMBER(J1966),ROUND(J1966,2),IFERROR(ROUND(VALUE(SUBSTITUTE(SUBSTITUTE(SUBSTITUTE(J1966,"$",""),",","")," ","")),2),"bad")))</f>
        <v/>
      </c>
      <c r="P1966">
        <f>IF(TRIM(K1966)="","",IFERROR(MATCH(LOWER(TRIM(K1966)),'Students'!$AH$2:$AH$701,0),IFERROR(MATCH(LOWER(TRIM(K1966)),'Students'!$AF$2:$AF$701,0),IFERROR(MATCH(LOWER(TRIM(K1966)),'Students'!$AG$2:$AG$701,0),""))))</f>
        <v/>
      </c>
      <c r="R1966">
        <f>IF(P1966="","",INDEX('Students'!$AD$2:$AD$701,P1966))</f>
        <v/>
      </c>
      <c r="S1966">
        <f>IF(H1966="OK",O1966,0)</f>
        <v/>
      </c>
      <c r="T1966">
        <f>IF(H1966="OK",N1966,"")</f>
        <v/>
      </c>
      <c r="U1966">
        <f>IF(OC_Donor=0,"",IF(INDEX('OneCause_Paste'!$A$1966:$AZ$1966,1,OC_Donor)="","",INDEX('OneCause_Paste'!$A$1966:$AZ$1966,1,OC_Donor)))</f>
        <v/>
      </c>
    </row>
    <row r="1967">
      <c r="A1967" s="62">
        <f>IF(H1967="","",IF(ISNUMBER(N1967),N1967,I1967))</f>
        <v/>
      </c>
      <c r="B1967">
        <f>IF(H1967="","",U1967)</f>
        <v/>
      </c>
      <c r="C1967">
        <f>IF(H1967="","",IF(P1967="",K1967,INDEX('Students'!$A$2:$A$701,P1967)))</f>
        <v/>
      </c>
      <c r="D1967">
        <f>IF(OR(H1967="",P1967=""),"",INDEX('Students'!$B$2:$B$701,P1967))</f>
        <v/>
      </c>
      <c r="E1967">
        <f>IF(OR(H1967="",P1967=""),"",INDEX('Students'!$C$2:$C$701,P1967))</f>
        <v/>
      </c>
      <c r="F1967" s="48">
        <f>IF(H1967="","",IF(ISNUMBER(O1967),O1967,J1967))</f>
        <v/>
      </c>
      <c r="G1967">
        <f>IF(H1967="","","OneCause")</f>
        <v/>
      </c>
      <c r="H1967">
        <f>IF(AND(I1967="",J1967="",K1967=""),"",IF(NOT(ISNUMBER(O1967)),"Bad amount",IF(O1967&lt;0,"Refund (not counted)",IF(O1967=0,"Zero amount",IF(NOT(ISNUMBER(N1967)),"Bad date",IF(P1967="","NAME NOT ON ROSTER",IF(L1967="","OK",IF(MATCH(L1967,$L$2:$L$3001,0)&lt;ROW()-1,"Duplicate (ignored)","OK"))))))))</f>
        <v/>
      </c>
      <c r="I1967">
        <f>IF(OC_Date=0,"",IF(INDEX('OneCause_Paste'!$A$1967:$AZ$1967,1,OC_Date)="","",INDEX('OneCause_Paste'!$A$1967:$AZ$1967,1,OC_Date)))</f>
        <v/>
      </c>
      <c r="J1967">
        <f>IF(OC_Amt=0,"",IF(INDEX('OneCause_Paste'!$A$1967:$AZ$1967,1,OC_Amt)="","",INDEX('OneCause_Paste'!$A$1967:$AZ$1967,1,OC_Amt)))</f>
        <v/>
      </c>
      <c r="K1967">
        <f>IF(OC_Name=0,"",IF(INDEX('OneCause_Paste'!$A$1967:$AZ$1967,1,OC_Name)="","",INDEX('OneCause_Paste'!$A$1967:$AZ$1967,1,OC_Name)))</f>
        <v/>
      </c>
      <c r="L1967">
        <f>IF(OC_Txn=0,"",IF(INDEX('OneCause_Paste'!$A$1967:$AZ$1967,1,OC_Txn)="","",INDEX('OneCause_Paste'!$A$1967:$AZ$1967,1,OC_Txn)))</f>
        <v/>
      </c>
      <c r="M1967">
        <f>IF(OC_Pay=0,"",IF(INDEX('OneCause_Paste'!$A$1967:$AZ$1967,1,OC_Pay)="","",INDEX('OneCause_Paste'!$A$1967:$AZ$1967,1,OC_Pay)))</f>
        <v/>
      </c>
      <c r="N1967">
        <f>IF(I1967="","",IF(ISNUMBER(I1967),INT(I1967),IFERROR(INT(DATEVALUE(I1967)),IFERROR(INT(VALUE(I1967)),"bad"))))</f>
        <v/>
      </c>
      <c r="O1967">
        <f>IF(J1967="","",IF(ISNUMBER(J1967),ROUND(J1967,2),IFERROR(ROUND(VALUE(SUBSTITUTE(SUBSTITUTE(SUBSTITUTE(J1967,"$",""),",","")," ","")),2),"bad")))</f>
        <v/>
      </c>
      <c r="P1967">
        <f>IF(TRIM(K1967)="","",IFERROR(MATCH(LOWER(TRIM(K1967)),'Students'!$AH$2:$AH$701,0),IFERROR(MATCH(LOWER(TRIM(K1967)),'Students'!$AF$2:$AF$701,0),IFERROR(MATCH(LOWER(TRIM(K1967)),'Students'!$AG$2:$AG$701,0),""))))</f>
        <v/>
      </c>
      <c r="R1967">
        <f>IF(P1967="","",INDEX('Students'!$AD$2:$AD$701,P1967))</f>
        <v/>
      </c>
      <c r="S1967">
        <f>IF(H1967="OK",O1967,0)</f>
        <v/>
      </c>
      <c r="T1967">
        <f>IF(H1967="OK",N1967,"")</f>
        <v/>
      </c>
      <c r="U1967">
        <f>IF(OC_Donor=0,"",IF(INDEX('OneCause_Paste'!$A$1967:$AZ$1967,1,OC_Donor)="","",INDEX('OneCause_Paste'!$A$1967:$AZ$1967,1,OC_Donor)))</f>
        <v/>
      </c>
    </row>
    <row r="1968">
      <c r="A1968" s="62">
        <f>IF(H1968="","",IF(ISNUMBER(N1968),N1968,I1968))</f>
        <v/>
      </c>
      <c r="B1968">
        <f>IF(H1968="","",U1968)</f>
        <v/>
      </c>
      <c r="C1968">
        <f>IF(H1968="","",IF(P1968="",K1968,INDEX('Students'!$A$2:$A$701,P1968)))</f>
        <v/>
      </c>
      <c r="D1968">
        <f>IF(OR(H1968="",P1968=""),"",INDEX('Students'!$B$2:$B$701,P1968))</f>
        <v/>
      </c>
      <c r="E1968">
        <f>IF(OR(H1968="",P1968=""),"",INDEX('Students'!$C$2:$C$701,P1968))</f>
        <v/>
      </c>
      <c r="F1968" s="48">
        <f>IF(H1968="","",IF(ISNUMBER(O1968),O1968,J1968))</f>
        <v/>
      </c>
      <c r="G1968">
        <f>IF(H1968="","","OneCause")</f>
        <v/>
      </c>
      <c r="H1968">
        <f>IF(AND(I1968="",J1968="",K1968=""),"",IF(NOT(ISNUMBER(O1968)),"Bad amount",IF(O1968&lt;0,"Refund (not counted)",IF(O1968=0,"Zero amount",IF(NOT(ISNUMBER(N1968)),"Bad date",IF(P1968="","NAME NOT ON ROSTER",IF(L1968="","OK",IF(MATCH(L1968,$L$2:$L$3001,0)&lt;ROW()-1,"Duplicate (ignored)","OK"))))))))</f>
        <v/>
      </c>
      <c r="I1968">
        <f>IF(OC_Date=0,"",IF(INDEX('OneCause_Paste'!$A$1968:$AZ$1968,1,OC_Date)="","",INDEX('OneCause_Paste'!$A$1968:$AZ$1968,1,OC_Date)))</f>
        <v/>
      </c>
      <c r="J1968">
        <f>IF(OC_Amt=0,"",IF(INDEX('OneCause_Paste'!$A$1968:$AZ$1968,1,OC_Amt)="","",INDEX('OneCause_Paste'!$A$1968:$AZ$1968,1,OC_Amt)))</f>
        <v/>
      </c>
      <c r="K1968">
        <f>IF(OC_Name=0,"",IF(INDEX('OneCause_Paste'!$A$1968:$AZ$1968,1,OC_Name)="","",INDEX('OneCause_Paste'!$A$1968:$AZ$1968,1,OC_Name)))</f>
        <v/>
      </c>
      <c r="L1968">
        <f>IF(OC_Txn=0,"",IF(INDEX('OneCause_Paste'!$A$1968:$AZ$1968,1,OC_Txn)="","",INDEX('OneCause_Paste'!$A$1968:$AZ$1968,1,OC_Txn)))</f>
        <v/>
      </c>
      <c r="M1968">
        <f>IF(OC_Pay=0,"",IF(INDEX('OneCause_Paste'!$A$1968:$AZ$1968,1,OC_Pay)="","",INDEX('OneCause_Paste'!$A$1968:$AZ$1968,1,OC_Pay)))</f>
        <v/>
      </c>
      <c r="N1968">
        <f>IF(I1968="","",IF(ISNUMBER(I1968),INT(I1968),IFERROR(INT(DATEVALUE(I1968)),IFERROR(INT(VALUE(I1968)),"bad"))))</f>
        <v/>
      </c>
      <c r="O1968">
        <f>IF(J1968="","",IF(ISNUMBER(J1968),ROUND(J1968,2),IFERROR(ROUND(VALUE(SUBSTITUTE(SUBSTITUTE(SUBSTITUTE(J1968,"$",""),",","")," ","")),2),"bad")))</f>
        <v/>
      </c>
      <c r="P1968">
        <f>IF(TRIM(K1968)="","",IFERROR(MATCH(LOWER(TRIM(K1968)),'Students'!$AH$2:$AH$701,0),IFERROR(MATCH(LOWER(TRIM(K1968)),'Students'!$AF$2:$AF$701,0),IFERROR(MATCH(LOWER(TRIM(K1968)),'Students'!$AG$2:$AG$701,0),""))))</f>
        <v/>
      </c>
      <c r="R1968">
        <f>IF(P1968="","",INDEX('Students'!$AD$2:$AD$701,P1968))</f>
        <v/>
      </c>
      <c r="S1968">
        <f>IF(H1968="OK",O1968,0)</f>
        <v/>
      </c>
      <c r="T1968">
        <f>IF(H1968="OK",N1968,"")</f>
        <v/>
      </c>
      <c r="U1968">
        <f>IF(OC_Donor=0,"",IF(INDEX('OneCause_Paste'!$A$1968:$AZ$1968,1,OC_Donor)="","",INDEX('OneCause_Paste'!$A$1968:$AZ$1968,1,OC_Donor)))</f>
        <v/>
      </c>
    </row>
    <row r="1969">
      <c r="A1969" s="62">
        <f>IF(H1969="","",IF(ISNUMBER(N1969),N1969,I1969))</f>
        <v/>
      </c>
      <c r="B1969">
        <f>IF(H1969="","",U1969)</f>
        <v/>
      </c>
      <c r="C1969">
        <f>IF(H1969="","",IF(P1969="",K1969,INDEX('Students'!$A$2:$A$701,P1969)))</f>
        <v/>
      </c>
      <c r="D1969">
        <f>IF(OR(H1969="",P1969=""),"",INDEX('Students'!$B$2:$B$701,P1969))</f>
        <v/>
      </c>
      <c r="E1969">
        <f>IF(OR(H1969="",P1969=""),"",INDEX('Students'!$C$2:$C$701,P1969))</f>
        <v/>
      </c>
      <c r="F1969" s="48">
        <f>IF(H1969="","",IF(ISNUMBER(O1969),O1969,J1969))</f>
        <v/>
      </c>
      <c r="G1969">
        <f>IF(H1969="","","OneCause")</f>
        <v/>
      </c>
      <c r="H1969">
        <f>IF(AND(I1969="",J1969="",K1969=""),"",IF(NOT(ISNUMBER(O1969)),"Bad amount",IF(O1969&lt;0,"Refund (not counted)",IF(O1969=0,"Zero amount",IF(NOT(ISNUMBER(N1969)),"Bad date",IF(P1969="","NAME NOT ON ROSTER",IF(L1969="","OK",IF(MATCH(L1969,$L$2:$L$3001,0)&lt;ROW()-1,"Duplicate (ignored)","OK"))))))))</f>
        <v/>
      </c>
      <c r="I1969">
        <f>IF(OC_Date=0,"",IF(INDEX('OneCause_Paste'!$A$1969:$AZ$1969,1,OC_Date)="","",INDEX('OneCause_Paste'!$A$1969:$AZ$1969,1,OC_Date)))</f>
        <v/>
      </c>
      <c r="J1969">
        <f>IF(OC_Amt=0,"",IF(INDEX('OneCause_Paste'!$A$1969:$AZ$1969,1,OC_Amt)="","",INDEX('OneCause_Paste'!$A$1969:$AZ$1969,1,OC_Amt)))</f>
        <v/>
      </c>
      <c r="K1969">
        <f>IF(OC_Name=0,"",IF(INDEX('OneCause_Paste'!$A$1969:$AZ$1969,1,OC_Name)="","",INDEX('OneCause_Paste'!$A$1969:$AZ$1969,1,OC_Name)))</f>
        <v/>
      </c>
      <c r="L1969">
        <f>IF(OC_Txn=0,"",IF(INDEX('OneCause_Paste'!$A$1969:$AZ$1969,1,OC_Txn)="","",INDEX('OneCause_Paste'!$A$1969:$AZ$1969,1,OC_Txn)))</f>
        <v/>
      </c>
      <c r="M1969">
        <f>IF(OC_Pay=0,"",IF(INDEX('OneCause_Paste'!$A$1969:$AZ$1969,1,OC_Pay)="","",INDEX('OneCause_Paste'!$A$1969:$AZ$1969,1,OC_Pay)))</f>
        <v/>
      </c>
      <c r="N1969">
        <f>IF(I1969="","",IF(ISNUMBER(I1969),INT(I1969),IFERROR(INT(DATEVALUE(I1969)),IFERROR(INT(VALUE(I1969)),"bad"))))</f>
        <v/>
      </c>
      <c r="O1969">
        <f>IF(J1969="","",IF(ISNUMBER(J1969),ROUND(J1969,2),IFERROR(ROUND(VALUE(SUBSTITUTE(SUBSTITUTE(SUBSTITUTE(J1969,"$",""),",","")," ","")),2),"bad")))</f>
        <v/>
      </c>
      <c r="P1969">
        <f>IF(TRIM(K1969)="","",IFERROR(MATCH(LOWER(TRIM(K1969)),'Students'!$AH$2:$AH$701,0),IFERROR(MATCH(LOWER(TRIM(K1969)),'Students'!$AF$2:$AF$701,0),IFERROR(MATCH(LOWER(TRIM(K1969)),'Students'!$AG$2:$AG$701,0),""))))</f>
        <v/>
      </c>
      <c r="R1969">
        <f>IF(P1969="","",INDEX('Students'!$AD$2:$AD$701,P1969))</f>
        <v/>
      </c>
      <c r="S1969">
        <f>IF(H1969="OK",O1969,0)</f>
        <v/>
      </c>
      <c r="T1969">
        <f>IF(H1969="OK",N1969,"")</f>
        <v/>
      </c>
      <c r="U1969">
        <f>IF(OC_Donor=0,"",IF(INDEX('OneCause_Paste'!$A$1969:$AZ$1969,1,OC_Donor)="","",INDEX('OneCause_Paste'!$A$1969:$AZ$1969,1,OC_Donor)))</f>
        <v/>
      </c>
    </row>
    <row r="1970">
      <c r="A1970" s="62">
        <f>IF(H1970="","",IF(ISNUMBER(N1970),N1970,I1970))</f>
        <v/>
      </c>
      <c r="B1970">
        <f>IF(H1970="","",U1970)</f>
        <v/>
      </c>
      <c r="C1970">
        <f>IF(H1970="","",IF(P1970="",K1970,INDEX('Students'!$A$2:$A$701,P1970)))</f>
        <v/>
      </c>
      <c r="D1970">
        <f>IF(OR(H1970="",P1970=""),"",INDEX('Students'!$B$2:$B$701,P1970))</f>
        <v/>
      </c>
      <c r="E1970">
        <f>IF(OR(H1970="",P1970=""),"",INDEX('Students'!$C$2:$C$701,P1970))</f>
        <v/>
      </c>
      <c r="F1970" s="48">
        <f>IF(H1970="","",IF(ISNUMBER(O1970),O1970,J1970))</f>
        <v/>
      </c>
      <c r="G1970">
        <f>IF(H1970="","","OneCause")</f>
        <v/>
      </c>
      <c r="H1970">
        <f>IF(AND(I1970="",J1970="",K1970=""),"",IF(NOT(ISNUMBER(O1970)),"Bad amount",IF(O1970&lt;0,"Refund (not counted)",IF(O1970=0,"Zero amount",IF(NOT(ISNUMBER(N1970)),"Bad date",IF(P1970="","NAME NOT ON ROSTER",IF(L1970="","OK",IF(MATCH(L1970,$L$2:$L$3001,0)&lt;ROW()-1,"Duplicate (ignored)","OK"))))))))</f>
        <v/>
      </c>
      <c r="I1970">
        <f>IF(OC_Date=0,"",IF(INDEX('OneCause_Paste'!$A$1970:$AZ$1970,1,OC_Date)="","",INDEX('OneCause_Paste'!$A$1970:$AZ$1970,1,OC_Date)))</f>
        <v/>
      </c>
      <c r="J1970">
        <f>IF(OC_Amt=0,"",IF(INDEX('OneCause_Paste'!$A$1970:$AZ$1970,1,OC_Amt)="","",INDEX('OneCause_Paste'!$A$1970:$AZ$1970,1,OC_Amt)))</f>
        <v/>
      </c>
      <c r="K1970">
        <f>IF(OC_Name=0,"",IF(INDEX('OneCause_Paste'!$A$1970:$AZ$1970,1,OC_Name)="","",INDEX('OneCause_Paste'!$A$1970:$AZ$1970,1,OC_Name)))</f>
        <v/>
      </c>
      <c r="L1970">
        <f>IF(OC_Txn=0,"",IF(INDEX('OneCause_Paste'!$A$1970:$AZ$1970,1,OC_Txn)="","",INDEX('OneCause_Paste'!$A$1970:$AZ$1970,1,OC_Txn)))</f>
        <v/>
      </c>
      <c r="M1970">
        <f>IF(OC_Pay=0,"",IF(INDEX('OneCause_Paste'!$A$1970:$AZ$1970,1,OC_Pay)="","",INDEX('OneCause_Paste'!$A$1970:$AZ$1970,1,OC_Pay)))</f>
        <v/>
      </c>
      <c r="N1970">
        <f>IF(I1970="","",IF(ISNUMBER(I1970),INT(I1970),IFERROR(INT(DATEVALUE(I1970)),IFERROR(INT(VALUE(I1970)),"bad"))))</f>
        <v/>
      </c>
      <c r="O1970">
        <f>IF(J1970="","",IF(ISNUMBER(J1970),ROUND(J1970,2),IFERROR(ROUND(VALUE(SUBSTITUTE(SUBSTITUTE(SUBSTITUTE(J1970,"$",""),",","")," ","")),2),"bad")))</f>
        <v/>
      </c>
      <c r="P1970">
        <f>IF(TRIM(K1970)="","",IFERROR(MATCH(LOWER(TRIM(K1970)),'Students'!$AH$2:$AH$701,0),IFERROR(MATCH(LOWER(TRIM(K1970)),'Students'!$AF$2:$AF$701,0),IFERROR(MATCH(LOWER(TRIM(K1970)),'Students'!$AG$2:$AG$701,0),""))))</f>
        <v/>
      </c>
      <c r="R1970">
        <f>IF(P1970="","",INDEX('Students'!$AD$2:$AD$701,P1970))</f>
        <v/>
      </c>
      <c r="S1970">
        <f>IF(H1970="OK",O1970,0)</f>
        <v/>
      </c>
      <c r="T1970">
        <f>IF(H1970="OK",N1970,"")</f>
        <v/>
      </c>
      <c r="U1970">
        <f>IF(OC_Donor=0,"",IF(INDEX('OneCause_Paste'!$A$1970:$AZ$1970,1,OC_Donor)="","",INDEX('OneCause_Paste'!$A$1970:$AZ$1970,1,OC_Donor)))</f>
        <v/>
      </c>
    </row>
    <row r="1971">
      <c r="A1971" s="62">
        <f>IF(H1971="","",IF(ISNUMBER(N1971),N1971,I1971))</f>
        <v/>
      </c>
      <c r="B1971">
        <f>IF(H1971="","",U1971)</f>
        <v/>
      </c>
      <c r="C1971">
        <f>IF(H1971="","",IF(P1971="",K1971,INDEX('Students'!$A$2:$A$701,P1971)))</f>
        <v/>
      </c>
      <c r="D1971">
        <f>IF(OR(H1971="",P1971=""),"",INDEX('Students'!$B$2:$B$701,P1971))</f>
        <v/>
      </c>
      <c r="E1971">
        <f>IF(OR(H1971="",P1971=""),"",INDEX('Students'!$C$2:$C$701,P1971))</f>
        <v/>
      </c>
      <c r="F1971" s="48">
        <f>IF(H1971="","",IF(ISNUMBER(O1971),O1971,J1971))</f>
        <v/>
      </c>
      <c r="G1971">
        <f>IF(H1971="","","OneCause")</f>
        <v/>
      </c>
      <c r="H1971">
        <f>IF(AND(I1971="",J1971="",K1971=""),"",IF(NOT(ISNUMBER(O1971)),"Bad amount",IF(O1971&lt;0,"Refund (not counted)",IF(O1971=0,"Zero amount",IF(NOT(ISNUMBER(N1971)),"Bad date",IF(P1971="","NAME NOT ON ROSTER",IF(L1971="","OK",IF(MATCH(L1971,$L$2:$L$3001,0)&lt;ROW()-1,"Duplicate (ignored)","OK"))))))))</f>
        <v/>
      </c>
      <c r="I1971">
        <f>IF(OC_Date=0,"",IF(INDEX('OneCause_Paste'!$A$1971:$AZ$1971,1,OC_Date)="","",INDEX('OneCause_Paste'!$A$1971:$AZ$1971,1,OC_Date)))</f>
        <v/>
      </c>
      <c r="J1971">
        <f>IF(OC_Amt=0,"",IF(INDEX('OneCause_Paste'!$A$1971:$AZ$1971,1,OC_Amt)="","",INDEX('OneCause_Paste'!$A$1971:$AZ$1971,1,OC_Amt)))</f>
        <v/>
      </c>
      <c r="K1971">
        <f>IF(OC_Name=0,"",IF(INDEX('OneCause_Paste'!$A$1971:$AZ$1971,1,OC_Name)="","",INDEX('OneCause_Paste'!$A$1971:$AZ$1971,1,OC_Name)))</f>
        <v/>
      </c>
      <c r="L1971">
        <f>IF(OC_Txn=0,"",IF(INDEX('OneCause_Paste'!$A$1971:$AZ$1971,1,OC_Txn)="","",INDEX('OneCause_Paste'!$A$1971:$AZ$1971,1,OC_Txn)))</f>
        <v/>
      </c>
      <c r="M1971">
        <f>IF(OC_Pay=0,"",IF(INDEX('OneCause_Paste'!$A$1971:$AZ$1971,1,OC_Pay)="","",INDEX('OneCause_Paste'!$A$1971:$AZ$1971,1,OC_Pay)))</f>
        <v/>
      </c>
      <c r="N1971">
        <f>IF(I1971="","",IF(ISNUMBER(I1971),INT(I1971),IFERROR(INT(DATEVALUE(I1971)),IFERROR(INT(VALUE(I1971)),"bad"))))</f>
        <v/>
      </c>
      <c r="O1971">
        <f>IF(J1971="","",IF(ISNUMBER(J1971),ROUND(J1971,2),IFERROR(ROUND(VALUE(SUBSTITUTE(SUBSTITUTE(SUBSTITUTE(J1971,"$",""),",","")," ","")),2),"bad")))</f>
        <v/>
      </c>
      <c r="P1971">
        <f>IF(TRIM(K1971)="","",IFERROR(MATCH(LOWER(TRIM(K1971)),'Students'!$AH$2:$AH$701,0),IFERROR(MATCH(LOWER(TRIM(K1971)),'Students'!$AF$2:$AF$701,0),IFERROR(MATCH(LOWER(TRIM(K1971)),'Students'!$AG$2:$AG$701,0),""))))</f>
        <v/>
      </c>
      <c r="R1971">
        <f>IF(P1971="","",INDEX('Students'!$AD$2:$AD$701,P1971))</f>
        <v/>
      </c>
      <c r="S1971">
        <f>IF(H1971="OK",O1971,0)</f>
        <v/>
      </c>
      <c r="T1971">
        <f>IF(H1971="OK",N1971,"")</f>
        <v/>
      </c>
      <c r="U1971">
        <f>IF(OC_Donor=0,"",IF(INDEX('OneCause_Paste'!$A$1971:$AZ$1971,1,OC_Donor)="","",INDEX('OneCause_Paste'!$A$1971:$AZ$1971,1,OC_Donor)))</f>
        <v/>
      </c>
    </row>
    <row r="1972">
      <c r="A1972" s="62">
        <f>IF(H1972="","",IF(ISNUMBER(N1972),N1972,I1972))</f>
        <v/>
      </c>
      <c r="B1972">
        <f>IF(H1972="","",U1972)</f>
        <v/>
      </c>
      <c r="C1972">
        <f>IF(H1972="","",IF(P1972="",K1972,INDEX('Students'!$A$2:$A$701,P1972)))</f>
        <v/>
      </c>
      <c r="D1972">
        <f>IF(OR(H1972="",P1972=""),"",INDEX('Students'!$B$2:$B$701,P1972))</f>
        <v/>
      </c>
      <c r="E1972">
        <f>IF(OR(H1972="",P1972=""),"",INDEX('Students'!$C$2:$C$701,P1972))</f>
        <v/>
      </c>
      <c r="F1972" s="48">
        <f>IF(H1972="","",IF(ISNUMBER(O1972),O1972,J1972))</f>
        <v/>
      </c>
      <c r="G1972">
        <f>IF(H1972="","","OneCause")</f>
        <v/>
      </c>
      <c r="H1972">
        <f>IF(AND(I1972="",J1972="",K1972=""),"",IF(NOT(ISNUMBER(O1972)),"Bad amount",IF(O1972&lt;0,"Refund (not counted)",IF(O1972=0,"Zero amount",IF(NOT(ISNUMBER(N1972)),"Bad date",IF(P1972="","NAME NOT ON ROSTER",IF(L1972="","OK",IF(MATCH(L1972,$L$2:$L$3001,0)&lt;ROW()-1,"Duplicate (ignored)","OK"))))))))</f>
        <v/>
      </c>
      <c r="I1972">
        <f>IF(OC_Date=0,"",IF(INDEX('OneCause_Paste'!$A$1972:$AZ$1972,1,OC_Date)="","",INDEX('OneCause_Paste'!$A$1972:$AZ$1972,1,OC_Date)))</f>
        <v/>
      </c>
      <c r="J1972">
        <f>IF(OC_Amt=0,"",IF(INDEX('OneCause_Paste'!$A$1972:$AZ$1972,1,OC_Amt)="","",INDEX('OneCause_Paste'!$A$1972:$AZ$1972,1,OC_Amt)))</f>
        <v/>
      </c>
      <c r="K1972">
        <f>IF(OC_Name=0,"",IF(INDEX('OneCause_Paste'!$A$1972:$AZ$1972,1,OC_Name)="","",INDEX('OneCause_Paste'!$A$1972:$AZ$1972,1,OC_Name)))</f>
        <v/>
      </c>
      <c r="L1972">
        <f>IF(OC_Txn=0,"",IF(INDEX('OneCause_Paste'!$A$1972:$AZ$1972,1,OC_Txn)="","",INDEX('OneCause_Paste'!$A$1972:$AZ$1972,1,OC_Txn)))</f>
        <v/>
      </c>
      <c r="M1972">
        <f>IF(OC_Pay=0,"",IF(INDEX('OneCause_Paste'!$A$1972:$AZ$1972,1,OC_Pay)="","",INDEX('OneCause_Paste'!$A$1972:$AZ$1972,1,OC_Pay)))</f>
        <v/>
      </c>
      <c r="N1972">
        <f>IF(I1972="","",IF(ISNUMBER(I1972),INT(I1972),IFERROR(INT(DATEVALUE(I1972)),IFERROR(INT(VALUE(I1972)),"bad"))))</f>
        <v/>
      </c>
      <c r="O1972">
        <f>IF(J1972="","",IF(ISNUMBER(J1972),ROUND(J1972,2),IFERROR(ROUND(VALUE(SUBSTITUTE(SUBSTITUTE(SUBSTITUTE(J1972,"$",""),",","")," ","")),2),"bad")))</f>
        <v/>
      </c>
      <c r="P1972">
        <f>IF(TRIM(K1972)="","",IFERROR(MATCH(LOWER(TRIM(K1972)),'Students'!$AH$2:$AH$701,0),IFERROR(MATCH(LOWER(TRIM(K1972)),'Students'!$AF$2:$AF$701,0),IFERROR(MATCH(LOWER(TRIM(K1972)),'Students'!$AG$2:$AG$701,0),""))))</f>
        <v/>
      </c>
      <c r="R1972">
        <f>IF(P1972="","",INDEX('Students'!$AD$2:$AD$701,P1972))</f>
        <v/>
      </c>
      <c r="S1972">
        <f>IF(H1972="OK",O1972,0)</f>
        <v/>
      </c>
      <c r="T1972">
        <f>IF(H1972="OK",N1972,"")</f>
        <v/>
      </c>
      <c r="U1972">
        <f>IF(OC_Donor=0,"",IF(INDEX('OneCause_Paste'!$A$1972:$AZ$1972,1,OC_Donor)="","",INDEX('OneCause_Paste'!$A$1972:$AZ$1972,1,OC_Donor)))</f>
        <v/>
      </c>
    </row>
    <row r="1973">
      <c r="A1973" s="62">
        <f>IF(H1973="","",IF(ISNUMBER(N1973),N1973,I1973))</f>
        <v/>
      </c>
      <c r="B1973">
        <f>IF(H1973="","",U1973)</f>
        <v/>
      </c>
      <c r="C1973">
        <f>IF(H1973="","",IF(P1973="",K1973,INDEX('Students'!$A$2:$A$701,P1973)))</f>
        <v/>
      </c>
      <c r="D1973">
        <f>IF(OR(H1973="",P1973=""),"",INDEX('Students'!$B$2:$B$701,P1973))</f>
        <v/>
      </c>
      <c r="E1973">
        <f>IF(OR(H1973="",P1973=""),"",INDEX('Students'!$C$2:$C$701,P1973))</f>
        <v/>
      </c>
      <c r="F1973" s="48">
        <f>IF(H1973="","",IF(ISNUMBER(O1973),O1973,J1973))</f>
        <v/>
      </c>
      <c r="G1973">
        <f>IF(H1973="","","OneCause")</f>
        <v/>
      </c>
      <c r="H1973">
        <f>IF(AND(I1973="",J1973="",K1973=""),"",IF(NOT(ISNUMBER(O1973)),"Bad amount",IF(O1973&lt;0,"Refund (not counted)",IF(O1973=0,"Zero amount",IF(NOT(ISNUMBER(N1973)),"Bad date",IF(P1973="","NAME NOT ON ROSTER",IF(L1973="","OK",IF(MATCH(L1973,$L$2:$L$3001,0)&lt;ROW()-1,"Duplicate (ignored)","OK"))))))))</f>
        <v/>
      </c>
      <c r="I1973">
        <f>IF(OC_Date=0,"",IF(INDEX('OneCause_Paste'!$A$1973:$AZ$1973,1,OC_Date)="","",INDEX('OneCause_Paste'!$A$1973:$AZ$1973,1,OC_Date)))</f>
        <v/>
      </c>
      <c r="J1973">
        <f>IF(OC_Amt=0,"",IF(INDEX('OneCause_Paste'!$A$1973:$AZ$1973,1,OC_Amt)="","",INDEX('OneCause_Paste'!$A$1973:$AZ$1973,1,OC_Amt)))</f>
        <v/>
      </c>
      <c r="K1973">
        <f>IF(OC_Name=0,"",IF(INDEX('OneCause_Paste'!$A$1973:$AZ$1973,1,OC_Name)="","",INDEX('OneCause_Paste'!$A$1973:$AZ$1973,1,OC_Name)))</f>
        <v/>
      </c>
      <c r="L1973">
        <f>IF(OC_Txn=0,"",IF(INDEX('OneCause_Paste'!$A$1973:$AZ$1973,1,OC_Txn)="","",INDEX('OneCause_Paste'!$A$1973:$AZ$1973,1,OC_Txn)))</f>
        <v/>
      </c>
      <c r="M1973">
        <f>IF(OC_Pay=0,"",IF(INDEX('OneCause_Paste'!$A$1973:$AZ$1973,1,OC_Pay)="","",INDEX('OneCause_Paste'!$A$1973:$AZ$1973,1,OC_Pay)))</f>
        <v/>
      </c>
      <c r="N1973">
        <f>IF(I1973="","",IF(ISNUMBER(I1973),INT(I1973),IFERROR(INT(DATEVALUE(I1973)),IFERROR(INT(VALUE(I1973)),"bad"))))</f>
        <v/>
      </c>
      <c r="O1973">
        <f>IF(J1973="","",IF(ISNUMBER(J1973),ROUND(J1973,2),IFERROR(ROUND(VALUE(SUBSTITUTE(SUBSTITUTE(SUBSTITUTE(J1973,"$",""),",","")," ","")),2),"bad")))</f>
        <v/>
      </c>
      <c r="P1973">
        <f>IF(TRIM(K1973)="","",IFERROR(MATCH(LOWER(TRIM(K1973)),'Students'!$AH$2:$AH$701,0),IFERROR(MATCH(LOWER(TRIM(K1973)),'Students'!$AF$2:$AF$701,0),IFERROR(MATCH(LOWER(TRIM(K1973)),'Students'!$AG$2:$AG$701,0),""))))</f>
        <v/>
      </c>
      <c r="R1973">
        <f>IF(P1973="","",INDEX('Students'!$AD$2:$AD$701,P1973))</f>
        <v/>
      </c>
      <c r="S1973">
        <f>IF(H1973="OK",O1973,0)</f>
        <v/>
      </c>
      <c r="T1973">
        <f>IF(H1973="OK",N1973,"")</f>
        <v/>
      </c>
      <c r="U1973">
        <f>IF(OC_Donor=0,"",IF(INDEX('OneCause_Paste'!$A$1973:$AZ$1973,1,OC_Donor)="","",INDEX('OneCause_Paste'!$A$1973:$AZ$1973,1,OC_Donor)))</f>
        <v/>
      </c>
    </row>
    <row r="1974">
      <c r="A1974" s="62">
        <f>IF(H1974="","",IF(ISNUMBER(N1974),N1974,I1974))</f>
        <v/>
      </c>
      <c r="B1974">
        <f>IF(H1974="","",U1974)</f>
        <v/>
      </c>
      <c r="C1974">
        <f>IF(H1974="","",IF(P1974="",K1974,INDEX('Students'!$A$2:$A$701,P1974)))</f>
        <v/>
      </c>
      <c r="D1974">
        <f>IF(OR(H1974="",P1974=""),"",INDEX('Students'!$B$2:$B$701,P1974))</f>
        <v/>
      </c>
      <c r="E1974">
        <f>IF(OR(H1974="",P1974=""),"",INDEX('Students'!$C$2:$C$701,P1974))</f>
        <v/>
      </c>
      <c r="F1974" s="48">
        <f>IF(H1974="","",IF(ISNUMBER(O1974),O1974,J1974))</f>
        <v/>
      </c>
      <c r="G1974">
        <f>IF(H1974="","","OneCause")</f>
        <v/>
      </c>
      <c r="H1974">
        <f>IF(AND(I1974="",J1974="",K1974=""),"",IF(NOT(ISNUMBER(O1974)),"Bad amount",IF(O1974&lt;0,"Refund (not counted)",IF(O1974=0,"Zero amount",IF(NOT(ISNUMBER(N1974)),"Bad date",IF(P1974="","NAME NOT ON ROSTER",IF(L1974="","OK",IF(MATCH(L1974,$L$2:$L$3001,0)&lt;ROW()-1,"Duplicate (ignored)","OK"))))))))</f>
        <v/>
      </c>
      <c r="I1974">
        <f>IF(OC_Date=0,"",IF(INDEX('OneCause_Paste'!$A$1974:$AZ$1974,1,OC_Date)="","",INDEX('OneCause_Paste'!$A$1974:$AZ$1974,1,OC_Date)))</f>
        <v/>
      </c>
      <c r="J1974">
        <f>IF(OC_Amt=0,"",IF(INDEX('OneCause_Paste'!$A$1974:$AZ$1974,1,OC_Amt)="","",INDEX('OneCause_Paste'!$A$1974:$AZ$1974,1,OC_Amt)))</f>
        <v/>
      </c>
      <c r="K1974">
        <f>IF(OC_Name=0,"",IF(INDEX('OneCause_Paste'!$A$1974:$AZ$1974,1,OC_Name)="","",INDEX('OneCause_Paste'!$A$1974:$AZ$1974,1,OC_Name)))</f>
        <v/>
      </c>
      <c r="L1974">
        <f>IF(OC_Txn=0,"",IF(INDEX('OneCause_Paste'!$A$1974:$AZ$1974,1,OC_Txn)="","",INDEX('OneCause_Paste'!$A$1974:$AZ$1974,1,OC_Txn)))</f>
        <v/>
      </c>
      <c r="M1974">
        <f>IF(OC_Pay=0,"",IF(INDEX('OneCause_Paste'!$A$1974:$AZ$1974,1,OC_Pay)="","",INDEX('OneCause_Paste'!$A$1974:$AZ$1974,1,OC_Pay)))</f>
        <v/>
      </c>
      <c r="N1974">
        <f>IF(I1974="","",IF(ISNUMBER(I1974),INT(I1974),IFERROR(INT(DATEVALUE(I1974)),IFERROR(INT(VALUE(I1974)),"bad"))))</f>
        <v/>
      </c>
      <c r="O1974">
        <f>IF(J1974="","",IF(ISNUMBER(J1974),ROUND(J1974,2),IFERROR(ROUND(VALUE(SUBSTITUTE(SUBSTITUTE(SUBSTITUTE(J1974,"$",""),",","")," ","")),2),"bad")))</f>
        <v/>
      </c>
      <c r="P1974">
        <f>IF(TRIM(K1974)="","",IFERROR(MATCH(LOWER(TRIM(K1974)),'Students'!$AH$2:$AH$701,0),IFERROR(MATCH(LOWER(TRIM(K1974)),'Students'!$AF$2:$AF$701,0),IFERROR(MATCH(LOWER(TRIM(K1974)),'Students'!$AG$2:$AG$701,0),""))))</f>
        <v/>
      </c>
      <c r="R1974">
        <f>IF(P1974="","",INDEX('Students'!$AD$2:$AD$701,P1974))</f>
        <v/>
      </c>
      <c r="S1974">
        <f>IF(H1974="OK",O1974,0)</f>
        <v/>
      </c>
      <c r="T1974">
        <f>IF(H1974="OK",N1974,"")</f>
        <v/>
      </c>
      <c r="U1974">
        <f>IF(OC_Donor=0,"",IF(INDEX('OneCause_Paste'!$A$1974:$AZ$1974,1,OC_Donor)="","",INDEX('OneCause_Paste'!$A$1974:$AZ$1974,1,OC_Donor)))</f>
        <v/>
      </c>
    </row>
    <row r="1975">
      <c r="A1975" s="62">
        <f>IF(H1975="","",IF(ISNUMBER(N1975),N1975,I1975))</f>
        <v/>
      </c>
      <c r="B1975">
        <f>IF(H1975="","",U1975)</f>
        <v/>
      </c>
      <c r="C1975">
        <f>IF(H1975="","",IF(P1975="",K1975,INDEX('Students'!$A$2:$A$701,P1975)))</f>
        <v/>
      </c>
      <c r="D1975">
        <f>IF(OR(H1975="",P1975=""),"",INDEX('Students'!$B$2:$B$701,P1975))</f>
        <v/>
      </c>
      <c r="E1975">
        <f>IF(OR(H1975="",P1975=""),"",INDEX('Students'!$C$2:$C$701,P1975))</f>
        <v/>
      </c>
      <c r="F1975" s="48">
        <f>IF(H1975="","",IF(ISNUMBER(O1975),O1975,J1975))</f>
        <v/>
      </c>
      <c r="G1975">
        <f>IF(H1975="","","OneCause")</f>
        <v/>
      </c>
      <c r="H1975">
        <f>IF(AND(I1975="",J1975="",K1975=""),"",IF(NOT(ISNUMBER(O1975)),"Bad amount",IF(O1975&lt;0,"Refund (not counted)",IF(O1975=0,"Zero amount",IF(NOT(ISNUMBER(N1975)),"Bad date",IF(P1975="","NAME NOT ON ROSTER",IF(L1975="","OK",IF(MATCH(L1975,$L$2:$L$3001,0)&lt;ROW()-1,"Duplicate (ignored)","OK"))))))))</f>
        <v/>
      </c>
      <c r="I1975">
        <f>IF(OC_Date=0,"",IF(INDEX('OneCause_Paste'!$A$1975:$AZ$1975,1,OC_Date)="","",INDEX('OneCause_Paste'!$A$1975:$AZ$1975,1,OC_Date)))</f>
        <v/>
      </c>
      <c r="J1975">
        <f>IF(OC_Amt=0,"",IF(INDEX('OneCause_Paste'!$A$1975:$AZ$1975,1,OC_Amt)="","",INDEX('OneCause_Paste'!$A$1975:$AZ$1975,1,OC_Amt)))</f>
        <v/>
      </c>
      <c r="K1975">
        <f>IF(OC_Name=0,"",IF(INDEX('OneCause_Paste'!$A$1975:$AZ$1975,1,OC_Name)="","",INDEX('OneCause_Paste'!$A$1975:$AZ$1975,1,OC_Name)))</f>
        <v/>
      </c>
      <c r="L1975">
        <f>IF(OC_Txn=0,"",IF(INDEX('OneCause_Paste'!$A$1975:$AZ$1975,1,OC_Txn)="","",INDEX('OneCause_Paste'!$A$1975:$AZ$1975,1,OC_Txn)))</f>
        <v/>
      </c>
      <c r="M1975">
        <f>IF(OC_Pay=0,"",IF(INDEX('OneCause_Paste'!$A$1975:$AZ$1975,1,OC_Pay)="","",INDEX('OneCause_Paste'!$A$1975:$AZ$1975,1,OC_Pay)))</f>
        <v/>
      </c>
      <c r="N1975">
        <f>IF(I1975="","",IF(ISNUMBER(I1975),INT(I1975),IFERROR(INT(DATEVALUE(I1975)),IFERROR(INT(VALUE(I1975)),"bad"))))</f>
        <v/>
      </c>
      <c r="O1975">
        <f>IF(J1975="","",IF(ISNUMBER(J1975),ROUND(J1975,2),IFERROR(ROUND(VALUE(SUBSTITUTE(SUBSTITUTE(SUBSTITUTE(J1975,"$",""),",","")," ","")),2),"bad")))</f>
        <v/>
      </c>
      <c r="P1975">
        <f>IF(TRIM(K1975)="","",IFERROR(MATCH(LOWER(TRIM(K1975)),'Students'!$AH$2:$AH$701,0),IFERROR(MATCH(LOWER(TRIM(K1975)),'Students'!$AF$2:$AF$701,0),IFERROR(MATCH(LOWER(TRIM(K1975)),'Students'!$AG$2:$AG$701,0),""))))</f>
        <v/>
      </c>
      <c r="R1975">
        <f>IF(P1975="","",INDEX('Students'!$AD$2:$AD$701,P1975))</f>
        <v/>
      </c>
      <c r="S1975">
        <f>IF(H1975="OK",O1975,0)</f>
        <v/>
      </c>
      <c r="T1975">
        <f>IF(H1975="OK",N1975,"")</f>
        <v/>
      </c>
      <c r="U1975">
        <f>IF(OC_Donor=0,"",IF(INDEX('OneCause_Paste'!$A$1975:$AZ$1975,1,OC_Donor)="","",INDEX('OneCause_Paste'!$A$1975:$AZ$1975,1,OC_Donor)))</f>
        <v/>
      </c>
    </row>
    <row r="1976">
      <c r="A1976" s="62">
        <f>IF(H1976="","",IF(ISNUMBER(N1976),N1976,I1976))</f>
        <v/>
      </c>
      <c r="B1976">
        <f>IF(H1976="","",U1976)</f>
        <v/>
      </c>
      <c r="C1976">
        <f>IF(H1976="","",IF(P1976="",K1976,INDEX('Students'!$A$2:$A$701,P1976)))</f>
        <v/>
      </c>
      <c r="D1976">
        <f>IF(OR(H1976="",P1976=""),"",INDEX('Students'!$B$2:$B$701,P1976))</f>
        <v/>
      </c>
      <c r="E1976">
        <f>IF(OR(H1976="",P1976=""),"",INDEX('Students'!$C$2:$C$701,P1976))</f>
        <v/>
      </c>
      <c r="F1976" s="48">
        <f>IF(H1976="","",IF(ISNUMBER(O1976),O1976,J1976))</f>
        <v/>
      </c>
      <c r="G1976">
        <f>IF(H1976="","","OneCause")</f>
        <v/>
      </c>
      <c r="H1976">
        <f>IF(AND(I1976="",J1976="",K1976=""),"",IF(NOT(ISNUMBER(O1976)),"Bad amount",IF(O1976&lt;0,"Refund (not counted)",IF(O1976=0,"Zero amount",IF(NOT(ISNUMBER(N1976)),"Bad date",IF(P1976="","NAME NOT ON ROSTER",IF(L1976="","OK",IF(MATCH(L1976,$L$2:$L$3001,0)&lt;ROW()-1,"Duplicate (ignored)","OK"))))))))</f>
        <v/>
      </c>
      <c r="I1976">
        <f>IF(OC_Date=0,"",IF(INDEX('OneCause_Paste'!$A$1976:$AZ$1976,1,OC_Date)="","",INDEX('OneCause_Paste'!$A$1976:$AZ$1976,1,OC_Date)))</f>
        <v/>
      </c>
      <c r="J1976">
        <f>IF(OC_Amt=0,"",IF(INDEX('OneCause_Paste'!$A$1976:$AZ$1976,1,OC_Amt)="","",INDEX('OneCause_Paste'!$A$1976:$AZ$1976,1,OC_Amt)))</f>
        <v/>
      </c>
      <c r="K1976">
        <f>IF(OC_Name=0,"",IF(INDEX('OneCause_Paste'!$A$1976:$AZ$1976,1,OC_Name)="","",INDEX('OneCause_Paste'!$A$1976:$AZ$1976,1,OC_Name)))</f>
        <v/>
      </c>
      <c r="L1976">
        <f>IF(OC_Txn=0,"",IF(INDEX('OneCause_Paste'!$A$1976:$AZ$1976,1,OC_Txn)="","",INDEX('OneCause_Paste'!$A$1976:$AZ$1976,1,OC_Txn)))</f>
        <v/>
      </c>
      <c r="M1976">
        <f>IF(OC_Pay=0,"",IF(INDEX('OneCause_Paste'!$A$1976:$AZ$1976,1,OC_Pay)="","",INDEX('OneCause_Paste'!$A$1976:$AZ$1976,1,OC_Pay)))</f>
        <v/>
      </c>
      <c r="N1976">
        <f>IF(I1976="","",IF(ISNUMBER(I1976),INT(I1976),IFERROR(INT(DATEVALUE(I1976)),IFERROR(INT(VALUE(I1976)),"bad"))))</f>
        <v/>
      </c>
      <c r="O1976">
        <f>IF(J1976="","",IF(ISNUMBER(J1976),ROUND(J1976,2),IFERROR(ROUND(VALUE(SUBSTITUTE(SUBSTITUTE(SUBSTITUTE(J1976,"$",""),",","")," ","")),2),"bad")))</f>
        <v/>
      </c>
      <c r="P1976">
        <f>IF(TRIM(K1976)="","",IFERROR(MATCH(LOWER(TRIM(K1976)),'Students'!$AH$2:$AH$701,0),IFERROR(MATCH(LOWER(TRIM(K1976)),'Students'!$AF$2:$AF$701,0),IFERROR(MATCH(LOWER(TRIM(K1976)),'Students'!$AG$2:$AG$701,0),""))))</f>
        <v/>
      </c>
      <c r="R1976">
        <f>IF(P1976="","",INDEX('Students'!$AD$2:$AD$701,P1976))</f>
        <v/>
      </c>
      <c r="S1976">
        <f>IF(H1976="OK",O1976,0)</f>
        <v/>
      </c>
      <c r="T1976">
        <f>IF(H1976="OK",N1976,"")</f>
        <v/>
      </c>
      <c r="U1976">
        <f>IF(OC_Donor=0,"",IF(INDEX('OneCause_Paste'!$A$1976:$AZ$1976,1,OC_Donor)="","",INDEX('OneCause_Paste'!$A$1976:$AZ$1976,1,OC_Donor)))</f>
        <v/>
      </c>
    </row>
    <row r="1977">
      <c r="A1977" s="62">
        <f>IF(H1977="","",IF(ISNUMBER(N1977),N1977,I1977))</f>
        <v/>
      </c>
      <c r="B1977">
        <f>IF(H1977="","",U1977)</f>
        <v/>
      </c>
      <c r="C1977">
        <f>IF(H1977="","",IF(P1977="",K1977,INDEX('Students'!$A$2:$A$701,P1977)))</f>
        <v/>
      </c>
      <c r="D1977">
        <f>IF(OR(H1977="",P1977=""),"",INDEX('Students'!$B$2:$B$701,P1977))</f>
        <v/>
      </c>
      <c r="E1977">
        <f>IF(OR(H1977="",P1977=""),"",INDEX('Students'!$C$2:$C$701,P1977))</f>
        <v/>
      </c>
      <c r="F1977" s="48">
        <f>IF(H1977="","",IF(ISNUMBER(O1977),O1977,J1977))</f>
        <v/>
      </c>
      <c r="G1977">
        <f>IF(H1977="","","OneCause")</f>
        <v/>
      </c>
      <c r="H1977">
        <f>IF(AND(I1977="",J1977="",K1977=""),"",IF(NOT(ISNUMBER(O1977)),"Bad amount",IF(O1977&lt;0,"Refund (not counted)",IF(O1977=0,"Zero amount",IF(NOT(ISNUMBER(N1977)),"Bad date",IF(P1977="","NAME NOT ON ROSTER",IF(L1977="","OK",IF(MATCH(L1977,$L$2:$L$3001,0)&lt;ROW()-1,"Duplicate (ignored)","OK"))))))))</f>
        <v/>
      </c>
      <c r="I1977">
        <f>IF(OC_Date=0,"",IF(INDEX('OneCause_Paste'!$A$1977:$AZ$1977,1,OC_Date)="","",INDEX('OneCause_Paste'!$A$1977:$AZ$1977,1,OC_Date)))</f>
        <v/>
      </c>
      <c r="J1977">
        <f>IF(OC_Amt=0,"",IF(INDEX('OneCause_Paste'!$A$1977:$AZ$1977,1,OC_Amt)="","",INDEX('OneCause_Paste'!$A$1977:$AZ$1977,1,OC_Amt)))</f>
        <v/>
      </c>
      <c r="K1977">
        <f>IF(OC_Name=0,"",IF(INDEX('OneCause_Paste'!$A$1977:$AZ$1977,1,OC_Name)="","",INDEX('OneCause_Paste'!$A$1977:$AZ$1977,1,OC_Name)))</f>
        <v/>
      </c>
      <c r="L1977">
        <f>IF(OC_Txn=0,"",IF(INDEX('OneCause_Paste'!$A$1977:$AZ$1977,1,OC_Txn)="","",INDEX('OneCause_Paste'!$A$1977:$AZ$1977,1,OC_Txn)))</f>
        <v/>
      </c>
      <c r="M1977">
        <f>IF(OC_Pay=0,"",IF(INDEX('OneCause_Paste'!$A$1977:$AZ$1977,1,OC_Pay)="","",INDEX('OneCause_Paste'!$A$1977:$AZ$1977,1,OC_Pay)))</f>
        <v/>
      </c>
      <c r="N1977">
        <f>IF(I1977="","",IF(ISNUMBER(I1977),INT(I1977),IFERROR(INT(DATEVALUE(I1977)),IFERROR(INT(VALUE(I1977)),"bad"))))</f>
        <v/>
      </c>
      <c r="O1977">
        <f>IF(J1977="","",IF(ISNUMBER(J1977),ROUND(J1977,2),IFERROR(ROUND(VALUE(SUBSTITUTE(SUBSTITUTE(SUBSTITUTE(J1977,"$",""),",","")," ","")),2),"bad")))</f>
        <v/>
      </c>
      <c r="P1977">
        <f>IF(TRIM(K1977)="","",IFERROR(MATCH(LOWER(TRIM(K1977)),'Students'!$AH$2:$AH$701,0),IFERROR(MATCH(LOWER(TRIM(K1977)),'Students'!$AF$2:$AF$701,0),IFERROR(MATCH(LOWER(TRIM(K1977)),'Students'!$AG$2:$AG$701,0),""))))</f>
        <v/>
      </c>
      <c r="R1977">
        <f>IF(P1977="","",INDEX('Students'!$AD$2:$AD$701,P1977))</f>
        <v/>
      </c>
      <c r="S1977">
        <f>IF(H1977="OK",O1977,0)</f>
        <v/>
      </c>
      <c r="T1977">
        <f>IF(H1977="OK",N1977,"")</f>
        <v/>
      </c>
      <c r="U1977">
        <f>IF(OC_Donor=0,"",IF(INDEX('OneCause_Paste'!$A$1977:$AZ$1977,1,OC_Donor)="","",INDEX('OneCause_Paste'!$A$1977:$AZ$1977,1,OC_Donor)))</f>
        <v/>
      </c>
    </row>
    <row r="1978">
      <c r="A1978" s="62">
        <f>IF(H1978="","",IF(ISNUMBER(N1978),N1978,I1978))</f>
        <v/>
      </c>
      <c r="B1978">
        <f>IF(H1978="","",U1978)</f>
        <v/>
      </c>
      <c r="C1978">
        <f>IF(H1978="","",IF(P1978="",K1978,INDEX('Students'!$A$2:$A$701,P1978)))</f>
        <v/>
      </c>
      <c r="D1978">
        <f>IF(OR(H1978="",P1978=""),"",INDEX('Students'!$B$2:$B$701,P1978))</f>
        <v/>
      </c>
      <c r="E1978">
        <f>IF(OR(H1978="",P1978=""),"",INDEX('Students'!$C$2:$C$701,P1978))</f>
        <v/>
      </c>
      <c r="F1978" s="48">
        <f>IF(H1978="","",IF(ISNUMBER(O1978),O1978,J1978))</f>
        <v/>
      </c>
      <c r="G1978">
        <f>IF(H1978="","","OneCause")</f>
        <v/>
      </c>
      <c r="H1978">
        <f>IF(AND(I1978="",J1978="",K1978=""),"",IF(NOT(ISNUMBER(O1978)),"Bad amount",IF(O1978&lt;0,"Refund (not counted)",IF(O1978=0,"Zero amount",IF(NOT(ISNUMBER(N1978)),"Bad date",IF(P1978="","NAME NOT ON ROSTER",IF(L1978="","OK",IF(MATCH(L1978,$L$2:$L$3001,0)&lt;ROW()-1,"Duplicate (ignored)","OK"))))))))</f>
        <v/>
      </c>
      <c r="I1978">
        <f>IF(OC_Date=0,"",IF(INDEX('OneCause_Paste'!$A$1978:$AZ$1978,1,OC_Date)="","",INDEX('OneCause_Paste'!$A$1978:$AZ$1978,1,OC_Date)))</f>
        <v/>
      </c>
      <c r="J1978">
        <f>IF(OC_Amt=0,"",IF(INDEX('OneCause_Paste'!$A$1978:$AZ$1978,1,OC_Amt)="","",INDEX('OneCause_Paste'!$A$1978:$AZ$1978,1,OC_Amt)))</f>
        <v/>
      </c>
      <c r="K1978">
        <f>IF(OC_Name=0,"",IF(INDEX('OneCause_Paste'!$A$1978:$AZ$1978,1,OC_Name)="","",INDEX('OneCause_Paste'!$A$1978:$AZ$1978,1,OC_Name)))</f>
        <v/>
      </c>
      <c r="L1978">
        <f>IF(OC_Txn=0,"",IF(INDEX('OneCause_Paste'!$A$1978:$AZ$1978,1,OC_Txn)="","",INDEX('OneCause_Paste'!$A$1978:$AZ$1978,1,OC_Txn)))</f>
        <v/>
      </c>
      <c r="M1978">
        <f>IF(OC_Pay=0,"",IF(INDEX('OneCause_Paste'!$A$1978:$AZ$1978,1,OC_Pay)="","",INDEX('OneCause_Paste'!$A$1978:$AZ$1978,1,OC_Pay)))</f>
        <v/>
      </c>
      <c r="N1978">
        <f>IF(I1978="","",IF(ISNUMBER(I1978),INT(I1978),IFERROR(INT(DATEVALUE(I1978)),IFERROR(INT(VALUE(I1978)),"bad"))))</f>
        <v/>
      </c>
      <c r="O1978">
        <f>IF(J1978="","",IF(ISNUMBER(J1978),ROUND(J1978,2),IFERROR(ROUND(VALUE(SUBSTITUTE(SUBSTITUTE(SUBSTITUTE(J1978,"$",""),",","")," ","")),2),"bad")))</f>
        <v/>
      </c>
      <c r="P1978">
        <f>IF(TRIM(K1978)="","",IFERROR(MATCH(LOWER(TRIM(K1978)),'Students'!$AH$2:$AH$701,0),IFERROR(MATCH(LOWER(TRIM(K1978)),'Students'!$AF$2:$AF$701,0),IFERROR(MATCH(LOWER(TRIM(K1978)),'Students'!$AG$2:$AG$701,0),""))))</f>
        <v/>
      </c>
      <c r="R1978">
        <f>IF(P1978="","",INDEX('Students'!$AD$2:$AD$701,P1978))</f>
        <v/>
      </c>
      <c r="S1978">
        <f>IF(H1978="OK",O1978,0)</f>
        <v/>
      </c>
      <c r="T1978">
        <f>IF(H1978="OK",N1978,"")</f>
        <v/>
      </c>
      <c r="U1978">
        <f>IF(OC_Donor=0,"",IF(INDEX('OneCause_Paste'!$A$1978:$AZ$1978,1,OC_Donor)="","",INDEX('OneCause_Paste'!$A$1978:$AZ$1978,1,OC_Donor)))</f>
        <v/>
      </c>
    </row>
    <row r="1979">
      <c r="A1979" s="62">
        <f>IF(H1979="","",IF(ISNUMBER(N1979),N1979,I1979))</f>
        <v/>
      </c>
      <c r="B1979">
        <f>IF(H1979="","",U1979)</f>
        <v/>
      </c>
      <c r="C1979">
        <f>IF(H1979="","",IF(P1979="",K1979,INDEX('Students'!$A$2:$A$701,P1979)))</f>
        <v/>
      </c>
      <c r="D1979">
        <f>IF(OR(H1979="",P1979=""),"",INDEX('Students'!$B$2:$B$701,P1979))</f>
        <v/>
      </c>
      <c r="E1979">
        <f>IF(OR(H1979="",P1979=""),"",INDEX('Students'!$C$2:$C$701,P1979))</f>
        <v/>
      </c>
      <c r="F1979" s="48">
        <f>IF(H1979="","",IF(ISNUMBER(O1979),O1979,J1979))</f>
        <v/>
      </c>
      <c r="G1979">
        <f>IF(H1979="","","OneCause")</f>
        <v/>
      </c>
      <c r="H1979">
        <f>IF(AND(I1979="",J1979="",K1979=""),"",IF(NOT(ISNUMBER(O1979)),"Bad amount",IF(O1979&lt;0,"Refund (not counted)",IF(O1979=0,"Zero amount",IF(NOT(ISNUMBER(N1979)),"Bad date",IF(P1979="","NAME NOT ON ROSTER",IF(L1979="","OK",IF(MATCH(L1979,$L$2:$L$3001,0)&lt;ROW()-1,"Duplicate (ignored)","OK"))))))))</f>
        <v/>
      </c>
      <c r="I1979">
        <f>IF(OC_Date=0,"",IF(INDEX('OneCause_Paste'!$A$1979:$AZ$1979,1,OC_Date)="","",INDEX('OneCause_Paste'!$A$1979:$AZ$1979,1,OC_Date)))</f>
        <v/>
      </c>
      <c r="J1979">
        <f>IF(OC_Amt=0,"",IF(INDEX('OneCause_Paste'!$A$1979:$AZ$1979,1,OC_Amt)="","",INDEX('OneCause_Paste'!$A$1979:$AZ$1979,1,OC_Amt)))</f>
        <v/>
      </c>
      <c r="K1979">
        <f>IF(OC_Name=0,"",IF(INDEX('OneCause_Paste'!$A$1979:$AZ$1979,1,OC_Name)="","",INDEX('OneCause_Paste'!$A$1979:$AZ$1979,1,OC_Name)))</f>
        <v/>
      </c>
      <c r="L1979">
        <f>IF(OC_Txn=0,"",IF(INDEX('OneCause_Paste'!$A$1979:$AZ$1979,1,OC_Txn)="","",INDEX('OneCause_Paste'!$A$1979:$AZ$1979,1,OC_Txn)))</f>
        <v/>
      </c>
      <c r="M1979">
        <f>IF(OC_Pay=0,"",IF(INDEX('OneCause_Paste'!$A$1979:$AZ$1979,1,OC_Pay)="","",INDEX('OneCause_Paste'!$A$1979:$AZ$1979,1,OC_Pay)))</f>
        <v/>
      </c>
      <c r="N1979">
        <f>IF(I1979="","",IF(ISNUMBER(I1979),INT(I1979),IFERROR(INT(DATEVALUE(I1979)),IFERROR(INT(VALUE(I1979)),"bad"))))</f>
        <v/>
      </c>
      <c r="O1979">
        <f>IF(J1979="","",IF(ISNUMBER(J1979),ROUND(J1979,2),IFERROR(ROUND(VALUE(SUBSTITUTE(SUBSTITUTE(SUBSTITUTE(J1979,"$",""),",","")," ","")),2),"bad")))</f>
        <v/>
      </c>
      <c r="P1979">
        <f>IF(TRIM(K1979)="","",IFERROR(MATCH(LOWER(TRIM(K1979)),'Students'!$AH$2:$AH$701,0),IFERROR(MATCH(LOWER(TRIM(K1979)),'Students'!$AF$2:$AF$701,0),IFERROR(MATCH(LOWER(TRIM(K1979)),'Students'!$AG$2:$AG$701,0),""))))</f>
        <v/>
      </c>
      <c r="R1979">
        <f>IF(P1979="","",INDEX('Students'!$AD$2:$AD$701,P1979))</f>
        <v/>
      </c>
      <c r="S1979">
        <f>IF(H1979="OK",O1979,0)</f>
        <v/>
      </c>
      <c r="T1979">
        <f>IF(H1979="OK",N1979,"")</f>
        <v/>
      </c>
      <c r="U1979">
        <f>IF(OC_Donor=0,"",IF(INDEX('OneCause_Paste'!$A$1979:$AZ$1979,1,OC_Donor)="","",INDEX('OneCause_Paste'!$A$1979:$AZ$1979,1,OC_Donor)))</f>
        <v/>
      </c>
    </row>
    <row r="1980">
      <c r="A1980" s="62">
        <f>IF(H1980="","",IF(ISNUMBER(N1980),N1980,I1980))</f>
        <v/>
      </c>
      <c r="B1980">
        <f>IF(H1980="","",U1980)</f>
        <v/>
      </c>
      <c r="C1980">
        <f>IF(H1980="","",IF(P1980="",K1980,INDEX('Students'!$A$2:$A$701,P1980)))</f>
        <v/>
      </c>
      <c r="D1980">
        <f>IF(OR(H1980="",P1980=""),"",INDEX('Students'!$B$2:$B$701,P1980))</f>
        <v/>
      </c>
      <c r="E1980">
        <f>IF(OR(H1980="",P1980=""),"",INDEX('Students'!$C$2:$C$701,P1980))</f>
        <v/>
      </c>
      <c r="F1980" s="48">
        <f>IF(H1980="","",IF(ISNUMBER(O1980),O1980,J1980))</f>
        <v/>
      </c>
      <c r="G1980">
        <f>IF(H1980="","","OneCause")</f>
        <v/>
      </c>
      <c r="H1980">
        <f>IF(AND(I1980="",J1980="",K1980=""),"",IF(NOT(ISNUMBER(O1980)),"Bad amount",IF(O1980&lt;0,"Refund (not counted)",IF(O1980=0,"Zero amount",IF(NOT(ISNUMBER(N1980)),"Bad date",IF(P1980="","NAME NOT ON ROSTER",IF(L1980="","OK",IF(MATCH(L1980,$L$2:$L$3001,0)&lt;ROW()-1,"Duplicate (ignored)","OK"))))))))</f>
        <v/>
      </c>
      <c r="I1980">
        <f>IF(OC_Date=0,"",IF(INDEX('OneCause_Paste'!$A$1980:$AZ$1980,1,OC_Date)="","",INDEX('OneCause_Paste'!$A$1980:$AZ$1980,1,OC_Date)))</f>
        <v/>
      </c>
      <c r="J1980">
        <f>IF(OC_Amt=0,"",IF(INDEX('OneCause_Paste'!$A$1980:$AZ$1980,1,OC_Amt)="","",INDEX('OneCause_Paste'!$A$1980:$AZ$1980,1,OC_Amt)))</f>
        <v/>
      </c>
      <c r="K1980">
        <f>IF(OC_Name=0,"",IF(INDEX('OneCause_Paste'!$A$1980:$AZ$1980,1,OC_Name)="","",INDEX('OneCause_Paste'!$A$1980:$AZ$1980,1,OC_Name)))</f>
        <v/>
      </c>
      <c r="L1980">
        <f>IF(OC_Txn=0,"",IF(INDEX('OneCause_Paste'!$A$1980:$AZ$1980,1,OC_Txn)="","",INDEX('OneCause_Paste'!$A$1980:$AZ$1980,1,OC_Txn)))</f>
        <v/>
      </c>
      <c r="M1980">
        <f>IF(OC_Pay=0,"",IF(INDEX('OneCause_Paste'!$A$1980:$AZ$1980,1,OC_Pay)="","",INDEX('OneCause_Paste'!$A$1980:$AZ$1980,1,OC_Pay)))</f>
        <v/>
      </c>
      <c r="N1980">
        <f>IF(I1980="","",IF(ISNUMBER(I1980),INT(I1980),IFERROR(INT(DATEVALUE(I1980)),IFERROR(INT(VALUE(I1980)),"bad"))))</f>
        <v/>
      </c>
      <c r="O1980">
        <f>IF(J1980="","",IF(ISNUMBER(J1980),ROUND(J1980,2),IFERROR(ROUND(VALUE(SUBSTITUTE(SUBSTITUTE(SUBSTITUTE(J1980,"$",""),",","")," ","")),2),"bad")))</f>
        <v/>
      </c>
      <c r="P1980">
        <f>IF(TRIM(K1980)="","",IFERROR(MATCH(LOWER(TRIM(K1980)),'Students'!$AH$2:$AH$701,0),IFERROR(MATCH(LOWER(TRIM(K1980)),'Students'!$AF$2:$AF$701,0),IFERROR(MATCH(LOWER(TRIM(K1980)),'Students'!$AG$2:$AG$701,0),""))))</f>
        <v/>
      </c>
      <c r="R1980">
        <f>IF(P1980="","",INDEX('Students'!$AD$2:$AD$701,P1980))</f>
        <v/>
      </c>
      <c r="S1980">
        <f>IF(H1980="OK",O1980,0)</f>
        <v/>
      </c>
      <c r="T1980">
        <f>IF(H1980="OK",N1980,"")</f>
        <v/>
      </c>
      <c r="U1980">
        <f>IF(OC_Donor=0,"",IF(INDEX('OneCause_Paste'!$A$1980:$AZ$1980,1,OC_Donor)="","",INDEX('OneCause_Paste'!$A$1980:$AZ$1980,1,OC_Donor)))</f>
        <v/>
      </c>
    </row>
    <row r="1981">
      <c r="A1981" s="62">
        <f>IF(H1981="","",IF(ISNUMBER(N1981),N1981,I1981))</f>
        <v/>
      </c>
      <c r="B1981">
        <f>IF(H1981="","",U1981)</f>
        <v/>
      </c>
      <c r="C1981">
        <f>IF(H1981="","",IF(P1981="",K1981,INDEX('Students'!$A$2:$A$701,P1981)))</f>
        <v/>
      </c>
      <c r="D1981">
        <f>IF(OR(H1981="",P1981=""),"",INDEX('Students'!$B$2:$B$701,P1981))</f>
        <v/>
      </c>
      <c r="E1981">
        <f>IF(OR(H1981="",P1981=""),"",INDEX('Students'!$C$2:$C$701,P1981))</f>
        <v/>
      </c>
      <c r="F1981" s="48">
        <f>IF(H1981="","",IF(ISNUMBER(O1981),O1981,J1981))</f>
        <v/>
      </c>
      <c r="G1981">
        <f>IF(H1981="","","OneCause")</f>
        <v/>
      </c>
      <c r="H1981">
        <f>IF(AND(I1981="",J1981="",K1981=""),"",IF(NOT(ISNUMBER(O1981)),"Bad amount",IF(O1981&lt;0,"Refund (not counted)",IF(O1981=0,"Zero amount",IF(NOT(ISNUMBER(N1981)),"Bad date",IF(P1981="","NAME NOT ON ROSTER",IF(L1981="","OK",IF(MATCH(L1981,$L$2:$L$3001,0)&lt;ROW()-1,"Duplicate (ignored)","OK"))))))))</f>
        <v/>
      </c>
      <c r="I1981">
        <f>IF(OC_Date=0,"",IF(INDEX('OneCause_Paste'!$A$1981:$AZ$1981,1,OC_Date)="","",INDEX('OneCause_Paste'!$A$1981:$AZ$1981,1,OC_Date)))</f>
        <v/>
      </c>
      <c r="J1981">
        <f>IF(OC_Amt=0,"",IF(INDEX('OneCause_Paste'!$A$1981:$AZ$1981,1,OC_Amt)="","",INDEX('OneCause_Paste'!$A$1981:$AZ$1981,1,OC_Amt)))</f>
        <v/>
      </c>
      <c r="K1981">
        <f>IF(OC_Name=0,"",IF(INDEX('OneCause_Paste'!$A$1981:$AZ$1981,1,OC_Name)="","",INDEX('OneCause_Paste'!$A$1981:$AZ$1981,1,OC_Name)))</f>
        <v/>
      </c>
      <c r="L1981">
        <f>IF(OC_Txn=0,"",IF(INDEX('OneCause_Paste'!$A$1981:$AZ$1981,1,OC_Txn)="","",INDEX('OneCause_Paste'!$A$1981:$AZ$1981,1,OC_Txn)))</f>
        <v/>
      </c>
      <c r="M1981">
        <f>IF(OC_Pay=0,"",IF(INDEX('OneCause_Paste'!$A$1981:$AZ$1981,1,OC_Pay)="","",INDEX('OneCause_Paste'!$A$1981:$AZ$1981,1,OC_Pay)))</f>
        <v/>
      </c>
      <c r="N1981">
        <f>IF(I1981="","",IF(ISNUMBER(I1981),INT(I1981),IFERROR(INT(DATEVALUE(I1981)),IFERROR(INT(VALUE(I1981)),"bad"))))</f>
        <v/>
      </c>
      <c r="O1981">
        <f>IF(J1981="","",IF(ISNUMBER(J1981),ROUND(J1981,2),IFERROR(ROUND(VALUE(SUBSTITUTE(SUBSTITUTE(SUBSTITUTE(J1981,"$",""),",","")," ","")),2),"bad")))</f>
        <v/>
      </c>
      <c r="P1981">
        <f>IF(TRIM(K1981)="","",IFERROR(MATCH(LOWER(TRIM(K1981)),'Students'!$AH$2:$AH$701,0),IFERROR(MATCH(LOWER(TRIM(K1981)),'Students'!$AF$2:$AF$701,0),IFERROR(MATCH(LOWER(TRIM(K1981)),'Students'!$AG$2:$AG$701,0),""))))</f>
        <v/>
      </c>
      <c r="R1981">
        <f>IF(P1981="","",INDEX('Students'!$AD$2:$AD$701,P1981))</f>
        <v/>
      </c>
      <c r="S1981">
        <f>IF(H1981="OK",O1981,0)</f>
        <v/>
      </c>
      <c r="T1981">
        <f>IF(H1981="OK",N1981,"")</f>
        <v/>
      </c>
      <c r="U1981">
        <f>IF(OC_Donor=0,"",IF(INDEX('OneCause_Paste'!$A$1981:$AZ$1981,1,OC_Donor)="","",INDEX('OneCause_Paste'!$A$1981:$AZ$1981,1,OC_Donor)))</f>
        <v/>
      </c>
    </row>
    <row r="1982">
      <c r="A1982" s="62">
        <f>IF(H1982="","",IF(ISNUMBER(N1982),N1982,I1982))</f>
        <v/>
      </c>
      <c r="B1982">
        <f>IF(H1982="","",U1982)</f>
        <v/>
      </c>
      <c r="C1982">
        <f>IF(H1982="","",IF(P1982="",K1982,INDEX('Students'!$A$2:$A$701,P1982)))</f>
        <v/>
      </c>
      <c r="D1982">
        <f>IF(OR(H1982="",P1982=""),"",INDEX('Students'!$B$2:$B$701,P1982))</f>
        <v/>
      </c>
      <c r="E1982">
        <f>IF(OR(H1982="",P1982=""),"",INDEX('Students'!$C$2:$C$701,P1982))</f>
        <v/>
      </c>
      <c r="F1982" s="48">
        <f>IF(H1982="","",IF(ISNUMBER(O1982),O1982,J1982))</f>
        <v/>
      </c>
      <c r="G1982">
        <f>IF(H1982="","","OneCause")</f>
        <v/>
      </c>
      <c r="H1982">
        <f>IF(AND(I1982="",J1982="",K1982=""),"",IF(NOT(ISNUMBER(O1982)),"Bad amount",IF(O1982&lt;0,"Refund (not counted)",IF(O1982=0,"Zero amount",IF(NOT(ISNUMBER(N1982)),"Bad date",IF(P1982="","NAME NOT ON ROSTER",IF(L1982="","OK",IF(MATCH(L1982,$L$2:$L$3001,0)&lt;ROW()-1,"Duplicate (ignored)","OK"))))))))</f>
        <v/>
      </c>
      <c r="I1982">
        <f>IF(OC_Date=0,"",IF(INDEX('OneCause_Paste'!$A$1982:$AZ$1982,1,OC_Date)="","",INDEX('OneCause_Paste'!$A$1982:$AZ$1982,1,OC_Date)))</f>
        <v/>
      </c>
      <c r="J1982">
        <f>IF(OC_Amt=0,"",IF(INDEX('OneCause_Paste'!$A$1982:$AZ$1982,1,OC_Amt)="","",INDEX('OneCause_Paste'!$A$1982:$AZ$1982,1,OC_Amt)))</f>
        <v/>
      </c>
      <c r="K1982">
        <f>IF(OC_Name=0,"",IF(INDEX('OneCause_Paste'!$A$1982:$AZ$1982,1,OC_Name)="","",INDEX('OneCause_Paste'!$A$1982:$AZ$1982,1,OC_Name)))</f>
        <v/>
      </c>
      <c r="L1982">
        <f>IF(OC_Txn=0,"",IF(INDEX('OneCause_Paste'!$A$1982:$AZ$1982,1,OC_Txn)="","",INDEX('OneCause_Paste'!$A$1982:$AZ$1982,1,OC_Txn)))</f>
        <v/>
      </c>
      <c r="M1982">
        <f>IF(OC_Pay=0,"",IF(INDEX('OneCause_Paste'!$A$1982:$AZ$1982,1,OC_Pay)="","",INDEX('OneCause_Paste'!$A$1982:$AZ$1982,1,OC_Pay)))</f>
        <v/>
      </c>
      <c r="N1982">
        <f>IF(I1982="","",IF(ISNUMBER(I1982),INT(I1982),IFERROR(INT(DATEVALUE(I1982)),IFERROR(INT(VALUE(I1982)),"bad"))))</f>
        <v/>
      </c>
      <c r="O1982">
        <f>IF(J1982="","",IF(ISNUMBER(J1982),ROUND(J1982,2),IFERROR(ROUND(VALUE(SUBSTITUTE(SUBSTITUTE(SUBSTITUTE(J1982,"$",""),",","")," ","")),2),"bad")))</f>
        <v/>
      </c>
      <c r="P1982">
        <f>IF(TRIM(K1982)="","",IFERROR(MATCH(LOWER(TRIM(K1982)),'Students'!$AH$2:$AH$701,0),IFERROR(MATCH(LOWER(TRIM(K1982)),'Students'!$AF$2:$AF$701,0),IFERROR(MATCH(LOWER(TRIM(K1982)),'Students'!$AG$2:$AG$701,0),""))))</f>
        <v/>
      </c>
      <c r="R1982">
        <f>IF(P1982="","",INDEX('Students'!$AD$2:$AD$701,P1982))</f>
        <v/>
      </c>
      <c r="S1982">
        <f>IF(H1982="OK",O1982,0)</f>
        <v/>
      </c>
      <c r="T1982">
        <f>IF(H1982="OK",N1982,"")</f>
        <v/>
      </c>
      <c r="U1982">
        <f>IF(OC_Donor=0,"",IF(INDEX('OneCause_Paste'!$A$1982:$AZ$1982,1,OC_Donor)="","",INDEX('OneCause_Paste'!$A$1982:$AZ$1982,1,OC_Donor)))</f>
        <v/>
      </c>
    </row>
    <row r="1983">
      <c r="A1983" s="62">
        <f>IF(H1983="","",IF(ISNUMBER(N1983),N1983,I1983))</f>
        <v/>
      </c>
      <c r="B1983">
        <f>IF(H1983="","",U1983)</f>
        <v/>
      </c>
      <c r="C1983">
        <f>IF(H1983="","",IF(P1983="",K1983,INDEX('Students'!$A$2:$A$701,P1983)))</f>
        <v/>
      </c>
      <c r="D1983">
        <f>IF(OR(H1983="",P1983=""),"",INDEX('Students'!$B$2:$B$701,P1983))</f>
        <v/>
      </c>
      <c r="E1983">
        <f>IF(OR(H1983="",P1983=""),"",INDEX('Students'!$C$2:$C$701,P1983))</f>
        <v/>
      </c>
      <c r="F1983" s="48">
        <f>IF(H1983="","",IF(ISNUMBER(O1983),O1983,J1983))</f>
        <v/>
      </c>
      <c r="G1983">
        <f>IF(H1983="","","OneCause")</f>
        <v/>
      </c>
      <c r="H1983">
        <f>IF(AND(I1983="",J1983="",K1983=""),"",IF(NOT(ISNUMBER(O1983)),"Bad amount",IF(O1983&lt;0,"Refund (not counted)",IF(O1983=0,"Zero amount",IF(NOT(ISNUMBER(N1983)),"Bad date",IF(P1983="","NAME NOT ON ROSTER",IF(L1983="","OK",IF(MATCH(L1983,$L$2:$L$3001,0)&lt;ROW()-1,"Duplicate (ignored)","OK"))))))))</f>
        <v/>
      </c>
      <c r="I1983">
        <f>IF(OC_Date=0,"",IF(INDEX('OneCause_Paste'!$A$1983:$AZ$1983,1,OC_Date)="","",INDEX('OneCause_Paste'!$A$1983:$AZ$1983,1,OC_Date)))</f>
        <v/>
      </c>
      <c r="J1983">
        <f>IF(OC_Amt=0,"",IF(INDEX('OneCause_Paste'!$A$1983:$AZ$1983,1,OC_Amt)="","",INDEX('OneCause_Paste'!$A$1983:$AZ$1983,1,OC_Amt)))</f>
        <v/>
      </c>
      <c r="K1983">
        <f>IF(OC_Name=0,"",IF(INDEX('OneCause_Paste'!$A$1983:$AZ$1983,1,OC_Name)="","",INDEX('OneCause_Paste'!$A$1983:$AZ$1983,1,OC_Name)))</f>
        <v/>
      </c>
      <c r="L1983">
        <f>IF(OC_Txn=0,"",IF(INDEX('OneCause_Paste'!$A$1983:$AZ$1983,1,OC_Txn)="","",INDEX('OneCause_Paste'!$A$1983:$AZ$1983,1,OC_Txn)))</f>
        <v/>
      </c>
      <c r="M1983">
        <f>IF(OC_Pay=0,"",IF(INDEX('OneCause_Paste'!$A$1983:$AZ$1983,1,OC_Pay)="","",INDEX('OneCause_Paste'!$A$1983:$AZ$1983,1,OC_Pay)))</f>
        <v/>
      </c>
      <c r="N1983">
        <f>IF(I1983="","",IF(ISNUMBER(I1983),INT(I1983),IFERROR(INT(DATEVALUE(I1983)),IFERROR(INT(VALUE(I1983)),"bad"))))</f>
        <v/>
      </c>
      <c r="O1983">
        <f>IF(J1983="","",IF(ISNUMBER(J1983),ROUND(J1983,2),IFERROR(ROUND(VALUE(SUBSTITUTE(SUBSTITUTE(SUBSTITUTE(J1983,"$",""),",","")," ","")),2),"bad")))</f>
        <v/>
      </c>
      <c r="P1983">
        <f>IF(TRIM(K1983)="","",IFERROR(MATCH(LOWER(TRIM(K1983)),'Students'!$AH$2:$AH$701,0),IFERROR(MATCH(LOWER(TRIM(K1983)),'Students'!$AF$2:$AF$701,0),IFERROR(MATCH(LOWER(TRIM(K1983)),'Students'!$AG$2:$AG$701,0),""))))</f>
        <v/>
      </c>
      <c r="R1983">
        <f>IF(P1983="","",INDEX('Students'!$AD$2:$AD$701,P1983))</f>
        <v/>
      </c>
      <c r="S1983">
        <f>IF(H1983="OK",O1983,0)</f>
        <v/>
      </c>
      <c r="T1983">
        <f>IF(H1983="OK",N1983,"")</f>
        <v/>
      </c>
      <c r="U1983">
        <f>IF(OC_Donor=0,"",IF(INDEX('OneCause_Paste'!$A$1983:$AZ$1983,1,OC_Donor)="","",INDEX('OneCause_Paste'!$A$1983:$AZ$1983,1,OC_Donor)))</f>
        <v/>
      </c>
    </row>
    <row r="1984">
      <c r="A1984" s="62">
        <f>IF(H1984="","",IF(ISNUMBER(N1984),N1984,I1984))</f>
        <v/>
      </c>
      <c r="B1984">
        <f>IF(H1984="","",U1984)</f>
        <v/>
      </c>
      <c r="C1984">
        <f>IF(H1984="","",IF(P1984="",K1984,INDEX('Students'!$A$2:$A$701,P1984)))</f>
        <v/>
      </c>
      <c r="D1984">
        <f>IF(OR(H1984="",P1984=""),"",INDEX('Students'!$B$2:$B$701,P1984))</f>
        <v/>
      </c>
      <c r="E1984">
        <f>IF(OR(H1984="",P1984=""),"",INDEX('Students'!$C$2:$C$701,P1984))</f>
        <v/>
      </c>
      <c r="F1984" s="48">
        <f>IF(H1984="","",IF(ISNUMBER(O1984),O1984,J1984))</f>
        <v/>
      </c>
      <c r="G1984">
        <f>IF(H1984="","","OneCause")</f>
        <v/>
      </c>
      <c r="H1984">
        <f>IF(AND(I1984="",J1984="",K1984=""),"",IF(NOT(ISNUMBER(O1984)),"Bad amount",IF(O1984&lt;0,"Refund (not counted)",IF(O1984=0,"Zero amount",IF(NOT(ISNUMBER(N1984)),"Bad date",IF(P1984="","NAME NOT ON ROSTER",IF(L1984="","OK",IF(MATCH(L1984,$L$2:$L$3001,0)&lt;ROW()-1,"Duplicate (ignored)","OK"))))))))</f>
        <v/>
      </c>
      <c r="I1984">
        <f>IF(OC_Date=0,"",IF(INDEX('OneCause_Paste'!$A$1984:$AZ$1984,1,OC_Date)="","",INDEX('OneCause_Paste'!$A$1984:$AZ$1984,1,OC_Date)))</f>
        <v/>
      </c>
      <c r="J1984">
        <f>IF(OC_Amt=0,"",IF(INDEX('OneCause_Paste'!$A$1984:$AZ$1984,1,OC_Amt)="","",INDEX('OneCause_Paste'!$A$1984:$AZ$1984,1,OC_Amt)))</f>
        <v/>
      </c>
      <c r="K1984">
        <f>IF(OC_Name=0,"",IF(INDEX('OneCause_Paste'!$A$1984:$AZ$1984,1,OC_Name)="","",INDEX('OneCause_Paste'!$A$1984:$AZ$1984,1,OC_Name)))</f>
        <v/>
      </c>
      <c r="L1984">
        <f>IF(OC_Txn=0,"",IF(INDEX('OneCause_Paste'!$A$1984:$AZ$1984,1,OC_Txn)="","",INDEX('OneCause_Paste'!$A$1984:$AZ$1984,1,OC_Txn)))</f>
        <v/>
      </c>
      <c r="M1984">
        <f>IF(OC_Pay=0,"",IF(INDEX('OneCause_Paste'!$A$1984:$AZ$1984,1,OC_Pay)="","",INDEX('OneCause_Paste'!$A$1984:$AZ$1984,1,OC_Pay)))</f>
        <v/>
      </c>
      <c r="N1984">
        <f>IF(I1984="","",IF(ISNUMBER(I1984),INT(I1984),IFERROR(INT(DATEVALUE(I1984)),IFERROR(INT(VALUE(I1984)),"bad"))))</f>
        <v/>
      </c>
      <c r="O1984">
        <f>IF(J1984="","",IF(ISNUMBER(J1984),ROUND(J1984,2),IFERROR(ROUND(VALUE(SUBSTITUTE(SUBSTITUTE(SUBSTITUTE(J1984,"$",""),",","")," ","")),2),"bad")))</f>
        <v/>
      </c>
      <c r="P1984">
        <f>IF(TRIM(K1984)="","",IFERROR(MATCH(LOWER(TRIM(K1984)),'Students'!$AH$2:$AH$701,0),IFERROR(MATCH(LOWER(TRIM(K1984)),'Students'!$AF$2:$AF$701,0),IFERROR(MATCH(LOWER(TRIM(K1984)),'Students'!$AG$2:$AG$701,0),""))))</f>
        <v/>
      </c>
      <c r="R1984">
        <f>IF(P1984="","",INDEX('Students'!$AD$2:$AD$701,P1984))</f>
        <v/>
      </c>
      <c r="S1984">
        <f>IF(H1984="OK",O1984,0)</f>
        <v/>
      </c>
      <c r="T1984">
        <f>IF(H1984="OK",N1984,"")</f>
        <v/>
      </c>
      <c r="U1984">
        <f>IF(OC_Donor=0,"",IF(INDEX('OneCause_Paste'!$A$1984:$AZ$1984,1,OC_Donor)="","",INDEX('OneCause_Paste'!$A$1984:$AZ$1984,1,OC_Donor)))</f>
        <v/>
      </c>
    </row>
    <row r="1985">
      <c r="A1985" s="62">
        <f>IF(H1985="","",IF(ISNUMBER(N1985),N1985,I1985))</f>
        <v/>
      </c>
      <c r="B1985">
        <f>IF(H1985="","",U1985)</f>
        <v/>
      </c>
      <c r="C1985">
        <f>IF(H1985="","",IF(P1985="",K1985,INDEX('Students'!$A$2:$A$701,P1985)))</f>
        <v/>
      </c>
      <c r="D1985">
        <f>IF(OR(H1985="",P1985=""),"",INDEX('Students'!$B$2:$B$701,P1985))</f>
        <v/>
      </c>
      <c r="E1985">
        <f>IF(OR(H1985="",P1985=""),"",INDEX('Students'!$C$2:$C$701,P1985))</f>
        <v/>
      </c>
      <c r="F1985" s="48">
        <f>IF(H1985="","",IF(ISNUMBER(O1985),O1985,J1985))</f>
        <v/>
      </c>
      <c r="G1985">
        <f>IF(H1985="","","OneCause")</f>
        <v/>
      </c>
      <c r="H1985">
        <f>IF(AND(I1985="",J1985="",K1985=""),"",IF(NOT(ISNUMBER(O1985)),"Bad amount",IF(O1985&lt;0,"Refund (not counted)",IF(O1985=0,"Zero amount",IF(NOT(ISNUMBER(N1985)),"Bad date",IF(P1985="","NAME NOT ON ROSTER",IF(L1985="","OK",IF(MATCH(L1985,$L$2:$L$3001,0)&lt;ROW()-1,"Duplicate (ignored)","OK"))))))))</f>
        <v/>
      </c>
      <c r="I1985">
        <f>IF(OC_Date=0,"",IF(INDEX('OneCause_Paste'!$A$1985:$AZ$1985,1,OC_Date)="","",INDEX('OneCause_Paste'!$A$1985:$AZ$1985,1,OC_Date)))</f>
        <v/>
      </c>
      <c r="J1985">
        <f>IF(OC_Amt=0,"",IF(INDEX('OneCause_Paste'!$A$1985:$AZ$1985,1,OC_Amt)="","",INDEX('OneCause_Paste'!$A$1985:$AZ$1985,1,OC_Amt)))</f>
        <v/>
      </c>
      <c r="K1985">
        <f>IF(OC_Name=0,"",IF(INDEX('OneCause_Paste'!$A$1985:$AZ$1985,1,OC_Name)="","",INDEX('OneCause_Paste'!$A$1985:$AZ$1985,1,OC_Name)))</f>
        <v/>
      </c>
      <c r="L1985">
        <f>IF(OC_Txn=0,"",IF(INDEX('OneCause_Paste'!$A$1985:$AZ$1985,1,OC_Txn)="","",INDEX('OneCause_Paste'!$A$1985:$AZ$1985,1,OC_Txn)))</f>
        <v/>
      </c>
      <c r="M1985">
        <f>IF(OC_Pay=0,"",IF(INDEX('OneCause_Paste'!$A$1985:$AZ$1985,1,OC_Pay)="","",INDEX('OneCause_Paste'!$A$1985:$AZ$1985,1,OC_Pay)))</f>
        <v/>
      </c>
      <c r="N1985">
        <f>IF(I1985="","",IF(ISNUMBER(I1985),INT(I1985),IFERROR(INT(DATEVALUE(I1985)),IFERROR(INT(VALUE(I1985)),"bad"))))</f>
        <v/>
      </c>
      <c r="O1985">
        <f>IF(J1985="","",IF(ISNUMBER(J1985),ROUND(J1985,2),IFERROR(ROUND(VALUE(SUBSTITUTE(SUBSTITUTE(SUBSTITUTE(J1985,"$",""),",","")," ","")),2),"bad")))</f>
        <v/>
      </c>
      <c r="P1985">
        <f>IF(TRIM(K1985)="","",IFERROR(MATCH(LOWER(TRIM(K1985)),'Students'!$AH$2:$AH$701,0),IFERROR(MATCH(LOWER(TRIM(K1985)),'Students'!$AF$2:$AF$701,0),IFERROR(MATCH(LOWER(TRIM(K1985)),'Students'!$AG$2:$AG$701,0),""))))</f>
        <v/>
      </c>
      <c r="R1985">
        <f>IF(P1985="","",INDEX('Students'!$AD$2:$AD$701,P1985))</f>
        <v/>
      </c>
      <c r="S1985">
        <f>IF(H1985="OK",O1985,0)</f>
        <v/>
      </c>
      <c r="T1985">
        <f>IF(H1985="OK",N1985,"")</f>
        <v/>
      </c>
      <c r="U1985">
        <f>IF(OC_Donor=0,"",IF(INDEX('OneCause_Paste'!$A$1985:$AZ$1985,1,OC_Donor)="","",INDEX('OneCause_Paste'!$A$1985:$AZ$1985,1,OC_Donor)))</f>
        <v/>
      </c>
    </row>
    <row r="1986">
      <c r="A1986" s="62">
        <f>IF(H1986="","",IF(ISNUMBER(N1986),N1986,I1986))</f>
        <v/>
      </c>
      <c r="B1986">
        <f>IF(H1986="","",U1986)</f>
        <v/>
      </c>
      <c r="C1986">
        <f>IF(H1986="","",IF(P1986="",K1986,INDEX('Students'!$A$2:$A$701,P1986)))</f>
        <v/>
      </c>
      <c r="D1986">
        <f>IF(OR(H1986="",P1986=""),"",INDEX('Students'!$B$2:$B$701,P1986))</f>
        <v/>
      </c>
      <c r="E1986">
        <f>IF(OR(H1986="",P1986=""),"",INDEX('Students'!$C$2:$C$701,P1986))</f>
        <v/>
      </c>
      <c r="F1986" s="48">
        <f>IF(H1986="","",IF(ISNUMBER(O1986),O1986,J1986))</f>
        <v/>
      </c>
      <c r="G1986">
        <f>IF(H1986="","","OneCause")</f>
        <v/>
      </c>
      <c r="H1986">
        <f>IF(AND(I1986="",J1986="",K1986=""),"",IF(NOT(ISNUMBER(O1986)),"Bad amount",IF(O1986&lt;0,"Refund (not counted)",IF(O1986=0,"Zero amount",IF(NOT(ISNUMBER(N1986)),"Bad date",IF(P1986="","NAME NOT ON ROSTER",IF(L1986="","OK",IF(MATCH(L1986,$L$2:$L$3001,0)&lt;ROW()-1,"Duplicate (ignored)","OK"))))))))</f>
        <v/>
      </c>
      <c r="I1986">
        <f>IF(OC_Date=0,"",IF(INDEX('OneCause_Paste'!$A$1986:$AZ$1986,1,OC_Date)="","",INDEX('OneCause_Paste'!$A$1986:$AZ$1986,1,OC_Date)))</f>
        <v/>
      </c>
      <c r="J1986">
        <f>IF(OC_Amt=0,"",IF(INDEX('OneCause_Paste'!$A$1986:$AZ$1986,1,OC_Amt)="","",INDEX('OneCause_Paste'!$A$1986:$AZ$1986,1,OC_Amt)))</f>
        <v/>
      </c>
      <c r="K1986">
        <f>IF(OC_Name=0,"",IF(INDEX('OneCause_Paste'!$A$1986:$AZ$1986,1,OC_Name)="","",INDEX('OneCause_Paste'!$A$1986:$AZ$1986,1,OC_Name)))</f>
        <v/>
      </c>
      <c r="L1986">
        <f>IF(OC_Txn=0,"",IF(INDEX('OneCause_Paste'!$A$1986:$AZ$1986,1,OC_Txn)="","",INDEX('OneCause_Paste'!$A$1986:$AZ$1986,1,OC_Txn)))</f>
        <v/>
      </c>
      <c r="M1986">
        <f>IF(OC_Pay=0,"",IF(INDEX('OneCause_Paste'!$A$1986:$AZ$1986,1,OC_Pay)="","",INDEX('OneCause_Paste'!$A$1986:$AZ$1986,1,OC_Pay)))</f>
        <v/>
      </c>
      <c r="N1986">
        <f>IF(I1986="","",IF(ISNUMBER(I1986),INT(I1986),IFERROR(INT(DATEVALUE(I1986)),IFERROR(INT(VALUE(I1986)),"bad"))))</f>
        <v/>
      </c>
      <c r="O1986">
        <f>IF(J1986="","",IF(ISNUMBER(J1986),ROUND(J1986,2),IFERROR(ROUND(VALUE(SUBSTITUTE(SUBSTITUTE(SUBSTITUTE(J1986,"$",""),",","")," ","")),2),"bad")))</f>
        <v/>
      </c>
      <c r="P1986">
        <f>IF(TRIM(K1986)="","",IFERROR(MATCH(LOWER(TRIM(K1986)),'Students'!$AH$2:$AH$701,0),IFERROR(MATCH(LOWER(TRIM(K1986)),'Students'!$AF$2:$AF$701,0),IFERROR(MATCH(LOWER(TRIM(K1986)),'Students'!$AG$2:$AG$701,0),""))))</f>
        <v/>
      </c>
      <c r="R1986">
        <f>IF(P1986="","",INDEX('Students'!$AD$2:$AD$701,P1986))</f>
        <v/>
      </c>
      <c r="S1986">
        <f>IF(H1986="OK",O1986,0)</f>
        <v/>
      </c>
      <c r="T1986">
        <f>IF(H1986="OK",N1986,"")</f>
        <v/>
      </c>
      <c r="U1986">
        <f>IF(OC_Donor=0,"",IF(INDEX('OneCause_Paste'!$A$1986:$AZ$1986,1,OC_Donor)="","",INDEX('OneCause_Paste'!$A$1986:$AZ$1986,1,OC_Donor)))</f>
        <v/>
      </c>
    </row>
    <row r="1987">
      <c r="A1987" s="62">
        <f>IF(H1987="","",IF(ISNUMBER(N1987),N1987,I1987))</f>
        <v/>
      </c>
      <c r="B1987">
        <f>IF(H1987="","",U1987)</f>
        <v/>
      </c>
      <c r="C1987">
        <f>IF(H1987="","",IF(P1987="",K1987,INDEX('Students'!$A$2:$A$701,P1987)))</f>
        <v/>
      </c>
      <c r="D1987">
        <f>IF(OR(H1987="",P1987=""),"",INDEX('Students'!$B$2:$B$701,P1987))</f>
        <v/>
      </c>
      <c r="E1987">
        <f>IF(OR(H1987="",P1987=""),"",INDEX('Students'!$C$2:$C$701,P1987))</f>
        <v/>
      </c>
      <c r="F1987" s="48">
        <f>IF(H1987="","",IF(ISNUMBER(O1987),O1987,J1987))</f>
        <v/>
      </c>
      <c r="G1987">
        <f>IF(H1987="","","OneCause")</f>
        <v/>
      </c>
      <c r="H1987">
        <f>IF(AND(I1987="",J1987="",K1987=""),"",IF(NOT(ISNUMBER(O1987)),"Bad amount",IF(O1987&lt;0,"Refund (not counted)",IF(O1987=0,"Zero amount",IF(NOT(ISNUMBER(N1987)),"Bad date",IF(P1987="","NAME NOT ON ROSTER",IF(L1987="","OK",IF(MATCH(L1987,$L$2:$L$3001,0)&lt;ROW()-1,"Duplicate (ignored)","OK"))))))))</f>
        <v/>
      </c>
      <c r="I1987">
        <f>IF(OC_Date=0,"",IF(INDEX('OneCause_Paste'!$A$1987:$AZ$1987,1,OC_Date)="","",INDEX('OneCause_Paste'!$A$1987:$AZ$1987,1,OC_Date)))</f>
        <v/>
      </c>
      <c r="J1987">
        <f>IF(OC_Amt=0,"",IF(INDEX('OneCause_Paste'!$A$1987:$AZ$1987,1,OC_Amt)="","",INDEX('OneCause_Paste'!$A$1987:$AZ$1987,1,OC_Amt)))</f>
        <v/>
      </c>
      <c r="K1987">
        <f>IF(OC_Name=0,"",IF(INDEX('OneCause_Paste'!$A$1987:$AZ$1987,1,OC_Name)="","",INDEX('OneCause_Paste'!$A$1987:$AZ$1987,1,OC_Name)))</f>
        <v/>
      </c>
      <c r="L1987">
        <f>IF(OC_Txn=0,"",IF(INDEX('OneCause_Paste'!$A$1987:$AZ$1987,1,OC_Txn)="","",INDEX('OneCause_Paste'!$A$1987:$AZ$1987,1,OC_Txn)))</f>
        <v/>
      </c>
      <c r="M1987">
        <f>IF(OC_Pay=0,"",IF(INDEX('OneCause_Paste'!$A$1987:$AZ$1987,1,OC_Pay)="","",INDEX('OneCause_Paste'!$A$1987:$AZ$1987,1,OC_Pay)))</f>
        <v/>
      </c>
      <c r="N1987">
        <f>IF(I1987="","",IF(ISNUMBER(I1987),INT(I1987),IFERROR(INT(DATEVALUE(I1987)),IFERROR(INT(VALUE(I1987)),"bad"))))</f>
        <v/>
      </c>
      <c r="O1987">
        <f>IF(J1987="","",IF(ISNUMBER(J1987),ROUND(J1987,2),IFERROR(ROUND(VALUE(SUBSTITUTE(SUBSTITUTE(SUBSTITUTE(J1987,"$",""),",","")," ","")),2),"bad")))</f>
        <v/>
      </c>
      <c r="P1987">
        <f>IF(TRIM(K1987)="","",IFERROR(MATCH(LOWER(TRIM(K1987)),'Students'!$AH$2:$AH$701,0),IFERROR(MATCH(LOWER(TRIM(K1987)),'Students'!$AF$2:$AF$701,0),IFERROR(MATCH(LOWER(TRIM(K1987)),'Students'!$AG$2:$AG$701,0),""))))</f>
        <v/>
      </c>
      <c r="R1987">
        <f>IF(P1987="","",INDEX('Students'!$AD$2:$AD$701,P1987))</f>
        <v/>
      </c>
      <c r="S1987">
        <f>IF(H1987="OK",O1987,0)</f>
        <v/>
      </c>
      <c r="T1987">
        <f>IF(H1987="OK",N1987,"")</f>
        <v/>
      </c>
      <c r="U1987">
        <f>IF(OC_Donor=0,"",IF(INDEX('OneCause_Paste'!$A$1987:$AZ$1987,1,OC_Donor)="","",INDEX('OneCause_Paste'!$A$1987:$AZ$1987,1,OC_Donor)))</f>
        <v/>
      </c>
    </row>
    <row r="1988">
      <c r="A1988" s="62">
        <f>IF(H1988="","",IF(ISNUMBER(N1988),N1988,I1988))</f>
        <v/>
      </c>
      <c r="B1988">
        <f>IF(H1988="","",U1988)</f>
        <v/>
      </c>
      <c r="C1988">
        <f>IF(H1988="","",IF(P1988="",K1988,INDEX('Students'!$A$2:$A$701,P1988)))</f>
        <v/>
      </c>
      <c r="D1988">
        <f>IF(OR(H1988="",P1988=""),"",INDEX('Students'!$B$2:$B$701,P1988))</f>
        <v/>
      </c>
      <c r="E1988">
        <f>IF(OR(H1988="",P1988=""),"",INDEX('Students'!$C$2:$C$701,P1988))</f>
        <v/>
      </c>
      <c r="F1988" s="48">
        <f>IF(H1988="","",IF(ISNUMBER(O1988),O1988,J1988))</f>
        <v/>
      </c>
      <c r="G1988">
        <f>IF(H1988="","","OneCause")</f>
        <v/>
      </c>
      <c r="H1988">
        <f>IF(AND(I1988="",J1988="",K1988=""),"",IF(NOT(ISNUMBER(O1988)),"Bad amount",IF(O1988&lt;0,"Refund (not counted)",IF(O1988=0,"Zero amount",IF(NOT(ISNUMBER(N1988)),"Bad date",IF(P1988="","NAME NOT ON ROSTER",IF(L1988="","OK",IF(MATCH(L1988,$L$2:$L$3001,0)&lt;ROW()-1,"Duplicate (ignored)","OK"))))))))</f>
        <v/>
      </c>
      <c r="I1988">
        <f>IF(OC_Date=0,"",IF(INDEX('OneCause_Paste'!$A$1988:$AZ$1988,1,OC_Date)="","",INDEX('OneCause_Paste'!$A$1988:$AZ$1988,1,OC_Date)))</f>
        <v/>
      </c>
      <c r="J1988">
        <f>IF(OC_Amt=0,"",IF(INDEX('OneCause_Paste'!$A$1988:$AZ$1988,1,OC_Amt)="","",INDEX('OneCause_Paste'!$A$1988:$AZ$1988,1,OC_Amt)))</f>
        <v/>
      </c>
      <c r="K1988">
        <f>IF(OC_Name=0,"",IF(INDEX('OneCause_Paste'!$A$1988:$AZ$1988,1,OC_Name)="","",INDEX('OneCause_Paste'!$A$1988:$AZ$1988,1,OC_Name)))</f>
        <v/>
      </c>
      <c r="L1988">
        <f>IF(OC_Txn=0,"",IF(INDEX('OneCause_Paste'!$A$1988:$AZ$1988,1,OC_Txn)="","",INDEX('OneCause_Paste'!$A$1988:$AZ$1988,1,OC_Txn)))</f>
        <v/>
      </c>
      <c r="M1988">
        <f>IF(OC_Pay=0,"",IF(INDEX('OneCause_Paste'!$A$1988:$AZ$1988,1,OC_Pay)="","",INDEX('OneCause_Paste'!$A$1988:$AZ$1988,1,OC_Pay)))</f>
        <v/>
      </c>
      <c r="N1988">
        <f>IF(I1988="","",IF(ISNUMBER(I1988),INT(I1988),IFERROR(INT(DATEVALUE(I1988)),IFERROR(INT(VALUE(I1988)),"bad"))))</f>
        <v/>
      </c>
      <c r="O1988">
        <f>IF(J1988="","",IF(ISNUMBER(J1988),ROUND(J1988,2),IFERROR(ROUND(VALUE(SUBSTITUTE(SUBSTITUTE(SUBSTITUTE(J1988,"$",""),",","")," ","")),2),"bad")))</f>
        <v/>
      </c>
      <c r="P1988">
        <f>IF(TRIM(K1988)="","",IFERROR(MATCH(LOWER(TRIM(K1988)),'Students'!$AH$2:$AH$701,0),IFERROR(MATCH(LOWER(TRIM(K1988)),'Students'!$AF$2:$AF$701,0),IFERROR(MATCH(LOWER(TRIM(K1988)),'Students'!$AG$2:$AG$701,0),""))))</f>
        <v/>
      </c>
      <c r="R1988">
        <f>IF(P1988="","",INDEX('Students'!$AD$2:$AD$701,P1988))</f>
        <v/>
      </c>
      <c r="S1988">
        <f>IF(H1988="OK",O1988,0)</f>
        <v/>
      </c>
      <c r="T1988">
        <f>IF(H1988="OK",N1988,"")</f>
        <v/>
      </c>
      <c r="U1988">
        <f>IF(OC_Donor=0,"",IF(INDEX('OneCause_Paste'!$A$1988:$AZ$1988,1,OC_Donor)="","",INDEX('OneCause_Paste'!$A$1988:$AZ$1988,1,OC_Donor)))</f>
        <v/>
      </c>
    </row>
    <row r="1989">
      <c r="A1989" s="62">
        <f>IF(H1989="","",IF(ISNUMBER(N1989),N1989,I1989))</f>
        <v/>
      </c>
      <c r="B1989">
        <f>IF(H1989="","",U1989)</f>
        <v/>
      </c>
      <c r="C1989">
        <f>IF(H1989="","",IF(P1989="",K1989,INDEX('Students'!$A$2:$A$701,P1989)))</f>
        <v/>
      </c>
      <c r="D1989">
        <f>IF(OR(H1989="",P1989=""),"",INDEX('Students'!$B$2:$B$701,P1989))</f>
        <v/>
      </c>
      <c r="E1989">
        <f>IF(OR(H1989="",P1989=""),"",INDEX('Students'!$C$2:$C$701,P1989))</f>
        <v/>
      </c>
      <c r="F1989" s="48">
        <f>IF(H1989="","",IF(ISNUMBER(O1989),O1989,J1989))</f>
        <v/>
      </c>
      <c r="G1989">
        <f>IF(H1989="","","OneCause")</f>
        <v/>
      </c>
      <c r="H1989">
        <f>IF(AND(I1989="",J1989="",K1989=""),"",IF(NOT(ISNUMBER(O1989)),"Bad amount",IF(O1989&lt;0,"Refund (not counted)",IF(O1989=0,"Zero amount",IF(NOT(ISNUMBER(N1989)),"Bad date",IF(P1989="","NAME NOT ON ROSTER",IF(L1989="","OK",IF(MATCH(L1989,$L$2:$L$3001,0)&lt;ROW()-1,"Duplicate (ignored)","OK"))))))))</f>
        <v/>
      </c>
      <c r="I1989">
        <f>IF(OC_Date=0,"",IF(INDEX('OneCause_Paste'!$A$1989:$AZ$1989,1,OC_Date)="","",INDEX('OneCause_Paste'!$A$1989:$AZ$1989,1,OC_Date)))</f>
        <v/>
      </c>
      <c r="J1989">
        <f>IF(OC_Amt=0,"",IF(INDEX('OneCause_Paste'!$A$1989:$AZ$1989,1,OC_Amt)="","",INDEX('OneCause_Paste'!$A$1989:$AZ$1989,1,OC_Amt)))</f>
        <v/>
      </c>
      <c r="K1989">
        <f>IF(OC_Name=0,"",IF(INDEX('OneCause_Paste'!$A$1989:$AZ$1989,1,OC_Name)="","",INDEX('OneCause_Paste'!$A$1989:$AZ$1989,1,OC_Name)))</f>
        <v/>
      </c>
      <c r="L1989">
        <f>IF(OC_Txn=0,"",IF(INDEX('OneCause_Paste'!$A$1989:$AZ$1989,1,OC_Txn)="","",INDEX('OneCause_Paste'!$A$1989:$AZ$1989,1,OC_Txn)))</f>
        <v/>
      </c>
      <c r="M1989">
        <f>IF(OC_Pay=0,"",IF(INDEX('OneCause_Paste'!$A$1989:$AZ$1989,1,OC_Pay)="","",INDEX('OneCause_Paste'!$A$1989:$AZ$1989,1,OC_Pay)))</f>
        <v/>
      </c>
      <c r="N1989">
        <f>IF(I1989="","",IF(ISNUMBER(I1989),INT(I1989),IFERROR(INT(DATEVALUE(I1989)),IFERROR(INT(VALUE(I1989)),"bad"))))</f>
        <v/>
      </c>
      <c r="O1989">
        <f>IF(J1989="","",IF(ISNUMBER(J1989),ROUND(J1989,2),IFERROR(ROUND(VALUE(SUBSTITUTE(SUBSTITUTE(SUBSTITUTE(J1989,"$",""),",","")," ","")),2),"bad")))</f>
        <v/>
      </c>
      <c r="P1989">
        <f>IF(TRIM(K1989)="","",IFERROR(MATCH(LOWER(TRIM(K1989)),'Students'!$AH$2:$AH$701,0),IFERROR(MATCH(LOWER(TRIM(K1989)),'Students'!$AF$2:$AF$701,0),IFERROR(MATCH(LOWER(TRIM(K1989)),'Students'!$AG$2:$AG$701,0),""))))</f>
        <v/>
      </c>
      <c r="R1989">
        <f>IF(P1989="","",INDEX('Students'!$AD$2:$AD$701,P1989))</f>
        <v/>
      </c>
      <c r="S1989">
        <f>IF(H1989="OK",O1989,0)</f>
        <v/>
      </c>
      <c r="T1989">
        <f>IF(H1989="OK",N1989,"")</f>
        <v/>
      </c>
      <c r="U1989">
        <f>IF(OC_Donor=0,"",IF(INDEX('OneCause_Paste'!$A$1989:$AZ$1989,1,OC_Donor)="","",INDEX('OneCause_Paste'!$A$1989:$AZ$1989,1,OC_Donor)))</f>
        <v/>
      </c>
    </row>
    <row r="1990">
      <c r="A1990" s="62">
        <f>IF(H1990="","",IF(ISNUMBER(N1990),N1990,I1990))</f>
        <v/>
      </c>
      <c r="B1990">
        <f>IF(H1990="","",U1990)</f>
        <v/>
      </c>
      <c r="C1990">
        <f>IF(H1990="","",IF(P1990="",K1990,INDEX('Students'!$A$2:$A$701,P1990)))</f>
        <v/>
      </c>
      <c r="D1990">
        <f>IF(OR(H1990="",P1990=""),"",INDEX('Students'!$B$2:$B$701,P1990))</f>
        <v/>
      </c>
      <c r="E1990">
        <f>IF(OR(H1990="",P1990=""),"",INDEX('Students'!$C$2:$C$701,P1990))</f>
        <v/>
      </c>
      <c r="F1990" s="48">
        <f>IF(H1990="","",IF(ISNUMBER(O1990),O1990,J1990))</f>
        <v/>
      </c>
      <c r="G1990">
        <f>IF(H1990="","","OneCause")</f>
        <v/>
      </c>
      <c r="H1990">
        <f>IF(AND(I1990="",J1990="",K1990=""),"",IF(NOT(ISNUMBER(O1990)),"Bad amount",IF(O1990&lt;0,"Refund (not counted)",IF(O1990=0,"Zero amount",IF(NOT(ISNUMBER(N1990)),"Bad date",IF(P1990="","NAME NOT ON ROSTER",IF(L1990="","OK",IF(MATCH(L1990,$L$2:$L$3001,0)&lt;ROW()-1,"Duplicate (ignored)","OK"))))))))</f>
        <v/>
      </c>
      <c r="I1990">
        <f>IF(OC_Date=0,"",IF(INDEX('OneCause_Paste'!$A$1990:$AZ$1990,1,OC_Date)="","",INDEX('OneCause_Paste'!$A$1990:$AZ$1990,1,OC_Date)))</f>
        <v/>
      </c>
      <c r="J1990">
        <f>IF(OC_Amt=0,"",IF(INDEX('OneCause_Paste'!$A$1990:$AZ$1990,1,OC_Amt)="","",INDEX('OneCause_Paste'!$A$1990:$AZ$1990,1,OC_Amt)))</f>
        <v/>
      </c>
      <c r="K1990">
        <f>IF(OC_Name=0,"",IF(INDEX('OneCause_Paste'!$A$1990:$AZ$1990,1,OC_Name)="","",INDEX('OneCause_Paste'!$A$1990:$AZ$1990,1,OC_Name)))</f>
        <v/>
      </c>
      <c r="L1990">
        <f>IF(OC_Txn=0,"",IF(INDEX('OneCause_Paste'!$A$1990:$AZ$1990,1,OC_Txn)="","",INDEX('OneCause_Paste'!$A$1990:$AZ$1990,1,OC_Txn)))</f>
        <v/>
      </c>
      <c r="M1990">
        <f>IF(OC_Pay=0,"",IF(INDEX('OneCause_Paste'!$A$1990:$AZ$1990,1,OC_Pay)="","",INDEX('OneCause_Paste'!$A$1990:$AZ$1990,1,OC_Pay)))</f>
        <v/>
      </c>
      <c r="N1990">
        <f>IF(I1990="","",IF(ISNUMBER(I1990),INT(I1990),IFERROR(INT(DATEVALUE(I1990)),IFERROR(INT(VALUE(I1990)),"bad"))))</f>
        <v/>
      </c>
      <c r="O1990">
        <f>IF(J1990="","",IF(ISNUMBER(J1990),ROUND(J1990,2),IFERROR(ROUND(VALUE(SUBSTITUTE(SUBSTITUTE(SUBSTITUTE(J1990,"$",""),",","")," ","")),2),"bad")))</f>
        <v/>
      </c>
      <c r="P1990">
        <f>IF(TRIM(K1990)="","",IFERROR(MATCH(LOWER(TRIM(K1990)),'Students'!$AH$2:$AH$701,0),IFERROR(MATCH(LOWER(TRIM(K1990)),'Students'!$AF$2:$AF$701,0),IFERROR(MATCH(LOWER(TRIM(K1990)),'Students'!$AG$2:$AG$701,0),""))))</f>
        <v/>
      </c>
      <c r="R1990">
        <f>IF(P1990="","",INDEX('Students'!$AD$2:$AD$701,P1990))</f>
        <v/>
      </c>
      <c r="S1990">
        <f>IF(H1990="OK",O1990,0)</f>
        <v/>
      </c>
      <c r="T1990">
        <f>IF(H1990="OK",N1990,"")</f>
        <v/>
      </c>
      <c r="U1990">
        <f>IF(OC_Donor=0,"",IF(INDEX('OneCause_Paste'!$A$1990:$AZ$1990,1,OC_Donor)="","",INDEX('OneCause_Paste'!$A$1990:$AZ$1990,1,OC_Donor)))</f>
        <v/>
      </c>
    </row>
    <row r="1991">
      <c r="A1991" s="62">
        <f>IF(H1991="","",IF(ISNUMBER(N1991),N1991,I1991))</f>
        <v/>
      </c>
      <c r="B1991">
        <f>IF(H1991="","",U1991)</f>
        <v/>
      </c>
      <c r="C1991">
        <f>IF(H1991="","",IF(P1991="",K1991,INDEX('Students'!$A$2:$A$701,P1991)))</f>
        <v/>
      </c>
      <c r="D1991">
        <f>IF(OR(H1991="",P1991=""),"",INDEX('Students'!$B$2:$B$701,P1991))</f>
        <v/>
      </c>
      <c r="E1991">
        <f>IF(OR(H1991="",P1991=""),"",INDEX('Students'!$C$2:$C$701,P1991))</f>
        <v/>
      </c>
      <c r="F1991" s="48">
        <f>IF(H1991="","",IF(ISNUMBER(O1991),O1991,J1991))</f>
        <v/>
      </c>
      <c r="G1991">
        <f>IF(H1991="","","OneCause")</f>
        <v/>
      </c>
      <c r="H1991">
        <f>IF(AND(I1991="",J1991="",K1991=""),"",IF(NOT(ISNUMBER(O1991)),"Bad amount",IF(O1991&lt;0,"Refund (not counted)",IF(O1991=0,"Zero amount",IF(NOT(ISNUMBER(N1991)),"Bad date",IF(P1991="","NAME NOT ON ROSTER",IF(L1991="","OK",IF(MATCH(L1991,$L$2:$L$3001,0)&lt;ROW()-1,"Duplicate (ignored)","OK"))))))))</f>
        <v/>
      </c>
      <c r="I1991">
        <f>IF(OC_Date=0,"",IF(INDEX('OneCause_Paste'!$A$1991:$AZ$1991,1,OC_Date)="","",INDEX('OneCause_Paste'!$A$1991:$AZ$1991,1,OC_Date)))</f>
        <v/>
      </c>
      <c r="J1991">
        <f>IF(OC_Amt=0,"",IF(INDEX('OneCause_Paste'!$A$1991:$AZ$1991,1,OC_Amt)="","",INDEX('OneCause_Paste'!$A$1991:$AZ$1991,1,OC_Amt)))</f>
        <v/>
      </c>
      <c r="K1991">
        <f>IF(OC_Name=0,"",IF(INDEX('OneCause_Paste'!$A$1991:$AZ$1991,1,OC_Name)="","",INDEX('OneCause_Paste'!$A$1991:$AZ$1991,1,OC_Name)))</f>
        <v/>
      </c>
      <c r="L1991">
        <f>IF(OC_Txn=0,"",IF(INDEX('OneCause_Paste'!$A$1991:$AZ$1991,1,OC_Txn)="","",INDEX('OneCause_Paste'!$A$1991:$AZ$1991,1,OC_Txn)))</f>
        <v/>
      </c>
      <c r="M1991">
        <f>IF(OC_Pay=0,"",IF(INDEX('OneCause_Paste'!$A$1991:$AZ$1991,1,OC_Pay)="","",INDEX('OneCause_Paste'!$A$1991:$AZ$1991,1,OC_Pay)))</f>
        <v/>
      </c>
      <c r="N1991">
        <f>IF(I1991="","",IF(ISNUMBER(I1991),INT(I1991),IFERROR(INT(DATEVALUE(I1991)),IFERROR(INT(VALUE(I1991)),"bad"))))</f>
        <v/>
      </c>
      <c r="O1991">
        <f>IF(J1991="","",IF(ISNUMBER(J1991),ROUND(J1991,2),IFERROR(ROUND(VALUE(SUBSTITUTE(SUBSTITUTE(SUBSTITUTE(J1991,"$",""),",","")," ","")),2),"bad")))</f>
        <v/>
      </c>
      <c r="P1991">
        <f>IF(TRIM(K1991)="","",IFERROR(MATCH(LOWER(TRIM(K1991)),'Students'!$AH$2:$AH$701,0),IFERROR(MATCH(LOWER(TRIM(K1991)),'Students'!$AF$2:$AF$701,0),IFERROR(MATCH(LOWER(TRIM(K1991)),'Students'!$AG$2:$AG$701,0),""))))</f>
        <v/>
      </c>
      <c r="R1991">
        <f>IF(P1991="","",INDEX('Students'!$AD$2:$AD$701,P1991))</f>
        <v/>
      </c>
      <c r="S1991">
        <f>IF(H1991="OK",O1991,0)</f>
        <v/>
      </c>
      <c r="T1991">
        <f>IF(H1991="OK",N1991,"")</f>
        <v/>
      </c>
      <c r="U1991">
        <f>IF(OC_Donor=0,"",IF(INDEX('OneCause_Paste'!$A$1991:$AZ$1991,1,OC_Donor)="","",INDEX('OneCause_Paste'!$A$1991:$AZ$1991,1,OC_Donor)))</f>
        <v/>
      </c>
    </row>
    <row r="1992">
      <c r="A1992" s="62">
        <f>IF(H1992="","",IF(ISNUMBER(N1992),N1992,I1992))</f>
        <v/>
      </c>
      <c r="B1992">
        <f>IF(H1992="","",U1992)</f>
        <v/>
      </c>
      <c r="C1992">
        <f>IF(H1992="","",IF(P1992="",K1992,INDEX('Students'!$A$2:$A$701,P1992)))</f>
        <v/>
      </c>
      <c r="D1992">
        <f>IF(OR(H1992="",P1992=""),"",INDEX('Students'!$B$2:$B$701,P1992))</f>
        <v/>
      </c>
      <c r="E1992">
        <f>IF(OR(H1992="",P1992=""),"",INDEX('Students'!$C$2:$C$701,P1992))</f>
        <v/>
      </c>
      <c r="F1992" s="48">
        <f>IF(H1992="","",IF(ISNUMBER(O1992),O1992,J1992))</f>
        <v/>
      </c>
      <c r="G1992">
        <f>IF(H1992="","","OneCause")</f>
        <v/>
      </c>
      <c r="H1992">
        <f>IF(AND(I1992="",J1992="",K1992=""),"",IF(NOT(ISNUMBER(O1992)),"Bad amount",IF(O1992&lt;0,"Refund (not counted)",IF(O1992=0,"Zero amount",IF(NOT(ISNUMBER(N1992)),"Bad date",IF(P1992="","NAME NOT ON ROSTER",IF(L1992="","OK",IF(MATCH(L1992,$L$2:$L$3001,0)&lt;ROW()-1,"Duplicate (ignored)","OK"))))))))</f>
        <v/>
      </c>
      <c r="I1992">
        <f>IF(OC_Date=0,"",IF(INDEX('OneCause_Paste'!$A$1992:$AZ$1992,1,OC_Date)="","",INDEX('OneCause_Paste'!$A$1992:$AZ$1992,1,OC_Date)))</f>
        <v/>
      </c>
      <c r="J1992">
        <f>IF(OC_Amt=0,"",IF(INDEX('OneCause_Paste'!$A$1992:$AZ$1992,1,OC_Amt)="","",INDEX('OneCause_Paste'!$A$1992:$AZ$1992,1,OC_Amt)))</f>
        <v/>
      </c>
      <c r="K1992">
        <f>IF(OC_Name=0,"",IF(INDEX('OneCause_Paste'!$A$1992:$AZ$1992,1,OC_Name)="","",INDEX('OneCause_Paste'!$A$1992:$AZ$1992,1,OC_Name)))</f>
        <v/>
      </c>
      <c r="L1992">
        <f>IF(OC_Txn=0,"",IF(INDEX('OneCause_Paste'!$A$1992:$AZ$1992,1,OC_Txn)="","",INDEX('OneCause_Paste'!$A$1992:$AZ$1992,1,OC_Txn)))</f>
        <v/>
      </c>
      <c r="M1992">
        <f>IF(OC_Pay=0,"",IF(INDEX('OneCause_Paste'!$A$1992:$AZ$1992,1,OC_Pay)="","",INDEX('OneCause_Paste'!$A$1992:$AZ$1992,1,OC_Pay)))</f>
        <v/>
      </c>
      <c r="N1992">
        <f>IF(I1992="","",IF(ISNUMBER(I1992),INT(I1992),IFERROR(INT(DATEVALUE(I1992)),IFERROR(INT(VALUE(I1992)),"bad"))))</f>
        <v/>
      </c>
      <c r="O1992">
        <f>IF(J1992="","",IF(ISNUMBER(J1992),ROUND(J1992,2),IFERROR(ROUND(VALUE(SUBSTITUTE(SUBSTITUTE(SUBSTITUTE(J1992,"$",""),",","")," ","")),2),"bad")))</f>
        <v/>
      </c>
      <c r="P1992">
        <f>IF(TRIM(K1992)="","",IFERROR(MATCH(LOWER(TRIM(K1992)),'Students'!$AH$2:$AH$701,0),IFERROR(MATCH(LOWER(TRIM(K1992)),'Students'!$AF$2:$AF$701,0),IFERROR(MATCH(LOWER(TRIM(K1992)),'Students'!$AG$2:$AG$701,0),""))))</f>
        <v/>
      </c>
      <c r="R1992">
        <f>IF(P1992="","",INDEX('Students'!$AD$2:$AD$701,P1992))</f>
        <v/>
      </c>
      <c r="S1992">
        <f>IF(H1992="OK",O1992,0)</f>
        <v/>
      </c>
      <c r="T1992">
        <f>IF(H1992="OK",N1992,"")</f>
        <v/>
      </c>
      <c r="U1992">
        <f>IF(OC_Donor=0,"",IF(INDEX('OneCause_Paste'!$A$1992:$AZ$1992,1,OC_Donor)="","",INDEX('OneCause_Paste'!$A$1992:$AZ$1992,1,OC_Donor)))</f>
        <v/>
      </c>
    </row>
    <row r="1993">
      <c r="A1993" s="62">
        <f>IF(H1993="","",IF(ISNUMBER(N1993),N1993,I1993))</f>
        <v/>
      </c>
      <c r="B1993">
        <f>IF(H1993="","",U1993)</f>
        <v/>
      </c>
      <c r="C1993">
        <f>IF(H1993="","",IF(P1993="",K1993,INDEX('Students'!$A$2:$A$701,P1993)))</f>
        <v/>
      </c>
      <c r="D1993">
        <f>IF(OR(H1993="",P1993=""),"",INDEX('Students'!$B$2:$B$701,P1993))</f>
        <v/>
      </c>
      <c r="E1993">
        <f>IF(OR(H1993="",P1993=""),"",INDEX('Students'!$C$2:$C$701,P1993))</f>
        <v/>
      </c>
      <c r="F1993" s="48">
        <f>IF(H1993="","",IF(ISNUMBER(O1993),O1993,J1993))</f>
        <v/>
      </c>
      <c r="G1993">
        <f>IF(H1993="","","OneCause")</f>
        <v/>
      </c>
      <c r="H1993">
        <f>IF(AND(I1993="",J1993="",K1993=""),"",IF(NOT(ISNUMBER(O1993)),"Bad amount",IF(O1993&lt;0,"Refund (not counted)",IF(O1993=0,"Zero amount",IF(NOT(ISNUMBER(N1993)),"Bad date",IF(P1993="","NAME NOT ON ROSTER",IF(L1993="","OK",IF(MATCH(L1993,$L$2:$L$3001,0)&lt;ROW()-1,"Duplicate (ignored)","OK"))))))))</f>
        <v/>
      </c>
      <c r="I1993">
        <f>IF(OC_Date=0,"",IF(INDEX('OneCause_Paste'!$A$1993:$AZ$1993,1,OC_Date)="","",INDEX('OneCause_Paste'!$A$1993:$AZ$1993,1,OC_Date)))</f>
        <v/>
      </c>
      <c r="J1993">
        <f>IF(OC_Amt=0,"",IF(INDEX('OneCause_Paste'!$A$1993:$AZ$1993,1,OC_Amt)="","",INDEX('OneCause_Paste'!$A$1993:$AZ$1993,1,OC_Amt)))</f>
        <v/>
      </c>
      <c r="K1993">
        <f>IF(OC_Name=0,"",IF(INDEX('OneCause_Paste'!$A$1993:$AZ$1993,1,OC_Name)="","",INDEX('OneCause_Paste'!$A$1993:$AZ$1993,1,OC_Name)))</f>
        <v/>
      </c>
      <c r="L1993">
        <f>IF(OC_Txn=0,"",IF(INDEX('OneCause_Paste'!$A$1993:$AZ$1993,1,OC_Txn)="","",INDEX('OneCause_Paste'!$A$1993:$AZ$1993,1,OC_Txn)))</f>
        <v/>
      </c>
      <c r="M1993">
        <f>IF(OC_Pay=0,"",IF(INDEX('OneCause_Paste'!$A$1993:$AZ$1993,1,OC_Pay)="","",INDEX('OneCause_Paste'!$A$1993:$AZ$1993,1,OC_Pay)))</f>
        <v/>
      </c>
      <c r="N1993">
        <f>IF(I1993="","",IF(ISNUMBER(I1993),INT(I1993),IFERROR(INT(DATEVALUE(I1993)),IFERROR(INT(VALUE(I1993)),"bad"))))</f>
        <v/>
      </c>
      <c r="O1993">
        <f>IF(J1993="","",IF(ISNUMBER(J1993),ROUND(J1993,2),IFERROR(ROUND(VALUE(SUBSTITUTE(SUBSTITUTE(SUBSTITUTE(J1993,"$",""),",","")," ","")),2),"bad")))</f>
        <v/>
      </c>
      <c r="P1993">
        <f>IF(TRIM(K1993)="","",IFERROR(MATCH(LOWER(TRIM(K1993)),'Students'!$AH$2:$AH$701,0),IFERROR(MATCH(LOWER(TRIM(K1993)),'Students'!$AF$2:$AF$701,0),IFERROR(MATCH(LOWER(TRIM(K1993)),'Students'!$AG$2:$AG$701,0),""))))</f>
        <v/>
      </c>
      <c r="R1993">
        <f>IF(P1993="","",INDEX('Students'!$AD$2:$AD$701,P1993))</f>
        <v/>
      </c>
      <c r="S1993">
        <f>IF(H1993="OK",O1993,0)</f>
        <v/>
      </c>
      <c r="T1993">
        <f>IF(H1993="OK",N1993,"")</f>
        <v/>
      </c>
      <c r="U1993">
        <f>IF(OC_Donor=0,"",IF(INDEX('OneCause_Paste'!$A$1993:$AZ$1993,1,OC_Donor)="","",INDEX('OneCause_Paste'!$A$1993:$AZ$1993,1,OC_Donor)))</f>
        <v/>
      </c>
    </row>
    <row r="1994">
      <c r="A1994" s="62">
        <f>IF(H1994="","",IF(ISNUMBER(N1994),N1994,I1994))</f>
        <v/>
      </c>
      <c r="B1994">
        <f>IF(H1994="","",U1994)</f>
        <v/>
      </c>
      <c r="C1994">
        <f>IF(H1994="","",IF(P1994="",K1994,INDEX('Students'!$A$2:$A$701,P1994)))</f>
        <v/>
      </c>
      <c r="D1994">
        <f>IF(OR(H1994="",P1994=""),"",INDEX('Students'!$B$2:$B$701,P1994))</f>
        <v/>
      </c>
      <c r="E1994">
        <f>IF(OR(H1994="",P1994=""),"",INDEX('Students'!$C$2:$C$701,P1994))</f>
        <v/>
      </c>
      <c r="F1994" s="48">
        <f>IF(H1994="","",IF(ISNUMBER(O1994),O1994,J1994))</f>
        <v/>
      </c>
      <c r="G1994">
        <f>IF(H1994="","","OneCause")</f>
        <v/>
      </c>
      <c r="H1994">
        <f>IF(AND(I1994="",J1994="",K1994=""),"",IF(NOT(ISNUMBER(O1994)),"Bad amount",IF(O1994&lt;0,"Refund (not counted)",IF(O1994=0,"Zero amount",IF(NOT(ISNUMBER(N1994)),"Bad date",IF(P1994="","NAME NOT ON ROSTER",IF(L1994="","OK",IF(MATCH(L1994,$L$2:$L$3001,0)&lt;ROW()-1,"Duplicate (ignored)","OK"))))))))</f>
        <v/>
      </c>
      <c r="I1994">
        <f>IF(OC_Date=0,"",IF(INDEX('OneCause_Paste'!$A$1994:$AZ$1994,1,OC_Date)="","",INDEX('OneCause_Paste'!$A$1994:$AZ$1994,1,OC_Date)))</f>
        <v/>
      </c>
      <c r="J1994">
        <f>IF(OC_Amt=0,"",IF(INDEX('OneCause_Paste'!$A$1994:$AZ$1994,1,OC_Amt)="","",INDEX('OneCause_Paste'!$A$1994:$AZ$1994,1,OC_Amt)))</f>
        <v/>
      </c>
      <c r="K1994">
        <f>IF(OC_Name=0,"",IF(INDEX('OneCause_Paste'!$A$1994:$AZ$1994,1,OC_Name)="","",INDEX('OneCause_Paste'!$A$1994:$AZ$1994,1,OC_Name)))</f>
        <v/>
      </c>
      <c r="L1994">
        <f>IF(OC_Txn=0,"",IF(INDEX('OneCause_Paste'!$A$1994:$AZ$1994,1,OC_Txn)="","",INDEX('OneCause_Paste'!$A$1994:$AZ$1994,1,OC_Txn)))</f>
        <v/>
      </c>
      <c r="M1994">
        <f>IF(OC_Pay=0,"",IF(INDEX('OneCause_Paste'!$A$1994:$AZ$1994,1,OC_Pay)="","",INDEX('OneCause_Paste'!$A$1994:$AZ$1994,1,OC_Pay)))</f>
        <v/>
      </c>
      <c r="N1994">
        <f>IF(I1994="","",IF(ISNUMBER(I1994),INT(I1994),IFERROR(INT(DATEVALUE(I1994)),IFERROR(INT(VALUE(I1994)),"bad"))))</f>
        <v/>
      </c>
      <c r="O1994">
        <f>IF(J1994="","",IF(ISNUMBER(J1994),ROUND(J1994,2),IFERROR(ROUND(VALUE(SUBSTITUTE(SUBSTITUTE(SUBSTITUTE(J1994,"$",""),",","")," ","")),2),"bad")))</f>
        <v/>
      </c>
      <c r="P1994">
        <f>IF(TRIM(K1994)="","",IFERROR(MATCH(LOWER(TRIM(K1994)),'Students'!$AH$2:$AH$701,0),IFERROR(MATCH(LOWER(TRIM(K1994)),'Students'!$AF$2:$AF$701,0),IFERROR(MATCH(LOWER(TRIM(K1994)),'Students'!$AG$2:$AG$701,0),""))))</f>
        <v/>
      </c>
      <c r="R1994">
        <f>IF(P1994="","",INDEX('Students'!$AD$2:$AD$701,P1994))</f>
        <v/>
      </c>
      <c r="S1994">
        <f>IF(H1994="OK",O1994,0)</f>
        <v/>
      </c>
      <c r="T1994">
        <f>IF(H1994="OK",N1994,"")</f>
        <v/>
      </c>
      <c r="U1994">
        <f>IF(OC_Donor=0,"",IF(INDEX('OneCause_Paste'!$A$1994:$AZ$1994,1,OC_Donor)="","",INDEX('OneCause_Paste'!$A$1994:$AZ$1994,1,OC_Donor)))</f>
        <v/>
      </c>
    </row>
    <row r="1995">
      <c r="A1995" s="62">
        <f>IF(H1995="","",IF(ISNUMBER(N1995),N1995,I1995))</f>
        <v/>
      </c>
      <c r="B1995">
        <f>IF(H1995="","",U1995)</f>
        <v/>
      </c>
      <c r="C1995">
        <f>IF(H1995="","",IF(P1995="",K1995,INDEX('Students'!$A$2:$A$701,P1995)))</f>
        <v/>
      </c>
      <c r="D1995">
        <f>IF(OR(H1995="",P1995=""),"",INDEX('Students'!$B$2:$B$701,P1995))</f>
        <v/>
      </c>
      <c r="E1995">
        <f>IF(OR(H1995="",P1995=""),"",INDEX('Students'!$C$2:$C$701,P1995))</f>
        <v/>
      </c>
      <c r="F1995" s="48">
        <f>IF(H1995="","",IF(ISNUMBER(O1995),O1995,J1995))</f>
        <v/>
      </c>
      <c r="G1995">
        <f>IF(H1995="","","OneCause")</f>
        <v/>
      </c>
      <c r="H1995">
        <f>IF(AND(I1995="",J1995="",K1995=""),"",IF(NOT(ISNUMBER(O1995)),"Bad amount",IF(O1995&lt;0,"Refund (not counted)",IF(O1995=0,"Zero amount",IF(NOT(ISNUMBER(N1995)),"Bad date",IF(P1995="","NAME NOT ON ROSTER",IF(L1995="","OK",IF(MATCH(L1995,$L$2:$L$3001,0)&lt;ROW()-1,"Duplicate (ignored)","OK"))))))))</f>
        <v/>
      </c>
      <c r="I1995">
        <f>IF(OC_Date=0,"",IF(INDEX('OneCause_Paste'!$A$1995:$AZ$1995,1,OC_Date)="","",INDEX('OneCause_Paste'!$A$1995:$AZ$1995,1,OC_Date)))</f>
        <v/>
      </c>
      <c r="J1995">
        <f>IF(OC_Amt=0,"",IF(INDEX('OneCause_Paste'!$A$1995:$AZ$1995,1,OC_Amt)="","",INDEX('OneCause_Paste'!$A$1995:$AZ$1995,1,OC_Amt)))</f>
        <v/>
      </c>
      <c r="K1995">
        <f>IF(OC_Name=0,"",IF(INDEX('OneCause_Paste'!$A$1995:$AZ$1995,1,OC_Name)="","",INDEX('OneCause_Paste'!$A$1995:$AZ$1995,1,OC_Name)))</f>
        <v/>
      </c>
      <c r="L1995">
        <f>IF(OC_Txn=0,"",IF(INDEX('OneCause_Paste'!$A$1995:$AZ$1995,1,OC_Txn)="","",INDEX('OneCause_Paste'!$A$1995:$AZ$1995,1,OC_Txn)))</f>
        <v/>
      </c>
      <c r="M1995">
        <f>IF(OC_Pay=0,"",IF(INDEX('OneCause_Paste'!$A$1995:$AZ$1995,1,OC_Pay)="","",INDEX('OneCause_Paste'!$A$1995:$AZ$1995,1,OC_Pay)))</f>
        <v/>
      </c>
      <c r="N1995">
        <f>IF(I1995="","",IF(ISNUMBER(I1995),INT(I1995),IFERROR(INT(DATEVALUE(I1995)),IFERROR(INT(VALUE(I1995)),"bad"))))</f>
        <v/>
      </c>
      <c r="O1995">
        <f>IF(J1995="","",IF(ISNUMBER(J1995),ROUND(J1995,2),IFERROR(ROUND(VALUE(SUBSTITUTE(SUBSTITUTE(SUBSTITUTE(J1995,"$",""),",","")," ","")),2),"bad")))</f>
        <v/>
      </c>
      <c r="P1995">
        <f>IF(TRIM(K1995)="","",IFERROR(MATCH(LOWER(TRIM(K1995)),'Students'!$AH$2:$AH$701,0),IFERROR(MATCH(LOWER(TRIM(K1995)),'Students'!$AF$2:$AF$701,0),IFERROR(MATCH(LOWER(TRIM(K1995)),'Students'!$AG$2:$AG$701,0),""))))</f>
        <v/>
      </c>
      <c r="R1995">
        <f>IF(P1995="","",INDEX('Students'!$AD$2:$AD$701,P1995))</f>
        <v/>
      </c>
      <c r="S1995">
        <f>IF(H1995="OK",O1995,0)</f>
        <v/>
      </c>
      <c r="T1995">
        <f>IF(H1995="OK",N1995,"")</f>
        <v/>
      </c>
      <c r="U1995">
        <f>IF(OC_Donor=0,"",IF(INDEX('OneCause_Paste'!$A$1995:$AZ$1995,1,OC_Donor)="","",INDEX('OneCause_Paste'!$A$1995:$AZ$1995,1,OC_Donor)))</f>
        <v/>
      </c>
    </row>
    <row r="1996">
      <c r="A1996" s="62">
        <f>IF(H1996="","",IF(ISNUMBER(N1996),N1996,I1996))</f>
        <v/>
      </c>
      <c r="B1996">
        <f>IF(H1996="","",U1996)</f>
        <v/>
      </c>
      <c r="C1996">
        <f>IF(H1996="","",IF(P1996="",K1996,INDEX('Students'!$A$2:$A$701,P1996)))</f>
        <v/>
      </c>
      <c r="D1996">
        <f>IF(OR(H1996="",P1996=""),"",INDEX('Students'!$B$2:$B$701,P1996))</f>
        <v/>
      </c>
      <c r="E1996">
        <f>IF(OR(H1996="",P1996=""),"",INDEX('Students'!$C$2:$C$701,P1996))</f>
        <v/>
      </c>
      <c r="F1996" s="48">
        <f>IF(H1996="","",IF(ISNUMBER(O1996),O1996,J1996))</f>
        <v/>
      </c>
      <c r="G1996">
        <f>IF(H1996="","","OneCause")</f>
        <v/>
      </c>
      <c r="H1996">
        <f>IF(AND(I1996="",J1996="",K1996=""),"",IF(NOT(ISNUMBER(O1996)),"Bad amount",IF(O1996&lt;0,"Refund (not counted)",IF(O1996=0,"Zero amount",IF(NOT(ISNUMBER(N1996)),"Bad date",IF(P1996="","NAME NOT ON ROSTER",IF(L1996="","OK",IF(MATCH(L1996,$L$2:$L$3001,0)&lt;ROW()-1,"Duplicate (ignored)","OK"))))))))</f>
        <v/>
      </c>
      <c r="I1996">
        <f>IF(OC_Date=0,"",IF(INDEX('OneCause_Paste'!$A$1996:$AZ$1996,1,OC_Date)="","",INDEX('OneCause_Paste'!$A$1996:$AZ$1996,1,OC_Date)))</f>
        <v/>
      </c>
      <c r="J1996">
        <f>IF(OC_Amt=0,"",IF(INDEX('OneCause_Paste'!$A$1996:$AZ$1996,1,OC_Amt)="","",INDEX('OneCause_Paste'!$A$1996:$AZ$1996,1,OC_Amt)))</f>
        <v/>
      </c>
      <c r="K1996">
        <f>IF(OC_Name=0,"",IF(INDEX('OneCause_Paste'!$A$1996:$AZ$1996,1,OC_Name)="","",INDEX('OneCause_Paste'!$A$1996:$AZ$1996,1,OC_Name)))</f>
        <v/>
      </c>
      <c r="L1996">
        <f>IF(OC_Txn=0,"",IF(INDEX('OneCause_Paste'!$A$1996:$AZ$1996,1,OC_Txn)="","",INDEX('OneCause_Paste'!$A$1996:$AZ$1996,1,OC_Txn)))</f>
        <v/>
      </c>
      <c r="M1996">
        <f>IF(OC_Pay=0,"",IF(INDEX('OneCause_Paste'!$A$1996:$AZ$1996,1,OC_Pay)="","",INDEX('OneCause_Paste'!$A$1996:$AZ$1996,1,OC_Pay)))</f>
        <v/>
      </c>
      <c r="N1996">
        <f>IF(I1996="","",IF(ISNUMBER(I1996),INT(I1996),IFERROR(INT(DATEVALUE(I1996)),IFERROR(INT(VALUE(I1996)),"bad"))))</f>
        <v/>
      </c>
      <c r="O1996">
        <f>IF(J1996="","",IF(ISNUMBER(J1996),ROUND(J1996,2),IFERROR(ROUND(VALUE(SUBSTITUTE(SUBSTITUTE(SUBSTITUTE(J1996,"$",""),",","")," ","")),2),"bad")))</f>
        <v/>
      </c>
      <c r="P1996">
        <f>IF(TRIM(K1996)="","",IFERROR(MATCH(LOWER(TRIM(K1996)),'Students'!$AH$2:$AH$701,0),IFERROR(MATCH(LOWER(TRIM(K1996)),'Students'!$AF$2:$AF$701,0),IFERROR(MATCH(LOWER(TRIM(K1996)),'Students'!$AG$2:$AG$701,0),""))))</f>
        <v/>
      </c>
      <c r="R1996">
        <f>IF(P1996="","",INDEX('Students'!$AD$2:$AD$701,P1996))</f>
        <v/>
      </c>
      <c r="S1996">
        <f>IF(H1996="OK",O1996,0)</f>
        <v/>
      </c>
      <c r="T1996">
        <f>IF(H1996="OK",N1996,"")</f>
        <v/>
      </c>
      <c r="U1996">
        <f>IF(OC_Donor=0,"",IF(INDEX('OneCause_Paste'!$A$1996:$AZ$1996,1,OC_Donor)="","",INDEX('OneCause_Paste'!$A$1996:$AZ$1996,1,OC_Donor)))</f>
        <v/>
      </c>
    </row>
    <row r="1997">
      <c r="A1997" s="62">
        <f>IF(H1997="","",IF(ISNUMBER(N1997),N1997,I1997))</f>
        <v/>
      </c>
      <c r="B1997">
        <f>IF(H1997="","",U1997)</f>
        <v/>
      </c>
      <c r="C1997">
        <f>IF(H1997="","",IF(P1997="",K1997,INDEX('Students'!$A$2:$A$701,P1997)))</f>
        <v/>
      </c>
      <c r="D1997">
        <f>IF(OR(H1997="",P1997=""),"",INDEX('Students'!$B$2:$B$701,P1997))</f>
        <v/>
      </c>
      <c r="E1997">
        <f>IF(OR(H1997="",P1997=""),"",INDEX('Students'!$C$2:$C$701,P1997))</f>
        <v/>
      </c>
      <c r="F1997" s="48">
        <f>IF(H1997="","",IF(ISNUMBER(O1997),O1997,J1997))</f>
        <v/>
      </c>
      <c r="G1997">
        <f>IF(H1997="","","OneCause")</f>
        <v/>
      </c>
      <c r="H1997">
        <f>IF(AND(I1997="",J1997="",K1997=""),"",IF(NOT(ISNUMBER(O1997)),"Bad amount",IF(O1997&lt;0,"Refund (not counted)",IF(O1997=0,"Zero amount",IF(NOT(ISNUMBER(N1997)),"Bad date",IF(P1997="","NAME NOT ON ROSTER",IF(L1997="","OK",IF(MATCH(L1997,$L$2:$L$3001,0)&lt;ROW()-1,"Duplicate (ignored)","OK"))))))))</f>
        <v/>
      </c>
      <c r="I1997">
        <f>IF(OC_Date=0,"",IF(INDEX('OneCause_Paste'!$A$1997:$AZ$1997,1,OC_Date)="","",INDEX('OneCause_Paste'!$A$1997:$AZ$1997,1,OC_Date)))</f>
        <v/>
      </c>
      <c r="J1997">
        <f>IF(OC_Amt=0,"",IF(INDEX('OneCause_Paste'!$A$1997:$AZ$1997,1,OC_Amt)="","",INDEX('OneCause_Paste'!$A$1997:$AZ$1997,1,OC_Amt)))</f>
        <v/>
      </c>
      <c r="K1997">
        <f>IF(OC_Name=0,"",IF(INDEX('OneCause_Paste'!$A$1997:$AZ$1997,1,OC_Name)="","",INDEX('OneCause_Paste'!$A$1997:$AZ$1997,1,OC_Name)))</f>
        <v/>
      </c>
      <c r="L1997">
        <f>IF(OC_Txn=0,"",IF(INDEX('OneCause_Paste'!$A$1997:$AZ$1997,1,OC_Txn)="","",INDEX('OneCause_Paste'!$A$1997:$AZ$1997,1,OC_Txn)))</f>
        <v/>
      </c>
      <c r="M1997">
        <f>IF(OC_Pay=0,"",IF(INDEX('OneCause_Paste'!$A$1997:$AZ$1997,1,OC_Pay)="","",INDEX('OneCause_Paste'!$A$1997:$AZ$1997,1,OC_Pay)))</f>
        <v/>
      </c>
      <c r="N1997">
        <f>IF(I1997="","",IF(ISNUMBER(I1997),INT(I1997),IFERROR(INT(DATEVALUE(I1997)),IFERROR(INT(VALUE(I1997)),"bad"))))</f>
        <v/>
      </c>
      <c r="O1997">
        <f>IF(J1997="","",IF(ISNUMBER(J1997),ROUND(J1997,2),IFERROR(ROUND(VALUE(SUBSTITUTE(SUBSTITUTE(SUBSTITUTE(J1997,"$",""),",","")," ","")),2),"bad")))</f>
        <v/>
      </c>
      <c r="P1997">
        <f>IF(TRIM(K1997)="","",IFERROR(MATCH(LOWER(TRIM(K1997)),'Students'!$AH$2:$AH$701,0),IFERROR(MATCH(LOWER(TRIM(K1997)),'Students'!$AF$2:$AF$701,0),IFERROR(MATCH(LOWER(TRIM(K1997)),'Students'!$AG$2:$AG$701,0),""))))</f>
        <v/>
      </c>
      <c r="R1997">
        <f>IF(P1997="","",INDEX('Students'!$AD$2:$AD$701,P1997))</f>
        <v/>
      </c>
      <c r="S1997">
        <f>IF(H1997="OK",O1997,0)</f>
        <v/>
      </c>
      <c r="T1997">
        <f>IF(H1997="OK",N1997,"")</f>
        <v/>
      </c>
      <c r="U1997">
        <f>IF(OC_Donor=0,"",IF(INDEX('OneCause_Paste'!$A$1997:$AZ$1997,1,OC_Donor)="","",INDEX('OneCause_Paste'!$A$1997:$AZ$1997,1,OC_Donor)))</f>
        <v/>
      </c>
    </row>
    <row r="1998">
      <c r="A1998" s="62">
        <f>IF(H1998="","",IF(ISNUMBER(N1998),N1998,I1998))</f>
        <v/>
      </c>
      <c r="B1998">
        <f>IF(H1998="","",U1998)</f>
        <v/>
      </c>
      <c r="C1998">
        <f>IF(H1998="","",IF(P1998="",K1998,INDEX('Students'!$A$2:$A$701,P1998)))</f>
        <v/>
      </c>
      <c r="D1998">
        <f>IF(OR(H1998="",P1998=""),"",INDEX('Students'!$B$2:$B$701,P1998))</f>
        <v/>
      </c>
      <c r="E1998">
        <f>IF(OR(H1998="",P1998=""),"",INDEX('Students'!$C$2:$C$701,P1998))</f>
        <v/>
      </c>
      <c r="F1998" s="48">
        <f>IF(H1998="","",IF(ISNUMBER(O1998),O1998,J1998))</f>
        <v/>
      </c>
      <c r="G1998">
        <f>IF(H1998="","","OneCause")</f>
        <v/>
      </c>
      <c r="H1998">
        <f>IF(AND(I1998="",J1998="",K1998=""),"",IF(NOT(ISNUMBER(O1998)),"Bad amount",IF(O1998&lt;0,"Refund (not counted)",IF(O1998=0,"Zero amount",IF(NOT(ISNUMBER(N1998)),"Bad date",IF(P1998="","NAME NOT ON ROSTER",IF(L1998="","OK",IF(MATCH(L1998,$L$2:$L$3001,0)&lt;ROW()-1,"Duplicate (ignored)","OK"))))))))</f>
        <v/>
      </c>
      <c r="I1998">
        <f>IF(OC_Date=0,"",IF(INDEX('OneCause_Paste'!$A$1998:$AZ$1998,1,OC_Date)="","",INDEX('OneCause_Paste'!$A$1998:$AZ$1998,1,OC_Date)))</f>
        <v/>
      </c>
      <c r="J1998">
        <f>IF(OC_Amt=0,"",IF(INDEX('OneCause_Paste'!$A$1998:$AZ$1998,1,OC_Amt)="","",INDEX('OneCause_Paste'!$A$1998:$AZ$1998,1,OC_Amt)))</f>
        <v/>
      </c>
      <c r="K1998">
        <f>IF(OC_Name=0,"",IF(INDEX('OneCause_Paste'!$A$1998:$AZ$1998,1,OC_Name)="","",INDEX('OneCause_Paste'!$A$1998:$AZ$1998,1,OC_Name)))</f>
        <v/>
      </c>
      <c r="L1998">
        <f>IF(OC_Txn=0,"",IF(INDEX('OneCause_Paste'!$A$1998:$AZ$1998,1,OC_Txn)="","",INDEX('OneCause_Paste'!$A$1998:$AZ$1998,1,OC_Txn)))</f>
        <v/>
      </c>
      <c r="M1998">
        <f>IF(OC_Pay=0,"",IF(INDEX('OneCause_Paste'!$A$1998:$AZ$1998,1,OC_Pay)="","",INDEX('OneCause_Paste'!$A$1998:$AZ$1998,1,OC_Pay)))</f>
        <v/>
      </c>
      <c r="N1998">
        <f>IF(I1998="","",IF(ISNUMBER(I1998),INT(I1998),IFERROR(INT(DATEVALUE(I1998)),IFERROR(INT(VALUE(I1998)),"bad"))))</f>
        <v/>
      </c>
      <c r="O1998">
        <f>IF(J1998="","",IF(ISNUMBER(J1998),ROUND(J1998,2),IFERROR(ROUND(VALUE(SUBSTITUTE(SUBSTITUTE(SUBSTITUTE(J1998,"$",""),",","")," ","")),2),"bad")))</f>
        <v/>
      </c>
      <c r="P1998">
        <f>IF(TRIM(K1998)="","",IFERROR(MATCH(LOWER(TRIM(K1998)),'Students'!$AH$2:$AH$701,0),IFERROR(MATCH(LOWER(TRIM(K1998)),'Students'!$AF$2:$AF$701,0),IFERROR(MATCH(LOWER(TRIM(K1998)),'Students'!$AG$2:$AG$701,0),""))))</f>
        <v/>
      </c>
      <c r="R1998">
        <f>IF(P1998="","",INDEX('Students'!$AD$2:$AD$701,P1998))</f>
        <v/>
      </c>
      <c r="S1998">
        <f>IF(H1998="OK",O1998,0)</f>
        <v/>
      </c>
      <c r="T1998">
        <f>IF(H1998="OK",N1998,"")</f>
        <v/>
      </c>
      <c r="U1998">
        <f>IF(OC_Donor=0,"",IF(INDEX('OneCause_Paste'!$A$1998:$AZ$1998,1,OC_Donor)="","",INDEX('OneCause_Paste'!$A$1998:$AZ$1998,1,OC_Donor)))</f>
        <v/>
      </c>
    </row>
    <row r="1999">
      <c r="A1999" s="62">
        <f>IF(H1999="","",IF(ISNUMBER(N1999),N1999,I1999))</f>
        <v/>
      </c>
      <c r="B1999">
        <f>IF(H1999="","",U1999)</f>
        <v/>
      </c>
      <c r="C1999">
        <f>IF(H1999="","",IF(P1999="",K1999,INDEX('Students'!$A$2:$A$701,P1999)))</f>
        <v/>
      </c>
      <c r="D1999">
        <f>IF(OR(H1999="",P1999=""),"",INDEX('Students'!$B$2:$B$701,P1999))</f>
        <v/>
      </c>
      <c r="E1999">
        <f>IF(OR(H1999="",P1999=""),"",INDEX('Students'!$C$2:$C$701,P1999))</f>
        <v/>
      </c>
      <c r="F1999" s="48">
        <f>IF(H1999="","",IF(ISNUMBER(O1999),O1999,J1999))</f>
        <v/>
      </c>
      <c r="G1999">
        <f>IF(H1999="","","OneCause")</f>
        <v/>
      </c>
      <c r="H1999">
        <f>IF(AND(I1999="",J1999="",K1999=""),"",IF(NOT(ISNUMBER(O1999)),"Bad amount",IF(O1999&lt;0,"Refund (not counted)",IF(O1999=0,"Zero amount",IF(NOT(ISNUMBER(N1999)),"Bad date",IF(P1999="","NAME NOT ON ROSTER",IF(L1999="","OK",IF(MATCH(L1999,$L$2:$L$3001,0)&lt;ROW()-1,"Duplicate (ignored)","OK"))))))))</f>
        <v/>
      </c>
      <c r="I1999">
        <f>IF(OC_Date=0,"",IF(INDEX('OneCause_Paste'!$A$1999:$AZ$1999,1,OC_Date)="","",INDEX('OneCause_Paste'!$A$1999:$AZ$1999,1,OC_Date)))</f>
        <v/>
      </c>
      <c r="J1999">
        <f>IF(OC_Amt=0,"",IF(INDEX('OneCause_Paste'!$A$1999:$AZ$1999,1,OC_Amt)="","",INDEX('OneCause_Paste'!$A$1999:$AZ$1999,1,OC_Amt)))</f>
        <v/>
      </c>
      <c r="K1999">
        <f>IF(OC_Name=0,"",IF(INDEX('OneCause_Paste'!$A$1999:$AZ$1999,1,OC_Name)="","",INDEX('OneCause_Paste'!$A$1999:$AZ$1999,1,OC_Name)))</f>
        <v/>
      </c>
      <c r="L1999">
        <f>IF(OC_Txn=0,"",IF(INDEX('OneCause_Paste'!$A$1999:$AZ$1999,1,OC_Txn)="","",INDEX('OneCause_Paste'!$A$1999:$AZ$1999,1,OC_Txn)))</f>
        <v/>
      </c>
      <c r="M1999">
        <f>IF(OC_Pay=0,"",IF(INDEX('OneCause_Paste'!$A$1999:$AZ$1999,1,OC_Pay)="","",INDEX('OneCause_Paste'!$A$1999:$AZ$1999,1,OC_Pay)))</f>
        <v/>
      </c>
      <c r="N1999">
        <f>IF(I1999="","",IF(ISNUMBER(I1999),INT(I1999),IFERROR(INT(DATEVALUE(I1999)),IFERROR(INT(VALUE(I1999)),"bad"))))</f>
        <v/>
      </c>
      <c r="O1999">
        <f>IF(J1999="","",IF(ISNUMBER(J1999),ROUND(J1999,2),IFERROR(ROUND(VALUE(SUBSTITUTE(SUBSTITUTE(SUBSTITUTE(J1999,"$",""),",","")," ","")),2),"bad")))</f>
        <v/>
      </c>
      <c r="P1999">
        <f>IF(TRIM(K1999)="","",IFERROR(MATCH(LOWER(TRIM(K1999)),'Students'!$AH$2:$AH$701,0),IFERROR(MATCH(LOWER(TRIM(K1999)),'Students'!$AF$2:$AF$701,0),IFERROR(MATCH(LOWER(TRIM(K1999)),'Students'!$AG$2:$AG$701,0),""))))</f>
        <v/>
      </c>
      <c r="R1999">
        <f>IF(P1999="","",INDEX('Students'!$AD$2:$AD$701,P1999))</f>
        <v/>
      </c>
      <c r="S1999">
        <f>IF(H1999="OK",O1999,0)</f>
        <v/>
      </c>
      <c r="T1999">
        <f>IF(H1999="OK",N1999,"")</f>
        <v/>
      </c>
      <c r="U1999">
        <f>IF(OC_Donor=0,"",IF(INDEX('OneCause_Paste'!$A$1999:$AZ$1999,1,OC_Donor)="","",INDEX('OneCause_Paste'!$A$1999:$AZ$1999,1,OC_Donor)))</f>
        <v/>
      </c>
    </row>
    <row r="2000">
      <c r="A2000" s="62">
        <f>IF(H2000="","",IF(ISNUMBER(N2000),N2000,I2000))</f>
        <v/>
      </c>
      <c r="B2000">
        <f>IF(H2000="","",U2000)</f>
        <v/>
      </c>
      <c r="C2000">
        <f>IF(H2000="","",IF(P2000="",K2000,INDEX('Students'!$A$2:$A$701,P2000)))</f>
        <v/>
      </c>
      <c r="D2000">
        <f>IF(OR(H2000="",P2000=""),"",INDEX('Students'!$B$2:$B$701,P2000))</f>
        <v/>
      </c>
      <c r="E2000">
        <f>IF(OR(H2000="",P2000=""),"",INDEX('Students'!$C$2:$C$701,P2000))</f>
        <v/>
      </c>
      <c r="F2000" s="48">
        <f>IF(H2000="","",IF(ISNUMBER(O2000),O2000,J2000))</f>
        <v/>
      </c>
      <c r="G2000">
        <f>IF(H2000="","","OneCause")</f>
        <v/>
      </c>
      <c r="H2000">
        <f>IF(AND(I2000="",J2000="",K2000=""),"",IF(NOT(ISNUMBER(O2000)),"Bad amount",IF(O2000&lt;0,"Refund (not counted)",IF(O2000=0,"Zero amount",IF(NOT(ISNUMBER(N2000)),"Bad date",IF(P2000="","NAME NOT ON ROSTER",IF(L2000="","OK",IF(MATCH(L2000,$L$2:$L$3001,0)&lt;ROW()-1,"Duplicate (ignored)","OK"))))))))</f>
        <v/>
      </c>
      <c r="I2000">
        <f>IF(OC_Date=0,"",IF(INDEX('OneCause_Paste'!$A$2000:$AZ$2000,1,OC_Date)="","",INDEX('OneCause_Paste'!$A$2000:$AZ$2000,1,OC_Date)))</f>
        <v/>
      </c>
      <c r="J2000">
        <f>IF(OC_Amt=0,"",IF(INDEX('OneCause_Paste'!$A$2000:$AZ$2000,1,OC_Amt)="","",INDEX('OneCause_Paste'!$A$2000:$AZ$2000,1,OC_Amt)))</f>
        <v/>
      </c>
      <c r="K2000">
        <f>IF(OC_Name=0,"",IF(INDEX('OneCause_Paste'!$A$2000:$AZ$2000,1,OC_Name)="","",INDEX('OneCause_Paste'!$A$2000:$AZ$2000,1,OC_Name)))</f>
        <v/>
      </c>
      <c r="L2000">
        <f>IF(OC_Txn=0,"",IF(INDEX('OneCause_Paste'!$A$2000:$AZ$2000,1,OC_Txn)="","",INDEX('OneCause_Paste'!$A$2000:$AZ$2000,1,OC_Txn)))</f>
        <v/>
      </c>
      <c r="M2000">
        <f>IF(OC_Pay=0,"",IF(INDEX('OneCause_Paste'!$A$2000:$AZ$2000,1,OC_Pay)="","",INDEX('OneCause_Paste'!$A$2000:$AZ$2000,1,OC_Pay)))</f>
        <v/>
      </c>
      <c r="N2000">
        <f>IF(I2000="","",IF(ISNUMBER(I2000),INT(I2000),IFERROR(INT(DATEVALUE(I2000)),IFERROR(INT(VALUE(I2000)),"bad"))))</f>
        <v/>
      </c>
      <c r="O2000">
        <f>IF(J2000="","",IF(ISNUMBER(J2000),ROUND(J2000,2),IFERROR(ROUND(VALUE(SUBSTITUTE(SUBSTITUTE(SUBSTITUTE(J2000,"$",""),",","")," ","")),2),"bad")))</f>
        <v/>
      </c>
      <c r="P2000">
        <f>IF(TRIM(K2000)="","",IFERROR(MATCH(LOWER(TRIM(K2000)),'Students'!$AH$2:$AH$701,0),IFERROR(MATCH(LOWER(TRIM(K2000)),'Students'!$AF$2:$AF$701,0),IFERROR(MATCH(LOWER(TRIM(K2000)),'Students'!$AG$2:$AG$701,0),""))))</f>
        <v/>
      </c>
      <c r="R2000">
        <f>IF(P2000="","",INDEX('Students'!$AD$2:$AD$701,P2000))</f>
        <v/>
      </c>
      <c r="S2000">
        <f>IF(H2000="OK",O2000,0)</f>
        <v/>
      </c>
      <c r="T2000">
        <f>IF(H2000="OK",N2000,"")</f>
        <v/>
      </c>
      <c r="U2000">
        <f>IF(OC_Donor=0,"",IF(INDEX('OneCause_Paste'!$A$2000:$AZ$2000,1,OC_Donor)="","",INDEX('OneCause_Paste'!$A$2000:$AZ$2000,1,OC_Donor)))</f>
        <v/>
      </c>
    </row>
    <row r="2001">
      <c r="A2001" s="62">
        <f>IF(H2001="","",IF(ISNUMBER(N2001),N2001,I2001))</f>
        <v/>
      </c>
      <c r="B2001">
        <f>IF(H2001="","",U2001)</f>
        <v/>
      </c>
      <c r="C2001">
        <f>IF(H2001="","",IF(P2001="",K2001,INDEX('Students'!$A$2:$A$701,P2001)))</f>
        <v/>
      </c>
      <c r="D2001">
        <f>IF(OR(H2001="",P2001=""),"",INDEX('Students'!$B$2:$B$701,P2001))</f>
        <v/>
      </c>
      <c r="E2001">
        <f>IF(OR(H2001="",P2001=""),"",INDEX('Students'!$C$2:$C$701,P2001))</f>
        <v/>
      </c>
      <c r="F2001" s="48">
        <f>IF(H2001="","",IF(ISNUMBER(O2001),O2001,J2001))</f>
        <v/>
      </c>
      <c r="G2001">
        <f>IF(H2001="","","OneCause")</f>
        <v/>
      </c>
      <c r="H2001">
        <f>IF(AND(I2001="",J2001="",K2001=""),"",IF(NOT(ISNUMBER(O2001)),"Bad amount",IF(O2001&lt;0,"Refund (not counted)",IF(O2001=0,"Zero amount",IF(NOT(ISNUMBER(N2001)),"Bad date",IF(P2001="","NAME NOT ON ROSTER",IF(L2001="","OK",IF(MATCH(L2001,$L$2:$L$3001,0)&lt;ROW()-1,"Duplicate (ignored)","OK"))))))))</f>
        <v/>
      </c>
      <c r="I2001">
        <f>IF(OC_Date=0,"",IF(INDEX('OneCause_Paste'!$A$2001:$AZ$2001,1,OC_Date)="","",INDEX('OneCause_Paste'!$A$2001:$AZ$2001,1,OC_Date)))</f>
        <v/>
      </c>
      <c r="J2001">
        <f>IF(OC_Amt=0,"",IF(INDEX('OneCause_Paste'!$A$2001:$AZ$2001,1,OC_Amt)="","",INDEX('OneCause_Paste'!$A$2001:$AZ$2001,1,OC_Amt)))</f>
        <v/>
      </c>
      <c r="K2001">
        <f>IF(OC_Name=0,"",IF(INDEX('OneCause_Paste'!$A$2001:$AZ$2001,1,OC_Name)="","",INDEX('OneCause_Paste'!$A$2001:$AZ$2001,1,OC_Name)))</f>
        <v/>
      </c>
      <c r="L2001">
        <f>IF(OC_Txn=0,"",IF(INDEX('OneCause_Paste'!$A$2001:$AZ$2001,1,OC_Txn)="","",INDEX('OneCause_Paste'!$A$2001:$AZ$2001,1,OC_Txn)))</f>
        <v/>
      </c>
      <c r="M2001">
        <f>IF(OC_Pay=0,"",IF(INDEX('OneCause_Paste'!$A$2001:$AZ$2001,1,OC_Pay)="","",INDEX('OneCause_Paste'!$A$2001:$AZ$2001,1,OC_Pay)))</f>
        <v/>
      </c>
      <c r="N2001">
        <f>IF(I2001="","",IF(ISNUMBER(I2001),INT(I2001),IFERROR(INT(DATEVALUE(I2001)),IFERROR(INT(VALUE(I2001)),"bad"))))</f>
        <v/>
      </c>
      <c r="O2001">
        <f>IF(J2001="","",IF(ISNUMBER(J2001),ROUND(J2001,2),IFERROR(ROUND(VALUE(SUBSTITUTE(SUBSTITUTE(SUBSTITUTE(J2001,"$",""),",","")," ","")),2),"bad")))</f>
        <v/>
      </c>
      <c r="P2001">
        <f>IF(TRIM(K2001)="","",IFERROR(MATCH(LOWER(TRIM(K2001)),'Students'!$AH$2:$AH$701,0),IFERROR(MATCH(LOWER(TRIM(K2001)),'Students'!$AF$2:$AF$701,0),IFERROR(MATCH(LOWER(TRIM(K2001)),'Students'!$AG$2:$AG$701,0),""))))</f>
        <v/>
      </c>
      <c r="R2001">
        <f>IF(P2001="","",INDEX('Students'!$AD$2:$AD$701,P2001))</f>
        <v/>
      </c>
      <c r="S2001">
        <f>IF(H2001="OK",O2001,0)</f>
        <v/>
      </c>
      <c r="T2001">
        <f>IF(H2001="OK",N2001,"")</f>
        <v/>
      </c>
      <c r="U2001">
        <f>IF(OC_Donor=0,"",IF(INDEX('OneCause_Paste'!$A$2001:$AZ$2001,1,OC_Donor)="","",INDEX('OneCause_Paste'!$A$2001:$AZ$2001,1,OC_Donor)))</f>
        <v/>
      </c>
    </row>
    <row r="2002">
      <c r="A2002" s="62">
        <f>IF(H2002="","",IF(ISNUMBER(N2002),N2002,I2002))</f>
        <v/>
      </c>
      <c r="B2002">
        <f>IF(H2002="","",U2002)</f>
        <v/>
      </c>
      <c r="C2002">
        <f>IF(H2002="","",IF(P2002="",K2002,INDEX('Students'!$A$2:$A$701,P2002)))</f>
        <v/>
      </c>
      <c r="D2002">
        <f>IF(OR(H2002="",P2002=""),"",INDEX('Students'!$B$2:$B$701,P2002))</f>
        <v/>
      </c>
      <c r="E2002">
        <f>IF(OR(H2002="",P2002=""),"",INDEX('Students'!$C$2:$C$701,P2002))</f>
        <v/>
      </c>
      <c r="F2002" s="48">
        <f>IF(H2002="","",IF(ISNUMBER(O2002),O2002,J2002))</f>
        <v/>
      </c>
      <c r="G2002">
        <f>IF(H2002="","","OneCause")</f>
        <v/>
      </c>
      <c r="H2002">
        <f>IF(AND(I2002="",J2002="",K2002=""),"",IF(NOT(ISNUMBER(O2002)),"Bad amount",IF(O2002&lt;0,"Refund (not counted)",IF(O2002=0,"Zero amount",IF(NOT(ISNUMBER(N2002)),"Bad date",IF(P2002="","NAME NOT ON ROSTER",IF(L2002="","OK",IF(MATCH(L2002,$L$2:$L$3001,0)&lt;ROW()-1,"Duplicate (ignored)","OK"))))))))</f>
        <v/>
      </c>
      <c r="I2002">
        <f>IF(OC_Date=0,"",IF(INDEX('OneCause_Paste'!$A$2002:$AZ$2002,1,OC_Date)="","",INDEX('OneCause_Paste'!$A$2002:$AZ$2002,1,OC_Date)))</f>
        <v/>
      </c>
      <c r="J2002">
        <f>IF(OC_Amt=0,"",IF(INDEX('OneCause_Paste'!$A$2002:$AZ$2002,1,OC_Amt)="","",INDEX('OneCause_Paste'!$A$2002:$AZ$2002,1,OC_Amt)))</f>
        <v/>
      </c>
      <c r="K2002">
        <f>IF(OC_Name=0,"",IF(INDEX('OneCause_Paste'!$A$2002:$AZ$2002,1,OC_Name)="","",INDEX('OneCause_Paste'!$A$2002:$AZ$2002,1,OC_Name)))</f>
        <v/>
      </c>
      <c r="L2002">
        <f>IF(OC_Txn=0,"",IF(INDEX('OneCause_Paste'!$A$2002:$AZ$2002,1,OC_Txn)="","",INDEX('OneCause_Paste'!$A$2002:$AZ$2002,1,OC_Txn)))</f>
        <v/>
      </c>
      <c r="M2002">
        <f>IF(OC_Pay=0,"",IF(INDEX('OneCause_Paste'!$A$2002:$AZ$2002,1,OC_Pay)="","",INDEX('OneCause_Paste'!$A$2002:$AZ$2002,1,OC_Pay)))</f>
        <v/>
      </c>
      <c r="N2002">
        <f>IF(I2002="","",IF(ISNUMBER(I2002),INT(I2002),IFERROR(INT(DATEVALUE(I2002)),IFERROR(INT(VALUE(I2002)),"bad"))))</f>
        <v/>
      </c>
      <c r="O2002">
        <f>IF(J2002="","",IF(ISNUMBER(J2002),ROUND(J2002,2),IFERROR(ROUND(VALUE(SUBSTITUTE(SUBSTITUTE(SUBSTITUTE(J2002,"$",""),",","")," ","")),2),"bad")))</f>
        <v/>
      </c>
      <c r="P2002">
        <f>IF(TRIM(K2002)="","",IFERROR(MATCH(LOWER(TRIM(K2002)),'Students'!$AH$2:$AH$701,0),IFERROR(MATCH(LOWER(TRIM(K2002)),'Students'!$AF$2:$AF$701,0),IFERROR(MATCH(LOWER(TRIM(K2002)),'Students'!$AG$2:$AG$701,0),""))))</f>
        <v/>
      </c>
      <c r="R2002">
        <f>IF(P2002="","",INDEX('Students'!$AD$2:$AD$701,P2002))</f>
        <v/>
      </c>
      <c r="S2002">
        <f>IF(H2002="OK",O2002,0)</f>
        <v/>
      </c>
      <c r="T2002">
        <f>IF(H2002="OK",N2002,"")</f>
        <v/>
      </c>
      <c r="U2002">
        <f>IF(OC_Donor=0,"",IF(INDEX('OneCause_Paste'!$A$2002:$AZ$2002,1,OC_Donor)="","",INDEX('OneCause_Paste'!$A$2002:$AZ$2002,1,OC_Donor)))</f>
        <v/>
      </c>
    </row>
    <row r="2003">
      <c r="A2003" s="62">
        <f>IF(H2003="","",IF(ISNUMBER(N2003),N2003,I2003))</f>
        <v/>
      </c>
      <c r="B2003">
        <f>IF(H2003="","",U2003)</f>
        <v/>
      </c>
      <c r="C2003">
        <f>IF(H2003="","",IF(P2003="",K2003,INDEX('Students'!$A$2:$A$701,P2003)))</f>
        <v/>
      </c>
      <c r="D2003">
        <f>IF(OR(H2003="",P2003=""),"",INDEX('Students'!$B$2:$B$701,P2003))</f>
        <v/>
      </c>
      <c r="E2003">
        <f>IF(OR(H2003="",P2003=""),"",INDEX('Students'!$C$2:$C$701,P2003))</f>
        <v/>
      </c>
      <c r="F2003" s="48">
        <f>IF(H2003="","",IF(ISNUMBER(O2003),O2003,J2003))</f>
        <v/>
      </c>
      <c r="G2003">
        <f>IF(H2003="","","OneCause")</f>
        <v/>
      </c>
      <c r="H2003">
        <f>IF(AND(I2003="",J2003="",K2003=""),"",IF(NOT(ISNUMBER(O2003)),"Bad amount",IF(O2003&lt;0,"Refund (not counted)",IF(O2003=0,"Zero amount",IF(NOT(ISNUMBER(N2003)),"Bad date",IF(P2003="","NAME NOT ON ROSTER",IF(L2003="","OK",IF(MATCH(L2003,$L$2:$L$3001,0)&lt;ROW()-1,"Duplicate (ignored)","OK"))))))))</f>
        <v/>
      </c>
      <c r="I2003">
        <f>IF(OC_Date=0,"",IF(INDEX('OneCause_Paste'!$A$2003:$AZ$2003,1,OC_Date)="","",INDEX('OneCause_Paste'!$A$2003:$AZ$2003,1,OC_Date)))</f>
        <v/>
      </c>
      <c r="J2003">
        <f>IF(OC_Amt=0,"",IF(INDEX('OneCause_Paste'!$A$2003:$AZ$2003,1,OC_Amt)="","",INDEX('OneCause_Paste'!$A$2003:$AZ$2003,1,OC_Amt)))</f>
        <v/>
      </c>
      <c r="K2003">
        <f>IF(OC_Name=0,"",IF(INDEX('OneCause_Paste'!$A$2003:$AZ$2003,1,OC_Name)="","",INDEX('OneCause_Paste'!$A$2003:$AZ$2003,1,OC_Name)))</f>
        <v/>
      </c>
      <c r="L2003">
        <f>IF(OC_Txn=0,"",IF(INDEX('OneCause_Paste'!$A$2003:$AZ$2003,1,OC_Txn)="","",INDEX('OneCause_Paste'!$A$2003:$AZ$2003,1,OC_Txn)))</f>
        <v/>
      </c>
      <c r="M2003">
        <f>IF(OC_Pay=0,"",IF(INDEX('OneCause_Paste'!$A$2003:$AZ$2003,1,OC_Pay)="","",INDEX('OneCause_Paste'!$A$2003:$AZ$2003,1,OC_Pay)))</f>
        <v/>
      </c>
      <c r="N2003">
        <f>IF(I2003="","",IF(ISNUMBER(I2003),INT(I2003),IFERROR(INT(DATEVALUE(I2003)),IFERROR(INT(VALUE(I2003)),"bad"))))</f>
        <v/>
      </c>
      <c r="O2003">
        <f>IF(J2003="","",IF(ISNUMBER(J2003),ROUND(J2003,2),IFERROR(ROUND(VALUE(SUBSTITUTE(SUBSTITUTE(SUBSTITUTE(J2003,"$",""),",","")," ","")),2),"bad")))</f>
        <v/>
      </c>
      <c r="P2003">
        <f>IF(TRIM(K2003)="","",IFERROR(MATCH(LOWER(TRIM(K2003)),'Students'!$AH$2:$AH$701,0),IFERROR(MATCH(LOWER(TRIM(K2003)),'Students'!$AF$2:$AF$701,0),IFERROR(MATCH(LOWER(TRIM(K2003)),'Students'!$AG$2:$AG$701,0),""))))</f>
        <v/>
      </c>
      <c r="R2003">
        <f>IF(P2003="","",INDEX('Students'!$AD$2:$AD$701,P2003))</f>
        <v/>
      </c>
      <c r="S2003">
        <f>IF(H2003="OK",O2003,0)</f>
        <v/>
      </c>
      <c r="T2003">
        <f>IF(H2003="OK",N2003,"")</f>
        <v/>
      </c>
      <c r="U2003">
        <f>IF(OC_Donor=0,"",IF(INDEX('OneCause_Paste'!$A$2003:$AZ$2003,1,OC_Donor)="","",INDEX('OneCause_Paste'!$A$2003:$AZ$2003,1,OC_Donor)))</f>
        <v/>
      </c>
    </row>
    <row r="2004">
      <c r="A2004" s="62">
        <f>IF(H2004="","",IF(ISNUMBER(N2004),N2004,I2004))</f>
        <v/>
      </c>
      <c r="B2004">
        <f>IF(H2004="","",U2004)</f>
        <v/>
      </c>
      <c r="C2004">
        <f>IF(H2004="","",IF(P2004="",K2004,INDEX('Students'!$A$2:$A$701,P2004)))</f>
        <v/>
      </c>
      <c r="D2004">
        <f>IF(OR(H2004="",P2004=""),"",INDEX('Students'!$B$2:$B$701,P2004))</f>
        <v/>
      </c>
      <c r="E2004">
        <f>IF(OR(H2004="",P2004=""),"",INDEX('Students'!$C$2:$C$701,P2004))</f>
        <v/>
      </c>
      <c r="F2004" s="48">
        <f>IF(H2004="","",IF(ISNUMBER(O2004),O2004,J2004))</f>
        <v/>
      </c>
      <c r="G2004">
        <f>IF(H2004="","","OneCause")</f>
        <v/>
      </c>
      <c r="H2004">
        <f>IF(AND(I2004="",J2004="",K2004=""),"",IF(NOT(ISNUMBER(O2004)),"Bad amount",IF(O2004&lt;0,"Refund (not counted)",IF(O2004=0,"Zero amount",IF(NOT(ISNUMBER(N2004)),"Bad date",IF(P2004="","NAME NOT ON ROSTER",IF(L2004="","OK",IF(MATCH(L2004,$L$2:$L$3001,0)&lt;ROW()-1,"Duplicate (ignored)","OK"))))))))</f>
        <v/>
      </c>
      <c r="I2004">
        <f>IF(OC_Date=0,"",IF(INDEX('OneCause_Paste'!$A$2004:$AZ$2004,1,OC_Date)="","",INDEX('OneCause_Paste'!$A$2004:$AZ$2004,1,OC_Date)))</f>
        <v/>
      </c>
      <c r="J2004">
        <f>IF(OC_Amt=0,"",IF(INDEX('OneCause_Paste'!$A$2004:$AZ$2004,1,OC_Amt)="","",INDEX('OneCause_Paste'!$A$2004:$AZ$2004,1,OC_Amt)))</f>
        <v/>
      </c>
      <c r="K2004">
        <f>IF(OC_Name=0,"",IF(INDEX('OneCause_Paste'!$A$2004:$AZ$2004,1,OC_Name)="","",INDEX('OneCause_Paste'!$A$2004:$AZ$2004,1,OC_Name)))</f>
        <v/>
      </c>
      <c r="L2004">
        <f>IF(OC_Txn=0,"",IF(INDEX('OneCause_Paste'!$A$2004:$AZ$2004,1,OC_Txn)="","",INDEX('OneCause_Paste'!$A$2004:$AZ$2004,1,OC_Txn)))</f>
        <v/>
      </c>
      <c r="M2004">
        <f>IF(OC_Pay=0,"",IF(INDEX('OneCause_Paste'!$A$2004:$AZ$2004,1,OC_Pay)="","",INDEX('OneCause_Paste'!$A$2004:$AZ$2004,1,OC_Pay)))</f>
        <v/>
      </c>
      <c r="N2004">
        <f>IF(I2004="","",IF(ISNUMBER(I2004),INT(I2004),IFERROR(INT(DATEVALUE(I2004)),IFERROR(INT(VALUE(I2004)),"bad"))))</f>
        <v/>
      </c>
      <c r="O2004">
        <f>IF(J2004="","",IF(ISNUMBER(J2004),ROUND(J2004,2),IFERROR(ROUND(VALUE(SUBSTITUTE(SUBSTITUTE(SUBSTITUTE(J2004,"$",""),",","")," ","")),2),"bad")))</f>
        <v/>
      </c>
      <c r="P2004">
        <f>IF(TRIM(K2004)="","",IFERROR(MATCH(LOWER(TRIM(K2004)),'Students'!$AH$2:$AH$701,0),IFERROR(MATCH(LOWER(TRIM(K2004)),'Students'!$AF$2:$AF$701,0),IFERROR(MATCH(LOWER(TRIM(K2004)),'Students'!$AG$2:$AG$701,0),""))))</f>
        <v/>
      </c>
      <c r="R2004">
        <f>IF(P2004="","",INDEX('Students'!$AD$2:$AD$701,P2004))</f>
        <v/>
      </c>
      <c r="S2004">
        <f>IF(H2004="OK",O2004,0)</f>
        <v/>
      </c>
      <c r="T2004">
        <f>IF(H2004="OK",N2004,"")</f>
        <v/>
      </c>
      <c r="U2004">
        <f>IF(OC_Donor=0,"",IF(INDEX('OneCause_Paste'!$A$2004:$AZ$2004,1,OC_Donor)="","",INDEX('OneCause_Paste'!$A$2004:$AZ$2004,1,OC_Donor)))</f>
        <v/>
      </c>
    </row>
    <row r="2005">
      <c r="A2005" s="62">
        <f>IF(H2005="","",IF(ISNUMBER(N2005),N2005,I2005))</f>
        <v/>
      </c>
      <c r="B2005">
        <f>IF(H2005="","",U2005)</f>
        <v/>
      </c>
      <c r="C2005">
        <f>IF(H2005="","",IF(P2005="",K2005,INDEX('Students'!$A$2:$A$701,P2005)))</f>
        <v/>
      </c>
      <c r="D2005">
        <f>IF(OR(H2005="",P2005=""),"",INDEX('Students'!$B$2:$B$701,P2005))</f>
        <v/>
      </c>
      <c r="E2005">
        <f>IF(OR(H2005="",P2005=""),"",INDEX('Students'!$C$2:$C$701,P2005))</f>
        <v/>
      </c>
      <c r="F2005" s="48">
        <f>IF(H2005="","",IF(ISNUMBER(O2005),O2005,J2005))</f>
        <v/>
      </c>
      <c r="G2005">
        <f>IF(H2005="","","OneCause")</f>
        <v/>
      </c>
      <c r="H2005">
        <f>IF(AND(I2005="",J2005="",K2005=""),"",IF(NOT(ISNUMBER(O2005)),"Bad amount",IF(O2005&lt;0,"Refund (not counted)",IF(O2005=0,"Zero amount",IF(NOT(ISNUMBER(N2005)),"Bad date",IF(P2005="","NAME NOT ON ROSTER",IF(L2005="","OK",IF(MATCH(L2005,$L$2:$L$3001,0)&lt;ROW()-1,"Duplicate (ignored)","OK"))))))))</f>
        <v/>
      </c>
      <c r="I2005">
        <f>IF(OC_Date=0,"",IF(INDEX('OneCause_Paste'!$A$2005:$AZ$2005,1,OC_Date)="","",INDEX('OneCause_Paste'!$A$2005:$AZ$2005,1,OC_Date)))</f>
        <v/>
      </c>
      <c r="J2005">
        <f>IF(OC_Amt=0,"",IF(INDEX('OneCause_Paste'!$A$2005:$AZ$2005,1,OC_Amt)="","",INDEX('OneCause_Paste'!$A$2005:$AZ$2005,1,OC_Amt)))</f>
        <v/>
      </c>
      <c r="K2005">
        <f>IF(OC_Name=0,"",IF(INDEX('OneCause_Paste'!$A$2005:$AZ$2005,1,OC_Name)="","",INDEX('OneCause_Paste'!$A$2005:$AZ$2005,1,OC_Name)))</f>
        <v/>
      </c>
      <c r="L2005">
        <f>IF(OC_Txn=0,"",IF(INDEX('OneCause_Paste'!$A$2005:$AZ$2005,1,OC_Txn)="","",INDEX('OneCause_Paste'!$A$2005:$AZ$2005,1,OC_Txn)))</f>
        <v/>
      </c>
      <c r="M2005">
        <f>IF(OC_Pay=0,"",IF(INDEX('OneCause_Paste'!$A$2005:$AZ$2005,1,OC_Pay)="","",INDEX('OneCause_Paste'!$A$2005:$AZ$2005,1,OC_Pay)))</f>
        <v/>
      </c>
      <c r="N2005">
        <f>IF(I2005="","",IF(ISNUMBER(I2005),INT(I2005),IFERROR(INT(DATEVALUE(I2005)),IFERROR(INT(VALUE(I2005)),"bad"))))</f>
        <v/>
      </c>
      <c r="O2005">
        <f>IF(J2005="","",IF(ISNUMBER(J2005),ROUND(J2005,2),IFERROR(ROUND(VALUE(SUBSTITUTE(SUBSTITUTE(SUBSTITUTE(J2005,"$",""),",","")," ","")),2),"bad")))</f>
        <v/>
      </c>
      <c r="P2005">
        <f>IF(TRIM(K2005)="","",IFERROR(MATCH(LOWER(TRIM(K2005)),'Students'!$AH$2:$AH$701,0),IFERROR(MATCH(LOWER(TRIM(K2005)),'Students'!$AF$2:$AF$701,0),IFERROR(MATCH(LOWER(TRIM(K2005)),'Students'!$AG$2:$AG$701,0),""))))</f>
        <v/>
      </c>
      <c r="R2005">
        <f>IF(P2005="","",INDEX('Students'!$AD$2:$AD$701,P2005))</f>
        <v/>
      </c>
      <c r="S2005">
        <f>IF(H2005="OK",O2005,0)</f>
        <v/>
      </c>
      <c r="T2005">
        <f>IF(H2005="OK",N2005,"")</f>
        <v/>
      </c>
      <c r="U2005">
        <f>IF(OC_Donor=0,"",IF(INDEX('OneCause_Paste'!$A$2005:$AZ$2005,1,OC_Donor)="","",INDEX('OneCause_Paste'!$A$2005:$AZ$2005,1,OC_Donor)))</f>
        <v/>
      </c>
    </row>
    <row r="2006">
      <c r="A2006" s="62">
        <f>IF(H2006="","",IF(ISNUMBER(N2006),N2006,I2006))</f>
        <v/>
      </c>
      <c r="B2006">
        <f>IF(H2006="","",U2006)</f>
        <v/>
      </c>
      <c r="C2006">
        <f>IF(H2006="","",IF(P2006="",K2006,INDEX('Students'!$A$2:$A$701,P2006)))</f>
        <v/>
      </c>
      <c r="D2006">
        <f>IF(OR(H2006="",P2006=""),"",INDEX('Students'!$B$2:$B$701,P2006))</f>
        <v/>
      </c>
      <c r="E2006">
        <f>IF(OR(H2006="",P2006=""),"",INDEX('Students'!$C$2:$C$701,P2006))</f>
        <v/>
      </c>
      <c r="F2006" s="48">
        <f>IF(H2006="","",IF(ISNUMBER(O2006),O2006,J2006))</f>
        <v/>
      </c>
      <c r="G2006">
        <f>IF(H2006="","","OneCause")</f>
        <v/>
      </c>
      <c r="H2006">
        <f>IF(AND(I2006="",J2006="",K2006=""),"",IF(NOT(ISNUMBER(O2006)),"Bad amount",IF(O2006&lt;0,"Refund (not counted)",IF(O2006=0,"Zero amount",IF(NOT(ISNUMBER(N2006)),"Bad date",IF(P2006="","NAME NOT ON ROSTER",IF(L2006="","OK",IF(MATCH(L2006,$L$2:$L$3001,0)&lt;ROW()-1,"Duplicate (ignored)","OK"))))))))</f>
        <v/>
      </c>
      <c r="I2006">
        <f>IF(OC_Date=0,"",IF(INDEX('OneCause_Paste'!$A$2006:$AZ$2006,1,OC_Date)="","",INDEX('OneCause_Paste'!$A$2006:$AZ$2006,1,OC_Date)))</f>
        <v/>
      </c>
      <c r="J2006">
        <f>IF(OC_Amt=0,"",IF(INDEX('OneCause_Paste'!$A$2006:$AZ$2006,1,OC_Amt)="","",INDEX('OneCause_Paste'!$A$2006:$AZ$2006,1,OC_Amt)))</f>
        <v/>
      </c>
      <c r="K2006">
        <f>IF(OC_Name=0,"",IF(INDEX('OneCause_Paste'!$A$2006:$AZ$2006,1,OC_Name)="","",INDEX('OneCause_Paste'!$A$2006:$AZ$2006,1,OC_Name)))</f>
        <v/>
      </c>
      <c r="L2006">
        <f>IF(OC_Txn=0,"",IF(INDEX('OneCause_Paste'!$A$2006:$AZ$2006,1,OC_Txn)="","",INDEX('OneCause_Paste'!$A$2006:$AZ$2006,1,OC_Txn)))</f>
        <v/>
      </c>
      <c r="M2006">
        <f>IF(OC_Pay=0,"",IF(INDEX('OneCause_Paste'!$A$2006:$AZ$2006,1,OC_Pay)="","",INDEX('OneCause_Paste'!$A$2006:$AZ$2006,1,OC_Pay)))</f>
        <v/>
      </c>
      <c r="N2006">
        <f>IF(I2006="","",IF(ISNUMBER(I2006),INT(I2006),IFERROR(INT(DATEVALUE(I2006)),IFERROR(INT(VALUE(I2006)),"bad"))))</f>
        <v/>
      </c>
      <c r="O2006">
        <f>IF(J2006="","",IF(ISNUMBER(J2006),ROUND(J2006,2),IFERROR(ROUND(VALUE(SUBSTITUTE(SUBSTITUTE(SUBSTITUTE(J2006,"$",""),",","")," ","")),2),"bad")))</f>
        <v/>
      </c>
      <c r="P2006">
        <f>IF(TRIM(K2006)="","",IFERROR(MATCH(LOWER(TRIM(K2006)),'Students'!$AH$2:$AH$701,0),IFERROR(MATCH(LOWER(TRIM(K2006)),'Students'!$AF$2:$AF$701,0),IFERROR(MATCH(LOWER(TRIM(K2006)),'Students'!$AG$2:$AG$701,0),""))))</f>
        <v/>
      </c>
      <c r="R2006">
        <f>IF(P2006="","",INDEX('Students'!$AD$2:$AD$701,P2006))</f>
        <v/>
      </c>
      <c r="S2006">
        <f>IF(H2006="OK",O2006,0)</f>
        <v/>
      </c>
      <c r="T2006">
        <f>IF(H2006="OK",N2006,"")</f>
        <v/>
      </c>
      <c r="U2006">
        <f>IF(OC_Donor=0,"",IF(INDEX('OneCause_Paste'!$A$2006:$AZ$2006,1,OC_Donor)="","",INDEX('OneCause_Paste'!$A$2006:$AZ$2006,1,OC_Donor)))</f>
        <v/>
      </c>
    </row>
    <row r="2007">
      <c r="A2007" s="62">
        <f>IF(H2007="","",IF(ISNUMBER(N2007),N2007,I2007))</f>
        <v/>
      </c>
      <c r="B2007">
        <f>IF(H2007="","",U2007)</f>
        <v/>
      </c>
      <c r="C2007">
        <f>IF(H2007="","",IF(P2007="",K2007,INDEX('Students'!$A$2:$A$701,P2007)))</f>
        <v/>
      </c>
      <c r="D2007">
        <f>IF(OR(H2007="",P2007=""),"",INDEX('Students'!$B$2:$B$701,P2007))</f>
        <v/>
      </c>
      <c r="E2007">
        <f>IF(OR(H2007="",P2007=""),"",INDEX('Students'!$C$2:$C$701,P2007))</f>
        <v/>
      </c>
      <c r="F2007" s="48">
        <f>IF(H2007="","",IF(ISNUMBER(O2007),O2007,J2007))</f>
        <v/>
      </c>
      <c r="G2007">
        <f>IF(H2007="","","OneCause")</f>
        <v/>
      </c>
      <c r="H2007">
        <f>IF(AND(I2007="",J2007="",K2007=""),"",IF(NOT(ISNUMBER(O2007)),"Bad amount",IF(O2007&lt;0,"Refund (not counted)",IF(O2007=0,"Zero amount",IF(NOT(ISNUMBER(N2007)),"Bad date",IF(P2007="","NAME NOT ON ROSTER",IF(L2007="","OK",IF(MATCH(L2007,$L$2:$L$3001,0)&lt;ROW()-1,"Duplicate (ignored)","OK"))))))))</f>
        <v/>
      </c>
      <c r="I2007">
        <f>IF(OC_Date=0,"",IF(INDEX('OneCause_Paste'!$A$2007:$AZ$2007,1,OC_Date)="","",INDEX('OneCause_Paste'!$A$2007:$AZ$2007,1,OC_Date)))</f>
        <v/>
      </c>
      <c r="J2007">
        <f>IF(OC_Amt=0,"",IF(INDEX('OneCause_Paste'!$A$2007:$AZ$2007,1,OC_Amt)="","",INDEX('OneCause_Paste'!$A$2007:$AZ$2007,1,OC_Amt)))</f>
        <v/>
      </c>
      <c r="K2007">
        <f>IF(OC_Name=0,"",IF(INDEX('OneCause_Paste'!$A$2007:$AZ$2007,1,OC_Name)="","",INDEX('OneCause_Paste'!$A$2007:$AZ$2007,1,OC_Name)))</f>
        <v/>
      </c>
      <c r="L2007">
        <f>IF(OC_Txn=0,"",IF(INDEX('OneCause_Paste'!$A$2007:$AZ$2007,1,OC_Txn)="","",INDEX('OneCause_Paste'!$A$2007:$AZ$2007,1,OC_Txn)))</f>
        <v/>
      </c>
      <c r="M2007">
        <f>IF(OC_Pay=0,"",IF(INDEX('OneCause_Paste'!$A$2007:$AZ$2007,1,OC_Pay)="","",INDEX('OneCause_Paste'!$A$2007:$AZ$2007,1,OC_Pay)))</f>
        <v/>
      </c>
      <c r="N2007">
        <f>IF(I2007="","",IF(ISNUMBER(I2007),INT(I2007),IFERROR(INT(DATEVALUE(I2007)),IFERROR(INT(VALUE(I2007)),"bad"))))</f>
        <v/>
      </c>
      <c r="O2007">
        <f>IF(J2007="","",IF(ISNUMBER(J2007),ROUND(J2007,2),IFERROR(ROUND(VALUE(SUBSTITUTE(SUBSTITUTE(SUBSTITUTE(J2007,"$",""),",","")," ","")),2),"bad")))</f>
        <v/>
      </c>
      <c r="P2007">
        <f>IF(TRIM(K2007)="","",IFERROR(MATCH(LOWER(TRIM(K2007)),'Students'!$AH$2:$AH$701,0),IFERROR(MATCH(LOWER(TRIM(K2007)),'Students'!$AF$2:$AF$701,0),IFERROR(MATCH(LOWER(TRIM(K2007)),'Students'!$AG$2:$AG$701,0),""))))</f>
        <v/>
      </c>
      <c r="R2007">
        <f>IF(P2007="","",INDEX('Students'!$AD$2:$AD$701,P2007))</f>
        <v/>
      </c>
      <c r="S2007">
        <f>IF(H2007="OK",O2007,0)</f>
        <v/>
      </c>
      <c r="T2007">
        <f>IF(H2007="OK",N2007,"")</f>
        <v/>
      </c>
      <c r="U2007">
        <f>IF(OC_Donor=0,"",IF(INDEX('OneCause_Paste'!$A$2007:$AZ$2007,1,OC_Donor)="","",INDEX('OneCause_Paste'!$A$2007:$AZ$2007,1,OC_Donor)))</f>
        <v/>
      </c>
    </row>
    <row r="2008">
      <c r="A2008" s="62">
        <f>IF(H2008="","",IF(ISNUMBER(N2008),N2008,I2008))</f>
        <v/>
      </c>
      <c r="B2008">
        <f>IF(H2008="","",U2008)</f>
        <v/>
      </c>
      <c r="C2008">
        <f>IF(H2008="","",IF(P2008="",K2008,INDEX('Students'!$A$2:$A$701,P2008)))</f>
        <v/>
      </c>
      <c r="D2008">
        <f>IF(OR(H2008="",P2008=""),"",INDEX('Students'!$B$2:$B$701,P2008))</f>
        <v/>
      </c>
      <c r="E2008">
        <f>IF(OR(H2008="",P2008=""),"",INDEX('Students'!$C$2:$C$701,P2008))</f>
        <v/>
      </c>
      <c r="F2008" s="48">
        <f>IF(H2008="","",IF(ISNUMBER(O2008),O2008,J2008))</f>
        <v/>
      </c>
      <c r="G2008">
        <f>IF(H2008="","","OneCause")</f>
        <v/>
      </c>
      <c r="H2008">
        <f>IF(AND(I2008="",J2008="",K2008=""),"",IF(NOT(ISNUMBER(O2008)),"Bad amount",IF(O2008&lt;0,"Refund (not counted)",IF(O2008=0,"Zero amount",IF(NOT(ISNUMBER(N2008)),"Bad date",IF(P2008="","NAME NOT ON ROSTER",IF(L2008="","OK",IF(MATCH(L2008,$L$2:$L$3001,0)&lt;ROW()-1,"Duplicate (ignored)","OK"))))))))</f>
        <v/>
      </c>
      <c r="I2008">
        <f>IF(OC_Date=0,"",IF(INDEX('OneCause_Paste'!$A$2008:$AZ$2008,1,OC_Date)="","",INDEX('OneCause_Paste'!$A$2008:$AZ$2008,1,OC_Date)))</f>
        <v/>
      </c>
      <c r="J2008">
        <f>IF(OC_Amt=0,"",IF(INDEX('OneCause_Paste'!$A$2008:$AZ$2008,1,OC_Amt)="","",INDEX('OneCause_Paste'!$A$2008:$AZ$2008,1,OC_Amt)))</f>
        <v/>
      </c>
      <c r="K2008">
        <f>IF(OC_Name=0,"",IF(INDEX('OneCause_Paste'!$A$2008:$AZ$2008,1,OC_Name)="","",INDEX('OneCause_Paste'!$A$2008:$AZ$2008,1,OC_Name)))</f>
        <v/>
      </c>
      <c r="L2008">
        <f>IF(OC_Txn=0,"",IF(INDEX('OneCause_Paste'!$A$2008:$AZ$2008,1,OC_Txn)="","",INDEX('OneCause_Paste'!$A$2008:$AZ$2008,1,OC_Txn)))</f>
        <v/>
      </c>
      <c r="M2008">
        <f>IF(OC_Pay=0,"",IF(INDEX('OneCause_Paste'!$A$2008:$AZ$2008,1,OC_Pay)="","",INDEX('OneCause_Paste'!$A$2008:$AZ$2008,1,OC_Pay)))</f>
        <v/>
      </c>
      <c r="N2008">
        <f>IF(I2008="","",IF(ISNUMBER(I2008),INT(I2008),IFERROR(INT(DATEVALUE(I2008)),IFERROR(INT(VALUE(I2008)),"bad"))))</f>
        <v/>
      </c>
      <c r="O2008">
        <f>IF(J2008="","",IF(ISNUMBER(J2008),ROUND(J2008,2),IFERROR(ROUND(VALUE(SUBSTITUTE(SUBSTITUTE(SUBSTITUTE(J2008,"$",""),",","")," ","")),2),"bad")))</f>
        <v/>
      </c>
      <c r="P2008">
        <f>IF(TRIM(K2008)="","",IFERROR(MATCH(LOWER(TRIM(K2008)),'Students'!$AH$2:$AH$701,0),IFERROR(MATCH(LOWER(TRIM(K2008)),'Students'!$AF$2:$AF$701,0),IFERROR(MATCH(LOWER(TRIM(K2008)),'Students'!$AG$2:$AG$701,0),""))))</f>
        <v/>
      </c>
      <c r="R2008">
        <f>IF(P2008="","",INDEX('Students'!$AD$2:$AD$701,P2008))</f>
        <v/>
      </c>
      <c r="S2008">
        <f>IF(H2008="OK",O2008,0)</f>
        <v/>
      </c>
      <c r="T2008">
        <f>IF(H2008="OK",N2008,"")</f>
        <v/>
      </c>
      <c r="U2008">
        <f>IF(OC_Donor=0,"",IF(INDEX('OneCause_Paste'!$A$2008:$AZ$2008,1,OC_Donor)="","",INDEX('OneCause_Paste'!$A$2008:$AZ$2008,1,OC_Donor)))</f>
        <v/>
      </c>
    </row>
    <row r="2009">
      <c r="A2009" s="62">
        <f>IF(H2009="","",IF(ISNUMBER(N2009),N2009,I2009))</f>
        <v/>
      </c>
      <c r="B2009">
        <f>IF(H2009="","",U2009)</f>
        <v/>
      </c>
      <c r="C2009">
        <f>IF(H2009="","",IF(P2009="",K2009,INDEX('Students'!$A$2:$A$701,P2009)))</f>
        <v/>
      </c>
      <c r="D2009">
        <f>IF(OR(H2009="",P2009=""),"",INDEX('Students'!$B$2:$B$701,P2009))</f>
        <v/>
      </c>
      <c r="E2009">
        <f>IF(OR(H2009="",P2009=""),"",INDEX('Students'!$C$2:$C$701,P2009))</f>
        <v/>
      </c>
      <c r="F2009" s="48">
        <f>IF(H2009="","",IF(ISNUMBER(O2009),O2009,J2009))</f>
        <v/>
      </c>
      <c r="G2009">
        <f>IF(H2009="","","OneCause")</f>
        <v/>
      </c>
      <c r="H2009">
        <f>IF(AND(I2009="",J2009="",K2009=""),"",IF(NOT(ISNUMBER(O2009)),"Bad amount",IF(O2009&lt;0,"Refund (not counted)",IF(O2009=0,"Zero amount",IF(NOT(ISNUMBER(N2009)),"Bad date",IF(P2009="","NAME NOT ON ROSTER",IF(L2009="","OK",IF(MATCH(L2009,$L$2:$L$3001,0)&lt;ROW()-1,"Duplicate (ignored)","OK"))))))))</f>
        <v/>
      </c>
      <c r="I2009">
        <f>IF(OC_Date=0,"",IF(INDEX('OneCause_Paste'!$A$2009:$AZ$2009,1,OC_Date)="","",INDEX('OneCause_Paste'!$A$2009:$AZ$2009,1,OC_Date)))</f>
        <v/>
      </c>
      <c r="J2009">
        <f>IF(OC_Amt=0,"",IF(INDEX('OneCause_Paste'!$A$2009:$AZ$2009,1,OC_Amt)="","",INDEX('OneCause_Paste'!$A$2009:$AZ$2009,1,OC_Amt)))</f>
        <v/>
      </c>
      <c r="K2009">
        <f>IF(OC_Name=0,"",IF(INDEX('OneCause_Paste'!$A$2009:$AZ$2009,1,OC_Name)="","",INDEX('OneCause_Paste'!$A$2009:$AZ$2009,1,OC_Name)))</f>
        <v/>
      </c>
      <c r="L2009">
        <f>IF(OC_Txn=0,"",IF(INDEX('OneCause_Paste'!$A$2009:$AZ$2009,1,OC_Txn)="","",INDEX('OneCause_Paste'!$A$2009:$AZ$2009,1,OC_Txn)))</f>
        <v/>
      </c>
      <c r="M2009">
        <f>IF(OC_Pay=0,"",IF(INDEX('OneCause_Paste'!$A$2009:$AZ$2009,1,OC_Pay)="","",INDEX('OneCause_Paste'!$A$2009:$AZ$2009,1,OC_Pay)))</f>
        <v/>
      </c>
      <c r="N2009">
        <f>IF(I2009="","",IF(ISNUMBER(I2009),INT(I2009),IFERROR(INT(DATEVALUE(I2009)),IFERROR(INT(VALUE(I2009)),"bad"))))</f>
        <v/>
      </c>
      <c r="O2009">
        <f>IF(J2009="","",IF(ISNUMBER(J2009),ROUND(J2009,2),IFERROR(ROUND(VALUE(SUBSTITUTE(SUBSTITUTE(SUBSTITUTE(J2009,"$",""),",","")," ","")),2),"bad")))</f>
        <v/>
      </c>
      <c r="P2009">
        <f>IF(TRIM(K2009)="","",IFERROR(MATCH(LOWER(TRIM(K2009)),'Students'!$AH$2:$AH$701,0),IFERROR(MATCH(LOWER(TRIM(K2009)),'Students'!$AF$2:$AF$701,0),IFERROR(MATCH(LOWER(TRIM(K2009)),'Students'!$AG$2:$AG$701,0),""))))</f>
        <v/>
      </c>
      <c r="R2009">
        <f>IF(P2009="","",INDEX('Students'!$AD$2:$AD$701,P2009))</f>
        <v/>
      </c>
      <c r="S2009">
        <f>IF(H2009="OK",O2009,0)</f>
        <v/>
      </c>
      <c r="T2009">
        <f>IF(H2009="OK",N2009,"")</f>
        <v/>
      </c>
      <c r="U2009">
        <f>IF(OC_Donor=0,"",IF(INDEX('OneCause_Paste'!$A$2009:$AZ$2009,1,OC_Donor)="","",INDEX('OneCause_Paste'!$A$2009:$AZ$2009,1,OC_Donor)))</f>
        <v/>
      </c>
    </row>
    <row r="2010">
      <c r="A2010" s="62">
        <f>IF(H2010="","",IF(ISNUMBER(N2010),N2010,I2010))</f>
        <v/>
      </c>
      <c r="B2010">
        <f>IF(H2010="","",U2010)</f>
        <v/>
      </c>
      <c r="C2010">
        <f>IF(H2010="","",IF(P2010="",K2010,INDEX('Students'!$A$2:$A$701,P2010)))</f>
        <v/>
      </c>
      <c r="D2010">
        <f>IF(OR(H2010="",P2010=""),"",INDEX('Students'!$B$2:$B$701,P2010))</f>
        <v/>
      </c>
      <c r="E2010">
        <f>IF(OR(H2010="",P2010=""),"",INDEX('Students'!$C$2:$C$701,P2010))</f>
        <v/>
      </c>
      <c r="F2010" s="48">
        <f>IF(H2010="","",IF(ISNUMBER(O2010),O2010,J2010))</f>
        <v/>
      </c>
      <c r="G2010">
        <f>IF(H2010="","","OneCause")</f>
        <v/>
      </c>
      <c r="H2010">
        <f>IF(AND(I2010="",J2010="",K2010=""),"",IF(NOT(ISNUMBER(O2010)),"Bad amount",IF(O2010&lt;0,"Refund (not counted)",IF(O2010=0,"Zero amount",IF(NOT(ISNUMBER(N2010)),"Bad date",IF(P2010="","NAME NOT ON ROSTER",IF(L2010="","OK",IF(MATCH(L2010,$L$2:$L$3001,0)&lt;ROW()-1,"Duplicate (ignored)","OK"))))))))</f>
        <v/>
      </c>
      <c r="I2010">
        <f>IF(OC_Date=0,"",IF(INDEX('OneCause_Paste'!$A$2010:$AZ$2010,1,OC_Date)="","",INDEX('OneCause_Paste'!$A$2010:$AZ$2010,1,OC_Date)))</f>
        <v/>
      </c>
      <c r="J2010">
        <f>IF(OC_Amt=0,"",IF(INDEX('OneCause_Paste'!$A$2010:$AZ$2010,1,OC_Amt)="","",INDEX('OneCause_Paste'!$A$2010:$AZ$2010,1,OC_Amt)))</f>
        <v/>
      </c>
      <c r="K2010">
        <f>IF(OC_Name=0,"",IF(INDEX('OneCause_Paste'!$A$2010:$AZ$2010,1,OC_Name)="","",INDEX('OneCause_Paste'!$A$2010:$AZ$2010,1,OC_Name)))</f>
        <v/>
      </c>
      <c r="L2010">
        <f>IF(OC_Txn=0,"",IF(INDEX('OneCause_Paste'!$A$2010:$AZ$2010,1,OC_Txn)="","",INDEX('OneCause_Paste'!$A$2010:$AZ$2010,1,OC_Txn)))</f>
        <v/>
      </c>
      <c r="M2010">
        <f>IF(OC_Pay=0,"",IF(INDEX('OneCause_Paste'!$A$2010:$AZ$2010,1,OC_Pay)="","",INDEX('OneCause_Paste'!$A$2010:$AZ$2010,1,OC_Pay)))</f>
        <v/>
      </c>
      <c r="N2010">
        <f>IF(I2010="","",IF(ISNUMBER(I2010),INT(I2010),IFERROR(INT(DATEVALUE(I2010)),IFERROR(INT(VALUE(I2010)),"bad"))))</f>
        <v/>
      </c>
      <c r="O2010">
        <f>IF(J2010="","",IF(ISNUMBER(J2010),ROUND(J2010,2),IFERROR(ROUND(VALUE(SUBSTITUTE(SUBSTITUTE(SUBSTITUTE(J2010,"$",""),",","")," ","")),2),"bad")))</f>
        <v/>
      </c>
      <c r="P2010">
        <f>IF(TRIM(K2010)="","",IFERROR(MATCH(LOWER(TRIM(K2010)),'Students'!$AH$2:$AH$701,0),IFERROR(MATCH(LOWER(TRIM(K2010)),'Students'!$AF$2:$AF$701,0),IFERROR(MATCH(LOWER(TRIM(K2010)),'Students'!$AG$2:$AG$701,0),""))))</f>
        <v/>
      </c>
      <c r="R2010">
        <f>IF(P2010="","",INDEX('Students'!$AD$2:$AD$701,P2010))</f>
        <v/>
      </c>
      <c r="S2010">
        <f>IF(H2010="OK",O2010,0)</f>
        <v/>
      </c>
      <c r="T2010">
        <f>IF(H2010="OK",N2010,"")</f>
        <v/>
      </c>
      <c r="U2010">
        <f>IF(OC_Donor=0,"",IF(INDEX('OneCause_Paste'!$A$2010:$AZ$2010,1,OC_Donor)="","",INDEX('OneCause_Paste'!$A$2010:$AZ$2010,1,OC_Donor)))</f>
        <v/>
      </c>
    </row>
    <row r="2011">
      <c r="A2011" s="62">
        <f>IF(H2011="","",IF(ISNUMBER(N2011),N2011,I2011))</f>
        <v/>
      </c>
      <c r="B2011">
        <f>IF(H2011="","",U2011)</f>
        <v/>
      </c>
      <c r="C2011">
        <f>IF(H2011="","",IF(P2011="",K2011,INDEX('Students'!$A$2:$A$701,P2011)))</f>
        <v/>
      </c>
      <c r="D2011">
        <f>IF(OR(H2011="",P2011=""),"",INDEX('Students'!$B$2:$B$701,P2011))</f>
        <v/>
      </c>
      <c r="E2011">
        <f>IF(OR(H2011="",P2011=""),"",INDEX('Students'!$C$2:$C$701,P2011))</f>
        <v/>
      </c>
      <c r="F2011" s="48">
        <f>IF(H2011="","",IF(ISNUMBER(O2011),O2011,J2011))</f>
        <v/>
      </c>
      <c r="G2011">
        <f>IF(H2011="","","OneCause")</f>
        <v/>
      </c>
      <c r="H2011">
        <f>IF(AND(I2011="",J2011="",K2011=""),"",IF(NOT(ISNUMBER(O2011)),"Bad amount",IF(O2011&lt;0,"Refund (not counted)",IF(O2011=0,"Zero amount",IF(NOT(ISNUMBER(N2011)),"Bad date",IF(P2011="","NAME NOT ON ROSTER",IF(L2011="","OK",IF(MATCH(L2011,$L$2:$L$3001,0)&lt;ROW()-1,"Duplicate (ignored)","OK"))))))))</f>
        <v/>
      </c>
      <c r="I2011">
        <f>IF(OC_Date=0,"",IF(INDEX('OneCause_Paste'!$A$2011:$AZ$2011,1,OC_Date)="","",INDEX('OneCause_Paste'!$A$2011:$AZ$2011,1,OC_Date)))</f>
        <v/>
      </c>
      <c r="J2011">
        <f>IF(OC_Amt=0,"",IF(INDEX('OneCause_Paste'!$A$2011:$AZ$2011,1,OC_Amt)="","",INDEX('OneCause_Paste'!$A$2011:$AZ$2011,1,OC_Amt)))</f>
        <v/>
      </c>
      <c r="K2011">
        <f>IF(OC_Name=0,"",IF(INDEX('OneCause_Paste'!$A$2011:$AZ$2011,1,OC_Name)="","",INDEX('OneCause_Paste'!$A$2011:$AZ$2011,1,OC_Name)))</f>
        <v/>
      </c>
      <c r="L2011">
        <f>IF(OC_Txn=0,"",IF(INDEX('OneCause_Paste'!$A$2011:$AZ$2011,1,OC_Txn)="","",INDEX('OneCause_Paste'!$A$2011:$AZ$2011,1,OC_Txn)))</f>
        <v/>
      </c>
      <c r="M2011">
        <f>IF(OC_Pay=0,"",IF(INDEX('OneCause_Paste'!$A$2011:$AZ$2011,1,OC_Pay)="","",INDEX('OneCause_Paste'!$A$2011:$AZ$2011,1,OC_Pay)))</f>
        <v/>
      </c>
      <c r="N2011">
        <f>IF(I2011="","",IF(ISNUMBER(I2011),INT(I2011),IFERROR(INT(DATEVALUE(I2011)),IFERROR(INT(VALUE(I2011)),"bad"))))</f>
        <v/>
      </c>
      <c r="O2011">
        <f>IF(J2011="","",IF(ISNUMBER(J2011),ROUND(J2011,2),IFERROR(ROUND(VALUE(SUBSTITUTE(SUBSTITUTE(SUBSTITUTE(J2011,"$",""),",","")," ","")),2),"bad")))</f>
        <v/>
      </c>
      <c r="P2011">
        <f>IF(TRIM(K2011)="","",IFERROR(MATCH(LOWER(TRIM(K2011)),'Students'!$AH$2:$AH$701,0),IFERROR(MATCH(LOWER(TRIM(K2011)),'Students'!$AF$2:$AF$701,0),IFERROR(MATCH(LOWER(TRIM(K2011)),'Students'!$AG$2:$AG$701,0),""))))</f>
        <v/>
      </c>
      <c r="R2011">
        <f>IF(P2011="","",INDEX('Students'!$AD$2:$AD$701,P2011))</f>
        <v/>
      </c>
      <c r="S2011">
        <f>IF(H2011="OK",O2011,0)</f>
        <v/>
      </c>
      <c r="T2011">
        <f>IF(H2011="OK",N2011,"")</f>
        <v/>
      </c>
      <c r="U2011">
        <f>IF(OC_Donor=0,"",IF(INDEX('OneCause_Paste'!$A$2011:$AZ$2011,1,OC_Donor)="","",INDEX('OneCause_Paste'!$A$2011:$AZ$2011,1,OC_Donor)))</f>
        <v/>
      </c>
    </row>
    <row r="2012">
      <c r="A2012" s="62">
        <f>IF(H2012="","",IF(ISNUMBER(N2012),N2012,I2012))</f>
        <v/>
      </c>
      <c r="B2012">
        <f>IF(H2012="","",U2012)</f>
        <v/>
      </c>
      <c r="C2012">
        <f>IF(H2012="","",IF(P2012="",K2012,INDEX('Students'!$A$2:$A$701,P2012)))</f>
        <v/>
      </c>
      <c r="D2012">
        <f>IF(OR(H2012="",P2012=""),"",INDEX('Students'!$B$2:$B$701,P2012))</f>
        <v/>
      </c>
      <c r="E2012">
        <f>IF(OR(H2012="",P2012=""),"",INDEX('Students'!$C$2:$C$701,P2012))</f>
        <v/>
      </c>
      <c r="F2012" s="48">
        <f>IF(H2012="","",IF(ISNUMBER(O2012),O2012,J2012))</f>
        <v/>
      </c>
      <c r="G2012">
        <f>IF(H2012="","","OneCause")</f>
        <v/>
      </c>
      <c r="H2012">
        <f>IF(AND(I2012="",J2012="",K2012=""),"",IF(NOT(ISNUMBER(O2012)),"Bad amount",IF(O2012&lt;0,"Refund (not counted)",IF(O2012=0,"Zero amount",IF(NOT(ISNUMBER(N2012)),"Bad date",IF(P2012="","NAME NOT ON ROSTER",IF(L2012="","OK",IF(MATCH(L2012,$L$2:$L$3001,0)&lt;ROW()-1,"Duplicate (ignored)","OK"))))))))</f>
        <v/>
      </c>
      <c r="I2012">
        <f>IF(OC_Date=0,"",IF(INDEX('OneCause_Paste'!$A$2012:$AZ$2012,1,OC_Date)="","",INDEX('OneCause_Paste'!$A$2012:$AZ$2012,1,OC_Date)))</f>
        <v/>
      </c>
      <c r="J2012">
        <f>IF(OC_Amt=0,"",IF(INDEX('OneCause_Paste'!$A$2012:$AZ$2012,1,OC_Amt)="","",INDEX('OneCause_Paste'!$A$2012:$AZ$2012,1,OC_Amt)))</f>
        <v/>
      </c>
      <c r="K2012">
        <f>IF(OC_Name=0,"",IF(INDEX('OneCause_Paste'!$A$2012:$AZ$2012,1,OC_Name)="","",INDEX('OneCause_Paste'!$A$2012:$AZ$2012,1,OC_Name)))</f>
        <v/>
      </c>
      <c r="L2012">
        <f>IF(OC_Txn=0,"",IF(INDEX('OneCause_Paste'!$A$2012:$AZ$2012,1,OC_Txn)="","",INDEX('OneCause_Paste'!$A$2012:$AZ$2012,1,OC_Txn)))</f>
        <v/>
      </c>
      <c r="M2012">
        <f>IF(OC_Pay=0,"",IF(INDEX('OneCause_Paste'!$A$2012:$AZ$2012,1,OC_Pay)="","",INDEX('OneCause_Paste'!$A$2012:$AZ$2012,1,OC_Pay)))</f>
        <v/>
      </c>
      <c r="N2012">
        <f>IF(I2012="","",IF(ISNUMBER(I2012),INT(I2012),IFERROR(INT(DATEVALUE(I2012)),IFERROR(INT(VALUE(I2012)),"bad"))))</f>
        <v/>
      </c>
      <c r="O2012">
        <f>IF(J2012="","",IF(ISNUMBER(J2012),ROUND(J2012,2),IFERROR(ROUND(VALUE(SUBSTITUTE(SUBSTITUTE(SUBSTITUTE(J2012,"$",""),",","")," ","")),2),"bad")))</f>
        <v/>
      </c>
      <c r="P2012">
        <f>IF(TRIM(K2012)="","",IFERROR(MATCH(LOWER(TRIM(K2012)),'Students'!$AH$2:$AH$701,0),IFERROR(MATCH(LOWER(TRIM(K2012)),'Students'!$AF$2:$AF$701,0),IFERROR(MATCH(LOWER(TRIM(K2012)),'Students'!$AG$2:$AG$701,0),""))))</f>
        <v/>
      </c>
      <c r="R2012">
        <f>IF(P2012="","",INDEX('Students'!$AD$2:$AD$701,P2012))</f>
        <v/>
      </c>
      <c r="S2012">
        <f>IF(H2012="OK",O2012,0)</f>
        <v/>
      </c>
      <c r="T2012">
        <f>IF(H2012="OK",N2012,"")</f>
        <v/>
      </c>
      <c r="U2012">
        <f>IF(OC_Donor=0,"",IF(INDEX('OneCause_Paste'!$A$2012:$AZ$2012,1,OC_Donor)="","",INDEX('OneCause_Paste'!$A$2012:$AZ$2012,1,OC_Donor)))</f>
        <v/>
      </c>
    </row>
    <row r="2013">
      <c r="A2013" s="62">
        <f>IF(H2013="","",IF(ISNUMBER(N2013),N2013,I2013))</f>
        <v/>
      </c>
      <c r="B2013">
        <f>IF(H2013="","",U2013)</f>
        <v/>
      </c>
      <c r="C2013">
        <f>IF(H2013="","",IF(P2013="",K2013,INDEX('Students'!$A$2:$A$701,P2013)))</f>
        <v/>
      </c>
      <c r="D2013">
        <f>IF(OR(H2013="",P2013=""),"",INDEX('Students'!$B$2:$B$701,P2013))</f>
        <v/>
      </c>
      <c r="E2013">
        <f>IF(OR(H2013="",P2013=""),"",INDEX('Students'!$C$2:$C$701,P2013))</f>
        <v/>
      </c>
      <c r="F2013" s="48">
        <f>IF(H2013="","",IF(ISNUMBER(O2013),O2013,J2013))</f>
        <v/>
      </c>
      <c r="G2013">
        <f>IF(H2013="","","OneCause")</f>
        <v/>
      </c>
      <c r="H2013">
        <f>IF(AND(I2013="",J2013="",K2013=""),"",IF(NOT(ISNUMBER(O2013)),"Bad amount",IF(O2013&lt;0,"Refund (not counted)",IF(O2013=0,"Zero amount",IF(NOT(ISNUMBER(N2013)),"Bad date",IF(P2013="","NAME NOT ON ROSTER",IF(L2013="","OK",IF(MATCH(L2013,$L$2:$L$3001,0)&lt;ROW()-1,"Duplicate (ignored)","OK"))))))))</f>
        <v/>
      </c>
      <c r="I2013">
        <f>IF(OC_Date=0,"",IF(INDEX('OneCause_Paste'!$A$2013:$AZ$2013,1,OC_Date)="","",INDEX('OneCause_Paste'!$A$2013:$AZ$2013,1,OC_Date)))</f>
        <v/>
      </c>
      <c r="J2013">
        <f>IF(OC_Amt=0,"",IF(INDEX('OneCause_Paste'!$A$2013:$AZ$2013,1,OC_Amt)="","",INDEX('OneCause_Paste'!$A$2013:$AZ$2013,1,OC_Amt)))</f>
        <v/>
      </c>
      <c r="K2013">
        <f>IF(OC_Name=0,"",IF(INDEX('OneCause_Paste'!$A$2013:$AZ$2013,1,OC_Name)="","",INDEX('OneCause_Paste'!$A$2013:$AZ$2013,1,OC_Name)))</f>
        <v/>
      </c>
      <c r="L2013">
        <f>IF(OC_Txn=0,"",IF(INDEX('OneCause_Paste'!$A$2013:$AZ$2013,1,OC_Txn)="","",INDEX('OneCause_Paste'!$A$2013:$AZ$2013,1,OC_Txn)))</f>
        <v/>
      </c>
      <c r="M2013">
        <f>IF(OC_Pay=0,"",IF(INDEX('OneCause_Paste'!$A$2013:$AZ$2013,1,OC_Pay)="","",INDEX('OneCause_Paste'!$A$2013:$AZ$2013,1,OC_Pay)))</f>
        <v/>
      </c>
      <c r="N2013">
        <f>IF(I2013="","",IF(ISNUMBER(I2013),INT(I2013),IFERROR(INT(DATEVALUE(I2013)),IFERROR(INT(VALUE(I2013)),"bad"))))</f>
        <v/>
      </c>
      <c r="O2013">
        <f>IF(J2013="","",IF(ISNUMBER(J2013),ROUND(J2013,2),IFERROR(ROUND(VALUE(SUBSTITUTE(SUBSTITUTE(SUBSTITUTE(J2013,"$",""),",","")," ","")),2),"bad")))</f>
        <v/>
      </c>
      <c r="P2013">
        <f>IF(TRIM(K2013)="","",IFERROR(MATCH(LOWER(TRIM(K2013)),'Students'!$AH$2:$AH$701,0),IFERROR(MATCH(LOWER(TRIM(K2013)),'Students'!$AF$2:$AF$701,0),IFERROR(MATCH(LOWER(TRIM(K2013)),'Students'!$AG$2:$AG$701,0),""))))</f>
        <v/>
      </c>
      <c r="R2013">
        <f>IF(P2013="","",INDEX('Students'!$AD$2:$AD$701,P2013))</f>
        <v/>
      </c>
      <c r="S2013">
        <f>IF(H2013="OK",O2013,0)</f>
        <v/>
      </c>
      <c r="T2013">
        <f>IF(H2013="OK",N2013,"")</f>
        <v/>
      </c>
      <c r="U2013">
        <f>IF(OC_Donor=0,"",IF(INDEX('OneCause_Paste'!$A$2013:$AZ$2013,1,OC_Donor)="","",INDEX('OneCause_Paste'!$A$2013:$AZ$2013,1,OC_Donor)))</f>
        <v/>
      </c>
    </row>
    <row r="2014">
      <c r="A2014" s="62">
        <f>IF(H2014="","",IF(ISNUMBER(N2014),N2014,I2014))</f>
        <v/>
      </c>
      <c r="B2014">
        <f>IF(H2014="","",U2014)</f>
        <v/>
      </c>
      <c r="C2014">
        <f>IF(H2014="","",IF(P2014="",K2014,INDEX('Students'!$A$2:$A$701,P2014)))</f>
        <v/>
      </c>
      <c r="D2014">
        <f>IF(OR(H2014="",P2014=""),"",INDEX('Students'!$B$2:$B$701,P2014))</f>
        <v/>
      </c>
      <c r="E2014">
        <f>IF(OR(H2014="",P2014=""),"",INDEX('Students'!$C$2:$C$701,P2014))</f>
        <v/>
      </c>
      <c r="F2014" s="48">
        <f>IF(H2014="","",IF(ISNUMBER(O2014),O2014,J2014))</f>
        <v/>
      </c>
      <c r="G2014">
        <f>IF(H2014="","","OneCause")</f>
        <v/>
      </c>
      <c r="H2014">
        <f>IF(AND(I2014="",J2014="",K2014=""),"",IF(NOT(ISNUMBER(O2014)),"Bad amount",IF(O2014&lt;0,"Refund (not counted)",IF(O2014=0,"Zero amount",IF(NOT(ISNUMBER(N2014)),"Bad date",IF(P2014="","NAME NOT ON ROSTER",IF(L2014="","OK",IF(MATCH(L2014,$L$2:$L$3001,0)&lt;ROW()-1,"Duplicate (ignored)","OK"))))))))</f>
        <v/>
      </c>
      <c r="I2014">
        <f>IF(OC_Date=0,"",IF(INDEX('OneCause_Paste'!$A$2014:$AZ$2014,1,OC_Date)="","",INDEX('OneCause_Paste'!$A$2014:$AZ$2014,1,OC_Date)))</f>
        <v/>
      </c>
      <c r="J2014">
        <f>IF(OC_Amt=0,"",IF(INDEX('OneCause_Paste'!$A$2014:$AZ$2014,1,OC_Amt)="","",INDEX('OneCause_Paste'!$A$2014:$AZ$2014,1,OC_Amt)))</f>
        <v/>
      </c>
      <c r="K2014">
        <f>IF(OC_Name=0,"",IF(INDEX('OneCause_Paste'!$A$2014:$AZ$2014,1,OC_Name)="","",INDEX('OneCause_Paste'!$A$2014:$AZ$2014,1,OC_Name)))</f>
        <v/>
      </c>
      <c r="L2014">
        <f>IF(OC_Txn=0,"",IF(INDEX('OneCause_Paste'!$A$2014:$AZ$2014,1,OC_Txn)="","",INDEX('OneCause_Paste'!$A$2014:$AZ$2014,1,OC_Txn)))</f>
        <v/>
      </c>
      <c r="M2014">
        <f>IF(OC_Pay=0,"",IF(INDEX('OneCause_Paste'!$A$2014:$AZ$2014,1,OC_Pay)="","",INDEX('OneCause_Paste'!$A$2014:$AZ$2014,1,OC_Pay)))</f>
        <v/>
      </c>
      <c r="N2014">
        <f>IF(I2014="","",IF(ISNUMBER(I2014),INT(I2014),IFERROR(INT(DATEVALUE(I2014)),IFERROR(INT(VALUE(I2014)),"bad"))))</f>
        <v/>
      </c>
      <c r="O2014">
        <f>IF(J2014="","",IF(ISNUMBER(J2014),ROUND(J2014,2),IFERROR(ROUND(VALUE(SUBSTITUTE(SUBSTITUTE(SUBSTITUTE(J2014,"$",""),",","")," ","")),2),"bad")))</f>
        <v/>
      </c>
      <c r="P2014">
        <f>IF(TRIM(K2014)="","",IFERROR(MATCH(LOWER(TRIM(K2014)),'Students'!$AH$2:$AH$701,0),IFERROR(MATCH(LOWER(TRIM(K2014)),'Students'!$AF$2:$AF$701,0),IFERROR(MATCH(LOWER(TRIM(K2014)),'Students'!$AG$2:$AG$701,0),""))))</f>
        <v/>
      </c>
      <c r="R2014">
        <f>IF(P2014="","",INDEX('Students'!$AD$2:$AD$701,P2014))</f>
        <v/>
      </c>
      <c r="S2014">
        <f>IF(H2014="OK",O2014,0)</f>
        <v/>
      </c>
      <c r="T2014">
        <f>IF(H2014="OK",N2014,"")</f>
        <v/>
      </c>
      <c r="U2014">
        <f>IF(OC_Donor=0,"",IF(INDEX('OneCause_Paste'!$A$2014:$AZ$2014,1,OC_Donor)="","",INDEX('OneCause_Paste'!$A$2014:$AZ$2014,1,OC_Donor)))</f>
        <v/>
      </c>
    </row>
    <row r="2015">
      <c r="A2015" s="62">
        <f>IF(H2015="","",IF(ISNUMBER(N2015),N2015,I2015))</f>
        <v/>
      </c>
      <c r="B2015">
        <f>IF(H2015="","",U2015)</f>
        <v/>
      </c>
      <c r="C2015">
        <f>IF(H2015="","",IF(P2015="",K2015,INDEX('Students'!$A$2:$A$701,P2015)))</f>
        <v/>
      </c>
      <c r="D2015">
        <f>IF(OR(H2015="",P2015=""),"",INDEX('Students'!$B$2:$B$701,P2015))</f>
        <v/>
      </c>
      <c r="E2015">
        <f>IF(OR(H2015="",P2015=""),"",INDEX('Students'!$C$2:$C$701,P2015))</f>
        <v/>
      </c>
      <c r="F2015" s="48">
        <f>IF(H2015="","",IF(ISNUMBER(O2015),O2015,J2015))</f>
        <v/>
      </c>
      <c r="G2015">
        <f>IF(H2015="","","OneCause")</f>
        <v/>
      </c>
      <c r="H2015">
        <f>IF(AND(I2015="",J2015="",K2015=""),"",IF(NOT(ISNUMBER(O2015)),"Bad amount",IF(O2015&lt;0,"Refund (not counted)",IF(O2015=0,"Zero amount",IF(NOT(ISNUMBER(N2015)),"Bad date",IF(P2015="","NAME NOT ON ROSTER",IF(L2015="","OK",IF(MATCH(L2015,$L$2:$L$3001,0)&lt;ROW()-1,"Duplicate (ignored)","OK"))))))))</f>
        <v/>
      </c>
      <c r="I2015">
        <f>IF(OC_Date=0,"",IF(INDEX('OneCause_Paste'!$A$2015:$AZ$2015,1,OC_Date)="","",INDEX('OneCause_Paste'!$A$2015:$AZ$2015,1,OC_Date)))</f>
        <v/>
      </c>
      <c r="J2015">
        <f>IF(OC_Amt=0,"",IF(INDEX('OneCause_Paste'!$A$2015:$AZ$2015,1,OC_Amt)="","",INDEX('OneCause_Paste'!$A$2015:$AZ$2015,1,OC_Amt)))</f>
        <v/>
      </c>
      <c r="K2015">
        <f>IF(OC_Name=0,"",IF(INDEX('OneCause_Paste'!$A$2015:$AZ$2015,1,OC_Name)="","",INDEX('OneCause_Paste'!$A$2015:$AZ$2015,1,OC_Name)))</f>
        <v/>
      </c>
      <c r="L2015">
        <f>IF(OC_Txn=0,"",IF(INDEX('OneCause_Paste'!$A$2015:$AZ$2015,1,OC_Txn)="","",INDEX('OneCause_Paste'!$A$2015:$AZ$2015,1,OC_Txn)))</f>
        <v/>
      </c>
      <c r="M2015">
        <f>IF(OC_Pay=0,"",IF(INDEX('OneCause_Paste'!$A$2015:$AZ$2015,1,OC_Pay)="","",INDEX('OneCause_Paste'!$A$2015:$AZ$2015,1,OC_Pay)))</f>
        <v/>
      </c>
      <c r="N2015">
        <f>IF(I2015="","",IF(ISNUMBER(I2015),INT(I2015),IFERROR(INT(DATEVALUE(I2015)),IFERROR(INT(VALUE(I2015)),"bad"))))</f>
        <v/>
      </c>
      <c r="O2015">
        <f>IF(J2015="","",IF(ISNUMBER(J2015),ROUND(J2015,2),IFERROR(ROUND(VALUE(SUBSTITUTE(SUBSTITUTE(SUBSTITUTE(J2015,"$",""),",","")," ","")),2),"bad")))</f>
        <v/>
      </c>
      <c r="P2015">
        <f>IF(TRIM(K2015)="","",IFERROR(MATCH(LOWER(TRIM(K2015)),'Students'!$AH$2:$AH$701,0),IFERROR(MATCH(LOWER(TRIM(K2015)),'Students'!$AF$2:$AF$701,0),IFERROR(MATCH(LOWER(TRIM(K2015)),'Students'!$AG$2:$AG$701,0),""))))</f>
        <v/>
      </c>
      <c r="R2015">
        <f>IF(P2015="","",INDEX('Students'!$AD$2:$AD$701,P2015))</f>
        <v/>
      </c>
      <c r="S2015">
        <f>IF(H2015="OK",O2015,0)</f>
        <v/>
      </c>
      <c r="T2015">
        <f>IF(H2015="OK",N2015,"")</f>
        <v/>
      </c>
      <c r="U2015">
        <f>IF(OC_Donor=0,"",IF(INDEX('OneCause_Paste'!$A$2015:$AZ$2015,1,OC_Donor)="","",INDEX('OneCause_Paste'!$A$2015:$AZ$2015,1,OC_Donor)))</f>
        <v/>
      </c>
    </row>
    <row r="2016">
      <c r="A2016" s="62">
        <f>IF(H2016="","",IF(ISNUMBER(N2016),N2016,I2016))</f>
        <v/>
      </c>
      <c r="B2016">
        <f>IF(H2016="","",U2016)</f>
        <v/>
      </c>
      <c r="C2016">
        <f>IF(H2016="","",IF(P2016="",K2016,INDEX('Students'!$A$2:$A$701,P2016)))</f>
        <v/>
      </c>
      <c r="D2016">
        <f>IF(OR(H2016="",P2016=""),"",INDEX('Students'!$B$2:$B$701,P2016))</f>
        <v/>
      </c>
      <c r="E2016">
        <f>IF(OR(H2016="",P2016=""),"",INDEX('Students'!$C$2:$C$701,P2016))</f>
        <v/>
      </c>
      <c r="F2016" s="48">
        <f>IF(H2016="","",IF(ISNUMBER(O2016),O2016,J2016))</f>
        <v/>
      </c>
      <c r="G2016">
        <f>IF(H2016="","","OneCause")</f>
        <v/>
      </c>
      <c r="H2016">
        <f>IF(AND(I2016="",J2016="",K2016=""),"",IF(NOT(ISNUMBER(O2016)),"Bad amount",IF(O2016&lt;0,"Refund (not counted)",IF(O2016=0,"Zero amount",IF(NOT(ISNUMBER(N2016)),"Bad date",IF(P2016="","NAME NOT ON ROSTER",IF(L2016="","OK",IF(MATCH(L2016,$L$2:$L$3001,0)&lt;ROW()-1,"Duplicate (ignored)","OK"))))))))</f>
        <v/>
      </c>
      <c r="I2016">
        <f>IF(OC_Date=0,"",IF(INDEX('OneCause_Paste'!$A$2016:$AZ$2016,1,OC_Date)="","",INDEX('OneCause_Paste'!$A$2016:$AZ$2016,1,OC_Date)))</f>
        <v/>
      </c>
      <c r="J2016">
        <f>IF(OC_Amt=0,"",IF(INDEX('OneCause_Paste'!$A$2016:$AZ$2016,1,OC_Amt)="","",INDEX('OneCause_Paste'!$A$2016:$AZ$2016,1,OC_Amt)))</f>
        <v/>
      </c>
      <c r="K2016">
        <f>IF(OC_Name=0,"",IF(INDEX('OneCause_Paste'!$A$2016:$AZ$2016,1,OC_Name)="","",INDEX('OneCause_Paste'!$A$2016:$AZ$2016,1,OC_Name)))</f>
        <v/>
      </c>
      <c r="L2016">
        <f>IF(OC_Txn=0,"",IF(INDEX('OneCause_Paste'!$A$2016:$AZ$2016,1,OC_Txn)="","",INDEX('OneCause_Paste'!$A$2016:$AZ$2016,1,OC_Txn)))</f>
        <v/>
      </c>
      <c r="M2016">
        <f>IF(OC_Pay=0,"",IF(INDEX('OneCause_Paste'!$A$2016:$AZ$2016,1,OC_Pay)="","",INDEX('OneCause_Paste'!$A$2016:$AZ$2016,1,OC_Pay)))</f>
        <v/>
      </c>
      <c r="N2016">
        <f>IF(I2016="","",IF(ISNUMBER(I2016),INT(I2016),IFERROR(INT(DATEVALUE(I2016)),IFERROR(INT(VALUE(I2016)),"bad"))))</f>
        <v/>
      </c>
      <c r="O2016">
        <f>IF(J2016="","",IF(ISNUMBER(J2016),ROUND(J2016,2),IFERROR(ROUND(VALUE(SUBSTITUTE(SUBSTITUTE(SUBSTITUTE(J2016,"$",""),",","")," ","")),2),"bad")))</f>
        <v/>
      </c>
      <c r="P2016">
        <f>IF(TRIM(K2016)="","",IFERROR(MATCH(LOWER(TRIM(K2016)),'Students'!$AH$2:$AH$701,0),IFERROR(MATCH(LOWER(TRIM(K2016)),'Students'!$AF$2:$AF$701,0),IFERROR(MATCH(LOWER(TRIM(K2016)),'Students'!$AG$2:$AG$701,0),""))))</f>
        <v/>
      </c>
      <c r="R2016">
        <f>IF(P2016="","",INDEX('Students'!$AD$2:$AD$701,P2016))</f>
        <v/>
      </c>
      <c r="S2016">
        <f>IF(H2016="OK",O2016,0)</f>
        <v/>
      </c>
      <c r="T2016">
        <f>IF(H2016="OK",N2016,"")</f>
        <v/>
      </c>
      <c r="U2016">
        <f>IF(OC_Donor=0,"",IF(INDEX('OneCause_Paste'!$A$2016:$AZ$2016,1,OC_Donor)="","",INDEX('OneCause_Paste'!$A$2016:$AZ$2016,1,OC_Donor)))</f>
        <v/>
      </c>
    </row>
    <row r="2017">
      <c r="A2017" s="62">
        <f>IF(H2017="","",IF(ISNUMBER(N2017),N2017,I2017))</f>
        <v/>
      </c>
      <c r="B2017">
        <f>IF(H2017="","",U2017)</f>
        <v/>
      </c>
      <c r="C2017">
        <f>IF(H2017="","",IF(P2017="",K2017,INDEX('Students'!$A$2:$A$701,P2017)))</f>
        <v/>
      </c>
      <c r="D2017">
        <f>IF(OR(H2017="",P2017=""),"",INDEX('Students'!$B$2:$B$701,P2017))</f>
        <v/>
      </c>
      <c r="E2017">
        <f>IF(OR(H2017="",P2017=""),"",INDEX('Students'!$C$2:$C$701,P2017))</f>
        <v/>
      </c>
      <c r="F2017" s="48">
        <f>IF(H2017="","",IF(ISNUMBER(O2017),O2017,J2017))</f>
        <v/>
      </c>
      <c r="G2017">
        <f>IF(H2017="","","OneCause")</f>
        <v/>
      </c>
      <c r="H2017">
        <f>IF(AND(I2017="",J2017="",K2017=""),"",IF(NOT(ISNUMBER(O2017)),"Bad amount",IF(O2017&lt;0,"Refund (not counted)",IF(O2017=0,"Zero amount",IF(NOT(ISNUMBER(N2017)),"Bad date",IF(P2017="","NAME NOT ON ROSTER",IF(L2017="","OK",IF(MATCH(L2017,$L$2:$L$3001,0)&lt;ROW()-1,"Duplicate (ignored)","OK"))))))))</f>
        <v/>
      </c>
      <c r="I2017">
        <f>IF(OC_Date=0,"",IF(INDEX('OneCause_Paste'!$A$2017:$AZ$2017,1,OC_Date)="","",INDEX('OneCause_Paste'!$A$2017:$AZ$2017,1,OC_Date)))</f>
        <v/>
      </c>
      <c r="J2017">
        <f>IF(OC_Amt=0,"",IF(INDEX('OneCause_Paste'!$A$2017:$AZ$2017,1,OC_Amt)="","",INDEX('OneCause_Paste'!$A$2017:$AZ$2017,1,OC_Amt)))</f>
        <v/>
      </c>
      <c r="K2017">
        <f>IF(OC_Name=0,"",IF(INDEX('OneCause_Paste'!$A$2017:$AZ$2017,1,OC_Name)="","",INDEX('OneCause_Paste'!$A$2017:$AZ$2017,1,OC_Name)))</f>
        <v/>
      </c>
      <c r="L2017">
        <f>IF(OC_Txn=0,"",IF(INDEX('OneCause_Paste'!$A$2017:$AZ$2017,1,OC_Txn)="","",INDEX('OneCause_Paste'!$A$2017:$AZ$2017,1,OC_Txn)))</f>
        <v/>
      </c>
      <c r="M2017">
        <f>IF(OC_Pay=0,"",IF(INDEX('OneCause_Paste'!$A$2017:$AZ$2017,1,OC_Pay)="","",INDEX('OneCause_Paste'!$A$2017:$AZ$2017,1,OC_Pay)))</f>
        <v/>
      </c>
      <c r="N2017">
        <f>IF(I2017="","",IF(ISNUMBER(I2017),INT(I2017),IFERROR(INT(DATEVALUE(I2017)),IFERROR(INT(VALUE(I2017)),"bad"))))</f>
        <v/>
      </c>
      <c r="O2017">
        <f>IF(J2017="","",IF(ISNUMBER(J2017),ROUND(J2017,2),IFERROR(ROUND(VALUE(SUBSTITUTE(SUBSTITUTE(SUBSTITUTE(J2017,"$",""),",","")," ","")),2),"bad")))</f>
        <v/>
      </c>
      <c r="P2017">
        <f>IF(TRIM(K2017)="","",IFERROR(MATCH(LOWER(TRIM(K2017)),'Students'!$AH$2:$AH$701,0),IFERROR(MATCH(LOWER(TRIM(K2017)),'Students'!$AF$2:$AF$701,0),IFERROR(MATCH(LOWER(TRIM(K2017)),'Students'!$AG$2:$AG$701,0),""))))</f>
        <v/>
      </c>
      <c r="R2017">
        <f>IF(P2017="","",INDEX('Students'!$AD$2:$AD$701,P2017))</f>
        <v/>
      </c>
      <c r="S2017">
        <f>IF(H2017="OK",O2017,0)</f>
        <v/>
      </c>
      <c r="T2017">
        <f>IF(H2017="OK",N2017,"")</f>
        <v/>
      </c>
      <c r="U2017">
        <f>IF(OC_Donor=0,"",IF(INDEX('OneCause_Paste'!$A$2017:$AZ$2017,1,OC_Donor)="","",INDEX('OneCause_Paste'!$A$2017:$AZ$2017,1,OC_Donor)))</f>
        <v/>
      </c>
    </row>
    <row r="2018">
      <c r="A2018" s="62">
        <f>IF(H2018="","",IF(ISNUMBER(N2018),N2018,I2018))</f>
        <v/>
      </c>
      <c r="B2018">
        <f>IF(H2018="","",U2018)</f>
        <v/>
      </c>
      <c r="C2018">
        <f>IF(H2018="","",IF(P2018="",K2018,INDEX('Students'!$A$2:$A$701,P2018)))</f>
        <v/>
      </c>
      <c r="D2018">
        <f>IF(OR(H2018="",P2018=""),"",INDEX('Students'!$B$2:$B$701,P2018))</f>
        <v/>
      </c>
      <c r="E2018">
        <f>IF(OR(H2018="",P2018=""),"",INDEX('Students'!$C$2:$C$701,P2018))</f>
        <v/>
      </c>
      <c r="F2018" s="48">
        <f>IF(H2018="","",IF(ISNUMBER(O2018),O2018,J2018))</f>
        <v/>
      </c>
      <c r="G2018">
        <f>IF(H2018="","","OneCause")</f>
        <v/>
      </c>
      <c r="H2018">
        <f>IF(AND(I2018="",J2018="",K2018=""),"",IF(NOT(ISNUMBER(O2018)),"Bad amount",IF(O2018&lt;0,"Refund (not counted)",IF(O2018=0,"Zero amount",IF(NOT(ISNUMBER(N2018)),"Bad date",IF(P2018="","NAME NOT ON ROSTER",IF(L2018="","OK",IF(MATCH(L2018,$L$2:$L$3001,0)&lt;ROW()-1,"Duplicate (ignored)","OK"))))))))</f>
        <v/>
      </c>
      <c r="I2018">
        <f>IF(OC_Date=0,"",IF(INDEX('OneCause_Paste'!$A$2018:$AZ$2018,1,OC_Date)="","",INDEX('OneCause_Paste'!$A$2018:$AZ$2018,1,OC_Date)))</f>
        <v/>
      </c>
      <c r="J2018">
        <f>IF(OC_Amt=0,"",IF(INDEX('OneCause_Paste'!$A$2018:$AZ$2018,1,OC_Amt)="","",INDEX('OneCause_Paste'!$A$2018:$AZ$2018,1,OC_Amt)))</f>
        <v/>
      </c>
      <c r="K2018">
        <f>IF(OC_Name=0,"",IF(INDEX('OneCause_Paste'!$A$2018:$AZ$2018,1,OC_Name)="","",INDEX('OneCause_Paste'!$A$2018:$AZ$2018,1,OC_Name)))</f>
        <v/>
      </c>
      <c r="L2018">
        <f>IF(OC_Txn=0,"",IF(INDEX('OneCause_Paste'!$A$2018:$AZ$2018,1,OC_Txn)="","",INDEX('OneCause_Paste'!$A$2018:$AZ$2018,1,OC_Txn)))</f>
        <v/>
      </c>
      <c r="M2018">
        <f>IF(OC_Pay=0,"",IF(INDEX('OneCause_Paste'!$A$2018:$AZ$2018,1,OC_Pay)="","",INDEX('OneCause_Paste'!$A$2018:$AZ$2018,1,OC_Pay)))</f>
        <v/>
      </c>
      <c r="N2018">
        <f>IF(I2018="","",IF(ISNUMBER(I2018),INT(I2018),IFERROR(INT(DATEVALUE(I2018)),IFERROR(INT(VALUE(I2018)),"bad"))))</f>
        <v/>
      </c>
      <c r="O2018">
        <f>IF(J2018="","",IF(ISNUMBER(J2018),ROUND(J2018,2),IFERROR(ROUND(VALUE(SUBSTITUTE(SUBSTITUTE(SUBSTITUTE(J2018,"$",""),",","")," ","")),2),"bad")))</f>
        <v/>
      </c>
      <c r="P2018">
        <f>IF(TRIM(K2018)="","",IFERROR(MATCH(LOWER(TRIM(K2018)),'Students'!$AH$2:$AH$701,0),IFERROR(MATCH(LOWER(TRIM(K2018)),'Students'!$AF$2:$AF$701,0),IFERROR(MATCH(LOWER(TRIM(K2018)),'Students'!$AG$2:$AG$701,0),""))))</f>
        <v/>
      </c>
      <c r="R2018">
        <f>IF(P2018="","",INDEX('Students'!$AD$2:$AD$701,P2018))</f>
        <v/>
      </c>
      <c r="S2018">
        <f>IF(H2018="OK",O2018,0)</f>
        <v/>
      </c>
      <c r="T2018">
        <f>IF(H2018="OK",N2018,"")</f>
        <v/>
      </c>
      <c r="U2018">
        <f>IF(OC_Donor=0,"",IF(INDEX('OneCause_Paste'!$A$2018:$AZ$2018,1,OC_Donor)="","",INDEX('OneCause_Paste'!$A$2018:$AZ$2018,1,OC_Donor)))</f>
        <v/>
      </c>
    </row>
    <row r="2019">
      <c r="A2019" s="62">
        <f>IF(H2019="","",IF(ISNUMBER(N2019),N2019,I2019))</f>
        <v/>
      </c>
      <c r="B2019">
        <f>IF(H2019="","",U2019)</f>
        <v/>
      </c>
      <c r="C2019">
        <f>IF(H2019="","",IF(P2019="",K2019,INDEX('Students'!$A$2:$A$701,P2019)))</f>
        <v/>
      </c>
      <c r="D2019">
        <f>IF(OR(H2019="",P2019=""),"",INDEX('Students'!$B$2:$B$701,P2019))</f>
        <v/>
      </c>
      <c r="E2019">
        <f>IF(OR(H2019="",P2019=""),"",INDEX('Students'!$C$2:$C$701,P2019))</f>
        <v/>
      </c>
      <c r="F2019" s="48">
        <f>IF(H2019="","",IF(ISNUMBER(O2019),O2019,J2019))</f>
        <v/>
      </c>
      <c r="G2019">
        <f>IF(H2019="","","OneCause")</f>
        <v/>
      </c>
      <c r="H2019">
        <f>IF(AND(I2019="",J2019="",K2019=""),"",IF(NOT(ISNUMBER(O2019)),"Bad amount",IF(O2019&lt;0,"Refund (not counted)",IF(O2019=0,"Zero amount",IF(NOT(ISNUMBER(N2019)),"Bad date",IF(P2019="","NAME NOT ON ROSTER",IF(L2019="","OK",IF(MATCH(L2019,$L$2:$L$3001,0)&lt;ROW()-1,"Duplicate (ignored)","OK"))))))))</f>
        <v/>
      </c>
      <c r="I2019">
        <f>IF(OC_Date=0,"",IF(INDEX('OneCause_Paste'!$A$2019:$AZ$2019,1,OC_Date)="","",INDEX('OneCause_Paste'!$A$2019:$AZ$2019,1,OC_Date)))</f>
        <v/>
      </c>
      <c r="J2019">
        <f>IF(OC_Amt=0,"",IF(INDEX('OneCause_Paste'!$A$2019:$AZ$2019,1,OC_Amt)="","",INDEX('OneCause_Paste'!$A$2019:$AZ$2019,1,OC_Amt)))</f>
        <v/>
      </c>
      <c r="K2019">
        <f>IF(OC_Name=0,"",IF(INDEX('OneCause_Paste'!$A$2019:$AZ$2019,1,OC_Name)="","",INDEX('OneCause_Paste'!$A$2019:$AZ$2019,1,OC_Name)))</f>
        <v/>
      </c>
      <c r="L2019">
        <f>IF(OC_Txn=0,"",IF(INDEX('OneCause_Paste'!$A$2019:$AZ$2019,1,OC_Txn)="","",INDEX('OneCause_Paste'!$A$2019:$AZ$2019,1,OC_Txn)))</f>
        <v/>
      </c>
      <c r="M2019">
        <f>IF(OC_Pay=0,"",IF(INDEX('OneCause_Paste'!$A$2019:$AZ$2019,1,OC_Pay)="","",INDEX('OneCause_Paste'!$A$2019:$AZ$2019,1,OC_Pay)))</f>
        <v/>
      </c>
      <c r="N2019">
        <f>IF(I2019="","",IF(ISNUMBER(I2019),INT(I2019),IFERROR(INT(DATEVALUE(I2019)),IFERROR(INT(VALUE(I2019)),"bad"))))</f>
        <v/>
      </c>
      <c r="O2019">
        <f>IF(J2019="","",IF(ISNUMBER(J2019),ROUND(J2019,2),IFERROR(ROUND(VALUE(SUBSTITUTE(SUBSTITUTE(SUBSTITUTE(J2019,"$",""),",","")," ","")),2),"bad")))</f>
        <v/>
      </c>
      <c r="P2019">
        <f>IF(TRIM(K2019)="","",IFERROR(MATCH(LOWER(TRIM(K2019)),'Students'!$AH$2:$AH$701,0),IFERROR(MATCH(LOWER(TRIM(K2019)),'Students'!$AF$2:$AF$701,0),IFERROR(MATCH(LOWER(TRIM(K2019)),'Students'!$AG$2:$AG$701,0),""))))</f>
        <v/>
      </c>
      <c r="R2019">
        <f>IF(P2019="","",INDEX('Students'!$AD$2:$AD$701,P2019))</f>
        <v/>
      </c>
      <c r="S2019">
        <f>IF(H2019="OK",O2019,0)</f>
        <v/>
      </c>
      <c r="T2019">
        <f>IF(H2019="OK",N2019,"")</f>
        <v/>
      </c>
      <c r="U2019">
        <f>IF(OC_Donor=0,"",IF(INDEX('OneCause_Paste'!$A$2019:$AZ$2019,1,OC_Donor)="","",INDEX('OneCause_Paste'!$A$2019:$AZ$2019,1,OC_Donor)))</f>
        <v/>
      </c>
    </row>
    <row r="2020">
      <c r="A2020" s="62">
        <f>IF(H2020="","",IF(ISNUMBER(N2020),N2020,I2020))</f>
        <v/>
      </c>
      <c r="B2020">
        <f>IF(H2020="","",U2020)</f>
        <v/>
      </c>
      <c r="C2020">
        <f>IF(H2020="","",IF(P2020="",K2020,INDEX('Students'!$A$2:$A$701,P2020)))</f>
        <v/>
      </c>
      <c r="D2020">
        <f>IF(OR(H2020="",P2020=""),"",INDEX('Students'!$B$2:$B$701,P2020))</f>
        <v/>
      </c>
      <c r="E2020">
        <f>IF(OR(H2020="",P2020=""),"",INDEX('Students'!$C$2:$C$701,P2020))</f>
        <v/>
      </c>
      <c r="F2020" s="48">
        <f>IF(H2020="","",IF(ISNUMBER(O2020),O2020,J2020))</f>
        <v/>
      </c>
      <c r="G2020">
        <f>IF(H2020="","","OneCause")</f>
        <v/>
      </c>
      <c r="H2020">
        <f>IF(AND(I2020="",J2020="",K2020=""),"",IF(NOT(ISNUMBER(O2020)),"Bad amount",IF(O2020&lt;0,"Refund (not counted)",IF(O2020=0,"Zero amount",IF(NOT(ISNUMBER(N2020)),"Bad date",IF(P2020="","NAME NOT ON ROSTER",IF(L2020="","OK",IF(MATCH(L2020,$L$2:$L$3001,0)&lt;ROW()-1,"Duplicate (ignored)","OK"))))))))</f>
        <v/>
      </c>
      <c r="I2020">
        <f>IF(OC_Date=0,"",IF(INDEX('OneCause_Paste'!$A$2020:$AZ$2020,1,OC_Date)="","",INDEX('OneCause_Paste'!$A$2020:$AZ$2020,1,OC_Date)))</f>
        <v/>
      </c>
      <c r="J2020">
        <f>IF(OC_Amt=0,"",IF(INDEX('OneCause_Paste'!$A$2020:$AZ$2020,1,OC_Amt)="","",INDEX('OneCause_Paste'!$A$2020:$AZ$2020,1,OC_Amt)))</f>
        <v/>
      </c>
      <c r="K2020">
        <f>IF(OC_Name=0,"",IF(INDEX('OneCause_Paste'!$A$2020:$AZ$2020,1,OC_Name)="","",INDEX('OneCause_Paste'!$A$2020:$AZ$2020,1,OC_Name)))</f>
        <v/>
      </c>
      <c r="L2020">
        <f>IF(OC_Txn=0,"",IF(INDEX('OneCause_Paste'!$A$2020:$AZ$2020,1,OC_Txn)="","",INDEX('OneCause_Paste'!$A$2020:$AZ$2020,1,OC_Txn)))</f>
        <v/>
      </c>
      <c r="M2020">
        <f>IF(OC_Pay=0,"",IF(INDEX('OneCause_Paste'!$A$2020:$AZ$2020,1,OC_Pay)="","",INDEX('OneCause_Paste'!$A$2020:$AZ$2020,1,OC_Pay)))</f>
        <v/>
      </c>
      <c r="N2020">
        <f>IF(I2020="","",IF(ISNUMBER(I2020),INT(I2020),IFERROR(INT(DATEVALUE(I2020)),IFERROR(INT(VALUE(I2020)),"bad"))))</f>
        <v/>
      </c>
      <c r="O2020">
        <f>IF(J2020="","",IF(ISNUMBER(J2020),ROUND(J2020,2),IFERROR(ROUND(VALUE(SUBSTITUTE(SUBSTITUTE(SUBSTITUTE(J2020,"$",""),",","")," ","")),2),"bad")))</f>
        <v/>
      </c>
      <c r="P2020">
        <f>IF(TRIM(K2020)="","",IFERROR(MATCH(LOWER(TRIM(K2020)),'Students'!$AH$2:$AH$701,0),IFERROR(MATCH(LOWER(TRIM(K2020)),'Students'!$AF$2:$AF$701,0),IFERROR(MATCH(LOWER(TRIM(K2020)),'Students'!$AG$2:$AG$701,0),""))))</f>
        <v/>
      </c>
      <c r="R2020">
        <f>IF(P2020="","",INDEX('Students'!$AD$2:$AD$701,P2020))</f>
        <v/>
      </c>
      <c r="S2020">
        <f>IF(H2020="OK",O2020,0)</f>
        <v/>
      </c>
      <c r="T2020">
        <f>IF(H2020="OK",N2020,"")</f>
        <v/>
      </c>
      <c r="U2020">
        <f>IF(OC_Donor=0,"",IF(INDEX('OneCause_Paste'!$A$2020:$AZ$2020,1,OC_Donor)="","",INDEX('OneCause_Paste'!$A$2020:$AZ$2020,1,OC_Donor)))</f>
        <v/>
      </c>
    </row>
    <row r="2021">
      <c r="A2021" s="62">
        <f>IF(H2021="","",IF(ISNUMBER(N2021),N2021,I2021))</f>
        <v/>
      </c>
      <c r="B2021">
        <f>IF(H2021="","",U2021)</f>
        <v/>
      </c>
      <c r="C2021">
        <f>IF(H2021="","",IF(P2021="",K2021,INDEX('Students'!$A$2:$A$701,P2021)))</f>
        <v/>
      </c>
      <c r="D2021">
        <f>IF(OR(H2021="",P2021=""),"",INDEX('Students'!$B$2:$B$701,P2021))</f>
        <v/>
      </c>
      <c r="E2021">
        <f>IF(OR(H2021="",P2021=""),"",INDEX('Students'!$C$2:$C$701,P2021))</f>
        <v/>
      </c>
      <c r="F2021" s="48">
        <f>IF(H2021="","",IF(ISNUMBER(O2021),O2021,J2021))</f>
        <v/>
      </c>
      <c r="G2021">
        <f>IF(H2021="","","OneCause")</f>
        <v/>
      </c>
      <c r="H2021">
        <f>IF(AND(I2021="",J2021="",K2021=""),"",IF(NOT(ISNUMBER(O2021)),"Bad amount",IF(O2021&lt;0,"Refund (not counted)",IF(O2021=0,"Zero amount",IF(NOT(ISNUMBER(N2021)),"Bad date",IF(P2021="","NAME NOT ON ROSTER",IF(L2021="","OK",IF(MATCH(L2021,$L$2:$L$3001,0)&lt;ROW()-1,"Duplicate (ignored)","OK"))))))))</f>
        <v/>
      </c>
      <c r="I2021">
        <f>IF(OC_Date=0,"",IF(INDEX('OneCause_Paste'!$A$2021:$AZ$2021,1,OC_Date)="","",INDEX('OneCause_Paste'!$A$2021:$AZ$2021,1,OC_Date)))</f>
        <v/>
      </c>
      <c r="J2021">
        <f>IF(OC_Amt=0,"",IF(INDEX('OneCause_Paste'!$A$2021:$AZ$2021,1,OC_Amt)="","",INDEX('OneCause_Paste'!$A$2021:$AZ$2021,1,OC_Amt)))</f>
        <v/>
      </c>
      <c r="K2021">
        <f>IF(OC_Name=0,"",IF(INDEX('OneCause_Paste'!$A$2021:$AZ$2021,1,OC_Name)="","",INDEX('OneCause_Paste'!$A$2021:$AZ$2021,1,OC_Name)))</f>
        <v/>
      </c>
      <c r="L2021">
        <f>IF(OC_Txn=0,"",IF(INDEX('OneCause_Paste'!$A$2021:$AZ$2021,1,OC_Txn)="","",INDEX('OneCause_Paste'!$A$2021:$AZ$2021,1,OC_Txn)))</f>
        <v/>
      </c>
      <c r="M2021">
        <f>IF(OC_Pay=0,"",IF(INDEX('OneCause_Paste'!$A$2021:$AZ$2021,1,OC_Pay)="","",INDEX('OneCause_Paste'!$A$2021:$AZ$2021,1,OC_Pay)))</f>
        <v/>
      </c>
      <c r="N2021">
        <f>IF(I2021="","",IF(ISNUMBER(I2021),INT(I2021),IFERROR(INT(DATEVALUE(I2021)),IFERROR(INT(VALUE(I2021)),"bad"))))</f>
        <v/>
      </c>
      <c r="O2021">
        <f>IF(J2021="","",IF(ISNUMBER(J2021),ROUND(J2021,2),IFERROR(ROUND(VALUE(SUBSTITUTE(SUBSTITUTE(SUBSTITUTE(J2021,"$",""),",","")," ","")),2),"bad")))</f>
        <v/>
      </c>
      <c r="P2021">
        <f>IF(TRIM(K2021)="","",IFERROR(MATCH(LOWER(TRIM(K2021)),'Students'!$AH$2:$AH$701,0),IFERROR(MATCH(LOWER(TRIM(K2021)),'Students'!$AF$2:$AF$701,0),IFERROR(MATCH(LOWER(TRIM(K2021)),'Students'!$AG$2:$AG$701,0),""))))</f>
        <v/>
      </c>
      <c r="R2021">
        <f>IF(P2021="","",INDEX('Students'!$AD$2:$AD$701,P2021))</f>
        <v/>
      </c>
      <c r="S2021">
        <f>IF(H2021="OK",O2021,0)</f>
        <v/>
      </c>
      <c r="T2021">
        <f>IF(H2021="OK",N2021,"")</f>
        <v/>
      </c>
      <c r="U2021">
        <f>IF(OC_Donor=0,"",IF(INDEX('OneCause_Paste'!$A$2021:$AZ$2021,1,OC_Donor)="","",INDEX('OneCause_Paste'!$A$2021:$AZ$2021,1,OC_Donor)))</f>
        <v/>
      </c>
    </row>
    <row r="2022">
      <c r="A2022" s="62">
        <f>IF(H2022="","",IF(ISNUMBER(N2022),N2022,I2022))</f>
        <v/>
      </c>
      <c r="B2022">
        <f>IF(H2022="","",U2022)</f>
        <v/>
      </c>
      <c r="C2022">
        <f>IF(H2022="","",IF(P2022="",K2022,INDEX('Students'!$A$2:$A$701,P2022)))</f>
        <v/>
      </c>
      <c r="D2022">
        <f>IF(OR(H2022="",P2022=""),"",INDEX('Students'!$B$2:$B$701,P2022))</f>
        <v/>
      </c>
      <c r="E2022">
        <f>IF(OR(H2022="",P2022=""),"",INDEX('Students'!$C$2:$C$701,P2022))</f>
        <v/>
      </c>
      <c r="F2022" s="48">
        <f>IF(H2022="","",IF(ISNUMBER(O2022),O2022,J2022))</f>
        <v/>
      </c>
      <c r="G2022">
        <f>IF(H2022="","","OneCause")</f>
        <v/>
      </c>
      <c r="H2022">
        <f>IF(AND(I2022="",J2022="",K2022=""),"",IF(NOT(ISNUMBER(O2022)),"Bad amount",IF(O2022&lt;0,"Refund (not counted)",IF(O2022=0,"Zero amount",IF(NOT(ISNUMBER(N2022)),"Bad date",IF(P2022="","NAME NOT ON ROSTER",IF(L2022="","OK",IF(MATCH(L2022,$L$2:$L$3001,0)&lt;ROW()-1,"Duplicate (ignored)","OK"))))))))</f>
        <v/>
      </c>
      <c r="I2022">
        <f>IF(OC_Date=0,"",IF(INDEX('OneCause_Paste'!$A$2022:$AZ$2022,1,OC_Date)="","",INDEX('OneCause_Paste'!$A$2022:$AZ$2022,1,OC_Date)))</f>
        <v/>
      </c>
      <c r="J2022">
        <f>IF(OC_Amt=0,"",IF(INDEX('OneCause_Paste'!$A$2022:$AZ$2022,1,OC_Amt)="","",INDEX('OneCause_Paste'!$A$2022:$AZ$2022,1,OC_Amt)))</f>
        <v/>
      </c>
      <c r="K2022">
        <f>IF(OC_Name=0,"",IF(INDEX('OneCause_Paste'!$A$2022:$AZ$2022,1,OC_Name)="","",INDEX('OneCause_Paste'!$A$2022:$AZ$2022,1,OC_Name)))</f>
        <v/>
      </c>
      <c r="L2022">
        <f>IF(OC_Txn=0,"",IF(INDEX('OneCause_Paste'!$A$2022:$AZ$2022,1,OC_Txn)="","",INDEX('OneCause_Paste'!$A$2022:$AZ$2022,1,OC_Txn)))</f>
        <v/>
      </c>
      <c r="M2022">
        <f>IF(OC_Pay=0,"",IF(INDEX('OneCause_Paste'!$A$2022:$AZ$2022,1,OC_Pay)="","",INDEX('OneCause_Paste'!$A$2022:$AZ$2022,1,OC_Pay)))</f>
        <v/>
      </c>
      <c r="N2022">
        <f>IF(I2022="","",IF(ISNUMBER(I2022),INT(I2022),IFERROR(INT(DATEVALUE(I2022)),IFERROR(INT(VALUE(I2022)),"bad"))))</f>
        <v/>
      </c>
      <c r="O2022">
        <f>IF(J2022="","",IF(ISNUMBER(J2022),ROUND(J2022,2),IFERROR(ROUND(VALUE(SUBSTITUTE(SUBSTITUTE(SUBSTITUTE(J2022,"$",""),",","")," ","")),2),"bad")))</f>
        <v/>
      </c>
      <c r="P2022">
        <f>IF(TRIM(K2022)="","",IFERROR(MATCH(LOWER(TRIM(K2022)),'Students'!$AH$2:$AH$701,0),IFERROR(MATCH(LOWER(TRIM(K2022)),'Students'!$AF$2:$AF$701,0),IFERROR(MATCH(LOWER(TRIM(K2022)),'Students'!$AG$2:$AG$701,0),""))))</f>
        <v/>
      </c>
      <c r="R2022">
        <f>IF(P2022="","",INDEX('Students'!$AD$2:$AD$701,P2022))</f>
        <v/>
      </c>
      <c r="S2022">
        <f>IF(H2022="OK",O2022,0)</f>
        <v/>
      </c>
      <c r="T2022">
        <f>IF(H2022="OK",N2022,"")</f>
        <v/>
      </c>
      <c r="U2022">
        <f>IF(OC_Donor=0,"",IF(INDEX('OneCause_Paste'!$A$2022:$AZ$2022,1,OC_Donor)="","",INDEX('OneCause_Paste'!$A$2022:$AZ$2022,1,OC_Donor)))</f>
        <v/>
      </c>
    </row>
    <row r="2023">
      <c r="A2023" s="62">
        <f>IF(H2023="","",IF(ISNUMBER(N2023),N2023,I2023))</f>
        <v/>
      </c>
      <c r="B2023">
        <f>IF(H2023="","",U2023)</f>
        <v/>
      </c>
      <c r="C2023">
        <f>IF(H2023="","",IF(P2023="",K2023,INDEX('Students'!$A$2:$A$701,P2023)))</f>
        <v/>
      </c>
      <c r="D2023">
        <f>IF(OR(H2023="",P2023=""),"",INDEX('Students'!$B$2:$B$701,P2023))</f>
        <v/>
      </c>
      <c r="E2023">
        <f>IF(OR(H2023="",P2023=""),"",INDEX('Students'!$C$2:$C$701,P2023))</f>
        <v/>
      </c>
      <c r="F2023" s="48">
        <f>IF(H2023="","",IF(ISNUMBER(O2023),O2023,J2023))</f>
        <v/>
      </c>
      <c r="G2023">
        <f>IF(H2023="","","OneCause")</f>
        <v/>
      </c>
      <c r="H2023">
        <f>IF(AND(I2023="",J2023="",K2023=""),"",IF(NOT(ISNUMBER(O2023)),"Bad amount",IF(O2023&lt;0,"Refund (not counted)",IF(O2023=0,"Zero amount",IF(NOT(ISNUMBER(N2023)),"Bad date",IF(P2023="","NAME NOT ON ROSTER",IF(L2023="","OK",IF(MATCH(L2023,$L$2:$L$3001,0)&lt;ROW()-1,"Duplicate (ignored)","OK"))))))))</f>
        <v/>
      </c>
      <c r="I2023">
        <f>IF(OC_Date=0,"",IF(INDEX('OneCause_Paste'!$A$2023:$AZ$2023,1,OC_Date)="","",INDEX('OneCause_Paste'!$A$2023:$AZ$2023,1,OC_Date)))</f>
        <v/>
      </c>
      <c r="J2023">
        <f>IF(OC_Amt=0,"",IF(INDEX('OneCause_Paste'!$A$2023:$AZ$2023,1,OC_Amt)="","",INDEX('OneCause_Paste'!$A$2023:$AZ$2023,1,OC_Amt)))</f>
        <v/>
      </c>
      <c r="K2023">
        <f>IF(OC_Name=0,"",IF(INDEX('OneCause_Paste'!$A$2023:$AZ$2023,1,OC_Name)="","",INDEX('OneCause_Paste'!$A$2023:$AZ$2023,1,OC_Name)))</f>
        <v/>
      </c>
      <c r="L2023">
        <f>IF(OC_Txn=0,"",IF(INDEX('OneCause_Paste'!$A$2023:$AZ$2023,1,OC_Txn)="","",INDEX('OneCause_Paste'!$A$2023:$AZ$2023,1,OC_Txn)))</f>
        <v/>
      </c>
      <c r="M2023">
        <f>IF(OC_Pay=0,"",IF(INDEX('OneCause_Paste'!$A$2023:$AZ$2023,1,OC_Pay)="","",INDEX('OneCause_Paste'!$A$2023:$AZ$2023,1,OC_Pay)))</f>
        <v/>
      </c>
      <c r="N2023">
        <f>IF(I2023="","",IF(ISNUMBER(I2023),INT(I2023),IFERROR(INT(DATEVALUE(I2023)),IFERROR(INT(VALUE(I2023)),"bad"))))</f>
        <v/>
      </c>
      <c r="O2023">
        <f>IF(J2023="","",IF(ISNUMBER(J2023),ROUND(J2023,2),IFERROR(ROUND(VALUE(SUBSTITUTE(SUBSTITUTE(SUBSTITUTE(J2023,"$",""),",","")," ","")),2),"bad")))</f>
        <v/>
      </c>
      <c r="P2023">
        <f>IF(TRIM(K2023)="","",IFERROR(MATCH(LOWER(TRIM(K2023)),'Students'!$AH$2:$AH$701,0),IFERROR(MATCH(LOWER(TRIM(K2023)),'Students'!$AF$2:$AF$701,0),IFERROR(MATCH(LOWER(TRIM(K2023)),'Students'!$AG$2:$AG$701,0),""))))</f>
        <v/>
      </c>
      <c r="R2023">
        <f>IF(P2023="","",INDEX('Students'!$AD$2:$AD$701,P2023))</f>
        <v/>
      </c>
      <c r="S2023">
        <f>IF(H2023="OK",O2023,0)</f>
        <v/>
      </c>
      <c r="T2023">
        <f>IF(H2023="OK",N2023,"")</f>
        <v/>
      </c>
      <c r="U2023">
        <f>IF(OC_Donor=0,"",IF(INDEX('OneCause_Paste'!$A$2023:$AZ$2023,1,OC_Donor)="","",INDEX('OneCause_Paste'!$A$2023:$AZ$2023,1,OC_Donor)))</f>
        <v/>
      </c>
    </row>
    <row r="2024">
      <c r="A2024" s="62">
        <f>IF(H2024="","",IF(ISNUMBER(N2024),N2024,I2024))</f>
        <v/>
      </c>
      <c r="B2024">
        <f>IF(H2024="","",U2024)</f>
        <v/>
      </c>
      <c r="C2024">
        <f>IF(H2024="","",IF(P2024="",K2024,INDEX('Students'!$A$2:$A$701,P2024)))</f>
        <v/>
      </c>
      <c r="D2024">
        <f>IF(OR(H2024="",P2024=""),"",INDEX('Students'!$B$2:$B$701,P2024))</f>
        <v/>
      </c>
      <c r="E2024">
        <f>IF(OR(H2024="",P2024=""),"",INDEX('Students'!$C$2:$C$701,P2024))</f>
        <v/>
      </c>
      <c r="F2024" s="48">
        <f>IF(H2024="","",IF(ISNUMBER(O2024),O2024,J2024))</f>
        <v/>
      </c>
      <c r="G2024">
        <f>IF(H2024="","","OneCause")</f>
        <v/>
      </c>
      <c r="H2024">
        <f>IF(AND(I2024="",J2024="",K2024=""),"",IF(NOT(ISNUMBER(O2024)),"Bad amount",IF(O2024&lt;0,"Refund (not counted)",IF(O2024=0,"Zero amount",IF(NOT(ISNUMBER(N2024)),"Bad date",IF(P2024="","NAME NOT ON ROSTER",IF(L2024="","OK",IF(MATCH(L2024,$L$2:$L$3001,0)&lt;ROW()-1,"Duplicate (ignored)","OK"))))))))</f>
        <v/>
      </c>
      <c r="I2024">
        <f>IF(OC_Date=0,"",IF(INDEX('OneCause_Paste'!$A$2024:$AZ$2024,1,OC_Date)="","",INDEX('OneCause_Paste'!$A$2024:$AZ$2024,1,OC_Date)))</f>
        <v/>
      </c>
      <c r="J2024">
        <f>IF(OC_Amt=0,"",IF(INDEX('OneCause_Paste'!$A$2024:$AZ$2024,1,OC_Amt)="","",INDEX('OneCause_Paste'!$A$2024:$AZ$2024,1,OC_Amt)))</f>
        <v/>
      </c>
      <c r="K2024">
        <f>IF(OC_Name=0,"",IF(INDEX('OneCause_Paste'!$A$2024:$AZ$2024,1,OC_Name)="","",INDEX('OneCause_Paste'!$A$2024:$AZ$2024,1,OC_Name)))</f>
        <v/>
      </c>
      <c r="L2024">
        <f>IF(OC_Txn=0,"",IF(INDEX('OneCause_Paste'!$A$2024:$AZ$2024,1,OC_Txn)="","",INDEX('OneCause_Paste'!$A$2024:$AZ$2024,1,OC_Txn)))</f>
        <v/>
      </c>
      <c r="M2024">
        <f>IF(OC_Pay=0,"",IF(INDEX('OneCause_Paste'!$A$2024:$AZ$2024,1,OC_Pay)="","",INDEX('OneCause_Paste'!$A$2024:$AZ$2024,1,OC_Pay)))</f>
        <v/>
      </c>
      <c r="N2024">
        <f>IF(I2024="","",IF(ISNUMBER(I2024),INT(I2024),IFERROR(INT(DATEVALUE(I2024)),IFERROR(INT(VALUE(I2024)),"bad"))))</f>
        <v/>
      </c>
      <c r="O2024">
        <f>IF(J2024="","",IF(ISNUMBER(J2024),ROUND(J2024,2),IFERROR(ROUND(VALUE(SUBSTITUTE(SUBSTITUTE(SUBSTITUTE(J2024,"$",""),",","")," ","")),2),"bad")))</f>
        <v/>
      </c>
      <c r="P2024">
        <f>IF(TRIM(K2024)="","",IFERROR(MATCH(LOWER(TRIM(K2024)),'Students'!$AH$2:$AH$701,0),IFERROR(MATCH(LOWER(TRIM(K2024)),'Students'!$AF$2:$AF$701,0),IFERROR(MATCH(LOWER(TRIM(K2024)),'Students'!$AG$2:$AG$701,0),""))))</f>
        <v/>
      </c>
      <c r="R2024">
        <f>IF(P2024="","",INDEX('Students'!$AD$2:$AD$701,P2024))</f>
        <v/>
      </c>
      <c r="S2024">
        <f>IF(H2024="OK",O2024,0)</f>
        <v/>
      </c>
      <c r="T2024">
        <f>IF(H2024="OK",N2024,"")</f>
        <v/>
      </c>
      <c r="U2024">
        <f>IF(OC_Donor=0,"",IF(INDEX('OneCause_Paste'!$A$2024:$AZ$2024,1,OC_Donor)="","",INDEX('OneCause_Paste'!$A$2024:$AZ$2024,1,OC_Donor)))</f>
        <v/>
      </c>
    </row>
    <row r="2025">
      <c r="A2025" s="62">
        <f>IF(H2025="","",IF(ISNUMBER(N2025),N2025,I2025))</f>
        <v/>
      </c>
      <c r="B2025">
        <f>IF(H2025="","",U2025)</f>
        <v/>
      </c>
      <c r="C2025">
        <f>IF(H2025="","",IF(P2025="",K2025,INDEX('Students'!$A$2:$A$701,P2025)))</f>
        <v/>
      </c>
      <c r="D2025">
        <f>IF(OR(H2025="",P2025=""),"",INDEX('Students'!$B$2:$B$701,P2025))</f>
        <v/>
      </c>
      <c r="E2025">
        <f>IF(OR(H2025="",P2025=""),"",INDEX('Students'!$C$2:$C$701,P2025))</f>
        <v/>
      </c>
      <c r="F2025" s="48">
        <f>IF(H2025="","",IF(ISNUMBER(O2025),O2025,J2025))</f>
        <v/>
      </c>
      <c r="G2025">
        <f>IF(H2025="","","OneCause")</f>
        <v/>
      </c>
      <c r="H2025">
        <f>IF(AND(I2025="",J2025="",K2025=""),"",IF(NOT(ISNUMBER(O2025)),"Bad amount",IF(O2025&lt;0,"Refund (not counted)",IF(O2025=0,"Zero amount",IF(NOT(ISNUMBER(N2025)),"Bad date",IF(P2025="","NAME NOT ON ROSTER",IF(L2025="","OK",IF(MATCH(L2025,$L$2:$L$3001,0)&lt;ROW()-1,"Duplicate (ignored)","OK"))))))))</f>
        <v/>
      </c>
      <c r="I2025">
        <f>IF(OC_Date=0,"",IF(INDEX('OneCause_Paste'!$A$2025:$AZ$2025,1,OC_Date)="","",INDEX('OneCause_Paste'!$A$2025:$AZ$2025,1,OC_Date)))</f>
        <v/>
      </c>
      <c r="J2025">
        <f>IF(OC_Amt=0,"",IF(INDEX('OneCause_Paste'!$A$2025:$AZ$2025,1,OC_Amt)="","",INDEX('OneCause_Paste'!$A$2025:$AZ$2025,1,OC_Amt)))</f>
        <v/>
      </c>
      <c r="K2025">
        <f>IF(OC_Name=0,"",IF(INDEX('OneCause_Paste'!$A$2025:$AZ$2025,1,OC_Name)="","",INDEX('OneCause_Paste'!$A$2025:$AZ$2025,1,OC_Name)))</f>
        <v/>
      </c>
      <c r="L2025">
        <f>IF(OC_Txn=0,"",IF(INDEX('OneCause_Paste'!$A$2025:$AZ$2025,1,OC_Txn)="","",INDEX('OneCause_Paste'!$A$2025:$AZ$2025,1,OC_Txn)))</f>
        <v/>
      </c>
      <c r="M2025">
        <f>IF(OC_Pay=0,"",IF(INDEX('OneCause_Paste'!$A$2025:$AZ$2025,1,OC_Pay)="","",INDEX('OneCause_Paste'!$A$2025:$AZ$2025,1,OC_Pay)))</f>
        <v/>
      </c>
      <c r="N2025">
        <f>IF(I2025="","",IF(ISNUMBER(I2025),INT(I2025),IFERROR(INT(DATEVALUE(I2025)),IFERROR(INT(VALUE(I2025)),"bad"))))</f>
        <v/>
      </c>
      <c r="O2025">
        <f>IF(J2025="","",IF(ISNUMBER(J2025),ROUND(J2025,2),IFERROR(ROUND(VALUE(SUBSTITUTE(SUBSTITUTE(SUBSTITUTE(J2025,"$",""),",","")," ","")),2),"bad")))</f>
        <v/>
      </c>
      <c r="P2025">
        <f>IF(TRIM(K2025)="","",IFERROR(MATCH(LOWER(TRIM(K2025)),'Students'!$AH$2:$AH$701,0),IFERROR(MATCH(LOWER(TRIM(K2025)),'Students'!$AF$2:$AF$701,0),IFERROR(MATCH(LOWER(TRIM(K2025)),'Students'!$AG$2:$AG$701,0),""))))</f>
        <v/>
      </c>
      <c r="R2025">
        <f>IF(P2025="","",INDEX('Students'!$AD$2:$AD$701,P2025))</f>
        <v/>
      </c>
      <c r="S2025">
        <f>IF(H2025="OK",O2025,0)</f>
        <v/>
      </c>
      <c r="T2025">
        <f>IF(H2025="OK",N2025,"")</f>
        <v/>
      </c>
      <c r="U2025">
        <f>IF(OC_Donor=0,"",IF(INDEX('OneCause_Paste'!$A$2025:$AZ$2025,1,OC_Donor)="","",INDEX('OneCause_Paste'!$A$2025:$AZ$2025,1,OC_Donor)))</f>
        <v/>
      </c>
    </row>
    <row r="2026">
      <c r="A2026" s="62">
        <f>IF(H2026="","",IF(ISNUMBER(N2026),N2026,I2026))</f>
        <v/>
      </c>
      <c r="B2026">
        <f>IF(H2026="","",U2026)</f>
        <v/>
      </c>
      <c r="C2026">
        <f>IF(H2026="","",IF(P2026="",K2026,INDEX('Students'!$A$2:$A$701,P2026)))</f>
        <v/>
      </c>
      <c r="D2026">
        <f>IF(OR(H2026="",P2026=""),"",INDEX('Students'!$B$2:$B$701,P2026))</f>
        <v/>
      </c>
      <c r="E2026">
        <f>IF(OR(H2026="",P2026=""),"",INDEX('Students'!$C$2:$C$701,P2026))</f>
        <v/>
      </c>
      <c r="F2026" s="48">
        <f>IF(H2026="","",IF(ISNUMBER(O2026),O2026,J2026))</f>
        <v/>
      </c>
      <c r="G2026">
        <f>IF(H2026="","","OneCause")</f>
        <v/>
      </c>
      <c r="H2026">
        <f>IF(AND(I2026="",J2026="",K2026=""),"",IF(NOT(ISNUMBER(O2026)),"Bad amount",IF(O2026&lt;0,"Refund (not counted)",IF(O2026=0,"Zero amount",IF(NOT(ISNUMBER(N2026)),"Bad date",IF(P2026="","NAME NOT ON ROSTER",IF(L2026="","OK",IF(MATCH(L2026,$L$2:$L$3001,0)&lt;ROW()-1,"Duplicate (ignored)","OK"))))))))</f>
        <v/>
      </c>
      <c r="I2026">
        <f>IF(OC_Date=0,"",IF(INDEX('OneCause_Paste'!$A$2026:$AZ$2026,1,OC_Date)="","",INDEX('OneCause_Paste'!$A$2026:$AZ$2026,1,OC_Date)))</f>
        <v/>
      </c>
      <c r="J2026">
        <f>IF(OC_Amt=0,"",IF(INDEX('OneCause_Paste'!$A$2026:$AZ$2026,1,OC_Amt)="","",INDEX('OneCause_Paste'!$A$2026:$AZ$2026,1,OC_Amt)))</f>
        <v/>
      </c>
      <c r="K2026">
        <f>IF(OC_Name=0,"",IF(INDEX('OneCause_Paste'!$A$2026:$AZ$2026,1,OC_Name)="","",INDEX('OneCause_Paste'!$A$2026:$AZ$2026,1,OC_Name)))</f>
        <v/>
      </c>
      <c r="L2026">
        <f>IF(OC_Txn=0,"",IF(INDEX('OneCause_Paste'!$A$2026:$AZ$2026,1,OC_Txn)="","",INDEX('OneCause_Paste'!$A$2026:$AZ$2026,1,OC_Txn)))</f>
        <v/>
      </c>
      <c r="M2026">
        <f>IF(OC_Pay=0,"",IF(INDEX('OneCause_Paste'!$A$2026:$AZ$2026,1,OC_Pay)="","",INDEX('OneCause_Paste'!$A$2026:$AZ$2026,1,OC_Pay)))</f>
        <v/>
      </c>
      <c r="N2026">
        <f>IF(I2026="","",IF(ISNUMBER(I2026),INT(I2026),IFERROR(INT(DATEVALUE(I2026)),IFERROR(INT(VALUE(I2026)),"bad"))))</f>
        <v/>
      </c>
      <c r="O2026">
        <f>IF(J2026="","",IF(ISNUMBER(J2026),ROUND(J2026,2),IFERROR(ROUND(VALUE(SUBSTITUTE(SUBSTITUTE(SUBSTITUTE(J2026,"$",""),",","")," ","")),2),"bad")))</f>
        <v/>
      </c>
      <c r="P2026">
        <f>IF(TRIM(K2026)="","",IFERROR(MATCH(LOWER(TRIM(K2026)),'Students'!$AH$2:$AH$701,0),IFERROR(MATCH(LOWER(TRIM(K2026)),'Students'!$AF$2:$AF$701,0),IFERROR(MATCH(LOWER(TRIM(K2026)),'Students'!$AG$2:$AG$701,0),""))))</f>
        <v/>
      </c>
      <c r="R2026">
        <f>IF(P2026="","",INDEX('Students'!$AD$2:$AD$701,P2026))</f>
        <v/>
      </c>
      <c r="S2026">
        <f>IF(H2026="OK",O2026,0)</f>
        <v/>
      </c>
      <c r="T2026">
        <f>IF(H2026="OK",N2026,"")</f>
        <v/>
      </c>
      <c r="U2026">
        <f>IF(OC_Donor=0,"",IF(INDEX('OneCause_Paste'!$A$2026:$AZ$2026,1,OC_Donor)="","",INDEX('OneCause_Paste'!$A$2026:$AZ$2026,1,OC_Donor)))</f>
        <v/>
      </c>
    </row>
    <row r="2027">
      <c r="A2027" s="62">
        <f>IF(H2027="","",IF(ISNUMBER(N2027),N2027,I2027))</f>
        <v/>
      </c>
      <c r="B2027">
        <f>IF(H2027="","",U2027)</f>
        <v/>
      </c>
      <c r="C2027">
        <f>IF(H2027="","",IF(P2027="",K2027,INDEX('Students'!$A$2:$A$701,P2027)))</f>
        <v/>
      </c>
      <c r="D2027">
        <f>IF(OR(H2027="",P2027=""),"",INDEX('Students'!$B$2:$B$701,P2027))</f>
        <v/>
      </c>
      <c r="E2027">
        <f>IF(OR(H2027="",P2027=""),"",INDEX('Students'!$C$2:$C$701,P2027))</f>
        <v/>
      </c>
      <c r="F2027" s="48">
        <f>IF(H2027="","",IF(ISNUMBER(O2027),O2027,J2027))</f>
        <v/>
      </c>
      <c r="G2027">
        <f>IF(H2027="","","OneCause")</f>
        <v/>
      </c>
      <c r="H2027">
        <f>IF(AND(I2027="",J2027="",K2027=""),"",IF(NOT(ISNUMBER(O2027)),"Bad amount",IF(O2027&lt;0,"Refund (not counted)",IF(O2027=0,"Zero amount",IF(NOT(ISNUMBER(N2027)),"Bad date",IF(P2027="","NAME NOT ON ROSTER",IF(L2027="","OK",IF(MATCH(L2027,$L$2:$L$3001,0)&lt;ROW()-1,"Duplicate (ignored)","OK"))))))))</f>
        <v/>
      </c>
      <c r="I2027">
        <f>IF(OC_Date=0,"",IF(INDEX('OneCause_Paste'!$A$2027:$AZ$2027,1,OC_Date)="","",INDEX('OneCause_Paste'!$A$2027:$AZ$2027,1,OC_Date)))</f>
        <v/>
      </c>
      <c r="J2027">
        <f>IF(OC_Amt=0,"",IF(INDEX('OneCause_Paste'!$A$2027:$AZ$2027,1,OC_Amt)="","",INDEX('OneCause_Paste'!$A$2027:$AZ$2027,1,OC_Amt)))</f>
        <v/>
      </c>
      <c r="K2027">
        <f>IF(OC_Name=0,"",IF(INDEX('OneCause_Paste'!$A$2027:$AZ$2027,1,OC_Name)="","",INDEX('OneCause_Paste'!$A$2027:$AZ$2027,1,OC_Name)))</f>
        <v/>
      </c>
      <c r="L2027">
        <f>IF(OC_Txn=0,"",IF(INDEX('OneCause_Paste'!$A$2027:$AZ$2027,1,OC_Txn)="","",INDEX('OneCause_Paste'!$A$2027:$AZ$2027,1,OC_Txn)))</f>
        <v/>
      </c>
      <c r="M2027">
        <f>IF(OC_Pay=0,"",IF(INDEX('OneCause_Paste'!$A$2027:$AZ$2027,1,OC_Pay)="","",INDEX('OneCause_Paste'!$A$2027:$AZ$2027,1,OC_Pay)))</f>
        <v/>
      </c>
      <c r="N2027">
        <f>IF(I2027="","",IF(ISNUMBER(I2027),INT(I2027),IFERROR(INT(DATEVALUE(I2027)),IFERROR(INT(VALUE(I2027)),"bad"))))</f>
        <v/>
      </c>
      <c r="O2027">
        <f>IF(J2027="","",IF(ISNUMBER(J2027),ROUND(J2027,2),IFERROR(ROUND(VALUE(SUBSTITUTE(SUBSTITUTE(SUBSTITUTE(J2027,"$",""),",","")," ","")),2),"bad")))</f>
        <v/>
      </c>
      <c r="P2027">
        <f>IF(TRIM(K2027)="","",IFERROR(MATCH(LOWER(TRIM(K2027)),'Students'!$AH$2:$AH$701,0),IFERROR(MATCH(LOWER(TRIM(K2027)),'Students'!$AF$2:$AF$701,0),IFERROR(MATCH(LOWER(TRIM(K2027)),'Students'!$AG$2:$AG$701,0),""))))</f>
        <v/>
      </c>
      <c r="R2027">
        <f>IF(P2027="","",INDEX('Students'!$AD$2:$AD$701,P2027))</f>
        <v/>
      </c>
      <c r="S2027">
        <f>IF(H2027="OK",O2027,0)</f>
        <v/>
      </c>
      <c r="T2027">
        <f>IF(H2027="OK",N2027,"")</f>
        <v/>
      </c>
      <c r="U2027">
        <f>IF(OC_Donor=0,"",IF(INDEX('OneCause_Paste'!$A$2027:$AZ$2027,1,OC_Donor)="","",INDEX('OneCause_Paste'!$A$2027:$AZ$2027,1,OC_Donor)))</f>
        <v/>
      </c>
    </row>
    <row r="2028">
      <c r="A2028" s="62">
        <f>IF(H2028="","",IF(ISNUMBER(N2028),N2028,I2028))</f>
        <v/>
      </c>
      <c r="B2028">
        <f>IF(H2028="","",U2028)</f>
        <v/>
      </c>
      <c r="C2028">
        <f>IF(H2028="","",IF(P2028="",K2028,INDEX('Students'!$A$2:$A$701,P2028)))</f>
        <v/>
      </c>
      <c r="D2028">
        <f>IF(OR(H2028="",P2028=""),"",INDEX('Students'!$B$2:$B$701,P2028))</f>
        <v/>
      </c>
      <c r="E2028">
        <f>IF(OR(H2028="",P2028=""),"",INDEX('Students'!$C$2:$C$701,P2028))</f>
        <v/>
      </c>
      <c r="F2028" s="48">
        <f>IF(H2028="","",IF(ISNUMBER(O2028),O2028,J2028))</f>
        <v/>
      </c>
      <c r="G2028">
        <f>IF(H2028="","","OneCause")</f>
        <v/>
      </c>
      <c r="H2028">
        <f>IF(AND(I2028="",J2028="",K2028=""),"",IF(NOT(ISNUMBER(O2028)),"Bad amount",IF(O2028&lt;0,"Refund (not counted)",IF(O2028=0,"Zero amount",IF(NOT(ISNUMBER(N2028)),"Bad date",IF(P2028="","NAME NOT ON ROSTER",IF(L2028="","OK",IF(MATCH(L2028,$L$2:$L$3001,0)&lt;ROW()-1,"Duplicate (ignored)","OK"))))))))</f>
        <v/>
      </c>
      <c r="I2028">
        <f>IF(OC_Date=0,"",IF(INDEX('OneCause_Paste'!$A$2028:$AZ$2028,1,OC_Date)="","",INDEX('OneCause_Paste'!$A$2028:$AZ$2028,1,OC_Date)))</f>
        <v/>
      </c>
      <c r="J2028">
        <f>IF(OC_Amt=0,"",IF(INDEX('OneCause_Paste'!$A$2028:$AZ$2028,1,OC_Amt)="","",INDEX('OneCause_Paste'!$A$2028:$AZ$2028,1,OC_Amt)))</f>
        <v/>
      </c>
      <c r="K2028">
        <f>IF(OC_Name=0,"",IF(INDEX('OneCause_Paste'!$A$2028:$AZ$2028,1,OC_Name)="","",INDEX('OneCause_Paste'!$A$2028:$AZ$2028,1,OC_Name)))</f>
        <v/>
      </c>
      <c r="L2028">
        <f>IF(OC_Txn=0,"",IF(INDEX('OneCause_Paste'!$A$2028:$AZ$2028,1,OC_Txn)="","",INDEX('OneCause_Paste'!$A$2028:$AZ$2028,1,OC_Txn)))</f>
        <v/>
      </c>
      <c r="M2028">
        <f>IF(OC_Pay=0,"",IF(INDEX('OneCause_Paste'!$A$2028:$AZ$2028,1,OC_Pay)="","",INDEX('OneCause_Paste'!$A$2028:$AZ$2028,1,OC_Pay)))</f>
        <v/>
      </c>
      <c r="N2028">
        <f>IF(I2028="","",IF(ISNUMBER(I2028),INT(I2028),IFERROR(INT(DATEVALUE(I2028)),IFERROR(INT(VALUE(I2028)),"bad"))))</f>
        <v/>
      </c>
      <c r="O2028">
        <f>IF(J2028="","",IF(ISNUMBER(J2028),ROUND(J2028,2),IFERROR(ROUND(VALUE(SUBSTITUTE(SUBSTITUTE(SUBSTITUTE(J2028,"$",""),",","")," ","")),2),"bad")))</f>
        <v/>
      </c>
      <c r="P2028">
        <f>IF(TRIM(K2028)="","",IFERROR(MATCH(LOWER(TRIM(K2028)),'Students'!$AH$2:$AH$701,0),IFERROR(MATCH(LOWER(TRIM(K2028)),'Students'!$AF$2:$AF$701,0),IFERROR(MATCH(LOWER(TRIM(K2028)),'Students'!$AG$2:$AG$701,0),""))))</f>
        <v/>
      </c>
      <c r="R2028">
        <f>IF(P2028="","",INDEX('Students'!$AD$2:$AD$701,P2028))</f>
        <v/>
      </c>
      <c r="S2028">
        <f>IF(H2028="OK",O2028,0)</f>
        <v/>
      </c>
      <c r="T2028">
        <f>IF(H2028="OK",N2028,"")</f>
        <v/>
      </c>
      <c r="U2028">
        <f>IF(OC_Donor=0,"",IF(INDEX('OneCause_Paste'!$A$2028:$AZ$2028,1,OC_Donor)="","",INDEX('OneCause_Paste'!$A$2028:$AZ$2028,1,OC_Donor)))</f>
        <v/>
      </c>
    </row>
    <row r="2029">
      <c r="A2029" s="62">
        <f>IF(H2029="","",IF(ISNUMBER(N2029),N2029,I2029))</f>
        <v/>
      </c>
      <c r="B2029">
        <f>IF(H2029="","",U2029)</f>
        <v/>
      </c>
      <c r="C2029">
        <f>IF(H2029="","",IF(P2029="",K2029,INDEX('Students'!$A$2:$A$701,P2029)))</f>
        <v/>
      </c>
      <c r="D2029">
        <f>IF(OR(H2029="",P2029=""),"",INDEX('Students'!$B$2:$B$701,P2029))</f>
        <v/>
      </c>
      <c r="E2029">
        <f>IF(OR(H2029="",P2029=""),"",INDEX('Students'!$C$2:$C$701,P2029))</f>
        <v/>
      </c>
      <c r="F2029" s="48">
        <f>IF(H2029="","",IF(ISNUMBER(O2029),O2029,J2029))</f>
        <v/>
      </c>
      <c r="G2029">
        <f>IF(H2029="","","OneCause")</f>
        <v/>
      </c>
      <c r="H2029">
        <f>IF(AND(I2029="",J2029="",K2029=""),"",IF(NOT(ISNUMBER(O2029)),"Bad amount",IF(O2029&lt;0,"Refund (not counted)",IF(O2029=0,"Zero amount",IF(NOT(ISNUMBER(N2029)),"Bad date",IF(P2029="","NAME NOT ON ROSTER",IF(L2029="","OK",IF(MATCH(L2029,$L$2:$L$3001,0)&lt;ROW()-1,"Duplicate (ignored)","OK"))))))))</f>
        <v/>
      </c>
      <c r="I2029">
        <f>IF(OC_Date=0,"",IF(INDEX('OneCause_Paste'!$A$2029:$AZ$2029,1,OC_Date)="","",INDEX('OneCause_Paste'!$A$2029:$AZ$2029,1,OC_Date)))</f>
        <v/>
      </c>
      <c r="J2029">
        <f>IF(OC_Amt=0,"",IF(INDEX('OneCause_Paste'!$A$2029:$AZ$2029,1,OC_Amt)="","",INDEX('OneCause_Paste'!$A$2029:$AZ$2029,1,OC_Amt)))</f>
        <v/>
      </c>
      <c r="K2029">
        <f>IF(OC_Name=0,"",IF(INDEX('OneCause_Paste'!$A$2029:$AZ$2029,1,OC_Name)="","",INDEX('OneCause_Paste'!$A$2029:$AZ$2029,1,OC_Name)))</f>
        <v/>
      </c>
      <c r="L2029">
        <f>IF(OC_Txn=0,"",IF(INDEX('OneCause_Paste'!$A$2029:$AZ$2029,1,OC_Txn)="","",INDEX('OneCause_Paste'!$A$2029:$AZ$2029,1,OC_Txn)))</f>
        <v/>
      </c>
      <c r="M2029">
        <f>IF(OC_Pay=0,"",IF(INDEX('OneCause_Paste'!$A$2029:$AZ$2029,1,OC_Pay)="","",INDEX('OneCause_Paste'!$A$2029:$AZ$2029,1,OC_Pay)))</f>
        <v/>
      </c>
      <c r="N2029">
        <f>IF(I2029="","",IF(ISNUMBER(I2029),INT(I2029),IFERROR(INT(DATEVALUE(I2029)),IFERROR(INT(VALUE(I2029)),"bad"))))</f>
        <v/>
      </c>
      <c r="O2029">
        <f>IF(J2029="","",IF(ISNUMBER(J2029),ROUND(J2029,2),IFERROR(ROUND(VALUE(SUBSTITUTE(SUBSTITUTE(SUBSTITUTE(J2029,"$",""),",","")," ","")),2),"bad")))</f>
        <v/>
      </c>
      <c r="P2029">
        <f>IF(TRIM(K2029)="","",IFERROR(MATCH(LOWER(TRIM(K2029)),'Students'!$AH$2:$AH$701,0),IFERROR(MATCH(LOWER(TRIM(K2029)),'Students'!$AF$2:$AF$701,0),IFERROR(MATCH(LOWER(TRIM(K2029)),'Students'!$AG$2:$AG$701,0),""))))</f>
        <v/>
      </c>
      <c r="R2029">
        <f>IF(P2029="","",INDEX('Students'!$AD$2:$AD$701,P2029))</f>
        <v/>
      </c>
      <c r="S2029">
        <f>IF(H2029="OK",O2029,0)</f>
        <v/>
      </c>
      <c r="T2029">
        <f>IF(H2029="OK",N2029,"")</f>
        <v/>
      </c>
      <c r="U2029">
        <f>IF(OC_Donor=0,"",IF(INDEX('OneCause_Paste'!$A$2029:$AZ$2029,1,OC_Donor)="","",INDEX('OneCause_Paste'!$A$2029:$AZ$2029,1,OC_Donor)))</f>
        <v/>
      </c>
    </row>
    <row r="2030">
      <c r="A2030" s="62">
        <f>IF(H2030="","",IF(ISNUMBER(N2030),N2030,I2030))</f>
        <v/>
      </c>
      <c r="B2030">
        <f>IF(H2030="","",U2030)</f>
        <v/>
      </c>
      <c r="C2030">
        <f>IF(H2030="","",IF(P2030="",K2030,INDEX('Students'!$A$2:$A$701,P2030)))</f>
        <v/>
      </c>
      <c r="D2030">
        <f>IF(OR(H2030="",P2030=""),"",INDEX('Students'!$B$2:$B$701,P2030))</f>
        <v/>
      </c>
      <c r="E2030">
        <f>IF(OR(H2030="",P2030=""),"",INDEX('Students'!$C$2:$C$701,P2030))</f>
        <v/>
      </c>
      <c r="F2030" s="48">
        <f>IF(H2030="","",IF(ISNUMBER(O2030),O2030,J2030))</f>
        <v/>
      </c>
      <c r="G2030">
        <f>IF(H2030="","","OneCause")</f>
        <v/>
      </c>
      <c r="H2030">
        <f>IF(AND(I2030="",J2030="",K2030=""),"",IF(NOT(ISNUMBER(O2030)),"Bad amount",IF(O2030&lt;0,"Refund (not counted)",IF(O2030=0,"Zero amount",IF(NOT(ISNUMBER(N2030)),"Bad date",IF(P2030="","NAME NOT ON ROSTER",IF(L2030="","OK",IF(MATCH(L2030,$L$2:$L$3001,0)&lt;ROW()-1,"Duplicate (ignored)","OK"))))))))</f>
        <v/>
      </c>
      <c r="I2030">
        <f>IF(OC_Date=0,"",IF(INDEX('OneCause_Paste'!$A$2030:$AZ$2030,1,OC_Date)="","",INDEX('OneCause_Paste'!$A$2030:$AZ$2030,1,OC_Date)))</f>
        <v/>
      </c>
      <c r="J2030">
        <f>IF(OC_Amt=0,"",IF(INDEX('OneCause_Paste'!$A$2030:$AZ$2030,1,OC_Amt)="","",INDEX('OneCause_Paste'!$A$2030:$AZ$2030,1,OC_Amt)))</f>
        <v/>
      </c>
      <c r="K2030">
        <f>IF(OC_Name=0,"",IF(INDEX('OneCause_Paste'!$A$2030:$AZ$2030,1,OC_Name)="","",INDEX('OneCause_Paste'!$A$2030:$AZ$2030,1,OC_Name)))</f>
        <v/>
      </c>
      <c r="L2030">
        <f>IF(OC_Txn=0,"",IF(INDEX('OneCause_Paste'!$A$2030:$AZ$2030,1,OC_Txn)="","",INDEX('OneCause_Paste'!$A$2030:$AZ$2030,1,OC_Txn)))</f>
        <v/>
      </c>
      <c r="M2030">
        <f>IF(OC_Pay=0,"",IF(INDEX('OneCause_Paste'!$A$2030:$AZ$2030,1,OC_Pay)="","",INDEX('OneCause_Paste'!$A$2030:$AZ$2030,1,OC_Pay)))</f>
        <v/>
      </c>
      <c r="N2030">
        <f>IF(I2030="","",IF(ISNUMBER(I2030),INT(I2030),IFERROR(INT(DATEVALUE(I2030)),IFERROR(INT(VALUE(I2030)),"bad"))))</f>
        <v/>
      </c>
      <c r="O2030">
        <f>IF(J2030="","",IF(ISNUMBER(J2030),ROUND(J2030,2),IFERROR(ROUND(VALUE(SUBSTITUTE(SUBSTITUTE(SUBSTITUTE(J2030,"$",""),",","")," ","")),2),"bad")))</f>
        <v/>
      </c>
      <c r="P2030">
        <f>IF(TRIM(K2030)="","",IFERROR(MATCH(LOWER(TRIM(K2030)),'Students'!$AH$2:$AH$701,0),IFERROR(MATCH(LOWER(TRIM(K2030)),'Students'!$AF$2:$AF$701,0),IFERROR(MATCH(LOWER(TRIM(K2030)),'Students'!$AG$2:$AG$701,0),""))))</f>
        <v/>
      </c>
      <c r="R2030">
        <f>IF(P2030="","",INDEX('Students'!$AD$2:$AD$701,P2030))</f>
        <v/>
      </c>
      <c r="S2030">
        <f>IF(H2030="OK",O2030,0)</f>
        <v/>
      </c>
      <c r="T2030">
        <f>IF(H2030="OK",N2030,"")</f>
        <v/>
      </c>
      <c r="U2030">
        <f>IF(OC_Donor=0,"",IF(INDEX('OneCause_Paste'!$A$2030:$AZ$2030,1,OC_Donor)="","",INDEX('OneCause_Paste'!$A$2030:$AZ$2030,1,OC_Donor)))</f>
        <v/>
      </c>
    </row>
    <row r="2031">
      <c r="A2031" s="62">
        <f>IF(H2031="","",IF(ISNUMBER(N2031),N2031,I2031))</f>
        <v/>
      </c>
      <c r="B2031">
        <f>IF(H2031="","",U2031)</f>
        <v/>
      </c>
      <c r="C2031">
        <f>IF(H2031="","",IF(P2031="",K2031,INDEX('Students'!$A$2:$A$701,P2031)))</f>
        <v/>
      </c>
      <c r="D2031">
        <f>IF(OR(H2031="",P2031=""),"",INDEX('Students'!$B$2:$B$701,P2031))</f>
        <v/>
      </c>
      <c r="E2031">
        <f>IF(OR(H2031="",P2031=""),"",INDEX('Students'!$C$2:$C$701,P2031))</f>
        <v/>
      </c>
      <c r="F2031" s="48">
        <f>IF(H2031="","",IF(ISNUMBER(O2031),O2031,J2031))</f>
        <v/>
      </c>
      <c r="G2031">
        <f>IF(H2031="","","OneCause")</f>
        <v/>
      </c>
      <c r="H2031">
        <f>IF(AND(I2031="",J2031="",K2031=""),"",IF(NOT(ISNUMBER(O2031)),"Bad amount",IF(O2031&lt;0,"Refund (not counted)",IF(O2031=0,"Zero amount",IF(NOT(ISNUMBER(N2031)),"Bad date",IF(P2031="","NAME NOT ON ROSTER",IF(L2031="","OK",IF(MATCH(L2031,$L$2:$L$3001,0)&lt;ROW()-1,"Duplicate (ignored)","OK"))))))))</f>
        <v/>
      </c>
      <c r="I2031">
        <f>IF(OC_Date=0,"",IF(INDEX('OneCause_Paste'!$A$2031:$AZ$2031,1,OC_Date)="","",INDEX('OneCause_Paste'!$A$2031:$AZ$2031,1,OC_Date)))</f>
        <v/>
      </c>
      <c r="J2031">
        <f>IF(OC_Amt=0,"",IF(INDEX('OneCause_Paste'!$A$2031:$AZ$2031,1,OC_Amt)="","",INDEX('OneCause_Paste'!$A$2031:$AZ$2031,1,OC_Amt)))</f>
        <v/>
      </c>
      <c r="K2031">
        <f>IF(OC_Name=0,"",IF(INDEX('OneCause_Paste'!$A$2031:$AZ$2031,1,OC_Name)="","",INDEX('OneCause_Paste'!$A$2031:$AZ$2031,1,OC_Name)))</f>
        <v/>
      </c>
      <c r="L2031">
        <f>IF(OC_Txn=0,"",IF(INDEX('OneCause_Paste'!$A$2031:$AZ$2031,1,OC_Txn)="","",INDEX('OneCause_Paste'!$A$2031:$AZ$2031,1,OC_Txn)))</f>
        <v/>
      </c>
      <c r="M2031">
        <f>IF(OC_Pay=0,"",IF(INDEX('OneCause_Paste'!$A$2031:$AZ$2031,1,OC_Pay)="","",INDEX('OneCause_Paste'!$A$2031:$AZ$2031,1,OC_Pay)))</f>
        <v/>
      </c>
      <c r="N2031">
        <f>IF(I2031="","",IF(ISNUMBER(I2031),INT(I2031),IFERROR(INT(DATEVALUE(I2031)),IFERROR(INT(VALUE(I2031)),"bad"))))</f>
        <v/>
      </c>
      <c r="O2031">
        <f>IF(J2031="","",IF(ISNUMBER(J2031),ROUND(J2031,2),IFERROR(ROUND(VALUE(SUBSTITUTE(SUBSTITUTE(SUBSTITUTE(J2031,"$",""),",","")," ","")),2),"bad")))</f>
        <v/>
      </c>
      <c r="P2031">
        <f>IF(TRIM(K2031)="","",IFERROR(MATCH(LOWER(TRIM(K2031)),'Students'!$AH$2:$AH$701,0),IFERROR(MATCH(LOWER(TRIM(K2031)),'Students'!$AF$2:$AF$701,0),IFERROR(MATCH(LOWER(TRIM(K2031)),'Students'!$AG$2:$AG$701,0),""))))</f>
        <v/>
      </c>
      <c r="R2031">
        <f>IF(P2031="","",INDEX('Students'!$AD$2:$AD$701,P2031))</f>
        <v/>
      </c>
      <c r="S2031">
        <f>IF(H2031="OK",O2031,0)</f>
        <v/>
      </c>
      <c r="T2031">
        <f>IF(H2031="OK",N2031,"")</f>
        <v/>
      </c>
      <c r="U2031">
        <f>IF(OC_Donor=0,"",IF(INDEX('OneCause_Paste'!$A$2031:$AZ$2031,1,OC_Donor)="","",INDEX('OneCause_Paste'!$A$2031:$AZ$2031,1,OC_Donor)))</f>
        <v/>
      </c>
    </row>
    <row r="2032">
      <c r="A2032" s="62">
        <f>IF(H2032="","",IF(ISNUMBER(N2032),N2032,I2032))</f>
        <v/>
      </c>
      <c r="B2032">
        <f>IF(H2032="","",U2032)</f>
        <v/>
      </c>
      <c r="C2032">
        <f>IF(H2032="","",IF(P2032="",K2032,INDEX('Students'!$A$2:$A$701,P2032)))</f>
        <v/>
      </c>
      <c r="D2032">
        <f>IF(OR(H2032="",P2032=""),"",INDEX('Students'!$B$2:$B$701,P2032))</f>
        <v/>
      </c>
      <c r="E2032">
        <f>IF(OR(H2032="",P2032=""),"",INDEX('Students'!$C$2:$C$701,P2032))</f>
        <v/>
      </c>
      <c r="F2032" s="48">
        <f>IF(H2032="","",IF(ISNUMBER(O2032),O2032,J2032))</f>
        <v/>
      </c>
      <c r="G2032">
        <f>IF(H2032="","","OneCause")</f>
        <v/>
      </c>
      <c r="H2032">
        <f>IF(AND(I2032="",J2032="",K2032=""),"",IF(NOT(ISNUMBER(O2032)),"Bad amount",IF(O2032&lt;0,"Refund (not counted)",IF(O2032=0,"Zero amount",IF(NOT(ISNUMBER(N2032)),"Bad date",IF(P2032="","NAME NOT ON ROSTER",IF(L2032="","OK",IF(MATCH(L2032,$L$2:$L$3001,0)&lt;ROW()-1,"Duplicate (ignored)","OK"))))))))</f>
        <v/>
      </c>
      <c r="I2032">
        <f>IF(OC_Date=0,"",IF(INDEX('OneCause_Paste'!$A$2032:$AZ$2032,1,OC_Date)="","",INDEX('OneCause_Paste'!$A$2032:$AZ$2032,1,OC_Date)))</f>
        <v/>
      </c>
      <c r="J2032">
        <f>IF(OC_Amt=0,"",IF(INDEX('OneCause_Paste'!$A$2032:$AZ$2032,1,OC_Amt)="","",INDEX('OneCause_Paste'!$A$2032:$AZ$2032,1,OC_Amt)))</f>
        <v/>
      </c>
      <c r="K2032">
        <f>IF(OC_Name=0,"",IF(INDEX('OneCause_Paste'!$A$2032:$AZ$2032,1,OC_Name)="","",INDEX('OneCause_Paste'!$A$2032:$AZ$2032,1,OC_Name)))</f>
        <v/>
      </c>
      <c r="L2032">
        <f>IF(OC_Txn=0,"",IF(INDEX('OneCause_Paste'!$A$2032:$AZ$2032,1,OC_Txn)="","",INDEX('OneCause_Paste'!$A$2032:$AZ$2032,1,OC_Txn)))</f>
        <v/>
      </c>
      <c r="M2032">
        <f>IF(OC_Pay=0,"",IF(INDEX('OneCause_Paste'!$A$2032:$AZ$2032,1,OC_Pay)="","",INDEX('OneCause_Paste'!$A$2032:$AZ$2032,1,OC_Pay)))</f>
        <v/>
      </c>
      <c r="N2032">
        <f>IF(I2032="","",IF(ISNUMBER(I2032),INT(I2032),IFERROR(INT(DATEVALUE(I2032)),IFERROR(INT(VALUE(I2032)),"bad"))))</f>
        <v/>
      </c>
      <c r="O2032">
        <f>IF(J2032="","",IF(ISNUMBER(J2032),ROUND(J2032,2),IFERROR(ROUND(VALUE(SUBSTITUTE(SUBSTITUTE(SUBSTITUTE(J2032,"$",""),",","")," ","")),2),"bad")))</f>
        <v/>
      </c>
      <c r="P2032">
        <f>IF(TRIM(K2032)="","",IFERROR(MATCH(LOWER(TRIM(K2032)),'Students'!$AH$2:$AH$701,0),IFERROR(MATCH(LOWER(TRIM(K2032)),'Students'!$AF$2:$AF$701,0),IFERROR(MATCH(LOWER(TRIM(K2032)),'Students'!$AG$2:$AG$701,0),""))))</f>
        <v/>
      </c>
      <c r="R2032">
        <f>IF(P2032="","",INDEX('Students'!$AD$2:$AD$701,P2032))</f>
        <v/>
      </c>
      <c r="S2032">
        <f>IF(H2032="OK",O2032,0)</f>
        <v/>
      </c>
      <c r="T2032">
        <f>IF(H2032="OK",N2032,"")</f>
        <v/>
      </c>
      <c r="U2032">
        <f>IF(OC_Donor=0,"",IF(INDEX('OneCause_Paste'!$A$2032:$AZ$2032,1,OC_Donor)="","",INDEX('OneCause_Paste'!$A$2032:$AZ$2032,1,OC_Donor)))</f>
        <v/>
      </c>
    </row>
    <row r="2033">
      <c r="A2033" s="62">
        <f>IF(H2033="","",IF(ISNUMBER(N2033),N2033,I2033))</f>
        <v/>
      </c>
      <c r="B2033">
        <f>IF(H2033="","",U2033)</f>
        <v/>
      </c>
      <c r="C2033">
        <f>IF(H2033="","",IF(P2033="",K2033,INDEX('Students'!$A$2:$A$701,P2033)))</f>
        <v/>
      </c>
      <c r="D2033">
        <f>IF(OR(H2033="",P2033=""),"",INDEX('Students'!$B$2:$B$701,P2033))</f>
        <v/>
      </c>
      <c r="E2033">
        <f>IF(OR(H2033="",P2033=""),"",INDEX('Students'!$C$2:$C$701,P2033))</f>
        <v/>
      </c>
      <c r="F2033" s="48">
        <f>IF(H2033="","",IF(ISNUMBER(O2033),O2033,J2033))</f>
        <v/>
      </c>
      <c r="G2033">
        <f>IF(H2033="","","OneCause")</f>
        <v/>
      </c>
      <c r="H2033">
        <f>IF(AND(I2033="",J2033="",K2033=""),"",IF(NOT(ISNUMBER(O2033)),"Bad amount",IF(O2033&lt;0,"Refund (not counted)",IF(O2033=0,"Zero amount",IF(NOT(ISNUMBER(N2033)),"Bad date",IF(P2033="","NAME NOT ON ROSTER",IF(L2033="","OK",IF(MATCH(L2033,$L$2:$L$3001,0)&lt;ROW()-1,"Duplicate (ignored)","OK"))))))))</f>
        <v/>
      </c>
      <c r="I2033">
        <f>IF(OC_Date=0,"",IF(INDEX('OneCause_Paste'!$A$2033:$AZ$2033,1,OC_Date)="","",INDEX('OneCause_Paste'!$A$2033:$AZ$2033,1,OC_Date)))</f>
        <v/>
      </c>
      <c r="J2033">
        <f>IF(OC_Amt=0,"",IF(INDEX('OneCause_Paste'!$A$2033:$AZ$2033,1,OC_Amt)="","",INDEX('OneCause_Paste'!$A$2033:$AZ$2033,1,OC_Amt)))</f>
        <v/>
      </c>
      <c r="K2033">
        <f>IF(OC_Name=0,"",IF(INDEX('OneCause_Paste'!$A$2033:$AZ$2033,1,OC_Name)="","",INDEX('OneCause_Paste'!$A$2033:$AZ$2033,1,OC_Name)))</f>
        <v/>
      </c>
      <c r="L2033">
        <f>IF(OC_Txn=0,"",IF(INDEX('OneCause_Paste'!$A$2033:$AZ$2033,1,OC_Txn)="","",INDEX('OneCause_Paste'!$A$2033:$AZ$2033,1,OC_Txn)))</f>
        <v/>
      </c>
      <c r="M2033">
        <f>IF(OC_Pay=0,"",IF(INDEX('OneCause_Paste'!$A$2033:$AZ$2033,1,OC_Pay)="","",INDEX('OneCause_Paste'!$A$2033:$AZ$2033,1,OC_Pay)))</f>
        <v/>
      </c>
      <c r="N2033">
        <f>IF(I2033="","",IF(ISNUMBER(I2033),INT(I2033),IFERROR(INT(DATEVALUE(I2033)),IFERROR(INT(VALUE(I2033)),"bad"))))</f>
        <v/>
      </c>
      <c r="O2033">
        <f>IF(J2033="","",IF(ISNUMBER(J2033),ROUND(J2033,2),IFERROR(ROUND(VALUE(SUBSTITUTE(SUBSTITUTE(SUBSTITUTE(J2033,"$",""),",","")," ","")),2),"bad")))</f>
        <v/>
      </c>
      <c r="P2033">
        <f>IF(TRIM(K2033)="","",IFERROR(MATCH(LOWER(TRIM(K2033)),'Students'!$AH$2:$AH$701,0),IFERROR(MATCH(LOWER(TRIM(K2033)),'Students'!$AF$2:$AF$701,0),IFERROR(MATCH(LOWER(TRIM(K2033)),'Students'!$AG$2:$AG$701,0),""))))</f>
        <v/>
      </c>
      <c r="R2033">
        <f>IF(P2033="","",INDEX('Students'!$AD$2:$AD$701,P2033))</f>
        <v/>
      </c>
      <c r="S2033">
        <f>IF(H2033="OK",O2033,0)</f>
        <v/>
      </c>
      <c r="T2033">
        <f>IF(H2033="OK",N2033,"")</f>
        <v/>
      </c>
      <c r="U2033">
        <f>IF(OC_Donor=0,"",IF(INDEX('OneCause_Paste'!$A$2033:$AZ$2033,1,OC_Donor)="","",INDEX('OneCause_Paste'!$A$2033:$AZ$2033,1,OC_Donor)))</f>
        <v/>
      </c>
    </row>
    <row r="2034">
      <c r="A2034" s="62">
        <f>IF(H2034="","",IF(ISNUMBER(N2034),N2034,I2034))</f>
        <v/>
      </c>
      <c r="B2034">
        <f>IF(H2034="","",U2034)</f>
        <v/>
      </c>
      <c r="C2034">
        <f>IF(H2034="","",IF(P2034="",K2034,INDEX('Students'!$A$2:$A$701,P2034)))</f>
        <v/>
      </c>
      <c r="D2034">
        <f>IF(OR(H2034="",P2034=""),"",INDEX('Students'!$B$2:$B$701,P2034))</f>
        <v/>
      </c>
      <c r="E2034">
        <f>IF(OR(H2034="",P2034=""),"",INDEX('Students'!$C$2:$C$701,P2034))</f>
        <v/>
      </c>
      <c r="F2034" s="48">
        <f>IF(H2034="","",IF(ISNUMBER(O2034),O2034,J2034))</f>
        <v/>
      </c>
      <c r="G2034">
        <f>IF(H2034="","","OneCause")</f>
        <v/>
      </c>
      <c r="H2034">
        <f>IF(AND(I2034="",J2034="",K2034=""),"",IF(NOT(ISNUMBER(O2034)),"Bad amount",IF(O2034&lt;0,"Refund (not counted)",IF(O2034=0,"Zero amount",IF(NOT(ISNUMBER(N2034)),"Bad date",IF(P2034="","NAME NOT ON ROSTER",IF(L2034="","OK",IF(MATCH(L2034,$L$2:$L$3001,0)&lt;ROW()-1,"Duplicate (ignored)","OK"))))))))</f>
        <v/>
      </c>
      <c r="I2034">
        <f>IF(OC_Date=0,"",IF(INDEX('OneCause_Paste'!$A$2034:$AZ$2034,1,OC_Date)="","",INDEX('OneCause_Paste'!$A$2034:$AZ$2034,1,OC_Date)))</f>
        <v/>
      </c>
      <c r="J2034">
        <f>IF(OC_Amt=0,"",IF(INDEX('OneCause_Paste'!$A$2034:$AZ$2034,1,OC_Amt)="","",INDEX('OneCause_Paste'!$A$2034:$AZ$2034,1,OC_Amt)))</f>
        <v/>
      </c>
      <c r="K2034">
        <f>IF(OC_Name=0,"",IF(INDEX('OneCause_Paste'!$A$2034:$AZ$2034,1,OC_Name)="","",INDEX('OneCause_Paste'!$A$2034:$AZ$2034,1,OC_Name)))</f>
        <v/>
      </c>
      <c r="L2034">
        <f>IF(OC_Txn=0,"",IF(INDEX('OneCause_Paste'!$A$2034:$AZ$2034,1,OC_Txn)="","",INDEX('OneCause_Paste'!$A$2034:$AZ$2034,1,OC_Txn)))</f>
        <v/>
      </c>
      <c r="M2034">
        <f>IF(OC_Pay=0,"",IF(INDEX('OneCause_Paste'!$A$2034:$AZ$2034,1,OC_Pay)="","",INDEX('OneCause_Paste'!$A$2034:$AZ$2034,1,OC_Pay)))</f>
        <v/>
      </c>
      <c r="N2034">
        <f>IF(I2034="","",IF(ISNUMBER(I2034),INT(I2034),IFERROR(INT(DATEVALUE(I2034)),IFERROR(INT(VALUE(I2034)),"bad"))))</f>
        <v/>
      </c>
      <c r="O2034">
        <f>IF(J2034="","",IF(ISNUMBER(J2034),ROUND(J2034,2),IFERROR(ROUND(VALUE(SUBSTITUTE(SUBSTITUTE(SUBSTITUTE(J2034,"$",""),",","")," ","")),2),"bad")))</f>
        <v/>
      </c>
      <c r="P2034">
        <f>IF(TRIM(K2034)="","",IFERROR(MATCH(LOWER(TRIM(K2034)),'Students'!$AH$2:$AH$701,0),IFERROR(MATCH(LOWER(TRIM(K2034)),'Students'!$AF$2:$AF$701,0),IFERROR(MATCH(LOWER(TRIM(K2034)),'Students'!$AG$2:$AG$701,0),""))))</f>
        <v/>
      </c>
      <c r="R2034">
        <f>IF(P2034="","",INDEX('Students'!$AD$2:$AD$701,P2034))</f>
        <v/>
      </c>
      <c r="S2034">
        <f>IF(H2034="OK",O2034,0)</f>
        <v/>
      </c>
      <c r="T2034">
        <f>IF(H2034="OK",N2034,"")</f>
        <v/>
      </c>
      <c r="U2034">
        <f>IF(OC_Donor=0,"",IF(INDEX('OneCause_Paste'!$A$2034:$AZ$2034,1,OC_Donor)="","",INDEX('OneCause_Paste'!$A$2034:$AZ$2034,1,OC_Donor)))</f>
        <v/>
      </c>
    </row>
    <row r="2035">
      <c r="A2035" s="62">
        <f>IF(H2035="","",IF(ISNUMBER(N2035),N2035,I2035))</f>
        <v/>
      </c>
      <c r="B2035">
        <f>IF(H2035="","",U2035)</f>
        <v/>
      </c>
      <c r="C2035">
        <f>IF(H2035="","",IF(P2035="",K2035,INDEX('Students'!$A$2:$A$701,P2035)))</f>
        <v/>
      </c>
      <c r="D2035">
        <f>IF(OR(H2035="",P2035=""),"",INDEX('Students'!$B$2:$B$701,P2035))</f>
        <v/>
      </c>
      <c r="E2035">
        <f>IF(OR(H2035="",P2035=""),"",INDEX('Students'!$C$2:$C$701,P2035))</f>
        <v/>
      </c>
      <c r="F2035" s="48">
        <f>IF(H2035="","",IF(ISNUMBER(O2035),O2035,J2035))</f>
        <v/>
      </c>
      <c r="G2035">
        <f>IF(H2035="","","OneCause")</f>
        <v/>
      </c>
      <c r="H2035">
        <f>IF(AND(I2035="",J2035="",K2035=""),"",IF(NOT(ISNUMBER(O2035)),"Bad amount",IF(O2035&lt;0,"Refund (not counted)",IF(O2035=0,"Zero amount",IF(NOT(ISNUMBER(N2035)),"Bad date",IF(P2035="","NAME NOT ON ROSTER",IF(L2035="","OK",IF(MATCH(L2035,$L$2:$L$3001,0)&lt;ROW()-1,"Duplicate (ignored)","OK"))))))))</f>
        <v/>
      </c>
      <c r="I2035">
        <f>IF(OC_Date=0,"",IF(INDEX('OneCause_Paste'!$A$2035:$AZ$2035,1,OC_Date)="","",INDEX('OneCause_Paste'!$A$2035:$AZ$2035,1,OC_Date)))</f>
        <v/>
      </c>
      <c r="J2035">
        <f>IF(OC_Amt=0,"",IF(INDEX('OneCause_Paste'!$A$2035:$AZ$2035,1,OC_Amt)="","",INDEX('OneCause_Paste'!$A$2035:$AZ$2035,1,OC_Amt)))</f>
        <v/>
      </c>
      <c r="K2035">
        <f>IF(OC_Name=0,"",IF(INDEX('OneCause_Paste'!$A$2035:$AZ$2035,1,OC_Name)="","",INDEX('OneCause_Paste'!$A$2035:$AZ$2035,1,OC_Name)))</f>
        <v/>
      </c>
      <c r="L2035">
        <f>IF(OC_Txn=0,"",IF(INDEX('OneCause_Paste'!$A$2035:$AZ$2035,1,OC_Txn)="","",INDEX('OneCause_Paste'!$A$2035:$AZ$2035,1,OC_Txn)))</f>
        <v/>
      </c>
      <c r="M2035">
        <f>IF(OC_Pay=0,"",IF(INDEX('OneCause_Paste'!$A$2035:$AZ$2035,1,OC_Pay)="","",INDEX('OneCause_Paste'!$A$2035:$AZ$2035,1,OC_Pay)))</f>
        <v/>
      </c>
      <c r="N2035">
        <f>IF(I2035="","",IF(ISNUMBER(I2035),INT(I2035),IFERROR(INT(DATEVALUE(I2035)),IFERROR(INT(VALUE(I2035)),"bad"))))</f>
        <v/>
      </c>
      <c r="O2035">
        <f>IF(J2035="","",IF(ISNUMBER(J2035),ROUND(J2035,2),IFERROR(ROUND(VALUE(SUBSTITUTE(SUBSTITUTE(SUBSTITUTE(J2035,"$",""),",","")," ","")),2),"bad")))</f>
        <v/>
      </c>
      <c r="P2035">
        <f>IF(TRIM(K2035)="","",IFERROR(MATCH(LOWER(TRIM(K2035)),'Students'!$AH$2:$AH$701,0),IFERROR(MATCH(LOWER(TRIM(K2035)),'Students'!$AF$2:$AF$701,0),IFERROR(MATCH(LOWER(TRIM(K2035)),'Students'!$AG$2:$AG$701,0),""))))</f>
        <v/>
      </c>
      <c r="R2035">
        <f>IF(P2035="","",INDEX('Students'!$AD$2:$AD$701,P2035))</f>
        <v/>
      </c>
      <c r="S2035">
        <f>IF(H2035="OK",O2035,0)</f>
        <v/>
      </c>
      <c r="T2035">
        <f>IF(H2035="OK",N2035,"")</f>
        <v/>
      </c>
      <c r="U2035">
        <f>IF(OC_Donor=0,"",IF(INDEX('OneCause_Paste'!$A$2035:$AZ$2035,1,OC_Donor)="","",INDEX('OneCause_Paste'!$A$2035:$AZ$2035,1,OC_Donor)))</f>
        <v/>
      </c>
    </row>
    <row r="2036">
      <c r="A2036" s="62">
        <f>IF(H2036="","",IF(ISNUMBER(N2036),N2036,I2036))</f>
        <v/>
      </c>
      <c r="B2036">
        <f>IF(H2036="","",U2036)</f>
        <v/>
      </c>
      <c r="C2036">
        <f>IF(H2036="","",IF(P2036="",K2036,INDEX('Students'!$A$2:$A$701,P2036)))</f>
        <v/>
      </c>
      <c r="D2036">
        <f>IF(OR(H2036="",P2036=""),"",INDEX('Students'!$B$2:$B$701,P2036))</f>
        <v/>
      </c>
      <c r="E2036">
        <f>IF(OR(H2036="",P2036=""),"",INDEX('Students'!$C$2:$C$701,P2036))</f>
        <v/>
      </c>
      <c r="F2036" s="48">
        <f>IF(H2036="","",IF(ISNUMBER(O2036),O2036,J2036))</f>
        <v/>
      </c>
      <c r="G2036">
        <f>IF(H2036="","","OneCause")</f>
        <v/>
      </c>
      <c r="H2036">
        <f>IF(AND(I2036="",J2036="",K2036=""),"",IF(NOT(ISNUMBER(O2036)),"Bad amount",IF(O2036&lt;0,"Refund (not counted)",IF(O2036=0,"Zero amount",IF(NOT(ISNUMBER(N2036)),"Bad date",IF(P2036="","NAME NOT ON ROSTER",IF(L2036="","OK",IF(MATCH(L2036,$L$2:$L$3001,0)&lt;ROW()-1,"Duplicate (ignored)","OK"))))))))</f>
        <v/>
      </c>
      <c r="I2036">
        <f>IF(OC_Date=0,"",IF(INDEX('OneCause_Paste'!$A$2036:$AZ$2036,1,OC_Date)="","",INDEX('OneCause_Paste'!$A$2036:$AZ$2036,1,OC_Date)))</f>
        <v/>
      </c>
      <c r="J2036">
        <f>IF(OC_Amt=0,"",IF(INDEX('OneCause_Paste'!$A$2036:$AZ$2036,1,OC_Amt)="","",INDEX('OneCause_Paste'!$A$2036:$AZ$2036,1,OC_Amt)))</f>
        <v/>
      </c>
      <c r="K2036">
        <f>IF(OC_Name=0,"",IF(INDEX('OneCause_Paste'!$A$2036:$AZ$2036,1,OC_Name)="","",INDEX('OneCause_Paste'!$A$2036:$AZ$2036,1,OC_Name)))</f>
        <v/>
      </c>
      <c r="L2036">
        <f>IF(OC_Txn=0,"",IF(INDEX('OneCause_Paste'!$A$2036:$AZ$2036,1,OC_Txn)="","",INDEX('OneCause_Paste'!$A$2036:$AZ$2036,1,OC_Txn)))</f>
        <v/>
      </c>
      <c r="M2036">
        <f>IF(OC_Pay=0,"",IF(INDEX('OneCause_Paste'!$A$2036:$AZ$2036,1,OC_Pay)="","",INDEX('OneCause_Paste'!$A$2036:$AZ$2036,1,OC_Pay)))</f>
        <v/>
      </c>
      <c r="N2036">
        <f>IF(I2036="","",IF(ISNUMBER(I2036),INT(I2036),IFERROR(INT(DATEVALUE(I2036)),IFERROR(INT(VALUE(I2036)),"bad"))))</f>
        <v/>
      </c>
      <c r="O2036">
        <f>IF(J2036="","",IF(ISNUMBER(J2036),ROUND(J2036,2),IFERROR(ROUND(VALUE(SUBSTITUTE(SUBSTITUTE(SUBSTITUTE(J2036,"$",""),",","")," ","")),2),"bad")))</f>
        <v/>
      </c>
      <c r="P2036">
        <f>IF(TRIM(K2036)="","",IFERROR(MATCH(LOWER(TRIM(K2036)),'Students'!$AH$2:$AH$701,0),IFERROR(MATCH(LOWER(TRIM(K2036)),'Students'!$AF$2:$AF$701,0),IFERROR(MATCH(LOWER(TRIM(K2036)),'Students'!$AG$2:$AG$701,0),""))))</f>
        <v/>
      </c>
      <c r="R2036">
        <f>IF(P2036="","",INDEX('Students'!$AD$2:$AD$701,P2036))</f>
        <v/>
      </c>
      <c r="S2036">
        <f>IF(H2036="OK",O2036,0)</f>
        <v/>
      </c>
      <c r="T2036">
        <f>IF(H2036="OK",N2036,"")</f>
        <v/>
      </c>
      <c r="U2036">
        <f>IF(OC_Donor=0,"",IF(INDEX('OneCause_Paste'!$A$2036:$AZ$2036,1,OC_Donor)="","",INDEX('OneCause_Paste'!$A$2036:$AZ$2036,1,OC_Donor)))</f>
        <v/>
      </c>
    </row>
    <row r="2037">
      <c r="A2037" s="62">
        <f>IF(H2037="","",IF(ISNUMBER(N2037),N2037,I2037))</f>
        <v/>
      </c>
      <c r="B2037">
        <f>IF(H2037="","",U2037)</f>
        <v/>
      </c>
      <c r="C2037">
        <f>IF(H2037="","",IF(P2037="",K2037,INDEX('Students'!$A$2:$A$701,P2037)))</f>
        <v/>
      </c>
      <c r="D2037">
        <f>IF(OR(H2037="",P2037=""),"",INDEX('Students'!$B$2:$B$701,P2037))</f>
        <v/>
      </c>
      <c r="E2037">
        <f>IF(OR(H2037="",P2037=""),"",INDEX('Students'!$C$2:$C$701,P2037))</f>
        <v/>
      </c>
      <c r="F2037" s="48">
        <f>IF(H2037="","",IF(ISNUMBER(O2037),O2037,J2037))</f>
        <v/>
      </c>
      <c r="G2037">
        <f>IF(H2037="","","OneCause")</f>
        <v/>
      </c>
      <c r="H2037">
        <f>IF(AND(I2037="",J2037="",K2037=""),"",IF(NOT(ISNUMBER(O2037)),"Bad amount",IF(O2037&lt;0,"Refund (not counted)",IF(O2037=0,"Zero amount",IF(NOT(ISNUMBER(N2037)),"Bad date",IF(P2037="","NAME NOT ON ROSTER",IF(L2037="","OK",IF(MATCH(L2037,$L$2:$L$3001,0)&lt;ROW()-1,"Duplicate (ignored)","OK"))))))))</f>
        <v/>
      </c>
      <c r="I2037">
        <f>IF(OC_Date=0,"",IF(INDEX('OneCause_Paste'!$A$2037:$AZ$2037,1,OC_Date)="","",INDEX('OneCause_Paste'!$A$2037:$AZ$2037,1,OC_Date)))</f>
        <v/>
      </c>
      <c r="J2037">
        <f>IF(OC_Amt=0,"",IF(INDEX('OneCause_Paste'!$A$2037:$AZ$2037,1,OC_Amt)="","",INDEX('OneCause_Paste'!$A$2037:$AZ$2037,1,OC_Amt)))</f>
        <v/>
      </c>
      <c r="K2037">
        <f>IF(OC_Name=0,"",IF(INDEX('OneCause_Paste'!$A$2037:$AZ$2037,1,OC_Name)="","",INDEX('OneCause_Paste'!$A$2037:$AZ$2037,1,OC_Name)))</f>
        <v/>
      </c>
      <c r="L2037">
        <f>IF(OC_Txn=0,"",IF(INDEX('OneCause_Paste'!$A$2037:$AZ$2037,1,OC_Txn)="","",INDEX('OneCause_Paste'!$A$2037:$AZ$2037,1,OC_Txn)))</f>
        <v/>
      </c>
      <c r="M2037">
        <f>IF(OC_Pay=0,"",IF(INDEX('OneCause_Paste'!$A$2037:$AZ$2037,1,OC_Pay)="","",INDEX('OneCause_Paste'!$A$2037:$AZ$2037,1,OC_Pay)))</f>
        <v/>
      </c>
      <c r="N2037">
        <f>IF(I2037="","",IF(ISNUMBER(I2037),INT(I2037),IFERROR(INT(DATEVALUE(I2037)),IFERROR(INT(VALUE(I2037)),"bad"))))</f>
        <v/>
      </c>
      <c r="O2037">
        <f>IF(J2037="","",IF(ISNUMBER(J2037),ROUND(J2037,2),IFERROR(ROUND(VALUE(SUBSTITUTE(SUBSTITUTE(SUBSTITUTE(J2037,"$",""),",","")," ","")),2),"bad")))</f>
        <v/>
      </c>
      <c r="P2037">
        <f>IF(TRIM(K2037)="","",IFERROR(MATCH(LOWER(TRIM(K2037)),'Students'!$AH$2:$AH$701,0),IFERROR(MATCH(LOWER(TRIM(K2037)),'Students'!$AF$2:$AF$701,0),IFERROR(MATCH(LOWER(TRIM(K2037)),'Students'!$AG$2:$AG$701,0),""))))</f>
        <v/>
      </c>
      <c r="R2037">
        <f>IF(P2037="","",INDEX('Students'!$AD$2:$AD$701,P2037))</f>
        <v/>
      </c>
      <c r="S2037">
        <f>IF(H2037="OK",O2037,0)</f>
        <v/>
      </c>
      <c r="T2037">
        <f>IF(H2037="OK",N2037,"")</f>
        <v/>
      </c>
      <c r="U2037">
        <f>IF(OC_Donor=0,"",IF(INDEX('OneCause_Paste'!$A$2037:$AZ$2037,1,OC_Donor)="","",INDEX('OneCause_Paste'!$A$2037:$AZ$2037,1,OC_Donor)))</f>
        <v/>
      </c>
    </row>
    <row r="2038">
      <c r="A2038" s="62">
        <f>IF(H2038="","",IF(ISNUMBER(N2038),N2038,I2038))</f>
        <v/>
      </c>
      <c r="B2038">
        <f>IF(H2038="","",U2038)</f>
        <v/>
      </c>
      <c r="C2038">
        <f>IF(H2038="","",IF(P2038="",K2038,INDEX('Students'!$A$2:$A$701,P2038)))</f>
        <v/>
      </c>
      <c r="D2038">
        <f>IF(OR(H2038="",P2038=""),"",INDEX('Students'!$B$2:$B$701,P2038))</f>
        <v/>
      </c>
      <c r="E2038">
        <f>IF(OR(H2038="",P2038=""),"",INDEX('Students'!$C$2:$C$701,P2038))</f>
        <v/>
      </c>
      <c r="F2038" s="48">
        <f>IF(H2038="","",IF(ISNUMBER(O2038),O2038,J2038))</f>
        <v/>
      </c>
      <c r="G2038">
        <f>IF(H2038="","","OneCause")</f>
        <v/>
      </c>
      <c r="H2038">
        <f>IF(AND(I2038="",J2038="",K2038=""),"",IF(NOT(ISNUMBER(O2038)),"Bad amount",IF(O2038&lt;0,"Refund (not counted)",IF(O2038=0,"Zero amount",IF(NOT(ISNUMBER(N2038)),"Bad date",IF(P2038="","NAME NOT ON ROSTER",IF(L2038="","OK",IF(MATCH(L2038,$L$2:$L$3001,0)&lt;ROW()-1,"Duplicate (ignored)","OK"))))))))</f>
        <v/>
      </c>
      <c r="I2038">
        <f>IF(OC_Date=0,"",IF(INDEX('OneCause_Paste'!$A$2038:$AZ$2038,1,OC_Date)="","",INDEX('OneCause_Paste'!$A$2038:$AZ$2038,1,OC_Date)))</f>
        <v/>
      </c>
      <c r="J2038">
        <f>IF(OC_Amt=0,"",IF(INDEX('OneCause_Paste'!$A$2038:$AZ$2038,1,OC_Amt)="","",INDEX('OneCause_Paste'!$A$2038:$AZ$2038,1,OC_Amt)))</f>
        <v/>
      </c>
      <c r="K2038">
        <f>IF(OC_Name=0,"",IF(INDEX('OneCause_Paste'!$A$2038:$AZ$2038,1,OC_Name)="","",INDEX('OneCause_Paste'!$A$2038:$AZ$2038,1,OC_Name)))</f>
        <v/>
      </c>
      <c r="L2038">
        <f>IF(OC_Txn=0,"",IF(INDEX('OneCause_Paste'!$A$2038:$AZ$2038,1,OC_Txn)="","",INDEX('OneCause_Paste'!$A$2038:$AZ$2038,1,OC_Txn)))</f>
        <v/>
      </c>
      <c r="M2038">
        <f>IF(OC_Pay=0,"",IF(INDEX('OneCause_Paste'!$A$2038:$AZ$2038,1,OC_Pay)="","",INDEX('OneCause_Paste'!$A$2038:$AZ$2038,1,OC_Pay)))</f>
        <v/>
      </c>
      <c r="N2038">
        <f>IF(I2038="","",IF(ISNUMBER(I2038),INT(I2038),IFERROR(INT(DATEVALUE(I2038)),IFERROR(INT(VALUE(I2038)),"bad"))))</f>
        <v/>
      </c>
      <c r="O2038">
        <f>IF(J2038="","",IF(ISNUMBER(J2038),ROUND(J2038,2),IFERROR(ROUND(VALUE(SUBSTITUTE(SUBSTITUTE(SUBSTITUTE(J2038,"$",""),",","")," ","")),2),"bad")))</f>
        <v/>
      </c>
      <c r="P2038">
        <f>IF(TRIM(K2038)="","",IFERROR(MATCH(LOWER(TRIM(K2038)),'Students'!$AH$2:$AH$701,0),IFERROR(MATCH(LOWER(TRIM(K2038)),'Students'!$AF$2:$AF$701,0),IFERROR(MATCH(LOWER(TRIM(K2038)),'Students'!$AG$2:$AG$701,0),""))))</f>
        <v/>
      </c>
      <c r="R2038">
        <f>IF(P2038="","",INDEX('Students'!$AD$2:$AD$701,P2038))</f>
        <v/>
      </c>
      <c r="S2038">
        <f>IF(H2038="OK",O2038,0)</f>
        <v/>
      </c>
      <c r="T2038">
        <f>IF(H2038="OK",N2038,"")</f>
        <v/>
      </c>
      <c r="U2038">
        <f>IF(OC_Donor=0,"",IF(INDEX('OneCause_Paste'!$A$2038:$AZ$2038,1,OC_Donor)="","",INDEX('OneCause_Paste'!$A$2038:$AZ$2038,1,OC_Donor)))</f>
        <v/>
      </c>
    </row>
    <row r="2039">
      <c r="A2039" s="62">
        <f>IF(H2039="","",IF(ISNUMBER(N2039),N2039,I2039))</f>
        <v/>
      </c>
      <c r="B2039">
        <f>IF(H2039="","",U2039)</f>
        <v/>
      </c>
      <c r="C2039">
        <f>IF(H2039="","",IF(P2039="",K2039,INDEX('Students'!$A$2:$A$701,P2039)))</f>
        <v/>
      </c>
      <c r="D2039">
        <f>IF(OR(H2039="",P2039=""),"",INDEX('Students'!$B$2:$B$701,P2039))</f>
        <v/>
      </c>
      <c r="E2039">
        <f>IF(OR(H2039="",P2039=""),"",INDEX('Students'!$C$2:$C$701,P2039))</f>
        <v/>
      </c>
      <c r="F2039" s="48">
        <f>IF(H2039="","",IF(ISNUMBER(O2039),O2039,J2039))</f>
        <v/>
      </c>
      <c r="G2039">
        <f>IF(H2039="","","OneCause")</f>
        <v/>
      </c>
      <c r="H2039">
        <f>IF(AND(I2039="",J2039="",K2039=""),"",IF(NOT(ISNUMBER(O2039)),"Bad amount",IF(O2039&lt;0,"Refund (not counted)",IF(O2039=0,"Zero amount",IF(NOT(ISNUMBER(N2039)),"Bad date",IF(P2039="","NAME NOT ON ROSTER",IF(L2039="","OK",IF(MATCH(L2039,$L$2:$L$3001,0)&lt;ROW()-1,"Duplicate (ignored)","OK"))))))))</f>
        <v/>
      </c>
      <c r="I2039">
        <f>IF(OC_Date=0,"",IF(INDEX('OneCause_Paste'!$A$2039:$AZ$2039,1,OC_Date)="","",INDEX('OneCause_Paste'!$A$2039:$AZ$2039,1,OC_Date)))</f>
        <v/>
      </c>
      <c r="J2039">
        <f>IF(OC_Amt=0,"",IF(INDEX('OneCause_Paste'!$A$2039:$AZ$2039,1,OC_Amt)="","",INDEX('OneCause_Paste'!$A$2039:$AZ$2039,1,OC_Amt)))</f>
        <v/>
      </c>
      <c r="K2039">
        <f>IF(OC_Name=0,"",IF(INDEX('OneCause_Paste'!$A$2039:$AZ$2039,1,OC_Name)="","",INDEX('OneCause_Paste'!$A$2039:$AZ$2039,1,OC_Name)))</f>
        <v/>
      </c>
      <c r="L2039">
        <f>IF(OC_Txn=0,"",IF(INDEX('OneCause_Paste'!$A$2039:$AZ$2039,1,OC_Txn)="","",INDEX('OneCause_Paste'!$A$2039:$AZ$2039,1,OC_Txn)))</f>
        <v/>
      </c>
      <c r="M2039">
        <f>IF(OC_Pay=0,"",IF(INDEX('OneCause_Paste'!$A$2039:$AZ$2039,1,OC_Pay)="","",INDEX('OneCause_Paste'!$A$2039:$AZ$2039,1,OC_Pay)))</f>
        <v/>
      </c>
      <c r="N2039">
        <f>IF(I2039="","",IF(ISNUMBER(I2039),INT(I2039),IFERROR(INT(DATEVALUE(I2039)),IFERROR(INT(VALUE(I2039)),"bad"))))</f>
        <v/>
      </c>
      <c r="O2039">
        <f>IF(J2039="","",IF(ISNUMBER(J2039),ROUND(J2039,2),IFERROR(ROUND(VALUE(SUBSTITUTE(SUBSTITUTE(SUBSTITUTE(J2039,"$",""),",","")," ","")),2),"bad")))</f>
        <v/>
      </c>
      <c r="P2039">
        <f>IF(TRIM(K2039)="","",IFERROR(MATCH(LOWER(TRIM(K2039)),'Students'!$AH$2:$AH$701,0),IFERROR(MATCH(LOWER(TRIM(K2039)),'Students'!$AF$2:$AF$701,0),IFERROR(MATCH(LOWER(TRIM(K2039)),'Students'!$AG$2:$AG$701,0),""))))</f>
        <v/>
      </c>
      <c r="R2039">
        <f>IF(P2039="","",INDEX('Students'!$AD$2:$AD$701,P2039))</f>
        <v/>
      </c>
      <c r="S2039">
        <f>IF(H2039="OK",O2039,0)</f>
        <v/>
      </c>
      <c r="T2039">
        <f>IF(H2039="OK",N2039,"")</f>
        <v/>
      </c>
      <c r="U2039">
        <f>IF(OC_Donor=0,"",IF(INDEX('OneCause_Paste'!$A$2039:$AZ$2039,1,OC_Donor)="","",INDEX('OneCause_Paste'!$A$2039:$AZ$2039,1,OC_Donor)))</f>
        <v/>
      </c>
    </row>
    <row r="2040">
      <c r="A2040" s="62">
        <f>IF(H2040="","",IF(ISNUMBER(N2040),N2040,I2040))</f>
        <v/>
      </c>
      <c r="B2040">
        <f>IF(H2040="","",U2040)</f>
        <v/>
      </c>
      <c r="C2040">
        <f>IF(H2040="","",IF(P2040="",K2040,INDEX('Students'!$A$2:$A$701,P2040)))</f>
        <v/>
      </c>
      <c r="D2040">
        <f>IF(OR(H2040="",P2040=""),"",INDEX('Students'!$B$2:$B$701,P2040))</f>
        <v/>
      </c>
      <c r="E2040">
        <f>IF(OR(H2040="",P2040=""),"",INDEX('Students'!$C$2:$C$701,P2040))</f>
        <v/>
      </c>
      <c r="F2040" s="48">
        <f>IF(H2040="","",IF(ISNUMBER(O2040),O2040,J2040))</f>
        <v/>
      </c>
      <c r="G2040">
        <f>IF(H2040="","","OneCause")</f>
        <v/>
      </c>
      <c r="H2040">
        <f>IF(AND(I2040="",J2040="",K2040=""),"",IF(NOT(ISNUMBER(O2040)),"Bad amount",IF(O2040&lt;0,"Refund (not counted)",IF(O2040=0,"Zero amount",IF(NOT(ISNUMBER(N2040)),"Bad date",IF(P2040="","NAME NOT ON ROSTER",IF(L2040="","OK",IF(MATCH(L2040,$L$2:$L$3001,0)&lt;ROW()-1,"Duplicate (ignored)","OK"))))))))</f>
        <v/>
      </c>
      <c r="I2040">
        <f>IF(OC_Date=0,"",IF(INDEX('OneCause_Paste'!$A$2040:$AZ$2040,1,OC_Date)="","",INDEX('OneCause_Paste'!$A$2040:$AZ$2040,1,OC_Date)))</f>
        <v/>
      </c>
      <c r="J2040">
        <f>IF(OC_Amt=0,"",IF(INDEX('OneCause_Paste'!$A$2040:$AZ$2040,1,OC_Amt)="","",INDEX('OneCause_Paste'!$A$2040:$AZ$2040,1,OC_Amt)))</f>
        <v/>
      </c>
      <c r="K2040">
        <f>IF(OC_Name=0,"",IF(INDEX('OneCause_Paste'!$A$2040:$AZ$2040,1,OC_Name)="","",INDEX('OneCause_Paste'!$A$2040:$AZ$2040,1,OC_Name)))</f>
        <v/>
      </c>
      <c r="L2040">
        <f>IF(OC_Txn=0,"",IF(INDEX('OneCause_Paste'!$A$2040:$AZ$2040,1,OC_Txn)="","",INDEX('OneCause_Paste'!$A$2040:$AZ$2040,1,OC_Txn)))</f>
        <v/>
      </c>
      <c r="M2040">
        <f>IF(OC_Pay=0,"",IF(INDEX('OneCause_Paste'!$A$2040:$AZ$2040,1,OC_Pay)="","",INDEX('OneCause_Paste'!$A$2040:$AZ$2040,1,OC_Pay)))</f>
        <v/>
      </c>
      <c r="N2040">
        <f>IF(I2040="","",IF(ISNUMBER(I2040),INT(I2040),IFERROR(INT(DATEVALUE(I2040)),IFERROR(INT(VALUE(I2040)),"bad"))))</f>
        <v/>
      </c>
      <c r="O2040">
        <f>IF(J2040="","",IF(ISNUMBER(J2040),ROUND(J2040,2),IFERROR(ROUND(VALUE(SUBSTITUTE(SUBSTITUTE(SUBSTITUTE(J2040,"$",""),",","")," ","")),2),"bad")))</f>
        <v/>
      </c>
      <c r="P2040">
        <f>IF(TRIM(K2040)="","",IFERROR(MATCH(LOWER(TRIM(K2040)),'Students'!$AH$2:$AH$701,0),IFERROR(MATCH(LOWER(TRIM(K2040)),'Students'!$AF$2:$AF$701,0),IFERROR(MATCH(LOWER(TRIM(K2040)),'Students'!$AG$2:$AG$701,0),""))))</f>
        <v/>
      </c>
      <c r="R2040">
        <f>IF(P2040="","",INDEX('Students'!$AD$2:$AD$701,P2040))</f>
        <v/>
      </c>
      <c r="S2040">
        <f>IF(H2040="OK",O2040,0)</f>
        <v/>
      </c>
      <c r="T2040">
        <f>IF(H2040="OK",N2040,"")</f>
        <v/>
      </c>
      <c r="U2040">
        <f>IF(OC_Donor=0,"",IF(INDEX('OneCause_Paste'!$A$2040:$AZ$2040,1,OC_Donor)="","",INDEX('OneCause_Paste'!$A$2040:$AZ$2040,1,OC_Donor)))</f>
        <v/>
      </c>
    </row>
    <row r="2041">
      <c r="A2041" s="62">
        <f>IF(H2041="","",IF(ISNUMBER(N2041),N2041,I2041))</f>
        <v/>
      </c>
      <c r="B2041">
        <f>IF(H2041="","",U2041)</f>
        <v/>
      </c>
      <c r="C2041">
        <f>IF(H2041="","",IF(P2041="",K2041,INDEX('Students'!$A$2:$A$701,P2041)))</f>
        <v/>
      </c>
      <c r="D2041">
        <f>IF(OR(H2041="",P2041=""),"",INDEX('Students'!$B$2:$B$701,P2041))</f>
        <v/>
      </c>
      <c r="E2041">
        <f>IF(OR(H2041="",P2041=""),"",INDEX('Students'!$C$2:$C$701,P2041))</f>
        <v/>
      </c>
      <c r="F2041" s="48">
        <f>IF(H2041="","",IF(ISNUMBER(O2041),O2041,J2041))</f>
        <v/>
      </c>
      <c r="G2041">
        <f>IF(H2041="","","OneCause")</f>
        <v/>
      </c>
      <c r="H2041">
        <f>IF(AND(I2041="",J2041="",K2041=""),"",IF(NOT(ISNUMBER(O2041)),"Bad amount",IF(O2041&lt;0,"Refund (not counted)",IF(O2041=0,"Zero amount",IF(NOT(ISNUMBER(N2041)),"Bad date",IF(P2041="","NAME NOT ON ROSTER",IF(L2041="","OK",IF(MATCH(L2041,$L$2:$L$3001,0)&lt;ROW()-1,"Duplicate (ignored)","OK"))))))))</f>
        <v/>
      </c>
      <c r="I2041">
        <f>IF(OC_Date=0,"",IF(INDEX('OneCause_Paste'!$A$2041:$AZ$2041,1,OC_Date)="","",INDEX('OneCause_Paste'!$A$2041:$AZ$2041,1,OC_Date)))</f>
        <v/>
      </c>
      <c r="J2041">
        <f>IF(OC_Amt=0,"",IF(INDEX('OneCause_Paste'!$A$2041:$AZ$2041,1,OC_Amt)="","",INDEX('OneCause_Paste'!$A$2041:$AZ$2041,1,OC_Amt)))</f>
        <v/>
      </c>
      <c r="K2041">
        <f>IF(OC_Name=0,"",IF(INDEX('OneCause_Paste'!$A$2041:$AZ$2041,1,OC_Name)="","",INDEX('OneCause_Paste'!$A$2041:$AZ$2041,1,OC_Name)))</f>
        <v/>
      </c>
      <c r="L2041">
        <f>IF(OC_Txn=0,"",IF(INDEX('OneCause_Paste'!$A$2041:$AZ$2041,1,OC_Txn)="","",INDEX('OneCause_Paste'!$A$2041:$AZ$2041,1,OC_Txn)))</f>
        <v/>
      </c>
      <c r="M2041">
        <f>IF(OC_Pay=0,"",IF(INDEX('OneCause_Paste'!$A$2041:$AZ$2041,1,OC_Pay)="","",INDEX('OneCause_Paste'!$A$2041:$AZ$2041,1,OC_Pay)))</f>
        <v/>
      </c>
      <c r="N2041">
        <f>IF(I2041="","",IF(ISNUMBER(I2041),INT(I2041),IFERROR(INT(DATEVALUE(I2041)),IFERROR(INT(VALUE(I2041)),"bad"))))</f>
        <v/>
      </c>
      <c r="O2041">
        <f>IF(J2041="","",IF(ISNUMBER(J2041),ROUND(J2041,2),IFERROR(ROUND(VALUE(SUBSTITUTE(SUBSTITUTE(SUBSTITUTE(J2041,"$",""),",","")," ","")),2),"bad")))</f>
        <v/>
      </c>
      <c r="P2041">
        <f>IF(TRIM(K2041)="","",IFERROR(MATCH(LOWER(TRIM(K2041)),'Students'!$AH$2:$AH$701,0),IFERROR(MATCH(LOWER(TRIM(K2041)),'Students'!$AF$2:$AF$701,0),IFERROR(MATCH(LOWER(TRIM(K2041)),'Students'!$AG$2:$AG$701,0),""))))</f>
        <v/>
      </c>
      <c r="R2041">
        <f>IF(P2041="","",INDEX('Students'!$AD$2:$AD$701,P2041))</f>
        <v/>
      </c>
      <c r="S2041">
        <f>IF(H2041="OK",O2041,0)</f>
        <v/>
      </c>
      <c r="T2041">
        <f>IF(H2041="OK",N2041,"")</f>
        <v/>
      </c>
      <c r="U2041">
        <f>IF(OC_Donor=0,"",IF(INDEX('OneCause_Paste'!$A$2041:$AZ$2041,1,OC_Donor)="","",INDEX('OneCause_Paste'!$A$2041:$AZ$2041,1,OC_Donor)))</f>
        <v/>
      </c>
    </row>
    <row r="2042">
      <c r="A2042" s="62">
        <f>IF(H2042="","",IF(ISNUMBER(N2042),N2042,I2042))</f>
        <v/>
      </c>
      <c r="B2042">
        <f>IF(H2042="","",U2042)</f>
        <v/>
      </c>
      <c r="C2042">
        <f>IF(H2042="","",IF(P2042="",K2042,INDEX('Students'!$A$2:$A$701,P2042)))</f>
        <v/>
      </c>
      <c r="D2042">
        <f>IF(OR(H2042="",P2042=""),"",INDEX('Students'!$B$2:$B$701,P2042))</f>
        <v/>
      </c>
      <c r="E2042">
        <f>IF(OR(H2042="",P2042=""),"",INDEX('Students'!$C$2:$C$701,P2042))</f>
        <v/>
      </c>
      <c r="F2042" s="48">
        <f>IF(H2042="","",IF(ISNUMBER(O2042),O2042,J2042))</f>
        <v/>
      </c>
      <c r="G2042">
        <f>IF(H2042="","","OneCause")</f>
        <v/>
      </c>
      <c r="H2042">
        <f>IF(AND(I2042="",J2042="",K2042=""),"",IF(NOT(ISNUMBER(O2042)),"Bad amount",IF(O2042&lt;0,"Refund (not counted)",IF(O2042=0,"Zero amount",IF(NOT(ISNUMBER(N2042)),"Bad date",IF(P2042="","NAME NOT ON ROSTER",IF(L2042="","OK",IF(MATCH(L2042,$L$2:$L$3001,0)&lt;ROW()-1,"Duplicate (ignored)","OK"))))))))</f>
        <v/>
      </c>
      <c r="I2042">
        <f>IF(OC_Date=0,"",IF(INDEX('OneCause_Paste'!$A$2042:$AZ$2042,1,OC_Date)="","",INDEX('OneCause_Paste'!$A$2042:$AZ$2042,1,OC_Date)))</f>
        <v/>
      </c>
      <c r="J2042">
        <f>IF(OC_Amt=0,"",IF(INDEX('OneCause_Paste'!$A$2042:$AZ$2042,1,OC_Amt)="","",INDEX('OneCause_Paste'!$A$2042:$AZ$2042,1,OC_Amt)))</f>
        <v/>
      </c>
      <c r="K2042">
        <f>IF(OC_Name=0,"",IF(INDEX('OneCause_Paste'!$A$2042:$AZ$2042,1,OC_Name)="","",INDEX('OneCause_Paste'!$A$2042:$AZ$2042,1,OC_Name)))</f>
        <v/>
      </c>
      <c r="L2042">
        <f>IF(OC_Txn=0,"",IF(INDEX('OneCause_Paste'!$A$2042:$AZ$2042,1,OC_Txn)="","",INDEX('OneCause_Paste'!$A$2042:$AZ$2042,1,OC_Txn)))</f>
        <v/>
      </c>
      <c r="M2042">
        <f>IF(OC_Pay=0,"",IF(INDEX('OneCause_Paste'!$A$2042:$AZ$2042,1,OC_Pay)="","",INDEX('OneCause_Paste'!$A$2042:$AZ$2042,1,OC_Pay)))</f>
        <v/>
      </c>
      <c r="N2042">
        <f>IF(I2042="","",IF(ISNUMBER(I2042),INT(I2042),IFERROR(INT(DATEVALUE(I2042)),IFERROR(INT(VALUE(I2042)),"bad"))))</f>
        <v/>
      </c>
      <c r="O2042">
        <f>IF(J2042="","",IF(ISNUMBER(J2042),ROUND(J2042,2),IFERROR(ROUND(VALUE(SUBSTITUTE(SUBSTITUTE(SUBSTITUTE(J2042,"$",""),",","")," ","")),2),"bad")))</f>
        <v/>
      </c>
      <c r="P2042">
        <f>IF(TRIM(K2042)="","",IFERROR(MATCH(LOWER(TRIM(K2042)),'Students'!$AH$2:$AH$701,0),IFERROR(MATCH(LOWER(TRIM(K2042)),'Students'!$AF$2:$AF$701,0),IFERROR(MATCH(LOWER(TRIM(K2042)),'Students'!$AG$2:$AG$701,0),""))))</f>
        <v/>
      </c>
      <c r="R2042">
        <f>IF(P2042="","",INDEX('Students'!$AD$2:$AD$701,P2042))</f>
        <v/>
      </c>
      <c r="S2042">
        <f>IF(H2042="OK",O2042,0)</f>
        <v/>
      </c>
      <c r="T2042">
        <f>IF(H2042="OK",N2042,"")</f>
        <v/>
      </c>
      <c r="U2042">
        <f>IF(OC_Donor=0,"",IF(INDEX('OneCause_Paste'!$A$2042:$AZ$2042,1,OC_Donor)="","",INDEX('OneCause_Paste'!$A$2042:$AZ$2042,1,OC_Donor)))</f>
        <v/>
      </c>
    </row>
    <row r="2043">
      <c r="A2043" s="62">
        <f>IF(H2043="","",IF(ISNUMBER(N2043),N2043,I2043))</f>
        <v/>
      </c>
      <c r="B2043">
        <f>IF(H2043="","",U2043)</f>
        <v/>
      </c>
      <c r="C2043">
        <f>IF(H2043="","",IF(P2043="",K2043,INDEX('Students'!$A$2:$A$701,P2043)))</f>
        <v/>
      </c>
      <c r="D2043">
        <f>IF(OR(H2043="",P2043=""),"",INDEX('Students'!$B$2:$B$701,P2043))</f>
        <v/>
      </c>
      <c r="E2043">
        <f>IF(OR(H2043="",P2043=""),"",INDEX('Students'!$C$2:$C$701,P2043))</f>
        <v/>
      </c>
      <c r="F2043" s="48">
        <f>IF(H2043="","",IF(ISNUMBER(O2043),O2043,J2043))</f>
        <v/>
      </c>
      <c r="G2043">
        <f>IF(H2043="","","OneCause")</f>
        <v/>
      </c>
      <c r="H2043">
        <f>IF(AND(I2043="",J2043="",K2043=""),"",IF(NOT(ISNUMBER(O2043)),"Bad amount",IF(O2043&lt;0,"Refund (not counted)",IF(O2043=0,"Zero amount",IF(NOT(ISNUMBER(N2043)),"Bad date",IF(P2043="","NAME NOT ON ROSTER",IF(L2043="","OK",IF(MATCH(L2043,$L$2:$L$3001,0)&lt;ROW()-1,"Duplicate (ignored)","OK"))))))))</f>
        <v/>
      </c>
      <c r="I2043">
        <f>IF(OC_Date=0,"",IF(INDEX('OneCause_Paste'!$A$2043:$AZ$2043,1,OC_Date)="","",INDEX('OneCause_Paste'!$A$2043:$AZ$2043,1,OC_Date)))</f>
        <v/>
      </c>
      <c r="J2043">
        <f>IF(OC_Amt=0,"",IF(INDEX('OneCause_Paste'!$A$2043:$AZ$2043,1,OC_Amt)="","",INDEX('OneCause_Paste'!$A$2043:$AZ$2043,1,OC_Amt)))</f>
        <v/>
      </c>
      <c r="K2043">
        <f>IF(OC_Name=0,"",IF(INDEX('OneCause_Paste'!$A$2043:$AZ$2043,1,OC_Name)="","",INDEX('OneCause_Paste'!$A$2043:$AZ$2043,1,OC_Name)))</f>
        <v/>
      </c>
      <c r="L2043">
        <f>IF(OC_Txn=0,"",IF(INDEX('OneCause_Paste'!$A$2043:$AZ$2043,1,OC_Txn)="","",INDEX('OneCause_Paste'!$A$2043:$AZ$2043,1,OC_Txn)))</f>
        <v/>
      </c>
      <c r="M2043">
        <f>IF(OC_Pay=0,"",IF(INDEX('OneCause_Paste'!$A$2043:$AZ$2043,1,OC_Pay)="","",INDEX('OneCause_Paste'!$A$2043:$AZ$2043,1,OC_Pay)))</f>
        <v/>
      </c>
      <c r="N2043">
        <f>IF(I2043="","",IF(ISNUMBER(I2043),INT(I2043),IFERROR(INT(DATEVALUE(I2043)),IFERROR(INT(VALUE(I2043)),"bad"))))</f>
        <v/>
      </c>
      <c r="O2043">
        <f>IF(J2043="","",IF(ISNUMBER(J2043),ROUND(J2043,2),IFERROR(ROUND(VALUE(SUBSTITUTE(SUBSTITUTE(SUBSTITUTE(J2043,"$",""),",","")," ","")),2),"bad")))</f>
        <v/>
      </c>
      <c r="P2043">
        <f>IF(TRIM(K2043)="","",IFERROR(MATCH(LOWER(TRIM(K2043)),'Students'!$AH$2:$AH$701,0),IFERROR(MATCH(LOWER(TRIM(K2043)),'Students'!$AF$2:$AF$701,0),IFERROR(MATCH(LOWER(TRIM(K2043)),'Students'!$AG$2:$AG$701,0),""))))</f>
        <v/>
      </c>
      <c r="R2043">
        <f>IF(P2043="","",INDEX('Students'!$AD$2:$AD$701,P2043))</f>
        <v/>
      </c>
      <c r="S2043">
        <f>IF(H2043="OK",O2043,0)</f>
        <v/>
      </c>
      <c r="T2043">
        <f>IF(H2043="OK",N2043,"")</f>
        <v/>
      </c>
      <c r="U2043">
        <f>IF(OC_Donor=0,"",IF(INDEX('OneCause_Paste'!$A$2043:$AZ$2043,1,OC_Donor)="","",INDEX('OneCause_Paste'!$A$2043:$AZ$2043,1,OC_Donor)))</f>
        <v/>
      </c>
    </row>
    <row r="2044">
      <c r="A2044" s="62">
        <f>IF(H2044="","",IF(ISNUMBER(N2044),N2044,I2044))</f>
        <v/>
      </c>
      <c r="B2044">
        <f>IF(H2044="","",U2044)</f>
        <v/>
      </c>
      <c r="C2044">
        <f>IF(H2044="","",IF(P2044="",K2044,INDEX('Students'!$A$2:$A$701,P2044)))</f>
        <v/>
      </c>
      <c r="D2044">
        <f>IF(OR(H2044="",P2044=""),"",INDEX('Students'!$B$2:$B$701,P2044))</f>
        <v/>
      </c>
      <c r="E2044">
        <f>IF(OR(H2044="",P2044=""),"",INDEX('Students'!$C$2:$C$701,P2044))</f>
        <v/>
      </c>
      <c r="F2044" s="48">
        <f>IF(H2044="","",IF(ISNUMBER(O2044),O2044,J2044))</f>
        <v/>
      </c>
      <c r="G2044">
        <f>IF(H2044="","","OneCause")</f>
        <v/>
      </c>
      <c r="H2044">
        <f>IF(AND(I2044="",J2044="",K2044=""),"",IF(NOT(ISNUMBER(O2044)),"Bad amount",IF(O2044&lt;0,"Refund (not counted)",IF(O2044=0,"Zero amount",IF(NOT(ISNUMBER(N2044)),"Bad date",IF(P2044="","NAME NOT ON ROSTER",IF(L2044="","OK",IF(MATCH(L2044,$L$2:$L$3001,0)&lt;ROW()-1,"Duplicate (ignored)","OK"))))))))</f>
        <v/>
      </c>
      <c r="I2044">
        <f>IF(OC_Date=0,"",IF(INDEX('OneCause_Paste'!$A$2044:$AZ$2044,1,OC_Date)="","",INDEX('OneCause_Paste'!$A$2044:$AZ$2044,1,OC_Date)))</f>
        <v/>
      </c>
      <c r="J2044">
        <f>IF(OC_Amt=0,"",IF(INDEX('OneCause_Paste'!$A$2044:$AZ$2044,1,OC_Amt)="","",INDEX('OneCause_Paste'!$A$2044:$AZ$2044,1,OC_Amt)))</f>
        <v/>
      </c>
      <c r="K2044">
        <f>IF(OC_Name=0,"",IF(INDEX('OneCause_Paste'!$A$2044:$AZ$2044,1,OC_Name)="","",INDEX('OneCause_Paste'!$A$2044:$AZ$2044,1,OC_Name)))</f>
        <v/>
      </c>
      <c r="L2044">
        <f>IF(OC_Txn=0,"",IF(INDEX('OneCause_Paste'!$A$2044:$AZ$2044,1,OC_Txn)="","",INDEX('OneCause_Paste'!$A$2044:$AZ$2044,1,OC_Txn)))</f>
        <v/>
      </c>
      <c r="M2044">
        <f>IF(OC_Pay=0,"",IF(INDEX('OneCause_Paste'!$A$2044:$AZ$2044,1,OC_Pay)="","",INDEX('OneCause_Paste'!$A$2044:$AZ$2044,1,OC_Pay)))</f>
        <v/>
      </c>
      <c r="N2044">
        <f>IF(I2044="","",IF(ISNUMBER(I2044),INT(I2044),IFERROR(INT(DATEVALUE(I2044)),IFERROR(INT(VALUE(I2044)),"bad"))))</f>
        <v/>
      </c>
      <c r="O2044">
        <f>IF(J2044="","",IF(ISNUMBER(J2044),ROUND(J2044,2),IFERROR(ROUND(VALUE(SUBSTITUTE(SUBSTITUTE(SUBSTITUTE(J2044,"$",""),",","")," ","")),2),"bad")))</f>
        <v/>
      </c>
      <c r="P2044">
        <f>IF(TRIM(K2044)="","",IFERROR(MATCH(LOWER(TRIM(K2044)),'Students'!$AH$2:$AH$701,0),IFERROR(MATCH(LOWER(TRIM(K2044)),'Students'!$AF$2:$AF$701,0),IFERROR(MATCH(LOWER(TRIM(K2044)),'Students'!$AG$2:$AG$701,0),""))))</f>
        <v/>
      </c>
      <c r="R2044">
        <f>IF(P2044="","",INDEX('Students'!$AD$2:$AD$701,P2044))</f>
        <v/>
      </c>
      <c r="S2044">
        <f>IF(H2044="OK",O2044,0)</f>
        <v/>
      </c>
      <c r="T2044">
        <f>IF(H2044="OK",N2044,"")</f>
        <v/>
      </c>
      <c r="U2044">
        <f>IF(OC_Donor=0,"",IF(INDEX('OneCause_Paste'!$A$2044:$AZ$2044,1,OC_Donor)="","",INDEX('OneCause_Paste'!$A$2044:$AZ$2044,1,OC_Donor)))</f>
        <v/>
      </c>
    </row>
    <row r="2045">
      <c r="A2045" s="62">
        <f>IF(H2045="","",IF(ISNUMBER(N2045),N2045,I2045))</f>
        <v/>
      </c>
      <c r="B2045">
        <f>IF(H2045="","",U2045)</f>
        <v/>
      </c>
      <c r="C2045">
        <f>IF(H2045="","",IF(P2045="",K2045,INDEX('Students'!$A$2:$A$701,P2045)))</f>
        <v/>
      </c>
      <c r="D2045">
        <f>IF(OR(H2045="",P2045=""),"",INDEX('Students'!$B$2:$B$701,P2045))</f>
        <v/>
      </c>
      <c r="E2045">
        <f>IF(OR(H2045="",P2045=""),"",INDEX('Students'!$C$2:$C$701,P2045))</f>
        <v/>
      </c>
      <c r="F2045" s="48">
        <f>IF(H2045="","",IF(ISNUMBER(O2045),O2045,J2045))</f>
        <v/>
      </c>
      <c r="G2045">
        <f>IF(H2045="","","OneCause")</f>
        <v/>
      </c>
      <c r="H2045">
        <f>IF(AND(I2045="",J2045="",K2045=""),"",IF(NOT(ISNUMBER(O2045)),"Bad amount",IF(O2045&lt;0,"Refund (not counted)",IF(O2045=0,"Zero amount",IF(NOT(ISNUMBER(N2045)),"Bad date",IF(P2045="","NAME NOT ON ROSTER",IF(L2045="","OK",IF(MATCH(L2045,$L$2:$L$3001,0)&lt;ROW()-1,"Duplicate (ignored)","OK"))))))))</f>
        <v/>
      </c>
      <c r="I2045">
        <f>IF(OC_Date=0,"",IF(INDEX('OneCause_Paste'!$A$2045:$AZ$2045,1,OC_Date)="","",INDEX('OneCause_Paste'!$A$2045:$AZ$2045,1,OC_Date)))</f>
        <v/>
      </c>
      <c r="J2045">
        <f>IF(OC_Amt=0,"",IF(INDEX('OneCause_Paste'!$A$2045:$AZ$2045,1,OC_Amt)="","",INDEX('OneCause_Paste'!$A$2045:$AZ$2045,1,OC_Amt)))</f>
        <v/>
      </c>
      <c r="K2045">
        <f>IF(OC_Name=0,"",IF(INDEX('OneCause_Paste'!$A$2045:$AZ$2045,1,OC_Name)="","",INDEX('OneCause_Paste'!$A$2045:$AZ$2045,1,OC_Name)))</f>
        <v/>
      </c>
      <c r="L2045">
        <f>IF(OC_Txn=0,"",IF(INDEX('OneCause_Paste'!$A$2045:$AZ$2045,1,OC_Txn)="","",INDEX('OneCause_Paste'!$A$2045:$AZ$2045,1,OC_Txn)))</f>
        <v/>
      </c>
      <c r="M2045">
        <f>IF(OC_Pay=0,"",IF(INDEX('OneCause_Paste'!$A$2045:$AZ$2045,1,OC_Pay)="","",INDEX('OneCause_Paste'!$A$2045:$AZ$2045,1,OC_Pay)))</f>
        <v/>
      </c>
      <c r="N2045">
        <f>IF(I2045="","",IF(ISNUMBER(I2045),INT(I2045),IFERROR(INT(DATEVALUE(I2045)),IFERROR(INT(VALUE(I2045)),"bad"))))</f>
        <v/>
      </c>
      <c r="O2045">
        <f>IF(J2045="","",IF(ISNUMBER(J2045),ROUND(J2045,2),IFERROR(ROUND(VALUE(SUBSTITUTE(SUBSTITUTE(SUBSTITUTE(J2045,"$",""),",","")," ","")),2),"bad")))</f>
        <v/>
      </c>
      <c r="P2045">
        <f>IF(TRIM(K2045)="","",IFERROR(MATCH(LOWER(TRIM(K2045)),'Students'!$AH$2:$AH$701,0),IFERROR(MATCH(LOWER(TRIM(K2045)),'Students'!$AF$2:$AF$701,0),IFERROR(MATCH(LOWER(TRIM(K2045)),'Students'!$AG$2:$AG$701,0),""))))</f>
        <v/>
      </c>
      <c r="R2045">
        <f>IF(P2045="","",INDEX('Students'!$AD$2:$AD$701,P2045))</f>
        <v/>
      </c>
      <c r="S2045">
        <f>IF(H2045="OK",O2045,0)</f>
        <v/>
      </c>
      <c r="T2045">
        <f>IF(H2045="OK",N2045,"")</f>
        <v/>
      </c>
      <c r="U2045">
        <f>IF(OC_Donor=0,"",IF(INDEX('OneCause_Paste'!$A$2045:$AZ$2045,1,OC_Donor)="","",INDEX('OneCause_Paste'!$A$2045:$AZ$2045,1,OC_Donor)))</f>
        <v/>
      </c>
    </row>
    <row r="2046">
      <c r="A2046" s="62">
        <f>IF(H2046="","",IF(ISNUMBER(N2046),N2046,I2046))</f>
        <v/>
      </c>
      <c r="B2046">
        <f>IF(H2046="","",U2046)</f>
        <v/>
      </c>
      <c r="C2046">
        <f>IF(H2046="","",IF(P2046="",K2046,INDEX('Students'!$A$2:$A$701,P2046)))</f>
        <v/>
      </c>
      <c r="D2046">
        <f>IF(OR(H2046="",P2046=""),"",INDEX('Students'!$B$2:$B$701,P2046))</f>
        <v/>
      </c>
      <c r="E2046">
        <f>IF(OR(H2046="",P2046=""),"",INDEX('Students'!$C$2:$C$701,P2046))</f>
        <v/>
      </c>
      <c r="F2046" s="48">
        <f>IF(H2046="","",IF(ISNUMBER(O2046),O2046,J2046))</f>
        <v/>
      </c>
      <c r="G2046">
        <f>IF(H2046="","","OneCause")</f>
        <v/>
      </c>
      <c r="H2046">
        <f>IF(AND(I2046="",J2046="",K2046=""),"",IF(NOT(ISNUMBER(O2046)),"Bad amount",IF(O2046&lt;0,"Refund (not counted)",IF(O2046=0,"Zero amount",IF(NOT(ISNUMBER(N2046)),"Bad date",IF(P2046="","NAME NOT ON ROSTER",IF(L2046="","OK",IF(MATCH(L2046,$L$2:$L$3001,0)&lt;ROW()-1,"Duplicate (ignored)","OK"))))))))</f>
        <v/>
      </c>
      <c r="I2046">
        <f>IF(OC_Date=0,"",IF(INDEX('OneCause_Paste'!$A$2046:$AZ$2046,1,OC_Date)="","",INDEX('OneCause_Paste'!$A$2046:$AZ$2046,1,OC_Date)))</f>
        <v/>
      </c>
      <c r="J2046">
        <f>IF(OC_Amt=0,"",IF(INDEX('OneCause_Paste'!$A$2046:$AZ$2046,1,OC_Amt)="","",INDEX('OneCause_Paste'!$A$2046:$AZ$2046,1,OC_Amt)))</f>
        <v/>
      </c>
      <c r="K2046">
        <f>IF(OC_Name=0,"",IF(INDEX('OneCause_Paste'!$A$2046:$AZ$2046,1,OC_Name)="","",INDEX('OneCause_Paste'!$A$2046:$AZ$2046,1,OC_Name)))</f>
        <v/>
      </c>
      <c r="L2046">
        <f>IF(OC_Txn=0,"",IF(INDEX('OneCause_Paste'!$A$2046:$AZ$2046,1,OC_Txn)="","",INDEX('OneCause_Paste'!$A$2046:$AZ$2046,1,OC_Txn)))</f>
        <v/>
      </c>
      <c r="M2046">
        <f>IF(OC_Pay=0,"",IF(INDEX('OneCause_Paste'!$A$2046:$AZ$2046,1,OC_Pay)="","",INDEX('OneCause_Paste'!$A$2046:$AZ$2046,1,OC_Pay)))</f>
        <v/>
      </c>
      <c r="N2046">
        <f>IF(I2046="","",IF(ISNUMBER(I2046),INT(I2046),IFERROR(INT(DATEVALUE(I2046)),IFERROR(INT(VALUE(I2046)),"bad"))))</f>
        <v/>
      </c>
      <c r="O2046">
        <f>IF(J2046="","",IF(ISNUMBER(J2046),ROUND(J2046,2),IFERROR(ROUND(VALUE(SUBSTITUTE(SUBSTITUTE(SUBSTITUTE(J2046,"$",""),",","")," ","")),2),"bad")))</f>
        <v/>
      </c>
      <c r="P2046">
        <f>IF(TRIM(K2046)="","",IFERROR(MATCH(LOWER(TRIM(K2046)),'Students'!$AH$2:$AH$701,0),IFERROR(MATCH(LOWER(TRIM(K2046)),'Students'!$AF$2:$AF$701,0),IFERROR(MATCH(LOWER(TRIM(K2046)),'Students'!$AG$2:$AG$701,0),""))))</f>
        <v/>
      </c>
      <c r="R2046">
        <f>IF(P2046="","",INDEX('Students'!$AD$2:$AD$701,P2046))</f>
        <v/>
      </c>
      <c r="S2046">
        <f>IF(H2046="OK",O2046,0)</f>
        <v/>
      </c>
      <c r="T2046">
        <f>IF(H2046="OK",N2046,"")</f>
        <v/>
      </c>
      <c r="U2046">
        <f>IF(OC_Donor=0,"",IF(INDEX('OneCause_Paste'!$A$2046:$AZ$2046,1,OC_Donor)="","",INDEX('OneCause_Paste'!$A$2046:$AZ$2046,1,OC_Donor)))</f>
        <v/>
      </c>
    </row>
    <row r="2047">
      <c r="A2047" s="62">
        <f>IF(H2047="","",IF(ISNUMBER(N2047),N2047,I2047))</f>
        <v/>
      </c>
      <c r="B2047">
        <f>IF(H2047="","",U2047)</f>
        <v/>
      </c>
      <c r="C2047">
        <f>IF(H2047="","",IF(P2047="",K2047,INDEX('Students'!$A$2:$A$701,P2047)))</f>
        <v/>
      </c>
      <c r="D2047">
        <f>IF(OR(H2047="",P2047=""),"",INDEX('Students'!$B$2:$B$701,P2047))</f>
        <v/>
      </c>
      <c r="E2047">
        <f>IF(OR(H2047="",P2047=""),"",INDEX('Students'!$C$2:$C$701,P2047))</f>
        <v/>
      </c>
      <c r="F2047" s="48">
        <f>IF(H2047="","",IF(ISNUMBER(O2047),O2047,J2047))</f>
        <v/>
      </c>
      <c r="G2047">
        <f>IF(H2047="","","OneCause")</f>
        <v/>
      </c>
      <c r="H2047">
        <f>IF(AND(I2047="",J2047="",K2047=""),"",IF(NOT(ISNUMBER(O2047)),"Bad amount",IF(O2047&lt;0,"Refund (not counted)",IF(O2047=0,"Zero amount",IF(NOT(ISNUMBER(N2047)),"Bad date",IF(P2047="","NAME NOT ON ROSTER",IF(L2047="","OK",IF(MATCH(L2047,$L$2:$L$3001,0)&lt;ROW()-1,"Duplicate (ignored)","OK"))))))))</f>
        <v/>
      </c>
      <c r="I2047">
        <f>IF(OC_Date=0,"",IF(INDEX('OneCause_Paste'!$A$2047:$AZ$2047,1,OC_Date)="","",INDEX('OneCause_Paste'!$A$2047:$AZ$2047,1,OC_Date)))</f>
        <v/>
      </c>
      <c r="J2047">
        <f>IF(OC_Amt=0,"",IF(INDEX('OneCause_Paste'!$A$2047:$AZ$2047,1,OC_Amt)="","",INDEX('OneCause_Paste'!$A$2047:$AZ$2047,1,OC_Amt)))</f>
        <v/>
      </c>
      <c r="K2047">
        <f>IF(OC_Name=0,"",IF(INDEX('OneCause_Paste'!$A$2047:$AZ$2047,1,OC_Name)="","",INDEX('OneCause_Paste'!$A$2047:$AZ$2047,1,OC_Name)))</f>
        <v/>
      </c>
      <c r="L2047">
        <f>IF(OC_Txn=0,"",IF(INDEX('OneCause_Paste'!$A$2047:$AZ$2047,1,OC_Txn)="","",INDEX('OneCause_Paste'!$A$2047:$AZ$2047,1,OC_Txn)))</f>
        <v/>
      </c>
      <c r="M2047">
        <f>IF(OC_Pay=0,"",IF(INDEX('OneCause_Paste'!$A$2047:$AZ$2047,1,OC_Pay)="","",INDEX('OneCause_Paste'!$A$2047:$AZ$2047,1,OC_Pay)))</f>
        <v/>
      </c>
      <c r="N2047">
        <f>IF(I2047="","",IF(ISNUMBER(I2047),INT(I2047),IFERROR(INT(DATEVALUE(I2047)),IFERROR(INT(VALUE(I2047)),"bad"))))</f>
        <v/>
      </c>
      <c r="O2047">
        <f>IF(J2047="","",IF(ISNUMBER(J2047),ROUND(J2047,2),IFERROR(ROUND(VALUE(SUBSTITUTE(SUBSTITUTE(SUBSTITUTE(J2047,"$",""),",","")," ","")),2),"bad")))</f>
        <v/>
      </c>
      <c r="P2047">
        <f>IF(TRIM(K2047)="","",IFERROR(MATCH(LOWER(TRIM(K2047)),'Students'!$AH$2:$AH$701,0),IFERROR(MATCH(LOWER(TRIM(K2047)),'Students'!$AF$2:$AF$701,0),IFERROR(MATCH(LOWER(TRIM(K2047)),'Students'!$AG$2:$AG$701,0),""))))</f>
        <v/>
      </c>
      <c r="R2047">
        <f>IF(P2047="","",INDEX('Students'!$AD$2:$AD$701,P2047))</f>
        <v/>
      </c>
      <c r="S2047">
        <f>IF(H2047="OK",O2047,0)</f>
        <v/>
      </c>
      <c r="T2047">
        <f>IF(H2047="OK",N2047,"")</f>
        <v/>
      </c>
      <c r="U2047">
        <f>IF(OC_Donor=0,"",IF(INDEX('OneCause_Paste'!$A$2047:$AZ$2047,1,OC_Donor)="","",INDEX('OneCause_Paste'!$A$2047:$AZ$2047,1,OC_Donor)))</f>
        <v/>
      </c>
    </row>
    <row r="2048">
      <c r="A2048" s="62">
        <f>IF(H2048="","",IF(ISNUMBER(N2048),N2048,I2048))</f>
        <v/>
      </c>
      <c r="B2048">
        <f>IF(H2048="","",U2048)</f>
        <v/>
      </c>
      <c r="C2048">
        <f>IF(H2048="","",IF(P2048="",K2048,INDEX('Students'!$A$2:$A$701,P2048)))</f>
        <v/>
      </c>
      <c r="D2048">
        <f>IF(OR(H2048="",P2048=""),"",INDEX('Students'!$B$2:$B$701,P2048))</f>
        <v/>
      </c>
      <c r="E2048">
        <f>IF(OR(H2048="",P2048=""),"",INDEX('Students'!$C$2:$C$701,P2048))</f>
        <v/>
      </c>
      <c r="F2048" s="48">
        <f>IF(H2048="","",IF(ISNUMBER(O2048),O2048,J2048))</f>
        <v/>
      </c>
      <c r="G2048">
        <f>IF(H2048="","","OneCause")</f>
        <v/>
      </c>
      <c r="H2048">
        <f>IF(AND(I2048="",J2048="",K2048=""),"",IF(NOT(ISNUMBER(O2048)),"Bad amount",IF(O2048&lt;0,"Refund (not counted)",IF(O2048=0,"Zero amount",IF(NOT(ISNUMBER(N2048)),"Bad date",IF(P2048="","NAME NOT ON ROSTER",IF(L2048="","OK",IF(MATCH(L2048,$L$2:$L$3001,0)&lt;ROW()-1,"Duplicate (ignored)","OK"))))))))</f>
        <v/>
      </c>
      <c r="I2048">
        <f>IF(OC_Date=0,"",IF(INDEX('OneCause_Paste'!$A$2048:$AZ$2048,1,OC_Date)="","",INDEX('OneCause_Paste'!$A$2048:$AZ$2048,1,OC_Date)))</f>
        <v/>
      </c>
      <c r="J2048">
        <f>IF(OC_Amt=0,"",IF(INDEX('OneCause_Paste'!$A$2048:$AZ$2048,1,OC_Amt)="","",INDEX('OneCause_Paste'!$A$2048:$AZ$2048,1,OC_Amt)))</f>
        <v/>
      </c>
      <c r="K2048">
        <f>IF(OC_Name=0,"",IF(INDEX('OneCause_Paste'!$A$2048:$AZ$2048,1,OC_Name)="","",INDEX('OneCause_Paste'!$A$2048:$AZ$2048,1,OC_Name)))</f>
        <v/>
      </c>
      <c r="L2048">
        <f>IF(OC_Txn=0,"",IF(INDEX('OneCause_Paste'!$A$2048:$AZ$2048,1,OC_Txn)="","",INDEX('OneCause_Paste'!$A$2048:$AZ$2048,1,OC_Txn)))</f>
        <v/>
      </c>
      <c r="M2048">
        <f>IF(OC_Pay=0,"",IF(INDEX('OneCause_Paste'!$A$2048:$AZ$2048,1,OC_Pay)="","",INDEX('OneCause_Paste'!$A$2048:$AZ$2048,1,OC_Pay)))</f>
        <v/>
      </c>
      <c r="N2048">
        <f>IF(I2048="","",IF(ISNUMBER(I2048),INT(I2048),IFERROR(INT(DATEVALUE(I2048)),IFERROR(INT(VALUE(I2048)),"bad"))))</f>
        <v/>
      </c>
      <c r="O2048">
        <f>IF(J2048="","",IF(ISNUMBER(J2048),ROUND(J2048,2),IFERROR(ROUND(VALUE(SUBSTITUTE(SUBSTITUTE(SUBSTITUTE(J2048,"$",""),",","")," ","")),2),"bad")))</f>
        <v/>
      </c>
      <c r="P2048">
        <f>IF(TRIM(K2048)="","",IFERROR(MATCH(LOWER(TRIM(K2048)),'Students'!$AH$2:$AH$701,0),IFERROR(MATCH(LOWER(TRIM(K2048)),'Students'!$AF$2:$AF$701,0),IFERROR(MATCH(LOWER(TRIM(K2048)),'Students'!$AG$2:$AG$701,0),""))))</f>
        <v/>
      </c>
      <c r="R2048">
        <f>IF(P2048="","",INDEX('Students'!$AD$2:$AD$701,P2048))</f>
        <v/>
      </c>
      <c r="S2048">
        <f>IF(H2048="OK",O2048,0)</f>
        <v/>
      </c>
      <c r="T2048">
        <f>IF(H2048="OK",N2048,"")</f>
        <v/>
      </c>
      <c r="U2048">
        <f>IF(OC_Donor=0,"",IF(INDEX('OneCause_Paste'!$A$2048:$AZ$2048,1,OC_Donor)="","",INDEX('OneCause_Paste'!$A$2048:$AZ$2048,1,OC_Donor)))</f>
        <v/>
      </c>
    </row>
    <row r="2049">
      <c r="A2049" s="62">
        <f>IF(H2049="","",IF(ISNUMBER(N2049),N2049,I2049))</f>
        <v/>
      </c>
      <c r="B2049">
        <f>IF(H2049="","",U2049)</f>
        <v/>
      </c>
      <c r="C2049">
        <f>IF(H2049="","",IF(P2049="",K2049,INDEX('Students'!$A$2:$A$701,P2049)))</f>
        <v/>
      </c>
      <c r="D2049">
        <f>IF(OR(H2049="",P2049=""),"",INDEX('Students'!$B$2:$B$701,P2049))</f>
        <v/>
      </c>
      <c r="E2049">
        <f>IF(OR(H2049="",P2049=""),"",INDEX('Students'!$C$2:$C$701,P2049))</f>
        <v/>
      </c>
      <c r="F2049" s="48">
        <f>IF(H2049="","",IF(ISNUMBER(O2049),O2049,J2049))</f>
        <v/>
      </c>
      <c r="G2049">
        <f>IF(H2049="","","OneCause")</f>
        <v/>
      </c>
      <c r="H2049">
        <f>IF(AND(I2049="",J2049="",K2049=""),"",IF(NOT(ISNUMBER(O2049)),"Bad amount",IF(O2049&lt;0,"Refund (not counted)",IF(O2049=0,"Zero amount",IF(NOT(ISNUMBER(N2049)),"Bad date",IF(P2049="","NAME NOT ON ROSTER",IF(L2049="","OK",IF(MATCH(L2049,$L$2:$L$3001,0)&lt;ROW()-1,"Duplicate (ignored)","OK"))))))))</f>
        <v/>
      </c>
      <c r="I2049">
        <f>IF(OC_Date=0,"",IF(INDEX('OneCause_Paste'!$A$2049:$AZ$2049,1,OC_Date)="","",INDEX('OneCause_Paste'!$A$2049:$AZ$2049,1,OC_Date)))</f>
        <v/>
      </c>
      <c r="J2049">
        <f>IF(OC_Amt=0,"",IF(INDEX('OneCause_Paste'!$A$2049:$AZ$2049,1,OC_Amt)="","",INDEX('OneCause_Paste'!$A$2049:$AZ$2049,1,OC_Amt)))</f>
        <v/>
      </c>
      <c r="K2049">
        <f>IF(OC_Name=0,"",IF(INDEX('OneCause_Paste'!$A$2049:$AZ$2049,1,OC_Name)="","",INDEX('OneCause_Paste'!$A$2049:$AZ$2049,1,OC_Name)))</f>
        <v/>
      </c>
      <c r="L2049">
        <f>IF(OC_Txn=0,"",IF(INDEX('OneCause_Paste'!$A$2049:$AZ$2049,1,OC_Txn)="","",INDEX('OneCause_Paste'!$A$2049:$AZ$2049,1,OC_Txn)))</f>
        <v/>
      </c>
      <c r="M2049">
        <f>IF(OC_Pay=0,"",IF(INDEX('OneCause_Paste'!$A$2049:$AZ$2049,1,OC_Pay)="","",INDEX('OneCause_Paste'!$A$2049:$AZ$2049,1,OC_Pay)))</f>
        <v/>
      </c>
      <c r="N2049">
        <f>IF(I2049="","",IF(ISNUMBER(I2049),INT(I2049),IFERROR(INT(DATEVALUE(I2049)),IFERROR(INT(VALUE(I2049)),"bad"))))</f>
        <v/>
      </c>
      <c r="O2049">
        <f>IF(J2049="","",IF(ISNUMBER(J2049),ROUND(J2049,2),IFERROR(ROUND(VALUE(SUBSTITUTE(SUBSTITUTE(SUBSTITUTE(J2049,"$",""),",","")," ","")),2),"bad")))</f>
        <v/>
      </c>
      <c r="P2049">
        <f>IF(TRIM(K2049)="","",IFERROR(MATCH(LOWER(TRIM(K2049)),'Students'!$AH$2:$AH$701,0),IFERROR(MATCH(LOWER(TRIM(K2049)),'Students'!$AF$2:$AF$701,0),IFERROR(MATCH(LOWER(TRIM(K2049)),'Students'!$AG$2:$AG$701,0),""))))</f>
        <v/>
      </c>
      <c r="R2049">
        <f>IF(P2049="","",INDEX('Students'!$AD$2:$AD$701,P2049))</f>
        <v/>
      </c>
      <c r="S2049">
        <f>IF(H2049="OK",O2049,0)</f>
        <v/>
      </c>
      <c r="T2049">
        <f>IF(H2049="OK",N2049,"")</f>
        <v/>
      </c>
      <c r="U2049">
        <f>IF(OC_Donor=0,"",IF(INDEX('OneCause_Paste'!$A$2049:$AZ$2049,1,OC_Donor)="","",INDEX('OneCause_Paste'!$A$2049:$AZ$2049,1,OC_Donor)))</f>
        <v/>
      </c>
    </row>
    <row r="2050">
      <c r="A2050" s="62">
        <f>IF(H2050="","",IF(ISNUMBER(N2050),N2050,I2050))</f>
        <v/>
      </c>
      <c r="B2050">
        <f>IF(H2050="","",U2050)</f>
        <v/>
      </c>
      <c r="C2050">
        <f>IF(H2050="","",IF(P2050="",K2050,INDEX('Students'!$A$2:$A$701,P2050)))</f>
        <v/>
      </c>
      <c r="D2050">
        <f>IF(OR(H2050="",P2050=""),"",INDEX('Students'!$B$2:$B$701,P2050))</f>
        <v/>
      </c>
      <c r="E2050">
        <f>IF(OR(H2050="",P2050=""),"",INDEX('Students'!$C$2:$C$701,P2050))</f>
        <v/>
      </c>
      <c r="F2050" s="48">
        <f>IF(H2050="","",IF(ISNUMBER(O2050),O2050,J2050))</f>
        <v/>
      </c>
      <c r="G2050">
        <f>IF(H2050="","","OneCause")</f>
        <v/>
      </c>
      <c r="H2050">
        <f>IF(AND(I2050="",J2050="",K2050=""),"",IF(NOT(ISNUMBER(O2050)),"Bad amount",IF(O2050&lt;0,"Refund (not counted)",IF(O2050=0,"Zero amount",IF(NOT(ISNUMBER(N2050)),"Bad date",IF(P2050="","NAME NOT ON ROSTER",IF(L2050="","OK",IF(MATCH(L2050,$L$2:$L$3001,0)&lt;ROW()-1,"Duplicate (ignored)","OK"))))))))</f>
        <v/>
      </c>
      <c r="I2050">
        <f>IF(OC_Date=0,"",IF(INDEX('OneCause_Paste'!$A$2050:$AZ$2050,1,OC_Date)="","",INDEX('OneCause_Paste'!$A$2050:$AZ$2050,1,OC_Date)))</f>
        <v/>
      </c>
      <c r="J2050">
        <f>IF(OC_Amt=0,"",IF(INDEX('OneCause_Paste'!$A$2050:$AZ$2050,1,OC_Amt)="","",INDEX('OneCause_Paste'!$A$2050:$AZ$2050,1,OC_Amt)))</f>
        <v/>
      </c>
      <c r="K2050">
        <f>IF(OC_Name=0,"",IF(INDEX('OneCause_Paste'!$A$2050:$AZ$2050,1,OC_Name)="","",INDEX('OneCause_Paste'!$A$2050:$AZ$2050,1,OC_Name)))</f>
        <v/>
      </c>
      <c r="L2050">
        <f>IF(OC_Txn=0,"",IF(INDEX('OneCause_Paste'!$A$2050:$AZ$2050,1,OC_Txn)="","",INDEX('OneCause_Paste'!$A$2050:$AZ$2050,1,OC_Txn)))</f>
        <v/>
      </c>
      <c r="M2050">
        <f>IF(OC_Pay=0,"",IF(INDEX('OneCause_Paste'!$A$2050:$AZ$2050,1,OC_Pay)="","",INDEX('OneCause_Paste'!$A$2050:$AZ$2050,1,OC_Pay)))</f>
        <v/>
      </c>
      <c r="N2050">
        <f>IF(I2050="","",IF(ISNUMBER(I2050),INT(I2050),IFERROR(INT(DATEVALUE(I2050)),IFERROR(INT(VALUE(I2050)),"bad"))))</f>
        <v/>
      </c>
      <c r="O2050">
        <f>IF(J2050="","",IF(ISNUMBER(J2050),ROUND(J2050,2),IFERROR(ROUND(VALUE(SUBSTITUTE(SUBSTITUTE(SUBSTITUTE(J2050,"$",""),",","")," ","")),2),"bad")))</f>
        <v/>
      </c>
      <c r="P2050">
        <f>IF(TRIM(K2050)="","",IFERROR(MATCH(LOWER(TRIM(K2050)),'Students'!$AH$2:$AH$701,0),IFERROR(MATCH(LOWER(TRIM(K2050)),'Students'!$AF$2:$AF$701,0),IFERROR(MATCH(LOWER(TRIM(K2050)),'Students'!$AG$2:$AG$701,0),""))))</f>
        <v/>
      </c>
      <c r="R2050">
        <f>IF(P2050="","",INDEX('Students'!$AD$2:$AD$701,P2050))</f>
        <v/>
      </c>
      <c r="S2050">
        <f>IF(H2050="OK",O2050,0)</f>
        <v/>
      </c>
      <c r="T2050">
        <f>IF(H2050="OK",N2050,"")</f>
        <v/>
      </c>
      <c r="U2050">
        <f>IF(OC_Donor=0,"",IF(INDEX('OneCause_Paste'!$A$2050:$AZ$2050,1,OC_Donor)="","",INDEX('OneCause_Paste'!$A$2050:$AZ$2050,1,OC_Donor)))</f>
        <v/>
      </c>
    </row>
    <row r="2051">
      <c r="A2051" s="62">
        <f>IF(H2051="","",IF(ISNUMBER(N2051),N2051,I2051))</f>
        <v/>
      </c>
      <c r="B2051">
        <f>IF(H2051="","",U2051)</f>
        <v/>
      </c>
      <c r="C2051">
        <f>IF(H2051="","",IF(P2051="",K2051,INDEX('Students'!$A$2:$A$701,P2051)))</f>
        <v/>
      </c>
      <c r="D2051">
        <f>IF(OR(H2051="",P2051=""),"",INDEX('Students'!$B$2:$B$701,P2051))</f>
        <v/>
      </c>
      <c r="E2051">
        <f>IF(OR(H2051="",P2051=""),"",INDEX('Students'!$C$2:$C$701,P2051))</f>
        <v/>
      </c>
      <c r="F2051" s="48">
        <f>IF(H2051="","",IF(ISNUMBER(O2051),O2051,J2051))</f>
        <v/>
      </c>
      <c r="G2051">
        <f>IF(H2051="","","OneCause")</f>
        <v/>
      </c>
      <c r="H2051">
        <f>IF(AND(I2051="",J2051="",K2051=""),"",IF(NOT(ISNUMBER(O2051)),"Bad amount",IF(O2051&lt;0,"Refund (not counted)",IF(O2051=0,"Zero amount",IF(NOT(ISNUMBER(N2051)),"Bad date",IF(P2051="","NAME NOT ON ROSTER",IF(L2051="","OK",IF(MATCH(L2051,$L$2:$L$3001,0)&lt;ROW()-1,"Duplicate (ignored)","OK"))))))))</f>
        <v/>
      </c>
      <c r="I2051">
        <f>IF(OC_Date=0,"",IF(INDEX('OneCause_Paste'!$A$2051:$AZ$2051,1,OC_Date)="","",INDEX('OneCause_Paste'!$A$2051:$AZ$2051,1,OC_Date)))</f>
        <v/>
      </c>
      <c r="J2051">
        <f>IF(OC_Amt=0,"",IF(INDEX('OneCause_Paste'!$A$2051:$AZ$2051,1,OC_Amt)="","",INDEX('OneCause_Paste'!$A$2051:$AZ$2051,1,OC_Amt)))</f>
        <v/>
      </c>
      <c r="K2051">
        <f>IF(OC_Name=0,"",IF(INDEX('OneCause_Paste'!$A$2051:$AZ$2051,1,OC_Name)="","",INDEX('OneCause_Paste'!$A$2051:$AZ$2051,1,OC_Name)))</f>
        <v/>
      </c>
      <c r="L2051">
        <f>IF(OC_Txn=0,"",IF(INDEX('OneCause_Paste'!$A$2051:$AZ$2051,1,OC_Txn)="","",INDEX('OneCause_Paste'!$A$2051:$AZ$2051,1,OC_Txn)))</f>
        <v/>
      </c>
      <c r="M2051">
        <f>IF(OC_Pay=0,"",IF(INDEX('OneCause_Paste'!$A$2051:$AZ$2051,1,OC_Pay)="","",INDEX('OneCause_Paste'!$A$2051:$AZ$2051,1,OC_Pay)))</f>
        <v/>
      </c>
      <c r="N2051">
        <f>IF(I2051="","",IF(ISNUMBER(I2051),INT(I2051),IFERROR(INT(DATEVALUE(I2051)),IFERROR(INT(VALUE(I2051)),"bad"))))</f>
        <v/>
      </c>
      <c r="O2051">
        <f>IF(J2051="","",IF(ISNUMBER(J2051),ROUND(J2051,2),IFERROR(ROUND(VALUE(SUBSTITUTE(SUBSTITUTE(SUBSTITUTE(J2051,"$",""),",","")," ","")),2),"bad")))</f>
        <v/>
      </c>
      <c r="P2051">
        <f>IF(TRIM(K2051)="","",IFERROR(MATCH(LOWER(TRIM(K2051)),'Students'!$AH$2:$AH$701,0),IFERROR(MATCH(LOWER(TRIM(K2051)),'Students'!$AF$2:$AF$701,0),IFERROR(MATCH(LOWER(TRIM(K2051)),'Students'!$AG$2:$AG$701,0),""))))</f>
        <v/>
      </c>
      <c r="R2051">
        <f>IF(P2051="","",INDEX('Students'!$AD$2:$AD$701,P2051))</f>
        <v/>
      </c>
      <c r="S2051">
        <f>IF(H2051="OK",O2051,0)</f>
        <v/>
      </c>
      <c r="T2051">
        <f>IF(H2051="OK",N2051,"")</f>
        <v/>
      </c>
      <c r="U2051">
        <f>IF(OC_Donor=0,"",IF(INDEX('OneCause_Paste'!$A$2051:$AZ$2051,1,OC_Donor)="","",INDEX('OneCause_Paste'!$A$2051:$AZ$2051,1,OC_Donor)))</f>
        <v/>
      </c>
    </row>
    <row r="2052">
      <c r="A2052" s="62">
        <f>IF(H2052="","",IF(ISNUMBER(N2052),N2052,I2052))</f>
        <v/>
      </c>
      <c r="B2052">
        <f>IF(H2052="","",U2052)</f>
        <v/>
      </c>
      <c r="C2052">
        <f>IF(H2052="","",IF(P2052="",K2052,INDEX('Students'!$A$2:$A$701,P2052)))</f>
        <v/>
      </c>
      <c r="D2052">
        <f>IF(OR(H2052="",P2052=""),"",INDEX('Students'!$B$2:$B$701,P2052))</f>
        <v/>
      </c>
      <c r="E2052">
        <f>IF(OR(H2052="",P2052=""),"",INDEX('Students'!$C$2:$C$701,P2052))</f>
        <v/>
      </c>
      <c r="F2052" s="48">
        <f>IF(H2052="","",IF(ISNUMBER(O2052),O2052,J2052))</f>
        <v/>
      </c>
      <c r="G2052">
        <f>IF(H2052="","","OneCause")</f>
        <v/>
      </c>
      <c r="H2052">
        <f>IF(AND(I2052="",J2052="",K2052=""),"",IF(NOT(ISNUMBER(O2052)),"Bad amount",IF(O2052&lt;0,"Refund (not counted)",IF(O2052=0,"Zero amount",IF(NOT(ISNUMBER(N2052)),"Bad date",IF(P2052="","NAME NOT ON ROSTER",IF(L2052="","OK",IF(MATCH(L2052,$L$2:$L$3001,0)&lt;ROW()-1,"Duplicate (ignored)","OK"))))))))</f>
        <v/>
      </c>
      <c r="I2052">
        <f>IF(OC_Date=0,"",IF(INDEX('OneCause_Paste'!$A$2052:$AZ$2052,1,OC_Date)="","",INDEX('OneCause_Paste'!$A$2052:$AZ$2052,1,OC_Date)))</f>
        <v/>
      </c>
      <c r="J2052">
        <f>IF(OC_Amt=0,"",IF(INDEX('OneCause_Paste'!$A$2052:$AZ$2052,1,OC_Amt)="","",INDEX('OneCause_Paste'!$A$2052:$AZ$2052,1,OC_Amt)))</f>
        <v/>
      </c>
      <c r="K2052">
        <f>IF(OC_Name=0,"",IF(INDEX('OneCause_Paste'!$A$2052:$AZ$2052,1,OC_Name)="","",INDEX('OneCause_Paste'!$A$2052:$AZ$2052,1,OC_Name)))</f>
        <v/>
      </c>
      <c r="L2052">
        <f>IF(OC_Txn=0,"",IF(INDEX('OneCause_Paste'!$A$2052:$AZ$2052,1,OC_Txn)="","",INDEX('OneCause_Paste'!$A$2052:$AZ$2052,1,OC_Txn)))</f>
        <v/>
      </c>
      <c r="M2052">
        <f>IF(OC_Pay=0,"",IF(INDEX('OneCause_Paste'!$A$2052:$AZ$2052,1,OC_Pay)="","",INDEX('OneCause_Paste'!$A$2052:$AZ$2052,1,OC_Pay)))</f>
        <v/>
      </c>
      <c r="N2052">
        <f>IF(I2052="","",IF(ISNUMBER(I2052),INT(I2052),IFERROR(INT(DATEVALUE(I2052)),IFERROR(INT(VALUE(I2052)),"bad"))))</f>
        <v/>
      </c>
      <c r="O2052">
        <f>IF(J2052="","",IF(ISNUMBER(J2052),ROUND(J2052,2),IFERROR(ROUND(VALUE(SUBSTITUTE(SUBSTITUTE(SUBSTITUTE(J2052,"$",""),",","")," ","")),2),"bad")))</f>
        <v/>
      </c>
      <c r="P2052">
        <f>IF(TRIM(K2052)="","",IFERROR(MATCH(LOWER(TRIM(K2052)),'Students'!$AH$2:$AH$701,0),IFERROR(MATCH(LOWER(TRIM(K2052)),'Students'!$AF$2:$AF$701,0),IFERROR(MATCH(LOWER(TRIM(K2052)),'Students'!$AG$2:$AG$701,0),""))))</f>
        <v/>
      </c>
      <c r="R2052">
        <f>IF(P2052="","",INDEX('Students'!$AD$2:$AD$701,P2052))</f>
        <v/>
      </c>
      <c r="S2052">
        <f>IF(H2052="OK",O2052,0)</f>
        <v/>
      </c>
      <c r="T2052">
        <f>IF(H2052="OK",N2052,"")</f>
        <v/>
      </c>
      <c r="U2052">
        <f>IF(OC_Donor=0,"",IF(INDEX('OneCause_Paste'!$A$2052:$AZ$2052,1,OC_Donor)="","",INDEX('OneCause_Paste'!$A$2052:$AZ$2052,1,OC_Donor)))</f>
        <v/>
      </c>
    </row>
    <row r="2053">
      <c r="A2053" s="62">
        <f>IF(H2053="","",IF(ISNUMBER(N2053),N2053,I2053))</f>
        <v/>
      </c>
      <c r="B2053">
        <f>IF(H2053="","",U2053)</f>
        <v/>
      </c>
      <c r="C2053">
        <f>IF(H2053="","",IF(P2053="",K2053,INDEX('Students'!$A$2:$A$701,P2053)))</f>
        <v/>
      </c>
      <c r="D2053">
        <f>IF(OR(H2053="",P2053=""),"",INDEX('Students'!$B$2:$B$701,P2053))</f>
        <v/>
      </c>
      <c r="E2053">
        <f>IF(OR(H2053="",P2053=""),"",INDEX('Students'!$C$2:$C$701,P2053))</f>
        <v/>
      </c>
      <c r="F2053" s="48">
        <f>IF(H2053="","",IF(ISNUMBER(O2053),O2053,J2053))</f>
        <v/>
      </c>
      <c r="G2053">
        <f>IF(H2053="","","OneCause")</f>
        <v/>
      </c>
      <c r="H2053">
        <f>IF(AND(I2053="",J2053="",K2053=""),"",IF(NOT(ISNUMBER(O2053)),"Bad amount",IF(O2053&lt;0,"Refund (not counted)",IF(O2053=0,"Zero amount",IF(NOT(ISNUMBER(N2053)),"Bad date",IF(P2053="","NAME NOT ON ROSTER",IF(L2053="","OK",IF(MATCH(L2053,$L$2:$L$3001,0)&lt;ROW()-1,"Duplicate (ignored)","OK"))))))))</f>
        <v/>
      </c>
      <c r="I2053">
        <f>IF(OC_Date=0,"",IF(INDEX('OneCause_Paste'!$A$2053:$AZ$2053,1,OC_Date)="","",INDEX('OneCause_Paste'!$A$2053:$AZ$2053,1,OC_Date)))</f>
        <v/>
      </c>
      <c r="J2053">
        <f>IF(OC_Amt=0,"",IF(INDEX('OneCause_Paste'!$A$2053:$AZ$2053,1,OC_Amt)="","",INDEX('OneCause_Paste'!$A$2053:$AZ$2053,1,OC_Amt)))</f>
        <v/>
      </c>
      <c r="K2053">
        <f>IF(OC_Name=0,"",IF(INDEX('OneCause_Paste'!$A$2053:$AZ$2053,1,OC_Name)="","",INDEX('OneCause_Paste'!$A$2053:$AZ$2053,1,OC_Name)))</f>
        <v/>
      </c>
      <c r="L2053">
        <f>IF(OC_Txn=0,"",IF(INDEX('OneCause_Paste'!$A$2053:$AZ$2053,1,OC_Txn)="","",INDEX('OneCause_Paste'!$A$2053:$AZ$2053,1,OC_Txn)))</f>
        <v/>
      </c>
      <c r="M2053">
        <f>IF(OC_Pay=0,"",IF(INDEX('OneCause_Paste'!$A$2053:$AZ$2053,1,OC_Pay)="","",INDEX('OneCause_Paste'!$A$2053:$AZ$2053,1,OC_Pay)))</f>
        <v/>
      </c>
      <c r="N2053">
        <f>IF(I2053="","",IF(ISNUMBER(I2053),INT(I2053),IFERROR(INT(DATEVALUE(I2053)),IFERROR(INT(VALUE(I2053)),"bad"))))</f>
        <v/>
      </c>
      <c r="O2053">
        <f>IF(J2053="","",IF(ISNUMBER(J2053),ROUND(J2053,2),IFERROR(ROUND(VALUE(SUBSTITUTE(SUBSTITUTE(SUBSTITUTE(J2053,"$",""),",","")," ","")),2),"bad")))</f>
        <v/>
      </c>
      <c r="P2053">
        <f>IF(TRIM(K2053)="","",IFERROR(MATCH(LOWER(TRIM(K2053)),'Students'!$AH$2:$AH$701,0),IFERROR(MATCH(LOWER(TRIM(K2053)),'Students'!$AF$2:$AF$701,0),IFERROR(MATCH(LOWER(TRIM(K2053)),'Students'!$AG$2:$AG$701,0),""))))</f>
        <v/>
      </c>
      <c r="R2053">
        <f>IF(P2053="","",INDEX('Students'!$AD$2:$AD$701,P2053))</f>
        <v/>
      </c>
      <c r="S2053">
        <f>IF(H2053="OK",O2053,0)</f>
        <v/>
      </c>
      <c r="T2053">
        <f>IF(H2053="OK",N2053,"")</f>
        <v/>
      </c>
      <c r="U2053">
        <f>IF(OC_Donor=0,"",IF(INDEX('OneCause_Paste'!$A$2053:$AZ$2053,1,OC_Donor)="","",INDEX('OneCause_Paste'!$A$2053:$AZ$2053,1,OC_Donor)))</f>
        <v/>
      </c>
    </row>
    <row r="2054">
      <c r="A2054" s="62">
        <f>IF(H2054="","",IF(ISNUMBER(N2054),N2054,I2054))</f>
        <v/>
      </c>
      <c r="B2054">
        <f>IF(H2054="","",U2054)</f>
        <v/>
      </c>
      <c r="C2054">
        <f>IF(H2054="","",IF(P2054="",K2054,INDEX('Students'!$A$2:$A$701,P2054)))</f>
        <v/>
      </c>
      <c r="D2054">
        <f>IF(OR(H2054="",P2054=""),"",INDEX('Students'!$B$2:$B$701,P2054))</f>
        <v/>
      </c>
      <c r="E2054">
        <f>IF(OR(H2054="",P2054=""),"",INDEX('Students'!$C$2:$C$701,P2054))</f>
        <v/>
      </c>
      <c r="F2054" s="48">
        <f>IF(H2054="","",IF(ISNUMBER(O2054),O2054,J2054))</f>
        <v/>
      </c>
      <c r="G2054">
        <f>IF(H2054="","","OneCause")</f>
        <v/>
      </c>
      <c r="H2054">
        <f>IF(AND(I2054="",J2054="",K2054=""),"",IF(NOT(ISNUMBER(O2054)),"Bad amount",IF(O2054&lt;0,"Refund (not counted)",IF(O2054=0,"Zero amount",IF(NOT(ISNUMBER(N2054)),"Bad date",IF(P2054="","NAME NOT ON ROSTER",IF(L2054="","OK",IF(MATCH(L2054,$L$2:$L$3001,0)&lt;ROW()-1,"Duplicate (ignored)","OK"))))))))</f>
        <v/>
      </c>
      <c r="I2054">
        <f>IF(OC_Date=0,"",IF(INDEX('OneCause_Paste'!$A$2054:$AZ$2054,1,OC_Date)="","",INDEX('OneCause_Paste'!$A$2054:$AZ$2054,1,OC_Date)))</f>
        <v/>
      </c>
      <c r="J2054">
        <f>IF(OC_Amt=0,"",IF(INDEX('OneCause_Paste'!$A$2054:$AZ$2054,1,OC_Amt)="","",INDEX('OneCause_Paste'!$A$2054:$AZ$2054,1,OC_Amt)))</f>
        <v/>
      </c>
      <c r="K2054">
        <f>IF(OC_Name=0,"",IF(INDEX('OneCause_Paste'!$A$2054:$AZ$2054,1,OC_Name)="","",INDEX('OneCause_Paste'!$A$2054:$AZ$2054,1,OC_Name)))</f>
        <v/>
      </c>
      <c r="L2054">
        <f>IF(OC_Txn=0,"",IF(INDEX('OneCause_Paste'!$A$2054:$AZ$2054,1,OC_Txn)="","",INDEX('OneCause_Paste'!$A$2054:$AZ$2054,1,OC_Txn)))</f>
        <v/>
      </c>
      <c r="M2054">
        <f>IF(OC_Pay=0,"",IF(INDEX('OneCause_Paste'!$A$2054:$AZ$2054,1,OC_Pay)="","",INDEX('OneCause_Paste'!$A$2054:$AZ$2054,1,OC_Pay)))</f>
        <v/>
      </c>
      <c r="N2054">
        <f>IF(I2054="","",IF(ISNUMBER(I2054),INT(I2054),IFERROR(INT(DATEVALUE(I2054)),IFERROR(INT(VALUE(I2054)),"bad"))))</f>
        <v/>
      </c>
      <c r="O2054">
        <f>IF(J2054="","",IF(ISNUMBER(J2054),ROUND(J2054,2),IFERROR(ROUND(VALUE(SUBSTITUTE(SUBSTITUTE(SUBSTITUTE(J2054,"$",""),",","")," ","")),2),"bad")))</f>
        <v/>
      </c>
      <c r="P2054">
        <f>IF(TRIM(K2054)="","",IFERROR(MATCH(LOWER(TRIM(K2054)),'Students'!$AH$2:$AH$701,0),IFERROR(MATCH(LOWER(TRIM(K2054)),'Students'!$AF$2:$AF$701,0),IFERROR(MATCH(LOWER(TRIM(K2054)),'Students'!$AG$2:$AG$701,0),""))))</f>
        <v/>
      </c>
      <c r="R2054">
        <f>IF(P2054="","",INDEX('Students'!$AD$2:$AD$701,P2054))</f>
        <v/>
      </c>
      <c r="S2054">
        <f>IF(H2054="OK",O2054,0)</f>
        <v/>
      </c>
      <c r="T2054">
        <f>IF(H2054="OK",N2054,"")</f>
        <v/>
      </c>
      <c r="U2054">
        <f>IF(OC_Donor=0,"",IF(INDEX('OneCause_Paste'!$A$2054:$AZ$2054,1,OC_Donor)="","",INDEX('OneCause_Paste'!$A$2054:$AZ$2054,1,OC_Donor)))</f>
        <v/>
      </c>
    </row>
    <row r="2055">
      <c r="A2055" s="62">
        <f>IF(H2055="","",IF(ISNUMBER(N2055),N2055,I2055))</f>
        <v/>
      </c>
      <c r="B2055">
        <f>IF(H2055="","",U2055)</f>
        <v/>
      </c>
      <c r="C2055">
        <f>IF(H2055="","",IF(P2055="",K2055,INDEX('Students'!$A$2:$A$701,P2055)))</f>
        <v/>
      </c>
      <c r="D2055">
        <f>IF(OR(H2055="",P2055=""),"",INDEX('Students'!$B$2:$B$701,P2055))</f>
        <v/>
      </c>
      <c r="E2055">
        <f>IF(OR(H2055="",P2055=""),"",INDEX('Students'!$C$2:$C$701,P2055))</f>
        <v/>
      </c>
      <c r="F2055" s="48">
        <f>IF(H2055="","",IF(ISNUMBER(O2055),O2055,J2055))</f>
        <v/>
      </c>
      <c r="G2055">
        <f>IF(H2055="","","OneCause")</f>
        <v/>
      </c>
      <c r="H2055">
        <f>IF(AND(I2055="",J2055="",K2055=""),"",IF(NOT(ISNUMBER(O2055)),"Bad amount",IF(O2055&lt;0,"Refund (not counted)",IF(O2055=0,"Zero amount",IF(NOT(ISNUMBER(N2055)),"Bad date",IF(P2055="","NAME NOT ON ROSTER",IF(L2055="","OK",IF(MATCH(L2055,$L$2:$L$3001,0)&lt;ROW()-1,"Duplicate (ignored)","OK"))))))))</f>
        <v/>
      </c>
      <c r="I2055">
        <f>IF(OC_Date=0,"",IF(INDEX('OneCause_Paste'!$A$2055:$AZ$2055,1,OC_Date)="","",INDEX('OneCause_Paste'!$A$2055:$AZ$2055,1,OC_Date)))</f>
        <v/>
      </c>
      <c r="J2055">
        <f>IF(OC_Amt=0,"",IF(INDEX('OneCause_Paste'!$A$2055:$AZ$2055,1,OC_Amt)="","",INDEX('OneCause_Paste'!$A$2055:$AZ$2055,1,OC_Amt)))</f>
        <v/>
      </c>
      <c r="K2055">
        <f>IF(OC_Name=0,"",IF(INDEX('OneCause_Paste'!$A$2055:$AZ$2055,1,OC_Name)="","",INDEX('OneCause_Paste'!$A$2055:$AZ$2055,1,OC_Name)))</f>
        <v/>
      </c>
      <c r="L2055">
        <f>IF(OC_Txn=0,"",IF(INDEX('OneCause_Paste'!$A$2055:$AZ$2055,1,OC_Txn)="","",INDEX('OneCause_Paste'!$A$2055:$AZ$2055,1,OC_Txn)))</f>
        <v/>
      </c>
      <c r="M2055">
        <f>IF(OC_Pay=0,"",IF(INDEX('OneCause_Paste'!$A$2055:$AZ$2055,1,OC_Pay)="","",INDEX('OneCause_Paste'!$A$2055:$AZ$2055,1,OC_Pay)))</f>
        <v/>
      </c>
      <c r="N2055">
        <f>IF(I2055="","",IF(ISNUMBER(I2055),INT(I2055),IFERROR(INT(DATEVALUE(I2055)),IFERROR(INT(VALUE(I2055)),"bad"))))</f>
        <v/>
      </c>
      <c r="O2055">
        <f>IF(J2055="","",IF(ISNUMBER(J2055),ROUND(J2055,2),IFERROR(ROUND(VALUE(SUBSTITUTE(SUBSTITUTE(SUBSTITUTE(J2055,"$",""),",","")," ","")),2),"bad")))</f>
        <v/>
      </c>
      <c r="P2055">
        <f>IF(TRIM(K2055)="","",IFERROR(MATCH(LOWER(TRIM(K2055)),'Students'!$AH$2:$AH$701,0),IFERROR(MATCH(LOWER(TRIM(K2055)),'Students'!$AF$2:$AF$701,0),IFERROR(MATCH(LOWER(TRIM(K2055)),'Students'!$AG$2:$AG$701,0),""))))</f>
        <v/>
      </c>
      <c r="R2055">
        <f>IF(P2055="","",INDEX('Students'!$AD$2:$AD$701,P2055))</f>
        <v/>
      </c>
      <c r="S2055">
        <f>IF(H2055="OK",O2055,0)</f>
        <v/>
      </c>
      <c r="T2055">
        <f>IF(H2055="OK",N2055,"")</f>
        <v/>
      </c>
      <c r="U2055">
        <f>IF(OC_Donor=0,"",IF(INDEX('OneCause_Paste'!$A$2055:$AZ$2055,1,OC_Donor)="","",INDEX('OneCause_Paste'!$A$2055:$AZ$2055,1,OC_Donor)))</f>
        <v/>
      </c>
    </row>
    <row r="2056">
      <c r="A2056" s="62">
        <f>IF(H2056="","",IF(ISNUMBER(N2056),N2056,I2056))</f>
        <v/>
      </c>
      <c r="B2056">
        <f>IF(H2056="","",U2056)</f>
        <v/>
      </c>
      <c r="C2056">
        <f>IF(H2056="","",IF(P2056="",K2056,INDEX('Students'!$A$2:$A$701,P2056)))</f>
        <v/>
      </c>
      <c r="D2056">
        <f>IF(OR(H2056="",P2056=""),"",INDEX('Students'!$B$2:$B$701,P2056))</f>
        <v/>
      </c>
      <c r="E2056">
        <f>IF(OR(H2056="",P2056=""),"",INDEX('Students'!$C$2:$C$701,P2056))</f>
        <v/>
      </c>
      <c r="F2056" s="48">
        <f>IF(H2056="","",IF(ISNUMBER(O2056),O2056,J2056))</f>
        <v/>
      </c>
      <c r="G2056">
        <f>IF(H2056="","","OneCause")</f>
        <v/>
      </c>
      <c r="H2056">
        <f>IF(AND(I2056="",J2056="",K2056=""),"",IF(NOT(ISNUMBER(O2056)),"Bad amount",IF(O2056&lt;0,"Refund (not counted)",IF(O2056=0,"Zero amount",IF(NOT(ISNUMBER(N2056)),"Bad date",IF(P2056="","NAME NOT ON ROSTER",IF(L2056="","OK",IF(MATCH(L2056,$L$2:$L$3001,0)&lt;ROW()-1,"Duplicate (ignored)","OK"))))))))</f>
        <v/>
      </c>
      <c r="I2056">
        <f>IF(OC_Date=0,"",IF(INDEX('OneCause_Paste'!$A$2056:$AZ$2056,1,OC_Date)="","",INDEX('OneCause_Paste'!$A$2056:$AZ$2056,1,OC_Date)))</f>
        <v/>
      </c>
      <c r="J2056">
        <f>IF(OC_Amt=0,"",IF(INDEX('OneCause_Paste'!$A$2056:$AZ$2056,1,OC_Amt)="","",INDEX('OneCause_Paste'!$A$2056:$AZ$2056,1,OC_Amt)))</f>
        <v/>
      </c>
      <c r="K2056">
        <f>IF(OC_Name=0,"",IF(INDEX('OneCause_Paste'!$A$2056:$AZ$2056,1,OC_Name)="","",INDEX('OneCause_Paste'!$A$2056:$AZ$2056,1,OC_Name)))</f>
        <v/>
      </c>
      <c r="L2056">
        <f>IF(OC_Txn=0,"",IF(INDEX('OneCause_Paste'!$A$2056:$AZ$2056,1,OC_Txn)="","",INDEX('OneCause_Paste'!$A$2056:$AZ$2056,1,OC_Txn)))</f>
        <v/>
      </c>
      <c r="M2056">
        <f>IF(OC_Pay=0,"",IF(INDEX('OneCause_Paste'!$A$2056:$AZ$2056,1,OC_Pay)="","",INDEX('OneCause_Paste'!$A$2056:$AZ$2056,1,OC_Pay)))</f>
        <v/>
      </c>
      <c r="N2056">
        <f>IF(I2056="","",IF(ISNUMBER(I2056),INT(I2056),IFERROR(INT(DATEVALUE(I2056)),IFERROR(INT(VALUE(I2056)),"bad"))))</f>
        <v/>
      </c>
      <c r="O2056">
        <f>IF(J2056="","",IF(ISNUMBER(J2056),ROUND(J2056,2),IFERROR(ROUND(VALUE(SUBSTITUTE(SUBSTITUTE(SUBSTITUTE(J2056,"$",""),",","")," ","")),2),"bad")))</f>
        <v/>
      </c>
      <c r="P2056">
        <f>IF(TRIM(K2056)="","",IFERROR(MATCH(LOWER(TRIM(K2056)),'Students'!$AH$2:$AH$701,0),IFERROR(MATCH(LOWER(TRIM(K2056)),'Students'!$AF$2:$AF$701,0),IFERROR(MATCH(LOWER(TRIM(K2056)),'Students'!$AG$2:$AG$701,0),""))))</f>
        <v/>
      </c>
      <c r="R2056">
        <f>IF(P2056="","",INDEX('Students'!$AD$2:$AD$701,P2056))</f>
        <v/>
      </c>
      <c r="S2056">
        <f>IF(H2056="OK",O2056,0)</f>
        <v/>
      </c>
      <c r="T2056">
        <f>IF(H2056="OK",N2056,"")</f>
        <v/>
      </c>
      <c r="U2056">
        <f>IF(OC_Donor=0,"",IF(INDEX('OneCause_Paste'!$A$2056:$AZ$2056,1,OC_Donor)="","",INDEX('OneCause_Paste'!$A$2056:$AZ$2056,1,OC_Donor)))</f>
        <v/>
      </c>
    </row>
    <row r="2057">
      <c r="A2057" s="62">
        <f>IF(H2057="","",IF(ISNUMBER(N2057),N2057,I2057))</f>
        <v/>
      </c>
      <c r="B2057">
        <f>IF(H2057="","",U2057)</f>
        <v/>
      </c>
      <c r="C2057">
        <f>IF(H2057="","",IF(P2057="",K2057,INDEX('Students'!$A$2:$A$701,P2057)))</f>
        <v/>
      </c>
      <c r="D2057">
        <f>IF(OR(H2057="",P2057=""),"",INDEX('Students'!$B$2:$B$701,P2057))</f>
        <v/>
      </c>
      <c r="E2057">
        <f>IF(OR(H2057="",P2057=""),"",INDEX('Students'!$C$2:$C$701,P2057))</f>
        <v/>
      </c>
      <c r="F2057" s="48">
        <f>IF(H2057="","",IF(ISNUMBER(O2057),O2057,J2057))</f>
        <v/>
      </c>
      <c r="G2057">
        <f>IF(H2057="","","OneCause")</f>
        <v/>
      </c>
      <c r="H2057">
        <f>IF(AND(I2057="",J2057="",K2057=""),"",IF(NOT(ISNUMBER(O2057)),"Bad amount",IF(O2057&lt;0,"Refund (not counted)",IF(O2057=0,"Zero amount",IF(NOT(ISNUMBER(N2057)),"Bad date",IF(P2057="","NAME NOT ON ROSTER",IF(L2057="","OK",IF(MATCH(L2057,$L$2:$L$3001,0)&lt;ROW()-1,"Duplicate (ignored)","OK"))))))))</f>
        <v/>
      </c>
      <c r="I2057">
        <f>IF(OC_Date=0,"",IF(INDEX('OneCause_Paste'!$A$2057:$AZ$2057,1,OC_Date)="","",INDEX('OneCause_Paste'!$A$2057:$AZ$2057,1,OC_Date)))</f>
        <v/>
      </c>
      <c r="J2057">
        <f>IF(OC_Amt=0,"",IF(INDEX('OneCause_Paste'!$A$2057:$AZ$2057,1,OC_Amt)="","",INDEX('OneCause_Paste'!$A$2057:$AZ$2057,1,OC_Amt)))</f>
        <v/>
      </c>
      <c r="K2057">
        <f>IF(OC_Name=0,"",IF(INDEX('OneCause_Paste'!$A$2057:$AZ$2057,1,OC_Name)="","",INDEX('OneCause_Paste'!$A$2057:$AZ$2057,1,OC_Name)))</f>
        <v/>
      </c>
      <c r="L2057">
        <f>IF(OC_Txn=0,"",IF(INDEX('OneCause_Paste'!$A$2057:$AZ$2057,1,OC_Txn)="","",INDEX('OneCause_Paste'!$A$2057:$AZ$2057,1,OC_Txn)))</f>
        <v/>
      </c>
      <c r="M2057">
        <f>IF(OC_Pay=0,"",IF(INDEX('OneCause_Paste'!$A$2057:$AZ$2057,1,OC_Pay)="","",INDEX('OneCause_Paste'!$A$2057:$AZ$2057,1,OC_Pay)))</f>
        <v/>
      </c>
      <c r="N2057">
        <f>IF(I2057="","",IF(ISNUMBER(I2057),INT(I2057),IFERROR(INT(DATEVALUE(I2057)),IFERROR(INT(VALUE(I2057)),"bad"))))</f>
        <v/>
      </c>
      <c r="O2057">
        <f>IF(J2057="","",IF(ISNUMBER(J2057),ROUND(J2057,2),IFERROR(ROUND(VALUE(SUBSTITUTE(SUBSTITUTE(SUBSTITUTE(J2057,"$",""),",","")," ","")),2),"bad")))</f>
        <v/>
      </c>
      <c r="P2057">
        <f>IF(TRIM(K2057)="","",IFERROR(MATCH(LOWER(TRIM(K2057)),'Students'!$AH$2:$AH$701,0),IFERROR(MATCH(LOWER(TRIM(K2057)),'Students'!$AF$2:$AF$701,0),IFERROR(MATCH(LOWER(TRIM(K2057)),'Students'!$AG$2:$AG$701,0),""))))</f>
        <v/>
      </c>
      <c r="R2057">
        <f>IF(P2057="","",INDEX('Students'!$AD$2:$AD$701,P2057))</f>
        <v/>
      </c>
      <c r="S2057">
        <f>IF(H2057="OK",O2057,0)</f>
        <v/>
      </c>
      <c r="T2057">
        <f>IF(H2057="OK",N2057,"")</f>
        <v/>
      </c>
      <c r="U2057">
        <f>IF(OC_Donor=0,"",IF(INDEX('OneCause_Paste'!$A$2057:$AZ$2057,1,OC_Donor)="","",INDEX('OneCause_Paste'!$A$2057:$AZ$2057,1,OC_Donor)))</f>
        <v/>
      </c>
    </row>
    <row r="2058">
      <c r="A2058" s="62">
        <f>IF(H2058="","",IF(ISNUMBER(N2058),N2058,I2058))</f>
        <v/>
      </c>
      <c r="B2058">
        <f>IF(H2058="","",U2058)</f>
        <v/>
      </c>
      <c r="C2058">
        <f>IF(H2058="","",IF(P2058="",K2058,INDEX('Students'!$A$2:$A$701,P2058)))</f>
        <v/>
      </c>
      <c r="D2058">
        <f>IF(OR(H2058="",P2058=""),"",INDEX('Students'!$B$2:$B$701,P2058))</f>
        <v/>
      </c>
      <c r="E2058">
        <f>IF(OR(H2058="",P2058=""),"",INDEX('Students'!$C$2:$C$701,P2058))</f>
        <v/>
      </c>
      <c r="F2058" s="48">
        <f>IF(H2058="","",IF(ISNUMBER(O2058),O2058,J2058))</f>
        <v/>
      </c>
      <c r="G2058">
        <f>IF(H2058="","","OneCause")</f>
        <v/>
      </c>
      <c r="H2058">
        <f>IF(AND(I2058="",J2058="",K2058=""),"",IF(NOT(ISNUMBER(O2058)),"Bad amount",IF(O2058&lt;0,"Refund (not counted)",IF(O2058=0,"Zero amount",IF(NOT(ISNUMBER(N2058)),"Bad date",IF(P2058="","NAME NOT ON ROSTER",IF(L2058="","OK",IF(MATCH(L2058,$L$2:$L$3001,0)&lt;ROW()-1,"Duplicate (ignored)","OK"))))))))</f>
        <v/>
      </c>
      <c r="I2058">
        <f>IF(OC_Date=0,"",IF(INDEX('OneCause_Paste'!$A$2058:$AZ$2058,1,OC_Date)="","",INDEX('OneCause_Paste'!$A$2058:$AZ$2058,1,OC_Date)))</f>
        <v/>
      </c>
      <c r="J2058">
        <f>IF(OC_Amt=0,"",IF(INDEX('OneCause_Paste'!$A$2058:$AZ$2058,1,OC_Amt)="","",INDEX('OneCause_Paste'!$A$2058:$AZ$2058,1,OC_Amt)))</f>
        <v/>
      </c>
      <c r="K2058">
        <f>IF(OC_Name=0,"",IF(INDEX('OneCause_Paste'!$A$2058:$AZ$2058,1,OC_Name)="","",INDEX('OneCause_Paste'!$A$2058:$AZ$2058,1,OC_Name)))</f>
        <v/>
      </c>
      <c r="L2058">
        <f>IF(OC_Txn=0,"",IF(INDEX('OneCause_Paste'!$A$2058:$AZ$2058,1,OC_Txn)="","",INDEX('OneCause_Paste'!$A$2058:$AZ$2058,1,OC_Txn)))</f>
        <v/>
      </c>
      <c r="M2058">
        <f>IF(OC_Pay=0,"",IF(INDEX('OneCause_Paste'!$A$2058:$AZ$2058,1,OC_Pay)="","",INDEX('OneCause_Paste'!$A$2058:$AZ$2058,1,OC_Pay)))</f>
        <v/>
      </c>
      <c r="N2058">
        <f>IF(I2058="","",IF(ISNUMBER(I2058),INT(I2058),IFERROR(INT(DATEVALUE(I2058)),IFERROR(INT(VALUE(I2058)),"bad"))))</f>
        <v/>
      </c>
      <c r="O2058">
        <f>IF(J2058="","",IF(ISNUMBER(J2058),ROUND(J2058,2),IFERROR(ROUND(VALUE(SUBSTITUTE(SUBSTITUTE(SUBSTITUTE(J2058,"$",""),",","")," ","")),2),"bad")))</f>
        <v/>
      </c>
      <c r="P2058">
        <f>IF(TRIM(K2058)="","",IFERROR(MATCH(LOWER(TRIM(K2058)),'Students'!$AH$2:$AH$701,0),IFERROR(MATCH(LOWER(TRIM(K2058)),'Students'!$AF$2:$AF$701,0),IFERROR(MATCH(LOWER(TRIM(K2058)),'Students'!$AG$2:$AG$701,0),""))))</f>
        <v/>
      </c>
      <c r="R2058">
        <f>IF(P2058="","",INDEX('Students'!$AD$2:$AD$701,P2058))</f>
        <v/>
      </c>
      <c r="S2058">
        <f>IF(H2058="OK",O2058,0)</f>
        <v/>
      </c>
      <c r="T2058">
        <f>IF(H2058="OK",N2058,"")</f>
        <v/>
      </c>
      <c r="U2058">
        <f>IF(OC_Donor=0,"",IF(INDEX('OneCause_Paste'!$A$2058:$AZ$2058,1,OC_Donor)="","",INDEX('OneCause_Paste'!$A$2058:$AZ$2058,1,OC_Donor)))</f>
        <v/>
      </c>
    </row>
    <row r="2059">
      <c r="A2059" s="62">
        <f>IF(H2059="","",IF(ISNUMBER(N2059),N2059,I2059))</f>
        <v/>
      </c>
      <c r="B2059">
        <f>IF(H2059="","",U2059)</f>
        <v/>
      </c>
      <c r="C2059">
        <f>IF(H2059="","",IF(P2059="",K2059,INDEX('Students'!$A$2:$A$701,P2059)))</f>
        <v/>
      </c>
      <c r="D2059">
        <f>IF(OR(H2059="",P2059=""),"",INDEX('Students'!$B$2:$B$701,P2059))</f>
        <v/>
      </c>
      <c r="E2059">
        <f>IF(OR(H2059="",P2059=""),"",INDEX('Students'!$C$2:$C$701,P2059))</f>
        <v/>
      </c>
      <c r="F2059" s="48">
        <f>IF(H2059="","",IF(ISNUMBER(O2059),O2059,J2059))</f>
        <v/>
      </c>
      <c r="G2059">
        <f>IF(H2059="","","OneCause")</f>
        <v/>
      </c>
      <c r="H2059">
        <f>IF(AND(I2059="",J2059="",K2059=""),"",IF(NOT(ISNUMBER(O2059)),"Bad amount",IF(O2059&lt;0,"Refund (not counted)",IF(O2059=0,"Zero amount",IF(NOT(ISNUMBER(N2059)),"Bad date",IF(P2059="","NAME NOT ON ROSTER",IF(L2059="","OK",IF(MATCH(L2059,$L$2:$L$3001,0)&lt;ROW()-1,"Duplicate (ignored)","OK"))))))))</f>
        <v/>
      </c>
      <c r="I2059">
        <f>IF(OC_Date=0,"",IF(INDEX('OneCause_Paste'!$A$2059:$AZ$2059,1,OC_Date)="","",INDEX('OneCause_Paste'!$A$2059:$AZ$2059,1,OC_Date)))</f>
        <v/>
      </c>
      <c r="J2059">
        <f>IF(OC_Amt=0,"",IF(INDEX('OneCause_Paste'!$A$2059:$AZ$2059,1,OC_Amt)="","",INDEX('OneCause_Paste'!$A$2059:$AZ$2059,1,OC_Amt)))</f>
        <v/>
      </c>
      <c r="K2059">
        <f>IF(OC_Name=0,"",IF(INDEX('OneCause_Paste'!$A$2059:$AZ$2059,1,OC_Name)="","",INDEX('OneCause_Paste'!$A$2059:$AZ$2059,1,OC_Name)))</f>
        <v/>
      </c>
      <c r="L2059">
        <f>IF(OC_Txn=0,"",IF(INDEX('OneCause_Paste'!$A$2059:$AZ$2059,1,OC_Txn)="","",INDEX('OneCause_Paste'!$A$2059:$AZ$2059,1,OC_Txn)))</f>
        <v/>
      </c>
      <c r="M2059">
        <f>IF(OC_Pay=0,"",IF(INDEX('OneCause_Paste'!$A$2059:$AZ$2059,1,OC_Pay)="","",INDEX('OneCause_Paste'!$A$2059:$AZ$2059,1,OC_Pay)))</f>
        <v/>
      </c>
      <c r="N2059">
        <f>IF(I2059="","",IF(ISNUMBER(I2059),INT(I2059),IFERROR(INT(DATEVALUE(I2059)),IFERROR(INT(VALUE(I2059)),"bad"))))</f>
        <v/>
      </c>
      <c r="O2059">
        <f>IF(J2059="","",IF(ISNUMBER(J2059),ROUND(J2059,2),IFERROR(ROUND(VALUE(SUBSTITUTE(SUBSTITUTE(SUBSTITUTE(J2059,"$",""),",","")," ","")),2),"bad")))</f>
        <v/>
      </c>
      <c r="P2059">
        <f>IF(TRIM(K2059)="","",IFERROR(MATCH(LOWER(TRIM(K2059)),'Students'!$AH$2:$AH$701,0),IFERROR(MATCH(LOWER(TRIM(K2059)),'Students'!$AF$2:$AF$701,0),IFERROR(MATCH(LOWER(TRIM(K2059)),'Students'!$AG$2:$AG$701,0),""))))</f>
        <v/>
      </c>
      <c r="R2059">
        <f>IF(P2059="","",INDEX('Students'!$AD$2:$AD$701,P2059))</f>
        <v/>
      </c>
      <c r="S2059">
        <f>IF(H2059="OK",O2059,0)</f>
        <v/>
      </c>
      <c r="T2059">
        <f>IF(H2059="OK",N2059,"")</f>
        <v/>
      </c>
      <c r="U2059">
        <f>IF(OC_Donor=0,"",IF(INDEX('OneCause_Paste'!$A$2059:$AZ$2059,1,OC_Donor)="","",INDEX('OneCause_Paste'!$A$2059:$AZ$2059,1,OC_Donor)))</f>
        <v/>
      </c>
    </row>
    <row r="2060">
      <c r="A2060" s="62">
        <f>IF(H2060="","",IF(ISNUMBER(N2060),N2060,I2060))</f>
        <v/>
      </c>
      <c r="B2060">
        <f>IF(H2060="","",U2060)</f>
        <v/>
      </c>
      <c r="C2060">
        <f>IF(H2060="","",IF(P2060="",K2060,INDEX('Students'!$A$2:$A$701,P2060)))</f>
        <v/>
      </c>
      <c r="D2060">
        <f>IF(OR(H2060="",P2060=""),"",INDEX('Students'!$B$2:$B$701,P2060))</f>
        <v/>
      </c>
      <c r="E2060">
        <f>IF(OR(H2060="",P2060=""),"",INDEX('Students'!$C$2:$C$701,P2060))</f>
        <v/>
      </c>
      <c r="F2060" s="48">
        <f>IF(H2060="","",IF(ISNUMBER(O2060),O2060,J2060))</f>
        <v/>
      </c>
      <c r="G2060">
        <f>IF(H2060="","","OneCause")</f>
        <v/>
      </c>
      <c r="H2060">
        <f>IF(AND(I2060="",J2060="",K2060=""),"",IF(NOT(ISNUMBER(O2060)),"Bad amount",IF(O2060&lt;0,"Refund (not counted)",IF(O2060=0,"Zero amount",IF(NOT(ISNUMBER(N2060)),"Bad date",IF(P2060="","NAME NOT ON ROSTER",IF(L2060="","OK",IF(MATCH(L2060,$L$2:$L$3001,0)&lt;ROW()-1,"Duplicate (ignored)","OK"))))))))</f>
        <v/>
      </c>
      <c r="I2060">
        <f>IF(OC_Date=0,"",IF(INDEX('OneCause_Paste'!$A$2060:$AZ$2060,1,OC_Date)="","",INDEX('OneCause_Paste'!$A$2060:$AZ$2060,1,OC_Date)))</f>
        <v/>
      </c>
      <c r="J2060">
        <f>IF(OC_Amt=0,"",IF(INDEX('OneCause_Paste'!$A$2060:$AZ$2060,1,OC_Amt)="","",INDEX('OneCause_Paste'!$A$2060:$AZ$2060,1,OC_Amt)))</f>
        <v/>
      </c>
      <c r="K2060">
        <f>IF(OC_Name=0,"",IF(INDEX('OneCause_Paste'!$A$2060:$AZ$2060,1,OC_Name)="","",INDEX('OneCause_Paste'!$A$2060:$AZ$2060,1,OC_Name)))</f>
        <v/>
      </c>
      <c r="L2060">
        <f>IF(OC_Txn=0,"",IF(INDEX('OneCause_Paste'!$A$2060:$AZ$2060,1,OC_Txn)="","",INDEX('OneCause_Paste'!$A$2060:$AZ$2060,1,OC_Txn)))</f>
        <v/>
      </c>
      <c r="M2060">
        <f>IF(OC_Pay=0,"",IF(INDEX('OneCause_Paste'!$A$2060:$AZ$2060,1,OC_Pay)="","",INDEX('OneCause_Paste'!$A$2060:$AZ$2060,1,OC_Pay)))</f>
        <v/>
      </c>
      <c r="N2060">
        <f>IF(I2060="","",IF(ISNUMBER(I2060),INT(I2060),IFERROR(INT(DATEVALUE(I2060)),IFERROR(INT(VALUE(I2060)),"bad"))))</f>
        <v/>
      </c>
      <c r="O2060">
        <f>IF(J2060="","",IF(ISNUMBER(J2060),ROUND(J2060,2),IFERROR(ROUND(VALUE(SUBSTITUTE(SUBSTITUTE(SUBSTITUTE(J2060,"$",""),",","")," ","")),2),"bad")))</f>
        <v/>
      </c>
      <c r="P2060">
        <f>IF(TRIM(K2060)="","",IFERROR(MATCH(LOWER(TRIM(K2060)),'Students'!$AH$2:$AH$701,0),IFERROR(MATCH(LOWER(TRIM(K2060)),'Students'!$AF$2:$AF$701,0),IFERROR(MATCH(LOWER(TRIM(K2060)),'Students'!$AG$2:$AG$701,0),""))))</f>
        <v/>
      </c>
      <c r="R2060">
        <f>IF(P2060="","",INDEX('Students'!$AD$2:$AD$701,P2060))</f>
        <v/>
      </c>
      <c r="S2060">
        <f>IF(H2060="OK",O2060,0)</f>
        <v/>
      </c>
      <c r="T2060">
        <f>IF(H2060="OK",N2060,"")</f>
        <v/>
      </c>
      <c r="U2060">
        <f>IF(OC_Donor=0,"",IF(INDEX('OneCause_Paste'!$A$2060:$AZ$2060,1,OC_Donor)="","",INDEX('OneCause_Paste'!$A$2060:$AZ$2060,1,OC_Donor)))</f>
        <v/>
      </c>
    </row>
    <row r="2061">
      <c r="A2061" s="62">
        <f>IF(H2061="","",IF(ISNUMBER(N2061),N2061,I2061))</f>
        <v/>
      </c>
      <c r="B2061">
        <f>IF(H2061="","",U2061)</f>
        <v/>
      </c>
      <c r="C2061">
        <f>IF(H2061="","",IF(P2061="",K2061,INDEX('Students'!$A$2:$A$701,P2061)))</f>
        <v/>
      </c>
      <c r="D2061">
        <f>IF(OR(H2061="",P2061=""),"",INDEX('Students'!$B$2:$B$701,P2061))</f>
        <v/>
      </c>
      <c r="E2061">
        <f>IF(OR(H2061="",P2061=""),"",INDEX('Students'!$C$2:$C$701,P2061))</f>
        <v/>
      </c>
      <c r="F2061" s="48">
        <f>IF(H2061="","",IF(ISNUMBER(O2061),O2061,J2061))</f>
        <v/>
      </c>
      <c r="G2061">
        <f>IF(H2061="","","OneCause")</f>
        <v/>
      </c>
      <c r="H2061">
        <f>IF(AND(I2061="",J2061="",K2061=""),"",IF(NOT(ISNUMBER(O2061)),"Bad amount",IF(O2061&lt;0,"Refund (not counted)",IF(O2061=0,"Zero amount",IF(NOT(ISNUMBER(N2061)),"Bad date",IF(P2061="","NAME NOT ON ROSTER",IF(L2061="","OK",IF(MATCH(L2061,$L$2:$L$3001,0)&lt;ROW()-1,"Duplicate (ignored)","OK"))))))))</f>
        <v/>
      </c>
      <c r="I2061">
        <f>IF(OC_Date=0,"",IF(INDEX('OneCause_Paste'!$A$2061:$AZ$2061,1,OC_Date)="","",INDEX('OneCause_Paste'!$A$2061:$AZ$2061,1,OC_Date)))</f>
        <v/>
      </c>
      <c r="J2061">
        <f>IF(OC_Amt=0,"",IF(INDEX('OneCause_Paste'!$A$2061:$AZ$2061,1,OC_Amt)="","",INDEX('OneCause_Paste'!$A$2061:$AZ$2061,1,OC_Amt)))</f>
        <v/>
      </c>
      <c r="K2061">
        <f>IF(OC_Name=0,"",IF(INDEX('OneCause_Paste'!$A$2061:$AZ$2061,1,OC_Name)="","",INDEX('OneCause_Paste'!$A$2061:$AZ$2061,1,OC_Name)))</f>
        <v/>
      </c>
      <c r="L2061">
        <f>IF(OC_Txn=0,"",IF(INDEX('OneCause_Paste'!$A$2061:$AZ$2061,1,OC_Txn)="","",INDEX('OneCause_Paste'!$A$2061:$AZ$2061,1,OC_Txn)))</f>
        <v/>
      </c>
      <c r="M2061">
        <f>IF(OC_Pay=0,"",IF(INDEX('OneCause_Paste'!$A$2061:$AZ$2061,1,OC_Pay)="","",INDEX('OneCause_Paste'!$A$2061:$AZ$2061,1,OC_Pay)))</f>
        <v/>
      </c>
      <c r="N2061">
        <f>IF(I2061="","",IF(ISNUMBER(I2061),INT(I2061),IFERROR(INT(DATEVALUE(I2061)),IFERROR(INT(VALUE(I2061)),"bad"))))</f>
        <v/>
      </c>
      <c r="O2061">
        <f>IF(J2061="","",IF(ISNUMBER(J2061),ROUND(J2061,2),IFERROR(ROUND(VALUE(SUBSTITUTE(SUBSTITUTE(SUBSTITUTE(J2061,"$",""),",","")," ","")),2),"bad")))</f>
        <v/>
      </c>
      <c r="P2061">
        <f>IF(TRIM(K2061)="","",IFERROR(MATCH(LOWER(TRIM(K2061)),'Students'!$AH$2:$AH$701,0),IFERROR(MATCH(LOWER(TRIM(K2061)),'Students'!$AF$2:$AF$701,0),IFERROR(MATCH(LOWER(TRIM(K2061)),'Students'!$AG$2:$AG$701,0),""))))</f>
        <v/>
      </c>
      <c r="R2061">
        <f>IF(P2061="","",INDEX('Students'!$AD$2:$AD$701,P2061))</f>
        <v/>
      </c>
      <c r="S2061">
        <f>IF(H2061="OK",O2061,0)</f>
        <v/>
      </c>
      <c r="T2061">
        <f>IF(H2061="OK",N2061,"")</f>
        <v/>
      </c>
      <c r="U2061">
        <f>IF(OC_Donor=0,"",IF(INDEX('OneCause_Paste'!$A$2061:$AZ$2061,1,OC_Donor)="","",INDEX('OneCause_Paste'!$A$2061:$AZ$2061,1,OC_Donor)))</f>
        <v/>
      </c>
    </row>
    <row r="2062">
      <c r="A2062" s="62">
        <f>IF(H2062="","",IF(ISNUMBER(N2062),N2062,I2062))</f>
        <v/>
      </c>
      <c r="B2062">
        <f>IF(H2062="","",U2062)</f>
        <v/>
      </c>
      <c r="C2062">
        <f>IF(H2062="","",IF(P2062="",K2062,INDEX('Students'!$A$2:$A$701,P2062)))</f>
        <v/>
      </c>
      <c r="D2062">
        <f>IF(OR(H2062="",P2062=""),"",INDEX('Students'!$B$2:$B$701,P2062))</f>
        <v/>
      </c>
      <c r="E2062">
        <f>IF(OR(H2062="",P2062=""),"",INDEX('Students'!$C$2:$C$701,P2062))</f>
        <v/>
      </c>
      <c r="F2062" s="48">
        <f>IF(H2062="","",IF(ISNUMBER(O2062),O2062,J2062))</f>
        <v/>
      </c>
      <c r="G2062">
        <f>IF(H2062="","","OneCause")</f>
        <v/>
      </c>
      <c r="H2062">
        <f>IF(AND(I2062="",J2062="",K2062=""),"",IF(NOT(ISNUMBER(O2062)),"Bad amount",IF(O2062&lt;0,"Refund (not counted)",IF(O2062=0,"Zero amount",IF(NOT(ISNUMBER(N2062)),"Bad date",IF(P2062="","NAME NOT ON ROSTER",IF(L2062="","OK",IF(MATCH(L2062,$L$2:$L$3001,0)&lt;ROW()-1,"Duplicate (ignored)","OK"))))))))</f>
        <v/>
      </c>
      <c r="I2062">
        <f>IF(OC_Date=0,"",IF(INDEX('OneCause_Paste'!$A$2062:$AZ$2062,1,OC_Date)="","",INDEX('OneCause_Paste'!$A$2062:$AZ$2062,1,OC_Date)))</f>
        <v/>
      </c>
      <c r="J2062">
        <f>IF(OC_Amt=0,"",IF(INDEX('OneCause_Paste'!$A$2062:$AZ$2062,1,OC_Amt)="","",INDEX('OneCause_Paste'!$A$2062:$AZ$2062,1,OC_Amt)))</f>
        <v/>
      </c>
      <c r="K2062">
        <f>IF(OC_Name=0,"",IF(INDEX('OneCause_Paste'!$A$2062:$AZ$2062,1,OC_Name)="","",INDEX('OneCause_Paste'!$A$2062:$AZ$2062,1,OC_Name)))</f>
        <v/>
      </c>
      <c r="L2062">
        <f>IF(OC_Txn=0,"",IF(INDEX('OneCause_Paste'!$A$2062:$AZ$2062,1,OC_Txn)="","",INDEX('OneCause_Paste'!$A$2062:$AZ$2062,1,OC_Txn)))</f>
        <v/>
      </c>
      <c r="M2062">
        <f>IF(OC_Pay=0,"",IF(INDEX('OneCause_Paste'!$A$2062:$AZ$2062,1,OC_Pay)="","",INDEX('OneCause_Paste'!$A$2062:$AZ$2062,1,OC_Pay)))</f>
        <v/>
      </c>
      <c r="N2062">
        <f>IF(I2062="","",IF(ISNUMBER(I2062),INT(I2062),IFERROR(INT(DATEVALUE(I2062)),IFERROR(INT(VALUE(I2062)),"bad"))))</f>
        <v/>
      </c>
      <c r="O2062">
        <f>IF(J2062="","",IF(ISNUMBER(J2062),ROUND(J2062,2),IFERROR(ROUND(VALUE(SUBSTITUTE(SUBSTITUTE(SUBSTITUTE(J2062,"$",""),",","")," ","")),2),"bad")))</f>
        <v/>
      </c>
      <c r="P2062">
        <f>IF(TRIM(K2062)="","",IFERROR(MATCH(LOWER(TRIM(K2062)),'Students'!$AH$2:$AH$701,0),IFERROR(MATCH(LOWER(TRIM(K2062)),'Students'!$AF$2:$AF$701,0),IFERROR(MATCH(LOWER(TRIM(K2062)),'Students'!$AG$2:$AG$701,0),""))))</f>
        <v/>
      </c>
      <c r="R2062">
        <f>IF(P2062="","",INDEX('Students'!$AD$2:$AD$701,P2062))</f>
        <v/>
      </c>
      <c r="S2062">
        <f>IF(H2062="OK",O2062,0)</f>
        <v/>
      </c>
      <c r="T2062">
        <f>IF(H2062="OK",N2062,"")</f>
        <v/>
      </c>
      <c r="U2062">
        <f>IF(OC_Donor=0,"",IF(INDEX('OneCause_Paste'!$A$2062:$AZ$2062,1,OC_Donor)="","",INDEX('OneCause_Paste'!$A$2062:$AZ$2062,1,OC_Donor)))</f>
        <v/>
      </c>
    </row>
    <row r="2063">
      <c r="A2063" s="62">
        <f>IF(H2063="","",IF(ISNUMBER(N2063),N2063,I2063))</f>
        <v/>
      </c>
      <c r="B2063">
        <f>IF(H2063="","",U2063)</f>
        <v/>
      </c>
      <c r="C2063">
        <f>IF(H2063="","",IF(P2063="",K2063,INDEX('Students'!$A$2:$A$701,P2063)))</f>
        <v/>
      </c>
      <c r="D2063">
        <f>IF(OR(H2063="",P2063=""),"",INDEX('Students'!$B$2:$B$701,P2063))</f>
        <v/>
      </c>
      <c r="E2063">
        <f>IF(OR(H2063="",P2063=""),"",INDEX('Students'!$C$2:$C$701,P2063))</f>
        <v/>
      </c>
      <c r="F2063" s="48">
        <f>IF(H2063="","",IF(ISNUMBER(O2063),O2063,J2063))</f>
        <v/>
      </c>
      <c r="G2063">
        <f>IF(H2063="","","OneCause")</f>
        <v/>
      </c>
      <c r="H2063">
        <f>IF(AND(I2063="",J2063="",K2063=""),"",IF(NOT(ISNUMBER(O2063)),"Bad amount",IF(O2063&lt;0,"Refund (not counted)",IF(O2063=0,"Zero amount",IF(NOT(ISNUMBER(N2063)),"Bad date",IF(P2063="","NAME NOT ON ROSTER",IF(L2063="","OK",IF(MATCH(L2063,$L$2:$L$3001,0)&lt;ROW()-1,"Duplicate (ignored)","OK"))))))))</f>
        <v/>
      </c>
      <c r="I2063">
        <f>IF(OC_Date=0,"",IF(INDEX('OneCause_Paste'!$A$2063:$AZ$2063,1,OC_Date)="","",INDEX('OneCause_Paste'!$A$2063:$AZ$2063,1,OC_Date)))</f>
        <v/>
      </c>
      <c r="J2063">
        <f>IF(OC_Amt=0,"",IF(INDEX('OneCause_Paste'!$A$2063:$AZ$2063,1,OC_Amt)="","",INDEX('OneCause_Paste'!$A$2063:$AZ$2063,1,OC_Amt)))</f>
        <v/>
      </c>
      <c r="K2063">
        <f>IF(OC_Name=0,"",IF(INDEX('OneCause_Paste'!$A$2063:$AZ$2063,1,OC_Name)="","",INDEX('OneCause_Paste'!$A$2063:$AZ$2063,1,OC_Name)))</f>
        <v/>
      </c>
      <c r="L2063">
        <f>IF(OC_Txn=0,"",IF(INDEX('OneCause_Paste'!$A$2063:$AZ$2063,1,OC_Txn)="","",INDEX('OneCause_Paste'!$A$2063:$AZ$2063,1,OC_Txn)))</f>
        <v/>
      </c>
      <c r="M2063">
        <f>IF(OC_Pay=0,"",IF(INDEX('OneCause_Paste'!$A$2063:$AZ$2063,1,OC_Pay)="","",INDEX('OneCause_Paste'!$A$2063:$AZ$2063,1,OC_Pay)))</f>
        <v/>
      </c>
      <c r="N2063">
        <f>IF(I2063="","",IF(ISNUMBER(I2063),INT(I2063),IFERROR(INT(DATEVALUE(I2063)),IFERROR(INT(VALUE(I2063)),"bad"))))</f>
        <v/>
      </c>
      <c r="O2063">
        <f>IF(J2063="","",IF(ISNUMBER(J2063),ROUND(J2063,2),IFERROR(ROUND(VALUE(SUBSTITUTE(SUBSTITUTE(SUBSTITUTE(J2063,"$",""),",","")," ","")),2),"bad")))</f>
        <v/>
      </c>
      <c r="P2063">
        <f>IF(TRIM(K2063)="","",IFERROR(MATCH(LOWER(TRIM(K2063)),'Students'!$AH$2:$AH$701,0),IFERROR(MATCH(LOWER(TRIM(K2063)),'Students'!$AF$2:$AF$701,0),IFERROR(MATCH(LOWER(TRIM(K2063)),'Students'!$AG$2:$AG$701,0),""))))</f>
        <v/>
      </c>
      <c r="R2063">
        <f>IF(P2063="","",INDEX('Students'!$AD$2:$AD$701,P2063))</f>
        <v/>
      </c>
      <c r="S2063">
        <f>IF(H2063="OK",O2063,0)</f>
        <v/>
      </c>
      <c r="T2063">
        <f>IF(H2063="OK",N2063,"")</f>
        <v/>
      </c>
      <c r="U2063">
        <f>IF(OC_Donor=0,"",IF(INDEX('OneCause_Paste'!$A$2063:$AZ$2063,1,OC_Donor)="","",INDEX('OneCause_Paste'!$A$2063:$AZ$2063,1,OC_Donor)))</f>
        <v/>
      </c>
    </row>
    <row r="2064">
      <c r="A2064" s="62">
        <f>IF(H2064="","",IF(ISNUMBER(N2064),N2064,I2064))</f>
        <v/>
      </c>
      <c r="B2064">
        <f>IF(H2064="","",U2064)</f>
        <v/>
      </c>
      <c r="C2064">
        <f>IF(H2064="","",IF(P2064="",K2064,INDEX('Students'!$A$2:$A$701,P2064)))</f>
        <v/>
      </c>
      <c r="D2064">
        <f>IF(OR(H2064="",P2064=""),"",INDEX('Students'!$B$2:$B$701,P2064))</f>
        <v/>
      </c>
      <c r="E2064">
        <f>IF(OR(H2064="",P2064=""),"",INDEX('Students'!$C$2:$C$701,P2064))</f>
        <v/>
      </c>
      <c r="F2064" s="48">
        <f>IF(H2064="","",IF(ISNUMBER(O2064),O2064,J2064))</f>
        <v/>
      </c>
      <c r="G2064">
        <f>IF(H2064="","","OneCause")</f>
        <v/>
      </c>
      <c r="H2064">
        <f>IF(AND(I2064="",J2064="",K2064=""),"",IF(NOT(ISNUMBER(O2064)),"Bad amount",IF(O2064&lt;0,"Refund (not counted)",IF(O2064=0,"Zero amount",IF(NOT(ISNUMBER(N2064)),"Bad date",IF(P2064="","NAME NOT ON ROSTER",IF(L2064="","OK",IF(MATCH(L2064,$L$2:$L$3001,0)&lt;ROW()-1,"Duplicate (ignored)","OK"))))))))</f>
        <v/>
      </c>
      <c r="I2064">
        <f>IF(OC_Date=0,"",IF(INDEX('OneCause_Paste'!$A$2064:$AZ$2064,1,OC_Date)="","",INDEX('OneCause_Paste'!$A$2064:$AZ$2064,1,OC_Date)))</f>
        <v/>
      </c>
      <c r="J2064">
        <f>IF(OC_Amt=0,"",IF(INDEX('OneCause_Paste'!$A$2064:$AZ$2064,1,OC_Amt)="","",INDEX('OneCause_Paste'!$A$2064:$AZ$2064,1,OC_Amt)))</f>
        <v/>
      </c>
      <c r="K2064">
        <f>IF(OC_Name=0,"",IF(INDEX('OneCause_Paste'!$A$2064:$AZ$2064,1,OC_Name)="","",INDEX('OneCause_Paste'!$A$2064:$AZ$2064,1,OC_Name)))</f>
        <v/>
      </c>
      <c r="L2064">
        <f>IF(OC_Txn=0,"",IF(INDEX('OneCause_Paste'!$A$2064:$AZ$2064,1,OC_Txn)="","",INDEX('OneCause_Paste'!$A$2064:$AZ$2064,1,OC_Txn)))</f>
        <v/>
      </c>
      <c r="M2064">
        <f>IF(OC_Pay=0,"",IF(INDEX('OneCause_Paste'!$A$2064:$AZ$2064,1,OC_Pay)="","",INDEX('OneCause_Paste'!$A$2064:$AZ$2064,1,OC_Pay)))</f>
        <v/>
      </c>
      <c r="N2064">
        <f>IF(I2064="","",IF(ISNUMBER(I2064),INT(I2064),IFERROR(INT(DATEVALUE(I2064)),IFERROR(INT(VALUE(I2064)),"bad"))))</f>
        <v/>
      </c>
      <c r="O2064">
        <f>IF(J2064="","",IF(ISNUMBER(J2064),ROUND(J2064,2),IFERROR(ROUND(VALUE(SUBSTITUTE(SUBSTITUTE(SUBSTITUTE(J2064,"$",""),",","")," ","")),2),"bad")))</f>
        <v/>
      </c>
      <c r="P2064">
        <f>IF(TRIM(K2064)="","",IFERROR(MATCH(LOWER(TRIM(K2064)),'Students'!$AH$2:$AH$701,0),IFERROR(MATCH(LOWER(TRIM(K2064)),'Students'!$AF$2:$AF$701,0),IFERROR(MATCH(LOWER(TRIM(K2064)),'Students'!$AG$2:$AG$701,0),""))))</f>
        <v/>
      </c>
      <c r="R2064">
        <f>IF(P2064="","",INDEX('Students'!$AD$2:$AD$701,P2064))</f>
        <v/>
      </c>
      <c r="S2064">
        <f>IF(H2064="OK",O2064,0)</f>
        <v/>
      </c>
      <c r="T2064">
        <f>IF(H2064="OK",N2064,"")</f>
        <v/>
      </c>
      <c r="U2064">
        <f>IF(OC_Donor=0,"",IF(INDEX('OneCause_Paste'!$A$2064:$AZ$2064,1,OC_Donor)="","",INDEX('OneCause_Paste'!$A$2064:$AZ$2064,1,OC_Donor)))</f>
        <v/>
      </c>
    </row>
    <row r="2065">
      <c r="A2065" s="62">
        <f>IF(H2065="","",IF(ISNUMBER(N2065),N2065,I2065))</f>
        <v/>
      </c>
      <c r="B2065">
        <f>IF(H2065="","",U2065)</f>
        <v/>
      </c>
      <c r="C2065">
        <f>IF(H2065="","",IF(P2065="",K2065,INDEX('Students'!$A$2:$A$701,P2065)))</f>
        <v/>
      </c>
      <c r="D2065">
        <f>IF(OR(H2065="",P2065=""),"",INDEX('Students'!$B$2:$B$701,P2065))</f>
        <v/>
      </c>
      <c r="E2065">
        <f>IF(OR(H2065="",P2065=""),"",INDEX('Students'!$C$2:$C$701,P2065))</f>
        <v/>
      </c>
      <c r="F2065" s="48">
        <f>IF(H2065="","",IF(ISNUMBER(O2065),O2065,J2065))</f>
        <v/>
      </c>
      <c r="G2065">
        <f>IF(H2065="","","OneCause")</f>
        <v/>
      </c>
      <c r="H2065">
        <f>IF(AND(I2065="",J2065="",K2065=""),"",IF(NOT(ISNUMBER(O2065)),"Bad amount",IF(O2065&lt;0,"Refund (not counted)",IF(O2065=0,"Zero amount",IF(NOT(ISNUMBER(N2065)),"Bad date",IF(P2065="","NAME NOT ON ROSTER",IF(L2065="","OK",IF(MATCH(L2065,$L$2:$L$3001,0)&lt;ROW()-1,"Duplicate (ignored)","OK"))))))))</f>
        <v/>
      </c>
      <c r="I2065">
        <f>IF(OC_Date=0,"",IF(INDEX('OneCause_Paste'!$A$2065:$AZ$2065,1,OC_Date)="","",INDEX('OneCause_Paste'!$A$2065:$AZ$2065,1,OC_Date)))</f>
        <v/>
      </c>
      <c r="J2065">
        <f>IF(OC_Amt=0,"",IF(INDEX('OneCause_Paste'!$A$2065:$AZ$2065,1,OC_Amt)="","",INDEX('OneCause_Paste'!$A$2065:$AZ$2065,1,OC_Amt)))</f>
        <v/>
      </c>
      <c r="K2065">
        <f>IF(OC_Name=0,"",IF(INDEX('OneCause_Paste'!$A$2065:$AZ$2065,1,OC_Name)="","",INDEX('OneCause_Paste'!$A$2065:$AZ$2065,1,OC_Name)))</f>
        <v/>
      </c>
      <c r="L2065">
        <f>IF(OC_Txn=0,"",IF(INDEX('OneCause_Paste'!$A$2065:$AZ$2065,1,OC_Txn)="","",INDEX('OneCause_Paste'!$A$2065:$AZ$2065,1,OC_Txn)))</f>
        <v/>
      </c>
      <c r="M2065">
        <f>IF(OC_Pay=0,"",IF(INDEX('OneCause_Paste'!$A$2065:$AZ$2065,1,OC_Pay)="","",INDEX('OneCause_Paste'!$A$2065:$AZ$2065,1,OC_Pay)))</f>
        <v/>
      </c>
      <c r="N2065">
        <f>IF(I2065="","",IF(ISNUMBER(I2065),INT(I2065),IFERROR(INT(DATEVALUE(I2065)),IFERROR(INT(VALUE(I2065)),"bad"))))</f>
        <v/>
      </c>
      <c r="O2065">
        <f>IF(J2065="","",IF(ISNUMBER(J2065),ROUND(J2065,2),IFERROR(ROUND(VALUE(SUBSTITUTE(SUBSTITUTE(SUBSTITUTE(J2065,"$",""),",","")," ","")),2),"bad")))</f>
        <v/>
      </c>
      <c r="P2065">
        <f>IF(TRIM(K2065)="","",IFERROR(MATCH(LOWER(TRIM(K2065)),'Students'!$AH$2:$AH$701,0),IFERROR(MATCH(LOWER(TRIM(K2065)),'Students'!$AF$2:$AF$701,0),IFERROR(MATCH(LOWER(TRIM(K2065)),'Students'!$AG$2:$AG$701,0),""))))</f>
        <v/>
      </c>
      <c r="R2065">
        <f>IF(P2065="","",INDEX('Students'!$AD$2:$AD$701,P2065))</f>
        <v/>
      </c>
      <c r="S2065">
        <f>IF(H2065="OK",O2065,0)</f>
        <v/>
      </c>
      <c r="T2065">
        <f>IF(H2065="OK",N2065,"")</f>
        <v/>
      </c>
      <c r="U2065">
        <f>IF(OC_Donor=0,"",IF(INDEX('OneCause_Paste'!$A$2065:$AZ$2065,1,OC_Donor)="","",INDEX('OneCause_Paste'!$A$2065:$AZ$2065,1,OC_Donor)))</f>
        <v/>
      </c>
    </row>
    <row r="2066">
      <c r="A2066" s="62">
        <f>IF(H2066="","",IF(ISNUMBER(N2066),N2066,I2066))</f>
        <v/>
      </c>
      <c r="B2066">
        <f>IF(H2066="","",U2066)</f>
        <v/>
      </c>
      <c r="C2066">
        <f>IF(H2066="","",IF(P2066="",K2066,INDEX('Students'!$A$2:$A$701,P2066)))</f>
        <v/>
      </c>
      <c r="D2066">
        <f>IF(OR(H2066="",P2066=""),"",INDEX('Students'!$B$2:$B$701,P2066))</f>
        <v/>
      </c>
      <c r="E2066">
        <f>IF(OR(H2066="",P2066=""),"",INDEX('Students'!$C$2:$C$701,P2066))</f>
        <v/>
      </c>
      <c r="F2066" s="48">
        <f>IF(H2066="","",IF(ISNUMBER(O2066),O2066,J2066))</f>
        <v/>
      </c>
      <c r="G2066">
        <f>IF(H2066="","","OneCause")</f>
        <v/>
      </c>
      <c r="H2066">
        <f>IF(AND(I2066="",J2066="",K2066=""),"",IF(NOT(ISNUMBER(O2066)),"Bad amount",IF(O2066&lt;0,"Refund (not counted)",IF(O2066=0,"Zero amount",IF(NOT(ISNUMBER(N2066)),"Bad date",IF(P2066="","NAME NOT ON ROSTER",IF(L2066="","OK",IF(MATCH(L2066,$L$2:$L$3001,0)&lt;ROW()-1,"Duplicate (ignored)","OK"))))))))</f>
        <v/>
      </c>
      <c r="I2066">
        <f>IF(OC_Date=0,"",IF(INDEX('OneCause_Paste'!$A$2066:$AZ$2066,1,OC_Date)="","",INDEX('OneCause_Paste'!$A$2066:$AZ$2066,1,OC_Date)))</f>
        <v/>
      </c>
      <c r="J2066">
        <f>IF(OC_Amt=0,"",IF(INDEX('OneCause_Paste'!$A$2066:$AZ$2066,1,OC_Amt)="","",INDEX('OneCause_Paste'!$A$2066:$AZ$2066,1,OC_Amt)))</f>
        <v/>
      </c>
      <c r="K2066">
        <f>IF(OC_Name=0,"",IF(INDEX('OneCause_Paste'!$A$2066:$AZ$2066,1,OC_Name)="","",INDEX('OneCause_Paste'!$A$2066:$AZ$2066,1,OC_Name)))</f>
        <v/>
      </c>
      <c r="L2066">
        <f>IF(OC_Txn=0,"",IF(INDEX('OneCause_Paste'!$A$2066:$AZ$2066,1,OC_Txn)="","",INDEX('OneCause_Paste'!$A$2066:$AZ$2066,1,OC_Txn)))</f>
        <v/>
      </c>
      <c r="M2066">
        <f>IF(OC_Pay=0,"",IF(INDEX('OneCause_Paste'!$A$2066:$AZ$2066,1,OC_Pay)="","",INDEX('OneCause_Paste'!$A$2066:$AZ$2066,1,OC_Pay)))</f>
        <v/>
      </c>
      <c r="N2066">
        <f>IF(I2066="","",IF(ISNUMBER(I2066),INT(I2066),IFERROR(INT(DATEVALUE(I2066)),IFERROR(INT(VALUE(I2066)),"bad"))))</f>
        <v/>
      </c>
      <c r="O2066">
        <f>IF(J2066="","",IF(ISNUMBER(J2066),ROUND(J2066,2),IFERROR(ROUND(VALUE(SUBSTITUTE(SUBSTITUTE(SUBSTITUTE(J2066,"$",""),",","")," ","")),2),"bad")))</f>
        <v/>
      </c>
      <c r="P2066">
        <f>IF(TRIM(K2066)="","",IFERROR(MATCH(LOWER(TRIM(K2066)),'Students'!$AH$2:$AH$701,0),IFERROR(MATCH(LOWER(TRIM(K2066)),'Students'!$AF$2:$AF$701,0),IFERROR(MATCH(LOWER(TRIM(K2066)),'Students'!$AG$2:$AG$701,0),""))))</f>
        <v/>
      </c>
      <c r="R2066">
        <f>IF(P2066="","",INDEX('Students'!$AD$2:$AD$701,P2066))</f>
        <v/>
      </c>
      <c r="S2066">
        <f>IF(H2066="OK",O2066,0)</f>
        <v/>
      </c>
      <c r="T2066">
        <f>IF(H2066="OK",N2066,"")</f>
        <v/>
      </c>
      <c r="U2066">
        <f>IF(OC_Donor=0,"",IF(INDEX('OneCause_Paste'!$A$2066:$AZ$2066,1,OC_Donor)="","",INDEX('OneCause_Paste'!$A$2066:$AZ$2066,1,OC_Donor)))</f>
        <v/>
      </c>
    </row>
    <row r="2067">
      <c r="A2067" s="62">
        <f>IF(H2067="","",IF(ISNUMBER(N2067),N2067,I2067))</f>
        <v/>
      </c>
      <c r="B2067">
        <f>IF(H2067="","",U2067)</f>
        <v/>
      </c>
      <c r="C2067">
        <f>IF(H2067="","",IF(P2067="",K2067,INDEX('Students'!$A$2:$A$701,P2067)))</f>
        <v/>
      </c>
      <c r="D2067">
        <f>IF(OR(H2067="",P2067=""),"",INDEX('Students'!$B$2:$B$701,P2067))</f>
        <v/>
      </c>
      <c r="E2067">
        <f>IF(OR(H2067="",P2067=""),"",INDEX('Students'!$C$2:$C$701,P2067))</f>
        <v/>
      </c>
      <c r="F2067" s="48">
        <f>IF(H2067="","",IF(ISNUMBER(O2067),O2067,J2067))</f>
        <v/>
      </c>
      <c r="G2067">
        <f>IF(H2067="","","OneCause")</f>
        <v/>
      </c>
      <c r="H2067">
        <f>IF(AND(I2067="",J2067="",K2067=""),"",IF(NOT(ISNUMBER(O2067)),"Bad amount",IF(O2067&lt;0,"Refund (not counted)",IF(O2067=0,"Zero amount",IF(NOT(ISNUMBER(N2067)),"Bad date",IF(P2067="","NAME NOT ON ROSTER",IF(L2067="","OK",IF(MATCH(L2067,$L$2:$L$3001,0)&lt;ROW()-1,"Duplicate (ignored)","OK"))))))))</f>
        <v/>
      </c>
      <c r="I2067">
        <f>IF(OC_Date=0,"",IF(INDEX('OneCause_Paste'!$A$2067:$AZ$2067,1,OC_Date)="","",INDEX('OneCause_Paste'!$A$2067:$AZ$2067,1,OC_Date)))</f>
        <v/>
      </c>
      <c r="J2067">
        <f>IF(OC_Amt=0,"",IF(INDEX('OneCause_Paste'!$A$2067:$AZ$2067,1,OC_Amt)="","",INDEX('OneCause_Paste'!$A$2067:$AZ$2067,1,OC_Amt)))</f>
        <v/>
      </c>
      <c r="K2067">
        <f>IF(OC_Name=0,"",IF(INDEX('OneCause_Paste'!$A$2067:$AZ$2067,1,OC_Name)="","",INDEX('OneCause_Paste'!$A$2067:$AZ$2067,1,OC_Name)))</f>
        <v/>
      </c>
      <c r="L2067">
        <f>IF(OC_Txn=0,"",IF(INDEX('OneCause_Paste'!$A$2067:$AZ$2067,1,OC_Txn)="","",INDEX('OneCause_Paste'!$A$2067:$AZ$2067,1,OC_Txn)))</f>
        <v/>
      </c>
      <c r="M2067">
        <f>IF(OC_Pay=0,"",IF(INDEX('OneCause_Paste'!$A$2067:$AZ$2067,1,OC_Pay)="","",INDEX('OneCause_Paste'!$A$2067:$AZ$2067,1,OC_Pay)))</f>
        <v/>
      </c>
      <c r="N2067">
        <f>IF(I2067="","",IF(ISNUMBER(I2067),INT(I2067),IFERROR(INT(DATEVALUE(I2067)),IFERROR(INT(VALUE(I2067)),"bad"))))</f>
        <v/>
      </c>
      <c r="O2067">
        <f>IF(J2067="","",IF(ISNUMBER(J2067),ROUND(J2067,2),IFERROR(ROUND(VALUE(SUBSTITUTE(SUBSTITUTE(SUBSTITUTE(J2067,"$",""),",","")," ","")),2),"bad")))</f>
        <v/>
      </c>
      <c r="P2067">
        <f>IF(TRIM(K2067)="","",IFERROR(MATCH(LOWER(TRIM(K2067)),'Students'!$AH$2:$AH$701,0),IFERROR(MATCH(LOWER(TRIM(K2067)),'Students'!$AF$2:$AF$701,0),IFERROR(MATCH(LOWER(TRIM(K2067)),'Students'!$AG$2:$AG$701,0),""))))</f>
        <v/>
      </c>
      <c r="R2067">
        <f>IF(P2067="","",INDEX('Students'!$AD$2:$AD$701,P2067))</f>
        <v/>
      </c>
      <c r="S2067">
        <f>IF(H2067="OK",O2067,0)</f>
        <v/>
      </c>
      <c r="T2067">
        <f>IF(H2067="OK",N2067,"")</f>
        <v/>
      </c>
      <c r="U2067">
        <f>IF(OC_Donor=0,"",IF(INDEX('OneCause_Paste'!$A$2067:$AZ$2067,1,OC_Donor)="","",INDEX('OneCause_Paste'!$A$2067:$AZ$2067,1,OC_Donor)))</f>
        <v/>
      </c>
    </row>
    <row r="2068">
      <c r="A2068" s="62">
        <f>IF(H2068="","",IF(ISNUMBER(N2068),N2068,I2068))</f>
        <v/>
      </c>
      <c r="B2068">
        <f>IF(H2068="","",U2068)</f>
        <v/>
      </c>
      <c r="C2068">
        <f>IF(H2068="","",IF(P2068="",K2068,INDEX('Students'!$A$2:$A$701,P2068)))</f>
        <v/>
      </c>
      <c r="D2068">
        <f>IF(OR(H2068="",P2068=""),"",INDEX('Students'!$B$2:$B$701,P2068))</f>
        <v/>
      </c>
      <c r="E2068">
        <f>IF(OR(H2068="",P2068=""),"",INDEX('Students'!$C$2:$C$701,P2068))</f>
        <v/>
      </c>
      <c r="F2068" s="48">
        <f>IF(H2068="","",IF(ISNUMBER(O2068),O2068,J2068))</f>
        <v/>
      </c>
      <c r="G2068">
        <f>IF(H2068="","","OneCause")</f>
        <v/>
      </c>
      <c r="H2068">
        <f>IF(AND(I2068="",J2068="",K2068=""),"",IF(NOT(ISNUMBER(O2068)),"Bad amount",IF(O2068&lt;0,"Refund (not counted)",IF(O2068=0,"Zero amount",IF(NOT(ISNUMBER(N2068)),"Bad date",IF(P2068="","NAME NOT ON ROSTER",IF(L2068="","OK",IF(MATCH(L2068,$L$2:$L$3001,0)&lt;ROW()-1,"Duplicate (ignored)","OK"))))))))</f>
        <v/>
      </c>
      <c r="I2068">
        <f>IF(OC_Date=0,"",IF(INDEX('OneCause_Paste'!$A$2068:$AZ$2068,1,OC_Date)="","",INDEX('OneCause_Paste'!$A$2068:$AZ$2068,1,OC_Date)))</f>
        <v/>
      </c>
      <c r="J2068">
        <f>IF(OC_Amt=0,"",IF(INDEX('OneCause_Paste'!$A$2068:$AZ$2068,1,OC_Amt)="","",INDEX('OneCause_Paste'!$A$2068:$AZ$2068,1,OC_Amt)))</f>
        <v/>
      </c>
      <c r="K2068">
        <f>IF(OC_Name=0,"",IF(INDEX('OneCause_Paste'!$A$2068:$AZ$2068,1,OC_Name)="","",INDEX('OneCause_Paste'!$A$2068:$AZ$2068,1,OC_Name)))</f>
        <v/>
      </c>
      <c r="L2068">
        <f>IF(OC_Txn=0,"",IF(INDEX('OneCause_Paste'!$A$2068:$AZ$2068,1,OC_Txn)="","",INDEX('OneCause_Paste'!$A$2068:$AZ$2068,1,OC_Txn)))</f>
        <v/>
      </c>
      <c r="M2068">
        <f>IF(OC_Pay=0,"",IF(INDEX('OneCause_Paste'!$A$2068:$AZ$2068,1,OC_Pay)="","",INDEX('OneCause_Paste'!$A$2068:$AZ$2068,1,OC_Pay)))</f>
        <v/>
      </c>
      <c r="N2068">
        <f>IF(I2068="","",IF(ISNUMBER(I2068),INT(I2068),IFERROR(INT(DATEVALUE(I2068)),IFERROR(INT(VALUE(I2068)),"bad"))))</f>
        <v/>
      </c>
      <c r="O2068">
        <f>IF(J2068="","",IF(ISNUMBER(J2068),ROUND(J2068,2),IFERROR(ROUND(VALUE(SUBSTITUTE(SUBSTITUTE(SUBSTITUTE(J2068,"$",""),",","")," ","")),2),"bad")))</f>
        <v/>
      </c>
      <c r="P2068">
        <f>IF(TRIM(K2068)="","",IFERROR(MATCH(LOWER(TRIM(K2068)),'Students'!$AH$2:$AH$701,0),IFERROR(MATCH(LOWER(TRIM(K2068)),'Students'!$AF$2:$AF$701,0),IFERROR(MATCH(LOWER(TRIM(K2068)),'Students'!$AG$2:$AG$701,0),""))))</f>
        <v/>
      </c>
      <c r="R2068">
        <f>IF(P2068="","",INDEX('Students'!$AD$2:$AD$701,P2068))</f>
        <v/>
      </c>
      <c r="S2068">
        <f>IF(H2068="OK",O2068,0)</f>
        <v/>
      </c>
      <c r="T2068">
        <f>IF(H2068="OK",N2068,"")</f>
        <v/>
      </c>
      <c r="U2068">
        <f>IF(OC_Donor=0,"",IF(INDEX('OneCause_Paste'!$A$2068:$AZ$2068,1,OC_Donor)="","",INDEX('OneCause_Paste'!$A$2068:$AZ$2068,1,OC_Donor)))</f>
        <v/>
      </c>
    </row>
    <row r="2069">
      <c r="A2069" s="62">
        <f>IF(H2069="","",IF(ISNUMBER(N2069),N2069,I2069))</f>
        <v/>
      </c>
      <c r="B2069">
        <f>IF(H2069="","",U2069)</f>
        <v/>
      </c>
      <c r="C2069">
        <f>IF(H2069="","",IF(P2069="",K2069,INDEX('Students'!$A$2:$A$701,P2069)))</f>
        <v/>
      </c>
      <c r="D2069">
        <f>IF(OR(H2069="",P2069=""),"",INDEX('Students'!$B$2:$B$701,P2069))</f>
        <v/>
      </c>
      <c r="E2069">
        <f>IF(OR(H2069="",P2069=""),"",INDEX('Students'!$C$2:$C$701,P2069))</f>
        <v/>
      </c>
      <c r="F2069" s="48">
        <f>IF(H2069="","",IF(ISNUMBER(O2069),O2069,J2069))</f>
        <v/>
      </c>
      <c r="G2069">
        <f>IF(H2069="","","OneCause")</f>
        <v/>
      </c>
      <c r="H2069">
        <f>IF(AND(I2069="",J2069="",K2069=""),"",IF(NOT(ISNUMBER(O2069)),"Bad amount",IF(O2069&lt;0,"Refund (not counted)",IF(O2069=0,"Zero amount",IF(NOT(ISNUMBER(N2069)),"Bad date",IF(P2069="","NAME NOT ON ROSTER",IF(L2069="","OK",IF(MATCH(L2069,$L$2:$L$3001,0)&lt;ROW()-1,"Duplicate (ignored)","OK"))))))))</f>
        <v/>
      </c>
      <c r="I2069">
        <f>IF(OC_Date=0,"",IF(INDEX('OneCause_Paste'!$A$2069:$AZ$2069,1,OC_Date)="","",INDEX('OneCause_Paste'!$A$2069:$AZ$2069,1,OC_Date)))</f>
        <v/>
      </c>
      <c r="J2069">
        <f>IF(OC_Amt=0,"",IF(INDEX('OneCause_Paste'!$A$2069:$AZ$2069,1,OC_Amt)="","",INDEX('OneCause_Paste'!$A$2069:$AZ$2069,1,OC_Amt)))</f>
        <v/>
      </c>
      <c r="K2069">
        <f>IF(OC_Name=0,"",IF(INDEX('OneCause_Paste'!$A$2069:$AZ$2069,1,OC_Name)="","",INDEX('OneCause_Paste'!$A$2069:$AZ$2069,1,OC_Name)))</f>
        <v/>
      </c>
      <c r="L2069">
        <f>IF(OC_Txn=0,"",IF(INDEX('OneCause_Paste'!$A$2069:$AZ$2069,1,OC_Txn)="","",INDEX('OneCause_Paste'!$A$2069:$AZ$2069,1,OC_Txn)))</f>
        <v/>
      </c>
      <c r="M2069">
        <f>IF(OC_Pay=0,"",IF(INDEX('OneCause_Paste'!$A$2069:$AZ$2069,1,OC_Pay)="","",INDEX('OneCause_Paste'!$A$2069:$AZ$2069,1,OC_Pay)))</f>
        <v/>
      </c>
      <c r="N2069">
        <f>IF(I2069="","",IF(ISNUMBER(I2069),INT(I2069),IFERROR(INT(DATEVALUE(I2069)),IFERROR(INT(VALUE(I2069)),"bad"))))</f>
        <v/>
      </c>
      <c r="O2069">
        <f>IF(J2069="","",IF(ISNUMBER(J2069),ROUND(J2069,2),IFERROR(ROUND(VALUE(SUBSTITUTE(SUBSTITUTE(SUBSTITUTE(J2069,"$",""),",","")," ","")),2),"bad")))</f>
        <v/>
      </c>
      <c r="P2069">
        <f>IF(TRIM(K2069)="","",IFERROR(MATCH(LOWER(TRIM(K2069)),'Students'!$AH$2:$AH$701,0),IFERROR(MATCH(LOWER(TRIM(K2069)),'Students'!$AF$2:$AF$701,0),IFERROR(MATCH(LOWER(TRIM(K2069)),'Students'!$AG$2:$AG$701,0),""))))</f>
        <v/>
      </c>
      <c r="R2069">
        <f>IF(P2069="","",INDEX('Students'!$AD$2:$AD$701,P2069))</f>
        <v/>
      </c>
      <c r="S2069">
        <f>IF(H2069="OK",O2069,0)</f>
        <v/>
      </c>
      <c r="T2069">
        <f>IF(H2069="OK",N2069,"")</f>
        <v/>
      </c>
      <c r="U2069">
        <f>IF(OC_Donor=0,"",IF(INDEX('OneCause_Paste'!$A$2069:$AZ$2069,1,OC_Donor)="","",INDEX('OneCause_Paste'!$A$2069:$AZ$2069,1,OC_Donor)))</f>
        <v/>
      </c>
    </row>
    <row r="2070">
      <c r="A2070" s="62">
        <f>IF(H2070="","",IF(ISNUMBER(N2070),N2070,I2070))</f>
        <v/>
      </c>
      <c r="B2070">
        <f>IF(H2070="","",U2070)</f>
        <v/>
      </c>
      <c r="C2070">
        <f>IF(H2070="","",IF(P2070="",K2070,INDEX('Students'!$A$2:$A$701,P2070)))</f>
        <v/>
      </c>
      <c r="D2070">
        <f>IF(OR(H2070="",P2070=""),"",INDEX('Students'!$B$2:$B$701,P2070))</f>
        <v/>
      </c>
      <c r="E2070">
        <f>IF(OR(H2070="",P2070=""),"",INDEX('Students'!$C$2:$C$701,P2070))</f>
        <v/>
      </c>
      <c r="F2070" s="48">
        <f>IF(H2070="","",IF(ISNUMBER(O2070),O2070,J2070))</f>
        <v/>
      </c>
      <c r="G2070">
        <f>IF(H2070="","","OneCause")</f>
        <v/>
      </c>
      <c r="H2070">
        <f>IF(AND(I2070="",J2070="",K2070=""),"",IF(NOT(ISNUMBER(O2070)),"Bad amount",IF(O2070&lt;0,"Refund (not counted)",IF(O2070=0,"Zero amount",IF(NOT(ISNUMBER(N2070)),"Bad date",IF(P2070="","NAME NOT ON ROSTER",IF(L2070="","OK",IF(MATCH(L2070,$L$2:$L$3001,0)&lt;ROW()-1,"Duplicate (ignored)","OK"))))))))</f>
        <v/>
      </c>
      <c r="I2070">
        <f>IF(OC_Date=0,"",IF(INDEX('OneCause_Paste'!$A$2070:$AZ$2070,1,OC_Date)="","",INDEX('OneCause_Paste'!$A$2070:$AZ$2070,1,OC_Date)))</f>
        <v/>
      </c>
      <c r="J2070">
        <f>IF(OC_Amt=0,"",IF(INDEX('OneCause_Paste'!$A$2070:$AZ$2070,1,OC_Amt)="","",INDEX('OneCause_Paste'!$A$2070:$AZ$2070,1,OC_Amt)))</f>
        <v/>
      </c>
      <c r="K2070">
        <f>IF(OC_Name=0,"",IF(INDEX('OneCause_Paste'!$A$2070:$AZ$2070,1,OC_Name)="","",INDEX('OneCause_Paste'!$A$2070:$AZ$2070,1,OC_Name)))</f>
        <v/>
      </c>
      <c r="L2070">
        <f>IF(OC_Txn=0,"",IF(INDEX('OneCause_Paste'!$A$2070:$AZ$2070,1,OC_Txn)="","",INDEX('OneCause_Paste'!$A$2070:$AZ$2070,1,OC_Txn)))</f>
        <v/>
      </c>
      <c r="M2070">
        <f>IF(OC_Pay=0,"",IF(INDEX('OneCause_Paste'!$A$2070:$AZ$2070,1,OC_Pay)="","",INDEX('OneCause_Paste'!$A$2070:$AZ$2070,1,OC_Pay)))</f>
        <v/>
      </c>
      <c r="N2070">
        <f>IF(I2070="","",IF(ISNUMBER(I2070),INT(I2070),IFERROR(INT(DATEVALUE(I2070)),IFERROR(INT(VALUE(I2070)),"bad"))))</f>
        <v/>
      </c>
      <c r="O2070">
        <f>IF(J2070="","",IF(ISNUMBER(J2070),ROUND(J2070,2),IFERROR(ROUND(VALUE(SUBSTITUTE(SUBSTITUTE(SUBSTITUTE(J2070,"$",""),",","")," ","")),2),"bad")))</f>
        <v/>
      </c>
      <c r="P2070">
        <f>IF(TRIM(K2070)="","",IFERROR(MATCH(LOWER(TRIM(K2070)),'Students'!$AH$2:$AH$701,0),IFERROR(MATCH(LOWER(TRIM(K2070)),'Students'!$AF$2:$AF$701,0),IFERROR(MATCH(LOWER(TRIM(K2070)),'Students'!$AG$2:$AG$701,0),""))))</f>
        <v/>
      </c>
      <c r="R2070">
        <f>IF(P2070="","",INDEX('Students'!$AD$2:$AD$701,P2070))</f>
        <v/>
      </c>
      <c r="S2070">
        <f>IF(H2070="OK",O2070,0)</f>
        <v/>
      </c>
      <c r="T2070">
        <f>IF(H2070="OK",N2070,"")</f>
        <v/>
      </c>
      <c r="U2070">
        <f>IF(OC_Donor=0,"",IF(INDEX('OneCause_Paste'!$A$2070:$AZ$2070,1,OC_Donor)="","",INDEX('OneCause_Paste'!$A$2070:$AZ$2070,1,OC_Donor)))</f>
        <v/>
      </c>
    </row>
    <row r="2071">
      <c r="A2071" s="62">
        <f>IF(H2071="","",IF(ISNUMBER(N2071),N2071,I2071))</f>
        <v/>
      </c>
      <c r="B2071">
        <f>IF(H2071="","",U2071)</f>
        <v/>
      </c>
      <c r="C2071">
        <f>IF(H2071="","",IF(P2071="",K2071,INDEX('Students'!$A$2:$A$701,P2071)))</f>
        <v/>
      </c>
      <c r="D2071">
        <f>IF(OR(H2071="",P2071=""),"",INDEX('Students'!$B$2:$B$701,P2071))</f>
        <v/>
      </c>
      <c r="E2071">
        <f>IF(OR(H2071="",P2071=""),"",INDEX('Students'!$C$2:$C$701,P2071))</f>
        <v/>
      </c>
      <c r="F2071" s="48">
        <f>IF(H2071="","",IF(ISNUMBER(O2071),O2071,J2071))</f>
        <v/>
      </c>
      <c r="G2071">
        <f>IF(H2071="","","OneCause")</f>
        <v/>
      </c>
      <c r="H2071">
        <f>IF(AND(I2071="",J2071="",K2071=""),"",IF(NOT(ISNUMBER(O2071)),"Bad amount",IF(O2071&lt;0,"Refund (not counted)",IF(O2071=0,"Zero amount",IF(NOT(ISNUMBER(N2071)),"Bad date",IF(P2071="","NAME NOT ON ROSTER",IF(L2071="","OK",IF(MATCH(L2071,$L$2:$L$3001,0)&lt;ROW()-1,"Duplicate (ignored)","OK"))))))))</f>
        <v/>
      </c>
      <c r="I2071">
        <f>IF(OC_Date=0,"",IF(INDEX('OneCause_Paste'!$A$2071:$AZ$2071,1,OC_Date)="","",INDEX('OneCause_Paste'!$A$2071:$AZ$2071,1,OC_Date)))</f>
        <v/>
      </c>
      <c r="J2071">
        <f>IF(OC_Amt=0,"",IF(INDEX('OneCause_Paste'!$A$2071:$AZ$2071,1,OC_Amt)="","",INDEX('OneCause_Paste'!$A$2071:$AZ$2071,1,OC_Amt)))</f>
        <v/>
      </c>
      <c r="K2071">
        <f>IF(OC_Name=0,"",IF(INDEX('OneCause_Paste'!$A$2071:$AZ$2071,1,OC_Name)="","",INDEX('OneCause_Paste'!$A$2071:$AZ$2071,1,OC_Name)))</f>
        <v/>
      </c>
      <c r="L2071">
        <f>IF(OC_Txn=0,"",IF(INDEX('OneCause_Paste'!$A$2071:$AZ$2071,1,OC_Txn)="","",INDEX('OneCause_Paste'!$A$2071:$AZ$2071,1,OC_Txn)))</f>
        <v/>
      </c>
      <c r="M2071">
        <f>IF(OC_Pay=0,"",IF(INDEX('OneCause_Paste'!$A$2071:$AZ$2071,1,OC_Pay)="","",INDEX('OneCause_Paste'!$A$2071:$AZ$2071,1,OC_Pay)))</f>
        <v/>
      </c>
      <c r="N2071">
        <f>IF(I2071="","",IF(ISNUMBER(I2071),INT(I2071),IFERROR(INT(DATEVALUE(I2071)),IFERROR(INT(VALUE(I2071)),"bad"))))</f>
        <v/>
      </c>
      <c r="O2071">
        <f>IF(J2071="","",IF(ISNUMBER(J2071),ROUND(J2071,2),IFERROR(ROUND(VALUE(SUBSTITUTE(SUBSTITUTE(SUBSTITUTE(J2071,"$",""),",","")," ","")),2),"bad")))</f>
        <v/>
      </c>
      <c r="P2071">
        <f>IF(TRIM(K2071)="","",IFERROR(MATCH(LOWER(TRIM(K2071)),'Students'!$AH$2:$AH$701,0),IFERROR(MATCH(LOWER(TRIM(K2071)),'Students'!$AF$2:$AF$701,0),IFERROR(MATCH(LOWER(TRIM(K2071)),'Students'!$AG$2:$AG$701,0),""))))</f>
        <v/>
      </c>
      <c r="R2071">
        <f>IF(P2071="","",INDEX('Students'!$AD$2:$AD$701,P2071))</f>
        <v/>
      </c>
      <c r="S2071">
        <f>IF(H2071="OK",O2071,0)</f>
        <v/>
      </c>
      <c r="T2071">
        <f>IF(H2071="OK",N2071,"")</f>
        <v/>
      </c>
      <c r="U2071">
        <f>IF(OC_Donor=0,"",IF(INDEX('OneCause_Paste'!$A$2071:$AZ$2071,1,OC_Donor)="","",INDEX('OneCause_Paste'!$A$2071:$AZ$2071,1,OC_Donor)))</f>
        <v/>
      </c>
    </row>
    <row r="2072">
      <c r="A2072" s="62">
        <f>IF(H2072="","",IF(ISNUMBER(N2072),N2072,I2072))</f>
        <v/>
      </c>
      <c r="B2072">
        <f>IF(H2072="","",U2072)</f>
        <v/>
      </c>
      <c r="C2072">
        <f>IF(H2072="","",IF(P2072="",K2072,INDEX('Students'!$A$2:$A$701,P2072)))</f>
        <v/>
      </c>
      <c r="D2072">
        <f>IF(OR(H2072="",P2072=""),"",INDEX('Students'!$B$2:$B$701,P2072))</f>
        <v/>
      </c>
      <c r="E2072">
        <f>IF(OR(H2072="",P2072=""),"",INDEX('Students'!$C$2:$C$701,P2072))</f>
        <v/>
      </c>
      <c r="F2072" s="48">
        <f>IF(H2072="","",IF(ISNUMBER(O2072),O2072,J2072))</f>
        <v/>
      </c>
      <c r="G2072">
        <f>IF(H2072="","","OneCause")</f>
        <v/>
      </c>
      <c r="H2072">
        <f>IF(AND(I2072="",J2072="",K2072=""),"",IF(NOT(ISNUMBER(O2072)),"Bad amount",IF(O2072&lt;0,"Refund (not counted)",IF(O2072=0,"Zero amount",IF(NOT(ISNUMBER(N2072)),"Bad date",IF(P2072="","NAME NOT ON ROSTER",IF(L2072="","OK",IF(MATCH(L2072,$L$2:$L$3001,0)&lt;ROW()-1,"Duplicate (ignored)","OK"))))))))</f>
        <v/>
      </c>
      <c r="I2072">
        <f>IF(OC_Date=0,"",IF(INDEX('OneCause_Paste'!$A$2072:$AZ$2072,1,OC_Date)="","",INDEX('OneCause_Paste'!$A$2072:$AZ$2072,1,OC_Date)))</f>
        <v/>
      </c>
      <c r="J2072">
        <f>IF(OC_Amt=0,"",IF(INDEX('OneCause_Paste'!$A$2072:$AZ$2072,1,OC_Amt)="","",INDEX('OneCause_Paste'!$A$2072:$AZ$2072,1,OC_Amt)))</f>
        <v/>
      </c>
      <c r="K2072">
        <f>IF(OC_Name=0,"",IF(INDEX('OneCause_Paste'!$A$2072:$AZ$2072,1,OC_Name)="","",INDEX('OneCause_Paste'!$A$2072:$AZ$2072,1,OC_Name)))</f>
        <v/>
      </c>
      <c r="L2072">
        <f>IF(OC_Txn=0,"",IF(INDEX('OneCause_Paste'!$A$2072:$AZ$2072,1,OC_Txn)="","",INDEX('OneCause_Paste'!$A$2072:$AZ$2072,1,OC_Txn)))</f>
        <v/>
      </c>
      <c r="M2072">
        <f>IF(OC_Pay=0,"",IF(INDEX('OneCause_Paste'!$A$2072:$AZ$2072,1,OC_Pay)="","",INDEX('OneCause_Paste'!$A$2072:$AZ$2072,1,OC_Pay)))</f>
        <v/>
      </c>
      <c r="N2072">
        <f>IF(I2072="","",IF(ISNUMBER(I2072),INT(I2072),IFERROR(INT(DATEVALUE(I2072)),IFERROR(INT(VALUE(I2072)),"bad"))))</f>
        <v/>
      </c>
      <c r="O2072">
        <f>IF(J2072="","",IF(ISNUMBER(J2072),ROUND(J2072,2),IFERROR(ROUND(VALUE(SUBSTITUTE(SUBSTITUTE(SUBSTITUTE(J2072,"$",""),",","")," ","")),2),"bad")))</f>
        <v/>
      </c>
      <c r="P2072">
        <f>IF(TRIM(K2072)="","",IFERROR(MATCH(LOWER(TRIM(K2072)),'Students'!$AH$2:$AH$701,0),IFERROR(MATCH(LOWER(TRIM(K2072)),'Students'!$AF$2:$AF$701,0),IFERROR(MATCH(LOWER(TRIM(K2072)),'Students'!$AG$2:$AG$701,0),""))))</f>
        <v/>
      </c>
      <c r="R2072">
        <f>IF(P2072="","",INDEX('Students'!$AD$2:$AD$701,P2072))</f>
        <v/>
      </c>
      <c r="S2072">
        <f>IF(H2072="OK",O2072,0)</f>
        <v/>
      </c>
      <c r="T2072">
        <f>IF(H2072="OK",N2072,"")</f>
        <v/>
      </c>
      <c r="U2072">
        <f>IF(OC_Donor=0,"",IF(INDEX('OneCause_Paste'!$A$2072:$AZ$2072,1,OC_Donor)="","",INDEX('OneCause_Paste'!$A$2072:$AZ$2072,1,OC_Donor)))</f>
        <v/>
      </c>
    </row>
    <row r="2073">
      <c r="A2073" s="62">
        <f>IF(H2073="","",IF(ISNUMBER(N2073),N2073,I2073))</f>
        <v/>
      </c>
      <c r="B2073">
        <f>IF(H2073="","",U2073)</f>
        <v/>
      </c>
      <c r="C2073">
        <f>IF(H2073="","",IF(P2073="",K2073,INDEX('Students'!$A$2:$A$701,P2073)))</f>
        <v/>
      </c>
      <c r="D2073">
        <f>IF(OR(H2073="",P2073=""),"",INDEX('Students'!$B$2:$B$701,P2073))</f>
        <v/>
      </c>
      <c r="E2073">
        <f>IF(OR(H2073="",P2073=""),"",INDEX('Students'!$C$2:$C$701,P2073))</f>
        <v/>
      </c>
      <c r="F2073" s="48">
        <f>IF(H2073="","",IF(ISNUMBER(O2073),O2073,J2073))</f>
        <v/>
      </c>
      <c r="G2073">
        <f>IF(H2073="","","OneCause")</f>
        <v/>
      </c>
      <c r="H2073">
        <f>IF(AND(I2073="",J2073="",K2073=""),"",IF(NOT(ISNUMBER(O2073)),"Bad amount",IF(O2073&lt;0,"Refund (not counted)",IF(O2073=0,"Zero amount",IF(NOT(ISNUMBER(N2073)),"Bad date",IF(P2073="","NAME NOT ON ROSTER",IF(L2073="","OK",IF(MATCH(L2073,$L$2:$L$3001,0)&lt;ROW()-1,"Duplicate (ignored)","OK"))))))))</f>
        <v/>
      </c>
      <c r="I2073">
        <f>IF(OC_Date=0,"",IF(INDEX('OneCause_Paste'!$A$2073:$AZ$2073,1,OC_Date)="","",INDEX('OneCause_Paste'!$A$2073:$AZ$2073,1,OC_Date)))</f>
        <v/>
      </c>
      <c r="J2073">
        <f>IF(OC_Amt=0,"",IF(INDEX('OneCause_Paste'!$A$2073:$AZ$2073,1,OC_Amt)="","",INDEX('OneCause_Paste'!$A$2073:$AZ$2073,1,OC_Amt)))</f>
        <v/>
      </c>
      <c r="K2073">
        <f>IF(OC_Name=0,"",IF(INDEX('OneCause_Paste'!$A$2073:$AZ$2073,1,OC_Name)="","",INDEX('OneCause_Paste'!$A$2073:$AZ$2073,1,OC_Name)))</f>
        <v/>
      </c>
      <c r="L2073">
        <f>IF(OC_Txn=0,"",IF(INDEX('OneCause_Paste'!$A$2073:$AZ$2073,1,OC_Txn)="","",INDEX('OneCause_Paste'!$A$2073:$AZ$2073,1,OC_Txn)))</f>
        <v/>
      </c>
      <c r="M2073">
        <f>IF(OC_Pay=0,"",IF(INDEX('OneCause_Paste'!$A$2073:$AZ$2073,1,OC_Pay)="","",INDEX('OneCause_Paste'!$A$2073:$AZ$2073,1,OC_Pay)))</f>
        <v/>
      </c>
      <c r="N2073">
        <f>IF(I2073="","",IF(ISNUMBER(I2073),INT(I2073),IFERROR(INT(DATEVALUE(I2073)),IFERROR(INT(VALUE(I2073)),"bad"))))</f>
        <v/>
      </c>
      <c r="O2073">
        <f>IF(J2073="","",IF(ISNUMBER(J2073),ROUND(J2073,2),IFERROR(ROUND(VALUE(SUBSTITUTE(SUBSTITUTE(SUBSTITUTE(J2073,"$",""),",","")," ","")),2),"bad")))</f>
        <v/>
      </c>
      <c r="P2073">
        <f>IF(TRIM(K2073)="","",IFERROR(MATCH(LOWER(TRIM(K2073)),'Students'!$AH$2:$AH$701,0),IFERROR(MATCH(LOWER(TRIM(K2073)),'Students'!$AF$2:$AF$701,0),IFERROR(MATCH(LOWER(TRIM(K2073)),'Students'!$AG$2:$AG$701,0),""))))</f>
        <v/>
      </c>
      <c r="R2073">
        <f>IF(P2073="","",INDEX('Students'!$AD$2:$AD$701,P2073))</f>
        <v/>
      </c>
      <c r="S2073">
        <f>IF(H2073="OK",O2073,0)</f>
        <v/>
      </c>
      <c r="T2073">
        <f>IF(H2073="OK",N2073,"")</f>
        <v/>
      </c>
      <c r="U2073">
        <f>IF(OC_Donor=0,"",IF(INDEX('OneCause_Paste'!$A$2073:$AZ$2073,1,OC_Donor)="","",INDEX('OneCause_Paste'!$A$2073:$AZ$2073,1,OC_Donor)))</f>
        <v/>
      </c>
    </row>
    <row r="2074">
      <c r="A2074" s="62">
        <f>IF(H2074="","",IF(ISNUMBER(N2074),N2074,I2074))</f>
        <v/>
      </c>
      <c r="B2074">
        <f>IF(H2074="","",U2074)</f>
        <v/>
      </c>
      <c r="C2074">
        <f>IF(H2074="","",IF(P2074="",K2074,INDEX('Students'!$A$2:$A$701,P2074)))</f>
        <v/>
      </c>
      <c r="D2074">
        <f>IF(OR(H2074="",P2074=""),"",INDEX('Students'!$B$2:$B$701,P2074))</f>
        <v/>
      </c>
      <c r="E2074">
        <f>IF(OR(H2074="",P2074=""),"",INDEX('Students'!$C$2:$C$701,P2074))</f>
        <v/>
      </c>
      <c r="F2074" s="48">
        <f>IF(H2074="","",IF(ISNUMBER(O2074),O2074,J2074))</f>
        <v/>
      </c>
      <c r="G2074">
        <f>IF(H2074="","","OneCause")</f>
        <v/>
      </c>
      <c r="H2074">
        <f>IF(AND(I2074="",J2074="",K2074=""),"",IF(NOT(ISNUMBER(O2074)),"Bad amount",IF(O2074&lt;0,"Refund (not counted)",IF(O2074=0,"Zero amount",IF(NOT(ISNUMBER(N2074)),"Bad date",IF(P2074="","NAME NOT ON ROSTER",IF(L2074="","OK",IF(MATCH(L2074,$L$2:$L$3001,0)&lt;ROW()-1,"Duplicate (ignored)","OK"))))))))</f>
        <v/>
      </c>
      <c r="I2074">
        <f>IF(OC_Date=0,"",IF(INDEX('OneCause_Paste'!$A$2074:$AZ$2074,1,OC_Date)="","",INDEX('OneCause_Paste'!$A$2074:$AZ$2074,1,OC_Date)))</f>
        <v/>
      </c>
      <c r="J2074">
        <f>IF(OC_Amt=0,"",IF(INDEX('OneCause_Paste'!$A$2074:$AZ$2074,1,OC_Amt)="","",INDEX('OneCause_Paste'!$A$2074:$AZ$2074,1,OC_Amt)))</f>
        <v/>
      </c>
      <c r="K2074">
        <f>IF(OC_Name=0,"",IF(INDEX('OneCause_Paste'!$A$2074:$AZ$2074,1,OC_Name)="","",INDEX('OneCause_Paste'!$A$2074:$AZ$2074,1,OC_Name)))</f>
        <v/>
      </c>
      <c r="L2074">
        <f>IF(OC_Txn=0,"",IF(INDEX('OneCause_Paste'!$A$2074:$AZ$2074,1,OC_Txn)="","",INDEX('OneCause_Paste'!$A$2074:$AZ$2074,1,OC_Txn)))</f>
        <v/>
      </c>
      <c r="M2074">
        <f>IF(OC_Pay=0,"",IF(INDEX('OneCause_Paste'!$A$2074:$AZ$2074,1,OC_Pay)="","",INDEX('OneCause_Paste'!$A$2074:$AZ$2074,1,OC_Pay)))</f>
        <v/>
      </c>
      <c r="N2074">
        <f>IF(I2074="","",IF(ISNUMBER(I2074),INT(I2074),IFERROR(INT(DATEVALUE(I2074)),IFERROR(INT(VALUE(I2074)),"bad"))))</f>
        <v/>
      </c>
      <c r="O2074">
        <f>IF(J2074="","",IF(ISNUMBER(J2074),ROUND(J2074,2),IFERROR(ROUND(VALUE(SUBSTITUTE(SUBSTITUTE(SUBSTITUTE(J2074,"$",""),",","")," ","")),2),"bad")))</f>
        <v/>
      </c>
      <c r="P2074">
        <f>IF(TRIM(K2074)="","",IFERROR(MATCH(LOWER(TRIM(K2074)),'Students'!$AH$2:$AH$701,0),IFERROR(MATCH(LOWER(TRIM(K2074)),'Students'!$AF$2:$AF$701,0),IFERROR(MATCH(LOWER(TRIM(K2074)),'Students'!$AG$2:$AG$701,0),""))))</f>
        <v/>
      </c>
      <c r="R2074">
        <f>IF(P2074="","",INDEX('Students'!$AD$2:$AD$701,P2074))</f>
        <v/>
      </c>
      <c r="S2074">
        <f>IF(H2074="OK",O2074,0)</f>
        <v/>
      </c>
      <c r="T2074">
        <f>IF(H2074="OK",N2074,"")</f>
        <v/>
      </c>
      <c r="U2074">
        <f>IF(OC_Donor=0,"",IF(INDEX('OneCause_Paste'!$A$2074:$AZ$2074,1,OC_Donor)="","",INDEX('OneCause_Paste'!$A$2074:$AZ$2074,1,OC_Donor)))</f>
        <v/>
      </c>
    </row>
    <row r="2075">
      <c r="A2075" s="62">
        <f>IF(H2075="","",IF(ISNUMBER(N2075),N2075,I2075))</f>
        <v/>
      </c>
      <c r="B2075">
        <f>IF(H2075="","",U2075)</f>
        <v/>
      </c>
      <c r="C2075">
        <f>IF(H2075="","",IF(P2075="",K2075,INDEX('Students'!$A$2:$A$701,P2075)))</f>
        <v/>
      </c>
      <c r="D2075">
        <f>IF(OR(H2075="",P2075=""),"",INDEX('Students'!$B$2:$B$701,P2075))</f>
        <v/>
      </c>
      <c r="E2075">
        <f>IF(OR(H2075="",P2075=""),"",INDEX('Students'!$C$2:$C$701,P2075))</f>
        <v/>
      </c>
      <c r="F2075" s="48">
        <f>IF(H2075="","",IF(ISNUMBER(O2075),O2075,J2075))</f>
        <v/>
      </c>
      <c r="G2075">
        <f>IF(H2075="","","OneCause")</f>
        <v/>
      </c>
      <c r="H2075">
        <f>IF(AND(I2075="",J2075="",K2075=""),"",IF(NOT(ISNUMBER(O2075)),"Bad amount",IF(O2075&lt;0,"Refund (not counted)",IF(O2075=0,"Zero amount",IF(NOT(ISNUMBER(N2075)),"Bad date",IF(P2075="","NAME NOT ON ROSTER",IF(L2075="","OK",IF(MATCH(L2075,$L$2:$L$3001,0)&lt;ROW()-1,"Duplicate (ignored)","OK"))))))))</f>
        <v/>
      </c>
      <c r="I2075">
        <f>IF(OC_Date=0,"",IF(INDEX('OneCause_Paste'!$A$2075:$AZ$2075,1,OC_Date)="","",INDEX('OneCause_Paste'!$A$2075:$AZ$2075,1,OC_Date)))</f>
        <v/>
      </c>
      <c r="J2075">
        <f>IF(OC_Amt=0,"",IF(INDEX('OneCause_Paste'!$A$2075:$AZ$2075,1,OC_Amt)="","",INDEX('OneCause_Paste'!$A$2075:$AZ$2075,1,OC_Amt)))</f>
        <v/>
      </c>
      <c r="K2075">
        <f>IF(OC_Name=0,"",IF(INDEX('OneCause_Paste'!$A$2075:$AZ$2075,1,OC_Name)="","",INDEX('OneCause_Paste'!$A$2075:$AZ$2075,1,OC_Name)))</f>
        <v/>
      </c>
      <c r="L2075">
        <f>IF(OC_Txn=0,"",IF(INDEX('OneCause_Paste'!$A$2075:$AZ$2075,1,OC_Txn)="","",INDEX('OneCause_Paste'!$A$2075:$AZ$2075,1,OC_Txn)))</f>
        <v/>
      </c>
      <c r="M2075">
        <f>IF(OC_Pay=0,"",IF(INDEX('OneCause_Paste'!$A$2075:$AZ$2075,1,OC_Pay)="","",INDEX('OneCause_Paste'!$A$2075:$AZ$2075,1,OC_Pay)))</f>
        <v/>
      </c>
      <c r="N2075">
        <f>IF(I2075="","",IF(ISNUMBER(I2075),INT(I2075),IFERROR(INT(DATEVALUE(I2075)),IFERROR(INT(VALUE(I2075)),"bad"))))</f>
        <v/>
      </c>
      <c r="O2075">
        <f>IF(J2075="","",IF(ISNUMBER(J2075),ROUND(J2075,2),IFERROR(ROUND(VALUE(SUBSTITUTE(SUBSTITUTE(SUBSTITUTE(J2075,"$",""),",","")," ","")),2),"bad")))</f>
        <v/>
      </c>
      <c r="P2075">
        <f>IF(TRIM(K2075)="","",IFERROR(MATCH(LOWER(TRIM(K2075)),'Students'!$AH$2:$AH$701,0),IFERROR(MATCH(LOWER(TRIM(K2075)),'Students'!$AF$2:$AF$701,0),IFERROR(MATCH(LOWER(TRIM(K2075)),'Students'!$AG$2:$AG$701,0),""))))</f>
        <v/>
      </c>
      <c r="R2075">
        <f>IF(P2075="","",INDEX('Students'!$AD$2:$AD$701,P2075))</f>
        <v/>
      </c>
      <c r="S2075">
        <f>IF(H2075="OK",O2075,0)</f>
        <v/>
      </c>
      <c r="T2075">
        <f>IF(H2075="OK",N2075,"")</f>
        <v/>
      </c>
      <c r="U2075">
        <f>IF(OC_Donor=0,"",IF(INDEX('OneCause_Paste'!$A$2075:$AZ$2075,1,OC_Donor)="","",INDEX('OneCause_Paste'!$A$2075:$AZ$2075,1,OC_Donor)))</f>
        <v/>
      </c>
    </row>
    <row r="2076">
      <c r="A2076" s="62">
        <f>IF(H2076="","",IF(ISNUMBER(N2076),N2076,I2076))</f>
        <v/>
      </c>
      <c r="B2076">
        <f>IF(H2076="","",U2076)</f>
        <v/>
      </c>
      <c r="C2076">
        <f>IF(H2076="","",IF(P2076="",K2076,INDEX('Students'!$A$2:$A$701,P2076)))</f>
        <v/>
      </c>
      <c r="D2076">
        <f>IF(OR(H2076="",P2076=""),"",INDEX('Students'!$B$2:$B$701,P2076))</f>
        <v/>
      </c>
      <c r="E2076">
        <f>IF(OR(H2076="",P2076=""),"",INDEX('Students'!$C$2:$C$701,P2076))</f>
        <v/>
      </c>
      <c r="F2076" s="48">
        <f>IF(H2076="","",IF(ISNUMBER(O2076),O2076,J2076))</f>
        <v/>
      </c>
      <c r="G2076">
        <f>IF(H2076="","","OneCause")</f>
        <v/>
      </c>
      <c r="H2076">
        <f>IF(AND(I2076="",J2076="",K2076=""),"",IF(NOT(ISNUMBER(O2076)),"Bad amount",IF(O2076&lt;0,"Refund (not counted)",IF(O2076=0,"Zero amount",IF(NOT(ISNUMBER(N2076)),"Bad date",IF(P2076="","NAME NOT ON ROSTER",IF(L2076="","OK",IF(MATCH(L2076,$L$2:$L$3001,0)&lt;ROW()-1,"Duplicate (ignored)","OK"))))))))</f>
        <v/>
      </c>
      <c r="I2076">
        <f>IF(OC_Date=0,"",IF(INDEX('OneCause_Paste'!$A$2076:$AZ$2076,1,OC_Date)="","",INDEX('OneCause_Paste'!$A$2076:$AZ$2076,1,OC_Date)))</f>
        <v/>
      </c>
      <c r="J2076">
        <f>IF(OC_Amt=0,"",IF(INDEX('OneCause_Paste'!$A$2076:$AZ$2076,1,OC_Amt)="","",INDEX('OneCause_Paste'!$A$2076:$AZ$2076,1,OC_Amt)))</f>
        <v/>
      </c>
      <c r="K2076">
        <f>IF(OC_Name=0,"",IF(INDEX('OneCause_Paste'!$A$2076:$AZ$2076,1,OC_Name)="","",INDEX('OneCause_Paste'!$A$2076:$AZ$2076,1,OC_Name)))</f>
        <v/>
      </c>
      <c r="L2076">
        <f>IF(OC_Txn=0,"",IF(INDEX('OneCause_Paste'!$A$2076:$AZ$2076,1,OC_Txn)="","",INDEX('OneCause_Paste'!$A$2076:$AZ$2076,1,OC_Txn)))</f>
        <v/>
      </c>
      <c r="M2076">
        <f>IF(OC_Pay=0,"",IF(INDEX('OneCause_Paste'!$A$2076:$AZ$2076,1,OC_Pay)="","",INDEX('OneCause_Paste'!$A$2076:$AZ$2076,1,OC_Pay)))</f>
        <v/>
      </c>
      <c r="N2076">
        <f>IF(I2076="","",IF(ISNUMBER(I2076),INT(I2076),IFERROR(INT(DATEVALUE(I2076)),IFERROR(INT(VALUE(I2076)),"bad"))))</f>
        <v/>
      </c>
      <c r="O2076">
        <f>IF(J2076="","",IF(ISNUMBER(J2076),ROUND(J2076,2),IFERROR(ROUND(VALUE(SUBSTITUTE(SUBSTITUTE(SUBSTITUTE(J2076,"$",""),",","")," ","")),2),"bad")))</f>
        <v/>
      </c>
      <c r="P2076">
        <f>IF(TRIM(K2076)="","",IFERROR(MATCH(LOWER(TRIM(K2076)),'Students'!$AH$2:$AH$701,0),IFERROR(MATCH(LOWER(TRIM(K2076)),'Students'!$AF$2:$AF$701,0),IFERROR(MATCH(LOWER(TRIM(K2076)),'Students'!$AG$2:$AG$701,0),""))))</f>
        <v/>
      </c>
      <c r="R2076">
        <f>IF(P2076="","",INDEX('Students'!$AD$2:$AD$701,P2076))</f>
        <v/>
      </c>
      <c r="S2076">
        <f>IF(H2076="OK",O2076,0)</f>
        <v/>
      </c>
      <c r="T2076">
        <f>IF(H2076="OK",N2076,"")</f>
        <v/>
      </c>
      <c r="U2076">
        <f>IF(OC_Donor=0,"",IF(INDEX('OneCause_Paste'!$A$2076:$AZ$2076,1,OC_Donor)="","",INDEX('OneCause_Paste'!$A$2076:$AZ$2076,1,OC_Donor)))</f>
        <v/>
      </c>
    </row>
    <row r="2077">
      <c r="A2077" s="62">
        <f>IF(H2077="","",IF(ISNUMBER(N2077),N2077,I2077))</f>
        <v/>
      </c>
      <c r="B2077">
        <f>IF(H2077="","",U2077)</f>
        <v/>
      </c>
      <c r="C2077">
        <f>IF(H2077="","",IF(P2077="",K2077,INDEX('Students'!$A$2:$A$701,P2077)))</f>
        <v/>
      </c>
      <c r="D2077">
        <f>IF(OR(H2077="",P2077=""),"",INDEX('Students'!$B$2:$B$701,P2077))</f>
        <v/>
      </c>
      <c r="E2077">
        <f>IF(OR(H2077="",P2077=""),"",INDEX('Students'!$C$2:$C$701,P2077))</f>
        <v/>
      </c>
      <c r="F2077" s="48">
        <f>IF(H2077="","",IF(ISNUMBER(O2077),O2077,J2077))</f>
        <v/>
      </c>
      <c r="G2077">
        <f>IF(H2077="","","OneCause")</f>
        <v/>
      </c>
      <c r="H2077">
        <f>IF(AND(I2077="",J2077="",K2077=""),"",IF(NOT(ISNUMBER(O2077)),"Bad amount",IF(O2077&lt;0,"Refund (not counted)",IF(O2077=0,"Zero amount",IF(NOT(ISNUMBER(N2077)),"Bad date",IF(P2077="","NAME NOT ON ROSTER",IF(L2077="","OK",IF(MATCH(L2077,$L$2:$L$3001,0)&lt;ROW()-1,"Duplicate (ignored)","OK"))))))))</f>
        <v/>
      </c>
      <c r="I2077">
        <f>IF(OC_Date=0,"",IF(INDEX('OneCause_Paste'!$A$2077:$AZ$2077,1,OC_Date)="","",INDEX('OneCause_Paste'!$A$2077:$AZ$2077,1,OC_Date)))</f>
        <v/>
      </c>
      <c r="J2077">
        <f>IF(OC_Amt=0,"",IF(INDEX('OneCause_Paste'!$A$2077:$AZ$2077,1,OC_Amt)="","",INDEX('OneCause_Paste'!$A$2077:$AZ$2077,1,OC_Amt)))</f>
        <v/>
      </c>
      <c r="K2077">
        <f>IF(OC_Name=0,"",IF(INDEX('OneCause_Paste'!$A$2077:$AZ$2077,1,OC_Name)="","",INDEX('OneCause_Paste'!$A$2077:$AZ$2077,1,OC_Name)))</f>
        <v/>
      </c>
      <c r="L2077">
        <f>IF(OC_Txn=0,"",IF(INDEX('OneCause_Paste'!$A$2077:$AZ$2077,1,OC_Txn)="","",INDEX('OneCause_Paste'!$A$2077:$AZ$2077,1,OC_Txn)))</f>
        <v/>
      </c>
      <c r="M2077">
        <f>IF(OC_Pay=0,"",IF(INDEX('OneCause_Paste'!$A$2077:$AZ$2077,1,OC_Pay)="","",INDEX('OneCause_Paste'!$A$2077:$AZ$2077,1,OC_Pay)))</f>
        <v/>
      </c>
      <c r="N2077">
        <f>IF(I2077="","",IF(ISNUMBER(I2077),INT(I2077),IFERROR(INT(DATEVALUE(I2077)),IFERROR(INT(VALUE(I2077)),"bad"))))</f>
        <v/>
      </c>
      <c r="O2077">
        <f>IF(J2077="","",IF(ISNUMBER(J2077),ROUND(J2077,2),IFERROR(ROUND(VALUE(SUBSTITUTE(SUBSTITUTE(SUBSTITUTE(J2077,"$",""),",","")," ","")),2),"bad")))</f>
        <v/>
      </c>
      <c r="P2077">
        <f>IF(TRIM(K2077)="","",IFERROR(MATCH(LOWER(TRIM(K2077)),'Students'!$AH$2:$AH$701,0),IFERROR(MATCH(LOWER(TRIM(K2077)),'Students'!$AF$2:$AF$701,0),IFERROR(MATCH(LOWER(TRIM(K2077)),'Students'!$AG$2:$AG$701,0),""))))</f>
        <v/>
      </c>
      <c r="R2077">
        <f>IF(P2077="","",INDEX('Students'!$AD$2:$AD$701,P2077))</f>
        <v/>
      </c>
      <c r="S2077">
        <f>IF(H2077="OK",O2077,0)</f>
        <v/>
      </c>
      <c r="T2077">
        <f>IF(H2077="OK",N2077,"")</f>
        <v/>
      </c>
      <c r="U2077">
        <f>IF(OC_Donor=0,"",IF(INDEX('OneCause_Paste'!$A$2077:$AZ$2077,1,OC_Donor)="","",INDEX('OneCause_Paste'!$A$2077:$AZ$2077,1,OC_Donor)))</f>
        <v/>
      </c>
    </row>
    <row r="2078">
      <c r="A2078" s="62">
        <f>IF(H2078="","",IF(ISNUMBER(N2078),N2078,I2078))</f>
        <v/>
      </c>
      <c r="B2078">
        <f>IF(H2078="","",U2078)</f>
        <v/>
      </c>
      <c r="C2078">
        <f>IF(H2078="","",IF(P2078="",K2078,INDEX('Students'!$A$2:$A$701,P2078)))</f>
        <v/>
      </c>
      <c r="D2078">
        <f>IF(OR(H2078="",P2078=""),"",INDEX('Students'!$B$2:$B$701,P2078))</f>
        <v/>
      </c>
      <c r="E2078">
        <f>IF(OR(H2078="",P2078=""),"",INDEX('Students'!$C$2:$C$701,P2078))</f>
        <v/>
      </c>
      <c r="F2078" s="48">
        <f>IF(H2078="","",IF(ISNUMBER(O2078),O2078,J2078))</f>
        <v/>
      </c>
      <c r="G2078">
        <f>IF(H2078="","","OneCause")</f>
        <v/>
      </c>
      <c r="H2078">
        <f>IF(AND(I2078="",J2078="",K2078=""),"",IF(NOT(ISNUMBER(O2078)),"Bad amount",IF(O2078&lt;0,"Refund (not counted)",IF(O2078=0,"Zero amount",IF(NOT(ISNUMBER(N2078)),"Bad date",IF(P2078="","NAME NOT ON ROSTER",IF(L2078="","OK",IF(MATCH(L2078,$L$2:$L$3001,0)&lt;ROW()-1,"Duplicate (ignored)","OK"))))))))</f>
        <v/>
      </c>
      <c r="I2078">
        <f>IF(OC_Date=0,"",IF(INDEX('OneCause_Paste'!$A$2078:$AZ$2078,1,OC_Date)="","",INDEX('OneCause_Paste'!$A$2078:$AZ$2078,1,OC_Date)))</f>
        <v/>
      </c>
      <c r="J2078">
        <f>IF(OC_Amt=0,"",IF(INDEX('OneCause_Paste'!$A$2078:$AZ$2078,1,OC_Amt)="","",INDEX('OneCause_Paste'!$A$2078:$AZ$2078,1,OC_Amt)))</f>
        <v/>
      </c>
      <c r="K2078">
        <f>IF(OC_Name=0,"",IF(INDEX('OneCause_Paste'!$A$2078:$AZ$2078,1,OC_Name)="","",INDEX('OneCause_Paste'!$A$2078:$AZ$2078,1,OC_Name)))</f>
        <v/>
      </c>
      <c r="L2078">
        <f>IF(OC_Txn=0,"",IF(INDEX('OneCause_Paste'!$A$2078:$AZ$2078,1,OC_Txn)="","",INDEX('OneCause_Paste'!$A$2078:$AZ$2078,1,OC_Txn)))</f>
        <v/>
      </c>
      <c r="M2078">
        <f>IF(OC_Pay=0,"",IF(INDEX('OneCause_Paste'!$A$2078:$AZ$2078,1,OC_Pay)="","",INDEX('OneCause_Paste'!$A$2078:$AZ$2078,1,OC_Pay)))</f>
        <v/>
      </c>
      <c r="N2078">
        <f>IF(I2078="","",IF(ISNUMBER(I2078),INT(I2078),IFERROR(INT(DATEVALUE(I2078)),IFERROR(INT(VALUE(I2078)),"bad"))))</f>
        <v/>
      </c>
      <c r="O2078">
        <f>IF(J2078="","",IF(ISNUMBER(J2078),ROUND(J2078,2),IFERROR(ROUND(VALUE(SUBSTITUTE(SUBSTITUTE(SUBSTITUTE(J2078,"$",""),",","")," ","")),2),"bad")))</f>
        <v/>
      </c>
      <c r="P2078">
        <f>IF(TRIM(K2078)="","",IFERROR(MATCH(LOWER(TRIM(K2078)),'Students'!$AH$2:$AH$701,0),IFERROR(MATCH(LOWER(TRIM(K2078)),'Students'!$AF$2:$AF$701,0),IFERROR(MATCH(LOWER(TRIM(K2078)),'Students'!$AG$2:$AG$701,0),""))))</f>
        <v/>
      </c>
      <c r="R2078">
        <f>IF(P2078="","",INDEX('Students'!$AD$2:$AD$701,P2078))</f>
        <v/>
      </c>
      <c r="S2078">
        <f>IF(H2078="OK",O2078,0)</f>
        <v/>
      </c>
      <c r="T2078">
        <f>IF(H2078="OK",N2078,"")</f>
        <v/>
      </c>
      <c r="U2078">
        <f>IF(OC_Donor=0,"",IF(INDEX('OneCause_Paste'!$A$2078:$AZ$2078,1,OC_Donor)="","",INDEX('OneCause_Paste'!$A$2078:$AZ$2078,1,OC_Donor)))</f>
        <v/>
      </c>
    </row>
    <row r="2079">
      <c r="A2079" s="62">
        <f>IF(H2079="","",IF(ISNUMBER(N2079),N2079,I2079))</f>
        <v/>
      </c>
      <c r="B2079">
        <f>IF(H2079="","",U2079)</f>
        <v/>
      </c>
      <c r="C2079">
        <f>IF(H2079="","",IF(P2079="",K2079,INDEX('Students'!$A$2:$A$701,P2079)))</f>
        <v/>
      </c>
      <c r="D2079">
        <f>IF(OR(H2079="",P2079=""),"",INDEX('Students'!$B$2:$B$701,P2079))</f>
        <v/>
      </c>
      <c r="E2079">
        <f>IF(OR(H2079="",P2079=""),"",INDEX('Students'!$C$2:$C$701,P2079))</f>
        <v/>
      </c>
      <c r="F2079" s="48">
        <f>IF(H2079="","",IF(ISNUMBER(O2079),O2079,J2079))</f>
        <v/>
      </c>
      <c r="G2079">
        <f>IF(H2079="","","OneCause")</f>
        <v/>
      </c>
      <c r="H2079">
        <f>IF(AND(I2079="",J2079="",K2079=""),"",IF(NOT(ISNUMBER(O2079)),"Bad amount",IF(O2079&lt;0,"Refund (not counted)",IF(O2079=0,"Zero amount",IF(NOT(ISNUMBER(N2079)),"Bad date",IF(P2079="","NAME NOT ON ROSTER",IF(L2079="","OK",IF(MATCH(L2079,$L$2:$L$3001,0)&lt;ROW()-1,"Duplicate (ignored)","OK"))))))))</f>
        <v/>
      </c>
      <c r="I2079">
        <f>IF(OC_Date=0,"",IF(INDEX('OneCause_Paste'!$A$2079:$AZ$2079,1,OC_Date)="","",INDEX('OneCause_Paste'!$A$2079:$AZ$2079,1,OC_Date)))</f>
        <v/>
      </c>
      <c r="J2079">
        <f>IF(OC_Amt=0,"",IF(INDEX('OneCause_Paste'!$A$2079:$AZ$2079,1,OC_Amt)="","",INDEX('OneCause_Paste'!$A$2079:$AZ$2079,1,OC_Amt)))</f>
        <v/>
      </c>
      <c r="K2079">
        <f>IF(OC_Name=0,"",IF(INDEX('OneCause_Paste'!$A$2079:$AZ$2079,1,OC_Name)="","",INDEX('OneCause_Paste'!$A$2079:$AZ$2079,1,OC_Name)))</f>
        <v/>
      </c>
      <c r="L2079">
        <f>IF(OC_Txn=0,"",IF(INDEX('OneCause_Paste'!$A$2079:$AZ$2079,1,OC_Txn)="","",INDEX('OneCause_Paste'!$A$2079:$AZ$2079,1,OC_Txn)))</f>
        <v/>
      </c>
      <c r="M2079">
        <f>IF(OC_Pay=0,"",IF(INDEX('OneCause_Paste'!$A$2079:$AZ$2079,1,OC_Pay)="","",INDEX('OneCause_Paste'!$A$2079:$AZ$2079,1,OC_Pay)))</f>
        <v/>
      </c>
      <c r="N2079">
        <f>IF(I2079="","",IF(ISNUMBER(I2079),INT(I2079),IFERROR(INT(DATEVALUE(I2079)),IFERROR(INT(VALUE(I2079)),"bad"))))</f>
        <v/>
      </c>
      <c r="O2079">
        <f>IF(J2079="","",IF(ISNUMBER(J2079),ROUND(J2079,2),IFERROR(ROUND(VALUE(SUBSTITUTE(SUBSTITUTE(SUBSTITUTE(J2079,"$",""),",","")," ","")),2),"bad")))</f>
        <v/>
      </c>
      <c r="P2079">
        <f>IF(TRIM(K2079)="","",IFERROR(MATCH(LOWER(TRIM(K2079)),'Students'!$AH$2:$AH$701,0),IFERROR(MATCH(LOWER(TRIM(K2079)),'Students'!$AF$2:$AF$701,0),IFERROR(MATCH(LOWER(TRIM(K2079)),'Students'!$AG$2:$AG$701,0),""))))</f>
        <v/>
      </c>
      <c r="R2079">
        <f>IF(P2079="","",INDEX('Students'!$AD$2:$AD$701,P2079))</f>
        <v/>
      </c>
      <c r="S2079">
        <f>IF(H2079="OK",O2079,0)</f>
        <v/>
      </c>
      <c r="T2079">
        <f>IF(H2079="OK",N2079,"")</f>
        <v/>
      </c>
      <c r="U2079">
        <f>IF(OC_Donor=0,"",IF(INDEX('OneCause_Paste'!$A$2079:$AZ$2079,1,OC_Donor)="","",INDEX('OneCause_Paste'!$A$2079:$AZ$2079,1,OC_Donor)))</f>
        <v/>
      </c>
    </row>
    <row r="2080">
      <c r="A2080" s="62">
        <f>IF(H2080="","",IF(ISNUMBER(N2080),N2080,I2080))</f>
        <v/>
      </c>
      <c r="B2080">
        <f>IF(H2080="","",U2080)</f>
        <v/>
      </c>
      <c r="C2080">
        <f>IF(H2080="","",IF(P2080="",K2080,INDEX('Students'!$A$2:$A$701,P2080)))</f>
        <v/>
      </c>
      <c r="D2080">
        <f>IF(OR(H2080="",P2080=""),"",INDEX('Students'!$B$2:$B$701,P2080))</f>
        <v/>
      </c>
      <c r="E2080">
        <f>IF(OR(H2080="",P2080=""),"",INDEX('Students'!$C$2:$C$701,P2080))</f>
        <v/>
      </c>
      <c r="F2080" s="48">
        <f>IF(H2080="","",IF(ISNUMBER(O2080),O2080,J2080))</f>
        <v/>
      </c>
      <c r="G2080">
        <f>IF(H2080="","","OneCause")</f>
        <v/>
      </c>
      <c r="H2080">
        <f>IF(AND(I2080="",J2080="",K2080=""),"",IF(NOT(ISNUMBER(O2080)),"Bad amount",IF(O2080&lt;0,"Refund (not counted)",IF(O2080=0,"Zero amount",IF(NOT(ISNUMBER(N2080)),"Bad date",IF(P2080="","NAME NOT ON ROSTER",IF(L2080="","OK",IF(MATCH(L2080,$L$2:$L$3001,0)&lt;ROW()-1,"Duplicate (ignored)","OK"))))))))</f>
        <v/>
      </c>
      <c r="I2080">
        <f>IF(OC_Date=0,"",IF(INDEX('OneCause_Paste'!$A$2080:$AZ$2080,1,OC_Date)="","",INDEX('OneCause_Paste'!$A$2080:$AZ$2080,1,OC_Date)))</f>
        <v/>
      </c>
      <c r="J2080">
        <f>IF(OC_Amt=0,"",IF(INDEX('OneCause_Paste'!$A$2080:$AZ$2080,1,OC_Amt)="","",INDEX('OneCause_Paste'!$A$2080:$AZ$2080,1,OC_Amt)))</f>
        <v/>
      </c>
      <c r="K2080">
        <f>IF(OC_Name=0,"",IF(INDEX('OneCause_Paste'!$A$2080:$AZ$2080,1,OC_Name)="","",INDEX('OneCause_Paste'!$A$2080:$AZ$2080,1,OC_Name)))</f>
        <v/>
      </c>
      <c r="L2080">
        <f>IF(OC_Txn=0,"",IF(INDEX('OneCause_Paste'!$A$2080:$AZ$2080,1,OC_Txn)="","",INDEX('OneCause_Paste'!$A$2080:$AZ$2080,1,OC_Txn)))</f>
        <v/>
      </c>
      <c r="M2080">
        <f>IF(OC_Pay=0,"",IF(INDEX('OneCause_Paste'!$A$2080:$AZ$2080,1,OC_Pay)="","",INDEX('OneCause_Paste'!$A$2080:$AZ$2080,1,OC_Pay)))</f>
        <v/>
      </c>
      <c r="N2080">
        <f>IF(I2080="","",IF(ISNUMBER(I2080),INT(I2080),IFERROR(INT(DATEVALUE(I2080)),IFERROR(INT(VALUE(I2080)),"bad"))))</f>
        <v/>
      </c>
      <c r="O2080">
        <f>IF(J2080="","",IF(ISNUMBER(J2080),ROUND(J2080,2),IFERROR(ROUND(VALUE(SUBSTITUTE(SUBSTITUTE(SUBSTITUTE(J2080,"$",""),",","")," ","")),2),"bad")))</f>
        <v/>
      </c>
      <c r="P2080">
        <f>IF(TRIM(K2080)="","",IFERROR(MATCH(LOWER(TRIM(K2080)),'Students'!$AH$2:$AH$701,0),IFERROR(MATCH(LOWER(TRIM(K2080)),'Students'!$AF$2:$AF$701,0),IFERROR(MATCH(LOWER(TRIM(K2080)),'Students'!$AG$2:$AG$701,0),""))))</f>
        <v/>
      </c>
      <c r="R2080">
        <f>IF(P2080="","",INDEX('Students'!$AD$2:$AD$701,P2080))</f>
        <v/>
      </c>
      <c r="S2080">
        <f>IF(H2080="OK",O2080,0)</f>
        <v/>
      </c>
      <c r="T2080">
        <f>IF(H2080="OK",N2080,"")</f>
        <v/>
      </c>
      <c r="U2080">
        <f>IF(OC_Donor=0,"",IF(INDEX('OneCause_Paste'!$A$2080:$AZ$2080,1,OC_Donor)="","",INDEX('OneCause_Paste'!$A$2080:$AZ$2080,1,OC_Donor)))</f>
        <v/>
      </c>
    </row>
    <row r="2081">
      <c r="A2081" s="62">
        <f>IF(H2081="","",IF(ISNUMBER(N2081),N2081,I2081))</f>
        <v/>
      </c>
      <c r="B2081">
        <f>IF(H2081="","",U2081)</f>
        <v/>
      </c>
      <c r="C2081">
        <f>IF(H2081="","",IF(P2081="",K2081,INDEX('Students'!$A$2:$A$701,P2081)))</f>
        <v/>
      </c>
      <c r="D2081">
        <f>IF(OR(H2081="",P2081=""),"",INDEX('Students'!$B$2:$B$701,P2081))</f>
        <v/>
      </c>
      <c r="E2081">
        <f>IF(OR(H2081="",P2081=""),"",INDEX('Students'!$C$2:$C$701,P2081))</f>
        <v/>
      </c>
      <c r="F2081" s="48">
        <f>IF(H2081="","",IF(ISNUMBER(O2081),O2081,J2081))</f>
        <v/>
      </c>
      <c r="G2081">
        <f>IF(H2081="","","OneCause")</f>
        <v/>
      </c>
      <c r="H2081">
        <f>IF(AND(I2081="",J2081="",K2081=""),"",IF(NOT(ISNUMBER(O2081)),"Bad amount",IF(O2081&lt;0,"Refund (not counted)",IF(O2081=0,"Zero amount",IF(NOT(ISNUMBER(N2081)),"Bad date",IF(P2081="","NAME NOT ON ROSTER",IF(L2081="","OK",IF(MATCH(L2081,$L$2:$L$3001,0)&lt;ROW()-1,"Duplicate (ignored)","OK"))))))))</f>
        <v/>
      </c>
      <c r="I2081">
        <f>IF(OC_Date=0,"",IF(INDEX('OneCause_Paste'!$A$2081:$AZ$2081,1,OC_Date)="","",INDEX('OneCause_Paste'!$A$2081:$AZ$2081,1,OC_Date)))</f>
        <v/>
      </c>
      <c r="J2081">
        <f>IF(OC_Amt=0,"",IF(INDEX('OneCause_Paste'!$A$2081:$AZ$2081,1,OC_Amt)="","",INDEX('OneCause_Paste'!$A$2081:$AZ$2081,1,OC_Amt)))</f>
        <v/>
      </c>
      <c r="K2081">
        <f>IF(OC_Name=0,"",IF(INDEX('OneCause_Paste'!$A$2081:$AZ$2081,1,OC_Name)="","",INDEX('OneCause_Paste'!$A$2081:$AZ$2081,1,OC_Name)))</f>
        <v/>
      </c>
      <c r="L2081">
        <f>IF(OC_Txn=0,"",IF(INDEX('OneCause_Paste'!$A$2081:$AZ$2081,1,OC_Txn)="","",INDEX('OneCause_Paste'!$A$2081:$AZ$2081,1,OC_Txn)))</f>
        <v/>
      </c>
      <c r="M2081">
        <f>IF(OC_Pay=0,"",IF(INDEX('OneCause_Paste'!$A$2081:$AZ$2081,1,OC_Pay)="","",INDEX('OneCause_Paste'!$A$2081:$AZ$2081,1,OC_Pay)))</f>
        <v/>
      </c>
      <c r="N2081">
        <f>IF(I2081="","",IF(ISNUMBER(I2081),INT(I2081),IFERROR(INT(DATEVALUE(I2081)),IFERROR(INT(VALUE(I2081)),"bad"))))</f>
        <v/>
      </c>
      <c r="O2081">
        <f>IF(J2081="","",IF(ISNUMBER(J2081),ROUND(J2081,2),IFERROR(ROUND(VALUE(SUBSTITUTE(SUBSTITUTE(SUBSTITUTE(J2081,"$",""),",","")," ","")),2),"bad")))</f>
        <v/>
      </c>
      <c r="P2081">
        <f>IF(TRIM(K2081)="","",IFERROR(MATCH(LOWER(TRIM(K2081)),'Students'!$AH$2:$AH$701,0),IFERROR(MATCH(LOWER(TRIM(K2081)),'Students'!$AF$2:$AF$701,0),IFERROR(MATCH(LOWER(TRIM(K2081)),'Students'!$AG$2:$AG$701,0),""))))</f>
        <v/>
      </c>
      <c r="R2081">
        <f>IF(P2081="","",INDEX('Students'!$AD$2:$AD$701,P2081))</f>
        <v/>
      </c>
      <c r="S2081">
        <f>IF(H2081="OK",O2081,0)</f>
        <v/>
      </c>
      <c r="T2081">
        <f>IF(H2081="OK",N2081,"")</f>
        <v/>
      </c>
      <c r="U2081">
        <f>IF(OC_Donor=0,"",IF(INDEX('OneCause_Paste'!$A$2081:$AZ$2081,1,OC_Donor)="","",INDEX('OneCause_Paste'!$A$2081:$AZ$2081,1,OC_Donor)))</f>
        <v/>
      </c>
    </row>
    <row r="2082">
      <c r="A2082" s="62">
        <f>IF(H2082="","",IF(ISNUMBER(N2082),N2082,I2082))</f>
        <v/>
      </c>
      <c r="B2082">
        <f>IF(H2082="","",U2082)</f>
        <v/>
      </c>
      <c r="C2082">
        <f>IF(H2082="","",IF(P2082="",K2082,INDEX('Students'!$A$2:$A$701,P2082)))</f>
        <v/>
      </c>
      <c r="D2082">
        <f>IF(OR(H2082="",P2082=""),"",INDEX('Students'!$B$2:$B$701,P2082))</f>
        <v/>
      </c>
      <c r="E2082">
        <f>IF(OR(H2082="",P2082=""),"",INDEX('Students'!$C$2:$C$701,P2082))</f>
        <v/>
      </c>
      <c r="F2082" s="48">
        <f>IF(H2082="","",IF(ISNUMBER(O2082),O2082,J2082))</f>
        <v/>
      </c>
      <c r="G2082">
        <f>IF(H2082="","","OneCause")</f>
        <v/>
      </c>
      <c r="H2082">
        <f>IF(AND(I2082="",J2082="",K2082=""),"",IF(NOT(ISNUMBER(O2082)),"Bad amount",IF(O2082&lt;0,"Refund (not counted)",IF(O2082=0,"Zero amount",IF(NOT(ISNUMBER(N2082)),"Bad date",IF(P2082="","NAME NOT ON ROSTER",IF(L2082="","OK",IF(MATCH(L2082,$L$2:$L$3001,0)&lt;ROW()-1,"Duplicate (ignored)","OK"))))))))</f>
        <v/>
      </c>
      <c r="I2082">
        <f>IF(OC_Date=0,"",IF(INDEX('OneCause_Paste'!$A$2082:$AZ$2082,1,OC_Date)="","",INDEX('OneCause_Paste'!$A$2082:$AZ$2082,1,OC_Date)))</f>
        <v/>
      </c>
      <c r="J2082">
        <f>IF(OC_Amt=0,"",IF(INDEX('OneCause_Paste'!$A$2082:$AZ$2082,1,OC_Amt)="","",INDEX('OneCause_Paste'!$A$2082:$AZ$2082,1,OC_Amt)))</f>
        <v/>
      </c>
      <c r="K2082">
        <f>IF(OC_Name=0,"",IF(INDEX('OneCause_Paste'!$A$2082:$AZ$2082,1,OC_Name)="","",INDEX('OneCause_Paste'!$A$2082:$AZ$2082,1,OC_Name)))</f>
        <v/>
      </c>
      <c r="L2082">
        <f>IF(OC_Txn=0,"",IF(INDEX('OneCause_Paste'!$A$2082:$AZ$2082,1,OC_Txn)="","",INDEX('OneCause_Paste'!$A$2082:$AZ$2082,1,OC_Txn)))</f>
        <v/>
      </c>
      <c r="M2082">
        <f>IF(OC_Pay=0,"",IF(INDEX('OneCause_Paste'!$A$2082:$AZ$2082,1,OC_Pay)="","",INDEX('OneCause_Paste'!$A$2082:$AZ$2082,1,OC_Pay)))</f>
        <v/>
      </c>
      <c r="N2082">
        <f>IF(I2082="","",IF(ISNUMBER(I2082),INT(I2082),IFERROR(INT(DATEVALUE(I2082)),IFERROR(INT(VALUE(I2082)),"bad"))))</f>
        <v/>
      </c>
      <c r="O2082">
        <f>IF(J2082="","",IF(ISNUMBER(J2082),ROUND(J2082,2),IFERROR(ROUND(VALUE(SUBSTITUTE(SUBSTITUTE(SUBSTITUTE(J2082,"$",""),",","")," ","")),2),"bad")))</f>
        <v/>
      </c>
      <c r="P2082">
        <f>IF(TRIM(K2082)="","",IFERROR(MATCH(LOWER(TRIM(K2082)),'Students'!$AH$2:$AH$701,0),IFERROR(MATCH(LOWER(TRIM(K2082)),'Students'!$AF$2:$AF$701,0),IFERROR(MATCH(LOWER(TRIM(K2082)),'Students'!$AG$2:$AG$701,0),""))))</f>
        <v/>
      </c>
      <c r="R2082">
        <f>IF(P2082="","",INDEX('Students'!$AD$2:$AD$701,P2082))</f>
        <v/>
      </c>
      <c r="S2082">
        <f>IF(H2082="OK",O2082,0)</f>
        <v/>
      </c>
      <c r="T2082">
        <f>IF(H2082="OK",N2082,"")</f>
        <v/>
      </c>
      <c r="U2082">
        <f>IF(OC_Donor=0,"",IF(INDEX('OneCause_Paste'!$A$2082:$AZ$2082,1,OC_Donor)="","",INDEX('OneCause_Paste'!$A$2082:$AZ$2082,1,OC_Donor)))</f>
        <v/>
      </c>
    </row>
    <row r="2083">
      <c r="A2083" s="62">
        <f>IF(H2083="","",IF(ISNUMBER(N2083),N2083,I2083))</f>
        <v/>
      </c>
      <c r="B2083">
        <f>IF(H2083="","",U2083)</f>
        <v/>
      </c>
      <c r="C2083">
        <f>IF(H2083="","",IF(P2083="",K2083,INDEX('Students'!$A$2:$A$701,P2083)))</f>
        <v/>
      </c>
      <c r="D2083">
        <f>IF(OR(H2083="",P2083=""),"",INDEX('Students'!$B$2:$B$701,P2083))</f>
        <v/>
      </c>
      <c r="E2083">
        <f>IF(OR(H2083="",P2083=""),"",INDEX('Students'!$C$2:$C$701,P2083))</f>
        <v/>
      </c>
      <c r="F2083" s="48">
        <f>IF(H2083="","",IF(ISNUMBER(O2083),O2083,J2083))</f>
        <v/>
      </c>
      <c r="G2083">
        <f>IF(H2083="","","OneCause")</f>
        <v/>
      </c>
      <c r="H2083">
        <f>IF(AND(I2083="",J2083="",K2083=""),"",IF(NOT(ISNUMBER(O2083)),"Bad amount",IF(O2083&lt;0,"Refund (not counted)",IF(O2083=0,"Zero amount",IF(NOT(ISNUMBER(N2083)),"Bad date",IF(P2083="","NAME NOT ON ROSTER",IF(L2083="","OK",IF(MATCH(L2083,$L$2:$L$3001,0)&lt;ROW()-1,"Duplicate (ignored)","OK"))))))))</f>
        <v/>
      </c>
      <c r="I2083">
        <f>IF(OC_Date=0,"",IF(INDEX('OneCause_Paste'!$A$2083:$AZ$2083,1,OC_Date)="","",INDEX('OneCause_Paste'!$A$2083:$AZ$2083,1,OC_Date)))</f>
        <v/>
      </c>
      <c r="J2083">
        <f>IF(OC_Amt=0,"",IF(INDEX('OneCause_Paste'!$A$2083:$AZ$2083,1,OC_Amt)="","",INDEX('OneCause_Paste'!$A$2083:$AZ$2083,1,OC_Amt)))</f>
        <v/>
      </c>
      <c r="K2083">
        <f>IF(OC_Name=0,"",IF(INDEX('OneCause_Paste'!$A$2083:$AZ$2083,1,OC_Name)="","",INDEX('OneCause_Paste'!$A$2083:$AZ$2083,1,OC_Name)))</f>
        <v/>
      </c>
      <c r="L2083">
        <f>IF(OC_Txn=0,"",IF(INDEX('OneCause_Paste'!$A$2083:$AZ$2083,1,OC_Txn)="","",INDEX('OneCause_Paste'!$A$2083:$AZ$2083,1,OC_Txn)))</f>
        <v/>
      </c>
      <c r="M2083">
        <f>IF(OC_Pay=0,"",IF(INDEX('OneCause_Paste'!$A$2083:$AZ$2083,1,OC_Pay)="","",INDEX('OneCause_Paste'!$A$2083:$AZ$2083,1,OC_Pay)))</f>
        <v/>
      </c>
      <c r="N2083">
        <f>IF(I2083="","",IF(ISNUMBER(I2083),INT(I2083),IFERROR(INT(DATEVALUE(I2083)),IFERROR(INT(VALUE(I2083)),"bad"))))</f>
        <v/>
      </c>
      <c r="O2083">
        <f>IF(J2083="","",IF(ISNUMBER(J2083),ROUND(J2083,2),IFERROR(ROUND(VALUE(SUBSTITUTE(SUBSTITUTE(SUBSTITUTE(J2083,"$",""),",","")," ","")),2),"bad")))</f>
        <v/>
      </c>
      <c r="P2083">
        <f>IF(TRIM(K2083)="","",IFERROR(MATCH(LOWER(TRIM(K2083)),'Students'!$AH$2:$AH$701,0),IFERROR(MATCH(LOWER(TRIM(K2083)),'Students'!$AF$2:$AF$701,0),IFERROR(MATCH(LOWER(TRIM(K2083)),'Students'!$AG$2:$AG$701,0),""))))</f>
        <v/>
      </c>
      <c r="R2083">
        <f>IF(P2083="","",INDEX('Students'!$AD$2:$AD$701,P2083))</f>
        <v/>
      </c>
      <c r="S2083">
        <f>IF(H2083="OK",O2083,0)</f>
        <v/>
      </c>
      <c r="T2083">
        <f>IF(H2083="OK",N2083,"")</f>
        <v/>
      </c>
      <c r="U2083">
        <f>IF(OC_Donor=0,"",IF(INDEX('OneCause_Paste'!$A$2083:$AZ$2083,1,OC_Donor)="","",INDEX('OneCause_Paste'!$A$2083:$AZ$2083,1,OC_Donor)))</f>
        <v/>
      </c>
    </row>
    <row r="2084">
      <c r="A2084" s="62">
        <f>IF(H2084="","",IF(ISNUMBER(N2084),N2084,I2084))</f>
        <v/>
      </c>
      <c r="B2084">
        <f>IF(H2084="","",U2084)</f>
        <v/>
      </c>
      <c r="C2084">
        <f>IF(H2084="","",IF(P2084="",K2084,INDEX('Students'!$A$2:$A$701,P2084)))</f>
        <v/>
      </c>
      <c r="D2084">
        <f>IF(OR(H2084="",P2084=""),"",INDEX('Students'!$B$2:$B$701,P2084))</f>
        <v/>
      </c>
      <c r="E2084">
        <f>IF(OR(H2084="",P2084=""),"",INDEX('Students'!$C$2:$C$701,P2084))</f>
        <v/>
      </c>
      <c r="F2084" s="48">
        <f>IF(H2084="","",IF(ISNUMBER(O2084),O2084,J2084))</f>
        <v/>
      </c>
      <c r="G2084">
        <f>IF(H2084="","","OneCause")</f>
        <v/>
      </c>
      <c r="H2084">
        <f>IF(AND(I2084="",J2084="",K2084=""),"",IF(NOT(ISNUMBER(O2084)),"Bad amount",IF(O2084&lt;0,"Refund (not counted)",IF(O2084=0,"Zero amount",IF(NOT(ISNUMBER(N2084)),"Bad date",IF(P2084="","NAME NOT ON ROSTER",IF(L2084="","OK",IF(MATCH(L2084,$L$2:$L$3001,0)&lt;ROW()-1,"Duplicate (ignored)","OK"))))))))</f>
        <v/>
      </c>
      <c r="I2084">
        <f>IF(OC_Date=0,"",IF(INDEX('OneCause_Paste'!$A$2084:$AZ$2084,1,OC_Date)="","",INDEX('OneCause_Paste'!$A$2084:$AZ$2084,1,OC_Date)))</f>
        <v/>
      </c>
      <c r="J2084">
        <f>IF(OC_Amt=0,"",IF(INDEX('OneCause_Paste'!$A$2084:$AZ$2084,1,OC_Amt)="","",INDEX('OneCause_Paste'!$A$2084:$AZ$2084,1,OC_Amt)))</f>
        <v/>
      </c>
      <c r="K2084">
        <f>IF(OC_Name=0,"",IF(INDEX('OneCause_Paste'!$A$2084:$AZ$2084,1,OC_Name)="","",INDEX('OneCause_Paste'!$A$2084:$AZ$2084,1,OC_Name)))</f>
        <v/>
      </c>
      <c r="L2084">
        <f>IF(OC_Txn=0,"",IF(INDEX('OneCause_Paste'!$A$2084:$AZ$2084,1,OC_Txn)="","",INDEX('OneCause_Paste'!$A$2084:$AZ$2084,1,OC_Txn)))</f>
        <v/>
      </c>
      <c r="M2084">
        <f>IF(OC_Pay=0,"",IF(INDEX('OneCause_Paste'!$A$2084:$AZ$2084,1,OC_Pay)="","",INDEX('OneCause_Paste'!$A$2084:$AZ$2084,1,OC_Pay)))</f>
        <v/>
      </c>
      <c r="N2084">
        <f>IF(I2084="","",IF(ISNUMBER(I2084),INT(I2084),IFERROR(INT(DATEVALUE(I2084)),IFERROR(INT(VALUE(I2084)),"bad"))))</f>
        <v/>
      </c>
      <c r="O2084">
        <f>IF(J2084="","",IF(ISNUMBER(J2084),ROUND(J2084,2),IFERROR(ROUND(VALUE(SUBSTITUTE(SUBSTITUTE(SUBSTITUTE(J2084,"$",""),",","")," ","")),2),"bad")))</f>
        <v/>
      </c>
      <c r="P2084">
        <f>IF(TRIM(K2084)="","",IFERROR(MATCH(LOWER(TRIM(K2084)),'Students'!$AH$2:$AH$701,0),IFERROR(MATCH(LOWER(TRIM(K2084)),'Students'!$AF$2:$AF$701,0),IFERROR(MATCH(LOWER(TRIM(K2084)),'Students'!$AG$2:$AG$701,0),""))))</f>
        <v/>
      </c>
      <c r="R2084">
        <f>IF(P2084="","",INDEX('Students'!$AD$2:$AD$701,P2084))</f>
        <v/>
      </c>
      <c r="S2084">
        <f>IF(H2084="OK",O2084,0)</f>
        <v/>
      </c>
      <c r="T2084">
        <f>IF(H2084="OK",N2084,"")</f>
        <v/>
      </c>
      <c r="U2084">
        <f>IF(OC_Donor=0,"",IF(INDEX('OneCause_Paste'!$A$2084:$AZ$2084,1,OC_Donor)="","",INDEX('OneCause_Paste'!$A$2084:$AZ$2084,1,OC_Donor)))</f>
        <v/>
      </c>
    </row>
    <row r="2085">
      <c r="A2085" s="62">
        <f>IF(H2085="","",IF(ISNUMBER(N2085),N2085,I2085))</f>
        <v/>
      </c>
      <c r="B2085">
        <f>IF(H2085="","",U2085)</f>
        <v/>
      </c>
      <c r="C2085">
        <f>IF(H2085="","",IF(P2085="",K2085,INDEX('Students'!$A$2:$A$701,P2085)))</f>
        <v/>
      </c>
      <c r="D2085">
        <f>IF(OR(H2085="",P2085=""),"",INDEX('Students'!$B$2:$B$701,P2085))</f>
        <v/>
      </c>
      <c r="E2085">
        <f>IF(OR(H2085="",P2085=""),"",INDEX('Students'!$C$2:$C$701,P2085))</f>
        <v/>
      </c>
      <c r="F2085" s="48">
        <f>IF(H2085="","",IF(ISNUMBER(O2085),O2085,J2085))</f>
        <v/>
      </c>
      <c r="G2085">
        <f>IF(H2085="","","OneCause")</f>
        <v/>
      </c>
      <c r="H2085">
        <f>IF(AND(I2085="",J2085="",K2085=""),"",IF(NOT(ISNUMBER(O2085)),"Bad amount",IF(O2085&lt;0,"Refund (not counted)",IF(O2085=0,"Zero amount",IF(NOT(ISNUMBER(N2085)),"Bad date",IF(P2085="","NAME NOT ON ROSTER",IF(L2085="","OK",IF(MATCH(L2085,$L$2:$L$3001,0)&lt;ROW()-1,"Duplicate (ignored)","OK"))))))))</f>
        <v/>
      </c>
      <c r="I2085">
        <f>IF(OC_Date=0,"",IF(INDEX('OneCause_Paste'!$A$2085:$AZ$2085,1,OC_Date)="","",INDEX('OneCause_Paste'!$A$2085:$AZ$2085,1,OC_Date)))</f>
        <v/>
      </c>
      <c r="J2085">
        <f>IF(OC_Amt=0,"",IF(INDEX('OneCause_Paste'!$A$2085:$AZ$2085,1,OC_Amt)="","",INDEX('OneCause_Paste'!$A$2085:$AZ$2085,1,OC_Amt)))</f>
        <v/>
      </c>
      <c r="K2085">
        <f>IF(OC_Name=0,"",IF(INDEX('OneCause_Paste'!$A$2085:$AZ$2085,1,OC_Name)="","",INDEX('OneCause_Paste'!$A$2085:$AZ$2085,1,OC_Name)))</f>
        <v/>
      </c>
      <c r="L2085">
        <f>IF(OC_Txn=0,"",IF(INDEX('OneCause_Paste'!$A$2085:$AZ$2085,1,OC_Txn)="","",INDEX('OneCause_Paste'!$A$2085:$AZ$2085,1,OC_Txn)))</f>
        <v/>
      </c>
      <c r="M2085">
        <f>IF(OC_Pay=0,"",IF(INDEX('OneCause_Paste'!$A$2085:$AZ$2085,1,OC_Pay)="","",INDEX('OneCause_Paste'!$A$2085:$AZ$2085,1,OC_Pay)))</f>
        <v/>
      </c>
      <c r="N2085">
        <f>IF(I2085="","",IF(ISNUMBER(I2085),INT(I2085),IFERROR(INT(DATEVALUE(I2085)),IFERROR(INT(VALUE(I2085)),"bad"))))</f>
        <v/>
      </c>
      <c r="O2085">
        <f>IF(J2085="","",IF(ISNUMBER(J2085),ROUND(J2085,2),IFERROR(ROUND(VALUE(SUBSTITUTE(SUBSTITUTE(SUBSTITUTE(J2085,"$",""),",","")," ","")),2),"bad")))</f>
        <v/>
      </c>
      <c r="P2085">
        <f>IF(TRIM(K2085)="","",IFERROR(MATCH(LOWER(TRIM(K2085)),'Students'!$AH$2:$AH$701,0),IFERROR(MATCH(LOWER(TRIM(K2085)),'Students'!$AF$2:$AF$701,0),IFERROR(MATCH(LOWER(TRIM(K2085)),'Students'!$AG$2:$AG$701,0),""))))</f>
        <v/>
      </c>
      <c r="R2085">
        <f>IF(P2085="","",INDEX('Students'!$AD$2:$AD$701,P2085))</f>
        <v/>
      </c>
      <c r="S2085">
        <f>IF(H2085="OK",O2085,0)</f>
        <v/>
      </c>
      <c r="T2085">
        <f>IF(H2085="OK",N2085,"")</f>
        <v/>
      </c>
      <c r="U2085">
        <f>IF(OC_Donor=0,"",IF(INDEX('OneCause_Paste'!$A$2085:$AZ$2085,1,OC_Donor)="","",INDEX('OneCause_Paste'!$A$2085:$AZ$2085,1,OC_Donor)))</f>
        <v/>
      </c>
    </row>
    <row r="2086">
      <c r="A2086" s="62">
        <f>IF(H2086="","",IF(ISNUMBER(N2086),N2086,I2086))</f>
        <v/>
      </c>
      <c r="B2086">
        <f>IF(H2086="","",U2086)</f>
        <v/>
      </c>
      <c r="C2086">
        <f>IF(H2086="","",IF(P2086="",K2086,INDEX('Students'!$A$2:$A$701,P2086)))</f>
        <v/>
      </c>
      <c r="D2086">
        <f>IF(OR(H2086="",P2086=""),"",INDEX('Students'!$B$2:$B$701,P2086))</f>
        <v/>
      </c>
      <c r="E2086">
        <f>IF(OR(H2086="",P2086=""),"",INDEX('Students'!$C$2:$C$701,P2086))</f>
        <v/>
      </c>
      <c r="F2086" s="48">
        <f>IF(H2086="","",IF(ISNUMBER(O2086),O2086,J2086))</f>
        <v/>
      </c>
      <c r="G2086">
        <f>IF(H2086="","","OneCause")</f>
        <v/>
      </c>
      <c r="H2086">
        <f>IF(AND(I2086="",J2086="",K2086=""),"",IF(NOT(ISNUMBER(O2086)),"Bad amount",IF(O2086&lt;0,"Refund (not counted)",IF(O2086=0,"Zero amount",IF(NOT(ISNUMBER(N2086)),"Bad date",IF(P2086="","NAME NOT ON ROSTER",IF(L2086="","OK",IF(MATCH(L2086,$L$2:$L$3001,0)&lt;ROW()-1,"Duplicate (ignored)","OK"))))))))</f>
        <v/>
      </c>
      <c r="I2086">
        <f>IF(OC_Date=0,"",IF(INDEX('OneCause_Paste'!$A$2086:$AZ$2086,1,OC_Date)="","",INDEX('OneCause_Paste'!$A$2086:$AZ$2086,1,OC_Date)))</f>
        <v/>
      </c>
      <c r="J2086">
        <f>IF(OC_Amt=0,"",IF(INDEX('OneCause_Paste'!$A$2086:$AZ$2086,1,OC_Amt)="","",INDEX('OneCause_Paste'!$A$2086:$AZ$2086,1,OC_Amt)))</f>
        <v/>
      </c>
      <c r="K2086">
        <f>IF(OC_Name=0,"",IF(INDEX('OneCause_Paste'!$A$2086:$AZ$2086,1,OC_Name)="","",INDEX('OneCause_Paste'!$A$2086:$AZ$2086,1,OC_Name)))</f>
        <v/>
      </c>
      <c r="L2086">
        <f>IF(OC_Txn=0,"",IF(INDEX('OneCause_Paste'!$A$2086:$AZ$2086,1,OC_Txn)="","",INDEX('OneCause_Paste'!$A$2086:$AZ$2086,1,OC_Txn)))</f>
        <v/>
      </c>
      <c r="M2086">
        <f>IF(OC_Pay=0,"",IF(INDEX('OneCause_Paste'!$A$2086:$AZ$2086,1,OC_Pay)="","",INDEX('OneCause_Paste'!$A$2086:$AZ$2086,1,OC_Pay)))</f>
        <v/>
      </c>
      <c r="N2086">
        <f>IF(I2086="","",IF(ISNUMBER(I2086),INT(I2086),IFERROR(INT(DATEVALUE(I2086)),IFERROR(INT(VALUE(I2086)),"bad"))))</f>
        <v/>
      </c>
      <c r="O2086">
        <f>IF(J2086="","",IF(ISNUMBER(J2086),ROUND(J2086,2),IFERROR(ROUND(VALUE(SUBSTITUTE(SUBSTITUTE(SUBSTITUTE(J2086,"$",""),",","")," ","")),2),"bad")))</f>
        <v/>
      </c>
      <c r="P2086">
        <f>IF(TRIM(K2086)="","",IFERROR(MATCH(LOWER(TRIM(K2086)),'Students'!$AH$2:$AH$701,0),IFERROR(MATCH(LOWER(TRIM(K2086)),'Students'!$AF$2:$AF$701,0),IFERROR(MATCH(LOWER(TRIM(K2086)),'Students'!$AG$2:$AG$701,0),""))))</f>
        <v/>
      </c>
      <c r="R2086">
        <f>IF(P2086="","",INDEX('Students'!$AD$2:$AD$701,P2086))</f>
        <v/>
      </c>
      <c r="S2086">
        <f>IF(H2086="OK",O2086,0)</f>
        <v/>
      </c>
      <c r="T2086">
        <f>IF(H2086="OK",N2086,"")</f>
        <v/>
      </c>
      <c r="U2086">
        <f>IF(OC_Donor=0,"",IF(INDEX('OneCause_Paste'!$A$2086:$AZ$2086,1,OC_Donor)="","",INDEX('OneCause_Paste'!$A$2086:$AZ$2086,1,OC_Donor)))</f>
        <v/>
      </c>
    </row>
    <row r="2087">
      <c r="A2087" s="62">
        <f>IF(H2087="","",IF(ISNUMBER(N2087),N2087,I2087))</f>
        <v/>
      </c>
      <c r="B2087">
        <f>IF(H2087="","",U2087)</f>
        <v/>
      </c>
      <c r="C2087">
        <f>IF(H2087="","",IF(P2087="",K2087,INDEX('Students'!$A$2:$A$701,P2087)))</f>
        <v/>
      </c>
      <c r="D2087">
        <f>IF(OR(H2087="",P2087=""),"",INDEX('Students'!$B$2:$B$701,P2087))</f>
        <v/>
      </c>
      <c r="E2087">
        <f>IF(OR(H2087="",P2087=""),"",INDEX('Students'!$C$2:$C$701,P2087))</f>
        <v/>
      </c>
      <c r="F2087" s="48">
        <f>IF(H2087="","",IF(ISNUMBER(O2087),O2087,J2087))</f>
        <v/>
      </c>
      <c r="G2087">
        <f>IF(H2087="","","OneCause")</f>
        <v/>
      </c>
      <c r="H2087">
        <f>IF(AND(I2087="",J2087="",K2087=""),"",IF(NOT(ISNUMBER(O2087)),"Bad amount",IF(O2087&lt;0,"Refund (not counted)",IF(O2087=0,"Zero amount",IF(NOT(ISNUMBER(N2087)),"Bad date",IF(P2087="","NAME NOT ON ROSTER",IF(L2087="","OK",IF(MATCH(L2087,$L$2:$L$3001,0)&lt;ROW()-1,"Duplicate (ignored)","OK"))))))))</f>
        <v/>
      </c>
      <c r="I2087">
        <f>IF(OC_Date=0,"",IF(INDEX('OneCause_Paste'!$A$2087:$AZ$2087,1,OC_Date)="","",INDEX('OneCause_Paste'!$A$2087:$AZ$2087,1,OC_Date)))</f>
        <v/>
      </c>
      <c r="J2087">
        <f>IF(OC_Amt=0,"",IF(INDEX('OneCause_Paste'!$A$2087:$AZ$2087,1,OC_Amt)="","",INDEX('OneCause_Paste'!$A$2087:$AZ$2087,1,OC_Amt)))</f>
        <v/>
      </c>
      <c r="K2087">
        <f>IF(OC_Name=0,"",IF(INDEX('OneCause_Paste'!$A$2087:$AZ$2087,1,OC_Name)="","",INDEX('OneCause_Paste'!$A$2087:$AZ$2087,1,OC_Name)))</f>
        <v/>
      </c>
      <c r="L2087">
        <f>IF(OC_Txn=0,"",IF(INDEX('OneCause_Paste'!$A$2087:$AZ$2087,1,OC_Txn)="","",INDEX('OneCause_Paste'!$A$2087:$AZ$2087,1,OC_Txn)))</f>
        <v/>
      </c>
      <c r="M2087">
        <f>IF(OC_Pay=0,"",IF(INDEX('OneCause_Paste'!$A$2087:$AZ$2087,1,OC_Pay)="","",INDEX('OneCause_Paste'!$A$2087:$AZ$2087,1,OC_Pay)))</f>
        <v/>
      </c>
      <c r="N2087">
        <f>IF(I2087="","",IF(ISNUMBER(I2087),INT(I2087),IFERROR(INT(DATEVALUE(I2087)),IFERROR(INT(VALUE(I2087)),"bad"))))</f>
        <v/>
      </c>
      <c r="O2087">
        <f>IF(J2087="","",IF(ISNUMBER(J2087),ROUND(J2087,2),IFERROR(ROUND(VALUE(SUBSTITUTE(SUBSTITUTE(SUBSTITUTE(J2087,"$",""),",","")," ","")),2),"bad")))</f>
        <v/>
      </c>
      <c r="P2087">
        <f>IF(TRIM(K2087)="","",IFERROR(MATCH(LOWER(TRIM(K2087)),'Students'!$AH$2:$AH$701,0),IFERROR(MATCH(LOWER(TRIM(K2087)),'Students'!$AF$2:$AF$701,0),IFERROR(MATCH(LOWER(TRIM(K2087)),'Students'!$AG$2:$AG$701,0),""))))</f>
        <v/>
      </c>
      <c r="R2087">
        <f>IF(P2087="","",INDEX('Students'!$AD$2:$AD$701,P2087))</f>
        <v/>
      </c>
      <c r="S2087">
        <f>IF(H2087="OK",O2087,0)</f>
        <v/>
      </c>
      <c r="T2087">
        <f>IF(H2087="OK",N2087,"")</f>
        <v/>
      </c>
      <c r="U2087">
        <f>IF(OC_Donor=0,"",IF(INDEX('OneCause_Paste'!$A$2087:$AZ$2087,1,OC_Donor)="","",INDEX('OneCause_Paste'!$A$2087:$AZ$2087,1,OC_Donor)))</f>
        <v/>
      </c>
    </row>
    <row r="2088">
      <c r="A2088" s="62">
        <f>IF(H2088="","",IF(ISNUMBER(N2088),N2088,I2088))</f>
        <v/>
      </c>
      <c r="B2088">
        <f>IF(H2088="","",U2088)</f>
        <v/>
      </c>
      <c r="C2088">
        <f>IF(H2088="","",IF(P2088="",K2088,INDEX('Students'!$A$2:$A$701,P2088)))</f>
        <v/>
      </c>
      <c r="D2088">
        <f>IF(OR(H2088="",P2088=""),"",INDEX('Students'!$B$2:$B$701,P2088))</f>
        <v/>
      </c>
      <c r="E2088">
        <f>IF(OR(H2088="",P2088=""),"",INDEX('Students'!$C$2:$C$701,P2088))</f>
        <v/>
      </c>
      <c r="F2088" s="48">
        <f>IF(H2088="","",IF(ISNUMBER(O2088),O2088,J2088))</f>
        <v/>
      </c>
      <c r="G2088">
        <f>IF(H2088="","","OneCause")</f>
        <v/>
      </c>
      <c r="H2088">
        <f>IF(AND(I2088="",J2088="",K2088=""),"",IF(NOT(ISNUMBER(O2088)),"Bad amount",IF(O2088&lt;0,"Refund (not counted)",IF(O2088=0,"Zero amount",IF(NOT(ISNUMBER(N2088)),"Bad date",IF(P2088="","NAME NOT ON ROSTER",IF(L2088="","OK",IF(MATCH(L2088,$L$2:$L$3001,0)&lt;ROW()-1,"Duplicate (ignored)","OK"))))))))</f>
        <v/>
      </c>
      <c r="I2088">
        <f>IF(OC_Date=0,"",IF(INDEX('OneCause_Paste'!$A$2088:$AZ$2088,1,OC_Date)="","",INDEX('OneCause_Paste'!$A$2088:$AZ$2088,1,OC_Date)))</f>
        <v/>
      </c>
      <c r="J2088">
        <f>IF(OC_Amt=0,"",IF(INDEX('OneCause_Paste'!$A$2088:$AZ$2088,1,OC_Amt)="","",INDEX('OneCause_Paste'!$A$2088:$AZ$2088,1,OC_Amt)))</f>
        <v/>
      </c>
      <c r="K2088">
        <f>IF(OC_Name=0,"",IF(INDEX('OneCause_Paste'!$A$2088:$AZ$2088,1,OC_Name)="","",INDEX('OneCause_Paste'!$A$2088:$AZ$2088,1,OC_Name)))</f>
        <v/>
      </c>
      <c r="L2088">
        <f>IF(OC_Txn=0,"",IF(INDEX('OneCause_Paste'!$A$2088:$AZ$2088,1,OC_Txn)="","",INDEX('OneCause_Paste'!$A$2088:$AZ$2088,1,OC_Txn)))</f>
        <v/>
      </c>
      <c r="M2088">
        <f>IF(OC_Pay=0,"",IF(INDEX('OneCause_Paste'!$A$2088:$AZ$2088,1,OC_Pay)="","",INDEX('OneCause_Paste'!$A$2088:$AZ$2088,1,OC_Pay)))</f>
        <v/>
      </c>
      <c r="N2088">
        <f>IF(I2088="","",IF(ISNUMBER(I2088),INT(I2088),IFERROR(INT(DATEVALUE(I2088)),IFERROR(INT(VALUE(I2088)),"bad"))))</f>
        <v/>
      </c>
      <c r="O2088">
        <f>IF(J2088="","",IF(ISNUMBER(J2088),ROUND(J2088,2),IFERROR(ROUND(VALUE(SUBSTITUTE(SUBSTITUTE(SUBSTITUTE(J2088,"$",""),",","")," ","")),2),"bad")))</f>
        <v/>
      </c>
      <c r="P2088">
        <f>IF(TRIM(K2088)="","",IFERROR(MATCH(LOWER(TRIM(K2088)),'Students'!$AH$2:$AH$701,0),IFERROR(MATCH(LOWER(TRIM(K2088)),'Students'!$AF$2:$AF$701,0),IFERROR(MATCH(LOWER(TRIM(K2088)),'Students'!$AG$2:$AG$701,0),""))))</f>
        <v/>
      </c>
      <c r="R2088">
        <f>IF(P2088="","",INDEX('Students'!$AD$2:$AD$701,P2088))</f>
        <v/>
      </c>
      <c r="S2088">
        <f>IF(H2088="OK",O2088,0)</f>
        <v/>
      </c>
      <c r="T2088">
        <f>IF(H2088="OK",N2088,"")</f>
        <v/>
      </c>
      <c r="U2088">
        <f>IF(OC_Donor=0,"",IF(INDEX('OneCause_Paste'!$A$2088:$AZ$2088,1,OC_Donor)="","",INDEX('OneCause_Paste'!$A$2088:$AZ$2088,1,OC_Donor)))</f>
        <v/>
      </c>
    </row>
    <row r="2089">
      <c r="A2089" s="62">
        <f>IF(H2089="","",IF(ISNUMBER(N2089),N2089,I2089))</f>
        <v/>
      </c>
      <c r="B2089">
        <f>IF(H2089="","",U2089)</f>
        <v/>
      </c>
      <c r="C2089">
        <f>IF(H2089="","",IF(P2089="",K2089,INDEX('Students'!$A$2:$A$701,P2089)))</f>
        <v/>
      </c>
      <c r="D2089">
        <f>IF(OR(H2089="",P2089=""),"",INDEX('Students'!$B$2:$B$701,P2089))</f>
        <v/>
      </c>
      <c r="E2089">
        <f>IF(OR(H2089="",P2089=""),"",INDEX('Students'!$C$2:$C$701,P2089))</f>
        <v/>
      </c>
      <c r="F2089" s="48">
        <f>IF(H2089="","",IF(ISNUMBER(O2089),O2089,J2089))</f>
        <v/>
      </c>
      <c r="G2089">
        <f>IF(H2089="","","OneCause")</f>
        <v/>
      </c>
      <c r="H2089">
        <f>IF(AND(I2089="",J2089="",K2089=""),"",IF(NOT(ISNUMBER(O2089)),"Bad amount",IF(O2089&lt;0,"Refund (not counted)",IF(O2089=0,"Zero amount",IF(NOT(ISNUMBER(N2089)),"Bad date",IF(P2089="","NAME NOT ON ROSTER",IF(L2089="","OK",IF(MATCH(L2089,$L$2:$L$3001,0)&lt;ROW()-1,"Duplicate (ignored)","OK"))))))))</f>
        <v/>
      </c>
      <c r="I2089">
        <f>IF(OC_Date=0,"",IF(INDEX('OneCause_Paste'!$A$2089:$AZ$2089,1,OC_Date)="","",INDEX('OneCause_Paste'!$A$2089:$AZ$2089,1,OC_Date)))</f>
        <v/>
      </c>
      <c r="J2089">
        <f>IF(OC_Amt=0,"",IF(INDEX('OneCause_Paste'!$A$2089:$AZ$2089,1,OC_Amt)="","",INDEX('OneCause_Paste'!$A$2089:$AZ$2089,1,OC_Amt)))</f>
        <v/>
      </c>
      <c r="K2089">
        <f>IF(OC_Name=0,"",IF(INDEX('OneCause_Paste'!$A$2089:$AZ$2089,1,OC_Name)="","",INDEX('OneCause_Paste'!$A$2089:$AZ$2089,1,OC_Name)))</f>
        <v/>
      </c>
      <c r="L2089">
        <f>IF(OC_Txn=0,"",IF(INDEX('OneCause_Paste'!$A$2089:$AZ$2089,1,OC_Txn)="","",INDEX('OneCause_Paste'!$A$2089:$AZ$2089,1,OC_Txn)))</f>
        <v/>
      </c>
      <c r="M2089">
        <f>IF(OC_Pay=0,"",IF(INDEX('OneCause_Paste'!$A$2089:$AZ$2089,1,OC_Pay)="","",INDEX('OneCause_Paste'!$A$2089:$AZ$2089,1,OC_Pay)))</f>
        <v/>
      </c>
      <c r="N2089">
        <f>IF(I2089="","",IF(ISNUMBER(I2089),INT(I2089),IFERROR(INT(DATEVALUE(I2089)),IFERROR(INT(VALUE(I2089)),"bad"))))</f>
        <v/>
      </c>
      <c r="O2089">
        <f>IF(J2089="","",IF(ISNUMBER(J2089),ROUND(J2089,2),IFERROR(ROUND(VALUE(SUBSTITUTE(SUBSTITUTE(SUBSTITUTE(J2089,"$",""),",","")," ","")),2),"bad")))</f>
        <v/>
      </c>
      <c r="P2089">
        <f>IF(TRIM(K2089)="","",IFERROR(MATCH(LOWER(TRIM(K2089)),'Students'!$AH$2:$AH$701,0),IFERROR(MATCH(LOWER(TRIM(K2089)),'Students'!$AF$2:$AF$701,0),IFERROR(MATCH(LOWER(TRIM(K2089)),'Students'!$AG$2:$AG$701,0),""))))</f>
        <v/>
      </c>
      <c r="R2089">
        <f>IF(P2089="","",INDEX('Students'!$AD$2:$AD$701,P2089))</f>
        <v/>
      </c>
      <c r="S2089">
        <f>IF(H2089="OK",O2089,0)</f>
        <v/>
      </c>
      <c r="T2089">
        <f>IF(H2089="OK",N2089,"")</f>
        <v/>
      </c>
      <c r="U2089">
        <f>IF(OC_Donor=0,"",IF(INDEX('OneCause_Paste'!$A$2089:$AZ$2089,1,OC_Donor)="","",INDEX('OneCause_Paste'!$A$2089:$AZ$2089,1,OC_Donor)))</f>
        <v/>
      </c>
    </row>
    <row r="2090">
      <c r="A2090" s="62">
        <f>IF(H2090="","",IF(ISNUMBER(N2090),N2090,I2090))</f>
        <v/>
      </c>
      <c r="B2090">
        <f>IF(H2090="","",U2090)</f>
        <v/>
      </c>
      <c r="C2090">
        <f>IF(H2090="","",IF(P2090="",K2090,INDEX('Students'!$A$2:$A$701,P2090)))</f>
        <v/>
      </c>
      <c r="D2090">
        <f>IF(OR(H2090="",P2090=""),"",INDEX('Students'!$B$2:$B$701,P2090))</f>
        <v/>
      </c>
      <c r="E2090">
        <f>IF(OR(H2090="",P2090=""),"",INDEX('Students'!$C$2:$C$701,P2090))</f>
        <v/>
      </c>
      <c r="F2090" s="48">
        <f>IF(H2090="","",IF(ISNUMBER(O2090),O2090,J2090))</f>
        <v/>
      </c>
      <c r="G2090">
        <f>IF(H2090="","","OneCause")</f>
        <v/>
      </c>
      <c r="H2090">
        <f>IF(AND(I2090="",J2090="",K2090=""),"",IF(NOT(ISNUMBER(O2090)),"Bad amount",IF(O2090&lt;0,"Refund (not counted)",IF(O2090=0,"Zero amount",IF(NOT(ISNUMBER(N2090)),"Bad date",IF(P2090="","NAME NOT ON ROSTER",IF(L2090="","OK",IF(MATCH(L2090,$L$2:$L$3001,0)&lt;ROW()-1,"Duplicate (ignored)","OK"))))))))</f>
        <v/>
      </c>
      <c r="I2090">
        <f>IF(OC_Date=0,"",IF(INDEX('OneCause_Paste'!$A$2090:$AZ$2090,1,OC_Date)="","",INDEX('OneCause_Paste'!$A$2090:$AZ$2090,1,OC_Date)))</f>
        <v/>
      </c>
      <c r="J2090">
        <f>IF(OC_Amt=0,"",IF(INDEX('OneCause_Paste'!$A$2090:$AZ$2090,1,OC_Amt)="","",INDEX('OneCause_Paste'!$A$2090:$AZ$2090,1,OC_Amt)))</f>
        <v/>
      </c>
      <c r="K2090">
        <f>IF(OC_Name=0,"",IF(INDEX('OneCause_Paste'!$A$2090:$AZ$2090,1,OC_Name)="","",INDEX('OneCause_Paste'!$A$2090:$AZ$2090,1,OC_Name)))</f>
        <v/>
      </c>
      <c r="L2090">
        <f>IF(OC_Txn=0,"",IF(INDEX('OneCause_Paste'!$A$2090:$AZ$2090,1,OC_Txn)="","",INDEX('OneCause_Paste'!$A$2090:$AZ$2090,1,OC_Txn)))</f>
        <v/>
      </c>
      <c r="M2090">
        <f>IF(OC_Pay=0,"",IF(INDEX('OneCause_Paste'!$A$2090:$AZ$2090,1,OC_Pay)="","",INDEX('OneCause_Paste'!$A$2090:$AZ$2090,1,OC_Pay)))</f>
        <v/>
      </c>
      <c r="N2090">
        <f>IF(I2090="","",IF(ISNUMBER(I2090),INT(I2090),IFERROR(INT(DATEVALUE(I2090)),IFERROR(INT(VALUE(I2090)),"bad"))))</f>
        <v/>
      </c>
      <c r="O2090">
        <f>IF(J2090="","",IF(ISNUMBER(J2090),ROUND(J2090,2),IFERROR(ROUND(VALUE(SUBSTITUTE(SUBSTITUTE(SUBSTITUTE(J2090,"$",""),",","")," ","")),2),"bad")))</f>
        <v/>
      </c>
      <c r="P2090">
        <f>IF(TRIM(K2090)="","",IFERROR(MATCH(LOWER(TRIM(K2090)),'Students'!$AH$2:$AH$701,0),IFERROR(MATCH(LOWER(TRIM(K2090)),'Students'!$AF$2:$AF$701,0),IFERROR(MATCH(LOWER(TRIM(K2090)),'Students'!$AG$2:$AG$701,0),""))))</f>
        <v/>
      </c>
      <c r="R2090">
        <f>IF(P2090="","",INDEX('Students'!$AD$2:$AD$701,P2090))</f>
        <v/>
      </c>
      <c r="S2090">
        <f>IF(H2090="OK",O2090,0)</f>
        <v/>
      </c>
      <c r="T2090">
        <f>IF(H2090="OK",N2090,"")</f>
        <v/>
      </c>
      <c r="U2090">
        <f>IF(OC_Donor=0,"",IF(INDEX('OneCause_Paste'!$A$2090:$AZ$2090,1,OC_Donor)="","",INDEX('OneCause_Paste'!$A$2090:$AZ$2090,1,OC_Donor)))</f>
        <v/>
      </c>
    </row>
    <row r="2091">
      <c r="A2091" s="62">
        <f>IF(H2091="","",IF(ISNUMBER(N2091),N2091,I2091))</f>
        <v/>
      </c>
      <c r="B2091">
        <f>IF(H2091="","",U2091)</f>
        <v/>
      </c>
      <c r="C2091">
        <f>IF(H2091="","",IF(P2091="",K2091,INDEX('Students'!$A$2:$A$701,P2091)))</f>
        <v/>
      </c>
      <c r="D2091">
        <f>IF(OR(H2091="",P2091=""),"",INDEX('Students'!$B$2:$B$701,P2091))</f>
        <v/>
      </c>
      <c r="E2091">
        <f>IF(OR(H2091="",P2091=""),"",INDEX('Students'!$C$2:$C$701,P2091))</f>
        <v/>
      </c>
      <c r="F2091" s="48">
        <f>IF(H2091="","",IF(ISNUMBER(O2091),O2091,J2091))</f>
        <v/>
      </c>
      <c r="G2091">
        <f>IF(H2091="","","OneCause")</f>
        <v/>
      </c>
      <c r="H2091">
        <f>IF(AND(I2091="",J2091="",K2091=""),"",IF(NOT(ISNUMBER(O2091)),"Bad amount",IF(O2091&lt;0,"Refund (not counted)",IF(O2091=0,"Zero amount",IF(NOT(ISNUMBER(N2091)),"Bad date",IF(P2091="","NAME NOT ON ROSTER",IF(L2091="","OK",IF(MATCH(L2091,$L$2:$L$3001,0)&lt;ROW()-1,"Duplicate (ignored)","OK"))))))))</f>
        <v/>
      </c>
      <c r="I2091">
        <f>IF(OC_Date=0,"",IF(INDEX('OneCause_Paste'!$A$2091:$AZ$2091,1,OC_Date)="","",INDEX('OneCause_Paste'!$A$2091:$AZ$2091,1,OC_Date)))</f>
        <v/>
      </c>
      <c r="J2091">
        <f>IF(OC_Amt=0,"",IF(INDEX('OneCause_Paste'!$A$2091:$AZ$2091,1,OC_Amt)="","",INDEX('OneCause_Paste'!$A$2091:$AZ$2091,1,OC_Amt)))</f>
        <v/>
      </c>
      <c r="K2091">
        <f>IF(OC_Name=0,"",IF(INDEX('OneCause_Paste'!$A$2091:$AZ$2091,1,OC_Name)="","",INDEX('OneCause_Paste'!$A$2091:$AZ$2091,1,OC_Name)))</f>
        <v/>
      </c>
      <c r="L2091">
        <f>IF(OC_Txn=0,"",IF(INDEX('OneCause_Paste'!$A$2091:$AZ$2091,1,OC_Txn)="","",INDEX('OneCause_Paste'!$A$2091:$AZ$2091,1,OC_Txn)))</f>
        <v/>
      </c>
      <c r="M2091">
        <f>IF(OC_Pay=0,"",IF(INDEX('OneCause_Paste'!$A$2091:$AZ$2091,1,OC_Pay)="","",INDEX('OneCause_Paste'!$A$2091:$AZ$2091,1,OC_Pay)))</f>
        <v/>
      </c>
      <c r="N2091">
        <f>IF(I2091="","",IF(ISNUMBER(I2091),INT(I2091),IFERROR(INT(DATEVALUE(I2091)),IFERROR(INT(VALUE(I2091)),"bad"))))</f>
        <v/>
      </c>
      <c r="O2091">
        <f>IF(J2091="","",IF(ISNUMBER(J2091),ROUND(J2091,2),IFERROR(ROUND(VALUE(SUBSTITUTE(SUBSTITUTE(SUBSTITUTE(J2091,"$",""),",","")," ","")),2),"bad")))</f>
        <v/>
      </c>
      <c r="P2091">
        <f>IF(TRIM(K2091)="","",IFERROR(MATCH(LOWER(TRIM(K2091)),'Students'!$AH$2:$AH$701,0),IFERROR(MATCH(LOWER(TRIM(K2091)),'Students'!$AF$2:$AF$701,0),IFERROR(MATCH(LOWER(TRIM(K2091)),'Students'!$AG$2:$AG$701,0),""))))</f>
        <v/>
      </c>
      <c r="R2091">
        <f>IF(P2091="","",INDEX('Students'!$AD$2:$AD$701,P2091))</f>
        <v/>
      </c>
      <c r="S2091">
        <f>IF(H2091="OK",O2091,0)</f>
        <v/>
      </c>
      <c r="T2091">
        <f>IF(H2091="OK",N2091,"")</f>
        <v/>
      </c>
      <c r="U2091">
        <f>IF(OC_Donor=0,"",IF(INDEX('OneCause_Paste'!$A$2091:$AZ$2091,1,OC_Donor)="","",INDEX('OneCause_Paste'!$A$2091:$AZ$2091,1,OC_Donor)))</f>
        <v/>
      </c>
    </row>
    <row r="2092">
      <c r="A2092" s="62">
        <f>IF(H2092="","",IF(ISNUMBER(N2092),N2092,I2092))</f>
        <v/>
      </c>
      <c r="B2092">
        <f>IF(H2092="","",U2092)</f>
        <v/>
      </c>
      <c r="C2092">
        <f>IF(H2092="","",IF(P2092="",K2092,INDEX('Students'!$A$2:$A$701,P2092)))</f>
        <v/>
      </c>
      <c r="D2092">
        <f>IF(OR(H2092="",P2092=""),"",INDEX('Students'!$B$2:$B$701,P2092))</f>
        <v/>
      </c>
      <c r="E2092">
        <f>IF(OR(H2092="",P2092=""),"",INDEX('Students'!$C$2:$C$701,P2092))</f>
        <v/>
      </c>
      <c r="F2092" s="48">
        <f>IF(H2092="","",IF(ISNUMBER(O2092),O2092,J2092))</f>
        <v/>
      </c>
      <c r="G2092">
        <f>IF(H2092="","","OneCause")</f>
        <v/>
      </c>
      <c r="H2092">
        <f>IF(AND(I2092="",J2092="",K2092=""),"",IF(NOT(ISNUMBER(O2092)),"Bad amount",IF(O2092&lt;0,"Refund (not counted)",IF(O2092=0,"Zero amount",IF(NOT(ISNUMBER(N2092)),"Bad date",IF(P2092="","NAME NOT ON ROSTER",IF(L2092="","OK",IF(MATCH(L2092,$L$2:$L$3001,0)&lt;ROW()-1,"Duplicate (ignored)","OK"))))))))</f>
        <v/>
      </c>
      <c r="I2092">
        <f>IF(OC_Date=0,"",IF(INDEX('OneCause_Paste'!$A$2092:$AZ$2092,1,OC_Date)="","",INDEX('OneCause_Paste'!$A$2092:$AZ$2092,1,OC_Date)))</f>
        <v/>
      </c>
      <c r="J2092">
        <f>IF(OC_Amt=0,"",IF(INDEX('OneCause_Paste'!$A$2092:$AZ$2092,1,OC_Amt)="","",INDEX('OneCause_Paste'!$A$2092:$AZ$2092,1,OC_Amt)))</f>
        <v/>
      </c>
      <c r="K2092">
        <f>IF(OC_Name=0,"",IF(INDEX('OneCause_Paste'!$A$2092:$AZ$2092,1,OC_Name)="","",INDEX('OneCause_Paste'!$A$2092:$AZ$2092,1,OC_Name)))</f>
        <v/>
      </c>
      <c r="L2092">
        <f>IF(OC_Txn=0,"",IF(INDEX('OneCause_Paste'!$A$2092:$AZ$2092,1,OC_Txn)="","",INDEX('OneCause_Paste'!$A$2092:$AZ$2092,1,OC_Txn)))</f>
        <v/>
      </c>
      <c r="M2092">
        <f>IF(OC_Pay=0,"",IF(INDEX('OneCause_Paste'!$A$2092:$AZ$2092,1,OC_Pay)="","",INDEX('OneCause_Paste'!$A$2092:$AZ$2092,1,OC_Pay)))</f>
        <v/>
      </c>
      <c r="N2092">
        <f>IF(I2092="","",IF(ISNUMBER(I2092),INT(I2092),IFERROR(INT(DATEVALUE(I2092)),IFERROR(INT(VALUE(I2092)),"bad"))))</f>
        <v/>
      </c>
      <c r="O2092">
        <f>IF(J2092="","",IF(ISNUMBER(J2092),ROUND(J2092,2),IFERROR(ROUND(VALUE(SUBSTITUTE(SUBSTITUTE(SUBSTITUTE(J2092,"$",""),",","")," ","")),2),"bad")))</f>
        <v/>
      </c>
      <c r="P2092">
        <f>IF(TRIM(K2092)="","",IFERROR(MATCH(LOWER(TRIM(K2092)),'Students'!$AH$2:$AH$701,0),IFERROR(MATCH(LOWER(TRIM(K2092)),'Students'!$AF$2:$AF$701,0),IFERROR(MATCH(LOWER(TRIM(K2092)),'Students'!$AG$2:$AG$701,0),""))))</f>
        <v/>
      </c>
      <c r="R2092">
        <f>IF(P2092="","",INDEX('Students'!$AD$2:$AD$701,P2092))</f>
        <v/>
      </c>
      <c r="S2092">
        <f>IF(H2092="OK",O2092,0)</f>
        <v/>
      </c>
      <c r="T2092">
        <f>IF(H2092="OK",N2092,"")</f>
        <v/>
      </c>
      <c r="U2092">
        <f>IF(OC_Donor=0,"",IF(INDEX('OneCause_Paste'!$A$2092:$AZ$2092,1,OC_Donor)="","",INDEX('OneCause_Paste'!$A$2092:$AZ$2092,1,OC_Donor)))</f>
        <v/>
      </c>
    </row>
    <row r="2093">
      <c r="A2093" s="62">
        <f>IF(H2093="","",IF(ISNUMBER(N2093),N2093,I2093))</f>
        <v/>
      </c>
      <c r="B2093">
        <f>IF(H2093="","",U2093)</f>
        <v/>
      </c>
      <c r="C2093">
        <f>IF(H2093="","",IF(P2093="",K2093,INDEX('Students'!$A$2:$A$701,P2093)))</f>
        <v/>
      </c>
      <c r="D2093">
        <f>IF(OR(H2093="",P2093=""),"",INDEX('Students'!$B$2:$B$701,P2093))</f>
        <v/>
      </c>
      <c r="E2093">
        <f>IF(OR(H2093="",P2093=""),"",INDEX('Students'!$C$2:$C$701,P2093))</f>
        <v/>
      </c>
      <c r="F2093" s="48">
        <f>IF(H2093="","",IF(ISNUMBER(O2093),O2093,J2093))</f>
        <v/>
      </c>
      <c r="G2093">
        <f>IF(H2093="","","OneCause")</f>
        <v/>
      </c>
      <c r="H2093">
        <f>IF(AND(I2093="",J2093="",K2093=""),"",IF(NOT(ISNUMBER(O2093)),"Bad amount",IF(O2093&lt;0,"Refund (not counted)",IF(O2093=0,"Zero amount",IF(NOT(ISNUMBER(N2093)),"Bad date",IF(P2093="","NAME NOT ON ROSTER",IF(L2093="","OK",IF(MATCH(L2093,$L$2:$L$3001,0)&lt;ROW()-1,"Duplicate (ignored)","OK"))))))))</f>
        <v/>
      </c>
      <c r="I2093">
        <f>IF(OC_Date=0,"",IF(INDEX('OneCause_Paste'!$A$2093:$AZ$2093,1,OC_Date)="","",INDEX('OneCause_Paste'!$A$2093:$AZ$2093,1,OC_Date)))</f>
        <v/>
      </c>
      <c r="J2093">
        <f>IF(OC_Amt=0,"",IF(INDEX('OneCause_Paste'!$A$2093:$AZ$2093,1,OC_Amt)="","",INDEX('OneCause_Paste'!$A$2093:$AZ$2093,1,OC_Amt)))</f>
        <v/>
      </c>
      <c r="K2093">
        <f>IF(OC_Name=0,"",IF(INDEX('OneCause_Paste'!$A$2093:$AZ$2093,1,OC_Name)="","",INDEX('OneCause_Paste'!$A$2093:$AZ$2093,1,OC_Name)))</f>
        <v/>
      </c>
      <c r="L2093">
        <f>IF(OC_Txn=0,"",IF(INDEX('OneCause_Paste'!$A$2093:$AZ$2093,1,OC_Txn)="","",INDEX('OneCause_Paste'!$A$2093:$AZ$2093,1,OC_Txn)))</f>
        <v/>
      </c>
      <c r="M2093">
        <f>IF(OC_Pay=0,"",IF(INDEX('OneCause_Paste'!$A$2093:$AZ$2093,1,OC_Pay)="","",INDEX('OneCause_Paste'!$A$2093:$AZ$2093,1,OC_Pay)))</f>
        <v/>
      </c>
      <c r="N2093">
        <f>IF(I2093="","",IF(ISNUMBER(I2093),INT(I2093),IFERROR(INT(DATEVALUE(I2093)),IFERROR(INT(VALUE(I2093)),"bad"))))</f>
        <v/>
      </c>
      <c r="O2093">
        <f>IF(J2093="","",IF(ISNUMBER(J2093),ROUND(J2093,2),IFERROR(ROUND(VALUE(SUBSTITUTE(SUBSTITUTE(SUBSTITUTE(J2093,"$",""),",","")," ","")),2),"bad")))</f>
        <v/>
      </c>
      <c r="P2093">
        <f>IF(TRIM(K2093)="","",IFERROR(MATCH(LOWER(TRIM(K2093)),'Students'!$AH$2:$AH$701,0),IFERROR(MATCH(LOWER(TRIM(K2093)),'Students'!$AF$2:$AF$701,0),IFERROR(MATCH(LOWER(TRIM(K2093)),'Students'!$AG$2:$AG$701,0),""))))</f>
        <v/>
      </c>
      <c r="R2093">
        <f>IF(P2093="","",INDEX('Students'!$AD$2:$AD$701,P2093))</f>
        <v/>
      </c>
      <c r="S2093">
        <f>IF(H2093="OK",O2093,0)</f>
        <v/>
      </c>
      <c r="T2093">
        <f>IF(H2093="OK",N2093,"")</f>
        <v/>
      </c>
      <c r="U2093">
        <f>IF(OC_Donor=0,"",IF(INDEX('OneCause_Paste'!$A$2093:$AZ$2093,1,OC_Donor)="","",INDEX('OneCause_Paste'!$A$2093:$AZ$2093,1,OC_Donor)))</f>
        <v/>
      </c>
    </row>
    <row r="2094">
      <c r="A2094" s="62">
        <f>IF(H2094="","",IF(ISNUMBER(N2094),N2094,I2094))</f>
        <v/>
      </c>
      <c r="B2094">
        <f>IF(H2094="","",U2094)</f>
        <v/>
      </c>
      <c r="C2094">
        <f>IF(H2094="","",IF(P2094="",K2094,INDEX('Students'!$A$2:$A$701,P2094)))</f>
        <v/>
      </c>
      <c r="D2094">
        <f>IF(OR(H2094="",P2094=""),"",INDEX('Students'!$B$2:$B$701,P2094))</f>
        <v/>
      </c>
      <c r="E2094">
        <f>IF(OR(H2094="",P2094=""),"",INDEX('Students'!$C$2:$C$701,P2094))</f>
        <v/>
      </c>
      <c r="F2094" s="48">
        <f>IF(H2094="","",IF(ISNUMBER(O2094),O2094,J2094))</f>
        <v/>
      </c>
      <c r="G2094">
        <f>IF(H2094="","","OneCause")</f>
        <v/>
      </c>
      <c r="H2094">
        <f>IF(AND(I2094="",J2094="",K2094=""),"",IF(NOT(ISNUMBER(O2094)),"Bad amount",IF(O2094&lt;0,"Refund (not counted)",IF(O2094=0,"Zero amount",IF(NOT(ISNUMBER(N2094)),"Bad date",IF(P2094="","NAME NOT ON ROSTER",IF(L2094="","OK",IF(MATCH(L2094,$L$2:$L$3001,0)&lt;ROW()-1,"Duplicate (ignored)","OK"))))))))</f>
        <v/>
      </c>
      <c r="I2094">
        <f>IF(OC_Date=0,"",IF(INDEX('OneCause_Paste'!$A$2094:$AZ$2094,1,OC_Date)="","",INDEX('OneCause_Paste'!$A$2094:$AZ$2094,1,OC_Date)))</f>
        <v/>
      </c>
      <c r="J2094">
        <f>IF(OC_Amt=0,"",IF(INDEX('OneCause_Paste'!$A$2094:$AZ$2094,1,OC_Amt)="","",INDEX('OneCause_Paste'!$A$2094:$AZ$2094,1,OC_Amt)))</f>
        <v/>
      </c>
      <c r="K2094">
        <f>IF(OC_Name=0,"",IF(INDEX('OneCause_Paste'!$A$2094:$AZ$2094,1,OC_Name)="","",INDEX('OneCause_Paste'!$A$2094:$AZ$2094,1,OC_Name)))</f>
        <v/>
      </c>
      <c r="L2094">
        <f>IF(OC_Txn=0,"",IF(INDEX('OneCause_Paste'!$A$2094:$AZ$2094,1,OC_Txn)="","",INDEX('OneCause_Paste'!$A$2094:$AZ$2094,1,OC_Txn)))</f>
        <v/>
      </c>
      <c r="M2094">
        <f>IF(OC_Pay=0,"",IF(INDEX('OneCause_Paste'!$A$2094:$AZ$2094,1,OC_Pay)="","",INDEX('OneCause_Paste'!$A$2094:$AZ$2094,1,OC_Pay)))</f>
        <v/>
      </c>
      <c r="N2094">
        <f>IF(I2094="","",IF(ISNUMBER(I2094),INT(I2094),IFERROR(INT(DATEVALUE(I2094)),IFERROR(INT(VALUE(I2094)),"bad"))))</f>
        <v/>
      </c>
      <c r="O2094">
        <f>IF(J2094="","",IF(ISNUMBER(J2094),ROUND(J2094,2),IFERROR(ROUND(VALUE(SUBSTITUTE(SUBSTITUTE(SUBSTITUTE(J2094,"$",""),",","")," ","")),2),"bad")))</f>
        <v/>
      </c>
      <c r="P2094">
        <f>IF(TRIM(K2094)="","",IFERROR(MATCH(LOWER(TRIM(K2094)),'Students'!$AH$2:$AH$701,0),IFERROR(MATCH(LOWER(TRIM(K2094)),'Students'!$AF$2:$AF$701,0),IFERROR(MATCH(LOWER(TRIM(K2094)),'Students'!$AG$2:$AG$701,0),""))))</f>
        <v/>
      </c>
      <c r="R2094">
        <f>IF(P2094="","",INDEX('Students'!$AD$2:$AD$701,P2094))</f>
        <v/>
      </c>
      <c r="S2094">
        <f>IF(H2094="OK",O2094,0)</f>
        <v/>
      </c>
      <c r="T2094">
        <f>IF(H2094="OK",N2094,"")</f>
        <v/>
      </c>
      <c r="U2094">
        <f>IF(OC_Donor=0,"",IF(INDEX('OneCause_Paste'!$A$2094:$AZ$2094,1,OC_Donor)="","",INDEX('OneCause_Paste'!$A$2094:$AZ$2094,1,OC_Donor)))</f>
        <v/>
      </c>
    </row>
    <row r="2095">
      <c r="A2095" s="62">
        <f>IF(H2095="","",IF(ISNUMBER(N2095),N2095,I2095))</f>
        <v/>
      </c>
      <c r="B2095">
        <f>IF(H2095="","",U2095)</f>
        <v/>
      </c>
      <c r="C2095">
        <f>IF(H2095="","",IF(P2095="",K2095,INDEX('Students'!$A$2:$A$701,P2095)))</f>
        <v/>
      </c>
      <c r="D2095">
        <f>IF(OR(H2095="",P2095=""),"",INDEX('Students'!$B$2:$B$701,P2095))</f>
        <v/>
      </c>
      <c r="E2095">
        <f>IF(OR(H2095="",P2095=""),"",INDEX('Students'!$C$2:$C$701,P2095))</f>
        <v/>
      </c>
      <c r="F2095" s="48">
        <f>IF(H2095="","",IF(ISNUMBER(O2095),O2095,J2095))</f>
        <v/>
      </c>
      <c r="G2095">
        <f>IF(H2095="","","OneCause")</f>
        <v/>
      </c>
      <c r="H2095">
        <f>IF(AND(I2095="",J2095="",K2095=""),"",IF(NOT(ISNUMBER(O2095)),"Bad amount",IF(O2095&lt;0,"Refund (not counted)",IF(O2095=0,"Zero amount",IF(NOT(ISNUMBER(N2095)),"Bad date",IF(P2095="","NAME NOT ON ROSTER",IF(L2095="","OK",IF(MATCH(L2095,$L$2:$L$3001,0)&lt;ROW()-1,"Duplicate (ignored)","OK"))))))))</f>
        <v/>
      </c>
      <c r="I2095">
        <f>IF(OC_Date=0,"",IF(INDEX('OneCause_Paste'!$A$2095:$AZ$2095,1,OC_Date)="","",INDEX('OneCause_Paste'!$A$2095:$AZ$2095,1,OC_Date)))</f>
        <v/>
      </c>
      <c r="J2095">
        <f>IF(OC_Amt=0,"",IF(INDEX('OneCause_Paste'!$A$2095:$AZ$2095,1,OC_Amt)="","",INDEX('OneCause_Paste'!$A$2095:$AZ$2095,1,OC_Amt)))</f>
        <v/>
      </c>
      <c r="K2095">
        <f>IF(OC_Name=0,"",IF(INDEX('OneCause_Paste'!$A$2095:$AZ$2095,1,OC_Name)="","",INDEX('OneCause_Paste'!$A$2095:$AZ$2095,1,OC_Name)))</f>
        <v/>
      </c>
      <c r="L2095">
        <f>IF(OC_Txn=0,"",IF(INDEX('OneCause_Paste'!$A$2095:$AZ$2095,1,OC_Txn)="","",INDEX('OneCause_Paste'!$A$2095:$AZ$2095,1,OC_Txn)))</f>
        <v/>
      </c>
      <c r="M2095">
        <f>IF(OC_Pay=0,"",IF(INDEX('OneCause_Paste'!$A$2095:$AZ$2095,1,OC_Pay)="","",INDEX('OneCause_Paste'!$A$2095:$AZ$2095,1,OC_Pay)))</f>
        <v/>
      </c>
      <c r="N2095">
        <f>IF(I2095="","",IF(ISNUMBER(I2095),INT(I2095),IFERROR(INT(DATEVALUE(I2095)),IFERROR(INT(VALUE(I2095)),"bad"))))</f>
        <v/>
      </c>
      <c r="O2095">
        <f>IF(J2095="","",IF(ISNUMBER(J2095),ROUND(J2095,2),IFERROR(ROUND(VALUE(SUBSTITUTE(SUBSTITUTE(SUBSTITUTE(J2095,"$",""),",","")," ","")),2),"bad")))</f>
        <v/>
      </c>
      <c r="P2095">
        <f>IF(TRIM(K2095)="","",IFERROR(MATCH(LOWER(TRIM(K2095)),'Students'!$AH$2:$AH$701,0),IFERROR(MATCH(LOWER(TRIM(K2095)),'Students'!$AF$2:$AF$701,0),IFERROR(MATCH(LOWER(TRIM(K2095)),'Students'!$AG$2:$AG$701,0),""))))</f>
        <v/>
      </c>
      <c r="R2095">
        <f>IF(P2095="","",INDEX('Students'!$AD$2:$AD$701,P2095))</f>
        <v/>
      </c>
      <c r="S2095">
        <f>IF(H2095="OK",O2095,0)</f>
        <v/>
      </c>
      <c r="T2095">
        <f>IF(H2095="OK",N2095,"")</f>
        <v/>
      </c>
      <c r="U2095">
        <f>IF(OC_Donor=0,"",IF(INDEX('OneCause_Paste'!$A$2095:$AZ$2095,1,OC_Donor)="","",INDEX('OneCause_Paste'!$A$2095:$AZ$2095,1,OC_Donor)))</f>
        <v/>
      </c>
    </row>
    <row r="2096">
      <c r="A2096" s="62">
        <f>IF(H2096="","",IF(ISNUMBER(N2096),N2096,I2096))</f>
        <v/>
      </c>
      <c r="B2096">
        <f>IF(H2096="","",U2096)</f>
        <v/>
      </c>
      <c r="C2096">
        <f>IF(H2096="","",IF(P2096="",K2096,INDEX('Students'!$A$2:$A$701,P2096)))</f>
        <v/>
      </c>
      <c r="D2096">
        <f>IF(OR(H2096="",P2096=""),"",INDEX('Students'!$B$2:$B$701,P2096))</f>
        <v/>
      </c>
      <c r="E2096">
        <f>IF(OR(H2096="",P2096=""),"",INDEX('Students'!$C$2:$C$701,P2096))</f>
        <v/>
      </c>
      <c r="F2096" s="48">
        <f>IF(H2096="","",IF(ISNUMBER(O2096),O2096,J2096))</f>
        <v/>
      </c>
      <c r="G2096">
        <f>IF(H2096="","","OneCause")</f>
        <v/>
      </c>
      <c r="H2096">
        <f>IF(AND(I2096="",J2096="",K2096=""),"",IF(NOT(ISNUMBER(O2096)),"Bad amount",IF(O2096&lt;0,"Refund (not counted)",IF(O2096=0,"Zero amount",IF(NOT(ISNUMBER(N2096)),"Bad date",IF(P2096="","NAME NOT ON ROSTER",IF(L2096="","OK",IF(MATCH(L2096,$L$2:$L$3001,0)&lt;ROW()-1,"Duplicate (ignored)","OK"))))))))</f>
        <v/>
      </c>
      <c r="I2096">
        <f>IF(OC_Date=0,"",IF(INDEX('OneCause_Paste'!$A$2096:$AZ$2096,1,OC_Date)="","",INDEX('OneCause_Paste'!$A$2096:$AZ$2096,1,OC_Date)))</f>
        <v/>
      </c>
      <c r="J2096">
        <f>IF(OC_Amt=0,"",IF(INDEX('OneCause_Paste'!$A$2096:$AZ$2096,1,OC_Amt)="","",INDEX('OneCause_Paste'!$A$2096:$AZ$2096,1,OC_Amt)))</f>
        <v/>
      </c>
      <c r="K2096">
        <f>IF(OC_Name=0,"",IF(INDEX('OneCause_Paste'!$A$2096:$AZ$2096,1,OC_Name)="","",INDEX('OneCause_Paste'!$A$2096:$AZ$2096,1,OC_Name)))</f>
        <v/>
      </c>
      <c r="L2096">
        <f>IF(OC_Txn=0,"",IF(INDEX('OneCause_Paste'!$A$2096:$AZ$2096,1,OC_Txn)="","",INDEX('OneCause_Paste'!$A$2096:$AZ$2096,1,OC_Txn)))</f>
        <v/>
      </c>
      <c r="M2096">
        <f>IF(OC_Pay=0,"",IF(INDEX('OneCause_Paste'!$A$2096:$AZ$2096,1,OC_Pay)="","",INDEX('OneCause_Paste'!$A$2096:$AZ$2096,1,OC_Pay)))</f>
        <v/>
      </c>
      <c r="N2096">
        <f>IF(I2096="","",IF(ISNUMBER(I2096),INT(I2096),IFERROR(INT(DATEVALUE(I2096)),IFERROR(INT(VALUE(I2096)),"bad"))))</f>
        <v/>
      </c>
      <c r="O2096">
        <f>IF(J2096="","",IF(ISNUMBER(J2096),ROUND(J2096,2),IFERROR(ROUND(VALUE(SUBSTITUTE(SUBSTITUTE(SUBSTITUTE(J2096,"$",""),",","")," ","")),2),"bad")))</f>
        <v/>
      </c>
      <c r="P2096">
        <f>IF(TRIM(K2096)="","",IFERROR(MATCH(LOWER(TRIM(K2096)),'Students'!$AH$2:$AH$701,0),IFERROR(MATCH(LOWER(TRIM(K2096)),'Students'!$AF$2:$AF$701,0),IFERROR(MATCH(LOWER(TRIM(K2096)),'Students'!$AG$2:$AG$701,0),""))))</f>
        <v/>
      </c>
      <c r="R2096">
        <f>IF(P2096="","",INDEX('Students'!$AD$2:$AD$701,P2096))</f>
        <v/>
      </c>
      <c r="S2096">
        <f>IF(H2096="OK",O2096,0)</f>
        <v/>
      </c>
      <c r="T2096">
        <f>IF(H2096="OK",N2096,"")</f>
        <v/>
      </c>
      <c r="U2096">
        <f>IF(OC_Donor=0,"",IF(INDEX('OneCause_Paste'!$A$2096:$AZ$2096,1,OC_Donor)="","",INDEX('OneCause_Paste'!$A$2096:$AZ$2096,1,OC_Donor)))</f>
        <v/>
      </c>
    </row>
    <row r="2097">
      <c r="A2097" s="62">
        <f>IF(H2097="","",IF(ISNUMBER(N2097),N2097,I2097))</f>
        <v/>
      </c>
      <c r="B2097">
        <f>IF(H2097="","",U2097)</f>
        <v/>
      </c>
      <c r="C2097">
        <f>IF(H2097="","",IF(P2097="",K2097,INDEX('Students'!$A$2:$A$701,P2097)))</f>
        <v/>
      </c>
      <c r="D2097">
        <f>IF(OR(H2097="",P2097=""),"",INDEX('Students'!$B$2:$B$701,P2097))</f>
        <v/>
      </c>
      <c r="E2097">
        <f>IF(OR(H2097="",P2097=""),"",INDEX('Students'!$C$2:$C$701,P2097))</f>
        <v/>
      </c>
      <c r="F2097" s="48">
        <f>IF(H2097="","",IF(ISNUMBER(O2097),O2097,J2097))</f>
        <v/>
      </c>
      <c r="G2097">
        <f>IF(H2097="","","OneCause")</f>
        <v/>
      </c>
      <c r="H2097">
        <f>IF(AND(I2097="",J2097="",K2097=""),"",IF(NOT(ISNUMBER(O2097)),"Bad amount",IF(O2097&lt;0,"Refund (not counted)",IF(O2097=0,"Zero amount",IF(NOT(ISNUMBER(N2097)),"Bad date",IF(P2097="","NAME NOT ON ROSTER",IF(L2097="","OK",IF(MATCH(L2097,$L$2:$L$3001,0)&lt;ROW()-1,"Duplicate (ignored)","OK"))))))))</f>
        <v/>
      </c>
      <c r="I2097">
        <f>IF(OC_Date=0,"",IF(INDEX('OneCause_Paste'!$A$2097:$AZ$2097,1,OC_Date)="","",INDEX('OneCause_Paste'!$A$2097:$AZ$2097,1,OC_Date)))</f>
        <v/>
      </c>
      <c r="J2097">
        <f>IF(OC_Amt=0,"",IF(INDEX('OneCause_Paste'!$A$2097:$AZ$2097,1,OC_Amt)="","",INDEX('OneCause_Paste'!$A$2097:$AZ$2097,1,OC_Amt)))</f>
        <v/>
      </c>
      <c r="K2097">
        <f>IF(OC_Name=0,"",IF(INDEX('OneCause_Paste'!$A$2097:$AZ$2097,1,OC_Name)="","",INDEX('OneCause_Paste'!$A$2097:$AZ$2097,1,OC_Name)))</f>
        <v/>
      </c>
      <c r="L2097">
        <f>IF(OC_Txn=0,"",IF(INDEX('OneCause_Paste'!$A$2097:$AZ$2097,1,OC_Txn)="","",INDEX('OneCause_Paste'!$A$2097:$AZ$2097,1,OC_Txn)))</f>
        <v/>
      </c>
      <c r="M2097">
        <f>IF(OC_Pay=0,"",IF(INDEX('OneCause_Paste'!$A$2097:$AZ$2097,1,OC_Pay)="","",INDEX('OneCause_Paste'!$A$2097:$AZ$2097,1,OC_Pay)))</f>
        <v/>
      </c>
      <c r="N2097">
        <f>IF(I2097="","",IF(ISNUMBER(I2097),INT(I2097),IFERROR(INT(DATEVALUE(I2097)),IFERROR(INT(VALUE(I2097)),"bad"))))</f>
        <v/>
      </c>
      <c r="O2097">
        <f>IF(J2097="","",IF(ISNUMBER(J2097),ROUND(J2097,2),IFERROR(ROUND(VALUE(SUBSTITUTE(SUBSTITUTE(SUBSTITUTE(J2097,"$",""),",","")," ","")),2),"bad")))</f>
        <v/>
      </c>
      <c r="P2097">
        <f>IF(TRIM(K2097)="","",IFERROR(MATCH(LOWER(TRIM(K2097)),'Students'!$AH$2:$AH$701,0),IFERROR(MATCH(LOWER(TRIM(K2097)),'Students'!$AF$2:$AF$701,0),IFERROR(MATCH(LOWER(TRIM(K2097)),'Students'!$AG$2:$AG$701,0),""))))</f>
        <v/>
      </c>
      <c r="R2097">
        <f>IF(P2097="","",INDEX('Students'!$AD$2:$AD$701,P2097))</f>
        <v/>
      </c>
      <c r="S2097">
        <f>IF(H2097="OK",O2097,0)</f>
        <v/>
      </c>
      <c r="T2097">
        <f>IF(H2097="OK",N2097,"")</f>
        <v/>
      </c>
      <c r="U2097">
        <f>IF(OC_Donor=0,"",IF(INDEX('OneCause_Paste'!$A$2097:$AZ$2097,1,OC_Donor)="","",INDEX('OneCause_Paste'!$A$2097:$AZ$2097,1,OC_Donor)))</f>
        <v/>
      </c>
    </row>
    <row r="2098">
      <c r="A2098" s="62">
        <f>IF(H2098="","",IF(ISNUMBER(N2098),N2098,I2098))</f>
        <v/>
      </c>
      <c r="B2098">
        <f>IF(H2098="","",U2098)</f>
        <v/>
      </c>
      <c r="C2098">
        <f>IF(H2098="","",IF(P2098="",K2098,INDEX('Students'!$A$2:$A$701,P2098)))</f>
        <v/>
      </c>
      <c r="D2098">
        <f>IF(OR(H2098="",P2098=""),"",INDEX('Students'!$B$2:$B$701,P2098))</f>
        <v/>
      </c>
      <c r="E2098">
        <f>IF(OR(H2098="",P2098=""),"",INDEX('Students'!$C$2:$C$701,P2098))</f>
        <v/>
      </c>
      <c r="F2098" s="48">
        <f>IF(H2098="","",IF(ISNUMBER(O2098),O2098,J2098))</f>
        <v/>
      </c>
      <c r="G2098">
        <f>IF(H2098="","","OneCause")</f>
        <v/>
      </c>
      <c r="H2098">
        <f>IF(AND(I2098="",J2098="",K2098=""),"",IF(NOT(ISNUMBER(O2098)),"Bad amount",IF(O2098&lt;0,"Refund (not counted)",IF(O2098=0,"Zero amount",IF(NOT(ISNUMBER(N2098)),"Bad date",IF(P2098="","NAME NOT ON ROSTER",IF(L2098="","OK",IF(MATCH(L2098,$L$2:$L$3001,0)&lt;ROW()-1,"Duplicate (ignored)","OK"))))))))</f>
        <v/>
      </c>
      <c r="I2098">
        <f>IF(OC_Date=0,"",IF(INDEX('OneCause_Paste'!$A$2098:$AZ$2098,1,OC_Date)="","",INDEX('OneCause_Paste'!$A$2098:$AZ$2098,1,OC_Date)))</f>
        <v/>
      </c>
      <c r="J2098">
        <f>IF(OC_Amt=0,"",IF(INDEX('OneCause_Paste'!$A$2098:$AZ$2098,1,OC_Amt)="","",INDEX('OneCause_Paste'!$A$2098:$AZ$2098,1,OC_Amt)))</f>
        <v/>
      </c>
      <c r="K2098">
        <f>IF(OC_Name=0,"",IF(INDEX('OneCause_Paste'!$A$2098:$AZ$2098,1,OC_Name)="","",INDEX('OneCause_Paste'!$A$2098:$AZ$2098,1,OC_Name)))</f>
        <v/>
      </c>
      <c r="L2098">
        <f>IF(OC_Txn=0,"",IF(INDEX('OneCause_Paste'!$A$2098:$AZ$2098,1,OC_Txn)="","",INDEX('OneCause_Paste'!$A$2098:$AZ$2098,1,OC_Txn)))</f>
        <v/>
      </c>
      <c r="M2098">
        <f>IF(OC_Pay=0,"",IF(INDEX('OneCause_Paste'!$A$2098:$AZ$2098,1,OC_Pay)="","",INDEX('OneCause_Paste'!$A$2098:$AZ$2098,1,OC_Pay)))</f>
        <v/>
      </c>
      <c r="N2098">
        <f>IF(I2098="","",IF(ISNUMBER(I2098),INT(I2098),IFERROR(INT(DATEVALUE(I2098)),IFERROR(INT(VALUE(I2098)),"bad"))))</f>
        <v/>
      </c>
      <c r="O2098">
        <f>IF(J2098="","",IF(ISNUMBER(J2098),ROUND(J2098,2),IFERROR(ROUND(VALUE(SUBSTITUTE(SUBSTITUTE(SUBSTITUTE(J2098,"$",""),",","")," ","")),2),"bad")))</f>
        <v/>
      </c>
      <c r="P2098">
        <f>IF(TRIM(K2098)="","",IFERROR(MATCH(LOWER(TRIM(K2098)),'Students'!$AH$2:$AH$701,0),IFERROR(MATCH(LOWER(TRIM(K2098)),'Students'!$AF$2:$AF$701,0),IFERROR(MATCH(LOWER(TRIM(K2098)),'Students'!$AG$2:$AG$701,0),""))))</f>
        <v/>
      </c>
      <c r="R2098">
        <f>IF(P2098="","",INDEX('Students'!$AD$2:$AD$701,P2098))</f>
        <v/>
      </c>
      <c r="S2098">
        <f>IF(H2098="OK",O2098,0)</f>
        <v/>
      </c>
      <c r="T2098">
        <f>IF(H2098="OK",N2098,"")</f>
        <v/>
      </c>
      <c r="U2098">
        <f>IF(OC_Donor=0,"",IF(INDEX('OneCause_Paste'!$A$2098:$AZ$2098,1,OC_Donor)="","",INDEX('OneCause_Paste'!$A$2098:$AZ$2098,1,OC_Donor)))</f>
        <v/>
      </c>
    </row>
    <row r="2099">
      <c r="A2099" s="62">
        <f>IF(H2099="","",IF(ISNUMBER(N2099),N2099,I2099))</f>
        <v/>
      </c>
      <c r="B2099">
        <f>IF(H2099="","",U2099)</f>
        <v/>
      </c>
      <c r="C2099">
        <f>IF(H2099="","",IF(P2099="",K2099,INDEX('Students'!$A$2:$A$701,P2099)))</f>
        <v/>
      </c>
      <c r="D2099">
        <f>IF(OR(H2099="",P2099=""),"",INDEX('Students'!$B$2:$B$701,P2099))</f>
        <v/>
      </c>
      <c r="E2099">
        <f>IF(OR(H2099="",P2099=""),"",INDEX('Students'!$C$2:$C$701,P2099))</f>
        <v/>
      </c>
      <c r="F2099" s="48">
        <f>IF(H2099="","",IF(ISNUMBER(O2099),O2099,J2099))</f>
        <v/>
      </c>
      <c r="G2099">
        <f>IF(H2099="","","OneCause")</f>
        <v/>
      </c>
      <c r="H2099">
        <f>IF(AND(I2099="",J2099="",K2099=""),"",IF(NOT(ISNUMBER(O2099)),"Bad amount",IF(O2099&lt;0,"Refund (not counted)",IF(O2099=0,"Zero amount",IF(NOT(ISNUMBER(N2099)),"Bad date",IF(P2099="","NAME NOT ON ROSTER",IF(L2099="","OK",IF(MATCH(L2099,$L$2:$L$3001,0)&lt;ROW()-1,"Duplicate (ignored)","OK"))))))))</f>
        <v/>
      </c>
      <c r="I2099">
        <f>IF(OC_Date=0,"",IF(INDEX('OneCause_Paste'!$A$2099:$AZ$2099,1,OC_Date)="","",INDEX('OneCause_Paste'!$A$2099:$AZ$2099,1,OC_Date)))</f>
        <v/>
      </c>
      <c r="J2099">
        <f>IF(OC_Amt=0,"",IF(INDEX('OneCause_Paste'!$A$2099:$AZ$2099,1,OC_Amt)="","",INDEX('OneCause_Paste'!$A$2099:$AZ$2099,1,OC_Amt)))</f>
        <v/>
      </c>
      <c r="K2099">
        <f>IF(OC_Name=0,"",IF(INDEX('OneCause_Paste'!$A$2099:$AZ$2099,1,OC_Name)="","",INDEX('OneCause_Paste'!$A$2099:$AZ$2099,1,OC_Name)))</f>
        <v/>
      </c>
      <c r="L2099">
        <f>IF(OC_Txn=0,"",IF(INDEX('OneCause_Paste'!$A$2099:$AZ$2099,1,OC_Txn)="","",INDEX('OneCause_Paste'!$A$2099:$AZ$2099,1,OC_Txn)))</f>
        <v/>
      </c>
      <c r="M2099">
        <f>IF(OC_Pay=0,"",IF(INDEX('OneCause_Paste'!$A$2099:$AZ$2099,1,OC_Pay)="","",INDEX('OneCause_Paste'!$A$2099:$AZ$2099,1,OC_Pay)))</f>
        <v/>
      </c>
      <c r="N2099">
        <f>IF(I2099="","",IF(ISNUMBER(I2099),INT(I2099),IFERROR(INT(DATEVALUE(I2099)),IFERROR(INT(VALUE(I2099)),"bad"))))</f>
        <v/>
      </c>
      <c r="O2099">
        <f>IF(J2099="","",IF(ISNUMBER(J2099),ROUND(J2099,2),IFERROR(ROUND(VALUE(SUBSTITUTE(SUBSTITUTE(SUBSTITUTE(J2099,"$",""),",","")," ","")),2),"bad")))</f>
        <v/>
      </c>
      <c r="P2099">
        <f>IF(TRIM(K2099)="","",IFERROR(MATCH(LOWER(TRIM(K2099)),'Students'!$AH$2:$AH$701,0),IFERROR(MATCH(LOWER(TRIM(K2099)),'Students'!$AF$2:$AF$701,0),IFERROR(MATCH(LOWER(TRIM(K2099)),'Students'!$AG$2:$AG$701,0),""))))</f>
        <v/>
      </c>
      <c r="R2099">
        <f>IF(P2099="","",INDEX('Students'!$AD$2:$AD$701,P2099))</f>
        <v/>
      </c>
      <c r="S2099">
        <f>IF(H2099="OK",O2099,0)</f>
        <v/>
      </c>
      <c r="T2099">
        <f>IF(H2099="OK",N2099,"")</f>
        <v/>
      </c>
      <c r="U2099">
        <f>IF(OC_Donor=0,"",IF(INDEX('OneCause_Paste'!$A$2099:$AZ$2099,1,OC_Donor)="","",INDEX('OneCause_Paste'!$A$2099:$AZ$2099,1,OC_Donor)))</f>
        <v/>
      </c>
    </row>
    <row r="2100">
      <c r="A2100" s="62">
        <f>IF(H2100="","",IF(ISNUMBER(N2100),N2100,I2100))</f>
        <v/>
      </c>
      <c r="B2100">
        <f>IF(H2100="","",U2100)</f>
        <v/>
      </c>
      <c r="C2100">
        <f>IF(H2100="","",IF(P2100="",K2100,INDEX('Students'!$A$2:$A$701,P2100)))</f>
        <v/>
      </c>
      <c r="D2100">
        <f>IF(OR(H2100="",P2100=""),"",INDEX('Students'!$B$2:$B$701,P2100))</f>
        <v/>
      </c>
      <c r="E2100">
        <f>IF(OR(H2100="",P2100=""),"",INDEX('Students'!$C$2:$C$701,P2100))</f>
        <v/>
      </c>
      <c r="F2100" s="48">
        <f>IF(H2100="","",IF(ISNUMBER(O2100),O2100,J2100))</f>
        <v/>
      </c>
      <c r="G2100">
        <f>IF(H2100="","","OneCause")</f>
        <v/>
      </c>
      <c r="H2100">
        <f>IF(AND(I2100="",J2100="",K2100=""),"",IF(NOT(ISNUMBER(O2100)),"Bad amount",IF(O2100&lt;0,"Refund (not counted)",IF(O2100=0,"Zero amount",IF(NOT(ISNUMBER(N2100)),"Bad date",IF(P2100="","NAME NOT ON ROSTER",IF(L2100="","OK",IF(MATCH(L2100,$L$2:$L$3001,0)&lt;ROW()-1,"Duplicate (ignored)","OK"))))))))</f>
        <v/>
      </c>
      <c r="I2100">
        <f>IF(OC_Date=0,"",IF(INDEX('OneCause_Paste'!$A$2100:$AZ$2100,1,OC_Date)="","",INDEX('OneCause_Paste'!$A$2100:$AZ$2100,1,OC_Date)))</f>
        <v/>
      </c>
      <c r="J2100">
        <f>IF(OC_Amt=0,"",IF(INDEX('OneCause_Paste'!$A$2100:$AZ$2100,1,OC_Amt)="","",INDEX('OneCause_Paste'!$A$2100:$AZ$2100,1,OC_Amt)))</f>
        <v/>
      </c>
      <c r="K2100">
        <f>IF(OC_Name=0,"",IF(INDEX('OneCause_Paste'!$A$2100:$AZ$2100,1,OC_Name)="","",INDEX('OneCause_Paste'!$A$2100:$AZ$2100,1,OC_Name)))</f>
        <v/>
      </c>
      <c r="L2100">
        <f>IF(OC_Txn=0,"",IF(INDEX('OneCause_Paste'!$A$2100:$AZ$2100,1,OC_Txn)="","",INDEX('OneCause_Paste'!$A$2100:$AZ$2100,1,OC_Txn)))</f>
        <v/>
      </c>
      <c r="M2100">
        <f>IF(OC_Pay=0,"",IF(INDEX('OneCause_Paste'!$A$2100:$AZ$2100,1,OC_Pay)="","",INDEX('OneCause_Paste'!$A$2100:$AZ$2100,1,OC_Pay)))</f>
        <v/>
      </c>
      <c r="N2100">
        <f>IF(I2100="","",IF(ISNUMBER(I2100),INT(I2100),IFERROR(INT(DATEVALUE(I2100)),IFERROR(INT(VALUE(I2100)),"bad"))))</f>
        <v/>
      </c>
      <c r="O2100">
        <f>IF(J2100="","",IF(ISNUMBER(J2100),ROUND(J2100,2),IFERROR(ROUND(VALUE(SUBSTITUTE(SUBSTITUTE(SUBSTITUTE(J2100,"$",""),",","")," ","")),2),"bad")))</f>
        <v/>
      </c>
      <c r="P2100">
        <f>IF(TRIM(K2100)="","",IFERROR(MATCH(LOWER(TRIM(K2100)),'Students'!$AH$2:$AH$701,0),IFERROR(MATCH(LOWER(TRIM(K2100)),'Students'!$AF$2:$AF$701,0),IFERROR(MATCH(LOWER(TRIM(K2100)),'Students'!$AG$2:$AG$701,0),""))))</f>
        <v/>
      </c>
      <c r="R2100">
        <f>IF(P2100="","",INDEX('Students'!$AD$2:$AD$701,P2100))</f>
        <v/>
      </c>
      <c r="S2100">
        <f>IF(H2100="OK",O2100,0)</f>
        <v/>
      </c>
      <c r="T2100">
        <f>IF(H2100="OK",N2100,"")</f>
        <v/>
      </c>
      <c r="U2100">
        <f>IF(OC_Donor=0,"",IF(INDEX('OneCause_Paste'!$A$2100:$AZ$2100,1,OC_Donor)="","",INDEX('OneCause_Paste'!$A$2100:$AZ$2100,1,OC_Donor)))</f>
        <v/>
      </c>
    </row>
    <row r="2101">
      <c r="A2101" s="62">
        <f>IF(H2101="","",IF(ISNUMBER(N2101),N2101,I2101))</f>
        <v/>
      </c>
      <c r="B2101">
        <f>IF(H2101="","",U2101)</f>
        <v/>
      </c>
      <c r="C2101">
        <f>IF(H2101="","",IF(P2101="",K2101,INDEX('Students'!$A$2:$A$701,P2101)))</f>
        <v/>
      </c>
      <c r="D2101">
        <f>IF(OR(H2101="",P2101=""),"",INDEX('Students'!$B$2:$B$701,P2101))</f>
        <v/>
      </c>
      <c r="E2101">
        <f>IF(OR(H2101="",P2101=""),"",INDEX('Students'!$C$2:$C$701,P2101))</f>
        <v/>
      </c>
      <c r="F2101" s="48">
        <f>IF(H2101="","",IF(ISNUMBER(O2101),O2101,J2101))</f>
        <v/>
      </c>
      <c r="G2101">
        <f>IF(H2101="","","OneCause")</f>
        <v/>
      </c>
      <c r="H2101">
        <f>IF(AND(I2101="",J2101="",K2101=""),"",IF(NOT(ISNUMBER(O2101)),"Bad amount",IF(O2101&lt;0,"Refund (not counted)",IF(O2101=0,"Zero amount",IF(NOT(ISNUMBER(N2101)),"Bad date",IF(P2101="","NAME NOT ON ROSTER",IF(L2101="","OK",IF(MATCH(L2101,$L$2:$L$3001,0)&lt;ROW()-1,"Duplicate (ignored)","OK"))))))))</f>
        <v/>
      </c>
      <c r="I2101">
        <f>IF(OC_Date=0,"",IF(INDEX('OneCause_Paste'!$A$2101:$AZ$2101,1,OC_Date)="","",INDEX('OneCause_Paste'!$A$2101:$AZ$2101,1,OC_Date)))</f>
        <v/>
      </c>
      <c r="J2101">
        <f>IF(OC_Amt=0,"",IF(INDEX('OneCause_Paste'!$A$2101:$AZ$2101,1,OC_Amt)="","",INDEX('OneCause_Paste'!$A$2101:$AZ$2101,1,OC_Amt)))</f>
        <v/>
      </c>
      <c r="K2101">
        <f>IF(OC_Name=0,"",IF(INDEX('OneCause_Paste'!$A$2101:$AZ$2101,1,OC_Name)="","",INDEX('OneCause_Paste'!$A$2101:$AZ$2101,1,OC_Name)))</f>
        <v/>
      </c>
      <c r="L2101">
        <f>IF(OC_Txn=0,"",IF(INDEX('OneCause_Paste'!$A$2101:$AZ$2101,1,OC_Txn)="","",INDEX('OneCause_Paste'!$A$2101:$AZ$2101,1,OC_Txn)))</f>
        <v/>
      </c>
      <c r="M2101">
        <f>IF(OC_Pay=0,"",IF(INDEX('OneCause_Paste'!$A$2101:$AZ$2101,1,OC_Pay)="","",INDEX('OneCause_Paste'!$A$2101:$AZ$2101,1,OC_Pay)))</f>
        <v/>
      </c>
      <c r="N2101">
        <f>IF(I2101="","",IF(ISNUMBER(I2101),INT(I2101),IFERROR(INT(DATEVALUE(I2101)),IFERROR(INT(VALUE(I2101)),"bad"))))</f>
        <v/>
      </c>
      <c r="O2101">
        <f>IF(J2101="","",IF(ISNUMBER(J2101),ROUND(J2101,2),IFERROR(ROUND(VALUE(SUBSTITUTE(SUBSTITUTE(SUBSTITUTE(J2101,"$",""),",","")," ","")),2),"bad")))</f>
        <v/>
      </c>
      <c r="P2101">
        <f>IF(TRIM(K2101)="","",IFERROR(MATCH(LOWER(TRIM(K2101)),'Students'!$AH$2:$AH$701,0),IFERROR(MATCH(LOWER(TRIM(K2101)),'Students'!$AF$2:$AF$701,0),IFERROR(MATCH(LOWER(TRIM(K2101)),'Students'!$AG$2:$AG$701,0),""))))</f>
        <v/>
      </c>
      <c r="R2101">
        <f>IF(P2101="","",INDEX('Students'!$AD$2:$AD$701,P2101))</f>
        <v/>
      </c>
      <c r="S2101">
        <f>IF(H2101="OK",O2101,0)</f>
        <v/>
      </c>
      <c r="T2101">
        <f>IF(H2101="OK",N2101,"")</f>
        <v/>
      </c>
      <c r="U2101">
        <f>IF(OC_Donor=0,"",IF(INDEX('OneCause_Paste'!$A$2101:$AZ$2101,1,OC_Donor)="","",INDEX('OneCause_Paste'!$A$2101:$AZ$2101,1,OC_Donor)))</f>
        <v/>
      </c>
    </row>
    <row r="2102">
      <c r="A2102" s="62">
        <f>IF(H2102="","",IF(ISNUMBER(N2102),N2102,I2102))</f>
        <v/>
      </c>
      <c r="B2102">
        <f>IF(H2102="","",U2102)</f>
        <v/>
      </c>
      <c r="C2102">
        <f>IF(H2102="","",IF(P2102="",K2102,INDEX('Students'!$A$2:$A$701,P2102)))</f>
        <v/>
      </c>
      <c r="D2102">
        <f>IF(OR(H2102="",P2102=""),"",INDEX('Students'!$B$2:$B$701,P2102))</f>
        <v/>
      </c>
      <c r="E2102">
        <f>IF(OR(H2102="",P2102=""),"",INDEX('Students'!$C$2:$C$701,P2102))</f>
        <v/>
      </c>
      <c r="F2102" s="48">
        <f>IF(H2102="","",IF(ISNUMBER(O2102),O2102,J2102))</f>
        <v/>
      </c>
      <c r="G2102">
        <f>IF(H2102="","","OneCause")</f>
        <v/>
      </c>
      <c r="H2102">
        <f>IF(AND(I2102="",J2102="",K2102=""),"",IF(NOT(ISNUMBER(O2102)),"Bad amount",IF(O2102&lt;0,"Refund (not counted)",IF(O2102=0,"Zero amount",IF(NOT(ISNUMBER(N2102)),"Bad date",IF(P2102="","NAME NOT ON ROSTER",IF(L2102="","OK",IF(MATCH(L2102,$L$2:$L$3001,0)&lt;ROW()-1,"Duplicate (ignored)","OK"))))))))</f>
        <v/>
      </c>
      <c r="I2102">
        <f>IF(OC_Date=0,"",IF(INDEX('OneCause_Paste'!$A$2102:$AZ$2102,1,OC_Date)="","",INDEX('OneCause_Paste'!$A$2102:$AZ$2102,1,OC_Date)))</f>
        <v/>
      </c>
      <c r="J2102">
        <f>IF(OC_Amt=0,"",IF(INDEX('OneCause_Paste'!$A$2102:$AZ$2102,1,OC_Amt)="","",INDEX('OneCause_Paste'!$A$2102:$AZ$2102,1,OC_Amt)))</f>
        <v/>
      </c>
      <c r="K2102">
        <f>IF(OC_Name=0,"",IF(INDEX('OneCause_Paste'!$A$2102:$AZ$2102,1,OC_Name)="","",INDEX('OneCause_Paste'!$A$2102:$AZ$2102,1,OC_Name)))</f>
        <v/>
      </c>
      <c r="L2102">
        <f>IF(OC_Txn=0,"",IF(INDEX('OneCause_Paste'!$A$2102:$AZ$2102,1,OC_Txn)="","",INDEX('OneCause_Paste'!$A$2102:$AZ$2102,1,OC_Txn)))</f>
        <v/>
      </c>
      <c r="M2102">
        <f>IF(OC_Pay=0,"",IF(INDEX('OneCause_Paste'!$A$2102:$AZ$2102,1,OC_Pay)="","",INDEX('OneCause_Paste'!$A$2102:$AZ$2102,1,OC_Pay)))</f>
        <v/>
      </c>
      <c r="N2102">
        <f>IF(I2102="","",IF(ISNUMBER(I2102),INT(I2102),IFERROR(INT(DATEVALUE(I2102)),IFERROR(INT(VALUE(I2102)),"bad"))))</f>
        <v/>
      </c>
      <c r="O2102">
        <f>IF(J2102="","",IF(ISNUMBER(J2102),ROUND(J2102,2),IFERROR(ROUND(VALUE(SUBSTITUTE(SUBSTITUTE(SUBSTITUTE(J2102,"$",""),",","")," ","")),2),"bad")))</f>
        <v/>
      </c>
      <c r="P2102">
        <f>IF(TRIM(K2102)="","",IFERROR(MATCH(LOWER(TRIM(K2102)),'Students'!$AH$2:$AH$701,0),IFERROR(MATCH(LOWER(TRIM(K2102)),'Students'!$AF$2:$AF$701,0),IFERROR(MATCH(LOWER(TRIM(K2102)),'Students'!$AG$2:$AG$701,0),""))))</f>
        <v/>
      </c>
      <c r="R2102">
        <f>IF(P2102="","",INDEX('Students'!$AD$2:$AD$701,P2102))</f>
        <v/>
      </c>
      <c r="S2102">
        <f>IF(H2102="OK",O2102,0)</f>
        <v/>
      </c>
      <c r="T2102">
        <f>IF(H2102="OK",N2102,"")</f>
        <v/>
      </c>
      <c r="U2102">
        <f>IF(OC_Donor=0,"",IF(INDEX('OneCause_Paste'!$A$2102:$AZ$2102,1,OC_Donor)="","",INDEX('OneCause_Paste'!$A$2102:$AZ$2102,1,OC_Donor)))</f>
        <v/>
      </c>
    </row>
    <row r="2103">
      <c r="A2103" s="62">
        <f>IF(H2103="","",IF(ISNUMBER(N2103),N2103,I2103))</f>
        <v/>
      </c>
      <c r="B2103">
        <f>IF(H2103="","",U2103)</f>
        <v/>
      </c>
      <c r="C2103">
        <f>IF(H2103="","",IF(P2103="",K2103,INDEX('Students'!$A$2:$A$701,P2103)))</f>
        <v/>
      </c>
      <c r="D2103">
        <f>IF(OR(H2103="",P2103=""),"",INDEX('Students'!$B$2:$B$701,P2103))</f>
        <v/>
      </c>
      <c r="E2103">
        <f>IF(OR(H2103="",P2103=""),"",INDEX('Students'!$C$2:$C$701,P2103))</f>
        <v/>
      </c>
      <c r="F2103" s="48">
        <f>IF(H2103="","",IF(ISNUMBER(O2103),O2103,J2103))</f>
        <v/>
      </c>
      <c r="G2103">
        <f>IF(H2103="","","OneCause")</f>
        <v/>
      </c>
      <c r="H2103">
        <f>IF(AND(I2103="",J2103="",K2103=""),"",IF(NOT(ISNUMBER(O2103)),"Bad amount",IF(O2103&lt;0,"Refund (not counted)",IF(O2103=0,"Zero amount",IF(NOT(ISNUMBER(N2103)),"Bad date",IF(P2103="","NAME NOT ON ROSTER",IF(L2103="","OK",IF(MATCH(L2103,$L$2:$L$3001,0)&lt;ROW()-1,"Duplicate (ignored)","OK"))))))))</f>
        <v/>
      </c>
      <c r="I2103">
        <f>IF(OC_Date=0,"",IF(INDEX('OneCause_Paste'!$A$2103:$AZ$2103,1,OC_Date)="","",INDEX('OneCause_Paste'!$A$2103:$AZ$2103,1,OC_Date)))</f>
        <v/>
      </c>
      <c r="J2103">
        <f>IF(OC_Amt=0,"",IF(INDEX('OneCause_Paste'!$A$2103:$AZ$2103,1,OC_Amt)="","",INDEX('OneCause_Paste'!$A$2103:$AZ$2103,1,OC_Amt)))</f>
        <v/>
      </c>
      <c r="K2103">
        <f>IF(OC_Name=0,"",IF(INDEX('OneCause_Paste'!$A$2103:$AZ$2103,1,OC_Name)="","",INDEX('OneCause_Paste'!$A$2103:$AZ$2103,1,OC_Name)))</f>
        <v/>
      </c>
      <c r="L2103">
        <f>IF(OC_Txn=0,"",IF(INDEX('OneCause_Paste'!$A$2103:$AZ$2103,1,OC_Txn)="","",INDEX('OneCause_Paste'!$A$2103:$AZ$2103,1,OC_Txn)))</f>
        <v/>
      </c>
      <c r="M2103">
        <f>IF(OC_Pay=0,"",IF(INDEX('OneCause_Paste'!$A$2103:$AZ$2103,1,OC_Pay)="","",INDEX('OneCause_Paste'!$A$2103:$AZ$2103,1,OC_Pay)))</f>
        <v/>
      </c>
      <c r="N2103">
        <f>IF(I2103="","",IF(ISNUMBER(I2103),INT(I2103),IFERROR(INT(DATEVALUE(I2103)),IFERROR(INT(VALUE(I2103)),"bad"))))</f>
        <v/>
      </c>
      <c r="O2103">
        <f>IF(J2103="","",IF(ISNUMBER(J2103),ROUND(J2103,2),IFERROR(ROUND(VALUE(SUBSTITUTE(SUBSTITUTE(SUBSTITUTE(J2103,"$",""),",","")," ","")),2),"bad")))</f>
        <v/>
      </c>
      <c r="P2103">
        <f>IF(TRIM(K2103)="","",IFERROR(MATCH(LOWER(TRIM(K2103)),'Students'!$AH$2:$AH$701,0),IFERROR(MATCH(LOWER(TRIM(K2103)),'Students'!$AF$2:$AF$701,0),IFERROR(MATCH(LOWER(TRIM(K2103)),'Students'!$AG$2:$AG$701,0),""))))</f>
        <v/>
      </c>
      <c r="R2103">
        <f>IF(P2103="","",INDEX('Students'!$AD$2:$AD$701,P2103))</f>
        <v/>
      </c>
      <c r="S2103">
        <f>IF(H2103="OK",O2103,0)</f>
        <v/>
      </c>
      <c r="T2103">
        <f>IF(H2103="OK",N2103,"")</f>
        <v/>
      </c>
      <c r="U2103">
        <f>IF(OC_Donor=0,"",IF(INDEX('OneCause_Paste'!$A$2103:$AZ$2103,1,OC_Donor)="","",INDEX('OneCause_Paste'!$A$2103:$AZ$2103,1,OC_Donor)))</f>
        <v/>
      </c>
    </row>
    <row r="2104">
      <c r="A2104" s="62">
        <f>IF(H2104="","",IF(ISNUMBER(N2104),N2104,I2104))</f>
        <v/>
      </c>
      <c r="B2104">
        <f>IF(H2104="","",U2104)</f>
        <v/>
      </c>
      <c r="C2104">
        <f>IF(H2104="","",IF(P2104="",K2104,INDEX('Students'!$A$2:$A$701,P2104)))</f>
        <v/>
      </c>
      <c r="D2104">
        <f>IF(OR(H2104="",P2104=""),"",INDEX('Students'!$B$2:$B$701,P2104))</f>
        <v/>
      </c>
      <c r="E2104">
        <f>IF(OR(H2104="",P2104=""),"",INDEX('Students'!$C$2:$C$701,P2104))</f>
        <v/>
      </c>
      <c r="F2104" s="48">
        <f>IF(H2104="","",IF(ISNUMBER(O2104),O2104,J2104))</f>
        <v/>
      </c>
      <c r="G2104">
        <f>IF(H2104="","","OneCause")</f>
        <v/>
      </c>
      <c r="H2104">
        <f>IF(AND(I2104="",J2104="",K2104=""),"",IF(NOT(ISNUMBER(O2104)),"Bad amount",IF(O2104&lt;0,"Refund (not counted)",IF(O2104=0,"Zero amount",IF(NOT(ISNUMBER(N2104)),"Bad date",IF(P2104="","NAME NOT ON ROSTER",IF(L2104="","OK",IF(MATCH(L2104,$L$2:$L$3001,0)&lt;ROW()-1,"Duplicate (ignored)","OK"))))))))</f>
        <v/>
      </c>
      <c r="I2104">
        <f>IF(OC_Date=0,"",IF(INDEX('OneCause_Paste'!$A$2104:$AZ$2104,1,OC_Date)="","",INDEX('OneCause_Paste'!$A$2104:$AZ$2104,1,OC_Date)))</f>
        <v/>
      </c>
      <c r="J2104">
        <f>IF(OC_Amt=0,"",IF(INDEX('OneCause_Paste'!$A$2104:$AZ$2104,1,OC_Amt)="","",INDEX('OneCause_Paste'!$A$2104:$AZ$2104,1,OC_Amt)))</f>
        <v/>
      </c>
      <c r="K2104">
        <f>IF(OC_Name=0,"",IF(INDEX('OneCause_Paste'!$A$2104:$AZ$2104,1,OC_Name)="","",INDEX('OneCause_Paste'!$A$2104:$AZ$2104,1,OC_Name)))</f>
        <v/>
      </c>
      <c r="L2104">
        <f>IF(OC_Txn=0,"",IF(INDEX('OneCause_Paste'!$A$2104:$AZ$2104,1,OC_Txn)="","",INDEX('OneCause_Paste'!$A$2104:$AZ$2104,1,OC_Txn)))</f>
        <v/>
      </c>
      <c r="M2104">
        <f>IF(OC_Pay=0,"",IF(INDEX('OneCause_Paste'!$A$2104:$AZ$2104,1,OC_Pay)="","",INDEX('OneCause_Paste'!$A$2104:$AZ$2104,1,OC_Pay)))</f>
        <v/>
      </c>
      <c r="N2104">
        <f>IF(I2104="","",IF(ISNUMBER(I2104),INT(I2104),IFERROR(INT(DATEVALUE(I2104)),IFERROR(INT(VALUE(I2104)),"bad"))))</f>
        <v/>
      </c>
      <c r="O2104">
        <f>IF(J2104="","",IF(ISNUMBER(J2104),ROUND(J2104,2),IFERROR(ROUND(VALUE(SUBSTITUTE(SUBSTITUTE(SUBSTITUTE(J2104,"$",""),",","")," ","")),2),"bad")))</f>
        <v/>
      </c>
      <c r="P2104">
        <f>IF(TRIM(K2104)="","",IFERROR(MATCH(LOWER(TRIM(K2104)),'Students'!$AH$2:$AH$701,0),IFERROR(MATCH(LOWER(TRIM(K2104)),'Students'!$AF$2:$AF$701,0),IFERROR(MATCH(LOWER(TRIM(K2104)),'Students'!$AG$2:$AG$701,0),""))))</f>
        <v/>
      </c>
      <c r="R2104">
        <f>IF(P2104="","",INDEX('Students'!$AD$2:$AD$701,P2104))</f>
        <v/>
      </c>
      <c r="S2104">
        <f>IF(H2104="OK",O2104,0)</f>
        <v/>
      </c>
      <c r="T2104">
        <f>IF(H2104="OK",N2104,"")</f>
        <v/>
      </c>
      <c r="U2104">
        <f>IF(OC_Donor=0,"",IF(INDEX('OneCause_Paste'!$A$2104:$AZ$2104,1,OC_Donor)="","",INDEX('OneCause_Paste'!$A$2104:$AZ$2104,1,OC_Donor)))</f>
        <v/>
      </c>
    </row>
    <row r="2105">
      <c r="A2105" s="62">
        <f>IF(H2105="","",IF(ISNUMBER(N2105),N2105,I2105))</f>
        <v/>
      </c>
      <c r="B2105">
        <f>IF(H2105="","",U2105)</f>
        <v/>
      </c>
      <c r="C2105">
        <f>IF(H2105="","",IF(P2105="",K2105,INDEX('Students'!$A$2:$A$701,P2105)))</f>
        <v/>
      </c>
      <c r="D2105">
        <f>IF(OR(H2105="",P2105=""),"",INDEX('Students'!$B$2:$B$701,P2105))</f>
        <v/>
      </c>
      <c r="E2105">
        <f>IF(OR(H2105="",P2105=""),"",INDEX('Students'!$C$2:$C$701,P2105))</f>
        <v/>
      </c>
      <c r="F2105" s="48">
        <f>IF(H2105="","",IF(ISNUMBER(O2105),O2105,J2105))</f>
        <v/>
      </c>
      <c r="G2105">
        <f>IF(H2105="","","OneCause")</f>
        <v/>
      </c>
      <c r="H2105">
        <f>IF(AND(I2105="",J2105="",K2105=""),"",IF(NOT(ISNUMBER(O2105)),"Bad amount",IF(O2105&lt;0,"Refund (not counted)",IF(O2105=0,"Zero amount",IF(NOT(ISNUMBER(N2105)),"Bad date",IF(P2105="","NAME NOT ON ROSTER",IF(L2105="","OK",IF(MATCH(L2105,$L$2:$L$3001,0)&lt;ROW()-1,"Duplicate (ignored)","OK"))))))))</f>
        <v/>
      </c>
      <c r="I2105">
        <f>IF(OC_Date=0,"",IF(INDEX('OneCause_Paste'!$A$2105:$AZ$2105,1,OC_Date)="","",INDEX('OneCause_Paste'!$A$2105:$AZ$2105,1,OC_Date)))</f>
        <v/>
      </c>
      <c r="J2105">
        <f>IF(OC_Amt=0,"",IF(INDEX('OneCause_Paste'!$A$2105:$AZ$2105,1,OC_Amt)="","",INDEX('OneCause_Paste'!$A$2105:$AZ$2105,1,OC_Amt)))</f>
        <v/>
      </c>
      <c r="K2105">
        <f>IF(OC_Name=0,"",IF(INDEX('OneCause_Paste'!$A$2105:$AZ$2105,1,OC_Name)="","",INDEX('OneCause_Paste'!$A$2105:$AZ$2105,1,OC_Name)))</f>
        <v/>
      </c>
      <c r="L2105">
        <f>IF(OC_Txn=0,"",IF(INDEX('OneCause_Paste'!$A$2105:$AZ$2105,1,OC_Txn)="","",INDEX('OneCause_Paste'!$A$2105:$AZ$2105,1,OC_Txn)))</f>
        <v/>
      </c>
      <c r="M2105">
        <f>IF(OC_Pay=0,"",IF(INDEX('OneCause_Paste'!$A$2105:$AZ$2105,1,OC_Pay)="","",INDEX('OneCause_Paste'!$A$2105:$AZ$2105,1,OC_Pay)))</f>
        <v/>
      </c>
      <c r="N2105">
        <f>IF(I2105="","",IF(ISNUMBER(I2105),INT(I2105),IFERROR(INT(DATEVALUE(I2105)),IFERROR(INT(VALUE(I2105)),"bad"))))</f>
        <v/>
      </c>
      <c r="O2105">
        <f>IF(J2105="","",IF(ISNUMBER(J2105),ROUND(J2105,2),IFERROR(ROUND(VALUE(SUBSTITUTE(SUBSTITUTE(SUBSTITUTE(J2105,"$",""),",","")," ","")),2),"bad")))</f>
        <v/>
      </c>
      <c r="P2105">
        <f>IF(TRIM(K2105)="","",IFERROR(MATCH(LOWER(TRIM(K2105)),'Students'!$AH$2:$AH$701,0),IFERROR(MATCH(LOWER(TRIM(K2105)),'Students'!$AF$2:$AF$701,0),IFERROR(MATCH(LOWER(TRIM(K2105)),'Students'!$AG$2:$AG$701,0),""))))</f>
        <v/>
      </c>
      <c r="R2105">
        <f>IF(P2105="","",INDEX('Students'!$AD$2:$AD$701,P2105))</f>
        <v/>
      </c>
      <c r="S2105">
        <f>IF(H2105="OK",O2105,0)</f>
        <v/>
      </c>
      <c r="T2105">
        <f>IF(H2105="OK",N2105,"")</f>
        <v/>
      </c>
      <c r="U2105">
        <f>IF(OC_Donor=0,"",IF(INDEX('OneCause_Paste'!$A$2105:$AZ$2105,1,OC_Donor)="","",INDEX('OneCause_Paste'!$A$2105:$AZ$2105,1,OC_Donor)))</f>
        <v/>
      </c>
    </row>
    <row r="2106">
      <c r="A2106" s="62">
        <f>IF(H2106="","",IF(ISNUMBER(N2106),N2106,I2106))</f>
        <v/>
      </c>
      <c r="B2106">
        <f>IF(H2106="","",U2106)</f>
        <v/>
      </c>
      <c r="C2106">
        <f>IF(H2106="","",IF(P2106="",K2106,INDEX('Students'!$A$2:$A$701,P2106)))</f>
        <v/>
      </c>
      <c r="D2106">
        <f>IF(OR(H2106="",P2106=""),"",INDEX('Students'!$B$2:$B$701,P2106))</f>
        <v/>
      </c>
      <c r="E2106">
        <f>IF(OR(H2106="",P2106=""),"",INDEX('Students'!$C$2:$C$701,P2106))</f>
        <v/>
      </c>
      <c r="F2106" s="48">
        <f>IF(H2106="","",IF(ISNUMBER(O2106),O2106,J2106))</f>
        <v/>
      </c>
      <c r="G2106">
        <f>IF(H2106="","","OneCause")</f>
        <v/>
      </c>
      <c r="H2106">
        <f>IF(AND(I2106="",J2106="",K2106=""),"",IF(NOT(ISNUMBER(O2106)),"Bad amount",IF(O2106&lt;0,"Refund (not counted)",IF(O2106=0,"Zero amount",IF(NOT(ISNUMBER(N2106)),"Bad date",IF(P2106="","NAME NOT ON ROSTER",IF(L2106="","OK",IF(MATCH(L2106,$L$2:$L$3001,0)&lt;ROW()-1,"Duplicate (ignored)","OK"))))))))</f>
        <v/>
      </c>
      <c r="I2106">
        <f>IF(OC_Date=0,"",IF(INDEX('OneCause_Paste'!$A$2106:$AZ$2106,1,OC_Date)="","",INDEX('OneCause_Paste'!$A$2106:$AZ$2106,1,OC_Date)))</f>
        <v/>
      </c>
      <c r="J2106">
        <f>IF(OC_Amt=0,"",IF(INDEX('OneCause_Paste'!$A$2106:$AZ$2106,1,OC_Amt)="","",INDEX('OneCause_Paste'!$A$2106:$AZ$2106,1,OC_Amt)))</f>
        <v/>
      </c>
      <c r="K2106">
        <f>IF(OC_Name=0,"",IF(INDEX('OneCause_Paste'!$A$2106:$AZ$2106,1,OC_Name)="","",INDEX('OneCause_Paste'!$A$2106:$AZ$2106,1,OC_Name)))</f>
        <v/>
      </c>
      <c r="L2106">
        <f>IF(OC_Txn=0,"",IF(INDEX('OneCause_Paste'!$A$2106:$AZ$2106,1,OC_Txn)="","",INDEX('OneCause_Paste'!$A$2106:$AZ$2106,1,OC_Txn)))</f>
        <v/>
      </c>
      <c r="M2106">
        <f>IF(OC_Pay=0,"",IF(INDEX('OneCause_Paste'!$A$2106:$AZ$2106,1,OC_Pay)="","",INDEX('OneCause_Paste'!$A$2106:$AZ$2106,1,OC_Pay)))</f>
        <v/>
      </c>
      <c r="N2106">
        <f>IF(I2106="","",IF(ISNUMBER(I2106),INT(I2106),IFERROR(INT(DATEVALUE(I2106)),IFERROR(INT(VALUE(I2106)),"bad"))))</f>
        <v/>
      </c>
      <c r="O2106">
        <f>IF(J2106="","",IF(ISNUMBER(J2106),ROUND(J2106,2),IFERROR(ROUND(VALUE(SUBSTITUTE(SUBSTITUTE(SUBSTITUTE(J2106,"$",""),",","")," ","")),2),"bad")))</f>
        <v/>
      </c>
      <c r="P2106">
        <f>IF(TRIM(K2106)="","",IFERROR(MATCH(LOWER(TRIM(K2106)),'Students'!$AH$2:$AH$701,0),IFERROR(MATCH(LOWER(TRIM(K2106)),'Students'!$AF$2:$AF$701,0),IFERROR(MATCH(LOWER(TRIM(K2106)),'Students'!$AG$2:$AG$701,0),""))))</f>
        <v/>
      </c>
      <c r="R2106">
        <f>IF(P2106="","",INDEX('Students'!$AD$2:$AD$701,P2106))</f>
        <v/>
      </c>
      <c r="S2106">
        <f>IF(H2106="OK",O2106,0)</f>
        <v/>
      </c>
      <c r="T2106">
        <f>IF(H2106="OK",N2106,"")</f>
        <v/>
      </c>
      <c r="U2106">
        <f>IF(OC_Donor=0,"",IF(INDEX('OneCause_Paste'!$A$2106:$AZ$2106,1,OC_Donor)="","",INDEX('OneCause_Paste'!$A$2106:$AZ$2106,1,OC_Donor)))</f>
        <v/>
      </c>
    </row>
    <row r="2107">
      <c r="A2107" s="62">
        <f>IF(H2107="","",IF(ISNUMBER(N2107),N2107,I2107))</f>
        <v/>
      </c>
      <c r="B2107">
        <f>IF(H2107="","",U2107)</f>
        <v/>
      </c>
      <c r="C2107">
        <f>IF(H2107="","",IF(P2107="",K2107,INDEX('Students'!$A$2:$A$701,P2107)))</f>
        <v/>
      </c>
      <c r="D2107">
        <f>IF(OR(H2107="",P2107=""),"",INDEX('Students'!$B$2:$B$701,P2107))</f>
        <v/>
      </c>
      <c r="E2107">
        <f>IF(OR(H2107="",P2107=""),"",INDEX('Students'!$C$2:$C$701,P2107))</f>
        <v/>
      </c>
      <c r="F2107" s="48">
        <f>IF(H2107="","",IF(ISNUMBER(O2107),O2107,J2107))</f>
        <v/>
      </c>
      <c r="G2107">
        <f>IF(H2107="","","OneCause")</f>
        <v/>
      </c>
      <c r="H2107">
        <f>IF(AND(I2107="",J2107="",K2107=""),"",IF(NOT(ISNUMBER(O2107)),"Bad amount",IF(O2107&lt;0,"Refund (not counted)",IF(O2107=0,"Zero amount",IF(NOT(ISNUMBER(N2107)),"Bad date",IF(P2107="","NAME NOT ON ROSTER",IF(L2107="","OK",IF(MATCH(L2107,$L$2:$L$3001,0)&lt;ROW()-1,"Duplicate (ignored)","OK"))))))))</f>
        <v/>
      </c>
      <c r="I2107">
        <f>IF(OC_Date=0,"",IF(INDEX('OneCause_Paste'!$A$2107:$AZ$2107,1,OC_Date)="","",INDEX('OneCause_Paste'!$A$2107:$AZ$2107,1,OC_Date)))</f>
        <v/>
      </c>
      <c r="J2107">
        <f>IF(OC_Amt=0,"",IF(INDEX('OneCause_Paste'!$A$2107:$AZ$2107,1,OC_Amt)="","",INDEX('OneCause_Paste'!$A$2107:$AZ$2107,1,OC_Amt)))</f>
        <v/>
      </c>
      <c r="K2107">
        <f>IF(OC_Name=0,"",IF(INDEX('OneCause_Paste'!$A$2107:$AZ$2107,1,OC_Name)="","",INDEX('OneCause_Paste'!$A$2107:$AZ$2107,1,OC_Name)))</f>
        <v/>
      </c>
      <c r="L2107">
        <f>IF(OC_Txn=0,"",IF(INDEX('OneCause_Paste'!$A$2107:$AZ$2107,1,OC_Txn)="","",INDEX('OneCause_Paste'!$A$2107:$AZ$2107,1,OC_Txn)))</f>
        <v/>
      </c>
      <c r="M2107">
        <f>IF(OC_Pay=0,"",IF(INDEX('OneCause_Paste'!$A$2107:$AZ$2107,1,OC_Pay)="","",INDEX('OneCause_Paste'!$A$2107:$AZ$2107,1,OC_Pay)))</f>
        <v/>
      </c>
      <c r="N2107">
        <f>IF(I2107="","",IF(ISNUMBER(I2107),INT(I2107),IFERROR(INT(DATEVALUE(I2107)),IFERROR(INT(VALUE(I2107)),"bad"))))</f>
        <v/>
      </c>
      <c r="O2107">
        <f>IF(J2107="","",IF(ISNUMBER(J2107),ROUND(J2107,2),IFERROR(ROUND(VALUE(SUBSTITUTE(SUBSTITUTE(SUBSTITUTE(J2107,"$",""),",","")," ","")),2),"bad")))</f>
        <v/>
      </c>
      <c r="P2107">
        <f>IF(TRIM(K2107)="","",IFERROR(MATCH(LOWER(TRIM(K2107)),'Students'!$AH$2:$AH$701,0),IFERROR(MATCH(LOWER(TRIM(K2107)),'Students'!$AF$2:$AF$701,0),IFERROR(MATCH(LOWER(TRIM(K2107)),'Students'!$AG$2:$AG$701,0),""))))</f>
        <v/>
      </c>
      <c r="R2107">
        <f>IF(P2107="","",INDEX('Students'!$AD$2:$AD$701,P2107))</f>
        <v/>
      </c>
      <c r="S2107">
        <f>IF(H2107="OK",O2107,0)</f>
        <v/>
      </c>
      <c r="T2107">
        <f>IF(H2107="OK",N2107,"")</f>
        <v/>
      </c>
      <c r="U2107">
        <f>IF(OC_Donor=0,"",IF(INDEX('OneCause_Paste'!$A$2107:$AZ$2107,1,OC_Donor)="","",INDEX('OneCause_Paste'!$A$2107:$AZ$2107,1,OC_Donor)))</f>
        <v/>
      </c>
    </row>
    <row r="2108">
      <c r="A2108" s="62">
        <f>IF(H2108="","",IF(ISNUMBER(N2108),N2108,I2108))</f>
        <v/>
      </c>
      <c r="B2108">
        <f>IF(H2108="","",U2108)</f>
        <v/>
      </c>
      <c r="C2108">
        <f>IF(H2108="","",IF(P2108="",K2108,INDEX('Students'!$A$2:$A$701,P2108)))</f>
        <v/>
      </c>
      <c r="D2108">
        <f>IF(OR(H2108="",P2108=""),"",INDEX('Students'!$B$2:$B$701,P2108))</f>
        <v/>
      </c>
      <c r="E2108">
        <f>IF(OR(H2108="",P2108=""),"",INDEX('Students'!$C$2:$C$701,P2108))</f>
        <v/>
      </c>
      <c r="F2108" s="48">
        <f>IF(H2108="","",IF(ISNUMBER(O2108),O2108,J2108))</f>
        <v/>
      </c>
      <c r="G2108">
        <f>IF(H2108="","","OneCause")</f>
        <v/>
      </c>
      <c r="H2108">
        <f>IF(AND(I2108="",J2108="",K2108=""),"",IF(NOT(ISNUMBER(O2108)),"Bad amount",IF(O2108&lt;0,"Refund (not counted)",IF(O2108=0,"Zero amount",IF(NOT(ISNUMBER(N2108)),"Bad date",IF(P2108="","NAME NOT ON ROSTER",IF(L2108="","OK",IF(MATCH(L2108,$L$2:$L$3001,0)&lt;ROW()-1,"Duplicate (ignored)","OK"))))))))</f>
        <v/>
      </c>
      <c r="I2108">
        <f>IF(OC_Date=0,"",IF(INDEX('OneCause_Paste'!$A$2108:$AZ$2108,1,OC_Date)="","",INDEX('OneCause_Paste'!$A$2108:$AZ$2108,1,OC_Date)))</f>
        <v/>
      </c>
      <c r="J2108">
        <f>IF(OC_Amt=0,"",IF(INDEX('OneCause_Paste'!$A$2108:$AZ$2108,1,OC_Amt)="","",INDEX('OneCause_Paste'!$A$2108:$AZ$2108,1,OC_Amt)))</f>
        <v/>
      </c>
      <c r="K2108">
        <f>IF(OC_Name=0,"",IF(INDEX('OneCause_Paste'!$A$2108:$AZ$2108,1,OC_Name)="","",INDEX('OneCause_Paste'!$A$2108:$AZ$2108,1,OC_Name)))</f>
        <v/>
      </c>
      <c r="L2108">
        <f>IF(OC_Txn=0,"",IF(INDEX('OneCause_Paste'!$A$2108:$AZ$2108,1,OC_Txn)="","",INDEX('OneCause_Paste'!$A$2108:$AZ$2108,1,OC_Txn)))</f>
        <v/>
      </c>
      <c r="M2108">
        <f>IF(OC_Pay=0,"",IF(INDEX('OneCause_Paste'!$A$2108:$AZ$2108,1,OC_Pay)="","",INDEX('OneCause_Paste'!$A$2108:$AZ$2108,1,OC_Pay)))</f>
        <v/>
      </c>
      <c r="N2108">
        <f>IF(I2108="","",IF(ISNUMBER(I2108),INT(I2108),IFERROR(INT(DATEVALUE(I2108)),IFERROR(INT(VALUE(I2108)),"bad"))))</f>
        <v/>
      </c>
      <c r="O2108">
        <f>IF(J2108="","",IF(ISNUMBER(J2108),ROUND(J2108,2),IFERROR(ROUND(VALUE(SUBSTITUTE(SUBSTITUTE(SUBSTITUTE(J2108,"$",""),",","")," ","")),2),"bad")))</f>
        <v/>
      </c>
      <c r="P2108">
        <f>IF(TRIM(K2108)="","",IFERROR(MATCH(LOWER(TRIM(K2108)),'Students'!$AH$2:$AH$701,0),IFERROR(MATCH(LOWER(TRIM(K2108)),'Students'!$AF$2:$AF$701,0),IFERROR(MATCH(LOWER(TRIM(K2108)),'Students'!$AG$2:$AG$701,0),""))))</f>
        <v/>
      </c>
      <c r="R2108">
        <f>IF(P2108="","",INDEX('Students'!$AD$2:$AD$701,P2108))</f>
        <v/>
      </c>
      <c r="S2108">
        <f>IF(H2108="OK",O2108,0)</f>
        <v/>
      </c>
      <c r="T2108">
        <f>IF(H2108="OK",N2108,"")</f>
        <v/>
      </c>
      <c r="U2108">
        <f>IF(OC_Donor=0,"",IF(INDEX('OneCause_Paste'!$A$2108:$AZ$2108,1,OC_Donor)="","",INDEX('OneCause_Paste'!$A$2108:$AZ$2108,1,OC_Donor)))</f>
        <v/>
      </c>
    </row>
    <row r="2109">
      <c r="A2109" s="62">
        <f>IF(H2109="","",IF(ISNUMBER(N2109),N2109,I2109))</f>
        <v/>
      </c>
      <c r="B2109">
        <f>IF(H2109="","",U2109)</f>
        <v/>
      </c>
      <c r="C2109">
        <f>IF(H2109="","",IF(P2109="",K2109,INDEX('Students'!$A$2:$A$701,P2109)))</f>
        <v/>
      </c>
      <c r="D2109">
        <f>IF(OR(H2109="",P2109=""),"",INDEX('Students'!$B$2:$B$701,P2109))</f>
        <v/>
      </c>
      <c r="E2109">
        <f>IF(OR(H2109="",P2109=""),"",INDEX('Students'!$C$2:$C$701,P2109))</f>
        <v/>
      </c>
      <c r="F2109" s="48">
        <f>IF(H2109="","",IF(ISNUMBER(O2109),O2109,J2109))</f>
        <v/>
      </c>
      <c r="G2109">
        <f>IF(H2109="","","OneCause")</f>
        <v/>
      </c>
      <c r="H2109">
        <f>IF(AND(I2109="",J2109="",K2109=""),"",IF(NOT(ISNUMBER(O2109)),"Bad amount",IF(O2109&lt;0,"Refund (not counted)",IF(O2109=0,"Zero amount",IF(NOT(ISNUMBER(N2109)),"Bad date",IF(P2109="","NAME NOT ON ROSTER",IF(L2109="","OK",IF(MATCH(L2109,$L$2:$L$3001,0)&lt;ROW()-1,"Duplicate (ignored)","OK"))))))))</f>
        <v/>
      </c>
      <c r="I2109">
        <f>IF(OC_Date=0,"",IF(INDEX('OneCause_Paste'!$A$2109:$AZ$2109,1,OC_Date)="","",INDEX('OneCause_Paste'!$A$2109:$AZ$2109,1,OC_Date)))</f>
        <v/>
      </c>
      <c r="J2109">
        <f>IF(OC_Amt=0,"",IF(INDEX('OneCause_Paste'!$A$2109:$AZ$2109,1,OC_Amt)="","",INDEX('OneCause_Paste'!$A$2109:$AZ$2109,1,OC_Amt)))</f>
        <v/>
      </c>
      <c r="K2109">
        <f>IF(OC_Name=0,"",IF(INDEX('OneCause_Paste'!$A$2109:$AZ$2109,1,OC_Name)="","",INDEX('OneCause_Paste'!$A$2109:$AZ$2109,1,OC_Name)))</f>
        <v/>
      </c>
      <c r="L2109">
        <f>IF(OC_Txn=0,"",IF(INDEX('OneCause_Paste'!$A$2109:$AZ$2109,1,OC_Txn)="","",INDEX('OneCause_Paste'!$A$2109:$AZ$2109,1,OC_Txn)))</f>
        <v/>
      </c>
      <c r="M2109">
        <f>IF(OC_Pay=0,"",IF(INDEX('OneCause_Paste'!$A$2109:$AZ$2109,1,OC_Pay)="","",INDEX('OneCause_Paste'!$A$2109:$AZ$2109,1,OC_Pay)))</f>
        <v/>
      </c>
      <c r="N2109">
        <f>IF(I2109="","",IF(ISNUMBER(I2109),INT(I2109),IFERROR(INT(DATEVALUE(I2109)),IFERROR(INT(VALUE(I2109)),"bad"))))</f>
        <v/>
      </c>
      <c r="O2109">
        <f>IF(J2109="","",IF(ISNUMBER(J2109),ROUND(J2109,2),IFERROR(ROUND(VALUE(SUBSTITUTE(SUBSTITUTE(SUBSTITUTE(J2109,"$",""),",","")," ","")),2),"bad")))</f>
        <v/>
      </c>
      <c r="P2109">
        <f>IF(TRIM(K2109)="","",IFERROR(MATCH(LOWER(TRIM(K2109)),'Students'!$AH$2:$AH$701,0),IFERROR(MATCH(LOWER(TRIM(K2109)),'Students'!$AF$2:$AF$701,0),IFERROR(MATCH(LOWER(TRIM(K2109)),'Students'!$AG$2:$AG$701,0),""))))</f>
        <v/>
      </c>
      <c r="R2109">
        <f>IF(P2109="","",INDEX('Students'!$AD$2:$AD$701,P2109))</f>
        <v/>
      </c>
      <c r="S2109">
        <f>IF(H2109="OK",O2109,0)</f>
        <v/>
      </c>
      <c r="T2109">
        <f>IF(H2109="OK",N2109,"")</f>
        <v/>
      </c>
      <c r="U2109">
        <f>IF(OC_Donor=0,"",IF(INDEX('OneCause_Paste'!$A$2109:$AZ$2109,1,OC_Donor)="","",INDEX('OneCause_Paste'!$A$2109:$AZ$2109,1,OC_Donor)))</f>
        <v/>
      </c>
    </row>
    <row r="2110">
      <c r="A2110" s="62">
        <f>IF(H2110="","",IF(ISNUMBER(N2110),N2110,I2110))</f>
        <v/>
      </c>
      <c r="B2110">
        <f>IF(H2110="","",U2110)</f>
        <v/>
      </c>
      <c r="C2110">
        <f>IF(H2110="","",IF(P2110="",K2110,INDEX('Students'!$A$2:$A$701,P2110)))</f>
        <v/>
      </c>
      <c r="D2110">
        <f>IF(OR(H2110="",P2110=""),"",INDEX('Students'!$B$2:$B$701,P2110))</f>
        <v/>
      </c>
      <c r="E2110">
        <f>IF(OR(H2110="",P2110=""),"",INDEX('Students'!$C$2:$C$701,P2110))</f>
        <v/>
      </c>
      <c r="F2110" s="48">
        <f>IF(H2110="","",IF(ISNUMBER(O2110),O2110,J2110))</f>
        <v/>
      </c>
      <c r="G2110">
        <f>IF(H2110="","","OneCause")</f>
        <v/>
      </c>
      <c r="H2110">
        <f>IF(AND(I2110="",J2110="",K2110=""),"",IF(NOT(ISNUMBER(O2110)),"Bad amount",IF(O2110&lt;0,"Refund (not counted)",IF(O2110=0,"Zero amount",IF(NOT(ISNUMBER(N2110)),"Bad date",IF(P2110="","NAME NOT ON ROSTER",IF(L2110="","OK",IF(MATCH(L2110,$L$2:$L$3001,0)&lt;ROW()-1,"Duplicate (ignored)","OK"))))))))</f>
        <v/>
      </c>
      <c r="I2110">
        <f>IF(OC_Date=0,"",IF(INDEX('OneCause_Paste'!$A$2110:$AZ$2110,1,OC_Date)="","",INDEX('OneCause_Paste'!$A$2110:$AZ$2110,1,OC_Date)))</f>
        <v/>
      </c>
      <c r="J2110">
        <f>IF(OC_Amt=0,"",IF(INDEX('OneCause_Paste'!$A$2110:$AZ$2110,1,OC_Amt)="","",INDEX('OneCause_Paste'!$A$2110:$AZ$2110,1,OC_Amt)))</f>
        <v/>
      </c>
      <c r="K2110">
        <f>IF(OC_Name=0,"",IF(INDEX('OneCause_Paste'!$A$2110:$AZ$2110,1,OC_Name)="","",INDEX('OneCause_Paste'!$A$2110:$AZ$2110,1,OC_Name)))</f>
        <v/>
      </c>
      <c r="L2110">
        <f>IF(OC_Txn=0,"",IF(INDEX('OneCause_Paste'!$A$2110:$AZ$2110,1,OC_Txn)="","",INDEX('OneCause_Paste'!$A$2110:$AZ$2110,1,OC_Txn)))</f>
        <v/>
      </c>
      <c r="M2110">
        <f>IF(OC_Pay=0,"",IF(INDEX('OneCause_Paste'!$A$2110:$AZ$2110,1,OC_Pay)="","",INDEX('OneCause_Paste'!$A$2110:$AZ$2110,1,OC_Pay)))</f>
        <v/>
      </c>
      <c r="N2110">
        <f>IF(I2110="","",IF(ISNUMBER(I2110),INT(I2110),IFERROR(INT(DATEVALUE(I2110)),IFERROR(INT(VALUE(I2110)),"bad"))))</f>
        <v/>
      </c>
      <c r="O2110">
        <f>IF(J2110="","",IF(ISNUMBER(J2110),ROUND(J2110,2),IFERROR(ROUND(VALUE(SUBSTITUTE(SUBSTITUTE(SUBSTITUTE(J2110,"$",""),",","")," ","")),2),"bad")))</f>
        <v/>
      </c>
      <c r="P2110">
        <f>IF(TRIM(K2110)="","",IFERROR(MATCH(LOWER(TRIM(K2110)),'Students'!$AH$2:$AH$701,0),IFERROR(MATCH(LOWER(TRIM(K2110)),'Students'!$AF$2:$AF$701,0),IFERROR(MATCH(LOWER(TRIM(K2110)),'Students'!$AG$2:$AG$701,0),""))))</f>
        <v/>
      </c>
      <c r="R2110">
        <f>IF(P2110="","",INDEX('Students'!$AD$2:$AD$701,P2110))</f>
        <v/>
      </c>
      <c r="S2110">
        <f>IF(H2110="OK",O2110,0)</f>
        <v/>
      </c>
      <c r="T2110">
        <f>IF(H2110="OK",N2110,"")</f>
        <v/>
      </c>
      <c r="U2110">
        <f>IF(OC_Donor=0,"",IF(INDEX('OneCause_Paste'!$A$2110:$AZ$2110,1,OC_Donor)="","",INDEX('OneCause_Paste'!$A$2110:$AZ$2110,1,OC_Donor)))</f>
        <v/>
      </c>
    </row>
    <row r="2111">
      <c r="A2111" s="62">
        <f>IF(H2111="","",IF(ISNUMBER(N2111),N2111,I2111))</f>
        <v/>
      </c>
      <c r="B2111">
        <f>IF(H2111="","",U2111)</f>
        <v/>
      </c>
      <c r="C2111">
        <f>IF(H2111="","",IF(P2111="",K2111,INDEX('Students'!$A$2:$A$701,P2111)))</f>
        <v/>
      </c>
      <c r="D2111">
        <f>IF(OR(H2111="",P2111=""),"",INDEX('Students'!$B$2:$B$701,P2111))</f>
        <v/>
      </c>
      <c r="E2111">
        <f>IF(OR(H2111="",P2111=""),"",INDEX('Students'!$C$2:$C$701,P2111))</f>
        <v/>
      </c>
      <c r="F2111" s="48">
        <f>IF(H2111="","",IF(ISNUMBER(O2111),O2111,J2111))</f>
        <v/>
      </c>
      <c r="G2111">
        <f>IF(H2111="","","OneCause")</f>
        <v/>
      </c>
      <c r="H2111">
        <f>IF(AND(I2111="",J2111="",K2111=""),"",IF(NOT(ISNUMBER(O2111)),"Bad amount",IF(O2111&lt;0,"Refund (not counted)",IF(O2111=0,"Zero amount",IF(NOT(ISNUMBER(N2111)),"Bad date",IF(P2111="","NAME NOT ON ROSTER",IF(L2111="","OK",IF(MATCH(L2111,$L$2:$L$3001,0)&lt;ROW()-1,"Duplicate (ignored)","OK"))))))))</f>
        <v/>
      </c>
      <c r="I2111">
        <f>IF(OC_Date=0,"",IF(INDEX('OneCause_Paste'!$A$2111:$AZ$2111,1,OC_Date)="","",INDEX('OneCause_Paste'!$A$2111:$AZ$2111,1,OC_Date)))</f>
        <v/>
      </c>
      <c r="J2111">
        <f>IF(OC_Amt=0,"",IF(INDEX('OneCause_Paste'!$A$2111:$AZ$2111,1,OC_Amt)="","",INDEX('OneCause_Paste'!$A$2111:$AZ$2111,1,OC_Amt)))</f>
        <v/>
      </c>
      <c r="K2111">
        <f>IF(OC_Name=0,"",IF(INDEX('OneCause_Paste'!$A$2111:$AZ$2111,1,OC_Name)="","",INDEX('OneCause_Paste'!$A$2111:$AZ$2111,1,OC_Name)))</f>
        <v/>
      </c>
      <c r="L2111">
        <f>IF(OC_Txn=0,"",IF(INDEX('OneCause_Paste'!$A$2111:$AZ$2111,1,OC_Txn)="","",INDEX('OneCause_Paste'!$A$2111:$AZ$2111,1,OC_Txn)))</f>
        <v/>
      </c>
      <c r="M2111">
        <f>IF(OC_Pay=0,"",IF(INDEX('OneCause_Paste'!$A$2111:$AZ$2111,1,OC_Pay)="","",INDEX('OneCause_Paste'!$A$2111:$AZ$2111,1,OC_Pay)))</f>
        <v/>
      </c>
      <c r="N2111">
        <f>IF(I2111="","",IF(ISNUMBER(I2111),INT(I2111),IFERROR(INT(DATEVALUE(I2111)),IFERROR(INT(VALUE(I2111)),"bad"))))</f>
        <v/>
      </c>
      <c r="O2111">
        <f>IF(J2111="","",IF(ISNUMBER(J2111),ROUND(J2111,2),IFERROR(ROUND(VALUE(SUBSTITUTE(SUBSTITUTE(SUBSTITUTE(J2111,"$",""),",","")," ","")),2),"bad")))</f>
        <v/>
      </c>
      <c r="P2111">
        <f>IF(TRIM(K2111)="","",IFERROR(MATCH(LOWER(TRIM(K2111)),'Students'!$AH$2:$AH$701,0),IFERROR(MATCH(LOWER(TRIM(K2111)),'Students'!$AF$2:$AF$701,0),IFERROR(MATCH(LOWER(TRIM(K2111)),'Students'!$AG$2:$AG$701,0),""))))</f>
        <v/>
      </c>
      <c r="R2111">
        <f>IF(P2111="","",INDEX('Students'!$AD$2:$AD$701,P2111))</f>
        <v/>
      </c>
      <c r="S2111">
        <f>IF(H2111="OK",O2111,0)</f>
        <v/>
      </c>
      <c r="T2111">
        <f>IF(H2111="OK",N2111,"")</f>
        <v/>
      </c>
      <c r="U2111">
        <f>IF(OC_Donor=0,"",IF(INDEX('OneCause_Paste'!$A$2111:$AZ$2111,1,OC_Donor)="","",INDEX('OneCause_Paste'!$A$2111:$AZ$2111,1,OC_Donor)))</f>
        <v/>
      </c>
    </row>
    <row r="2112">
      <c r="A2112" s="62">
        <f>IF(H2112="","",IF(ISNUMBER(N2112),N2112,I2112))</f>
        <v/>
      </c>
      <c r="B2112">
        <f>IF(H2112="","",U2112)</f>
        <v/>
      </c>
      <c r="C2112">
        <f>IF(H2112="","",IF(P2112="",K2112,INDEX('Students'!$A$2:$A$701,P2112)))</f>
        <v/>
      </c>
      <c r="D2112">
        <f>IF(OR(H2112="",P2112=""),"",INDEX('Students'!$B$2:$B$701,P2112))</f>
        <v/>
      </c>
      <c r="E2112">
        <f>IF(OR(H2112="",P2112=""),"",INDEX('Students'!$C$2:$C$701,P2112))</f>
        <v/>
      </c>
      <c r="F2112" s="48">
        <f>IF(H2112="","",IF(ISNUMBER(O2112),O2112,J2112))</f>
        <v/>
      </c>
      <c r="G2112">
        <f>IF(H2112="","","OneCause")</f>
        <v/>
      </c>
      <c r="H2112">
        <f>IF(AND(I2112="",J2112="",K2112=""),"",IF(NOT(ISNUMBER(O2112)),"Bad amount",IF(O2112&lt;0,"Refund (not counted)",IF(O2112=0,"Zero amount",IF(NOT(ISNUMBER(N2112)),"Bad date",IF(P2112="","NAME NOT ON ROSTER",IF(L2112="","OK",IF(MATCH(L2112,$L$2:$L$3001,0)&lt;ROW()-1,"Duplicate (ignored)","OK"))))))))</f>
        <v/>
      </c>
      <c r="I2112">
        <f>IF(OC_Date=0,"",IF(INDEX('OneCause_Paste'!$A$2112:$AZ$2112,1,OC_Date)="","",INDEX('OneCause_Paste'!$A$2112:$AZ$2112,1,OC_Date)))</f>
        <v/>
      </c>
      <c r="J2112">
        <f>IF(OC_Amt=0,"",IF(INDEX('OneCause_Paste'!$A$2112:$AZ$2112,1,OC_Amt)="","",INDEX('OneCause_Paste'!$A$2112:$AZ$2112,1,OC_Amt)))</f>
        <v/>
      </c>
      <c r="K2112">
        <f>IF(OC_Name=0,"",IF(INDEX('OneCause_Paste'!$A$2112:$AZ$2112,1,OC_Name)="","",INDEX('OneCause_Paste'!$A$2112:$AZ$2112,1,OC_Name)))</f>
        <v/>
      </c>
      <c r="L2112">
        <f>IF(OC_Txn=0,"",IF(INDEX('OneCause_Paste'!$A$2112:$AZ$2112,1,OC_Txn)="","",INDEX('OneCause_Paste'!$A$2112:$AZ$2112,1,OC_Txn)))</f>
        <v/>
      </c>
      <c r="M2112">
        <f>IF(OC_Pay=0,"",IF(INDEX('OneCause_Paste'!$A$2112:$AZ$2112,1,OC_Pay)="","",INDEX('OneCause_Paste'!$A$2112:$AZ$2112,1,OC_Pay)))</f>
        <v/>
      </c>
      <c r="N2112">
        <f>IF(I2112="","",IF(ISNUMBER(I2112),INT(I2112),IFERROR(INT(DATEVALUE(I2112)),IFERROR(INT(VALUE(I2112)),"bad"))))</f>
        <v/>
      </c>
      <c r="O2112">
        <f>IF(J2112="","",IF(ISNUMBER(J2112),ROUND(J2112,2),IFERROR(ROUND(VALUE(SUBSTITUTE(SUBSTITUTE(SUBSTITUTE(J2112,"$",""),",","")," ","")),2),"bad")))</f>
        <v/>
      </c>
      <c r="P2112">
        <f>IF(TRIM(K2112)="","",IFERROR(MATCH(LOWER(TRIM(K2112)),'Students'!$AH$2:$AH$701,0),IFERROR(MATCH(LOWER(TRIM(K2112)),'Students'!$AF$2:$AF$701,0),IFERROR(MATCH(LOWER(TRIM(K2112)),'Students'!$AG$2:$AG$701,0),""))))</f>
        <v/>
      </c>
      <c r="R2112">
        <f>IF(P2112="","",INDEX('Students'!$AD$2:$AD$701,P2112))</f>
        <v/>
      </c>
      <c r="S2112">
        <f>IF(H2112="OK",O2112,0)</f>
        <v/>
      </c>
      <c r="T2112">
        <f>IF(H2112="OK",N2112,"")</f>
        <v/>
      </c>
      <c r="U2112">
        <f>IF(OC_Donor=0,"",IF(INDEX('OneCause_Paste'!$A$2112:$AZ$2112,1,OC_Donor)="","",INDEX('OneCause_Paste'!$A$2112:$AZ$2112,1,OC_Donor)))</f>
        <v/>
      </c>
    </row>
    <row r="2113">
      <c r="A2113" s="62">
        <f>IF(H2113="","",IF(ISNUMBER(N2113),N2113,I2113))</f>
        <v/>
      </c>
      <c r="B2113">
        <f>IF(H2113="","",U2113)</f>
        <v/>
      </c>
      <c r="C2113">
        <f>IF(H2113="","",IF(P2113="",K2113,INDEX('Students'!$A$2:$A$701,P2113)))</f>
        <v/>
      </c>
      <c r="D2113">
        <f>IF(OR(H2113="",P2113=""),"",INDEX('Students'!$B$2:$B$701,P2113))</f>
        <v/>
      </c>
      <c r="E2113">
        <f>IF(OR(H2113="",P2113=""),"",INDEX('Students'!$C$2:$C$701,P2113))</f>
        <v/>
      </c>
      <c r="F2113" s="48">
        <f>IF(H2113="","",IF(ISNUMBER(O2113),O2113,J2113))</f>
        <v/>
      </c>
      <c r="G2113">
        <f>IF(H2113="","","OneCause")</f>
        <v/>
      </c>
      <c r="H2113">
        <f>IF(AND(I2113="",J2113="",K2113=""),"",IF(NOT(ISNUMBER(O2113)),"Bad amount",IF(O2113&lt;0,"Refund (not counted)",IF(O2113=0,"Zero amount",IF(NOT(ISNUMBER(N2113)),"Bad date",IF(P2113="","NAME NOT ON ROSTER",IF(L2113="","OK",IF(MATCH(L2113,$L$2:$L$3001,0)&lt;ROW()-1,"Duplicate (ignored)","OK"))))))))</f>
        <v/>
      </c>
      <c r="I2113">
        <f>IF(OC_Date=0,"",IF(INDEX('OneCause_Paste'!$A$2113:$AZ$2113,1,OC_Date)="","",INDEX('OneCause_Paste'!$A$2113:$AZ$2113,1,OC_Date)))</f>
        <v/>
      </c>
      <c r="J2113">
        <f>IF(OC_Amt=0,"",IF(INDEX('OneCause_Paste'!$A$2113:$AZ$2113,1,OC_Amt)="","",INDEX('OneCause_Paste'!$A$2113:$AZ$2113,1,OC_Amt)))</f>
        <v/>
      </c>
      <c r="K2113">
        <f>IF(OC_Name=0,"",IF(INDEX('OneCause_Paste'!$A$2113:$AZ$2113,1,OC_Name)="","",INDEX('OneCause_Paste'!$A$2113:$AZ$2113,1,OC_Name)))</f>
        <v/>
      </c>
      <c r="L2113">
        <f>IF(OC_Txn=0,"",IF(INDEX('OneCause_Paste'!$A$2113:$AZ$2113,1,OC_Txn)="","",INDEX('OneCause_Paste'!$A$2113:$AZ$2113,1,OC_Txn)))</f>
        <v/>
      </c>
      <c r="M2113">
        <f>IF(OC_Pay=0,"",IF(INDEX('OneCause_Paste'!$A$2113:$AZ$2113,1,OC_Pay)="","",INDEX('OneCause_Paste'!$A$2113:$AZ$2113,1,OC_Pay)))</f>
        <v/>
      </c>
      <c r="N2113">
        <f>IF(I2113="","",IF(ISNUMBER(I2113),INT(I2113),IFERROR(INT(DATEVALUE(I2113)),IFERROR(INT(VALUE(I2113)),"bad"))))</f>
        <v/>
      </c>
      <c r="O2113">
        <f>IF(J2113="","",IF(ISNUMBER(J2113),ROUND(J2113,2),IFERROR(ROUND(VALUE(SUBSTITUTE(SUBSTITUTE(SUBSTITUTE(J2113,"$",""),",","")," ","")),2),"bad")))</f>
        <v/>
      </c>
      <c r="P2113">
        <f>IF(TRIM(K2113)="","",IFERROR(MATCH(LOWER(TRIM(K2113)),'Students'!$AH$2:$AH$701,0),IFERROR(MATCH(LOWER(TRIM(K2113)),'Students'!$AF$2:$AF$701,0),IFERROR(MATCH(LOWER(TRIM(K2113)),'Students'!$AG$2:$AG$701,0),""))))</f>
        <v/>
      </c>
      <c r="R2113">
        <f>IF(P2113="","",INDEX('Students'!$AD$2:$AD$701,P2113))</f>
        <v/>
      </c>
      <c r="S2113">
        <f>IF(H2113="OK",O2113,0)</f>
        <v/>
      </c>
      <c r="T2113">
        <f>IF(H2113="OK",N2113,"")</f>
        <v/>
      </c>
      <c r="U2113">
        <f>IF(OC_Donor=0,"",IF(INDEX('OneCause_Paste'!$A$2113:$AZ$2113,1,OC_Donor)="","",INDEX('OneCause_Paste'!$A$2113:$AZ$2113,1,OC_Donor)))</f>
        <v/>
      </c>
    </row>
    <row r="2114">
      <c r="A2114" s="62">
        <f>IF(H2114="","",IF(ISNUMBER(N2114),N2114,I2114))</f>
        <v/>
      </c>
      <c r="B2114">
        <f>IF(H2114="","",U2114)</f>
        <v/>
      </c>
      <c r="C2114">
        <f>IF(H2114="","",IF(P2114="",K2114,INDEX('Students'!$A$2:$A$701,P2114)))</f>
        <v/>
      </c>
      <c r="D2114">
        <f>IF(OR(H2114="",P2114=""),"",INDEX('Students'!$B$2:$B$701,P2114))</f>
        <v/>
      </c>
      <c r="E2114">
        <f>IF(OR(H2114="",P2114=""),"",INDEX('Students'!$C$2:$C$701,P2114))</f>
        <v/>
      </c>
      <c r="F2114" s="48">
        <f>IF(H2114="","",IF(ISNUMBER(O2114),O2114,J2114))</f>
        <v/>
      </c>
      <c r="G2114">
        <f>IF(H2114="","","OneCause")</f>
        <v/>
      </c>
      <c r="H2114">
        <f>IF(AND(I2114="",J2114="",K2114=""),"",IF(NOT(ISNUMBER(O2114)),"Bad amount",IF(O2114&lt;0,"Refund (not counted)",IF(O2114=0,"Zero amount",IF(NOT(ISNUMBER(N2114)),"Bad date",IF(P2114="","NAME NOT ON ROSTER",IF(L2114="","OK",IF(MATCH(L2114,$L$2:$L$3001,0)&lt;ROW()-1,"Duplicate (ignored)","OK"))))))))</f>
        <v/>
      </c>
      <c r="I2114">
        <f>IF(OC_Date=0,"",IF(INDEX('OneCause_Paste'!$A$2114:$AZ$2114,1,OC_Date)="","",INDEX('OneCause_Paste'!$A$2114:$AZ$2114,1,OC_Date)))</f>
        <v/>
      </c>
      <c r="J2114">
        <f>IF(OC_Amt=0,"",IF(INDEX('OneCause_Paste'!$A$2114:$AZ$2114,1,OC_Amt)="","",INDEX('OneCause_Paste'!$A$2114:$AZ$2114,1,OC_Amt)))</f>
        <v/>
      </c>
      <c r="K2114">
        <f>IF(OC_Name=0,"",IF(INDEX('OneCause_Paste'!$A$2114:$AZ$2114,1,OC_Name)="","",INDEX('OneCause_Paste'!$A$2114:$AZ$2114,1,OC_Name)))</f>
        <v/>
      </c>
      <c r="L2114">
        <f>IF(OC_Txn=0,"",IF(INDEX('OneCause_Paste'!$A$2114:$AZ$2114,1,OC_Txn)="","",INDEX('OneCause_Paste'!$A$2114:$AZ$2114,1,OC_Txn)))</f>
        <v/>
      </c>
      <c r="M2114">
        <f>IF(OC_Pay=0,"",IF(INDEX('OneCause_Paste'!$A$2114:$AZ$2114,1,OC_Pay)="","",INDEX('OneCause_Paste'!$A$2114:$AZ$2114,1,OC_Pay)))</f>
        <v/>
      </c>
      <c r="N2114">
        <f>IF(I2114="","",IF(ISNUMBER(I2114),INT(I2114),IFERROR(INT(DATEVALUE(I2114)),IFERROR(INT(VALUE(I2114)),"bad"))))</f>
        <v/>
      </c>
      <c r="O2114">
        <f>IF(J2114="","",IF(ISNUMBER(J2114),ROUND(J2114,2),IFERROR(ROUND(VALUE(SUBSTITUTE(SUBSTITUTE(SUBSTITUTE(J2114,"$",""),",","")," ","")),2),"bad")))</f>
        <v/>
      </c>
      <c r="P2114">
        <f>IF(TRIM(K2114)="","",IFERROR(MATCH(LOWER(TRIM(K2114)),'Students'!$AH$2:$AH$701,0),IFERROR(MATCH(LOWER(TRIM(K2114)),'Students'!$AF$2:$AF$701,0),IFERROR(MATCH(LOWER(TRIM(K2114)),'Students'!$AG$2:$AG$701,0),""))))</f>
        <v/>
      </c>
      <c r="R2114">
        <f>IF(P2114="","",INDEX('Students'!$AD$2:$AD$701,P2114))</f>
        <v/>
      </c>
      <c r="S2114">
        <f>IF(H2114="OK",O2114,0)</f>
        <v/>
      </c>
      <c r="T2114">
        <f>IF(H2114="OK",N2114,"")</f>
        <v/>
      </c>
      <c r="U2114">
        <f>IF(OC_Donor=0,"",IF(INDEX('OneCause_Paste'!$A$2114:$AZ$2114,1,OC_Donor)="","",INDEX('OneCause_Paste'!$A$2114:$AZ$2114,1,OC_Donor)))</f>
        <v/>
      </c>
    </row>
    <row r="2115">
      <c r="A2115" s="62">
        <f>IF(H2115="","",IF(ISNUMBER(N2115),N2115,I2115))</f>
        <v/>
      </c>
      <c r="B2115">
        <f>IF(H2115="","",U2115)</f>
        <v/>
      </c>
      <c r="C2115">
        <f>IF(H2115="","",IF(P2115="",K2115,INDEX('Students'!$A$2:$A$701,P2115)))</f>
        <v/>
      </c>
      <c r="D2115">
        <f>IF(OR(H2115="",P2115=""),"",INDEX('Students'!$B$2:$B$701,P2115))</f>
        <v/>
      </c>
      <c r="E2115">
        <f>IF(OR(H2115="",P2115=""),"",INDEX('Students'!$C$2:$C$701,P2115))</f>
        <v/>
      </c>
      <c r="F2115" s="48">
        <f>IF(H2115="","",IF(ISNUMBER(O2115),O2115,J2115))</f>
        <v/>
      </c>
      <c r="G2115">
        <f>IF(H2115="","","OneCause")</f>
        <v/>
      </c>
      <c r="H2115">
        <f>IF(AND(I2115="",J2115="",K2115=""),"",IF(NOT(ISNUMBER(O2115)),"Bad amount",IF(O2115&lt;0,"Refund (not counted)",IF(O2115=0,"Zero amount",IF(NOT(ISNUMBER(N2115)),"Bad date",IF(P2115="","NAME NOT ON ROSTER",IF(L2115="","OK",IF(MATCH(L2115,$L$2:$L$3001,0)&lt;ROW()-1,"Duplicate (ignored)","OK"))))))))</f>
        <v/>
      </c>
      <c r="I2115">
        <f>IF(OC_Date=0,"",IF(INDEX('OneCause_Paste'!$A$2115:$AZ$2115,1,OC_Date)="","",INDEX('OneCause_Paste'!$A$2115:$AZ$2115,1,OC_Date)))</f>
        <v/>
      </c>
      <c r="J2115">
        <f>IF(OC_Amt=0,"",IF(INDEX('OneCause_Paste'!$A$2115:$AZ$2115,1,OC_Amt)="","",INDEX('OneCause_Paste'!$A$2115:$AZ$2115,1,OC_Amt)))</f>
        <v/>
      </c>
      <c r="K2115">
        <f>IF(OC_Name=0,"",IF(INDEX('OneCause_Paste'!$A$2115:$AZ$2115,1,OC_Name)="","",INDEX('OneCause_Paste'!$A$2115:$AZ$2115,1,OC_Name)))</f>
        <v/>
      </c>
      <c r="L2115">
        <f>IF(OC_Txn=0,"",IF(INDEX('OneCause_Paste'!$A$2115:$AZ$2115,1,OC_Txn)="","",INDEX('OneCause_Paste'!$A$2115:$AZ$2115,1,OC_Txn)))</f>
        <v/>
      </c>
      <c r="M2115">
        <f>IF(OC_Pay=0,"",IF(INDEX('OneCause_Paste'!$A$2115:$AZ$2115,1,OC_Pay)="","",INDEX('OneCause_Paste'!$A$2115:$AZ$2115,1,OC_Pay)))</f>
        <v/>
      </c>
      <c r="N2115">
        <f>IF(I2115="","",IF(ISNUMBER(I2115),INT(I2115),IFERROR(INT(DATEVALUE(I2115)),IFERROR(INT(VALUE(I2115)),"bad"))))</f>
        <v/>
      </c>
      <c r="O2115">
        <f>IF(J2115="","",IF(ISNUMBER(J2115),ROUND(J2115,2),IFERROR(ROUND(VALUE(SUBSTITUTE(SUBSTITUTE(SUBSTITUTE(J2115,"$",""),",","")," ","")),2),"bad")))</f>
        <v/>
      </c>
      <c r="P2115">
        <f>IF(TRIM(K2115)="","",IFERROR(MATCH(LOWER(TRIM(K2115)),'Students'!$AH$2:$AH$701,0),IFERROR(MATCH(LOWER(TRIM(K2115)),'Students'!$AF$2:$AF$701,0),IFERROR(MATCH(LOWER(TRIM(K2115)),'Students'!$AG$2:$AG$701,0),""))))</f>
        <v/>
      </c>
      <c r="R2115">
        <f>IF(P2115="","",INDEX('Students'!$AD$2:$AD$701,P2115))</f>
        <v/>
      </c>
      <c r="S2115">
        <f>IF(H2115="OK",O2115,0)</f>
        <v/>
      </c>
      <c r="T2115">
        <f>IF(H2115="OK",N2115,"")</f>
        <v/>
      </c>
      <c r="U2115">
        <f>IF(OC_Donor=0,"",IF(INDEX('OneCause_Paste'!$A$2115:$AZ$2115,1,OC_Donor)="","",INDEX('OneCause_Paste'!$A$2115:$AZ$2115,1,OC_Donor)))</f>
        <v/>
      </c>
    </row>
    <row r="2116">
      <c r="A2116" s="62">
        <f>IF(H2116="","",IF(ISNUMBER(N2116),N2116,I2116))</f>
        <v/>
      </c>
      <c r="B2116">
        <f>IF(H2116="","",U2116)</f>
        <v/>
      </c>
      <c r="C2116">
        <f>IF(H2116="","",IF(P2116="",K2116,INDEX('Students'!$A$2:$A$701,P2116)))</f>
        <v/>
      </c>
      <c r="D2116">
        <f>IF(OR(H2116="",P2116=""),"",INDEX('Students'!$B$2:$B$701,P2116))</f>
        <v/>
      </c>
      <c r="E2116">
        <f>IF(OR(H2116="",P2116=""),"",INDEX('Students'!$C$2:$C$701,P2116))</f>
        <v/>
      </c>
      <c r="F2116" s="48">
        <f>IF(H2116="","",IF(ISNUMBER(O2116),O2116,J2116))</f>
        <v/>
      </c>
      <c r="G2116">
        <f>IF(H2116="","","OneCause")</f>
        <v/>
      </c>
      <c r="H2116">
        <f>IF(AND(I2116="",J2116="",K2116=""),"",IF(NOT(ISNUMBER(O2116)),"Bad amount",IF(O2116&lt;0,"Refund (not counted)",IF(O2116=0,"Zero amount",IF(NOT(ISNUMBER(N2116)),"Bad date",IF(P2116="","NAME NOT ON ROSTER",IF(L2116="","OK",IF(MATCH(L2116,$L$2:$L$3001,0)&lt;ROW()-1,"Duplicate (ignored)","OK"))))))))</f>
        <v/>
      </c>
      <c r="I2116">
        <f>IF(OC_Date=0,"",IF(INDEX('OneCause_Paste'!$A$2116:$AZ$2116,1,OC_Date)="","",INDEX('OneCause_Paste'!$A$2116:$AZ$2116,1,OC_Date)))</f>
        <v/>
      </c>
      <c r="J2116">
        <f>IF(OC_Amt=0,"",IF(INDEX('OneCause_Paste'!$A$2116:$AZ$2116,1,OC_Amt)="","",INDEX('OneCause_Paste'!$A$2116:$AZ$2116,1,OC_Amt)))</f>
        <v/>
      </c>
      <c r="K2116">
        <f>IF(OC_Name=0,"",IF(INDEX('OneCause_Paste'!$A$2116:$AZ$2116,1,OC_Name)="","",INDEX('OneCause_Paste'!$A$2116:$AZ$2116,1,OC_Name)))</f>
        <v/>
      </c>
      <c r="L2116">
        <f>IF(OC_Txn=0,"",IF(INDEX('OneCause_Paste'!$A$2116:$AZ$2116,1,OC_Txn)="","",INDEX('OneCause_Paste'!$A$2116:$AZ$2116,1,OC_Txn)))</f>
        <v/>
      </c>
      <c r="M2116">
        <f>IF(OC_Pay=0,"",IF(INDEX('OneCause_Paste'!$A$2116:$AZ$2116,1,OC_Pay)="","",INDEX('OneCause_Paste'!$A$2116:$AZ$2116,1,OC_Pay)))</f>
        <v/>
      </c>
      <c r="N2116">
        <f>IF(I2116="","",IF(ISNUMBER(I2116),INT(I2116),IFERROR(INT(DATEVALUE(I2116)),IFERROR(INT(VALUE(I2116)),"bad"))))</f>
        <v/>
      </c>
      <c r="O2116">
        <f>IF(J2116="","",IF(ISNUMBER(J2116),ROUND(J2116,2),IFERROR(ROUND(VALUE(SUBSTITUTE(SUBSTITUTE(SUBSTITUTE(J2116,"$",""),",","")," ","")),2),"bad")))</f>
        <v/>
      </c>
      <c r="P2116">
        <f>IF(TRIM(K2116)="","",IFERROR(MATCH(LOWER(TRIM(K2116)),'Students'!$AH$2:$AH$701,0),IFERROR(MATCH(LOWER(TRIM(K2116)),'Students'!$AF$2:$AF$701,0),IFERROR(MATCH(LOWER(TRIM(K2116)),'Students'!$AG$2:$AG$701,0),""))))</f>
        <v/>
      </c>
      <c r="R2116">
        <f>IF(P2116="","",INDEX('Students'!$AD$2:$AD$701,P2116))</f>
        <v/>
      </c>
      <c r="S2116">
        <f>IF(H2116="OK",O2116,0)</f>
        <v/>
      </c>
      <c r="T2116">
        <f>IF(H2116="OK",N2116,"")</f>
        <v/>
      </c>
      <c r="U2116">
        <f>IF(OC_Donor=0,"",IF(INDEX('OneCause_Paste'!$A$2116:$AZ$2116,1,OC_Donor)="","",INDEX('OneCause_Paste'!$A$2116:$AZ$2116,1,OC_Donor)))</f>
        <v/>
      </c>
    </row>
    <row r="2117">
      <c r="A2117" s="62">
        <f>IF(H2117="","",IF(ISNUMBER(N2117),N2117,I2117))</f>
        <v/>
      </c>
      <c r="B2117">
        <f>IF(H2117="","",U2117)</f>
        <v/>
      </c>
      <c r="C2117">
        <f>IF(H2117="","",IF(P2117="",K2117,INDEX('Students'!$A$2:$A$701,P2117)))</f>
        <v/>
      </c>
      <c r="D2117">
        <f>IF(OR(H2117="",P2117=""),"",INDEX('Students'!$B$2:$B$701,P2117))</f>
        <v/>
      </c>
      <c r="E2117">
        <f>IF(OR(H2117="",P2117=""),"",INDEX('Students'!$C$2:$C$701,P2117))</f>
        <v/>
      </c>
      <c r="F2117" s="48">
        <f>IF(H2117="","",IF(ISNUMBER(O2117),O2117,J2117))</f>
        <v/>
      </c>
      <c r="G2117">
        <f>IF(H2117="","","OneCause")</f>
        <v/>
      </c>
      <c r="H2117">
        <f>IF(AND(I2117="",J2117="",K2117=""),"",IF(NOT(ISNUMBER(O2117)),"Bad amount",IF(O2117&lt;0,"Refund (not counted)",IF(O2117=0,"Zero amount",IF(NOT(ISNUMBER(N2117)),"Bad date",IF(P2117="","NAME NOT ON ROSTER",IF(L2117="","OK",IF(MATCH(L2117,$L$2:$L$3001,0)&lt;ROW()-1,"Duplicate (ignored)","OK"))))))))</f>
        <v/>
      </c>
      <c r="I2117">
        <f>IF(OC_Date=0,"",IF(INDEX('OneCause_Paste'!$A$2117:$AZ$2117,1,OC_Date)="","",INDEX('OneCause_Paste'!$A$2117:$AZ$2117,1,OC_Date)))</f>
        <v/>
      </c>
      <c r="J2117">
        <f>IF(OC_Amt=0,"",IF(INDEX('OneCause_Paste'!$A$2117:$AZ$2117,1,OC_Amt)="","",INDEX('OneCause_Paste'!$A$2117:$AZ$2117,1,OC_Amt)))</f>
        <v/>
      </c>
      <c r="K2117">
        <f>IF(OC_Name=0,"",IF(INDEX('OneCause_Paste'!$A$2117:$AZ$2117,1,OC_Name)="","",INDEX('OneCause_Paste'!$A$2117:$AZ$2117,1,OC_Name)))</f>
        <v/>
      </c>
      <c r="L2117">
        <f>IF(OC_Txn=0,"",IF(INDEX('OneCause_Paste'!$A$2117:$AZ$2117,1,OC_Txn)="","",INDEX('OneCause_Paste'!$A$2117:$AZ$2117,1,OC_Txn)))</f>
        <v/>
      </c>
      <c r="M2117">
        <f>IF(OC_Pay=0,"",IF(INDEX('OneCause_Paste'!$A$2117:$AZ$2117,1,OC_Pay)="","",INDEX('OneCause_Paste'!$A$2117:$AZ$2117,1,OC_Pay)))</f>
        <v/>
      </c>
      <c r="N2117">
        <f>IF(I2117="","",IF(ISNUMBER(I2117),INT(I2117),IFERROR(INT(DATEVALUE(I2117)),IFERROR(INT(VALUE(I2117)),"bad"))))</f>
        <v/>
      </c>
      <c r="O2117">
        <f>IF(J2117="","",IF(ISNUMBER(J2117),ROUND(J2117,2),IFERROR(ROUND(VALUE(SUBSTITUTE(SUBSTITUTE(SUBSTITUTE(J2117,"$",""),",","")," ","")),2),"bad")))</f>
        <v/>
      </c>
      <c r="P2117">
        <f>IF(TRIM(K2117)="","",IFERROR(MATCH(LOWER(TRIM(K2117)),'Students'!$AH$2:$AH$701,0),IFERROR(MATCH(LOWER(TRIM(K2117)),'Students'!$AF$2:$AF$701,0),IFERROR(MATCH(LOWER(TRIM(K2117)),'Students'!$AG$2:$AG$701,0),""))))</f>
        <v/>
      </c>
      <c r="R2117">
        <f>IF(P2117="","",INDEX('Students'!$AD$2:$AD$701,P2117))</f>
        <v/>
      </c>
      <c r="S2117">
        <f>IF(H2117="OK",O2117,0)</f>
        <v/>
      </c>
      <c r="T2117">
        <f>IF(H2117="OK",N2117,"")</f>
        <v/>
      </c>
      <c r="U2117">
        <f>IF(OC_Donor=0,"",IF(INDEX('OneCause_Paste'!$A$2117:$AZ$2117,1,OC_Donor)="","",INDEX('OneCause_Paste'!$A$2117:$AZ$2117,1,OC_Donor)))</f>
        <v/>
      </c>
    </row>
    <row r="2118">
      <c r="A2118" s="62">
        <f>IF(H2118="","",IF(ISNUMBER(N2118),N2118,I2118))</f>
        <v/>
      </c>
      <c r="B2118">
        <f>IF(H2118="","",U2118)</f>
        <v/>
      </c>
      <c r="C2118">
        <f>IF(H2118="","",IF(P2118="",K2118,INDEX('Students'!$A$2:$A$701,P2118)))</f>
        <v/>
      </c>
      <c r="D2118">
        <f>IF(OR(H2118="",P2118=""),"",INDEX('Students'!$B$2:$B$701,P2118))</f>
        <v/>
      </c>
      <c r="E2118">
        <f>IF(OR(H2118="",P2118=""),"",INDEX('Students'!$C$2:$C$701,P2118))</f>
        <v/>
      </c>
      <c r="F2118" s="48">
        <f>IF(H2118="","",IF(ISNUMBER(O2118),O2118,J2118))</f>
        <v/>
      </c>
      <c r="G2118">
        <f>IF(H2118="","","OneCause")</f>
        <v/>
      </c>
      <c r="H2118">
        <f>IF(AND(I2118="",J2118="",K2118=""),"",IF(NOT(ISNUMBER(O2118)),"Bad amount",IF(O2118&lt;0,"Refund (not counted)",IF(O2118=0,"Zero amount",IF(NOT(ISNUMBER(N2118)),"Bad date",IF(P2118="","NAME NOT ON ROSTER",IF(L2118="","OK",IF(MATCH(L2118,$L$2:$L$3001,0)&lt;ROW()-1,"Duplicate (ignored)","OK"))))))))</f>
        <v/>
      </c>
      <c r="I2118">
        <f>IF(OC_Date=0,"",IF(INDEX('OneCause_Paste'!$A$2118:$AZ$2118,1,OC_Date)="","",INDEX('OneCause_Paste'!$A$2118:$AZ$2118,1,OC_Date)))</f>
        <v/>
      </c>
      <c r="J2118">
        <f>IF(OC_Amt=0,"",IF(INDEX('OneCause_Paste'!$A$2118:$AZ$2118,1,OC_Amt)="","",INDEX('OneCause_Paste'!$A$2118:$AZ$2118,1,OC_Amt)))</f>
        <v/>
      </c>
      <c r="K2118">
        <f>IF(OC_Name=0,"",IF(INDEX('OneCause_Paste'!$A$2118:$AZ$2118,1,OC_Name)="","",INDEX('OneCause_Paste'!$A$2118:$AZ$2118,1,OC_Name)))</f>
        <v/>
      </c>
      <c r="L2118">
        <f>IF(OC_Txn=0,"",IF(INDEX('OneCause_Paste'!$A$2118:$AZ$2118,1,OC_Txn)="","",INDEX('OneCause_Paste'!$A$2118:$AZ$2118,1,OC_Txn)))</f>
        <v/>
      </c>
      <c r="M2118">
        <f>IF(OC_Pay=0,"",IF(INDEX('OneCause_Paste'!$A$2118:$AZ$2118,1,OC_Pay)="","",INDEX('OneCause_Paste'!$A$2118:$AZ$2118,1,OC_Pay)))</f>
        <v/>
      </c>
      <c r="N2118">
        <f>IF(I2118="","",IF(ISNUMBER(I2118),INT(I2118),IFERROR(INT(DATEVALUE(I2118)),IFERROR(INT(VALUE(I2118)),"bad"))))</f>
        <v/>
      </c>
      <c r="O2118">
        <f>IF(J2118="","",IF(ISNUMBER(J2118),ROUND(J2118,2),IFERROR(ROUND(VALUE(SUBSTITUTE(SUBSTITUTE(SUBSTITUTE(J2118,"$",""),",","")," ","")),2),"bad")))</f>
        <v/>
      </c>
      <c r="P2118">
        <f>IF(TRIM(K2118)="","",IFERROR(MATCH(LOWER(TRIM(K2118)),'Students'!$AH$2:$AH$701,0),IFERROR(MATCH(LOWER(TRIM(K2118)),'Students'!$AF$2:$AF$701,0),IFERROR(MATCH(LOWER(TRIM(K2118)),'Students'!$AG$2:$AG$701,0),""))))</f>
        <v/>
      </c>
      <c r="R2118">
        <f>IF(P2118="","",INDEX('Students'!$AD$2:$AD$701,P2118))</f>
        <v/>
      </c>
      <c r="S2118">
        <f>IF(H2118="OK",O2118,0)</f>
        <v/>
      </c>
      <c r="T2118">
        <f>IF(H2118="OK",N2118,"")</f>
        <v/>
      </c>
      <c r="U2118">
        <f>IF(OC_Donor=0,"",IF(INDEX('OneCause_Paste'!$A$2118:$AZ$2118,1,OC_Donor)="","",INDEX('OneCause_Paste'!$A$2118:$AZ$2118,1,OC_Donor)))</f>
        <v/>
      </c>
    </row>
    <row r="2119">
      <c r="A2119" s="62">
        <f>IF(H2119="","",IF(ISNUMBER(N2119),N2119,I2119))</f>
        <v/>
      </c>
      <c r="B2119">
        <f>IF(H2119="","",U2119)</f>
        <v/>
      </c>
      <c r="C2119">
        <f>IF(H2119="","",IF(P2119="",K2119,INDEX('Students'!$A$2:$A$701,P2119)))</f>
        <v/>
      </c>
      <c r="D2119">
        <f>IF(OR(H2119="",P2119=""),"",INDEX('Students'!$B$2:$B$701,P2119))</f>
        <v/>
      </c>
      <c r="E2119">
        <f>IF(OR(H2119="",P2119=""),"",INDEX('Students'!$C$2:$C$701,P2119))</f>
        <v/>
      </c>
      <c r="F2119" s="48">
        <f>IF(H2119="","",IF(ISNUMBER(O2119),O2119,J2119))</f>
        <v/>
      </c>
      <c r="G2119">
        <f>IF(H2119="","","OneCause")</f>
        <v/>
      </c>
      <c r="H2119">
        <f>IF(AND(I2119="",J2119="",K2119=""),"",IF(NOT(ISNUMBER(O2119)),"Bad amount",IF(O2119&lt;0,"Refund (not counted)",IF(O2119=0,"Zero amount",IF(NOT(ISNUMBER(N2119)),"Bad date",IF(P2119="","NAME NOT ON ROSTER",IF(L2119="","OK",IF(MATCH(L2119,$L$2:$L$3001,0)&lt;ROW()-1,"Duplicate (ignored)","OK"))))))))</f>
        <v/>
      </c>
      <c r="I2119">
        <f>IF(OC_Date=0,"",IF(INDEX('OneCause_Paste'!$A$2119:$AZ$2119,1,OC_Date)="","",INDEX('OneCause_Paste'!$A$2119:$AZ$2119,1,OC_Date)))</f>
        <v/>
      </c>
      <c r="J2119">
        <f>IF(OC_Amt=0,"",IF(INDEX('OneCause_Paste'!$A$2119:$AZ$2119,1,OC_Amt)="","",INDEX('OneCause_Paste'!$A$2119:$AZ$2119,1,OC_Amt)))</f>
        <v/>
      </c>
      <c r="K2119">
        <f>IF(OC_Name=0,"",IF(INDEX('OneCause_Paste'!$A$2119:$AZ$2119,1,OC_Name)="","",INDEX('OneCause_Paste'!$A$2119:$AZ$2119,1,OC_Name)))</f>
        <v/>
      </c>
      <c r="L2119">
        <f>IF(OC_Txn=0,"",IF(INDEX('OneCause_Paste'!$A$2119:$AZ$2119,1,OC_Txn)="","",INDEX('OneCause_Paste'!$A$2119:$AZ$2119,1,OC_Txn)))</f>
        <v/>
      </c>
      <c r="M2119">
        <f>IF(OC_Pay=0,"",IF(INDEX('OneCause_Paste'!$A$2119:$AZ$2119,1,OC_Pay)="","",INDEX('OneCause_Paste'!$A$2119:$AZ$2119,1,OC_Pay)))</f>
        <v/>
      </c>
      <c r="N2119">
        <f>IF(I2119="","",IF(ISNUMBER(I2119),INT(I2119),IFERROR(INT(DATEVALUE(I2119)),IFERROR(INT(VALUE(I2119)),"bad"))))</f>
        <v/>
      </c>
      <c r="O2119">
        <f>IF(J2119="","",IF(ISNUMBER(J2119),ROUND(J2119,2),IFERROR(ROUND(VALUE(SUBSTITUTE(SUBSTITUTE(SUBSTITUTE(J2119,"$",""),",","")," ","")),2),"bad")))</f>
        <v/>
      </c>
      <c r="P2119">
        <f>IF(TRIM(K2119)="","",IFERROR(MATCH(LOWER(TRIM(K2119)),'Students'!$AH$2:$AH$701,0),IFERROR(MATCH(LOWER(TRIM(K2119)),'Students'!$AF$2:$AF$701,0),IFERROR(MATCH(LOWER(TRIM(K2119)),'Students'!$AG$2:$AG$701,0),""))))</f>
        <v/>
      </c>
      <c r="R2119">
        <f>IF(P2119="","",INDEX('Students'!$AD$2:$AD$701,P2119))</f>
        <v/>
      </c>
      <c r="S2119">
        <f>IF(H2119="OK",O2119,0)</f>
        <v/>
      </c>
      <c r="T2119">
        <f>IF(H2119="OK",N2119,"")</f>
        <v/>
      </c>
      <c r="U2119">
        <f>IF(OC_Donor=0,"",IF(INDEX('OneCause_Paste'!$A$2119:$AZ$2119,1,OC_Donor)="","",INDEX('OneCause_Paste'!$A$2119:$AZ$2119,1,OC_Donor)))</f>
        <v/>
      </c>
    </row>
    <row r="2120">
      <c r="A2120" s="62">
        <f>IF(H2120="","",IF(ISNUMBER(N2120),N2120,I2120))</f>
        <v/>
      </c>
      <c r="B2120">
        <f>IF(H2120="","",U2120)</f>
        <v/>
      </c>
      <c r="C2120">
        <f>IF(H2120="","",IF(P2120="",K2120,INDEX('Students'!$A$2:$A$701,P2120)))</f>
        <v/>
      </c>
      <c r="D2120">
        <f>IF(OR(H2120="",P2120=""),"",INDEX('Students'!$B$2:$B$701,P2120))</f>
        <v/>
      </c>
      <c r="E2120">
        <f>IF(OR(H2120="",P2120=""),"",INDEX('Students'!$C$2:$C$701,P2120))</f>
        <v/>
      </c>
      <c r="F2120" s="48">
        <f>IF(H2120="","",IF(ISNUMBER(O2120),O2120,J2120))</f>
        <v/>
      </c>
      <c r="G2120">
        <f>IF(H2120="","","OneCause")</f>
        <v/>
      </c>
      <c r="H2120">
        <f>IF(AND(I2120="",J2120="",K2120=""),"",IF(NOT(ISNUMBER(O2120)),"Bad amount",IF(O2120&lt;0,"Refund (not counted)",IF(O2120=0,"Zero amount",IF(NOT(ISNUMBER(N2120)),"Bad date",IF(P2120="","NAME NOT ON ROSTER",IF(L2120="","OK",IF(MATCH(L2120,$L$2:$L$3001,0)&lt;ROW()-1,"Duplicate (ignored)","OK"))))))))</f>
        <v/>
      </c>
      <c r="I2120">
        <f>IF(OC_Date=0,"",IF(INDEX('OneCause_Paste'!$A$2120:$AZ$2120,1,OC_Date)="","",INDEX('OneCause_Paste'!$A$2120:$AZ$2120,1,OC_Date)))</f>
        <v/>
      </c>
      <c r="J2120">
        <f>IF(OC_Amt=0,"",IF(INDEX('OneCause_Paste'!$A$2120:$AZ$2120,1,OC_Amt)="","",INDEX('OneCause_Paste'!$A$2120:$AZ$2120,1,OC_Amt)))</f>
        <v/>
      </c>
      <c r="K2120">
        <f>IF(OC_Name=0,"",IF(INDEX('OneCause_Paste'!$A$2120:$AZ$2120,1,OC_Name)="","",INDEX('OneCause_Paste'!$A$2120:$AZ$2120,1,OC_Name)))</f>
        <v/>
      </c>
      <c r="L2120">
        <f>IF(OC_Txn=0,"",IF(INDEX('OneCause_Paste'!$A$2120:$AZ$2120,1,OC_Txn)="","",INDEX('OneCause_Paste'!$A$2120:$AZ$2120,1,OC_Txn)))</f>
        <v/>
      </c>
      <c r="M2120">
        <f>IF(OC_Pay=0,"",IF(INDEX('OneCause_Paste'!$A$2120:$AZ$2120,1,OC_Pay)="","",INDEX('OneCause_Paste'!$A$2120:$AZ$2120,1,OC_Pay)))</f>
        <v/>
      </c>
      <c r="N2120">
        <f>IF(I2120="","",IF(ISNUMBER(I2120),INT(I2120),IFERROR(INT(DATEVALUE(I2120)),IFERROR(INT(VALUE(I2120)),"bad"))))</f>
        <v/>
      </c>
      <c r="O2120">
        <f>IF(J2120="","",IF(ISNUMBER(J2120),ROUND(J2120,2),IFERROR(ROUND(VALUE(SUBSTITUTE(SUBSTITUTE(SUBSTITUTE(J2120,"$",""),",","")," ","")),2),"bad")))</f>
        <v/>
      </c>
      <c r="P2120">
        <f>IF(TRIM(K2120)="","",IFERROR(MATCH(LOWER(TRIM(K2120)),'Students'!$AH$2:$AH$701,0),IFERROR(MATCH(LOWER(TRIM(K2120)),'Students'!$AF$2:$AF$701,0),IFERROR(MATCH(LOWER(TRIM(K2120)),'Students'!$AG$2:$AG$701,0),""))))</f>
        <v/>
      </c>
      <c r="R2120">
        <f>IF(P2120="","",INDEX('Students'!$AD$2:$AD$701,P2120))</f>
        <v/>
      </c>
      <c r="S2120">
        <f>IF(H2120="OK",O2120,0)</f>
        <v/>
      </c>
      <c r="T2120">
        <f>IF(H2120="OK",N2120,"")</f>
        <v/>
      </c>
      <c r="U2120">
        <f>IF(OC_Donor=0,"",IF(INDEX('OneCause_Paste'!$A$2120:$AZ$2120,1,OC_Donor)="","",INDEX('OneCause_Paste'!$A$2120:$AZ$2120,1,OC_Donor)))</f>
        <v/>
      </c>
    </row>
    <row r="2121">
      <c r="A2121" s="62">
        <f>IF(H2121="","",IF(ISNUMBER(N2121),N2121,I2121))</f>
        <v/>
      </c>
      <c r="B2121">
        <f>IF(H2121="","",U2121)</f>
        <v/>
      </c>
      <c r="C2121">
        <f>IF(H2121="","",IF(P2121="",K2121,INDEX('Students'!$A$2:$A$701,P2121)))</f>
        <v/>
      </c>
      <c r="D2121">
        <f>IF(OR(H2121="",P2121=""),"",INDEX('Students'!$B$2:$B$701,P2121))</f>
        <v/>
      </c>
      <c r="E2121">
        <f>IF(OR(H2121="",P2121=""),"",INDEX('Students'!$C$2:$C$701,P2121))</f>
        <v/>
      </c>
      <c r="F2121" s="48">
        <f>IF(H2121="","",IF(ISNUMBER(O2121),O2121,J2121))</f>
        <v/>
      </c>
      <c r="G2121">
        <f>IF(H2121="","","OneCause")</f>
        <v/>
      </c>
      <c r="H2121">
        <f>IF(AND(I2121="",J2121="",K2121=""),"",IF(NOT(ISNUMBER(O2121)),"Bad amount",IF(O2121&lt;0,"Refund (not counted)",IF(O2121=0,"Zero amount",IF(NOT(ISNUMBER(N2121)),"Bad date",IF(P2121="","NAME NOT ON ROSTER",IF(L2121="","OK",IF(MATCH(L2121,$L$2:$L$3001,0)&lt;ROW()-1,"Duplicate (ignored)","OK"))))))))</f>
        <v/>
      </c>
      <c r="I2121">
        <f>IF(OC_Date=0,"",IF(INDEX('OneCause_Paste'!$A$2121:$AZ$2121,1,OC_Date)="","",INDEX('OneCause_Paste'!$A$2121:$AZ$2121,1,OC_Date)))</f>
        <v/>
      </c>
      <c r="J2121">
        <f>IF(OC_Amt=0,"",IF(INDEX('OneCause_Paste'!$A$2121:$AZ$2121,1,OC_Amt)="","",INDEX('OneCause_Paste'!$A$2121:$AZ$2121,1,OC_Amt)))</f>
        <v/>
      </c>
      <c r="K2121">
        <f>IF(OC_Name=0,"",IF(INDEX('OneCause_Paste'!$A$2121:$AZ$2121,1,OC_Name)="","",INDEX('OneCause_Paste'!$A$2121:$AZ$2121,1,OC_Name)))</f>
        <v/>
      </c>
      <c r="L2121">
        <f>IF(OC_Txn=0,"",IF(INDEX('OneCause_Paste'!$A$2121:$AZ$2121,1,OC_Txn)="","",INDEX('OneCause_Paste'!$A$2121:$AZ$2121,1,OC_Txn)))</f>
        <v/>
      </c>
      <c r="M2121">
        <f>IF(OC_Pay=0,"",IF(INDEX('OneCause_Paste'!$A$2121:$AZ$2121,1,OC_Pay)="","",INDEX('OneCause_Paste'!$A$2121:$AZ$2121,1,OC_Pay)))</f>
        <v/>
      </c>
      <c r="N2121">
        <f>IF(I2121="","",IF(ISNUMBER(I2121),INT(I2121),IFERROR(INT(DATEVALUE(I2121)),IFERROR(INT(VALUE(I2121)),"bad"))))</f>
        <v/>
      </c>
      <c r="O2121">
        <f>IF(J2121="","",IF(ISNUMBER(J2121),ROUND(J2121,2),IFERROR(ROUND(VALUE(SUBSTITUTE(SUBSTITUTE(SUBSTITUTE(J2121,"$",""),",","")," ","")),2),"bad")))</f>
        <v/>
      </c>
      <c r="P2121">
        <f>IF(TRIM(K2121)="","",IFERROR(MATCH(LOWER(TRIM(K2121)),'Students'!$AH$2:$AH$701,0),IFERROR(MATCH(LOWER(TRIM(K2121)),'Students'!$AF$2:$AF$701,0),IFERROR(MATCH(LOWER(TRIM(K2121)),'Students'!$AG$2:$AG$701,0),""))))</f>
        <v/>
      </c>
      <c r="R2121">
        <f>IF(P2121="","",INDEX('Students'!$AD$2:$AD$701,P2121))</f>
        <v/>
      </c>
      <c r="S2121">
        <f>IF(H2121="OK",O2121,0)</f>
        <v/>
      </c>
      <c r="T2121">
        <f>IF(H2121="OK",N2121,"")</f>
        <v/>
      </c>
      <c r="U2121">
        <f>IF(OC_Donor=0,"",IF(INDEX('OneCause_Paste'!$A$2121:$AZ$2121,1,OC_Donor)="","",INDEX('OneCause_Paste'!$A$2121:$AZ$2121,1,OC_Donor)))</f>
        <v/>
      </c>
    </row>
    <row r="2122">
      <c r="A2122" s="62">
        <f>IF(H2122="","",IF(ISNUMBER(N2122),N2122,I2122))</f>
        <v/>
      </c>
      <c r="B2122">
        <f>IF(H2122="","",U2122)</f>
        <v/>
      </c>
      <c r="C2122">
        <f>IF(H2122="","",IF(P2122="",K2122,INDEX('Students'!$A$2:$A$701,P2122)))</f>
        <v/>
      </c>
      <c r="D2122">
        <f>IF(OR(H2122="",P2122=""),"",INDEX('Students'!$B$2:$B$701,P2122))</f>
        <v/>
      </c>
      <c r="E2122">
        <f>IF(OR(H2122="",P2122=""),"",INDEX('Students'!$C$2:$C$701,P2122))</f>
        <v/>
      </c>
      <c r="F2122" s="48">
        <f>IF(H2122="","",IF(ISNUMBER(O2122),O2122,J2122))</f>
        <v/>
      </c>
      <c r="G2122">
        <f>IF(H2122="","","OneCause")</f>
        <v/>
      </c>
      <c r="H2122">
        <f>IF(AND(I2122="",J2122="",K2122=""),"",IF(NOT(ISNUMBER(O2122)),"Bad amount",IF(O2122&lt;0,"Refund (not counted)",IF(O2122=0,"Zero amount",IF(NOT(ISNUMBER(N2122)),"Bad date",IF(P2122="","NAME NOT ON ROSTER",IF(L2122="","OK",IF(MATCH(L2122,$L$2:$L$3001,0)&lt;ROW()-1,"Duplicate (ignored)","OK"))))))))</f>
        <v/>
      </c>
      <c r="I2122">
        <f>IF(OC_Date=0,"",IF(INDEX('OneCause_Paste'!$A$2122:$AZ$2122,1,OC_Date)="","",INDEX('OneCause_Paste'!$A$2122:$AZ$2122,1,OC_Date)))</f>
        <v/>
      </c>
      <c r="J2122">
        <f>IF(OC_Amt=0,"",IF(INDEX('OneCause_Paste'!$A$2122:$AZ$2122,1,OC_Amt)="","",INDEX('OneCause_Paste'!$A$2122:$AZ$2122,1,OC_Amt)))</f>
        <v/>
      </c>
      <c r="K2122">
        <f>IF(OC_Name=0,"",IF(INDEX('OneCause_Paste'!$A$2122:$AZ$2122,1,OC_Name)="","",INDEX('OneCause_Paste'!$A$2122:$AZ$2122,1,OC_Name)))</f>
        <v/>
      </c>
      <c r="L2122">
        <f>IF(OC_Txn=0,"",IF(INDEX('OneCause_Paste'!$A$2122:$AZ$2122,1,OC_Txn)="","",INDEX('OneCause_Paste'!$A$2122:$AZ$2122,1,OC_Txn)))</f>
        <v/>
      </c>
      <c r="M2122">
        <f>IF(OC_Pay=0,"",IF(INDEX('OneCause_Paste'!$A$2122:$AZ$2122,1,OC_Pay)="","",INDEX('OneCause_Paste'!$A$2122:$AZ$2122,1,OC_Pay)))</f>
        <v/>
      </c>
      <c r="N2122">
        <f>IF(I2122="","",IF(ISNUMBER(I2122),INT(I2122),IFERROR(INT(DATEVALUE(I2122)),IFERROR(INT(VALUE(I2122)),"bad"))))</f>
        <v/>
      </c>
      <c r="O2122">
        <f>IF(J2122="","",IF(ISNUMBER(J2122),ROUND(J2122,2),IFERROR(ROUND(VALUE(SUBSTITUTE(SUBSTITUTE(SUBSTITUTE(J2122,"$",""),",","")," ","")),2),"bad")))</f>
        <v/>
      </c>
      <c r="P2122">
        <f>IF(TRIM(K2122)="","",IFERROR(MATCH(LOWER(TRIM(K2122)),'Students'!$AH$2:$AH$701,0),IFERROR(MATCH(LOWER(TRIM(K2122)),'Students'!$AF$2:$AF$701,0),IFERROR(MATCH(LOWER(TRIM(K2122)),'Students'!$AG$2:$AG$701,0),""))))</f>
        <v/>
      </c>
      <c r="R2122">
        <f>IF(P2122="","",INDEX('Students'!$AD$2:$AD$701,P2122))</f>
        <v/>
      </c>
      <c r="S2122">
        <f>IF(H2122="OK",O2122,0)</f>
        <v/>
      </c>
      <c r="T2122">
        <f>IF(H2122="OK",N2122,"")</f>
        <v/>
      </c>
      <c r="U2122">
        <f>IF(OC_Donor=0,"",IF(INDEX('OneCause_Paste'!$A$2122:$AZ$2122,1,OC_Donor)="","",INDEX('OneCause_Paste'!$A$2122:$AZ$2122,1,OC_Donor)))</f>
        <v/>
      </c>
    </row>
    <row r="2123">
      <c r="A2123" s="62">
        <f>IF(H2123="","",IF(ISNUMBER(N2123),N2123,I2123))</f>
        <v/>
      </c>
      <c r="B2123">
        <f>IF(H2123="","",U2123)</f>
        <v/>
      </c>
      <c r="C2123">
        <f>IF(H2123="","",IF(P2123="",K2123,INDEX('Students'!$A$2:$A$701,P2123)))</f>
        <v/>
      </c>
      <c r="D2123">
        <f>IF(OR(H2123="",P2123=""),"",INDEX('Students'!$B$2:$B$701,P2123))</f>
        <v/>
      </c>
      <c r="E2123">
        <f>IF(OR(H2123="",P2123=""),"",INDEX('Students'!$C$2:$C$701,P2123))</f>
        <v/>
      </c>
      <c r="F2123" s="48">
        <f>IF(H2123="","",IF(ISNUMBER(O2123),O2123,J2123))</f>
        <v/>
      </c>
      <c r="G2123">
        <f>IF(H2123="","","OneCause")</f>
        <v/>
      </c>
      <c r="H2123">
        <f>IF(AND(I2123="",J2123="",K2123=""),"",IF(NOT(ISNUMBER(O2123)),"Bad amount",IF(O2123&lt;0,"Refund (not counted)",IF(O2123=0,"Zero amount",IF(NOT(ISNUMBER(N2123)),"Bad date",IF(P2123="","NAME NOT ON ROSTER",IF(L2123="","OK",IF(MATCH(L2123,$L$2:$L$3001,0)&lt;ROW()-1,"Duplicate (ignored)","OK"))))))))</f>
        <v/>
      </c>
      <c r="I2123">
        <f>IF(OC_Date=0,"",IF(INDEX('OneCause_Paste'!$A$2123:$AZ$2123,1,OC_Date)="","",INDEX('OneCause_Paste'!$A$2123:$AZ$2123,1,OC_Date)))</f>
        <v/>
      </c>
      <c r="J2123">
        <f>IF(OC_Amt=0,"",IF(INDEX('OneCause_Paste'!$A$2123:$AZ$2123,1,OC_Amt)="","",INDEX('OneCause_Paste'!$A$2123:$AZ$2123,1,OC_Amt)))</f>
        <v/>
      </c>
      <c r="K2123">
        <f>IF(OC_Name=0,"",IF(INDEX('OneCause_Paste'!$A$2123:$AZ$2123,1,OC_Name)="","",INDEX('OneCause_Paste'!$A$2123:$AZ$2123,1,OC_Name)))</f>
        <v/>
      </c>
      <c r="L2123">
        <f>IF(OC_Txn=0,"",IF(INDEX('OneCause_Paste'!$A$2123:$AZ$2123,1,OC_Txn)="","",INDEX('OneCause_Paste'!$A$2123:$AZ$2123,1,OC_Txn)))</f>
        <v/>
      </c>
      <c r="M2123">
        <f>IF(OC_Pay=0,"",IF(INDEX('OneCause_Paste'!$A$2123:$AZ$2123,1,OC_Pay)="","",INDEX('OneCause_Paste'!$A$2123:$AZ$2123,1,OC_Pay)))</f>
        <v/>
      </c>
      <c r="N2123">
        <f>IF(I2123="","",IF(ISNUMBER(I2123),INT(I2123),IFERROR(INT(DATEVALUE(I2123)),IFERROR(INT(VALUE(I2123)),"bad"))))</f>
        <v/>
      </c>
      <c r="O2123">
        <f>IF(J2123="","",IF(ISNUMBER(J2123),ROUND(J2123,2),IFERROR(ROUND(VALUE(SUBSTITUTE(SUBSTITUTE(SUBSTITUTE(J2123,"$",""),",","")," ","")),2),"bad")))</f>
        <v/>
      </c>
      <c r="P2123">
        <f>IF(TRIM(K2123)="","",IFERROR(MATCH(LOWER(TRIM(K2123)),'Students'!$AH$2:$AH$701,0),IFERROR(MATCH(LOWER(TRIM(K2123)),'Students'!$AF$2:$AF$701,0),IFERROR(MATCH(LOWER(TRIM(K2123)),'Students'!$AG$2:$AG$701,0),""))))</f>
        <v/>
      </c>
      <c r="R2123">
        <f>IF(P2123="","",INDEX('Students'!$AD$2:$AD$701,P2123))</f>
        <v/>
      </c>
      <c r="S2123">
        <f>IF(H2123="OK",O2123,0)</f>
        <v/>
      </c>
      <c r="T2123">
        <f>IF(H2123="OK",N2123,"")</f>
        <v/>
      </c>
      <c r="U2123">
        <f>IF(OC_Donor=0,"",IF(INDEX('OneCause_Paste'!$A$2123:$AZ$2123,1,OC_Donor)="","",INDEX('OneCause_Paste'!$A$2123:$AZ$2123,1,OC_Donor)))</f>
        <v/>
      </c>
    </row>
    <row r="2124">
      <c r="A2124" s="62">
        <f>IF(H2124="","",IF(ISNUMBER(N2124),N2124,I2124))</f>
        <v/>
      </c>
      <c r="B2124">
        <f>IF(H2124="","",U2124)</f>
        <v/>
      </c>
      <c r="C2124">
        <f>IF(H2124="","",IF(P2124="",K2124,INDEX('Students'!$A$2:$A$701,P2124)))</f>
        <v/>
      </c>
      <c r="D2124">
        <f>IF(OR(H2124="",P2124=""),"",INDEX('Students'!$B$2:$B$701,P2124))</f>
        <v/>
      </c>
      <c r="E2124">
        <f>IF(OR(H2124="",P2124=""),"",INDEX('Students'!$C$2:$C$701,P2124))</f>
        <v/>
      </c>
      <c r="F2124" s="48">
        <f>IF(H2124="","",IF(ISNUMBER(O2124),O2124,J2124))</f>
        <v/>
      </c>
      <c r="G2124">
        <f>IF(H2124="","","OneCause")</f>
        <v/>
      </c>
      <c r="H2124">
        <f>IF(AND(I2124="",J2124="",K2124=""),"",IF(NOT(ISNUMBER(O2124)),"Bad amount",IF(O2124&lt;0,"Refund (not counted)",IF(O2124=0,"Zero amount",IF(NOT(ISNUMBER(N2124)),"Bad date",IF(P2124="","NAME NOT ON ROSTER",IF(L2124="","OK",IF(MATCH(L2124,$L$2:$L$3001,0)&lt;ROW()-1,"Duplicate (ignored)","OK"))))))))</f>
        <v/>
      </c>
      <c r="I2124">
        <f>IF(OC_Date=0,"",IF(INDEX('OneCause_Paste'!$A$2124:$AZ$2124,1,OC_Date)="","",INDEX('OneCause_Paste'!$A$2124:$AZ$2124,1,OC_Date)))</f>
        <v/>
      </c>
      <c r="J2124">
        <f>IF(OC_Amt=0,"",IF(INDEX('OneCause_Paste'!$A$2124:$AZ$2124,1,OC_Amt)="","",INDEX('OneCause_Paste'!$A$2124:$AZ$2124,1,OC_Amt)))</f>
        <v/>
      </c>
      <c r="K2124">
        <f>IF(OC_Name=0,"",IF(INDEX('OneCause_Paste'!$A$2124:$AZ$2124,1,OC_Name)="","",INDEX('OneCause_Paste'!$A$2124:$AZ$2124,1,OC_Name)))</f>
        <v/>
      </c>
      <c r="L2124">
        <f>IF(OC_Txn=0,"",IF(INDEX('OneCause_Paste'!$A$2124:$AZ$2124,1,OC_Txn)="","",INDEX('OneCause_Paste'!$A$2124:$AZ$2124,1,OC_Txn)))</f>
        <v/>
      </c>
      <c r="M2124">
        <f>IF(OC_Pay=0,"",IF(INDEX('OneCause_Paste'!$A$2124:$AZ$2124,1,OC_Pay)="","",INDEX('OneCause_Paste'!$A$2124:$AZ$2124,1,OC_Pay)))</f>
        <v/>
      </c>
      <c r="N2124">
        <f>IF(I2124="","",IF(ISNUMBER(I2124),INT(I2124),IFERROR(INT(DATEVALUE(I2124)),IFERROR(INT(VALUE(I2124)),"bad"))))</f>
        <v/>
      </c>
      <c r="O2124">
        <f>IF(J2124="","",IF(ISNUMBER(J2124),ROUND(J2124,2),IFERROR(ROUND(VALUE(SUBSTITUTE(SUBSTITUTE(SUBSTITUTE(J2124,"$",""),",","")," ","")),2),"bad")))</f>
        <v/>
      </c>
      <c r="P2124">
        <f>IF(TRIM(K2124)="","",IFERROR(MATCH(LOWER(TRIM(K2124)),'Students'!$AH$2:$AH$701,0),IFERROR(MATCH(LOWER(TRIM(K2124)),'Students'!$AF$2:$AF$701,0),IFERROR(MATCH(LOWER(TRIM(K2124)),'Students'!$AG$2:$AG$701,0),""))))</f>
        <v/>
      </c>
      <c r="R2124">
        <f>IF(P2124="","",INDEX('Students'!$AD$2:$AD$701,P2124))</f>
        <v/>
      </c>
      <c r="S2124">
        <f>IF(H2124="OK",O2124,0)</f>
        <v/>
      </c>
      <c r="T2124">
        <f>IF(H2124="OK",N2124,"")</f>
        <v/>
      </c>
      <c r="U2124">
        <f>IF(OC_Donor=0,"",IF(INDEX('OneCause_Paste'!$A$2124:$AZ$2124,1,OC_Donor)="","",INDEX('OneCause_Paste'!$A$2124:$AZ$2124,1,OC_Donor)))</f>
        <v/>
      </c>
    </row>
    <row r="2125">
      <c r="A2125" s="62">
        <f>IF(H2125="","",IF(ISNUMBER(N2125),N2125,I2125))</f>
        <v/>
      </c>
      <c r="B2125">
        <f>IF(H2125="","",U2125)</f>
        <v/>
      </c>
      <c r="C2125">
        <f>IF(H2125="","",IF(P2125="",K2125,INDEX('Students'!$A$2:$A$701,P2125)))</f>
        <v/>
      </c>
      <c r="D2125">
        <f>IF(OR(H2125="",P2125=""),"",INDEX('Students'!$B$2:$B$701,P2125))</f>
        <v/>
      </c>
      <c r="E2125">
        <f>IF(OR(H2125="",P2125=""),"",INDEX('Students'!$C$2:$C$701,P2125))</f>
        <v/>
      </c>
      <c r="F2125" s="48">
        <f>IF(H2125="","",IF(ISNUMBER(O2125),O2125,J2125))</f>
        <v/>
      </c>
      <c r="G2125">
        <f>IF(H2125="","","OneCause")</f>
        <v/>
      </c>
      <c r="H2125">
        <f>IF(AND(I2125="",J2125="",K2125=""),"",IF(NOT(ISNUMBER(O2125)),"Bad amount",IF(O2125&lt;0,"Refund (not counted)",IF(O2125=0,"Zero amount",IF(NOT(ISNUMBER(N2125)),"Bad date",IF(P2125="","NAME NOT ON ROSTER",IF(L2125="","OK",IF(MATCH(L2125,$L$2:$L$3001,0)&lt;ROW()-1,"Duplicate (ignored)","OK"))))))))</f>
        <v/>
      </c>
      <c r="I2125">
        <f>IF(OC_Date=0,"",IF(INDEX('OneCause_Paste'!$A$2125:$AZ$2125,1,OC_Date)="","",INDEX('OneCause_Paste'!$A$2125:$AZ$2125,1,OC_Date)))</f>
        <v/>
      </c>
      <c r="J2125">
        <f>IF(OC_Amt=0,"",IF(INDEX('OneCause_Paste'!$A$2125:$AZ$2125,1,OC_Amt)="","",INDEX('OneCause_Paste'!$A$2125:$AZ$2125,1,OC_Amt)))</f>
        <v/>
      </c>
      <c r="K2125">
        <f>IF(OC_Name=0,"",IF(INDEX('OneCause_Paste'!$A$2125:$AZ$2125,1,OC_Name)="","",INDEX('OneCause_Paste'!$A$2125:$AZ$2125,1,OC_Name)))</f>
        <v/>
      </c>
      <c r="L2125">
        <f>IF(OC_Txn=0,"",IF(INDEX('OneCause_Paste'!$A$2125:$AZ$2125,1,OC_Txn)="","",INDEX('OneCause_Paste'!$A$2125:$AZ$2125,1,OC_Txn)))</f>
        <v/>
      </c>
      <c r="M2125">
        <f>IF(OC_Pay=0,"",IF(INDEX('OneCause_Paste'!$A$2125:$AZ$2125,1,OC_Pay)="","",INDEX('OneCause_Paste'!$A$2125:$AZ$2125,1,OC_Pay)))</f>
        <v/>
      </c>
      <c r="N2125">
        <f>IF(I2125="","",IF(ISNUMBER(I2125),INT(I2125),IFERROR(INT(DATEVALUE(I2125)),IFERROR(INT(VALUE(I2125)),"bad"))))</f>
        <v/>
      </c>
      <c r="O2125">
        <f>IF(J2125="","",IF(ISNUMBER(J2125),ROUND(J2125,2),IFERROR(ROUND(VALUE(SUBSTITUTE(SUBSTITUTE(SUBSTITUTE(J2125,"$",""),",","")," ","")),2),"bad")))</f>
        <v/>
      </c>
      <c r="P2125">
        <f>IF(TRIM(K2125)="","",IFERROR(MATCH(LOWER(TRIM(K2125)),'Students'!$AH$2:$AH$701,0),IFERROR(MATCH(LOWER(TRIM(K2125)),'Students'!$AF$2:$AF$701,0),IFERROR(MATCH(LOWER(TRIM(K2125)),'Students'!$AG$2:$AG$701,0),""))))</f>
        <v/>
      </c>
      <c r="R2125">
        <f>IF(P2125="","",INDEX('Students'!$AD$2:$AD$701,P2125))</f>
        <v/>
      </c>
      <c r="S2125">
        <f>IF(H2125="OK",O2125,0)</f>
        <v/>
      </c>
      <c r="T2125">
        <f>IF(H2125="OK",N2125,"")</f>
        <v/>
      </c>
      <c r="U2125">
        <f>IF(OC_Donor=0,"",IF(INDEX('OneCause_Paste'!$A$2125:$AZ$2125,1,OC_Donor)="","",INDEX('OneCause_Paste'!$A$2125:$AZ$2125,1,OC_Donor)))</f>
        <v/>
      </c>
    </row>
    <row r="2126">
      <c r="A2126" s="62">
        <f>IF(H2126="","",IF(ISNUMBER(N2126),N2126,I2126))</f>
        <v/>
      </c>
      <c r="B2126">
        <f>IF(H2126="","",U2126)</f>
        <v/>
      </c>
      <c r="C2126">
        <f>IF(H2126="","",IF(P2126="",K2126,INDEX('Students'!$A$2:$A$701,P2126)))</f>
        <v/>
      </c>
      <c r="D2126">
        <f>IF(OR(H2126="",P2126=""),"",INDEX('Students'!$B$2:$B$701,P2126))</f>
        <v/>
      </c>
      <c r="E2126">
        <f>IF(OR(H2126="",P2126=""),"",INDEX('Students'!$C$2:$C$701,P2126))</f>
        <v/>
      </c>
      <c r="F2126" s="48">
        <f>IF(H2126="","",IF(ISNUMBER(O2126),O2126,J2126))</f>
        <v/>
      </c>
      <c r="G2126">
        <f>IF(H2126="","","OneCause")</f>
        <v/>
      </c>
      <c r="H2126">
        <f>IF(AND(I2126="",J2126="",K2126=""),"",IF(NOT(ISNUMBER(O2126)),"Bad amount",IF(O2126&lt;0,"Refund (not counted)",IF(O2126=0,"Zero amount",IF(NOT(ISNUMBER(N2126)),"Bad date",IF(P2126="","NAME NOT ON ROSTER",IF(L2126="","OK",IF(MATCH(L2126,$L$2:$L$3001,0)&lt;ROW()-1,"Duplicate (ignored)","OK"))))))))</f>
        <v/>
      </c>
      <c r="I2126">
        <f>IF(OC_Date=0,"",IF(INDEX('OneCause_Paste'!$A$2126:$AZ$2126,1,OC_Date)="","",INDEX('OneCause_Paste'!$A$2126:$AZ$2126,1,OC_Date)))</f>
        <v/>
      </c>
      <c r="J2126">
        <f>IF(OC_Amt=0,"",IF(INDEX('OneCause_Paste'!$A$2126:$AZ$2126,1,OC_Amt)="","",INDEX('OneCause_Paste'!$A$2126:$AZ$2126,1,OC_Amt)))</f>
        <v/>
      </c>
      <c r="K2126">
        <f>IF(OC_Name=0,"",IF(INDEX('OneCause_Paste'!$A$2126:$AZ$2126,1,OC_Name)="","",INDEX('OneCause_Paste'!$A$2126:$AZ$2126,1,OC_Name)))</f>
        <v/>
      </c>
      <c r="L2126">
        <f>IF(OC_Txn=0,"",IF(INDEX('OneCause_Paste'!$A$2126:$AZ$2126,1,OC_Txn)="","",INDEX('OneCause_Paste'!$A$2126:$AZ$2126,1,OC_Txn)))</f>
        <v/>
      </c>
      <c r="M2126">
        <f>IF(OC_Pay=0,"",IF(INDEX('OneCause_Paste'!$A$2126:$AZ$2126,1,OC_Pay)="","",INDEX('OneCause_Paste'!$A$2126:$AZ$2126,1,OC_Pay)))</f>
        <v/>
      </c>
      <c r="N2126">
        <f>IF(I2126="","",IF(ISNUMBER(I2126),INT(I2126),IFERROR(INT(DATEVALUE(I2126)),IFERROR(INT(VALUE(I2126)),"bad"))))</f>
        <v/>
      </c>
      <c r="O2126">
        <f>IF(J2126="","",IF(ISNUMBER(J2126),ROUND(J2126,2),IFERROR(ROUND(VALUE(SUBSTITUTE(SUBSTITUTE(SUBSTITUTE(J2126,"$",""),",","")," ","")),2),"bad")))</f>
        <v/>
      </c>
      <c r="P2126">
        <f>IF(TRIM(K2126)="","",IFERROR(MATCH(LOWER(TRIM(K2126)),'Students'!$AH$2:$AH$701,0),IFERROR(MATCH(LOWER(TRIM(K2126)),'Students'!$AF$2:$AF$701,0),IFERROR(MATCH(LOWER(TRIM(K2126)),'Students'!$AG$2:$AG$701,0),""))))</f>
        <v/>
      </c>
      <c r="R2126">
        <f>IF(P2126="","",INDEX('Students'!$AD$2:$AD$701,P2126))</f>
        <v/>
      </c>
      <c r="S2126">
        <f>IF(H2126="OK",O2126,0)</f>
        <v/>
      </c>
      <c r="T2126">
        <f>IF(H2126="OK",N2126,"")</f>
        <v/>
      </c>
      <c r="U2126">
        <f>IF(OC_Donor=0,"",IF(INDEX('OneCause_Paste'!$A$2126:$AZ$2126,1,OC_Donor)="","",INDEX('OneCause_Paste'!$A$2126:$AZ$2126,1,OC_Donor)))</f>
        <v/>
      </c>
    </row>
    <row r="2127">
      <c r="A2127" s="62">
        <f>IF(H2127="","",IF(ISNUMBER(N2127),N2127,I2127))</f>
        <v/>
      </c>
      <c r="B2127">
        <f>IF(H2127="","",U2127)</f>
        <v/>
      </c>
      <c r="C2127">
        <f>IF(H2127="","",IF(P2127="",K2127,INDEX('Students'!$A$2:$A$701,P2127)))</f>
        <v/>
      </c>
      <c r="D2127">
        <f>IF(OR(H2127="",P2127=""),"",INDEX('Students'!$B$2:$B$701,P2127))</f>
        <v/>
      </c>
      <c r="E2127">
        <f>IF(OR(H2127="",P2127=""),"",INDEX('Students'!$C$2:$C$701,P2127))</f>
        <v/>
      </c>
      <c r="F2127" s="48">
        <f>IF(H2127="","",IF(ISNUMBER(O2127),O2127,J2127))</f>
        <v/>
      </c>
      <c r="G2127">
        <f>IF(H2127="","","OneCause")</f>
        <v/>
      </c>
      <c r="H2127">
        <f>IF(AND(I2127="",J2127="",K2127=""),"",IF(NOT(ISNUMBER(O2127)),"Bad amount",IF(O2127&lt;0,"Refund (not counted)",IF(O2127=0,"Zero amount",IF(NOT(ISNUMBER(N2127)),"Bad date",IF(P2127="","NAME NOT ON ROSTER",IF(L2127="","OK",IF(MATCH(L2127,$L$2:$L$3001,0)&lt;ROW()-1,"Duplicate (ignored)","OK"))))))))</f>
        <v/>
      </c>
      <c r="I2127">
        <f>IF(OC_Date=0,"",IF(INDEX('OneCause_Paste'!$A$2127:$AZ$2127,1,OC_Date)="","",INDEX('OneCause_Paste'!$A$2127:$AZ$2127,1,OC_Date)))</f>
        <v/>
      </c>
      <c r="J2127">
        <f>IF(OC_Amt=0,"",IF(INDEX('OneCause_Paste'!$A$2127:$AZ$2127,1,OC_Amt)="","",INDEX('OneCause_Paste'!$A$2127:$AZ$2127,1,OC_Amt)))</f>
        <v/>
      </c>
      <c r="K2127">
        <f>IF(OC_Name=0,"",IF(INDEX('OneCause_Paste'!$A$2127:$AZ$2127,1,OC_Name)="","",INDEX('OneCause_Paste'!$A$2127:$AZ$2127,1,OC_Name)))</f>
        <v/>
      </c>
      <c r="L2127">
        <f>IF(OC_Txn=0,"",IF(INDEX('OneCause_Paste'!$A$2127:$AZ$2127,1,OC_Txn)="","",INDEX('OneCause_Paste'!$A$2127:$AZ$2127,1,OC_Txn)))</f>
        <v/>
      </c>
      <c r="M2127">
        <f>IF(OC_Pay=0,"",IF(INDEX('OneCause_Paste'!$A$2127:$AZ$2127,1,OC_Pay)="","",INDEX('OneCause_Paste'!$A$2127:$AZ$2127,1,OC_Pay)))</f>
        <v/>
      </c>
      <c r="N2127">
        <f>IF(I2127="","",IF(ISNUMBER(I2127),INT(I2127),IFERROR(INT(DATEVALUE(I2127)),IFERROR(INT(VALUE(I2127)),"bad"))))</f>
        <v/>
      </c>
      <c r="O2127">
        <f>IF(J2127="","",IF(ISNUMBER(J2127),ROUND(J2127,2),IFERROR(ROUND(VALUE(SUBSTITUTE(SUBSTITUTE(SUBSTITUTE(J2127,"$",""),",","")," ","")),2),"bad")))</f>
        <v/>
      </c>
      <c r="P2127">
        <f>IF(TRIM(K2127)="","",IFERROR(MATCH(LOWER(TRIM(K2127)),'Students'!$AH$2:$AH$701,0),IFERROR(MATCH(LOWER(TRIM(K2127)),'Students'!$AF$2:$AF$701,0),IFERROR(MATCH(LOWER(TRIM(K2127)),'Students'!$AG$2:$AG$701,0),""))))</f>
        <v/>
      </c>
      <c r="R2127">
        <f>IF(P2127="","",INDEX('Students'!$AD$2:$AD$701,P2127))</f>
        <v/>
      </c>
      <c r="S2127">
        <f>IF(H2127="OK",O2127,0)</f>
        <v/>
      </c>
      <c r="T2127">
        <f>IF(H2127="OK",N2127,"")</f>
        <v/>
      </c>
      <c r="U2127">
        <f>IF(OC_Donor=0,"",IF(INDEX('OneCause_Paste'!$A$2127:$AZ$2127,1,OC_Donor)="","",INDEX('OneCause_Paste'!$A$2127:$AZ$2127,1,OC_Donor)))</f>
        <v/>
      </c>
    </row>
    <row r="2128">
      <c r="A2128" s="62">
        <f>IF(H2128="","",IF(ISNUMBER(N2128),N2128,I2128))</f>
        <v/>
      </c>
      <c r="B2128">
        <f>IF(H2128="","",U2128)</f>
        <v/>
      </c>
      <c r="C2128">
        <f>IF(H2128="","",IF(P2128="",K2128,INDEX('Students'!$A$2:$A$701,P2128)))</f>
        <v/>
      </c>
      <c r="D2128">
        <f>IF(OR(H2128="",P2128=""),"",INDEX('Students'!$B$2:$B$701,P2128))</f>
        <v/>
      </c>
      <c r="E2128">
        <f>IF(OR(H2128="",P2128=""),"",INDEX('Students'!$C$2:$C$701,P2128))</f>
        <v/>
      </c>
      <c r="F2128" s="48">
        <f>IF(H2128="","",IF(ISNUMBER(O2128),O2128,J2128))</f>
        <v/>
      </c>
      <c r="G2128">
        <f>IF(H2128="","","OneCause")</f>
        <v/>
      </c>
      <c r="H2128">
        <f>IF(AND(I2128="",J2128="",K2128=""),"",IF(NOT(ISNUMBER(O2128)),"Bad amount",IF(O2128&lt;0,"Refund (not counted)",IF(O2128=0,"Zero amount",IF(NOT(ISNUMBER(N2128)),"Bad date",IF(P2128="","NAME NOT ON ROSTER",IF(L2128="","OK",IF(MATCH(L2128,$L$2:$L$3001,0)&lt;ROW()-1,"Duplicate (ignored)","OK"))))))))</f>
        <v/>
      </c>
      <c r="I2128">
        <f>IF(OC_Date=0,"",IF(INDEX('OneCause_Paste'!$A$2128:$AZ$2128,1,OC_Date)="","",INDEX('OneCause_Paste'!$A$2128:$AZ$2128,1,OC_Date)))</f>
        <v/>
      </c>
      <c r="J2128">
        <f>IF(OC_Amt=0,"",IF(INDEX('OneCause_Paste'!$A$2128:$AZ$2128,1,OC_Amt)="","",INDEX('OneCause_Paste'!$A$2128:$AZ$2128,1,OC_Amt)))</f>
        <v/>
      </c>
      <c r="K2128">
        <f>IF(OC_Name=0,"",IF(INDEX('OneCause_Paste'!$A$2128:$AZ$2128,1,OC_Name)="","",INDEX('OneCause_Paste'!$A$2128:$AZ$2128,1,OC_Name)))</f>
        <v/>
      </c>
      <c r="L2128">
        <f>IF(OC_Txn=0,"",IF(INDEX('OneCause_Paste'!$A$2128:$AZ$2128,1,OC_Txn)="","",INDEX('OneCause_Paste'!$A$2128:$AZ$2128,1,OC_Txn)))</f>
        <v/>
      </c>
      <c r="M2128">
        <f>IF(OC_Pay=0,"",IF(INDEX('OneCause_Paste'!$A$2128:$AZ$2128,1,OC_Pay)="","",INDEX('OneCause_Paste'!$A$2128:$AZ$2128,1,OC_Pay)))</f>
        <v/>
      </c>
      <c r="N2128">
        <f>IF(I2128="","",IF(ISNUMBER(I2128),INT(I2128),IFERROR(INT(DATEVALUE(I2128)),IFERROR(INT(VALUE(I2128)),"bad"))))</f>
        <v/>
      </c>
      <c r="O2128">
        <f>IF(J2128="","",IF(ISNUMBER(J2128),ROUND(J2128,2),IFERROR(ROUND(VALUE(SUBSTITUTE(SUBSTITUTE(SUBSTITUTE(J2128,"$",""),",","")," ","")),2),"bad")))</f>
        <v/>
      </c>
      <c r="P2128">
        <f>IF(TRIM(K2128)="","",IFERROR(MATCH(LOWER(TRIM(K2128)),'Students'!$AH$2:$AH$701,0),IFERROR(MATCH(LOWER(TRIM(K2128)),'Students'!$AF$2:$AF$701,0),IFERROR(MATCH(LOWER(TRIM(K2128)),'Students'!$AG$2:$AG$701,0),""))))</f>
        <v/>
      </c>
      <c r="R2128">
        <f>IF(P2128="","",INDEX('Students'!$AD$2:$AD$701,P2128))</f>
        <v/>
      </c>
      <c r="S2128">
        <f>IF(H2128="OK",O2128,0)</f>
        <v/>
      </c>
      <c r="T2128">
        <f>IF(H2128="OK",N2128,"")</f>
        <v/>
      </c>
      <c r="U2128">
        <f>IF(OC_Donor=0,"",IF(INDEX('OneCause_Paste'!$A$2128:$AZ$2128,1,OC_Donor)="","",INDEX('OneCause_Paste'!$A$2128:$AZ$2128,1,OC_Donor)))</f>
        <v/>
      </c>
    </row>
    <row r="2129">
      <c r="A2129" s="62">
        <f>IF(H2129="","",IF(ISNUMBER(N2129),N2129,I2129))</f>
        <v/>
      </c>
      <c r="B2129">
        <f>IF(H2129="","",U2129)</f>
        <v/>
      </c>
      <c r="C2129">
        <f>IF(H2129="","",IF(P2129="",K2129,INDEX('Students'!$A$2:$A$701,P2129)))</f>
        <v/>
      </c>
      <c r="D2129">
        <f>IF(OR(H2129="",P2129=""),"",INDEX('Students'!$B$2:$B$701,P2129))</f>
        <v/>
      </c>
      <c r="E2129">
        <f>IF(OR(H2129="",P2129=""),"",INDEX('Students'!$C$2:$C$701,P2129))</f>
        <v/>
      </c>
      <c r="F2129" s="48">
        <f>IF(H2129="","",IF(ISNUMBER(O2129),O2129,J2129))</f>
        <v/>
      </c>
      <c r="G2129">
        <f>IF(H2129="","","OneCause")</f>
        <v/>
      </c>
      <c r="H2129">
        <f>IF(AND(I2129="",J2129="",K2129=""),"",IF(NOT(ISNUMBER(O2129)),"Bad amount",IF(O2129&lt;0,"Refund (not counted)",IF(O2129=0,"Zero amount",IF(NOT(ISNUMBER(N2129)),"Bad date",IF(P2129="","NAME NOT ON ROSTER",IF(L2129="","OK",IF(MATCH(L2129,$L$2:$L$3001,0)&lt;ROW()-1,"Duplicate (ignored)","OK"))))))))</f>
        <v/>
      </c>
      <c r="I2129">
        <f>IF(OC_Date=0,"",IF(INDEX('OneCause_Paste'!$A$2129:$AZ$2129,1,OC_Date)="","",INDEX('OneCause_Paste'!$A$2129:$AZ$2129,1,OC_Date)))</f>
        <v/>
      </c>
      <c r="J2129">
        <f>IF(OC_Amt=0,"",IF(INDEX('OneCause_Paste'!$A$2129:$AZ$2129,1,OC_Amt)="","",INDEX('OneCause_Paste'!$A$2129:$AZ$2129,1,OC_Amt)))</f>
        <v/>
      </c>
      <c r="K2129">
        <f>IF(OC_Name=0,"",IF(INDEX('OneCause_Paste'!$A$2129:$AZ$2129,1,OC_Name)="","",INDEX('OneCause_Paste'!$A$2129:$AZ$2129,1,OC_Name)))</f>
        <v/>
      </c>
      <c r="L2129">
        <f>IF(OC_Txn=0,"",IF(INDEX('OneCause_Paste'!$A$2129:$AZ$2129,1,OC_Txn)="","",INDEX('OneCause_Paste'!$A$2129:$AZ$2129,1,OC_Txn)))</f>
        <v/>
      </c>
      <c r="M2129">
        <f>IF(OC_Pay=0,"",IF(INDEX('OneCause_Paste'!$A$2129:$AZ$2129,1,OC_Pay)="","",INDEX('OneCause_Paste'!$A$2129:$AZ$2129,1,OC_Pay)))</f>
        <v/>
      </c>
      <c r="N2129">
        <f>IF(I2129="","",IF(ISNUMBER(I2129),INT(I2129),IFERROR(INT(DATEVALUE(I2129)),IFERROR(INT(VALUE(I2129)),"bad"))))</f>
        <v/>
      </c>
      <c r="O2129">
        <f>IF(J2129="","",IF(ISNUMBER(J2129),ROUND(J2129,2),IFERROR(ROUND(VALUE(SUBSTITUTE(SUBSTITUTE(SUBSTITUTE(J2129,"$",""),",","")," ","")),2),"bad")))</f>
        <v/>
      </c>
      <c r="P2129">
        <f>IF(TRIM(K2129)="","",IFERROR(MATCH(LOWER(TRIM(K2129)),'Students'!$AH$2:$AH$701,0),IFERROR(MATCH(LOWER(TRIM(K2129)),'Students'!$AF$2:$AF$701,0),IFERROR(MATCH(LOWER(TRIM(K2129)),'Students'!$AG$2:$AG$701,0),""))))</f>
        <v/>
      </c>
      <c r="R2129">
        <f>IF(P2129="","",INDEX('Students'!$AD$2:$AD$701,P2129))</f>
        <v/>
      </c>
      <c r="S2129">
        <f>IF(H2129="OK",O2129,0)</f>
        <v/>
      </c>
      <c r="T2129">
        <f>IF(H2129="OK",N2129,"")</f>
        <v/>
      </c>
      <c r="U2129">
        <f>IF(OC_Donor=0,"",IF(INDEX('OneCause_Paste'!$A$2129:$AZ$2129,1,OC_Donor)="","",INDEX('OneCause_Paste'!$A$2129:$AZ$2129,1,OC_Donor)))</f>
        <v/>
      </c>
    </row>
    <row r="2130">
      <c r="A2130" s="62">
        <f>IF(H2130="","",IF(ISNUMBER(N2130),N2130,I2130))</f>
        <v/>
      </c>
      <c r="B2130">
        <f>IF(H2130="","",U2130)</f>
        <v/>
      </c>
      <c r="C2130">
        <f>IF(H2130="","",IF(P2130="",K2130,INDEX('Students'!$A$2:$A$701,P2130)))</f>
        <v/>
      </c>
      <c r="D2130">
        <f>IF(OR(H2130="",P2130=""),"",INDEX('Students'!$B$2:$B$701,P2130))</f>
        <v/>
      </c>
      <c r="E2130">
        <f>IF(OR(H2130="",P2130=""),"",INDEX('Students'!$C$2:$C$701,P2130))</f>
        <v/>
      </c>
      <c r="F2130" s="48">
        <f>IF(H2130="","",IF(ISNUMBER(O2130),O2130,J2130))</f>
        <v/>
      </c>
      <c r="G2130">
        <f>IF(H2130="","","OneCause")</f>
        <v/>
      </c>
      <c r="H2130">
        <f>IF(AND(I2130="",J2130="",K2130=""),"",IF(NOT(ISNUMBER(O2130)),"Bad amount",IF(O2130&lt;0,"Refund (not counted)",IF(O2130=0,"Zero amount",IF(NOT(ISNUMBER(N2130)),"Bad date",IF(P2130="","NAME NOT ON ROSTER",IF(L2130="","OK",IF(MATCH(L2130,$L$2:$L$3001,0)&lt;ROW()-1,"Duplicate (ignored)","OK"))))))))</f>
        <v/>
      </c>
      <c r="I2130">
        <f>IF(OC_Date=0,"",IF(INDEX('OneCause_Paste'!$A$2130:$AZ$2130,1,OC_Date)="","",INDEX('OneCause_Paste'!$A$2130:$AZ$2130,1,OC_Date)))</f>
        <v/>
      </c>
      <c r="J2130">
        <f>IF(OC_Amt=0,"",IF(INDEX('OneCause_Paste'!$A$2130:$AZ$2130,1,OC_Amt)="","",INDEX('OneCause_Paste'!$A$2130:$AZ$2130,1,OC_Amt)))</f>
        <v/>
      </c>
      <c r="K2130">
        <f>IF(OC_Name=0,"",IF(INDEX('OneCause_Paste'!$A$2130:$AZ$2130,1,OC_Name)="","",INDEX('OneCause_Paste'!$A$2130:$AZ$2130,1,OC_Name)))</f>
        <v/>
      </c>
      <c r="L2130">
        <f>IF(OC_Txn=0,"",IF(INDEX('OneCause_Paste'!$A$2130:$AZ$2130,1,OC_Txn)="","",INDEX('OneCause_Paste'!$A$2130:$AZ$2130,1,OC_Txn)))</f>
        <v/>
      </c>
      <c r="M2130">
        <f>IF(OC_Pay=0,"",IF(INDEX('OneCause_Paste'!$A$2130:$AZ$2130,1,OC_Pay)="","",INDEX('OneCause_Paste'!$A$2130:$AZ$2130,1,OC_Pay)))</f>
        <v/>
      </c>
      <c r="N2130">
        <f>IF(I2130="","",IF(ISNUMBER(I2130),INT(I2130),IFERROR(INT(DATEVALUE(I2130)),IFERROR(INT(VALUE(I2130)),"bad"))))</f>
        <v/>
      </c>
      <c r="O2130">
        <f>IF(J2130="","",IF(ISNUMBER(J2130),ROUND(J2130,2),IFERROR(ROUND(VALUE(SUBSTITUTE(SUBSTITUTE(SUBSTITUTE(J2130,"$",""),",","")," ","")),2),"bad")))</f>
        <v/>
      </c>
      <c r="P2130">
        <f>IF(TRIM(K2130)="","",IFERROR(MATCH(LOWER(TRIM(K2130)),'Students'!$AH$2:$AH$701,0),IFERROR(MATCH(LOWER(TRIM(K2130)),'Students'!$AF$2:$AF$701,0),IFERROR(MATCH(LOWER(TRIM(K2130)),'Students'!$AG$2:$AG$701,0),""))))</f>
        <v/>
      </c>
      <c r="R2130">
        <f>IF(P2130="","",INDEX('Students'!$AD$2:$AD$701,P2130))</f>
        <v/>
      </c>
      <c r="S2130">
        <f>IF(H2130="OK",O2130,0)</f>
        <v/>
      </c>
      <c r="T2130">
        <f>IF(H2130="OK",N2130,"")</f>
        <v/>
      </c>
      <c r="U2130">
        <f>IF(OC_Donor=0,"",IF(INDEX('OneCause_Paste'!$A$2130:$AZ$2130,1,OC_Donor)="","",INDEX('OneCause_Paste'!$A$2130:$AZ$2130,1,OC_Donor)))</f>
        <v/>
      </c>
    </row>
    <row r="2131">
      <c r="A2131" s="62">
        <f>IF(H2131="","",IF(ISNUMBER(N2131),N2131,I2131))</f>
        <v/>
      </c>
      <c r="B2131">
        <f>IF(H2131="","",U2131)</f>
        <v/>
      </c>
      <c r="C2131">
        <f>IF(H2131="","",IF(P2131="",K2131,INDEX('Students'!$A$2:$A$701,P2131)))</f>
        <v/>
      </c>
      <c r="D2131">
        <f>IF(OR(H2131="",P2131=""),"",INDEX('Students'!$B$2:$B$701,P2131))</f>
        <v/>
      </c>
      <c r="E2131">
        <f>IF(OR(H2131="",P2131=""),"",INDEX('Students'!$C$2:$C$701,P2131))</f>
        <v/>
      </c>
      <c r="F2131" s="48">
        <f>IF(H2131="","",IF(ISNUMBER(O2131),O2131,J2131))</f>
        <v/>
      </c>
      <c r="G2131">
        <f>IF(H2131="","","OneCause")</f>
        <v/>
      </c>
      <c r="H2131">
        <f>IF(AND(I2131="",J2131="",K2131=""),"",IF(NOT(ISNUMBER(O2131)),"Bad amount",IF(O2131&lt;0,"Refund (not counted)",IF(O2131=0,"Zero amount",IF(NOT(ISNUMBER(N2131)),"Bad date",IF(P2131="","NAME NOT ON ROSTER",IF(L2131="","OK",IF(MATCH(L2131,$L$2:$L$3001,0)&lt;ROW()-1,"Duplicate (ignored)","OK"))))))))</f>
        <v/>
      </c>
      <c r="I2131">
        <f>IF(OC_Date=0,"",IF(INDEX('OneCause_Paste'!$A$2131:$AZ$2131,1,OC_Date)="","",INDEX('OneCause_Paste'!$A$2131:$AZ$2131,1,OC_Date)))</f>
        <v/>
      </c>
      <c r="J2131">
        <f>IF(OC_Amt=0,"",IF(INDEX('OneCause_Paste'!$A$2131:$AZ$2131,1,OC_Amt)="","",INDEX('OneCause_Paste'!$A$2131:$AZ$2131,1,OC_Amt)))</f>
        <v/>
      </c>
      <c r="K2131">
        <f>IF(OC_Name=0,"",IF(INDEX('OneCause_Paste'!$A$2131:$AZ$2131,1,OC_Name)="","",INDEX('OneCause_Paste'!$A$2131:$AZ$2131,1,OC_Name)))</f>
        <v/>
      </c>
      <c r="L2131">
        <f>IF(OC_Txn=0,"",IF(INDEX('OneCause_Paste'!$A$2131:$AZ$2131,1,OC_Txn)="","",INDEX('OneCause_Paste'!$A$2131:$AZ$2131,1,OC_Txn)))</f>
        <v/>
      </c>
      <c r="M2131">
        <f>IF(OC_Pay=0,"",IF(INDEX('OneCause_Paste'!$A$2131:$AZ$2131,1,OC_Pay)="","",INDEX('OneCause_Paste'!$A$2131:$AZ$2131,1,OC_Pay)))</f>
        <v/>
      </c>
      <c r="N2131">
        <f>IF(I2131="","",IF(ISNUMBER(I2131),INT(I2131),IFERROR(INT(DATEVALUE(I2131)),IFERROR(INT(VALUE(I2131)),"bad"))))</f>
        <v/>
      </c>
      <c r="O2131">
        <f>IF(J2131="","",IF(ISNUMBER(J2131),ROUND(J2131,2),IFERROR(ROUND(VALUE(SUBSTITUTE(SUBSTITUTE(SUBSTITUTE(J2131,"$",""),",","")," ","")),2),"bad")))</f>
        <v/>
      </c>
      <c r="P2131">
        <f>IF(TRIM(K2131)="","",IFERROR(MATCH(LOWER(TRIM(K2131)),'Students'!$AH$2:$AH$701,0),IFERROR(MATCH(LOWER(TRIM(K2131)),'Students'!$AF$2:$AF$701,0),IFERROR(MATCH(LOWER(TRIM(K2131)),'Students'!$AG$2:$AG$701,0),""))))</f>
        <v/>
      </c>
      <c r="R2131">
        <f>IF(P2131="","",INDEX('Students'!$AD$2:$AD$701,P2131))</f>
        <v/>
      </c>
      <c r="S2131">
        <f>IF(H2131="OK",O2131,0)</f>
        <v/>
      </c>
      <c r="T2131">
        <f>IF(H2131="OK",N2131,"")</f>
        <v/>
      </c>
      <c r="U2131">
        <f>IF(OC_Donor=0,"",IF(INDEX('OneCause_Paste'!$A$2131:$AZ$2131,1,OC_Donor)="","",INDEX('OneCause_Paste'!$A$2131:$AZ$2131,1,OC_Donor)))</f>
        <v/>
      </c>
    </row>
    <row r="2132">
      <c r="A2132" s="62">
        <f>IF(H2132="","",IF(ISNUMBER(N2132),N2132,I2132))</f>
        <v/>
      </c>
      <c r="B2132">
        <f>IF(H2132="","",U2132)</f>
        <v/>
      </c>
      <c r="C2132">
        <f>IF(H2132="","",IF(P2132="",K2132,INDEX('Students'!$A$2:$A$701,P2132)))</f>
        <v/>
      </c>
      <c r="D2132">
        <f>IF(OR(H2132="",P2132=""),"",INDEX('Students'!$B$2:$B$701,P2132))</f>
        <v/>
      </c>
      <c r="E2132">
        <f>IF(OR(H2132="",P2132=""),"",INDEX('Students'!$C$2:$C$701,P2132))</f>
        <v/>
      </c>
      <c r="F2132" s="48">
        <f>IF(H2132="","",IF(ISNUMBER(O2132),O2132,J2132))</f>
        <v/>
      </c>
      <c r="G2132">
        <f>IF(H2132="","","OneCause")</f>
        <v/>
      </c>
      <c r="H2132">
        <f>IF(AND(I2132="",J2132="",K2132=""),"",IF(NOT(ISNUMBER(O2132)),"Bad amount",IF(O2132&lt;0,"Refund (not counted)",IF(O2132=0,"Zero amount",IF(NOT(ISNUMBER(N2132)),"Bad date",IF(P2132="","NAME NOT ON ROSTER",IF(L2132="","OK",IF(MATCH(L2132,$L$2:$L$3001,0)&lt;ROW()-1,"Duplicate (ignored)","OK"))))))))</f>
        <v/>
      </c>
      <c r="I2132">
        <f>IF(OC_Date=0,"",IF(INDEX('OneCause_Paste'!$A$2132:$AZ$2132,1,OC_Date)="","",INDEX('OneCause_Paste'!$A$2132:$AZ$2132,1,OC_Date)))</f>
        <v/>
      </c>
      <c r="J2132">
        <f>IF(OC_Amt=0,"",IF(INDEX('OneCause_Paste'!$A$2132:$AZ$2132,1,OC_Amt)="","",INDEX('OneCause_Paste'!$A$2132:$AZ$2132,1,OC_Amt)))</f>
        <v/>
      </c>
      <c r="K2132">
        <f>IF(OC_Name=0,"",IF(INDEX('OneCause_Paste'!$A$2132:$AZ$2132,1,OC_Name)="","",INDEX('OneCause_Paste'!$A$2132:$AZ$2132,1,OC_Name)))</f>
        <v/>
      </c>
      <c r="L2132">
        <f>IF(OC_Txn=0,"",IF(INDEX('OneCause_Paste'!$A$2132:$AZ$2132,1,OC_Txn)="","",INDEX('OneCause_Paste'!$A$2132:$AZ$2132,1,OC_Txn)))</f>
        <v/>
      </c>
      <c r="M2132">
        <f>IF(OC_Pay=0,"",IF(INDEX('OneCause_Paste'!$A$2132:$AZ$2132,1,OC_Pay)="","",INDEX('OneCause_Paste'!$A$2132:$AZ$2132,1,OC_Pay)))</f>
        <v/>
      </c>
      <c r="N2132">
        <f>IF(I2132="","",IF(ISNUMBER(I2132),INT(I2132),IFERROR(INT(DATEVALUE(I2132)),IFERROR(INT(VALUE(I2132)),"bad"))))</f>
        <v/>
      </c>
      <c r="O2132">
        <f>IF(J2132="","",IF(ISNUMBER(J2132),ROUND(J2132,2),IFERROR(ROUND(VALUE(SUBSTITUTE(SUBSTITUTE(SUBSTITUTE(J2132,"$",""),",","")," ","")),2),"bad")))</f>
        <v/>
      </c>
      <c r="P2132">
        <f>IF(TRIM(K2132)="","",IFERROR(MATCH(LOWER(TRIM(K2132)),'Students'!$AH$2:$AH$701,0),IFERROR(MATCH(LOWER(TRIM(K2132)),'Students'!$AF$2:$AF$701,0),IFERROR(MATCH(LOWER(TRIM(K2132)),'Students'!$AG$2:$AG$701,0),""))))</f>
        <v/>
      </c>
      <c r="R2132">
        <f>IF(P2132="","",INDEX('Students'!$AD$2:$AD$701,P2132))</f>
        <v/>
      </c>
      <c r="S2132">
        <f>IF(H2132="OK",O2132,0)</f>
        <v/>
      </c>
      <c r="T2132">
        <f>IF(H2132="OK",N2132,"")</f>
        <v/>
      </c>
      <c r="U2132">
        <f>IF(OC_Donor=0,"",IF(INDEX('OneCause_Paste'!$A$2132:$AZ$2132,1,OC_Donor)="","",INDEX('OneCause_Paste'!$A$2132:$AZ$2132,1,OC_Donor)))</f>
        <v/>
      </c>
    </row>
    <row r="2133">
      <c r="A2133" s="62">
        <f>IF(H2133="","",IF(ISNUMBER(N2133),N2133,I2133))</f>
        <v/>
      </c>
      <c r="B2133">
        <f>IF(H2133="","",U2133)</f>
        <v/>
      </c>
      <c r="C2133">
        <f>IF(H2133="","",IF(P2133="",K2133,INDEX('Students'!$A$2:$A$701,P2133)))</f>
        <v/>
      </c>
      <c r="D2133">
        <f>IF(OR(H2133="",P2133=""),"",INDEX('Students'!$B$2:$B$701,P2133))</f>
        <v/>
      </c>
      <c r="E2133">
        <f>IF(OR(H2133="",P2133=""),"",INDEX('Students'!$C$2:$C$701,P2133))</f>
        <v/>
      </c>
      <c r="F2133" s="48">
        <f>IF(H2133="","",IF(ISNUMBER(O2133),O2133,J2133))</f>
        <v/>
      </c>
      <c r="G2133">
        <f>IF(H2133="","","OneCause")</f>
        <v/>
      </c>
      <c r="H2133">
        <f>IF(AND(I2133="",J2133="",K2133=""),"",IF(NOT(ISNUMBER(O2133)),"Bad amount",IF(O2133&lt;0,"Refund (not counted)",IF(O2133=0,"Zero amount",IF(NOT(ISNUMBER(N2133)),"Bad date",IF(P2133="","NAME NOT ON ROSTER",IF(L2133="","OK",IF(MATCH(L2133,$L$2:$L$3001,0)&lt;ROW()-1,"Duplicate (ignored)","OK"))))))))</f>
        <v/>
      </c>
      <c r="I2133">
        <f>IF(OC_Date=0,"",IF(INDEX('OneCause_Paste'!$A$2133:$AZ$2133,1,OC_Date)="","",INDEX('OneCause_Paste'!$A$2133:$AZ$2133,1,OC_Date)))</f>
        <v/>
      </c>
      <c r="J2133">
        <f>IF(OC_Amt=0,"",IF(INDEX('OneCause_Paste'!$A$2133:$AZ$2133,1,OC_Amt)="","",INDEX('OneCause_Paste'!$A$2133:$AZ$2133,1,OC_Amt)))</f>
        <v/>
      </c>
      <c r="K2133">
        <f>IF(OC_Name=0,"",IF(INDEX('OneCause_Paste'!$A$2133:$AZ$2133,1,OC_Name)="","",INDEX('OneCause_Paste'!$A$2133:$AZ$2133,1,OC_Name)))</f>
        <v/>
      </c>
      <c r="L2133">
        <f>IF(OC_Txn=0,"",IF(INDEX('OneCause_Paste'!$A$2133:$AZ$2133,1,OC_Txn)="","",INDEX('OneCause_Paste'!$A$2133:$AZ$2133,1,OC_Txn)))</f>
        <v/>
      </c>
      <c r="M2133">
        <f>IF(OC_Pay=0,"",IF(INDEX('OneCause_Paste'!$A$2133:$AZ$2133,1,OC_Pay)="","",INDEX('OneCause_Paste'!$A$2133:$AZ$2133,1,OC_Pay)))</f>
        <v/>
      </c>
      <c r="N2133">
        <f>IF(I2133="","",IF(ISNUMBER(I2133),INT(I2133),IFERROR(INT(DATEVALUE(I2133)),IFERROR(INT(VALUE(I2133)),"bad"))))</f>
        <v/>
      </c>
      <c r="O2133">
        <f>IF(J2133="","",IF(ISNUMBER(J2133),ROUND(J2133,2),IFERROR(ROUND(VALUE(SUBSTITUTE(SUBSTITUTE(SUBSTITUTE(J2133,"$",""),",","")," ","")),2),"bad")))</f>
        <v/>
      </c>
      <c r="P2133">
        <f>IF(TRIM(K2133)="","",IFERROR(MATCH(LOWER(TRIM(K2133)),'Students'!$AH$2:$AH$701,0),IFERROR(MATCH(LOWER(TRIM(K2133)),'Students'!$AF$2:$AF$701,0),IFERROR(MATCH(LOWER(TRIM(K2133)),'Students'!$AG$2:$AG$701,0),""))))</f>
        <v/>
      </c>
      <c r="R2133">
        <f>IF(P2133="","",INDEX('Students'!$AD$2:$AD$701,P2133))</f>
        <v/>
      </c>
      <c r="S2133">
        <f>IF(H2133="OK",O2133,0)</f>
        <v/>
      </c>
      <c r="T2133">
        <f>IF(H2133="OK",N2133,"")</f>
        <v/>
      </c>
      <c r="U2133">
        <f>IF(OC_Donor=0,"",IF(INDEX('OneCause_Paste'!$A$2133:$AZ$2133,1,OC_Donor)="","",INDEX('OneCause_Paste'!$A$2133:$AZ$2133,1,OC_Donor)))</f>
        <v/>
      </c>
    </row>
    <row r="2134">
      <c r="A2134" s="62">
        <f>IF(H2134="","",IF(ISNUMBER(N2134),N2134,I2134))</f>
        <v/>
      </c>
      <c r="B2134">
        <f>IF(H2134="","",U2134)</f>
        <v/>
      </c>
      <c r="C2134">
        <f>IF(H2134="","",IF(P2134="",K2134,INDEX('Students'!$A$2:$A$701,P2134)))</f>
        <v/>
      </c>
      <c r="D2134">
        <f>IF(OR(H2134="",P2134=""),"",INDEX('Students'!$B$2:$B$701,P2134))</f>
        <v/>
      </c>
      <c r="E2134">
        <f>IF(OR(H2134="",P2134=""),"",INDEX('Students'!$C$2:$C$701,P2134))</f>
        <v/>
      </c>
      <c r="F2134" s="48">
        <f>IF(H2134="","",IF(ISNUMBER(O2134),O2134,J2134))</f>
        <v/>
      </c>
      <c r="G2134">
        <f>IF(H2134="","","OneCause")</f>
        <v/>
      </c>
      <c r="H2134">
        <f>IF(AND(I2134="",J2134="",K2134=""),"",IF(NOT(ISNUMBER(O2134)),"Bad amount",IF(O2134&lt;0,"Refund (not counted)",IF(O2134=0,"Zero amount",IF(NOT(ISNUMBER(N2134)),"Bad date",IF(P2134="","NAME NOT ON ROSTER",IF(L2134="","OK",IF(MATCH(L2134,$L$2:$L$3001,0)&lt;ROW()-1,"Duplicate (ignored)","OK"))))))))</f>
        <v/>
      </c>
      <c r="I2134">
        <f>IF(OC_Date=0,"",IF(INDEX('OneCause_Paste'!$A$2134:$AZ$2134,1,OC_Date)="","",INDEX('OneCause_Paste'!$A$2134:$AZ$2134,1,OC_Date)))</f>
        <v/>
      </c>
      <c r="J2134">
        <f>IF(OC_Amt=0,"",IF(INDEX('OneCause_Paste'!$A$2134:$AZ$2134,1,OC_Amt)="","",INDEX('OneCause_Paste'!$A$2134:$AZ$2134,1,OC_Amt)))</f>
        <v/>
      </c>
      <c r="K2134">
        <f>IF(OC_Name=0,"",IF(INDEX('OneCause_Paste'!$A$2134:$AZ$2134,1,OC_Name)="","",INDEX('OneCause_Paste'!$A$2134:$AZ$2134,1,OC_Name)))</f>
        <v/>
      </c>
      <c r="L2134">
        <f>IF(OC_Txn=0,"",IF(INDEX('OneCause_Paste'!$A$2134:$AZ$2134,1,OC_Txn)="","",INDEX('OneCause_Paste'!$A$2134:$AZ$2134,1,OC_Txn)))</f>
        <v/>
      </c>
      <c r="M2134">
        <f>IF(OC_Pay=0,"",IF(INDEX('OneCause_Paste'!$A$2134:$AZ$2134,1,OC_Pay)="","",INDEX('OneCause_Paste'!$A$2134:$AZ$2134,1,OC_Pay)))</f>
        <v/>
      </c>
      <c r="N2134">
        <f>IF(I2134="","",IF(ISNUMBER(I2134),INT(I2134),IFERROR(INT(DATEVALUE(I2134)),IFERROR(INT(VALUE(I2134)),"bad"))))</f>
        <v/>
      </c>
      <c r="O2134">
        <f>IF(J2134="","",IF(ISNUMBER(J2134),ROUND(J2134,2),IFERROR(ROUND(VALUE(SUBSTITUTE(SUBSTITUTE(SUBSTITUTE(J2134,"$",""),",","")," ","")),2),"bad")))</f>
        <v/>
      </c>
      <c r="P2134">
        <f>IF(TRIM(K2134)="","",IFERROR(MATCH(LOWER(TRIM(K2134)),'Students'!$AH$2:$AH$701,0),IFERROR(MATCH(LOWER(TRIM(K2134)),'Students'!$AF$2:$AF$701,0),IFERROR(MATCH(LOWER(TRIM(K2134)),'Students'!$AG$2:$AG$701,0),""))))</f>
        <v/>
      </c>
      <c r="R2134">
        <f>IF(P2134="","",INDEX('Students'!$AD$2:$AD$701,P2134))</f>
        <v/>
      </c>
      <c r="S2134">
        <f>IF(H2134="OK",O2134,0)</f>
        <v/>
      </c>
      <c r="T2134">
        <f>IF(H2134="OK",N2134,"")</f>
        <v/>
      </c>
      <c r="U2134">
        <f>IF(OC_Donor=0,"",IF(INDEX('OneCause_Paste'!$A$2134:$AZ$2134,1,OC_Donor)="","",INDEX('OneCause_Paste'!$A$2134:$AZ$2134,1,OC_Donor)))</f>
        <v/>
      </c>
    </row>
    <row r="2135">
      <c r="A2135" s="62">
        <f>IF(H2135="","",IF(ISNUMBER(N2135),N2135,I2135))</f>
        <v/>
      </c>
      <c r="B2135">
        <f>IF(H2135="","",U2135)</f>
        <v/>
      </c>
      <c r="C2135">
        <f>IF(H2135="","",IF(P2135="",K2135,INDEX('Students'!$A$2:$A$701,P2135)))</f>
        <v/>
      </c>
      <c r="D2135">
        <f>IF(OR(H2135="",P2135=""),"",INDEX('Students'!$B$2:$B$701,P2135))</f>
        <v/>
      </c>
      <c r="E2135">
        <f>IF(OR(H2135="",P2135=""),"",INDEX('Students'!$C$2:$C$701,P2135))</f>
        <v/>
      </c>
      <c r="F2135" s="48">
        <f>IF(H2135="","",IF(ISNUMBER(O2135),O2135,J2135))</f>
        <v/>
      </c>
      <c r="G2135">
        <f>IF(H2135="","","OneCause")</f>
        <v/>
      </c>
      <c r="H2135">
        <f>IF(AND(I2135="",J2135="",K2135=""),"",IF(NOT(ISNUMBER(O2135)),"Bad amount",IF(O2135&lt;0,"Refund (not counted)",IF(O2135=0,"Zero amount",IF(NOT(ISNUMBER(N2135)),"Bad date",IF(P2135="","NAME NOT ON ROSTER",IF(L2135="","OK",IF(MATCH(L2135,$L$2:$L$3001,0)&lt;ROW()-1,"Duplicate (ignored)","OK"))))))))</f>
        <v/>
      </c>
      <c r="I2135">
        <f>IF(OC_Date=0,"",IF(INDEX('OneCause_Paste'!$A$2135:$AZ$2135,1,OC_Date)="","",INDEX('OneCause_Paste'!$A$2135:$AZ$2135,1,OC_Date)))</f>
        <v/>
      </c>
      <c r="J2135">
        <f>IF(OC_Amt=0,"",IF(INDEX('OneCause_Paste'!$A$2135:$AZ$2135,1,OC_Amt)="","",INDEX('OneCause_Paste'!$A$2135:$AZ$2135,1,OC_Amt)))</f>
        <v/>
      </c>
      <c r="K2135">
        <f>IF(OC_Name=0,"",IF(INDEX('OneCause_Paste'!$A$2135:$AZ$2135,1,OC_Name)="","",INDEX('OneCause_Paste'!$A$2135:$AZ$2135,1,OC_Name)))</f>
        <v/>
      </c>
      <c r="L2135">
        <f>IF(OC_Txn=0,"",IF(INDEX('OneCause_Paste'!$A$2135:$AZ$2135,1,OC_Txn)="","",INDEX('OneCause_Paste'!$A$2135:$AZ$2135,1,OC_Txn)))</f>
        <v/>
      </c>
      <c r="M2135">
        <f>IF(OC_Pay=0,"",IF(INDEX('OneCause_Paste'!$A$2135:$AZ$2135,1,OC_Pay)="","",INDEX('OneCause_Paste'!$A$2135:$AZ$2135,1,OC_Pay)))</f>
        <v/>
      </c>
      <c r="N2135">
        <f>IF(I2135="","",IF(ISNUMBER(I2135),INT(I2135),IFERROR(INT(DATEVALUE(I2135)),IFERROR(INT(VALUE(I2135)),"bad"))))</f>
        <v/>
      </c>
      <c r="O2135">
        <f>IF(J2135="","",IF(ISNUMBER(J2135),ROUND(J2135,2),IFERROR(ROUND(VALUE(SUBSTITUTE(SUBSTITUTE(SUBSTITUTE(J2135,"$",""),",","")," ","")),2),"bad")))</f>
        <v/>
      </c>
      <c r="P2135">
        <f>IF(TRIM(K2135)="","",IFERROR(MATCH(LOWER(TRIM(K2135)),'Students'!$AH$2:$AH$701,0),IFERROR(MATCH(LOWER(TRIM(K2135)),'Students'!$AF$2:$AF$701,0),IFERROR(MATCH(LOWER(TRIM(K2135)),'Students'!$AG$2:$AG$701,0),""))))</f>
        <v/>
      </c>
      <c r="R2135">
        <f>IF(P2135="","",INDEX('Students'!$AD$2:$AD$701,P2135))</f>
        <v/>
      </c>
      <c r="S2135">
        <f>IF(H2135="OK",O2135,0)</f>
        <v/>
      </c>
      <c r="T2135">
        <f>IF(H2135="OK",N2135,"")</f>
        <v/>
      </c>
      <c r="U2135">
        <f>IF(OC_Donor=0,"",IF(INDEX('OneCause_Paste'!$A$2135:$AZ$2135,1,OC_Donor)="","",INDEX('OneCause_Paste'!$A$2135:$AZ$2135,1,OC_Donor)))</f>
        <v/>
      </c>
    </row>
    <row r="2136">
      <c r="A2136" s="62">
        <f>IF(H2136="","",IF(ISNUMBER(N2136),N2136,I2136))</f>
        <v/>
      </c>
      <c r="B2136">
        <f>IF(H2136="","",U2136)</f>
        <v/>
      </c>
      <c r="C2136">
        <f>IF(H2136="","",IF(P2136="",K2136,INDEX('Students'!$A$2:$A$701,P2136)))</f>
        <v/>
      </c>
      <c r="D2136">
        <f>IF(OR(H2136="",P2136=""),"",INDEX('Students'!$B$2:$B$701,P2136))</f>
        <v/>
      </c>
      <c r="E2136">
        <f>IF(OR(H2136="",P2136=""),"",INDEX('Students'!$C$2:$C$701,P2136))</f>
        <v/>
      </c>
      <c r="F2136" s="48">
        <f>IF(H2136="","",IF(ISNUMBER(O2136),O2136,J2136))</f>
        <v/>
      </c>
      <c r="G2136">
        <f>IF(H2136="","","OneCause")</f>
        <v/>
      </c>
      <c r="H2136">
        <f>IF(AND(I2136="",J2136="",K2136=""),"",IF(NOT(ISNUMBER(O2136)),"Bad amount",IF(O2136&lt;0,"Refund (not counted)",IF(O2136=0,"Zero amount",IF(NOT(ISNUMBER(N2136)),"Bad date",IF(P2136="","NAME NOT ON ROSTER",IF(L2136="","OK",IF(MATCH(L2136,$L$2:$L$3001,0)&lt;ROW()-1,"Duplicate (ignored)","OK"))))))))</f>
        <v/>
      </c>
      <c r="I2136">
        <f>IF(OC_Date=0,"",IF(INDEX('OneCause_Paste'!$A$2136:$AZ$2136,1,OC_Date)="","",INDEX('OneCause_Paste'!$A$2136:$AZ$2136,1,OC_Date)))</f>
        <v/>
      </c>
      <c r="J2136">
        <f>IF(OC_Amt=0,"",IF(INDEX('OneCause_Paste'!$A$2136:$AZ$2136,1,OC_Amt)="","",INDEX('OneCause_Paste'!$A$2136:$AZ$2136,1,OC_Amt)))</f>
        <v/>
      </c>
      <c r="K2136">
        <f>IF(OC_Name=0,"",IF(INDEX('OneCause_Paste'!$A$2136:$AZ$2136,1,OC_Name)="","",INDEX('OneCause_Paste'!$A$2136:$AZ$2136,1,OC_Name)))</f>
        <v/>
      </c>
      <c r="L2136">
        <f>IF(OC_Txn=0,"",IF(INDEX('OneCause_Paste'!$A$2136:$AZ$2136,1,OC_Txn)="","",INDEX('OneCause_Paste'!$A$2136:$AZ$2136,1,OC_Txn)))</f>
        <v/>
      </c>
      <c r="M2136">
        <f>IF(OC_Pay=0,"",IF(INDEX('OneCause_Paste'!$A$2136:$AZ$2136,1,OC_Pay)="","",INDEX('OneCause_Paste'!$A$2136:$AZ$2136,1,OC_Pay)))</f>
        <v/>
      </c>
      <c r="N2136">
        <f>IF(I2136="","",IF(ISNUMBER(I2136),INT(I2136),IFERROR(INT(DATEVALUE(I2136)),IFERROR(INT(VALUE(I2136)),"bad"))))</f>
        <v/>
      </c>
      <c r="O2136">
        <f>IF(J2136="","",IF(ISNUMBER(J2136),ROUND(J2136,2),IFERROR(ROUND(VALUE(SUBSTITUTE(SUBSTITUTE(SUBSTITUTE(J2136,"$",""),",","")," ","")),2),"bad")))</f>
        <v/>
      </c>
      <c r="P2136">
        <f>IF(TRIM(K2136)="","",IFERROR(MATCH(LOWER(TRIM(K2136)),'Students'!$AH$2:$AH$701,0),IFERROR(MATCH(LOWER(TRIM(K2136)),'Students'!$AF$2:$AF$701,0),IFERROR(MATCH(LOWER(TRIM(K2136)),'Students'!$AG$2:$AG$701,0),""))))</f>
        <v/>
      </c>
      <c r="R2136">
        <f>IF(P2136="","",INDEX('Students'!$AD$2:$AD$701,P2136))</f>
        <v/>
      </c>
      <c r="S2136">
        <f>IF(H2136="OK",O2136,0)</f>
        <v/>
      </c>
      <c r="T2136">
        <f>IF(H2136="OK",N2136,"")</f>
        <v/>
      </c>
      <c r="U2136">
        <f>IF(OC_Donor=0,"",IF(INDEX('OneCause_Paste'!$A$2136:$AZ$2136,1,OC_Donor)="","",INDEX('OneCause_Paste'!$A$2136:$AZ$2136,1,OC_Donor)))</f>
        <v/>
      </c>
    </row>
    <row r="2137">
      <c r="A2137" s="62">
        <f>IF(H2137="","",IF(ISNUMBER(N2137),N2137,I2137))</f>
        <v/>
      </c>
      <c r="B2137">
        <f>IF(H2137="","",U2137)</f>
        <v/>
      </c>
      <c r="C2137">
        <f>IF(H2137="","",IF(P2137="",K2137,INDEX('Students'!$A$2:$A$701,P2137)))</f>
        <v/>
      </c>
      <c r="D2137">
        <f>IF(OR(H2137="",P2137=""),"",INDEX('Students'!$B$2:$B$701,P2137))</f>
        <v/>
      </c>
      <c r="E2137">
        <f>IF(OR(H2137="",P2137=""),"",INDEX('Students'!$C$2:$C$701,P2137))</f>
        <v/>
      </c>
      <c r="F2137" s="48">
        <f>IF(H2137="","",IF(ISNUMBER(O2137),O2137,J2137))</f>
        <v/>
      </c>
      <c r="G2137">
        <f>IF(H2137="","","OneCause")</f>
        <v/>
      </c>
      <c r="H2137">
        <f>IF(AND(I2137="",J2137="",K2137=""),"",IF(NOT(ISNUMBER(O2137)),"Bad amount",IF(O2137&lt;0,"Refund (not counted)",IF(O2137=0,"Zero amount",IF(NOT(ISNUMBER(N2137)),"Bad date",IF(P2137="","NAME NOT ON ROSTER",IF(L2137="","OK",IF(MATCH(L2137,$L$2:$L$3001,0)&lt;ROW()-1,"Duplicate (ignored)","OK"))))))))</f>
        <v/>
      </c>
      <c r="I2137">
        <f>IF(OC_Date=0,"",IF(INDEX('OneCause_Paste'!$A$2137:$AZ$2137,1,OC_Date)="","",INDEX('OneCause_Paste'!$A$2137:$AZ$2137,1,OC_Date)))</f>
        <v/>
      </c>
      <c r="J2137">
        <f>IF(OC_Amt=0,"",IF(INDEX('OneCause_Paste'!$A$2137:$AZ$2137,1,OC_Amt)="","",INDEX('OneCause_Paste'!$A$2137:$AZ$2137,1,OC_Amt)))</f>
        <v/>
      </c>
      <c r="K2137">
        <f>IF(OC_Name=0,"",IF(INDEX('OneCause_Paste'!$A$2137:$AZ$2137,1,OC_Name)="","",INDEX('OneCause_Paste'!$A$2137:$AZ$2137,1,OC_Name)))</f>
        <v/>
      </c>
      <c r="L2137">
        <f>IF(OC_Txn=0,"",IF(INDEX('OneCause_Paste'!$A$2137:$AZ$2137,1,OC_Txn)="","",INDEX('OneCause_Paste'!$A$2137:$AZ$2137,1,OC_Txn)))</f>
        <v/>
      </c>
      <c r="M2137">
        <f>IF(OC_Pay=0,"",IF(INDEX('OneCause_Paste'!$A$2137:$AZ$2137,1,OC_Pay)="","",INDEX('OneCause_Paste'!$A$2137:$AZ$2137,1,OC_Pay)))</f>
        <v/>
      </c>
      <c r="N2137">
        <f>IF(I2137="","",IF(ISNUMBER(I2137),INT(I2137),IFERROR(INT(DATEVALUE(I2137)),IFERROR(INT(VALUE(I2137)),"bad"))))</f>
        <v/>
      </c>
      <c r="O2137">
        <f>IF(J2137="","",IF(ISNUMBER(J2137),ROUND(J2137,2),IFERROR(ROUND(VALUE(SUBSTITUTE(SUBSTITUTE(SUBSTITUTE(J2137,"$",""),",","")," ","")),2),"bad")))</f>
        <v/>
      </c>
      <c r="P2137">
        <f>IF(TRIM(K2137)="","",IFERROR(MATCH(LOWER(TRIM(K2137)),'Students'!$AH$2:$AH$701,0),IFERROR(MATCH(LOWER(TRIM(K2137)),'Students'!$AF$2:$AF$701,0),IFERROR(MATCH(LOWER(TRIM(K2137)),'Students'!$AG$2:$AG$701,0),""))))</f>
        <v/>
      </c>
      <c r="R2137">
        <f>IF(P2137="","",INDEX('Students'!$AD$2:$AD$701,P2137))</f>
        <v/>
      </c>
      <c r="S2137">
        <f>IF(H2137="OK",O2137,0)</f>
        <v/>
      </c>
      <c r="T2137">
        <f>IF(H2137="OK",N2137,"")</f>
        <v/>
      </c>
      <c r="U2137">
        <f>IF(OC_Donor=0,"",IF(INDEX('OneCause_Paste'!$A$2137:$AZ$2137,1,OC_Donor)="","",INDEX('OneCause_Paste'!$A$2137:$AZ$2137,1,OC_Donor)))</f>
        <v/>
      </c>
    </row>
    <row r="2138">
      <c r="A2138" s="62">
        <f>IF(H2138="","",IF(ISNUMBER(N2138),N2138,I2138))</f>
        <v/>
      </c>
      <c r="B2138">
        <f>IF(H2138="","",U2138)</f>
        <v/>
      </c>
      <c r="C2138">
        <f>IF(H2138="","",IF(P2138="",K2138,INDEX('Students'!$A$2:$A$701,P2138)))</f>
        <v/>
      </c>
      <c r="D2138">
        <f>IF(OR(H2138="",P2138=""),"",INDEX('Students'!$B$2:$B$701,P2138))</f>
        <v/>
      </c>
      <c r="E2138">
        <f>IF(OR(H2138="",P2138=""),"",INDEX('Students'!$C$2:$C$701,P2138))</f>
        <v/>
      </c>
      <c r="F2138" s="48">
        <f>IF(H2138="","",IF(ISNUMBER(O2138),O2138,J2138))</f>
        <v/>
      </c>
      <c r="G2138">
        <f>IF(H2138="","","OneCause")</f>
        <v/>
      </c>
      <c r="H2138">
        <f>IF(AND(I2138="",J2138="",K2138=""),"",IF(NOT(ISNUMBER(O2138)),"Bad amount",IF(O2138&lt;0,"Refund (not counted)",IF(O2138=0,"Zero amount",IF(NOT(ISNUMBER(N2138)),"Bad date",IF(P2138="","NAME NOT ON ROSTER",IF(L2138="","OK",IF(MATCH(L2138,$L$2:$L$3001,0)&lt;ROW()-1,"Duplicate (ignored)","OK"))))))))</f>
        <v/>
      </c>
      <c r="I2138">
        <f>IF(OC_Date=0,"",IF(INDEX('OneCause_Paste'!$A$2138:$AZ$2138,1,OC_Date)="","",INDEX('OneCause_Paste'!$A$2138:$AZ$2138,1,OC_Date)))</f>
        <v/>
      </c>
      <c r="J2138">
        <f>IF(OC_Amt=0,"",IF(INDEX('OneCause_Paste'!$A$2138:$AZ$2138,1,OC_Amt)="","",INDEX('OneCause_Paste'!$A$2138:$AZ$2138,1,OC_Amt)))</f>
        <v/>
      </c>
      <c r="K2138">
        <f>IF(OC_Name=0,"",IF(INDEX('OneCause_Paste'!$A$2138:$AZ$2138,1,OC_Name)="","",INDEX('OneCause_Paste'!$A$2138:$AZ$2138,1,OC_Name)))</f>
        <v/>
      </c>
      <c r="L2138">
        <f>IF(OC_Txn=0,"",IF(INDEX('OneCause_Paste'!$A$2138:$AZ$2138,1,OC_Txn)="","",INDEX('OneCause_Paste'!$A$2138:$AZ$2138,1,OC_Txn)))</f>
        <v/>
      </c>
      <c r="M2138">
        <f>IF(OC_Pay=0,"",IF(INDEX('OneCause_Paste'!$A$2138:$AZ$2138,1,OC_Pay)="","",INDEX('OneCause_Paste'!$A$2138:$AZ$2138,1,OC_Pay)))</f>
        <v/>
      </c>
      <c r="N2138">
        <f>IF(I2138="","",IF(ISNUMBER(I2138),INT(I2138),IFERROR(INT(DATEVALUE(I2138)),IFERROR(INT(VALUE(I2138)),"bad"))))</f>
        <v/>
      </c>
      <c r="O2138">
        <f>IF(J2138="","",IF(ISNUMBER(J2138),ROUND(J2138,2),IFERROR(ROUND(VALUE(SUBSTITUTE(SUBSTITUTE(SUBSTITUTE(J2138,"$",""),",","")," ","")),2),"bad")))</f>
        <v/>
      </c>
      <c r="P2138">
        <f>IF(TRIM(K2138)="","",IFERROR(MATCH(LOWER(TRIM(K2138)),'Students'!$AH$2:$AH$701,0),IFERROR(MATCH(LOWER(TRIM(K2138)),'Students'!$AF$2:$AF$701,0),IFERROR(MATCH(LOWER(TRIM(K2138)),'Students'!$AG$2:$AG$701,0),""))))</f>
        <v/>
      </c>
      <c r="R2138">
        <f>IF(P2138="","",INDEX('Students'!$AD$2:$AD$701,P2138))</f>
        <v/>
      </c>
      <c r="S2138">
        <f>IF(H2138="OK",O2138,0)</f>
        <v/>
      </c>
      <c r="T2138">
        <f>IF(H2138="OK",N2138,"")</f>
        <v/>
      </c>
      <c r="U2138">
        <f>IF(OC_Donor=0,"",IF(INDEX('OneCause_Paste'!$A$2138:$AZ$2138,1,OC_Donor)="","",INDEX('OneCause_Paste'!$A$2138:$AZ$2138,1,OC_Donor)))</f>
        <v/>
      </c>
    </row>
    <row r="2139">
      <c r="A2139" s="62">
        <f>IF(H2139="","",IF(ISNUMBER(N2139),N2139,I2139))</f>
        <v/>
      </c>
      <c r="B2139">
        <f>IF(H2139="","",U2139)</f>
        <v/>
      </c>
      <c r="C2139">
        <f>IF(H2139="","",IF(P2139="",K2139,INDEX('Students'!$A$2:$A$701,P2139)))</f>
        <v/>
      </c>
      <c r="D2139">
        <f>IF(OR(H2139="",P2139=""),"",INDEX('Students'!$B$2:$B$701,P2139))</f>
        <v/>
      </c>
      <c r="E2139">
        <f>IF(OR(H2139="",P2139=""),"",INDEX('Students'!$C$2:$C$701,P2139))</f>
        <v/>
      </c>
      <c r="F2139" s="48">
        <f>IF(H2139="","",IF(ISNUMBER(O2139),O2139,J2139))</f>
        <v/>
      </c>
      <c r="G2139">
        <f>IF(H2139="","","OneCause")</f>
        <v/>
      </c>
      <c r="H2139">
        <f>IF(AND(I2139="",J2139="",K2139=""),"",IF(NOT(ISNUMBER(O2139)),"Bad amount",IF(O2139&lt;0,"Refund (not counted)",IF(O2139=0,"Zero amount",IF(NOT(ISNUMBER(N2139)),"Bad date",IF(P2139="","NAME NOT ON ROSTER",IF(L2139="","OK",IF(MATCH(L2139,$L$2:$L$3001,0)&lt;ROW()-1,"Duplicate (ignored)","OK"))))))))</f>
        <v/>
      </c>
      <c r="I2139">
        <f>IF(OC_Date=0,"",IF(INDEX('OneCause_Paste'!$A$2139:$AZ$2139,1,OC_Date)="","",INDEX('OneCause_Paste'!$A$2139:$AZ$2139,1,OC_Date)))</f>
        <v/>
      </c>
      <c r="J2139">
        <f>IF(OC_Amt=0,"",IF(INDEX('OneCause_Paste'!$A$2139:$AZ$2139,1,OC_Amt)="","",INDEX('OneCause_Paste'!$A$2139:$AZ$2139,1,OC_Amt)))</f>
        <v/>
      </c>
      <c r="K2139">
        <f>IF(OC_Name=0,"",IF(INDEX('OneCause_Paste'!$A$2139:$AZ$2139,1,OC_Name)="","",INDEX('OneCause_Paste'!$A$2139:$AZ$2139,1,OC_Name)))</f>
        <v/>
      </c>
      <c r="L2139">
        <f>IF(OC_Txn=0,"",IF(INDEX('OneCause_Paste'!$A$2139:$AZ$2139,1,OC_Txn)="","",INDEX('OneCause_Paste'!$A$2139:$AZ$2139,1,OC_Txn)))</f>
        <v/>
      </c>
      <c r="M2139">
        <f>IF(OC_Pay=0,"",IF(INDEX('OneCause_Paste'!$A$2139:$AZ$2139,1,OC_Pay)="","",INDEX('OneCause_Paste'!$A$2139:$AZ$2139,1,OC_Pay)))</f>
        <v/>
      </c>
      <c r="N2139">
        <f>IF(I2139="","",IF(ISNUMBER(I2139),INT(I2139),IFERROR(INT(DATEVALUE(I2139)),IFERROR(INT(VALUE(I2139)),"bad"))))</f>
        <v/>
      </c>
      <c r="O2139">
        <f>IF(J2139="","",IF(ISNUMBER(J2139),ROUND(J2139,2),IFERROR(ROUND(VALUE(SUBSTITUTE(SUBSTITUTE(SUBSTITUTE(J2139,"$",""),",","")," ","")),2),"bad")))</f>
        <v/>
      </c>
      <c r="P2139">
        <f>IF(TRIM(K2139)="","",IFERROR(MATCH(LOWER(TRIM(K2139)),'Students'!$AH$2:$AH$701,0),IFERROR(MATCH(LOWER(TRIM(K2139)),'Students'!$AF$2:$AF$701,0),IFERROR(MATCH(LOWER(TRIM(K2139)),'Students'!$AG$2:$AG$701,0),""))))</f>
        <v/>
      </c>
      <c r="R2139">
        <f>IF(P2139="","",INDEX('Students'!$AD$2:$AD$701,P2139))</f>
        <v/>
      </c>
      <c r="S2139">
        <f>IF(H2139="OK",O2139,0)</f>
        <v/>
      </c>
      <c r="T2139">
        <f>IF(H2139="OK",N2139,"")</f>
        <v/>
      </c>
      <c r="U2139">
        <f>IF(OC_Donor=0,"",IF(INDEX('OneCause_Paste'!$A$2139:$AZ$2139,1,OC_Donor)="","",INDEX('OneCause_Paste'!$A$2139:$AZ$2139,1,OC_Donor)))</f>
        <v/>
      </c>
    </row>
    <row r="2140">
      <c r="A2140" s="62">
        <f>IF(H2140="","",IF(ISNUMBER(N2140),N2140,I2140))</f>
        <v/>
      </c>
      <c r="B2140">
        <f>IF(H2140="","",U2140)</f>
        <v/>
      </c>
      <c r="C2140">
        <f>IF(H2140="","",IF(P2140="",K2140,INDEX('Students'!$A$2:$A$701,P2140)))</f>
        <v/>
      </c>
      <c r="D2140">
        <f>IF(OR(H2140="",P2140=""),"",INDEX('Students'!$B$2:$B$701,P2140))</f>
        <v/>
      </c>
      <c r="E2140">
        <f>IF(OR(H2140="",P2140=""),"",INDEX('Students'!$C$2:$C$701,P2140))</f>
        <v/>
      </c>
      <c r="F2140" s="48">
        <f>IF(H2140="","",IF(ISNUMBER(O2140),O2140,J2140))</f>
        <v/>
      </c>
      <c r="G2140">
        <f>IF(H2140="","","OneCause")</f>
        <v/>
      </c>
      <c r="H2140">
        <f>IF(AND(I2140="",J2140="",K2140=""),"",IF(NOT(ISNUMBER(O2140)),"Bad amount",IF(O2140&lt;0,"Refund (not counted)",IF(O2140=0,"Zero amount",IF(NOT(ISNUMBER(N2140)),"Bad date",IF(P2140="","NAME NOT ON ROSTER",IF(L2140="","OK",IF(MATCH(L2140,$L$2:$L$3001,0)&lt;ROW()-1,"Duplicate (ignored)","OK"))))))))</f>
        <v/>
      </c>
      <c r="I2140">
        <f>IF(OC_Date=0,"",IF(INDEX('OneCause_Paste'!$A$2140:$AZ$2140,1,OC_Date)="","",INDEX('OneCause_Paste'!$A$2140:$AZ$2140,1,OC_Date)))</f>
        <v/>
      </c>
      <c r="J2140">
        <f>IF(OC_Amt=0,"",IF(INDEX('OneCause_Paste'!$A$2140:$AZ$2140,1,OC_Amt)="","",INDEX('OneCause_Paste'!$A$2140:$AZ$2140,1,OC_Amt)))</f>
        <v/>
      </c>
      <c r="K2140">
        <f>IF(OC_Name=0,"",IF(INDEX('OneCause_Paste'!$A$2140:$AZ$2140,1,OC_Name)="","",INDEX('OneCause_Paste'!$A$2140:$AZ$2140,1,OC_Name)))</f>
        <v/>
      </c>
      <c r="L2140">
        <f>IF(OC_Txn=0,"",IF(INDEX('OneCause_Paste'!$A$2140:$AZ$2140,1,OC_Txn)="","",INDEX('OneCause_Paste'!$A$2140:$AZ$2140,1,OC_Txn)))</f>
        <v/>
      </c>
      <c r="M2140">
        <f>IF(OC_Pay=0,"",IF(INDEX('OneCause_Paste'!$A$2140:$AZ$2140,1,OC_Pay)="","",INDEX('OneCause_Paste'!$A$2140:$AZ$2140,1,OC_Pay)))</f>
        <v/>
      </c>
      <c r="N2140">
        <f>IF(I2140="","",IF(ISNUMBER(I2140),INT(I2140),IFERROR(INT(DATEVALUE(I2140)),IFERROR(INT(VALUE(I2140)),"bad"))))</f>
        <v/>
      </c>
      <c r="O2140">
        <f>IF(J2140="","",IF(ISNUMBER(J2140),ROUND(J2140,2),IFERROR(ROUND(VALUE(SUBSTITUTE(SUBSTITUTE(SUBSTITUTE(J2140,"$",""),",","")," ","")),2),"bad")))</f>
        <v/>
      </c>
      <c r="P2140">
        <f>IF(TRIM(K2140)="","",IFERROR(MATCH(LOWER(TRIM(K2140)),'Students'!$AH$2:$AH$701,0),IFERROR(MATCH(LOWER(TRIM(K2140)),'Students'!$AF$2:$AF$701,0),IFERROR(MATCH(LOWER(TRIM(K2140)),'Students'!$AG$2:$AG$701,0),""))))</f>
        <v/>
      </c>
      <c r="R2140">
        <f>IF(P2140="","",INDEX('Students'!$AD$2:$AD$701,P2140))</f>
        <v/>
      </c>
      <c r="S2140">
        <f>IF(H2140="OK",O2140,0)</f>
        <v/>
      </c>
      <c r="T2140">
        <f>IF(H2140="OK",N2140,"")</f>
        <v/>
      </c>
      <c r="U2140">
        <f>IF(OC_Donor=0,"",IF(INDEX('OneCause_Paste'!$A$2140:$AZ$2140,1,OC_Donor)="","",INDEX('OneCause_Paste'!$A$2140:$AZ$2140,1,OC_Donor)))</f>
        <v/>
      </c>
    </row>
    <row r="2141">
      <c r="A2141" s="62">
        <f>IF(H2141="","",IF(ISNUMBER(N2141),N2141,I2141))</f>
        <v/>
      </c>
      <c r="B2141">
        <f>IF(H2141="","",U2141)</f>
        <v/>
      </c>
      <c r="C2141">
        <f>IF(H2141="","",IF(P2141="",K2141,INDEX('Students'!$A$2:$A$701,P2141)))</f>
        <v/>
      </c>
      <c r="D2141">
        <f>IF(OR(H2141="",P2141=""),"",INDEX('Students'!$B$2:$B$701,P2141))</f>
        <v/>
      </c>
      <c r="E2141">
        <f>IF(OR(H2141="",P2141=""),"",INDEX('Students'!$C$2:$C$701,P2141))</f>
        <v/>
      </c>
      <c r="F2141" s="48">
        <f>IF(H2141="","",IF(ISNUMBER(O2141),O2141,J2141))</f>
        <v/>
      </c>
      <c r="G2141">
        <f>IF(H2141="","","OneCause")</f>
        <v/>
      </c>
      <c r="H2141">
        <f>IF(AND(I2141="",J2141="",K2141=""),"",IF(NOT(ISNUMBER(O2141)),"Bad amount",IF(O2141&lt;0,"Refund (not counted)",IF(O2141=0,"Zero amount",IF(NOT(ISNUMBER(N2141)),"Bad date",IF(P2141="","NAME NOT ON ROSTER",IF(L2141="","OK",IF(MATCH(L2141,$L$2:$L$3001,0)&lt;ROW()-1,"Duplicate (ignored)","OK"))))))))</f>
        <v/>
      </c>
      <c r="I2141">
        <f>IF(OC_Date=0,"",IF(INDEX('OneCause_Paste'!$A$2141:$AZ$2141,1,OC_Date)="","",INDEX('OneCause_Paste'!$A$2141:$AZ$2141,1,OC_Date)))</f>
        <v/>
      </c>
      <c r="J2141">
        <f>IF(OC_Amt=0,"",IF(INDEX('OneCause_Paste'!$A$2141:$AZ$2141,1,OC_Amt)="","",INDEX('OneCause_Paste'!$A$2141:$AZ$2141,1,OC_Amt)))</f>
        <v/>
      </c>
      <c r="K2141">
        <f>IF(OC_Name=0,"",IF(INDEX('OneCause_Paste'!$A$2141:$AZ$2141,1,OC_Name)="","",INDEX('OneCause_Paste'!$A$2141:$AZ$2141,1,OC_Name)))</f>
        <v/>
      </c>
      <c r="L2141">
        <f>IF(OC_Txn=0,"",IF(INDEX('OneCause_Paste'!$A$2141:$AZ$2141,1,OC_Txn)="","",INDEX('OneCause_Paste'!$A$2141:$AZ$2141,1,OC_Txn)))</f>
        <v/>
      </c>
      <c r="M2141">
        <f>IF(OC_Pay=0,"",IF(INDEX('OneCause_Paste'!$A$2141:$AZ$2141,1,OC_Pay)="","",INDEX('OneCause_Paste'!$A$2141:$AZ$2141,1,OC_Pay)))</f>
        <v/>
      </c>
      <c r="N2141">
        <f>IF(I2141="","",IF(ISNUMBER(I2141),INT(I2141),IFERROR(INT(DATEVALUE(I2141)),IFERROR(INT(VALUE(I2141)),"bad"))))</f>
        <v/>
      </c>
      <c r="O2141">
        <f>IF(J2141="","",IF(ISNUMBER(J2141),ROUND(J2141,2),IFERROR(ROUND(VALUE(SUBSTITUTE(SUBSTITUTE(SUBSTITUTE(J2141,"$",""),",","")," ","")),2),"bad")))</f>
        <v/>
      </c>
      <c r="P2141">
        <f>IF(TRIM(K2141)="","",IFERROR(MATCH(LOWER(TRIM(K2141)),'Students'!$AH$2:$AH$701,0),IFERROR(MATCH(LOWER(TRIM(K2141)),'Students'!$AF$2:$AF$701,0),IFERROR(MATCH(LOWER(TRIM(K2141)),'Students'!$AG$2:$AG$701,0),""))))</f>
        <v/>
      </c>
      <c r="R2141">
        <f>IF(P2141="","",INDEX('Students'!$AD$2:$AD$701,P2141))</f>
        <v/>
      </c>
      <c r="S2141">
        <f>IF(H2141="OK",O2141,0)</f>
        <v/>
      </c>
      <c r="T2141">
        <f>IF(H2141="OK",N2141,"")</f>
        <v/>
      </c>
      <c r="U2141">
        <f>IF(OC_Donor=0,"",IF(INDEX('OneCause_Paste'!$A$2141:$AZ$2141,1,OC_Donor)="","",INDEX('OneCause_Paste'!$A$2141:$AZ$2141,1,OC_Donor)))</f>
        <v/>
      </c>
    </row>
    <row r="2142">
      <c r="A2142" s="62">
        <f>IF(H2142="","",IF(ISNUMBER(N2142),N2142,I2142))</f>
        <v/>
      </c>
      <c r="B2142">
        <f>IF(H2142="","",U2142)</f>
        <v/>
      </c>
      <c r="C2142">
        <f>IF(H2142="","",IF(P2142="",K2142,INDEX('Students'!$A$2:$A$701,P2142)))</f>
        <v/>
      </c>
      <c r="D2142">
        <f>IF(OR(H2142="",P2142=""),"",INDEX('Students'!$B$2:$B$701,P2142))</f>
        <v/>
      </c>
      <c r="E2142">
        <f>IF(OR(H2142="",P2142=""),"",INDEX('Students'!$C$2:$C$701,P2142))</f>
        <v/>
      </c>
      <c r="F2142" s="48">
        <f>IF(H2142="","",IF(ISNUMBER(O2142),O2142,J2142))</f>
        <v/>
      </c>
      <c r="G2142">
        <f>IF(H2142="","","OneCause")</f>
        <v/>
      </c>
      <c r="H2142">
        <f>IF(AND(I2142="",J2142="",K2142=""),"",IF(NOT(ISNUMBER(O2142)),"Bad amount",IF(O2142&lt;0,"Refund (not counted)",IF(O2142=0,"Zero amount",IF(NOT(ISNUMBER(N2142)),"Bad date",IF(P2142="","NAME NOT ON ROSTER",IF(L2142="","OK",IF(MATCH(L2142,$L$2:$L$3001,0)&lt;ROW()-1,"Duplicate (ignored)","OK"))))))))</f>
        <v/>
      </c>
      <c r="I2142">
        <f>IF(OC_Date=0,"",IF(INDEX('OneCause_Paste'!$A$2142:$AZ$2142,1,OC_Date)="","",INDEX('OneCause_Paste'!$A$2142:$AZ$2142,1,OC_Date)))</f>
        <v/>
      </c>
      <c r="J2142">
        <f>IF(OC_Amt=0,"",IF(INDEX('OneCause_Paste'!$A$2142:$AZ$2142,1,OC_Amt)="","",INDEX('OneCause_Paste'!$A$2142:$AZ$2142,1,OC_Amt)))</f>
        <v/>
      </c>
      <c r="K2142">
        <f>IF(OC_Name=0,"",IF(INDEX('OneCause_Paste'!$A$2142:$AZ$2142,1,OC_Name)="","",INDEX('OneCause_Paste'!$A$2142:$AZ$2142,1,OC_Name)))</f>
        <v/>
      </c>
      <c r="L2142">
        <f>IF(OC_Txn=0,"",IF(INDEX('OneCause_Paste'!$A$2142:$AZ$2142,1,OC_Txn)="","",INDEX('OneCause_Paste'!$A$2142:$AZ$2142,1,OC_Txn)))</f>
        <v/>
      </c>
      <c r="M2142">
        <f>IF(OC_Pay=0,"",IF(INDEX('OneCause_Paste'!$A$2142:$AZ$2142,1,OC_Pay)="","",INDEX('OneCause_Paste'!$A$2142:$AZ$2142,1,OC_Pay)))</f>
        <v/>
      </c>
      <c r="N2142">
        <f>IF(I2142="","",IF(ISNUMBER(I2142),INT(I2142),IFERROR(INT(DATEVALUE(I2142)),IFERROR(INT(VALUE(I2142)),"bad"))))</f>
        <v/>
      </c>
      <c r="O2142">
        <f>IF(J2142="","",IF(ISNUMBER(J2142),ROUND(J2142,2),IFERROR(ROUND(VALUE(SUBSTITUTE(SUBSTITUTE(SUBSTITUTE(J2142,"$",""),",","")," ","")),2),"bad")))</f>
        <v/>
      </c>
      <c r="P2142">
        <f>IF(TRIM(K2142)="","",IFERROR(MATCH(LOWER(TRIM(K2142)),'Students'!$AH$2:$AH$701,0),IFERROR(MATCH(LOWER(TRIM(K2142)),'Students'!$AF$2:$AF$701,0),IFERROR(MATCH(LOWER(TRIM(K2142)),'Students'!$AG$2:$AG$701,0),""))))</f>
        <v/>
      </c>
      <c r="R2142">
        <f>IF(P2142="","",INDEX('Students'!$AD$2:$AD$701,P2142))</f>
        <v/>
      </c>
      <c r="S2142">
        <f>IF(H2142="OK",O2142,0)</f>
        <v/>
      </c>
      <c r="T2142">
        <f>IF(H2142="OK",N2142,"")</f>
        <v/>
      </c>
      <c r="U2142">
        <f>IF(OC_Donor=0,"",IF(INDEX('OneCause_Paste'!$A$2142:$AZ$2142,1,OC_Donor)="","",INDEX('OneCause_Paste'!$A$2142:$AZ$2142,1,OC_Donor)))</f>
        <v/>
      </c>
    </row>
    <row r="2143">
      <c r="A2143" s="62">
        <f>IF(H2143="","",IF(ISNUMBER(N2143),N2143,I2143))</f>
        <v/>
      </c>
      <c r="B2143">
        <f>IF(H2143="","",U2143)</f>
        <v/>
      </c>
      <c r="C2143">
        <f>IF(H2143="","",IF(P2143="",K2143,INDEX('Students'!$A$2:$A$701,P2143)))</f>
        <v/>
      </c>
      <c r="D2143">
        <f>IF(OR(H2143="",P2143=""),"",INDEX('Students'!$B$2:$B$701,P2143))</f>
        <v/>
      </c>
      <c r="E2143">
        <f>IF(OR(H2143="",P2143=""),"",INDEX('Students'!$C$2:$C$701,P2143))</f>
        <v/>
      </c>
      <c r="F2143" s="48">
        <f>IF(H2143="","",IF(ISNUMBER(O2143),O2143,J2143))</f>
        <v/>
      </c>
      <c r="G2143">
        <f>IF(H2143="","","OneCause")</f>
        <v/>
      </c>
      <c r="H2143">
        <f>IF(AND(I2143="",J2143="",K2143=""),"",IF(NOT(ISNUMBER(O2143)),"Bad amount",IF(O2143&lt;0,"Refund (not counted)",IF(O2143=0,"Zero amount",IF(NOT(ISNUMBER(N2143)),"Bad date",IF(P2143="","NAME NOT ON ROSTER",IF(L2143="","OK",IF(MATCH(L2143,$L$2:$L$3001,0)&lt;ROW()-1,"Duplicate (ignored)","OK"))))))))</f>
        <v/>
      </c>
      <c r="I2143">
        <f>IF(OC_Date=0,"",IF(INDEX('OneCause_Paste'!$A$2143:$AZ$2143,1,OC_Date)="","",INDEX('OneCause_Paste'!$A$2143:$AZ$2143,1,OC_Date)))</f>
        <v/>
      </c>
      <c r="J2143">
        <f>IF(OC_Amt=0,"",IF(INDEX('OneCause_Paste'!$A$2143:$AZ$2143,1,OC_Amt)="","",INDEX('OneCause_Paste'!$A$2143:$AZ$2143,1,OC_Amt)))</f>
        <v/>
      </c>
      <c r="K2143">
        <f>IF(OC_Name=0,"",IF(INDEX('OneCause_Paste'!$A$2143:$AZ$2143,1,OC_Name)="","",INDEX('OneCause_Paste'!$A$2143:$AZ$2143,1,OC_Name)))</f>
        <v/>
      </c>
      <c r="L2143">
        <f>IF(OC_Txn=0,"",IF(INDEX('OneCause_Paste'!$A$2143:$AZ$2143,1,OC_Txn)="","",INDEX('OneCause_Paste'!$A$2143:$AZ$2143,1,OC_Txn)))</f>
        <v/>
      </c>
      <c r="M2143">
        <f>IF(OC_Pay=0,"",IF(INDEX('OneCause_Paste'!$A$2143:$AZ$2143,1,OC_Pay)="","",INDEX('OneCause_Paste'!$A$2143:$AZ$2143,1,OC_Pay)))</f>
        <v/>
      </c>
      <c r="N2143">
        <f>IF(I2143="","",IF(ISNUMBER(I2143),INT(I2143),IFERROR(INT(DATEVALUE(I2143)),IFERROR(INT(VALUE(I2143)),"bad"))))</f>
        <v/>
      </c>
      <c r="O2143">
        <f>IF(J2143="","",IF(ISNUMBER(J2143),ROUND(J2143,2),IFERROR(ROUND(VALUE(SUBSTITUTE(SUBSTITUTE(SUBSTITUTE(J2143,"$",""),",","")," ","")),2),"bad")))</f>
        <v/>
      </c>
      <c r="P2143">
        <f>IF(TRIM(K2143)="","",IFERROR(MATCH(LOWER(TRIM(K2143)),'Students'!$AH$2:$AH$701,0),IFERROR(MATCH(LOWER(TRIM(K2143)),'Students'!$AF$2:$AF$701,0),IFERROR(MATCH(LOWER(TRIM(K2143)),'Students'!$AG$2:$AG$701,0),""))))</f>
        <v/>
      </c>
      <c r="R2143">
        <f>IF(P2143="","",INDEX('Students'!$AD$2:$AD$701,P2143))</f>
        <v/>
      </c>
      <c r="S2143">
        <f>IF(H2143="OK",O2143,0)</f>
        <v/>
      </c>
      <c r="T2143">
        <f>IF(H2143="OK",N2143,"")</f>
        <v/>
      </c>
      <c r="U2143">
        <f>IF(OC_Donor=0,"",IF(INDEX('OneCause_Paste'!$A$2143:$AZ$2143,1,OC_Donor)="","",INDEX('OneCause_Paste'!$A$2143:$AZ$2143,1,OC_Donor)))</f>
        <v/>
      </c>
    </row>
    <row r="2144">
      <c r="A2144" s="62">
        <f>IF(H2144="","",IF(ISNUMBER(N2144),N2144,I2144))</f>
        <v/>
      </c>
      <c r="B2144">
        <f>IF(H2144="","",U2144)</f>
        <v/>
      </c>
      <c r="C2144">
        <f>IF(H2144="","",IF(P2144="",K2144,INDEX('Students'!$A$2:$A$701,P2144)))</f>
        <v/>
      </c>
      <c r="D2144">
        <f>IF(OR(H2144="",P2144=""),"",INDEX('Students'!$B$2:$B$701,P2144))</f>
        <v/>
      </c>
      <c r="E2144">
        <f>IF(OR(H2144="",P2144=""),"",INDEX('Students'!$C$2:$C$701,P2144))</f>
        <v/>
      </c>
      <c r="F2144" s="48">
        <f>IF(H2144="","",IF(ISNUMBER(O2144),O2144,J2144))</f>
        <v/>
      </c>
      <c r="G2144">
        <f>IF(H2144="","","OneCause")</f>
        <v/>
      </c>
      <c r="H2144">
        <f>IF(AND(I2144="",J2144="",K2144=""),"",IF(NOT(ISNUMBER(O2144)),"Bad amount",IF(O2144&lt;0,"Refund (not counted)",IF(O2144=0,"Zero amount",IF(NOT(ISNUMBER(N2144)),"Bad date",IF(P2144="","NAME NOT ON ROSTER",IF(L2144="","OK",IF(MATCH(L2144,$L$2:$L$3001,0)&lt;ROW()-1,"Duplicate (ignored)","OK"))))))))</f>
        <v/>
      </c>
      <c r="I2144">
        <f>IF(OC_Date=0,"",IF(INDEX('OneCause_Paste'!$A$2144:$AZ$2144,1,OC_Date)="","",INDEX('OneCause_Paste'!$A$2144:$AZ$2144,1,OC_Date)))</f>
        <v/>
      </c>
      <c r="J2144">
        <f>IF(OC_Amt=0,"",IF(INDEX('OneCause_Paste'!$A$2144:$AZ$2144,1,OC_Amt)="","",INDEX('OneCause_Paste'!$A$2144:$AZ$2144,1,OC_Amt)))</f>
        <v/>
      </c>
      <c r="K2144">
        <f>IF(OC_Name=0,"",IF(INDEX('OneCause_Paste'!$A$2144:$AZ$2144,1,OC_Name)="","",INDEX('OneCause_Paste'!$A$2144:$AZ$2144,1,OC_Name)))</f>
        <v/>
      </c>
      <c r="L2144">
        <f>IF(OC_Txn=0,"",IF(INDEX('OneCause_Paste'!$A$2144:$AZ$2144,1,OC_Txn)="","",INDEX('OneCause_Paste'!$A$2144:$AZ$2144,1,OC_Txn)))</f>
        <v/>
      </c>
      <c r="M2144">
        <f>IF(OC_Pay=0,"",IF(INDEX('OneCause_Paste'!$A$2144:$AZ$2144,1,OC_Pay)="","",INDEX('OneCause_Paste'!$A$2144:$AZ$2144,1,OC_Pay)))</f>
        <v/>
      </c>
      <c r="N2144">
        <f>IF(I2144="","",IF(ISNUMBER(I2144),INT(I2144),IFERROR(INT(DATEVALUE(I2144)),IFERROR(INT(VALUE(I2144)),"bad"))))</f>
        <v/>
      </c>
      <c r="O2144">
        <f>IF(J2144="","",IF(ISNUMBER(J2144),ROUND(J2144,2),IFERROR(ROUND(VALUE(SUBSTITUTE(SUBSTITUTE(SUBSTITUTE(J2144,"$",""),",","")," ","")),2),"bad")))</f>
        <v/>
      </c>
      <c r="P2144">
        <f>IF(TRIM(K2144)="","",IFERROR(MATCH(LOWER(TRIM(K2144)),'Students'!$AH$2:$AH$701,0),IFERROR(MATCH(LOWER(TRIM(K2144)),'Students'!$AF$2:$AF$701,0),IFERROR(MATCH(LOWER(TRIM(K2144)),'Students'!$AG$2:$AG$701,0),""))))</f>
        <v/>
      </c>
      <c r="R2144">
        <f>IF(P2144="","",INDEX('Students'!$AD$2:$AD$701,P2144))</f>
        <v/>
      </c>
      <c r="S2144">
        <f>IF(H2144="OK",O2144,0)</f>
        <v/>
      </c>
      <c r="T2144">
        <f>IF(H2144="OK",N2144,"")</f>
        <v/>
      </c>
      <c r="U2144">
        <f>IF(OC_Donor=0,"",IF(INDEX('OneCause_Paste'!$A$2144:$AZ$2144,1,OC_Donor)="","",INDEX('OneCause_Paste'!$A$2144:$AZ$2144,1,OC_Donor)))</f>
        <v/>
      </c>
    </row>
    <row r="2145">
      <c r="A2145" s="62">
        <f>IF(H2145="","",IF(ISNUMBER(N2145),N2145,I2145))</f>
        <v/>
      </c>
      <c r="B2145">
        <f>IF(H2145="","",U2145)</f>
        <v/>
      </c>
      <c r="C2145">
        <f>IF(H2145="","",IF(P2145="",K2145,INDEX('Students'!$A$2:$A$701,P2145)))</f>
        <v/>
      </c>
      <c r="D2145">
        <f>IF(OR(H2145="",P2145=""),"",INDEX('Students'!$B$2:$B$701,P2145))</f>
        <v/>
      </c>
      <c r="E2145">
        <f>IF(OR(H2145="",P2145=""),"",INDEX('Students'!$C$2:$C$701,P2145))</f>
        <v/>
      </c>
      <c r="F2145" s="48">
        <f>IF(H2145="","",IF(ISNUMBER(O2145),O2145,J2145))</f>
        <v/>
      </c>
      <c r="G2145">
        <f>IF(H2145="","","OneCause")</f>
        <v/>
      </c>
      <c r="H2145">
        <f>IF(AND(I2145="",J2145="",K2145=""),"",IF(NOT(ISNUMBER(O2145)),"Bad amount",IF(O2145&lt;0,"Refund (not counted)",IF(O2145=0,"Zero amount",IF(NOT(ISNUMBER(N2145)),"Bad date",IF(P2145="","NAME NOT ON ROSTER",IF(L2145="","OK",IF(MATCH(L2145,$L$2:$L$3001,0)&lt;ROW()-1,"Duplicate (ignored)","OK"))))))))</f>
        <v/>
      </c>
      <c r="I2145">
        <f>IF(OC_Date=0,"",IF(INDEX('OneCause_Paste'!$A$2145:$AZ$2145,1,OC_Date)="","",INDEX('OneCause_Paste'!$A$2145:$AZ$2145,1,OC_Date)))</f>
        <v/>
      </c>
      <c r="J2145">
        <f>IF(OC_Amt=0,"",IF(INDEX('OneCause_Paste'!$A$2145:$AZ$2145,1,OC_Amt)="","",INDEX('OneCause_Paste'!$A$2145:$AZ$2145,1,OC_Amt)))</f>
        <v/>
      </c>
      <c r="K2145">
        <f>IF(OC_Name=0,"",IF(INDEX('OneCause_Paste'!$A$2145:$AZ$2145,1,OC_Name)="","",INDEX('OneCause_Paste'!$A$2145:$AZ$2145,1,OC_Name)))</f>
        <v/>
      </c>
      <c r="L2145">
        <f>IF(OC_Txn=0,"",IF(INDEX('OneCause_Paste'!$A$2145:$AZ$2145,1,OC_Txn)="","",INDEX('OneCause_Paste'!$A$2145:$AZ$2145,1,OC_Txn)))</f>
        <v/>
      </c>
      <c r="M2145">
        <f>IF(OC_Pay=0,"",IF(INDEX('OneCause_Paste'!$A$2145:$AZ$2145,1,OC_Pay)="","",INDEX('OneCause_Paste'!$A$2145:$AZ$2145,1,OC_Pay)))</f>
        <v/>
      </c>
      <c r="N2145">
        <f>IF(I2145="","",IF(ISNUMBER(I2145),INT(I2145),IFERROR(INT(DATEVALUE(I2145)),IFERROR(INT(VALUE(I2145)),"bad"))))</f>
        <v/>
      </c>
      <c r="O2145">
        <f>IF(J2145="","",IF(ISNUMBER(J2145),ROUND(J2145,2),IFERROR(ROUND(VALUE(SUBSTITUTE(SUBSTITUTE(SUBSTITUTE(J2145,"$",""),",","")," ","")),2),"bad")))</f>
        <v/>
      </c>
      <c r="P2145">
        <f>IF(TRIM(K2145)="","",IFERROR(MATCH(LOWER(TRIM(K2145)),'Students'!$AH$2:$AH$701,0),IFERROR(MATCH(LOWER(TRIM(K2145)),'Students'!$AF$2:$AF$701,0),IFERROR(MATCH(LOWER(TRIM(K2145)),'Students'!$AG$2:$AG$701,0),""))))</f>
        <v/>
      </c>
      <c r="R2145">
        <f>IF(P2145="","",INDEX('Students'!$AD$2:$AD$701,P2145))</f>
        <v/>
      </c>
      <c r="S2145">
        <f>IF(H2145="OK",O2145,0)</f>
        <v/>
      </c>
      <c r="T2145">
        <f>IF(H2145="OK",N2145,"")</f>
        <v/>
      </c>
      <c r="U2145">
        <f>IF(OC_Donor=0,"",IF(INDEX('OneCause_Paste'!$A$2145:$AZ$2145,1,OC_Donor)="","",INDEX('OneCause_Paste'!$A$2145:$AZ$2145,1,OC_Donor)))</f>
        <v/>
      </c>
    </row>
    <row r="2146">
      <c r="A2146" s="62">
        <f>IF(H2146="","",IF(ISNUMBER(N2146),N2146,I2146))</f>
        <v/>
      </c>
      <c r="B2146">
        <f>IF(H2146="","",U2146)</f>
        <v/>
      </c>
      <c r="C2146">
        <f>IF(H2146="","",IF(P2146="",K2146,INDEX('Students'!$A$2:$A$701,P2146)))</f>
        <v/>
      </c>
      <c r="D2146">
        <f>IF(OR(H2146="",P2146=""),"",INDEX('Students'!$B$2:$B$701,P2146))</f>
        <v/>
      </c>
      <c r="E2146">
        <f>IF(OR(H2146="",P2146=""),"",INDEX('Students'!$C$2:$C$701,P2146))</f>
        <v/>
      </c>
      <c r="F2146" s="48">
        <f>IF(H2146="","",IF(ISNUMBER(O2146),O2146,J2146))</f>
        <v/>
      </c>
      <c r="G2146">
        <f>IF(H2146="","","OneCause")</f>
        <v/>
      </c>
      <c r="H2146">
        <f>IF(AND(I2146="",J2146="",K2146=""),"",IF(NOT(ISNUMBER(O2146)),"Bad amount",IF(O2146&lt;0,"Refund (not counted)",IF(O2146=0,"Zero amount",IF(NOT(ISNUMBER(N2146)),"Bad date",IF(P2146="","NAME NOT ON ROSTER",IF(L2146="","OK",IF(MATCH(L2146,$L$2:$L$3001,0)&lt;ROW()-1,"Duplicate (ignored)","OK"))))))))</f>
        <v/>
      </c>
      <c r="I2146">
        <f>IF(OC_Date=0,"",IF(INDEX('OneCause_Paste'!$A$2146:$AZ$2146,1,OC_Date)="","",INDEX('OneCause_Paste'!$A$2146:$AZ$2146,1,OC_Date)))</f>
        <v/>
      </c>
      <c r="J2146">
        <f>IF(OC_Amt=0,"",IF(INDEX('OneCause_Paste'!$A$2146:$AZ$2146,1,OC_Amt)="","",INDEX('OneCause_Paste'!$A$2146:$AZ$2146,1,OC_Amt)))</f>
        <v/>
      </c>
      <c r="K2146">
        <f>IF(OC_Name=0,"",IF(INDEX('OneCause_Paste'!$A$2146:$AZ$2146,1,OC_Name)="","",INDEX('OneCause_Paste'!$A$2146:$AZ$2146,1,OC_Name)))</f>
        <v/>
      </c>
      <c r="L2146">
        <f>IF(OC_Txn=0,"",IF(INDEX('OneCause_Paste'!$A$2146:$AZ$2146,1,OC_Txn)="","",INDEX('OneCause_Paste'!$A$2146:$AZ$2146,1,OC_Txn)))</f>
        <v/>
      </c>
      <c r="M2146">
        <f>IF(OC_Pay=0,"",IF(INDEX('OneCause_Paste'!$A$2146:$AZ$2146,1,OC_Pay)="","",INDEX('OneCause_Paste'!$A$2146:$AZ$2146,1,OC_Pay)))</f>
        <v/>
      </c>
      <c r="N2146">
        <f>IF(I2146="","",IF(ISNUMBER(I2146),INT(I2146),IFERROR(INT(DATEVALUE(I2146)),IFERROR(INT(VALUE(I2146)),"bad"))))</f>
        <v/>
      </c>
      <c r="O2146">
        <f>IF(J2146="","",IF(ISNUMBER(J2146),ROUND(J2146,2),IFERROR(ROUND(VALUE(SUBSTITUTE(SUBSTITUTE(SUBSTITUTE(J2146,"$",""),",","")," ","")),2),"bad")))</f>
        <v/>
      </c>
      <c r="P2146">
        <f>IF(TRIM(K2146)="","",IFERROR(MATCH(LOWER(TRIM(K2146)),'Students'!$AH$2:$AH$701,0),IFERROR(MATCH(LOWER(TRIM(K2146)),'Students'!$AF$2:$AF$701,0),IFERROR(MATCH(LOWER(TRIM(K2146)),'Students'!$AG$2:$AG$701,0),""))))</f>
        <v/>
      </c>
      <c r="R2146">
        <f>IF(P2146="","",INDEX('Students'!$AD$2:$AD$701,P2146))</f>
        <v/>
      </c>
      <c r="S2146">
        <f>IF(H2146="OK",O2146,0)</f>
        <v/>
      </c>
      <c r="T2146">
        <f>IF(H2146="OK",N2146,"")</f>
        <v/>
      </c>
      <c r="U2146">
        <f>IF(OC_Donor=0,"",IF(INDEX('OneCause_Paste'!$A$2146:$AZ$2146,1,OC_Donor)="","",INDEX('OneCause_Paste'!$A$2146:$AZ$2146,1,OC_Donor)))</f>
        <v/>
      </c>
    </row>
    <row r="2147">
      <c r="A2147" s="62">
        <f>IF(H2147="","",IF(ISNUMBER(N2147),N2147,I2147))</f>
        <v/>
      </c>
      <c r="B2147">
        <f>IF(H2147="","",U2147)</f>
        <v/>
      </c>
      <c r="C2147">
        <f>IF(H2147="","",IF(P2147="",K2147,INDEX('Students'!$A$2:$A$701,P2147)))</f>
        <v/>
      </c>
      <c r="D2147">
        <f>IF(OR(H2147="",P2147=""),"",INDEX('Students'!$B$2:$B$701,P2147))</f>
        <v/>
      </c>
      <c r="E2147">
        <f>IF(OR(H2147="",P2147=""),"",INDEX('Students'!$C$2:$C$701,P2147))</f>
        <v/>
      </c>
      <c r="F2147" s="48">
        <f>IF(H2147="","",IF(ISNUMBER(O2147),O2147,J2147))</f>
        <v/>
      </c>
      <c r="G2147">
        <f>IF(H2147="","","OneCause")</f>
        <v/>
      </c>
      <c r="H2147">
        <f>IF(AND(I2147="",J2147="",K2147=""),"",IF(NOT(ISNUMBER(O2147)),"Bad amount",IF(O2147&lt;0,"Refund (not counted)",IF(O2147=0,"Zero amount",IF(NOT(ISNUMBER(N2147)),"Bad date",IF(P2147="","NAME NOT ON ROSTER",IF(L2147="","OK",IF(MATCH(L2147,$L$2:$L$3001,0)&lt;ROW()-1,"Duplicate (ignored)","OK"))))))))</f>
        <v/>
      </c>
      <c r="I2147">
        <f>IF(OC_Date=0,"",IF(INDEX('OneCause_Paste'!$A$2147:$AZ$2147,1,OC_Date)="","",INDEX('OneCause_Paste'!$A$2147:$AZ$2147,1,OC_Date)))</f>
        <v/>
      </c>
      <c r="J2147">
        <f>IF(OC_Amt=0,"",IF(INDEX('OneCause_Paste'!$A$2147:$AZ$2147,1,OC_Amt)="","",INDEX('OneCause_Paste'!$A$2147:$AZ$2147,1,OC_Amt)))</f>
        <v/>
      </c>
      <c r="K2147">
        <f>IF(OC_Name=0,"",IF(INDEX('OneCause_Paste'!$A$2147:$AZ$2147,1,OC_Name)="","",INDEX('OneCause_Paste'!$A$2147:$AZ$2147,1,OC_Name)))</f>
        <v/>
      </c>
      <c r="L2147">
        <f>IF(OC_Txn=0,"",IF(INDEX('OneCause_Paste'!$A$2147:$AZ$2147,1,OC_Txn)="","",INDEX('OneCause_Paste'!$A$2147:$AZ$2147,1,OC_Txn)))</f>
        <v/>
      </c>
      <c r="M2147">
        <f>IF(OC_Pay=0,"",IF(INDEX('OneCause_Paste'!$A$2147:$AZ$2147,1,OC_Pay)="","",INDEX('OneCause_Paste'!$A$2147:$AZ$2147,1,OC_Pay)))</f>
        <v/>
      </c>
      <c r="N2147">
        <f>IF(I2147="","",IF(ISNUMBER(I2147),INT(I2147),IFERROR(INT(DATEVALUE(I2147)),IFERROR(INT(VALUE(I2147)),"bad"))))</f>
        <v/>
      </c>
      <c r="O2147">
        <f>IF(J2147="","",IF(ISNUMBER(J2147),ROUND(J2147,2),IFERROR(ROUND(VALUE(SUBSTITUTE(SUBSTITUTE(SUBSTITUTE(J2147,"$",""),",","")," ","")),2),"bad")))</f>
        <v/>
      </c>
      <c r="P2147">
        <f>IF(TRIM(K2147)="","",IFERROR(MATCH(LOWER(TRIM(K2147)),'Students'!$AH$2:$AH$701,0),IFERROR(MATCH(LOWER(TRIM(K2147)),'Students'!$AF$2:$AF$701,0),IFERROR(MATCH(LOWER(TRIM(K2147)),'Students'!$AG$2:$AG$701,0),""))))</f>
        <v/>
      </c>
      <c r="R2147">
        <f>IF(P2147="","",INDEX('Students'!$AD$2:$AD$701,P2147))</f>
        <v/>
      </c>
      <c r="S2147">
        <f>IF(H2147="OK",O2147,0)</f>
        <v/>
      </c>
      <c r="T2147">
        <f>IF(H2147="OK",N2147,"")</f>
        <v/>
      </c>
      <c r="U2147">
        <f>IF(OC_Donor=0,"",IF(INDEX('OneCause_Paste'!$A$2147:$AZ$2147,1,OC_Donor)="","",INDEX('OneCause_Paste'!$A$2147:$AZ$2147,1,OC_Donor)))</f>
        <v/>
      </c>
    </row>
    <row r="2148">
      <c r="A2148" s="62">
        <f>IF(H2148="","",IF(ISNUMBER(N2148),N2148,I2148))</f>
        <v/>
      </c>
      <c r="B2148">
        <f>IF(H2148="","",U2148)</f>
        <v/>
      </c>
      <c r="C2148">
        <f>IF(H2148="","",IF(P2148="",K2148,INDEX('Students'!$A$2:$A$701,P2148)))</f>
        <v/>
      </c>
      <c r="D2148">
        <f>IF(OR(H2148="",P2148=""),"",INDEX('Students'!$B$2:$B$701,P2148))</f>
        <v/>
      </c>
      <c r="E2148">
        <f>IF(OR(H2148="",P2148=""),"",INDEX('Students'!$C$2:$C$701,P2148))</f>
        <v/>
      </c>
      <c r="F2148" s="48">
        <f>IF(H2148="","",IF(ISNUMBER(O2148),O2148,J2148))</f>
        <v/>
      </c>
      <c r="G2148">
        <f>IF(H2148="","","OneCause")</f>
        <v/>
      </c>
      <c r="H2148">
        <f>IF(AND(I2148="",J2148="",K2148=""),"",IF(NOT(ISNUMBER(O2148)),"Bad amount",IF(O2148&lt;0,"Refund (not counted)",IF(O2148=0,"Zero amount",IF(NOT(ISNUMBER(N2148)),"Bad date",IF(P2148="","NAME NOT ON ROSTER",IF(L2148="","OK",IF(MATCH(L2148,$L$2:$L$3001,0)&lt;ROW()-1,"Duplicate (ignored)","OK"))))))))</f>
        <v/>
      </c>
      <c r="I2148">
        <f>IF(OC_Date=0,"",IF(INDEX('OneCause_Paste'!$A$2148:$AZ$2148,1,OC_Date)="","",INDEX('OneCause_Paste'!$A$2148:$AZ$2148,1,OC_Date)))</f>
        <v/>
      </c>
      <c r="J2148">
        <f>IF(OC_Amt=0,"",IF(INDEX('OneCause_Paste'!$A$2148:$AZ$2148,1,OC_Amt)="","",INDEX('OneCause_Paste'!$A$2148:$AZ$2148,1,OC_Amt)))</f>
        <v/>
      </c>
      <c r="K2148">
        <f>IF(OC_Name=0,"",IF(INDEX('OneCause_Paste'!$A$2148:$AZ$2148,1,OC_Name)="","",INDEX('OneCause_Paste'!$A$2148:$AZ$2148,1,OC_Name)))</f>
        <v/>
      </c>
      <c r="L2148">
        <f>IF(OC_Txn=0,"",IF(INDEX('OneCause_Paste'!$A$2148:$AZ$2148,1,OC_Txn)="","",INDEX('OneCause_Paste'!$A$2148:$AZ$2148,1,OC_Txn)))</f>
        <v/>
      </c>
      <c r="M2148">
        <f>IF(OC_Pay=0,"",IF(INDEX('OneCause_Paste'!$A$2148:$AZ$2148,1,OC_Pay)="","",INDEX('OneCause_Paste'!$A$2148:$AZ$2148,1,OC_Pay)))</f>
        <v/>
      </c>
      <c r="N2148">
        <f>IF(I2148="","",IF(ISNUMBER(I2148),INT(I2148),IFERROR(INT(DATEVALUE(I2148)),IFERROR(INT(VALUE(I2148)),"bad"))))</f>
        <v/>
      </c>
      <c r="O2148">
        <f>IF(J2148="","",IF(ISNUMBER(J2148),ROUND(J2148,2),IFERROR(ROUND(VALUE(SUBSTITUTE(SUBSTITUTE(SUBSTITUTE(J2148,"$",""),",","")," ","")),2),"bad")))</f>
        <v/>
      </c>
      <c r="P2148">
        <f>IF(TRIM(K2148)="","",IFERROR(MATCH(LOWER(TRIM(K2148)),'Students'!$AH$2:$AH$701,0),IFERROR(MATCH(LOWER(TRIM(K2148)),'Students'!$AF$2:$AF$701,0),IFERROR(MATCH(LOWER(TRIM(K2148)),'Students'!$AG$2:$AG$701,0),""))))</f>
        <v/>
      </c>
      <c r="R2148">
        <f>IF(P2148="","",INDEX('Students'!$AD$2:$AD$701,P2148))</f>
        <v/>
      </c>
      <c r="S2148">
        <f>IF(H2148="OK",O2148,0)</f>
        <v/>
      </c>
      <c r="T2148">
        <f>IF(H2148="OK",N2148,"")</f>
        <v/>
      </c>
      <c r="U2148">
        <f>IF(OC_Donor=0,"",IF(INDEX('OneCause_Paste'!$A$2148:$AZ$2148,1,OC_Donor)="","",INDEX('OneCause_Paste'!$A$2148:$AZ$2148,1,OC_Donor)))</f>
        <v/>
      </c>
    </row>
    <row r="2149">
      <c r="A2149" s="62">
        <f>IF(H2149="","",IF(ISNUMBER(N2149),N2149,I2149))</f>
        <v/>
      </c>
      <c r="B2149">
        <f>IF(H2149="","",U2149)</f>
        <v/>
      </c>
      <c r="C2149">
        <f>IF(H2149="","",IF(P2149="",K2149,INDEX('Students'!$A$2:$A$701,P2149)))</f>
        <v/>
      </c>
      <c r="D2149">
        <f>IF(OR(H2149="",P2149=""),"",INDEX('Students'!$B$2:$B$701,P2149))</f>
        <v/>
      </c>
      <c r="E2149">
        <f>IF(OR(H2149="",P2149=""),"",INDEX('Students'!$C$2:$C$701,P2149))</f>
        <v/>
      </c>
      <c r="F2149" s="48">
        <f>IF(H2149="","",IF(ISNUMBER(O2149),O2149,J2149))</f>
        <v/>
      </c>
      <c r="G2149">
        <f>IF(H2149="","","OneCause")</f>
        <v/>
      </c>
      <c r="H2149">
        <f>IF(AND(I2149="",J2149="",K2149=""),"",IF(NOT(ISNUMBER(O2149)),"Bad amount",IF(O2149&lt;0,"Refund (not counted)",IF(O2149=0,"Zero amount",IF(NOT(ISNUMBER(N2149)),"Bad date",IF(P2149="","NAME NOT ON ROSTER",IF(L2149="","OK",IF(MATCH(L2149,$L$2:$L$3001,0)&lt;ROW()-1,"Duplicate (ignored)","OK"))))))))</f>
        <v/>
      </c>
      <c r="I2149">
        <f>IF(OC_Date=0,"",IF(INDEX('OneCause_Paste'!$A$2149:$AZ$2149,1,OC_Date)="","",INDEX('OneCause_Paste'!$A$2149:$AZ$2149,1,OC_Date)))</f>
        <v/>
      </c>
      <c r="J2149">
        <f>IF(OC_Amt=0,"",IF(INDEX('OneCause_Paste'!$A$2149:$AZ$2149,1,OC_Amt)="","",INDEX('OneCause_Paste'!$A$2149:$AZ$2149,1,OC_Amt)))</f>
        <v/>
      </c>
      <c r="K2149">
        <f>IF(OC_Name=0,"",IF(INDEX('OneCause_Paste'!$A$2149:$AZ$2149,1,OC_Name)="","",INDEX('OneCause_Paste'!$A$2149:$AZ$2149,1,OC_Name)))</f>
        <v/>
      </c>
      <c r="L2149">
        <f>IF(OC_Txn=0,"",IF(INDEX('OneCause_Paste'!$A$2149:$AZ$2149,1,OC_Txn)="","",INDEX('OneCause_Paste'!$A$2149:$AZ$2149,1,OC_Txn)))</f>
        <v/>
      </c>
      <c r="M2149">
        <f>IF(OC_Pay=0,"",IF(INDEX('OneCause_Paste'!$A$2149:$AZ$2149,1,OC_Pay)="","",INDEX('OneCause_Paste'!$A$2149:$AZ$2149,1,OC_Pay)))</f>
        <v/>
      </c>
      <c r="N2149">
        <f>IF(I2149="","",IF(ISNUMBER(I2149),INT(I2149),IFERROR(INT(DATEVALUE(I2149)),IFERROR(INT(VALUE(I2149)),"bad"))))</f>
        <v/>
      </c>
      <c r="O2149">
        <f>IF(J2149="","",IF(ISNUMBER(J2149),ROUND(J2149,2),IFERROR(ROUND(VALUE(SUBSTITUTE(SUBSTITUTE(SUBSTITUTE(J2149,"$",""),",","")," ","")),2),"bad")))</f>
        <v/>
      </c>
      <c r="P2149">
        <f>IF(TRIM(K2149)="","",IFERROR(MATCH(LOWER(TRIM(K2149)),'Students'!$AH$2:$AH$701,0),IFERROR(MATCH(LOWER(TRIM(K2149)),'Students'!$AF$2:$AF$701,0),IFERROR(MATCH(LOWER(TRIM(K2149)),'Students'!$AG$2:$AG$701,0),""))))</f>
        <v/>
      </c>
      <c r="R2149">
        <f>IF(P2149="","",INDEX('Students'!$AD$2:$AD$701,P2149))</f>
        <v/>
      </c>
      <c r="S2149">
        <f>IF(H2149="OK",O2149,0)</f>
        <v/>
      </c>
      <c r="T2149">
        <f>IF(H2149="OK",N2149,"")</f>
        <v/>
      </c>
      <c r="U2149">
        <f>IF(OC_Donor=0,"",IF(INDEX('OneCause_Paste'!$A$2149:$AZ$2149,1,OC_Donor)="","",INDEX('OneCause_Paste'!$A$2149:$AZ$2149,1,OC_Donor)))</f>
        <v/>
      </c>
    </row>
    <row r="2150">
      <c r="A2150" s="62">
        <f>IF(H2150="","",IF(ISNUMBER(N2150),N2150,I2150))</f>
        <v/>
      </c>
      <c r="B2150">
        <f>IF(H2150="","",U2150)</f>
        <v/>
      </c>
      <c r="C2150">
        <f>IF(H2150="","",IF(P2150="",K2150,INDEX('Students'!$A$2:$A$701,P2150)))</f>
        <v/>
      </c>
      <c r="D2150">
        <f>IF(OR(H2150="",P2150=""),"",INDEX('Students'!$B$2:$B$701,P2150))</f>
        <v/>
      </c>
      <c r="E2150">
        <f>IF(OR(H2150="",P2150=""),"",INDEX('Students'!$C$2:$C$701,P2150))</f>
        <v/>
      </c>
      <c r="F2150" s="48">
        <f>IF(H2150="","",IF(ISNUMBER(O2150),O2150,J2150))</f>
        <v/>
      </c>
      <c r="G2150">
        <f>IF(H2150="","","OneCause")</f>
        <v/>
      </c>
      <c r="H2150">
        <f>IF(AND(I2150="",J2150="",K2150=""),"",IF(NOT(ISNUMBER(O2150)),"Bad amount",IF(O2150&lt;0,"Refund (not counted)",IF(O2150=0,"Zero amount",IF(NOT(ISNUMBER(N2150)),"Bad date",IF(P2150="","NAME NOT ON ROSTER",IF(L2150="","OK",IF(MATCH(L2150,$L$2:$L$3001,0)&lt;ROW()-1,"Duplicate (ignored)","OK"))))))))</f>
        <v/>
      </c>
      <c r="I2150">
        <f>IF(OC_Date=0,"",IF(INDEX('OneCause_Paste'!$A$2150:$AZ$2150,1,OC_Date)="","",INDEX('OneCause_Paste'!$A$2150:$AZ$2150,1,OC_Date)))</f>
        <v/>
      </c>
      <c r="J2150">
        <f>IF(OC_Amt=0,"",IF(INDEX('OneCause_Paste'!$A$2150:$AZ$2150,1,OC_Amt)="","",INDEX('OneCause_Paste'!$A$2150:$AZ$2150,1,OC_Amt)))</f>
        <v/>
      </c>
      <c r="K2150">
        <f>IF(OC_Name=0,"",IF(INDEX('OneCause_Paste'!$A$2150:$AZ$2150,1,OC_Name)="","",INDEX('OneCause_Paste'!$A$2150:$AZ$2150,1,OC_Name)))</f>
        <v/>
      </c>
      <c r="L2150">
        <f>IF(OC_Txn=0,"",IF(INDEX('OneCause_Paste'!$A$2150:$AZ$2150,1,OC_Txn)="","",INDEX('OneCause_Paste'!$A$2150:$AZ$2150,1,OC_Txn)))</f>
        <v/>
      </c>
      <c r="M2150">
        <f>IF(OC_Pay=0,"",IF(INDEX('OneCause_Paste'!$A$2150:$AZ$2150,1,OC_Pay)="","",INDEX('OneCause_Paste'!$A$2150:$AZ$2150,1,OC_Pay)))</f>
        <v/>
      </c>
      <c r="N2150">
        <f>IF(I2150="","",IF(ISNUMBER(I2150),INT(I2150),IFERROR(INT(DATEVALUE(I2150)),IFERROR(INT(VALUE(I2150)),"bad"))))</f>
        <v/>
      </c>
      <c r="O2150">
        <f>IF(J2150="","",IF(ISNUMBER(J2150),ROUND(J2150,2),IFERROR(ROUND(VALUE(SUBSTITUTE(SUBSTITUTE(SUBSTITUTE(J2150,"$",""),",","")," ","")),2),"bad")))</f>
        <v/>
      </c>
      <c r="P2150">
        <f>IF(TRIM(K2150)="","",IFERROR(MATCH(LOWER(TRIM(K2150)),'Students'!$AH$2:$AH$701,0),IFERROR(MATCH(LOWER(TRIM(K2150)),'Students'!$AF$2:$AF$701,0),IFERROR(MATCH(LOWER(TRIM(K2150)),'Students'!$AG$2:$AG$701,0),""))))</f>
        <v/>
      </c>
      <c r="R2150">
        <f>IF(P2150="","",INDEX('Students'!$AD$2:$AD$701,P2150))</f>
        <v/>
      </c>
      <c r="S2150">
        <f>IF(H2150="OK",O2150,0)</f>
        <v/>
      </c>
      <c r="T2150">
        <f>IF(H2150="OK",N2150,"")</f>
        <v/>
      </c>
      <c r="U2150">
        <f>IF(OC_Donor=0,"",IF(INDEX('OneCause_Paste'!$A$2150:$AZ$2150,1,OC_Donor)="","",INDEX('OneCause_Paste'!$A$2150:$AZ$2150,1,OC_Donor)))</f>
        <v/>
      </c>
    </row>
    <row r="2151">
      <c r="A2151" s="62">
        <f>IF(H2151="","",IF(ISNUMBER(N2151),N2151,I2151))</f>
        <v/>
      </c>
      <c r="B2151">
        <f>IF(H2151="","",U2151)</f>
        <v/>
      </c>
      <c r="C2151">
        <f>IF(H2151="","",IF(P2151="",K2151,INDEX('Students'!$A$2:$A$701,P2151)))</f>
        <v/>
      </c>
      <c r="D2151">
        <f>IF(OR(H2151="",P2151=""),"",INDEX('Students'!$B$2:$B$701,P2151))</f>
        <v/>
      </c>
      <c r="E2151">
        <f>IF(OR(H2151="",P2151=""),"",INDEX('Students'!$C$2:$C$701,P2151))</f>
        <v/>
      </c>
      <c r="F2151" s="48">
        <f>IF(H2151="","",IF(ISNUMBER(O2151),O2151,J2151))</f>
        <v/>
      </c>
      <c r="G2151">
        <f>IF(H2151="","","OneCause")</f>
        <v/>
      </c>
      <c r="H2151">
        <f>IF(AND(I2151="",J2151="",K2151=""),"",IF(NOT(ISNUMBER(O2151)),"Bad amount",IF(O2151&lt;0,"Refund (not counted)",IF(O2151=0,"Zero amount",IF(NOT(ISNUMBER(N2151)),"Bad date",IF(P2151="","NAME NOT ON ROSTER",IF(L2151="","OK",IF(MATCH(L2151,$L$2:$L$3001,0)&lt;ROW()-1,"Duplicate (ignored)","OK"))))))))</f>
        <v/>
      </c>
      <c r="I2151">
        <f>IF(OC_Date=0,"",IF(INDEX('OneCause_Paste'!$A$2151:$AZ$2151,1,OC_Date)="","",INDEX('OneCause_Paste'!$A$2151:$AZ$2151,1,OC_Date)))</f>
        <v/>
      </c>
      <c r="J2151">
        <f>IF(OC_Amt=0,"",IF(INDEX('OneCause_Paste'!$A$2151:$AZ$2151,1,OC_Amt)="","",INDEX('OneCause_Paste'!$A$2151:$AZ$2151,1,OC_Amt)))</f>
        <v/>
      </c>
      <c r="K2151">
        <f>IF(OC_Name=0,"",IF(INDEX('OneCause_Paste'!$A$2151:$AZ$2151,1,OC_Name)="","",INDEX('OneCause_Paste'!$A$2151:$AZ$2151,1,OC_Name)))</f>
        <v/>
      </c>
      <c r="L2151">
        <f>IF(OC_Txn=0,"",IF(INDEX('OneCause_Paste'!$A$2151:$AZ$2151,1,OC_Txn)="","",INDEX('OneCause_Paste'!$A$2151:$AZ$2151,1,OC_Txn)))</f>
        <v/>
      </c>
      <c r="M2151">
        <f>IF(OC_Pay=0,"",IF(INDEX('OneCause_Paste'!$A$2151:$AZ$2151,1,OC_Pay)="","",INDEX('OneCause_Paste'!$A$2151:$AZ$2151,1,OC_Pay)))</f>
        <v/>
      </c>
      <c r="N2151">
        <f>IF(I2151="","",IF(ISNUMBER(I2151),INT(I2151),IFERROR(INT(DATEVALUE(I2151)),IFERROR(INT(VALUE(I2151)),"bad"))))</f>
        <v/>
      </c>
      <c r="O2151">
        <f>IF(J2151="","",IF(ISNUMBER(J2151),ROUND(J2151,2),IFERROR(ROUND(VALUE(SUBSTITUTE(SUBSTITUTE(SUBSTITUTE(J2151,"$",""),",","")," ","")),2),"bad")))</f>
        <v/>
      </c>
      <c r="P2151">
        <f>IF(TRIM(K2151)="","",IFERROR(MATCH(LOWER(TRIM(K2151)),'Students'!$AH$2:$AH$701,0),IFERROR(MATCH(LOWER(TRIM(K2151)),'Students'!$AF$2:$AF$701,0),IFERROR(MATCH(LOWER(TRIM(K2151)),'Students'!$AG$2:$AG$701,0),""))))</f>
        <v/>
      </c>
      <c r="R2151">
        <f>IF(P2151="","",INDEX('Students'!$AD$2:$AD$701,P2151))</f>
        <v/>
      </c>
      <c r="S2151">
        <f>IF(H2151="OK",O2151,0)</f>
        <v/>
      </c>
      <c r="T2151">
        <f>IF(H2151="OK",N2151,"")</f>
        <v/>
      </c>
      <c r="U2151">
        <f>IF(OC_Donor=0,"",IF(INDEX('OneCause_Paste'!$A$2151:$AZ$2151,1,OC_Donor)="","",INDEX('OneCause_Paste'!$A$2151:$AZ$2151,1,OC_Donor)))</f>
        <v/>
      </c>
    </row>
    <row r="2152">
      <c r="A2152" s="62">
        <f>IF(H2152="","",IF(ISNUMBER(N2152),N2152,I2152))</f>
        <v/>
      </c>
      <c r="B2152">
        <f>IF(H2152="","",U2152)</f>
        <v/>
      </c>
      <c r="C2152">
        <f>IF(H2152="","",IF(P2152="",K2152,INDEX('Students'!$A$2:$A$701,P2152)))</f>
        <v/>
      </c>
      <c r="D2152">
        <f>IF(OR(H2152="",P2152=""),"",INDEX('Students'!$B$2:$B$701,P2152))</f>
        <v/>
      </c>
      <c r="E2152">
        <f>IF(OR(H2152="",P2152=""),"",INDEX('Students'!$C$2:$C$701,P2152))</f>
        <v/>
      </c>
      <c r="F2152" s="48">
        <f>IF(H2152="","",IF(ISNUMBER(O2152),O2152,J2152))</f>
        <v/>
      </c>
      <c r="G2152">
        <f>IF(H2152="","","OneCause")</f>
        <v/>
      </c>
      <c r="H2152">
        <f>IF(AND(I2152="",J2152="",K2152=""),"",IF(NOT(ISNUMBER(O2152)),"Bad amount",IF(O2152&lt;0,"Refund (not counted)",IF(O2152=0,"Zero amount",IF(NOT(ISNUMBER(N2152)),"Bad date",IF(P2152="","NAME NOT ON ROSTER",IF(L2152="","OK",IF(MATCH(L2152,$L$2:$L$3001,0)&lt;ROW()-1,"Duplicate (ignored)","OK"))))))))</f>
        <v/>
      </c>
      <c r="I2152">
        <f>IF(OC_Date=0,"",IF(INDEX('OneCause_Paste'!$A$2152:$AZ$2152,1,OC_Date)="","",INDEX('OneCause_Paste'!$A$2152:$AZ$2152,1,OC_Date)))</f>
        <v/>
      </c>
      <c r="J2152">
        <f>IF(OC_Amt=0,"",IF(INDEX('OneCause_Paste'!$A$2152:$AZ$2152,1,OC_Amt)="","",INDEX('OneCause_Paste'!$A$2152:$AZ$2152,1,OC_Amt)))</f>
        <v/>
      </c>
      <c r="K2152">
        <f>IF(OC_Name=0,"",IF(INDEX('OneCause_Paste'!$A$2152:$AZ$2152,1,OC_Name)="","",INDEX('OneCause_Paste'!$A$2152:$AZ$2152,1,OC_Name)))</f>
        <v/>
      </c>
      <c r="L2152">
        <f>IF(OC_Txn=0,"",IF(INDEX('OneCause_Paste'!$A$2152:$AZ$2152,1,OC_Txn)="","",INDEX('OneCause_Paste'!$A$2152:$AZ$2152,1,OC_Txn)))</f>
        <v/>
      </c>
      <c r="M2152">
        <f>IF(OC_Pay=0,"",IF(INDEX('OneCause_Paste'!$A$2152:$AZ$2152,1,OC_Pay)="","",INDEX('OneCause_Paste'!$A$2152:$AZ$2152,1,OC_Pay)))</f>
        <v/>
      </c>
      <c r="N2152">
        <f>IF(I2152="","",IF(ISNUMBER(I2152),INT(I2152),IFERROR(INT(DATEVALUE(I2152)),IFERROR(INT(VALUE(I2152)),"bad"))))</f>
        <v/>
      </c>
      <c r="O2152">
        <f>IF(J2152="","",IF(ISNUMBER(J2152),ROUND(J2152,2),IFERROR(ROUND(VALUE(SUBSTITUTE(SUBSTITUTE(SUBSTITUTE(J2152,"$",""),",","")," ","")),2),"bad")))</f>
        <v/>
      </c>
      <c r="P2152">
        <f>IF(TRIM(K2152)="","",IFERROR(MATCH(LOWER(TRIM(K2152)),'Students'!$AH$2:$AH$701,0),IFERROR(MATCH(LOWER(TRIM(K2152)),'Students'!$AF$2:$AF$701,0),IFERROR(MATCH(LOWER(TRIM(K2152)),'Students'!$AG$2:$AG$701,0),""))))</f>
        <v/>
      </c>
      <c r="R2152">
        <f>IF(P2152="","",INDEX('Students'!$AD$2:$AD$701,P2152))</f>
        <v/>
      </c>
      <c r="S2152">
        <f>IF(H2152="OK",O2152,0)</f>
        <v/>
      </c>
      <c r="T2152">
        <f>IF(H2152="OK",N2152,"")</f>
        <v/>
      </c>
      <c r="U2152">
        <f>IF(OC_Donor=0,"",IF(INDEX('OneCause_Paste'!$A$2152:$AZ$2152,1,OC_Donor)="","",INDEX('OneCause_Paste'!$A$2152:$AZ$2152,1,OC_Donor)))</f>
        <v/>
      </c>
    </row>
    <row r="2153">
      <c r="A2153" s="62">
        <f>IF(H2153="","",IF(ISNUMBER(N2153),N2153,I2153))</f>
        <v/>
      </c>
      <c r="B2153">
        <f>IF(H2153="","",U2153)</f>
        <v/>
      </c>
      <c r="C2153">
        <f>IF(H2153="","",IF(P2153="",K2153,INDEX('Students'!$A$2:$A$701,P2153)))</f>
        <v/>
      </c>
      <c r="D2153">
        <f>IF(OR(H2153="",P2153=""),"",INDEX('Students'!$B$2:$B$701,P2153))</f>
        <v/>
      </c>
      <c r="E2153">
        <f>IF(OR(H2153="",P2153=""),"",INDEX('Students'!$C$2:$C$701,P2153))</f>
        <v/>
      </c>
      <c r="F2153" s="48">
        <f>IF(H2153="","",IF(ISNUMBER(O2153),O2153,J2153))</f>
        <v/>
      </c>
      <c r="G2153">
        <f>IF(H2153="","","OneCause")</f>
        <v/>
      </c>
      <c r="H2153">
        <f>IF(AND(I2153="",J2153="",K2153=""),"",IF(NOT(ISNUMBER(O2153)),"Bad amount",IF(O2153&lt;0,"Refund (not counted)",IF(O2153=0,"Zero amount",IF(NOT(ISNUMBER(N2153)),"Bad date",IF(P2153="","NAME NOT ON ROSTER",IF(L2153="","OK",IF(MATCH(L2153,$L$2:$L$3001,0)&lt;ROW()-1,"Duplicate (ignored)","OK"))))))))</f>
        <v/>
      </c>
      <c r="I2153">
        <f>IF(OC_Date=0,"",IF(INDEX('OneCause_Paste'!$A$2153:$AZ$2153,1,OC_Date)="","",INDEX('OneCause_Paste'!$A$2153:$AZ$2153,1,OC_Date)))</f>
        <v/>
      </c>
      <c r="J2153">
        <f>IF(OC_Amt=0,"",IF(INDEX('OneCause_Paste'!$A$2153:$AZ$2153,1,OC_Amt)="","",INDEX('OneCause_Paste'!$A$2153:$AZ$2153,1,OC_Amt)))</f>
        <v/>
      </c>
      <c r="K2153">
        <f>IF(OC_Name=0,"",IF(INDEX('OneCause_Paste'!$A$2153:$AZ$2153,1,OC_Name)="","",INDEX('OneCause_Paste'!$A$2153:$AZ$2153,1,OC_Name)))</f>
        <v/>
      </c>
      <c r="L2153">
        <f>IF(OC_Txn=0,"",IF(INDEX('OneCause_Paste'!$A$2153:$AZ$2153,1,OC_Txn)="","",INDEX('OneCause_Paste'!$A$2153:$AZ$2153,1,OC_Txn)))</f>
        <v/>
      </c>
      <c r="M2153">
        <f>IF(OC_Pay=0,"",IF(INDEX('OneCause_Paste'!$A$2153:$AZ$2153,1,OC_Pay)="","",INDEX('OneCause_Paste'!$A$2153:$AZ$2153,1,OC_Pay)))</f>
        <v/>
      </c>
      <c r="N2153">
        <f>IF(I2153="","",IF(ISNUMBER(I2153),INT(I2153),IFERROR(INT(DATEVALUE(I2153)),IFERROR(INT(VALUE(I2153)),"bad"))))</f>
        <v/>
      </c>
      <c r="O2153">
        <f>IF(J2153="","",IF(ISNUMBER(J2153),ROUND(J2153,2),IFERROR(ROUND(VALUE(SUBSTITUTE(SUBSTITUTE(SUBSTITUTE(J2153,"$",""),",","")," ","")),2),"bad")))</f>
        <v/>
      </c>
      <c r="P2153">
        <f>IF(TRIM(K2153)="","",IFERROR(MATCH(LOWER(TRIM(K2153)),'Students'!$AH$2:$AH$701,0),IFERROR(MATCH(LOWER(TRIM(K2153)),'Students'!$AF$2:$AF$701,0),IFERROR(MATCH(LOWER(TRIM(K2153)),'Students'!$AG$2:$AG$701,0),""))))</f>
        <v/>
      </c>
      <c r="R2153">
        <f>IF(P2153="","",INDEX('Students'!$AD$2:$AD$701,P2153))</f>
        <v/>
      </c>
      <c r="S2153">
        <f>IF(H2153="OK",O2153,0)</f>
        <v/>
      </c>
      <c r="T2153">
        <f>IF(H2153="OK",N2153,"")</f>
        <v/>
      </c>
      <c r="U2153">
        <f>IF(OC_Donor=0,"",IF(INDEX('OneCause_Paste'!$A$2153:$AZ$2153,1,OC_Donor)="","",INDEX('OneCause_Paste'!$A$2153:$AZ$2153,1,OC_Donor)))</f>
        <v/>
      </c>
    </row>
    <row r="2154">
      <c r="A2154" s="62">
        <f>IF(H2154="","",IF(ISNUMBER(N2154),N2154,I2154))</f>
        <v/>
      </c>
      <c r="B2154">
        <f>IF(H2154="","",U2154)</f>
        <v/>
      </c>
      <c r="C2154">
        <f>IF(H2154="","",IF(P2154="",K2154,INDEX('Students'!$A$2:$A$701,P2154)))</f>
        <v/>
      </c>
      <c r="D2154">
        <f>IF(OR(H2154="",P2154=""),"",INDEX('Students'!$B$2:$B$701,P2154))</f>
        <v/>
      </c>
      <c r="E2154">
        <f>IF(OR(H2154="",P2154=""),"",INDEX('Students'!$C$2:$C$701,P2154))</f>
        <v/>
      </c>
      <c r="F2154" s="48">
        <f>IF(H2154="","",IF(ISNUMBER(O2154),O2154,J2154))</f>
        <v/>
      </c>
      <c r="G2154">
        <f>IF(H2154="","","OneCause")</f>
        <v/>
      </c>
      <c r="H2154">
        <f>IF(AND(I2154="",J2154="",K2154=""),"",IF(NOT(ISNUMBER(O2154)),"Bad amount",IF(O2154&lt;0,"Refund (not counted)",IF(O2154=0,"Zero amount",IF(NOT(ISNUMBER(N2154)),"Bad date",IF(P2154="","NAME NOT ON ROSTER",IF(L2154="","OK",IF(MATCH(L2154,$L$2:$L$3001,0)&lt;ROW()-1,"Duplicate (ignored)","OK"))))))))</f>
        <v/>
      </c>
      <c r="I2154">
        <f>IF(OC_Date=0,"",IF(INDEX('OneCause_Paste'!$A$2154:$AZ$2154,1,OC_Date)="","",INDEX('OneCause_Paste'!$A$2154:$AZ$2154,1,OC_Date)))</f>
        <v/>
      </c>
      <c r="J2154">
        <f>IF(OC_Amt=0,"",IF(INDEX('OneCause_Paste'!$A$2154:$AZ$2154,1,OC_Amt)="","",INDEX('OneCause_Paste'!$A$2154:$AZ$2154,1,OC_Amt)))</f>
        <v/>
      </c>
      <c r="K2154">
        <f>IF(OC_Name=0,"",IF(INDEX('OneCause_Paste'!$A$2154:$AZ$2154,1,OC_Name)="","",INDEX('OneCause_Paste'!$A$2154:$AZ$2154,1,OC_Name)))</f>
        <v/>
      </c>
      <c r="L2154">
        <f>IF(OC_Txn=0,"",IF(INDEX('OneCause_Paste'!$A$2154:$AZ$2154,1,OC_Txn)="","",INDEX('OneCause_Paste'!$A$2154:$AZ$2154,1,OC_Txn)))</f>
        <v/>
      </c>
      <c r="M2154">
        <f>IF(OC_Pay=0,"",IF(INDEX('OneCause_Paste'!$A$2154:$AZ$2154,1,OC_Pay)="","",INDEX('OneCause_Paste'!$A$2154:$AZ$2154,1,OC_Pay)))</f>
        <v/>
      </c>
      <c r="N2154">
        <f>IF(I2154="","",IF(ISNUMBER(I2154),INT(I2154),IFERROR(INT(DATEVALUE(I2154)),IFERROR(INT(VALUE(I2154)),"bad"))))</f>
        <v/>
      </c>
      <c r="O2154">
        <f>IF(J2154="","",IF(ISNUMBER(J2154),ROUND(J2154,2),IFERROR(ROUND(VALUE(SUBSTITUTE(SUBSTITUTE(SUBSTITUTE(J2154,"$",""),",","")," ","")),2),"bad")))</f>
        <v/>
      </c>
      <c r="P2154">
        <f>IF(TRIM(K2154)="","",IFERROR(MATCH(LOWER(TRIM(K2154)),'Students'!$AH$2:$AH$701,0),IFERROR(MATCH(LOWER(TRIM(K2154)),'Students'!$AF$2:$AF$701,0),IFERROR(MATCH(LOWER(TRIM(K2154)),'Students'!$AG$2:$AG$701,0),""))))</f>
        <v/>
      </c>
      <c r="R2154">
        <f>IF(P2154="","",INDEX('Students'!$AD$2:$AD$701,P2154))</f>
        <v/>
      </c>
      <c r="S2154">
        <f>IF(H2154="OK",O2154,0)</f>
        <v/>
      </c>
      <c r="T2154">
        <f>IF(H2154="OK",N2154,"")</f>
        <v/>
      </c>
      <c r="U2154">
        <f>IF(OC_Donor=0,"",IF(INDEX('OneCause_Paste'!$A$2154:$AZ$2154,1,OC_Donor)="","",INDEX('OneCause_Paste'!$A$2154:$AZ$2154,1,OC_Donor)))</f>
        <v/>
      </c>
    </row>
    <row r="2155">
      <c r="A2155" s="62">
        <f>IF(H2155="","",IF(ISNUMBER(N2155),N2155,I2155))</f>
        <v/>
      </c>
      <c r="B2155">
        <f>IF(H2155="","",U2155)</f>
        <v/>
      </c>
      <c r="C2155">
        <f>IF(H2155="","",IF(P2155="",K2155,INDEX('Students'!$A$2:$A$701,P2155)))</f>
        <v/>
      </c>
      <c r="D2155">
        <f>IF(OR(H2155="",P2155=""),"",INDEX('Students'!$B$2:$B$701,P2155))</f>
        <v/>
      </c>
      <c r="E2155">
        <f>IF(OR(H2155="",P2155=""),"",INDEX('Students'!$C$2:$C$701,P2155))</f>
        <v/>
      </c>
      <c r="F2155" s="48">
        <f>IF(H2155="","",IF(ISNUMBER(O2155),O2155,J2155))</f>
        <v/>
      </c>
      <c r="G2155">
        <f>IF(H2155="","","OneCause")</f>
        <v/>
      </c>
      <c r="H2155">
        <f>IF(AND(I2155="",J2155="",K2155=""),"",IF(NOT(ISNUMBER(O2155)),"Bad amount",IF(O2155&lt;0,"Refund (not counted)",IF(O2155=0,"Zero amount",IF(NOT(ISNUMBER(N2155)),"Bad date",IF(P2155="","NAME NOT ON ROSTER",IF(L2155="","OK",IF(MATCH(L2155,$L$2:$L$3001,0)&lt;ROW()-1,"Duplicate (ignored)","OK"))))))))</f>
        <v/>
      </c>
      <c r="I2155">
        <f>IF(OC_Date=0,"",IF(INDEX('OneCause_Paste'!$A$2155:$AZ$2155,1,OC_Date)="","",INDEX('OneCause_Paste'!$A$2155:$AZ$2155,1,OC_Date)))</f>
        <v/>
      </c>
      <c r="J2155">
        <f>IF(OC_Amt=0,"",IF(INDEX('OneCause_Paste'!$A$2155:$AZ$2155,1,OC_Amt)="","",INDEX('OneCause_Paste'!$A$2155:$AZ$2155,1,OC_Amt)))</f>
        <v/>
      </c>
      <c r="K2155">
        <f>IF(OC_Name=0,"",IF(INDEX('OneCause_Paste'!$A$2155:$AZ$2155,1,OC_Name)="","",INDEX('OneCause_Paste'!$A$2155:$AZ$2155,1,OC_Name)))</f>
        <v/>
      </c>
      <c r="L2155">
        <f>IF(OC_Txn=0,"",IF(INDEX('OneCause_Paste'!$A$2155:$AZ$2155,1,OC_Txn)="","",INDEX('OneCause_Paste'!$A$2155:$AZ$2155,1,OC_Txn)))</f>
        <v/>
      </c>
      <c r="M2155">
        <f>IF(OC_Pay=0,"",IF(INDEX('OneCause_Paste'!$A$2155:$AZ$2155,1,OC_Pay)="","",INDEX('OneCause_Paste'!$A$2155:$AZ$2155,1,OC_Pay)))</f>
        <v/>
      </c>
      <c r="N2155">
        <f>IF(I2155="","",IF(ISNUMBER(I2155),INT(I2155),IFERROR(INT(DATEVALUE(I2155)),IFERROR(INT(VALUE(I2155)),"bad"))))</f>
        <v/>
      </c>
      <c r="O2155">
        <f>IF(J2155="","",IF(ISNUMBER(J2155),ROUND(J2155,2),IFERROR(ROUND(VALUE(SUBSTITUTE(SUBSTITUTE(SUBSTITUTE(J2155,"$",""),",","")," ","")),2),"bad")))</f>
        <v/>
      </c>
      <c r="P2155">
        <f>IF(TRIM(K2155)="","",IFERROR(MATCH(LOWER(TRIM(K2155)),'Students'!$AH$2:$AH$701,0),IFERROR(MATCH(LOWER(TRIM(K2155)),'Students'!$AF$2:$AF$701,0),IFERROR(MATCH(LOWER(TRIM(K2155)),'Students'!$AG$2:$AG$701,0),""))))</f>
        <v/>
      </c>
      <c r="R2155">
        <f>IF(P2155="","",INDEX('Students'!$AD$2:$AD$701,P2155))</f>
        <v/>
      </c>
      <c r="S2155">
        <f>IF(H2155="OK",O2155,0)</f>
        <v/>
      </c>
      <c r="T2155">
        <f>IF(H2155="OK",N2155,"")</f>
        <v/>
      </c>
      <c r="U2155">
        <f>IF(OC_Donor=0,"",IF(INDEX('OneCause_Paste'!$A$2155:$AZ$2155,1,OC_Donor)="","",INDEX('OneCause_Paste'!$A$2155:$AZ$2155,1,OC_Donor)))</f>
        <v/>
      </c>
    </row>
    <row r="2156">
      <c r="A2156" s="62">
        <f>IF(H2156="","",IF(ISNUMBER(N2156),N2156,I2156))</f>
        <v/>
      </c>
      <c r="B2156">
        <f>IF(H2156="","",U2156)</f>
        <v/>
      </c>
      <c r="C2156">
        <f>IF(H2156="","",IF(P2156="",K2156,INDEX('Students'!$A$2:$A$701,P2156)))</f>
        <v/>
      </c>
      <c r="D2156">
        <f>IF(OR(H2156="",P2156=""),"",INDEX('Students'!$B$2:$B$701,P2156))</f>
        <v/>
      </c>
      <c r="E2156">
        <f>IF(OR(H2156="",P2156=""),"",INDEX('Students'!$C$2:$C$701,P2156))</f>
        <v/>
      </c>
      <c r="F2156" s="48">
        <f>IF(H2156="","",IF(ISNUMBER(O2156),O2156,J2156))</f>
        <v/>
      </c>
      <c r="G2156">
        <f>IF(H2156="","","OneCause")</f>
        <v/>
      </c>
      <c r="H2156">
        <f>IF(AND(I2156="",J2156="",K2156=""),"",IF(NOT(ISNUMBER(O2156)),"Bad amount",IF(O2156&lt;0,"Refund (not counted)",IF(O2156=0,"Zero amount",IF(NOT(ISNUMBER(N2156)),"Bad date",IF(P2156="","NAME NOT ON ROSTER",IF(L2156="","OK",IF(MATCH(L2156,$L$2:$L$3001,0)&lt;ROW()-1,"Duplicate (ignored)","OK"))))))))</f>
        <v/>
      </c>
      <c r="I2156">
        <f>IF(OC_Date=0,"",IF(INDEX('OneCause_Paste'!$A$2156:$AZ$2156,1,OC_Date)="","",INDEX('OneCause_Paste'!$A$2156:$AZ$2156,1,OC_Date)))</f>
        <v/>
      </c>
      <c r="J2156">
        <f>IF(OC_Amt=0,"",IF(INDEX('OneCause_Paste'!$A$2156:$AZ$2156,1,OC_Amt)="","",INDEX('OneCause_Paste'!$A$2156:$AZ$2156,1,OC_Amt)))</f>
        <v/>
      </c>
      <c r="K2156">
        <f>IF(OC_Name=0,"",IF(INDEX('OneCause_Paste'!$A$2156:$AZ$2156,1,OC_Name)="","",INDEX('OneCause_Paste'!$A$2156:$AZ$2156,1,OC_Name)))</f>
        <v/>
      </c>
      <c r="L2156">
        <f>IF(OC_Txn=0,"",IF(INDEX('OneCause_Paste'!$A$2156:$AZ$2156,1,OC_Txn)="","",INDEX('OneCause_Paste'!$A$2156:$AZ$2156,1,OC_Txn)))</f>
        <v/>
      </c>
      <c r="M2156">
        <f>IF(OC_Pay=0,"",IF(INDEX('OneCause_Paste'!$A$2156:$AZ$2156,1,OC_Pay)="","",INDEX('OneCause_Paste'!$A$2156:$AZ$2156,1,OC_Pay)))</f>
        <v/>
      </c>
      <c r="N2156">
        <f>IF(I2156="","",IF(ISNUMBER(I2156),INT(I2156),IFERROR(INT(DATEVALUE(I2156)),IFERROR(INT(VALUE(I2156)),"bad"))))</f>
        <v/>
      </c>
      <c r="O2156">
        <f>IF(J2156="","",IF(ISNUMBER(J2156),ROUND(J2156,2),IFERROR(ROUND(VALUE(SUBSTITUTE(SUBSTITUTE(SUBSTITUTE(J2156,"$",""),",","")," ","")),2),"bad")))</f>
        <v/>
      </c>
      <c r="P2156">
        <f>IF(TRIM(K2156)="","",IFERROR(MATCH(LOWER(TRIM(K2156)),'Students'!$AH$2:$AH$701,0),IFERROR(MATCH(LOWER(TRIM(K2156)),'Students'!$AF$2:$AF$701,0),IFERROR(MATCH(LOWER(TRIM(K2156)),'Students'!$AG$2:$AG$701,0),""))))</f>
        <v/>
      </c>
      <c r="R2156">
        <f>IF(P2156="","",INDEX('Students'!$AD$2:$AD$701,P2156))</f>
        <v/>
      </c>
      <c r="S2156">
        <f>IF(H2156="OK",O2156,0)</f>
        <v/>
      </c>
      <c r="T2156">
        <f>IF(H2156="OK",N2156,"")</f>
        <v/>
      </c>
      <c r="U2156">
        <f>IF(OC_Donor=0,"",IF(INDEX('OneCause_Paste'!$A$2156:$AZ$2156,1,OC_Donor)="","",INDEX('OneCause_Paste'!$A$2156:$AZ$2156,1,OC_Donor)))</f>
        <v/>
      </c>
    </row>
    <row r="2157">
      <c r="A2157" s="62">
        <f>IF(H2157="","",IF(ISNUMBER(N2157),N2157,I2157))</f>
        <v/>
      </c>
      <c r="B2157">
        <f>IF(H2157="","",U2157)</f>
        <v/>
      </c>
      <c r="C2157">
        <f>IF(H2157="","",IF(P2157="",K2157,INDEX('Students'!$A$2:$A$701,P2157)))</f>
        <v/>
      </c>
      <c r="D2157">
        <f>IF(OR(H2157="",P2157=""),"",INDEX('Students'!$B$2:$B$701,P2157))</f>
        <v/>
      </c>
      <c r="E2157">
        <f>IF(OR(H2157="",P2157=""),"",INDEX('Students'!$C$2:$C$701,P2157))</f>
        <v/>
      </c>
      <c r="F2157" s="48">
        <f>IF(H2157="","",IF(ISNUMBER(O2157),O2157,J2157))</f>
        <v/>
      </c>
      <c r="G2157">
        <f>IF(H2157="","","OneCause")</f>
        <v/>
      </c>
      <c r="H2157">
        <f>IF(AND(I2157="",J2157="",K2157=""),"",IF(NOT(ISNUMBER(O2157)),"Bad amount",IF(O2157&lt;0,"Refund (not counted)",IF(O2157=0,"Zero amount",IF(NOT(ISNUMBER(N2157)),"Bad date",IF(P2157="","NAME NOT ON ROSTER",IF(L2157="","OK",IF(MATCH(L2157,$L$2:$L$3001,0)&lt;ROW()-1,"Duplicate (ignored)","OK"))))))))</f>
        <v/>
      </c>
      <c r="I2157">
        <f>IF(OC_Date=0,"",IF(INDEX('OneCause_Paste'!$A$2157:$AZ$2157,1,OC_Date)="","",INDEX('OneCause_Paste'!$A$2157:$AZ$2157,1,OC_Date)))</f>
        <v/>
      </c>
      <c r="J2157">
        <f>IF(OC_Amt=0,"",IF(INDEX('OneCause_Paste'!$A$2157:$AZ$2157,1,OC_Amt)="","",INDEX('OneCause_Paste'!$A$2157:$AZ$2157,1,OC_Amt)))</f>
        <v/>
      </c>
      <c r="K2157">
        <f>IF(OC_Name=0,"",IF(INDEX('OneCause_Paste'!$A$2157:$AZ$2157,1,OC_Name)="","",INDEX('OneCause_Paste'!$A$2157:$AZ$2157,1,OC_Name)))</f>
        <v/>
      </c>
      <c r="L2157">
        <f>IF(OC_Txn=0,"",IF(INDEX('OneCause_Paste'!$A$2157:$AZ$2157,1,OC_Txn)="","",INDEX('OneCause_Paste'!$A$2157:$AZ$2157,1,OC_Txn)))</f>
        <v/>
      </c>
      <c r="M2157">
        <f>IF(OC_Pay=0,"",IF(INDEX('OneCause_Paste'!$A$2157:$AZ$2157,1,OC_Pay)="","",INDEX('OneCause_Paste'!$A$2157:$AZ$2157,1,OC_Pay)))</f>
        <v/>
      </c>
      <c r="N2157">
        <f>IF(I2157="","",IF(ISNUMBER(I2157),INT(I2157),IFERROR(INT(DATEVALUE(I2157)),IFERROR(INT(VALUE(I2157)),"bad"))))</f>
        <v/>
      </c>
      <c r="O2157">
        <f>IF(J2157="","",IF(ISNUMBER(J2157),ROUND(J2157,2),IFERROR(ROUND(VALUE(SUBSTITUTE(SUBSTITUTE(SUBSTITUTE(J2157,"$",""),",","")," ","")),2),"bad")))</f>
        <v/>
      </c>
      <c r="P2157">
        <f>IF(TRIM(K2157)="","",IFERROR(MATCH(LOWER(TRIM(K2157)),'Students'!$AH$2:$AH$701,0),IFERROR(MATCH(LOWER(TRIM(K2157)),'Students'!$AF$2:$AF$701,0),IFERROR(MATCH(LOWER(TRIM(K2157)),'Students'!$AG$2:$AG$701,0),""))))</f>
        <v/>
      </c>
      <c r="R2157">
        <f>IF(P2157="","",INDEX('Students'!$AD$2:$AD$701,P2157))</f>
        <v/>
      </c>
      <c r="S2157">
        <f>IF(H2157="OK",O2157,0)</f>
        <v/>
      </c>
      <c r="T2157">
        <f>IF(H2157="OK",N2157,"")</f>
        <v/>
      </c>
      <c r="U2157">
        <f>IF(OC_Donor=0,"",IF(INDEX('OneCause_Paste'!$A$2157:$AZ$2157,1,OC_Donor)="","",INDEX('OneCause_Paste'!$A$2157:$AZ$2157,1,OC_Donor)))</f>
        <v/>
      </c>
    </row>
    <row r="2158">
      <c r="A2158" s="62">
        <f>IF(H2158="","",IF(ISNUMBER(N2158),N2158,I2158))</f>
        <v/>
      </c>
      <c r="B2158">
        <f>IF(H2158="","",U2158)</f>
        <v/>
      </c>
      <c r="C2158">
        <f>IF(H2158="","",IF(P2158="",K2158,INDEX('Students'!$A$2:$A$701,P2158)))</f>
        <v/>
      </c>
      <c r="D2158">
        <f>IF(OR(H2158="",P2158=""),"",INDEX('Students'!$B$2:$B$701,P2158))</f>
        <v/>
      </c>
      <c r="E2158">
        <f>IF(OR(H2158="",P2158=""),"",INDEX('Students'!$C$2:$C$701,P2158))</f>
        <v/>
      </c>
      <c r="F2158" s="48">
        <f>IF(H2158="","",IF(ISNUMBER(O2158),O2158,J2158))</f>
        <v/>
      </c>
      <c r="G2158">
        <f>IF(H2158="","","OneCause")</f>
        <v/>
      </c>
      <c r="H2158">
        <f>IF(AND(I2158="",J2158="",K2158=""),"",IF(NOT(ISNUMBER(O2158)),"Bad amount",IF(O2158&lt;0,"Refund (not counted)",IF(O2158=0,"Zero amount",IF(NOT(ISNUMBER(N2158)),"Bad date",IF(P2158="","NAME NOT ON ROSTER",IF(L2158="","OK",IF(MATCH(L2158,$L$2:$L$3001,0)&lt;ROW()-1,"Duplicate (ignored)","OK"))))))))</f>
        <v/>
      </c>
      <c r="I2158">
        <f>IF(OC_Date=0,"",IF(INDEX('OneCause_Paste'!$A$2158:$AZ$2158,1,OC_Date)="","",INDEX('OneCause_Paste'!$A$2158:$AZ$2158,1,OC_Date)))</f>
        <v/>
      </c>
      <c r="J2158">
        <f>IF(OC_Amt=0,"",IF(INDEX('OneCause_Paste'!$A$2158:$AZ$2158,1,OC_Amt)="","",INDEX('OneCause_Paste'!$A$2158:$AZ$2158,1,OC_Amt)))</f>
        <v/>
      </c>
      <c r="K2158">
        <f>IF(OC_Name=0,"",IF(INDEX('OneCause_Paste'!$A$2158:$AZ$2158,1,OC_Name)="","",INDEX('OneCause_Paste'!$A$2158:$AZ$2158,1,OC_Name)))</f>
        <v/>
      </c>
      <c r="L2158">
        <f>IF(OC_Txn=0,"",IF(INDEX('OneCause_Paste'!$A$2158:$AZ$2158,1,OC_Txn)="","",INDEX('OneCause_Paste'!$A$2158:$AZ$2158,1,OC_Txn)))</f>
        <v/>
      </c>
      <c r="M2158">
        <f>IF(OC_Pay=0,"",IF(INDEX('OneCause_Paste'!$A$2158:$AZ$2158,1,OC_Pay)="","",INDEX('OneCause_Paste'!$A$2158:$AZ$2158,1,OC_Pay)))</f>
        <v/>
      </c>
      <c r="N2158">
        <f>IF(I2158="","",IF(ISNUMBER(I2158),INT(I2158),IFERROR(INT(DATEVALUE(I2158)),IFERROR(INT(VALUE(I2158)),"bad"))))</f>
        <v/>
      </c>
      <c r="O2158">
        <f>IF(J2158="","",IF(ISNUMBER(J2158),ROUND(J2158,2),IFERROR(ROUND(VALUE(SUBSTITUTE(SUBSTITUTE(SUBSTITUTE(J2158,"$",""),",","")," ","")),2),"bad")))</f>
        <v/>
      </c>
      <c r="P2158">
        <f>IF(TRIM(K2158)="","",IFERROR(MATCH(LOWER(TRIM(K2158)),'Students'!$AH$2:$AH$701,0),IFERROR(MATCH(LOWER(TRIM(K2158)),'Students'!$AF$2:$AF$701,0),IFERROR(MATCH(LOWER(TRIM(K2158)),'Students'!$AG$2:$AG$701,0),""))))</f>
        <v/>
      </c>
      <c r="R2158">
        <f>IF(P2158="","",INDEX('Students'!$AD$2:$AD$701,P2158))</f>
        <v/>
      </c>
      <c r="S2158">
        <f>IF(H2158="OK",O2158,0)</f>
        <v/>
      </c>
      <c r="T2158">
        <f>IF(H2158="OK",N2158,"")</f>
        <v/>
      </c>
      <c r="U2158">
        <f>IF(OC_Donor=0,"",IF(INDEX('OneCause_Paste'!$A$2158:$AZ$2158,1,OC_Donor)="","",INDEX('OneCause_Paste'!$A$2158:$AZ$2158,1,OC_Donor)))</f>
        <v/>
      </c>
    </row>
    <row r="2159">
      <c r="A2159" s="62">
        <f>IF(H2159="","",IF(ISNUMBER(N2159),N2159,I2159))</f>
        <v/>
      </c>
      <c r="B2159">
        <f>IF(H2159="","",U2159)</f>
        <v/>
      </c>
      <c r="C2159">
        <f>IF(H2159="","",IF(P2159="",K2159,INDEX('Students'!$A$2:$A$701,P2159)))</f>
        <v/>
      </c>
      <c r="D2159">
        <f>IF(OR(H2159="",P2159=""),"",INDEX('Students'!$B$2:$B$701,P2159))</f>
        <v/>
      </c>
      <c r="E2159">
        <f>IF(OR(H2159="",P2159=""),"",INDEX('Students'!$C$2:$C$701,P2159))</f>
        <v/>
      </c>
      <c r="F2159" s="48">
        <f>IF(H2159="","",IF(ISNUMBER(O2159),O2159,J2159))</f>
        <v/>
      </c>
      <c r="G2159">
        <f>IF(H2159="","","OneCause")</f>
        <v/>
      </c>
      <c r="H2159">
        <f>IF(AND(I2159="",J2159="",K2159=""),"",IF(NOT(ISNUMBER(O2159)),"Bad amount",IF(O2159&lt;0,"Refund (not counted)",IF(O2159=0,"Zero amount",IF(NOT(ISNUMBER(N2159)),"Bad date",IF(P2159="","NAME NOT ON ROSTER",IF(L2159="","OK",IF(MATCH(L2159,$L$2:$L$3001,0)&lt;ROW()-1,"Duplicate (ignored)","OK"))))))))</f>
        <v/>
      </c>
      <c r="I2159">
        <f>IF(OC_Date=0,"",IF(INDEX('OneCause_Paste'!$A$2159:$AZ$2159,1,OC_Date)="","",INDEX('OneCause_Paste'!$A$2159:$AZ$2159,1,OC_Date)))</f>
        <v/>
      </c>
      <c r="J2159">
        <f>IF(OC_Amt=0,"",IF(INDEX('OneCause_Paste'!$A$2159:$AZ$2159,1,OC_Amt)="","",INDEX('OneCause_Paste'!$A$2159:$AZ$2159,1,OC_Amt)))</f>
        <v/>
      </c>
      <c r="K2159">
        <f>IF(OC_Name=0,"",IF(INDEX('OneCause_Paste'!$A$2159:$AZ$2159,1,OC_Name)="","",INDEX('OneCause_Paste'!$A$2159:$AZ$2159,1,OC_Name)))</f>
        <v/>
      </c>
      <c r="L2159">
        <f>IF(OC_Txn=0,"",IF(INDEX('OneCause_Paste'!$A$2159:$AZ$2159,1,OC_Txn)="","",INDEX('OneCause_Paste'!$A$2159:$AZ$2159,1,OC_Txn)))</f>
        <v/>
      </c>
      <c r="M2159">
        <f>IF(OC_Pay=0,"",IF(INDEX('OneCause_Paste'!$A$2159:$AZ$2159,1,OC_Pay)="","",INDEX('OneCause_Paste'!$A$2159:$AZ$2159,1,OC_Pay)))</f>
        <v/>
      </c>
      <c r="N2159">
        <f>IF(I2159="","",IF(ISNUMBER(I2159),INT(I2159),IFERROR(INT(DATEVALUE(I2159)),IFERROR(INT(VALUE(I2159)),"bad"))))</f>
        <v/>
      </c>
      <c r="O2159">
        <f>IF(J2159="","",IF(ISNUMBER(J2159),ROUND(J2159,2),IFERROR(ROUND(VALUE(SUBSTITUTE(SUBSTITUTE(SUBSTITUTE(J2159,"$",""),",","")," ","")),2),"bad")))</f>
        <v/>
      </c>
      <c r="P2159">
        <f>IF(TRIM(K2159)="","",IFERROR(MATCH(LOWER(TRIM(K2159)),'Students'!$AH$2:$AH$701,0),IFERROR(MATCH(LOWER(TRIM(K2159)),'Students'!$AF$2:$AF$701,0),IFERROR(MATCH(LOWER(TRIM(K2159)),'Students'!$AG$2:$AG$701,0),""))))</f>
        <v/>
      </c>
      <c r="R2159">
        <f>IF(P2159="","",INDEX('Students'!$AD$2:$AD$701,P2159))</f>
        <v/>
      </c>
      <c r="S2159">
        <f>IF(H2159="OK",O2159,0)</f>
        <v/>
      </c>
      <c r="T2159">
        <f>IF(H2159="OK",N2159,"")</f>
        <v/>
      </c>
      <c r="U2159">
        <f>IF(OC_Donor=0,"",IF(INDEX('OneCause_Paste'!$A$2159:$AZ$2159,1,OC_Donor)="","",INDEX('OneCause_Paste'!$A$2159:$AZ$2159,1,OC_Donor)))</f>
        <v/>
      </c>
    </row>
    <row r="2160">
      <c r="A2160" s="62">
        <f>IF(H2160="","",IF(ISNUMBER(N2160),N2160,I2160))</f>
        <v/>
      </c>
      <c r="B2160">
        <f>IF(H2160="","",U2160)</f>
        <v/>
      </c>
      <c r="C2160">
        <f>IF(H2160="","",IF(P2160="",K2160,INDEX('Students'!$A$2:$A$701,P2160)))</f>
        <v/>
      </c>
      <c r="D2160">
        <f>IF(OR(H2160="",P2160=""),"",INDEX('Students'!$B$2:$B$701,P2160))</f>
        <v/>
      </c>
      <c r="E2160">
        <f>IF(OR(H2160="",P2160=""),"",INDEX('Students'!$C$2:$C$701,P2160))</f>
        <v/>
      </c>
      <c r="F2160" s="48">
        <f>IF(H2160="","",IF(ISNUMBER(O2160),O2160,J2160))</f>
        <v/>
      </c>
      <c r="G2160">
        <f>IF(H2160="","","OneCause")</f>
        <v/>
      </c>
      <c r="H2160">
        <f>IF(AND(I2160="",J2160="",K2160=""),"",IF(NOT(ISNUMBER(O2160)),"Bad amount",IF(O2160&lt;0,"Refund (not counted)",IF(O2160=0,"Zero amount",IF(NOT(ISNUMBER(N2160)),"Bad date",IF(P2160="","NAME NOT ON ROSTER",IF(L2160="","OK",IF(MATCH(L2160,$L$2:$L$3001,0)&lt;ROW()-1,"Duplicate (ignored)","OK"))))))))</f>
        <v/>
      </c>
      <c r="I2160">
        <f>IF(OC_Date=0,"",IF(INDEX('OneCause_Paste'!$A$2160:$AZ$2160,1,OC_Date)="","",INDEX('OneCause_Paste'!$A$2160:$AZ$2160,1,OC_Date)))</f>
        <v/>
      </c>
      <c r="J2160">
        <f>IF(OC_Amt=0,"",IF(INDEX('OneCause_Paste'!$A$2160:$AZ$2160,1,OC_Amt)="","",INDEX('OneCause_Paste'!$A$2160:$AZ$2160,1,OC_Amt)))</f>
        <v/>
      </c>
      <c r="K2160">
        <f>IF(OC_Name=0,"",IF(INDEX('OneCause_Paste'!$A$2160:$AZ$2160,1,OC_Name)="","",INDEX('OneCause_Paste'!$A$2160:$AZ$2160,1,OC_Name)))</f>
        <v/>
      </c>
      <c r="L2160">
        <f>IF(OC_Txn=0,"",IF(INDEX('OneCause_Paste'!$A$2160:$AZ$2160,1,OC_Txn)="","",INDEX('OneCause_Paste'!$A$2160:$AZ$2160,1,OC_Txn)))</f>
        <v/>
      </c>
      <c r="M2160">
        <f>IF(OC_Pay=0,"",IF(INDEX('OneCause_Paste'!$A$2160:$AZ$2160,1,OC_Pay)="","",INDEX('OneCause_Paste'!$A$2160:$AZ$2160,1,OC_Pay)))</f>
        <v/>
      </c>
      <c r="N2160">
        <f>IF(I2160="","",IF(ISNUMBER(I2160),INT(I2160),IFERROR(INT(DATEVALUE(I2160)),IFERROR(INT(VALUE(I2160)),"bad"))))</f>
        <v/>
      </c>
      <c r="O2160">
        <f>IF(J2160="","",IF(ISNUMBER(J2160),ROUND(J2160,2),IFERROR(ROUND(VALUE(SUBSTITUTE(SUBSTITUTE(SUBSTITUTE(J2160,"$",""),",","")," ","")),2),"bad")))</f>
        <v/>
      </c>
      <c r="P2160">
        <f>IF(TRIM(K2160)="","",IFERROR(MATCH(LOWER(TRIM(K2160)),'Students'!$AH$2:$AH$701,0),IFERROR(MATCH(LOWER(TRIM(K2160)),'Students'!$AF$2:$AF$701,0),IFERROR(MATCH(LOWER(TRIM(K2160)),'Students'!$AG$2:$AG$701,0),""))))</f>
        <v/>
      </c>
      <c r="R2160">
        <f>IF(P2160="","",INDEX('Students'!$AD$2:$AD$701,P2160))</f>
        <v/>
      </c>
      <c r="S2160">
        <f>IF(H2160="OK",O2160,0)</f>
        <v/>
      </c>
      <c r="T2160">
        <f>IF(H2160="OK",N2160,"")</f>
        <v/>
      </c>
      <c r="U2160">
        <f>IF(OC_Donor=0,"",IF(INDEX('OneCause_Paste'!$A$2160:$AZ$2160,1,OC_Donor)="","",INDEX('OneCause_Paste'!$A$2160:$AZ$2160,1,OC_Donor)))</f>
        <v/>
      </c>
    </row>
    <row r="2161">
      <c r="A2161" s="62">
        <f>IF(H2161="","",IF(ISNUMBER(N2161),N2161,I2161))</f>
        <v/>
      </c>
      <c r="B2161">
        <f>IF(H2161="","",U2161)</f>
        <v/>
      </c>
      <c r="C2161">
        <f>IF(H2161="","",IF(P2161="",K2161,INDEX('Students'!$A$2:$A$701,P2161)))</f>
        <v/>
      </c>
      <c r="D2161">
        <f>IF(OR(H2161="",P2161=""),"",INDEX('Students'!$B$2:$B$701,P2161))</f>
        <v/>
      </c>
      <c r="E2161">
        <f>IF(OR(H2161="",P2161=""),"",INDEX('Students'!$C$2:$C$701,P2161))</f>
        <v/>
      </c>
      <c r="F2161" s="48">
        <f>IF(H2161="","",IF(ISNUMBER(O2161),O2161,J2161))</f>
        <v/>
      </c>
      <c r="G2161">
        <f>IF(H2161="","","OneCause")</f>
        <v/>
      </c>
      <c r="H2161">
        <f>IF(AND(I2161="",J2161="",K2161=""),"",IF(NOT(ISNUMBER(O2161)),"Bad amount",IF(O2161&lt;0,"Refund (not counted)",IF(O2161=0,"Zero amount",IF(NOT(ISNUMBER(N2161)),"Bad date",IF(P2161="","NAME NOT ON ROSTER",IF(L2161="","OK",IF(MATCH(L2161,$L$2:$L$3001,0)&lt;ROW()-1,"Duplicate (ignored)","OK"))))))))</f>
        <v/>
      </c>
      <c r="I2161">
        <f>IF(OC_Date=0,"",IF(INDEX('OneCause_Paste'!$A$2161:$AZ$2161,1,OC_Date)="","",INDEX('OneCause_Paste'!$A$2161:$AZ$2161,1,OC_Date)))</f>
        <v/>
      </c>
      <c r="J2161">
        <f>IF(OC_Amt=0,"",IF(INDEX('OneCause_Paste'!$A$2161:$AZ$2161,1,OC_Amt)="","",INDEX('OneCause_Paste'!$A$2161:$AZ$2161,1,OC_Amt)))</f>
        <v/>
      </c>
      <c r="K2161">
        <f>IF(OC_Name=0,"",IF(INDEX('OneCause_Paste'!$A$2161:$AZ$2161,1,OC_Name)="","",INDEX('OneCause_Paste'!$A$2161:$AZ$2161,1,OC_Name)))</f>
        <v/>
      </c>
      <c r="L2161">
        <f>IF(OC_Txn=0,"",IF(INDEX('OneCause_Paste'!$A$2161:$AZ$2161,1,OC_Txn)="","",INDEX('OneCause_Paste'!$A$2161:$AZ$2161,1,OC_Txn)))</f>
        <v/>
      </c>
      <c r="M2161">
        <f>IF(OC_Pay=0,"",IF(INDEX('OneCause_Paste'!$A$2161:$AZ$2161,1,OC_Pay)="","",INDEX('OneCause_Paste'!$A$2161:$AZ$2161,1,OC_Pay)))</f>
        <v/>
      </c>
      <c r="N2161">
        <f>IF(I2161="","",IF(ISNUMBER(I2161),INT(I2161),IFERROR(INT(DATEVALUE(I2161)),IFERROR(INT(VALUE(I2161)),"bad"))))</f>
        <v/>
      </c>
      <c r="O2161">
        <f>IF(J2161="","",IF(ISNUMBER(J2161),ROUND(J2161,2),IFERROR(ROUND(VALUE(SUBSTITUTE(SUBSTITUTE(SUBSTITUTE(J2161,"$",""),",","")," ","")),2),"bad")))</f>
        <v/>
      </c>
      <c r="P2161">
        <f>IF(TRIM(K2161)="","",IFERROR(MATCH(LOWER(TRIM(K2161)),'Students'!$AH$2:$AH$701,0),IFERROR(MATCH(LOWER(TRIM(K2161)),'Students'!$AF$2:$AF$701,0),IFERROR(MATCH(LOWER(TRIM(K2161)),'Students'!$AG$2:$AG$701,0),""))))</f>
        <v/>
      </c>
      <c r="R2161">
        <f>IF(P2161="","",INDEX('Students'!$AD$2:$AD$701,P2161))</f>
        <v/>
      </c>
      <c r="S2161">
        <f>IF(H2161="OK",O2161,0)</f>
        <v/>
      </c>
      <c r="T2161">
        <f>IF(H2161="OK",N2161,"")</f>
        <v/>
      </c>
      <c r="U2161">
        <f>IF(OC_Donor=0,"",IF(INDEX('OneCause_Paste'!$A$2161:$AZ$2161,1,OC_Donor)="","",INDEX('OneCause_Paste'!$A$2161:$AZ$2161,1,OC_Donor)))</f>
        <v/>
      </c>
    </row>
    <row r="2162">
      <c r="A2162" s="62">
        <f>IF(H2162="","",IF(ISNUMBER(N2162),N2162,I2162))</f>
        <v/>
      </c>
      <c r="B2162">
        <f>IF(H2162="","",U2162)</f>
        <v/>
      </c>
      <c r="C2162">
        <f>IF(H2162="","",IF(P2162="",K2162,INDEX('Students'!$A$2:$A$701,P2162)))</f>
        <v/>
      </c>
      <c r="D2162">
        <f>IF(OR(H2162="",P2162=""),"",INDEX('Students'!$B$2:$B$701,P2162))</f>
        <v/>
      </c>
      <c r="E2162">
        <f>IF(OR(H2162="",P2162=""),"",INDEX('Students'!$C$2:$C$701,P2162))</f>
        <v/>
      </c>
      <c r="F2162" s="48">
        <f>IF(H2162="","",IF(ISNUMBER(O2162),O2162,J2162))</f>
        <v/>
      </c>
      <c r="G2162">
        <f>IF(H2162="","","OneCause")</f>
        <v/>
      </c>
      <c r="H2162">
        <f>IF(AND(I2162="",J2162="",K2162=""),"",IF(NOT(ISNUMBER(O2162)),"Bad amount",IF(O2162&lt;0,"Refund (not counted)",IF(O2162=0,"Zero amount",IF(NOT(ISNUMBER(N2162)),"Bad date",IF(P2162="","NAME NOT ON ROSTER",IF(L2162="","OK",IF(MATCH(L2162,$L$2:$L$3001,0)&lt;ROW()-1,"Duplicate (ignored)","OK"))))))))</f>
        <v/>
      </c>
      <c r="I2162">
        <f>IF(OC_Date=0,"",IF(INDEX('OneCause_Paste'!$A$2162:$AZ$2162,1,OC_Date)="","",INDEX('OneCause_Paste'!$A$2162:$AZ$2162,1,OC_Date)))</f>
        <v/>
      </c>
      <c r="J2162">
        <f>IF(OC_Amt=0,"",IF(INDEX('OneCause_Paste'!$A$2162:$AZ$2162,1,OC_Amt)="","",INDEX('OneCause_Paste'!$A$2162:$AZ$2162,1,OC_Amt)))</f>
        <v/>
      </c>
      <c r="K2162">
        <f>IF(OC_Name=0,"",IF(INDEX('OneCause_Paste'!$A$2162:$AZ$2162,1,OC_Name)="","",INDEX('OneCause_Paste'!$A$2162:$AZ$2162,1,OC_Name)))</f>
        <v/>
      </c>
      <c r="L2162">
        <f>IF(OC_Txn=0,"",IF(INDEX('OneCause_Paste'!$A$2162:$AZ$2162,1,OC_Txn)="","",INDEX('OneCause_Paste'!$A$2162:$AZ$2162,1,OC_Txn)))</f>
        <v/>
      </c>
      <c r="M2162">
        <f>IF(OC_Pay=0,"",IF(INDEX('OneCause_Paste'!$A$2162:$AZ$2162,1,OC_Pay)="","",INDEX('OneCause_Paste'!$A$2162:$AZ$2162,1,OC_Pay)))</f>
        <v/>
      </c>
      <c r="N2162">
        <f>IF(I2162="","",IF(ISNUMBER(I2162),INT(I2162),IFERROR(INT(DATEVALUE(I2162)),IFERROR(INT(VALUE(I2162)),"bad"))))</f>
        <v/>
      </c>
      <c r="O2162">
        <f>IF(J2162="","",IF(ISNUMBER(J2162),ROUND(J2162,2),IFERROR(ROUND(VALUE(SUBSTITUTE(SUBSTITUTE(SUBSTITUTE(J2162,"$",""),",","")," ","")),2),"bad")))</f>
        <v/>
      </c>
      <c r="P2162">
        <f>IF(TRIM(K2162)="","",IFERROR(MATCH(LOWER(TRIM(K2162)),'Students'!$AH$2:$AH$701,0),IFERROR(MATCH(LOWER(TRIM(K2162)),'Students'!$AF$2:$AF$701,0),IFERROR(MATCH(LOWER(TRIM(K2162)),'Students'!$AG$2:$AG$701,0),""))))</f>
        <v/>
      </c>
      <c r="R2162">
        <f>IF(P2162="","",INDEX('Students'!$AD$2:$AD$701,P2162))</f>
        <v/>
      </c>
      <c r="S2162">
        <f>IF(H2162="OK",O2162,0)</f>
        <v/>
      </c>
      <c r="T2162">
        <f>IF(H2162="OK",N2162,"")</f>
        <v/>
      </c>
      <c r="U2162">
        <f>IF(OC_Donor=0,"",IF(INDEX('OneCause_Paste'!$A$2162:$AZ$2162,1,OC_Donor)="","",INDEX('OneCause_Paste'!$A$2162:$AZ$2162,1,OC_Donor)))</f>
        <v/>
      </c>
    </row>
    <row r="2163">
      <c r="A2163" s="62">
        <f>IF(H2163="","",IF(ISNUMBER(N2163),N2163,I2163))</f>
        <v/>
      </c>
      <c r="B2163">
        <f>IF(H2163="","",U2163)</f>
        <v/>
      </c>
      <c r="C2163">
        <f>IF(H2163="","",IF(P2163="",K2163,INDEX('Students'!$A$2:$A$701,P2163)))</f>
        <v/>
      </c>
      <c r="D2163">
        <f>IF(OR(H2163="",P2163=""),"",INDEX('Students'!$B$2:$B$701,P2163))</f>
        <v/>
      </c>
      <c r="E2163">
        <f>IF(OR(H2163="",P2163=""),"",INDEX('Students'!$C$2:$C$701,P2163))</f>
        <v/>
      </c>
      <c r="F2163" s="48">
        <f>IF(H2163="","",IF(ISNUMBER(O2163),O2163,J2163))</f>
        <v/>
      </c>
      <c r="G2163">
        <f>IF(H2163="","","OneCause")</f>
        <v/>
      </c>
      <c r="H2163">
        <f>IF(AND(I2163="",J2163="",K2163=""),"",IF(NOT(ISNUMBER(O2163)),"Bad amount",IF(O2163&lt;0,"Refund (not counted)",IF(O2163=0,"Zero amount",IF(NOT(ISNUMBER(N2163)),"Bad date",IF(P2163="","NAME NOT ON ROSTER",IF(L2163="","OK",IF(MATCH(L2163,$L$2:$L$3001,0)&lt;ROW()-1,"Duplicate (ignored)","OK"))))))))</f>
        <v/>
      </c>
      <c r="I2163">
        <f>IF(OC_Date=0,"",IF(INDEX('OneCause_Paste'!$A$2163:$AZ$2163,1,OC_Date)="","",INDEX('OneCause_Paste'!$A$2163:$AZ$2163,1,OC_Date)))</f>
        <v/>
      </c>
      <c r="J2163">
        <f>IF(OC_Amt=0,"",IF(INDEX('OneCause_Paste'!$A$2163:$AZ$2163,1,OC_Amt)="","",INDEX('OneCause_Paste'!$A$2163:$AZ$2163,1,OC_Amt)))</f>
        <v/>
      </c>
      <c r="K2163">
        <f>IF(OC_Name=0,"",IF(INDEX('OneCause_Paste'!$A$2163:$AZ$2163,1,OC_Name)="","",INDEX('OneCause_Paste'!$A$2163:$AZ$2163,1,OC_Name)))</f>
        <v/>
      </c>
      <c r="L2163">
        <f>IF(OC_Txn=0,"",IF(INDEX('OneCause_Paste'!$A$2163:$AZ$2163,1,OC_Txn)="","",INDEX('OneCause_Paste'!$A$2163:$AZ$2163,1,OC_Txn)))</f>
        <v/>
      </c>
      <c r="M2163">
        <f>IF(OC_Pay=0,"",IF(INDEX('OneCause_Paste'!$A$2163:$AZ$2163,1,OC_Pay)="","",INDEX('OneCause_Paste'!$A$2163:$AZ$2163,1,OC_Pay)))</f>
        <v/>
      </c>
      <c r="N2163">
        <f>IF(I2163="","",IF(ISNUMBER(I2163),INT(I2163),IFERROR(INT(DATEVALUE(I2163)),IFERROR(INT(VALUE(I2163)),"bad"))))</f>
        <v/>
      </c>
      <c r="O2163">
        <f>IF(J2163="","",IF(ISNUMBER(J2163),ROUND(J2163,2),IFERROR(ROUND(VALUE(SUBSTITUTE(SUBSTITUTE(SUBSTITUTE(J2163,"$",""),",","")," ","")),2),"bad")))</f>
        <v/>
      </c>
      <c r="P2163">
        <f>IF(TRIM(K2163)="","",IFERROR(MATCH(LOWER(TRIM(K2163)),'Students'!$AH$2:$AH$701,0),IFERROR(MATCH(LOWER(TRIM(K2163)),'Students'!$AF$2:$AF$701,0),IFERROR(MATCH(LOWER(TRIM(K2163)),'Students'!$AG$2:$AG$701,0),""))))</f>
        <v/>
      </c>
      <c r="R2163">
        <f>IF(P2163="","",INDEX('Students'!$AD$2:$AD$701,P2163))</f>
        <v/>
      </c>
      <c r="S2163">
        <f>IF(H2163="OK",O2163,0)</f>
        <v/>
      </c>
      <c r="T2163">
        <f>IF(H2163="OK",N2163,"")</f>
        <v/>
      </c>
      <c r="U2163">
        <f>IF(OC_Donor=0,"",IF(INDEX('OneCause_Paste'!$A$2163:$AZ$2163,1,OC_Donor)="","",INDEX('OneCause_Paste'!$A$2163:$AZ$2163,1,OC_Donor)))</f>
        <v/>
      </c>
    </row>
    <row r="2164">
      <c r="A2164" s="62">
        <f>IF(H2164="","",IF(ISNUMBER(N2164),N2164,I2164))</f>
        <v/>
      </c>
      <c r="B2164">
        <f>IF(H2164="","",U2164)</f>
        <v/>
      </c>
      <c r="C2164">
        <f>IF(H2164="","",IF(P2164="",K2164,INDEX('Students'!$A$2:$A$701,P2164)))</f>
        <v/>
      </c>
      <c r="D2164">
        <f>IF(OR(H2164="",P2164=""),"",INDEX('Students'!$B$2:$B$701,P2164))</f>
        <v/>
      </c>
      <c r="E2164">
        <f>IF(OR(H2164="",P2164=""),"",INDEX('Students'!$C$2:$C$701,P2164))</f>
        <v/>
      </c>
      <c r="F2164" s="48">
        <f>IF(H2164="","",IF(ISNUMBER(O2164),O2164,J2164))</f>
        <v/>
      </c>
      <c r="G2164">
        <f>IF(H2164="","","OneCause")</f>
        <v/>
      </c>
      <c r="H2164">
        <f>IF(AND(I2164="",J2164="",K2164=""),"",IF(NOT(ISNUMBER(O2164)),"Bad amount",IF(O2164&lt;0,"Refund (not counted)",IF(O2164=0,"Zero amount",IF(NOT(ISNUMBER(N2164)),"Bad date",IF(P2164="","NAME NOT ON ROSTER",IF(L2164="","OK",IF(MATCH(L2164,$L$2:$L$3001,0)&lt;ROW()-1,"Duplicate (ignored)","OK"))))))))</f>
        <v/>
      </c>
      <c r="I2164">
        <f>IF(OC_Date=0,"",IF(INDEX('OneCause_Paste'!$A$2164:$AZ$2164,1,OC_Date)="","",INDEX('OneCause_Paste'!$A$2164:$AZ$2164,1,OC_Date)))</f>
        <v/>
      </c>
      <c r="J2164">
        <f>IF(OC_Amt=0,"",IF(INDEX('OneCause_Paste'!$A$2164:$AZ$2164,1,OC_Amt)="","",INDEX('OneCause_Paste'!$A$2164:$AZ$2164,1,OC_Amt)))</f>
        <v/>
      </c>
      <c r="K2164">
        <f>IF(OC_Name=0,"",IF(INDEX('OneCause_Paste'!$A$2164:$AZ$2164,1,OC_Name)="","",INDEX('OneCause_Paste'!$A$2164:$AZ$2164,1,OC_Name)))</f>
        <v/>
      </c>
      <c r="L2164">
        <f>IF(OC_Txn=0,"",IF(INDEX('OneCause_Paste'!$A$2164:$AZ$2164,1,OC_Txn)="","",INDEX('OneCause_Paste'!$A$2164:$AZ$2164,1,OC_Txn)))</f>
        <v/>
      </c>
      <c r="M2164">
        <f>IF(OC_Pay=0,"",IF(INDEX('OneCause_Paste'!$A$2164:$AZ$2164,1,OC_Pay)="","",INDEX('OneCause_Paste'!$A$2164:$AZ$2164,1,OC_Pay)))</f>
        <v/>
      </c>
      <c r="N2164">
        <f>IF(I2164="","",IF(ISNUMBER(I2164),INT(I2164),IFERROR(INT(DATEVALUE(I2164)),IFERROR(INT(VALUE(I2164)),"bad"))))</f>
        <v/>
      </c>
      <c r="O2164">
        <f>IF(J2164="","",IF(ISNUMBER(J2164),ROUND(J2164,2),IFERROR(ROUND(VALUE(SUBSTITUTE(SUBSTITUTE(SUBSTITUTE(J2164,"$",""),",","")," ","")),2),"bad")))</f>
        <v/>
      </c>
      <c r="P2164">
        <f>IF(TRIM(K2164)="","",IFERROR(MATCH(LOWER(TRIM(K2164)),'Students'!$AH$2:$AH$701,0),IFERROR(MATCH(LOWER(TRIM(K2164)),'Students'!$AF$2:$AF$701,0),IFERROR(MATCH(LOWER(TRIM(K2164)),'Students'!$AG$2:$AG$701,0),""))))</f>
        <v/>
      </c>
      <c r="R2164">
        <f>IF(P2164="","",INDEX('Students'!$AD$2:$AD$701,P2164))</f>
        <v/>
      </c>
      <c r="S2164">
        <f>IF(H2164="OK",O2164,0)</f>
        <v/>
      </c>
      <c r="T2164">
        <f>IF(H2164="OK",N2164,"")</f>
        <v/>
      </c>
      <c r="U2164">
        <f>IF(OC_Donor=0,"",IF(INDEX('OneCause_Paste'!$A$2164:$AZ$2164,1,OC_Donor)="","",INDEX('OneCause_Paste'!$A$2164:$AZ$2164,1,OC_Donor)))</f>
        <v/>
      </c>
    </row>
    <row r="2165">
      <c r="A2165" s="62">
        <f>IF(H2165="","",IF(ISNUMBER(N2165),N2165,I2165))</f>
        <v/>
      </c>
      <c r="B2165">
        <f>IF(H2165="","",U2165)</f>
        <v/>
      </c>
      <c r="C2165">
        <f>IF(H2165="","",IF(P2165="",K2165,INDEX('Students'!$A$2:$A$701,P2165)))</f>
        <v/>
      </c>
      <c r="D2165">
        <f>IF(OR(H2165="",P2165=""),"",INDEX('Students'!$B$2:$B$701,P2165))</f>
        <v/>
      </c>
      <c r="E2165">
        <f>IF(OR(H2165="",P2165=""),"",INDEX('Students'!$C$2:$C$701,P2165))</f>
        <v/>
      </c>
      <c r="F2165" s="48">
        <f>IF(H2165="","",IF(ISNUMBER(O2165),O2165,J2165))</f>
        <v/>
      </c>
      <c r="G2165">
        <f>IF(H2165="","","OneCause")</f>
        <v/>
      </c>
      <c r="H2165">
        <f>IF(AND(I2165="",J2165="",K2165=""),"",IF(NOT(ISNUMBER(O2165)),"Bad amount",IF(O2165&lt;0,"Refund (not counted)",IF(O2165=0,"Zero amount",IF(NOT(ISNUMBER(N2165)),"Bad date",IF(P2165="","NAME NOT ON ROSTER",IF(L2165="","OK",IF(MATCH(L2165,$L$2:$L$3001,0)&lt;ROW()-1,"Duplicate (ignored)","OK"))))))))</f>
        <v/>
      </c>
      <c r="I2165">
        <f>IF(OC_Date=0,"",IF(INDEX('OneCause_Paste'!$A$2165:$AZ$2165,1,OC_Date)="","",INDEX('OneCause_Paste'!$A$2165:$AZ$2165,1,OC_Date)))</f>
        <v/>
      </c>
      <c r="J2165">
        <f>IF(OC_Amt=0,"",IF(INDEX('OneCause_Paste'!$A$2165:$AZ$2165,1,OC_Amt)="","",INDEX('OneCause_Paste'!$A$2165:$AZ$2165,1,OC_Amt)))</f>
        <v/>
      </c>
      <c r="K2165">
        <f>IF(OC_Name=0,"",IF(INDEX('OneCause_Paste'!$A$2165:$AZ$2165,1,OC_Name)="","",INDEX('OneCause_Paste'!$A$2165:$AZ$2165,1,OC_Name)))</f>
        <v/>
      </c>
      <c r="L2165">
        <f>IF(OC_Txn=0,"",IF(INDEX('OneCause_Paste'!$A$2165:$AZ$2165,1,OC_Txn)="","",INDEX('OneCause_Paste'!$A$2165:$AZ$2165,1,OC_Txn)))</f>
        <v/>
      </c>
      <c r="M2165">
        <f>IF(OC_Pay=0,"",IF(INDEX('OneCause_Paste'!$A$2165:$AZ$2165,1,OC_Pay)="","",INDEX('OneCause_Paste'!$A$2165:$AZ$2165,1,OC_Pay)))</f>
        <v/>
      </c>
      <c r="N2165">
        <f>IF(I2165="","",IF(ISNUMBER(I2165),INT(I2165),IFERROR(INT(DATEVALUE(I2165)),IFERROR(INT(VALUE(I2165)),"bad"))))</f>
        <v/>
      </c>
      <c r="O2165">
        <f>IF(J2165="","",IF(ISNUMBER(J2165),ROUND(J2165,2),IFERROR(ROUND(VALUE(SUBSTITUTE(SUBSTITUTE(SUBSTITUTE(J2165,"$",""),",","")," ","")),2),"bad")))</f>
        <v/>
      </c>
      <c r="P2165">
        <f>IF(TRIM(K2165)="","",IFERROR(MATCH(LOWER(TRIM(K2165)),'Students'!$AH$2:$AH$701,0),IFERROR(MATCH(LOWER(TRIM(K2165)),'Students'!$AF$2:$AF$701,0),IFERROR(MATCH(LOWER(TRIM(K2165)),'Students'!$AG$2:$AG$701,0),""))))</f>
        <v/>
      </c>
      <c r="R2165">
        <f>IF(P2165="","",INDEX('Students'!$AD$2:$AD$701,P2165))</f>
        <v/>
      </c>
      <c r="S2165">
        <f>IF(H2165="OK",O2165,0)</f>
        <v/>
      </c>
      <c r="T2165">
        <f>IF(H2165="OK",N2165,"")</f>
        <v/>
      </c>
      <c r="U2165">
        <f>IF(OC_Donor=0,"",IF(INDEX('OneCause_Paste'!$A$2165:$AZ$2165,1,OC_Donor)="","",INDEX('OneCause_Paste'!$A$2165:$AZ$2165,1,OC_Donor)))</f>
        <v/>
      </c>
    </row>
    <row r="2166">
      <c r="A2166" s="62">
        <f>IF(H2166="","",IF(ISNUMBER(N2166),N2166,I2166))</f>
        <v/>
      </c>
      <c r="B2166">
        <f>IF(H2166="","",U2166)</f>
        <v/>
      </c>
      <c r="C2166">
        <f>IF(H2166="","",IF(P2166="",K2166,INDEX('Students'!$A$2:$A$701,P2166)))</f>
        <v/>
      </c>
      <c r="D2166">
        <f>IF(OR(H2166="",P2166=""),"",INDEX('Students'!$B$2:$B$701,P2166))</f>
        <v/>
      </c>
      <c r="E2166">
        <f>IF(OR(H2166="",P2166=""),"",INDEX('Students'!$C$2:$C$701,P2166))</f>
        <v/>
      </c>
      <c r="F2166" s="48">
        <f>IF(H2166="","",IF(ISNUMBER(O2166),O2166,J2166))</f>
        <v/>
      </c>
      <c r="G2166">
        <f>IF(H2166="","","OneCause")</f>
        <v/>
      </c>
      <c r="H2166">
        <f>IF(AND(I2166="",J2166="",K2166=""),"",IF(NOT(ISNUMBER(O2166)),"Bad amount",IF(O2166&lt;0,"Refund (not counted)",IF(O2166=0,"Zero amount",IF(NOT(ISNUMBER(N2166)),"Bad date",IF(P2166="","NAME NOT ON ROSTER",IF(L2166="","OK",IF(MATCH(L2166,$L$2:$L$3001,0)&lt;ROW()-1,"Duplicate (ignored)","OK"))))))))</f>
        <v/>
      </c>
      <c r="I2166">
        <f>IF(OC_Date=0,"",IF(INDEX('OneCause_Paste'!$A$2166:$AZ$2166,1,OC_Date)="","",INDEX('OneCause_Paste'!$A$2166:$AZ$2166,1,OC_Date)))</f>
        <v/>
      </c>
      <c r="J2166">
        <f>IF(OC_Amt=0,"",IF(INDEX('OneCause_Paste'!$A$2166:$AZ$2166,1,OC_Amt)="","",INDEX('OneCause_Paste'!$A$2166:$AZ$2166,1,OC_Amt)))</f>
        <v/>
      </c>
      <c r="K2166">
        <f>IF(OC_Name=0,"",IF(INDEX('OneCause_Paste'!$A$2166:$AZ$2166,1,OC_Name)="","",INDEX('OneCause_Paste'!$A$2166:$AZ$2166,1,OC_Name)))</f>
        <v/>
      </c>
      <c r="L2166">
        <f>IF(OC_Txn=0,"",IF(INDEX('OneCause_Paste'!$A$2166:$AZ$2166,1,OC_Txn)="","",INDEX('OneCause_Paste'!$A$2166:$AZ$2166,1,OC_Txn)))</f>
        <v/>
      </c>
      <c r="M2166">
        <f>IF(OC_Pay=0,"",IF(INDEX('OneCause_Paste'!$A$2166:$AZ$2166,1,OC_Pay)="","",INDEX('OneCause_Paste'!$A$2166:$AZ$2166,1,OC_Pay)))</f>
        <v/>
      </c>
      <c r="N2166">
        <f>IF(I2166="","",IF(ISNUMBER(I2166),INT(I2166),IFERROR(INT(DATEVALUE(I2166)),IFERROR(INT(VALUE(I2166)),"bad"))))</f>
        <v/>
      </c>
      <c r="O2166">
        <f>IF(J2166="","",IF(ISNUMBER(J2166),ROUND(J2166,2),IFERROR(ROUND(VALUE(SUBSTITUTE(SUBSTITUTE(SUBSTITUTE(J2166,"$",""),",","")," ","")),2),"bad")))</f>
        <v/>
      </c>
      <c r="P2166">
        <f>IF(TRIM(K2166)="","",IFERROR(MATCH(LOWER(TRIM(K2166)),'Students'!$AH$2:$AH$701,0),IFERROR(MATCH(LOWER(TRIM(K2166)),'Students'!$AF$2:$AF$701,0),IFERROR(MATCH(LOWER(TRIM(K2166)),'Students'!$AG$2:$AG$701,0),""))))</f>
        <v/>
      </c>
      <c r="R2166">
        <f>IF(P2166="","",INDEX('Students'!$AD$2:$AD$701,P2166))</f>
        <v/>
      </c>
      <c r="S2166">
        <f>IF(H2166="OK",O2166,0)</f>
        <v/>
      </c>
      <c r="T2166">
        <f>IF(H2166="OK",N2166,"")</f>
        <v/>
      </c>
      <c r="U2166">
        <f>IF(OC_Donor=0,"",IF(INDEX('OneCause_Paste'!$A$2166:$AZ$2166,1,OC_Donor)="","",INDEX('OneCause_Paste'!$A$2166:$AZ$2166,1,OC_Donor)))</f>
        <v/>
      </c>
    </row>
    <row r="2167">
      <c r="A2167" s="62">
        <f>IF(H2167="","",IF(ISNUMBER(N2167),N2167,I2167))</f>
        <v/>
      </c>
      <c r="B2167">
        <f>IF(H2167="","",U2167)</f>
        <v/>
      </c>
      <c r="C2167">
        <f>IF(H2167="","",IF(P2167="",K2167,INDEX('Students'!$A$2:$A$701,P2167)))</f>
        <v/>
      </c>
      <c r="D2167">
        <f>IF(OR(H2167="",P2167=""),"",INDEX('Students'!$B$2:$B$701,P2167))</f>
        <v/>
      </c>
      <c r="E2167">
        <f>IF(OR(H2167="",P2167=""),"",INDEX('Students'!$C$2:$C$701,P2167))</f>
        <v/>
      </c>
      <c r="F2167" s="48">
        <f>IF(H2167="","",IF(ISNUMBER(O2167),O2167,J2167))</f>
        <v/>
      </c>
      <c r="G2167">
        <f>IF(H2167="","","OneCause")</f>
        <v/>
      </c>
      <c r="H2167">
        <f>IF(AND(I2167="",J2167="",K2167=""),"",IF(NOT(ISNUMBER(O2167)),"Bad amount",IF(O2167&lt;0,"Refund (not counted)",IF(O2167=0,"Zero amount",IF(NOT(ISNUMBER(N2167)),"Bad date",IF(P2167="","NAME NOT ON ROSTER",IF(L2167="","OK",IF(MATCH(L2167,$L$2:$L$3001,0)&lt;ROW()-1,"Duplicate (ignored)","OK"))))))))</f>
        <v/>
      </c>
      <c r="I2167">
        <f>IF(OC_Date=0,"",IF(INDEX('OneCause_Paste'!$A$2167:$AZ$2167,1,OC_Date)="","",INDEX('OneCause_Paste'!$A$2167:$AZ$2167,1,OC_Date)))</f>
        <v/>
      </c>
      <c r="J2167">
        <f>IF(OC_Amt=0,"",IF(INDEX('OneCause_Paste'!$A$2167:$AZ$2167,1,OC_Amt)="","",INDEX('OneCause_Paste'!$A$2167:$AZ$2167,1,OC_Amt)))</f>
        <v/>
      </c>
      <c r="K2167">
        <f>IF(OC_Name=0,"",IF(INDEX('OneCause_Paste'!$A$2167:$AZ$2167,1,OC_Name)="","",INDEX('OneCause_Paste'!$A$2167:$AZ$2167,1,OC_Name)))</f>
        <v/>
      </c>
      <c r="L2167">
        <f>IF(OC_Txn=0,"",IF(INDEX('OneCause_Paste'!$A$2167:$AZ$2167,1,OC_Txn)="","",INDEX('OneCause_Paste'!$A$2167:$AZ$2167,1,OC_Txn)))</f>
        <v/>
      </c>
      <c r="M2167">
        <f>IF(OC_Pay=0,"",IF(INDEX('OneCause_Paste'!$A$2167:$AZ$2167,1,OC_Pay)="","",INDEX('OneCause_Paste'!$A$2167:$AZ$2167,1,OC_Pay)))</f>
        <v/>
      </c>
      <c r="N2167">
        <f>IF(I2167="","",IF(ISNUMBER(I2167),INT(I2167),IFERROR(INT(DATEVALUE(I2167)),IFERROR(INT(VALUE(I2167)),"bad"))))</f>
        <v/>
      </c>
      <c r="O2167">
        <f>IF(J2167="","",IF(ISNUMBER(J2167),ROUND(J2167,2),IFERROR(ROUND(VALUE(SUBSTITUTE(SUBSTITUTE(SUBSTITUTE(J2167,"$",""),",","")," ","")),2),"bad")))</f>
        <v/>
      </c>
      <c r="P2167">
        <f>IF(TRIM(K2167)="","",IFERROR(MATCH(LOWER(TRIM(K2167)),'Students'!$AH$2:$AH$701,0),IFERROR(MATCH(LOWER(TRIM(K2167)),'Students'!$AF$2:$AF$701,0),IFERROR(MATCH(LOWER(TRIM(K2167)),'Students'!$AG$2:$AG$701,0),""))))</f>
        <v/>
      </c>
      <c r="R2167">
        <f>IF(P2167="","",INDEX('Students'!$AD$2:$AD$701,P2167))</f>
        <v/>
      </c>
      <c r="S2167">
        <f>IF(H2167="OK",O2167,0)</f>
        <v/>
      </c>
      <c r="T2167">
        <f>IF(H2167="OK",N2167,"")</f>
        <v/>
      </c>
      <c r="U2167">
        <f>IF(OC_Donor=0,"",IF(INDEX('OneCause_Paste'!$A$2167:$AZ$2167,1,OC_Donor)="","",INDEX('OneCause_Paste'!$A$2167:$AZ$2167,1,OC_Donor)))</f>
        <v/>
      </c>
    </row>
    <row r="2168">
      <c r="A2168" s="62">
        <f>IF(H2168="","",IF(ISNUMBER(N2168),N2168,I2168))</f>
        <v/>
      </c>
      <c r="B2168">
        <f>IF(H2168="","",U2168)</f>
        <v/>
      </c>
      <c r="C2168">
        <f>IF(H2168="","",IF(P2168="",K2168,INDEX('Students'!$A$2:$A$701,P2168)))</f>
        <v/>
      </c>
      <c r="D2168">
        <f>IF(OR(H2168="",P2168=""),"",INDEX('Students'!$B$2:$B$701,P2168))</f>
        <v/>
      </c>
      <c r="E2168">
        <f>IF(OR(H2168="",P2168=""),"",INDEX('Students'!$C$2:$C$701,P2168))</f>
        <v/>
      </c>
      <c r="F2168" s="48">
        <f>IF(H2168="","",IF(ISNUMBER(O2168),O2168,J2168))</f>
        <v/>
      </c>
      <c r="G2168">
        <f>IF(H2168="","","OneCause")</f>
        <v/>
      </c>
      <c r="H2168">
        <f>IF(AND(I2168="",J2168="",K2168=""),"",IF(NOT(ISNUMBER(O2168)),"Bad amount",IF(O2168&lt;0,"Refund (not counted)",IF(O2168=0,"Zero amount",IF(NOT(ISNUMBER(N2168)),"Bad date",IF(P2168="","NAME NOT ON ROSTER",IF(L2168="","OK",IF(MATCH(L2168,$L$2:$L$3001,0)&lt;ROW()-1,"Duplicate (ignored)","OK"))))))))</f>
        <v/>
      </c>
      <c r="I2168">
        <f>IF(OC_Date=0,"",IF(INDEX('OneCause_Paste'!$A$2168:$AZ$2168,1,OC_Date)="","",INDEX('OneCause_Paste'!$A$2168:$AZ$2168,1,OC_Date)))</f>
        <v/>
      </c>
      <c r="J2168">
        <f>IF(OC_Amt=0,"",IF(INDEX('OneCause_Paste'!$A$2168:$AZ$2168,1,OC_Amt)="","",INDEX('OneCause_Paste'!$A$2168:$AZ$2168,1,OC_Amt)))</f>
        <v/>
      </c>
      <c r="K2168">
        <f>IF(OC_Name=0,"",IF(INDEX('OneCause_Paste'!$A$2168:$AZ$2168,1,OC_Name)="","",INDEX('OneCause_Paste'!$A$2168:$AZ$2168,1,OC_Name)))</f>
        <v/>
      </c>
      <c r="L2168">
        <f>IF(OC_Txn=0,"",IF(INDEX('OneCause_Paste'!$A$2168:$AZ$2168,1,OC_Txn)="","",INDEX('OneCause_Paste'!$A$2168:$AZ$2168,1,OC_Txn)))</f>
        <v/>
      </c>
      <c r="M2168">
        <f>IF(OC_Pay=0,"",IF(INDEX('OneCause_Paste'!$A$2168:$AZ$2168,1,OC_Pay)="","",INDEX('OneCause_Paste'!$A$2168:$AZ$2168,1,OC_Pay)))</f>
        <v/>
      </c>
      <c r="N2168">
        <f>IF(I2168="","",IF(ISNUMBER(I2168),INT(I2168),IFERROR(INT(DATEVALUE(I2168)),IFERROR(INT(VALUE(I2168)),"bad"))))</f>
        <v/>
      </c>
      <c r="O2168">
        <f>IF(J2168="","",IF(ISNUMBER(J2168),ROUND(J2168,2),IFERROR(ROUND(VALUE(SUBSTITUTE(SUBSTITUTE(SUBSTITUTE(J2168,"$",""),",","")," ","")),2),"bad")))</f>
        <v/>
      </c>
      <c r="P2168">
        <f>IF(TRIM(K2168)="","",IFERROR(MATCH(LOWER(TRIM(K2168)),'Students'!$AH$2:$AH$701,0),IFERROR(MATCH(LOWER(TRIM(K2168)),'Students'!$AF$2:$AF$701,0),IFERROR(MATCH(LOWER(TRIM(K2168)),'Students'!$AG$2:$AG$701,0),""))))</f>
        <v/>
      </c>
      <c r="R2168">
        <f>IF(P2168="","",INDEX('Students'!$AD$2:$AD$701,P2168))</f>
        <v/>
      </c>
      <c r="S2168">
        <f>IF(H2168="OK",O2168,0)</f>
        <v/>
      </c>
      <c r="T2168">
        <f>IF(H2168="OK",N2168,"")</f>
        <v/>
      </c>
      <c r="U2168">
        <f>IF(OC_Donor=0,"",IF(INDEX('OneCause_Paste'!$A$2168:$AZ$2168,1,OC_Donor)="","",INDEX('OneCause_Paste'!$A$2168:$AZ$2168,1,OC_Donor)))</f>
        <v/>
      </c>
    </row>
    <row r="2169">
      <c r="A2169" s="62">
        <f>IF(H2169="","",IF(ISNUMBER(N2169),N2169,I2169))</f>
        <v/>
      </c>
      <c r="B2169">
        <f>IF(H2169="","",U2169)</f>
        <v/>
      </c>
      <c r="C2169">
        <f>IF(H2169="","",IF(P2169="",K2169,INDEX('Students'!$A$2:$A$701,P2169)))</f>
        <v/>
      </c>
      <c r="D2169">
        <f>IF(OR(H2169="",P2169=""),"",INDEX('Students'!$B$2:$B$701,P2169))</f>
        <v/>
      </c>
      <c r="E2169">
        <f>IF(OR(H2169="",P2169=""),"",INDEX('Students'!$C$2:$C$701,P2169))</f>
        <v/>
      </c>
      <c r="F2169" s="48">
        <f>IF(H2169="","",IF(ISNUMBER(O2169),O2169,J2169))</f>
        <v/>
      </c>
      <c r="G2169">
        <f>IF(H2169="","","OneCause")</f>
        <v/>
      </c>
      <c r="H2169">
        <f>IF(AND(I2169="",J2169="",K2169=""),"",IF(NOT(ISNUMBER(O2169)),"Bad amount",IF(O2169&lt;0,"Refund (not counted)",IF(O2169=0,"Zero amount",IF(NOT(ISNUMBER(N2169)),"Bad date",IF(P2169="","NAME NOT ON ROSTER",IF(L2169="","OK",IF(MATCH(L2169,$L$2:$L$3001,0)&lt;ROW()-1,"Duplicate (ignored)","OK"))))))))</f>
        <v/>
      </c>
      <c r="I2169">
        <f>IF(OC_Date=0,"",IF(INDEX('OneCause_Paste'!$A$2169:$AZ$2169,1,OC_Date)="","",INDEX('OneCause_Paste'!$A$2169:$AZ$2169,1,OC_Date)))</f>
        <v/>
      </c>
      <c r="J2169">
        <f>IF(OC_Amt=0,"",IF(INDEX('OneCause_Paste'!$A$2169:$AZ$2169,1,OC_Amt)="","",INDEX('OneCause_Paste'!$A$2169:$AZ$2169,1,OC_Amt)))</f>
        <v/>
      </c>
      <c r="K2169">
        <f>IF(OC_Name=0,"",IF(INDEX('OneCause_Paste'!$A$2169:$AZ$2169,1,OC_Name)="","",INDEX('OneCause_Paste'!$A$2169:$AZ$2169,1,OC_Name)))</f>
        <v/>
      </c>
      <c r="L2169">
        <f>IF(OC_Txn=0,"",IF(INDEX('OneCause_Paste'!$A$2169:$AZ$2169,1,OC_Txn)="","",INDEX('OneCause_Paste'!$A$2169:$AZ$2169,1,OC_Txn)))</f>
        <v/>
      </c>
      <c r="M2169">
        <f>IF(OC_Pay=0,"",IF(INDEX('OneCause_Paste'!$A$2169:$AZ$2169,1,OC_Pay)="","",INDEX('OneCause_Paste'!$A$2169:$AZ$2169,1,OC_Pay)))</f>
        <v/>
      </c>
      <c r="N2169">
        <f>IF(I2169="","",IF(ISNUMBER(I2169),INT(I2169),IFERROR(INT(DATEVALUE(I2169)),IFERROR(INT(VALUE(I2169)),"bad"))))</f>
        <v/>
      </c>
      <c r="O2169">
        <f>IF(J2169="","",IF(ISNUMBER(J2169),ROUND(J2169,2),IFERROR(ROUND(VALUE(SUBSTITUTE(SUBSTITUTE(SUBSTITUTE(J2169,"$",""),",","")," ","")),2),"bad")))</f>
        <v/>
      </c>
      <c r="P2169">
        <f>IF(TRIM(K2169)="","",IFERROR(MATCH(LOWER(TRIM(K2169)),'Students'!$AH$2:$AH$701,0),IFERROR(MATCH(LOWER(TRIM(K2169)),'Students'!$AF$2:$AF$701,0),IFERROR(MATCH(LOWER(TRIM(K2169)),'Students'!$AG$2:$AG$701,0),""))))</f>
        <v/>
      </c>
      <c r="R2169">
        <f>IF(P2169="","",INDEX('Students'!$AD$2:$AD$701,P2169))</f>
        <v/>
      </c>
      <c r="S2169">
        <f>IF(H2169="OK",O2169,0)</f>
        <v/>
      </c>
      <c r="T2169">
        <f>IF(H2169="OK",N2169,"")</f>
        <v/>
      </c>
      <c r="U2169">
        <f>IF(OC_Donor=0,"",IF(INDEX('OneCause_Paste'!$A$2169:$AZ$2169,1,OC_Donor)="","",INDEX('OneCause_Paste'!$A$2169:$AZ$2169,1,OC_Donor)))</f>
        <v/>
      </c>
    </row>
    <row r="2170">
      <c r="A2170" s="62">
        <f>IF(H2170="","",IF(ISNUMBER(N2170),N2170,I2170))</f>
        <v/>
      </c>
      <c r="B2170">
        <f>IF(H2170="","",U2170)</f>
        <v/>
      </c>
      <c r="C2170">
        <f>IF(H2170="","",IF(P2170="",K2170,INDEX('Students'!$A$2:$A$701,P2170)))</f>
        <v/>
      </c>
      <c r="D2170">
        <f>IF(OR(H2170="",P2170=""),"",INDEX('Students'!$B$2:$B$701,P2170))</f>
        <v/>
      </c>
      <c r="E2170">
        <f>IF(OR(H2170="",P2170=""),"",INDEX('Students'!$C$2:$C$701,P2170))</f>
        <v/>
      </c>
      <c r="F2170" s="48">
        <f>IF(H2170="","",IF(ISNUMBER(O2170),O2170,J2170))</f>
        <v/>
      </c>
      <c r="G2170">
        <f>IF(H2170="","","OneCause")</f>
        <v/>
      </c>
      <c r="H2170">
        <f>IF(AND(I2170="",J2170="",K2170=""),"",IF(NOT(ISNUMBER(O2170)),"Bad amount",IF(O2170&lt;0,"Refund (not counted)",IF(O2170=0,"Zero amount",IF(NOT(ISNUMBER(N2170)),"Bad date",IF(P2170="","NAME NOT ON ROSTER",IF(L2170="","OK",IF(MATCH(L2170,$L$2:$L$3001,0)&lt;ROW()-1,"Duplicate (ignored)","OK"))))))))</f>
        <v/>
      </c>
      <c r="I2170">
        <f>IF(OC_Date=0,"",IF(INDEX('OneCause_Paste'!$A$2170:$AZ$2170,1,OC_Date)="","",INDEX('OneCause_Paste'!$A$2170:$AZ$2170,1,OC_Date)))</f>
        <v/>
      </c>
      <c r="J2170">
        <f>IF(OC_Amt=0,"",IF(INDEX('OneCause_Paste'!$A$2170:$AZ$2170,1,OC_Amt)="","",INDEX('OneCause_Paste'!$A$2170:$AZ$2170,1,OC_Amt)))</f>
        <v/>
      </c>
      <c r="K2170">
        <f>IF(OC_Name=0,"",IF(INDEX('OneCause_Paste'!$A$2170:$AZ$2170,1,OC_Name)="","",INDEX('OneCause_Paste'!$A$2170:$AZ$2170,1,OC_Name)))</f>
        <v/>
      </c>
      <c r="L2170">
        <f>IF(OC_Txn=0,"",IF(INDEX('OneCause_Paste'!$A$2170:$AZ$2170,1,OC_Txn)="","",INDEX('OneCause_Paste'!$A$2170:$AZ$2170,1,OC_Txn)))</f>
        <v/>
      </c>
      <c r="M2170">
        <f>IF(OC_Pay=0,"",IF(INDEX('OneCause_Paste'!$A$2170:$AZ$2170,1,OC_Pay)="","",INDEX('OneCause_Paste'!$A$2170:$AZ$2170,1,OC_Pay)))</f>
        <v/>
      </c>
      <c r="N2170">
        <f>IF(I2170="","",IF(ISNUMBER(I2170),INT(I2170),IFERROR(INT(DATEVALUE(I2170)),IFERROR(INT(VALUE(I2170)),"bad"))))</f>
        <v/>
      </c>
      <c r="O2170">
        <f>IF(J2170="","",IF(ISNUMBER(J2170),ROUND(J2170,2),IFERROR(ROUND(VALUE(SUBSTITUTE(SUBSTITUTE(SUBSTITUTE(J2170,"$",""),",","")," ","")),2),"bad")))</f>
        <v/>
      </c>
      <c r="P2170">
        <f>IF(TRIM(K2170)="","",IFERROR(MATCH(LOWER(TRIM(K2170)),'Students'!$AH$2:$AH$701,0),IFERROR(MATCH(LOWER(TRIM(K2170)),'Students'!$AF$2:$AF$701,0),IFERROR(MATCH(LOWER(TRIM(K2170)),'Students'!$AG$2:$AG$701,0),""))))</f>
        <v/>
      </c>
      <c r="R2170">
        <f>IF(P2170="","",INDEX('Students'!$AD$2:$AD$701,P2170))</f>
        <v/>
      </c>
      <c r="S2170">
        <f>IF(H2170="OK",O2170,0)</f>
        <v/>
      </c>
      <c r="T2170">
        <f>IF(H2170="OK",N2170,"")</f>
        <v/>
      </c>
      <c r="U2170">
        <f>IF(OC_Donor=0,"",IF(INDEX('OneCause_Paste'!$A$2170:$AZ$2170,1,OC_Donor)="","",INDEX('OneCause_Paste'!$A$2170:$AZ$2170,1,OC_Donor)))</f>
        <v/>
      </c>
    </row>
    <row r="2171">
      <c r="A2171" s="62">
        <f>IF(H2171="","",IF(ISNUMBER(N2171),N2171,I2171))</f>
        <v/>
      </c>
      <c r="B2171">
        <f>IF(H2171="","",U2171)</f>
        <v/>
      </c>
      <c r="C2171">
        <f>IF(H2171="","",IF(P2171="",K2171,INDEX('Students'!$A$2:$A$701,P2171)))</f>
        <v/>
      </c>
      <c r="D2171">
        <f>IF(OR(H2171="",P2171=""),"",INDEX('Students'!$B$2:$B$701,P2171))</f>
        <v/>
      </c>
      <c r="E2171">
        <f>IF(OR(H2171="",P2171=""),"",INDEX('Students'!$C$2:$C$701,P2171))</f>
        <v/>
      </c>
      <c r="F2171" s="48">
        <f>IF(H2171="","",IF(ISNUMBER(O2171),O2171,J2171))</f>
        <v/>
      </c>
      <c r="G2171">
        <f>IF(H2171="","","OneCause")</f>
        <v/>
      </c>
      <c r="H2171">
        <f>IF(AND(I2171="",J2171="",K2171=""),"",IF(NOT(ISNUMBER(O2171)),"Bad amount",IF(O2171&lt;0,"Refund (not counted)",IF(O2171=0,"Zero amount",IF(NOT(ISNUMBER(N2171)),"Bad date",IF(P2171="","NAME NOT ON ROSTER",IF(L2171="","OK",IF(MATCH(L2171,$L$2:$L$3001,0)&lt;ROW()-1,"Duplicate (ignored)","OK"))))))))</f>
        <v/>
      </c>
      <c r="I2171">
        <f>IF(OC_Date=0,"",IF(INDEX('OneCause_Paste'!$A$2171:$AZ$2171,1,OC_Date)="","",INDEX('OneCause_Paste'!$A$2171:$AZ$2171,1,OC_Date)))</f>
        <v/>
      </c>
      <c r="J2171">
        <f>IF(OC_Amt=0,"",IF(INDEX('OneCause_Paste'!$A$2171:$AZ$2171,1,OC_Amt)="","",INDEX('OneCause_Paste'!$A$2171:$AZ$2171,1,OC_Amt)))</f>
        <v/>
      </c>
      <c r="K2171">
        <f>IF(OC_Name=0,"",IF(INDEX('OneCause_Paste'!$A$2171:$AZ$2171,1,OC_Name)="","",INDEX('OneCause_Paste'!$A$2171:$AZ$2171,1,OC_Name)))</f>
        <v/>
      </c>
      <c r="L2171">
        <f>IF(OC_Txn=0,"",IF(INDEX('OneCause_Paste'!$A$2171:$AZ$2171,1,OC_Txn)="","",INDEX('OneCause_Paste'!$A$2171:$AZ$2171,1,OC_Txn)))</f>
        <v/>
      </c>
      <c r="M2171">
        <f>IF(OC_Pay=0,"",IF(INDEX('OneCause_Paste'!$A$2171:$AZ$2171,1,OC_Pay)="","",INDEX('OneCause_Paste'!$A$2171:$AZ$2171,1,OC_Pay)))</f>
        <v/>
      </c>
      <c r="N2171">
        <f>IF(I2171="","",IF(ISNUMBER(I2171),INT(I2171),IFERROR(INT(DATEVALUE(I2171)),IFERROR(INT(VALUE(I2171)),"bad"))))</f>
        <v/>
      </c>
      <c r="O2171">
        <f>IF(J2171="","",IF(ISNUMBER(J2171),ROUND(J2171,2),IFERROR(ROUND(VALUE(SUBSTITUTE(SUBSTITUTE(SUBSTITUTE(J2171,"$",""),",","")," ","")),2),"bad")))</f>
        <v/>
      </c>
      <c r="P2171">
        <f>IF(TRIM(K2171)="","",IFERROR(MATCH(LOWER(TRIM(K2171)),'Students'!$AH$2:$AH$701,0),IFERROR(MATCH(LOWER(TRIM(K2171)),'Students'!$AF$2:$AF$701,0),IFERROR(MATCH(LOWER(TRIM(K2171)),'Students'!$AG$2:$AG$701,0),""))))</f>
        <v/>
      </c>
      <c r="R2171">
        <f>IF(P2171="","",INDEX('Students'!$AD$2:$AD$701,P2171))</f>
        <v/>
      </c>
      <c r="S2171">
        <f>IF(H2171="OK",O2171,0)</f>
        <v/>
      </c>
      <c r="T2171">
        <f>IF(H2171="OK",N2171,"")</f>
        <v/>
      </c>
      <c r="U2171">
        <f>IF(OC_Donor=0,"",IF(INDEX('OneCause_Paste'!$A$2171:$AZ$2171,1,OC_Donor)="","",INDEX('OneCause_Paste'!$A$2171:$AZ$2171,1,OC_Donor)))</f>
        <v/>
      </c>
    </row>
    <row r="2172">
      <c r="A2172" s="62">
        <f>IF(H2172="","",IF(ISNUMBER(N2172),N2172,I2172))</f>
        <v/>
      </c>
      <c r="B2172">
        <f>IF(H2172="","",U2172)</f>
        <v/>
      </c>
      <c r="C2172">
        <f>IF(H2172="","",IF(P2172="",K2172,INDEX('Students'!$A$2:$A$701,P2172)))</f>
        <v/>
      </c>
      <c r="D2172">
        <f>IF(OR(H2172="",P2172=""),"",INDEX('Students'!$B$2:$B$701,P2172))</f>
        <v/>
      </c>
      <c r="E2172">
        <f>IF(OR(H2172="",P2172=""),"",INDEX('Students'!$C$2:$C$701,P2172))</f>
        <v/>
      </c>
      <c r="F2172" s="48">
        <f>IF(H2172="","",IF(ISNUMBER(O2172),O2172,J2172))</f>
        <v/>
      </c>
      <c r="G2172">
        <f>IF(H2172="","","OneCause")</f>
        <v/>
      </c>
      <c r="H2172">
        <f>IF(AND(I2172="",J2172="",K2172=""),"",IF(NOT(ISNUMBER(O2172)),"Bad amount",IF(O2172&lt;0,"Refund (not counted)",IF(O2172=0,"Zero amount",IF(NOT(ISNUMBER(N2172)),"Bad date",IF(P2172="","NAME NOT ON ROSTER",IF(L2172="","OK",IF(MATCH(L2172,$L$2:$L$3001,0)&lt;ROW()-1,"Duplicate (ignored)","OK"))))))))</f>
        <v/>
      </c>
      <c r="I2172">
        <f>IF(OC_Date=0,"",IF(INDEX('OneCause_Paste'!$A$2172:$AZ$2172,1,OC_Date)="","",INDEX('OneCause_Paste'!$A$2172:$AZ$2172,1,OC_Date)))</f>
        <v/>
      </c>
      <c r="J2172">
        <f>IF(OC_Amt=0,"",IF(INDEX('OneCause_Paste'!$A$2172:$AZ$2172,1,OC_Amt)="","",INDEX('OneCause_Paste'!$A$2172:$AZ$2172,1,OC_Amt)))</f>
        <v/>
      </c>
      <c r="K2172">
        <f>IF(OC_Name=0,"",IF(INDEX('OneCause_Paste'!$A$2172:$AZ$2172,1,OC_Name)="","",INDEX('OneCause_Paste'!$A$2172:$AZ$2172,1,OC_Name)))</f>
        <v/>
      </c>
      <c r="L2172">
        <f>IF(OC_Txn=0,"",IF(INDEX('OneCause_Paste'!$A$2172:$AZ$2172,1,OC_Txn)="","",INDEX('OneCause_Paste'!$A$2172:$AZ$2172,1,OC_Txn)))</f>
        <v/>
      </c>
      <c r="M2172">
        <f>IF(OC_Pay=0,"",IF(INDEX('OneCause_Paste'!$A$2172:$AZ$2172,1,OC_Pay)="","",INDEX('OneCause_Paste'!$A$2172:$AZ$2172,1,OC_Pay)))</f>
        <v/>
      </c>
      <c r="N2172">
        <f>IF(I2172="","",IF(ISNUMBER(I2172),INT(I2172),IFERROR(INT(DATEVALUE(I2172)),IFERROR(INT(VALUE(I2172)),"bad"))))</f>
        <v/>
      </c>
      <c r="O2172">
        <f>IF(J2172="","",IF(ISNUMBER(J2172),ROUND(J2172,2),IFERROR(ROUND(VALUE(SUBSTITUTE(SUBSTITUTE(SUBSTITUTE(J2172,"$",""),",","")," ","")),2),"bad")))</f>
        <v/>
      </c>
      <c r="P2172">
        <f>IF(TRIM(K2172)="","",IFERROR(MATCH(LOWER(TRIM(K2172)),'Students'!$AH$2:$AH$701,0),IFERROR(MATCH(LOWER(TRIM(K2172)),'Students'!$AF$2:$AF$701,0),IFERROR(MATCH(LOWER(TRIM(K2172)),'Students'!$AG$2:$AG$701,0),""))))</f>
        <v/>
      </c>
      <c r="R2172">
        <f>IF(P2172="","",INDEX('Students'!$AD$2:$AD$701,P2172))</f>
        <v/>
      </c>
      <c r="S2172">
        <f>IF(H2172="OK",O2172,0)</f>
        <v/>
      </c>
      <c r="T2172">
        <f>IF(H2172="OK",N2172,"")</f>
        <v/>
      </c>
      <c r="U2172">
        <f>IF(OC_Donor=0,"",IF(INDEX('OneCause_Paste'!$A$2172:$AZ$2172,1,OC_Donor)="","",INDEX('OneCause_Paste'!$A$2172:$AZ$2172,1,OC_Donor)))</f>
        <v/>
      </c>
    </row>
    <row r="2173">
      <c r="A2173" s="62">
        <f>IF(H2173="","",IF(ISNUMBER(N2173),N2173,I2173))</f>
        <v/>
      </c>
      <c r="B2173">
        <f>IF(H2173="","",U2173)</f>
        <v/>
      </c>
      <c r="C2173">
        <f>IF(H2173="","",IF(P2173="",K2173,INDEX('Students'!$A$2:$A$701,P2173)))</f>
        <v/>
      </c>
      <c r="D2173">
        <f>IF(OR(H2173="",P2173=""),"",INDEX('Students'!$B$2:$B$701,P2173))</f>
        <v/>
      </c>
      <c r="E2173">
        <f>IF(OR(H2173="",P2173=""),"",INDEX('Students'!$C$2:$C$701,P2173))</f>
        <v/>
      </c>
      <c r="F2173" s="48">
        <f>IF(H2173="","",IF(ISNUMBER(O2173),O2173,J2173))</f>
        <v/>
      </c>
      <c r="G2173">
        <f>IF(H2173="","","OneCause")</f>
        <v/>
      </c>
      <c r="H2173">
        <f>IF(AND(I2173="",J2173="",K2173=""),"",IF(NOT(ISNUMBER(O2173)),"Bad amount",IF(O2173&lt;0,"Refund (not counted)",IF(O2173=0,"Zero amount",IF(NOT(ISNUMBER(N2173)),"Bad date",IF(P2173="","NAME NOT ON ROSTER",IF(L2173="","OK",IF(MATCH(L2173,$L$2:$L$3001,0)&lt;ROW()-1,"Duplicate (ignored)","OK"))))))))</f>
        <v/>
      </c>
      <c r="I2173">
        <f>IF(OC_Date=0,"",IF(INDEX('OneCause_Paste'!$A$2173:$AZ$2173,1,OC_Date)="","",INDEX('OneCause_Paste'!$A$2173:$AZ$2173,1,OC_Date)))</f>
        <v/>
      </c>
      <c r="J2173">
        <f>IF(OC_Amt=0,"",IF(INDEX('OneCause_Paste'!$A$2173:$AZ$2173,1,OC_Amt)="","",INDEX('OneCause_Paste'!$A$2173:$AZ$2173,1,OC_Amt)))</f>
        <v/>
      </c>
      <c r="K2173">
        <f>IF(OC_Name=0,"",IF(INDEX('OneCause_Paste'!$A$2173:$AZ$2173,1,OC_Name)="","",INDEX('OneCause_Paste'!$A$2173:$AZ$2173,1,OC_Name)))</f>
        <v/>
      </c>
      <c r="L2173">
        <f>IF(OC_Txn=0,"",IF(INDEX('OneCause_Paste'!$A$2173:$AZ$2173,1,OC_Txn)="","",INDEX('OneCause_Paste'!$A$2173:$AZ$2173,1,OC_Txn)))</f>
        <v/>
      </c>
      <c r="M2173">
        <f>IF(OC_Pay=0,"",IF(INDEX('OneCause_Paste'!$A$2173:$AZ$2173,1,OC_Pay)="","",INDEX('OneCause_Paste'!$A$2173:$AZ$2173,1,OC_Pay)))</f>
        <v/>
      </c>
      <c r="N2173">
        <f>IF(I2173="","",IF(ISNUMBER(I2173),INT(I2173),IFERROR(INT(DATEVALUE(I2173)),IFERROR(INT(VALUE(I2173)),"bad"))))</f>
        <v/>
      </c>
      <c r="O2173">
        <f>IF(J2173="","",IF(ISNUMBER(J2173),ROUND(J2173,2),IFERROR(ROUND(VALUE(SUBSTITUTE(SUBSTITUTE(SUBSTITUTE(J2173,"$",""),",","")," ","")),2),"bad")))</f>
        <v/>
      </c>
      <c r="P2173">
        <f>IF(TRIM(K2173)="","",IFERROR(MATCH(LOWER(TRIM(K2173)),'Students'!$AH$2:$AH$701,0),IFERROR(MATCH(LOWER(TRIM(K2173)),'Students'!$AF$2:$AF$701,0),IFERROR(MATCH(LOWER(TRIM(K2173)),'Students'!$AG$2:$AG$701,0),""))))</f>
        <v/>
      </c>
      <c r="R2173">
        <f>IF(P2173="","",INDEX('Students'!$AD$2:$AD$701,P2173))</f>
        <v/>
      </c>
      <c r="S2173">
        <f>IF(H2173="OK",O2173,0)</f>
        <v/>
      </c>
      <c r="T2173">
        <f>IF(H2173="OK",N2173,"")</f>
        <v/>
      </c>
      <c r="U2173">
        <f>IF(OC_Donor=0,"",IF(INDEX('OneCause_Paste'!$A$2173:$AZ$2173,1,OC_Donor)="","",INDEX('OneCause_Paste'!$A$2173:$AZ$2173,1,OC_Donor)))</f>
        <v/>
      </c>
    </row>
    <row r="2174">
      <c r="A2174" s="62">
        <f>IF(H2174="","",IF(ISNUMBER(N2174),N2174,I2174))</f>
        <v/>
      </c>
      <c r="B2174">
        <f>IF(H2174="","",U2174)</f>
        <v/>
      </c>
      <c r="C2174">
        <f>IF(H2174="","",IF(P2174="",K2174,INDEX('Students'!$A$2:$A$701,P2174)))</f>
        <v/>
      </c>
      <c r="D2174">
        <f>IF(OR(H2174="",P2174=""),"",INDEX('Students'!$B$2:$B$701,P2174))</f>
        <v/>
      </c>
      <c r="E2174">
        <f>IF(OR(H2174="",P2174=""),"",INDEX('Students'!$C$2:$C$701,P2174))</f>
        <v/>
      </c>
      <c r="F2174" s="48">
        <f>IF(H2174="","",IF(ISNUMBER(O2174),O2174,J2174))</f>
        <v/>
      </c>
      <c r="G2174">
        <f>IF(H2174="","","OneCause")</f>
        <v/>
      </c>
      <c r="H2174">
        <f>IF(AND(I2174="",J2174="",K2174=""),"",IF(NOT(ISNUMBER(O2174)),"Bad amount",IF(O2174&lt;0,"Refund (not counted)",IF(O2174=0,"Zero amount",IF(NOT(ISNUMBER(N2174)),"Bad date",IF(P2174="","NAME NOT ON ROSTER",IF(L2174="","OK",IF(MATCH(L2174,$L$2:$L$3001,0)&lt;ROW()-1,"Duplicate (ignored)","OK"))))))))</f>
        <v/>
      </c>
      <c r="I2174">
        <f>IF(OC_Date=0,"",IF(INDEX('OneCause_Paste'!$A$2174:$AZ$2174,1,OC_Date)="","",INDEX('OneCause_Paste'!$A$2174:$AZ$2174,1,OC_Date)))</f>
        <v/>
      </c>
      <c r="J2174">
        <f>IF(OC_Amt=0,"",IF(INDEX('OneCause_Paste'!$A$2174:$AZ$2174,1,OC_Amt)="","",INDEX('OneCause_Paste'!$A$2174:$AZ$2174,1,OC_Amt)))</f>
        <v/>
      </c>
      <c r="K2174">
        <f>IF(OC_Name=0,"",IF(INDEX('OneCause_Paste'!$A$2174:$AZ$2174,1,OC_Name)="","",INDEX('OneCause_Paste'!$A$2174:$AZ$2174,1,OC_Name)))</f>
        <v/>
      </c>
      <c r="L2174">
        <f>IF(OC_Txn=0,"",IF(INDEX('OneCause_Paste'!$A$2174:$AZ$2174,1,OC_Txn)="","",INDEX('OneCause_Paste'!$A$2174:$AZ$2174,1,OC_Txn)))</f>
        <v/>
      </c>
      <c r="M2174">
        <f>IF(OC_Pay=0,"",IF(INDEX('OneCause_Paste'!$A$2174:$AZ$2174,1,OC_Pay)="","",INDEX('OneCause_Paste'!$A$2174:$AZ$2174,1,OC_Pay)))</f>
        <v/>
      </c>
      <c r="N2174">
        <f>IF(I2174="","",IF(ISNUMBER(I2174),INT(I2174),IFERROR(INT(DATEVALUE(I2174)),IFERROR(INT(VALUE(I2174)),"bad"))))</f>
        <v/>
      </c>
      <c r="O2174">
        <f>IF(J2174="","",IF(ISNUMBER(J2174),ROUND(J2174,2),IFERROR(ROUND(VALUE(SUBSTITUTE(SUBSTITUTE(SUBSTITUTE(J2174,"$",""),",","")," ","")),2),"bad")))</f>
        <v/>
      </c>
      <c r="P2174">
        <f>IF(TRIM(K2174)="","",IFERROR(MATCH(LOWER(TRIM(K2174)),'Students'!$AH$2:$AH$701,0),IFERROR(MATCH(LOWER(TRIM(K2174)),'Students'!$AF$2:$AF$701,0),IFERROR(MATCH(LOWER(TRIM(K2174)),'Students'!$AG$2:$AG$701,0),""))))</f>
        <v/>
      </c>
      <c r="R2174">
        <f>IF(P2174="","",INDEX('Students'!$AD$2:$AD$701,P2174))</f>
        <v/>
      </c>
      <c r="S2174">
        <f>IF(H2174="OK",O2174,0)</f>
        <v/>
      </c>
      <c r="T2174">
        <f>IF(H2174="OK",N2174,"")</f>
        <v/>
      </c>
      <c r="U2174">
        <f>IF(OC_Donor=0,"",IF(INDEX('OneCause_Paste'!$A$2174:$AZ$2174,1,OC_Donor)="","",INDEX('OneCause_Paste'!$A$2174:$AZ$2174,1,OC_Donor)))</f>
        <v/>
      </c>
    </row>
    <row r="2175">
      <c r="A2175" s="62">
        <f>IF(H2175="","",IF(ISNUMBER(N2175),N2175,I2175))</f>
        <v/>
      </c>
      <c r="B2175">
        <f>IF(H2175="","",U2175)</f>
        <v/>
      </c>
      <c r="C2175">
        <f>IF(H2175="","",IF(P2175="",K2175,INDEX('Students'!$A$2:$A$701,P2175)))</f>
        <v/>
      </c>
      <c r="D2175">
        <f>IF(OR(H2175="",P2175=""),"",INDEX('Students'!$B$2:$B$701,P2175))</f>
        <v/>
      </c>
      <c r="E2175">
        <f>IF(OR(H2175="",P2175=""),"",INDEX('Students'!$C$2:$C$701,P2175))</f>
        <v/>
      </c>
      <c r="F2175" s="48">
        <f>IF(H2175="","",IF(ISNUMBER(O2175),O2175,J2175))</f>
        <v/>
      </c>
      <c r="G2175">
        <f>IF(H2175="","","OneCause")</f>
        <v/>
      </c>
      <c r="H2175">
        <f>IF(AND(I2175="",J2175="",K2175=""),"",IF(NOT(ISNUMBER(O2175)),"Bad amount",IF(O2175&lt;0,"Refund (not counted)",IF(O2175=0,"Zero amount",IF(NOT(ISNUMBER(N2175)),"Bad date",IF(P2175="","NAME NOT ON ROSTER",IF(L2175="","OK",IF(MATCH(L2175,$L$2:$L$3001,0)&lt;ROW()-1,"Duplicate (ignored)","OK"))))))))</f>
        <v/>
      </c>
      <c r="I2175">
        <f>IF(OC_Date=0,"",IF(INDEX('OneCause_Paste'!$A$2175:$AZ$2175,1,OC_Date)="","",INDEX('OneCause_Paste'!$A$2175:$AZ$2175,1,OC_Date)))</f>
        <v/>
      </c>
      <c r="J2175">
        <f>IF(OC_Amt=0,"",IF(INDEX('OneCause_Paste'!$A$2175:$AZ$2175,1,OC_Amt)="","",INDEX('OneCause_Paste'!$A$2175:$AZ$2175,1,OC_Amt)))</f>
        <v/>
      </c>
      <c r="K2175">
        <f>IF(OC_Name=0,"",IF(INDEX('OneCause_Paste'!$A$2175:$AZ$2175,1,OC_Name)="","",INDEX('OneCause_Paste'!$A$2175:$AZ$2175,1,OC_Name)))</f>
        <v/>
      </c>
      <c r="L2175">
        <f>IF(OC_Txn=0,"",IF(INDEX('OneCause_Paste'!$A$2175:$AZ$2175,1,OC_Txn)="","",INDEX('OneCause_Paste'!$A$2175:$AZ$2175,1,OC_Txn)))</f>
        <v/>
      </c>
      <c r="M2175">
        <f>IF(OC_Pay=0,"",IF(INDEX('OneCause_Paste'!$A$2175:$AZ$2175,1,OC_Pay)="","",INDEX('OneCause_Paste'!$A$2175:$AZ$2175,1,OC_Pay)))</f>
        <v/>
      </c>
      <c r="N2175">
        <f>IF(I2175="","",IF(ISNUMBER(I2175),INT(I2175),IFERROR(INT(DATEVALUE(I2175)),IFERROR(INT(VALUE(I2175)),"bad"))))</f>
        <v/>
      </c>
      <c r="O2175">
        <f>IF(J2175="","",IF(ISNUMBER(J2175),ROUND(J2175,2),IFERROR(ROUND(VALUE(SUBSTITUTE(SUBSTITUTE(SUBSTITUTE(J2175,"$",""),",","")," ","")),2),"bad")))</f>
        <v/>
      </c>
      <c r="P2175">
        <f>IF(TRIM(K2175)="","",IFERROR(MATCH(LOWER(TRIM(K2175)),'Students'!$AH$2:$AH$701,0),IFERROR(MATCH(LOWER(TRIM(K2175)),'Students'!$AF$2:$AF$701,0),IFERROR(MATCH(LOWER(TRIM(K2175)),'Students'!$AG$2:$AG$701,0),""))))</f>
        <v/>
      </c>
      <c r="R2175">
        <f>IF(P2175="","",INDEX('Students'!$AD$2:$AD$701,P2175))</f>
        <v/>
      </c>
      <c r="S2175">
        <f>IF(H2175="OK",O2175,0)</f>
        <v/>
      </c>
      <c r="T2175">
        <f>IF(H2175="OK",N2175,"")</f>
        <v/>
      </c>
      <c r="U2175">
        <f>IF(OC_Donor=0,"",IF(INDEX('OneCause_Paste'!$A$2175:$AZ$2175,1,OC_Donor)="","",INDEX('OneCause_Paste'!$A$2175:$AZ$2175,1,OC_Donor)))</f>
        <v/>
      </c>
    </row>
    <row r="2176">
      <c r="A2176" s="62">
        <f>IF(H2176="","",IF(ISNUMBER(N2176),N2176,I2176))</f>
        <v/>
      </c>
      <c r="B2176">
        <f>IF(H2176="","",U2176)</f>
        <v/>
      </c>
      <c r="C2176">
        <f>IF(H2176="","",IF(P2176="",K2176,INDEX('Students'!$A$2:$A$701,P2176)))</f>
        <v/>
      </c>
      <c r="D2176">
        <f>IF(OR(H2176="",P2176=""),"",INDEX('Students'!$B$2:$B$701,P2176))</f>
        <v/>
      </c>
      <c r="E2176">
        <f>IF(OR(H2176="",P2176=""),"",INDEX('Students'!$C$2:$C$701,P2176))</f>
        <v/>
      </c>
      <c r="F2176" s="48">
        <f>IF(H2176="","",IF(ISNUMBER(O2176),O2176,J2176))</f>
        <v/>
      </c>
      <c r="G2176">
        <f>IF(H2176="","","OneCause")</f>
        <v/>
      </c>
      <c r="H2176">
        <f>IF(AND(I2176="",J2176="",K2176=""),"",IF(NOT(ISNUMBER(O2176)),"Bad amount",IF(O2176&lt;0,"Refund (not counted)",IF(O2176=0,"Zero amount",IF(NOT(ISNUMBER(N2176)),"Bad date",IF(P2176="","NAME NOT ON ROSTER",IF(L2176="","OK",IF(MATCH(L2176,$L$2:$L$3001,0)&lt;ROW()-1,"Duplicate (ignored)","OK"))))))))</f>
        <v/>
      </c>
      <c r="I2176">
        <f>IF(OC_Date=0,"",IF(INDEX('OneCause_Paste'!$A$2176:$AZ$2176,1,OC_Date)="","",INDEX('OneCause_Paste'!$A$2176:$AZ$2176,1,OC_Date)))</f>
        <v/>
      </c>
      <c r="J2176">
        <f>IF(OC_Amt=0,"",IF(INDEX('OneCause_Paste'!$A$2176:$AZ$2176,1,OC_Amt)="","",INDEX('OneCause_Paste'!$A$2176:$AZ$2176,1,OC_Amt)))</f>
        <v/>
      </c>
      <c r="K2176">
        <f>IF(OC_Name=0,"",IF(INDEX('OneCause_Paste'!$A$2176:$AZ$2176,1,OC_Name)="","",INDEX('OneCause_Paste'!$A$2176:$AZ$2176,1,OC_Name)))</f>
        <v/>
      </c>
      <c r="L2176">
        <f>IF(OC_Txn=0,"",IF(INDEX('OneCause_Paste'!$A$2176:$AZ$2176,1,OC_Txn)="","",INDEX('OneCause_Paste'!$A$2176:$AZ$2176,1,OC_Txn)))</f>
        <v/>
      </c>
      <c r="M2176">
        <f>IF(OC_Pay=0,"",IF(INDEX('OneCause_Paste'!$A$2176:$AZ$2176,1,OC_Pay)="","",INDEX('OneCause_Paste'!$A$2176:$AZ$2176,1,OC_Pay)))</f>
        <v/>
      </c>
      <c r="N2176">
        <f>IF(I2176="","",IF(ISNUMBER(I2176),INT(I2176),IFERROR(INT(DATEVALUE(I2176)),IFERROR(INT(VALUE(I2176)),"bad"))))</f>
        <v/>
      </c>
      <c r="O2176">
        <f>IF(J2176="","",IF(ISNUMBER(J2176),ROUND(J2176,2),IFERROR(ROUND(VALUE(SUBSTITUTE(SUBSTITUTE(SUBSTITUTE(J2176,"$",""),",","")," ","")),2),"bad")))</f>
        <v/>
      </c>
      <c r="P2176">
        <f>IF(TRIM(K2176)="","",IFERROR(MATCH(LOWER(TRIM(K2176)),'Students'!$AH$2:$AH$701,0),IFERROR(MATCH(LOWER(TRIM(K2176)),'Students'!$AF$2:$AF$701,0),IFERROR(MATCH(LOWER(TRIM(K2176)),'Students'!$AG$2:$AG$701,0),""))))</f>
        <v/>
      </c>
      <c r="R2176">
        <f>IF(P2176="","",INDEX('Students'!$AD$2:$AD$701,P2176))</f>
        <v/>
      </c>
      <c r="S2176">
        <f>IF(H2176="OK",O2176,0)</f>
        <v/>
      </c>
      <c r="T2176">
        <f>IF(H2176="OK",N2176,"")</f>
        <v/>
      </c>
      <c r="U2176">
        <f>IF(OC_Donor=0,"",IF(INDEX('OneCause_Paste'!$A$2176:$AZ$2176,1,OC_Donor)="","",INDEX('OneCause_Paste'!$A$2176:$AZ$2176,1,OC_Donor)))</f>
        <v/>
      </c>
    </row>
    <row r="2177">
      <c r="A2177" s="62">
        <f>IF(H2177="","",IF(ISNUMBER(N2177),N2177,I2177))</f>
        <v/>
      </c>
      <c r="B2177">
        <f>IF(H2177="","",U2177)</f>
        <v/>
      </c>
      <c r="C2177">
        <f>IF(H2177="","",IF(P2177="",K2177,INDEX('Students'!$A$2:$A$701,P2177)))</f>
        <v/>
      </c>
      <c r="D2177">
        <f>IF(OR(H2177="",P2177=""),"",INDEX('Students'!$B$2:$B$701,P2177))</f>
        <v/>
      </c>
      <c r="E2177">
        <f>IF(OR(H2177="",P2177=""),"",INDEX('Students'!$C$2:$C$701,P2177))</f>
        <v/>
      </c>
      <c r="F2177" s="48">
        <f>IF(H2177="","",IF(ISNUMBER(O2177),O2177,J2177))</f>
        <v/>
      </c>
      <c r="G2177">
        <f>IF(H2177="","","OneCause")</f>
        <v/>
      </c>
      <c r="H2177">
        <f>IF(AND(I2177="",J2177="",K2177=""),"",IF(NOT(ISNUMBER(O2177)),"Bad amount",IF(O2177&lt;0,"Refund (not counted)",IF(O2177=0,"Zero amount",IF(NOT(ISNUMBER(N2177)),"Bad date",IF(P2177="","NAME NOT ON ROSTER",IF(L2177="","OK",IF(MATCH(L2177,$L$2:$L$3001,0)&lt;ROW()-1,"Duplicate (ignored)","OK"))))))))</f>
        <v/>
      </c>
      <c r="I2177">
        <f>IF(OC_Date=0,"",IF(INDEX('OneCause_Paste'!$A$2177:$AZ$2177,1,OC_Date)="","",INDEX('OneCause_Paste'!$A$2177:$AZ$2177,1,OC_Date)))</f>
        <v/>
      </c>
      <c r="J2177">
        <f>IF(OC_Amt=0,"",IF(INDEX('OneCause_Paste'!$A$2177:$AZ$2177,1,OC_Amt)="","",INDEX('OneCause_Paste'!$A$2177:$AZ$2177,1,OC_Amt)))</f>
        <v/>
      </c>
      <c r="K2177">
        <f>IF(OC_Name=0,"",IF(INDEX('OneCause_Paste'!$A$2177:$AZ$2177,1,OC_Name)="","",INDEX('OneCause_Paste'!$A$2177:$AZ$2177,1,OC_Name)))</f>
        <v/>
      </c>
      <c r="L2177">
        <f>IF(OC_Txn=0,"",IF(INDEX('OneCause_Paste'!$A$2177:$AZ$2177,1,OC_Txn)="","",INDEX('OneCause_Paste'!$A$2177:$AZ$2177,1,OC_Txn)))</f>
        <v/>
      </c>
      <c r="M2177">
        <f>IF(OC_Pay=0,"",IF(INDEX('OneCause_Paste'!$A$2177:$AZ$2177,1,OC_Pay)="","",INDEX('OneCause_Paste'!$A$2177:$AZ$2177,1,OC_Pay)))</f>
        <v/>
      </c>
      <c r="N2177">
        <f>IF(I2177="","",IF(ISNUMBER(I2177),INT(I2177),IFERROR(INT(DATEVALUE(I2177)),IFERROR(INT(VALUE(I2177)),"bad"))))</f>
        <v/>
      </c>
      <c r="O2177">
        <f>IF(J2177="","",IF(ISNUMBER(J2177),ROUND(J2177,2),IFERROR(ROUND(VALUE(SUBSTITUTE(SUBSTITUTE(SUBSTITUTE(J2177,"$",""),",","")," ","")),2),"bad")))</f>
        <v/>
      </c>
      <c r="P2177">
        <f>IF(TRIM(K2177)="","",IFERROR(MATCH(LOWER(TRIM(K2177)),'Students'!$AH$2:$AH$701,0),IFERROR(MATCH(LOWER(TRIM(K2177)),'Students'!$AF$2:$AF$701,0),IFERROR(MATCH(LOWER(TRIM(K2177)),'Students'!$AG$2:$AG$701,0),""))))</f>
        <v/>
      </c>
      <c r="R2177">
        <f>IF(P2177="","",INDEX('Students'!$AD$2:$AD$701,P2177))</f>
        <v/>
      </c>
      <c r="S2177">
        <f>IF(H2177="OK",O2177,0)</f>
        <v/>
      </c>
      <c r="T2177">
        <f>IF(H2177="OK",N2177,"")</f>
        <v/>
      </c>
      <c r="U2177">
        <f>IF(OC_Donor=0,"",IF(INDEX('OneCause_Paste'!$A$2177:$AZ$2177,1,OC_Donor)="","",INDEX('OneCause_Paste'!$A$2177:$AZ$2177,1,OC_Donor)))</f>
        <v/>
      </c>
    </row>
    <row r="2178">
      <c r="A2178" s="62">
        <f>IF(H2178="","",IF(ISNUMBER(N2178),N2178,I2178))</f>
        <v/>
      </c>
      <c r="B2178">
        <f>IF(H2178="","",U2178)</f>
        <v/>
      </c>
      <c r="C2178">
        <f>IF(H2178="","",IF(P2178="",K2178,INDEX('Students'!$A$2:$A$701,P2178)))</f>
        <v/>
      </c>
      <c r="D2178">
        <f>IF(OR(H2178="",P2178=""),"",INDEX('Students'!$B$2:$B$701,P2178))</f>
        <v/>
      </c>
      <c r="E2178">
        <f>IF(OR(H2178="",P2178=""),"",INDEX('Students'!$C$2:$C$701,P2178))</f>
        <v/>
      </c>
      <c r="F2178" s="48">
        <f>IF(H2178="","",IF(ISNUMBER(O2178),O2178,J2178))</f>
        <v/>
      </c>
      <c r="G2178">
        <f>IF(H2178="","","OneCause")</f>
        <v/>
      </c>
      <c r="H2178">
        <f>IF(AND(I2178="",J2178="",K2178=""),"",IF(NOT(ISNUMBER(O2178)),"Bad amount",IF(O2178&lt;0,"Refund (not counted)",IF(O2178=0,"Zero amount",IF(NOT(ISNUMBER(N2178)),"Bad date",IF(P2178="","NAME NOT ON ROSTER",IF(L2178="","OK",IF(MATCH(L2178,$L$2:$L$3001,0)&lt;ROW()-1,"Duplicate (ignored)","OK"))))))))</f>
        <v/>
      </c>
      <c r="I2178">
        <f>IF(OC_Date=0,"",IF(INDEX('OneCause_Paste'!$A$2178:$AZ$2178,1,OC_Date)="","",INDEX('OneCause_Paste'!$A$2178:$AZ$2178,1,OC_Date)))</f>
        <v/>
      </c>
      <c r="J2178">
        <f>IF(OC_Amt=0,"",IF(INDEX('OneCause_Paste'!$A$2178:$AZ$2178,1,OC_Amt)="","",INDEX('OneCause_Paste'!$A$2178:$AZ$2178,1,OC_Amt)))</f>
        <v/>
      </c>
      <c r="K2178">
        <f>IF(OC_Name=0,"",IF(INDEX('OneCause_Paste'!$A$2178:$AZ$2178,1,OC_Name)="","",INDEX('OneCause_Paste'!$A$2178:$AZ$2178,1,OC_Name)))</f>
        <v/>
      </c>
      <c r="L2178">
        <f>IF(OC_Txn=0,"",IF(INDEX('OneCause_Paste'!$A$2178:$AZ$2178,1,OC_Txn)="","",INDEX('OneCause_Paste'!$A$2178:$AZ$2178,1,OC_Txn)))</f>
        <v/>
      </c>
      <c r="M2178">
        <f>IF(OC_Pay=0,"",IF(INDEX('OneCause_Paste'!$A$2178:$AZ$2178,1,OC_Pay)="","",INDEX('OneCause_Paste'!$A$2178:$AZ$2178,1,OC_Pay)))</f>
        <v/>
      </c>
      <c r="N2178">
        <f>IF(I2178="","",IF(ISNUMBER(I2178),INT(I2178),IFERROR(INT(DATEVALUE(I2178)),IFERROR(INT(VALUE(I2178)),"bad"))))</f>
        <v/>
      </c>
      <c r="O2178">
        <f>IF(J2178="","",IF(ISNUMBER(J2178),ROUND(J2178,2),IFERROR(ROUND(VALUE(SUBSTITUTE(SUBSTITUTE(SUBSTITUTE(J2178,"$",""),",","")," ","")),2),"bad")))</f>
        <v/>
      </c>
      <c r="P2178">
        <f>IF(TRIM(K2178)="","",IFERROR(MATCH(LOWER(TRIM(K2178)),'Students'!$AH$2:$AH$701,0),IFERROR(MATCH(LOWER(TRIM(K2178)),'Students'!$AF$2:$AF$701,0),IFERROR(MATCH(LOWER(TRIM(K2178)),'Students'!$AG$2:$AG$701,0),""))))</f>
        <v/>
      </c>
      <c r="R2178">
        <f>IF(P2178="","",INDEX('Students'!$AD$2:$AD$701,P2178))</f>
        <v/>
      </c>
      <c r="S2178">
        <f>IF(H2178="OK",O2178,0)</f>
        <v/>
      </c>
      <c r="T2178">
        <f>IF(H2178="OK",N2178,"")</f>
        <v/>
      </c>
      <c r="U2178">
        <f>IF(OC_Donor=0,"",IF(INDEX('OneCause_Paste'!$A$2178:$AZ$2178,1,OC_Donor)="","",INDEX('OneCause_Paste'!$A$2178:$AZ$2178,1,OC_Donor)))</f>
        <v/>
      </c>
    </row>
    <row r="2179">
      <c r="A2179" s="62">
        <f>IF(H2179="","",IF(ISNUMBER(N2179),N2179,I2179))</f>
        <v/>
      </c>
      <c r="B2179">
        <f>IF(H2179="","",U2179)</f>
        <v/>
      </c>
      <c r="C2179">
        <f>IF(H2179="","",IF(P2179="",K2179,INDEX('Students'!$A$2:$A$701,P2179)))</f>
        <v/>
      </c>
      <c r="D2179">
        <f>IF(OR(H2179="",P2179=""),"",INDEX('Students'!$B$2:$B$701,P2179))</f>
        <v/>
      </c>
      <c r="E2179">
        <f>IF(OR(H2179="",P2179=""),"",INDEX('Students'!$C$2:$C$701,P2179))</f>
        <v/>
      </c>
      <c r="F2179" s="48">
        <f>IF(H2179="","",IF(ISNUMBER(O2179),O2179,J2179))</f>
        <v/>
      </c>
      <c r="G2179">
        <f>IF(H2179="","","OneCause")</f>
        <v/>
      </c>
      <c r="H2179">
        <f>IF(AND(I2179="",J2179="",K2179=""),"",IF(NOT(ISNUMBER(O2179)),"Bad amount",IF(O2179&lt;0,"Refund (not counted)",IF(O2179=0,"Zero amount",IF(NOT(ISNUMBER(N2179)),"Bad date",IF(P2179="","NAME NOT ON ROSTER",IF(L2179="","OK",IF(MATCH(L2179,$L$2:$L$3001,0)&lt;ROW()-1,"Duplicate (ignored)","OK"))))))))</f>
        <v/>
      </c>
      <c r="I2179">
        <f>IF(OC_Date=0,"",IF(INDEX('OneCause_Paste'!$A$2179:$AZ$2179,1,OC_Date)="","",INDEX('OneCause_Paste'!$A$2179:$AZ$2179,1,OC_Date)))</f>
        <v/>
      </c>
      <c r="J2179">
        <f>IF(OC_Amt=0,"",IF(INDEX('OneCause_Paste'!$A$2179:$AZ$2179,1,OC_Amt)="","",INDEX('OneCause_Paste'!$A$2179:$AZ$2179,1,OC_Amt)))</f>
        <v/>
      </c>
      <c r="K2179">
        <f>IF(OC_Name=0,"",IF(INDEX('OneCause_Paste'!$A$2179:$AZ$2179,1,OC_Name)="","",INDEX('OneCause_Paste'!$A$2179:$AZ$2179,1,OC_Name)))</f>
        <v/>
      </c>
      <c r="L2179">
        <f>IF(OC_Txn=0,"",IF(INDEX('OneCause_Paste'!$A$2179:$AZ$2179,1,OC_Txn)="","",INDEX('OneCause_Paste'!$A$2179:$AZ$2179,1,OC_Txn)))</f>
        <v/>
      </c>
      <c r="M2179">
        <f>IF(OC_Pay=0,"",IF(INDEX('OneCause_Paste'!$A$2179:$AZ$2179,1,OC_Pay)="","",INDEX('OneCause_Paste'!$A$2179:$AZ$2179,1,OC_Pay)))</f>
        <v/>
      </c>
      <c r="N2179">
        <f>IF(I2179="","",IF(ISNUMBER(I2179),INT(I2179),IFERROR(INT(DATEVALUE(I2179)),IFERROR(INT(VALUE(I2179)),"bad"))))</f>
        <v/>
      </c>
      <c r="O2179">
        <f>IF(J2179="","",IF(ISNUMBER(J2179),ROUND(J2179,2),IFERROR(ROUND(VALUE(SUBSTITUTE(SUBSTITUTE(SUBSTITUTE(J2179,"$",""),",","")," ","")),2),"bad")))</f>
        <v/>
      </c>
      <c r="P2179">
        <f>IF(TRIM(K2179)="","",IFERROR(MATCH(LOWER(TRIM(K2179)),'Students'!$AH$2:$AH$701,0),IFERROR(MATCH(LOWER(TRIM(K2179)),'Students'!$AF$2:$AF$701,0),IFERROR(MATCH(LOWER(TRIM(K2179)),'Students'!$AG$2:$AG$701,0),""))))</f>
        <v/>
      </c>
      <c r="R2179">
        <f>IF(P2179="","",INDEX('Students'!$AD$2:$AD$701,P2179))</f>
        <v/>
      </c>
      <c r="S2179">
        <f>IF(H2179="OK",O2179,0)</f>
        <v/>
      </c>
      <c r="T2179">
        <f>IF(H2179="OK",N2179,"")</f>
        <v/>
      </c>
      <c r="U2179">
        <f>IF(OC_Donor=0,"",IF(INDEX('OneCause_Paste'!$A$2179:$AZ$2179,1,OC_Donor)="","",INDEX('OneCause_Paste'!$A$2179:$AZ$2179,1,OC_Donor)))</f>
        <v/>
      </c>
    </row>
    <row r="2180">
      <c r="A2180" s="62">
        <f>IF(H2180="","",IF(ISNUMBER(N2180),N2180,I2180))</f>
        <v/>
      </c>
      <c r="B2180">
        <f>IF(H2180="","",U2180)</f>
        <v/>
      </c>
      <c r="C2180">
        <f>IF(H2180="","",IF(P2180="",K2180,INDEX('Students'!$A$2:$A$701,P2180)))</f>
        <v/>
      </c>
      <c r="D2180">
        <f>IF(OR(H2180="",P2180=""),"",INDEX('Students'!$B$2:$B$701,P2180))</f>
        <v/>
      </c>
      <c r="E2180">
        <f>IF(OR(H2180="",P2180=""),"",INDEX('Students'!$C$2:$C$701,P2180))</f>
        <v/>
      </c>
      <c r="F2180" s="48">
        <f>IF(H2180="","",IF(ISNUMBER(O2180),O2180,J2180))</f>
        <v/>
      </c>
      <c r="G2180">
        <f>IF(H2180="","","OneCause")</f>
        <v/>
      </c>
      <c r="H2180">
        <f>IF(AND(I2180="",J2180="",K2180=""),"",IF(NOT(ISNUMBER(O2180)),"Bad amount",IF(O2180&lt;0,"Refund (not counted)",IF(O2180=0,"Zero amount",IF(NOT(ISNUMBER(N2180)),"Bad date",IF(P2180="","NAME NOT ON ROSTER",IF(L2180="","OK",IF(MATCH(L2180,$L$2:$L$3001,0)&lt;ROW()-1,"Duplicate (ignored)","OK"))))))))</f>
        <v/>
      </c>
      <c r="I2180">
        <f>IF(OC_Date=0,"",IF(INDEX('OneCause_Paste'!$A$2180:$AZ$2180,1,OC_Date)="","",INDEX('OneCause_Paste'!$A$2180:$AZ$2180,1,OC_Date)))</f>
        <v/>
      </c>
      <c r="J2180">
        <f>IF(OC_Amt=0,"",IF(INDEX('OneCause_Paste'!$A$2180:$AZ$2180,1,OC_Amt)="","",INDEX('OneCause_Paste'!$A$2180:$AZ$2180,1,OC_Amt)))</f>
        <v/>
      </c>
      <c r="K2180">
        <f>IF(OC_Name=0,"",IF(INDEX('OneCause_Paste'!$A$2180:$AZ$2180,1,OC_Name)="","",INDEX('OneCause_Paste'!$A$2180:$AZ$2180,1,OC_Name)))</f>
        <v/>
      </c>
      <c r="L2180">
        <f>IF(OC_Txn=0,"",IF(INDEX('OneCause_Paste'!$A$2180:$AZ$2180,1,OC_Txn)="","",INDEX('OneCause_Paste'!$A$2180:$AZ$2180,1,OC_Txn)))</f>
        <v/>
      </c>
      <c r="M2180">
        <f>IF(OC_Pay=0,"",IF(INDEX('OneCause_Paste'!$A$2180:$AZ$2180,1,OC_Pay)="","",INDEX('OneCause_Paste'!$A$2180:$AZ$2180,1,OC_Pay)))</f>
        <v/>
      </c>
      <c r="N2180">
        <f>IF(I2180="","",IF(ISNUMBER(I2180),INT(I2180),IFERROR(INT(DATEVALUE(I2180)),IFERROR(INT(VALUE(I2180)),"bad"))))</f>
        <v/>
      </c>
      <c r="O2180">
        <f>IF(J2180="","",IF(ISNUMBER(J2180),ROUND(J2180,2),IFERROR(ROUND(VALUE(SUBSTITUTE(SUBSTITUTE(SUBSTITUTE(J2180,"$",""),",","")," ","")),2),"bad")))</f>
        <v/>
      </c>
      <c r="P2180">
        <f>IF(TRIM(K2180)="","",IFERROR(MATCH(LOWER(TRIM(K2180)),'Students'!$AH$2:$AH$701,0),IFERROR(MATCH(LOWER(TRIM(K2180)),'Students'!$AF$2:$AF$701,0),IFERROR(MATCH(LOWER(TRIM(K2180)),'Students'!$AG$2:$AG$701,0),""))))</f>
        <v/>
      </c>
      <c r="R2180">
        <f>IF(P2180="","",INDEX('Students'!$AD$2:$AD$701,P2180))</f>
        <v/>
      </c>
      <c r="S2180">
        <f>IF(H2180="OK",O2180,0)</f>
        <v/>
      </c>
      <c r="T2180">
        <f>IF(H2180="OK",N2180,"")</f>
        <v/>
      </c>
      <c r="U2180">
        <f>IF(OC_Donor=0,"",IF(INDEX('OneCause_Paste'!$A$2180:$AZ$2180,1,OC_Donor)="","",INDEX('OneCause_Paste'!$A$2180:$AZ$2180,1,OC_Donor)))</f>
        <v/>
      </c>
    </row>
    <row r="2181">
      <c r="A2181" s="62">
        <f>IF(H2181="","",IF(ISNUMBER(N2181),N2181,I2181))</f>
        <v/>
      </c>
      <c r="B2181">
        <f>IF(H2181="","",U2181)</f>
        <v/>
      </c>
      <c r="C2181">
        <f>IF(H2181="","",IF(P2181="",K2181,INDEX('Students'!$A$2:$A$701,P2181)))</f>
        <v/>
      </c>
      <c r="D2181">
        <f>IF(OR(H2181="",P2181=""),"",INDEX('Students'!$B$2:$B$701,P2181))</f>
        <v/>
      </c>
      <c r="E2181">
        <f>IF(OR(H2181="",P2181=""),"",INDEX('Students'!$C$2:$C$701,P2181))</f>
        <v/>
      </c>
      <c r="F2181" s="48">
        <f>IF(H2181="","",IF(ISNUMBER(O2181),O2181,J2181))</f>
        <v/>
      </c>
      <c r="G2181">
        <f>IF(H2181="","","OneCause")</f>
        <v/>
      </c>
      <c r="H2181">
        <f>IF(AND(I2181="",J2181="",K2181=""),"",IF(NOT(ISNUMBER(O2181)),"Bad amount",IF(O2181&lt;0,"Refund (not counted)",IF(O2181=0,"Zero amount",IF(NOT(ISNUMBER(N2181)),"Bad date",IF(P2181="","NAME NOT ON ROSTER",IF(L2181="","OK",IF(MATCH(L2181,$L$2:$L$3001,0)&lt;ROW()-1,"Duplicate (ignored)","OK"))))))))</f>
        <v/>
      </c>
      <c r="I2181">
        <f>IF(OC_Date=0,"",IF(INDEX('OneCause_Paste'!$A$2181:$AZ$2181,1,OC_Date)="","",INDEX('OneCause_Paste'!$A$2181:$AZ$2181,1,OC_Date)))</f>
        <v/>
      </c>
      <c r="J2181">
        <f>IF(OC_Amt=0,"",IF(INDEX('OneCause_Paste'!$A$2181:$AZ$2181,1,OC_Amt)="","",INDEX('OneCause_Paste'!$A$2181:$AZ$2181,1,OC_Amt)))</f>
        <v/>
      </c>
      <c r="K2181">
        <f>IF(OC_Name=0,"",IF(INDEX('OneCause_Paste'!$A$2181:$AZ$2181,1,OC_Name)="","",INDEX('OneCause_Paste'!$A$2181:$AZ$2181,1,OC_Name)))</f>
        <v/>
      </c>
      <c r="L2181">
        <f>IF(OC_Txn=0,"",IF(INDEX('OneCause_Paste'!$A$2181:$AZ$2181,1,OC_Txn)="","",INDEX('OneCause_Paste'!$A$2181:$AZ$2181,1,OC_Txn)))</f>
        <v/>
      </c>
      <c r="M2181">
        <f>IF(OC_Pay=0,"",IF(INDEX('OneCause_Paste'!$A$2181:$AZ$2181,1,OC_Pay)="","",INDEX('OneCause_Paste'!$A$2181:$AZ$2181,1,OC_Pay)))</f>
        <v/>
      </c>
      <c r="N2181">
        <f>IF(I2181="","",IF(ISNUMBER(I2181),INT(I2181),IFERROR(INT(DATEVALUE(I2181)),IFERROR(INT(VALUE(I2181)),"bad"))))</f>
        <v/>
      </c>
      <c r="O2181">
        <f>IF(J2181="","",IF(ISNUMBER(J2181),ROUND(J2181,2),IFERROR(ROUND(VALUE(SUBSTITUTE(SUBSTITUTE(SUBSTITUTE(J2181,"$",""),",","")," ","")),2),"bad")))</f>
        <v/>
      </c>
      <c r="P2181">
        <f>IF(TRIM(K2181)="","",IFERROR(MATCH(LOWER(TRIM(K2181)),'Students'!$AH$2:$AH$701,0),IFERROR(MATCH(LOWER(TRIM(K2181)),'Students'!$AF$2:$AF$701,0),IFERROR(MATCH(LOWER(TRIM(K2181)),'Students'!$AG$2:$AG$701,0),""))))</f>
        <v/>
      </c>
      <c r="R2181">
        <f>IF(P2181="","",INDEX('Students'!$AD$2:$AD$701,P2181))</f>
        <v/>
      </c>
      <c r="S2181">
        <f>IF(H2181="OK",O2181,0)</f>
        <v/>
      </c>
      <c r="T2181">
        <f>IF(H2181="OK",N2181,"")</f>
        <v/>
      </c>
      <c r="U2181">
        <f>IF(OC_Donor=0,"",IF(INDEX('OneCause_Paste'!$A$2181:$AZ$2181,1,OC_Donor)="","",INDEX('OneCause_Paste'!$A$2181:$AZ$2181,1,OC_Donor)))</f>
        <v/>
      </c>
    </row>
    <row r="2182">
      <c r="A2182" s="62">
        <f>IF(H2182="","",IF(ISNUMBER(N2182),N2182,I2182))</f>
        <v/>
      </c>
      <c r="B2182">
        <f>IF(H2182="","",U2182)</f>
        <v/>
      </c>
      <c r="C2182">
        <f>IF(H2182="","",IF(P2182="",K2182,INDEX('Students'!$A$2:$A$701,P2182)))</f>
        <v/>
      </c>
      <c r="D2182">
        <f>IF(OR(H2182="",P2182=""),"",INDEX('Students'!$B$2:$B$701,P2182))</f>
        <v/>
      </c>
      <c r="E2182">
        <f>IF(OR(H2182="",P2182=""),"",INDEX('Students'!$C$2:$C$701,P2182))</f>
        <v/>
      </c>
      <c r="F2182" s="48">
        <f>IF(H2182="","",IF(ISNUMBER(O2182),O2182,J2182))</f>
        <v/>
      </c>
      <c r="G2182">
        <f>IF(H2182="","","OneCause")</f>
        <v/>
      </c>
      <c r="H2182">
        <f>IF(AND(I2182="",J2182="",K2182=""),"",IF(NOT(ISNUMBER(O2182)),"Bad amount",IF(O2182&lt;0,"Refund (not counted)",IF(O2182=0,"Zero amount",IF(NOT(ISNUMBER(N2182)),"Bad date",IF(P2182="","NAME NOT ON ROSTER",IF(L2182="","OK",IF(MATCH(L2182,$L$2:$L$3001,0)&lt;ROW()-1,"Duplicate (ignored)","OK"))))))))</f>
        <v/>
      </c>
      <c r="I2182">
        <f>IF(OC_Date=0,"",IF(INDEX('OneCause_Paste'!$A$2182:$AZ$2182,1,OC_Date)="","",INDEX('OneCause_Paste'!$A$2182:$AZ$2182,1,OC_Date)))</f>
        <v/>
      </c>
      <c r="J2182">
        <f>IF(OC_Amt=0,"",IF(INDEX('OneCause_Paste'!$A$2182:$AZ$2182,1,OC_Amt)="","",INDEX('OneCause_Paste'!$A$2182:$AZ$2182,1,OC_Amt)))</f>
        <v/>
      </c>
      <c r="K2182">
        <f>IF(OC_Name=0,"",IF(INDEX('OneCause_Paste'!$A$2182:$AZ$2182,1,OC_Name)="","",INDEX('OneCause_Paste'!$A$2182:$AZ$2182,1,OC_Name)))</f>
        <v/>
      </c>
      <c r="L2182">
        <f>IF(OC_Txn=0,"",IF(INDEX('OneCause_Paste'!$A$2182:$AZ$2182,1,OC_Txn)="","",INDEX('OneCause_Paste'!$A$2182:$AZ$2182,1,OC_Txn)))</f>
        <v/>
      </c>
      <c r="M2182">
        <f>IF(OC_Pay=0,"",IF(INDEX('OneCause_Paste'!$A$2182:$AZ$2182,1,OC_Pay)="","",INDEX('OneCause_Paste'!$A$2182:$AZ$2182,1,OC_Pay)))</f>
        <v/>
      </c>
      <c r="N2182">
        <f>IF(I2182="","",IF(ISNUMBER(I2182),INT(I2182),IFERROR(INT(DATEVALUE(I2182)),IFERROR(INT(VALUE(I2182)),"bad"))))</f>
        <v/>
      </c>
      <c r="O2182">
        <f>IF(J2182="","",IF(ISNUMBER(J2182),ROUND(J2182,2),IFERROR(ROUND(VALUE(SUBSTITUTE(SUBSTITUTE(SUBSTITUTE(J2182,"$",""),",","")," ","")),2),"bad")))</f>
        <v/>
      </c>
      <c r="P2182">
        <f>IF(TRIM(K2182)="","",IFERROR(MATCH(LOWER(TRIM(K2182)),'Students'!$AH$2:$AH$701,0),IFERROR(MATCH(LOWER(TRIM(K2182)),'Students'!$AF$2:$AF$701,0),IFERROR(MATCH(LOWER(TRIM(K2182)),'Students'!$AG$2:$AG$701,0),""))))</f>
        <v/>
      </c>
      <c r="R2182">
        <f>IF(P2182="","",INDEX('Students'!$AD$2:$AD$701,P2182))</f>
        <v/>
      </c>
      <c r="S2182">
        <f>IF(H2182="OK",O2182,0)</f>
        <v/>
      </c>
      <c r="T2182">
        <f>IF(H2182="OK",N2182,"")</f>
        <v/>
      </c>
      <c r="U2182">
        <f>IF(OC_Donor=0,"",IF(INDEX('OneCause_Paste'!$A$2182:$AZ$2182,1,OC_Donor)="","",INDEX('OneCause_Paste'!$A$2182:$AZ$2182,1,OC_Donor)))</f>
        <v/>
      </c>
    </row>
    <row r="2183">
      <c r="A2183" s="62">
        <f>IF(H2183="","",IF(ISNUMBER(N2183),N2183,I2183))</f>
        <v/>
      </c>
      <c r="B2183">
        <f>IF(H2183="","",U2183)</f>
        <v/>
      </c>
      <c r="C2183">
        <f>IF(H2183="","",IF(P2183="",K2183,INDEX('Students'!$A$2:$A$701,P2183)))</f>
        <v/>
      </c>
      <c r="D2183">
        <f>IF(OR(H2183="",P2183=""),"",INDEX('Students'!$B$2:$B$701,P2183))</f>
        <v/>
      </c>
      <c r="E2183">
        <f>IF(OR(H2183="",P2183=""),"",INDEX('Students'!$C$2:$C$701,P2183))</f>
        <v/>
      </c>
      <c r="F2183" s="48">
        <f>IF(H2183="","",IF(ISNUMBER(O2183),O2183,J2183))</f>
        <v/>
      </c>
      <c r="G2183">
        <f>IF(H2183="","","OneCause")</f>
        <v/>
      </c>
      <c r="H2183">
        <f>IF(AND(I2183="",J2183="",K2183=""),"",IF(NOT(ISNUMBER(O2183)),"Bad amount",IF(O2183&lt;0,"Refund (not counted)",IF(O2183=0,"Zero amount",IF(NOT(ISNUMBER(N2183)),"Bad date",IF(P2183="","NAME NOT ON ROSTER",IF(L2183="","OK",IF(MATCH(L2183,$L$2:$L$3001,0)&lt;ROW()-1,"Duplicate (ignored)","OK"))))))))</f>
        <v/>
      </c>
      <c r="I2183">
        <f>IF(OC_Date=0,"",IF(INDEX('OneCause_Paste'!$A$2183:$AZ$2183,1,OC_Date)="","",INDEX('OneCause_Paste'!$A$2183:$AZ$2183,1,OC_Date)))</f>
        <v/>
      </c>
      <c r="J2183">
        <f>IF(OC_Amt=0,"",IF(INDEX('OneCause_Paste'!$A$2183:$AZ$2183,1,OC_Amt)="","",INDEX('OneCause_Paste'!$A$2183:$AZ$2183,1,OC_Amt)))</f>
        <v/>
      </c>
      <c r="K2183">
        <f>IF(OC_Name=0,"",IF(INDEX('OneCause_Paste'!$A$2183:$AZ$2183,1,OC_Name)="","",INDEX('OneCause_Paste'!$A$2183:$AZ$2183,1,OC_Name)))</f>
        <v/>
      </c>
      <c r="L2183">
        <f>IF(OC_Txn=0,"",IF(INDEX('OneCause_Paste'!$A$2183:$AZ$2183,1,OC_Txn)="","",INDEX('OneCause_Paste'!$A$2183:$AZ$2183,1,OC_Txn)))</f>
        <v/>
      </c>
      <c r="M2183">
        <f>IF(OC_Pay=0,"",IF(INDEX('OneCause_Paste'!$A$2183:$AZ$2183,1,OC_Pay)="","",INDEX('OneCause_Paste'!$A$2183:$AZ$2183,1,OC_Pay)))</f>
        <v/>
      </c>
      <c r="N2183">
        <f>IF(I2183="","",IF(ISNUMBER(I2183),INT(I2183),IFERROR(INT(DATEVALUE(I2183)),IFERROR(INT(VALUE(I2183)),"bad"))))</f>
        <v/>
      </c>
      <c r="O2183">
        <f>IF(J2183="","",IF(ISNUMBER(J2183),ROUND(J2183,2),IFERROR(ROUND(VALUE(SUBSTITUTE(SUBSTITUTE(SUBSTITUTE(J2183,"$",""),",","")," ","")),2),"bad")))</f>
        <v/>
      </c>
      <c r="P2183">
        <f>IF(TRIM(K2183)="","",IFERROR(MATCH(LOWER(TRIM(K2183)),'Students'!$AH$2:$AH$701,0),IFERROR(MATCH(LOWER(TRIM(K2183)),'Students'!$AF$2:$AF$701,0),IFERROR(MATCH(LOWER(TRIM(K2183)),'Students'!$AG$2:$AG$701,0),""))))</f>
        <v/>
      </c>
      <c r="R2183">
        <f>IF(P2183="","",INDEX('Students'!$AD$2:$AD$701,P2183))</f>
        <v/>
      </c>
      <c r="S2183">
        <f>IF(H2183="OK",O2183,0)</f>
        <v/>
      </c>
      <c r="T2183">
        <f>IF(H2183="OK",N2183,"")</f>
        <v/>
      </c>
      <c r="U2183">
        <f>IF(OC_Donor=0,"",IF(INDEX('OneCause_Paste'!$A$2183:$AZ$2183,1,OC_Donor)="","",INDEX('OneCause_Paste'!$A$2183:$AZ$2183,1,OC_Donor)))</f>
        <v/>
      </c>
    </row>
    <row r="2184">
      <c r="A2184" s="62">
        <f>IF(H2184="","",IF(ISNUMBER(N2184),N2184,I2184))</f>
        <v/>
      </c>
      <c r="B2184">
        <f>IF(H2184="","",U2184)</f>
        <v/>
      </c>
      <c r="C2184">
        <f>IF(H2184="","",IF(P2184="",K2184,INDEX('Students'!$A$2:$A$701,P2184)))</f>
        <v/>
      </c>
      <c r="D2184">
        <f>IF(OR(H2184="",P2184=""),"",INDEX('Students'!$B$2:$B$701,P2184))</f>
        <v/>
      </c>
      <c r="E2184">
        <f>IF(OR(H2184="",P2184=""),"",INDEX('Students'!$C$2:$C$701,P2184))</f>
        <v/>
      </c>
      <c r="F2184" s="48">
        <f>IF(H2184="","",IF(ISNUMBER(O2184),O2184,J2184))</f>
        <v/>
      </c>
      <c r="G2184">
        <f>IF(H2184="","","OneCause")</f>
        <v/>
      </c>
      <c r="H2184">
        <f>IF(AND(I2184="",J2184="",K2184=""),"",IF(NOT(ISNUMBER(O2184)),"Bad amount",IF(O2184&lt;0,"Refund (not counted)",IF(O2184=0,"Zero amount",IF(NOT(ISNUMBER(N2184)),"Bad date",IF(P2184="","NAME NOT ON ROSTER",IF(L2184="","OK",IF(MATCH(L2184,$L$2:$L$3001,0)&lt;ROW()-1,"Duplicate (ignored)","OK"))))))))</f>
        <v/>
      </c>
      <c r="I2184">
        <f>IF(OC_Date=0,"",IF(INDEX('OneCause_Paste'!$A$2184:$AZ$2184,1,OC_Date)="","",INDEX('OneCause_Paste'!$A$2184:$AZ$2184,1,OC_Date)))</f>
        <v/>
      </c>
      <c r="J2184">
        <f>IF(OC_Amt=0,"",IF(INDEX('OneCause_Paste'!$A$2184:$AZ$2184,1,OC_Amt)="","",INDEX('OneCause_Paste'!$A$2184:$AZ$2184,1,OC_Amt)))</f>
        <v/>
      </c>
      <c r="K2184">
        <f>IF(OC_Name=0,"",IF(INDEX('OneCause_Paste'!$A$2184:$AZ$2184,1,OC_Name)="","",INDEX('OneCause_Paste'!$A$2184:$AZ$2184,1,OC_Name)))</f>
        <v/>
      </c>
      <c r="L2184">
        <f>IF(OC_Txn=0,"",IF(INDEX('OneCause_Paste'!$A$2184:$AZ$2184,1,OC_Txn)="","",INDEX('OneCause_Paste'!$A$2184:$AZ$2184,1,OC_Txn)))</f>
        <v/>
      </c>
      <c r="M2184">
        <f>IF(OC_Pay=0,"",IF(INDEX('OneCause_Paste'!$A$2184:$AZ$2184,1,OC_Pay)="","",INDEX('OneCause_Paste'!$A$2184:$AZ$2184,1,OC_Pay)))</f>
        <v/>
      </c>
      <c r="N2184">
        <f>IF(I2184="","",IF(ISNUMBER(I2184),INT(I2184),IFERROR(INT(DATEVALUE(I2184)),IFERROR(INT(VALUE(I2184)),"bad"))))</f>
        <v/>
      </c>
      <c r="O2184">
        <f>IF(J2184="","",IF(ISNUMBER(J2184),ROUND(J2184,2),IFERROR(ROUND(VALUE(SUBSTITUTE(SUBSTITUTE(SUBSTITUTE(J2184,"$",""),",","")," ","")),2),"bad")))</f>
        <v/>
      </c>
      <c r="P2184">
        <f>IF(TRIM(K2184)="","",IFERROR(MATCH(LOWER(TRIM(K2184)),'Students'!$AH$2:$AH$701,0),IFERROR(MATCH(LOWER(TRIM(K2184)),'Students'!$AF$2:$AF$701,0),IFERROR(MATCH(LOWER(TRIM(K2184)),'Students'!$AG$2:$AG$701,0),""))))</f>
        <v/>
      </c>
      <c r="R2184">
        <f>IF(P2184="","",INDEX('Students'!$AD$2:$AD$701,P2184))</f>
        <v/>
      </c>
      <c r="S2184">
        <f>IF(H2184="OK",O2184,0)</f>
        <v/>
      </c>
      <c r="T2184">
        <f>IF(H2184="OK",N2184,"")</f>
        <v/>
      </c>
      <c r="U2184">
        <f>IF(OC_Donor=0,"",IF(INDEX('OneCause_Paste'!$A$2184:$AZ$2184,1,OC_Donor)="","",INDEX('OneCause_Paste'!$A$2184:$AZ$2184,1,OC_Donor)))</f>
        <v/>
      </c>
    </row>
    <row r="2185">
      <c r="A2185" s="62">
        <f>IF(H2185="","",IF(ISNUMBER(N2185),N2185,I2185))</f>
        <v/>
      </c>
      <c r="B2185">
        <f>IF(H2185="","",U2185)</f>
        <v/>
      </c>
      <c r="C2185">
        <f>IF(H2185="","",IF(P2185="",K2185,INDEX('Students'!$A$2:$A$701,P2185)))</f>
        <v/>
      </c>
      <c r="D2185">
        <f>IF(OR(H2185="",P2185=""),"",INDEX('Students'!$B$2:$B$701,P2185))</f>
        <v/>
      </c>
      <c r="E2185">
        <f>IF(OR(H2185="",P2185=""),"",INDEX('Students'!$C$2:$C$701,P2185))</f>
        <v/>
      </c>
      <c r="F2185" s="48">
        <f>IF(H2185="","",IF(ISNUMBER(O2185),O2185,J2185))</f>
        <v/>
      </c>
      <c r="G2185">
        <f>IF(H2185="","","OneCause")</f>
        <v/>
      </c>
      <c r="H2185">
        <f>IF(AND(I2185="",J2185="",K2185=""),"",IF(NOT(ISNUMBER(O2185)),"Bad amount",IF(O2185&lt;0,"Refund (not counted)",IF(O2185=0,"Zero amount",IF(NOT(ISNUMBER(N2185)),"Bad date",IF(P2185="","NAME NOT ON ROSTER",IF(L2185="","OK",IF(MATCH(L2185,$L$2:$L$3001,0)&lt;ROW()-1,"Duplicate (ignored)","OK"))))))))</f>
        <v/>
      </c>
      <c r="I2185">
        <f>IF(OC_Date=0,"",IF(INDEX('OneCause_Paste'!$A$2185:$AZ$2185,1,OC_Date)="","",INDEX('OneCause_Paste'!$A$2185:$AZ$2185,1,OC_Date)))</f>
        <v/>
      </c>
      <c r="J2185">
        <f>IF(OC_Amt=0,"",IF(INDEX('OneCause_Paste'!$A$2185:$AZ$2185,1,OC_Amt)="","",INDEX('OneCause_Paste'!$A$2185:$AZ$2185,1,OC_Amt)))</f>
        <v/>
      </c>
      <c r="K2185">
        <f>IF(OC_Name=0,"",IF(INDEX('OneCause_Paste'!$A$2185:$AZ$2185,1,OC_Name)="","",INDEX('OneCause_Paste'!$A$2185:$AZ$2185,1,OC_Name)))</f>
        <v/>
      </c>
      <c r="L2185">
        <f>IF(OC_Txn=0,"",IF(INDEX('OneCause_Paste'!$A$2185:$AZ$2185,1,OC_Txn)="","",INDEX('OneCause_Paste'!$A$2185:$AZ$2185,1,OC_Txn)))</f>
        <v/>
      </c>
      <c r="M2185">
        <f>IF(OC_Pay=0,"",IF(INDEX('OneCause_Paste'!$A$2185:$AZ$2185,1,OC_Pay)="","",INDEX('OneCause_Paste'!$A$2185:$AZ$2185,1,OC_Pay)))</f>
        <v/>
      </c>
      <c r="N2185">
        <f>IF(I2185="","",IF(ISNUMBER(I2185),INT(I2185),IFERROR(INT(DATEVALUE(I2185)),IFERROR(INT(VALUE(I2185)),"bad"))))</f>
        <v/>
      </c>
      <c r="O2185">
        <f>IF(J2185="","",IF(ISNUMBER(J2185),ROUND(J2185,2),IFERROR(ROUND(VALUE(SUBSTITUTE(SUBSTITUTE(SUBSTITUTE(J2185,"$",""),",","")," ","")),2),"bad")))</f>
        <v/>
      </c>
      <c r="P2185">
        <f>IF(TRIM(K2185)="","",IFERROR(MATCH(LOWER(TRIM(K2185)),'Students'!$AH$2:$AH$701,0),IFERROR(MATCH(LOWER(TRIM(K2185)),'Students'!$AF$2:$AF$701,0),IFERROR(MATCH(LOWER(TRIM(K2185)),'Students'!$AG$2:$AG$701,0),""))))</f>
        <v/>
      </c>
      <c r="R2185">
        <f>IF(P2185="","",INDEX('Students'!$AD$2:$AD$701,P2185))</f>
        <v/>
      </c>
      <c r="S2185">
        <f>IF(H2185="OK",O2185,0)</f>
        <v/>
      </c>
      <c r="T2185">
        <f>IF(H2185="OK",N2185,"")</f>
        <v/>
      </c>
      <c r="U2185">
        <f>IF(OC_Donor=0,"",IF(INDEX('OneCause_Paste'!$A$2185:$AZ$2185,1,OC_Donor)="","",INDEX('OneCause_Paste'!$A$2185:$AZ$2185,1,OC_Donor)))</f>
        <v/>
      </c>
    </row>
    <row r="2186">
      <c r="A2186" s="62">
        <f>IF(H2186="","",IF(ISNUMBER(N2186),N2186,I2186))</f>
        <v/>
      </c>
      <c r="B2186">
        <f>IF(H2186="","",U2186)</f>
        <v/>
      </c>
      <c r="C2186">
        <f>IF(H2186="","",IF(P2186="",K2186,INDEX('Students'!$A$2:$A$701,P2186)))</f>
        <v/>
      </c>
      <c r="D2186">
        <f>IF(OR(H2186="",P2186=""),"",INDEX('Students'!$B$2:$B$701,P2186))</f>
        <v/>
      </c>
      <c r="E2186">
        <f>IF(OR(H2186="",P2186=""),"",INDEX('Students'!$C$2:$C$701,P2186))</f>
        <v/>
      </c>
      <c r="F2186" s="48">
        <f>IF(H2186="","",IF(ISNUMBER(O2186),O2186,J2186))</f>
        <v/>
      </c>
      <c r="G2186">
        <f>IF(H2186="","","OneCause")</f>
        <v/>
      </c>
      <c r="H2186">
        <f>IF(AND(I2186="",J2186="",K2186=""),"",IF(NOT(ISNUMBER(O2186)),"Bad amount",IF(O2186&lt;0,"Refund (not counted)",IF(O2186=0,"Zero amount",IF(NOT(ISNUMBER(N2186)),"Bad date",IF(P2186="","NAME NOT ON ROSTER",IF(L2186="","OK",IF(MATCH(L2186,$L$2:$L$3001,0)&lt;ROW()-1,"Duplicate (ignored)","OK"))))))))</f>
        <v/>
      </c>
      <c r="I2186">
        <f>IF(OC_Date=0,"",IF(INDEX('OneCause_Paste'!$A$2186:$AZ$2186,1,OC_Date)="","",INDEX('OneCause_Paste'!$A$2186:$AZ$2186,1,OC_Date)))</f>
        <v/>
      </c>
      <c r="J2186">
        <f>IF(OC_Amt=0,"",IF(INDEX('OneCause_Paste'!$A$2186:$AZ$2186,1,OC_Amt)="","",INDEX('OneCause_Paste'!$A$2186:$AZ$2186,1,OC_Amt)))</f>
        <v/>
      </c>
      <c r="K2186">
        <f>IF(OC_Name=0,"",IF(INDEX('OneCause_Paste'!$A$2186:$AZ$2186,1,OC_Name)="","",INDEX('OneCause_Paste'!$A$2186:$AZ$2186,1,OC_Name)))</f>
        <v/>
      </c>
      <c r="L2186">
        <f>IF(OC_Txn=0,"",IF(INDEX('OneCause_Paste'!$A$2186:$AZ$2186,1,OC_Txn)="","",INDEX('OneCause_Paste'!$A$2186:$AZ$2186,1,OC_Txn)))</f>
        <v/>
      </c>
      <c r="M2186">
        <f>IF(OC_Pay=0,"",IF(INDEX('OneCause_Paste'!$A$2186:$AZ$2186,1,OC_Pay)="","",INDEX('OneCause_Paste'!$A$2186:$AZ$2186,1,OC_Pay)))</f>
        <v/>
      </c>
      <c r="N2186">
        <f>IF(I2186="","",IF(ISNUMBER(I2186),INT(I2186),IFERROR(INT(DATEVALUE(I2186)),IFERROR(INT(VALUE(I2186)),"bad"))))</f>
        <v/>
      </c>
      <c r="O2186">
        <f>IF(J2186="","",IF(ISNUMBER(J2186),ROUND(J2186,2),IFERROR(ROUND(VALUE(SUBSTITUTE(SUBSTITUTE(SUBSTITUTE(J2186,"$",""),",","")," ","")),2),"bad")))</f>
        <v/>
      </c>
      <c r="P2186">
        <f>IF(TRIM(K2186)="","",IFERROR(MATCH(LOWER(TRIM(K2186)),'Students'!$AH$2:$AH$701,0),IFERROR(MATCH(LOWER(TRIM(K2186)),'Students'!$AF$2:$AF$701,0),IFERROR(MATCH(LOWER(TRIM(K2186)),'Students'!$AG$2:$AG$701,0),""))))</f>
        <v/>
      </c>
      <c r="R2186">
        <f>IF(P2186="","",INDEX('Students'!$AD$2:$AD$701,P2186))</f>
        <v/>
      </c>
      <c r="S2186">
        <f>IF(H2186="OK",O2186,0)</f>
        <v/>
      </c>
      <c r="T2186">
        <f>IF(H2186="OK",N2186,"")</f>
        <v/>
      </c>
      <c r="U2186">
        <f>IF(OC_Donor=0,"",IF(INDEX('OneCause_Paste'!$A$2186:$AZ$2186,1,OC_Donor)="","",INDEX('OneCause_Paste'!$A$2186:$AZ$2186,1,OC_Donor)))</f>
        <v/>
      </c>
    </row>
    <row r="2187">
      <c r="A2187" s="62">
        <f>IF(H2187="","",IF(ISNUMBER(N2187),N2187,I2187))</f>
        <v/>
      </c>
      <c r="B2187">
        <f>IF(H2187="","",U2187)</f>
        <v/>
      </c>
      <c r="C2187">
        <f>IF(H2187="","",IF(P2187="",K2187,INDEX('Students'!$A$2:$A$701,P2187)))</f>
        <v/>
      </c>
      <c r="D2187">
        <f>IF(OR(H2187="",P2187=""),"",INDEX('Students'!$B$2:$B$701,P2187))</f>
        <v/>
      </c>
      <c r="E2187">
        <f>IF(OR(H2187="",P2187=""),"",INDEX('Students'!$C$2:$C$701,P2187))</f>
        <v/>
      </c>
      <c r="F2187" s="48">
        <f>IF(H2187="","",IF(ISNUMBER(O2187),O2187,J2187))</f>
        <v/>
      </c>
      <c r="G2187">
        <f>IF(H2187="","","OneCause")</f>
        <v/>
      </c>
      <c r="H2187">
        <f>IF(AND(I2187="",J2187="",K2187=""),"",IF(NOT(ISNUMBER(O2187)),"Bad amount",IF(O2187&lt;0,"Refund (not counted)",IF(O2187=0,"Zero amount",IF(NOT(ISNUMBER(N2187)),"Bad date",IF(P2187="","NAME NOT ON ROSTER",IF(L2187="","OK",IF(MATCH(L2187,$L$2:$L$3001,0)&lt;ROW()-1,"Duplicate (ignored)","OK"))))))))</f>
        <v/>
      </c>
      <c r="I2187">
        <f>IF(OC_Date=0,"",IF(INDEX('OneCause_Paste'!$A$2187:$AZ$2187,1,OC_Date)="","",INDEX('OneCause_Paste'!$A$2187:$AZ$2187,1,OC_Date)))</f>
        <v/>
      </c>
      <c r="J2187">
        <f>IF(OC_Amt=0,"",IF(INDEX('OneCause_Paste'!$A$2187:$AZ$2187,1,OC_Amt)="","",INDEX('OneCause_Paste'!$A$2187:$AZ$2187,1,OC_Amt)))</f>
        <v/>
      </c>
      <c r="K2187">
        <f>IF(OC_Name=0,"",IF(INDEX('OneCause_Paste'!$A$2187:$AZ$2187,1,OC_Name)="","",INDEX('OneCause_Paste'!$A$2187:$AZ$2187,1,OC_Name)))</f>
        <v/>
      </c>
      <c r="L2187">
        <f>IF(OC_Txn=0,"",IF(INDEX('OneCause_Paste'!$A$2187:$AZ$2187,1,OC_Txn)="","",INDEX('OneCause_Paste'!$A$2187:$AZ$2187,1,OC_Txn)))</f>
        <v/>
      </c>
      <c r="M2187">
        <f>IF(OC_Pay=0,"",IF(INDEX('OneCause_Paste'!$A$2187:$AZ$2187,1,OC_Pay)="","",INDEX('OneCause_Paste'!$A$2187:$AZ$2187,1,OC_Pay)))</f>
        <v/>
      </c>
      <c r="N2187">
        <f>IF(I2187="","",IF(ISNUMBER(I2187),INT(I2187),IFERROR(INT(DATEVALUE(I2187)),IFERROR(INT(VALUE(I2187)),"bad"))))</f>
        <v/>
      </c>
      <c r="O2187">
        <f>IF(J2187="","",IF(ISNUMBER(J2187),ROUND(J2187,2),IFERROR(ROUND(VALUE(SUBSTITUTE(SUBSTITUTE(SUBSTITUTE(J2187,"$",""),",","")," ","")),2),"bad")))</f>
        <v/>
      </c>
      <c r="P2187">
        <f>IF(TRIM(K2187)="","",IFERROR(MATCH(LOWER(TRIM(K2187)),'Students'!$AH$2:$AH$701,0),IFERROR(MATCH(LOWER(TRIM(K2187)),'Students'!$AF$2:$AF$701,0),IFERROR(MATCH(LOWER(TRIM(K2187)),'Students'!$AG$2:$AG$701,0),""))))</f>
        <v/>
      </c>
      <c r="R2187">
        <f>IF(P2187="","",INDEX('Students'!$AD$2:$AD$701,P2187))</f>
        <v/>
      </c>
      <c r="S2187">
        <f>IF(H2187="OK",O2187,0)</f>
        <v/>
      </c>
      <c r="T2187">
        <f>IF(H2187="OK",N2187,"")</f>
        <v/>
      </c>
      <c r="U2187">
        <f>IF(OC_Donor=0,"",IF(INDEX('OneCause_Paste'!$A$2187:$AZ$2187,1,OC_Donor)="","",INDEX('OneCause_Paste'!$A$2187:$AZ$2187,1,OC_Donor)))</f>
        <v/>
      </c>
    </row>
    <row r="2188">
      <c r="A2188" s="62">
        <f>IF(H2188="","",IF(ISNUMBER(N2188),N2188,I2188))</f>
        <v/>
      </c>
      <c r="B2188">
        <f>IF(H2188="","",U2188)</f>
        <v/>
      </c>
      <c r="C2188">
        <f>IF(H2188="","",IF(P2188="",K2188,INDEX('Students'!$A$2:$A$701,P2188)))</f>
        <v/>
      </c>
      <c r="D2188">
        <f>IF(OR(H2188="",P2188=""),"",INDEX('Students'!$B$2:$B$701,P2188))</f>
        <v/>
      </c>
      <c r="E2188">
        <f>IF(OR(H2188="",P2188=""),"",INDEX('Students'!$C$2:$C$701,P2188))</f>
        <v/>
      </c>
      <c r="F2188" s="48">
        <f>IF(H2188="","",IF(ISNUMBER(O2188),O2188,J2188))</f>
        <v/>
      </c>
      <c r="G2188">
        <f>IF(H2188="","","OneCause")</f>
        <v/>
      </c>
      <c r="H2188">
        <f>IF(AND(I2188="",J2188="",K2188=""),"",IF(NOT(ISNUMBER(O2188)),"Bad amount",IF(O2188&lt;0,"Refund (not counted)",IF(O2188=0,"Zero amount",IF(NOT(ISNUMBER(N2188)),"Bad date",IF(P2188="","NAME NOT ON ROSTER",IF(L2188="","OK",IF(MATCH(L2188,$L$2:$L$3001,0)&lt;ROW()-1,"Duplicate (ignored)","OK"))))))))</f>
        <v/>
      </c>
      <c r="I2188">
        <f>IF(OC_Date=0,"",IF(INDEX('OneCause_Paste'!$A$2188:$AZ$2188,1,OC_Date)="","",INDEX('OneCause_Paste'!$A$2188:$AZ$2188,1,OC_Date)))</f>
        <v/>
      </c>
      <c r="J2188">
        <f>IF(OC_Amt=0,"",IF(INDEX('OneCause_Paste'!$A$2188:$AZ$2188,1,OC_Amt)="","",INDEX('OneCause_Paste'!$A$2188:$AZ$2188,1,OC_Amt)))</f>
        <v/>
      </c>
      <c r="K2188">
        <f>IF(OC_Name=0,"",IF(INDEX('OneCause_Paste'!$A$2188:$AZ$2188,1,OC_Name)="","",INDEX('OneCause_Paste'!$A$2188:$AZ$2188,1,OC_Name)))</f>
        <v/>
      </c>
      <c r="L2188">
        <f>IF(OC_Txn=0,"",IF(INDEX('OneCause_Paste'!$A$2188:$AZ$2188,1,OC_Txn)="","",INDEX('OneCause_Paste'!$A$2188:$AZ$2188,1,OC_Txn)))</f>
        <v/>
      </c>
      <c r="M2188">
        <f>IF(OC_Pay=0,"",IF(INDEX('OneCause_Paste'!$A$2188:$AZ$2188,1,OC_Pay)="","",INDEX('OneCause_Paste'!$A$2188:$AZ$2188,1,OC_Pay)))</f>
        <v/>
      </c>
      <c r="N2188">
        <f>IF(I2188="","",IF(ISNUMBER(I2188),INT(I2188),IFERROR(INT(DATEVALUE(I2188)),IFERROR(INT(VALUE(I2188)),"bad"))))</f>
        <v/>
      </c>
      <c r="O2188">
        <f>IF(J2188="","",IF(ISNUMBER(J2188),ROUND(J2188,2),IFERROR(ROUND(VALUE(SUBSTITUTE(SUBSTITUTE(SUBSTITUTE(J2188,"$",""),",","")," ","")),2),"bad")))</f>
        <v/>
      </c>
      <c r="P2188">
        <f>IF(TRIM(K2188)="","",IFERROR(MATCH(LOWER(TRIM(K2188)),'Students'!$AH$2:$AH$701,0),IFERROR(MATCH(LOWER(TRIM(K2188)),'Students'!$AF$2:$AF$701,0),IFERROR(MATCH(LOWER(TRIM(K2188)),'Students'!$AG$2:$AG$701,0),""))))</f>
        <v/>
      </c>
      <c r="R2188">
        <f>IF(P2188="","",INDEX('Students'!$AD$2:$AD$701,P2188))</f>
        <v/>
      </c>
      <c r="S2188">
        <f>IF(H2188="OK",O2188,0)</f>
        <v/>
      </c>
      <c r="T2188">
        <f>IF(H2188="OK",N2188,"")</f>
        <v/>
      </c>
      <c r="U2188">
        <f>IF(OC_Donor=0,"",IF(INDEX('OneCause_Paste'!$A$2188:$AZ$2188,1,OC_Donor)="","",INDEX('OneCause_Paste'!$A$2188:$AZ$2188,1,OC_Donor)))</f>
        <v/>
      </c>
    </row>
    <row r="2189">
      <c r="A2189" s="62">
        <f>IF(H2189="","",IF(ISNUMBER(N2189),N2189,I2189))</f>
        <v/>
      </c>
      <c r="B2189">
        <f>IF(H2189="","",U2189)</f>
        <v/>
      </c>
      <c r="C2189">
        <f>IF(H2189="","",IF(P2189="",K2189,INDEX('Students'!$A$2:$A$701,P2189)))</f>
        <v/>
      </c>
      <c r="D2189">
        <f>IF(OR(H2189="",P2189=""),"",INDEX('Students'!$B$2:$B$701,P2189))</f>
        <v/>
      </c>
      <c r="E2189">
        <f>IF(OR(H2189="",P2189=""),"",INDEX('Students'!$C$2:$C$701,P2189))</f>
        <v/>
      </c>
      <c r="F2189" s="48">
        <f>IF(H2189="","",IF(ISNUMBER(O2189),O2189,J2189))</f>
        <v/>
      </c>
      <c r="G2189">
        <f>IF(H2189="","","OneCause")</f>
        <v/>
      </c>
      <c r="H2189">
        <f>IF(AND(I2189="",J2189="",K2189=""),"",IF(NOT(ISNUMBER(O2189)),"Bad amount",IF(O2189&lt;0,"Refund (not counted)",IF(O2189=0,"Zero amount",IF(NOT(ISNUMBER(N2189)),"Bad date",IF(P2189="","NAME NOT ON ROSTER",IF(L2189="","OK",IF(MATCH(L2189,$L$2:$L$3001,0)&lt;ROW()-1,"Duplicate (ignored)","OK"))))))))</f>
        <v/>
      </c>
      <c r="I2189">
        <f>IF(OC_Date=0,"",IF(INDEX('OneCause_Paste'!$A$2189:$AZ$2189,1,OC_Date)="","",INDEX('OneCause_Paste'!$A$2189:$AZ$2189,1,OC_Date)))</f>
        <v/>
      </c>
      <c r="J2189">
        <f>IF(OC_Amt=0,"",IF(INDEX('OneCause_Paste'!$A$2189:$AZ$2189,1,OC_Amt)="","",INDEX('OneCause_Paste'!$A$2189:$AZ$2189,1,OC_Amt)))</f>
        <v/>
      </c>
      <c r="K2189">
        <f>IF(OC_Name=0,"",IF(INDEX('OneCause_Paste'!$A$2189:$AZ$2189,1,OC_Name)="","",INDEX('OneCause_Paste'!$A$2189:$AZ$2189,1,OC_Name)))</f>
        <v/>
      </c>
      <c r="L2189">
        <f>IF(OC_Txn=0,"",IF(INDEX('OneCause_Paste'!$A$2189:$AZ$2189,1,OC_Txn)="","",INDEX('OneCause_Paste'!$A$2189:$AZ$2189,1,OC_Txn)))</f>
        <v/>
      </c>
      <c r="M2189">
        <f>IF(OC_Pay=0,"",IF(INDEX('OneCause_Paste'!$A$2189:$AZ$2189,1,OC_Pay)="","",INDEX('OneCause_Paste'!$A$2189:$AZ$2189,1,OC_Pay)))</f>
        <v/>
      </c>
      <c r="N2189">
        <f>IF(I2189="","",IF(ISNUMBER(I2189),INT(I2189),IFERROR(INT(DATEVALUE(I2189)),IFERROR(INT(VALUE(I2189)),"bad"))))</f>
        <v/>
      </c>
      <c r="O2189">
        <f>IF(J2189="","",IF(ISNUMBER(J2189),ROUND(J2189,2),IFERROR(ROUND(VALUE(SUBSTITUTE(SUBSTITUTE(SUBSTITUTE(J2189,"$",""),",","")," ","")),2),"bad")))</f>
        <v/>
      </c>
      <c r="P2189">
        <f>IF(TRIM(K2189)="","",IFERROR(MATCH(LOWER(TRIM(K2189)),'Students'!$AH$2:$AH$701,0),IFERROR(MATCH(LOWER(TRIM(K2189)),'Students'!$AF$2:$AF$701,0),IFERROR(MATCH(LOWER(TRIM(K2189)),'Students'!$AG$2:$AG$701,0),""))))</f>
        <v/>
      </c>
      <c r="R2189">
        <f>IF(P2189="","",INDEX('Students'!$AD$2:$AD$701,P2189))</f>
        <v/>
      </c>
      <c r="S2189">
        <f>IF(H2189="OK",O2189,0)</f>
        <v/>
      </c>
      <c r="T2189">
        <f>IF(H2189="OK",N2189,"")</f>
        <v/>
      </c>
      <c r="U2189">
        <f>IF(OC_Donor=0,"",IF(INDEX('OneCause_Paste'!$A$2189:$AZ$2189,1,OC_Donor)="","",INDEX('OneCause_Paste'!$A$2189:$AZ$2189,1,OC_Donor)))</f>
        <v/>
      </c>
    </row>
    <row r="2190">
      <c r="A2190" s="62">
        <f>IF(H2190="","",IF(ISNUMBER(N2190),N2190,I2190))</f>
        <v/>
      </c>
      <c r="B2190">
        <f>IF(H2190="","",U2190)</f>
        <v/>
      </c>
      <c r="C2190">
        <f>IF(H2190="","",IF(P2190="",K2190,INDEX('Students'!$A$2:$A$701,P2190)))</f>
        <v/>
      </c>
      <c r="D2190">
        <f>IF(OR(H2190="",P2190=""),"",INDEX('Students'!$B$2:$B$701,P2190))</f>
        <v/>
      </c>
      <c r="E2190">
        <f>IF(OR(H2190="",P2190=""),"",INDEX('Students'!$C$2:$C$701,P2190))</f>
        <v/>
      </c>
      <c r="F2190" s="48">
        <f>IF(H2190="","",IF(ISNUMBER(O2190),O2190,J2190))</f>
        <v/>
      </c>
      <c r="G2190">
        <f>IF(H2190="","","OneCause")</f>
        <v/>
      </c>
      <c r="H2190">
        <f>IF(AND(I2190="",J2190="",K2190=""),"",IF(NOT(ISNUMBER(O2190)),"Bad amount",IF(O2190&lt;0,"Refund (not counted)",IF(O2190=0,"Zero amount",IF(NOT(ISNUMBER(N2190)),"Bad date",IF(P2190="","NAME NOT ON ROSTER",IF(L2190="","OK",IF(MATCH(L2190,$L$2:$L$3001,0)&lt;ROW()-1,"Duplicate (ignored)","OK"))))))))</f>
        <v/>
      </c>
      <c r="I2190">
        <f>IF(OC_Date=0,"",IF(INDEX('OneCause_Paste'!$A$2190:$AZ$2190,1,OC_Date)="","",INDEX('OneCause_Paste'!$A$2190:$AZ$2190,1,OC_Date)))</f>
        <v/>
      </c>
      <c r="J2190">
        <f>IF(OC_Amt=0,"",IF(INDEX('OneCause_Paste'!$A$2190:$AZ$2190,1,OC_Amt)="","",INDEX('OneCause_Paste'!$A$2190:$AZ$2190,1,OC_Amt)))</f>
        <v/>
      </c>
      <c r="K2190">
        <f>IF(OC_Name=0,"",IF(INDEX('OneCause_Paste'!$A$2190:$AZ$2190,1,OC_Name)="","",INDEX('OneCause_Paste'!$A$2190:$AZ$2190,1,OC_Name)))</f>
        <v/>
      </c>
      <c r="L2190">
        <f>IF(OC_Txn=0,"",IF(INDEX('OneCause_Paste'!$A$2190:$AZ$2190,1,OC_Txn)="","",INDEX('OneCause_Paste'!$A$2190:$AZ$2190,1,OC_Txn)))</f>
        <v/>
      </c>
      <c r="M2190">
        <f>IF(OC_Pay=0,"",IF(INDEX('OneCause_Paste'!$A$2190:$AZ$2190,1,OC_Pay)="","",INDEX('OneCause_Paste'!$A$2190:$AZ$2190,1,OC_Pay)))</f>
        <v/>
      </c>
      <c r="N2190">
        <f>IF(I2190="","",IF(ISNUMBER(I2190),INT(I2190),IFERROR(INT(DATEVALUE(I2190)),IFERROR(INT(VALUE(I2190)),"bad"))))</f>
        <v/>
      </c>
      <c r="O2190">
        <f>IF(J2190="","",IF(ISNUMBER(J2190),ROUND(J2190,2),IFERROR(ROUND(VALUE(SUBSTITUTE(SUBSTITUTE(SUBSTITUTE(J2190,"$",""),",","")," ","")),2),"bad")))</f>
        <v/>
      </c>
      <c r="P2190">
        <f>IF(TRIM(K2190)="","",IFERROR(MATCH(LOWER(TRIM(K2190)),'Students'!$AH$2:$AH$701,0),IFERROR(MATCH(LOWER(TRIM(K2190)),'Students'!$AF$2:$AF$701,0),IFERROR(MATCH(LOWER(TRIM(K2190)),'Students'!$AG$2:$AG$701,0),""))))</f>
        <v/>
      </c>
      <c r="R2190">
        <f>IF(P2190="","",INDEX('Students'!$AD$2:$AD$701,P2190))</f>
        <v/>
      </c>
      <c r="S2190">
        <f>IF(H2190="OK",O2190,0)</f>
        <v/>
      </c>
      <c r="T2190">
        <f>IF(H2190="OK",N2190,"")</f>
        <v/>
      </c>
      <c r="U2190">
        <f>IF(OC_Donor=0,"",IF(INDEX('OneCause_Paste'!$A$2190:$AZ$2190,1,OC_Donor)="","",INDEX('OneCause_Paste'!$A$2190:$AZ$2190,1,OC_Donor)))</f>
        <v/>
      </c>
    </row>
    <row r="2191">
      <c r="A2191" s="62">
        <f>IF(H2191="","",IF(ISNUMBER(N2191),N2191,I2191))</f>
        <v/>
      </c>
      <c r="B2191">
        <f>IF(H2191="","",U2191)</f>
        <v/>
      </c>
      <c r="C2191">
        <f>IF(H2191="","",IF(P2191="",K2191,INDEX('Students'!$A$2:$A$701,P2191)))</f>
        <v/>
      </c>
      <c r="D2191">
        <f>IF(OR(H2191="",P2191=""),"",INDEX('Students'!$B$2:$B$701,P2191))</f>
        <v/>
      </c>
      <c r="E2191">
        <f>IF(OR(H2191="",P2191=""),"",INDEX('Students'!$C$2:$C$701,P2191))</f>
        <v/>
      </c>
      <c r="F2191" s="48">
        <f>IF(H2191="","",IF(ISNUMBER(O2191),O2191,J2191))</f>
        <v/>
      </c>
      <c r="G2191">
        <f>IF(H2191="","","OneCause")</f>
        <v/>
      </c>
      <c r="H2191">
        <f>IF(AND(I2191="",J2191="",K2191=""),"",IF(NOT(ISNUMBER(O2191)),"Bad amount",IF(O2191&lt;0,"Refund (not counted)",IF(O2191=0,"Zero amount",IF(NOT(ISNUMBER(N2191)),"Bad date",IF(P2191="","NAME NOT ON ROSTER",IF(L2191="","OK",IF(MATCH(L2191,$L$2:$L$3001,0)&lt;ROW()-1,"Duplicate (ignored)","OK"))))))))</f>
        <v/>
      </c>
      <c r="I2191">
        <f>IF(OC_Date=0,"",IF(INDEX('OneCause_Paste'!$A$2191:$AZ$2191,1,OC_Date)="","",INDEX('OneCause_Paste'!$A$2191:$AZ$2191,1,OC_Date)))</f>
        <v/>
      </c>
      <c r="J2191">
        <f>IF(OC_Amt=0,"",IF(INDEX('OneCause_Paste'!$A$2191:$AZ$2191,1,OC_Amt)="","",INDEX('OneCause_Paste'!$A$2191:$AZ$2191,1,OC_Amt)))</f>
        <v/>
      </c>
      <c r="K2191">
        <f>IF(OC_Name=0,"",IF(INDEX('OneCause_Paste'!$A$2191:$AZ$2191,1,OC_Name)="","",INDEX('OneCause_Paste'!$A$2191:$AZ$2191,1,OC_Name)))</f>
        <v/>
      </c>
      <c r="L2191">
        <f>IF(OC_Txn=0,"",IF(INDEX('OneCause_Paste'!$A$2191:$AZ$2191,1,OC_Txn)="","",INDEX('OneCause_Paste'!$A$2191:$AZ$2191,1,OC_Txn)))</f>
        <v/>
      </c>
      <c r="M2191">
        <f>IF(OC_Pay=0,"",IF(INDEX('OneCause_Paste'!$A$2191:$AZ$2191,1,OC_Pay)="","",INDEX('OneCause_Paste'!$A$2191:$AZ$2191,1,OC_Pay)))</f>
        <v/>
      </c>
      <c r="N2191">
        <f>IF(I2191="","",IF(ISNUMBER(I2191),INT(I2191),IFERROR(INT(DATEVALUE(I2191)),IFERROR(INT(VALUE(I2191)),"bad"))))</f>
        <v/>
      </c>
      <c r="O2191">
        <f>IF(J2191="","",IF(ISNUMBER(J2191),ROUND(J2191,2),IFERROR(ROUND(VALUE(SUBSTITUTE(SUBSTITUTE(SUBSTITUTE(J2191,"$",""),",","")," ","")),2),"bad")))</f>
        <v/>
      </c>
      <c r="P2191">
        <f>IF(TRIM(K2191)="","",IFERROR(MATCH(LOWER(TRIM(K2191)),'Students'!$AH$2:$AH$701,0),IFERROR(MATCH(LOWER(TRIM(K2191)),'Students'!$AF$2:$AF$701,0),IFERROR(MATCH(LOWER(TRIM(K2191)),'Students'!$AG$2:$AG$701,0),""))))</f>
        <v/>
      </c>
      <c r="R2191">
        <f>IF(P2191="","",INDEX('Students'!$AD$2:$AD$701,P2191))</f>
        <v/>
      </c>
      <c r="S2191">
        <f>IF(H2191="OK",O2191,0)</f>
        <v/>
      </c>
      <c r="T2191">
        <f>IF(H2191="OK",N2191,"")</f>
        <v/>
      </c>
      <c r="U2191">
        <f>IF(OC_Donor=0,"",IF(INDEX('OneCause_Paste'!$A$2191:$AZ$2191,1,OC_Donor)="","",INDEX('OneCause_Paste'!$A$2191:$AZ$2191,1,OC_Donor)))</f>
        <v/>
      </c>
    </row>
    <row r="2192">
      <c r="A2192" s="62">
        <f>IF(H2192="","",IF(ISNUMBER(N2192),N2192,I2192))</f>
        <v/>
      </c>
      <c r="B2192">
        <f>IF(H2192="","",U2192)</f>
        <v/>
      </c>
      <c r="C2192">
        <f>IF(H2192="","",IF(P2192="",K2192,INDEX('Students'!$A$2:$A$701,P2192)))</f>
        <v/>
      </c>
      <c r="D2192">
        <f>IF(OR(H2192="",P2192=""),"",INDEX('Students'!$B$2:$B$701,P2192))</f>
        <v/>
      </c>
      <c r="E2192">
        <f>IF(OR(H2192="",P2192=""),"",INDEX('Students'!$C$2:$C$701,P2192))</f>
        <v/>
      </c>
      <c r="F2192" s="48">
        <f>IF(H2192="","",IF(ISNUMBER(O2192),O2192,J2192))</f>
        <v/>
      </c>
      <c r="G2192">
        <f>IF(H2192="","","OneCause")</f>
        <v/>
      </c>
      <c r="H2192">
        <f>IF(AND(I2192="",J2192="",K2192=""),"",IF(NOT(ISNUMBER(O2192)),"Bad amount",IF(O2192&lt;0,"Refund (not counted)",IF(O2192=0,"Zero amount",IF(NOT(ISNUMBER(N2192)),"Bad date",IF(P2192="","NAME NOT ON ROSTER",IF(L2192="","OK",IF(MATCH(L2192,$L$2:$L$3001,0)&lt;ROW()-1,"Duplicate (ignored)","OK"))))))))</f>
        <v/>
      </c>
      <c r="I2192">
        <f>IF(OC_Date=0,"",IF(INDEX('OneCause_Paste'!$A$2192:$AZ$2192,1,OC_Date)="","",INDEX('OneCause_Paste'!$A$2192:$AZ$2192,1,OC_Date)))</f>
        <v/>
      </c>
      <c r="J2192">
        <f>IF(OC_Amt=0,"",IF(INDEX('OneCause_Paste'!$A$2192:$AZ$2192,1,OC_Amt)="","",INDEX('OneCause_Paste'!$A$2192:$AZ$2192,1,OC_Amt)))</f>
        <v/>
      </c>
      <c r="K2192">
        <f>IF(OC_Name=0,"",IF(INDEX('OneCause_Paste'!$A$2192:$AZ$2192,1,OC_Name)="","",INDEX('OneCause_Paste'!$A$2192:$AZ$2192,1,OC_Name)))</f>
        <v/>
      </c>
      <c r="L2192">
        <f>IF(OC_Txn=0,"",IF(INDEX('OneCause_Paste'!$A$2192:$AZ$2192,1,OC_Txn)="","",INDEX('OneCause_Paste'!$A$2192:$AZ$2192,1,OC_Txn)))</f>
        <v/>
      </c>
      <c r="M2192">
        <f>IF(OC_Pay=0,"",IF(INDEX('OneCause_Paste'!$A$2192:$AZ$2192,1,OC_Pay)="","",INDEX('OneCause_Paste'!$A$2192:$AZ$2192,1,OC_Pay)))</f>
        <v/>
      </c>
      <c r="N2192">
        <f>IF(I2192="","",IF(ISNUMBER(I2192),INT(I2192),IFERROR(INT(DATEVALUE(I2192)),IFERROR(INT(VALUE(I2192)),"bad"))))</f>
        <v/>
      </c>
      <c r="O2192">
        <f>IF(J2192="","",IF(ISNUMBER(J2192),ROUND(J2192,2),IFERROR(ROUND(VALUE(SUBSTITUTE(SUBSTITUTE(SUBSTITUTE(J2192,"$",""),",","")," ","")),2),"bad")))</f>
        <v/>
      </c>
      <c r="P2192">
        <f>IF(TRIM(K2192)="","",IFERROR(MATCH(LOWER(TRIM(K2192)),'Students'!$AH$2:$AH$701,0),IFERROR(MATCH(LOWER(TRIM(K2192)),'Students'!$AF$2:$AF$701,0),IFERROR(MATCH(LOWER(TRIM(K2192)),'Students'!$AG$2:$AG$701,0),""))))</f>
        <v/>
      </c>
      <c r="R2192">
        <f>IF(P2192="","",INDEX('Students'!$AD$2:$AD$701,P2192))</f>
        <v/>
      </c>
      <c r="S2192">
        <f>IF(H2192="OK",O2192,0)</f>
        <v/>
      </c>
      <c r="T2192">
        <f>IF(H2192="OK",N2192,"")</f>
        <v/>
      </c>
      <c r="U2192">
        <f>IF(OC_Donor=0,"",IF(INDEX('OneCause_Paste'!$A$2192:$AZ$2192,1,OC_Donor)="","",INDEX('OneCause_Paste'!$A$2192:$AZ$2192,1,OC_Donor)))</f>
        <v/>
      </c>
    </row>
    <row r="2193">
      <c r="A2193" s="62">
        <f>IF(H2193="","",IF(ISNUMBER(N2193),N2193,I2193))</f>
        <v/>
      </c>
      <c r="B2193">
        <f>IF(H2193="","",U2193)</f>
        <v/>
      </c>
      <c r="C2193">
        <f>IF(H2193="","",IF(P2193="",K2193,INDEX('Students'!$A$2:$A$701,P2193)))</f>
        <v/>
      </c>
      <c r="D2193">
        <f>IF(OR(H2193="",P2193=""),"",INDEX('Students'!$B$2:$B$701,P2193))</f>
        <v/>
      </c>
      <c r="E2193">
        <f>IF(OR(H2193="",P2193=""),"",INDEX('Students'!$C$2:$C$701,P2193))</f>
        <v/>
      </c>
      <c r="F2193" s="48">
        <f>IF(H2193="","",IF(ISNUMBER(O2193),O2193,J2193))</f>
        <v/>
      </c>
      <c r="G2193">
        <f>IF(H2193="","","OneCause")</f>
        <v/>
      </c>
      <c r="H2193">
        <f>IF(AND(I2193="",J2193="",K2193=""),"",IF(NOT(ISNUMBER(O2193)),"Bad amount",IF(O2193&lt;0,"Refund (not counted)",IF(O2193=0,"Zero amount",IF(NOT(ISNUMBER(N2193)),"Bad date",IF(P2193="","NAME NOT ON ROSTER",IF(L2193="","OK",IF(MATCH(L2193,$L$2:$L$3001,0)&lt;ROW()-1,"Duplicate (ignored)","OK"))))))))</f>
        <v/>
      </c>
      <c r="I2193">
        <f>IF(OC_Date=0,"",IF(INDEX('OneCause_Paste'!$A$2193:$AZ$2193,1,OC_Date)="","",INDEX('OneCause_Paste'!$A$2193:$AZ$2193,1,OC_Date)))</f>
        <v/>
      </c>
      <c r="J2193">
        <f>IF(OC_Amt=0,"",IF(INDEX('OneCause_Paste'!$A$2193:$AZ$2193,1,OC_Amt)="","",INDEX('OneCause_Paste'!$A$2193:$AZ$2193,1,OC_Amt)))</f>
        <v/>
      </c>
      <c r="K2193">
        <f>IF(OC_Name=0,"",IF(INDEX('OneCause_Paste'!$A$2193:$AZ$2193,1,OC_Name)="","",INDEX('OneCause_Paste'!$A$2193:$AZ$2193,1,OC_Name)))</f>
        <v/>
      </c>
      <c r="L2193">
        <f>IF(OC_Txn=0,"",IF(INDEX('OneCause_Paste'!$A$2193:$AZ$2193,1,OC_Txn)="","",INDEX('OneCause_Paste'!$A$2193:$AZ$2193,1,OC_Txn)))</f>
        <v/>
      </c>
      <c r="M2193">
        <f>IF(OC_Pay=0,"",IF(INDEX('OneCause_Paste'!$A$2193:$AZ$2193,1,OC_Pay)="","",INDEX('OneCause_Paste'!$A$2193:$AZ$2193,1,OC_Pay)))</f>
        <v/>
      </c>
      <c r="N2193">
        <f>IF(I2193="","",IF(ISNUMBER(I2193),INT(I2193),IFERROR(INT(DATEVALUE(I2193)),IFERROR(INT(VALUE(I2193)),"bad"))))</f>
        <v/>
      </c>
      <c r="O2193">
        <f>IF(J2193="","",IF(ISNUMBER(J2193),ROUND(J2193,2),IFERROR(ROUND(VALUE(SUBSTITUTE(SUBSTITUTE(SUBSTITUTE(J2193,"$",""),",","")," ","")),2),"bad")))</f>
        <v/>
      </c>
      <c r="P2193">
        <f>IF(TRIM(K2193)="","",IFERROR(MATCH(LOWER(TRIM(K2193)),'Students'!$AH$2:$AH$701,0),IFERROR(MATCH(LOWER(TRIM(K2193)),'Students'!$AF$2:$AF$701,0),IFERROR(MATCH(LOWER(TRIM(K2193)),'Students'!$AG$2:$AG$701,0),""))))</f>
        <v/>
      </c>
      <c r="R2193">
        <f>IF(P2193="","",INDEX('Students'!$AD$2:$AD$701,P2193))</f>
        <v/>
      </c>
      <c r="S2193">
        <f>IF(H2193="OK",O2193,0)</f>
        <v/>
      </c>
      <c r="T2193">
        <f>IF(H2193="OK",N2193,"")</f>
        <v/>
      </c>
      <c r="U2193">
        <f>IF(OC_Donor=0,"",IF(INDEX('OneCause_Paste'!$A$2193:$AZ$2193,1,OC_Donor)="","",INDEX('OneCause_Paste'!$A$2193:$AZ$2193,1,OC_Donor)))</f>
        <v/>
      </c>
    </row>
    <row r="2194">
      <c r="A2194" s="62">
        <f>IF(H2194="","",IF(ISNUMBER(N2194),N2194,I2194))</f>
        <v/>
      </c>
      <c r="B2194">
        <f>IF(H2194="","",U2194)</f>
        <v/>
      </c>
      <c r="C2194">
        <f>IF(H2194="","",IF(P2194="",K2194,INDEX('Students'!$A$2:$A$701,P2194)))</f>
        <v/>
      </c>
      <c r="D2194">
        <f>IF(OR(H2194="",P2194=""),"",INDEX('Students'!$B$2:$B$701,P2194))</f>
        <v/>
      </c>
      <c r="E2194">
        <f>IF(OR(H2194="",P2194=""),"",INDEX('Students'!$C$2:$C$701,P2194))</f>
        <v/>
      </c>
      <c r="F2194" s="48">
        <f>IF(H2194="","",IF(ISNUMBER(O2194),O2194,J2194))</f>
        <v/>
      </c>
      <c r="G2194">
        <f>IF(H2194="","","OneCause")</f>
        <v/>
      </c>
      <c r="H2194">
        <f>IF(AND(I2194="",J2194="",K2194=""),"",IF(NOT(ISNUMBER(O2194)),"Bad amount",IF(O2194&lt;0,"Refund (not counted)",IF(O2194=0,"Zero amount",IF(NOT(ISNUMBER(N2194)),"Bad date",IF(P2194="","NAME NOT ON ROSTER",IF(L2194="","OK",IF(MATCH(L2194,$L$2:$L$3001,0)&lt;ROW()-1,"Duplicate (ignored)","OK"))))))))</f>
        <v/>
      </c>
      <c r="I2194">
        <f>IF(OC_Date=0,"",IF(INDEX('OneCause_Paste'!$A$2194:$AZ$2194,1,OC_Date)="","",INDEX('OneCause_Paste'!$A$2194:$AZ$2194,1,OC_Date)))</f>
        <v/>
      </c>
      <c r="J2194">
        <f>IF(OC_Amt=0,"",IF(INDEX('OneCause_Paste'!$A$2194:$AZ$2194,1,OC_Amt)="","",INDEX('OneCause_Paste'!$A$2194:$AZ$2194,1,OC_Amt)))</f>
        <v/>
      </c>
      <c r="K2194">
        <f>IF(OC_Name=0,"",IF(INDEX('OneCause_Paste'!$A$2194:$AZ$2194,1,OC_Name)="","",INDEX('OneCause_Paste'!$A$2194:$AZ$2194,1,OC_Name)))</f>
        <v/>
      </c>
      <c r="L2194">
        <f>IF(OC_Txn=0,"",IF(INDEX('OneCause_Paste'!$A$2194:$AZ$2194,1,OC_Txn)="","",INDEX('OneCause_Paste'!$A$2194:$AZ$2194,1,OC_Txn)))</f>
        <v/>
      </c>
      <c r="M2194">
        <f>IF(OC_Pay=0,"",IF(INDEX('OneCause_Paste'!$A$2194:$AZ$2194,1,OC_Pay)="","",INDEX('OneCause_Paste'!$A$2194:$AZ$2194,1,OC_Pay)))</f>
        <v/>
      </c>
      <c r="N2194">
        <f>IF(I2194="","",IF(ISNUMBER(I2194),INT(I2194),IFERROR(INT(DATEVALUE(I2194)),IFERROR(INT(VALUE(I2194)),"bad"))))</f>
        <v/>
      </c>
      <c r="O2194">
        <f>IF(J2194="","",IF(ISNUMBER(J2194),ROUND(J2194,2),IFERROR(ROUND(VALUE(SUBSTITUTE(SUBSTITUTE(SUBSTITUTE(J2194,"$",""),",","")," ","")),2),"bad")))</f>
        <v/>
      </c>
      <c r="P2194">
        <f>IF(TRIM(K2194)="","",IFERROR(MATCH(LOWER(TRIM(K2194)),'Students'!$AH$2:$AH$701,0),IFERROR(MATCH(LOWER(TRIM(K2194)),'Students'!$AF$2:$AF$701,0),IFERROR(MATCH(LOWER(TRIM(K2194)),'Students'!$AG$2:$AG$701,0),""))))</f>
        <v/>
      </c>
      <c r="R2194">
        <f>IF(P2194="","",INDEX('Students'!$AD$2:$AD$701,P2194))</f>
        <v/>
      </c>
      <c r="S2194">
        <f>IF(H2194="OK",O2194,0)</f>
        <v/>
      </c>
      <c r="T2194">
        <f>IF(H2194="OK",N2194,"")</f>
        <v/>
      </c>
      <c r="U2194">
        <f>IF(OC_Donor=0,"",IF(INDEX('OneCause_Paste'!$A$2194:$AZ$2194,1,OC_Donor)="","",INDEX('OneCause_Paste'!$A$2194:$AZ$2194,1,OC_Donor)))</f>
        <v/>
      </c>
    </row>
    <row r="2195">
      <c r="A2195" s="62">
        <f>IF(H2195="","",IF(ISNUMBER(N2195),N2195,I2195))</f>
        <v/>
      </c>
      <c r="B2195">
        <f>IF(H2195="","",U2195)</f>
        <v/>
      </c>
      <c r="C2195">
        <f>IF(H2195="","",IF(P2195="",K2195,INDEX('Students'!$A$2:$A$701,P2195)))</f>
        <v/>
      </c>
      <c r="D2195">
        <f>IF(OR(H2195="",P2195=""),"",INDEX('Students'!$B$2:$B$701,P2195))</f>
        <v/>
      </c>
      <c r="E2195">
        <f>IF(OR(H2195="",P2195=""),"",INDEX('Students'!$C$2:$C$701,P2195))</f>
        <v/>
      </c>
      <c r="F2195" s="48">
        <f>IF(H2195="","",IF(ISNUMBER(O2195),O2195,J2195))</f>
        <v/>
      </c>
      <c r="G2195">
        <f>IF(H2195="","","OneCause")</f>
        <v/>
      </c>
      <c r="H2195">
        <f>IF(AND(I2195="",J2195="",K2195=""),"",IF(NOT(ISNUMBER(O2195)),"Bad amount",IF(O2195&lt;0,"Refund (not counted)",IF(O2195=0,"Zero amount",IF(NOT(ISNUMBER(N2195)),"Bad date",IF(P2195="","NAME NOT ON ROSTER",IF(L2195="","OK",IF(MATCH(L2195,$L$2:$L$3001,0)&lt;ROW()-1,"Duplicate (ignored)","OK"))))))))</f>
        <v/>
      </c>
      <c r="I2195">
        <f>IF(OC_Date=0,"",IF(INDEX('OneCause_Paste'!$A$2195:$AZ$2195,1,OC_Date)="","",INDEX('OneCause_Paste'!$A$2195:$AZ$2195,1,OC_Date)))</f>
        <v/>
      </c>
      <c r="J2195">
        <f>IF(OC_Amt=0,"",IF(INDEX('OneCause_Paste'!$A$2195:$AZ$2195,1,OC_Amt)="","",INDEX('OneCause_Paste'!$A$2195:$AZ$2195,1,OC_Amt)))</f>
        <v/>
      </c>
      <c r="K2195">
        <f>IF(OC_Name=0,"",IF(INDEX('OneCause_Paste'!$A$2195:$AZ$2195,1,OC_Name)="","",INDEX('OneCause_Paste'!$A$2195:$AZ$2195,1,OC_Name)))</f>
        <v/>
      </c>
      <c r="L2195">
        <f>IF(OC_Txn=0,"",IF(INDEX('OneCause_Paste'!$A$2195:$AZ$2195,1,OC_Txn)="","",INDEX('OneCause_Paste'!$A$2195:$AZ$2195,1,OC_Txn)))</f>
        <v/>
      </c>
      <c r="M2195">
        <f>IF(OC_Pay=0,"",IF(INDEX('OneCause_Paste'!$A$2195:$AZ$2195,1,OC_Pay)="","",INDEX('OneCause_Paste'!$A$2195:$AZ$2195,1,OC_Pay)))</f>
        <v/>
      </c>
      <c r="N2195">
        <f>IF(I2195="","",IF(ISNUMBER(I2195),INT(I2195),IFERROR(INT(DATEVALUE(I2195)),IFERROR(INT(VALUE(I2195)),"bad"))))</f>
        <v/>
      </c>
      <c r="O2195">
        <f>IF(J2195="","",IF(ISNUMBER(J2195),ROUND(J2195,2),IFERROR(ROUND(VALUE(SUBSTITUTE(SUBSTITUTE(SUBSTITUTE(J2195,"$",""),",","")," ","")),2),"bad")))</f>
        <v/>
      </c>
      <c r="P2195">
        <f>IF(TRIM(K2195)="","",IFERROR(MATCH(LOWER(TRIM(K2195)),'Students'!$AH$2:$AH$701,0),IFERROR(MATCH(LOWER(TRIM(K2195)),'Students'!$AF$2:$AF$701,0),IFERROR(MATCH(LOWER(TRIM(K2195)),'Students'!$AG$2:$AG$701,0),""))))</f>
        <v/>
      </c>
      <c r="R2195">
        <f>IF(P2195="","",INDEX('Students'!$AD$2:$AD$701,P2195))</f>
        <v/>
      </c>
      <c r="S2195">
        <f>IF(H2195="OK",O2195,0)</f>
        <v/>
      </c>
      <c r="T2195">
        <f>IF(H2195="OK",N2195,"")</f>
        <v/>
      </c>
      <c r="U2195">
        <f>IF(OC_Donor=0,"",IF(INDEX('OneCause_Paste'!$A$2195:$AZ$2195,1,OC_Donor)="","",INDEX('OneCause_Paste'!$A$2195:$AZ$2195,1,OC_Donor)))</f>
        <v/>
      </c>
    </row>
    <row r="2196">
      <c r="A2196" s="62">
        <f>IF(H2196="","",IF(ISNUMBER(N2196),N2196,I2196))</f>
        <v/>
      </c>
      <c r="B2196">
        <f>IF(H2196="","",U2196)</f>
        <v/>
      </c>
      <c r="C2196">
        <f>IF(H2196="","",IF(P2196="",K2196,INDEX('Students'!$A$2:$A$701,P2196)))</f>
        <v/>
      </c>
      <c r="D2196">
        <f>IF(OR(H2196="",P2196=""),"",INDEX('Students'!$B$2:$B$701,P2196))</f>
        <v/>
      </c>
      <c r="E2196">
        <f>IF(OR(H2196="",P2196=""),"",INDEX('Students'!$C$2:$C$701,P2196))</f>
        <v/>
      </c>
      <c r="F2196" s="48">
        <f>IF(H2196="","",IF(ISNUMBER(O2196),O2196,J2196))</f>
        <v/>
      </c>
      <c r="G2196">
        <f>IF(H2196="","","OneCause")</f>
        <v/>
      </c>
      <c r="H2196">
        <f>IF(AND(I2196="",J2196="",K2196=""),"",IF(NOT(ISNUMBER(O2196)),"Bad amount",IF(O2196&lt;0,"Refund (not counted)",IF(O2196=0,"Zero amount",IF(NOT(ISNUMBER(N2196)),"Bad date",IF(P2196="","NAME NOT ON ROSTER",IF(L2196="","OK",IF(MATCH(L2196,$L$2:$L$3001,0)&lt;ROW()-1,"Duplicate (ignored)","OK"))))))))</f>
        <v/>
      </c>
      <c r="I2196">
        <f>IF(OC_Date=0,"",IF(INDEX('OneCause_Paste'!$A$2196:$AZ$2196,1,OC_Date)="","",INDEX('OneCause_Paste'!$A$2196:$AZ$2196,1,OC_Date)))</f>
        <v/>
      </c>
      <c r="J2196">
        <f>IF(OC_Amt=0,"",IF(INDEX('OneCause_Paste'!$A$2196:$AZ$2196,1,OC_Amt)="","",INDEX('OneCause_Paste'!$A$2196:$AZ$2196,1,OC_Amt)))</f>
        <v/>
      </c>
      <c r="K2196">
        <f>IF(OC_Name=0,"",IF(INDEX('OneCause_Paste'!$A$2196:$AZ$2196,1,OC_Name)="","",INDEX('OneCause_Paste'!$A$2196:$AZ$2196,1,OC_Name)))</f>
        <v/>
      </c>
      <c r="L2196">
        <f>IF(OC_Txn=0,"",IF(INDEX('OneCause_Paste'!$A$2196:$AZ$2196,1,OC_Txn)="","",INDEX('OneCause_Paste'!$A$2196:$AZ$2196,1,OC_Txn)))</f>
        <v/>
      </c>
      <c r="M2196">
        <f>IF(OC_Pay=0,"",IF(INDEX('OneCause_Paste'!$A$2196:$AZ$2196,1,OC_Pay)="","",INDEX('OneCause_Paste'!$A$2196:$AZ$2196,1,OC_Pay)))</f>
        <v/>
      </c>
      <c r="N2196">
        <f>IF(I2196="","",IF(ISNUMBER(I2196),INT(I2196),IFERROR(INT(DATEVALUE(I2196)),IFERROR(INT(VALUE(I2196)),"bad"))))</f>
        <v/>
      </c>
      <c r="O2196">
        <f>IF(J2196="","",IF(ISNUMBER(J2196),ROUND(J2196,2),IFERROR(ROUND(VALUE(SUBSTITUTE(SUBSTITUTE(SUBSTITUTE(J2196,"$",""),",","")," ","")),2),"bad")))</f>
        <v/>
      </c>
      <c r="P2196">
        <f>IF(TRIM(K2196)="","",IFERROR(MATCH(LOWER(TRIM(K2196)),'Students'!$AH$2:$AH$701,0),IFERROR(MATCH(LOWER(TRIM(K2196)),'Students'!$AF$2:$AF$701,0),IFERROR(MATCH(LOWER(TRIM(K2196)),'Students'!$AG$2:$AG$701,0),""))))</f>
        <v/>
      </c>
      <c r="R2196">
        <f>IF(P2196="","",INDEX('Students'!$AD$2:$AD$701,P2196))</f>
        <v/>
      </c>
      <c r="S2196">
        <f>IF(H2196="OK",O2196,0)</f>
        <v/>
      </c>
      <c r="T2196">
        <f>IF(H2196="OK",N2196,"")</f>
        <v/>
      </c>
      <c r="U2196">
        <f>IF(OC_Donor=0,"",IF(INDEX('OneCause_Paste'!$A$2196:$AZ$2196,1,OC_Donor)="","",INDEX('OneCause_Paste'!$A$2196:$AZ$2196,1,OC_Donor)))</f>
        <v/>
      </c>
    </row>
    <row r="2197">
      <c r="A2197" s="62">
        <f>IF(H2197="","",IF(ISNUMBER(N2197),N2197,I2197))</f>
        <v/>
      </c>
      <c r="B2197">
        <f>IF(H2197="","",U2197)</f>
        <v/>
      </c>
      <c r="C2197">
        <f>IF(H2197="","",IF(P2197="",K2197,INDEX('Students'!$A$2:$A$701,P2197)))</f>
        <v/>
      </c>
      <c r="D2197">
        <f>IF(OR(H2197="",P2197=""),"",INDEX('Students'!$B$2:$B$701,P2197))</f>
        <v/>
      </c>
      <c r="E2197">
        <f>IF(OR(H2197="",P2197=""),"",INDEX('Students'!$C$2:$C$701,P2197))</f>
        <v/>
      </c>
      <c r="F2197" s="48">
        <f>IF(H2197="","",IF(ISNUMBER(O2197),O2197,J2197))</f>
        <v/>
      </c>
      <c r="G2197">
        <f>IF(H2197="","","OneCause")</f>
        <v/>
      </c>
      <c r="H2197">
        <f>IF(AND(I2197="",J2197="",K2197=""),"",IF(NOT(ISNUMBER(O2197)),"Bad amount",IF(O2197&lt;0,"Refund (not counted)",IF(O2197=0,"Zero amount",IF(NOT(ISNUMBER(N2197)),"Bad date",IF(P2197="","NAME NOT ON ROSTER",IF(L2197="","OK",IF(MATCH(L2197,$L$2:$L$3001,0)&lt;ROW()-1,"Duplicate (ignored)","OK"))))))))</f>
        <v/>
      </c>
      <c r="I2197">
        <f>IF(OC_Date=0,"",IF(INDEX('OneCause_Paste'!$A$2197:$AZ$2197,1,OC_Date)="","",INDEX('OneCause_Paste'!$A$2197:$AZ$2197,1,OC_Date)))</f>
        <v/>
      </c>
      <c r="J2197">
        <f>IF(OC_Amt=0,"",IF(INDEX('OneCause_Paste'!$A$2197:$AZ$2197,1,OC_Amt)="","",INDEX('OneCause_Paste'!$A$2197:$AZ$2197,1,OC_Amt)))</f>
        <v/>
      </c>
      <c r="K2197">
        <f>IF(OC_Name=0,"",IF(INDEX('OneCause_Paste'!$A$2197:$AZ$2197,1,OC_Name)="","",INDEX('OneCause_Paste'!$A$2197:$AZ$2197,1,OC_Name)))</f>
        <v/>
      </c>
      <c r="L2197">
        <f>IF(OC_Txn=0,"",IF(INDEX('OneCause_Paste'!$A$2197:$AZ$2197,1,OC_Txn)="","",INDEX('OneCause_Paste'!$A$2197:$AZ$2197,1,OC_Txn)))</f>
        <v/>
      </c>
      <c r="M2197">
        <f>IF(OC_Pay=0,"",IF(INDEX('OneCause_Paste'!$A$2197:$AZ$2197,1,OC_Pay)="","",INDEX('OneCause_Paste'!$A$2197:$AZ$2197,1,OC_Pay)))</f>
        <v/>
      </c>
      <c r="N2197">
        <f>IF(I2197="","",IF(ISNUMBER(I2197),INT(I2197),IFERROR(INT(DATEVALUE(I2197)),IFERROR(INT(VALUE(I2197)),"bad"))))</f>
        <v/>
      </c>
      <c r="O2197">
        <f>IF(J2197="","",IF(ISNUMBER(J2197),ROUND(J2197,2),IFERROR(ROUND(VALUE(SUBSTITUTE(SUBSTITUTE(SUBSTITUTE(J2197,"$",""),",","")," ","")),2),"bad")))</f>
        <v/>
      </c>
      <c r="P2197">
        <f>IF(TRIM(K2197)="","",IFERROR(MATCH(LOWER(TRIM(K2197)),'Students'!$AH$2:$AH$701,0),IFERROR(MATCH(LOWER(TRIM(K2197)),'Students'!$AF$2:$AF$701,0),IFERROR(MATCH(LOWER(TRIM(K2197)),'Students'!$AG$2:$AG$701,0),""))))</f>
        <v/>
      </c>
      <c r="R2197">
        <f>IF(P2197="","",INDEX('Students'!$AD$2:$AD$701,P2197))</f>
        <v/>
      </c>
      <c r="S2197">
        <f>IF(H2197="OK",O2197,0)</f>
        <v/>
      </c>
      <c r="T2197">
        <f>IF(H2197="OK",N2197,"")</f>
        <v/>
      </c>
      <c r="U2197">
        <f>IF(OC_Donor=0,"",IF(INDEX('OneCause_Paste'!$A$2197:$AZ$2197,1,OC_Donor)="","",INDEX('OneCause_Paste'!$A$2197:$AZ$2197,1,OC_Donor)))</f>
        <v/>
      </c>
    </row>
    <row r="2198">
      <c r="A2198" s="62">
        <f>IF(H2198="","",IF(ISNUMBER(N2198),N2198,I2198))</f>
        <v/>
      </c>
      <c r="B2198">
        <f>IF(H2198="","",U2198)</f>
        <v/>
      </c>
      <c r="C2198">
        <f>IF(H2198="","",IF(P2198="",K2198,INDEX('Students'!$A$2:$A$701,P2198)))</f>
        <v/>
      </c>
      <c r="D2198">
        <f>IF(OR(H2198="",P2198=""),"",INDEX('Students'!$B$2:$B$701,P2198))</f>
        <v/>
      </c>
      <c r="E2198">
        <f>IF(OR(H2198="",P2198=""),"",INDEX('Students'!$C$2:$C$701,P2198))</f>
        <v/>
      </c>
      <c r="F2198" s="48">
        <f>IF(H2198="","",IF(ISNUMBER(O2198),O2198,J2198))</f>
        <v/>
      </c>
      <c r="G2198">
        <f>IF(H2198="","","OneCause")</f>
        <v/>
      </c>
      <c r="H2198">
        <f>IF(AND(I2198="",J2198="",K2198=""),"",IF(NOT(ISNUMBER(O2198)),"Bad amount",IF(O2198&lt;0,"Refund (not counted)",IF(O2198=0,"Zero amount",IF(NOT(ISNUMBER(N2198)),"Bad date",IF(P2198="","NAME NOT ON ROSTER",IF(L2198="","OK",IF(MATCH(L2198,$L$2:$L$3001,0)&lt;ROW()-1,"Duplicate (ignored)","OK"))))))))</f>
        <v/>
      </c>
      <c r="I2198">
        <f>IF(OC_Date=0,"",IF(INDEX('OneCause_Paste'!$A$2198:$AZ$2198,1,OC_Date)="","",INDEX('OneCause_Paste'!$A$2198:$AZ$2198,1,OC_Date)))</f>
        <v/>
      </c>
      <c r="J2198">
        <f>IF(OC_Amt=0,"",IF(INDEX('OneCause_Paste'!$A$2198:$AZ$2198,1,OC_Amt)="","",INDEX('OneCause_Paste'!$A$2198:$AZ$2198,1,OC_Amt)))</f>
        <v/>
      </c>
      <c r="K2198">
        <f>IF(OC_Name=0,"",IF(INDEX('OneCause_Paste'!$A$2198:$AZ$2198,1,OC_Name)="","",INDEX('OneCause_Paste'!$A$2198:$AZ$2198,1,OC_Name)))</f>
        <v/>
      </c>
      <c r="L2198">
        <f>IF(OC_Txn=0,"",IF(INDEX('OneCause_Paste'!$A$2198:$AZ$2198,1,OC_Txn)="","",INDEX('OneCause_Paste'!$A$2198:$AZ$2198,1,OC_Txn)))</f>
        <v/>
      </c>
      <c r="M2198">
        <f>IF(OC_Pay=0,"",IF(INDEX('OneCause_Paste'!$A$2198:$AZ$2198,1,OC_Pay)="","",INDEX('OneCause_Paste'!$A$2198:$AZ$2198,1,OC_Pay)))</f>
        <v/>
      </c>
      <c r="N2198">
        <f>IF(I2198="","",IF(ISNUMBER(I2198),INT(I2198),IFERROR(INT(DATEVALUE(I2198)),IFERROR(INT(VALUE(I2198)),"bad"))))</f>
        <v/>
      </c>
      <c r="O2198">
        <f>IF(J2198="","",IF(ISNUMBER(J2198),ROUND(J2198,2),IFERROR(ROUND(VALUE(SUBSTITUTE(SUBSTITUTE(SUBSTITUTE(J2198,"$",""),",","")," ","")),2),"bad")))</f>
        <v/>
      </c>
      <c r="P2198">
        <f>IF(TRIM(K2198)="","",IFERROR(MATCH(LOWER(TRIM(K2198)),'Students'!$AH$2:$AH$701,0),IFERROR(MATCH(LOWER(TRIM(K2198)),'Students'!$AF$2:$AF$701,0),IFERROR(MATCH(LOWER(TRIM(K2198)),'Students'!$AG$2:$AG$701,0),""))))</f>
        <v/>
      </c>
      <c r="R2198">
        <f>IF(P2198="","",INDEX('Students'!$AD$2:$AD$701,P2198))</f>
        <v/>
      </c>
      <c r="S2198">
        <f>IF(H2198="OK",O2198,0)</f>
        <v/>
      </c>
      <c r="T2198">
        <f>IF(H2198="OK",N2198,"")</f>
        <v/>
      </c>
      <c r="U2198">
        <f>IF(OC_Donor=0,"",IF(INDEX('OneCause_Paste'!$A$2198:$AZ$2198,1,OC_Donor)="","",INDEX('OneCause_Paste'!$A$2198:$AZ$2198,1,OC_Donor)))</f>
        <v/>
      </c>
    </row>
    <row r="2199">
      <c r="A2199" s="62">
        <f>IF(H2199="","",IF(ISNUMBER(N2199),N2199,I2199))</f>
        <v/>
      </c>
      <c r="B2199">
        <f>IF(H2199="","",U2199)</f>
        <v/>
      </c>
      <c r="C2199">
        <f>IF(H2199="","",IF(P2199="",K2199,INDEX('Students'!$A$2:$A$701,P2199)))</f>
        <v/>
      </c>
      <c r="D2199">
        <f>IF(OR(H2199="",P2199=""),"",INDEX('Students'!$B$2:$B$701,P2199))</f>
        <v/>
      </c>
      <c r="E2199">
        <f>IF(OR(H2199="",P2199=""),"",INDEX('Students'!$C$2:$C$701,P2199))</f>
        <v/>
      </c>
      <c r="F2199" s="48">
        <f>IF(H2199="","",IF(ISNUMBER(O2199),O2199,J2199))</f>
        <v/>
      </c>
      <c r="G2199">
        <f>IF(H2199="","","OneCause")</f>
        <v/>
      </c>
      <c r="H2199">
        <f>IF(AND(I2199="",J2199="",K2199=""),"",IF(NOT(ISNUMBER(O2199)),"Bad amount",IF(O2199&lt;0,"Refund (not counted)",IF(O2199=0,"Zero amount",IF(NOT(ISNUMBER(N2199)),"Bad date",IF(P2199="","NAME NOT ON ROSTER",IF(L2199="","OK",IF(MATCH(L2199,$L$2:$L$3001,0)&lt;ROW()-1,"Duplicate (ignored)","OK"))))))))</f>
        <v/>
      </c>
      <c r="I2199">
        <f>IF(OC_Date=0,"",IF(INDEX('OneCause_Paste'!$A$2199:$AZ$2199,1,OC_Date)="","",INDEX('OneCause_Paste'!$A$2199:$AZ$2199,1,OC_Date)))</f>
        <v/>
      </c>
      <c r="J2199">
        <f>IF(OC_Amt=0,"",IF(INDEX('OneCause_Paste'!$A$2199:$AZ$2199,1,OC_Amt)="","",INDEX('OneCause_Paste'!$A$2199:$AZ$2199,1,OC_Amt)))</f>
        <v/>
      </c>
      <c r="K2199">
        <f>IF(OC_Name=0,"",IF(INDEX('OneCause_Paste'!$A$2199:$AZ$2199,1,OC_Name)="","",INDEX('OneCause_Paste'!$A$2199:$AZ$2199,1,OC_Name)))</f>
        <v/>
      </c>
      <c r="L2199">
        <f>IF(OC_Txn=0,"",IF(INDEX('OneCause_Paste'!$A$2199:$AZ$2199,1,OC_Txn)="","",INDEX('OneCause_Paste'!$A$2199:$AZ$2199,1,OC_Txn)))</f>
        <v/>
      </c>
      <c r="M2199">
        <f>IF(OC_Pay=0,"",IF(INDEX('OneCause_Paste'!$A$2199:$AZ$2199,1,OC_Pay)="","",INDEX('OneCause_Paste'!$A$2199:$AZ$2199,1,OC_Pay)))</f>
        <v/>
      </c>
      <c r="N2199">
        <f>IF(I2199="","",IF(ISNUMBER(I2199),INT(I2199),IFERROR(INT(DATEVALUE(I2199)),IFERROR(INT(VALUE(I2199)),"bad"))))</f>
        <v/>
      </c>
      <c r="O2199">
        <f>IF(J2199="","",IF(ISNUMBER(J2199),ROUND(J2199,2),IFERROR(ROUND(VALUE(SUBSTITUTE(SUBSTITUTE(SUBSTITUTE(J2199,"$",""),",","")," ","")),2),"bad")))</f>
        <v/>
      </c>
      <c r="P2199">
        <f>IF(TRIM(K2199)="","",IFERROR(MATCH(LOWER(TRIM(K2199)),'Students'!$AH$2:$AH$701,0),IFERROR(MATCH(LOWER(TRIM(K2199)),'Students'!$AF$2:$AF$701,0),IFERROR(MATCH(LOWER(TRIM(K2199)),'Students'!$AG$2:$AG$701,0),""))))</f>
        <v/>
      </c>
      <c r="R2199">
        <f>IF(P2199="","",INDEX('Students'!$AD$2:$AD$701,P2199))</f>
        <v/>
      </c>
      <c r="S2199">
        <f>IF(H2199="OK",O2199,0)</f>
        <v/>
      </c>
      <c r="T2199">
        <f>IF(H2199="OK",N2199,"")</f>
        <v/>
      </c>
      <c r="U2199">
        <f>IF(OC_Donor=0,"",IF(INDEX('OneCause_Paste'!$A$2199:$AZ$2199,1,OC_Donor)="","",INDEX('OneCause_Paste'!$A$2199:$AZ$2199,1,OC_Donor)))</f>
        <v/>
      </c>
    </row>
    <row r="2200">
      <c r="A2200" s="62">
        <f>IF(H2200="","",IF(ISNUMBER(N2200),N2200,I2200))</f>
        <v/>
      </c>
      <c r="B2200">
        <f>IF(H2200="","",U2200)</f>
        <v/>
      </c>
      <c r="C2200">
        <f>IF(H2200="","",IF(P2200="",K2200,INDEX('Students'!$A$2:$A$701,P2200)))</f>
        <v/>
      </c>
      <c r="D2200">
        <f>IF(OR(H2200="",P2200=""),"",INDEX('Students'!$B$2:$B$701,P2200))</f>
        <v/>
      </c>
      <c r="E2200">
        <f>IF(OR(H2200="",P2200=""),"",INDEX('Students'!$C$2:$C$701,P2200))</f>
        <v/>
      </c>
      <c r="F2200" s="48">
        <f>IF(H2200="","",IF(ISNUMBER(O2200),O2200,J2200))</f>
        <v/>
      </c>
      <c r="G2200">
        <f>IF(H2200="","","OneCause")</f>
        <v/>
      </c>
      <c r="H2200">
        <f>IF(AND(I2200="",J2200="",K2200=""),"",IF(NOT(ISNUMBER(O2200)),"Bad amount",IF(O2200&lt;0,"Refund (not counted)",IF(O2200=0,"Zero amount",IF(NOT(ISNUMBER(N2200)),"Bad date",IF(P2200="","NAME NOT ON ROSTER",IF(L2200="","OK",IF(MATCH(L2200,$L$2:$L$3001,0)&lt;ROW()-1,"Duplicate (ignored)","OK"))))))))</f>
        <v/>
      </c>
      <c r="I2200">
        <f>IF(OC_Date=0,"",IF(INDEX('OneCause_Paste'!$A$2200:$AZ$2200,1,OC_Date)="","",INDEX('OneCause_Paste'!$A$2200:$AZ$2200,1,OC_Date)))</f>
        <v/>
      </c>
      <c r="J2200">
        <f>IF(OC_Amt=0,"",IF(INDEX('OneCause_Paste'!$A$2200:$AZ$2200,1,OC_Amt)="","",INDEX('OneCause_Paste'!$A$2200:$AZ$2200,1,OC_Amt)))</f>
        <v/>
      </c>
      <c r="K2200">
        <f>IF(OC_Name=0,"",IF(INDEX('OneCause_Paste'!$A$2200:$AZ$2200,1,OC_Name)="","",INDEX('OneCause_Paste'!$A$2200:$AZ$2200,1,OC_Name)))</f>
        <v/>
      </c>
      <c r="L2200">
        <f>IF(OC_Txn=0,"",IF(INDEX('OneCause_Paste'!$A$2200:$AZ$2200,1,OC_Txn)="","",INDEX('OneCause_Paste'!$A$2200:$AZ$2200,1,OC_Txn)))</f>
        <v/>
      </c>
      <c r="M2200">
        <f>IF(OC_Pay=0,"",IF(INDEX('OneCause_Paste'!$A$2200:$AZ$2200,1,OC_Pay)="","",INDEX('OneCause_Paste'!$A$2200:$AZ$2200,1,OC_Pay)))</f>
        <v/>
      </c>
      <c r="N2200">
        <f>IF(I2200="","",IF(ISNUMBER(I2200),INT(I2200),IFERROR(INT(DATEVALUE(I2200)),IFERROR(INT(VALUE(I2200)),"bad"))))</f>
        <v/>
      </c>
      <c r="O2200">
        <f>IF(J2200="","",IF(ISNUMBER(J2200),ROUND(J2200,2),IFERROR(ROUND(VALUE(SUBSTITUTE(SUBSTITUTE(SUBSTITUTE(J2200,"$",""),",","")," ","")),2),"bad")))</f>
        <v/>
      </c>
      <c r="P2200">
        <f>IF(TRIM(K2200)="","",IFERROR(MATCH(LOWER(TRIM(K2200)),'Students'!$AH$2:$AH$701,0),IFERROR(MATCH(LOWER(TRIM(K2200)),'Students'!$AF$2:$AF$701,0),IFERROR(MATCH(LOWER(TRIM(K2200)),'Students'!$AG$2:$AG$701,0),""))))</f>
        <v/>
      </c>
      <c r="R2200">
        <f>IF(P2200="","",INDEX('Students'!$AD$2:$AD$701,P2200))</f>
        <v/>
      </c>
      <c r="S2200">
        <f>IF(H2200="OK",O2200,0)</f>
        <v/>
      </c>
      <c r="T2200">
        <f>IF(H2200="OK",N2200,"")</f>
        <v/>
      </c>
      <c r="U2200">
        <f>IF(OC_Donor=0,"",IF(INDEX('OneCause_Paste'!$A$2200:$AZ$2200,1,OC_Donor)="","",INDEX('OneCause_Paste'!$A$2200:$AZ$2200,1,OC_Donor)))</f>
        <v/>
      </c>
    </row>
    <row r="2201">
      <c r="A2201" s="62">
        <f>IF(H2201="","",IF(ISNUMBER(N2201),N2201,I2201))</f>
        <v/>
      </c>
      <c r="B2201">
        <f>IF(H2201="","",U2201)</f>
        <v/>
      </c>
      <c r="C2201">
        <f>IF(H2201="","",IF(P2201="",K2201,INDEX('Students'!$A$2:$A$701,P2201)))</f>
        <v/>
      </c>
      <c r="D2201">
        <f>IF(OR(H2201="",P2201=""),"",INDEX('Students'!$B$2:$B$701,P2201))</f>
        <v/>
      </c>
      <c r="E2201">
        <f>IF(OR(H2201="",P2201=""),"",INDEX('Students'!$C$2:$C$701,P2201))</f>
        <v/>
      </c>
      <c r="F2201" s="48">
        <f>IF(H2201="","",IF(ISNUMBER(O2201),O2201,J2201))</f>
        <v/>
      </c>
      <c r="G2201">
        <f>IF(H2201="","","OneCause")</f>
        <v/>
      </c>
      <c r="H2201">
        <f>IF(AND(I2201="",J2201="",K2201=""),"",IF(NOT(ISNUMBER(O2201)),"Bad amount",IF(O2201&lt;0,"Refund (not counted)",IF(O2201=0,"Zero amount",IF(NOT(ISNUMBER(N2201)),"Bad date",IF(P2201="","NAME NOT ON ROSTER",IF(L2201="","OK",IF(MATCH(L2201,$L$2:$L$3001,0)&lt;ROW()-1,"Duplicate (ignored)","OK"))))))))</f>
        <v/>
      </c>
      <c r="I2201">
        <f>IF(OC_Date=0,"",IF(INDEX('OneCause_Paste'!$A$2201:$AZ$2201,1,OC_Date)="","",INDEX('OneCause_Paste'!$A$2201:$AZ$2201,1,OC_Date)))</f>
        <v/>
      </c>
      <c r="J2201">
        <f>IF(OC_Amt=0,"",IF(INDEX('OneCause_Paste'!$A$2201:$AZ$2201,1,OC_Amt)="","",INDEX('OneCause_Paste'!$A$2201:$AZ$2201,1,OC_Amt)))</f>
        <v/>
      </c>
      <c r="K2201">
        <f>IF(OC_Name=0,"",IF(INDEX('OneCause_Paste'!$A$2201:$AZ$2201,1,OC_Name)="","",INDEX('OneCause_Paste'!$A$2201:$AZ$2201,1,OC_Name)))</f>
        <v/>
      </c>
      <c r="L2201">
        <f>IF(OC_Txn=0,"",IF(INDEX('OneCause_Paste'!$A$2201:$AZ$2201,1,OC_Txn)="","",INDEX('OneCause_Paste'!$A$2201:$AZ$2201,1,OC_Txn)))</f>
        <v/>
      </c>
      <c r="M2201">
        <f>IF(OC_Pay=0,"",IF(INDEX('OneCause_Paste'!$A$2201:$AZ$2201,1,OC_Pay)="","",INDEX('OneCause_Paste'!$A$2201:$AZ$2201,1,OC_Pay)))</f>
        <v/>
      </c>
      <c r="N2201">
        <f>IF(I2201="","",IF(ISNUMBER(I2201),INT(I2201),IFERROR(INT(DATEVALUE(I2201)),IFERROR(INT(VALUE(I2201)),"bad"))))</f>
        <v/>
      </c>
      <c r="O2201">
        <f>IF(J2201="","",IF(ISNUMBER(J2201),ROUND(J2201,2),IFERROR(ROUND(VALUE(SUBSTITUTE(SUBSTITUTE(SUBSTITUTE(J2201,"$",""),",","")," ","")),2),"bad")))</f>
        <v/>
      </c>
      <c r="P2201">
        <f>IF(TRIM(K2201)="","",IFERROR(MATCH(LOWER(TRIM(K2201)),'Students'!$AH$2:$AH$701,0),IFERROR(MATCH(LOWER(TRIM(K2201)),'Students'!$AF$2:$AF$701,0),IFERROR(MATCH(LOWER(TRIM(K2201)),'Students'!$AG$2:$AG$701,0),""))))</f>
        <v/>
      </c>
      <c r="R2201">
        <f>IF(P2201="","",INDEX('Students'!$AD$2:$AD$701,P2201))</f>
        <v/>
      </c>
      <c r="S2201">
        <f>IF(H2201="OK",O2201,0)</f>
        <v/>
      </c>
      <c r="T2201">
        <f>IF(H2201="OK",N2201,"")</f>
        <v/>
      </c>
      <c r="U2201">
        <f>IF(OC_Donor=0,"",IF(INDEX('OneCause_Paste'!$A$2201:$AZ$2201,1,OC_Donor)="","",INDEX('OneCause_Paste'!$A$2201:$AZ$2201,1,OC_Donor)))</f>
        <v/>
      </c>
    </row>
    <row r="2202">
      <c r="A2202" s="62">
        <f>IF(H2202="","",IF(ISNUMBER(N2202),N2202,I2202))</f>
        <v/>
      </c>
      <c r="B2202">
        <f>IF(H2202="","",U2202)</f>
        <v/>
      </c>
      <c r="C2202">
        <f>IF(H2202="","",IF(P2202="",K2202,INDEX('Students'!$A$2:$A$701,P2202)))</f>
        <v/>
      </c>
      <c r="D2202">
        <f>IF(OR(H2202="",P2202=""),"",INDEX('Students'!$B$2:$B$701,P2202))</f>
        <v/>
      </c>
      <c r="E2202">
        <f>IF(OR(H2202="",P2202=""),"",INDEX('Students'!$C$2:$C$701,P2202))</f>
        <v/>
      </c>
      <c r="F2202" s="48">
        <f>IF(H2202="","",IF(ISNUMBER(O2202),O2202,J2202))</f>
        <v/>
      </c>
      <c r="G2202">
        <f>IF(H2202="","","OneCause")</f>
        <v/>
      </c>
      <c r="H2202">
        <f>IF(AND(I2202="",J2202="",K2202=""),"",IF(NOT(ISNUMBER(O2202)),"Bad amount",IF(O2202&lt;0,"Refund (not counted)",IF(O2202=0,"Zero amount",IF(NOT(ISNUMBER(N2202)),"Bad date",IF(P2202="","NAME NOT ON ROSTER",IF(L2202="","OK",IF(MATCH(L2202,$L$2:$L$3001,0)&lt;ROW()-1,"Duplicate (ignored)","OK"))))))))</f>
        <v/>
      </c>
      <c r="I2202">
        <f>IF(OC_Date=0,"",IF(INDEX('OneCause_Paste'!$A$2202:$AZ$2202,1,OC_Date)="","",INDEX('OneCause_Paste'!$A$2202:$AZ$2202,1,OC_Date)))</f>
        <v/>
      </c>
      <c r="J2202">
        <f>IF(OC_Amt=0,"",IF(INDEX('OneCause_Paste'!$A$2202:$AZ$2202,1,OC_Amt)="","",INDEX('OneCause_Paste'!$A$2202:$AZ$2202,1,OC_Amt)))</f>
        <v/>
      </c>
      <c r="K2202">
        <f>IF(OC_Name=0,"",IF(INDEX('OneCause_Paste'!$A$2202:$AZ$2202,1,OC_Name)="","",INDEX('OneCause_Paste'!$A$2202:$AZ$2202,1,OC_Name)))</f>
        <v/>
      </c>
      <c r="L2202">
        <f>IF(OC_Txn=0,"",IF(INDEX('OneCause_Paste'!$A$2202:$AZ$2202,1,OC_Txn)="","",INDEX('OneCause_Paste'!$A$2202:$AZ$2202,1,OC_Txn)))</f>
        <v/>
      </c>
      <c r="M2202">
        <f>IF(OC_Pay=0,"",IF(INDEX('OneCause_Paste'!$A$2202:$AZ$2202,1,OC_Pay)="","",INDEX('OneCause_Paste'!$A$2202:$AZ$2202,1,OC_Pay)))</f>
        <v/>
      </c>
      <c r="N2202">
        <f>IF(I2202="","",IF(ISNUMBER(I2202),INT(I2202),IFERROR(INT(DATEVALUE(I2202)),IFERROR(INT(VALUE(I2202)),"bad"))))</f>
        <v/>
      </c>
      <c r="O2202">
        <f>IF(J2202="","",IF(ISNUMBER(J2202),ROUND(J2202,2),IFERROR(ROUND(VALUE(SUBSTITUTE(SUBSTITUTE(SUBSTITUTE(J2202,"$",""),",","")," ","")),2),"bad")))</f>
        <v/>
      </c>
      <c r="P2202">
        <f>IF(TRIM(K2202)="","",IFERROR(MATCH(LOWER(TRIM(K2202)),'Students'!$AH$2:$AH$701,0),IFERROR(MATCH(LOWER(TRIM(K2202)),'Students'!$AF$2:$AF$701,0),IFERROR(MATCH(LOWER(TRIM(K2202)),'Students'!$AG$2:$AG$701,0),""))))</f>
        <v/>
      </c>
      <c r="R2202">
        <f>IF(P2202="","",INDEX('Students'!$AD$2:$AD$701,P2202))</f>
        <v/>
      </c>
      <c r="S2202">
        <f>IF(H2202="OK",O2202,0)</f>
        <v/>
      </c>
      <c r="T2202">
        <f>IF(H2202="OK",N2202,"")</f>
        <v/>
      </c>
      <c r="U2202">
        <f>IF(OC_Donor=0,"",IF(INDEX('OneCause_Paste'!$A$2202:$AZ$2202,1,OC_Donor)="","",INDEX('OneCause_Paste'!$A$2202:$AZ$2202,1,OC_Donor)))</f>
        <v/>
      </c>
    </row>
    <row r="2203">
      <c r="A2203" s="62">
        <f>IF(H2203="","",IF(ISNUMBER(N2203),N2203,I2203))</f>
        <v/>
      </c>
      <c r="B2203">
        <f>IF(H2203="","",U2203)</f>
        <v/>
      </c>
      <c r="C2203">
        <f>IF(H2203="","",IF(P2203="",K2203,INDEX('Students'!$A$2:$A$701,P2203)))</f>
        <v/>
      </c>
      <c r="D2203">
        <f>IF(OR(H2203="",P2203=""),"",INDEX('Students'!$B$2:$B$701,P2203))</f>
        <v/>
      </c>
      <c r="E2203">
        <f>IF(OR(H2203="",P2203=""),"",INDEX('Students'!$C$2:$C$701,P2203))</f>
        <v/>
      </c>
      <c r="F2203" s="48">
        <f>IF(H2203="","",IF(ISNUMBER(O2203),O2203,J2203))</f>
        <v/>
      </c>
      <c r="G2203">
        <f>IF(H2203="","","OneCause")</f>
        <v/>
      </c>
      <c r="H2203">
        <f>IF(AND(I2203="",J2203="",K2203=""),"",IF(NOT(ISNUMBER(O2203)),"Bad amount",IF(O2203&lt;0,"Refund (not counted)",IF(O2203=0,"Zero amount",IF(NOT(ISNUMBER(N2203)),"Bad date",IF(P2203="","NAME NOT ON ROSTER",IF(L2203="","OK",IF(MATCH(L2203,$L$2:$L$3001,0)&lt;ROW()-1,"Duplicate (ignored)","OK"))))))))</f>
        <v/>
      </c>
      <c r="I2203">
        <f>IF(OC_Date=0,"",IF(INDEX('OneCause_Paste'!$A$2203:$AZ$2203,1,OC_Date)="","",INDEX('OneCause_Paste'!$A$2203:$AZ$2203,1,OC_Date)))</f>
        <v/>
      </c>
      <c r="J2203">
        <f>IF(OC_Amt=0,"",IF(INDEX('OneCause_Paste'!$A$2203:$AZ$2203,1,OC_Amt)="","",INDEX('OneCause_Paste'!$A$2203:$AZ$2203,1,OC_Amt)))</f>
        <v/>
      </c>
      <c r="K2203">
        <f>IF(OC_Name=0,"",IF(INDEX('OneCause_Paste'!$A$2203:$AZ$2203,1,OC_Name)="","",INDEX('OneCause_Paste'!$A$2203:$AZ$2203,1,OC_Name)))</f>
        <v/>
      </c>
      <c r="L2203">
        <f>IF(OC_Txn=0,"",IF(INDEX('OneCause_Paste'!$A$2203:$AZ$2203,1,OC_Txn)="","",INDEX('OneCause_Paste'!$A$2203:$AZ$2203,1,OC_Txn)))</f>
        <v/>
      </c>
      <c r="M2203">
        <f>IF(OC_Pay=0,"",IF(INDEX('OneCause_Paste'!$A$2203:$AZ$2203,1,OC_Pay)="","",INDEX('OneCause_Paste'!$A$2203:$AZ$2203,1,OC_Pay)))</f>
        <v/>
      </c>
      <c r="N2203">
        <f>IF(I2203="","",IF(ISNUMBER(I2203),INT(I2203),IFERROR(INT(DATEVALUE(I2203)),IFERROR(INT(VALUE(I2203)),"bad"))))</f>
        <v/>
      </c>
      <c r="O2203">
        <f>IF(J2203="","",IF(ISNUMBER(J2203),ROUND(J2203,2),IFERROR(ROUND(VALUE(SUBSTITUTE(SUBSTITUTE(SUBSTITUTE(J2203,"$",""),",","")," ","")),2),"bad")))</f>
        <v/>
      </c>
      <c r="P2203">
        <f>IF(TRIM(K2203)="","",IFERROR(MATCH(LOWER(TRIM(K2203)),'Students'!$AH$2:$AH$701,0),IFERROR(MATCH(LOWER(TRIM(K2203)),'Students'!$AF$2:$AF$701,0),IFERROR(MATCH(LOWER(TRIM(K2203)),'Students'!$AG$2:$AG$701,0),""))))</f>
        <v/>
      </c>
      <c r="R2203">
        <f>IF(P2203="","",INDEX('Students'!$AD$2:$AD$701,P2203))</f>
        <v/>
      </c>
      <c r="S2203">
        <f>IF(H2203="OK",O2203,0)</f>
        <v/>
      </c>
      <c r="T2203">
        <f>IF(H2203="OK",N2203,"")</f>
        <v/>
      </c>
      <c r="U2203">
        <f>IF(OC_Donor=0,"",IF(INDEX('OneCause_Paste'!$A$2203:$AZ$2203,1,OC_Donor)="","",INDEX('OneCause_Paste'!$A$2203:$AZ$2203,1,OC_Donor)))</f>
        <v/>
      </c>
    </row>
    <row r="2204">
      <c r="A2204" s="62">
        <f>IF(H2204="","",IF(ISNUMBER(N2204),N2204,I2204))</f>
        <v/>
      </c>
      <c r="B2204">
        <f>IF(H2204="","",U2204)</f>
        <v/>
      </c>
      <c r="C2204">
        <f>IF(H2204="","",IF(P2204="",K2204,INDEX('Students'!$A$2:$A$701,P2204)))</f>
        <v/>
      </c>
      <c r="D2204">
        <f>IF(OR(H2204="",P2204=""),"",INDEX('Students'!$B$2:$B$701,P2204))</f>
        <v/>
      </c>
      <c r="E2204">
        <f>IF(OR(H2204="",P2204=""),"",INDEX('Students'!$C$2:$C$701,P2204))</f>
        <v/>
      </c>
      <c r="F2204" s="48">
        <f>IF(H2204="","",IF(ISNUMBER(O2204),O2204,J2204))</f>
        <v/>
      </c>
      <c r="G2204">
        <f>IF(H2204="","","OneCause")</f>
        <v/>
      </c>
      <c r="H2204">
        <f>IF(AND(I2204="",J2204="",K2204=""),"",IF(NOT(ISNUMBER(O2204)),"Bad amount",IF(O2204&lt;0,"Refund (not counted)",IF(O2204=0,"Zero amount",IF(NOT(ISNUMBER(N2204)),"Bad date",IF(P2204="","NAME NOT ON ROSTER",IF(L2204="","OK",IF(MATCH(L2204,$L$2:$L$3001,0)&lt;ROW()-1,"Duplicate (ignored)","OK"))))))))</f>
        <v/>
      </c>
      <c r="I2204">
        <f>IF(OC_Date=0,"",IF(INDEX('OneCause_Paste'!$A$2204:$AZ$2204,1,OC_Date)="","",INDEX('OneCause_Paste'!$A$2204:$AZ$2204,1,OC_Date)))</f>
        <v/>
      </c>
      <c r="J2204">
        <f>IF(OC_Amt=0,"",IF(INDEX('OneCause_Paste'!$A$2204:$AZ$2204,1,OC_Amt)="","",INDEX('OneCause_Paste'!$A$2204:$AZ$2204,1,OC_Amt)))</f>
        <v/>
      </c>
      <c r="K2204">
        <f>IF(OC_Name=0,"",IF(INDEX('OneCause_Paste'!$A$2204:$AZ$2204,1,OC_Name)="","",INDEX('OneCause_Paste'!$A$2204:$AZ$2204,1,OC_Name)))</f>
        <v/>
      </c>
      <c r="L2204">
        <f>IF(OC_Txn=0,"",IF(INDEX('OneCause_Paste'!$A$2204:$AZ$2204,1,OC_Txn)="","",INDEX('OneCause_Paste'!$A$2204:$AZ$2204,1,OC_Txn)))</f>
        <v/>
      </c>
      <c r="M2204">
        <f>IF(OC_Pay=0,"",IF(INDEX('OneCause_Paste'!$A$2204:$AZ$2204,1,OC_Pay)="","",INDEX('OneCause_Paste'!$A$2204:$AZ$2204,1,OC_Pay)))</f>
        <v/>
      </c>
      <c r="N2204">
        <f>IF(I2204="","",IF(ISNUMBER(I2204),INT(I2204),IFERROR(INT(DATEVALUE(I2204)),IFERROR(INT(VALUE(I2204)),"bad"))))</f>
        <v/>
      </c>
      <c r="O2204">
        <f>IF(J2204="","",IF(ISNUMBER(J2204),ROUND(J2204,2),IFERROR(ROUND(VALUE(SUBSTITUTE(SUBSTITUTE(SUBSTITUTE(J2204,"$",""),",","")," ","")),2),"bad")))</f>
        <v/>
      </c>
      <c r="P2204">
        <f>IF(TRIM(K2204)="","",IFERROR(MATCH(LOWER(TRIM(K2204)),'Students'!$AH$2:$AH$701,0),IFERROR(MATCH(LOWER(TRIM(K2204)),'Students'!$AF$2:$AF$701,0),IFERROR(MATCH(LOWER(TRIM(K2204)),'Students'!$AG$2:$AG$701,0),""))))</f>
        <v/>
      </c>
      <c r="R2204">
        <f>IF(P2204="","",INDEX('Students'!$AD$2:$AD$701,P2204))</f>
        <v/>
      </c>
      <c r="S2204">
        <f>IF(H2204="OK",O2204,0)</f>
        <v/>
      </c>
      <c r="T2204">
        <f>IF(H2204="OK",N2204,"")</f>
        <v/>
      </c>
      <c r="U2204">
        <f>IF(OC_Donor=0,"",IF(INDEX('OneCause_Paste'!$A$2204:$AZ$2204,1,OC_Donor)="","",INDEX('OneCause_Paste'!$A$2204:$AZ$2204,1,OC_Donor)))</f>
        <v/>
      </c>
    </row>
    <row r="2205">
      <c r="A2205" s="62">
        <f>IF(H2205="","",IF(ISNUMBER(N2205),N2205,I2205))</f>
        <v/>
      </c>
      <c r="B2205">
        <f>IF(H2205="","",U2205)</f>
        <v/>
      </c>
      <c r="C2205">
        <f>IF(H2205="","",IF(P2205="",K2205,INDEX('Students'!$A$2:$A$701,P2205)))</f>
        <v/>
      </c>
      <c r="D2205">
        <f>IF(OR(H2205="",P2205=""),"",INDEX('Students'!$B$2:$B$701,P2205))</f>
        <v/>
      </c>
      <c r="E2205">
        <f>IF(OR(H2205="",P2205=""),"",INDEX('Students'!$C$2:$C$701,P2205))</f>
        <v/>
      </c>
      <c r="F2205" s="48">
        <f>IF(H2205="","",IF(ISNUMBER(O2205),O2205,J2205))</f>
        <v/>
      </c>
      <c r="G2205">
        <f>IF(H2205="","","OneCause")</f>
        <v/>
      </c>
      <c r="H2205">
        <f>IF(AND(I2205="",J2205="",K2205=""),"",IF(NOT(ISNUMBER(O2205)),"Bad amount",IF(O2205&lt;0,"Refund (not counted)",IF(O2205=0,"Zero amount",IF(NOT(ISNUMBER(N2205)),"Bad date",IF(P2205="","NAME NOT ON ROSTER",IF(L2205="","OK",IF(MATCH(L2205,$L$2:$L$3001,0)&lt;ROW()-1,"Duplicate (ignored)","OK"))))))))</f>
        <v/>
      </c>
      <c r="I2205">
        <f>IF(OC_Date=0,"",IF(INDEX('OneCause_Paste'!$A$2205:$AZ$2205,1,OC_Date)="","",INDEX('OneCause_Paste'!$A$2205:$AZ$2205,1,OC_Date)))</f>
        <v/>
      </c>
      <c r="J2205">
        <f>IF(OC_Amt=0,"",IF(INDEX('OneCause_Paste'!$A$2205:$AZ$2205,1,OC_Amt)="","",INDEX('OneCause_Paste'!$A$2205:$AZ$2205,1,OC_Amt)))</f>
        <v/>
      </c>
      <c r="K2205">
        <f>IF(OC_Name=0,"",IF(INDEX('OneCause_Paste'!$A$2205:$AZ$2205,1,OC_Name)="","",INDEX('OneCause_Paste'!$A$2205:$AZ$2205,1,OC_Name)))</f>
        <v/>
      </c>
      <c r="L2205">
        <f>IF(OC_Txn=0,"",IF(INDEX('OneCause_Paste'!$A$2205:$AZ$2205,1,OC_Txn)="","",INDEX('OneCause_Paste'!$A$2205:$AZ$2205,1,OC_Txn)))</f>
        <v/>
      </c>
      <c r="M2205">
        <f>IF(OC_Pay=0,"",IF(INDEX('OneCause_Paste'!$A$2205:$AZ$2205,1,OC_Pay)="","",INDEX('OneCause_Paste'!$A$2205:$AZ$2205,1,OC_Pay)))</f>
        <v/>
      </c>
      <c r="N2205">
        <f>IF(I2205="","",IF(ISNUMBER(I2205),INT(I2205),IFERROR(INT(DATEVALUE(I2205)),IFERROR(INT(VALUE(I2205)),"bad"))))</f>
        <v/>
      </c>
      <c r="O2205">
        <f>IF(J2205="","",IF(ISNUMBER(J2205),ROUND(J2205,2),IFERROR(ROUND(VALUE(SUBSTITUTE(SUBSTITUTE(SUBSTITUTE(J2205,"$",""),",","")," ","")),2),"bad")))</f>
        <v/>
      </c>
      <c r="P2205">
        <f>IF(TRIM(K2205)="","",IFERROR(MATCH(LOWER(TRIM(K2205)),'Students'!$AH$2:$AH$701,0),IFERROR(MATCH(LOWER(TRIM(K2205)),'Students'!$AF$2:$AF$701,0),IFERROR(MATCH(LOWER(TRIM(K2205)),'Students'!$AG$2:$AG$701,0),""))))</f>
        <v/>
      </c>
      <c r="R2205">
        <f>IF(P2205="","",INDEX('Students'!$AD$2:$AD$701,P2205))</f>
        <v/>
      </c>
      <c r="S2205">
        <f>IF(H2205="OK",O2205,0)</f>
        <v/>
      </c>
      <c r="T2205">
        <f>IF(H2205="OK",N2205,"")</f>
        <v/>
      </c>
      <c r="U2205">
        <f>IF(OC_Donor=0,"",IF(INDEX('OneCause_Paste'!$A$2205:$AZ$2205,1,OC_Donor)="","",INDEX('OneCause_Paste'!$A$2205:$AZ$2205,1,OC_Donor)))</f>
        <v/>
      </c>
    </row>
    <row r="2206">
      <c r="A2206" s="62">
        <f>IF(H2206="","",IF(ISNUMBER(N2206),N2206,I2206))</f>
        <v/>
      </c>
      <c r="B2206">
        <f>IF(H2206="","",U2206)</f>
        <v/>
      </c>
      <c r="C2206">
        <f>IF(H2206="","",IF(P2206="",K2206,INDEX('Students'!$A$2:$A$701,P2206)))</f>
        <v/>
      </c>
      <c r="D2206">
        <f>IF(OR(H2206="",P2206=""),"",INDEX('Students'!$B$2:$B$701,P2206))</f>
        <v/>
      </c>
      <c r="E2206">
        <f>IF(OR(H2206="",P2206=""),"",INDEX('Students'!$C$2:$C$701,P2206))</f>
        <v/>
      </c>
      <c r="F2206" s="48">
        <f>IF(H2206="","",IF(ISNUMBER(O2206),O2206,J2206))</f>
        <v/>
      </c>
      <c r="G2206">
        <f>IF(H2206="","","OneCause")</f>
        <v/>
      </c>
      <c r="H2206">
        <f>IF(AND(I2206="",J2206="",K2206=""),"",IF(NOT(ISNUMBER(O2206)),"Bad amount",IF(O2206&lt;0,"Refund (not counted)",IF(O2206=0,"Zero amount",IF(NOT(ISNUMBER(N2206)),"Bad date",IF(P2206="","NAME NOT ON ROSTER",IF(L2206="","OK",IF(MATCH(L2206,$L$2:$L$3001,0)&lt;ROW()-1,"Duplicate (ignored)","OK"))))))))</f>
        <v/>
      </c>
      <c r="I2206">
        <f>IF(OC_Date=0,"",IF(INDEX('OneCause_Paste'!$A$2206:$AZ$2206,1,OC_Date)="","",INDEX('OneCause_Paste'!$A$2206:$AZ$2206,1,OC_Date)))</f>
        <v/>
      </c>
      <c r="J2206">
        <f>IF(OC_Amt=0,"",IF(INDEX('OneCause_Paste'!$A$2206:$AZ$2206,1,OC_Amt)="","",INDEX('OneCause_Paste'!$A$2206:$AZ$2206,1,OC_Amt)))</f>
        <v/>
      </c>
      <c r="K2206">
        <f>IF(OC_Name=0,"",IF(INDEX('OneCause_Paste'!$A$2206:$AZ$2206,1,OC_Name)="","",INDEX('OneCause_Paste'!$A$2206:$AZ$2206,1,OC_Name)))</f>
        <v/>
      </c>
      <c r="L2206">
        <f>IF(OC_Txn=0,"",IF(INDEX('OneCause_Paste'!$A$2206:$AZ$2206,1,OC_Txn)="","",INDEX('OneCause_Paste'!$A$2206:$AZ$2206,1,OC_Txn)))</f>
        <v/>
      </c>
      <c r="M2206">
        <f>IF(OC_Pay=0,"",IF(INDEX('OneCause_Paste'!$A$2206:$AZ$2206,1,OC_Pay)="","",INDEX('OneCause_Paste'!$A$2206:$AZ$2206,1,OC_Pay)))</f>
        <v/>
      </c>
      <c r="N2206">
        <f>IF(I2206="","",IF(ISNUMBER(I2206),INT(I2206),IFERROR(INT(DATEVALUE(I2206)),IFERROR(INT(VALUE(I2206)),"bad"))))</f>
        <v/>
      </c>
      <c r="O2206">
        <f>IF(J2206="","",IF(ISNUMBER(J2206),ROUND(J2206,2),IFERROR(ROUND(VALUE(SUBSTITUTE(SUBSTITUTE(SUBSTITUTE(J2206,"$",""),",","")," ","")),2),"bad")))</f>
        <v/>
      </c>
      <c r="P2206">
        <f>IF(TRIM(K2206)="","",IFERROR(MATCH(LOWER(TRIM(K2206)),'Students'!$AH$2:$AH$701,0),IFERROR(MATCH(LOWER(TRIM(K2206)),'Students'!$AF$2:$AF$701,0),IFERROR(MATCH(LOWER(TRIM(K2206)),'Students'!$AG$2:$AG$701,0),""))))</f>
        <v/>
      </c>
      <c r="R2206">
        <f>IF(P2206="","",INDEX('Students'!$AD$2:$AD$701,P2206))</f>
        <v/>
      </c>
      <c r="S2206">
        <f>IF(H2206="OK",O2206,0)</f>
        <v/>
      </c>
      <c r="T2206">
        <f>IF(H2206="OK",N2206,"")</f>
        <v/>
      </c>
      <c r="U2206">
        <f>IF(OC_Donor=0,"",IF(INDEX('OneCause_Paste'!$A$2206:$AZ$2206,1,OC_Donor)="","",INDEX('OneCause_Paste'!$A$2206:$AZ$2206,1,OC_Donor)))</f>
        <v/>
      </c>
    </row>
    <row r="2207">
      <c r="A2207" s="62">
        <f>IF(H2207="","",IF(ISNUMBER(N2207),N2207,I2207))</f>
        <v/>
      </c>
      <c r="B2207">
        <f>IF(H2207="","",U2207)</f>
        <v/>
      </c>
      <c r="C2207">
        <f>IF(H2207="","",IF(P2207="",K2207,INDEX('Students'!$A$2:$A$701,P2207)))</f>
        <v/>
      </c>
      <c r="D2207">
        <f>IF(OR(H2207="",P2207=""),"",INDEX('Students'!$B$2:$B$701,P2207))</f>
        <v/>
      </c>
      <c r="E2207">
        <f>IF(OR(H2207="",P2207=""),"",INDEX('Students'!$C$2:$C$701,P2207))</f>
        <v/>
      </c>
      <c r="F2207" s="48">
        <f>IF(H2207="","",IF(ISNUMBER(O2207),O2207,J2207))</f>
        <v/>
      </c>
      <c r="G2207">
        <f>IF(H2207="","","OneCause")</f>
        <v/>
      </c>
      <c r="H2207">
        <f>IF(AND(I2207="",J2207="",K2207=""),"",IF(NOT(ISNUMBER(O2207)),"Bad amount",IF(O2207&lt;0,"Refund (not counted)",IF(O2207=0,"Zero amount",IF(NOT(ISNUMBER(N2207)),"Bad date",IF(P2207="","NAME NOT ON ROSTER",IF(L2207="","OK",IF(MATCH(L2207,$L$2:$L$3001,0)&lt;ROW()-1,"Duplicate (ignored)","OK"))))))))</f>
        <v/>
      </c>
      <c r="I2207">
        <f>IF(OC_Date=0,"",IF(INDEX('OneCause_Paste'!$A$2207:$AZ$2207,1,OC_Date)="","",INDEX('OneCause_Paste'!$A$2207:$AZ$2207,1,OC_Date)))</f>
        <v/>
      </c>
      <c r="J2207">
        <f>IF(OC_Amt=0,"",IF(INDEX('OneCause_Paste'!$A$2207:$AZ$2207,1,OC_Amt)="","",INDEX('OneCause_Paste'!$A$2207:$AZ$2207,1,OC_Amt)))</f>
        <v/>
      </c>
      <c r="K2207">
        <f>IF(OC_Name=0,"",IF(INDEX('OneCause_Paste'!$A$2207:$AZ$2207,1,OC_Name)="","",INDEX('OneCause_Paste'!$A$2207:$AZ$2207,1,OC_Name)))</f>
        <v/>
      </c>
      <c r="L2207">
        <f>IF(OC_Txn=0,"",IF(INDEX('OneCause_Paste'!$A$2207:$AZ$2207,1,OC_Txn)="","",INDEX('OneCause_Paste'!$A$2207:$AZ$2207,1,OC_Txn)))</f>
        <v/>
      </c>
      <c r="M2207">
        <f>IF(OC_Pay=0,"",IF(INDEX('OneCause_Paste'!$A$2207:$AZ$2207,1,OC_Pay)="","",INDEX('OneCause_Paste'!$A$2207:$AZ$2207,1,OC_Pay)))</f>
        <v/>
      </c>
      <c r="N2207">
        <f>IF(I2207="","",IF(ISNUMBER(I2207),INT(I2207),IFERROR(INT(DATEVALUE(I2207)),IFERROR(INT(VALUE(I2207)),"bad"))))</f>
        <v/>
      </c>
      <c r="O2207">
        <f>IF(J2207="","",IF(ISNUMBER(J2207),ROUND(J2207,2),IFERROR(ROUND(VALUE(SUBSTITUTE(SUBSTITUTE(SUBSTITUTE(J2207,"$",""),",","")," ","")),2),"bad")))</f>
        <v/>
      </c>
      <c r="P2207">
        <f>IF(TRIM(K2207)="","",IFERROR(MATCH(LOWER(TRIM(K2207)),'Students'!$AH$2:$AH$701,0),IFERROR(MATCH(LOWER(TRIM(K2207)),'Students'!$AF$2:$AF$701,0),IFERROR(MATCH(LOWER(TRIM(K2207)),'Students'!$AG$2:$AG$701,0),""))))</f>
        <v/>
      </c>
      <c r="R2207">
        <f>IF(P2207="","",INDEX('Students'!$AD$2:$AD$701,P2207))</f>
        <v/>
      </c>
      <c r="S2207">
        <f>IF(H2207="OK",O2207,0)</f>
        <v/>
      </c>
      <c r="T2207">
        <f>IF(H2207="OK",N2207,"")</f>
        <v/>
      </c>
      <c r="U2207">
        <f>IF(OC_Donor=0,"",IF(INDEX('OneCause_Paste'!$A$2207:$AZ$2207,1,OC_Donor)="","",INDEX('OneCause_Paste'!$A$2207:$AZ$2207,1,OC_Donor)))</f>
        <v/>
      </c>
    </row>
    <row r="2208">
      <c r="A2208" s="62">
        <f>IF(H2208="","",IF(ISNUMBER(N2208),N2208,I2208))</f>
        <v/>
      </c>
      <c r="B2208">
        <f>IF(H2208="","",U2208)</f>
        <v/>
      </c>
      <c r="C2208">
        <f>IF(H2208="","",IF(P2208="",K2208,INDEX('Students'!$A$2:$A$701,P2208)))</f>
        <v/>
      </c>
      <c r="D2208">
        <f>IF(OR(H2208="",P2208=""),"",INDEX('Students'!$B$2:$B$701,P2208))</f>
        <v/>
      </c>
      <c r="E2208">
        <f>IF(OR(H2208="",P2208=""),"",INDEX('Students'!$C$2:$C$701,P2208))</f>
        <v/>
      </c>
      <c r="F2208" s="48">
        <f>IF(H2208="","",IF(ISNUMBER(O2208),O2208,J2208))</f>
        <v/>
      </c>
      <c r="G2208">
        <f>IF(H2208="","","OneCause")</f>
        <v/>
      </c>
      <c r="H2208">
        <f>IF(AND(I2208="",J2208="",K2208=""),"",IF(NOT(ISNUMBER(O2208)),"Bad amount",IF(O2208&lt;0,"Refund (not counted)",IF(O2208=0,"Zero amount",IF(NOT(ISNUMBER(N2208)),"Bad date",IF(P2208="","NAME NOT ON ROSTER",IF(L2208="","OK",IF(MATCH(L2208,$L$2:$L$3001,0)&lt;ROW()-1,"Duplicate (ignored)","OK"))))))))</f>
        <v/>
      </c>
      <c r="I2208">
        <f>IF(OC_Date=0,"",IF(INDEX('OneCause_Paste'!$A$2208:$AZ$2208,1,OC_Date)="","",INDEX('OneCause_Paste'!$A$2208:$AZ$2208,1,OC_Date)))</f>
        <v/>
      </c>
      <c r="J2208">
        <f>IF(OC_Amt=0,"",IF(INDEX('OneCause_Paste'!$A$2208:$AZ$2208,1,OC_Amt)="","",INDEX('OneCause_Paste'!$A$2208:$AZ$2208,1,OC_Amt)))</f>
        <v/>
      </c>
      <c r="K2208">
        <f>IF(OC_Name=0,"",IF(INDEX('OneCause_Paste'!$A$2208:$AZ$2208,1,OC_Name)="","",INDEX('OneCause_Paste'!$A$2208:$AZ$2208,1,OC_Name)))</f>
        <v/>
      </c>
      <c r="L2208">
        <f>IF(OC_Txn=0,"",IF(INDEX('OneCause_Paste'!$A$2208:$AZ$2208,1,OC_Txn)="","",INDEX('OneCause_Paste'!$A$2208:$AZ$2208,1,OC_Txn)))</f>
        <v/>
      </c>
      <c r="M2208">
        <f>IF(OC_Pay=0,"",IF(INDEX('OneCause_Paste'!$A$2208:$AZ$2208,1,OC_Pay)="","",INDEX('OneCause_Paste'!$A$2208:$AZ$2208,1,OC_Pay)))</f>
        <v/>
      </c>
      <c r="N2208">
        <f>IF(I2208="","",IF(ISNUMBER(I2208),INT(I2208),IFERROR(INT(DATEVALUE(I2208)),IFERROR(INT(VALUE(I2208)),"bad"))))</f>
        <v/>
      </c>
      <c r="O2208">
        <f>IF(J2208="","",IF(ISNUMBER(J2208),ROUND(J2208,2),IFERROR(ROUND(VALUE(SUBSTITUTE(SUBSTITUTE(SUBSTITUTE(J2208,"$",""),",","")," ","")),2),"bad")))</f>
        <v/>
      </c>
      <c r="P2208">
        <f>IF(TRIM(K2208)="","",IFERROR(MATCH(LOWER(TRIM(K2208)),'Students'!$AH$2:$AH$701,0),IFERROR(MATCH(LOWER(TRIM(K2208)),'Students'!$AF$2:$AF$701,0),IFERROR(MATCH(LOWER(TRIM(K2208)),'Students'!$AG$2:$AG$701,0),""))))</f>
        <v/>
      </c>
      <c r="R2208">
        <f>IF(P2208="","",INDEX('Students'!$AD$2:$AD$701,P2208))</f>
        <v/>
      </c>
      <c r="S2208">
        <f>IF(H2208="OK",O2208,0)</f>
        <v/>
      </c>
      <c r="T2208">
        <f>IF(H2208="OK",N2208,"")</f>
        <v/>
      </c>
      <c r="U2208">
        <f>IF(OC_Donor=0,"",IF(INDEX('OneCause_Paste'!$A$2208:$AZ$2208,1,OC_Donor)="","",INDEX('OneCause_Paste'!$A$2208:$AZ$2208,1,OC_Donor)))</f>
        <v/>
      </c>
    </row>
    <row r="2209">
      <c r="A2209" s="62">
        <f>IF(H2209="","",IF(ISNUMBER(N2209),N2209,I2209))</f>
        <v/>
      </c>
      <c r="B2209">
        <f>IF(H2209="","",U2209)</f>
        <v/>
      </c>
      <c r="C2209">
        <f>IF(H2209="","",IF(P2209="",K2209,INDEX('Students'!$A$2:$A$701,P2209)))</f>
        <v/>
      </c>
      <c r="D2209">
        <f>IF(OR(H2209="",P2209=""),"",INDEX('Students'!$B$2:$B$701,P2209))</f>
        <v/>
      </c>
      <c r="E2209">
        <f>IF(OR(H2209="",P2209=""),"",INDEX('Students'!$C$2:$C$701,P2209))</f>
        <v/>
      </c>
      <c r="F2209" s="48">
        <f>IF(H2209="","",IF(ISNUMBER(O2209),O2209,J2209))</f>
        <v/>
      </c>
      <c r="G2209">
        <f>IF(H2209="","","OneCause")</f>
        <v/>
      </c>
      <c r="H2209">
        <f>IF(AND(I2209="",J2209="",K2209=""),"",IF(NOT(ISNUMBER(O2209)),"Bad amount",IF(O2209&lt;0,"Refund (not counted)",IF(O2209=0,"Zero amount",IF(NOT(ISNUMBER(N2209)),"Bad date",IF(P2209="","NAME NOT ON ROSTER",IF(L2209="","OK",IF(MATCH(L2209,$L$2:$L$3001,0)&lt;ROW()-1,"Duplicate (ignored)","OK"))))))))</f>
        <v/>
      </c>
      <c r="I2209">
        <f>IF(OC_Date=0,"",IF(INDEX('OneCause_Paste'!$A$2209:$AZ$2209,1,OC_Date)="","",INDEX('OneCause_Paste'!$A$2209:$AZ$2209,1,OC_Date)))</f>
        <v/>
      </c>
      <c r="J2209">
        <f>IF(OC_Amt=0,"",IF(INDEX('OneCause_Paste'!$A$2209:$AZ$2209,1,OC_Amt)="","",INDEX('OneCause_Paste'!$A$2209:$AZ$2209,1,OC_Amt)))</f>
        <v/>
      </c>
      <c r="K2209">
        <f>IF(OC_Name=0,"",IF(INDEX('OneCause_Paste'!$A$2209:$AZ$2209,1,OC_Name)="","",INDEX('OneCause_Paste'!$A$2209:$AZ$2209,1,OC_Name)))</f>
        <v/>
      </c>
      <c r="L2209">
        <f>IF(OC_Txn=0,"",IF(INDEX('OneCause_Paste'!$A$2209:$AZ$2209,1,OC_Txn)="","",INDEX('OneCause_Paste'!$A$2209:$AZ$2209,1,OC_Txn)))</f>
        <v/>
      </c>
      <c r="M2209">
        <f>IF(OC_Pay=0,"",IF(INDEX('OneCause_Paste'!$A$2209:$AZ$2209,1,OC_Pay)="","",INDEX('OneCause_Paste'!$A$2209:$AZ$2209,1,OC_Pay)))</f>
        <v/>
      </c>
      <c r="N2209">
        <f>IF(I2209="","",IF(ISNUMBER(I2209),INT(I2209),IFERROR(INT(DATEVALUE(I2209)),IFERROR(INT(VALUE(I2209)),"bad"))))</f>
        <v/>
      </c>
      <c r="O2209">
        <f>IF(J2209="","",IF(ISNUMBER(J2209),ROUND(J2209,2),IFERROR(ROUND(VALUE(SUBSTITUTE(SUBSTITUTE(SUBSTITUTE(J2209,"$",""),",","")," ","")),2),"bad")))</f>
        <v/>
      </c>
      <c r="P2209">
        <f>IF(TRIM(K2209)="","",IFERROR(MATCH(LOWER(TRIM(K2209)),'Students'!$AH$2:$AH$701,0),IFERROR(MATCH(LOWER(TRIM(K2209)),'Students'!$AF$2:$AF$701,0),IFERROR(MATCH(LOWER(TRIM(K2209)),'Students'!$AG$2:$AG$701,0),""))))</f>
        <v/>
      </c>
      <c r="R2209">
        <f>IF(P2209="","",INDEX('Students'!$AD$2:$AD$701,P2209))</f>
        <v/>
      </c>
      <c r="S2209">
        <f>IF(H2209="OK",O2209,0)</f>
        <v/>
      </c>
      <c r="T2209">
        <f>IF(H2209="OK",N2209,"")</f>
        <v/>
      </c>
      <c r="U2209">
        <f>IF(OC_Donor=0,"",IF(INDEX('OneCause_Paste'!$A$2209:$AZ$2209,1,OC_Donor)="","",INDEX('OneCause_Paste'!$A$2209:$AZ$2209,1,OC_Donor)))</f>
        <v/>
      </c>
    </row>
    <row r="2210">
      <c r="A2210" s="62">
        <f>IF(H2210="","",IF(ISNUMBER(N2210),N2210,I2210))</f>
        <v/>
      </c>
      <c r="B2210">
        <f>IF(H2210="","",U2210)</f>
        <v/>
      </c>
      <c r="C2210">
        <f>IF(H2210="","",IF(P2210="",K2210,INDEX('Students'!$A$2:$A$701,P2210)))</f>
        <v/>
      </c>
      <c r="D2210">
        <f>IF(OR(H2210="",P2210=""),"",INDEX('Students'!$B$2:$B$701,P2210))</f>
        <v/>
      </c>
      <c r="E2210">
        <f>IF(OR(H2210="",P2210=""),"",INDEX('Students'!$C$2:$C$701,P2210))</f>
        <v/>
      </c>
      <c r="F2210" s="48">
        <f>IF(H2210="","",IF(ISNUMBER(O2210),O2210,J2210))</f>
        <v/>
      </c>
      <c r="G2210">
        <f>IF(H2210="","","OneCause")</f>
        <v/>
      </c>
      <c r="H2210">
        <f>IF(AND(I2210="",J2210="",K2210=""),"",IF(NOT(ISNUMBER(O2210)),"Bad amount",IF(O2210&lt;0,"Refund (not counted)",IF(O2210=0,"Zero amount",IF(NOT(ISNUMBER(N2210)),"Bad date",IF(P2210="","NAME NOT ON ROSTER",IF(L2210="","OK",IF(MATCH(L2210,$L$2:$L$3001,0)&lt;ROW()-1,"Duplicate (ignored)","OK"))))))))</f>
        <v/>
      </c>
      <c r="I2210">
        <f>IF(OC_Date=0,"",IF(INDEX('OneCause_Paste'!$A$2210:$AZ$2210,1,OC_Date)="","",INDEX('OneCause_Paste'!$A$2210:$AZ$2210,1,OC_Date)))</f>
        <v/>
      </c>
      <c r="J2210">
        <f>IF(OC_Amt=0,"",IF(INDEX('OneCause_Paste'!$A$2210:$AZ$2210,1,OC_Amt)="","",INDEX('OneCause_Paste'!$A$2210:$AZ$2210,1,OC_Amt)))</f>
        <v/>
      </c>
      <c r="K2210">
        <f>IF(OC_Name=0,"",IF(INDEX('OneCause_Paste'!$A$2210:$AZ$2210,1,OC_Name)="","",INDEX('OneCause_Paste'!$A$2210:$AZ$2210,1,OC_Name)))</f>
        <v/>
      </c>
      <c r="L2210">
        <f>IF(OC_Txn=0,"",IF(INDEX('OneCause_Paste'!$A$2210:$AZ$2210,1,OC_Txn)="","",INDEX('OneCause_Paste'!$A$2210:$AZ$2210,1,OC_Txn)))</f>
        <v/>
      </c>
      <c r="M2210">
        <f>IF(OC_Pay=0,"",IF(INDEX('OneCause_Paste'!$A$2210:$AZ$2210,1,OC_Pay)="","",INDEX('OneCause_Paste'!$A$2210:$AZ$2210,1,OC_Pay)))</f>
        <v/>
      </c>
      <c r="N2210">
        <f>IF(I2210="","",IF(ISNUMBER(I2210),INT(I2210),IFERROR(INT(DATEVALUE(I2210)),IFERROR(INT(VALUE(I2210)),"bad"))))</f>
        <v/>
      </c>
      <c r="O2210">
        <f>IF(J2210="","",IF(ISNUMBER(J2210),ROUND(J2210,2),IFERROR(ROUND(VALUE(SUBSTITUTE(SUBSTITUTE(SUBSTITUTE(J2210,"$",""),",","")," ","")),2),"bad")))</f>
        <v/>
      </c>
      <c r="P2210">
        <f>IF(TRIM(K2210)="","",IFERROR(MATCH(LOWER(TRIM(K2210)),'Students'!$AH$2:$AH$701,0),IFERROR(MATCH(LOWER(TRIM(K2210)),'Students'!$AF$2:$AF$701,0),IFERROR(MATCH(LOWER(TRIM(K2210)),'Students'!$AG$2:$AG$701,0),""))))</f>
        <v/>
      </c>
      <c r="R2210">
        <f>IF(P2210="","",INDEX('Students'!$AD$2:$AD$701,P2210))</f>
        <v/>
      </c>
      <c r="S2210">
        <f>IF(H2210="OK",O2210,0)</f>
        <v/>
      </c>
      <c r="T2210">
        <f>IF(H2210="OK",N2210,"")</f>
        <v/>
      </c>
      <c r="U2210">
        <f>IF(OC_Donor=0,"",IF(INDEX('OneCause_Paste'!$A$2210:$AZ$2210,1,OC_Donor)="","",INDEX('OneCause_Paste'!$A$2210:$AZ$2210,1,OC_Donor)))</f>
        <v/>
      </c>
    </row>
    <row r="2211">
      <c r="A2211" s="62">
        <f>IF(H2211="","",IF(ISNUMBER(N2211),N2211,I2211))</f>
        <v/>
      </c>
      <c r="B2211">
        <f>IF(H2211="","",U2211)</f>
        <v/>
      </c>
      <c r="C2211">
        <f>IF(H2211="","",IF(P2211="",K2211,INDEX('Students'!$A$2:$A$701,P2211)))</f>
        <v/>
      </c>
      <c r="D2211">
        <f>IF(OR(H2211="",P2211=""),"",INDEX('Students'!$B$2:$B$701,P2211))</f>
        <v/>
      </c>
      <c r="E2211">
        <f>IF(OR(H2211="",P2211=""),"",INDEX('Students'!$C$2:$C$701,P2211))</f>
        <v/>
      </c>
      <c r="F2211" s="48">
        <f>IF(H2211="","",IF(ISNUMBER(O2211),O2211,J2211))</f>
        <v/>
      </c>
      <c r="G2211">
        <f>IF(H2211="","","OneCause")</f>
        <v/>
      </c>
      <c r="H2211">
        <f>IF(AND(I2211="",J2211="",K2211=""),"",IF(NOT(ISNUMBER(O2211)),"Bad amount",IF(O2211&lt;0,"Refund (not counted)",IF(O2211=0,"Zero amount",IF(NOT(ISNUMBER(N2211)),"Bad date",IF(P2211="","NAME NOT ON ROSTER",IF(L2211="","OK",IF(MATCH(L2211,$L$2:$L$3001,0)&lt;ROW()-1,"Duplicate (ignored)","OK"))))))))</f>
        <v/>
      </c>
      <c r="I2211">
        <f>IF(OC_Date=0,"",IF(INDEX('OneCause_Paste'!$A$2211:$AZ$2211,1,OC_Date)="","",INDEX('OneCause_Paste'!$A$2211:$AZ$2211,1,OC_Date)))</f>
        <v/>
      </c>
      <c r="J2211">
        <f>IF(OC_Amt=0,"",IF(INDEX('OneCause_Paste'!$A$2211:$AZ$2211,1,OC_Amt)="","",INDEX('OneCause_Paste'!$A$2211:$AZ$2211,1,OC_Amt)))</f>
        <v/>
      </c>
      <c r="K2211">
        <f>IF(OC_Name=0,"",IF(INDEX('OneCause_Paste'!$A$2211:$AZ$2211,1,OC_Name)="","",INDEX('OneCause_Paste'!$A$2211:$AZ$2211,1,OC_Name)))</f>
        <v/>
      </c>
      <c r="L2211">
        <f>IF(OC_Txn=0,"",IF(INDEX('OneCause_Paste'!$A$2211:$AZ$2211,1,OC_Txn)="","",INDEX('OneCause_Paste'!$A$2211:$AZ$2211,1,OC_Txn)))</f>
        <v/>
      </c>
      <c r="M2211">
        <f>IF(OC_Pay=0,"",IF(INDEX('OneCause_Paste'!$A$2211:$AZ$2211,1,OC_Pay)="","",INDEX('OneCause_Paste'!$A$2211:$AZ$2211,1,OC_Pay)))</f>
        <v/>
      </c>
      <c r="N2211">
        <f>IF(I2211="","",IF(ISNUMBER(I2211),INT(I2211),IFERROR(INT(DATEVALUE(I2211)),IFERROR(INT(VALUE(I2211)),"bad"))))</f>
        <v/>
      </c>
      <c r="O2211">
        <f>IF(J2211="","",IF(ISNUMBER(J2211),ROUND(J2211,2),IFERROR(ROUND(VALUE(SUBSTITUTE(SUBSTITUTE(SUBSTITUTE(J2211,"$",""),",","")," ","")),2),"bad")))</f>
        <v/>
      </c>
      <c r="P2211">
        <f>IF(TRIM(K2211)="","",IFERROR(MATCH(LOWER(TRIM(K2211)),'Students'!$AH$2:$AH$701,0),IFERROR(MATCH(LOWER(TRIM(K2211)),'Students'!$AF$2:$AF$701,0),IFERROR(MATCH(LOWER(TRIM(K2211)),'Students'!$AG$2:$AG$701,0),""))))</f>
        <v/>
      </c>
      <c r="R2211">
        <f>IF(P2211="","",INDEX('Students'!$AD$2:$AD$701,P2211))</f>
        <v/>
      </c>
      <c r="S2211">
        <f>IF(H2211="OK",O2211,0)</f>
        <v/>
      </c>
      <c r="T2211">
        <f>IF(H2211="OK",N2211,"")</f>
        <v/>
      </c>
      <c r="U2211">
        <f>IF(OC_Donor=0,"",IF(INDEX('OneCause_Paste'!$A$2211:$AZ$2211,1,OC_Donor)="","",INDEX('OneCause_Paste'!$A$2211:$AZ$2211,1,OC_Donor)))</f>
        <v/>
      </c>
    </row>
    <row r="2212">
      <c r="A2212" s="62">
        <f>IF(H2212="","",IF(ISNUMBER(N2212),N2212,I2212))</f>
        <v/>
      </c>
      <c r="B2212">
        <f>IF(H2212="","",U2212)</f>
        <v/>
      </c>
      <c r="C2212">
        <f>IF(H2212="","",IF(P2212="",K2212,INDEX('Students'!$A$2:$A$701,P2212)))</f>
        <v/>
      </c>
      <c r="D2212">
        <f>IF(OR(H2212="",P2212=""),"",INDEX('Students'!$B$2:$B$701,P2212))</f>
        <v/>
      </c>
      <c r="E2212">
        <f>IF(OR(H2212="",P2212=""),"",INDEX('Students'!$C$2:$C$701,P2212))</f>
        <v/>
      </c>
      <c r="F2212" s="48">
        <f>IF(H2212="","",IF(ISNUMBER(O2212),O2212,J2212))</f>
        <v/>
      </c>
      <c r="G2212">
        <f>IF(H2212="","","OneCause")</f>
        <v/>
      </c>
      <c r="H2212">
        <f>IF(AND(I2212="",J2212="",K2212=""),"",IF(NOT(ISNUMBER(O2212)),"Bad amount",IF(O2212&lt;0,"Refund (not counted)",IF(O2212=0,"Zero amount",IF(NOT(ISNUMBER(N2212)),"Bad date",IF(P2212="","NAME NOT ON ROSTER",IF(L2212="","OK",IF(MATCH(L2212,$L$2:$L$3001,0)&lt;ROW()-1,"Duplicate (ignored)","OK"))))))))</f>
        <v/>
      </c>
      <c r="I2212">
        <f>IF(OC_Date=0,"",IF(INDEX('OneCause_Paste'!$A$2212:$AZ$2212,1,OC_Date)="","",INDEX('OneCause_Paste'!$A$2212:$AZ$2212,1,OC_Date)))</f>
        <v/>
      </c>
      <c r="J2212">
        <f>IF(OC_Amt=0,"",IF(INDEX('OneCause_Paste'!$A$2212:$AZ$2212,1,OC_Amt)="","",INDEX('OneCause_Paste'!$A$2212:$AZ$2212,1,OC_Amt)))</f>
        <v/>
      </c>
      <c r="K2212">
        <f>IF(OC_Name=0,"",IF(INDEX('OneCause_Paste'!$A$2212:$AZ$2212,1,OC_Name)="","",INDEX('OneCause_Paste'!$A$2212:$AZ$2212,1,OC_Name)))</f>
        <v/>
      </c>
      <c r="L2212">
        <f>IF(OC_Txn=0,"",IF(INDEX('OneCause_Paste'!$A$2212:$AZ$2212,1,OC_Txn)="","",INDEX('OneCause_Paste'!$A$2212:$AZ$2212,1,OC_Txn)))</f>
        <v/>
      </c>
      <c r="M2212">
        <f>IF(OC_Pay=0,"",IF(INDEX('OneCause_Paste'!$A$2212:$AZ$2212,1,OC_Pay)="","",INDEX('OneCause_Paste'!$A$2212:$AZ$2212,1,OC_Pay)))</f>
        <v/>
      </c>
      <c r="N2212">
        <f>IF(I2212="","",IF(ISNUMBER(I2212),INT(I2212),IFERROR(INT(DATEVALUE(I2212)),IFERROR(INT(VALUE(I2212)),"bad"))))</f>
        <v/>
      </c>
      <c r="O2212">
        <f>IF(J2212="","",IF(ISNUMBER(J2212),ROUND(J2212,2),IFERROR(ROUND(VALUE(SUBSTITUTE(SUBSTITUTE(SUBSTITUTE(J2212,"$",""),",","")," ","")),2),"bad")))</f>
        <v/>
      </c>
      <c r="P2212">
        <f>IF(TRIM(K2212)="","",IFERROR(MATCH(LOWER(TRIM(K2212)),'Students'!$AH$2:$AH$701,0),IFERROR(MATCH(LOWER(TRIM(K2212)),'Students'!$AF$2:$AF$701,0),IFERROR(MATCH(LOWER(TRIM(K2212)),'Students'!$AG$2:$AG$701,0),""))))</f>
        <v/>
      </c>
      <c r="R2212">
        <f>IF(P2212="","",INDEX('Students'!$AD$2:$AD$701,P2212))</f>
        <v/>
      </c>
      <c r="S2212">
        <f>IF(H2212="OK",O2212,0)</f>
        <v/>
      </c>
      <c r="T2212">
        <f>IF(H2212="OK",N2212,"")</f>
        <v/>
      </c>
      <c r="U2212">
        <f>IF(OC_Donor=0,"",IF(INDEX('OneCause_Paste'!$A$2212:$AZ$2212,1,OC_Donor)="","",INDEX('OneCause_Paste'!$A$2212:$AZ$2212,1,OC_Donor)))</f>
        <v/>
      </c>
    </row>
    <row r="2213">
      <c r="A2213" s="62">
        <f>IF(H2213="","",IF(ISNUMBER(N2213),N2213,I2213))</f>
        <v/>
      </c>
      <c r="B2213">
        <f>IF(H2213="","",U2213)</f>
        <v/>
      </c>
      <c r="C2213">
        <f>IF(H2213="","",IF(P2213="",K2213,INDEX('Students'!$A$2:$A$701,P2213)))</f>
        <v/>
      </c>
      <c r="D2213">
        <f>IF(OR(H2213="",P2213=""),"",INDEX('Students'!$B$2:$B$701,P2213))</f>
        <v/>
      </c>
      <c r="E2213">
        <f>IF(OR(H2213="",P2213=""),"",INDEX('Students'!$C$2:$C$701,P2213))</f>
        <v/>
      </c>
      <c r="F2213" s="48">
        <f>IF(H2213="","",IF(ISNUMBER(O2213),O2213,J2213))</f>
        <v/>
      </c>
      <c r="G2213">
        <f>IF(H2213="","","OneCause")</f>
        <v/>
      </c>
      <c r="H2213">
        <f>IF(AND(I2213="",J2213="",K2213=""),"",IF(NOT(ISNUMBER(O2213)),"Bad amount",IF(O2213&lt;0,"Refund (not counted)",IF(O2213=0,"Zero amount",IF(NOT(ISNUMBER(N2213)),"Bad date",IF(P2213="","NAME NOT ON ROSTER",IF(L2213="","OK",IF(MATCH(L2213,$L$2:$L$3001,0)&lt;ROW()-1,"Duplicate (ignored)","OK"))))))))</f>
        <v/>
      </c>
      <c r="I2213">
        <f>IF(OC_Date=0,"",IF(INDEX('OneCause_Paste'!$A$2213:$AZ$2213,1,OC_Date)="","",INDEX('OneCause_Paste'!$A$2213:$AZ$2213,1,OC_Date)))</f>
        <v/>
      </c>
      <c r="J2213">
        <f>IF(OC_Amt=0,"",IF(INDEX('OneCause_Paste'!$A$2213:$AZ$2213,1,OC_Amt)="","",INDEX('OneCause_Paste'!$A$2213:$AZ$2213,1,OC_Amt)))</f>
        <v/>
      </c>
      <c r="K2213">
        <f>IF(OC_Name=0,"",IF(INDEX('OneCause_Paste'!$A$2213:$AZ$2213,1,OC_Name)="","",INDEX('OneCause_Paste'!$A$2213:$AZ$2213,1,OC_Name)))</f>
        <v/>
      </c>
      <c r="L2213">
        <f>IF(OC_Txn=0,"",IF(INDEX('OneCause_Paste'!$A$2213:$AZ$2213,1,OC_Txn)="","",INDEX('OneCause_Paste'!$A$2213:$AZ$2213,1,OC_Txn)))</f>
        <v/>
      </c>
      <c r="M2213">
        <f>IF(OC_Pay=0,"",IF(INDEX('OneCause_Paste'!$A$2213:$AZ$2213,1,OC_Pay)="","",INDEX('OneCause_Paste'!$A$2213:$AZ$2213,1,OC_Pay)))</f>
        <v/>
      </c>
      <c r="N2213">
        <f>IF(I2213="","",IF(ISNUMBER(I2213),INT(I2213),IFERROR(INT(DATEVALUE(I2213)),IFERROR(INT(VALUE(I2213)),"bad"))))</f>
        <v/>
      </c>
      <c r="O2213">
        <f>IF(J2213="","",IF(ISNUMBER(J2213),ROUND(J2213,2),IFERROR(ROUND(VALUE(SUBSTITUTE(SUBSTITUTE(SUBSTITUTE(J2213,"$",""),",","")," ","")),2),"bad")))</f>
        <v/>
      </c>
      <c r="P2213">
        <f>IF(TRIM(K2213)="","",IFERROR(MATCH(LOWER(TRIM(K2213)),'Students'!$AH$2:$AH$701,0),IFERROR(MATCH(LOWER(TRIM(K2213)),'Students'!$AF$2:$AF$701,0),IFERROR(MATCH(LOWER(TRIM(K2213)),'Students'!$AG$2:$AG$701,0),""))))</f>
        <v/>
      </c>
      <c r="R2213">
        <f>IF(P2213="","",INDEX('Students'!$AD$2:$AD$701,P2213))</f>
        <v/>
      </c>
      <c r="S2213">
        <f>IF(H2213="OK",O2213,0)</f>
        <v/>
      </c>
      <c r="T2213">
        <f>IF(H2213="OK",N2213,"")</f>
        <v/>
      </c>
      <c r="U2213">
        <f>IF(OC_Donor=0,"",IF(INDEX('OneCause_Paste'!$A$2213:$AZ$2213,1,OC_Donor)="","",INDEX('OneCause_Paste'!$A$2213:$AZ$2213,1,OC_Donor)))</f>
        <v/>
      </c>
    </row>
    <row r="2214">
      <c r="A2214" s="62">
        <f>IF(H2214="","",IF(ISNUMBER(N2214),N2214,I2214))</f>
        <v/>
      </c>
      <c r="B2214">
        <f>IF(H2214="","",U2214)</f>
        <v/>
      </c>
      <c r="C2214">
        <f>IF(H2214="","",IF(P2214="",K2214,INDEX('Students'!$A$2:$A$701,P2214)))</f>
        <v/>
      </c>
      <c r="D2214">
        <f>IF(OR(H2214="",P2214=""),"",INDEX('Students'!$B$2:$B$701,P2214))</f>
        <v/>
      </c>
      <c r="E2214">
        <f>IF(OR(H2214="",P2214=""),"",INDEX('Students'!$C$2:$C$701,P2214))</f>
        <v/>
      </c>
      <c r="F2214" s="48">
        <f>IF(H2214="","",IF(ISNUMBER(O2214),O2214,J2214))</f>
        <v/>
      </c>
      <c r="G2214">
        <f>IF(H2214="","","OneCause")</f>
        <v/>
      </c>
      <c r="H2214">
        <f>IF(AND(I2214="",J2214="",K2214=""),"",IF(NOT(ISNUMBER(O2214)),"Bad amount",IF(O2214&lt;0,"Refund (not counted)",IF(O2214=0,"Zero amount",IF(NOT(ISNUMBER(N2214)),"Bad date",IF(P2214="","NAME NOT ON ROSTER",IF(L2214="","OK",IF(MATCH(L2214,$L$2:$L$3001,0)&lt;ROW()-1,"Duplicate (ignored)","OK"))))))))</f>
        <v/>
      </c>
      <c r="I2214">
        <f>IF(OC_Date=0,"",IF(INDEX('OneCause_Paste'!$A$2214:$AZ$2214,1,OC_Date)="","",INDEX('OneCause_Paste'!$A$2214:$AZ$2214,1,OC_Date)))</f>
        <v/>
      </c>
      <c r="J2214">
        <f>IF(OC_Amt=0,"",IF(INDEX('OneCause_Paste'!$A$2214:$AZ$2214,1,OC_Amt)="","",INDEX('OneCause_Paste'!$A$2214:$AZ$2214,1,OC_Amt)))</f>
        <v/>
      </c>
      <c r="K2214">
        <f>IF(OC_Name=0,"",IF(INDEX('OneCause_Paste'!$A$2214:$AZ$2214,1,OC_Name)="","",INDEX('OneCause_Paste'!$A$2214:$AZ$2214,1,OC_Name)))</f>
        <v/>
      </c>
      <c r="L2214">
        <f>IF(OC_Txn=0,"",IF(INDEX('OneCause_Paste'!$A$2214:$AZ$2214,1,OC_Txn)="","",INDEX('OneCause_Paste'!$A$2214:$AZ$2214,1,OC_Txn)))</f>
        <v/>
      </c>
      <c r="M2214">
        <f>IF(OC_Pay=0,"",IF(INDEX('OneCause_Paste'!$A$2214:$AZ$2214,1,OC_Pay)="","",INDEX('OneCause_Paste'!$A$2214:$AZ$2214,1,OC_Pay)))</f>
        <v/>
      </c>
      <c r="N2214">
        <f>IF(I2214="","",IF(ISNUMBER(I2214),INT(I2214),IFERROR(INT(DATEVALUE(I2214)),IFERROR(INT(VALUE(I2214)),"bad"))))</f>
        <v/>
      </c>
      <c r="O2214">
        <f>IF(J2214="","",IF(ISNUMBER(J2214),ROUND(J2214,2),IFERROR(ROUND(VALUE(SUBSTITUTE(SUBSTITUTE(SUBSTITUTE(J2214,"$",""),",","")," ","")),2),"bad")))</f>
        <v/>
      </c>
      <c r="P2214">
        <f>IF(TRIM(K2214)="","",IFERROR(MATCH(LOWER(TRIM(K2214)),'Students'!$AH$2:$AH$701,0),IFERROR(MATCH(LOWER(TRIM(K2214)),'Students'!$AF$2:$AF$701,0),IFERROR(MATCH(LOWER(TRIM(K2214)),'Students'!$AG$2:$AG$701,0),""))))</f>
        <v/>
      </c>
      <c r="R2214">
        <f>IF(P2214="","",INDEX('Students'!$AD$2:$AD$701,P2214))</f>
        <v/>
      </c>
      <c r="S2214">
        <f>IF(H2214="OK",O2214,0)</f>
        <v/>
      </c>
      <c r="T2214">
        <f>IF(H2214="OK",N2214,"")</f>
        <v/>
      </c>
      <c r="U2214">
        <f>IF(OC_Donor=0,"",IF(INDEX('OneCause_Paste'!$A$2214:$AZ$2214,1,OC_Donor)="","",INDEX('OneCause_Paste'!$A$2214:$AZ$2214,1,OC_Donor)))</f>
        <v/>
      </c>
    </row>
    <row r="2215">
      <c r="A2215" s="62">
        <f>IF(H2215="","",IF(ISNUMBER(N2215),N2215,I2215))</f>
        <v/>
      </c>
      <c r="B2215">
        <f>IF(H2215="","",U2215)</f>
        <v/>
      </c>
      <c r="C2215">
        <f>IF(H2215="","",IF(P2215="",K2215,INDEX('Students'!$A$2:$A$701,P2215)))</f>
        <v/>
      </c>
      <c r="D2215">
        <f>IF(OR(H2215="",P2215=""),"",INDEX('Students'!$B$2:$B$701,P2215))</f>
        <v/>
      </c>
      <c r="E2215">
        <f>IF(OR(H2215="",P2215=""),"",INDEX('Students'!$C$2:$C$701,P2215))</f>
        <v/>
      </c>
      <c r="F2215" s="48">
        <f>IF(H2215="","",IF(ISNUMBER(O2215),O2215,J2215))</f>
        <v/>
      </c>
      <c r="G2215">
        <f>IF(H2215="","","OneCause")</f>
        <v/>
      </c>
      <c r="H2215">
        <f>IF(AND(I2215="",J2215="",K2215=""),"",IF(NOT(ISNUMBER(O2215)),"Bad amount",IF(O2215&lt;0,"Refund (not counted)",IF(O2215=0,"Zero amount",IF(NOT(ISNUMBER(N2215)),"Bad date",IF(P2215="","NAME NOT ON ROSTER",IF(L2215="","OK",IF(MATCH(L2215,$L$2:$L$3001,0)&lt;ROW()-1,"Duplicate (ignored)","OK"))))))))</f>
        <v/>
      </c>
      <c r="I2215">
        <f>IF(OC_Date=0,"",IF(INDEX('OneCause_Paste'!$A$2215:$AZ$2215,1,OC_Date)="","",INDEX('OneCause_Paste'!$A$2215:$AZ$2215,1,OC_Date)))</f>
        <v/>
      </c>
      <c r="J2215">
        <f>IF(OC_Amt=0,"",IF(INDEX('OneCause_Paste'!$A$2215:$AZ$2215,1,OC_Amt)="","",INDEX('OneCause_Paste'!$A$2215:$AZ$2215,1,OC_Amt)))</f>
        <v/>
      </c>
      <c r="K2215">
        <f>IF(OC_Name=0,"",IF(INDEX('OneCause_Paste'!$A$2215:$AZ$2215,1,OC_Name)="","",INDEX('OneCause_Paste'!$A$2215:$AZ$2215,1,OC_Name)))</f>
        <v/>
      </c>
      <c r="L2215">
        <f>IF(OC_Txn=0,"",IF(INDEX('OneCause_Paste'!$A$2215:$AZ$2215,1,OC_Txn)="","",INDEX('OneCause_Paste'!$A$2215:$AZ$2215,1,OC_Txn)))</f>
        <v/>
      </c>
      <c r="M2215">
        <f>IF(OC_Pay=0,"",IF(INDEX('OneCause_Paste'!$A$2215:$AZ$2215,1,OC_Pay)="","",INDEX('OneCause_Paste'!$A$2215:$AZ$2215,1,OC_Pay)))</f>
        <v/>
      </c>
      <c r="N2215">
        <f>IF(I2215="","",IF(ISNUMBER(I2215),INT(I2215),IFERROR(INT(DATEVALUE(I2215)),IFERROR(INT(VALUE(I2215)),"bad"))))</f>
        <v/>
      </c>
      <c r="O2215">
        <f>IF(J2215="","",IF(ISNUMBER(J2215),ROUND(J2215,2),IFERROR(ROUND(VALUE(SUBSTITUTE(SUBSTITUTE(SUBSTITUTE(J2215,"$",""),",","")," ","")),2),"bad")))</f>
        <v/>
      </c>
      <c r="P2215">
        <f>IF(TRIM(K2215)="","",IFERROR(MATCH(LOWER(TRIM(K2215)),'Students'!$AH$2:$AH$701,0),IFERROR(MATCH(LOWER(TRIM(K2215)),'Students'!$AF$2:$AF$701,0),IFERROR(MATCH(LOWER(TRIM(K2215)),'Students'!$AG$2:$AG$701,0),""))))</f>
        <v/>
      </c>
      <c r="R2215">
        <f>IF(P2215="","",INDEX('Students'!$AD$2:$AD$701,P2215))</f>
        <v/>
      </c>
      <c r="S2215">
        <f>IF(H2215="OK",O2215,0)</f>
        <v/>
      </c>
      <c r="T2215">
        <f>IF(H2215="OK",N2215,"")</f>
        <v/>
      </c>
      <c r="U2215">
        <f>IF(OC_Donor=0,"",IF(INDEX('OneCause_Paste'!$A$2215:$AZ$2215,1,OC_Donor)="","",INDEX('OneCause_Paste'!$A$2215:$AZ$2215,1,OC_Donor)))</f>
        <v/>
      </c>
    </row>
    <row r="2216">
      <c r="A2216" s="62">
        <f>IF(H2216="","",IF(ISNUMBER(N2216),N2216,I2216))</f>
        <v/>
      </c>
      <c r="B2216">
        <f>IF(H2216="","",U2216)</f>
        <v/>
      </c>
      <c r="C2216">
        <f>IF(H2216="","",IF(P2216="",K2216,INDEX('Students'!$A$2:$A$701,P2216)))</f>
        <v/>
      </c>
      <c r="D2216">
        <f>IF(OR(H2216="",P2216=""),"",INDEX('Students'!$B$2:$B$701,P2216))</f>
        <v/>
      </c>
      <c r="E2216">
        <f>IF(OR(H2216="",P2216=""),"",INDEX('Students'!$C$2:$C$701,P2216))</f>
        <v/>
      </c>
      <c r="F2216" s="48">
        <f>IF(H2216="","",IF(ISNUMBER(O2216),O2216,J2216))</f>
        <v/>
      </c>
      <c r="G2216">
        <f>IF(H2216="","","OneCause")</f>
        <v/>
      </c>
      <c r="H2216">
        <f>IF(AND(I2216="",J2216="",K2216=""),"",IF(NOT(ISNUMBER(O2216)),"Bad amount",IF(O2216&lt;0,"Refund (not counted)",IF(O2216=0,"Zero amount",IF(NOT(ISNUMBER(N2216)),"Bad date",IF(P2216="","NAME NOT ON ROSTER",IF(L2216="","OK",IF(MATCH(L2216,$L$2:$L$3001,0)&lt;ROW()-1,"Duplicate (ignored)","OK"))))))))</f>
        <v/>
      </c>
      <c r="I2216">
        <f>IF(OC_Date=0,"",IF(INDEX('OneCause_Paste'!$A$2216:$AZ$2216,1,OC_Date)="","",INDEX('OneCause_Paste'!$A$2216:$AZ$2216,1,OC_Date)))</f>
        <v/>
      </c>
      <c r="J2216">
        <f>IF(OC_Amt=0,"",IF(INDEX('OneCause_Paste'!$A$2216:$AZ$2216,1,OC_Amt)="","",INDEX('OneCause_Paste'!$A$2216:$AZ$2216,1,OC_Amt)))</f>
        <v/>
      </c>
      <c r="K2216">
        <f>IF(OC_Name=0,"",IF(INDEX('OneCause_Paste'!$A$2216:$AZ$2216,1,OC_Name)="","",INDEX('OneCause_Paste'!$A$2216:$AZ$2216,1,OC_Name)))</f>
        <v/>
      </c>
      <c r="L2216">
        <f>IF(OC_Txn=0,"",IF(INDEX('OneCause_Paste'!$A$2216:$AZ$2216,1,OC_Txn)="","",INDEX('OneCause_Paste'!$A$2216:$AZ$2216,1,OC_Txn)))</f>
        <v/>
      </c>
      <c r="M2216">
        <f>IF(OC_Pay=0,"",IF(INDEX('OneCause_Paste'!$A$2216:$AZ$2216,1,OC_Pay)="","",INDEX('OneCause_Paste'!$A$2216:$AZ$2216,1,OC_Pay)))</f>
        <v/>
      </c>
      <c r="N2216">
        <f>IF(I2216="","",IF(ISNUMBER(I2216),INT(I2216),IFERROR(INT(DATEVALUE(I2216)),IFERROR(INT(VALUE(I2216)),"bad"))))</f>
        <v/>
      </c>
      <c r="O2216">
        <f>IF(J2216="","",IF(ISNUMBER(J2216),ROUND(J2216,2),IFERROR(ROUND(VALUE(SUBSTITUTE(SUBSTITUTE(SUBSTITUTE(J2216,"$",""),",","")," ","")),2),"bad")))</f>
        <v/>
      </c>
      <c r="P2216">
        <f>IF(TRIM(K2216)="","",IFERROR(MATCH(LOWER(TRIM(K2216)),'Students'!$AH$2:$AH$701,0),IFERROR(MATCH(LOWER(TRIM(K2216)),'Students'!$AF$2:$AF$701,0),IFERROR(MATCH(LOWER(TRIM(K2216)),'Students'!$AG$2:$AG$701,0),""))))</f>
        <v/>
      </c>
      <c r="R2216">
        <f>IF(P2216="","",INDEX('Students'!$AD$2:$AD$701,P2216))</f>
        <v/>
      </c>
      <c r="S2216">
        <f>IF(H2216="OK",O2216,0)</f>
        <v/>
      </c>
      <c r="T2216">
        <f>IF(H2216="OK",N2216,"")</f>
        <v/>
      </c>
      <c r="U2216">
        <f>IF(OC_Donor=0,"",IF(INDEX('OneCause_Paste'!$A$2216:$AZ$2216,1,OC_Donor)="","",INDEX('OneCause_Paste'!$A$2216:$AZ$2216,1,OC_Donor)))</f>
        <v/>
      </c>
    </row>
    <row r="2217">
      <c r="A2217" s="62">
        <f>IF(H2217="","",IF(ISNUMBER(N2217),N2217,I2217))</f>
        <v/>
      </c>
      <c r="B2217">
        <f>IF(H2217="","",U2217)</f>
        <v/>
      </c>
      <c r="C2217">
        <f>IF(H2217="","",IF(P2217="",K2217,INDEX('Students'!$A$2:$A$701,P2217)))</f>
        <v/>
      </c>
      <c r="D2217">
        <f>IF(OR(H2217="",P2217=""),"",INDEX('Students'!$B$2:$B$701,P2217))</f>
        <v/>
      </c>
      <c r="E2217">
        <f>IF(OR(H2217="",P2217=""),"",INDEX('Students'!$C$2:$C$701,P2217))</f>
        <v/>
      </c>
      <c r="F2217" s="48">
        <f>IF(H2217="","",IF(ISNUMBER(O2217),O2217,J2217))</f>
        <v/>
      </c>
      <c r="G2217">
        <f>IF(H2217="","","OneCause")</f>
        <v/>
      </c>
      <c r="H2217">
        <f>IF(AND(I2217="",J2217="",K2217=""),"",IF(NOT(ISNUMBER(O2217)),"Bad amount",IF(O2217&lt;0,"Refund (not counted)",IF(O2217=0,"Zero amount",IF(NOT(ISNUMBER(N2217)),"Bad date",IF(P2217="","NAME NOT ON ROSTER",IF(L2217="","OK",IF(MATCH(L2217,$L$2:$L$3001,0)&lt;ROW()-1,"Duplicate (ignored)","OK"))))))))</f>
        <v/>
      </c>
      <c r="I2217">
        <f>IF(OC_Date=0,"",IF(INDEX('OneCause_Paste'!$A$2217:$AZ$2217,1,OC_Date)="","",INDEX('OneCause_Paste'!$A$2217:$AZ$2217,1,OC_Date)))</f>
        <v/>
      </c>
      <c r="J2217">
        <f>IF(OC_Amt=0,"",IF(INDEX('OneCause_Paste'!$A$2217:$AZ$2217,1,OC_Amt)="","",INDEX('OneCause_Paste'!$A$2217:$AZ$2217,1,OC_Amt)))</f>
        <v/>
      </c>
      <c r="K2217">
        <f>IF(OC_Name=0,"",IF(INDEX('OneCause_Paste'!$A$2217:$AZ$2217,1,OC_Name)="","",INDEX('OneCause_Paste'!$A$2217:$AZ$2217,1,OC_Name)))</f>
        <v/>
      </c>
      <c r="L2217">
        <f>IF(OC_Txn=0,"",IF(INDEX('OneCause_Paste'!$A$2217:$AZ$2217,1,OC_Txn)="","",INDEX('OneCause_Paste'!$A$2217:$AZ$2217,1,OC_Txn)))</f>
        <v/>
      </c>
      <c r="M2217">
        <f>IF(OC_Pay=0,"",IF(INDEX('OneCause_Paste'!$A$2217:$AZ$2217,1,OC_Pay)="","",INDEX('OneCause_Paste'!$A$2217:$AZ$2217,1,OC_Pay)))</f>
        <v/>
      </c>
      <c r="N2217">
        <f>IF(I2217="","",IF(ISNUMBER(I2217),INT(I2217),IFERROR(INT(DATEVALUE(I2217)),IFERROR(INT(VALUE(I2217)),"bad"))))</f>
        <v/>
      </c>
      <c r="O2217">
        <f>IF(J2217="","",IF(ISNUMBER(J2217),ROUND(J2217,2),IFERROR(ROUND(VALUE(SUBSTITUTE(SUBSTITUTE(SUBSTITUTE(J2217,"$",""),",","")," ","")),2),"bad")))</f>
        <v/>
      </c>
      <c r="P2217">
        <f>IF(TRIM(K2217)="","",IFERROR(MATCH(LOWER(TRIM(K2217)),'Students'!$AH$2:$AH$701,0),IFERROR(MATCH(LOWER(TRIM(K2217)),'Students'!$AF$2:$AF$701,0),IFERROR(MATCH(LOWER(TRIM(K2217)),'Students'!$AG$2:$AG$701,0),""))))</f>
        <v/>
      </c>
      <c r="R2217">
        <f>IF(P2217="","",INDEX('Students'!$AD$2:$AD$701,P2217))</f>
        <v/>
      </c>
      <c r="S2217">
        <f>IF(H2217="OK",O2217,0)</f>
        <v/>
      </c>
      <c r="T2217">
        <f>IF(H2217="OK",N2217,"")</f>
        <v/>
      </c>
      <c r="U2217">
        <f>IF(OC_Donor=0,"",IF(INDEX('OneCause_Paste'!$A$2217:$AZ$2217,1,OC_Donor)="","",INDEX('OneCause_Paste'!$A$2217:$AZ$2217,1,OC_Donor)))</f>
        <v/>
      </c>
    </row>
    <row r="2218">
      <c r="A2218" s="62">
        <f>IF(H2218="","",IF(ISNUMBER(N2218),N2218,I2218))</f>
        <v/>
      </c>
      <c r="B2218">
        <f>IF(H2218="","",U2218)</f>
        <v/>
      </c>
      <c r="C2218">
        <f>IF(H2218="","",IF(P2218="",K2218,INDEX('Students'!$A$2:$A$701,P2218)))</f>
        <v/>
      </c>
      <c r="D2218">
        <f>IF(OR(H2218="",P2218=""),"",INDEX('Students'!$B$2:$B$701,P2218))</f>
        <v/>
      </c>
      <c r="E2218">
        <f>IF(OR(H2218="",P2218=""),"",INDEX('Students'!$C$2:$C$701,P2218))</f>
        <v/>
      </c>
      <c r="F2218" s="48">
        <f>IF(H2218="","",IF(ISNUMBER(O2218),O2218,J2218))</f>
        <v/>
      </c>
      <c r="G2218">
        <f>IF(H2218="","","OneCause")</f>
        <v/>
      </c>
      <c r="H2218">
        <f>IF(AND(I2218="",J2218="",K2218=""),"",IF(NOT(ISNUMBER(O2218)),"Bad amount",IF(O2218&lt;0,"Refund (not counted)",IF(O2218=0,"Zero amount",IF(NOT(ISNUMBER(N2218)),"Bad date",IF(P2218="","NAME NOT ON ROSTER",IF(L2218="","OK",IF(MATCH(L2218,$L$2:$L$3001,0)&lt;ROW()-1,"Duplicate (ignored)","OK"))))))))</f>
        <v/>
      </c>
      <c r="I2218">
        <f>IF(OC_Date=0,"",IF(INDEX('OneCause_Paste'!$A$2218:$AZ$2218,1,OC_Date)="","",INDEX('OneCause_Paste'!$A$2218:$AZ$2218,1,OC_Date)))</f>
        <v/>
      </c>
      <c r="J2218">
        <f>IF(OC_Amt=0,"",IF(INDEX('OneCause_Paste'!$A$2218:$AZ$2218,1,OC_Amt)="","",INDEX('OneCause_Paste'!$A$2218:$AZ$2218,1,OC_Amt)))</f>
        <v/>
      </c>
      <c r="K2218">
        <f>IF(OC_Name=0,"",IF(INDEX('OneCause_Paste'!$A$2218:$AZ$2218,1,OC_Name)="","",INDEX('OneCause_Paste'!$A$2218:$AZ$2218,1,OC_Name)))</f>
        <v/>
      </c>
      <c r="L2218">
        <f>IF(OC_Txn=0,"",IF(INDEX('OneCause_Paste'!$A$2218:$AZ$2218,1,OC_Txn)="","",INDEX('OneCause_Paste'!$A$2218:$AZ$2218,1,OC_Txn)))</f>
        <v/>
      </c>
      <c r="M2218">
        <f>IF(OC_Pay=0,"",IF(INDEX('OneCause_Paste'!$A$2218:$AZ$2218,1,OC_Pay)="","",INDEX('OneCause_Paste'!$A$2218:$AZ$2218,1,OC_Pay)))</f>
        <v/>
      </c>
      <c r="N2218">
        <f>IF(I2218="","",IF(ISNUMBER(I2218),INT(I2218),IFERROR(INT(DATEVALUE(I2218)),IFERROR(INT(VALUE(I2218)),"bad"))))</f>
        <v/>
      </c>
      <c r="O2218">
        <f>IF(J2218="","",IF(ISNUMBER(J2218),ROUND(J2218,2),IFERROR(ROUND(VALUE(SUBSTITUTE(SUBSTITUTE(SUBSTITUTE(J2218,"$",""),",","")," ","")),2),"bad")))</f>
        <v/>
      </c>
      <c r="P2218">
        <f>IF(TRIM(K2218)="","",IFERROR(MATCH(LOWER(TRIM(K2218)),'Students'!$AH$2:$AH$701,0),IFERROR(MATCH(LOWER(TRIM(K2218)),'Students'!$AF$2:$AF$701,0),IFERROR(MATCH(LOWER(TRIM(K2218)),'Students'!$AG$2:$AG$701,0),""))))</f>
        <v/>
      </c>
      <c r="R2218">
        <f>IF(P2218="","",INDEX('Students'!$AD$2:$AD$701,P2218))</f>
        <v/>
      </c>
      <c r="S2218">
        <f>IF(H2218="OK",O2218,0)</f>
        <v/>
      </c>
      <c r="T2218">
        <f>IF(H2218="OK",N2218,"")</f>
        <v/>
      </c>
      <c r="U2218">
        <f>IF(OC_Donor=0,"",IF(INDEX('OneCause_Paste'!$A$2218:$AZ$2218,1,OC_Donor)="","",INDEX('OneCause_Paste'!$A$2218:$AZ$2218,1,OC_Donor)))</f>
        <v/>
      </c>
    </row>
    <row r="2219">
      <c r="A2219" s="62">
        <f>IF(H2219="","",IF(ISNUMBER(N2219),N2219,I2219))</f>
        <v/>
      </c>
      <c r="B2219">
        <f>IF(H2219="","",U2219)</f>
        <v/>
      </c>
      <c r="C2219">
        <f>IF(H2219="","",IF(P2219="",K2219,INDEX('Students'!$A$2:$A$701,P2219)))</f>
        <v/>
      </c>
      <c r="D2219">
        <f>IF(OR(H2219="",P2219=""),"",INDEX('Students'!$B$2:$B$701,P2219))</f>
        <v/>
      </c>
      <c r="E2219">
        <f>IF(OR(H2219="",P2219=""),"",INDEX('Students'!$C$2:$C$701,P2219))</f>
        <v/>
      </c>
      <c r="F2219" s="48">
        <f>IF(H2219="","",IF(ISNUMBER(O2219),O2219,J2219))</f>
        <v/>
      </c>
      <c r="G2219">
        <f>IF(H2219="","","OneCause")</f>
        <v/>
      </c>
      <c r="H2219">
        <f>IF(AND(I2219="",J2219="",K2219=""),"",IF(NOT(ISNUMBER(O2219)),"Bad amount",IF(O2219&lt;0,"Refund (not counted)",IF(O2219=0,"Zero amount",IF(NOT(ISNUMBER(N2219)),"Bad date",IF(P2219="","NAME NOT ON ROSTER",IF(L2219="","OK",IF(MATCH(L2219,$L$2:$L$3001,0)&lt;ROW()-1,"Duplicate (ignored)","OK"))))))))</f>
        <v/>
      </c>
      <c r="I2219">
        <f>IF(OC_Date=0,"",IF(INDEX('OneCause_Paste'!$A$2219:$AZ$2219,1,OC_Date)="","",INDEX('OneCause_Paste'!$A$2219:$AZ$2219,1,OC_Date)))</f>
        <v/>
      </c>
      <c r="J2219">
        <f>IF(OC_Amt=0,"",IF(INDEX('OneCause_Paste'!$A$2219:$AZ$2219,1,OC_Amt)="","",INDEX('OneCause_Paste'!$A$2219:$AZ$2219,1,OC_Amt)))</f>
        <v/>
      </c>
      <c r="K2219">
        <f>IF(OC_Name=0,"",IF(INDEX('OneCause_Paste'!$A$2219:$AZ$2219,1,OC_Name)="","",INDEX('OneCause_Paste'!$A$2219:$AZ$2219,1,OC_Name)))</f>
        <v/>
      </c>
      <c r="L2219">
        <f>IF(OC_Txn=0,"",IF(INDEX('OneCause_Paste'!$A$2219:$AZ$2219,1,OC_Txn)="","",INDEX('OneCause_Paste'!$A$2219:$AZ$2219,1,OC_Txn)))</f>
        <v/>
      </c>
      <c r="M2219">
        <f>IF(OC_Pay=0,"",IF(INDEX('OneCause_Paste'!$A$2219:$AZ$2219,1,OC_Pay)="","",INDEX('OneCause_Paste'!$A$2219:$AZ$2219,1,OC_Pay)))</f>
        <v/>
      </c>
      <c r="N2219">
        <f>IF(I2219="","",IF(ISNUMBER(I2219),INT(I2219),IFERROR(INT(DATEVALUE(I2219)),IFERROR(INT(VALUE(I2219)),"bad"))))</f>
        <v/>
      </c>
      <c r="O2219">
        <f>IF(J2219="","",IF(ISNUMBER(J2219),ROUND(J2219,2),IFERROR(ROUND(VALUE(SUBSTITUTE(SUBSTITUTE(SUBSTITUTE(J2219,"$",""),",","")," ","")),2),"bad")))</f>
        <v/>
      </c>
      <c r="P2219">
        <f>IF(TRIM(K2219)="","",IFERROR(MATCH(LOWER(TRIM(K2219)),'Students'!$AH$2:$AH$701,0),IFERROR(MATCH(LOWER(TRIM(K2219)),'Students'!$AF$2:$AF$701,0),IFERROR(MATCH(LOWER(TRIM(K2219)),'Students'!$AG$2:$AG$701,0),""))))</f>
        <v/>
      </c>
      <c r="R2219">
        <f>IF(P2219="","",INDEX('Students'!$AD$2:$AD$701,P2219))</f>
        <v/>
      </c>
      <c r="S2219">
        <f>IF(H2219="OK",O2219,0)</f>
        <v/>
      </c>
      <c r="T2219">
        <f>IF(H2219="OK",N2219,"")</f>
        <v/>
      </c>
      <c r="U2219">
        <f>IF(OC_Donor=0,"",IF(INDEX('OneCause_Paste'!$A$2219:$AZ$2219,1,OC_Donor)="","",INDEX('OneCause_Paste'!$A$2219:$AZ$2219,1,OC_Donor)))</f>
        <v/>
      </c>
    </row>
    <row r="2220">
      <c r="A2220" s="62">
        <f>IF(H2220="","",IF(ISNUMBER(N2220),N2220,I2220))</f>
        <v/>
      </c>
      <c r="B2220">
        <f>IF(H2220="","",U2220)</f>
        <v/>
      </c>
      <c r="C2220">
        <f>IF(H2220="","",IF(P2220="",K2220,INDEX('Students'!$A$2:$A$701,P2220)))</f>
        <v/>
      </c>
      <c r="D2220">
        <f>IF(OR(H2220="",P2220=""),"",INDEX('Students'!$B$2:$B$701,P2220))</f>
        <v/>
      </c>
      <c r="E2220">
        <f>IF(OR(H2220="",P2220=""),"",INDEX('Students'!$C$2:$C$701,P2220))</f>
        <v/>
      </c>
      <c r="F2220" s="48">
        <f>IF(H2220="","",IF(ISNUMBER(O2220),O2220,J2220))</f>
        <v/>
      </c>
      <c r="G2220">
        <f>IF(H2220="","","OneCause")</f>
        <v/>
      </c>
      <c r="H2220">
        <f>IF(AND(I2220="",J2220="",K2220=""),"",IF(NOT(ISNUMBER(O2220)),"Bad amount",IF(O2220&lt;0,"Refund (not counted)",IF(O2220=0,"Zero amount",IF(NOT(ISNUMBER(N2220)),"Bad date",IF(P2220="","NAME NOT ON ROSTER",IF(L2220="","OK",IF(MATCH(L2220,$L$2:$L$3001,0)&lt;ROW()-1,"Duplicate (ignored)","OK"))))))))</f>
        <v/>
      </c>
      <c r="I2220">
        <f>IF(OC_Date=0,"",IF(INDEX('OneCause_Paste'!$A$2220:$AZ$2220,1,OC_Date)="","",INDEX('OneCause_Paste'!$A$2220:$AZ$2220,1,OC_Date)))</f>
        <v/>
      </c>
      <c r="J2220">
        <f>IF(OC_Amt=0,"",IF(INDEX('OneCause_Paste'!$A$2220:$AZ$2220,1,OC_Amt)="","",INDEX('OneCause_Paste'!$A$2220:$AZ$2220,1,OC_Amt)))</f>
        <v/>
      </c>
      <c r="K2220">
        <f>IF(OC_Name=0,"",IF(INDEX('OneCause_Paste'!$A$2220:$AZ$2220,1,OC_Name)="","",INDEX('OneCause_Paste'!$A$2220:$AZ$2220,1,OC_Name)))</f>
        <v/>
      </c>
      <c r="L2220">
        <f>IF(OC_Txn=0,"",IF(INDEX('OneCause_Paste'!$A$2220:$AZ$2220,1,OC_Txn)="","",INDEX('OneCause_Paste'!$A$2220:$AZ$2220,1,OC_Txn)))</f>
        <v/>
      </c>
      <c r="M2220">
        <f>IF(OC_Pay=0,"",IF(INDEX('OneCause_Paste'!$A$2220:$AZ$2220,1,OC_Pay)="","",INDEX('OneCause_Paste'!$A$2220:$AZ$2220,1,OC_Pay)))</f>
        <v/>
      </c>
      <c r="N2220">
        <f>IF(I2220="","",IF(ISNUMBER(I2220),INT(I2220),IFERROR(INT(DATEVALUE(I2220)),IFERROR(INT(VALUE(I2220)),"bad"))))</f>
        <v/>
      </c>
      <c r="O2220">
        <f>IF(J2220="","",IF(ISNUMBER(J2220),ROUND(J2220,2),IFERROR(ROUND(VALUE(SUBSTITUTE(SUBSTITUTE(SUBSTITUTE(J2220,"$",""),",","")," ","")),2),"bad")))</f>
        <v/>
      </c>
      <c r="P2220">
        <f>IF(TRIM(K2220)="","",IFERROR(MATCH(LOWER(TRIM(K2220)),'Students'!$AH$2:$AH$701,0),IFERROR(MATCH(LOWER(TRIM(K2220)),'Students'!$AF$2:$AF$701,0),IFERROR(MATCH(LOWER(TRIM(K2220)),'Students'!$AG$2:$AG$701,0),""))))</f>
        <v/>
      </c>
      <c r="R2220">
        <f>IF(P2220="","",INDEX('Students'!$AD$2:$AD$701,P2220))</f>
        <v/>
      </c>
      <c r="S2220">
        <f>IF(H2220="OK",O2220,0)</f>
        <v/>
      </c>
      <c r="T2220">
        <f>IF(H2220="OK",N2220,"")</f>
        <v/>
      </c>
      <c r="U2220">
        <f>IF(OC_Donor=0,"",IF(INDEX('OneCause_Paste'!$A$2220:$AZ$2220,1,OC_Donor)="","",INDEX('OneCause_Paste'!$A$2220:$AZ$2220,1,OC_Donor)))</f>
        <v/>
      </c>
    </row>
    <row r="2221">
      <c r="A2221" s="62">
        <f>IF(H2221="","",IF(ISNUMBER(N2221),N2221,I2221))</f>
        <v/>
      </c>
      <c r="B2221">
        <f>IF(H2221="","",U2221)</f>
        <v/>
      </c>
      <c r="C2221">
        <f>IF(H2221="","",IF(P2221="",K2221,INDEX('Students'!$A$2:$A$701,P2221)))</f>
        <v/>
      </c>
      <c r="D2221">
        <f>IF(OR(H2221="",P2221=""),"",INDEX('Students'!$B$2:$B$701,P2221))</f>
        <v/>
      </c>
      <c r="E2221">
        <f>IF(OR(H2221="",P2221=""),"",INDEX('Students'!$C$2:$C$701,P2221))</f>
        <v/>
      </c>
      <c r="F2221" s="48">
        <f>IF(H2221="","",IF(ISNUMBER(O2221),O2221,J2221))</f>
        <v/>
      </c>
      <c r="G2221">
        <f>IF(H2221="","","OneCause")</f>
        <v/>
      </c>
      <c r="H2221">
        <f>IF(AND(I2221="",J2221="",K2221=""),"",IF(NOT(ISNUMBER(O2221)),"Bad amount",IF(O2221&lt;0,"Refund (not counted)",IF(O2221=0,"Zero amount",IF(NOT(ISNUMBER(N2221)),"Bad date",IF(P2221="","NAME NOT ON ROSTER",IF(L2221="","OK",IF(MATCH(L2221,$L$2:$L$3001,0)&lt;ROW()-1,"Duplicate (ignored)","OK"))))))))</f>
        <v/>
      </c>
      <c r="I2221">
        <f>IF(OC_Date=0,"",IF(INDEX('OneCause_Paste'!$A$2221:$AZ$2221,1,OC_Date)="","",INDEX('OneCause_Paste'!$A$2221:$AZ$2221,1,OC_Date)))</f>
        <v/>
      </c>
      <c r="J2221">
        <f>IF(OC_Amt=0,"",IF(INDEX('OneCause_Paste'!$A$2221:$AZ$2221,1,OC_Amt)="","",INDEX('OneCause_Paste'!$A$2221:$AZ$2221,1,OC_Amt)))</f>
        <v/>
      </c>
      <c r="K2221">
        <f>IF(OC_Name=0,"",IF(INDEX('OneCause_Paste'!$A$2221:$AZ$2221,1,OC_Name)="","",INDEX('OneCause_Paste'!$A$2221:$AZ$2221,1,OC_Name)))</f>
        <v/>
      </c>
      <c r="L2221">
        <f>IF(OC_Txn=0,"",IF(INDEX('OneCause_Paste'!$A$2221:$AZ$2221,1,OC_Txn)="","",INDEX('OneCause_Paste'!$A$2221:$AZ$2221,1,OC_Txn)))</f>
        <v/>
      </c>
      <c r="M2221">
        <f>IF(OC_Pay=0,"",IF(INDEX('OneCause_Paste'!$A$2221:$AZ$2221,1,OC_Pay)="","",INDEX('OneCause_Paste'!$A$2221:$AZ$2221,1,OC_Pay)))</f>
        <v/>
      </c>
      <c r="N2221">
        <f>IF(I2221="","",IF(ISNUMBER(I2221),INT(I2221),IFERROR(INT(DATEVALUE(I2221)),IFERROR(INT(VALUE(I2221)),"bad"))))</f>
        <v/>
      </c>
      <c r="O2221">
        <f>IF(J2221="","",IF(ISNUMBER(J2221),ROUND(J2221,2),IFERROR(ROUND(VALUE(SUBSTITUTE(SUBSTITUTE(SUBSTITUTE(J2221,"$",""),",","")," ","")),2),"bad")))</f>
        <v/>
      </c>
      <c r="P2221">
        <f>IF(TRIM(K2221)="","",IFERROR(MATCH(LOWER(TRIM(K2221)),'Students'!$AH$2:$AH$701,0),IFERROR(MATCH(LOWER(TRIM(K2221)),'Students'!$AF$2:$AF$701,0),IFERROR(MATCH(LOWER(TRIM(K2221)),'Students'!$AG$2:$AG$701,0),""))))</f>
        <v/>
      </c>
      <c r="R2221">
        <f>IF(P2221="","",INDEX('Students'!$AD$2:$AD$701,P2221))</f>
        <v/>
      </c>
      <c r="S2221">
        <f>IF(H2221="OK",O2221,0)</f>
        <v/>
      </c>
      <c r="T2221">
        <f>IF(H2221="OK",N2221,"")</f>
        <v/>
      </c>
      <c r="U2221">
        <f>IF(OC_Donor=0,"",IF(INDEX('OneCause_Paste'!$A$2221:$AZ$2221,1,OC_Donor)="","",INDEX('OneCause_Paste'!$A$2221:$AZ$2221,1,OC_Donor)))</f>
        <v/>
      </c>
    </row>
    <row r="2222">
      <c r="A2222" s="62">
        <f>IF(H2222="","",IF(ISNUMBER(N2222),N2222,I2222))</f>
        <v/>
      </c>
      <c r="B2222">
        <f>IF(H2222="","",U2222)</f>
        <v/>
      </c>
      <c r="C2222">
        <f>IF(H2222="","",IF(P2222="",K2222,INDEX('Students'!$A$2:$A$701,P2222)))</f>
        <v/>
      </c>
      <c r="D2222">
        <f>IF(OR(H2222="",P2222=""),"",INDEX('Students'!$B$2:$B$701,P2222))</f>
        <v/>
      </c>
      <c r="E2222">
        <f>IF(OR(H2222="",P2222=""),"",INDEX('Students'!$C$2:$C$701,P2222))</f>
        <v/>
      </c>
      <c r="F2222" s="48">
        <f>IF(H2222="","",IF(ISNUMBER(O2222),O2222,J2222))</f>
        <v/>
      </c>
      <c r="G2222">
        <f>IF(H2222="","","OneCause")</f>
        <v/>
      </c>
      <c r="H2222">
        <f>IF(AND(I2222="",J2222="",K2222=""),"",IF(NOT(ISNUMBER(O2222)),"Bad amount",IF(O2222&lt;0,"Refund (not counted)",IF(O2222=0,"Zero amount",IF(NOT(ISNUMBER(N2222)),"Bad date",IF(P2222="","NAME NOT ON ROSTER",IF(L2222="","OK",IF(MATCH(L2222,$L$2:$L$3001,0)&lt;ROW()-1,"Duplicate (ignored)","OK"))))))))</f>
        <v/>
      </c>
      <c r="I2222">
        <f>IF(OC_Date=0,"",IF(INDEX('OneCause_Paste'!$A$2222:$AZ$2222,1,OC_Date)="","",INDEX('OneCause_Paste'!$A$2222:$AZ$2222,1,OC_Date)))</f>
        <v/>
      </c>
      <c r="J2222">
        <f>IF(OC_Amt=0,"",IF(INDEX('OneCause_Paste'!$A$2222:$AZ$2222,1,OC_Amt)="","",INDEX('OneCause_Paste'!$A$2222:$AZ$2222,1,OC_Amt)))</f>
        <v/>
      </c>
      <c r="K2222">
        <f>IF(OC_Name=0,"",IF(INDEX('OneCause_Paste'!$A$2222:$AZ$2222,1,OC_Name)="","",INDEX('OneCause_Paste'!$A$2222:$AZ$2222,1,OC_Name)))</f>
        <v/>
      </c>
      <c r="L2222">
        <f>IF(OC_Txn=0,"",IF(INDEX('OneCause_Paste'!$A$2222:$AZ$2222,1,OC_Txn)="","",INDEX('OneCause_Paste'!$A$2222:$AZ$2222,1,OC_Txn)))</f>
        <v/>
      </c>
      <c r="M2222">
        <f>IF(OC_Pay=0,"",IF(INDEX('OneCause_Paste'!$A$2222:$AZ$2222,1,OC_Pay)="","",INDEX('OneCause_Paste'!$A$2222:$AZ$2222,1,OC_Pay)))</f>
        <v/>
      </c>
      <c r="N2222">
        <f>IF(I2222="","",IF(ISNUMBER(I2222),INT(I2222),IFERROR(INT(DATEVALUE(I2222)),IFERROR(INT(VALUE(I2222)),"bad"))))</f>
        <v/>
      </c>
      <c r="O2222">
        <f>IF(J2222="","",IF(ISNUMBER(J2222),ROUND(J2222,2),IFERROR(ROUND(VALUE(SUBSTITUTE(SUBSTITUTE(SUBSTITUTE(J2222,"$",""),",","")," ","")),2),"bad")))</f>
        <v/>
      </c>
      <c r="P2222">
        <f>IF(TRIM(K2222)="","",IFERROR(MATCH(LOWER(TRIM(K2222)),'Students'!$AH$2:$AH$701,0),IFERROR(MATCH(LOWER(TRIM(K2222)),'Students'!$AF$2:$AF$701,0),IFERROR(MATCH(LOWER(TRIM(K2222)),'Students'!$AG$2:$AG$701,0),""))))</f>
        <v/>
      </c>
      <c r="R2222">
        <f>IF(P2222="","",INDEX('Students'!$AD$2:$AD$701,P2222))</f>
        <v/>
      </c>
      <c r="S2222">
        <f>IF(H2222="OK",O2222,0)</f>
        <v/>
      </c>
      <c r="T2222">
        <f>IF(H2222="OK",N2222,"")</f>
        <v/>
      </c>
      <c r="U2222">
        <f>IF(OC_Donor=0,"",IF(INDEX('OneCause_Paste'!$A$2222:$AZ$2222,1,OC_Donor)="","",INDEX('OneCause_Paste'!$A$2222:$AZ$2222,1,OC_Donor)))</f>
        <v/>
      </c>
    </row>
    <row r="2223">
      <c r="A2223" s="62">
        <f>IF(H2223="","",IF(ISNUMBER(N2223),N2223,I2223))</f>
        <v/>
      </c>
      <c r="B2223">
        <f>IF(H2223="","",U2223)</f>
        <v/>
      </c>
      <c r="C2223">
        <f>IF(H2223="","",IF(P2223="",K2223,INDEX('Students'!$A$2:$A$701,P2223)))</f>
        <v/>
      </c>
      <c r="D2223">
        <f>IF(OR(H2223="",P2223=""),"",INDEX('Students'!$B$2:$B$701,P2223))</f>
        <v/>
      </c>
      <c r="E2223">
        <f>IF(OR(H2223="",P2223=""),"",INDEX('Students'!$C$2:$C$701,P2223))</f>
        <v/>
      </c>
      <c r="F2223" s="48">
        <f>IF(H2223="","",IF(ISNUMBER(O2223),O2223,J2223))</f>
        <v/>
      </c>
      <c r="G2223">
        <f>IF(H2223="","","OneCause")</f>
        <v/>
      </c>
      <c r="H2223">
        <f>IF(AND(I2223="",J2223="",K2223=""),"",IF(NOT(ISNUMBER(O2223)),"Bad amount",IF(O2223&lt;0,"Refund (not counted)",IF(O2223=0,"Zero amount",IF(NOT(ISNUMBER(N2223)),"Bad date",IF(P2223="","NAME NOT ON ROSTER",IF(L2223="","OK",IF(MATCH(L2223,$L$2:$L$3001,0)&lt;ROW()-1,"Duplicate (ignored)","OK"))))))))</f>
        <v/>
      </c>
      <c r="I2223">
        <f>IF(OC_Date=0,"",IF(INDEX('OneCause_Paste'!$A$2223:$AZ$2223,1,OC_Date)="","",INDEX('OneCause_Paste'!$A$2223:$AZ$2223,1,OC_Date)))</f>
        <v/>
      </c>
      <c r="J2223">
        <f>IF(OC_Amt=0,"",IF(INDEX('OneCause_Paste'!$A$2223:$AZ$2223,1,OC_Amt)="","",INDEX('OneCause_Paste'!$A$2223:$AZ$2223,1,OC_Amt)))</f>
        <v/>
      </c>
      <c r="K2223">
        <f>IF(OC_Name=0,"",IF(INDEX('OneCause_Paste'!$A$2223:$AZ$2223,1,OC_Name)="","",INDEX('OneCause_Paste'!$A$2223:$AZ$2223,1,OC_Name)))</f>
        <v/>
      </c>
      <c r="L2223">
        <f>IF(OC_Txn=0,"",IF(INDEX('OneCause_Paste'!$A$2223:$AZ$2223,1,OC_Txn)="","",INDEX('OneCause_Paste'!$A$2223:$AZ$2223,1,OC_Txn)))</f>
        <v/>
      </c>
      <c r="M2223">
        <f>IF(OC_Pay=0,"",IF(INDEX('OneCause_Paste'!$A$2223:$AZ$2223,1,OC_Pay)="","",INDEX('OneCause_Paste'!$A$2223:$AZ$2223,1,OC_Pay)))</f>
        <v/>
      </c>
      <c r="N2223">
        <f>IF(I2223="","",IF(ISNUMBER(I2223),INT(I2223),IFERROR(INT(DATEVALUE(I2223)),IFERROR(INT(VALUE(I2223)),"bad"))))</f>
        <v/>
      </c>
      <c r="O2223">
        <f>IF(J2223="","",IF(ISNUMBER(J2223),ROUND(J2223,2),IFERROR(ROUND(VALUE(SUBSTITUTE(SUBSTITUTE(SUBSTITUTE(J2223,"$",""),",","")," ","")),2),"bad")))</f>
        <v/>
      </c>
      <c r="P2223">
        <f>IF(TRIM(K2223)="","",IFERROR(MATCH(LOWER(TRIM(K2223)),'Students'!$AH$2:$AH$701,0),IFERROR(MATCH(LOWER(TRIM(K2223)),'Students'!$AF$2:$AF$701,0),IFERROR(MATCH(LOWER(TRIM(K2223)),'Students'!$AG$2:$AG$701,0),""))))</f>
        <v/>
      </c>
      <c r="R2223">
        <f>IF(P2223="","",INDEX('Students'!$AD$2:$AD$701,P2223))</f>
        <v/>
      </c>
      <c r="S2223">
        <f>IF(H2223="OK",O2223,0)</f>
        <v/>
      </c>
      <c r="T2223">
        <f>IF(H2223="OK",N2223,"")</f>
        <v/>
      </c>
      <c r="U2223">
        <f>IF(OC_Donor=0,"",IF(INDEX('OneCause_Paste'!$A$2223:$AZ$2223,1,OC_Donor)="","",INDEX('OneCause_Paste'!$A$2223:$AZ$2223,1,OC_Donor)))</f>
        <v/>
      </c>
    </row>
    <row r="2224">
      <c r="A2224" s="62">
        <f>IF(H2224="","",IF(ISNUMBER(N2224),N2224,I2224))</f>
        <v/>
      </c>
      <c r="B2224">
        <f>IF(H2224="","",U2224)</f>
        <v/>
      </c>
      <c r="C2224">
        <f>IF(H2224="","",IF(P2224="",K2224,INDEX('Students'!$A$2:$A$701,P2224)))</f>
        <v/>
      </c>
      <c r="D2224">
        <f>IF(OR(H2224="",P2224=""),"",INDEX('Students'!$B$2:$B$701,P2224))</f>
        <v/>
      </c>
      <c r="E2224">
        <f>IF(OR(H2224="",P2224=""),"",INDEX('Students'!$C$2:$C$701,P2224))</f>
        <v/>
      </c>
      <c r="F2224" s="48">
        <f>IF(H2224="","",IF(ISNUMBER(O2224),O2224,J2224))</f>
        <v/>
      </c>
      <c r="G2224">
        <f>IF(H2224="","","OneCause")</f>
        <v/>
      </c>
      <c r="H2224">
        <f>IF(AND(I2224="",J2224="",K2224=""),"",IF(NOT(ISNUMBER(O2224)),"Bad amount",IF(O2224&lt;0,"Refund (not counted)",IF(O2224=0,"Zero amount",IF(NOT(ISNUMBER(N2224)),"Bad date",IF(P2224="","NAME NOT ON ROSTER",IF(L2224="","OK",IF(MATCH(L2224,$L$2:$L$3001,0)&lt;ROW()-1,"Duplicate (ignored)","OK"))))))))</f>
        <v/>
      </c>
      <c r="I2224">
        <f>IF(OC_Date=0,"",IF(INDEX('OneCause_Paste'!$A$2224:$AZ$2224,1,OC_Date)="","",INDEX('OneCause_Paste'!$A$2224:$AZ$2224,1,OC_Date)))</f>
        <v/>
      </c>
      <c r="J2224">
        <f>IF(OC_Amt=0,"",IF(INDEX('OneCause_Paste'!$A$2224:$AZ$2224,1,OC_Amt)="","",INDEX('OneCause_Paste'!$A$2224:$AZ$2224,1,OC_Amt)))</f>
        <v/>
      </c>
      <c r="K2224">
        <f>IF(OC_Name=0,"",IF(INDEX('OneCause_Paste'!$A$2224:$AZ$2224,1,OC_Name)="","",INDEX('OneCause_Paste'!$A$2224:$AZ$2224,1,OC_Name)))</f>
        <v/>
      </c>
      <c r="L2224">
        <f>IF(OC_Txn=0,"",IF(INDEX('OneCause_Paste'!$A$2224:$AZ$2224,1,OC_Txn)="","",INDEX('OneCause_Paste'!$A$2224:$AZ$2224,1,OC_Txn)))</f>
        <v/>
      </c>
      <c r="M2224">
        <f>IF(OC_Pay=0,"",IF(INDEX('OneCause_Paste'!$A$2224:$AZ$2224,1,OC_Pay)="","",INDEX('OneCause_Paste'!$A$2224:$AZ$2224,1,OC_Pay)))</f>
        <v/>
      </c>
      <c r="N2224">
        <f>IF(I2224="","",IF(ISNUMBER(I2224),INT(I2224),IFERROR(INT(DATEVALUE(I2224)),IFERROR(INT(VALUE(I2224)),"bad"))))</f>
        <v/>
      </c>
      <c r="O2224">
        <f>IF(J2224="","",IF(ISNUMBER(J2224),ROUND(J2224,2),IFERROR(ROUND(VALUE(SUBSTITUTE(SUBSTITUTE(SUBSTITUTE(J2224,"$",""),",","")," ","")),2),"bad")))</f>
        <v/>
      </c>
      <c r="P2224">
        <f>IF(TRIM(K2224)="","",IFERROR(MATCH(LOWER(TRIM(K2224)),'Students'!$AH$2:$AH$701,0),IFERROR(MATCH(LOWER(TRIM(K2224)),'Students'!$AF$2:$AF$701,0),IFERROR(MATCH(LOWER(TRIM(K2224)),'Students'!$AG$2:$AG$701,0),""))))</f>
        <v/>
      </c>
      <c r="R2224">
        <f>IF(P2224="","",INDEX('Students'!$AD$2:$AD$701,P2224))</f>
        <v/>
      </c>
      <c r="S2224">
        <f>IF(H2224="OK",O2224,0)</f>
        <v/>
      </c>
      <c r="T2224">
        <f>IF(H2224="OK",N2224,"")</f>
        <v/>
      </c>
      <c r="U2224">
        <f>IF(OC_Donor=0,"",IF(INDEX('OneCause_Paste'!$A$2224:$AZ$2224,1,OC_Donor)="","",INDEX('OneCause_Paste'!$A$2224:$AZ$2224,1,OC_Donor)))</f>
        <v/>
      </c>
    </row>
    <row r="2225">
      <c r="A2225" s="62">
        <f>IF(H2225="","",IF(ISNUMBER(N2225),N2225,I2225))</f>
        <v/>
      </c>
      <c r="B2225">
        <f>IF(H2225="","",U2225)</f>
        <v/>
      </c>
      <c r="C2225">
        <f>IF(H2225="","",IF(P2225="",K2225,INDEX('Students'!$A$2:$A$701,P2225)))</f>
        <v/>
      </c>
      <c r="D2225">
        <f>IF(OR(H2225="",P2225=""),"",INDEX('Students'!$B$2:$B$701,P2225))</f>
        <v/>
      </c>
      <c r="E2225">
        <f>IF(OR(H2225="",P2225=""),"",INDEX('Students'!$C$2:$C$701,P2225))</f>
        <v/>
      </c>
      <c r="F2225" s="48">
        <f>IF(H2225="","",IF(ISNUMBER(O2225),O2225,J2225))</f>
        <v/>
      </c>
      <c r="G2225">
        <f>IF(H2225="","","OneCause")</f>
        <v/>
      </c>
      <c r="H2225">
        <f>IF(AND(I2225="",J2225="",K2225=""),"",IF(NOT(ISNUMBER(O2225)),"Bad amount",IF(O2225&lt;0,"Refund (not counted)",IF(O2225=0,"Zero amount",IF(NOT(ISNUMBER(N2225)),"Bad date",IF(P2225="","NAME NOT ON ROSTER",IF(L2225="","OK",IF(MATCH(L2225,$L$2:$L$3001,0)&lt;ROW()-1,"Duplicate (ignored)","OK"))))))))</f>
        <v/>
      </c>
      <c r="I2225">
        <f>IF(OC_Date=0,"",IF(INDEX('OneCause_Paste'!$A$2225:$AZ$2225,1,OC_Date)="","",INDEX('OneCause_Paste'!$A$2225:$AZ$2225,1,OC_Date)))</f>
        <v/>
      </c>
      <c r="J2225">
        <f>IF(OC_Amt=0,"",IF(INDEX('OneCause_Paste'!$A$2225:$AZ$2225,1,OC_Amt)="","",INDEX('OneCause_Paste'!$A$2225:$AZ$2225,1,OC_Amt)))</f>
        <v/>
      </c>
      <c r="K2225">
        <f>IF(OC_Name=0,"",IF(INDEX('OneCause_Paste'!$A$2225:$AZ$2225,1,OC_Name)="","",INDEX('OneCause_Paste'!$A$2225:$AZ$2225,1,OC_Name)))</f>
        <v/>
      </c>
      <c r="L2225">
        <f>IF(OC_Txn=0,"",IF(INDEX('OneCause_Paste'!$A$2225:$AZ$2225,1,OC_Txn)="","",INDEX('OneCause_Paste'!$A$2225:$AZ$2225,1,OC_Txn)))</f>
        <v/>
      </c>
      <c r="M2225">
        <f>IF(OC_Pay=0,"",IF(INDEX('OneCause_Paste'!$A$2225:$AZ$2225,1,OC_Pay)="","",INDEX('OneCause_Paste'!$A$2225:$AZ$2225,1,OC_Pay)))</f>
        <v/>
      </c>
      <c r="N2225">
        <f>IF(I2225="","",IF(ISNUMBER(I2225),INT(I2225),IFERROR(INT(DATEVALUE(I2225)),IFERROR(INT(VALUE(I2225)),"bad"))))</f>
        <v/>
      </c>
      <c r="O2225">
        <f>IF(J2225="","",IF(ISNUMBER(J2225),ROUND(J2225,2),IFERROR(ROUND(VALUE(SUBSTITUTE(SUBSTITUTE(SUBSTITUTE(J2225,"$",""),",","")," ","")),2),"bad")))</f>
        <v/>
      </c>
      <c r="P2225">
        <f>IF(TRIM(K2225)="","",IFERROR(MATCH(LOWER(TRIM(K2225)),'Students'!$AH$2:$AH$701,0),IFERROR(MATCH(LOWER(TRIM(K2225)),'Students'!$AF$2:$AF$701,0),IFERROR(MATCH(LOWER(TRIM(K2225)),'Students'!$AG$2:$AG$701,0),""))))</f>
        <v/>
      </c>
      <c r="R2225">
        <f>IF(P2225="","",INDEX('Students'!$AD$2:$AD$701,P2225))</f>
        <v/>
      </c>
      <c r="S2225">
        <f>IF(H2225="OK",O2225,0)</f>
        <v/>
      </c>
      <c r="T2225">
        <f>IF(H2225="OK",N2225,"")</f>
        <v/>
      </c>
      <c r="U2225">
        <f>IF(OC_Donor=0,"",IF(INDEX('OneCause_Paste'!$A$2225:$AZ$2225,1,OC_Donor)="","",INDEX('OneCause_Paste'!$A$2225:$AZ$2225,1,OC_Donor)))</f>
        <v/>
      </c>
    </row>
    <row r="2226">
      <c r="A2226" s="62">
        <f>IF(H2226="","",IF(ISNUMBER(N2226),N2226,I2226))</f>
        <v/>
      </c>
      <c r="B2226">
        <f>IF(H2226="","",U2226)</f>
        <v/>
      </c>
      <c r="C2226">
        <f>IF(H2226="","",IF(P2226="",K2226,INDEX('Students'!$A$2:$A$701,P2226)))</f>
        <v/>
      </c>
      <c r="D2226">
        <f>IF(OR(H2226="",P2226=""),"",INDEX('Students'!$B$2:$B$701,P2226))</f>
        <v/>
      </c>
      <c r="E2226">
        <f>IF(OR(H2226="",P2226=""),"",INDEX('Students'!$C$2:$C$701,P2226))</f>
        <v/>
      </c>
      <c r="F2226" s="48">
        <f>IF(H2226="","",IF(ISNUMBER(O2226),O2226,J2226))</f>
        <v/>
      </c>
      <c r="G2226">
        <f>IF(H2226="","","OneCause")</f>
        <v/>
      </c>
      <c r="H2226">
        <f>IF(AND(I2226="",J2226="",K2226=""),"",IF(NOT(ISNUMBER(O2226)),"Bad amount",IF(O2226&lt;0,"Refund (not counted)",IF(O2226=0,"Zero amount",IF(NOT(ISNUMBER(N2226)),"Bad date",IF(P2226="","NAME NOT ON ROSTER",IF(L2226="","OK",IF(MATCH(L2226,$L$2:$L$3001,0)&lt;ROW()-1,"Duplicate (ignored)","OK"))))))))</f>
        <v/>
      </c>
      <c r="I2226">
        <f>IF(OC_Date=0,"",IF(INDEX('OneCause_Paste'!$A$2226:$AZ$2226,1,OC_Date)="","",INDEX('OneCause_Paste'!$A$2226:$AZ$2226,1,OC_Date)))</f>
        <v/>
      </c>
      <c r="J2226">
        <f>IF(OC_Amt=0,"",IF(INDEX('OneCause_Paste'!$A$2226:$AZ$2226,1,OC_Amt)="","",INDEX('OneCause_Paste'!$A$2226:$AZ$2226,1,OC_Amt)))</f>
        <v/>
      </c>
      <c r="K2226">
        <f>IF(OC_Name=0,"",IF(INDEX('OneCause_Paste'!$A$2226:$AZ$2226,1,OC_Name)="","",INDEX('OneCause_Paste'!$A$2226:$AZ$2226,1,OC_Name)))</f>
        <v/>
      </c>
      <c r="L2226">
        <f>IF(OC_Txn=0,"",IF(INDEX('OneCause_Paste'!$A$2226:$AZ$2226,1,OC_Txn)="","",INDEX('OneCause_Paste'!$A$2226:$AZ$2226,1,OC_Txn)))</f>
        <v/>
      </c>
      <c r="M2226">
        <f>IF(OC_Pay=0,"",IF(INDEX('OneCause_Paste'!$A$2226:$AZ$2226,1,OC_Pay)="","",INDEX('OneCause_Paste'!$A$2226:$AZ$2226,1,OC_Pay)))</f>
        <v/>
      </c>
      <c r="N2226">
        <f>IF(I2226="","",IF(ISNUMBER(I2226),INT(I2226),IFERROR(INT(DATEVALUE(I2226)),IFERROR(INT(VALUE(I2226)),"bad"))))</f>
        <v/>
      </c>
      <c r="O2226">
        <f>IF(J2226="","",IF(ISNUMBER(J2226),ROUND(J2226,2),IFERROR(ROUND(VALUE(SUBSTITUTE(SUBSTITUTE(SUBSTITUTE(J2226,"$",""),",","")," ","")),2),"bad")))</f>
        <v/>
      </c>
      <c r="P2226">
        <f>IF(TRIM(K2226)="","",IFERROR(MATCH(LOWER(TRIM(K2226)),'Students'!$AH$2:$AH$701,0),IFERROR(MATCH(LOWER(TRIM(K2226)),'Students'!$AF$2:$AF$701,0),IFERROR(MATCH(LOWER(TRIM(K2226)),'Students'!$AG$2:$AG$701,0),""))))</f>
        <v/>
      </c>
      <c r="R2226">
        <f>IF(P2226="","",INDEX('Students'!$AD$2:$AD$701,P2226))</f>
        <v/>
      </c>
      <c r="S2226">
        <f>IF(H2226="OK",O2226,0)</f>
        <v/>
      </c>
      <c r="T2226">
        <f>IF(H2226="OK",N2226,"")</f>
        <v/>
      </c>
      <c r="U2226">
        <f>IF(OC_Donor=0,"",IF(INDEX('OneCause_Paste'!$A$2226:$AZ$2226,1,OC_Donor)="","",INDEX('OneCause_Paste'!$A$2226:$AZ$2226,1,OC_Donor)))</f>
        <v/>
      </c>
    </row>
    <row r="2227">
      <c r="A2227" s="62">
        <f>IF(H2227="","",IF(ISNUMBER(N2227),N2227,I2227))</f>
        <v/>
      </c>
      <c r="B2227">
        <f>IF(H2227="","",U2227)</f>
        <v/>
      </c>
      <c r="C2227">
        <f>IF(H2227="","",IF(P2227="",K2227,INDEX('Students'!$A$2:$A$701,P2227)))</f>
        <v/>
      </c>
      <c r="D2227">
        <f>IF(OR(H2227="",P2227=""),"",INDEX('Students'!$B$2:$B$701,P2227))</f>
        <v/>
      </c>
      <c r="E2227">
        <f>IF(OR(H2227="",P2227=""),"",INDEX('Students'!$C$2:$C$701,P2227))</f>
        <v/>
      </c>
      <c r="F2227" s="48">
        <f>IF(H2227="","",IF(ISNUMBER(O2227),O2227,J2227))</f>
        <v/>
      </c>
      <c r="G2227">
        <f>IF(H2227="","","OneCause")</f>
        <v/>
      </c>
      <c r="H2227">
        <f>IF(AND(I2227="",J2227="",K2227=""),"",IF(NOT(ISNUMBER(O2227)),"Bad amount",IF(O2227&lt;0,"Refund (not counted)",IF(O2227=0,"Zero amount",IF(NOT(ISNUMBER(N2227)),"Bad date",IF(P2227="","NAME NOT ON ROSTER",IF(L2227="","OK",IF(MATCH(L2227,$L$2:$L$3001,0)&lt;ROW()-1,"Duplicate (ignored)","OK"))))))))</f>
        <v/>
      </c>
      <c r="I2227">
        <f>IF(OC_Date=0,"",IF(INDEX('OneCause_Paste'!$A$2227:$AZ$2227,1,OC_Date)="","",INDEX('OneCause_Paste'!$A$2227:$AZ$2227,1,OC_Date)))</f>
        <v/>
      </c>
      <c r="J2227">
        <f>IF(OC_Amt=0,"",IF(INDEX('OneCause_Paste'!$A$2227:$AZ$2227,1,OC_Amt)="","",INDEX('OneCause_Paste'!$A$2227:$AZ$2227,1,OC_Amt)))</f>
        <v/>
      </c>
      <c r="K2227">
        <f>IF(OC_Name=0,"",IF(INDEX('OneCause_Paste'!$A$2227:$AZ$2227,1,OC_Name)="","",INDEX('OneCause_Paste'!$A$2227:$AZ$2227,1,OC_Name)))</f>
        <v/>
      </c>
      <c r="L2227">
        <f>IF(OC_Txn=0,"",IF(INDEX('OneCause_Paste'!$A$2227:$AZ$2227,1,OC_Txn)="","",INDEX('OneCause_Paste'!$A$2227:$AZ$2227,1,OC_Txn)))</f>
        <v/>
      </c>
      <c r="M2227">
        <f>IF(OC_Pay=0,"",IF(INDEX('OneCause_Paste'!$A$2227:$AZ$2227,1,OC_Pay)="","",INDEX('OneCause_Paste'!$A$2227:$AZ$2227,1,OC_Pay)))</f>
        <v/>
      </c>
      <c r="N2227">
        <f>IF(I2227="","",IF(ISNUMBER(I2227),INT(I2227),IFERROR(INT(DATEVALUE(I2227)),IFERROR(INT(VALUE(I2227)),"bad"))))</f>
        <v/>
      </c>
      <c r="O2227">
        <f>IF(J2227="","",IF(ISNUMBER(J2227),ROUND(J2227,2),IFERROR(ROUND(VALUE(SUBSTITUTE(SUBSTITUTE(SUBSTITUTE(J2227,"$",""),",","")," ","")),2),"bad")))</f>
        <v/>
      </c>
      <c r="P2227">
        <f>IF(TRIM(K2227)="","",IFERROR(MATCH(LOWER(TRIM(K2227)),'Students'!$AH$2:$AH$701,0),IFERROR(MATCH(LOWER(TRIM(K2227)),'Students'!$AF$2:$AF$701,0),IFERROR(MATCH(LOWER(TRIM(K2227)),'Students'!$AG$2:$AG$701,0),""))))</f>
        <v/>
      </c>
      <c r="R2227">
        <f>IF(P2227="","",INDEX('Students'!$AD$2:$AD$701,P2227))</f>
        <v/>
      </c>
      <c r="S2227">
        <f>IF(H2227="OK",O2227,0)</f>
        <v/>
      </c>
      <c r="T2227">
        <f>IF(H2227="OK",N2227,"")</f>
        <v/>
      </c>
      <c r="U2227">
        <f>IF(OC_Donor=0,"",IF(INDEX('OneCause_Paste'!$A$2227:$AZ$2227,1,OC_Donor)="","",INDEX('OneCause_Paste'!$A$2227:$AZ$2227,1,OC_Donor)))</f>
        <v/>
      </c>
    </row>
    <row r="2228">
      <c r="A2228" s="62">
        <f>IF(H2228="","",IF(ISNUMBER(N2228),N2228,I2228))</f>
        <v/>
      </c>
      <c r="B2228">
        <f>IF(H2228="","",U2228)</f>
        <v/>
      </c>
      <c r="C2228">
        <f>IF(H2228="","",IF(P2228="",K2228,INDEX('Students'!$A$2:$A$701,P2228)))</f>
        <v/>
      </c>
      <c r="D2228">
        <f>IF(OR(H2228="",P2228=""),"",INDEX('Students'!$B$2:$B$701,P2228))</f>
        <v/>
      </c>
      <c r="E2228">
        <f>IF(OR(H2228="",P2228=""),"",INDEX('Students'!$C$2:$C$701,P2228))</f>
        <v/>
      </c>
      <c r="F2228" s="48">
        <f>IF(H2228="","",IF(ISNUMBER(O2228),O2228,J2228))</f>
        <v/>
      </c>
      <c r="G2228">
        <f>IF(H2228="","","OneCause")</f>
        <v/>
      </c>
      <c r="H2228">
        <f>IF(AND(I2228="",J2228="",K2228=""),"",IF(NOT(ISNUMBER(O2228)),"Bad amount",IF(O2228&lt;0,"Refund (not counted)",IF(O2228=0,"Zero amount",IF(NOT(ISNUMBER(N2228)),"Bad date",IF(P2228="","NAME NOT ON ROSTER",IF(L2228="","OK",IF(MATCH(L2228,$L$2:$L$3001,0)&lt;ROW()-1,"Duplicate (ignored)","OK"))))))))</f>
        <v/>
      </c>
      <c r="I2228">
        <f>IF(OC_Date=0,"",IF(INDEX('OneCause_Paste'!$A$2228:$AZ$2228,1,OC_Date)="","",INDEX('OneCause_Paste'!$A$2228:$AZ$2228,1,OC_Date)))</f>
        <v/>
      </c>
      <c r="J2228">
        <f>IF(OC_Amt=0,"",IF(INDEX('OneCause_Paste'!$A$2228:$AZ$2228,1,OC_Amt)="","",INDEX('OneCause_Paste'!$A$2228:$AZ$2228,1,OC_Amt)))</f>
        <v/>
      </c>
      <c r="K2228">
        <f>IF(OC_Name=0,"",IF(INDEX('OneCause_Paste'!$A$2228:$AZ$2228,1,OC_Name)="","",INDEX('OneCause_Paste'!$A$2228:$AZ$2228,1,OC_Name)))</f>
        <v/>
      </c>
      <c r="L2228">
        <f>IF(OC_Txn=0,"",IF(INDEX('OneCause_Paste'!$A$2228:$AZ$2228,1,OC_Txn)="","",INDEX('OneCause_Paste'!$A$2228:$AZ$2228,1,OC_Txn)))</f>
        <v/>
      </c>
      <c r="M2228">
        <f>IF(OC_Pay=0,"",IF(INDEX('OneCause_Paste'!$A$2228:$AZ$2228,1,OC_Pay)="","",INDEX('OneCause_Paste'!$A$2228:$AZ$2228,1,OC_Pay)))</f>
        <v/>
      </c>
      <c r="N2228">
        <f>IF(I2228="","",IF(ISNUMBER(I2228),INT(I2228),IFERROR(INT(DATEVALUE(I2228)),IFERROR(INT(VALUE(I2228)),"bad"))))</f>
        <v/>
      </c>
      <c r="O2228">
        <f>IF(J2228="","",IF(ISNUMBER(J2228),ROUND(J2228,2),IFERROR(ROUND(VALUE(SUBSTITUTE(SUBSTITUTE(SUBSTITUTE(J2228,"$",""),",","")," ","")),2),"bad")))</f>
        <v/>
      </c>
      <c r="P2228">
        <f>IF(TRIM(K2228)="","",IFERROR(MATCH(LOWER(TRIM(K2228)),'Students'!$AH$2:$AH$701,0),IFERROR(MATCH(LOWER(TRIM(K2228)),'Students'!$AF$2:$AF$701,0),IFERROR(MATCH(LOWER(TRIM(K2228)),'Students'!$AG$2:$AG$701,0),""))))</f>
        <v/>
      </c>
      <c r="R2228">
        <f>IF(P2228="","",INDEX('Students'!$AD$2:$AD$701,P2228))</f>
        <v/>
      </c>
      <c r="S2228">
        <f>IF(H2228="OK",O2228,0)</f>
        <v/>
      </c>
      <c r="T2228">
        <f>IF(H2228="OK",N2228,"")</f>
        <v/>
      </c>
      <c r="U2228">
        <f>IF(OC_Donor=0,"",IF(INDEX('OneCause_Paste'!$A$2228:$AZ$2228,1,OC_Donor)="","",INDEX('OneCause_Paste'!$A$2228:$AZ$2228,1,OC_Donor)))</f>
        <v/>
      </c>
    </row>
    <row r="2229">
      <c r="A2229" s="62">
        <f>IF(H2229="","",IF(ISNUMBER(N2229),N2229,I2229))</f>
        <v/>
      </c>
      <c r="B2229">
        <f>IF(H2229="","",U2229)</f>
        <v/>
      </c>
      <c r="C2229">
        <f>IF(H2229="","",IF(P2229="",K2229,INDEX('Students'!$A$2:$A$701,P2229)))</f>
        <v/>
      </c>
      <c r="D2229">
        <f>IF(OR(H2229="",P2229=""),"",INDEX('Students'!$B$2:$B$701,P2229))</f>
        <v/>
      </c>
      <c r="E2229">
        <f>IF(OR(H2229="",P2229=""),"",INDEX('Students'!$C$2:$C$701,P2229))</f>
        <v/>
      </c>
      <c r="F2229" s="48">
        <f>IF(H2229="","",IF(ISNUMBER(O2229),O2229,J2229))</f>
        <v/>
      </c>
      <c r="G2229">
        <f>IF(H2229="","","OneCause")</f>
        <v/>
      </c>
      <c r="H2229">
        <f>IF(AND(I2229="",J2229="",K2229=""),"",IF(NOT(ISNUMBER(O2229)),"Bad amount",IF(O2229&lt;0,"Refund (not counted)",IF(O2229=0,"Zero amount",IF(NOT(ISNUMBER(N2229)),"Bad date",IF(P2229="","NAME NOT ON ROSTER",IF(L2229="","OK",IF(MATCH(L2229,$L$2:$L$3001,0)&lt;ROW()-1,"Duplicate (ignored)","OK"))))))))</f>
        <v/>
      </c>
      <c r="I2229">
        <f>IF(OC_Date=0,"",IF(INDEX('OneCause_Paste'!$A$2229:$AZ$2229,1,OC_Date)="","",INDEX('OneCause_Paste'!$A$2229:$AZ$2229,1,OC_Date)))</f>
        <v/>
      </c>
      <c r="J2229">
        <f>IF(OC_Amt=0,"",IF(INDEX('OneCause_Paste'!$A$2229:$AZ$2229,1,OC_Amt)="","",INDEX('OneCause_Paste'!$A$2229:$AZ$2229,1,OC_Amt)))</f>
        <v/>
      </c>
      <c r="K2229">
        <f>IF(OC_Name=0,"",IF(INDEX('OneCause_Paste'!$A$2229:$AZ$2229,1,OC_Name)="","",INDEX('OneCause_Paste'!$A$2229:$AZ$2229,1,OC_Name)))</f>
        <v/>
      </c>
      <c r="L2229">
        <f>IF(OC_Txn=0,"",IF(INDEX('OneCause_Paste'!$A$2229:$AZ$2229,1,OC_Txn)="","",INDEX('OneCause_Paste'!$A$2229:$AZ$2229,1,OC_Txn)))</f>
        <v/>
      </c>
      <c r="M2229">
        <f>IF(OC_Pay=0,"",IF(INDEX('OneCause_Paste'!$A$2229:$AZ$2229,1,OC_Pay)="","",INDEX('OneCause_Paste'!$A$2229:$AZ$2229,1,OC_Pay)))</f>
        <v/>
      </c>
      <c r="N2229">
        <f>IF(I2229="","",IF(ISNUMBER(I2229),INT(I2229),IFERROR(INT(DATEVALUE(I2229)),IFERROR(INT(VALUE(I2229)),"bad"))))</f>
        <v/>
      </c>
      <c r="O2229">
        <f>IF(J2229="","",IF(ISNUMBER(J2229),ROUND(J2229,2),IFERROR(ROUND(VALUE(SUBSTITUTE(SUBSTITUTE(SUBSTITUTE(J2229,"$",""),",","")," ","")),2),"bad")))</f>
        <v/>
      </c>
      <c r="P2229">
        <f>IF(TRIM(K2229)="","",IFERROR(MATCH(LOWER(TRIM(K2229)),'Students'!$AH$2:$AH$701,0),IFERROR(MATCH(LOWER(TRIM(K2229)),'Students'!$AF$2:$AF$701,0),IFERROR(MATCH(LOWER(TRIM(K2229)),'Students'!$AG$2:$AG$701,0),""))))</f>
        <v/>
      </c>
      <c r="R2229">
        <f>IF(P2229="","",INDEX('Students'!$AD$2:$AD$701,P2229))</f>
        <v/>
      </c>
      <c r="S2229">
        <f>IF(H2229="OK",O2229,0)</f>
        <v/>
      </c>
      <c r="T2229">
        <f>IF(H2229="OK",N2229,"")</f>
        <v/>
      </c>
      <c r="U2229">
        <f>IF(OC_Donor=0,"",IF(INDEX('OneCause_Paste'!$A$2229:$AZ$2229,1,OC_Donor)="","",INDEX('OneCause_Paste'!$A$2229:$AZ$2229,1,OC_Donor)))</f>
        <v/>
      </c>
    </row>
    <row r="2230">
      <c r="A2230" s="62">
        <f>IF(H2230="","",IF(ISNUMBER(N2230),N2230,I2230))</f>
        <v/>
      </c>
      <c r="B2230">
        <f>IF(H2230="","",U2230)</f>
        <v/>
      </c>
      <c r="C2230">
        <f>IF(H2230="","",IF(P2230="",K2230,INDEX('Students'!$A$2:$A$701,P2230)))</f>
        <v/>
      </c>
      <c r="D2230">
        <f>IF(OR(H2230="",P2230=""),"",INDEX('Students'!$B$2:$B$701,P2230))</f>
        <v/>
      </c>
      <c r="E2230">
        <f>IF(OR(H2230="",P2230=""),"",INDEX('Students'!$C$2:$C$701,P2230))</f>
        <v/>
      </c>
      <c r="F2230" s="48">
        <f>IF(H2230="","",IF(ISNUMBER(O2230),O2230,J2230))</f>
        <v/>
      </c>
      <c r="G2230">
        <f>IF(H2230="","","OneCause")</f>
        <v/>
      </c>
      <c r="H2230">
        <f>IF(AND(I2230="",J2230="",K2230=""),"",IF(NOT(ISNUMBER(O2230)),"Bad amount",IF(O2230&lt;0,"Refund (not counted)",IF(O2230=0,"Zero amount",IF(NOT(ISNUMBER(N2230)),"Bad date",IF(P2230="","NAME NOT ON ROSTER",IF(L2230="","OK",IF(MATCH(L2230,$L$2:$L$3001,0)&lt;ROW()-1,"Duplicate (ignored)","OK"))))))))</f>
        <v/>
      </c>
      <c r="I2230">
        <f>IF(OC_Date=0,"",IF(INDEX('OneCause_Paste'!$A$2230:$AZ$2230,1,OC_Date)="","",INDEX('OneCause_Paste'!$A$2230:$AZ$2230,1,OC_Date)))</f>
        <v/>
      </c>
      <c r="J2230">
        <f>IF(OC_Amt=0,"",IF(INDEX('OneCause_Paste'!$A$2230:$AZ$2230,1,OC_Amt)="","",INDEX('OneCause_Paste'!$A$2230:$AZ$2230,1,OC_Amt)))</f>
        <v/>
      </c>
      <c r="K2230">
        <f>IF(OC_Name=0,"",IF(INDEX('OneCause_Paste'!$A$2230:$AZ$2230,1,OC_Name)="","",INDEX('OneCause_Paste'!$A$2230:$AZ$2230,1,OC_Name)))</f>
        <v/>
      </c>
      <c r="L2230">
        <f>IF(OC_Txn=0,"",IF(INDEX('OneCause_Paste'!$A$2230:$AZ$2230,1,OC_Txn)="","",INDEX('OneCause_Paste'!$A$2230:$AZ$2230,1,OC_Txn)))</f>
        <v/>
      </c>
      <c r="M2230">
        <f>IF(OC_Pay=0,"",IF(INDEX('OneCause_Paste'!$A$2230:$AZ$2230,1,OC_Pay)="","",INDEX('OneCause_Paste'!$A$2230:$AZ$2230,1,OC_Pay)))</f>
        <v/>
      </c>
      <c r="N2230">
        <f>IF(I2230="","",IF(ISNUMBER(I2230),INT(I2230),IFERROR(INT(DATEVALUE(I2230)),IFERROR(INT(VALUE(I2230)),"bad"))))</f>
        <v/>
      </c>
      <c r="O2230">
        <f>IF(J2230="","",IF(ISNUMBER(J2230),ROUND(J2230,2),IFERROR(ROUND(VALUE(SUBSTITUTE(SUBSTITUTE(SUBSTITUTE(J2230,"$",""),",","")," ","")),2),"bad")))</f>
        <v/>
      </c>
      <c r="P2230">
        <f>IF(TRIM(K2230)="","",IFERROR(MATCH(LOWER(TRIM(K2230)),'Students'!$AH$2:$AH$701,0),IFERROR(MATCH(LOWER(TRIM(K2230)),'Students'!$AF$2:$AF$701,0),IFERROR(MATCH(LOWER(TRIM(K2230)),'Students'!$AG$2:$AG$701,0),""))))</f>
        <v/>
      </c>
      <c r="R2230">
        <f>IF(P2230="","",INDEX('Students'!$AD$2:$AD$701,P2230))</f>
        <v/>
      </c>
      <c r="S2230">
        <f>IF(H2230="OK",O2230,0)</f>
        <v/>
      </c>
      <c r="T2230">
        <f>IF(H2230="OK",N2230,"")</f>
        <v/>
      </c>
      <c r="U2230">
        <f>IF(OC_Donor=0,"",IF(INDEX('OneCause_Paste'!$A$2230:$AZ$2230,1,OC_Donor)="","",INDEX('OneCause_Paste'!$A$2230:$AZ$2230,1,OC_Donor)))</f>
        <v/>
      </c>
    </row>
    <row r="2231">
      <c r="A2231" s="62">
        <f>IF(H2231="","",IF(ISNUMBER(N2231),N2231,I2231))</f>
        <v/>
      </c>
      <c r="B2231">
        <f>IF(H2231="","",U2231)</f>
        <v/>
      </c>
      <c r="C2231">
        <f>IF(H2231="","",IF(P2231="",K2231,INDEX('Students'!$A$2:$A$701,P2231)))</f>
        <v/>
      </c>
      <c r="D2231">
        <f>IF(OR(H2231="",P2231=""),"",INDEX('Students'!$B$2:$B$701,P2231))</f>
        <v/>
      </c>
      <c r="E2231">
        <f>IF(OR(H2231="",P2231=""),"",INDEX('Students'!$C$2:$C$701,P2231))</f>
        <v/>
      </c>
      <c r="F2231" s="48">
        <f>IF(H2231="","",IF(ISNUMBER(O2231),O2231,J2231))</f>
        <v/>
      </c>
      <c r="G2231">
        <f>IF(H2231="","","OneCause")</f>
        <v/>
      </c>
      <c r="H2231">
        <f>IF(AND(I2231="",J2231="",K2231=""),"",IF(NOT(ISNUMBER(O2231)),"Bad amount",IF(O2231&lt;0,"Refund (not counted)",IF(O2231=0,"Zero amount",IF(NOT(ISNUMBER(N2231)),"Bad date",IF(P2231="","NAME NOT ON ROSTER",IF(L2231="","OK",IF(MATCH(L2231,$L$2:$L$3001,0)&lt;ROW()-1,"Duplicate (ignored)","OK"))))))))</f>
        <v/>
      </c>
      <c r="I2231">
        <f>IF(OC_Date=0,"",IF(INDEX('OneCause_Paste'!$A$2231:$AZ$2231,1,OC_Date)="","",INDEX('OneCause_Paste'!$A$2231:$AZ$2231,1,OC_Date)))</f>
        <v/>
      </c>
      <c r="J2231">
        <f>IF(OC_Amt=0,"",IF(INDEX('OneCause_Paste'!$A$2231:$AZ$2231,1,OC_Amt)="","",INDEX('OneCause_Paste'!$A$2231:$AZ$2231,1,OC_Amt)))</f>
        <v/>
      </c>
      <c r="K2231">
        <f>IF(OC_Name=0,"",IF(INDEX('OneCause_Paste'!$A$2231:$AZ$2231,1,OC_Name)="","",INDEX('OneCause_Paste'!$A$2231:$AZ$2231,1,OC_Name)))</f>
        <v/>
      </c>
      <c r="L2231">
        <f>IF(OC_Txn=0,"",IF(INDEX('OneCause_Paste'!$A$2231:$AZ$2231,1,OC_Txn)="","",INDEX('OneCause_Paste'!$A$2231:$AZ$2231,1,OC_Txn)))</f>
        <v/>
      </c>
      <c r="M2231">
        <f>IF(OC_Pay=0,"",IF(INDEX('OneCause_Paste'!$A$2231:$AZ$2231,1,OC_Pay)="","",INDEX('OneCause_Paste'!$A$2231:$AZ$2231,1,OC_Pay)))</f>
        <v/>
      </c>
      <c r="N2231">
        <f>IF(I2231="","",IF(ISNUMBER(I2231),INT(I2231),IFERROR(INT(DATEVALUE(I2231)),IFERROR(INT(VALUE(I2231)),"bad"))))</f>
        <v/>
      </c>
      <c r="O2231">
        <f>IF(J2231="","",IF(ISNUMBER(J2231),ROUND(J2231,2),IFERROR(ROUND(VALUE(SUBSTITUTE(SUBSTITUTE(SUBSTITUTE(J2231,"$",""),",","")," ","")),2),"bad")))</f>
        <v/>
      </c>
      <c r="P2231">
        <f>IF(TRIM(K2231)="","",IFERROR(MATCH(LOWER(TRIM(K2231)),'Students'!$AH$2:$AH$701,0),IFERROR(MATCH(LOWER(TRIM(K2231)),'Students'!$AF$2:$AF$701,0),IFERROR(MATCH(LOWER(TRIM(K2231)),'Students'!$AG$2:$AG$701,0),""))))</f>
        <v/>
      </c>
      <c r="R2231">
        <f>IF(P2231="","",INDEX('Students'!$AD$2:$AD$701,P2231))</f>
        <v/>
      </c>
      <c r="S2231">
        <f>IF(H2231="OK",O2231,0)</f>
        <v/>
      </c>
      <c r="T2231">
        <f>IF(H2231="OK",N2231,"")</f>
        <v/>
      </c>
      <c r="U2231">
        <f>IF(OC_Donor=0,"",IF(INDEX('OneCause_Paste'!$A$2231:$AZ$2231,1,OC_Donor)="","",INDEX('OneCause_Paste'!$A$2231:$AZ$2231,1,OC_Donor)))</f>
        <v/>
      </c>
    </row>
    <row r="2232">
      <c r="A2232" s="62">
        <f>IF(H2232="","",IF(ISNUMBER(N2232),N2232,I2232))</f>
        <v/>
      </c>
      <c r="B2232">
        <f>IF(H2232="","",U2232)</f>
        <v/>
      </c>
      <c r="C2232">
        <f>IF(H2232="","",IF(P2232="",K2232,INDEX('Students'!$A$2:$A$701,P2232)))</f>
        <v/>
      </c>
      <c r="D2232">
        <f>IF(OR(H2232="",P2232=""),"",INDEX('Students'!$B$2:$B$701,P2232))</f>
        <v/>
      </c>
      <c r="E2232">
        <f>IF(OR(H2232="",P2232=""),"",INDEX('Students'!$C$2:$C$701,P2232))</f>
        <v/>
      </c>
      <c r="F2232" s="48">
        <f>IF(H2232="","",IF(ISNUMBER(O2232),O2232,J2232))</f>
        <v/>
      </c>
      <c r="G2232">
        <f>IF(H2232="","","OneCause")</f>
        <v/>
      </c>
      <c r="H2232">
        <f>IF(AND(I2232="",J2232="",K2232=""),"",IF(NOT(ISNUMBER(O2232)),"Bad amount",IF(O2232&lt;0,"Refund (not counted)",IF(O2232=0,"Zero amount",IF(NOT(ISNUMBER(N2232)),"Bad date",IF(P2232="","NAME NOT ON ROSTER",IF(L2232="","OK",IF(MATCH(L2232,$L$2:$L$3001,0)&lt;ROW()-1,"Duplicate (ignored)","OK"))))))))</f>
        <v/>
      </c>
      <c r="I2232">
        <f>IF(OC_Date=0,"",IF(INDEX('OneCause_Paste'!$A$2232:$AZ$2232,1,OC_Date)="","",INDEX('OneCause_Paste'!$A$2232:$AZ$2232,1,OC_Date)))</f>
        <v/>
      </c>
      <c r="J2232">
        <f>IF(OC_Amt=0,"",IF(INDEX('OneCause_Paste'!$A$2232:$AZ$2232,1,OC_Amt)="","",INDEX('OneCause_Paste'!$A$2232:$AZ$2232,1,OC_Amt)))</f>
        <v/>
      </c>
      <c r="K2232">
        <f>IF(OC_Name=0,"",IF(INDEX('OneCause_Paste'!$A$2232:$AZ$2232,1,OC_Name)="","",INDEX('OneCause_Paste'!$A$2232:$AZ$2232,1,OC_Name)))</f>
        <v/>
      </c>
      <c r="L2232">
        <f>IF(OC_Txn=0,"",IF(INDEX('OneCause_Paste'!$A$2232:$AZ$2232,1,OC_Txn)="","",INDEX('OneCause_Paste'!$A$2232:$AZ$2232,1,OC_Txn)))</f>
        <v/>
      </c>
      <c r="M2232">
        <f>IF(OC_Pay=0,"",IF(INDEX('OneCause_Paste'!$A$2232:$AZ$2232,1,OC_Pay)="","",INDEX('OneCause_Paste'!$A$2232:$AZ$2232,1,OC_Pay)))</f>
        <v/>
      </c>
      <c r="N2232">
        <f>IF(I2232="","",IF(ISNUMBER(I2232),INT(I2232),IFERROR(INT(DATEVALUE(I2232)),IFERROR(INT(VALUE(I2232)),"bad"))))</f>
        <v/>
      </c>
      <c r="O2232">
        <f>IF(J2232="","",IF(ISNUMBER(J2232),ROUND(J2232,2),IFERROR(ROUND(VALUE(SUBSTITUTE(SUBSTITUTE(SUBSTITUTE(J2232,"$",""),",","")," ","")),2),"bad")))</f>
        <v/>
      </c>
      <c r="P2232">
        <f>IF(TRIM(K2232)="","",IFERROR(MATCH(LOWER(TRIM(K2232)),'Students'!$AH$2:$AH$701,0),IFERROR(MATCH(LOWER(TRIM(K2232)),'Students'!$AF$2:$AF$701,0),IFERROR(MATCH(LOWER(TRIM(K2232)),'Students'!$AG$2:$AG$701,0),""))))</f>
        <v/>
      </c>
      <c r="R2232">
        <f>IF(P2232="","",INDEX('Students'!$AD$2:$AD$701,P2232))</f>
        <v/>
      </c>
      <c r="S2232">
        <f>IF(H2232="OK",O2232,0)</f>
        <v/>
      </c>
      <c r="T2232">
        <f>IF(H2232="OK",N2232,"")</f>
        <v/>
      </c>
      <c r="U2232">
        <f>IF(OC_Donor=0,"",IF(INDEX('OneCause_Paste'!$A$2232:$AZ$2232,1,OC_Donor)="","",INDEX('OneCause_Paste'!$A$2232:$AZ$2232,1,OC_Donor)))</f>
        <v/>
      </c>
    </row>
    <row r="2233">
      <c r="A2233" s="62">
        <f>IF(H2233="","",IF(ISNUMBER(N2233),N2233,I2233))</f>
        <v/>
      </c>
      <c r="B2233">
        <f>IF(H2233="","",U2233)</f>
        <v/>
      </c>
      <c r="C2233">
        <f>IF(H2233="","",IF(P2233="",K2233,INDEX('Students'!$A$2:$A$701,P2233)))</f>
        <v/>
      </c>
      <c r="D2233">
        <f>IF(OR(H2233="",P2233=""),"",INDEX('Students'!$B$2:$B$701,P2233))</f>
        <v/>
      </c>
      <c r="E2233">
        <f>IF(OR(H2233="",P2233=""),"",INDEX('Students'!$C$2:$C$701,P2233))</f>
        <v/>
      </c>
      <c r="F2233" s="48">
        <f>IF(H2233="","",IF(ISNUMBER(O2233),O2233,J2233))</f>
        <v/>
      </c>
      <c r="G2233">
        <f>IF(H2233="","","OneCause")</f>
        <v/>
      </c>
      <c r="H2233">
        <f>IF(AND(I2233="",J2233="",K2233=""),"",IF(NOT(ISNUMBER(O2233)),"Bad amount",IF(O2233&lt;0,"Refund (not counted)",IF(O2233=0,"Zero amount",IF(NOT(ISNUMBER(N2233)),"Bad date",IF(P2233="","NAME NOT ON ROSTER",IF(L2233="","OK",IF(MATCH(L2233,$L$2:$L$3001,0)&lt;ROW()-1,"Duplicate (ignored)","OK"))))))))</f>
        <v/>
      </c>
      <c r="I2233">
        <f>IF(OC_Date=0,"",IF(INDEX('OneCause_Paste'!$A$2233:$AZ$2233,1,OC_Date)="","",INDEX('OneCause_Paste'!$A$2233:$AZ$2233,1,OC_Date)))</f>
        <v/>
      </c>
      <c r="J2233">
        <f>IF(OC_Amt=0,"",IF(INDEX('OneCause_Paste'!$A$2233:$AZ$2233,1,OC_Amt)="","",INDEX('OneCause_Paste'!$A$2233:$AZ$2233,1,OC_Amt)))</f>
        <v/>
      </c>
      <c r="K2233">
        <f>IF(OC_Name=0,"",IF(INDEX('OneCause_Paste'!$A$2233:$AZ$2233,1,OC_Name)="","",INDEX('OneCause_Paste'!$A$2233:$AZ$2233,1,OC_Name)))</f>
        <v/>
      </c>
      <c r="L2233">
        <f>IF(OC_Txn=0,"",IF(INDEX('OneCause_Paste'!$A$2233:$AZ$2233,1,OC_Txn)="","",INDEX('OneCause_Paste'!$A$2233:$AZ$2233,1,OC_Txn)))</f>
        <v/>
      </c>
      <c r="M2233">
        <f>IF(OC_Pay=0,"",IF(INDEX('OneCause_Paste'!$A$2233:$AZ$2233,1,OC_Pay)="","",INDEX('OneCause_Paste'!$A$2233:$AZ$2233,1,OC_Pay)))</f>
        <v/>
      </c>
      <c r="N2233">
        <f>IF(I2233="","",IF(ISNUMBER(I2233),INT(I2233),IFERROR(INT(DATEVALUE(I2233)),IFERROR(INT(VALUE(I2233)),"bad"))))</f>
        <v/>
      </c>
      <c r="O2233">
        <f>IF(J2233="","",IF(ISNUMBER(J2233),ROUND(J2233,2),IFERROR(ROUND(VALUE(SUBSTITUTE(SUBSTITUTE(SUBSTITUTE(J2233,"$",""),",","")," ","")),2),"bad")))</f>
        <v/>
      </c>
      <c r="P2233">
        <f>IF(TRIM(K2233)="","",IFERROR(MATCH(LOWER(TRIM(K2233)),'Students'!$AH$2:$AH$701,0),IFERROR(MATCH(LOWER(TRIM(K2233)),'Students'!$AF$2:$AF$701,0),IFERROR(MATCH(LOWER(TRIM(K2233)),'Students'!$AG$2:$AG$701,0),""))))</f>
        <v/>
      </c>
      <c r="R2233">
        <f>IF(P2233="","",INDEX('Students'!$AD$2:$AD$701,P2233))</f>
        <v/>
      </c>
      <c r="S2233">
        <f>IF(H2233="OK",O2233,0)</f>
        <v/>
      </c>
      <c r="T2233">
        <f>IF(H2233="OK",N2233,"")</f>
        <v/>
      </c>
      <c r="U2233">
        <f>IF(OC_Donor=0,"",IF(INDEX('OneCause_Paste'!$A$2233:$AZ$2233,1,OC_Donor)="","",INDEX('OneCause_Paste'!$A$2233:$AZ$2233,1,OC_Donor)))</f>
        <v/>
      </c>
    </row>
    <row r="2234">
      <c r="A2234" s="62">
        <f>IF(H2234="","",IF(ISNUMBER(N2234),N2234,I2234))</f>
        <v/>
      </c>
      <c r="B2234">
        <f>IF(H2234="","",U2234)</f>
        <v/>
      </c>
      <c r="C2234">
        <f>IF(H2234="","",IF(P2234="",K2234,INDEX('Students'!$A$2:$A$701,P2234)))</f>
        <v/>
      </c>
      <c r="D2234">
        <f>IF(OR(H2234="",P2234=""),"",INDEX('Students'!$B$2:$B$701,P2234))</f>
        <v/>
      </c>
      <c r="E2234">
        <f>IF(OR(H2234="",P2234=""),"",INDEX('Students'!$C$2:$C$701,P2234))</f>
        <v/>
      </c>
      <c r="F2234" s="48">
        <f>IF(H2234="","",IF(ISNUMBER(O2234),O2234,J2234))</f>
        <v/>
      </c>
      <c r="G2234">
        <f>IF(H2234="","","OneCause")</f>
        <v/>
      </c>
      <c r="H2234">
        <f>IF(AND(I2234="",J2234="",K2234=""),"",IF(NOT(ISNUMBER(O2234)),"Bad amount",IF(O2234&lt;0,"Refund (not counted)",IF(O2234=0,"Zero amount",IF(NOT(ISNUMBER(N2234)),"Bad date",IF(P2234="","NAME NOT ON ROSTER",IF(L2234="","OK",IF(MATCH(L2234,$L$2:$L$3001,0)&lt;ROW()-1,"Duplicate (ignored)","OK"))))))))</f>
        <v/>
      </c>
      <c r="I2234">
        <f>IF(OC_Date=0,"",IF(INDEX('OneCause_Paste'!$A$2234:$AZ$2234,1,OC_Date)="","",INDEX('OneCause_Paste'!$A$2234:$AZ$2234,1,OC_Date)))</f>
        <v/>
      </c>
      <c r="J2234">
        <f>IF(OC_Amt=0,"",IF(INDEX('OneCause_Paste'!$A$2234:$AZ$2234,1,OC_Amt)="","",INDEX('OneCause_Paste'!$A$2234:$AZ$2234,1,OC_Amt)))</f>
        <v/>
      </c>
      <c r="K2234">
        <f>IF(OC_Name=0,"",IF(INDEX('OneCause_Paste'!$A$2234:$AZ$2234,1,OC_Name)="","",INDEX('OneCause_Paste'!$A$2234:$AZ$2234,1,OC_Name)))</f>
        <v/>
      </c>
      <c r="L2234">
        <f>IF(OC_Txn=0,"",IF(INDEX('OneCause_Paste'!$A$2234:$AZ$2234,1,OC_Txn)="","",INDEX('OneCause_Paste'!$A$2234:$AZ$2234,1,OC_Txn)))</f>
        <v/>
      </c>
      <c r="M2234">
        <f>IF(OC_Pay=0,"",IF(INDEX('OneCause_Paste'!$A$2234:$AZ$2234,1,OC_Pay)="","",INDEX('OneCause_Paste'!$A$2234:$AZ$2234,1,OC_Pay)))</f>
        <v/>
      </c>
      <c r="N2234">
        <f>IF(I2234="","",IF(ISNUMBER(I2234),INT(I2234),IFERROR(INT(DATEVALUE(I2234)),IFERROR(INT(VALUE(I2234)),"bad"))))</f>
        <v/>
      </c>
      <c r="O2234">
        <f>IF(J2234="","",IF(ISNUMBER(J2234),ROUND(J2234,2),IFERROR(ROUND(VALUE(SUBSTITUTE(SUBSTITUTE(SUBSTITUTE(J2234,"$",""),",","")," ","")),2),"bad")))</f>
        <v/>
      </c>
      <c r="P2234">
        <f>IF(TRIM(K2234)="","",IFERROR(MATCH(LOWER(TRIM(K2234)),'Students'!$AH$2:$AH$701,0),IFERROR(MATCH(LOWER(TRIM(K2234)),'Students'!$AF$2:$AF$701,0),IFERROR(MATCH(LOWER(TRIM(K2234)),'Students'!$AG$2:$AG$701,0),""))))</f>
        <v/>
      </c>
      <c r="R2234">
        <f>IF(P2234="","",INDEX('Students'!$AD$2:$AD$701,P2234))</f>
        <v/>
      </c>
      <c r="S2234">
        <f>IF(H2234="OK",O2234,0)</f>
        <v/>
      </c>
      <c r="T2234">
        <f>IF(H2234="OK",N2234,"")</f>
        <v/>
      </c>
      <c r="U2234">
        <f>IF(OC_Donor=0,"",IF(INDEX('OneCause_Paste'!$A$2234:$AZ$2234,1,OC_Donor)="","",INDEX('OneCause_Paste'!$A$2234:$AZ$2234,1,OC_Donor)))</f>
        <v/>
      </c>
    </row>
    <row r="2235">
      <c r="A2235" s="62">
        <f>IF(H2235="","",IF(ISNUMBER(N2235),N2235,I2235))</f>
        <v/>
      </c>
      <c r="B2235">
        <f>IF(H2235="","",U2235)</f>
        <v/>
      </c>
      <c r="C2235">
        <f>IF(H2235="","",IF(P2235="",K2235,INDEX('Students'!$A$2:$A$701,P2235)))</f>
        <v/>
      </c>
      <c r="D2235">
        <f>IF(OR(H2235="",P2235=""),"",INDEX('Students'!$B$2:$B$701,P2235))</f>
        <v/>
      </c>
      <c r="E2235">
        <f>IF(OR(H2235="",P2235=""),"",INDEX('Students'!$C$2:$C$701,P2235))</f>
        <v/>
      </c>
      <c r="F2235" s="48">
        <f>IF(H2235="","",IF(ISNUMBER(O2235),O2235,J2235))</f>
        <v/>
      </c>
      <c r="G2235">
        <f>IF(H2235="","","OneCause")</f>
        <v/>
      </c>
      <c r="H2235">
        <f>IF(AND(I2235="",J2235="",K2235=""),"",IF(NOT(ISNUMBER(O2235)),"Bad amount",IF(O2235&lt;0,"Refund (not counted)",IF(O2235=0,"Zero amount",IF(NOT(ISNUMBER(N2235)),"Bad date",IF(P2235="","NAME NOT ON ROSTER",IF(L2235="","OK",IF(MATCH(L2235,$L$2:$L$3001,0)&lt;ROW()-1,"Duplicate (ignored)","OK"))))))))</f>
        <v/>
      </c>
      <c r="I2235">
        <f>IF(OC_Date=0,"",IF(INDEX('OneCause_Paste'!$A$2235:$AZ$2235,1,OC_Date)="","",INDEX('OneCause_Paste'!$A$2235:$AZ$2235,1,OC_Date)))</f>
        <v/>
      </c>
      <c r="J2235">
        <f>IF(OC_Amt=0,"",IF(INDEX('OneCause_Paste'!$A$2235:$AZ$2235,1,OC_Amt)="","",INDEX('OneCause_Paste'!$A$2235:$AZ$2235,1,OC_Amt)))</f>
        <v/>
      </c>
      <c r="K2235">
        <f>IF(OC_Name=0,"",IF(INDEX('OneCause_Paste'!$A$2235:$AZ$2235,1,OC_Name)="","",INDEX('OneCause_Paste'!$A$2235:$AZ$2235,1,OC_Name)))</f>
        <v/>
      </c>
      <c r="L2235">
        <f>IF(OC_Txn=0,"",IF(INDEX('OneCause_Paste'!$A$2235:$AZ$2235,1,OC_Txn)="","",INDEX('OneCause_Paste'!$A$2235:$AZ$2235,1,OC_Txn)))</f>
        <v/>
      </c>
      <c r="M2235">
        <f>IF(OC_Pay=0,"",IF(INDEX('OneCause_Paste'!$A$2235:$AZ$2235,1,OC_Pay)="","",INDEX('OneCause_Paste'!$A$2235:$AZ$2235,1,OC_Pay)))</f>
        <v/>
      </c>
      <c r="N2235">
        <f>IF(I2235="","",IF(ISNUMBER(I2235),INT(I2235),IFERROR(INT(DATEVALUE(I2235)),IFERROR(INT(VALUE(I2235)),"bad"))))</f>
        <v/>
      </c>
      <c r="O2235">
        <f>IF(J2235="","",IF(ISNUMBER(J2235),ROUND(J2235,2),IFERROR(ROUND(VALUE(SUBSTITUTE(SUBSTITUTE(SUBSTITUTE(J2235,"$",""),",","")," ","")),2),"bad")))</f>
        <v/>
      </c>
      <c r="P2235">
        <f>IF(TRIM(K2235)="","",IFERROR(MATCH(LOWER(TRIM(K2235)),'Students'!$AH$2:$AH$701,0),IFERROR(MATCH(LOWER(TRIM(K2235)),'Students'!$AF$2:$AF$701,0),IFERROR(MATCH(LOWER(TRIM(K2235)),'Students'!$AG$2:$AG$701,0),""))))</f>
        <v/>
      </c>
      <c r="R2235">
        <f>IF(P2235="","",INDEX('Students'!$AD$2:$AD$701,P2235))</f>
        <v/>
      </c>
      <c r="S2235">
        <f>IF(H2235="OK",O2235,0)</f>
        <v/>
      </c>
      <c r="T2235">
        <f>IF(H2235="OK",N2235,"")</f>
        <v/>
      </c>
      <c r="U2235">
        <f>IF(OC_Donor=0,"",IF(INDEX('OneCause_Paste'!$A$2235:$AZ$2235,1,OC_Donor)="","",INDEX('OneCause_Paste'!$A$2235:$AZ$2235,1,OC_Donor)))</f>
        <v/>
      </c>
    </row>
    <row r="2236">
      <c r="A2236" s="62">
        <f>IF(H2236="","",IF(ISNUMBER(N2236),N2236,I2236))</f>
        <v/>
      </c>
      <c r="B2236">
        <f>IF(H2236="","",U2236)</f>
        <v/>
      </c>
      <c r="C2236">
        <f>IF(H2236="","",IF(P2236="",K2236,INDEX('Students'!$A$2:$A$701,P2236)))</f>
        <v/>
      </c>
      <c r="D2236">
        <f>IF(OR(H2236="",P2236=""),"",INDEX('Students'!$B$2:$B$701,P2236))</f>
        <v/>
      </c>
      <c r="E2236">
        <f>IF(OR(H2236="",P2236=""),"",INDEX('Students'!$C$2:$C$701,P2236))</f>
        <v/>
      </c>
      <c r="F2236" s="48">
        <f>IF(H2236="","",IF(ISNUMBER(O2236),O2236,J2236))</f>
        <v/>
      </c>
      <c r="G2236">
        <f>IF(H2236="","","OneCause")</f>
        <v/>
      </c>
      <c r="H2236">
        <f>IF(AND(I2236="",J2236="",K2236=""),"",IF(NOT(ISNUMBER(O2236)),"Bad amount",IF(O2236&lt;0,"Refund (not counted)",IF(O2236=0,"Zero amount",IF(NOT(ISNUMBER(N2236)),"Bad date",IF(P2236="","NAME NOT ON ROSTER",IF(L2236="","OK",IF(MATCH(L2236,$L$2:$L$3001,0)&lt;ROW()-1,"Duplicate (ignored)","OK"))))))))</f>
        <v/>
      </c>
      <c r="I2236">
        <f>IF(OC_Date=0,"",IF(INDEX('OneCause_Paste'!$A$2236:$AZ$2236,1,OC_Date)="","",INDEX('OneCause_Paste'!$A$2236:$AZ$2236,1,OC_Date)))</f>
        <v/>
      </c>
      <c r="J2236">
        <f>IF(OC_Amt=0,"",IF(INDEX('OneCause_Paste'!$A$2236:$AZ$2236,1,OC_Amt)="","",INDEX('OneCause_Paste'!$A$2236:$AZ$2236,1,OC_Amt)))</f>
        <v/>
      </c>
      <c r="K2236">
        <f>IF(OC_Name=0,"",IF(INDEX('OneCause_Paste'!$A$2236:$AZ$2236,1,OC_Name)="","",INDEX('OneCause_Paste'!$A$2236:$AZ$2236,1,OC_Name)))</f>
        <v/>
      </c>
      <c r="L2236">
        <f>IF(OC_Txn=0,"",IF(INDEX('OneCause_Paste'!$A$2236:$AZ$2236,1,OC_Txn)="","",INDEX('OneCause_Paste'!$A$2236:$AZ$2236,1,OC_Txn)))</f>
        <v/>
      </c>
      <c r="M2236">
        <f>IF(OC_Pay=0,"",IF(INDEX('OneCause_Paste'!$A$2236:$AZ$2236,1,OC_Pay)="","",INDEX('OneCause_Paste'!$A$2236:$AZ$2236,1,OC_Pay)))</f>
        <v/>
      </c>
      <c r="N2236">
        <f>IF(I2236="","",IF(ISNUMBER(I2236),INT(I2236),IFERROR(INT(DATEVALUE(I2236)),IFERROR(INT(VALUE(I2236)),"bad"))))</f>
        <v/>
      </c>
      <c r="O2236">
        <f>IF(J2236="","",IF(ISNUMBER(J2236),ROUND(J2236,2),IFERROR(ROUND(VALUE(SUBSTITUTE(SUBSTITUTE(SUBSTITUTE(J2236,"$",""),",","")," ","")),2),"bad")))</f>
        <v/>
      </c>
      <c r="P2236">
        <f>IF(TRIM(K2236)="","",IFERROR(MATCH(LOWER(TRIM(K2236)),'Students'!$AH$2:$AH$701,0),IFERROR(MATCH(LOWER(TRIM(K2236)),'Students'!$AF$2:$AF$701,0),IFERROR(MATCH(LOWER(TRIM(K2236)),'Students'!$AG$2:$AG$701,0),""))))</f>
        <v/>
      </c>
      <c r="R2236">
        <f>IF(P2236="","",INDEX('Students'!$AD$2:$AD$701,P2236))</f>
        <v/>
      </c>
      <c r="S2236">
        <f>IF(H2236="OK",O2236,0)</f>
        <v/>
      </c>
      <c r="T2236">
        <f>IF(H2236="OK",N2236,"")</f>
        <v/>
      </c>
      <c r="U2236">
        <f>IF(OC_Donor=0,"",IF(INDEX('OneCause_Paste'!$A$2236:$AZ$2236,1,OC_Donor)="","",INDEX('OneCause_Paste'!$A$2236:$AZ$2236,1,OC_Donor)))</f>
        <v/>
      </c>
    </row>
    <row r="2237">
      <c r="A2237" s="62">
        <f>IF(H2237="","",IF(ISNUMBER(N2237),N2237,I2237))</f>
        <v/>
      </c>
      <c r="B2237">
        <f>IF(H2237="","",U2237)</f>
        <v/>
      </c>
      <c r="C2237">
        <f>IF(H2237="","",IF(P2237="",K2237,INDEX('Students'!$A$2:$A$701,P2237)))</f>
        <v/>
      </c>
      <c r="D2237">
        <f>IF(OR(H2237="",P2237=""),"",INDEX('Students'!$B$2:$B$701,P2237))</f>
        <v/>
      </c>
      <c r="E2237">
        <f>IF(OR(H2237="",P2237=""),"",INDEX('Students'!$C$2:$C$701,P2237))</f>
        <v/>
      </c>
      <c r="F2237" s="48">
        <f>IF(H2237="","",IF(ISNUMBER(O2237),O2237,J2237))</f>
        <v/>
      </c>
      <c r="G2237">
        <f>IF(H2237="","","OneCause")</f>
        <v/>
      </c>
      <c r="H2237">
        <f>IF(AND(I2237="",J2237="",K2237=""),"",IF(NOT(ISNUMBER(O2237)),"Bad amount",IF(O2237&lt;0,"Refund (not counted)",IF(O2237=0,"Zero amount",IF(NOT(ISNUMBER(N2237)),"Bad date",IF(P2237="","NAME NOT ON ROSTER",IF(L2237="","OK",IF(MATCH(L2237,$L$2:$L$3001,0)&lt;ROW()-1,"Duplicate (ignored)","OK"))))))))</f>
        <v/>
      </c>
      <c r="I2237">
        <f>IF(OC_Date=0,"",IF(INDEX('OneCause_Paste'!$A$2237:$AZ$2237,1,OC_Date)="","",INDEX('OneCause_Paste'!$A$2237:$AZ$2237,1,OC_Date)))</f>
        <v/>
      </c>
      <c r="J2237">
        <f>IF(OC_Amt=0,"",IF(INDEX('OneCause_Paste'!$A$2237:$AZ$2237,1,OC_Amt)="","",INDEX('OneCause_Paste'!$A$2237:$AZ$2237,1,OC_Amt)))</f>
        <v/>
      </c>
      <c r="K2237">
        <f>IF(OC_Name=0,"",IF(INDEX('OneCause_Paste'!$A$2237:$AZ$2237,1,OC_Name)="","",INDEX('OneCause_Paste'!$A$2237:$AZ$2237,1,OC_Name)))</f>
        <v/>
      </c>
      <c r="L2237">
        <f>IF(OC_Txn=0,"",IF(INDEX('OneCause_Paste'!$A$2237:$AZ$2237,1,OC_Txn)="","",INDEX('OneCause_Paste'!$A$2237:$AZ$2237,1,OC_Txn)))</f>
        <v/>
      </c>
      <c r="M2237">
        <f>IF(OC_Pay=0,"",IF(INDEX('OneCause_Paste'!$A$2237:$AZ$2237,1,OC_Pay)="","",INDEX('OneCause_Paste'!$A$2237:$AZ$2237,1,OC_Pay)))</f>
        <v/>
      </c>
      <c r="N2237">
        <f>IF(I2237="","",IF(ISNUMBER(I2237),INT(I2237),IFERROR(INT(DATEVALUE(I2237)),IFERROR(INT(VALUE(I2237)),"bad"))))</f>
        <v/>
      </c>
      <c r="O2237">
        <f>IF(J2237="","",IF(ISNUMBER(J2237),ROUND(J2237,2),IFERROR(ROUND(VALUE(SUBSTITUTE(SUBSTITUTE(SUBSTITUTE(J2237,"$",""),",","")," ","")),2),"bad")))</f>
        <v/>
      </c>
      <c r="P2237">
        <f>IF(TRIM(K2237)="","",IFERROR(MATCH(LOWER(TRIM(K2237)),'Students'!$AH$2:$AH$701,0),IFERROR(MATCH(LOWER(TRIM(K2237)),'Students'!$AF$2:$AF$701,0),IFERROR(MATCH(LOWER(TRIM(K2237)),'Students'!$AG$2:$AG$701,0),""))))</f>
        <v/>
      </c>
      <c r="R2237">
        <f>IF(P2237="","",INDEX('Students'!$AD$2:$AD$701,P2237))</f>
        <v/>
      </c>
      <c r="S2237">
        <f>IF(H2237="OK",O2237,0)</f>
        <v/>
      </c>
      <c r="T2237">
        <f>IF(H2237="OK",N2237,"")</f>
        <v/>
      </c>
      <c r="U2237">
        <f>IF(OC_Donor=0,"",IF(INDEX('OneCause_Paste'!$A$2237:$AZ$2237,1,OC_Donor)="","",INDEX('OneCause_Paste'!$A$2237:$AZ$2237,1,OC_Donor)))</f>
        <v/>
      </c>
    </row>
    <row r="2238">
      <c r="A2238" s="62">
        <f>IF(H2238="","",IF(ISNUMBER(N2238),N2238,I2238))</f>
        <v/>
      </c>
      <c r="B2238">
        <f>IF(H2238="","",U2238)</f>
        <v/>
      </c>
      <c r="C2238">
        <f>IF(H2238="","",IF(P2238="",K2238,INDEX('Students'!$A$2:$A$701,P2238)))</f>
        <v/>
      </c>
      <c r="D2238">
        <f>IF(OR(H2238="",P2238=""),"",INDEX('Students'!$B$2:$B$701,P2238))</f>
        <v/>
      </c>
      <c r="E2238">
        <f>IF(OR(H2238="",P2238=""),"",INDEX('Students'!$C$2:$C$701,P2238))</f>
        <v/>
      </c>
      <c r="F2238" s="48">
        <f>IF(H2238="","",IF(ISNUMBER(O2238),O2238,J2238))</f>
        <v/>
      </c>
      <c r="G2238">
        <f>IF(H2238="","","OneCause")</f>
        <v/>
      </c>
      <c r="H2238">
        <f>IF(AND(I2238="",J2238="",K2238=""),"",IF(NOT(ISNUMBER(O2238)),"Bad amount",IF(O2238&lt;0,"Refund (not counted)",IF(O2238=0,"Zero amount",IF(NOT(ISNUMBER(N2238)),"Bad date",IF(P2238="","NAME NOT ON ROSTER",IF(L2238="","OK",IF(MATCH(L2238,$L$2:$L$3001,0)&lt;ROW()-1,"Duplicate (ignored)","OK"))))))))</f>
        <v/>
      </c>
      <c r="I2238">
        <f>IF(OC_Date=0,"",IF(INDEX('OneCause_Paste'!$A$2238:$AZ$2238,1,OC_Date)="","",INDEX('OneCause_Paste'!$A$2238:$AZ$2238,1,OC_Date)))</f>
        <v/>
      </c>
      <c r="J2238">
        <f>IF(OC_Amt=0,"",IF(INDEX('OneCause_Paste'!$A$2238:$AZ$2238,1,OC_Amt)="","",INDEX('OneCause_Paste'!$A$2238:$AZ$2238,1,OC_Amt)))</f>
        <v/>
      </c>
      <c r="K2238">
        <f>IF(OC_Name=0,"",IF(INDEX('OneCause_Paste'!$A$2238:$AZ$2238,1,OC_Name)="","",INDEX('OneCause_Paste'!$A$2238:$AZ$2238,1,OC_Name)))</f>
        <v/>
      </c>
      <c r="L2238">
        <f>IF(OC_Txn=0,"",IF(INDEX('OneCause_Paste'!$A$2238:$AZ$2238,1,OC_Txn)="","",INDEX('OneCause_Paste'!$A$2238:$AZ$2238,1,OC_Txn)))</f>
        <v/>
      </c>
      <c r="M2238">
        <f>IF(OC_Pay=0,"",IF(INDEX('OneCause_Paste'!$A$2238:$AZ$2238,1,OC_Pay)="","",INDEX('OneCause_Paste'!$A$2238:$AZ$2238,1,OC_Pay)))</f>
        <v/>
      </c>
      <c r="N2238">
        <f>IF(I2238="","",IF(ISNUMBER(I2238),INT(I2238),IFERROR(INT(DATEVALUE(I2238)),IFERROR(INT(VALUE(I2238)),"bad"))))</f>
        <v/>
      </c>
      <c r="O2238">
        <f>IF(J2238="","",IF(ISNUMBER(J2238),ROUND(J2238,2),IFERROR(ROUND(VALUE(SUBSTITUTE(SUBSTITUTE(SUBSTITUTE(J2238,"$",""),",","")," ","")),2),"bad")))</f>
        <v/>
      </c>
      <c r="P2238">
        <f>IF(TRIM(K2238)="","",IFERROR(MATCH(LOWER(TRIM(K2238)),'Students'!$AH$2:$AH$701,0),IFERROR(MATCH(LOWER(TRIM(K2238)),'Students'!$AF$2:$AF$701,0),IFERROR(MATCH(LOWER(TRIM(K2238)),'Students'!$AG$2:$AG$701,0),""))))</f>
        <v/>
      </c>
      <c r="R2238">
        <f>IF(P2238="","",INDEX('Students'!$AD$2:$AD$701,P2238))</f>
        <v/>
      </c>
      <c r="S2238">
        <f>IF(H2238="OK",O2238,0)</f>
        <v/>
      </c>
      <c r="T2238">
        <f>IF(H2238="OK",N2238,"")</f>
        <v/>
      </c>
      <c r="U2238">
        <f>IF(OC_Donor=0,"",IF(INDEX('OneCause_Paste'!$A$2238:$AZ$2238,1,OC_Donor)="","",INDEX('OneCause_Paste'!$A$2238:$AZ$2238,1,OC_Donor)))</f>
        <v/>
      </c>
    </row>
    <row r="2239">
      <c r="A2239" s="62">
        <f>IF(H2239="","",IF(ISNUMBER(N2239),N2239,I2239))</f>
        <v/>
      </c>
      <c r="B2239">
        <f>IF(H2239="","",U2239)</f>
        <v/>
      </c>
      <c r="C2239">
        <f>IF(H2239="","",IF(P2239="",K2239,INDEX('Students'!$A$2:$A$701,P2239)))</f>
        <v/>
      </c>
      <c r="D2239">
        <f>IF(OR(H2239="",P2239=""),"",INDEX('Students'!$B$2:$B$701,P2239))</f>
        <v/>
      </c>
      <c r="E2239">
        <f>IF(OR(H2239="",P2239=""),"",INDEX('Students'!$C$2:$C$701,P2239))</f>
        <v/>
      </c>
      <c r="F2239" s="48">
        <f>IF(H2239="","",IF(ISNUMBER(O2239),O2239,J2239))</f>
        <v/>
      </c>
      <c r="G2239">
        <f>IF(H2239="","","OneCause")</f>
        <v/>
      </c>
      <c r="H2239">
        <f>IF(AND(I2239="",J2239="",K2239=""),"",IF(NOT(ISNUMBER(O2239)),"Bad amount",IF(O2239&lt;0,"Refund (not counted)",IF(O2239=0,"Zero amount",IF(NOT(ISNUMBER(N2239)),"Bad date",IF(P2239="","NAME NOT ON ROSTER",IF(L2239="","OK",IF(MATCH(L2239,$L$2:$L$3001,0)&lt;ROW()-1,"Duplicate (ignored)","OK"))))))))</f>
        <v/>
      </c>
      <c r="I2239">
        <f>IF(OC_Date=0,"",IF(INDEX('OneCause_Paste'!$A$2239:$AZ$2239,1,OC_Date)="","",INDEX('OneCause_Paste'!$A$2239:$AZ$2239,1,OC_Date)))</f>
        <v/>
      </c>
      <c r="J2239">
        <f>IF(OC_Amt=0,"",IF(INDEX('OneCause_Paste'!$A$2239:$AZ$2239,1,OC_Amt)="","",INDEX('OneCause_Paste'!$A$2239:$AZ$2239,1,OC_Amt)))</f>
        <v/>
      </c>
      <c r="K2239">
        <f>IF(OC_Name=0,"",IF(INDEX('OneCause_Paste'!$A$2239:$AZ$2239,1,OC_Name)="","",INDEX('OneCause_Paste'!$A$2239:$AZ$2239,1,OC_Name)))</f>
        <v/>
      </c>
      <c r="L2239">
        <f>IF(OC_Txn=0,"",IF(INDEX('OneCause_Paste'!$A$2239:$AZ$2239,1,OC_Txn)="","",INDEX('OneCause_Paste'!$A$2239:$AZ$2239,1,OC_Txn)))</f>
        <v/>
      </c>
      <c r="M2239">
        <f>IF(OC_Pay=0,"",IF(INDEX('OneCause_Paste'!$A$2239:$AZ$2239,1,OC_Pay)="","",INDEX('OneCause_Paste'!$A$2239:$AZ$2239,1,OC_Pay)))</f>
        <v/>
      </c>
      <c r="N2239">
        <f>IF(I2239="","",IF(ISNUMBER(I2239),INT(I2239),IFERROR(INT(DATEVALUE(I2239)),IFERROR(INT(VALUE(I2239)),"bad"))))</f>
        <v/>
      </c>
      <c r="O2239">
        <f>IF(J2239="","",IF(ISNUMBER(J2239),ROUND(J2239,2),IFERROR(ROUND(VALUE(SUBSTITUTE(SUBSTITUTE(SUBSTITUTE(J2239,"$",""),",","")," ","")),2),"bad")))</f>
        <v/>
      </c>
      <c r="P2239">
        <f>IF(TRIM(K2239)="","",IFERROR(MATCH(LOWER(TRIM(K2239)),'Students'!$AH$2:$AH$701,0),IFERROR(MATCH(LOWER(TRIM(K2239)),'Students'!$AF$2:$AF$701,0),IFERROR(MATCH(LOWER(TRIM(K2239)),'Students'!$AG$2:$AG$701,0),""))))</f>
        <v/>
      </c>
      <c r="R2239">
        <f>IF(P2239="","",INDEX('Students'!$AD$2:$AD$701,P2239))</f>
        <v/>
      </c>
      <c r="S2239">
        <f>IF(H2239="OK",O2239,0)</f>
        <v/>
      </c>
      <c r="T2239">
        <f>IF(H2239="OK",N2239,"")</f>
        <v/>
      </c>
      <c r="U2239">
        <f>IF(OC_Donor=0,"",IF(INDEX('OneCause_Paste'!$A$2239:$AZ$2239,1,OC_Donor)="","",INDEX('OneCause_Paste'!$A$2239:$AZ$2239,1,OC_Donor)))</f>
        <v/>
      </c>
    </row>
    <row r="2240">
      <c r="A2240" s="62">
        <f>IF(H2240="","",IF(ISNUMBER(N2240),N2240,I2240))</f>
        <v/>
      </c>
      <c r="B2240">
        <f>IF(H2240="","",U2240)</f>
        <v/>
      </c>
      <c r="C2240">
        <f>IF(H2240="","",IF(P2240="",K2240,INDEX('Students'!$A$2:$A$701,P2240)))</f>
        <v/>
      </c>
      <c r="D2240">
        <f>IF(OR(H2240="",P2240=""),"",INDEX('Students'!$B$2:$B$701,P2240))</f>
        <v/>
      </c>
      <c r="E2240">
        <f>IF(OR(H2240="",P2240=""),"",INDEX('Students'!$C$2:$C$701,P2240))</f>
        <v/>
      </c>
      <c r="F2240" s="48">
        <f>IF(H2240="","",IF(ISNUMBER(O2240),O2240,J2240))</f>
        <v/>
      </c>
      <c r="G2240">
        <f>IF(H2240="","","OneCause")</f>
        <v/>
      </c>
      <c r="H2240">
        <f>IF(AND(I2240="",J2240="",K2240=""),"",IF(NOT(ISNUMBER(O2240)),"Bad amount",IF(O2240&lt;0,"Refund (not counted)",IF(O2240=0,"Zero amount",IF(NOT(ISNUMBER(N2240)),"Bad date",IF(P2240="","NAME NOT ON ROSTER",IF(L2240="","OK",IF(MATCH(L2240,$L$2:$L$3001,0)&lt;ROW()-1,"Duplicate (ignored)","OK"))))))))</f>
        <v/>
      </c>
      <c r="I2240">
        <f>IF(OC_Date=0,"",IF(INDEX('OneCause_Paste'!$A$2240:$AZ$2240,1,OC_Date)="","",INDEX('OneCause_Paste'!$A$2240:$AZ$2240,1,OC_Date)))</f>
        <v/>
      </c>
      <c r="J2240">
        <f>IF(OC_Amt=0,"",IF(INDEX('OneCause_Paste'!$A$2240:$AZ$2240,1,OC_Amt)="","",INDEX('OneCause_Paste'!$A$2240:$AZ$2240,1,OC_Amt)))</f>
        <v/>
      </c>
      <c r="K2240">
        <f>IF(OC_Name=0,"",IF(INDEX('OneCause_Paste'!$A$2240:$AZ$2240,1,OC_Name)="","",INDEX('OneCause_Paste'!$A$2240:$AZ$2240,1,OC_Name)))</f>
        <v/>
      </c>
      <c r="L2240">
        <f>IF(OC_Txn=0,"",IF(INDEX('OneCause_Paste'!$A$2240:$AZ$2240,1,OC_Txn)="","",INDEX('OneCause_Paste'!$A$2240:$AZ$2240,1,OC_Txn)))</f>
        <v/>
      </c>
      <c r="M2240">
        <f>IF(OC_Pay=0,"",IF(INDEX('OneCause_Paste'!$A$2240:$AZ$2240,1,OC_Pay)="","",INDEX('OneCause_Paste'!$A$2240:$AZ$2240,1,OC_Pay)))</f>
        <v/>
      </c>
      <c r="N2240">
        <f>IF(I2240="","",IF(ISNUMBER(I2240),INT(I2240),IFERROR(INT(DATEVALUE(I2240)),IFERROR(INT(VALUE(I2240)),"bad"))))</f>
        <v/>
      </c>
      <c r="O2240">
        <f>IF(J2240="","",IF(ISNUMBER(J2240),ROUND(J2240,2),IFERROR(ROUND(VALUE(SUBSTITUTE(SUBSTITUTE(SUBSTITUTE(J2240,"$",""),",","")," ","")),2),"bad")))</f>
        <v/>
      </c>
      <c r="P2240">
        <f>IF(TRIM(K2240)="","",IFERROR(MATCH(LOWER(TRIM(K2240)),'Students'!$AH$2:$AH$701,0),IFERROR(MATCH(LOWER(TRIM(K2240)),'Students'!$AF$2:$AF$701,0),IFERROR(MATCH(LOWER(TRIM(K2240)),'Students'!$AG$2:$AG$701,0),""))))</f>
        <v/>
      </c>
      <c r="R2240">
        <f>IF(P2240="","",INDEX('Students'!$AD$2:$AD$701,P2240))</f>
        <v/>
      </c>
      <c r="S2240">
        <f>IF(H2240="OK",O2240,0)</f>
        <v/>
      </c>
      <c r="T2240">
        <f>IF(H2240="OK",N2240,"")</f>
        <v/>
      </c>
      <c r="U2240">
        <f>IF(OC_Donor=0,"",IF(INDEX('OneCause_Paste'!$A$2240:$AZ$2240,1,OC_Donor)="","",INDEX('OneCause_Paste'!$A$2240:$AZ$2240,1,OC_Donor)))</f>
        <v/>
      </c>
    </row>
    <row r="2241">
      <c r="A2241" s="62">
        <f>IF(H2241="","",IF(ISNUMBER(N2241),N2241,I2241))</f>
        <v/>
      </c>
      <c r="B2241">
        <f>IF(H2241="","",U2241)</f>
        <v/>
      </c>
      <c r="C2241">
        <f>IF(H2241="","",IF(P2241="",K2241,INDEX('Students'!$A$2:$A$701,P2241)))</f>
        <v/>
      </c>
      <c r="D2241">
        <f>IF(OR(H2241="",P2241=""),"",INDEX('Students'!$B$2:$B$701,P2241))</f>
        <v/>
      </c>
      <c r="E2241">
        <f>IF(OR(H2241="",P2241=""),"",INDEX('Students'!$C$2:$C$701,P2241))</f>
        <v/>
      </c>
      <c r="F2241" s="48">
        <f>IF(H2241="","",IF(ISNUMBER(O2241),O2241,J2241))</f>
        <v/>
      </c>
      <c r="G2241">
        <f>IF(H2241="","","OneCause")</f>
        <v/>
      </c>
      <c r="H2241">
        <f>IF(AND(I2241="",J2241="",K2241=""),"",IF(NOT(ISNUMBER(O2241)),"Bad amount",IF(O2241&lt;0,"Refund (not counted)",IF(O2241=0,"Zero amount",IF(NOT(ISNUMBER(N2241)),"Bad date",IF(P2241="","NAME NOT ON ROSTER",IF(L2241="","OK",IF(MATCH(L2241,$L$2:$L$3001,0)&lt;ROW()-1,"Duplicate (ignored)","OK"))))))))</f>
        <v/>
      </c>
      <c r="I2241">
        <f>IF(OC_Date=0,"",IF(INDEX('OneCause_Paste'!$A$2241:$AZ$2241,1,OC_Date)="","",INDEX('OneCause_Paste'!$A$2241:$AZ$2241,1,OC_Date)))</f>
        <v/>
      </c>
      <c r="J2241">
        <f>IF(OC_Amt=0,"",IF(INDEX('OneCause_Paste'!$A$2241:$AZ$2241,1,OC_Amt)="","",INDEX('OneCause_Paste'!$A$2241:$AZ$2241,1,OC_Amt)))</f>
        <v/>
      </c>
      <c r="K2241">
        <f>IF(OC_Name=0,"",IF(INDEX('OneCause_Paste'!$A$2241:$AZ$2241,1,OC_Name)="","",INDEX('OneCause_Paste'!$A$2241:$AZ$2241,1,OC_Name)))</f>
        <v/>
      </c>
      <c r="L2241">
        <f>IF(OC_Txn=0,"",IF(INDEX('OneCause_Paste'!$A$2241:$AZ$2241,1,OC_Txn)="","",INDEX('OneCause_Paste'!$A$2241:$AZ$2241,1,OC_Txn)))</f>
        <v/>
      </c>
      <c r="M2241">
        <f>IF(OC_Pay=0,"",IF(INDEX('OneCause_Paste'!$A$2241:$AZ$2241,1,OC_Pay)="","",INDEX('OneCause_Paste'!$A$2241:$AZ$2241,1,OC_Pay)))</f>
        <v/>
      </c>
      <c r="N2241">
        <f>IF(I2241="","",IF(ISNUMBER(I2241),INT(I2241),IFERROR(INT(DATEVALUE(I2241)),IFERROR(INT(VALUE(I2241)),"bad"))))</f>
        <v/>
      </c>
      <c r="O2241">
        <f>IF(J2241="","",IF(ISNUMBER(J2241),ROUND(J2241,2),IFERROR(ROUND(VALUE(SUBSTITUTE(SUBSTITUTE(SUBSTITUTE(J2241,"$",""),",","")," ","")),2),"bad")))</f>
        <v/>
      </c>
      <c r="P2241">
        <f>IF(TRIM(K2241)="","",IFERROR(MATCH(LOWER(TRIM(K2241)),'Students'!$AH$2:$AH$701,0),IFERROR(MATCH(LOWER(TRIM(K2241)),'Students'!$AF$2:$AF$701,0),IFERROR(MATCH(LOWER(TRIM(K2241)),'Students'!$AG$2:$AG$701,0),""))))</f>
        <v/>
      </c>
      <c r="R2241">
        <f>IF(P2241="","",INDEX('Students'!$AD$2:$AD$701,P2241))</f>
        <v/>
      </c>
      <c r="S2241">
        <f>IF(H2241="OK",O2241,0)</f>
        <v/>
      </c>
      <c r="T2241">
        <f>IF(H2241="OK",N2241,"")</f>
        <v/>
      </c>
      <c r="U2241">
        <f>IF(OC_Donor=0,"",IF(INDEX('OneCause_Paste'!$A$2241:$AZ$2241,1,OC_Donor)="","",INDEX('OneCause_Paste'!$A$2241:$AZ$2241,1,OC_Donor)))</f>
        <v/>
      </c>
    </row>
    <row r="2242">
      <c r="A2242" s="62">
        <f>IF(H2242="","",IF(ISNUMBER(N2242),N2242,I2242))</f>
        <v/>
      </c>
      <c r="B2242">
        <f>IF(H2242="","",U2242)</f>
        <v/>
      </c>
      <c r="C2242">
        <f>IF(H2242="","",IF(P2242="",K2242,INDEX('Students'!$A$2:$A$701,P2242)))</f>
        <v/>
      </c>
      <c r="D2242">
        <f>IF(OR(H2242="",P2242=""),"",INDEX('Students'!$B$2:$B$701,P2242))</f>
        <v/>
      </c>
      <c r="E2242">
        <f>IF(OR(H2242="",P2242=""),"",INDEX('Students'!$C$2:$C$701,P2242))</f>
        <v/>
      </c>
      <c r="F2242" s="48">
        <f>IF(H2242="","",IF(ISNUMBER(O2242),O2242,J2242))</f>
        <v/>
      </c>
      <c r="G2242">
        <f>IF(H2242="","","OneCause")</f>
        <v/>
      </c>
      <c r="H2242">
        <f>IF(AND(I2242="",J2242="",K2242=""),"",IF(NOT(ISNUMBER(O2242)),"Bad amount",IF(O2242&lt;0,"Refund (not counted)",IF(O2242=0,"Zero amount",IF(NOT(ISNUMBER(N2242)),"Bad date",IF(P2242="","NAME NOT ON ROSTER",IF(L2242="","OK",IF(MATCH(L2242,$L$2:$L$3001,0)&lt;ROW()-1,"Duplicate (ignored)","OK"))))))))</f>
        <v/>
      </c>
      <c r="I2242">
        <f>IF(OC_Date=0,"",IF(INDEX('OneCause_Paste'!$A$2242:$AZ$2242,1,OC_Date)="","",INDEX('OneCause_Paste'!$A$2242:$AZ$2242,1,OC_Date)))</f>
        <v/>
      </c>
      <c r="J2242">
        <f>IF(OC_Amt=0,"",IF(INDEX('OneCause_Paste'!$A$2242:$AZ$2242,1,OC_Amt)="","",INDEX('OneCause_Paste'!$A$2242:$AZ$2242,1,OC_Amt)))</f>
        <v/>
      </c>
      <c r="K2242">
        <f>IF(OC_Name=0,"",IF(INDEX('OneCause_Paste'!$A$2242:$AZ$2242,1,OC_Name)="","",INDEX('OneCause_Paste'!$A$2242:$AZ$2242,1,OC_Name)))</f>
        <v/>
      </c>
      <c r="L2242">
        <f>IF(OC_Txn=0,"",IF(INDEX('OneCause_Paste'!$A$2242:$AZ$2242,1,OC_Txn)="","",INDEX('OneCause_Paste'!$A$2242:$AZ$2242,1,OC_Txn)))</f>
        <v/>
      </c>
      <c r="M2242">
        <f>IF(OC_Pay=0,"",IF(INDEX('OneCause_Paste'!$A$2242:$AZ$2242,1,OC_Pay)="","",INDEX('OneCause_Paste'!$A$2242:$AZ$2242,1,OC_Pay)))</f>
        <v/>
      </c>
      <c r="N2242">
        <f>IF(I2242="","",IF(ISNUMBER(I2242),INT(I2242),IFERROR(INT(DATEVALUE(I2242)),IFERROR(INT(VALUE(I2242)),"bad"))))</f>
        <v/>
      </c>
      <c r="O2242">
        <f>IF(J2242="","",IF(ISNUMBER(J2242),ROUND(J2242,2),IFERROR(ROUND(VALUE(SUBSTITUTE(SUBSTITUTE(SUBSTITUTE(J2242,"$",""),",","")," ","")),2),"bad")))</f>
        <v/>
      </c>
      <c r="P2242">
        <f>IF(TRIM(K2242)="","",IFERROR(MATCH(LOWER(TRIM(K2242)),'Students'!$AH$2:$AH$701,0),IFERROR(MATCH(LOWER(TRIM(K2242)),'Students'!$AF$2:$AF$701,0),IFERROR(MATCH(LOWER(TRIM(K2242)),'Students'!$AG$2:$AG$701,0),""))))</f>
        <v/>
      </c>
      <c r="R2242">
        <f>IF(P2242="","",INDEX('Students'!$AD$2:$AD$701,P2242))</f>
        <v/>
      </c>
      <c r="S2242">
        <f>IF(H2242="OK",O2242,0)</f>
        <v/>
      </c>
      <c r="T2242">
        <f>IF(H2242="OK",N2242,"")</f>
        <v/>
      </c>
      <c r="U2242">
        <f>IF(OC_Donor=0,"",IF(INDEX('OneCause_Paste'!$A$2242:$AZ$2242,1,OC_Donor)="","",INDEX('OneCause_Paste'!$A$2242:$AZ$2242,1,OC_Donor)))</f>
        <v/>
      </c>
    </row>
    <row r="2243">
      <c r="A2243" s="62">
        <f>IF(H2243="","",IF(ISNUMBER(N2243),N2243,I2243))</f>
        <v/>
      </c>
      <c r="B2243">
        <f>IF(H2243="","",U2243)</f>
        <v/>
      </c>
      <c r="C2243">
        <f>IF(H2243="","",IF(P2243="",K2243,INDEX('Students'!$A$2:$A$701,P2243)))</f>
        <v/>
      </c>
      <c r="D2243">
        <f>IF(OR(H2243="",P2243=""),"",INDEX('Students'!$B$2:$B$701,P2243))</f>
        <v/>
      </c>
      <c r="E2243">
        <f>IF(OR(H2243="",P2243=""),"",INDEX('Students'!$C$2:$C$701,P2243))</f>
        <v/>
      </c>
      <c r="F2243" s="48">
        <f>IF(H2243="","",IF(ISNUMBER(O2243),O2243,J2243))</f>
        <v/>
      </c>
      <c r="G2243">
        <f>IF(H2243="","","OneCause")</f>
        <v/>
      </c>
      <c r="H2243">
        <f>IF(AND(I2243="",J2243="",K2243=""),"",IF(NOT(ISNUMBER(O2243)),"Bad amount",IF(O2243&lt;0,"Refund (not counted)",IF(O2243=0,"Zero amount",IF(NOT(ISNUMBER(N2243)),"Bad date",IF(P2243="","NAME NOT ON ROSTER",IF(L2243="","OK",IF(MATCH(L2243,$L$2:$L$3001,0)&lt;ROW()-1,"Duplicate (ignored)","OK"))))))))</f>
        <v/>
      </c>
      <c r="I2243">
        <f>IF(OC_Date=0,"",IF(INDEX('OneCause_Paste'!$A$2243:$AZ$2243,1,OC_Date)="","",INDEX('OneCause_Paste'!$A$2243:$AZ$2243,1,OC_Date)))</f>
        <v/>
      </c>
      <c r="J2243">
        <f>IF(OC_Amt=0,"",IF(INDEX('OneCause_Paste'!$A$2243:$AZ$2243,1,OC_Amt)="","",INDEX('OneCause_Paste'!$A$2243:$AZ$2243,1,OC_Amt)))</f>
        <v/>
      </c>
      <c r="K2243">
        <f>IF(OC_Name=0,"",IF(INDEX('OneCause_Paste'!$A$2243:$AZ$2243,1,OC_Name)="","",INDEX('OneCause_Paste'!$A$2243:$AZ$2243,1,OC_Name)))</f>
        <v/>
      </c>
      <c r="L2243">
        <f>IF(OC_Txn=0,"",IF(INDEX('OneCause_Paste'!$A$2243:$AZ$2243,1,OC_Txn)="","",INDEX('OneCause_Paste'!$A$2243:$AZ$2243,1,OC_Txn)))</f>
        <v/>
      </c>
      <c r="M2243">
        <f>IF(OC_Pay=0,"",IF(INDEX('OneCause_Paste'!$A$2243:$AZ$2243,1,OC_Pay)="","",INDEX('OneCause_Paste'!$A$2243:$AZ$2243,1,OC_Pay)))</f>
        <v/>
      </c>
      <c r="N2243">
        <f>IF(I2243="","",IF(ISNUMBER(I2243),INT(I2243),IFERROR(INT(DATEVALUE(I2243)),IFERROR(INT(VALUE(I2243)),"bad"))))</f>
        <v/>
      </c>
      <c r="O2243">
        <f>IF(J2243="","",IF(ISNUMBER(J2243),ROUND(J2243,2),IFERROR(ROUND(VALUE(SUBSTITUTE(SUBSTITUTE(SUBSTITUTE(J2243,"$",""),",","")," ","")),2),"bad")))</f>
        <v/>
      </c>
      <c r="P2243">
        <f>IF(TRIM(K2243)="","",IFERROR(MATCH(LOWER(TRIM(K2243)),'Students'!$AH$2:$AH$701,0),IFERROR(MATCH(LOWER(TRIM(K2243)),'Students'!$AF$2:$AF$701,0),IFERROR(MATCH(LOWER(TRIM(K2243)),'Students'!$AG$2:$AG$701,0),""))))</f>
        <v/>
      </c>
      <c r="R2243">
        <f>IF(P2243="","",INDEX('Students'!$AD$2:$AD$701,P2243))</f>
        <v/>
      </c>
      <c r="S2243">
        <f>IF(H2243="OK",O2243,0)</f>
        <v/>
      </c>
      <c r="T2243">
        <f>IF(H2243="OK",N2243,"")</f>
        <v/>
      </c>
      <c r="U2243">
        <f>IF(OC_Donor=0,"",IF(INDEX('OneCause_Paste'!$A$2243:$AZ$2243,1,OC_Donor)="","",INDEX('OneCause_Paste'!$A$2243:$AZ$2243,1,OC_Donor)))</f>
        <v/>
      </c>
    </row>
    <row r="2244">
      <c r="A2244" s="62">
        <f>IF(H2244="","",IF(ISNUMBER(N2244),N2244,I2244))</f>
        <v/>
      </c>
      <c r="B2244">
        <f>IF(H2244="","",U2244)</f>
        <v/>
      </c>
      <c r="C2244">
        <f>IF(H2244="","",IF(P2244="",K2244,INDEX('Students'!$A$2:$A$701,P2244)))</f>
        <v/>
      </c>
      <c r="D2244">
        <f>IF(OR(H2244="",P2244=""),"",INDEX('Students'!$B$2:$B$701,P2244))</f>
        <v/>
      </c>
      <c r="E2244">
        <f>IF(OR(H2244="",P2244=""),"",INDEX('Students'!$C$2:$C$701,P2244))</f>
        <v/>
      </c>
      <c r="F2244" s="48">
        <f>IF(H2244="","",IF(ISNUMBER(O2244),O2244,J2244))</f>
        <v/>
      </c>
      <c r="G2244">
        <f>IF(H2244="","","OneCause")</f>
        <v/>
      </c>
      <c r="H2244">
        <f>IF(AND(I2244="",J2244="",K2244=""),"",IF(NOT(ISNUMBER(O2244)),"Bad amount",IF(O2244&lt;0,"Refund (not counted)",IF(O2244=0,"Zero amount",IF(NOT(ISNUMBER(N2244)),"Bad date",IF(P2244="","NAME NOT ON ROSTER",IF(L2244="","OK",IF(MATCH(L2244,$L$2:$L$3001,0)&lt;ROW()-1,"Duplicate (ignored)","OK"))))))))</f>
        <v/>
      </c>
      <c r="I2244">
        <f>IF(OC_Date=0,"",IF(INDEX('OneCause_Paste'!$A$2244:$AZ$2244,1,OC_Date)="","",INDEX('OneCause_Paste'!$A$2244:$AZ$2244,1,OC_Date)))</f>
        <v/>
      </c>
      <c r="J2244">
        <f>IF(OC_Amt=0,"",IF(INDEX('OneCause_Paste'!$A$2244:$AZ$2244,1,OC_Amt)="","",INDEX('OneCause_Paste'!$A$2244:$AZ$2244,1,OC_Amt)))</f>
        <v/>
      </c>
      <c r="K2244">
        <f>IF(OC_Name=0,"",IF(INDEX('OneCause_Paste'!$A$2244:$AZ$2244,1,OC_Name)="","",INDEX('OneCause_Paste'!$A$2244:$AZ$2244,1,OC_Name)))</f>
        <v/>
      </c>
      <c r="L2244">
        <f>IF(OC_Txn=0,"",IF(INDEX('OneCause_Paste'!$A$2244:$AZ$2244,1,OC_Txn)="","",INDEX('OneCause_Paste'!$A$2244:$AZ$2244,1,OC_Txn)))</f>
        <v/>
      </c>
      <c r="M2244">
        <f>IF(OC_Pay=0,"",IF(INDEX('OneCause_Paste'!$A$2244:$AZ$2244,1,OC_Pay)="","",INDEX('OneCause_Paste'!$A$2244:$AZ$2244,1,OC_Pay)))</f>
        <v/>
      </c>
      <c r="N2244">
        <f>IF(I2244="","",IF(ISNUMBER(I2244),INT(I2244),IFERROR(INT(DATEVALUE(I2244)),IFERROR(INT(VALUE(I2244)),"bad"))))</f>
        <v/>
      </c>
      <c r="O2244">
        <f>IF(J2244="","",IF(ISNUMBER(J2244),ROUND(J2244,2),IFERROR(ROUND(VALUE(SUBSTITUTE(SUBSTITUTE(SUBSTITUTE(J2244,"$",""),",","")," ","")),2),"bad")))</f>
        <v/>
      </c>
      <c r="P2244">
        <f>IF(TRIM(K2244)="","",IFERROR(MATCH(LOWER(TRIM(K2244)),'Students'!$AH$2:$AH$701,0),IFERROR(MATCH(LOWER(TRIM(K2244)),'Students'!$AF$2:$AF$701,0),IFERROR(MATCH(LOWER(TRIM(K2244)),'Students'!$AG$2:$AG$701,0),""))))</f>
        <v/>
      </c>
      <c r="R2244">
        <f>IF(P2244="","",INDEX('Students'!$AD$2:$AD$701,P2244))</f>
        <v/>
      </c>
      <c r="S2244">
        <f>IF(H2244="OK",O2244,0)</f>
        <v/>
      </c>
      <c r="T2244">
        <f>IF(H2244="OK",N2244,"")</f>
        <v/>
      </c>
      <c r="U2244">
        <f>IF(OC_Donor=0,"",IF(INDEX('OneCause_Paste'!$A$2244:$AZ$2244,1,OC_Donor)="","",INDEX('OneCause_Paste'!$A$2244:$AZ$2244,1,OC_Donor)))</f>
        <v/>
      </c>
    </row>
    <row r="2245">
      <c r="A2245" s="62">
        <f>IF(H2245="","",IF(ISNUMBER(N2245),N2245,I2245))</f>
        <v/>
      </c>
      <c r="B2245">
        <f>IF(H2245="","",U2245)</f>
        <v/>
      </c>
      <c r="C2245">
        <f>IF(H2245="","",IF(P2245="",K2245,INDEX('Students'!$A$2:$A$701,P2245)))</f>
        <v/>
      </c>
      <c r="D2245">
        <f>IF(OR(H2245="",P2245=""),"",INDEX('Students'!$B$2:$B$701,P2245))</f>
        <v/>
      </c>
      <c r="E2245">
        <f>IF(OR(H2245="",P2245=""),"",INDEX('Students'!$C$2:$C$701,P2245))</f>
        <v/>
      </c>
      <c r="F2245" s="48">
        <f>IF(H2245="","",IF(ISNUMBER(O2245),O2245,J2245))</f>
        <v/>
      </c>
      <c r="G2245">
        <f>IF(H2245="","","OneCause")</f>
        <v/>
      </c>
      <c r="H2245">
        <f>IF(AND(I2245="",J2245="",K2245=""),"",IF(NOT(ISNUMBER(O2245)),"Bad amount",IF(O2245&lt;0,"Refund (not counted)",IF(O2245=0,"Zero amount",IF(NOT(ISNUMBER(N2245)),"Bad date",IF(P2245="","NAME NOT ON ROSTER",IF(L2245="","OK",IF(MATCH(L2245,$L$2:$L$3001,0)&lt;ROW()-1,"Duplicate (ignored)","OK"))))))))</f>
        <v/>
      </c>
      <c r="I2245">
        <f>IF(OC_Date=0,"",IF(INDEX('OneCause_Paste'!$A$2245:$AZ$2245,1,OC_Date)="","",INDEX('OneCause_Paste'!$A$2245:$AZ$2245,1,OC_Date)))</f>
        <v/>
      </c>
      <c r="J2245">
        <f>IF(OC_Amt=0,"",IF(INDEX('OneCause_Paste'!$A$2245:$AZ$2245,1,OC_Amt)="","",INDEX('OneCause_Paste'!$A$2245:$AZ$2245,1,OC_Amt)))</f>
        <v/>
      </c>
      <c r="K2245">
        <f>IF(OC_Name=0,"",IF(INDEX('OneCause_Paste'!$A$2245:$AZ$2245,1,OC_Name)="","",INDEX('OneCause_Paste'!$A$2245:$AZ$2245,1,OC_Name)))</f>
        <v/>
      </c>
      <c r="L2245">
        <f>IF(OC_Txn=0,"",IF(INDEX('OneCause_Paste'!$A$2245:$AZ$2245,1,OC_Txn)="","",INDEX('OneCause_Paste'!$A$2245:$AZ$2245,1,OC_Txn)))</f>
        <v/>
      </c>
      <c r="M2245">
        <f>IF(OC_Pay=0,"",IF(INDEX('OneCause_Paste'!$A$2245:$AZ$2245,1,OC_Pay)="","",INDEX('OneCause_Paste'!$A$2245:$AZ$2245,1,OC_Pay)))</f>
        <v/>
      </c>
      <c r="N2245">
        <f>IF(I2245="","",IF(ISNUMBER(I2245),INT(I2245),IFERROR(INT(DATEVALUE(I2245)),IFERROR(INT(VALUE(I2245)),"bad"))))</f>
        <v/>
      </c>
      <c r="O2245">
        <f>IF(J2245="","",IF(ISNUMBER(J2245),ROUND(J2245,2),IFERROR(ROUND(VALUE(SUBSTITUTE(SUBSTITUTE(SUBSTITUTE(J2245,"$",""),",","")," ","")),2),"bad")))</f>
        <v/>
      </c>
      <c r="P2245">
        <f>IF(TRIM(K2245)="","",IFERROR(MATCH(LOWER(TRIM(K2245)),'Students'!$AH$2:$AH$701,0),IFERROR(MATCH(LOWER(TRIM(K2245)),'Students'!$AF$2:$AF$701,0),IFERROR(MATCH(LOWER(TRIM(K2245)),'Students'!$AG$2:$AG$701,0),""))))</f>
        <v/>
      </c>
      <c r="R2245">
        <f>IF(P2245="","",INDEX('Students'!$AD$2:$AD$701,P2245))</f>
        <v/>
      </c>
      <c r="S2245">
        <f>IF(H2245="OK",O2245,0)</f>
        <v/>
      </c>
      <c r="T2245">
        <f>IF(H2245="OK",N2245,"")</f>
        <v/>
      </c>
      <c r="U2245">
        <f>IF(OC_Donor=0,"",IF(INDEX('OneCause_Paste'!$A$2245:$AZ$2245,1,OC_Donor)="","",INDEX('OneCause_Paste'!$A$2245:$AZ$2245,1,OC_Donor)))</f>
        <v/>
      </c>
    </row>
    <row r="2246">
      <c r="A2246" s="62">
        <f>IF(H2246="","",IF(ISNUMBER(N2246),N2246,I2246))</f>
        <v/>
      </c>
      <c r="B2246">
        <f>IF(H2246="","",U2246)</f>
        <v/>
      </c>
      <c r="C2246">
        <f>IF(H2246="","",IF(P2246="",K2246,INDEX('Students'!$A$2:$A$701,P2246)))</f>
        <v/>
      </c>
      <c r="D2246">
        <f>IF(OR(H2246="",P2246=""),"",INDEX('Students'!$B$2:$B$701,P2246))</f>
        <v/>
      </c>
      <c r="E2246">
        <f>IF(OR(H2246="",P2246=""),"",INDEX('Students'!$C$2:$C$701,P2246))</f>
        <v/>
      </c>
      <c r="F2246" s="48">
        <f>IF(H2246="","",IF(ISNUMBER(O2246),O2246,J2246))</f>
        <v/>
      </c>
      <c r="G2246">
        <f>IF(H2246="","","OneCause")</f>
        <v/>
      </c>
      <c r="H2246">
        <f>IF(AND(I2246="",J2246="",K2246=""),"",IF(NOT(ISNUMBER(O2246)),"Bad amount",IF(O2246&lt;0,"Refund (not counted)",IF(O2246=0,"Zero amount",IF(NOT(ISNUMBER(N2246)),"Bad date",IF(P2246="","NAME NOT ON ROSTER",IF(L2246="","OK",IF(MATCH(L2246,$L$2:$L$3001,0)&lt;ROW()-1,"Duplicate (ignored)","OK"))))))))</f>
        <v/>
      </c>
      <c r="I2246">
        <f>IF(OC_Date=0,"",IF(INDEX('OneCause_Paste'!$A$2246:$AZ$2246,1,OC_Date)="","",INDEX('OneCause_Paste'!$A$2246:$AZ$2246,1,OC_Date)))</f>
        <v/>
      </c>
      <c r="J2246">
        <f>IF(OC_Amt=0,"",IF(INDEX('OneCause_Paste'!$A$2246:$AZ$2246,1,OC_Amt)="","",INDEX('OneCause_Paste'!$A$2246:$AZ$2246,1,OC_Amt)))</f>
        <v/>
      </c>
      <c r="K2246">
        <f>IF(OC_Name=0,"",IF(INDEX('OneCause_Paste'!$A$2246:$AZ$2246,1,OC_Name)="","",INDEX('OneCause_Paste'!$A$2246:$AZ$2246,1,OC_Name)))</f>
        <v/>
      </c>
      <c r="L2246">
        <f>IF(OC_Txn=0,"",IF(INDEX('OneCause_Paste'!$A$2246:$AZ$2246,1,OC_Txn)="","",INDEX('OneCause_Paste'!$A$2246:$AZ$2246,1,OC_Txn)))</f>
        <v/>
      </c>
      <c r="M2246">
        <f>IF(OC_Pay=0,"",IF(INDEX('OneCause_Paste'!$A$2246:$AZ$2246,1,OC_Pay)="","",INDEX('OneCause_Paste'!$A$2246:$AZ$2246,1,OC_Pay)))</f>
        <v/>
      </c>
      <c r="N2246">
        <f>IF(I2246="","",IF(ISNUMBER(I2246),INT(I2246),IFERROR(INT(DATEVALUE(I2246)),IFERROR(INT(VALUE(I2246)),"bad"))))</f>
        <v/>
      </c>
      <c r="O2246">
        <f>IF(J2246="","",IF(ISNUMBER(J2246),ROUND(J2246,2),IFERROR(ROUND(VALUE(SUBSTITUTE(SUBSTITUTE(SUBSTITUTE(J2246,"$",""),",","")," ","")),2),"bad")))</f>
        <v/>
      </c>
      <c r="P2246">
        <f>IF(TRIM(K2246)="","",IFERROR(MATCH(LOWER(TRIM(K2246)),'Students'!$AH$2:$AH$701,0),IFERROR(MATCH(LOWER(TRIM(K2246)),'Students'!$AF$2:$AF$701,0),IFERROR(MATCH(LOWER(TRIM(K2246)),'Students'!$AG$2:$AG$701,0),""))))</f>
        <v/>
      </c>
      <c r="R2246">
        <f>IF(P2246="","",INDEX('Students'!$AD$2:$AD$701,P2246))</f>
        <v/>
      </c>
      <c r="S2246">
        <f>IF(H2246="OK",O2246,0)</f>
        <v/>
      </c>
      <c r="T2246">
        <f>IF(H2246="OK",N2246,"")</f>
        <v/>
      </c>
      <c r="U2246">
        <f>IF(OC_Donor=0,"",IF(INDEX('OneCause_Paste'!$A$2246:$AZ$2246,1,OC_Donor)="","",INDEX('OneCause_Paste'!$A$2246:$AZ$2246,1,OC_Donor)))</f>
        <v/>
      </c>
    </row>
    <row r="2247">
      <c r="A2247" s="62">
        <f>IF(H2247="","",IF(ISNUMBER(N2247),N2247,I2247))</f>
        <v/>
      </c>
      <c r="B2247">
        <f>IF(H2247="","",U2247)</f>
        <v/>
      </c>
      <c r="C2247">
        <f>IF(H2247="","",IF(P2247="",K2247,INDEX('Students'!$A$2:$A$701,P2247)))</f>
        <v/>
      </c>
      <c r="D2247">
        <f>IF(OR(H2247="",P2247=""),"",INDEX('Students'!$B$2:$B$701,P2247))</f>
        <v/>
      </c>
      <c r="E2247">
        <f>IF(OR(H2247="",P2247=""),"",INDEX('Students'!$C$2:$C$701,P2247))</f>
        <v/>
      </c>
      <c r="F2247" s="48">
        <f>IF(H2247="","",IF(ISNUMBER(O2247),O2247,J2247))</f>
        <v/>
      </c>
      <c r="G2247">
        <f>IF(H2247="","","OneCause")</f>
        <v/>
      </c>
      <c r="H2247">
        <f>IF(AND(I2247="",J2247="",K2247=""),"",IF(NOT(ISNUMBER(O2247)),"Bad amount",IF(O2247&lt;0,"Refund (not counted)",IF(O2247=0,"Zero amount",IF(NOT(ISNUMBER(N2247)),"Bad date",IF(P2247="","NAME NOT ON ROSTER",IF(L2247="","OK",IF(MATCH(L2247,$L$2:$L$3001,0)&lt;ROW()-1,"Duplicate (ignored)","OK"))))))))</f>
        <v/>
      </c>
      <c r="I2247">
        <f>IF(OC_Date=0,"",IF(INDEX('OneCause_Paste'!$A$2247:$AZ$2247,1,OC_Date)="","",INDEX('OneCause_Paste'!$A$2247:$AZ$2247,1,OC_Date)))</f>
        <v/>
      </c>
      <c r="J2247">
        <f>IF(OC_Amt=0,"",IF(INDEX('OneCause_Paste'!$A$2247:$AZ$2247,1,OC_Amt)="","",INDEX('OneCause_Paste'!$A$2247:$AZ$2247,1,OC_Amt)))</f>
        <v/>
      </c>
      <c r="K2247">
        <f>IF(OC_Name=0,"",IF(INDEX('OneCause_Paste'!$A$2247:$AZ$2247,1,OC_Name)="","",INDEX('OneCause_Paste'!$A$2247:$AZ$2247,1,OC_Name)))</f>
        <v/>
      </c>
      <c r="L2247">
        <f>IF(OC_Txn=0,"",IF(INDEX('OneCause_Paste'!$A$2247:$AZ$2247,1,OC_Txn)="","",INDEX('OneCause_Paste'!$A$2247:$AZ$2247,1,OC_Txn)))</f>
        <v/>
      </c>
      <c r="M2247">
        <f>IF(OC_Pay=0,"",IF(INDEX('OneCause_Paste'!$A$2247:$AZ$2247,1,OC_Pay)="","",INDEX('OneCause_Paste'!$A$2247:$AZ$2247,1,OC_Pay)))</f>
        <v/>
      </c>
      <c r="N2247">
        <f>IF(I2247="","",IF(ISNUMBER(I2247),INT(I2247),IFERROR(INT(DATEVALUE(I2247)),IFERROR(INT(VALUE(I2247)),"bad"))))</f>
        <v/>
      </c>
      <c r="O2247">
        <f>IF(J2247="","",IF(ISNUMBER(J2247),ROUND(J2247,2),IFERROR(ROUND(VALUE(SUBSTITUTE(SUBSTITUTE(SUBSTITUTE(J2247,"$",""),",","")," ","")),2),"bad")))</f>
        <v/>
      </c>
      <c r="P2247">
        <f>IF(TRIM(K2247)="","",IFERROR(MATCH(LOWER(TRIM(K2247)),'Students'!$AH$2:$AH$701,0),IFERROR(MATCH(LOWER(TRIM(K2247)),'Students'!$AF$2:$AF$701,0),IFERROR(MATCH(LOWER(TRIM(K2247)),'Students'!$AG$2:$AG$701,0),""))))</f>
        <v/>
      </c>
      <c r="R2247">
        <f>IF(P2247="","",INDEX('Students'!$AD$2:$AD$701,P2247))</f>
        <v/>
      </c>
      <c r="S2247">
        <f>IF(H2247="OK",O2247,0)</f>
        <v/>
      </c>
      <c r="T2247">
        <f>IF(H2247="OK",N2247,"")</f>
        <v/>
      </c>
      <c r="U2247">
        <f>IF(OC_Donor=0,"",IF(INDEX('OneCause_Paste'!$A$2247:$AZ$2247,1,OC_Donor)="","",INDEX('OneCause_Paste'!$A$2247:$AZ$2247,1,OC_Donor)))</f>
        <v/>
      </c>
    </row>
    <row r="2248">
      <c r="A2248" s="62">
        <f>IF(H2248="","",IF(ISNUMBER(N2248),N2248,I2248))</f>
        <v/>
      </c>
      <c r="B2248">
        <f>IF(H2248="","",U2248)</f>
        <v/>
      </c>
      <c r="C2248">
        <f>IF(H2248="","",IF(P2248="",K2248,INDEX('Students'!$A$2:$A$701,P2248)))</f>
        <v/>
      </c>
      <c r="D2248">
        <f>IF(OR(H2248="",P2248=""),"",INDEX('Students'!$B$2:$B$701,P2248))</f>
        <v/>
      </c>
      <c r="E2248">
        <f>IF(OR(H2248="",P2248=""),"",INDEX('Students'!$C$2:$C$701,P2248))</f>
        <v/>
      </c>
      <c r="F2248" s="48">
        <f>IF(H2248="","",IF(ISNUMBER(O2248),O2248,J2248))</f>
        <v/>
      </c>
      <c r="G2248">
        <f>IF(H2248="","","OneCause")</f>
        <v/>
      </c>
      <c r="H2248">
        <f>IF(AND(I2248="",J2248="",K2248=""),"",IF(NOT(ISNUMBER(O2248)),"Bad amount",IF(O2248&lt;0,"Refund (not counted)",IF(O2248=0,"Zero amount",IF(NOT(ISNUMBER(N2248)),"Bad date",IF(P2248="","NAME NOT ON ROSTER",IF(L2248="","OK",IF(MATCH(L2248,$L$2:$L$3001,0)&lt;ROW()-1,"Duplicate (ignored)","OK"))))))))</f>
        <v/>
      </c>
      <c r="I2248">
        <f>IF(OC_Date=0,"",IF(INDEX('OneCause_Paste'!$A$2248:$AZ$2248,1,OC_Date)="","",INDEX('OneCause_Paste'!$A$2248:$AZ$2248,1,OC_Date)))</f>
        <v/>
      </c>
      <c r="J2248">
        <f>IF(OC_Amt=0,"",IF(INDEX('OneCause_Paste'!$A$2248:$AZ$2248,1,OC_Amt)="","",INDEX('OneCause_Paste'!$A$2248:$AZ$2248,1,OC_Amt)))</f>
        <v/>
      </c>
      <c r="K2248">
        <f>IF(OC_Name=0,"",IF(INDEX('OneCause_Paste'!$A$2248:$AZ$2248,1,OC_Name)="","",INDEX('OneCause_Paste'!$A$2248:$AZ$2248,1,OC_Name)))</f>
        <v/>
      </c>
      <c r="L2248">
        <f>IF(OC_Txn=0,"",IF(INDEX('OneCause_Paste'!$A$2248:$AZ$2248,1,OC_Txn)="","",INDEX('OneCause_Paste'!$A$2248:$AZ$2248,1,OC_Txn)))</f>
        <v/>
      </c>
      <c r="M2248">
        <f>IF(OC_Pay=0,"",IF(INDEX('OneCause_Paste'!$A$2248:$AZ$2248,1,OC_Pay)="","",INDEX('OneCause_Paste'!$A$2248:$AZ$2248,1,OC_Pay)))</f>
        <v/>
      </c>
      <c r="N2248">
        <f>IF(I2248="","",IF(ISNUMBER(I2248),INT(I2248),IFERROR(INT(DATEVALUE(I2248)),IFERROR(INT(VALUE(I2248)),"bad"))))</f>
        <v/>
      </c>
      <c r="O2248">
        <f>IF(J2248="","",IF(ISNUMBER(J2248),ROUND(J2248,2),IFERROR(ROUND(VALUE(SUBSTITUTE(SUBSTITUTE(SUBSTITUTE(J2248,"$",""),",","")," ","")),2),"bad")))</f>
        <v/>
      </c>
      <c r="P2248">
        <f>IF(TRIM(K2248)="","",IFERROR(MATCH(LOWER(TRIM(K2248)),'Students'!$AH$2:$AH$701,0),IFERROR(MATCH(LOWER(TRIM(K2248)),'Students'!$AF$2:$AF$701,0),IFERROR(MATCH(LOWER(TRIM(K2248)),'Students'!$AG$2:$AG$701,0),""))))</f>
        <v/>
      </c>
      <c r="R2248">
        <f>IF(P2248="","",INDEX('Students'!$AD$2:$AD$701,P2248))</f>
        <v/>
      </c>
      <c r="S2248">
        <f>IF(H2248="OK",O2248,0)</f>
        <v/>
      </c>
      <c r="T2248">
        <f>IF(H2248="OK",N2248,"")</f>
        <v/>
      </c>
      <c r="U2248">
        <f>IF(OC_Donor=0,"",IF(INDEX('OneCause_Paste'!$A$2248:$AZ$2248,1,OC_Donor)="","",INDEX('OneCause_Paste'!$A$2248:$AZ$2248,1,OC_Donor)))</f>
        <v/>
      </c>
    </row>
    <row r="2249">
      <c r="A2249" s="62">
        <f>IF(H2249="","",IF(ISNUMBER(N2249),N2249,I2249))</f>
        <v/>
      </c>
      <c r="B2249">
        <f>IF(H2249="","",U2249)</f>
        <v/>
      </c>
      <c r="C2249">
        <f>IF(H2249="","",IF(P2249="",K2249,INDEX('Students'!$A$2:$A$701,P2249)))</f>
        <v/>
      </c>
      <c r="D2249">
        <f>IF(OR(H2249="",P2249=""),"",INDEX('Students'!$B$2:$B$701,P2249))</f>
        <v/>
      </c>
      <c r="E2249">
        <f>IF(OR(H2249="",P2249=""),"",INDEX('Students'!$C$2:$C$701,P2249))</f>
        <v/>
      </c>
      <c r="F2249" s="48">
        <f>IF(H2249="","",IF(ISNUMBER(O2249),O2249,J2249))</f>
        <v/>
      </c>
      <c r="G2249">
        <f>IF(H2249="","","OneCause")</f>
        <v/>
      </c>
      <c r="H2249">
        <f>IF(AND(I2249="",J2249="",K2249=""),"",IF(NOT(ISNUMBER(O2249)),"Bad amount",IF(O2249&lt;0,"Refund (not counted)",IF(O2249=0,"Zero amount",IF(NOT(ISNUMBER(N2249)),"Bad date",IF(P2249="","NAME NOT ON ROSTER",IF(L2249="","OK",IF(MATCH(L2249,$L$2:$L$3001,0)&lt;ROW()-1,"Duplicate (ignored)","OK"))))))))</f>
        <v/>
      </c>
      <c r="I2249">
        <f>IF(OC_Date=0,"",IF(INDEX('OneCause_Paste'!$A$2249:$AZ$2249,1,OC_Date)="","",INDEX('OneCause_Paste'!$A$2249:$AZ$2249,1,OC_Date)))</f>
        <v/>
      </c>
      <c r="J2249">
        <f>IF(OC_Amt=0,"",IF(INDEX('OneCause_Paste'!$A$2249:$AZ$2249,1,OC_Amt)="","",INDEX('OneCause_Paste'!$A$2249:$AZ$2249,1,OC_Amt)))</f>
        <v/>
      </c>
      <c r="K2249">
        <f>IF(OC_Name=0,"",IF(INDEX('OneCause_Paste'!$A$2249:$AZ$2249,1,OC_Name)="","",INDEX('OneCause_Paste'!$A$2249:$AZ$2249,1,OC_Name)))</f>
        <v/>
      </c>
      <c r="L2249">
        <f>IF(OC_Txn=0,"",IF(INDEX('OneCause_Paste'!$A$2249:$AZ$2249,1,OC_Txn)="","",INDEX('OneCause_Paste'!$A$2249:$AZ$2249,1,OC_Txn)))</f>
        <v/>
      </c>
      <c r="M2249">
        <f>IF(OC_Pay=0,"",IF(INDEX('OneCause_Paste'!$A$2249:$AZ$2249,1,OC_Pay)="","",INDEX('OneCause_Paste'!$A$2249:$AZ$2249,1,OC_Pay)))</f>
        <v/>
      </c>
      <c r="N2249">
        <f>IF(I2249="","",IF(ISNUMBER(I2249),INT(I2249),IFERROR(INT(DATEVALUE(I2249)),IFERROR(INT(VALUE(I2249)),"bad"))))</f>
        <v/>
      </c>
      <c r="O2249">
        <f>IF(J2249="","",IF(ISNUMBER(J2249),ROUND(J2249,2),IFERROR(ROUND(VALUE(SUBSTITUTE(SUBSTITUTE(SUBSTITUTE(J2249,"$",""),",","")," ","")),2),"bad")))</f>
        <v/>
      </c>
      <c r="P2249">
        <f>IF(TRIM(K2249)="","",IFERROR(MATCH(LOWER(TRIM(K2249)),'Students'!$AH$2:$AH$701,0),IFERROR(MATCH(LOWER(TRIM(K2249)),'Students'!$AF$2:$AF$701,0),IFERROR(MATCH(LOWER(TRIM(K2249)),'Students'!$AG$2:$AG$701,0),""))))</f>
        <v/>
      </c>
      <c r="R2249">
        <f>IF(P2249="","",INDEX('Students'!$AD$2:$AD$701,P2249))</f>
        <v/>
      </c>
      <c r="S2249">
        <f>IF(H2249="OK",O2249,0)</f>
        <v/>
      </c>
      <c r="T2249">
        <f>IF(H2249="OK",N2249,"")</f>
        <v/>
      </c>
      <c r="U2249">
        <f>IF(OC_Donor=0,"",IF(INDEX('OneCause_Paste'!$A$2249:$AZ$2249,1,OC_Donor)="","",INDEX('OneCause_Paste'!$A$2249:$AZ$2249,1,OC_Donor)))</f>
        <v/>
      </c>
    </row>
    <row r="2250">
      <c r="A2250" s="62">
        <f>IF(H2250="","",IF(ISNUMBER(N2250),N2250,I2250))</f>
        <v/>
      </c>
      <c r="B2250">
        <f>IF(H2250="","",U2250)</f>
        <v/>
      </c>
      <c r="C2250">
        <f>IF(H2250="","",IF(P2250="",K2250,INDEX('Students'!$A$2:$A$701,P2250)))</f>
        <v/>
      </c>
      <c r="D2250">
        <f>IF(OR(H2250="",P2250=""),"",INDEX('Students'!$B$2:$B$701,P2250))</f>
        <v/>
      </c>
      <c r="E2250">
        <f>IF(OR(H2250="",P2250=""),"",INDEX('Students'!$C$2:$C$701,P2250))</f>
        <v/>
      </c>
      <c r="F2250" s="48">
        <f>IF(H2250="","",IF(ISNUMBER(O2250),O2250,J2250))</f>
        <v/>
      </c>
      <c r="G2250">
        <f>IF(H2250="","","OneCause")</f>
        <v/>
      </c>
      <c r="H2250">
        <f>IF(AND(I2250="",J2250="",K2250=""),"",IF(NOT(ISNUMBER(O2250)),"Bad amount",IF(O2250&lt;0,"Refund (not counted)",IF(O2250=0,"Zero amount",IF(NOT(ISNUMBER(N2250)),"Bad date",IF(P2250="","NAME NOT ON ROSTER",IF(L2250="","OK",IF(MATCH(L2250,$L$2:$L$3001,0)&lt;ROW()-1,"Duplicate (ignored)","OK"))))))))</f>
        <v/>
      </c>
      <c r="I2250">
        <f>IF(OC_Date=0,"",IF(INDEX('OneCause_Paste'!$A$2250:$AZ$2250,1,OC_Date)="","",INDEX('OneCause_Paste'!$A$2250:$AZ$2250,1,OC_Date)))</f>
        <v/>
      </c>
      <c r="J2250">
        <f>IF(OC_Amt=0,"",IF(INDEX('OneCause_Paste'!$A$2250:$AZ$2250,1,OC_Amt)="","",INDEX('OneCause_Paste'!$A$2250:$AZ$2250,1,OC_Amt)))</f>
        <v/>
      </c>
      <c r="K2250">
        <f>IF(OC_Name=0,"",IF(INDEX('OneCause_Paste'!$A$2250:$AZ$2250,1,OC_Name)="","",INDEX('OneCause_Paste'!$A$2250:$AZ$2250,1,OC_Name)))</f>
        <v/>
      </c>
      <c r="L2250">
        <f>IF(OC_Txn=0,"",IF(INDEX('OneCause_Paste'!$A$2250:$AZ$2250,1,OC_Txn)="","",INDEX('OneCause_Paste'!$A$2250:$AZ$2250,1,OC_Txn)))</f>
        <v/>
      </c>
      <c r="M2250">
        <f>IF(OC_Pay=0,"",IF(INDEX('OneCause_Paste'!$A$2250:$AZ$2250,1,OC_Pay)="","",INDEX('OneCause_Paste'!$A$2250:$AZ$2250,1,OC_Pay)))</f>
        <v/>
      </c>
      <c r="N2250">
        <f>IF(I2250="","",IF(ISNUMBER(I2250),INT(I2250),IFERROR(INT(DATEVALUE(I2250)),IFERROR(INT(VALUE(I2250)),"bad"))))</f>
        <v/>
      </c>
      <c r="O2250">
        <f>IF(J2250="","",IF(ISNUMBER(J2250),ROUND(J2250,2),IFERROR(ROUND(VALUE(SUBSTITUTE(SUBSTITUTE(SUBSTITUTE(J2250,"$",""),",","")," ","")),2),"bad")))</f>
        <v/>
      </c>
      <c r="P2250">
        <f>IF(TRIM(K2250)="","",IFERROR(MATCH(LOWER(TRIM(K2250)),'Students'!$AH$2:$AH$701,0),IFERROR(MATCH(LOWER(TRIM(K2250)),'Students'!$AF$2:$AF$701,0),IFERROR(MATCH(LOWER(TRIM(K2250)),'Students'!$AG$2:$AG$701,0),""))))</f>
        <v/>
      </c>
      <c r="R2250">
        <f>IF(P2250="","",INDEX('Students'!$AD$2:$AD$701,P2250))</f>
        <v/>
      </c>
      <c r="S2250">
        <f>IF(H2250="OK",O2250,0)</f>
        <v/>
      </c>
      <c r="T2250">
        <f>IF(H2250="OK",N2250,"")</f>
        <v/>
      </c>
      <c r="U2250">
        <f>IF(OC_Donor=0,"",IF(INDEX('OneCause_Paste'!$A$2250:$AZ$2250,1,OC_Donor)="","",INDEX('OneCause_Paste'!$A$2250:$AZ$2250,1,OC_Donor)))</f>
        <v/>
      </c>
    </row>
    <row r="2251">
      <c r="A2251" s="62">
        <f>IF(H2251="","",IF(ISNUMBER(N2251),N2251,I2251))</f>
        <v/>
      </c>
      <c r="B2251">
        <f>IF(H2251="","",U2251)</f>
        <v/>
      </c>
      <c r="C2251">
        <f>IF(H2251="","",IF(P2251="",K2251,INDEX('Students'!$A$2:$A$701,P2251)))</f>
        <v/>
      </c>
      <c r="D2251">
        <f>IF(OR(H2251="",P2251=""),"",INDEX('Students'!$B$2:$B$701,P2251))</f>
        <v/>
      </c>
      <c r="E2251">
        <f>IF(OR(H2251="",P2251=""),"",INDEX('Students'!$C$2:$C$701,P2251))</f>
        <v/>
      </c>
      <c r="F2251" s="48">
        <f>IF(H2251="","",IF(ISNUMBER(O2251),O2251,J2251))</f>
        <v/>
      </c>
      <c r="G2251">
        <f>IF(H2251="","","OneCause")</f>
        <v/>
      </c>
      <c r="H2251">
        <f>IF(AND(I2251="",J2251="",K2251=""),"",IF(NOT(ISNUMBER(O2251)),"Bad amount",IF(O2251&lt;0,"Refund (not counted)",IF(O2251=0,"Zero amount",IF(NOT(ISNUMBER(N2251)),"Bad date",IF(P2251="","NAME NOT ON ROSTER",IF(L2251="","OK",IF(MATCH(L2251,$L$2:$L$3001,0)&lt;ROW()-1,"Duplicate (ignored)","OK"))))))))</f>
        <v/>
      </c>
      <c r="I2251">
        <f>IF(OC_Date=0,"",IF(INDEX('OneCause_Paste'!$A$2251:$AZ$2251,1,OC_Date)="","",INDEX('OneCause_Paste'!$A$2251:$AZ$2251,1,OC_Date)))</f>
        <v/>
      </c>
      <c r="J2251">
        <f>IF(OC_Amt=0,"",IF(INDEX('OneCause_Paste'!$A$2251:$AZ$2251,1,OC_Amt)="","",INDEX('OneCause_Paste'!$A$2251:$AZ$2251,1,OC_Amt)))</f>
        <v/>
      </c>
      <c r="K2251">
        <f>IF(OC_Name=0,"",IF(INDEX('OneCause_Paste'!$A$2251:$AZ$2251,1,OC_Name)="","",INDEX('OneCause_Paste'!$A$2251:$AZ$2251,1,OC_Name)))</f>
        <v/>
      </c>
      <c r="L2251">
        <f>IF(OC_Txn=0,"",IF(INDEX('OneCause_Paste'!$A$2251:$AZ$2251,1,OC_Txn)="","",INDEX('OneCause_Paste'!$A$2251:$AZ$2251,1,OC_Txn)))</f>
        <v/>
      </c>
      <c r="M2251">
        <f>IF(OC_Pay=0,"",IF(INDEX('OneCause_Paste'!$A$2251:$AZ$2251,1,OC_Pay)="","",INDEX('OneCause_Paste'!$A$2251:$AZ$2251,1,OC_Pay)))</f>
        <v/>
      </c>
      <c r="N2251">
        <f>IF(I2251="","",IF(ISNUMBER(I2251),INT(I2251),IFERROR(INT(DATEVALUE(I2251)),IFERROR(INT(VALUE(I2251)),"bad"))))</f>
        <v/>
      </c>
      <c r="O2251">
        <f>IF(J2251="","",IF(ISNUMBER(J2251),ROUND(J2251,2),IFERROR(ROUND(VALUE(SUBSTITUTE(SUBSTITUTE(SUBSTITUTE(J2251,"$",""),",","")," ","")),2),"bad")))</f>
        <v/>
      </c>
      <c r="P2251">
        <f>IF(TRIM(K2251)="","",IFERROR(MATCH(LOWER(TRIM(K2251)),'Students'!$AH$2:$AH$701,0),IFERROR(MATCH(LOWER(TRIM(K2251)),'Students'!$AF$2:$AF$701,0),IFERROR(MATCH(LOWER(TRIM(K2251)),'Students'!$AG$2:$AG$701,0),""))))</f>
        <v/>
      </c>
      <c r="R2251">
        <f>IF(P2251="","",INDEX('Students'!$AD$2:$AD$701,P2251))</f>
        <v/>
      </c>
      <c r="S2251">
        <f>IF(H2251="OK",O2251,0)</f>
        <v/>
      </c>
      <c r="T2251">
        <f>IF(H2251="OK",N2251,"")</f>
        <v/>
      </c>
      <c r="U2251">
        <f>IF(OC_Donor=0,"",IF(INDEX('OneCause_Paste'!$A$2251:$AZ$2251,1,OC_Donor)="","",INDEX('OneCause_Paste'!$A$2251:$AZ$2251,1,OC_Donor)))</f>
        <v/>
      </c>
    </row>
    <row r="2252">
      <c r="A2252" s="62">
        <f>IF(H2252="","",IF(ISNUMBER(N2252),N2252,I2252))</f>
        <v/>
      </c>
      <c r="B2252">
        <f>IF(H2252="","",U2252)</f>
        <v/>
      </c>
      <c r="C2252">
        <f>IF(H2252="","",IF(P2252="",K2252,INDEX('Students'!$A$2:$A$701,P2252)))</f>
        <v/>
      </c>
      <c r="D2252">
        <f>IF(OR(H2252="",P2252=""),"",INDEX('Students'!$B$2:$B$701,P2252))</f>
        <v/>
      </c>
      <c r="E2252">
        <f>IF(OR(H2252="",P2252=""),"",INDEX('Students'!$C$2:$C$701,P2252))</f>
        <v/>
      </c>
      <c r="F2252" s="48">
        <f>IF(H2252="","",IF(ISNUMBER(O2252),O2252,J2252))</f>
        <v/>
      </c>
      <c r="G2252">
        <f>IF(H2252="","","OneCause")</f>
        <v/>
      </c>
      <c r="H2252">
        <f>IF(AND(I2252="",J2252="",K2252=""),"",IF(NOT(ISNUMBER(O2252)),"Bad amount",IF(O2252&lt;0,"Refund (not counted)",IF(O2252=0,"Zero amount",IF(NOT(ISNUMBER(N2252)),"Bad date",IF(P2252="","NAME NOT ON ROSTER",IF(L2252="","OK",IF(MATCH(L2252,$L$2:$L$3001,0)&lt;ROW()-1,"Duplicate (ignored)","OK"))))))))</f>
        <v/>
      </c>
      <c r="I2252">
        <f>IF(OC_Date=0,"",IF(INDEX('OneCause_Paste'!$A$2252:$AZ$2252,1,OC_Date)="","",INDEX('OneCause_Paste'!$A$2252:$AZ$2252,1,OC_Date)))</f>
        <v/>
      </c>
      <c r="J2252">
        <f>IF(OC_Amt=0,"",IF(INDEX('OneCause_Paste'!$A$2252:$AZ$2252,1,OC_Amt)="","",INDEX('OneCause_Paste'!$A$2252:$AZ$2252,1,OC_Amt)))</f>
        <v/>
      </c>
      <c r="K2252">
        <f>IF(OC_Name=0,"",IF(INDEX('OneCause_Paste'!$A$2252:$AZ$2252,1,OC_Name)="","",INDEX('OneCause_Paste'!$A$2252:$AZ$2252,1,OC_Name)))</f>
        <v/>
      </c>
      <c r="L2252">
        <f>IF(OC_Txn=0,"",IF(INDEX('OneCause_Paste'!$A$2252:$AZ$2252,1,OC_Txn)="","",INDEX('OneCause_Paste'!$A$2252:$AZ$2252,1,OC_Txn)))</f>
        <v/>
      </c>
      <c r="M2252">
        <f>IF(OC_Pay=0,"",IF(INDEX('OneCause_Paste'!$A$2252:$AZ$2252,1,OC_Pay)="","",INDEX('OneCause_Paste'!$A$2252:$AZ$2252,1,OC_Pay)))</f>
        <v/>
      </c>
      <c r="N2252">
        <f>IF(I2252="","",IF(ISNUMBER(I2252),INT(I2252),IFERROR(INT(DATEVALUE(I2252)),IFERROR(INT(VALUE(I2252)),"bad"))))</f>
        <v/>
      </c>
      <c r="O2252">
        <f>IF(J2252="","",IF(ISNUMBER(J2252),ROUND(J2252,2),IFERROR(ROUND(VALUE(SUBSTITUTE(SUBSTITUTE(SUBSTITUTE(J2252,"$",""),",","")," ","")),2),"bad")))</f>
        <v/>
      </c>
      <c r="P2252">
        <f>IF(TRIM(K2252)="","",IFERROR(MATCH(LOWER(TRIM(K2252)),'Students'!$AH$2:$AH$701,0),IFERROR(MATCH(LOWER(TRIM(K2252)),'Students'!$AF$2:$AF$701,0),IFERROR(MATCH(LOWER(TRIM(K2252)),'Students'!$AG$2:$AG$701,0),""))))</f>
        <v/>
      </c>
      <c r="R2252">
        <f>IF(P2252="","",INDEX('Students'!$AD$2:$AD$701,P2252))</f>
        <v/>
      </c>
      <c r="S2252">
        <f>IF(H2252="OK",O2252,0)</f>
        <v/>
      </c>
      <c r="T2252">
        <f>IF(H2252="OK",N2252,"")</f>
        <v/>
      </c>
      <c r="U2252">
        <f>IF(OC_Donor=0,"",IF(INDEX('OneCause_Paste'!$A$2252:$AZ$2252,1,OC_Donor)="","",INDEX('OneCause_Paste'!$A$2252:$AZ$2252,1,OC_Donor)))</f>
        <v/>
      </c>
    </row>
    <row r="2253">
      <c r="A2253" s="62">
        <f>IF(H2253="","",IF(ISNUMBER(N2253),N2253,I2253))</f>
        <v/>
      </c>
      <c r="B2253">
        <f>IF(H2253="","",U2253)</f>
        <v/>
      </c>
      <c r="C2253">
        <f>IF(H2253="","",IF(P2253="",K2253,INDEX('Students'!$A$2:$A$701,P2253)))</f>
        <v/>
      </c>
      <c r="D2253">
        <f>IF(OR(H2253="",P2253=""),"",INDEX('Students'!$B$2:$B$701,P2253))</f>
        <v/>
      </c>
      <c r="E2253">
        <f>IF(OR(H2253="",P2253=""),"",INDEX('Students'!$C$2:$C$701,P2253))</f>
        <v/>
      </c>
      <c r="F2253" s="48">
        <f>IF(H2253="","",IF(ISNUMBER(O2253),O2253,J2253))</f>
        <v/>
      </c>
      <c r="G2253">
        <f>IF(H2253="","","OneCause")</f>
        <v/>
      </c>
      <c r="H2253">
        <f>IF(AND(I2253="",J2253="",K2253=""),"",IF(NOT(ISNUMBER(O2253)),"Bad amount",IF(O2253&lt;0,"Refund (not counted)",IF(O2253=0,"Zero amount",IF(NOT(ISNUMBER(N2253)),"Bad date",IF(P2253="","NAME NOT ON ROSTER",IF(L2253="","OK",IF(MATCH(L2253,$L$2:$L$3001,0)&lt;ROW()-1,"Duplicate (ignored)","OK"))))))))</f>
        <v/>
      </c>
      <c r="I2253">
        <f>IF(OC_Date=0,"",IF(INDEX('OneCause_Paste'!$A$2253:$AZ$2253,1,OC_Date)="","",INDEX('OneCause_Paste'!$A$2253:$AZ$2253,1,OC_Date)))</f>
        <v/>
      </c>
      <c r="J2253">
        <f>IF(OC_Amt=0,"",IF(INDEX('OneCause_Paste'!$A$2253:$AZ$2253,1,OC_Amt)="","",INDEX('OneCause_Paste'!$A$2253:$AZ$2253,1,OC_Amt)))</f>
        <v/>
      </c>
      <c r="K2253">
        <f>IF(OC_Name=0,"",IF(INDEX('OneCause_Paste'!$A$2253:$AZ$2253,1,OC_Name)="","",INDEX('OneCause_Paste'!$A$2253:$AZ$2253,1,OC_Name)))</f>
        <v/>
      </c>
      <c r="L2253">
        <f>IF(OC_Txn=0,"",IF(INDEX('OneCause_Paste'!$A$2253:$AZ$2253,1,OC_Txn)="","",INDEX('OneCause_Paste'!$A$2253:$AZ$2253,1,OC_Txn)))</f>
        <v/>
      </c>
      <c r="M2253">
        <f>IF(OC_Pay=0,"",IF(INDEX('OneCause_Paste'!$A$2253:$AZ$2253,1,OC_Pay)="","",INDEX('OneCause_Paste'!$A$2253:$AZ$2253,1,OC_Pay)))</f>
        <v/>
      </c>
      <c r="N2253">
        <f>IF(I2253="","",IF(ISNUMBER(I2253),INT(I2253),IFERROR(INT(DATEVALUE(I2253)),IFERROR(INT(VALUE(I2253)),"bad"))))</f>
        <v/>
      </c>
      <c r="O2253">
        <f>IF(J2253="","",IF(ISNUMBER(J2253),ROUND(J2253,2),IFERROR(ROUND(VALUE(SUBSTITUTE(SUBSTITUTE(SUBSTITUTE(J2253,"$",""),",","")," ","")),2),"bad")))</f>
        <v/>
      </c>
      <c r="P2253">
        <f>IF(TRIM(K2253)="","",IFERROR(MATCH(LOWER(TRIM(K2253)),'Students'!$AH$2:$AH$701,0),IFERROR(MATCH(LOWER(TRIM(K2253)),'Students'!$AF$2:$AF$701,0),IFERROR(MATCH(LOWER(TRIM(K2253)),'Students'!$AG$2:$AG$701,0),""))))</f>
        <v/>
      </c>
      <c r="R2253">
        <f>IF(P2253="","",INDEX('Students'!$AD$2:$AD$701,P2253))</f>
        <v/>
      </c>
      <c r="S2253">
        <f>IF(H2253="OK",O2253,0)</f>
        <v/>
      </c>
      <c r="T2253">
        <f>IF(H2253="OK",N2253,"")</f>
        <v/>
      </c>
      <c r="U2253">
        <f>IF(OC_Donor=0,"",IF(INDEX('OneCause_Paste'!$A$2253:$AZ$2253,1,OC_Donor)="","",INDEX('OneCause_Paste'!$A$2253:$AZ$2253,1,OC_Donor)))</f>
        <v/>
      </c>
    </row>
    <row r="2254">
      <c r="A2254" s="62">
        <f>IF(H2254="","",IF(ISNUMBER(N2254),N2254,I2254))</f>
        <v/>
      </c>
      <c r="B2254">
        <f>IF(H2254="","",U2254)</f>
        <v/>
      </c>
      <c r="C2254">
        <f>IF(H2254="","",IF(P2254="",K2254,INDEX('Students'!$A$2:$A$701,P2254)))</f>
        <v/>
      </c>
      <c r="D2254">
        <f>IF(OR(H2254="",P2254=""),"",INDEX('Students'!$B$2:$B$701,P2254))</f>
        <v/>
      </c>
      <c r="E2254">
        <f>IF(OR(H2254="",P2254=""),"",INDEX('Students'!$C$2:$C$701,P2254))</f>
        <v/>
      </c>
      <c r="F2254" s="48">
        <f>IF(H2254="","",IF(ISNUMBER(O2254),O2254,J2254))</f>
        <v/>
      </c>
      <c r="G2254">
        <f>IF(H2254="","","OneCause")</f>
        <v/>
      </c>
      <c r="H2254">
        <f>IF(AND(I2254="",J2254="",K2254=""),"",IF(NOT(ISNUMBER(O2254)),"Bad amount",IF(O2254&lt;0,"Refund (not counted)",IF(O2254=0,"Zero amount",IF(NOT(ISNUMBER(N2254)),"Bad date",IF(P2254="","NAME NOT ON ROSTER",IF(L2254="","OK",IF(MATCH(L2254,$L$2:$L$3001,0)&lt;ROW()-1,"Duplicate (ignored)","OK"))))))))</f>
        <v/>
      </c>
      <c r="I2254">
        <f>IF(OC_Date=0,"",IF(INDEX('OneCause_Paste'!$A$2254:$AZ$2254,1,OC_Date)="","",INDEX('OneCause_Paste'!$A$2254:$AZ$2254,1,OC_Date)))</f>
        <v/>
      </c>
      <c r="J2254">
        <f>IF(OC_Amt=0,"",IF(INDEX('OneCause_Paste'!$A$2254:$AZ$2254,1,OC_Amt)="","",INDEX('OneCause_Paste'!$A$2254:$AZ$2254,1,OC_Amt)))</f>
        <v/>
      </c>
      <c r="K2254">
        <f>IF(OC_Name=0,"",IF(INDEX('OneCause_Paste'!$A$2254:$AZ$2254,1,OC_Name)="","",INDEX('OneCause_Paste'!$A$2254:$AZ$2254,1,OC_Name)))</f>
        <v/>
      </c>
      <c r="L2254">
        <f>IF(OC_Txn=0,"",IF(INDEX('OneCause_Paste'!$A$2254:$AZ$2254,1,OC_Txn)="","",INDEX('OneCause_Paste'!$A$2254:$AZ$2254,1,OC_Txn)))</f>
        <v/>
      </c>
      <c r="M2254">
        <f>IF(OC_Pay=0,"",IF(INDEX('OneCause_Paste'!$A$2254:$AZ$2254,1,OC_Pay)="","",INDEX('OneCause_Paste'!$A$2254:$AZ$2254,1,OC_Pay)))</f>
        <v/>
      </c>
      <c r="N2254">
        <f>IF(I2254="","",IF(ISNUMBER(I2254),INT(I2254),IFERROR(INT(DATEVALUE(I2254)),IFERROR(INT(VALUE(I2254)),"bad"))))</f>
        <v/>
      </c>
      <c r="O2254">
        <f>IF(J2254="","",IF(ISNUMBER(J2254),ROUND(J2254,2),IFERROR(ROUND(VALUE(SUBSTITUTE(SUBSTITUTE(SUBSTITUTE(J2254,"$",""),",","")," ","")),2),"bad")))</f>
        <v/>
      </c>
      <c r="P2254">
        <f>IF(TRIM(K2254)="","",IFERROR(MATCH(LOWER(TRIM(K2254)),'Students'!$AH$2:$AH$701,0),IFERROR(MATCH(LOWER(TRIM(K2254)),'Students'!$AF$2:$AF$701,0),IFERROR(MATCH(LOWER(TRIM(K2254)),'Students'!$AG$2:$AG$701,0),""))))</f>
        <v/>
      </c>
      <c r="R2254">
        <f>IF(P2254="","",INDEX('Students'!$AD$2:$AD$701,P2254))</f>
        <v/>
      </c>
      <c r="S2254">
        <f>IF(H2254="OK",O2254,0)</f>
        <v/>
      </c>
      <c r="T2254">
        <f>IF(H2254="OK",N2254,"")</f>
        <v/>
      </c>
      <c r="U2254">
        <f>IF(OC_Donor=0,"",IF(INDEX('OneCause_Paste'!$A$2254:$AZ$2254,1,OC_Donor)="","",INDEX('OneCause_Paste'!$A$2254:$AZ$2254,1,OC_Donor)))</f>
        <v/>
      </c>
    </row>
    <row r="2255">
      <c r="A2255" s="62">
        <f>IF(H2255="","",IF(ISNUMBER(N2255),N2255,I2255))</f>
        <v/>
      </c>
      <c r="B2255">
        <f>IF(H2255="","",U2255)</f>
        <v/>
      </c>
      <c r="C2255">
        <f>IF(H2255="","",IF(P2255="",K2255,INDEX('Students'!$A$2:$A$701,P2255)))</f>
        <v/>
      </c>
      <c r="D2255">
        <f>IF(OR(H2255="",P2255=""),"",INDEX('Students'!$B$2:$B$701,P2255))</f>
        <v/>
      </c>
      <c r="E2255">
        <f>IF(OR(H2255="",P2255=""),"",INDEX('Students'!$C$2:$C$701,P2255))</f>
        <v/>
      </c>
      <c r="F2255" s="48">
        <f>IF(H2255="","",IF(ISNUMBER(O2255),O2255,J2255))</f>
        <v/>
      </c>
      <c r="G2255">
        <f>IF(H2255="","","OneCause")</f>
        <v/>
      </c>
      <c r="H2255">
        <f>IF(AND(I2255="",J2255="",K2255=""),"",IF(NOT(ISNUMBER(O2255)),"Bad amount",IF(O2255&lt;0,"Refund (not counted)",IF(O2255=0,"Zero amount",IF(NOT(ISNUMBER(N2255)),"Bad date",IF(P2255="","NAME NOT ON ROSTER",IF(L2255="","OK",IF(MATCH(L2255,$L$2:$L$3001,0)&lt;ROW()-1,"Duplicate (ignored)","OK"))))))))</f>
        <v/>
      </c>
      <c r="I2255">
        <f>IF(OC_Date=0,"",IF(INDEX('OneCause_Paste'!$A$2255:$AZ$2255,1,OC_Date)="","",INDEX('OneCause_Paste'!$A$2255:$AZ$2255,1,OC_Date)))</f>
        <v/>
      </c>
      <c r="J2255">
        <f>IF(OC_Amt=0,"",IF(INDEX('OneCause_Paste'!$A$2255:$AZ$2255,1,OC_Amt)="","",INDEX('OneCause_Paste'!$A$2255:$AZ$2255,1,OC_Amt)))</f>
        <v/>
      </c>
      <c r="K2255">
        <f>IF(OC_Name=0,"",IF(INDEX('OneCause_Paste'!$A$2255:$AZ$2255,1,OC_Name)="","",INDEX('OneCause_Paste'!$A$2255:$AZ$2255,1,OC_Name)))</f>
        <v/>
      </c>
      <c r="L2255">
        <f>IF(OC_Txn=0,"",IF(INDEX('OneCause_Paste'!$A$2255:$AZ$2255,1,OC_Txn)="","",INDEX('OneCause_Paste'!$A$2255:$AZ$2255,1,OC_Txn)))</f>
        <v/>
      </c>
      <c r="M2255">
        <f>IF(OC_Pay=0,"",IF(INDEX('OneCause_Paste'!$A$2255:$AZ$2255,1,OC_Pay)="","",INDEX('OneCause_Paste'!$A$2255:$AZ$2255,1,OC_Pay)))</f>
        <v/>
      </c>
      <c r="N2255">
        <f>IF(I2255="","",IF(ISNUMBER(I2255),INT(I2255),IFERROR(INT(DATEVALUE(I2255)),IFERROR(INT(VALUE(I2255)),"bad"))))</f>
        <v/>
      </c>
      <c r="O2255">
        <f>IF(J2255="","",IF(ISNUMBER(J2255),ROUND(J2255,2),IFERROR(ROUND(VALUE(SUBSTITUTE(SUBSTITUTE(SUBSTITUTE(J2255,"$",""),",","")," ","")),2),"bad")))</f>
        <v/>
      </c>
      <c r="P2255">
        <f>IF(TRIM(K2255)="","",IFERROR(MATCH(LOWER(TRIM(K2255)),'Students'!$AH$2:$AH$701,0),IFERROR(MATCH(LOWER(TRIM(K2255)),'Students'!$AF$2:$AF$701,0),IFERROR(MATCH(LOWER(TRIM(K2255)),'Students'!$AG$2:$AG$701,0),""))))</f>
        <v/>
      </c>
      <c r="R2255">
        <f>IF(P2255="","",INDEX('Students'!$AD$2:$AD$701,P2255))</f>
        <v/>
      </c>
      <c r="S2255">
        <f>IF(H2255="OK",O2255,0)</f>
        <v/>
      </c>
      <c r="T2255">
        <f>IF(H2255="OK",N2255,"")</f>
        <v/>
      </c>
      <c r="U2255">
        <f>IF(OC_Donor=0,"",IF(INDEX('OneCause_Paste'!$A$2255:$AZ$2255,1,OC_Donor)="","",INDEX('OneCause_Paste'!$A$2255:$AZ$2255,1,OC_Donor)))</f>
        <v/>
      </c>
    </row>
    <row r="2256">
      <c r="A2256" s="62">
        <f>IF(H2256="","",IF(ISNUMBER(N2256),N2256,I2256))</f>
        <v/>
      </c>
      <c r="B2256">
        <f>IF(H2256="","",U2256)</f>
        <v/>
      </c>
      <c r="C2256">
        <f>IF(H2256="","",IF(P2256="",K2256,INDEX('Students'!$A$2:$A$701,P2256)))</f>
        <v/>
      </c>
      <c r="D2256">
        <f>IF(OR(H2256="",P2256=""),"",INDEX('Students'!$B$2:$B$701,P2256))</f>
        <v/>
      </c>
      <c r="E2256">
        <f>IF(OR(H2256="",P2256=""),"",INDEX('Students'!$C$2:$C$701,P2256))</f>
        <v/>
      </c>
      <c r="F2256" s="48">
        <f>IF(H2256="","",IF(ISNUMBER(O2256),O2256,J2256))</f>
        <v/>
      </c>
      <c r="G2256">
        <f>IF(H2256="","","OneCause")</f>
        <v/>
      </c>
      <c r="H2256">
        <f>IF(AND(I2256="",J2256="",K2256=""),"",IF(NOT(ISNUMBER(O2256)),"Bad amount",IF(O2256&lt;0,"Refund (not counted)",IF(O2256=0,"Zero amount",IF(NOT(ISNUMBER(N2256)),"Bad date",IF(P2256="","NAME NOT ON ROSTER",IF(L2256="","OK",IF(MATCH(L2256,$L$2:$L$3001,0)&lt;ROW()-1,"Duplicate (ignored)","OK"))))))))</f>
        <v/>
      </c>
      <c r="I2256">
        <f>IF(OC_Date=0,"",IF(INDEX('OneCause_Paste'!$A$2256:$AZ$2256,1,OC_Date)="","",INDEX('OneCause_Paste'!$A$2256:$AZ$2256,1,OC_Date)))</f>
        <v/>
      </c>
      <c r="J2256">
        <f>IF(OC_Amt=0,"",IF(INDEX('OneCause_Paste'!$A$2256:$AZ$2256,1,OC_Amt)="","",INDEX('OneCause_Paste'!$A$2256:$AZ$2256,1,OC_Amt)))</f>
        <v/>
      </c>
      <c r="K2256">
        <f>IF(OC_Name=0,"",IF(INDEX('OneCause_Paste'!$A$2256:$AZ$2256,1,OC_Name)="","",INDEX('OneCause_Paste'!$A$2256:$AZ$2256,1,OC_Name)))</f>
        <v/>
      </c>
      <c r="L2256">
        <f>IF(OC_Txn=0,"",IF(INDEX('OneCause_Paste'!$A$2256:$AZ$2256,1,OC_Txn)="","",INDEX('OneCause_Paste'!$A$2256:$AZ$2256,1,OC_Txn)))</f>
        <v/>
      </c>
      <c r="M2256">
        <f>IF(OC_Pay=0,"",IF(INDEX('OneCause_Paste'!$A$2256:$AZ$2256,1,OC_Pay)="","",INDEX('OneCause_Paste'!$A$2256:$AZ$2256,1,OC_Pay)))</f>
        <v/>
      </c>
      <c r="N2256">
        <f>IF(I2256="","",IF(ISNUMBER(I2256),INT(I2256),IFERROR(INT(DATEVALUE(I2256)),IFERROR(INT(VALUE(I2256)),"bad"))))</f>
        <v/>
      </c>
      <c r="O2256">
        <f>IF(J2256="","",IF(ISNUMBER(J2256),ROUND(J2256,2),IFERROR(ROUND(VALUE(SUBSTITUTE(SUBSTITUTE(SUBSTITUTE(J2256,"$",""),",","")," ","")),2),"bad")))</f>
        <v/>
      </c>
      <c r="P2256">
        <f>IF(TRIM(K2256)="","",IFERROR(MATCH(LOWER(TRIM(K2256)),'Students'!$AH$2:$AH$701,0),IFERROR(MATCH(LOWER(TRIM(K2256)),'Students'!$AF$2:$AF$701,0),IFERROR(MATCH(LOWER(TRIM(K2256)),'Students'!$AG$2:$AG$701,0),""))))</f>
        <v/>
      </c>
      <c r="R2256">
        <f>IF(P2256="","",INDEX('Students'!$AD$2:$AD$701,P2256))</f>
        <v/>
      </c>
      <c r="S2256">
        <f>IF(H2256="OK",O2256,0)</f>
        <v/>
      </c>
      <c r="T2256">
        <f>IF(H2256="OK",N2256,"")</f>
        <v/>
      </c>
      <c r="U2256">
        <f>IF(OC_Donor=0,"",IF(INDEX('OneCause_Paste'!$A$2256:$AZ$2256,1,OC_Donor)="","",INDEX('OneCause_Paste'!$A$2256:$AZ$2256,1,OC_Donor)))</f>
        <v/>
      </c>
    </row>
    <row r="2257">
      <c r="A2257" s="62">
        <f>IF(H2257="","",IF(ISNUMBER(N2257),N2257,I2257))</f>
        <v/>
      </c>
      <c r="B2257">
        <f>IF(H2257="","",U2257)</f>
        <v/>
      </c>
      <c r="C2257">
        <f>IF(H2257="","",IF(P2257="",K2257,INDEX('Students'!$A$2:$A$701,P2257)))</f>
        <v/>
      </c>
      <c r="D2257">
        <f>IF(OR(H2257="",P2257=""),"",INDEX('Students'!$B$2:$B$701,P2257))</f>
        <v/>
      </c>
      <c r="E2257">
        <f>IF(OR(H2257="",P2257=""),"",INDEX('Students'!$C$2:$C$701,P2257))</f>
        <v/>
      </c>
      <c r="F2257" s="48">
        <f>IF(H2257="","",IF(ISNUMBER(O2257),O2257,J2257))</f>
        <v/>
      </c>
      <c r="G2257">
        <f>IF(H2257="","","OneCause")</f>
        <v/>
      </c>
      <c r="H2257">
        <f>IF(AND(I2257="",J2257="",K2257=""),"",IF(NOT(ISNUMBER(O2257)),"Bad amount",IF(O2257&lt;0,"Refund (not counted)",IF(O2257=0,"Zero amount",IF(NOT(ISNUMBER(N2257)),"Bad date",IF(P2257="","NAME NOT ON ROSTER",IF(L2257="","OK",IF(MATCH(L2257,$L$2:$L$3001,0)&lt;ROW()-1,"Duplicate (ignored)","OK"))))))))</f>
        <v/>
      </c>
      <c r="I2257">
        <f>IF(OC_Date=0,"",IF(INDEX('OneCause_Paste'!$A$2257:$AZ$2257,1,OC_Date)="","",INDEX('OneCause_Paste'!$A$2257:$AZ$2257,1,OC_Date)))</f>
        <v/>
      </c>
      <c r="J2257">
        <f>IF(OC_Amt=0,"",IF(INDEX('OneCause_Paste'!$A$2257:$AZ$2257,1,OC_Amt)="","",INDEX('OneCause_Paste'!$A$2257:$AZ$2257,1,OC_Amt)))</f>
        <v/>
      </c>
      <c r="K2257">
        <f>IF(OC_Name=0,"",IF(INDEX('OneCause_Paste'!$A$2257:$AZ$2257,1,OC_Name)="","",INDEX('OneCause_Paste'!$A$2257:$AZ$2257,1,OC_Name)))</f>
        <v/>
      </c>
      <c r="L2257">
        <f>IF(OC_Txn=0,"",IF(INDEX('OneCause_Paste'!$A$2257:$AZ$2257,1,OC_Txn)="","",INDEX('OneCause_Paste'!$A$2257:$AZ$2257,1,OC_Txn)))</f>
        <v/>
      </c>
      <c r="M2257">
        <f>IF(OC_Pay=0,"",IF(INDEX('OneCause_Paste'!$A$2257:$AZ$2257,1,OC_Pay)="","",INDEX('OneCause_Paste'!$A$2257:$AZ$2257,1,OC_Pay)))</f>
        <v/>
      </c>
      <c r="N2257">
        <f>IF(I2257="","",IF(ISNUMBER(I2257),INT(I2257),IFERROR(INT(DATEVALUE(I2257)),IFERROR(INT(VALUE(I2257)),"bad"))))</f>
        <v/>
      </c>
      <c r="O2257">
        <f>IF(J2257="","",IF(ISNUMBER(J2257),ROUND(J2257,2),IFERROR(ROUND(VALUE(SUBSTITUTE(SUBSTITUTE(SUBSTITUTE(J2257,"$",""),",","")," ","")),2),"bad")))</f>
        <v/>
      </c>
      <c r="P2257">
        <f>IF(TRIM(K2257)="","",IFERROR(MATCH(LOWER(TRIM(K2257)),'Students'!$AH$2:$AH$701,0),IFERROR(MATCH(LOWER(TRIM(K2257)),'Students'!$AF$2:$AF$701,0),IFERROR(MATCH(LOWER(TRIM(K2257)),'Students'!$AG$2:$AG$701,0),""))))</f>
        <v/>
      </c>
      <c r="R2257">
        <f>IF(P2257="","",INDEX('Students'!$AD$2:$AD$701,P2257))</f>
        <v/>
      </c>
      <c r="S2257">
        <f>IF(H2257="OK",O2257,0)</f>
        <v/>
      </c>
      <c r="T2257">
        <f>IF(H2257="OK",N2257,"")</f>
        <v/>
      </c>
      <c r="U2257">
        <f>IF(OC_Donor=0,"",IF(INDEX('OneCause_Paste'!$A$2257:$AZ$2257,1,OC_Donor)="","",INDEX('OneCause_Paste'!$A$2257:$AZ$2257,1,OC_Donor)))</f>
        <v/>
      </c>
    </row>
    <row r="2258">
      <c r="A2258" s="62">
        <f>IF(H2258="","",IF(ISNUMBER(N2258),N2258,I2258))</f>
        <v/>
      </c>
      <c r="B2258">
        <f>IF(H2258="","",U2258)</f>
        <v/>
      </c>
      <c r="C2258">
        <f>IF(H2258="","",IF(P2258="",K2258,INDEX('Students'!$A$2:$A$701,P2258)))</f>
        <v/>
      </c>
      <c r="D2258">
        <f>IF(OR(H2258="",P2258=""),"",INDEX('Students'!$B$2:$B$701,P2258))</f>
        <v/>
      </c>
      <c r="E2258">
        <f>IF(OR(H2258="",P2258=""),"",INDEX('Students'!$C$2:$C$701,P2258))</f>
        <v/>
      </c>
      <c r="F2258" s="48">
        <f>IF(H2258="","",IF(ISNUMBER(O2258),O2258,J2258))</f>
        <v/>
      </c>
      <c r="G2258">
        <f>IF(H2258="","","OneCause")</f>
        <v/>
      </c>
      <c r="H2258">
        <f>IF(AND(I2258="",J2258="",K2258=""),"",IF(NOT(ISNUMBER(O2258)),"Bad amount",IF(O2258&lt;0,"Refund (not counted)",IF(O2258=0,"Zero amount",IF(NOT(ISNUMBER(N2258)),"Bad date",IF(P2258="","NAME NOT ON ROSTER",IF(L2258="","OK",IF(MATCH(L2258,$L$2:$L$3001,0)&lt;ROW()-1,"Duplicate (ignored)","OK"))))))))</f>
        <v/>
      </c>
      <c r="I2258">
        <f>IF(OC_Date=0,"",IF(INDEX('OneCause_Paste'!$A$2258:$AZ$2258,1,OC_Date)="","",INDEX('OneCause_Paste'!$A$2258:$AZ$2258,1,OC_Date)))</f>
        <v/>
      </c>
      <c r="J2258">
        <f>IF(OC_Amt=0,"",IF(INDEX('OneCause_Paste'!$A$2258:$AZ$2258,1,OC_Amt)="","",INDEX('OneCause_Paste'!$A$2258:$AZ$2258,1,OC_Amt)))</f>
        <v/>
      </c>
      <c r="K2258">
        <f>IF(OC_Name=0,"",IF(INDEX('OneCause_Paste'!$A$2258:$AZ$2258,1,OC_Name)="","",INDEX('OneCause_Paste'!$A$2258:$AZ$2258,1,OC_Name)))</f>
        <v/>
      </c>
      <c r="L2258">
        <f>IF(OC_Txn=0,"",IF(INDEX('OneCause_Paste'!$A$2258:$AZ$2258,1,OC_Txn)="","",INDEX('OneCause_Paste'!$A$2258:$AZ$2258,1,OC_Txn)))</f>
        <v/>
      </c>
      <c r="M2258">
        <f>IF(OC_Pay=0,"",IF(INDEX('OneCause_Paste'!$A$2258:$AZ$2258,1,OC_Pay)="","",INDEX('OneCause_Paste'!$A$2258:$AZ$2258,1,OC_Pay)))</f>
        <v/>
      </c>
      <c r="N2258">
        <f>IF(I2258="","",IF(ISNUMBER(I2258),INT(I2258),IFERROR(INT(DATEVALUE(I2258)),IFERROR(INT(VALUE(I2258)),"bad"))))</f>
        <v/>
      </c>
      <c r="O2258">
        <f>IF(J2258="","",IF(ISNUMBER(J2258),ROUND(J2258,2),IFERROR(ROUND(VALUE(SUBSTITUTE(SUBSTITUTE(SUBSTITUTE(J2258,"$",""),",","")," ","")),2),"bad")))</f>
        <v/>
      </c>
      <c r="P2258">
        <f>IF(TRIM(K2258)="","",IFERROR(MATCH(LOWER(TRIM(K2258)),'Students'!$AH$2:$AH$701,0),IFERROR(MATCH(LOWER(TRIM(K2258)),'Students'!$AF$2:$AF$701,0),IFERROR(MATCH(LOWER(TRIM(K2258)),'Students'!$AG$2:$AG$701,0),""))))</f>
        <v/>
      </c>
      <c r="R2258">
        <f>IF(P2258="","",INDEX('Students'!$AD$2:$AD$701,P2258))</f>
        <v/>
      </c>
      <c r="S2258">
        <f>IF(H2258="OK",O2258,0)</f>
        <v/>
      </c>
      <c r="T2258">
        <f>IF(H2258="OK",N2258,"")</f>
        <v/>
      </c>
      <c r="U2258">
        <f>IF(OC_Donor=0,"",IF(INDEX('OneCause_Paste'!$A$2258:$AZ$2258,1,OC_Donor)="","",INDEX('OneCause_Paste'!$A$2258:$AZ$2258,1,OC_Donor)))</f>
        <v/>
      </c>
    </row>
    <row r="2259">
      <c r="A2259" s="62">
        <f>IF(H2259="","",IF(ISNUMBER(N2259),N2259,I2259))</f>
        <v/>
      </c>
      <c r="B2259">
        <f>IF(H2259="","",U2259)</f>
        <v/>
      </c>
      <c r="C2259">
        <f>IF(H2259="","",IF(P2259="",K2259,INDEX('Students'!$A$2:$A$701,P2259)))</f>
        <v/>
      </c>
      <c r="D2259">
        <f>IF(OR(H2259="",P2259=""),"",INDEX('Students'!$B$2:$B$701,P2259))</f>
        <v/>
      </c>
      <c r="E2259">
        <f>IF(OR(H2259="",P2259=""),"",INDEX('Students'!$C$2:$C$701,P2259))</f>
        <v/>
      </c>
      <c r="F2259" s="48">
        <f>IF(H2259="","",IF(ISNUMBER(O2259),O2259,J2259))</f>
        <v/>
      </c>
      <c r="G2259">
        <f>IF(H2259="","","OneCause")</f>
        <v/>
      </c>
      <c r="H2259">
        <f>IF(AND(I2259="",J2259="",K2259=""),"",IF(NOT(ISNUMBER(O2259)),"Bad amount",IF(O2259&lt;0,"Refund (not counted)",IF(O2259=0,"Zero amount",IF(NOT(ISNUMBER(N2259)),"Bad date",IF(P2259="","NAME NOT ON ROSTER",IF(L2259="","OK",IF(MATCH(L2259,$L$2:$L$3001,0)&lt;ROW()-1,"Duplicate (ignored)","OK"))))))))</f>
        <v/>
      </c>
      <c r="I2259">
        <f>IF(OC_Date=0,"",IF(INDEX('OneCause_Paste'!$A$2259:$AZ$2259,1,OC_Date)="","",INDEX('OneCause_Paste'!$A$2259:$AZ$2259,1,OC_Date)))</f>
        <v/>
      </c>
      <c r="J2259">
        <f>IF(OC_Amt=0,"",IF(INDEX('OneCause_Paste'!$A$2259:$AZ$2259,1,OC_Amt)="","",INDEX('OneCause_Paste'!$A$2259:$AZ$2259,1,OC_Amt)))</f>
        <v/>
      </c>
      <c r="K2259">
        <f>IF(OC_Name=0,"",IF(INDEX('OneCause_Paste'!$A$2259:$AZ$2259,1,OC_Name)="","",INDEX('OneCause_Paste'!$A$2259:$AZ$2259,1,OC_Name)))</f>
        <v/>
      </c>
      <c r="L2259">
        <f>IF(OC_Txn=0,"",IF(INDEX('OneCause_Paste'!$A$2259:$AZ$2259,1,OC_Txn)="","",INDEX('OneCause_Paste'!$A$2259:$AZ$2259,1,OC_Txn)))</f>
        <v/>
      </c>
      <c r="M2259">
        <f>IF(OC_Pay=0,"",IF(INDEX('OneCause_Paste'!$A$2259:$AZ$2259,1,OC_Pay)="","",INDEX('OneCause_Paste'!$A$2259:$AZ$2259,1,OC_Pay)))</f>
        <v/>
      </c>
      <c r="N2259">
        <f>IF(I2259="","",IF(ISNUMBER(I2259),INT(I2259),IFERROR(INT(DATEVALUE(I2259)),IFERROR(INT(VALUE(I2259)),"bad"))))</f>
        <v/>
      </c>
      <c r="O2259">
        <f>IF(J2259="","",IF(ISNUMBER(J2259),ROUND(J2259,2),IFERROR(ROUND(VALUE(SUBSTITUTE(SUBSTITUTE(SUBSTITUTE(J2259,"$",""),",","")," ","")),2),"bad")))</f>
        <v/>
      </c>
      <c r="P2259">
        <f>IF(TRIM(K2259)="","",IFERROR(MATCH(LOWER(TRIM(K2259)),'Students'!$AH$2:$AH$701,0),IFERROR(MATCH(LOWER(TRIM(K2259)),'Students'!$AF$2:$AF$701,0),IFERROR(MATCH(LOWER(TRIM(K2259)),'Students'!$AG$2:$AG$701,0),""))))</f>
        <v/>
      </c>
      <c r="R2259">
        <f>IF(P2259="","",INDEX('Students'!$AD$2:$AD$701,P2259))</f>
        <v/>
      </c>
      <c r="S2259">
        <f>IF(H2259="OK",O2259,0)</f>
        <v/>
      </c>
      <c r="T2259">
        <f>IF(H2259="OK",N2259,"")</f>
        <v/>
      </c>
      <c r="U2259">
        <f>IF(OC_Donor=0,"",IF(INDEX('OneCause_Paste'!$A$2259:$AZ$2259,1,OC_Donor)="","",INDEX('OneCause_Paste'!$A$2259:$AZ$2259,1,OC_Donor)))</f>
        <v/>
      </c>
    </row>
    <row r="2260">
      <c r="A2260" s="62">
        <f>IF(H2260="","",IF(ISNUMBER(N2260),N2260,I2260))</f>
        <v/>
      </c>
      <c r="B2260">
        <f>IF(H2260="","",U2260)</f>
        <v/>
      </c>
      <c r="C2260">
        <f>IF(H2260="","",IF(P2260="",K2260,INDEX('Students'!$A$2:$A$701,P2260)))</f>
        <v/>
      </c>
      <c r="D2260">
        <f>IF(OR(H2260="",P2260=""),"",INDEX('Students'!$B$2:$B$701,P2260))</f>
        <v/>
      </c>
      <c r="E2260">
        <f>IF(OR(H2260="",P2260=""),"",INDEX('Students'!$C$2:$C$701,P2260))</f>
        <v/>
      </c>
      <c r="F2260" s="48">
        <f>IF(H2260="","",IF(ISNUMBER(O2260),O2260,J2260))</f>
        <v/>
      </c>
      <c r="G2260">
        <f>IF(H2260="","","OneCause")</f>
        <v/>
      </c>
      <c r="H2260">
        <f>IF(AND(I2260="",J2260="",K2260=""),"",IF(NOT(ISNUMBER(O2260)),"Bad amount",IF(O2260&lt;0,"Refund (not counted)",IF(O2260=0,"Zero amount",IF(NOT(ISNUMBER(N2260)),"Bad date",IF(P2260="","NAME NOT ON ROSTER",IF(L2260="","OK",IF(MATCH(L2260,$L$2:$L$3001,0)&lt;ROW()-1,"Duplicate (ignored)","OK"))))))))</f>
        <v/>
      </c>
      <c r="I2260">
        <f>IF(OC_Date=0,"",IF(INDEX('OneCause_Paste'!$A$2260:$AZ$2260,1,OC_Date)="","",INDEX('OneCause_Paste'!$A$2260:$AZ$2260,1,OC_Date)))</f>
        <v/>
      </c>
      <c r="J2260">
        <f>IF(OC_Amt=0,"",IF(INDEX('OneCause_Paste'!$A$2260:$AZ$2260,1,OC_Amt)="","",INDEX('OneCause_Paste'!$A$2260:$AZ$2260,1,OC_Amt)))</f>
        <v/>
      </c>
      <c r="K2260">
        <f>IF(OC_Name=0,"",IF(INDEX('OneCause_Paste'!$A$2260:$AZ$2260,1,OC_Name)="","",INDEX('OneCause_Paste'!$A$2260:$AZ$2260,1,OC_Name)))</f>
        <v/>
      </c>
      <c r="L2260">
        <f>IF(OC_Txn=0,"",IF(INDEX('OneCause_Paste'!$A$2260:$AZ$2260,1,OC_Txn)="","",INDEX('OneCause_Paste'!$A$2260:$AZ$2260,1,OC_Txn)))</f>
        <v/>
      </c>
      <c r="M2260">
        <f>IF(OC_Pay=0,"",IF(INDEX('OneCause_Paste'!$A$2260:$AZ$2260,1,OC_Pay)="","",INDEX('OneCause_Paste'!$A$2260:$AZ$2260,1,OC_Pay)))</f>
        <v/>
      </c>
      <c r="N2260">
        <f>IF(I2260="","",IF(ISNUMBER(I2260),INT(I2260),IFERROR(INT(DATEVALUE(I2260)),IFERROR(INT(VALUE(I2260)),"bad"))))</f>
        <v/>
      </c>
      <c r="O2260">
        <f>IF(J2260="","",IF(ISNUMBER(J2260),ROUND(J2260,2),IFERROR(ROUND(VALUE(SUBSTITUTE(SUBSTITUTE(SUBSTITUTE(J2260,"$",""),",","")," ","")),2),"bad")))</f>
        <v/>
      </c>
      <c r="P2260">
        <f>IF(TRIM(K2260)="","",IFERROR(MATCH(LOWER(TRIM(K2260)),'Students'!$AH$2:$AH$701,0),IFERROR(MATCH(LOWER(TRIM(K2260)),'Students'!$AF$2:$AF$701,0),IFERROR(MATCH(LOWER(TRIM(K2260)),'Students'!$AG$2:$AG$701,0),""))))</f>
        <v/>
      </c>
      <c r="R2260">
        <f>IF(P2260="","",INDEX('Students'!$AD$2:$AD$701,P2260))</f>
        <v/>
      </c>
      <c r="S2260">
        <f>IF(H2260="OK",O2260,0)</f>
        <v/>
      </c>
      <c r="T2260">
        <f>IF(H2260="OK",N2260,"")</f>
        <v/>
      </c>
      <c r="U2260">
        <f>IF(OC_Donor=0,"",IF(INDEX('OneCause_Paste'!$A$2260:$AZ$2260,1,OC_Donor)="","",INDEX('OneCause_Paste'!$A$2260:$AZ$2260,1,OC_Donor)))</f>
        <v/>
      </c>
    </row>
    <row r="2261">
      <c r="A2261" s="62">
        <f>IF(H2261="","",IF(ISNUMBER(N2261),N2261,I2261))</f>
        <v/>
      </c>
      <c r="B2261">
        <f>IF(H2261="","",U2261)</f>
        <v/>
      </c>
      <c r="C2261">
        <f>IF(H2261="","",IF(P2261="",K2261,INDEX('Students'!$A$2:$A$701,P2261)))</f>
        <v/>
      </c>
      <c r="D2261">
        <f>IF(OR(H2261="",P2261=""),"",INDEX('Students'!$B$2:$B$701,P2261))</f>
        <v/>
      </c>
      <c r="E2261">
        <f>IF(OR(H2261="",P2261=""),"",INDEX('Students'!$C$2:$C$701,P2261))</f>
        <v/>
      </c>
      <c r="F2261" s="48">
        <f>IF(H2261="","",IF(ISNUMBER(O2261),O2261,J2261))</f>
        <v/>
      </c>
      <c r="G2261">
        <f>IF(H2261="","","OneCause")</f>
        <v/>
      </c>
      <c r="H2261">
        <f>IF(AND(I2261="",J2261="",K2261=""),"",IF(NOT(ISNUMBER(O2261)),"Bad amount",IF(O2261&lt;0,"Refund (not counted)",IF(O2261=0,"Zero amount",IF(NOT(ISNUMBER(N2261)),"Bad date",IF(P2261="","NAME NOT ON ROSTER",IF(L2261="","OK",IF(MATCH(L2261,$L$2:$L$3001,0)&lt;ROW()-1,"Duplicate (ignored)","OK"))))))))</f>
        <v/>
      </c>
      <c r="I2261">
        <f>IF(OC_Date=0,"",IF(INDEX('OneCause_Paste'!$A$2261:$AZ$2261,1,OC_Date)="","",INDEX('OneCause_Paste'!$A$2261:$AZ$2261,1,OC_Date)))</f>
        <v/>
      </c>
      <c r="J2261">
        <f>IF(OC_Amt=0,"",IF(INDEX('OneCause_Paste'!$A$2261:$AZ$2261,1,OC_Amt)="","",INDEX('OneCause_Paste'!$A$2261:$AZ$2261,1,OC_Amt)))</f>
        <v/>
      </c>
      <c r="K2261">
        <f>IF(OC_Name=0,"",IF(INDEX('OneCause_Paste'!$A$2261:$AZ$2261,1,OC_Name)="","",INDEX('OneCause_Paste'!$A$2261:$AZ$2261,1,OC_Name)))</f>
        <v/>
      </c>
      <c r="L2261">
        <f>IF(OC_Txn=0,"",IF(INDEX('OneCause_Paste'!$A$2261:$AZ$2261,1,OC_Txn)="","",INDEX('OneCause_Paste'!$A$2261:$AZ$2261,1,OC_Txn)))</f>
        <v/>
      </c>
      <c r="M2261">
        <f>IF(OC_Pay=0,"",IF(INDEX('OneCause_Paste'!$A$2261:$AZ$2261,1,OC_Pay)="","",INDEX('OneCause_Paste'!$A$2261:$AZ$2261,1,OC_Pay)))</f>
        <v/>
      </c>
      <c r="N2261">
        <f>IF(I2261="","",IF(ISNUMBER(I2261),INT(I2261),IFERROR(INT(DATEVALUE(I2261)),IFERROR(INT(VALUE(I2261)),"bad"))))</f>
        <v/>
      </c>
      <c r="O2261">
        <f>IF(J2261="","",IF(ISNUMBER(J2261),ROUND(J2261,2),IFERROR(ROUND(VALUE(SUBSTITUTE(SUBSTITUTE(SUBSTITUTE(J2261,"$",""),",","")," ","")),2),"bad")))</f>
        <v/>
      </c>
      <c r="P2261">
        <f>IF(TRIM(K2261)="","",IFERROR(MATCH(LOWER(TRIM(K2261)),'Students'!$AH$2:$AH$701,0),IFERROR(MATCH(LOWER(TRIM(K2261)),'Students'!$AF$2:$AF$701,0),IFERROR(MATCH(LOWER(TRIM(K2261)),'Students'!$AG$2:$AG$701,0),""))))</f>
        <v/>
      </c>
      <c r="R2261">
        <f>IF(P2261="","",INDEX('Students'!$AD$2:$AD$701,P2261))</f>
        <v/>
      </c>
      <c r="S2261">
        <f>IF(H2261="OK",O2261,0)</f>
        <v/>
      </c>
      <c r="T2261">
        <f>IF(H2261="OK",N2261,"")</f>
        <v/>
      </c>
      <c r="U2261">
        <f>IF(OC_Donor=0,"",IF(INDEX('OneCause_Paste'!$A$2261:$AZ$2261,1,OC_Donor)="","",INDEX('OneCause_Paste'!$A$2261:$AZ$2261,1,OC_Donor)))</f>
        <v/>
      </c>
    </row>
    <row r="2262">
      <c r="A2262" s="62">
        <f>IF(H2262="","",IF(ISNUMBER(N2262),N2262,I2262))</f>
        <v/>
      </c>
      <c r="B2262">
        <f>IF(H2262="","",U2262)</f>
        <v/>
      </c>
      <c r="C2262">
        <f>IF(H2262="","",IF(P2262="",K2262,INDEX('Students'!$A$2:$A$701,P2262)))</f>
        <v/>
      </c>
      <c r="D2262">
        <f>IF(OR(H2262="",P2262=""),"",INDEX('Students'!$B$2:$B$701,P2262))</f>
        <v/>
      </c>
      <c r="E2262">
        <f>IF(OR(H2262="",P2262=""),"",INDEX('Students'!$C$2:$C$701,P2262))</f>
        <v/>
      </c>
      <c r="F2262" s="48">
        <f>IF(H2262="","",IF(ISNUMBER(O2262),O2262,J2262))</f>
        <v/>
      </c>
      <c r="G2262">
        <f>IF(H2262="","","OneCause")</f>
        <v/>
      </c>
      <c r="H2262">
        <f>IF(AND(I2262="",J2262="",K2262=""),"",IF(NOT(ISNUMBER(O2262)),"Bad amount",IF(O2262&lt;0,"Refund (not counted)",IF(O2262=0,"Zero amount",IF(NOT(ISNUMBER(N2262)),"Bad date",IF(P2262="","NAME NOT ON ROSTER",IF(L2262="","OK",IF(MATCH(L2262,$L$2:$L$3001,0)&lt;ROW()-1,"Duplicate (ignored)","OK"))))))))</f>
        <v/>
      </c>
      <c r="I2262">
        <f>IF(OC_Date=0,"",IF(INDEX('OneCause_Paste'!$A$2262:$AZ$2262,1,OC_Date)="","",INDEX('OneCause_Paste'!$A$2262:$AZ$2262,1,OC_Date)))</f>
        <v/>
      </c>
      <c r="J2262">
        <f>IF(OC_Amt=0,"",IF(INDEX('OneCause_Paste'!$A$2262:$AZ$2262,1,OC_Amt)="","",INDEX('OneCause_Paste'!$A$2262:$AZ$2262,1,OC_Amt)))</f>
        <v/>
      </c>
      <c r="K2262">
        <f>IF(OC_Name=0,"",IF(INDEX('OneCause_Paste'!$A$2262:$AZ$2262,1,OC_Name)="","",INDEX('OneCause_Paste'!$A$2262:$AZ$2262,1,OC_Name)))</f>
        <v/>
      </c>
      <c r="L2262">
        <f>IF(OC_Txn=0,"",IF(INDEX('OneCause_Paste'!$A$2262:$AZ$2262,1,OC_Txn)="","",INDEX('OneCause_Paste'!$A$2262:$AZ$2262,1,OC_Txn)))</f>
        <v/>
      </c>
      <c r="M2262">
        <f>IF(OC_Pay=0,"",IF(INDEX('OneCause_Paste'!$A$2262:$AZ$2262,1,OC_Pay)="","",INDEX('OneCause_Paste'!$A$2262:$AZ$2262,1,OC_Pay)))</f>
        <v/>
      </c>
      <c r="N2262">
        <f>IF(I2262="","",IF(ISNUMBER(I2262),INT(I2262),IFERROR(INT(DATEVALUE(I2262)),IFERROR(INT(VALUE(I2262)),"bad"))))</f>
        <v/>
      </c>
      <c r="O2262">
        <f>IF(J2262="","",IF(ISNUMBER(J2262),ROUND(J2262,2),IFERROR(ROUND(VALUE(SUBSTITUTE(SUBSTITUTE(SUBSTITUTE(J2262,"$",""),",","")," ","")),2),"bad")))</f>
        <v/>
      </c>
      <c r="P2262">
        <f>IF(TRIM(K2262)="","",IFERROR(MATCH(LOWER(TRIM(K2262)),'Students'!$AH$2:$AH$701,0),IFERROR(MATCH(LOWER(TRIM(K2262)),'Students'!$AF$2:$AF$701,0),IFERROR(MATCH(LOWER(TRIM(K2262)),'Students'!$AG$2:$AG$701,0),""))))</f>
        <v/>
      </c>
      <c r="R2262">
        <f>IF(P2262="","",INDEX('Students'!$AD$2:$AD$701,P2262))</f>
        <v/>
      </c>
      <c r="S2262">
        <f>IF(H2262="OK",O2262,0)</f>
        <v/>
      </c>
      <c r="T2262">
        <f>IF(H2262="OK",N2262,"")</f>
        <v/>
      </c>
      <c r="U2262">
        <f>IF(OC_Donor=0,"",IF(INDEX('OneCause_Paste'!$A$2262:$AZ$2262,1,OC_Donor)="","",INDEX('OneCause_Paste'!$A$2262:$AZ$2262,1,OC_Donor)))</f>
        <v/>
      </c>
    </row>
    <row r="2263">
      <c r="A2263" s="62">
        <f>IF(H2263="","",IF(ISNUMBER(N2263),N2263,I2263))</f>
        <v/>
      </c>
      <c r="B2263">
        <f>IF(H2263="","",U2263)</f>
        <v/>
      </c>
      <c r="C2263">
        <f>IF(H2263="","",IF(P2263="",K2263,INDEX('Students'!$A$2:$A$701,P2263)))</f>
        <v/>
      </c>
      <c r="D2263">
        <f>IF(OR(H2263="",P2263=""),"",INDEX('Students'!$B$2:$B$701,P2263))</f>
        <v/>
      </c>
      <c r="E2263">
        <f>IF(OR(H2263="",P2263=""),"",INDEX('Students'!$C$2:$C$701,P2263))</f>
        <v/>
      </c>
      <c r="F2263" s="48">
        <f>IF(H2263="","",IF(ISNUMBER(O2263),O2263,J2263))</f>
        <v/>
      </c>
      <c r="G2263">
        <f>IF(H2263="","","OneCause")</f>
        <v/>
      </c>
      <c r="H2263">
        <f>IF(AND(I2263="",J2263="",K2263=""),"",IF(NOT(ISNUMBER(O2263)),"Bad amount",IF(O2263&lt;0,"Refund (not counted)",IF(O2263=0,"Zero amount",IF(NOT(ISNUMBER(N2263)),"Bad date",IF(P2263="","NAME NOT ON ROSTER",IF(L2263="","OK",IF(MATCH(L2263,$L$2:$L$3001,0)&lt;ROW()-1,"Duplicate (ignored)","OK"))))))))</f>
        <v/>
      </c>
      <c r="I2263">
        <f>IF(OC_Date=0,"",IF(INDEX('OneCause_Paste'!$A$2263:$AZ$2263,1,OC_Date)="","",INDEX('OneCause_Paste'!$A$2263:$AZ$2263,1,OC_Date)))</f>
        <v/>
      </c>
      <c r="J2263">
        <f>IF(OC_Amt=0,"",IF(INDEX('OneCause_Paste'!$A$2263:$AZ$2263,1,OC_Amt)="","",INDEX('OneCause_Paste'!$A$2263:$AZ$2263,1,OC_Amt)))</f>
        <v/>
      </c>
      <c r="K2263">
        <f>IF(OC_Name=0,"",IF(INDEX('OneCause_Paste'!$A$2263:$AZ$2263,1,OC_Name)="","",INDEX('OneCause_Paste'!$A$2263:$AZ$2263,1,OC_Name)))</f>
        <v/>
      </c>
      <c r="L2263">
        <f>IF(OC_Txn=0,"",IF(INDEX('OneCause_Paste'!$A$2263:$AZ$2263,1,OC_Txn)="","",INDEX('OneCause_Paste'!$A$2263:$AZ$2263,1,OC_Txn)))</f>
        <v/>
      </c>
      <c r="M2263">
        <f>IF(OC_Pay=0,"",IF(INDEX('OneCause_Paste'!$A$2263:$AZ$2263,1,OC_Pay)="","",INDEX('OneCause_Paste'!$A$2263:$AZ$2263,1,OC_Pay)))</f>
        <v/>
      </c>
      <c r="N2263">
        <f>IF(I2263="","",IF(ISNUMBER(I2263),INT(I2263),IFERROR(INT(DATEVALUE(I2263)),IFERROR(INT(VALUE(I2263)),"bad"))))</f>
        <v/>
      </c>
      <c r="O2263">
        <f>IF(J2263="","",IF(ISNUMBER(J2263),ROUND(J2263,2),IFERROR(ROUND(VALUE(SUBSTITUTE(SUBSTITUTE(SUBSTITUTE(J2263,"$",""),",","")," ","")),2),"bad")))</f>
        <v/>
      </c>
      <c r="P2263">
        <f>IF(TRIM(K2263)="","",IFERROR(MATCH(LOWER(TRIM(K2263)),'Students'!$AH$2:$AH$701,0),IFERROR(MATCH(LOWER(TRIM(K2263)),'Students'!$AF$2:$AF$701,0),IFERROR(MATCH(LOWER(TRIM(K2263)),'Students'!$AG$2:$AG$701,0),""))))</f>
        <v/>
      </c>
      <c r="R2263">
        <f>IF(P2263="","",INDEX('Students'!$AD$2:$AD$701,P2263))</f>
        <v/>
      </c>
      <c r="S2263">
        <f>IF(H2263="OK",O2263,0)</f>
        <v/>
      </c>
      <c r="T2263">
        <f>IF(H2263="OK",N2263,"")</f>
        <v/>
      </c>
      <c r="U2263">
        <f>IF(OC_Donor=0,"",IF(INDEX('OneCause_Paste'!$A$2263:$AZ$2263,1,OC_Donor)="","",INDEX('OneCause_Paste'!$A$2263:$AZ$2263,1,OC_Donor)))</f>
        <v/>
      </c>
    </row>
    <row r="2264">
      <c r="A2264" s="62">
        <f>IF(H2264="","",IF(ISNUMBER(N2264),N2264,I2264))</f>
        <v/>
      </c>
      <c r="B2264">
        <f>IF(H2264="","",U2264)</f>
        <v/>
      </c>
      <c r="C2264">
        <f>IF(H2264="","",IF(P2264="",K2264,INDEX('Students'!$A$2:$A$701,P2264)))</f>
        <v/>
      </c>
      <c r="D2264">
        <f>IF(OR(H2264="",P2264=""),"",INDEX('Students'!$B$2:$B$701,P2264))</f>
        <v/>
      </c>
      <c r="E2264">
        <f>IF(OR(H2264="",P2264=""),"",INDEX('Students'!$C$2:$C$701,P2264))</f>
        <v/>
      </c>
      <c r="F2264" s="48">
        <f>IF(H2264="","",IF(ISNUMBER(O2264),O2264,J2264))</f>
        <v/>
      </c>
      <c r="G2264">
        <f>IF(H2264="","","OneCause")</f>
        <v/>
      </c>
      <c r="H2264">
        <f>IF(AND(I2264="",J2264="",K2264=""),"",IF(NOT(ISNUMBER(O2264)),"Bad amount",IF(O2264&lt;0,"Refund (not counted)",IF(O2264=0,"Zero amount",IF(NOT(ISNUMBER(N2264)),"Bad date",IF(P2264="","NAME NOT ON ROSTER",IF(L2264="","OK",IF(MATCH(L2264,$L$2:$L$3001,0)&lt;ROW()-1,"Duplicate (ignored)","OK"))))))))</f>
        <v/>
      </c>
      <c r="I2264">
        <f>IF(OC_Date=0,"",IF(INDEX('OneCause_Paste'!$A$2264:$AZ$2264,1,OC_Date)="","",INDEX('OneCause_Paste'!$A$2264:$AZ$2264,1,OC_Date)))</f>
        <v/>
      </c>
      <c r="J2264">
        <f>IF(OC_Amt=0,"",IF(INDEX('OneCause_Paste'!$A$2264:$AZ$2264,1,OC_Amt)="","",INDEX('OneCause_Paste'!$A$2264:$AZ$2264,1,OC_Amt)))</f>
        <v/>
      </c>
      <c r="K2264">
        <f>IF(OC_Name=0,"",IF(INDEX('OneCause_Paste'!$A$2264:$AZ$2264,1,OC_Name)="","",INDEX('OneCause_Paste'!$A$2264:$AZ$2264,1,OC_Name)))</f>
        <v/>
      </c>
      <c r="L2264">
        <f>IF(OC_Txn=0,"",IF(INDEX('OneCause_Paste'!$A$2264:$AZ$2264,1,OC_Txn)="","",INDEX('OneCause_Paste'!$A$2264:$AZ$2264,1,OC_Txn)))</f>
        <v/>
      </c>
      <c r="M2264">
        <f>IF(OC_Pay=0,"",IF(INDEX('OneCause_Paste'!$A$2264:$AZ$2264,1,OC_Pay)="","",INDEX('OneCause_Paste'!$A$2264:$AZ$2264,1,OC_Pay)))</f>
        <v/>
      </c>
      <c r="N2264">
        <f>IF(I2264="","",IF(ISNUMBER(I2264),INT(I2264),IFERROR(INT(DATEVALUE(I2264)),IFERROR(INT(VALUE(I2264)),"bad"))))</f>
        <v/>
      </c>
      <c r="O2264">
        <f>IF(J2264="","",IF(ISNUMBER(J2264),ROUND(J2264,2),IFERROR(ROUND(VALUE(SUBSTITUTE(SUBSTITUTE(SUBSTITUTE(J2264,"$",""),",","")," ","")),2),"bad")))</f>
        <v/>
      </c>
      <c r="P2264">
        <f>IF(TRIM(K2264)="","",IFERROR(MATCH(LOWER(TRIM(K2264)),'Students'!$AH$2:$AH$701,0),IFERROR(MATCH(LOWER(TRIM(K2264)),'Students'!$AF$2:$AF$701,0),IFERROR(MATCH(LOWER(TRIM(K2264)),'Students'!$AG$2:$AG$701,0),""))))</f>
        <v/>
      </c>
      <c r="R2264">
        <f>IF(P2264="","",INDEX('Students'!$AD$2:$AD$701,P2264))</f>
        <v/>
      </c>
      <c r="S2264">
        <f>IF(H2264="OK",O2264,0)</f>
        <v/>
      </c>
      <c r="T2264">
        <f>IF(H2264="OK",N2264,"")</f>
        <v/>
      </c>
      <c r="U2264">
        <f>IF(OC_Donor=0,"",IF(INDEX('OneCause_Paste'!$A$2264:$AZ$2264,1,OC_Donor)="","",INDEX('OneCause_Paste'!$A$2264:$AZ$2264,1,OC_Donor)))</f>
        <v/>
      </c>
    </row>
    <row r="2265">
      <c r="A2265" s="62">
        <f>IF(H2265="","",IF(ISNUMBER(N2265),N2265,I2265))</f>
        <v/>
      </c>
      <c r="B2265">
        <f>IF(H2265="","",U2265)</f>
        <v/>
      </c>
      <c r="C2265">
        <f>IF(H2265="","",IF(P2265="",K2265,INDEX('Students'!$A$2:$A$701,P2265)))</f>
        <v/>
      </c>
      <c r="D2265">
        <f>IF(OR(H2265="",P2265=""),"",INDEX('Students'!$B$2:$B$701,P2265))</f>
        <v/>
      </c>
      <c r="E2265">
        <f>IF(OR(H2265="",P2265=""),"",INDEX('Students'!$C$2:$C$701,P2265))</f>
        <v/>
      </c>
      <c r="F2265" s="48">
        <f>IF(H2265="","",IF(ISNUMBER(O2265),O2265,J2265))</f>
        <v/>
      </c>
      <c r="G2265">
        <f>IF(H2265="","","OneCause")</f>
        <v/>
      </c>
      <c r="H2265">
        <f>IF(AND(I2265="",J2265="",K2265=""),"",IF(NOT(ISNUMBER(O2265)),"Bad amount",IF(O2265&lt;0,"Refund (not counted)",IF(O2265=0,"Zero amount",IF(NOT(ISNUMBER(N2265)),"Bad date",IF(P2265="","NAME NOT ON ROSTER",IF(L2265="","OK",IF(MATCH(L2265,$L$2:$L$3001,0)&lt;ROW()-1,"Duplicate (ignored)","OK"))))))))</f>
        <v/>
      </c>
      <c r="I2265">
        <f>IF(OC_Date=0,"",IF(INDEX('OneCause_Paste'!$A$2265:$AZ$2265,1,OC_Date)="","",INDEX('OneCause_Paste'!$A$2265:$AZ$2265,1,OC_Date)))</f>
        <v/>
      </c>
      <c r="J2265">
        <f>IF(OC_Amt=0,"",IF(INDEX('OneCause_Paste'!$A$2265:$AZ$2265,1,OC_Amt)="","",INDEX('OneCause_Paste'!$A$2265:$AZ$2265,1,OC_Amt)))</f>
        <v/>
      </c>
      <c r="K2265">
        <f>IF(OC_Name=0,"",IF(INDEX('OneCause_Paste'!$A$2265:$AZ$2265,1,OC_Name)="","",INDEX('OneCause_Paste'!$A$2265:$AZ$2265,1,OC_Name)))</f>
        <v/>
      </c>
      <c r="L2265">
        <f>IF(OC_Txn=0,"",IF(INDEX('OneCause_Paste'!$A$2265:$AZ$2265,1,OC_Txn)="","",INDEX('OneCause_Paste'!$A$2265:$AZ$2265,1,OC_Txn)))</f>
        <v/>
      </c>
      <c r="M2265">
        <f>IF(OC_Pay=0,"",IF(INDEX('OneCause_Paste'!$A$2265:$AZ$2265,1,OC_Pay)="","",INDEX('OneCause_Paste'!$A$2265:$AZ$2265,1,OC_Pay)))</f>
        <v/>
      </c>
      <c r="N2265">
        <f>IF(I2265="","",IF(ISNUMBER(I2265),INT(I2265),IFERROR(INT(DATEVALUE(I2265)),IFERROR(INT(VALUE(I2265)),"bad"))))</f>
        <v/>
      </c>
      <c r="O2265">
        <f>IF(J2265="","",IF(ISNUMBER(J2265),ROUND(J2265,2),IFERROR(ROUND(VALUE(SUBSTITUTE(SUBSTITUTE(SUBSTITUTE(J2265,"$",""),",","")," ","")),2),"bad")))</f>
        <v/>
      </c>
      <c r="P2265">
        <f>IF(TRIM(K2265)="","",IFERROR(MATCH(LOWER(TRIM(K2265)),'Students'!$AH$2:$AH$701,0),IFERROR(MATCH(LOWER(TRIM(K2265)),'Students'!$AF$2:$AF$701,0),IFERROR(MATCH(LOWER(TRIM(K2265)),'Students'!$AG$2:$AG$701,0),""))))</f>
        <v/>
      </c>
      <c r="R2265">
        <f>IF(P2265="","",INDEX('Students'!$AD$2:$AD$701,P2265))</f>
        <v/>
      </c>
      <c r="S2265">
        <f>IF(H2265="OK",O2265,0)</f>
        <v/>
      </c>
      <c r="T2265">
        <f>IF(H2265="OK",N2265,"")</f>
        <v/>
      </c>
      <c r="U2265">
        <f>IF(OC_Donor=0,"",IF(INDEX('OneCause_Paste'!$A$2265:$AZ$2265,1,OC_Donor)="","",INDEX('OneCause_Paste'!$A$2265:$AZ$2265,1,OC_Donor)))</f>
        <v/>
      </c>
    </row>
    <row r="2266">
      <c r="A2266" s="62">
        <f>IF(H2266="","",IF(ISNUMBER(N2266),N2266,I2266))</f>
        <v/>
      </c>
      <c r="B2266">
        <f>IF(H2266="","",U2266)</f>
        <v/>
      </c>
      <c r="C2266">
        <f>IF(H2266="","",IF(P2266="",K2266,INDEX('Students'!$A$2:$A$701,P2266)))</f>
        <v/>
      </c>
      <c r="D2266">
        <f>IF(OR(H2266="",P2266=""),"",INDEX('Students'!$B$2:$B$701,P2266))</f>
        <v/>
      </c>
      <c r="E2266">
        <f>IF(OR(H2266="",P2266=""),"",INDEX('Students'!$C$2:$C$701,P2266))</f>
        <v/>
      </c>
      <c r="F2266" s="48">
        <f>IF(H2266="","",IF(ISNUMBER(O2266),O2266,J2266))</f>
        <v/>
      </c>
      <c r="G2266">
        <f>IF(H2266="","","OneCause")</f>
        <v/>
      </c>
      <c r="H2266">
        <f>IF(AND(I2266="",J2266="",K2266=""),"",IF(NOT(ISNUMBER(O2266)),"Bad amount",IF(O2266&lt;0,"Refund (not counted)",IF(O2266=0,"Zero amount",IF(NOT(ISNUMBER(N2266)),"Bad date",IF(P2266="","NAME NOT ON ROSTER",IF(L2266="","OK",IF(MATCH(L2266,$L$2:$L$3001,0)&lt;ROW()-1,"Duplicate (ignored)","OK"))))))))</f>
        <v/>
      </c>
      <c r="I2266">
        <f>IF(OC_Date=0,"",IF(INDEX('OneCause_Paste'!$A$2266:$AZ$2266,1,OC_Date)="","",INDEX('OneCause_Paste'!$A$2266:$AZ$2266,1,OC_Date)))</f>
        <v/>
      </c>
      <c r="J2266">
        <f>IF(OC_Amt=0,"",IF(INDEX('OneCause_Paste'!$A$2266:$AZ$2266,1,OC_Amt)="","",INDEX('OneCause_Paste'!$A$2266:$AZ$2266,1,OC_Amt)))</f>
        <v/>
      </c>
      <c r="K2266">
        <f>IF(OC_Name=0,"",IF(INDEX('OneCause_Paste'!$A$2266:$AZ$2266,1,OC_Name)="","",INDEX('OneCause_Paste'!$A$2266:$AZ$2266,1,OC_Name)))</f>
        <v/>
      </c>
      <c r="L2266">
        <f>IF(OC_Txn=0,"",IF(INDEX('OneCause_Paste'!$A$2266:$AZ$2266,1,OC_Txn)="","",INDEX('OneCause_Paste'!$A$2266:$AZ$2266,1,OC_Txn)))</f>
        <v/>
      </c>
      <c r="M2266">
        <f>IF(OC_Pay=0,"",IF(INDEX('OneCause_Paste'!$A$2266:$AZ$2266,1,OC_Pay)="","",INDEX('OneCause_Paste'!$A$2266:$AZ$2266,1,OC_Pay)))</f>
        <v/>
      </c>
      <c r="N2266">
        <f>IF(I2266="","",IF(ISNUMBER(I2266),INT(I2266),IFERROR(INT(DATEVALUE(I2266)),IFERROR(INT(VALUE(I2266)),"bad"))))</f>
        <v/>
      </c>
      <c r="O2266">
        <f>IF(J2266="","",IF(ISNUMBER(J2266),ROUND(J2266,2),IFERROR(ROUND(VALUE(SUBSTITUTE(SUBSTITUTE(SUBSTITUTE(J2266,"$",""),",","")," ","")),2),"bad")))</f>
        <v/>
      </c>
      <c r="P2266">
        <f>IF(TRIM(K2266)="","",IFERROR(MATCH(LOWER(TRIM(K2266)),'Students'!$AH$2:$AH$701,0),IFERROR(MATCH(LOWER(TRIM(K2266)),'Students'!$AF$2:$AF$701,0),IFERROR(MATCH(LOWER(TRIM(K2266)),'Students'!$AG$2:$AG$701,0),""))))</f>
        <v/>
      </c>
      <c r="R2266">
        <f>IF(P2266="","",INDEX('Students'!$AD$2:$AD$701,P2266))</f>
        <v/>
      </c>
      <c r="S2266">
        <f>IF(H2266="OK",O2266,0)</f>
        <v/>
      </c>
      <c r="T2266">
        <f>IF(H2266="OK",N2266,"")</f>
        <v/>
      </c>
      <c r="U2266">
        <f>IF(OC_Donor=0,"",IF(INDEX('OneCause_Paste'!$A$2266:$AZ$2266,1,OC_Donor)="","",INDEX('OneCause_Paste'!$A$2266:$AZ$2266,1,OC_Donor)))</f>
        <v/>
      </c>
    </row>
    <row r="2267">
      <c r="A2267" s="62">
        <f>IF(H2267="","",IF(ISNUMBER(N2267),N2267,I2267))</f>
        <v/>
      </c>
      <c r="B2267">
        <f>IF(H2267="","",U2267)</f>
        <v/>
      </c>
      <c r="C2267">
        <f>IF(H2267="","",IF(P2267="",K2267,INDEX('Students'!$A$2:$A$701,P2267)))</f>
        <v/>
      </c>
      <c r="D2267">
        <f>IF(OR(H2267="",P2267=""),"",INDEX('Students'!$B$2:$B$701,P2267))</f>
        <v/>
      </c>
      <c r="E2267">
        <f>IF(OR(H2267="",P2267=""),"",INDEX('Students'!$C$2:$C$701,P2267))</f>
        <v/>
      </c>
      <c r="F2267" s="48">
        <f>IF(H2267="","",IF(ISNUMBER(O2267),O2267,J2267))</f>
        <v/>
      </c>
      <c r="G2267">
        <f>IF(H2267="","","OneCause")</f>
        <v/>
      </c>
      <c r="H2267">
        <f>IF(AND(I2267="",J2267="",K2267=""),"",IF(NOT(ISNUMBER(O2267)),"Bad amount",IF(O2267&lt;0,"Refund (not counted)",IF(O2267=0,"Zero amount",IF(NOT(ISNUMBER(N2267)),"Bad date",IF(P2267="","NAME NOT ON ROSTER",IF(L2267="","OK",IF(MATCH(L2267,$L$2:$L$3001,0)&lt;ROW()-1,"Duplicate (ignored)","OK"))))))))</f>
        <v/>
      </c>
      <c r="I2267">
        <f>IF(OC_Date=0,"",IF(INDEX('OneCause_Paste'!$A$2267:$AZ$2267,1,OC_Date)="","",INDEX('OneCause_Paste'!$A$2267:$AZ$2267,1,OC_Date)))</f>
        <v/>
      </c>
      <c r="J2267">
        <f>IF(OC_Amt=0,"",IF(INDEX('OneCause_Paste'!$A$2267:$AZ$2267,1,OC_Amt)="","",INDEX('OneCause_Paste'!$A$2267:$AZ$2267,1,OC_Amt)))</f>
        <v/>
      </c>
      <c r="K2267">
        <f>IF(OC_Name=0,"",IF(INDEX('OneCause_Paste'!$A$2267:$AZ$2267,1,OC_Name)="","",INDEX('OneCause_Paste'!$A$2267:$AZ$2267,1,OC_Name)))</f>
        <v/>
      </c>
      <c r="L2267">
        <f>IF(OC_Txn=0,"",IF(INDEX('OneCause_Paste'!$A$2267:$AZ$2267,1,OC_Txn)="","",INDEX('OneCause_Paste'!$A$2267:$AZ$2267,1,OC_Txn)))</f>
        <v/>
      </c>
      <c r="M2267">
        <f>IF(OC_Pay=0,"",IF(INDEX('OneCause_Paste'!$A$2267:$AZ$2267,1,OC_Pay)="","",INDEX('OneCause_Paste'!$A$2267:$AZ$2267,1,OC_Pay)))</f>
        <v/>
      </c>
      <c r="N2267">
        <f>IF(I2267="","",IF(ISNUMBER(I2267),INT(I2267),IFERROR(INT(DATEVALUE(I2267)),IFERROR(INT(VALUE(I2267)),"bad"))))</f>
        <v/>
      </c>
      <c r="O2267">
        <f>IF(J2267="","",IF(ISNUMBER(J2267),ROUND(J2267,2),IFERROR(ROUND(VALUE(SUBSTITUTE(SUBSTITUTE(SUBSTITUTE(J2267,"$",""),",","")," ","")),2),"bad")))</f>
        <v/>
      </c>
      <c r="P2267">
        <f>IF(TRIM(K2267)="","",IFERROR(MATCH(LOWER(TRIM(K2267)),'Students'!$AH$2:$AH$701,0),IFERROR(MATCH(LOWER(TRIM(K2267)),'Students'!$AF$2:$AF$701,0),IFERROR(MATCH(LOWER(TRIM(K2267)),'Students'!$AG$2:$AG$701,0),""))))</f>
        <v/>
      </c>
      <c r="R2267">
        <f>IF(P2267="","",INDEX('Students'!$AD$2:$AD$701,P2267))</f>
        <v/>
      </c>
      <c r="S2267">
        <f>IF(H2267="OK",O2267,0)</f>
        <v/>
      </c>
      <c r="T2267">
        <f>IF(H2267="OK",N2267,"")</f>
        <v/>
      </c>
      <c r="U2267">
        <f>IF(OC_Donor=0,"",IF(INDEX('OneCause_Paste'!$A$2267:$AZ$2267,1,OC_Donor)="","",INDEX('OneCause_Paste'!$A$2267:$AZ$2267,1,OC_Donor)))</f>
        <v/>
      </c>
    </row>
    <row r="2268">
      <c r="A2268" s="62">
        <f>IF(H2268="","",IF(ISNUMBER(N2268),N2268,I2268))</f>
        <v/>
      </c>
      <c r="B2268">
        <f>IF(H2268="","",U2268)</f>
        <v/>
      </c>
      <c r="C2268">
        <f>IF(H2268="","",IF(P2268="",K2268,INDEX('Students'!$A$2:$A$701,P2268)))</f>
        <v/>
      </c>
      <c r="D2268">
        <f>IF(OR(H2268="",P2268=""),"",INDEX('Students'!$B$2:$B$701,P2268))</f>
        <v/>
      </c>
      <c r="E2268">
        <f>IF(OR(H2268="",P2268=""),"",INDEX('Students'!$C$2:$C$701,P2268))</f>
        <v/>
      </c>
      <c r="F2268" s="48">
        <f>IF(H2268="","",IF(ISNUMBER(O2268),O2268,J2268))</f>
        <v/>
      </c>
      <c r="G2268">
        <f>IF(H2268="","","OneCause")</f>
        <v/>
      </c>
      <c r="H2268">
        <f>IF(AND(I2268="",J2268="",K2268=""),"",IF(NOT(ISNUMBER(O2268)),"Bad amount",IF(O2268&lt;0,"Refund (not counted)",IF(O2268=0,"Zero amount",IF(NOT(ISNUMBER(N2268)),"Bad date",IF(P2268="","NAME NOT ON ROSTER",IF(L2268="","OK",IF(MATCH(L2268,$L$2:$L$3001,0)&lt;ROW()-1,"Duplicate (ignored)","OK"))))))))</f>
        <v/>
      </c>
      <c r="I2268">
        <f>IF(OC_Date=0,"",IF(INDEX('OneCause_Paste'!$A$2268:$AZ$2268,1,OC_Date)="","",INDEX('OneCause_Paste'!$A$2268:$AZ$2268,1,OC_Date)))</f>
        <v/>
      </c>
      <c r="J2268">
        <f>IF(OC_Amt=0,"",IF(INDEX('OneCause_Paste'!$A$2268:$AZ$2268,1,OC_Amt)="","",INDEX('OneCause_Paste'!$A$2268:$AZ$2268,1,OC_Amt)))</f>
        <v/>
      </c>
      <c r="K2268">
        <f>IF(OC_Name=0,"",IF(INDEX('OneCause_Paste'!$A$2268:$AZ$2268,1,OC_Name)="","",INDEX('OneCause_Paste'!$A$2268:$AZ$2268,1,OC_Name)))</f>
        <v/>
      </c>
      <c r="L2268">
        <f>IF(OC_Txn=0,"",IF(INDEX('OneCause_Paste'!$A$2268:$AZ$2268,1,OC_Txn)="","",INDEX('OneCause_Paste'!$A$2268:$AZ$2268,1,OC_Txn)))</f>
        <v/>
      </c>
      <c r="M2268">
        <f>IF(OC_Pay=0,"",IF(INDEX('OneCause_Paste'!$A$2268:$AZ$2268,1,OC_Pay)="","",INDEX('OneCause_Paste'!$A$2268:$AZ$2268,1,OC_Pay)))</f>
        <v/>
      </c>
      <c r="N2268">
        <f>IF(I2268="","",IF(ISNUMBER(I2268),INT(I2268),IFERROR(INT(DATEVALUE(I2268)),IFERROR(INT(VALUE(I2268)),"bad"))))</f>
        <v/>
      </c>
      <c r="O2268">
        <f>IF(J2268="","",IF(ISNUMBER(J2268),ROUND(J2268,2),IFERROR(ROUND(VALUE(SUBSTITUTE(SUBSTITUTE(SUBSTITUTE(J2268,"$",""),",","")," ","")),2),"bad")))</f>
        <v/>
      </c>
      <c r="P2268">
        <f>IF(TRIM(K2268)="","",IFERROR(MATCH(LOWER(TRIM(K2268)),'Students'!$AH$2:$AH$701,0),IFERROR(MATCH(LOWER(TRIM(K2268)),'Students'!$AF$2:$AF$701,0),IFERROR(MATCH(LOWER(TRIM(K2268)),'Students'!$AG$2:$AG$701,0),""))))</f>
        <v/>
      </c>
      <c r="R2268">
        <f>IF(P2268="","",INDEX('Students'!$AD$2:$AD$701,P2268))</f>
        <v/>
      </c>
      <c r="S2268">
        <f>IF(H2268="OK",O2268,0)</f>
        <v/>
      </c>
      <c r="T2268">
        <f>IF(H2268="OK",N2268,"")</f>
        <v/>
      </c>
      <c r="U2268">
        <f>IF(OC_Donor=0,"",IF(INDEX('OneCause_Paste'!$A$2268:$AZ$2268,1,OC_Donor)="","",INDEX('OneCause_Paste'!$A$2268:$AZ$2268,1,OC_Donor)))</f>
        <v/>
      </c>
    </row>
    <row r="2269">
      <c r="A2269" s="62">
        <f>IF(H2269="","",IF(ISNUMBER(N2269),N2269,I2269))</f>
        <v/>
      </c>
      <c r="B2269">
        <f>IF(H2269="","",U2269)</f>
        <v/>
      </c>
      <c r="C2269">
        <f>IF(H2269="","",IF(P2269="",K2269,INDEX('Students'!$A$2:$A$701,P2269)))</f>
        <v/>
      </c>
      <c r="D2269">
        <f>IF(OR(H2269="",P2269=""),"",INDEX('Students'!$B$2:$B$701,P2269))</f>
        <v/>
      </c>
      <c r="E2269">
        <f>IF(OR(H2269="",P2269=""),"",INDEX('Students'!$C$2:$C$701,P2269))</f>
        <v/>
      </c>
      <c r="F2269" s="48">
        <f>IF(H2269="","",IF(ISNUMBER(O2269),O2269,J2269))</f>
        <v/>
      </c>
      <c r="G2269">
        <f>IF(H2269="","","OneCause")</f>
        <v/>
      </c>
      <c r="H2269">
        <f>IF(AND(I2269="",J2269="",K2269=""),"",IF(NOT(ISNUMBER(O2269)),"Bad amount",IF(O2269&lt;0,"Refund (not counted)",IF(O2269=0,"Zero amount",IF(NOT(ISNUMBER(N2269)),"Bad date",IF(P2269="","NAME NOT ON ROSTER",IF(L2269="","OK",IF(MATCH(L2269,$L$2:$L$3001,0)&lt;ROW()-1,"Duplicate (ignored)","OK"))))))))</f>
        <v/>
      </c>
      <c r="I2269">
        <f>IF(OC_Date=0,"",IF(INDEX('OneCause_Paste'!$A$2269:$AZ$2269,1,OC_Date)="","",INDEX('OneCause_Paste'!$A$2269:$AZ$2269,1,OC_Date)))</f>
        <v/>
      </c>
      <c r="J2269">
        <f>IF(OC_Amt=0,"",IF(INDEX('OneCause_Paste'!$A$2269:$AZ$2269,1,OC_Amt)="","",INDEX('OneCause_Paste'!$A$2269:$AZ$2269,1,OC_Amt)))</f>
        <v/>
      </c>
      <c r="K2269">
        <f>IF(OC_Name=0,"",IF(INDEX('OneCause_Paste'!$A$2269:$AZ$2269,1,OC_Name)="","",INDEX('OneCause_Paste'!$A$2269:$AZ$2269,1,OC_Name)))</f>
        <v/>
      </c>
      <c r="L2269">
        <f>IF(OC_Txn=0,"",IF(INDEX('OneCause_Paste'!$A$2269:$AZ$2269,1,OC_Txn)="","",INDEX('OneCause_Paste'!$A$2269:$AZ$2269,1,OC_Txn)))</f>
        <v/>
      </c>
      <c r="M2269">
        <f>IF(OC_Pay=0,"",IF(INDEX('OneCause_Paste'!$A$2269:$AZ$2269,1,OC_Pay)="","",INDEX('OneCause_Paste'!$A$2269:$AZ$2269,1,OC_Pay)))</f>
        <v/>
      </c>
      <c r="N2269">
        <f>IF(I2269="","",IF(ISNUMBER(I2269),INT(I2269),IFERROR(INT(DATEVALUE(I2269)),IFERROR(INT(VALUE(I2269)),"bad"))))</f>
        <v/>
      </c>
      <c r="O2269">
        <f>IF(J2269="","",IF(ISNUMBER(J2269),ROUND(J2269,2),IFERROR(ROUND(VALUE(SUBSTITUTE(SUBSTITUTE(SUBSTITUTE(J2269,"$",""),",","")," ","")),2),"bad")))</f>
        <v/>
      </c>
      <c r="P2269">
        <f>IF(TRIM(K2269)="","",IFERROR(MATCH(LOWER(TRIM(K2269)),'Students'!$AH$2:$AH$701,0),IFERROR(MATCH(LOWER(TRIM(K2269)),'Students'!$AF$2:$AF$701,0),IFERROR(MATCH(LOWER(TRIM(K2269)),'Students'!$AG$2:$AG$701,0),""))))</f>
        <v/>
      </c>
      <c r="R2269">
        <f>IF(P2269="","",INDEX('Students'!$AD$2:$AD$701,P2269))</f>
        <v/>
      </c>
      <c r="S2269">
        <f>IF(H2269="OK",O2269,0)</f>
        <v/>
      </c>
      <c r="T2269">
        <f>IF(H2269="OK",N2269,"")</f>
        <v/>
      </c>
      <c r="U2269">
        <f>IF(OC_Donor=0,"",IF(INDEX('OneCause_Paste'!$A$2269:$AZ$2269,1,OC_Donor)="","",INDEX('OneCause_Paste'!$A$2269:$AZ$2269,1,OC_Donor)))</f>
        <v/>
      </c>
    </row>
    <row r="2270">
      <c r="A2270" s="62">
        <f>IF(H2270="","",IF(ISNUMBER(N2270),N2270,I2270))</f>
        <v/>
      </c>
      <c r="B2270">
        <f>IF(H2270="","",U2270)</f>
        <v/>
      </c>
      <c r="C2270">
        <f>IF(H2270="","",IF(P2270="",K2270,INDEX('Students'!$A$2:$A$701,P2270)))</f>
        <v/>
      </c>
      <c r="D2270">
        <f>IF(OR(H2270="",P2270=""),"",INDEX('Students'!$B$2:$B$701,P2270))</f>
        <v/>
      </c>
      <c r="E2270">
        <f>IF(OR(H2270="",P2270=""),"",INDEX('Students'!$C$2:$C$701,P2270))</f>
        <v/>
      </c>
      <c r="F2270" s="48">
        <f>IF(H2270="","",IF(ISNUMBER(O2270),O2270,J2270))</f>
        <v/>
      </c>
      <c r="G2270">
        <f>IF(H2270="","","OneCause")</f>
        <v/>
      </c>
      <c r="H2270">
        <f>IF(AND(I2270="",J2270="",K2270=""),"",IF(NOT(ISNUMBER(O2270)),"Bad amount",IF(O2270&lt;0,"Refund (not counted)",IF(O2270=0,"Zero amount",IF(NOT(ISNUMBER(N2270)),"Bad date",IF(P2270="","NAME NOT ON ROSTER",IF(L2270="","OK",IF(MATCH(L2270,$L$2:$L$3001,0)&lt;ROW()-1,"Duplicate (ignored)","OK"))))))))</f>
        <v/>
      </c>
      <c r="I2270">
        <f>IF(OC_Date=0,"",IF(INDEX('OneCause_Paste'!$A$2270:$AZ$2270,1,OC_Date)="","",INDEX('OneCause_Paste'!$A$2270:$AZ$2270,1,OC_Date)))</f>
        <v/>
      </c>
      <c r="J2270">
        <f>IF(OC_Amt=0,"",IF(INDEX('OneCause_Paste'!$A$2270:$AZ$2270,1,OC_Amt)="","",INDEX('OneCause_Paste'!$A$2270:$AZ$2270,1,OC_Amt)))</f>
        <v/>
      </c>
      <c r="K2270">
        <f>IF(OC_Name=0,"",IF(INDEX('OneCause_Paste'!$A$2270:$AZ$2270,1,OC_Name)="","",INDEX('OneCause_Paste'!$A$2270:$AZ$2270,1,OC_Name)))</f>
        <v/>
      </c>
      <c r="L2270">
        <f>IF(OC_Txn=0,"",IF(INDEX('OneCause_Paste'!$A$2270:$AZ$2270,1,OC_Txn)="","",INDEX('OneCause_Paste'!$A$2270:$AZ$2270,1,OC_Txn)))</f>
        <v/>
      </c>
      <c r="M2270">
        <f>IF(OC_Pay=0,"",IF(INDEX('OneCause_Paste'!$A$2270:$AZ$2270,1,OC_Pay)="","",INDEX('OneCause_Paste'!$A$2270:$AZ$2270,1,OC_Pay)))</f>
        <v/>
      </c>
      <c r="N2270">
        <f>IF(I2270="","",IF(ISNUMBER(I2270),INT(I2270),IFERROR(INT(DATEVALUE(I2270)),IFERROR(INT(VALUE(I2270)),"bad"))))</f>
        <v/>
      </c>
      <c r="O2270">
        <f>IF(J2270="","",IF(ISNUMBER(J2270),ROUND(J2270,2),IFERROR(ROUND(VALUE(SUBSTITUTE(SUBSTITUTE(SUBSTITUTE(J2270,"$",""),",","")," ","")),2),"bad")))</f>
        <v/>
      </c>
      <c r="P2270">
        <f>IF(TRIM(K2270)="","",IFERROR(MATCH(LOWER(TRIM(K2270)),'Students'!$AH$2:$AH$701,0),IFERROR(MATCH(LOWER(TRIM(K2270)),'Students'!$AF$2:$AF$701,0),IFERROR(MATCH(LOWER(TRIM(K2270)),'Students'!$AG$2:$AG$701,0),""))))</f>
        <v/>
      </c>
      <c r="R2270">
        <f>IF(P2270="","",INDEX('Students'!$AD$2:$AD$701,P2270))</f>
        <v/>
      </c>
      <c r="S2270">
        <f>IF(H2270="OK",O2270,0)</f>
        <v/>
      </c>
      <c r="T2270">
        <f>IF(H2270="OK",N2270,"")</f>
        <v/>
      </c>
      <c r="U2270">
        <f>IF(OC_Donor=0,"",IF(INDEX('OneCause_Paste'!$A$2270:$AZ$2270,1,OC_Donor)="","",INDEX('OneCause_Paste'!$A$2270:$AZ$2270,1,OC_Donor)))</f>
        <v/>
      </c>
    </row>
    <row r="2271">
      <c r="A2271" s="62">
        <f>IF(H2271="","",IF(ISNUMBER(N2271),N2271,I2271))</f>
        <v/>
      </c>
      <c r="B2271">
        <f>IF(H2271="","",U2271)</f>
        <v/>
      </c>
      <c r="C2271">
        <f>IF(H2271="","",IF(P2271="",K2271,INDEX('Students'!$A$2:$A$701,P2271)))</f>
        <v/>
      </c>
      <c r="D2271">
        <f>IF(OR(H2271="",P2271=""),"",INDEX('Students'!$B$2:$B$701,P2271))</f>
        <v/>
      </c>
      <c r="E2271">
        <f>IF(OR(H2271="",P2271=""),"",INDEX('Students'!$C$2:$C$701,P2271))</f>
        <v/>
      </c>
      <c r="F2271" s="48">
        <f>IF(H2271="","",IF(ISNUMBER(O2271),O2271,J2271))</f>
        <v/>
      </c>
      <c r="G2271">
        <f>IF(H2271="","","OneCause")</f>
        <v/>
      </c>
      <c r="H2271">
        <f>IF(AND(I2271="",J2271="",K2271=""),"",IF(NOT(ISNUMBER(O2271)),"Bad amount",IF(O2271&lt;0,"Refund (not counted)",IF(O2271=0,"Zero amount",IF(NOT(ISNUMBER(N2271)),"Bad date",IF(P2271="","NAME NOT ON ROSTER",IF(L2271="","OK",IF(MATCH(L2271,$L$2:$L$3001,0)&lt;ROW()-1,"Duplicate (ignored)","OK"))))))))</f>
        <v/>
      </c>
      <c r="I2271">
        <f>IF(OC_Date=0,"",IF(INDEX('OneCause_Paste'!$A$2271:$AZ$2271,1,OC_Date)="","",INDEX('OneCause_Paste'!$A$2271:$AZ$2271,1,OC_Date)))</f>
        <v/>
      </c>
      <c r="J2271">
        <f>IF(OC_Amt=0,"",IF(INDEX('OneCause_Paste'!$A$2271:$AZ$2271,1,OC_Amt)="","",INDEX('OneCause_Paste'!$A$2271:$AZ$2271,1,OC_Amt)))</f>
        <v/>
      </c>
      <c r="K2271">
        <f>IF(OC_Name=0,"",IF(INDEX('OneCause_Paste'!$A$2271:$AZ$2271,1,OC_Name)="","",INDEX('OneCause_Paste'!$A$2271:$AZ$2271,1,OC_Name)))</f>
        <v/>
      </c>
      <c r="L2271">
        <f>IF(OC_Txn=0,"",IF(INDEX('OneCause_Paste'!$A$2271:$AZ$2271,1,OC_Txn)="","",INDEX('OneCause_Paste'!$A$2271:$AZ$2271,1,OC_Txn)))</f>
        <v/>
      </c>
      <c r="M2271">
        <f>IF(OC_Pay=0,"",IF(INDEX('OneCause_Paste'!$A$2271:$AZ$2271,1,OC_Pay)="","",INDEX('OneCause_Paste'!$A$2271:$AZ$2271,1,OC_Pay)))</f>
        <v/>
      </c>
      <c r="N2271">
        <f>IF(I2271="","",IF(ISNUMBER(I2271),INT(I2271),IFERROR(INT(DATEVALUE(I2271)),IFERROR(INT(VALUE(I2271)),"bad"))))</f>
        <v/>
      </c>
      <c r="O2271">
        <f>IF(J2271="","",IF(ISNUMBER(J2271),ROUND(J2271,2),IFERROR(ROUND(VALUE(SUBSTITUTE(SUBSTITUTE(SUBSTITUTE(J2271,"$",""),",","")," ","")),2),"bad")))</f>
        <v/>
      </c>
      <c r="P2271">
        <f>IF(TRIM(K2271)="","",IFERROR(MATCH(LOWER(TRIM(K2271)),'Students'!$AH$2:$AH$701,0),IFERROR(MATCH(LOWER(TRIM(K2271)),'Students'!$AF$2:$AF$701,0),IFERROR(MATCH(LOWER(TRIM(K2271)),'Students'!$AG$2:$AG$701,0),""))))</f>
        <v/>
      </c>
      <c r="R2271">
        <f>IF(P2271="","",INDEX('Students'!$AD$2:$AD$701,P2271))</f>
        <v/>
      </c>
      <c r="S2271">
        <f>IF(H2271="OK",O2271,0)</f>
        <v/>
      </c>
      <c r="T2271">
        <f>IF(H2271="OK",N2271,"")</f>
        <v/>
      </c>
      <c r="U2271">
        <f>IF(OC_Donor=0,"",IF(INDEX('OneCause_Paste'!$A$2271:$AZ$2271,1,OC_Donor)="","",INDEX('OneCause_Paste'!$A$2271:$AZ$2271,1,OC_Donor)))</f>
        <v/>
      </c>
    </row>
    <row r="2272">
      <c r="A2272" s="62">
        <f>IF(H2272="","",IF(ISNUMBER(N2272),N2272,I2272))</f>
        <v/>
      </c>
      <c r="B2272">
        <f>IF(H2272="","",U2272)</f>
        <v/>
      </c>
      <c r="C2272">
        <f>IF(H2272="","",IF(P2272="",K2272,INDEX('Students'!$A$2:$A$701,P2272)))</f>
        <v/>
      </c>
      <c r="D2272">
        <f>IF(OR(H2272="",P2272=""),"",INDEX('Students'!$B$2:$B$701,P2272))</f>
        <v/>
      </c>
      <c r="E2272">
        <f>IF(OR(H2272="",P2272=""),"",INDEX('Students'!$C$2:$C$701,P2272))</f>
        <v/>
      </c>
      <c r="F2272" s="48">
        <f>IF(H2272="","",IF(ISNUMBER(O2272),O2272,J2272))</f>
        <v/>
      </c>
      <c r="G2272">
        <f>IF(H2272="","","OneCause")</f>
        <v/>
      </c>
      <c r="H2272">
        <f>IF(AND(I2272="",J2272="",K2272=""),"",IF(NOT(ISNUMBER(O2272)),"Bad amount",IF(O2272&lt;0,"Refund (not counted)",IF(O2272=0,"Zero amount",IF(NOT(ISNUMBER(N2272)),"Bad date",IF(P2272="","NAME NOT ON ROSTER",IF(L2272="","OK",IF(MATCH(L2272,$L$2:$L$3001,0)&lt;ROW()-1,"Duplicate (ignored)","OK"))))))))</f>
        <v/>
      </c>
      <c r="I2272">
        <f>IF(OC_Date=0,"",IF(INDEX('OneCause_Paste'!$A$2272:$AZ$2272,1,OC_Date)="","",INDEX('OneCause_Paste'!$A$2272:$AZ$2272,1,OC_Date)))</f>
        <v/>
      </c>
      <c r="J2272">
        <f>IF(OC_Amt=0,"",IF(INDEX('OneCause_Paste'!$A$2272:$AZ$2272,1,OC_Amt)="","",INDEX('OneCause_Paste'!$A$2272:$AZ$2272,1,OC_Amt)))</f>
        <v/>
      </c>
      <c r="K2272">
        <f>IF(OC_Name=0,"",IF(INDEX('OneCause_Paste'!$A$2272:$AZ$2272,1,OC_Name)="","",INDEX('OneCause_Paste'!$A$2272:$AZ$2272,1,OC_Name)))</f>
        <v/>
      </c>
      <c r="L2272">
        <f>IF(OC_Txn=0,"",IF(INDEX('OneCause_Paste'!$A$2272:$AZ$2272,1,OC_Txn)="","",INDEX('OneCause_Paste'!$A$2272:$AZ$2272,1,OC_Txn)))</f>
        <v/>
      </c>
      <c r="M2272">
        <f>IF(OC_Pay=0,"",IF(INDEX('OneCause_Paste'!$A$2272:$AZ$2272,1,OC_Pay)="","",INDEX('OneCause_Paste'!$A$2272:$AZ$2272,1,OC_Pay)))</f>
        <v/>
      </c>
      <c r="N2272">
        <f>IF(I2272="","",IF(ISNUMBER(I2272),INT(I2272),IFERROR(INT(DATEVALUE(I2272)),IFERROR(INT(VALUE(I2272)),"bad"))))</f>
        <v/>
      </c>
      <c r="O2272">
        <f>IF(J2272="","",IF(ISNUMBER(J2272),ROUND(J2272,2),IFERROR(ROUND(VALUE(SUBSTITUTE(SUBSTITUTE(SUBSTITUTE(J2272,"$",""),",","")," ","")),2),"bad")))</f>
        <v/>
      </c>
      <c r="P2272">
        <f>IF(TRIM(K2272)="","",IFERROR(MATCH(LOWER(TRIM(K2272)),'Students'!$AH$2:$AH$701,0),IFERROR(MATCH(LOWER(TRIM(K2272)),'Students'!$AF$2:$AF$701,0),IFERROR(MATCH(LOWER(TRIM(K2272)),'Students'!$AG$2:$AG$701,0),""))))</f>
        <v/>
      </c>
      <c r="R2272">
        <f>IF(P2272="","",INDEX('Students'!$AD$2:$AD$701,P2272))</f>
        <v/>
      </c>
      <c r="S2272">
        <f>IF(H2272="OK",O2272,0)</f>
        <v/>
      </c>
      <c r="T2272">
        <f>IF(H2272="OK",N2272,"")</f>
        <v/>
      </c>
      <c r="U2272">
        <f>IF(OC_Donor=0,"",IF(INDEX('OneCause_Paste'!$A$2272:$AZ$2272,1,OC_Donor)="","",INDEX('OneCause_Paste'!$A$2272:$AZ$2272,1,OC_Donor)))</f>
        <v/>
      </c>
    </row>
    <row r="2273">
      <c r="A2273" s="62">
        <f>IF(H2273="","",IF(ISNUMBER(N2273),N2273,I2273))</f>
        <v/>
      </c>
      <c r="B2273">
        <f>IF(H2273="","",U2273)</f>
        <v/>
      </c>
      <c r="C2273">
        <f>IF(H2273="","",IF(P2273="",K2273,INDEX('Students'!$A$2:$A$701,P2273)))</f>
        <v/>
      </c>
      <c r="D2273">
        <f>IF(OR(H2273="",P2273=""),"",INDEX('Students'!$B$2:$B$701,P2273))</f>
        <v/>
      </c>
      <c r="E2273">
        <f>IF(OR(H2273="",P2273=""),"",INDEX('Students'!$C$2:$C$701,P2273))</f>
        <v/>
      </c>
      <c r="F2273" s="48">
        <f>IF(H2273="","",IF(ISNUMBER(O2273),O2273,J2273))</f>
        <v/>
      </c>
      <c r="G2273">
        <f>IF(H2273="","","OneCause")</f>
        <v/>
      </c>
      <c r="H2273">
        <f>IF(AND(I2273="",J2273="",K2273=""),"",IF(NOT(ISNUMBER(O2273)),"Bad amount",IF(O2273&lt;0,"Refund (not counted)",IF(O2273=0,"Zero amount",IF(NOT(ISNUMBER(N2273)),"Bad date",IF(P2273="","NAME NOT ON ROSTER",IF(L2273="","OK",IF(MATCH(L2273,$L$2:$L$3001,0)&lt;ROW()-1,"Duplicate (ignored)","OK"))))))))</f>
        <v/>
      </c>
      <c r="I2273">
        <f>IF(OC_Date=0,"",IF(INDEX('OneCause_Paste'!$A$2273:$AZ$2273,1,OC_Date)="","",INDEX('OneCause_Paste'!$A$2273:$AZ$2273,1,OC_Date)))</f>
        <v/>
      </c>
      <c r="J2273">
        <f>IF(OC_Amt=0,"",IF(INDEX('OneCause_Paste'!$A$2273:$AZ$2273,1,OC_Amt)="","",INDEX('OneCause_Paste'!$A$2273:$AZ$2273,1,OC_Amt)))</f>
        <v/>
      </c>
      <c r="K2273">
        <f>IF(OC_Name=0,"",IF(INDEX('OneCause_Paste'!$A$2273:$AZ$2273,1,OC_Name)="","",INDEX('OneCause_Paste'!$A$2273:$AZ$2273,1,OC_Name)))</f>
        <v/>
      </c>
      <c r="L2273">
        <f>IF(OC_Txn=0,"",IF(INDEX('OneCause_Paste'!$A$2273:$AZ$2273,1,OC_Txn)="","",INDEX('OneCause_Paste'!$A$2273:$AZ$2273,1,OC_Txn)))</f>
        <v/>
      </c>
      <c r="M2273">
        <f>IF(OC_Pay=0,"",IF(INDEX('OneCause_Paste'!$A$2273:$AZ$2273,1,OC_Pay)="","",INDEX('OneCause_Paste'!$A$2273:$AZ$2273,1,OC_Pay)))</f>
        <v/>
      </c>
      <c r="N2273">
        <f>IF(I2273="","",IF(ISNUMBER(I2273),INT(I2273),IFERROR(INT(DATEVALUE(I2273)),IFERROR(INT(VALUE(I2273)),"bad"))))</f>
        <v/>
      </c>
      <c r="O2273">
        <f>IF(J2273="","",IF(ISNUMBER(J2273),ROUND(J2273,2),IFERROR(ROUND(VALUE(SUBSTITUTE(SUBSTITUTE(SUBSTITUTE(J2273,"$",""),",","")," ","")),2),"bad")))</f>
        <v/>
      </c>
      <c r="P2273">
        <f>IF(TRIM(K2273)="","",IFERROR(MATCH(LOWER(TRIM(K2273)),'Students'!$AH$2:$AH$701,0),IFERROR(MATCH(LOWER(TRIM(K2273)),'Students'!$AF$2:$AF$701,0),IFERROR(MATCH(LOWER(TRIM(K2273)),'Students'!$AG$2:$AG$701,0),""))))</f>
        <v/>
      </c>
      <c r="R2273">
        <f>IF(P2273="","",INDEX('Students'!$AD$2:$AD$701,P2273))</f>
        <v/>
      </c>
      <c r="S2273">
        <f>IF(H2273="OK",O2273,0)</f>
        <v/>
      </c>
      <c r="T2273">
        <f>IF(H2273="OK",N2273,"")</f>
        <v/>
      </c>
      <c r="U2273">
        <f>IF(OC_Donor=0,"",IF(INDEX('OneCause_Paste'!$A$2273:$AZ$2273,1,OC_Donor)="","",INDEX('OneCause_Paste'!$A$2273:$AZ$2273,1,OC_Donor)))</f>
        <v/>
      </c>
    </row>
    <row r="2274">
      <c r="A2274" s="62">
        <f>IF(H2274="","",IF(ISNUMBER(N2274),N2274,I2274))</f>
        <v/>
      </c>
      <c r="B2274">
        <f>IF(H2274="","",U2274)</f>
        <v/>
      </c>
      <c r="C2274">
        <f>IF(H2274="","",IF(P2274="",K2274,INDEX('Students'!$A$2:$A$701,P2274)))</f>
        <v/>
      </c>
      <c r="D2274">
        <f>IF(OR(H2274="",P2274=""),"",INDEX('Students'!$B$2:$B$701,P2274))</f>
        <v/>
      </c>
      <c r="E2274">
        <f>IF(OR(H2274="",P2274=""),"",INDEX('Students'!$C$2:$C$701,P2274))</f>
        <v/>
      </c>
      <c r="F2274" s="48">
        <f>IF(H2274="","",IF(ISNUMBER(O2274),O2274,J2274))</f>
        <v/>
      </c>
      <c r="G2274">
        <f>IF(H2274="","","OneCause")</f>
        <v/>
      </c>
      <c r="H2274">
        <f>IF(AND(I2274="",J2274="",K2274=""),"",IF(NOT(ISNUMBER(O2274)),"Bad amount",IF(O2274&lt;0,"Refund (not counted)",IF(O2274=0,"Zero amount",IF(NOT(ISNUMBER(N2274)),"Bad date",IF(P2274="","NAME NOT ON ROSTER",IF(L2274="","OK",IF(MATCH(L2274,$L$2:$L$3001,0)&lt;ROW()-1,"Duplicate (ignored)","OK"))))))))</f>
        <v/>
      </c>
      <c r="I2274">
        <f>IF(OC_Date=0,"",IF(INDEX('OneCause_Paste'!$A$2274:$AZ$2274,1,OC_Date)="","",INDEX('OneCause_Paste'!$A$2274:$AZ$2274,1,OC_Date)))</f>
        <v/>
      </c>
      <c r="J2274">
        <f>IF(OC_Amt=0,"",IF(INDEX('OneCause_Paste'!$A$2274:$AZ$2274,1,OC_Amt)="","",INDEX('OneCause_Paste'!$A$2274:$AZ$2274,1,OC_Amt)))</f>
        <v/>
      </c>
      <c r="K2274">
        <f>IF(OC_Name=0,"",IF(INDEX('OneCause_Paste'!$A$2274:$AZ$2274,1,OC_Name)="","",INDEX('OneCause_Paste'!$A$2274:$AZ$2274,1,OC_Name)))</f>
        <v/>
      </c>
      <c r="L2274">
        <f>IF(OC_Txn=0,"",IF(INDEX('OneCause_Paste'!$A$2274:$AZ$2274,1,OC_Txn)="","",INDEX('OneCause_Paste'!$A$2274:$AZ$2274,1,OC_Txn)))</f>
        <v/>
      </c>
      <c r="M2274">
        <f>IF(OC_Pay=0,"",IF(INDEX('OneCause_Paste'!$A$2274:$AZ$2274,1,OC_Pay)="","",INDEX('OneCause_Paste'!$A$2274:$AZ$2274,1,OC_Pay)))</f>
        <v/>
      </c>
      <c r="N2274">
        <f>IF(I2274="","",IF(ISNUMBER(I2274),INT(I2274),IFERROR(INT(DATEVALUE(I2274)),IFERROR(INT(VALUE(I2274)),"bad"))))</f>
        <v/>
      </c>
      <c r="O2274">
        <f>IF(J2274="","",IF(ISNUMBER(J2274),ROUND(J2274,2),IFERROR(ROUND(VALUE(SUBSTITUTE(SUBSTITUTE(SUBSTITUTE(J2274,"$",""),",","")," ","")),2),"bad")))</f>
        <v/>
      </c>
      <c r="P2274">
        <f>IF(TRIM(K2274)="","",IFERROR(MATCH(LOWER(TRIM(K2274)),'Students'!$AH$2:$AH$701,0),IFERROR(MATCH(LOWER(TRIM(K2274)),'Students'!$AF$2:$AF$701,0),IFERROR(MATCH(LOWER(TRIM(K2274)),'Students'!$AG$2:$AG$701,0),""))))</f>
        <v/>
      </c>
      <c r="R2274">
        <f>IF(P2274="","",INDEX('Students'!$AD$2:$AD$701,P2274))</f>
        <v/>
      </c>
      <c r="S2274">
        <f>IF(H2274="OK",O2274,0)</f>
        <v/>
      </c>
      <c r="T2274">
        <f>IF(H2274="OK",N2274,"")</f>
        <v/>
      </c>
      <c r="U2274">
        <f>IF(OC_Donor=0,"",IF(INDEX('OneCause_Paste'!$A$2274:$AZ$2274,1,OC_Donor)="","",INDEX('OneCause_Paste'!$A$2274:$AZ$2274,1,OC_Donor)))</f>
        <v/>
      </c>
    </row>
    <row r="2275">
      <c r="A2275" s="62">
        <f>IF(H2275="","",IF(ISNUMBER(N2275),N2275,I2275))</f>
        <v/>
      </c>
      <c r="B2275">
        <f>IF(H2275="","",U2275)</f>
        <v/>
      </c>
      <c r="C2275">
        <f>IF(H2275="","",IF(P2275="",K2275,INDEX('Students'!$A$2:$A$701,P2275)))</f>
        <v/>
      </c>
      <c r="D2275">
        <f>IF(OR(H2275="",P2275=""),"",INDEX('Students'!$B$2:$B$701,P2275))</f>
        <v/>
      </c>
      <c r="E2275">
        <f>IF(OR(H2275="",P2275=""),"",INDEX('Students'!$C$2:$C$701,P2275))</f>
        <v/>
      </c>
      <c r="F2275" s="48">
        <f>IF(H2275="","",IF(ISNUMBER(O2275),O2275,J2275))</f>
        <v/>
      </c>
      <c r="G2275">
        <f>IF(H2275="","","OneCause")</f>
        <v/>
      </c>
      <c r="H2275">
        <f>IF(AND(I2275="",J2275="",K2275=""),"",IF(NOT(ISNUMBER(O2275)),"Bad amount",IF(O2275&lt;0,"Refund (not counted)",IF(O2275=0,"Zero amount",IF(NOT(ISNUMBER(N2275)),"Bad date",IF(P2275="","NAME NOT ON ROSTER",IF(L2275="","OK",IF(MATCH(L2275,$L$2:$L$3001,0)&lt;ROW()-1,"Duplicate (ignored)","OK"))))))))</f>
        <v/>
      </c>
      <c r="I2275">
        <f>IF(OC_Date=0,"",IF(INDEX('OneCause_Paste'!$A$2275:$AZ$2275,1,OC_Date)="","",INDEX('OneCause_Paste'!$A$2275:$AZ$2275,1,OC_Date)))</f>
        <v/>
      </c>
      <c r="J2275">
        <f>IF(OC_Amt=0,"",IF(INDEX('OneCause_Paste'!$A$2275:$AZ$2275,1,OC_Amt)="","",INDEX('OneCause_Paste'!$A$2275:$AZ$2275,1,OC_Amt)))</f>
        <v/>
      </c>
      <c r="K2275">
        <f>IF(OC_Name=0,"",IF(INDEX('OneCause_Paste'!$A$2275:$AZ$2275,1,OC_Name)="","",INDEX('OneCause_Paste'!$A$2275:$AZ$2275,1,OC_Name)))</f>
        <v/>
      </c>
      <c r="L2275">
        <f>IF(OC_Txn=0,"",IF(INDEX('OneCause_Paste'!$A$2275:$AZ$2275,1,OC_Txn)="","",INDEX('OneCause_Paste'!$A$2275:$AZ$2275,1,OC_Txn)))</f>
        <v/>
      </c>
      <c r="M2275">
        <f>IF(OC_Pay=0,"",IF(INDEX('OneCause_Paste'!$A$2275:$AZ$2275,1,OC_Pay)="","",INDEX('OneCause_Paste'!$A$2275:$AZ$2275,1,OC_Pay)))</f>
        <v/>
      </c>
      <c r="N2275">
        <f>IF(I2275="","",IF(ISNUMBER(I2275),INT(I2275),IFERROR(INT(DATEVALUE(I2275)),IFERROR(INT(VALUE(I2275)),"bad"))))</f>
        <v/>
      </c>
      <c r="O2275">
        <f>IF(J2275="","",IF(ISNUMBER(J2275),ROUND(J2275,2),IFERROR(ROUND(VALUE(SUBSTITUTE(SUBSTITUTE(SUBSTITUTE(J2275,"$",""),",","")," ","")),2),"bad")))</f>
        <v/>
      </c>
      <c r="P2275">
        <f>IF(TRIM(K2275)="","",IFERROR(MATCH(LOWER(TRIM(K2275)),'Students'!$AH$2:$AH$701,0),IFERROR(MATCH(LOWER(TRIM(K2275)),'Students'!$AF$2:$AF$701,0),IFERROR(MATCH(LOWER(TRIM(K2275)),'Students'!$AG$2:$AG$701,0),""))))</f>
        <v/>
      </c>
      <c r="R2275">
        <f>IF(P2275="","",INDEX('Students'!$AD$2:$AD$701,P2275))</f>
        <v/>
      </c>
      <c r="S2275">
        <f>IF(H2275="OK",O2275,0)</f>
        <v/>
      </c>
      <c r="T2275">
        <f>IF(H2275="OK",N2275,"")</f>
        <v/>
      </c>
      <c r="U2275">
        <f>IF(OC_Donor=0,"",IF(INDEX('OneCause_Paste'!$A$2275:$AZ$2275,1,OC_Donor)="","",INDEX('OneCause_Paste'!$A$2275:$AZ$2275,1,OC_Donor)))</f>
        <v/>
      </c>
    </row>
    <row r="2276">
      <c r="A2276" s="62">
        <f>IF(H2276="","",IF(ISNUMBER(N2276),N2276,I2276))</f>
        <v/>
      </c>
      <c r="B2276">
        <f>IF(H2276="","",U2276)</f>
        <v/>
      </c>
      <c r="C2276">
        <f>IF(H2276="","",IF(P2276="",K2276,INDEX('Students'!$A$2:$A$701,P2276)))</f>
        <v/>
      </c>
      <c r="D2276">
        <f>IF(OR(H2276="",P2276=""),"",INDEX('Students'!$B$2:$B$701,P2276))</f>
        <v/>
      </c>
      <c r="E2276">
        <f>IF(OR(H2276="",P2276=""),"",INDEX('Students'!$C$2:$C$701,P2276))</f>
        <v/>
      </c>
      <c r="F2276" s="48">
        <f>IF(H2276="","",IF(ISNUMBER(O2276),O2276,J2276))</f>
        <v/>
      </c>
      <c r="G2276">
        <f>IF(H2276="","","OneCause")</f>
        <v/>
      </c>
      <c r="H2276">
        <f>IF(AND(I2276="",J2276="",K2276=""),"",IF(NOT(ISNUMBER(O2276)),"Bad amount",IF(O2276&lt;0,"Refund (not counted)",IF(O2276=0,"Zero amount",IF(NOT(ISNUMBER(N2276)),"Bad date",IF(P2276="","NAME NOT ON ROSTER",IF(L2276="","OK",IF(MATCH(L2276,$L$2:$L$3001,0)&lt;ROW()-1,"Duplicate (ignored)","OK"))))))))</f>
        <v/>
      </c>
      <c r="I2276">
        <f>IF(OC_Date=0,"",IF(INDEX('OneCause_Paste'!$A$2276:$AZ$2276,1,OC_Date)="","",INDEX('OneCause_Paste'!$A$2276:$AZ$2276,1,OC_Date)))</f>
        <v/>
      </c>
      <c r="J2276">
        <f>IF(OC_Amt=0,"",IF(INDEX('OneCause_Paste'!$A$2276:$AZ$2276,1,OC_Amt)="","",INDEX('OneCause_Paste'!$A$2276:$AZ$2276,1,OC_Amt)))</f>
        <v/>
      </c>
      <c r="K2276">
        <f>IF(OC_Name=0,"",IF(INDEX('OneCause_Paste'!$A$2276:$AZ$2276,1,OC_Name)="","",INDEX('OneCause_Paste'!$A$2276:$AZ$2276,1,OC_Name)))</f>
        <v/>
      </c>
      <c r="L2276">
        <f>IF(OC_Txn=0,"",IF(INDEX('OneCause_Paste'!$A$2276:$AZ$2276,1,OC_Txn)="","",INDEX('OneCause_Paste'!$A$2276:$AZ$2276,1,OC_Txn)))</f>
        <v/>
      </c>
      <c r="M2276">
        <f>IF(OC_Pay=0,"",IF(INDEX('OneCause_Paste'!$A$2276:$AZ$2276,1,OC_Pay)="","",INDEX('OneCause_Paste'!$A$2276:$AZ$2276,1,OC_Pay)))</f>
        <v/>
      </c>
      <c r="N2276">
        <f>IF(I2276="","",IF(ISNUMBER(I2276),INT(I2276),IFERROR(INT(DATEVALUE(I2276)),IFERROR(INT(VALUE(I2276)),"bad"))))</f>
        <v/>
      </c>
      <c r="O2276">
        <f>IF(J2276="","",IF(ISNUMBER(J2276),ROUND(J2276,2),IFERROR(ROUND(VALUE(SUBSTITUTE(SUBSTITUTE(SUBSTITUTE(J2276,"$",""),",","")," ","")),2),"bad")))</f>
        <v/>
      </c>
      <c r="P2276">
        <f>IF(TRIM(K2276)="","",IFERROR(MATCH(LOWER(TRIM(K2276)),'Students'!$AH$2:$AH$701,0),IFERROR(MATCH(LOWER(TRIM(K2276)),'Students'!$AF$2:$AF$701,0),IFERROR(MATCH(LOWER(TRIM(K2276)),'Students'!$AG$2:$AG$701,0),""))))</f>
        <v/>
      </c>
      <c r="R2276">
        <f>IF(P2276="","",INDEX('Students'!$AD$2:$AD$701,P2276))</f>
        <v/>
      </c>
      <c r="S2276">
        <f>IF(H2276="OK",O2276,0)</f>
        <v/>
      </c>
      <c r="T2276">
        <f>IF(H2276="OK",N2276,"")</f>
        <v/>
      </c>
      <c r="U2276">
        <f>IF(OC_Donor=0,"",IF(INDEX('OneCause_Paste'!$A$2276:$AZ$2276,1,OC_Donor)="","",INDEX('OneCause_Paste'!$A$2276:$AZ$2276,1,OC_Donor)))</f>
        <v/>
      </c>
    </row>
    <row r="2277">
      <c r="A2277" s="62">
        <f>IF(H2277="","",IF(ISNUMBER(N2277),N2277,I2277))</f>
        <v/>
      </c>
      <c r="B2277">
        <f>IF(H2277="","",U2277)</f>
        <v/>
      </c>
      <c r="C2277">
        <f>IF(H2277="","",IF(P2277="",K2277,INDEX('Students'!$A$2:$A$701,P2277)))</f>
        <v/>
      </c>
      <c r="D2277">
        <f>IF(OR(H2277="",P2277=""),"",INDEX('Students'!$B$2:$B$701,P2277))</f>
        <v/>
      </c>
      <c r="E2277">
        <f>IF(OR(H2277="",P2277=""),"",INDEX('Students'!$C$2:$C$701,P2277))</f>
        <v/>
      </c>
      <c r="F2277" s="48">
        <f>IF(H2277="","",IF(ISNUMBER(O2277),O2277,J2277))</f>
        <v/>
      </c>
      <c r="G2277">
        <f>IF(H2277="","","OneCause")</f>
        <v/>
      </c>
      <c r="H2277">
        <f>IF(AND(I2277="",J2277="",K2277=""),"",IF(NOT(ISNUMBER(O2277)),"Bad amount",IF(O2277&lt;0,"Refund (not counted)",IF(O2277=0,"Zero amount",IF(NOT(ISNUMBER(N2277)),"Bad date",IF(P2277="","NAME NOT ON ROSTER",IF(L2277="","OK",IF(MATCH(L2277,$L$2:$L$3001,0)&lt;ROW()-1,"Duplicate (ignored)","OK"))))))))</f>
        <v/>
      </c>
      <c r="I2277">
        <f>IF(OC_Date=0,"",IF(INDEX('OneCause_Paste'!$A$2277:$AZ$2277,1,OC_Date)="","",INDEX('OneCause_Paste'!$A$2277:$AZ$2277,1,OC_Date)))</f>
        <v/>
      </c>
      <c r="J2277">
        <f>IF(OC_Amt=0,"",IF(INDEX('OneCause_Paste'!$A$2277:$AZ$2277,1,OC_Amt)="","",INDEX('OneCause_Paste'!$A$2277:$AZ$2277,1,OC_Amt)))</f>
        <v/>
      </c>
      <c r="K2277">
        <f>IF(OC_Name=0,"",IF(INDEX('OneCause_Paste'!$A$2277:$AZ$2277,1,OC_Name)="","",INDEX('OneCause_Paste'!$A$2277:$AZ$2277,1,OC_Name)))</f>
        <v/>
      </c>
      <c r="L2277">
        <f>IF(OC_Txn=0,"",IF(INDEX('OneCause_Paste'!$A$2277:$AZ$2277,1,OC_Txn)="","",INDEX('OneCause_Paste'!$A$2277:$AZ$2277,1,OC_Txn)))</f>
        <v/>
      </c>
      <c r="M2277">
        <f>IF(OC_Pay=0,"",IF(INDEX('OneCause_Paste'!$A$2277:$AZ$2277,1,OC_Pay)="","",INDEX('OneCause_Paste'!$A$2277:$AZ$2277,1,OC_Pay)))</f>
        <v/>
      </c>
      <c r="N2277">
        <f>IF(I2277="","",IF(ISNUMBER(I2277),INT(I2277),IFERROR(INT(DATEVALUE(I2277)),IFERROR(INT(VALUE(I2277)),"bad"))))</f>
        <v/>
      </c>
      <c r="O2277">
        <f>IF(J2277="","",IF(ISNUMBER(J2277),ROUND(J2277,2),IFERROR(ROUND(VALUE(SUBSTITUTE(SUBSTITUTE(SUBSTITUTE(J2277,"$",""),",","")," ","")),2),"bad")))</f>
        <v/>
      </c>
      <c r="P2277">
        <f>IF(TRIM(K2277)="","",IFERROR(MATCH(LOWER(TRIM(K2277)),'Students'!$AH$2:$AH$701,0),IFERROR(MATCH(LOWER(TRIM(K2277)),'Students'!$AF$2:$AF$701,0),IFERROR(MATCH(LOWER(TRIM(K2277)),'Students'!$AG$2:$AG$701,0),""))))</f>
        <v/>
      </c>
      <c r="R2277">
        <f>IF(P2277="","",INDEX('Students'!$AD$2:$AD$701,P2277))</f>
        <v/>
      </c>
      <c r="S2277">
        <f>IF(H2277="OK",O2277,0)</f>
        <v/>
      </c>
      <c r="T2277">
        <f>IF(H2277="OK",N2277,"")</f>
        <v/>
      </c>
      <c r="U2277">
        <f>IF(OC_Donor=0,"",IF(INDEX('OneCause_Paste'!$A$2277:$AZ$2277,1,OC_Donor)="","",INDEX('OneCause_Paste'!$A$2277:$AZ$2277,1,OC_Donor)))</f>
        <v/>
      </c>
    </row>
    <row r="2278">
      <c r="A2278" s="62">
        <f>IF(H2278="","",IF(ISNUMBER(N2278),N2278,I2278))</f>
        <v/>
      </c>
      <c r="B2278">
        <f>IF(H2278="","",U2278)</f>
        <v/>
      </c>
      <c r="C2278">
        <f>IF(H2278="","",IF(P2278="",K2278,INDEX('Students'!$A$2:$A$701,P2278)))</f>
        <v/>
      </c>
      <c r="D2278">
        <f>IF(OR(H2278="",P2278=""),"",INDEX('Students'!$B$2:$B$701,P2278))</f>
        <v/>
      </c>
      <c r="E2278">
        <f>IF(OR(H2278="",P2278=""),"",INDEX('Students'!$C$2:$C$701,P2278))</f>
        <v/>
      </c>
      <c r="F2278" s="48">
        <f>IF(H2278="","",IF(ISNUMBER(O2278),O2278,J2278))</f>
        <v/>
      </c>
      <c r="G2278">
        <f>IF(H2278="","","OneCause")</f>
        <v/>
      </c>
      <c r="H2278">
        <f>IF(AND(I2278="",J2278="",K2278=""),"",IF(NOT(ISNUMBER(O2278)),"Bad amount",IF(O2278&lt;0,"Refund (not counted)",IF(O2278=0,"Zero amount",IF(NOT(ISNUMBER(N2278)),"Bad date",IF(P2278="","NAME NOT ON ROSTER",IF(L2278="","OK",IF(MATCH(L2278,$L$2:$L$3001,0)&lt;ROW()-1,"Duplicate (ignored)","OK"))))))))</f>
        <v/>
      </c>
      <c r="I2278">
        <f>IF(OC_Date=0,"",IF(INDEX('OneCause_Paste'!$A$2278:$AZ$2278,1,OC_Date)="","",INDEX('OneCause_Paste'!$A$2278:$AZ$2278,1,OC_Date)))</f>
        <v/>
      </c>
      <c r="J2278">
        <f>IF(OC_Amt=0,"",IF(INDEX('OneCause_Paste'!$A$2278:$AZ$2278,1,OC_Amt)="","",INDEX('OneCause_Paste'!$A$2278:$AZ$2278,1,OC_Amt)))</f>
        <v/>
      </c>
      <c r="K2278">
        <f>IF(OC_Name=0,"",IF(INDEX('OneCause_Paste'!$A$2278:$AZ$2278,1,OC_Name)="","",INDEX('OneCause_Paste'!$A$2278:$AZ$2278,1,OC_Name)))</f>
        <v/>
      </c>
      <c r="L2278">
        <f>IF(OC_Txn=0,"",IF(INDEX('OneCause_Paste'!$A$2278:$AZ$2278,1,OC_Txn)="","",INDEX('OneCause_Paste'!$A$2278:$AZ$2278,1,OC_Txn)))</f>
        <v/>
      </c>
      <c r="M2278">
        <f>IF(OC_Pay=0,"",IF(INDEX('OneCause_Paste'!$A$2278:$AZ$2278,1,OC_Pay)="","",INDEX('OneCause_Paste'!$A$2278:$AZ$2278,1,OC_Pay)))</f>
        <v/>
      </c>
      <c r="N2278">
        <f>IF(I2278="","",IF(ISNUMBER(I2278),INT(I2278),IFERROR(INT(DATEVALUE(I2278)),IFERROR(INT(VALUE(I2278)),"bad"))))</f>
        <v/>
      </c>
      <c r="O2278">
        <f>IF(J2278="","",IF(ISNUMBER(J2278),ROUND(J2278,2),IFERROR(ROUND(VALUE(SUBSTITUTE(SUBSTITUTE(SUBSTITUTE(J2278,"$",""),",","")," ","")),2),"bad")))</f>
        <v/>
      </c>
      <c r="P2278">
        <f>IF(TRIM(K2278)="","",IFERROR(MATCH(LOWER(TRIM(K2278)),'Students'!$AH$2:$AH$701,0),IFERROR(MATCH(LOWER(TRIM(K2278)),'Students'!$AF$2:$AF$701,0),IFERROR(MATCH(LOWER(TRIM(K2278)),'Students'!$AG$2:$AG$701,0),""))))</f>
        <v/>
      </c>
      <c r="R2278">
        <f>IF(P2278="","",INDEX('Students'!$AD$2:$AD$701,P2278))</f>
        <v/>
      </c>
      <c r="S2278">
        <f>IF(H2278="OK",O2278,0)</f>
        <v/>
      </c>
      <c r="T2278">
        <f>IF(H2278="OK",N2278,"")</f>
        <v/>
      </c>
      <c r="U2278">
        <f>IF(OC_Donor=0,"",IF(INDEX('OneCause_Paste'!$A$2278:$AZ$2278,1,OC_Donor)="","",INDEX('OneCause_Paste'!$A$2278:$AZ$2278,1,OC_Donor)))</f>
        <v/>
      </c>
    </row>
    <row r="2279">
      <c r="A2279" s="62">
        <f>IF(H2279="","",IF(ISNUMBER(N2279),N2279,I2279))</f>
        <v/>
      </c>
      <c r="B2279">
        <f>IF(H2279="","",U2279)</f>
        <v/>
      </c>
      <c r="C2279">
        <f>IF(H2279="","",IF(P2279="",K2279,INDEX('Students'!$A$2:$A$701,P2279)))</f>
        <v/>
      </c>
      <c r="D2279">
        <f>IF(OR(H2279="",P2279=""),"",INDEX('Students'!$B$2:$B$701,P2279))</f>
        <v/>
      </c>
      <c r="E2279">
        <f>IF(OR(H2279="",P2279=""),"",INDEX('Students'!$C$2:$C$701,P2279))</f>
        <v/>
      </c>
      <c r="F2279" s="48">
        <f>IF(H2279="","",IF(ISNUMBER(O2279),O2279,J2279))</f>
        <v/>
      </c>
      <c r="G2279">
        <f>IF(H2279="","","OneCause")</f>
        <v/>
      </c>
      <c r="H2279">
        <f>IF(AND(I2279="",J2279="",K2279=""),"",IF(NOT(ISNUMBER(O2279)),"Bad amount",IF(O2279&lt;0,"Refund (not counted)",IF(O2279=0,"Zero amount",IF(NOT(ISNUMBER(N2279)),"Bad date",IF(P2279="","NAME NOT ON ROSTER",IF(L2279="","OK",IF(MATCH(L2279,$L$2:$L$3001,0)&lt;ROW()-1,"Duplicate (ignored)","OK"))))))))</f>
        <v/>
      </c>
      <c r="I2279">
        <f>IF(OC_Date=0,"",IF(INDEX('OneCause_Paste'!$A$2279:$AZ$2279,1,OC_Date)="","",INDEX('OneCause_Paste'!$A$2279:$AZ$2279,1,OC_Date)))</f>
        <v/>
      </c>
      <c r="J2279">
        <f>IF(OC_Amt=0,"",IF(INDEX('OneCause_Paste'!$A$2279:$AZ$2279,1,OC_Amt)="","",INDEX('OneCause_Paste'!$A$2279:$AZ$2279,1,OC_Amt)))</f>
        <v/>
      </c>
      <c r="K2279">
        <f>IF(OC_Name=0,"",IF(INDEX('OneCause_Paste'!$A$2279:$AZ$2279,1,OC_Name)="","",INDEX('OneCause_Paste'!$A$2279:$AZ$2279,1,OC_Name)))</f>
        <v/>
      </c>
      <c r="L2279">
        <f>IF(OC_Txn=0,"",IF(INDEX('OneCause_Paste'!$A$2279:$AZ$2279,1,OC_Txn)="","",INDEX('OneCause_Paste'!$A$2279:$AZ$2279,1,OC_Txn)))</f>
        <v/>
      </c>
      <c r="M2279">
        <f>IF(OC_Pay=0,"",IF(INDEX('OneCause_Paste'!$A$2279:$AZ$2279,1,OC_Pay)="","",INDEX('OneCause_Paste'!$A$2279:$AZ$2279,1,OC_Pay)))</f>
        <v/>
      </c>
      <c r="N2279">
        <f>IF(I2279="","",IF(ISNUMBER(I2279),INT(I2279),IFERROR(INT(DATEVALUE(I2279)),IFERROR(INT(VALUE(I2279)),"bad"))))</f>
        <v/>
      </c>
      <c r="O2279">
        <f>IF(J2279="","",IF(ISNUMBER(J2279),ROUND(J2279,2),IFERROR(ROUND(VALUE(SUBSTITUTE(SUBSTITUTE(SUBSTITUTE(J2279,"$",""),",","")," ","")),2),"bad")))</f>
        <v/>
      </c>
      <c r="P2279">
        <f>IF(TRIM(K2279)="","",IFERROR(MATCH(LOWER(TRIM(K2279)),'Students'!$AH$2:$AH$701,0),IFERROR(MATCH(LOWER(TRIM(K2279)),'Students'!$AF$2:$AF$701,0),IFERROR(MATCH(LOWER(TRIM(K2279)),'Students'!$AG$2:$AG$701,0),""))))</f>
        <v/>
      </c>
      <c r="R2279">
        <f>IF(P2279="","",INDEX('Students'!$AD$2:$AD$701,P2279))</f>
        <v/>
      </c>
      <c r="S2279">
        <f>IF(H2279="OK",O2279,0)</f>
        <v/>
      </c>
      <c r="T2279">
        <f>IF(H2279="OK",N2279,"")</f>
        <v/>
      </c>
      <c r="U2279">
        <f>IF(OC_Donor=0,"",IF(INDEX('OneCause_Paste'!$A$2279:$AZ$2279,1,OC_Donor)="","",INDEX('OneCause_Paste'!$A$2279:$AZ$2279,1,OC_Donor)))</f>
        <v/>
      </c>
    </row>
    <row r="2280">
      <c r="A2280" s="62">
        <f>IF(H2280="","",IF(ISNUMBER(N2280),N2280,I2280))</f>
        <v/>
      </c>
      <c r="B2280">
        <f>IF(H2280="","",U2280)</f>
        <v/>
      </c>
      <c r="C2280">
        <f>IF(H2280="","",IF(P2280="",K2280,INDEX('Students'!$A$2:$A$701,P2280)))</f>
        <v/>
      </c>
      <c r="D2280">
        <f>IF(OR(H2280="",P2280=""),"",INDEX('Students'!$B$2:$B$701,P2280))</f>
        <v/>
      </c>
      <c r="E2280">
        <f>IF(OR(H2280="",P2280=""),"",INDEX('Students'!$C$2:$C$701,P2280))</f>
        <v/>
      </c>
      <c r="F2280" s="48">
        <f>IF(H2280="","",IF(ISNUMBER(O2280),O2280,J2280))</f>
        <v/>
      </c>
      <c r="G2280">
        <f>IF(H2280="","","OneCause")</f>
        <v/>
      </c>
      <c r="H2280">
        <f>IF(AND(I2280="",J2280="",K2280=""),"",IF(NOT(ISNUMBER(O2280)),"Bad amount",IF(O2280&lt;0,"Refund (not counted)",IF(O2280=0,"Zero amount",IF(NOT(ISNUMBER(N2280)),"Bad date",IF(P2280="","NAME NOT ON ROSTER",IF(L2280="","OK",IF(MATCH(L2280,$L$2:$L$3001,0)&lt;ROW()-1,"Duplicate (ignored)","OK"))))))))</f>
        <v/>
      </c>
      <c r="I2280">
        <f>IF(OC_Date=0,"",IF(INDEX('OneCause_Paste'!$A$2280:$AZ$2280,1,OC_Date)="","",INDEX('OneCause_Paste'!$A$2280:$AZ$2280,1,OC_Date)))</f>
        <v/>
      </c>
      <c r="J2280">
        <f>IF(OC_Amt=0,"",IF(INDEX('OneCause_Paste'!$A$2280:$AZ$2280,1,OC_Amt)="","",INDEX('OneCause_Paste'!$A$2280:$AZ$2280,1,OC_Amt)))</f>
        <v/>
      </c>
      <c r="K2280">
        <f>IF(OC_Name=0,"",IF(INDEX('OneCause_Paste'!$A$2280:$AZ$2280,1,OC_Name)="","",INDEX('OneCause_Paste'!$A$2280:$AZ$2280,1,OC_Name)))</f>
        <v/>
      </c>
      <c r="L2280">
        <f>IF(OC_Txn=0,"",IF(INDEX('OneCause_Paste'!$A$2280:$AZ$2280,1,OC_Txn)="","",INDEX('OneCause_Paste'!$A$2280:$AZ$2280,1,OC_Txn)))</f>
        <v/>
      </c>
      <c r="M2280">
        <f>IF(OC_Pay=0,"",IF(INDEX('OneCause_Paste'!$A$2280:$AZ$2280,1,OC_Pay)="","",INDEX('OneCause_Paste'!$A$2280:$AZ$2280,1,OC_Pay)))</f>
        <v/>
      </c>
      <c r="N2280">
        <f>IF(I2280="","",IF(ISNUMBER(I2280),INT(I2280),IFERROR(INT(DATEVALUE(I2280)),IFERROR(INT(VALUE(I2280)),"bad"))))</f>
        <v/>
      </c>
      <c r="O2280">
        <f>IF(J2280="","",IF(ISNUMBER(J2280),ROUND(J2280,2),IFERROR(ROUND(VALUE(SUBSTITUTE(SUBSTITUTE(SUBSTITUTE(J2280,"$",""),",","")," ","")),2),"bad")))</f>
        <v/>
      </c>
      <c r="P2280">
        <f>IF(TRIM(K2280)="","",IFERROR(MATCH(LOWER(TRIM(K2280)),'Students'!$AH$2:$AH$701,0),IFERROR(MATCH(LOWER(TRIM(K2280)),'Students'!$AF$2:$AF$701,0),IFERROR(MATCH(LOWER(TRIM(K2280)),'Students'!$AG$2:$AG$701,0),""))))</f>
        <v/>
      </c>
      <c r="R2280">
        <f>IF(P2280="","",INDEX('Students'!$AD$2:$AD$701,P2280))</f>
        <v/>
      </c>
      <c r="S2280">
        <f>IF(H2280="OK",O2280,0)</f>
        <v/>
      </c>
      <c r="T2280">
        <f>IF(H2280="OK",N2280,"")</f>
        <v/>
      </c>
      <c r="U2280">
        <f>IF(OC_Donor=0,"",IF(INDEX('OneCause_Paste'!$A$2280:$AZ$2280,1,OC_Donor)="","",INDEX('OneCause_Paste'!$A$2280:$AZ$2280,1,OC_Donor)))</f>
        <v/>
      </c>
    </row>
    <row r="2281">
      <c r="A2281" s="62">
        <f>IF(H2281="","",IF(ISNUMBER(N2281),N2281,I2281))</f>
        <v/>
      </c>
      <c r="B2281">
        <f>IF(H2281="","",U2281)</f>
        <v/>
      </c>
      <c r="C2281">
        <f>IF(H2281="","",IF(P2281="",K2281,INDEX('Students'!$A$2:$A$701,P2281)))</f>
        <v/>
      </c>
      <c r="D2281">
        <f>IF(OR(H2281="",P2281=""),"",INDEX('Students'!$B$2:$B$701,P2281))</f>
        <v/>
      </c>
      <c r="E2281">
        <f>IF(OR(H2281="",P2281=""),"",INDEX('Students'!$C$2:$C$701,P2281))</f>
        <v/>
      </c>
      <c r="F2281" s="48">
        <f>IF(H2281="","",IF(ISNUMBER(O2281),O2281,J2281))</f>
        <v/>
      </c>
      <c r="G2281">
        <f>IF(H2281="","","OneCause")</f>
        <v/>
      </c>
      <c r="H2281">
        <f>IF(AND(I2281="",J2281="",K2281=""),"",IF(NOT(ISNUMBER(O2281)),"Bad amount",IF(O2281&lt;0,"Refund (not counted)",IF(O2281=0,"Zero amount",IF(NOT(ISNUMBER(N2281)),"Bad date",IF(P2281="","NAME NOT ON ROSTER",IF(L2281="","OK",IF(MATCH(L2281,$L$2:$L$3001,0)&lt;ROW()-1,"Duplicate (ignored)","OK"))))))))</f>
        <v/>
      </c>
      <c r="I2281">
        <f>IF(OC_Date=0,"",IF(INDEX('OneCause_Paste'!$A$2281:$AZ$2281,1,OC_Date)="","",INDEX('OneCause_Paste'!$A$2281:$AZ$2281,1,OC_Date)))</f>
        <v/>
      </c>
      <c r="J2281">
        <f>IF(OC_Amt=0,"",IF(INDEX('OneCause_Paste'!$A$2281:$AZ$2281,1,OC_Amt)="","",INDEX('OneCause_Paste'!$A$2281:$AZ$2281,1,OC_Amt)))</f>
        <v/>
      </c>
      <c r="K2281">
        <f>IF(OC_Name=0,"",IF(INDEX('OneCause_Paste'!$A$2281:$AZ$2281,1,OC_Name)="","",INDEX('OneCause_Paste'!$A$2281:$AZ$2281,1,OC_Name)))</f>
        <v/>
      </c>
      <c r="L2281">
        <f>IF(OC_Txn=0,"",IF(INDEX('OneCause_Paste'!$A$2281:$AZ$2281,1,OC_Txn)="","",INDEX('OneCause_Paste'!$A$2281:$AZ$2281,1,OC_Txn)))</f>
        <v/>
      </c>
      <c r="M2281">
        <f>IF(OC_Pay=0,"",IF(INDEX('OneCause_Paste'!$A$2281:$AZ$2281,1,OC_Pay)="","",INDEX('OneCause_Paste'!$A$2281:$AZ$2281,1,OC_Pay)))</f>
        <v/>
      </c>
      <c r="N2281">
        <f>IF(I2281="","",IF(ISNUMBER(I2281),INT(I2281),IFERROR(INT(DATEVALUE(I2281)),IFERROR(INT(VALUE(I2281)),"bad"))))</f>
        <v/>
      </c>
      <c r="O2281">
        <f>IF(J2281="","",IF(ISNUMBER(J2281),ROUND(J2281,2),IFERROR(ROUND(VALUE(SUBSTITUTE(SUBSTITUTE(SUBSTITUTE(J2281,"$",""),",","")," ","")),2),"bad")))</f>
        <v/>
      </c>
      <c r="P2281">
        <f>IF(TRIM(K2281)="","",IFERROR(MATCH(LOWER(TRIM(K2281)),'Students'!$AH$2:$AH$701,0),IFERROR(MATCH(LOWER(TRIM(K2281)),'Students'!$AF$2:$AF$701,0),IFERROR(MATCH(LOWER(TRIM(K2281)),'Students'!$AG$2:$AG$701,0),""))))</f>
        <v/>
      </c>
      <c r="R2281">
        <f>IF(P2281="","",INDEX('Students'!$AD$2:$AD$701,P2281))</f>
        <v/>
      </c>
      <c r="S2281">
        <f>IF(H2281="OK",O2281,0)</f>
        <v/>
      </c>
      <c r="T2281">
        <f>IF(H2281="OK",N2281,"")</f>
        <v/>
      </c>
      <c r="U2281">
        <f>IF(OC_Donor=0,"",IF(INDEX('OneCause_Paste'!$A$2281:$AZ$2281,1,OC_Donor)="","",INDEX('OneCause_Paste'!$A$2281:$AZ$2281,1,OC_Donor)))</f>
        <v/>
      </c>
    </row>
    <row r="2282">
      <c r="A2282" s="62">
        <f>IF(H2282="","",IF(ISNUMBER(N2282),N2282,I2282))</f>
        <v/>
      </c>
      <c r="B2282">
        <f>IF(H2282="","",U2282)</f>
        <v/>
      </c>
      <c r="C2282">
        <f>IF(H2282="","",IF(P2282="",K2282,INDEX('Students'!$A$2:$A$701,P2282)))</f>
        <v/>
      </c>
      <c r="D2282">
        <f>IF(OR(H2282="",P2282=""),"",INDEX('Students'!$B$2:$B$701,P2282))</f>
        <v/>
      </c>
      <c r="E2282">
        <f>IF(OR(H2282="",P2282=""),"",INDEX('Students'!$C$2:$C$701,P2282))</f>
        <v/>
      </c>
      <c r="F2282" s="48">
        <f>IF(H2282="","",IF(ISNUMBER(O2282),O2282,J2282))</f>
        <v/>
      </c>
      <c r="G2282">
        <f>IF(H2282="","","OneCause")</f>
        <v/>
      </c>
      <c r="H2282">
        <f>IF(AND(I2282="",J2282="",K2282=""),"",IF(NOT(ISNUMBER(O2282)),"Bad amount",IF(O2282&lt;0,"Refund (not counted)",IF(O2282=0,"Zero amount",IF(NOT(ISNUMBER(N2282)),"Bad date",IF(P2282="","NAME NOT ON ROSTER",IF(L2282="","OK",IF(MATCH(L2282,$L$2:$L$3001,0)&lt;ROW()-1,"Duplicate (ignored)","OK"))))))))</f>
        <v/>
      </c>
      <c r="I2282">
        <f>IF(OC_Date=0,"",IF(INDEX('OneCause_Paste'!$A$2282:$AZ$2282,1,OC_Date)="","",INDEX('OneCause_Paste'!$A$2282:$AZ$2282,1,OC_Date)))</f>
        <v/>
      </c>
      <c r="J2282">
        <f>IF(OC_Amt=0,"",IF(INDEX('OneCause_Paste'!$A$2282:$AZ$2282,1,OC_Amt)="","",INDEX('OneCause_Paste'!$A$2282:$AZ$2282,1,OC_Amt)))</f>
        <v/>
      </c>
      <c r="K2282">
        <f>IF(OC_Name=0,"",IF(INDEX('OneCause_Paste'!$A$2282:$AZ$2282,1,OC_Name)="","",INDEX('OneCause_Paste'!$A$2282:$AZ$2282,1,OC_Name)))</f>
        <v/>
      </c>
      <c r="L2282">
        <f>IF(OC_Txn=0,"",IF(INDEX('OneCause_Paste'!$A$2282:$AZ$2282,1,OC_Txn)="","",INDEX('OneCause_Paste'!$A$2282:$AZ$2282,1,OC_Txn)))</f>
        <v/>
      </c>
      <c r="M2282">
        <f>IF(OC_Pay=0,"",IF(INDEX('OneCause_Paste'!$A$2282:$AZ$2282,1,OC_Pay)="","",INDEX('OneCause_Paste'!$A$2282:$AZ$2282,1,OC_Pay)))</f>
        <v/>
      </c>
      <c r="N2282">
        <f>IF(I2282="","",IF(ISNUMBER(I2282),INT(I2282),IFERROR(INT(DATEVALUE(I2282)),IFERROR(INT(VALUE(I2282)),"bad"))))</f>
        <v/>
      </c>
      <c r="O2282">
        <f>IF(J2282="","",IF(ISNUMBER(J2282),ROUND(J2282,2),IFERROR(ROUND(VALUE(SUBSTITUTE(SUBSTITUTE(SUBSTITUTE(J2282,"$",""),",","")," ","")),2),"bad")))</f>
        <v/>
      </c>
      <c r="P2282">
        <f>IF(TRIM(K2282)="","",IFERROR(MATCH(LOWER(TRIM(K2282)),'Students'!$AH$2:$AH$701,0),IFERROR(MATCH(LOWER(TRIM(K2282)),'Students'!$AF$2:$AF$701,0),IFERROR(MATCH(LOWER(TRIM(K2282)),'Students'!$AG$2:$AG$701,0),""))))</f>
        <v/>
      </c>
      <c r="R2282">
        <f>IF(P2282="","",INDEX('Students'!$AD$2:$AD$701,P2282))</f>
        <v/>
      </c>
      <c r="S2282">
        <f>IF(H2282="OK",O2282,0)</f>
        <v/>
      </c>
      <c r="T2282">
        <f>IF(H2282="OK",N2282,"")</f>
        <v/>
      </c>
      <c r="U2282">
        <f>IF(OC_Donor=0,"",IF(INDEX('OneCause_Paste'!$A$2282:$AZ$2282,1,OC_Donor)="","",INDEX('OneCause_Paste'!$A$2282:$AZ$2282,1,OC_Donor)))</f>
        <v/>
      </c>
    </row>
    <row r="2283">
      <c r="A2283" s="62">
        <f>IF(H2283="","",IF(ISNUMBER(N2283),N2283,I2283))</f>
        <v/>
      </c>
      <c r="B2283">
        <f>IF(H2283="","",U2283)</f>
        <v/>
      </c>
      <c r="C2283">
        <f>IF(H2283="","",IF(P2283="",K2283,INDEX('Students'!$A$2:$A$701,P2283)))</f>
        <v/>
      </c>
      <c r="D2283">
        <f>IF(OR(H2283="",P2283=""),"",INDEX('Students'!$B$2:$B$701,P2283))</f>
        <v/>
      </c>
      <c r="E2283">
        <f>IF(OR(H2283="",P2283=""),"",INDEX('Students'!$C$2:$C$701,P2283))</f>
        <v/>
      </c>
      <c r="F2283" s="48">
        <f>IF(H2283="","",IF(ISNUMBER(O2283),O2283,J2283))</f>
        <v/>
      </c>
      <c r="G2283">
        <f>IF(H2283="","","OneCause")</f>
        <v/>
      </c>
      <c r="H2283">
        <f>IF(AND(I2283="",J2283="",K2283=""),"",IF(NOT(ISNUMBER(O2283)),"Bad amount",IF(O2283&lt;0,"Refund (not counted)",IF(O2283=0,"Zero amount",IF(NOT(ISNUMBER(N2283)),"Bad date",IF(P2283="","NAME NOT ON ROSTER",IF(L2283="","OK",IF(MATCH(L2283,$L$2:$L$3001,0)&lt;ROW()-1,"Duplicate (ignored)","OK"))))))))</f>
        <v/>
      </c>
      <c r="I2283">
        <f>IF(OC_Date=0,"",IF(INDEX('OneCause_Paste'!$A$2283:$AZ$2283,1,OC_Date)="","",INDEX('OneCause_Paste'!$A$2283:$AZ$2283,1,OC_Date)))</f>
        <v/>
      </c>
      <c r="J2283">
        <f>IF(OC_Amt=0,"",IF(INDEX('OneCause_Paste'!$A$2283:$AZ$2283,1,OC_Amt)="","",INDEX('OneCause_Paste'!$A$2283:$AZ$2283,1,OC_Amt)))</f>
        <v/>
      </c>
      <c r="K2283">
        <f>IF(OC_Name=0,"",IF(INDEX('OneCause_Paste'!$A$2283:$AZ$2283,1,OC_Name)="","",INDEX('OneCause_Paste'!$A$2283:$AZ$2283,1,OC_Name)))</f>
        <v/>
      </c>
      <c r="L2283">
        <f>IF(OC_Txn=0,"",IF(INDEX('OneCause_Paste'!$A$2283:$AZ$2283,1,OC_Txn)="","",INDEX('OneCause_Paste'!$A$2283:$AZ$2283,1,OC_Txn)))</f>
        <v/>
      </c>
      <c r="M2283">
        <f>IF(OC_Pay=0,"",IF(INDEX('OneCause_Paste'!$A$2283:$AZ$2283,1,OC_Pay)="","",INDEX('OneCause_Paste'!$A$2283:$AZ$2283,1,OC_Pay)))</f>
        <v/>
      </c>
      <c r="N2283">
        <f>IF(I2283="","",IF(ISNUMBER(I2283),INT(I2283),IFERROR(INT(DATEVALUE(I2283)),IFERROR(INT(VALUE(I2283)),"bad"))))</f>
        <v/>
      </c>
      <c r="O2283">
        <f>IF(J2283="","",IF(ISNUMBER(J2283),ROUND(J2283,2),IFERROR(ROUND(VALUE(SUBSTITUTE(SUBSTITUTE(SUBSTITUTE(J2283,"$",""),",","")," ","")),2),"bad")))</f>
        <v/>
      </c>
      <c r="P2283">
        <f>IF(TRIM(K2283)="","",IFERROR(MATCH(LOWER(TRIM(K2283)),'Students'!$AH$2:$AH$701,0),IFERROR(MATCH(LOWER(TRIM(K2283)),'Students'!$AF$2:$AF$701,0),IFERROR(MATCH(LOWER(TRIM(K2283)),'Students'!$AG$2:$AG$701,0),""))))</f>
        <v/>
      </c>
      <c r="R2283">
        <f>IF(P2283="","",INDEX('Students'!$AD$2:$AD$701,P2283))</f>
        <v/>
      </c>
      <c r="S2283">
        <f>IF(H2283="OK",O2283,0)</f>
        <v/>
      </c>
      <c r="T2283">
        <f>IF(H2283="OK",N2283,"")</f>
        <v/>
      </c>
      <c r="U2283">
        <f>IF(OC_Donor=0,"",IF(INDEX('OneCause_Paste'!$A$2283:$AZ$2283,1,OC_Donor)="","",INDEX('OneCause_Paste'!$A$2283:$AZ$2283,1,OC_Donor)))</f>
        <v/>
      </c>
    </row>
    <row r="2284">
      <c r="A2284" s="62">
        <f>IF(H2284="","",IF(ISNUMBER(N2284),N2284,I2284))</f>
        <v/>
      </c>
      <c r="B2284">
        <f>IF(H2284="","",U2284)</f>
        <v/>
      </c>
      <c r="C2284">
        <f>IF(H2284="","",IF(P2284="",K2284,INDEX('Students'!$A$2:$A$701,P2284)))</f>
        <v/>
      </c>
      <c r="D2284">
        <f>IF(OR(H2284="",P2284=""),"",INDEX('Students'!$B$2:$B$701,P2284))</f>
        <v/>
      </c>
      <c r="E2284">
        <f>IF(OR(H2284="",P2284=""),"",INDEX('Students'!$C$2:$C$701,P2284))</f>
        <v/>
      </c>
      <c r="F2284" s="48">
        <f>IF(H2284="","",IF(ISNUMBER(O2284),O2284,J2284))</f>
        <v/>
      </c>
      <c r="G2284">
        <f>IF(H2284="","","OneCause")</f>
        <v/>
      </c>
      <c r="H2284">
        <f>IF(AND(I2284="",J2284="",K2284=""),"",IF(NOT(ISNUMBER(O2284)),"Bad amount",IF(O2284&lt;0,"Refund (not counted)",IF(O2284=0,"Zero amount",IF(NOT(ISNUMBER(N2284)),"Bad date",IF(P2284="","NAME NOT ON ROSTER",IF(L2284="","OK",IF(MATCH(L2284,$L$2:$L$3001,0)&lt;ROW()-1,"Duplicate (ignored)","OK"))))))))</f>
        <v/>
      </c>
      <c r="I2284">
        <f>IF(OC_Date=0,"",IF(INDEX('OneCause_Paste'!$A$2284:$AZ$2284,1,OC_Date)="","",INDEX('OneCause_Paste'!$A$2284:$AZ$2284,1,OC_Date)))</f>
        <v/>
      </c>
      <c r="J2284">
        <f>IF(OC_Amt=0,"",IF(INDEX('OneCause_Paste'!$A$2284:$AZ$2284,1,OC_Amt)="","",INDEX('OneCause_Paste'!$A$2284:$AZ$2284,1,OC_Amt)))</f>
        <v/>
      </c>
      <c r="K2284">
        <f>IF(OC_Name=0,"",IF(INDEX('OneCause_Paste'!$A$2284:$AZ$2284,1,OC_Name)="","",INDEX('OneCause_Paste'!$A$2284:$AZ$2284,1,OC_Name)))</f>
        <v/>
      </c>
      <c r="L2284">
        <f>IF(OC_Txn=0,"",IF(INDEX('OneCause_Paste'!$A$2284:$AZ$2284,1,OC_Txn)="","",INDEX('OneCause_Paste'!$A$2284:$AZ$2284,1,OC_Txn)))</f>
        <v/>
      </c>
      <c r="M2284">
        <f>IF(OC_Pay=0,"",IF(INDEX('OneCause_Paste'!$A$2284:$AZ$2284,1,OC_Pay)="","",INDEX('OneCause_Paste'!$A$2284:$AZ$2284,1,OC_Pay)))</f>
        <v/>
      </c>
      <c r="N2284">
        <f>IF(I2284="","",IF(ISNUMBER(I2284),INT(I2284),IFERROR(INT(DATEVALUE(I2284)),IFERROR(INT(VALUE(I2284)),"bad"))))</f>
        <v/>
      </c>
      <c r="O2284">
        <f>IF(J2284="","",IF(ISNUMBER(J2284),ROUND(J2284,2),IFERROR(ROUND(VALUE(SUBSTITUTE(SUBSTITUTE(SUBSTITUTE(J2284,"$",""),",","")," ","")),2),"bad")))</f>
        <v/>
      </c>
      <c r="P2284">
        <f>IF(TRIM(K2284)="","",IFERROR(MATCH(LOWER(TRIM(K2284)),'Students'!$AH$2:$AH$701,0),IFERROR(MATCH(LOWER(TRIM(K2284)),'Students'!$AF$2:$AF$701,0),IFERROR(MATCH(LOWER(TRIM(K2284)),'Students'!$AG$2:$AG$701,0),""))))</f>
        <v/>
      </c>
      <c r="R2284">
        <f>IF(P2284="","",INDEX('Students'!$AD$2:$AD$701,P2284))</f>
        <v/>
      </c>
      <c r="S2284">
        <f>IF(H2284="OK",O2284,0)</f>
        <v/>
      </c>
      <c r="T2284">
        <f>IF(H2284="OK",N2284,"")</f>
        <v/>
      </c>
      <c r="U2284">
        <f>IF(OC_Donor=0,"",IF(INDEX('OneCause_Paste'!$A$2284:$AZ$2284,1,OC_Donor)="","",INDEX('OneCause_Paste'!$A$2284:$AZ$2284,1,OC_Donor)))</f>
        <v/>
      </c>
    </row>
    <row r="2285">
      <c r="A2285" s="62">
        <f>IF(H2285="","",IF(ISNUMBER(N2285),N2285,I2285))</f>
        <v/>
      </c>
      <c r="B2285">
        <f>IF(H2285="","",U2285)</f>
        <v/>
      </c>
      <c r="C2285">
        <f>IF(H2285="","",IF(P2285="",K2285,INDEX('Students'!$A$2:$A$701,P2285)))</f>
        <v/>
      </c>
      <c r="D2285">
        <f>IF(OR(H2285="",P2285=""),"",INDEX('Students'!$B$2:$B$701,P2285))</f>
        <v/>
      </c>
      <c r="E2285">
        <f>IF(OR(H2285="",P2285=""),"",INDEX('Students'!$C$2:$C$701,P2285))</f>
        <v/>
      </c>
      <c r="F2285" s="48">
        <f>IF(H2285="","",IF(ISNUMBER(O2285),O2285,J2285))</f>
        <v/>
      </c>
      <c r="G2285">
        <f>IF(H2285="","","OneCause")</f>
        <v/>
      </c>
      <c r="H2285">
        <f>IF(AND(I2285="",J2285="",K2285=""),"",IF(NOT(ISNUMBER(O2285)),"Bad amount",IF(O2285&lt;0,"Refund (not counted)",IF(O2285=0,"Zero amount",IF(NOT(ISNUMBER(N2285)),"Bad date",IF(P2285="","NAME NOT ON ROSTER",IF(L2285="","OK",IF(MATCH(L2285,$L$2:$L$3001,0)&lt;ROW()-1,"Duplicate (ignored)","OK"))))))))</f>
        <v/>
      </c>
      <c r="I2285">
        <f>IF(OC_Date=0,"",IF(INDEX('OneCause_Paste'!$A$2285:$AZ$2285,1,OC_Date)="","",INDEX('OneCause_Paste'!$A$2285:$AZ$2285,1,OC_Date)))</f>
        <v/>
      </c>
      <c r="J2285">
        <f>IF(OC_Amt=0,"",IF(INDEX('OneCause_Paste'!$A$2285:$AZ$2285,1,OC_Amt)="","",INDEX('OneCause_Paste'!$A$2285:$AZ$2285,1,OC_Amt)))</f>
        <v/>
      </c>
      <c r="K2285">
        <f>IF(OC_Name=0,"",IF(INDEX('OneCause_Paste'!$A$2285:$AZ$2285,1,OC_Name)="","",INDEX('OneCause_Paste'!$A$2285:$AZ$2285,1,OC_Name)))</f>
        <v/>
      </c>
      <c r="L2285">
        <f>IF(OC_Txn=0,"",IF(INDEX('OneCause_Paste'!$A$2285:$AZ$2285,1,OC_Txn)="","",INDEX('OneCause_Paste'!$A$2285:$AZ$2285,1,OC_Txn)))</f>
        <v/>
      </c>
      <c r="M2285">
        <f>IF(OC_Pay=0,"",IF(INDEX('OneCause_Paste'!$A$2285:$AZ$2285,1,OC_Pay)="","",INDEX('OneCause_Paste'!$A$2285:$AZ$2285,1,OC_Pay)))</f>
        <v/>
      </c>
      <c r="N2285">
        <f>IF(I2285="","",IF(ISNUMBER(I2285),INT(I2285),IFERROR(INT(DATEVALUE(I2285)),IFERROR(INT(VALUE(I2285)),"bad"))))</f>
        <v/>
      </c>
      <c r="O2285">
        <f>IF(J2285="","",IF(ISNUMBER(J2285),ROUND(J2285,2),IFERROR(ROUND(VALUE(SUBSTITUTE(SUBSTITUTE(SUBSTITUTE(J2285,"$",""),",","")," ","")),2),"bad")))</f>
        <v/>
      </c>
      <c r="P2285">
        <f>IF(TRIM(K2285)="","",IFERROR(MATCH(LOWER(TRIM(K2285)),'Students'!$AH$2:$AH$701,0),IFERROR(MATCH(LOWER(TRIM(K2285)),'Students'!$AF$2:$AF$701,0),IFERROR(MATCH(LOWER(TRIM(K2285)),'Students'!$AG$2:$AG$701,0),""))))</f>
        <v/>
      </c>
      <c r="R2285">
        <f>IF(P2285="","",INDEX('Students'!$AD$2:$AD$701,P2285))</f>
        <v/>
      </c>
      <c r="S2285">
        <f>IF(H2285="OK",O2285,0)</f>
        <v/>
      </c>
      <c r="T2285">
        <f>IF(H2285="OK",N2285,"")</f>
        <v/>
      </c>
      <c r="U2285">
        <f>IF(OC_Donor=0,"",IF(INDEX('OneCause_Paste'!$A$2285:$AZ$2285,1,OC_Donor)="","",INDEX('OneCause_Paste'!$A$2285:$AZ$2285,1,OC_Donor)))</f>
        <v/>
      </c>
    </row>
    <row r="2286">
      <c r="A2286" s="62">
        <f>IF(H2286="","",IF(ISNUMBER(N2286),N2286,I2286))</f>
        <v/>
      </c>
      <c r="B2286">
        <f>IF(H2286="","",U2286)</f>
        <v/>
      </c>
      <c r="C2286">
        <f>IF(H2286="","",IF(P2286="",K2286,INDEX('Students'!$A$2:$A$701,P2286)))</f>
        <v/>
      </c>
      <c r="D2286">
        <f>IF(OR(H2286="",P2286=""),"",INDEX('Students'!$B$2:$B$701,P2286))</f>
        <v/>
      </c>
      <c r="E2286">
        <f>IF(OR(H2286="",P2286=""),"",INDEX('Students'!$C$2:$C$701,P2286))</f>
        <v/>
      </c>
      <c r="F2286" s="48">
        <f>IF(H2286="","",IF(ISNUMBER(O2286),O2286,J2286))</f>
        <v/>
      </c>
      <c r="G2286">
        <f>IF(H2286="","","OneCause")</f>
        <v/>
      </c>
      <c r="H2286">
        <f>IF(AND(I2286="",J2286="",K2286=""),"",IF(NOT(ISNUMBER(O2286)),"Bad amount",IF(O2286&lt;0,"Refund (not counted)",IF(O2286=0,"Zero amount",IF(NOT(ISNUMBER(N2286)),"Bad date",IF(P2286="","NAME NOT ON ROSTER",IF(L2286="","OK",IF(MATCH(L2286,$L$2:$L$3001,0)&lt;ROW()-1,"Duplicate (ignored)","OK"))))))))</f>
        <v/>
      </c>
      <c r="I2286">
        <f>IF(OC_Date=0,"",IF(INDEX('OneCause_Paste'!$A$2286:$AZ$2286,1,OC_Date)="","",INDEX('OneCause_Paste'!$A$2286:$AZ$2286,1,OC_Date)))</f>
        <v/>
      </c>
      <c r="J2286">
        <f>IF(OC_Amt=0,"",IF(INDEX('OneCause_Paste'!$A$2286:$AZ$2286,1,OC_Amt)="","",INDEX('OneCause_Paste'!$A$2286:$AZ$2286,1,OC_Amt)))</f>
        <v/>
      </c>
      <c r="K2286">
        <f>IF(OC_Name=0,"",IF(INDEX('OneCause_Paste'!$A$2286:$AZ$2286,1,OC_Name)="","",INDEX('OneCause_Paste'!$A$2286:$AZ$2286,1,OC_Name)))</f>
        <v/>
      </c>
      <c r="L2286">
        <f>IF(OC_Txn=0,"",IF(INDEX('OneCause_Paste'!$A$2286:$AZ$2286,1,OC_Txn)="","",INDEX('OneCause_Paste'!$A$2286:$AZ$2286,1,OC_Txn)))</f>
        <v/>
      </c>
      <c r="M2286">
        <f>IF(OC_Pay=0,"",IF(INDEX('OneCause_Paste'!$A$2286:$AZ$2286,1,OC_Pay)="","",INDEX('OneCause_Paste'!$A$2286:$AZ$2286,1,OC_Pay)))</f>
        <v/>
      </c>
      <c r="N2286">
        <f>IF(I2286="","",IF(ISNUMBER(I2286),INT(I2286),IFERROR(INT(DATEVALUE(I2286)),IFERROR(INT(VALUE(I2286)),"bad"))))</f>
        <v/>
      </c>
      <c r="O2286">
        <f>IF(J2286="","",IF(ISNUMBER(J2286),ROUND(J2286,2),IFERROR(ROUND(VALUE(SUBSTITUTE(SUBSTITUTE(SUBSTITUTE(J2286,"$",""),",","")," ","")),2),"bad")))</f>
        <v/>
      </c>
      <c r="P2286">
        <f>IF(TRIM(K2286)="","",IFERROR(MATCH(LOWER(TRIM(K2286)),'Students'!$AH$2:$AH$701,0),IFERROR(MATCH(LOWER(TRIM(K2286)),'Students'!$AF$2:$AF$701,0),IFERROR(MATCH(LOWER(TRIM(K2286)),'Students'!$AG$2:$AG$701,0),""))))</f>
        <v/>
      </c>
      <c r="R2286">
        <f>IF(P2286="","",INDEX('Students'!$AD$2:$AD$701,P2286))</f>
        <v/>
      </c>
      <c r="S2286">
        <f>IF(H2286="OK",O2286,0)</f>
        <v/>
      </c>
      <c r="T2286">
        <f>IF(H2286="OK",N2286,"")</f>
        <v/>
      </c>
      <c r="U2286">
        <f>IF(OC_Donor=0,"",IF(INDEX('OneCause_Paste'!$A$2286:$AZ$2286,1,OC_Donor)="","",INDEX('OneCause_Paste'!$A$2286:$AZ$2286,1,OC_Donor)))</f>
        <v/>
      </c>
    </row>
    <row r="2287">
      <c r="A2287" s="62">
        <f>IF(H2287="","",IF(ISNUMBER(N2287),N2287,I2287))</f>
        <v/>
      </c>
      <c r="B2287">
        <f>IF(H2287="","",U2287)</f>
        <v/>
      </c>
      <c r="C2287">
        <f>IF(H2287="","",IF(P2287="",K2287,INDEX('Students'!$A$2:$A$701,P2287)))</f>
        <v/>
      </c>
      <c r="D2287">
        <f>IF(OR(H2287="",P2287=""),"",INDEX('Students'!$B$2:$B$701,P2287))</f>
        <v/>
      </c>
      <c r="E2287">
        <f>IF(OR(H2287="",P2287=""),"",INDEX('Students'!$C$2:$C$701,P2287))</f>
        <v/>
      </c>
      <c r="F2287" s="48">
        <f>IF(H2287="","",IF(ISNUMBER(O2287),O2287,J2287))</f>
        <v/>
      </c>
      <c r="G2287">
        <f>IF(H2287="","","OneCause")</f>
        <v/>
      </c>
      <c r="H2287">
        <f>IF(AND(I2287="",J2287="",K2287=""),"",IF(NOT(ISNUMBER(O2287)),"Bad amount",IF(O2287&lt;0,"Refund (not counted)",IF(O2287=0,"Zero amount",IF(NOT(ISNUMBER(N2287)),"Bad date",IF(P2287="","NAME NOT ON ROSTER",IF(L2287="","OK",IF(MATCH(L2287,$L$2:$L$3001,0)&lt;ROW()-1,"Duplicate (ignored)","OK"))))))))</f>
        <v/>
      </c>
      <c r="I2287">
        <f>IF(OC_Date=0,"",IF(INDEX('OneCause_Paste'!$A$2287:$AZ$2287,1,OC_Date)="","",INDEX('OneCause_Paste'!$A$2287:$AZ$2287,1,OC_Date)))</f>
        <v/>
      </c>
      <c r="J2287">
        <f>IF(OC_Amt=0,"",IF(INDEX('OneCause_Paste'!$A$2287:$AZ$2287,1,OC_Amt)="","",INDEX('OneCause_Paste'!$A$2287:$AZ$2287,1,OC_Amt)))</f>
        <v/>
      </c>
      <c r="K2287">
        <f>IF(OC_Name=0,"",IF(INDEX('OneCause_Paste'!$A$2287:$AZ$2287,1,OC_Name)="","",INDEX('OneCause_Paste'!$A$2287:$AZ$2287,1,OC_Name)))</f>
        <v/>
      </c>
      <c r="L2287">
        <f>IF(OC_Txn=0,"",IF(INDEX('OneCause_Paste'!$A$2287:$AZ$2287,1,OC_Txn)="","",INDEX('OneCause_Paste'!$A$2287:$AZ$2287,1,OC_Txn)))</f>
        <v/>
      </c>
      <c r="M2287">
        <f>IF(OC_Pay=0,"",IF(INDEX('OneCause_Paste'!$A$2287:$AZ$2287,1,OC_Pay)="","",INDEX('OneCause_Paste'!$A$2287:$AZ$2287,1,OC_Pay)))</f>
        <v/>
      </c>
      <c r="N2287">
        <f>IF(I2287="","",IF(ISNUMBER(I2287),INT(I2287),IFERROR(INT(DATEVALUE(I2287)),IFERROR(INT(VALUE(I2287)),"bad"))))</f>
        <v/>
      </c>
      <c r="O2287">
        <f>IF(J2287="","",IF(ISNUMBER(J2287),ROUND(J2287,2),IFERROR(ROUND(VALUE(SUBSTITUTE(SUBSTITUTE(SUBSTITUTE(J2287,"$",""),",","")," ","")),2),"bad")))</f>
        <v/>
      </c>
      <c r="P2287">
        <f>IF(TRIM(K2287)="","",IFERROR(MATCH(LOWER(TRIM(K2287)),'Students'!$AH$2:$AH$701,0),IFERROR(MATCH(LOWER(TRIM(K2287)),'Students'!$AF$2:$AF$701,0),IFERROR(MATCH(LOWER(TRIM(K2287)),'Students'!$AG$2:$AG$701,0),""))))</f>
        <v/>
      </c>
      <c r="R2287">
        <f>IF(P2287="","",INDEX('Students'!$AD$2:$AD$701,P2287))</f>
        <v/>
      </c>
      <c r="S2287">
        <f>IF(H2287="OK",O2287,0)</f>
        <v/>
      </c>
      <c r="T2287">
        <f>IF(H2287="OK",N2287,"")</f>
        <v/>
      </c>
      <c r="U2287">
        <f>IF(OC_Donor=0,"",IF(INDEX('OneCause_Paste'!$A$2287:$AZ$2287,1,OC_Donor)="","",INDEX('OneCause_Paste'!$A$2287:$AZ$2287,1,OC_Donor)))</f>
        <v/>
      </c>
    </row>
    <row r="2288">
      <c r="A2288" s="62">
        <f>IF(H2288="","",IF(ISNUMBER(N2288),N2288,I2288))</f>
        <v/>
      </c>
      <c r="B2288">
        <f>IF(H2288="","",U2288)</f>
        <v/>
      </c>
      <c r="C2288">
        <f>IF(H2288="","",IF(P2288="",K2288,INDEX('Students'!$A$2:$A$701,P2288)))</f>
        <v/>
      </c>
      <c r="D2288">
        <f>IF(OR(H2288="",P2288=""),"",INDEX('Students'!$B$2:$B$701,P2288))</f>
        <v/>
      </c>
      <c r="E2288">
        <f>IF(OR(H2288="",P2288=""),"",INDEX('Students'!$C$2:$C$701,P2288))</f>
        <v/>
      </c>
      <c r="F2288" s="48">
        <f>IF(H2288="","",IF(ISNUMBER(O2288),O2288,J2288))</f>
        <v/>
      </c>
      <c r="G2288">
        <f>IF(H2288="","","OneCause")</f>
        <v/>
      </c>
      <c r="H2288">
        <f>IF(AND(I2288="",J2288="",K2288=""),"",IF(NOT(ISNUMBER(O2288)),"Bad amount",IF(O2288&lt;0,"Refund (not counted)",IF(O2288=0,"Zero amount",IF(NOT(ISNUMBER(N2288)),"Bad date",IF(P2288="","NAME NOT ON ROSTER",IF(L2288="","OK",IF(MATCH(L2288,$L$2:$L$3001,0)&lt;ROW()-1,"Duplicate (ignored)","OK"))))))))</f>
        <v/>
      </c>
      <c r="I2288">
        <f>IF(OC_Date=0,"",IF(INDEX('OneCause_Paste'!$A$2288:$AZ$2288,1,OC_Date)="","",INDEX('OneCause_Paste'!$A$2288:$AZ$2288,1,OC_Date)))</f>
        <v/>
      </c>
      <c r="J2288">
        <f>IF(OC_Amt=0,"",IF(INDEX('OneCause_Paste'!$A$2288:$AZ$2288,1,OC_Amt)="","",INDEX('OneCause_Paste'!$A$2288:$AZ$2288,1,OC_Amt)))</f>
        <v/>
      </c>
      <c r="K2288">
        <f>IF(OC_Name=0,"",IF(INDEX('OneCause_Paste'!$A$2288:$AZ$2288,1,OC_Name)="","",INDEX('OneCause_Paste'!$A$2288:$AZ$2288,1,OC_Name)))</f>
        <v/>
      </c>
      <c r="L2288">
        <f>IF(OC_Txn=0,"",IF(INDEX('OneCause_Paste'!$A$2288:$AZ$2288,1,OC_Txn)="","",INDEX('OneCause_Paste'!$A$2288:$AZ$2288,1,OC_Txn)))</f>
        <v/>
      </c>
      <c r="M2288">
        <f>IF(OC_Pay=0,"",IF(INDEX('OneCause_Paste'!$A$2288:$AZ$2288,1,OC_Pay)="","",INDEX('OneCause_Paste'!$A$2288:$AZ$2288,1,OC_Pay)))</f>
        <v/>
      </c>
      <c r="N2288">
        <f>IF(I2288="","",IF(ISNUMBER(I2288),INT(I2288),IFERROR(INT(DATEVALUE(I2288)),IFERROR(INT(VALUE(I2288)),"bad"))))</f>
        <v/>
      </c>
      <c r="O2288">
        <f>IF(J2288="","",IF(ISNUMBER(J2288),ROUND(J2288,2),IFERROR(ROUND(VALUE(SUBSTITUTE(SUBSTITUTE(SUBSTITUTE(J2288,"$",""),",","")," ","")),2),"bad")))</f>
        <v/>
      </c>
      <c r="P2288">
        <f>IF(TRIM(K2288)="","",IFERROR(MATCH(LOWER(TRIM(K2288)),'Students'!$AH$2:$AH$701,0),IFERROR(MATCH(LOWER(TRIM(K2288)),'Students'!$AF$2:$AF$701,0),IFERROR(MATCH(LOWER(TRIM(K2288)),'Students'!$AG$2:$AG$701,0),""))))</f>
        <v/>
      </c>
      <c r="R2288">
        <f>IF(P2288="","",INDEX('Students'!$AD$2:$AD$701,P2288))</f>
        <v/>
      </c>
      <c r="S2288">
        <f>IF(H2288="OK",O2288,0)</f>
        <v/>
      </c>
      <c r="T2288">
        <f>IF(H2288="OK",N2288,"")</f>
        <v/>
      </c>
      <c r="U2288">
        <f>IF(OC_Donor=0,"",IF(INDEX('OneCause_Paste'!$A$2288:$AZ$2288,1,OC_Donor)="","",INDEX('OneCause_Paste'!$A$2288:$AZ$2288,1,OC_Donor)))</f>
        <v/>
      </c>
    </row>
    <row r="2289">
      <c r="A2289" s="62">
        <f>IF(H2289="","",IF(ISNUMBER(N2289),N2289,I2289))</f>
        <v/>
      </c>
      <c r="B2289">
        <f>IF(H2289="","",U2289)</f>
        <v/>
      </c>
      <c r="C2289">
        <f>IF(H2289="","",IF(P2289="",K2289,INDEX('Students'!$A$2:$A$701,P2289)))</f>
        <v/>
      </c>
      <c r="D2289">
        <f>IF(OR(H2289="",P2289=""),"",INDEX('Students'!$B$2:$B$701,P2289))</f>
        <v/>
      </c>
      <c r="E2289">
        <f>IF(OR(H2289="",P2289=""),"",INDEX('Students'!$C$2:$C$701,P2289))</f>
        <v/>
      </c>
      <c r="F2289" s="48">
        <f>IF(H2289="","",IF(ISNUMBER(O2289),O2289,J2289))</f>
        <v/>
      </c>
      <c r="G2289">
        <f>IF(H2289="","","OneCause")</f>
        <v/>
      </c>
      <c r="H2289">
        <f>IF(AND(I2289="",J2289="",K2289=""),"",IF(NOT(ISNUMBER(O2289)),"Bad amount",IF(O2289&lt;0,"Refund (not counted)",IF(O2289=0,"Zero amount",IF(NOT(ISNUMBER(N2289)),"Bad date",IF(P2289="","NAME NOT ON ROSTER",IF(L2289="","OK",IF(MATCH(L2289,$L$2:$L$3001,0)&lt;ROW()-1,"Duplicate (ignored)","OK"))))))))</f>
        <v/>
      </c>
      <c r="I2289">
        <f>IF(OC_Date=0,"",IF(INDEX('OneCause_Paste'!$A$2289:$AZ$2289,1,OC_Date)="","",INDEX('OneCause_Paste'!$A$2289:$AZ$2289,1,OC_Date)))</f>
        <v/>
      </c>
      <c r="J2289">
        <f>IF(OC_Amt=0,"",IF(INDEX('OneCause_Paste'!$A$2289:$AZ$2289,1,OC_Amt)="","",INDEX('OneCause_Paste'!$A$2289:$AZ$2289,1,OC_Amt)))</f>
        <v/>
      </c>
      <c r="K2289">
        <f>IF(OC_Name=0,"",IF(INDEX('OneCause_Paste'!$A$2289:$AZ$2289,1,OC_Name)="","",INDEX('OneCause_Paste'!$A$2289:$AZ$2289,1,OC_Name)))</f>
        <v/>
      </c>
      <c r="L2289">
        <f>IF(OC_Txn=0,"",IF(INDEX('OneCause_Paste'!$A$2289:$AZ$2289,1,OC_Txn)="","",INDEX('OneCause_Paste'!$A$2289:$AZ$2289,1,OC_Txn)))</f>
        <v/>
      </c>
      <c r="M2289">
        <f>IF(OC_Pay=0,"",IF(INDEX('OneCause_Paste'!$A$2289:$AZ$2289,1,OC_Pay)="","",INDEX('OneCause_Paste'!$A$2289:$AZ$2289,1,OC_Pay)))</f>
        <v/>
      </c>
      <c r="N2289">
        <f>IF(I2289="","",IF(ISNUMBER(I2289),INT(I2289),IFERROR(INT(DATEVALUE(I2289)),IFERROR(INT(VALUE(I2289)),"bad"))))</f>
        <v/>
      </c>
      <c r="O2289">
        <f>IF(J2289="","",IF(ISNUMBER(J2289),ROUND(J2289,2),IFERROR(ROUND(VALUE(SUBSTITUTE(SUBSTITUTE(SUBSTITUTE(J2289,"$",""),",","")," ","")),2),"bad")))</f>
        <v/>
      </c>
      <c r="P2289">
        <f>IF(TRIM(K2289)="","",IFERROR(MATCH(LOWER(TRIM(K2289)),'Students'!$AH$2:$AH$701,0),IFERROR(MATCH(LOWER(TRIM(K2289)),'Students'!$AF$2:$AF$701,0),IFERROR(MATCH(LOWER(TRIM(K2289)),'Students'!$AG$2:$AG$701,0),""))))</f>
        <v/>
      </c>
      <c r="R2289">
        <f>IF(P2289="","",INDEX('Students'!$AD$2:$AD$701,P2289))</f>
        <v/>
      </c>
      <c r="S2289">
        <f>IF(H2289="OK",O2289,0)</f>
        <v/>
      </c>
      <c r="T2289">
        <f>IF(H2289="OK",N2289,"")</f>
        <v/>
      </c>
      <c r="U2289">
        <f>IF(OC_Donor=0,"",IF(INDEX('OneCause_Paste'!$A$2289:$AZ$2289,1,OC_Donor)="","",INDEX('OneCause_Paste'!$A$2289:$AZ$2289,1,OC_Donor)))</f>
        <v/>
      </c>
    </row>
    <row r="2290">
      <c r="A2290" s="62">
        <f>IF(H2290="","",IF(ISNUMBER(N2290),N2290,I2290))</f>
        <v/>
      </c>
      <c r="B2290">
        <f>IF(H2290="","",U2290)</f>
        <v/>
      </c>
      <c r="C2290">
        <f>IF(H2290="","",IF(P2290="",K2290,INDEX('Students'!$A$2:$A$701,P2290)))</f>
        <v/>
      </c>
      <c r="D2290">
        <f>IF(OR(H2290="",P2290=""),"",INDEX('Students'!$B$2:$B$701,P2290))</f>
        <v/>
      </c>
      <c r="E2290">
        <f>IF(OR(H2290="",P2290=""),"",INDEX('Students'!$C$2:$C$701,P2290))</f>
        <v/>
      </c>
      <c r="F2290" s="48">
        <f>IF(H2290="","",IF(ISNUMBER(O2290),O2290,J2290))</f>
        <v/>
      </c>
      <c r="G2290">
        <f>IF(H2290="","","OneCause")</f>
        <v/>
      </c>
      <c r="H2290">
        <f>IF(AND(I2290="",J2290="",K2290=""),"",IF(NOT(ISNUMBER(O2290)),"Bad amount",IF(O2290&lt;0,"Refund (not counted)",IF(O2290=0,"Zero amount",IF(NOT(ISNUMBER(N2290)),"Bad date",IF(P2290="","NAME NOT ON ROSTER",IF(L2290="","OK",IF(MATCH(L2290,$L$2:$L$3001,0)&lt;ROW()-1,"Duplicate (ignored)","OK"))))))))</f>
        <v/>
      </c>
      <c r="I2290">
        <f>IF(OC_Date=0,"",IF(INDEX('OneCause_Paste'!$A$2290:$AZ$2290,1,OC_Date)="","",INDEX('OneCause_Paste'!$A$2290:$AZ$2290,1,OC_Date)))</f>
        <v/>
      </c>
      <c r="J2290">
        <f>IF(OC_Amt=0,"",IF(INDEX('OneCause_Paste'!$A$2290:$AZ$2290,1,OC_Amt)="","",INDEX('OneCause_Paste'!$A$2290:$AZ$2290,1,OC_Amt)))</f>
        <v/>
      </c>
      <c r="K2290">
        <f>IF(OC_Name=0,"",IF(INDEX('OneCause_Paste'!$A$2290:$AZ$2290,1,OC_Name)="","",INDEX('OneCause_Paste'!$A$2290:$AZ$2290,1,OC_Name)))</f>
        <v/>
      </c>
      <c r="L2290">
        <f>IF(OC_Txn=0,"",IF(INDEX('OneCause_Paste'!$A$2290:$AZ$2290,1,OC_Txn)="","",INDEX('OneCause_Paste'!$A$2290:$AZ$2290,1,OC_Txn)))</f>
        <v/>
      </c>
      <c r="M2290">
        <f>IF(OC_Pay=0,"",IF(INDEX('OneCause_Paste'!$A$2290:$AZ$2290,1,OC_Pay)="","",INDEX('OneCause_Paste'!$A$2290:$AZ$2290,1,OC_Pay)))</f>
        <v/>
      </c>
      <c r="N2290">
        <f>IF(I2290="","",IF(ISNUMBER(I2290),INT(I2290),IFERROR(INT(DATEVALUE(I2290)),IFERROR(INT(VALUE(I2290)),"bad"))))</f>
        <v/>
      </c>
      <c r="O2290">
        <f>IF(J2290="","",IF(ISNUMBER(J2290),ROUND(J2290,2),IFERROR(ROUND(VALUE(SUBSTITUTE(SUBSTITUTE(SUBSTITUTE(J2290,"$",""),",","")," ","")),2),"bad")))</f>
        <v/>
      </c>
      <c r="P2290">
        <f>IF(TRIM(K2290)="","",IFERROR(MATCH(LOWER(TRIM(K2290)),'Students'!$AH$2:$AH$701,0),IFERROR(MATCH(LOWER(TRIM(K2290)),'Students'!$AF$2:$AF$701,0),IFERROR(MATCH(LOWER(TRIM(K2290)),'Students'!$AG$2:$AG$701,0),""))))</f>
        <v/>
      </c>
      <c r="R2290">
        <f>IF(P2290="","",INDEX('Students'!$AD$2:$AD$701,P2290))</f>
        <v/>
      </c>
      <c r="S2290">
        <f>IF(H2290="OK",O2290,0)</f>
        <v/>
      </c>
      <c r="T2290">
        <f>IF(H2290="OK",N2290,"")</f>
        <v/>
      </c>
      <c r="U2290">
        <f>IF(OC_Donor=0,"",IF(INDEX('OneCause_Paste'!$A$2290:$AZ$2290,1,OC_Donor)="","",INDEX('OneCause_Paste'!$A$2290:$AZ$2290,1,OC_Donor)))</f>
        <v/>
      </c>
    </row>
    <row r="2291">
      <c r="A2291" s="62">
        <f>IF(H2291="","",IF(ISNUMBER(N2291),N2291,I2291))</f>
        <v/>
      </c>
      <c r="B2291">
        <f>IF(H2291="","",U2291)</f>
        <v/>
      </c>
      <c r="C2291">
        <f>IF(H2291="","",IF(P2291="",K2291,INDEX('Students'!$A$2:$A$701,P2291)))</f>
        <v/>
      </c>
      <c r="D2291">
        <f>IF(OR(H2291="",P2291=""),"",INDEX('Students'!$B$2:$B$701,P2291))</f>
        <v/>
      </c>
      <c r="E2291">
        <f>IF(OR(H2291="",P2291=""),"",INDEX('Students'!$C$2:$C$701,P2291))</f>
        <v/>
      </c>
      <c r="F2291" s="48">
        <f>IF(H2291="","",IF(ISNUMBER(O2291),O2291,J2291))</f>
        <v/>
      </c>
      <c r="G2291">
        <f>IF(H2291="","","OneCause")</f>
        <v/>
      </c>
      <c r="H2291">
        <f>IF(AND(I2291="",J2291="",K2291=""),"",IF(NOT(ISNUMBER(O2291)),"Bad amount",IF(O2291&lt;0,"Refund (not counted)",IF(O2291=0,"Zero amount",IF(NOT(ISNUMBER(N2291)),"Bad date",IF(P2291="","NAME NOT ON ROSTER",IF(L2291="","OK",IF(MATCH(L2291,$L$2:$L$3001,0)&lt;ROW()-1,"Duplicate (ignored)","OK"))))))))</f>
        <v/>
      </c>
      <c r="I2291">
        <f>IF(OC_Date=0,"",IF(INDEX('OneCause_Paste'!$A$2291:$AZ$2291,1,OC_Date)="","",INDEX('OneCause_Paste'!$A$2291:$AZ$2291,1,OC_Date)))</f>
        <v/>
      </c>
      <c r="J2291">
        <f>IF(OC_Amt=0,"",IF(INDEX('OneCause_Paste'!$A$2291:$AZ$2291,1,OC_Amt)="","",INDEX('OneCause_Paste'!$A$2291:$AZ$2291,1,OC_Amt)))</f>
        <v/>
      </c>
      <c r="K2291">
        <f>IF(OC_Name=0,"",IF(INDEX('OneCause_Paste'!$A$2291:$AZ$2291,1,OC_Name)="","",INDEX('OneCause_Paste'!$A$2291:$AZ$2291,1,OC_Name)))</f>
        <v/>
      </c>
      <c r="L2291">
        <f>IF(OC_Txn=0,"",IF(INDEX('OneCause_Paste'!$A$2291:$AZ$2291,1,OC_Txn)="","",INDEX('OneCause_Paste'!$A$2291:$AZ$2291,1,OC_Txn)))</f>
        <v/>
      </c>
      <c r="M2291">
        <f>IF(OC_Pay=0,"",IF(INDEX('OneCause_Paste'!$A$2291:$AZ$2291,1,OC_Pay)="","",INDEX('OneCause_Paste'!$A$2291:$AZ$2291,1,OC_Pay)))</f>
        <v/>
      </c>
      <c r="N2291">
        <f>IF(I2291="","",IF(ISNUMBER(I2291),INT(I2291),IFERROR(INT(DATEVALUE(I2291)),IFERROR(INT(VALUE(I2291)),"bad"))))</f>
        <v/>
      </c>
      <c r="O2291">
        <f>IF(J2291="","",IF(ISNUMBER(J2291),ROUND(J2291,2),IFERROR(ROUND(VALUE(SUBSTITUTE(SUBSTITUTE(SUBSTITUTE(J2291,"$",""),",","")," ","")),2),"bad")))</f>
        <v/>
      </c>
      <c r="P2291">
        <f>IF(TRIM(K2291)="","",IFERROR(MATCH(LOWER(TRIM(K2291)),'Students'!$AH$2:$AH$701,0),IFERROR(MATCH(LOWER(TRIM(K2291)),'Students'!$AF$2:$AF$701,0),IFERROR(MATCH(LOWER(TRIM(K2291)),'Students'!$AG$2:$AG$701,0),""))))</f>
        <v/>
      </c>
      <c r="R2291">
        <f>IF(P2291="","",INDEX('Students'!$AD$2:$AD$701,P2291))</f>
        <v/>
      </c>
      <c r="S2291">
        <f>IF(H2291="OK",O2291,0)</f>
        <v/>
      </c>
      <c r="T2291">
        <f>IF(H2291="OK",N2291,"")</f>
        <v/>
      </c>
      <c r="U2291">
        <f>IF(OC_Donor=0,"",IF(INDEX('OneCause_Paste'!$A$2291:$AZ$2291,1,OC_Donor)="","",INDEX('OneCause_Paste'!$A$2291:$AZ$2291,1,OC_Donor)))</f>
        <v/>
      </c>
    </row>
    <row r="2292">
      <c r="A2292" s="62">
        <f>IF(H2292="","",IF(ISNUMBER(N2292),N2292,I2292))</f>
        <v/>
      </c>
      <c r="B2292">
        <f>IF(H2292="","",U2292)</f>
        <v/>
      </c>
      <c r="C2292">
        <f>IF(H2292="","",IF(P2292="",K2292,INDEX('Students'!$A$2:$A$701,P2292)))</f>
        <v/>
      </c>
      <c r="D2292">
        <f>IF(OR(H2292="",P2292=""),"",INDEX('Students'!$B$2:$B$701,P2292))</f>
        <v/>
      </c>
      <c r="E2292">
        <f>IF(OR(H2292="",P2292=""),"",INDEX('Students'!$C$2:$C$701,P2292))</f>
        <v/>
      </c>
      <c r="F2292" s="48">
        <f>IF(H2292="","",IF(ISNUMBER(O2292),O2292,J2292))</f>
        <v/>
      </c>
      <c r="G2292">
        <f>IF(H2292="","","OneCause")</f>
        <v/>
      </c>
      <c r="H2292">
        <f>IF(AND(I2292="",J2292="",K2292=""),"",IF(NOT(ISNUMBER(O2292)),"Bad amount",IF(O2292&lt;0,"Refund (not counted)",IF(O2292=0,"Zero amount",IF(NOT(ISNUMBER(N2292)),"Bad date",IF(P2292="","NAME NOT ON ROSTER",IF(L2292="","OK",IF(MATCH(L2292,$L$2:$L$3001,0)&lt;ROW()-1,"Duplicate (ignored)","OK"))))))))</f>
        <v/>
      </c>
      <c r="I2292">
        <f>IF(OC_Date=0,"",IF(INDEX('OneCause_Paste'!$A$2292:$AZ$2292,1,OC_Date)="","",INDEX('OneCause_Paste'!$A$2292:$AZ$2292,1,OC_Date)))</f>
        <v/>
      </c>
      <c r="J2292">
        <f>IF(OC_Amt=0,"",IF(INDEX('OneCause_Paste'!$A$2292:$AZ$2292,1,OC_Amt)="","",INDEX('OneCause_Paste'!$A$2292:$AZ$2292,1,OC_Amt)))</f>
        <v/>
      </c>
      <c r="K2292">
        <f>IF(OC_Name=0,"",IF(INDEX('OneCause_Paste'!$A$2292:$AZ$2292,1,OC_Name)="","",INDEX('OneCause_Paste'!$A$2292:$AZ$2292,1,OC_Name)))</f>
        <v/>
      </c>
      <c r="L2292">
        <f>IF(OC_Txn=0,"",IF(INDEX('OneCause_Paste'!$A$2292:$AZ$2292,1,OC_Txn)="","",INDEX('OneCause_Paste'!$A$2292:$AZ$2292,1,OC_Txn)))</f>
        <v/>
      </c>
      <c r="M2292">
        <f>IF(OC_Pay=0,"",IF(INDEX('OneCause_Paste'!$A$2292:$AZ$2292,1,OC_Pay)="","",INDEX('OneCause_Paste'!$A$2292:$AZ$2292,1,OC_Pay)))</f>
        <v/>
      </c>
      <c r="N2292">
        <f>IF(I2292="","",IF(ISNUMBER(I2292),INT(I2292),IFERROR(INT(DATEVALUE(I2292)),IFERROR(INT(VALUE(I2292)),"bad"))))</f>
        <v/>
      </c>
      <c r="O2292">
        <f>IF(J2292="","",IF(ISNUMBER(J2292),ROUND(J2292,2),IFERROR(ROUND(VALUE(SUBSTITUTE(SUBSTITUTE(SUBSTITUTE(J2292,"$",""),",","")," ","")),2),"bad")))</f>
        <v/>
      </c>
      <c r="P2292">
        <f>IF(TRIM(K2292)="","",IFERROR(MATCH(LOWER(TRIM(K2292)),'Students'!$AH$2:$AH$701,0),IFERROR(MATCH(LOWER(TRIM(K2292)),'Students'!$AF$2:$AF$701,0),IFERROR(MATCH(LOWER(TRIM(K2292)),'Students'!$AG$2:$AG$701,0),""))))</f>
        <v/>
      </c>
      <c r="R2292">
        <f>IF(P2292="","",INDEX('Students'!$AD$2:$AD$701,P2292))</f>
        <v/>
      </c>
      <c r="S2292">
        <f>IF(H2292="OK",O2292,0)</f>
        <v/>
      </c>
      <c r="T2292">
        <f>IF(H2292="OK",N2292,"")</f>
        <v/>
      </c>
      <c r="U2292">
        <f>IF(OC_Donor=0,"",IF(INDEX('OneCause_Paste'!$A$2292:$AZ$2292,1,OC_Donor)="","",INDEX('OneCause_Paste'!$A$2292:$AZ$2292,1,OC_Donor)))</f>
        <v/>
      </c>
    </row>
    <row r="2293">
      <c r="A2293" s="62">
        <f>IF(H2293="","",IF(ISNUMBER(N2293),N2293,I2293))</f>
        <v/>
      </c>
      <c r="B2293">
        <f>IF(H2293="","",U2293)</f>
        <v/>
      </c>
      <c r="C2293">
        <f>IF(H2293="","",IF(P2293="",K2293,INDEX('Students'!$A$2:$A$701,P2293)))</f>
        <v/>
      </c>
      <c r="D2293">
        <f>IF(OR(H2293="",P2293=""),"",INDEX('Students'!$B$2:$B$701,P2293))</f>
        <v/>
      </c>
      <c r="E2293">
        <f>IF(OR(H2293="",P2293=""),"",INDEX('Students'!$C$2:$C$701,P2293))</f>
        <v/>
      </c>
      <c r="F2293" s="48">
        <f>IF(H2293="","",IF(ISNUMBER(O2293),O2293,J2293))</f>
        <v/>
      </c>
      <c r="G2293">
        <f>IF(H2293="","","OneCause")</f>
        <v/>
      </c>
      <c r="H2293">
        <f>IF(AND(I2293="",J2293="",K2293=""),"",IF(NOT(ISNUMBER(O2293)),"Bad amount",IF(O2293&lt;0,"Refund (not counted)",IF(O2293=0,"Zero amount",IF(NOT(ISNUMBER(N2293)),"Bad date",IF(P2293="","NAME NOT ON ROSTER",IF(L2293="","OK",IF(MATCH(L2293,$L$2:$L$3001,0)&lt;ROW()-1,"Duplicate (ignored)","OK"))))))))</f>
        <v/>
      </c>
      <c r="I2293">
        <f>IF(OC_Date=0,"",IF(INDEX('OneCause_Paste'!$A$2293:$AZ$2293,1,OC_Date)="","",INDEX('OneCause_Paste'!$A$2293:$AZ$2293,1,OC_Date)))</f>
        <v/>
      </c>
      <c r="J2293">
        <f>IF(OC_Amt=0,"",IF(INDEX('OneCause_Paste'!$A$2293:$AZ$2293,1,OC_Amt)="","",INDEX('OneCause_Paste'!$A$2293:$AZ$2293,1,OC_Amt)))</f>
        <v/>
      </c>
      <c r="K2293">
        <f>IF(OC_Name=0,"",IF(INDEX('OneCause_Paste'!$A$2293:$AZ$2293,1,OC_Name)="","",INDEX('OneCause_Paste'!$A$2293:$AZ$2293,1,OC_Name)))</f>
        <v/>
      </c>
      <c r="L2293">
        <f>IF(OC_Txn=0,"",IF(INDEX('OneCause_Paste'!$A$2293:$AZ$2293,1,OC_Txn)="","",INDEX('OneCause_Paste'!$A$2293:$AZ$2293,1,OC_Txn)))</f>
        <v/>
      </c>
      <c r="M2293">
        <f>IF(OC_Pay=0,"",IF(INDEX('OneCause_Paste'!$A$2293:$AZ$2293,1,OC_Pay)="","",INDEX('OneCause_Paste'!$A$2293:$AZ$2293,1,OC_Pay)))</f>
        <v/>
      </c>
      <c r="N2293">
        <f>IF(I2293="","",IF(ISNUMBER(I2293),INT(I2293),IFERROR(INT(DATEVALUE(I2293)),IFERROR(INT(VALUE(I2293)),"bad"))))</f>
        <v/>
      </c>
      <c r="O2293">
        <f>IF(J2293="","",IF(ISNUMBER(J2293),ROUND(J2293,2),IFERROR(ROUND(VALUE(SUBSTITUTE(SUBSTITUTE(SUBSTITUTE(J2293,"$",""),",","")," ","")),2),"bad")))</f>
        <v/>
      </c>
      <c r="P2293">
        <f>IF(TRIM(K2293)="","",IFERROR(MATCH(LOWER(TRIM(K2293)),'Students'!$AH$2:$AH$701,0),IFERROR(MATCH(LOWER(TRIM(K2293)),'Students'!$AF$2:$AF$701,0),IFERROR(MATCH(LOWER(TRIM(K2293)),'Students'!$AG$2:$AG$701,0),""))))</f>
        <v/>
      </c>
      <c r="R2293">
        <f>IF(P2293="","",INDEX('Students'!$AD$2:$AD$701,P2293))</f>
        <v/>
      </c>
      <c r="S2293">
        <f>IF(H2293="OK",O2293,0)</f>
        <v/>
      </c>
      <c r="T2293">
        <f>IF(H2293="OK",N2293,"")</f>
        <v/>
      </c>
      <c r="U2293">
        <f>IF(OC_Donor=0,"",IF(INDEX('OneCause_Paste'!$A$2293:$AZ$2293,1,OC_Donor)="","",INDEX('OneCause_Paste'!$A$2293:$AZ$2293,1,OC_Donor)))</f>
        <v/>
      </c>
    </row>
    <row r="2294">
      <c r="A2294" s="62">
        <f>IF(H2294="","",IF(ISNUMBER(N2294),N2294,I2294))</f>
        <v/>
      </c>
      <c r="B2294">
        <f>IF(H2294="","",U2294)</f>
        <v/>
      </c>
      <c r="C2294">
        <f>IF(H2294="","",IF(P2294="",K2294,INDEX('Students'!$A$2:$A$701,P2294)))</f>
        <v/>
      </c>
      <c r="D2294">
        <f>IF(OR(H2294="",P2294=""),"",INDEX('Students'!$B$2:$B$701,P2294))</f>
        <v/>
      </c>
      <c r="E2294">
        <f>IF(OR(H2294="",P2294=""),"",INDEX('Students'!$C$2:$C$701,P2294))</f>
        <v/>
      </c>
      <c r="F2294" s="48">
        <f>IF(H2294="","",IF(ISNUMBER(O2294),O2294,J2294))</f>
        <v/>
      </c>
      <c r="G2294">
        <f>IF(H2294="","","OneCause")</f>
        <v/>
      </c>
      <c r="H2294">
        <f>IF(AND(I2294="",J2294="",K2294=""),"",IF(NOT(ISNUMBER(O2294)),"Bad amount",IF(O2294&lt;0,"Refund (not counted)",IF(O2294=0,"Zero amount",IF(NOT(ISNUMBER(N2294)),"Bad date",IF(P2294="","NAME NOT ON ROSTER",IF(L2294="","OK",IF(MATCH(L2294,$L$2:$L$3001,0)&lt;ROW()-1,"Duplicate (ignored)","OK"))))))))</f>
        <v/>
      </c>
      <c r="I2294">
        <f>IF(OC_Date=0,"",IF(INDEX('OneCause_Paste'!$A$2294:$AZ$2294,1,OC_Date)="","",INDEX('OneCause_Paste'!$A$2294:$AZ$2294,1,OC_Date)))</f>
        <v/>
      </c>
      <c r="J2294">
        <f>IF(OC_Amt=0,"",IF(INDEX('OneCause_Paste'!$A$2294:$AZ$2294,1,OC_Amt)="","",INDEX('OneCause_Paste'!$A$2294:$AZ$2294,1,OC_Amt)))</f>
        <v/>
      </c>
      <c r="K2294">
        <f>IF(OC_Name=0,"",IF(INDEX('OneCause_Paste'!$A$2294:$AZ$2294,1,OC_Name)="","",INDEX('OneCause_Paste'!$A$2294:$AZ$2294,1,OC_Name)))</f>
        <v/>
      </c>
      <c r="L2294">
        <f>IF(OC_Txn=0,"",IF(INDEX('OneCause_Paste'!$A$2294:$AZ$2294,1,OC_Txn)="","",INDEX('OneCause_Paste'!$A$2294:$AZ$2294,1,OC_Txn)))</f>
        <v/>
      </c>
      <c r="M2294">
        <f>IF(OC_Pay=0,"",IF(INDEX('OneCause_Paste'!$A$2294:$AZ$2294,1,OC_Pay)="","",INDEX('OneCause_Paste'!$A$2294:$AZ$2294,1,OC_Pay)))</f>
        <v/>
      </c>
      <c r="N2294">
        <f>IF(I2294="","",IF(ISNUMBER(I2294),INT(I2294),IFERROR(INT(DATEVALUE(I2294)),IFERROR(INT(VALUE(I2294)),"bad"))))</f>
        <v/>
      </c>
      <c r="O2294">
        <f>IF(J2294="","",IF(ISNUMBER(J2294),ROUND(J2294,2),IFERROR(ROUND(VALUE(SUBSTITUTE(SUBSTITUTE(SUBSTITUTE(J2294,"$",""),",","")," ","")),2),"bad")))</f>
        <v/>
      </c>
      <c r="P2294">
        <f>IF(TRIM(K2294)="","",IFERROR(MATCH(LOWER(TRIM(K2294)),'Students'!$AH$2:$AH$701,0),IFERROR(MATCH(LOWER(TRIM(K2294)),'Students'!$AF$2:$AF$701,0),IFERROR(MATCH(LOWER(TRIM(K2294)),'Students'!$AG$2:$AG$701,0),""))))</f>
        <v/>
      </c>
      <c r="R2294">
        <f>IF(P2294="","",INDEX('Students'!$AD$2:$AD$701,P2294))</f>
        <v/>
      </c>
      <c r="S2294">
        <f>IF(H2294="OK",O2294,0)</f>
        <v/>
      </c>
      <c r="T2294">
        <f>IF(H2294="OK",N2294,"")</f>
        <v/>
      </c>
      <c r="U2294">
        <f>IF(OC_Donor=0,"",IF(INDEX('OneCause_Paste'!$A$2294:$AZ$2294,1,OC_Donor)="","",INDEX('OneCause_Paste'!$A$2294:$AZ$2294,1,OC_Donor)))</f>
        <v/>
      </c>
    </row>
    <row r="2295">
      <c r="A2295" s="62">
        <f>IF(H2295="","",IF(ISNUMBER(N2295),N2295,I2295))</f>
        <v/>
      </c>
      <c r="B2295">
        <f>IF(H2295="","",U2295)</f>
        <v/>
      </c>
      <c r="C2295">
        <f>IF(H2295="","",IF(P2295="",K2295,INDEX('Students'!$A$2:$A$701,P2295)))</f>
        <v/>
      </c>
      <c r="D2295">
        <f>IF(OR(H2295="",P2295=""),"",INDEX('Students'!$B$2:$B$701,P2295))</f>
        <v/>
      </c>
      <c r="E2295">
        <f>IF(OR(H2295="",P2295=""),"",INDEX('Students'!$C$2:$C$701,P2295))</f>
        <v/>
      </c>
      <c r="F2295" s="48">
        <f>IF(H2295="","",IF(ISNUMBER(O2295),O2295,J2295))</f>
        <v/>
      </c>
      <c r="G2295">
        <f>IF(H2295="","","OneCause")</f>
        <v/>
      </c>
      <c r="H2295">
        <f>IF(AND(I2295="",J2295="",K2295=""),"",IF(NOT(ISNUMBER(O2295)),"Bad amount",IF(O2295&lt;0,"Refund (not counted)",IF(O2295=0,"Zero amount",IF(NOT(ISNUMBER(N2295)),"Bad date",IF(P2295="","NAME NOT ON ROSTER",IF(L2295="","OK",IF(MATCH(L2295,$L$2:$L$3001,0)&lt;ROW()-1,"Duplicate (ignored)","OK"))))))))</f>
        <v/>
      </c>
      <c r="I2295">
        <f>IF(OC_Date=0,"",IF(INDEX('OneCause_Paste'!$A$2295:$AZ$2295,1,OC_Date)="","",INDEX('OneCause_Paste'!$A$2295:$AZ$2295,1,OC_Date)))</f>
        <v/>
      </c>
      <c r="J2295">
        <f>IF(OC_Amt=0,"",IF(INDEX('OneCause_Paste'!$A$2295:$AZ$2295,1,OC_Amt)="","",INDEX('OneCause_Paste'!$A$2295:$AZ$2295,1,OC_Amt)))</f>
        <v/>
      </c>
      <c r="K2295">
        <f>IF(OC_Name=0,"",IF(INDEX('OneCause_Paste'!$A$2295:$AZ$2295,1,OC_Name)="","",INDEX('OneCause_Paste'!$A$2295:$AZ$2295,1,OC_Name)))</f>
        <v/>
      </c>
      <c r="L2295">
        <f>IF(OC_Txn=0,"",IF(INDEX('OneCause_Paste'!$A$2295:$AZ$2295,1,OC_Txn)="","",INDEX('OneCause_Paste'!$A$2295:$AZ$2295,1,OC_Txn)))</f>
        <v/>
      </c>
      <c r="M2295">
        <f>IF(OC_Pay=0,"",IF(INDEX('OneCause_Paste'!$A$2295:$AZ$2295,1,OC_Pay)="","",INDEX('OneCause_Paste'!$A$2295:$AZ$2295,1,OC_Pay)))</f>
        <v/>
      </c>
      <c r="N2295">
        <f>IF(I2295="","",IF(ISNUMBER(I2295),INT(I2295),IFERROR(INT(DATEVALUE(I2295)),IFERROR(INT(VALUE(I2295)),"bad"))))</f>
        <v/>
      </c>
      <c r="O2295">
        <f>IF(J2295="","",IF(ISNUMBER(J2295),ROUND(J2295,2),IFERROR(ROUND(VALUE(SUBSTITUTE(SUBSTITUTE(SUBSTITUTE(J2295,"$",""),",","")," ","")),2),"bad")))</f>
        <v/>
      </c>
      <c r="P2295">
        <f>IF(TRIM(K2295)="","",IFERROR(MATCH(LOWER(TRIM(K2295)),'Students'!$AH$2:$AH$701,0),IFERROR(MATCH(LOWER(TRIM(K2295)),'Students'!$AF$2:$AF$701,0),IFERROR(MATCH(LOWER(TRIM(K2295)),'Students'!$AG$2:$AG$701,0),""))))</f>
        <v/>
      </c>
      <c r="R2295">
        <f>IF(P2295="","",INDEX('Students'!$AD$2:$AD$701,P2295))</f>
        <v/>
      </c>
      <c r="S2295">
        <f>IF(H2295="OK",O2295,0)</f>
        <v/>
      </c>
      <c r="T2295">
        <f>IF(H2295="OK",N2295,"")</f>
        <v/>
      </c>
      <c r="U2295">
        <f>IF(OC_Donor=0,"",IF(INDEX('OneCause_Paste'!$A$2295:$AZ$2295,1,OC_Donor)="","",INDEX('OneCause_Paste'!$A$2295:$AZ$2295,1,OC_Donor)))</f>
        <v/>
      </c>
    </row>
    <row r="2296">
      <c r="A2296" s="62">
        <f>IF(H2296="","",IF(ISNUMBER(N2296),N2296,I2296))</f>
        <v/>
      </c>
      <c r="B2296">
        <f>IF(H2296="","",U2296)</f>
        <v/>
      </c>
      <c r="C2296">
        <f>IF(H2296="","",IF(P2296="",K2296,INDEX('Students'!$A$2:$A$701,P2296)))</f>
        <v/>
      </c>
      <c r="D2296">
        <f>IF(OR(H2296="",P2296=""),"",INDEX('Students'!$B$2:$B$701,P2296))</f>
        <v/>
      </c>
      <c r="E2296">
        <f>IF(OR(H2296="",P2296=""),"",INDEX('Students'!$C$2:$C$701,P2296))</f>
        <v/>
      </c>
      <c r="F2296" s="48">
        <f>IF(H2296="","",IF(ISNUMBER(O2296),O2296,J2296))</f>
        <v/>
      </c>
      <c r="G2296">
        <f>IF(H2296="","","OneCause")</f>
        <v/>
      </c>
      <c r="H2296">
        <f>IF(AND(I2296="",J2296="",K2296=""),"",IF(NOT(ISNUMBER(O2296)),"Bad amount",IF(O2296&lt;0,"Refund (not counted)",IF(O2296=0,"Zero amount",IF(NOT(ISNUMBER(N2296)),"Bad date",IF(P2296="","NAME NOT ON ROSTER",IF(L2296="","OK",IF(MATCH(L2296,$L$2:$L$3001,0)&lt;ROW()-1,"Duplicate (ignored)","OK"))))))))</f>
        <v/>
      </c>
      <c r="I2296">
        <f>IF(OC_Date=0,"",IF(INDEX('OneCause_Paste'!$A$2296:$AZ$2296,1,OC_Date)="","",INDEX('OneCause_Paste'!$A$2296:$AZ$2296,1,OC_Date)))</f>
        <v/>
      </c>
      <c r="J2296">
        <f>IF(OC_Amt=0,"",IF(INDEX('OneCause_Paste'!$A$2296:$AZ$2296,1,OC_Amt)="","",INDEX('OneCause_Paste'!$A$2296:$AZ$2296,1,OC_Amt)))</f>
        <v/>
      </c>
      <c r="K2296">
        <f>IF(OC_Name=0,"",IF(INDEX('OneCause_Paste'!$A$2296:$AZ$2296,1,OC_Name)="","",INDEX('OneCause_Paste'!$A$2296:$AZ$2296,1,OC_Name)))</f>
        <v/>
      </c>
      <c r="L2296">
        <f>IF(OC_Txn=0,"",IF(INDEX('OneCause_Paste'!$A$2296:$AZ$2296,1,OC_Txn)="","",INDEX('OneCause_Paste'!$A$2296:$AZ$2296,1,OC_Txn)))</f>
        <v/>
      </c>
      <c r="M2296">
        <f>IF(OC_Pay=0,"",IF(INDEX('OneCause_Paste'!$A$2296:$AZ$2296,1,OC_Pay)="","",INDEX('OneCause_Paste'!$A$2296:$AZ$2296,1,OC_Pay)))</f>
        <v/>
      </c>
      <c r="N2296">
        <f>IF(I2296="","",IF(ISNUMBER(I2296),INT(I2296),IFERROR(INT(DATEVALUE(I2296)),IFERROR(INT(VALUE(I2296)),"bad"))))</f>
        <v/>
      </c>
      <c r="O2296">
        <f>IF(J2296="","",IF(ISNUMBER(J2296),ROUND(J2296,2),IFERROR(ROUND(VALUE(SUBSTITUTE(SUBSTITUTE(SUBSTITUTE(J2296,"$",""),",","")," ","")),2),"bad")))</f>
        <v/>
      </c>
      <c r="P2296">
        <f>IF(TRIM(K2296)="","",IFERROR(MATCH(LOWER(TRIM(K2296)),'Students'!$AH$2:$AH$701,0),IFERROR(MATCH(LOWER(TRIM(K2296)),'Students'!$AF$2:$AF$701,0),IFERROR(MATCH(LOWER(TRIM(K2296)),'Students'!$AG$2:$AG$701,0),""))))</f>
        <v/>
      </c>
      <c r="R2296">
        <f>IF(P2296="","",INDEX('Students'!$AD$2:$AD$701,P2296))</f>
        <v/>
      </c>
      <c r="S2296">
        <f>IF(H2296="OK",O2296,0)</f>
        <v/>
      </c>
      <c r="T2296">
        <f>IF(H2296="OK",N2296,"")</f>
        <v/>
      </c>
      <c r="U2296">
        <f>IF(OC_Donor=0,"",IF(INDEX('OneCause_Paste'!$A$2296:$AZ$2296,1,OC_Donor)="","",INDEX('OneCause_Paste'!$A$2296:$AZ$2296,1,OC_Donor)))</f>
        <v/>
      </c>
    </row>
    <row r="2297">
      <c r="A2297" s="62">
        <f>IF(H2297="","",IF(ISNUMBER(N2297),N2297,I2297))</f>
        <v/>
      </c>
      <c r="B2297">
        <f>IF(H2297="","",U2297)</f>
        <v/>
      </c>
      <c r="C2297">
        <f>IF(H2297="","",IF(P2297="",K2297,INDEX('Students'!$A$2:$A$701,P2297)))</f>
        <v/>
      </c>
      <c r="D2297">
        <f>IF(OR(H2297="",P2297=""),"",INDEX('Students'!$B$2:$B$701,P2297))</f>
        <v/>
      </c>
      <c r="E2297">
        <f>IF(OR(H2297="",P2297=""),"",INDEX('Students'!$C$2:$C$701,P2297))</f>
        <v/>
      </c>
      <c r="F2297" s="48">
        <f>IF(H2297="","",IF(ISNUMBER(O2297),O2297,J2297))</f>
        <v/>
      </c>
      <c r="G2297">
        <f>IF(H2297="","","OneCause")</f>
        <v/>
      </c>
      <c r="H2297">
        <f>IF(AND(I2297="",J2297="",K2297=""),"",IF(NOT(ISNUMBER(O2297)),"Bad amount",IF(O2297&lt;0,"Refund (not counted)",IF(O2297=0,"Zero amount",IF(NOT(ISNUMBER(N2297)),"Bad date",IF(P2297="","NAME NOT ON ROSTER",IF(L2297="","OK",IF(MATCH(L2297,$L$2:$L$3001,0)&lt;ROW()-1,"Duplicate (ignored)","OK"))))))))</f>
        <v/>
      </c>
      <c r="I2297">
        <f>IF(OC_Date=0,"",IF(INDEX('OneCause_Paste'!$A$2297:$AZ$2297,1,OC_Date)="","",INDEX('OneCause_Paste'!$A$2297:$AZ$2297,1,OC_Date)))</f>
        <v/>
      </c>
      <c r="J2297">
        <f>IF(OC_Amt=0,"",IF(INDEX('OneCause_Paste'!$A$2297:$AZ$2297,1,OC_Amt)="","",INDEX('OneCause_Paste'!$A$2297:$AZ$2297,1,OC_Amt)))</f>
        <v/>
      </c>
      <c r="K2297">
        <f>IF(OC_Name=0,"",IF(INDEX('OneCause_Paste'!$A$2297:$AZ$2297,1,OC_Name)="","",INDEX('OneCause_Paste'!$A$2297:$AZ$2297,1,OC_Name)))</f>
        <v/>
      </c>
      <c r="L2297">
        <f>IF(OC_Txn=0,"",IF(INDEX('OneCause_Paste'!$A$2297:$AZ$2297,1,OC_Txn)="","",INDEX('OneCause_Paste'!$A$2297:$AZ$2297,1,OC_Txn)))</f>
        <v/>
      </c>
      <c r="M2297">
        <f>IF(OC_Pay=0,"",IF(INDEX('OneCause_Paste'!$A$2297:$AZ$2297,1,OC_Pay)="","",INDEX('OneCause_Paste'!$A$2297:$AZ$2297,1,OC_Pay)))</f>
        <v/>
      </c>
      <c r="N2297">
        <f>IF(I2297="","",IF(ISNUMBER(I2297),INT(I2297),IFERROR(INT(DATEVALUE(I2297)),IFERROR(INT(VALUE(I2297)),"bad"))))</f>
        <v/>
      </c>
      <c r="O2297">
        <f>IF(J2297="","",IF(ISNUMBER(J2297),ROUND(J2297,2),IFERROR(ROUND(VALUE(SUBSTITUTE(SUBSTITUTE(SUBSTITUTE(J2297,"$",""),",","")," ","")),2),"bad")))</f>
        <v/>
      </c>
      <c r="P2297">
        <f>IF(TRIM(K2297)="","",IFERROR(MATCH(LOWER(TRIM(K2297)),'Students'!$AH$2:$AH$701,0),IFERROR(MATCH(LOWER(TRIM(K2297)),'Students'!$AF$2:$AF$701,0),IFERROR(MATCH(LOWER(TRIM(K2297)),'Students'!$AG$2:$AG$701,0),""))))</f>
        <v/>
      </c>
      <c r="R2297">
        <f>IF(P2297="","",INDEX('Students'!$AD$2:$AD$701,P2297))</f>
        <v/>
      </c>
      <c r="S2297">
        <f>IF(H2297="OK",O2297,0)</f>
        <v/>
      </c>
      <c r="T2297">
        <f>IF(H2297="OK",N2297,"")</f>
        <v/>
      </c>
      <c r="U2297">
        <f>IF(OC_Donor=0,"",IF(INDEX('OneCause_Paste'!$A$2297:$AZ$2297,1,OC_Donor)="","",INDEX('OneCause_Paste'!$A$2297:$AZ$2297,1,OC_Donor)))</f>
        <v/>
      </c>
    </row>
    <row r="2298">
      <c r="A2298" s="62">
        <f>IF(H2298="","",IF(ISNUMBER(N2298),N2298,I2298))</f>
        <v/>
      </c>
      <c r="B2298">
        <f>IF(H2298="","",U2298)</f>
        <v/>
      </c>
      <c r="C2298">
        <f>IF(H2298="","",IF(P2298="",K2298,INDEX('Students'!$A$2:$A$701,P2298)))</f>
        <v/>
      </c>
      <c r="D2298">
        <f>IF(OR(H2298="",P2298=""),"",INDEX('Students'!$B$2:$B$701,P2298))</f>
        <v/>
      </c>
      <c r="E2298">
        <f>IF(OR(H2298="",P2298=""),"",INDEX('Students'!$C$2:$C$701,P2298))</f>
        <v/>
      </c>
      <c r="F2298" s="48">
        <f>IF(H2298="","",IF(ISNUMBER(O2298),O2298,J2298))</f>
        <v/>
      </c>
      <c r="G2298">
        <f>IF(H2298="","","OneCause")</f>
        <v/>
      </c>
      <c r="H2298">
        <f>IF(AND(I2298="",J2298="",K2298=""),"",IF(NOT(ISNUMBER(O2298)),"Bad amount",IF(O2298&lt;0,"Refund (not counted)",IF(O2298=0,"Zero amount",IF(NOT(ISNUMBER(N2298)),"Bad date",IF(P2298="","NAME NOT ON ROSTER",IF(L2298="","OK",IF(MATCH(L2298,$L$2:$L$3001,0)&lt;ROW()-1,"Duplicate (ignored)","OK"))))))))</f>
        <v/>
      </c>
      <c r="I2298">
        <f>IF(OC_Date=0,"",IF(INDEX('OneCause_Paste'!$A$2298:$AZ$2298,1,OC_Date)="","",INDEX('OneCause_Paste'!$A$2298:$AZ$2298,1,OC_Date)))</f>
        <v/>
      </c>
      <c r="J2298">
        <f>IF(OC_Amt=0,"",IF(INDEX('OneCause_Paste'!$A$2298:$AZ$2298,1,OC_Amt)="","",INDEX('OneCause_Paste'!$A$2298:$AZ$2298,1,OC_Amt)))</f>
        <v/>
      </c>
      <c r="K2298">
        <f>IF(OC_Name=0,"",IF(INDEX('OneCause_Paste'!$A$2298:$AZ$2298,1,OC_Name)="","",INDEX('OneCause_Paste'!$A$2298:$AZ$2298,1,OC_Name)))</f>
        <v/>
      </c>
      <c r="L2298">
        <f>IF(OC_Txn=0,"",IF(INDEX('OneCause_Paste'!$A$2298:$AZ$2298,1,OC_Txn)="","",INDEX('OneCause_Paste'!$A$2298:$AZ$2298,1,OC_Txn)))</f>
        <v/>
      </c>
      <c r="M2298">
        <f>IF(OC_Pay=0,"",IF(INDEX('OneCause_Paste'!$A$2298:$AZ$2298,1,OC_Pay)="","",INDEX('OneCause_Paste'!$A$2298:$AZ$2298,1,OC_Pay)))</f>
        <v/>
      </c>
      <c r="N2298">
        <f>IF(I2298="","",IF(ISNUMBER(I2298),INT(I2298),IFERROR(INT(DATEVALUE(I2298)),IFERROR(INT(VALUE(I2298)),"bad"))))</f>
        <v/>
      </c>
      <c r="O2298">
        <f>IF(J2298="","",IF(ISNUMBER(J2298),ROUND(J2298,2),IFERROR(ROUND(VALUE(SUBSTITUTE(SUBSTITUTE(SUBSTITUTE(J2298,"$",""),",","")," ","")),2),"bad")))</f>
        <v/>
      </c>
      <c r="P2298">
        <f>IF(TRIM(K2298)="","",IFERROR(MATCH(LOWER(TRIM(K2298)),'Students'!$AH$2:$AH$701,0),IFERROR(MATCH(LOWER(TRIM(K2298)),'Students'!$AF$2:$AF$701,0),IFERROR(MATCH(LOWER(TRIM(K2298)),'Students'!$AG$2:$AG$701,0),""))))</f>
        <v/>
      </c>
      <c r="R2298">
        <f>IF(P2298="","",INDEX('Students'!$AD$2:$AD$701,P2298))</f>
        <v/>
      </c>
      <c r="S2298">
        <f>IF(H2298="OK",O2298,0)</f>
        <v/>
      </c>
      <c r="T2298">
        <f>IF(H2298="OK",N2298,"")</f>
        <v/>
      </c>
      <c r="U2298">
        <f>IF(OC_Donor=0,"",IF(INDEX('OneCause_Paste'!$A$2298:$AZ$2298,1,OC_Donor)="","",INDEX('OneCause_Paste'!$A$2298:$AZ$2298,1,OC_Donor)))</f>
        <v/>
      </c>
    </row>
    <row r="2299">
      <c r="A2299" s="62">
        <f>IF(H2299="","",IF(ISNUMBER(N2299),N2299,I2299))</f>
        <v/>
      </c>
      <c r="B2299">
        <f>IF(H2299="","",U2299)</f>
        <v/>
      </c>
      <c r="C2299">
        <f>IF(H2299="","",IF(P2299="",K2299,INDEX('Students'!$A$2:$A$701,P2299)))</f>
        <v/>
      </c>
      <c r="D2299">
        <f>IF(OR(H2299="",P2299=""),"",INDEX('Students'!$B$2:$B$701,P2299))</f>
        <v/>
      </c>
      <c r="E2299">
        <f>IF(OR(H2299="",P2299=""),"",INDEX('Students'!$C$2:$C$701,P2299))</f>
        <v/>
      </c>
      <c r="F2299" s="48">
        <f>IF(H2299="","",IF(ISNUMBER(O2299),O2299,J2299))</f>
        <v/>
      </c>
      <c r="G2299">
        <f>IF(H2299="","","OneCause")</f>
        <v/>
      </c>
      <c r="H2299">
        <f>IF(AND(I2299="",J2299="",K2299=""),"",IF(NOT(ISNUMBER(O2299)),"Bad amount",IF(O2299&lt;0,"Refund (not counted)",IF(O2299=0,"Zero amount",IF(NOT(ISNUMBER(N2299)),"Bad date",IF(P2299="","NAME NOT ON ROSTER",IF(L2299="","OK",IF(MATCH(L2299,$L$2:$L$3001,0)&lt;ROW()-1,"Duplicate (ignored)","OK"))))))))</f>
        <v/>
      </c>
      <c r="I2299">
        <f>IF(OC_Date=0,"",IF(INDEX('OneCause_Paste'!$A$2299:$AZ$2299,1,OC_Date)="","",INDEX('OneCause_Paste'!$A$2299:$AZ$2299,1,OC_Date)))</f>
        <v/>
      </c>
      <c r="J2299">
        <f>IF(OC_Amt=0,"",IF(INDEX('OneCause_Paste'!$A$2299:$AZ$2299,1,OC_Amt)="","",INDEX('OneCause_Paste'!$A$2299:$AZ$2299,1,OC_Amt)))</f>
        <v/>
      </c>
      <c r="K2299">
        <f>IF(OC_Name=0,"",IF(INDEX('OneCause_Paste'!$A$2299:$AZ$2299,1,OC_Name)="","",INDEX('OneCause_Paste'!$A$2299:$AZ$2299,1,OC_Name)))</f>
        <v/>
      </c>
      <c r="L2299">
        <f>IF(OC_Txn=0,"",IF(INDEX('OneCause_Paste'!$A$2299:$AZ$2299,1,OC_Txn)="","",INDEX('OneCause_Paste'!$A$2299:$AZ$2299,1,OC_Txn)))</f>
        <v/>
      </c>
      <c r="M2299">
        <f>IF(OC_Pay=0,"",IF(INDEX('OneCause_Paste'!$A$2299:$AZ$2299,1,OC_Pay)="","",INDEX('OneCause_Paste'!$A$2299:$AZ$2299,1,OC_Pay)))</f>
        <v/>
      </c>
      <c r="N2299">
        <f>IF(I2299="","",IF(ISNUMBER(I2299),INT(I2299),IFERROR(INT(DATEVALUE(I2299)),IFERROR(INT(VALUE(I2299)),"bad"))))</f>
        <v/>
      </c>
      <c r="O2299">
        <f>IF(J2299="","",IF(ISNUMBER(J2299),ROUND(J2299,2),IFERROR(ROUND(VALUE(SUBSTITUTE(SUBSTITUTE(SUBSTITUTE(J2299,"$",""),",","")," ","")),2),"bad")))</f>
        <v/>
      </c>
      <c r="P2299">
        <f>IF(TRIM(K2299)="","",IFERROR(MATCH(LOWER(TRIM(K2299)),'Students'!$AH$2:$AH$701,0),IFERROR(MATCH(LOWER(TRIM(K2299)),'Students'!$AF$2:$AF$701,0),IFERROR(MATCH(LOWER(TRIM(K2299)),'Students'!$AG$2:$AG$701,0),""))))</f>
        <v/>
      </c>
      <c r="R2299">
        <f>IF(P2299="","",INDEX('Students'!$AD$2:$AD$701,P2299))</f>
        <v/>
      </c>
      <c r="S2299">
        <f>IF(H2299="OK",O2299,0)</f>
        <v/>
      </c>
      <c r="T2299">
        <f>IF(H2299="OK",N2299,"")</f>
        <v/>
      </c>
      <c r="U2299">
        <f>IF(OC_Donor=0,"",IF(INDEX('OneCause_Paste'!$A$2299:$AZ$2299,1,OC_Donor)="","",INDEX('OneCause_Paste'!$A$2299:$AZ$2299,1,OC_Donor)))</f>
        <v/>
      </c>
    </row>
    <row r="2300">
      <c r="A2300" s="62">
        <f>IF(H2300="","",IF(ISNUMBER(N2300),N2300,I2300))</f>
        <v/>
      </c>
      <c r="B2300">
        <f>IF(H2300="","",U2300)</f>
        <v/>
      </c>
      <c r="C2300">
        <f>IF(H2300="","",IF(P2300="",K2300,INDEX('Students'!$A$2:$A$701,P2300)))</f>
        <v/>
      </c>
      <c r="D2300">
        <f>IF(OR(H2300="",P2300=""),"",INDEX('Students'!$B$2:$B$701,P2300))</f>
        <v/>
      </c>
      <c r="E2300">
        <f>IF(OR(H2300="",P2300=""),"",INDEX('Students'!$C$2:$C$701,P2300))</f>
        <v/>
      </c>
      <c r="F2300" s="48">
        <f>IF(H2300="","",IF(ISNUMBER(O2300),O2300,J2300))</f>
        <v/>
      </c>
      <c r="G2300">
        <f>IF(H2300="","","OneCause")</f>
        <v/>
      </c>
      <c r="H2300">
        <f>IF(AND(I2300="",J2300="",K2300=""),"",IF(NOT(ISNUMBER(O2300)),"Bad amount",IF(O2300&lt;0,"Refund (not counted)",IF(O2300=0,"Zero amount",IF(NOT(ISNUMBER(N2300)),"Bad date",IF(P2300="","NAME NOT ON ROSTER",IF(L2300="","OK",IF(MATCH(L2300,$L$2:$L$3001,0)&lt;ROW()-1,"Duplicate (ignored)","OK"))))))))</f>
        <v/>
      </c>
      <c r="I2300">
        <f>IF(OC_Date=0,"",IF(INDEX('OneCause_Paste'!$A$2300:$AZ$2300,1,OC_Date)="","",INDEX('OneCause_Paste'!$A$2300:$AZ$2300,1,OC_Date)))</f>
        <v/>
      </c>
      <c r="J2300">
        <f>IF(OC_Amt=0,"",IF(INDEX('OneCause_Paste'!$A$2300:$AZ$2300,1,OC_Amt)="","",INDEX('OneCause_Paste'!$A$2300:$AZ$2300,1,OC_Amt)))</f>
        <v/>
      </c>
      <c r="K2300">
        <f>IF(OC_Name=0,"",IF(INDEX('OneCause_Paste'!$A$2300:$AZ$2300,1,OC_Name)="","",INDEX('OneCause_Paste'!$A$2300:$AZ$2300,1,OC_Name)))</f>
        <v/>
      </c>
      <c r="L2300">
        <f>IF(OC_Txn=0,"",IF(INDEX('OneCause_Paste'!$A$2300:$AZ$2300,1,OC_Txn)="","",INDEX('OneCause_Paste'!$A$2300:$AZ$2300,1,OC_Txn)))</f>
        <v/>
      </c>
      <c r="M2300">
        <f>IF(OC_Pay=0,"",IF(INDEX('OneCause_Paste'!$A$2300:$AZ$2300,1,OC_Pay)="","",INDEX('OneCause_Paste'!$A$2300:$AZ$2300,1,OC_Pay)))</f>
        <v/>
      </c>
      <c r="N2300">
        <f>IF(I2300="","",IF(ISNUMBER(I2300),INT(I2300),IFERROR(INT(DATEVALUE(I2300)),IFERROR(INT(VALUE(I2300)),"bad"))))</f>
        <v/>
      </c>
      <c r="O2300">
        <f>IF(J2300="","",IF(ISNUMBER(J2300),ROUND(J2300,2),IFERROR(ROUND(VALUE(SUBSTITUTE(SUBSTITUTE(SUBSTITUTE(J2300,"$",""),",","")," ","")),2),"bad")))</f>
        <v/>
      </c>
      <c r="P2300">
        <f>IF(TRIM(K2300)="","",IFERROR(MATCH(LOWER(TRIM(K2300)),'Students'!$AH$2:$AH$701,0),IFERROR(MATCH(LOWER(TRIM(K2300)),'Students'!$AF$2:$AF$701,0),IFERROR(MATCH(LOWER(TRIM(K2300)),'Students'!$AG$2:$AG$701,0),""))))</f>
        <v/>
      </c>
      <c r="R2300">
        <f>IF(P2300="","",INDEX('Students'!$AD$2:$AD$701,P2300))</f>
        <v/>
      </c>
      <c r="S2300">
        <f>IF(H2300="OK",O2300,0)</f>
        <v/>
      </c>
      <c r="T2300">
        <f>IF(H2300="OK",N2300,"")</f>
        <v/>
      </c>
      <c r="U2300">
        <f>IF(OC_Donor=0,"",IF(INDEX('OneCause_Paste'!$A$2300:$AZ$2300,1,OC_Donor)="","",INDEX('OneCause_Paste'!$A$2300:$AZ$2300,1,OC_Donor)))</f>
        <v/>
      </c>
    </row>
    <row r="2301">
      <c r="A2301" s="62">
        <f>IF(H2301="","",IF(ISNUMBER(N2301),N2301,I2301))</f>
        <v/>
      </c>
      <c r="B2301">
        <f>IF(H2301="","",U2301)</f>
        <v/>
      </c>
      <c r="C2301">
        <f>IF(H2301="","",IF(P2301="",K2301,INDEX('Students'!$A$2:$A$701,P2301)))</f>
        <v/>
      </c>
      <c r="D2301">
        <f>IF(OR(H2301="",P2301=""),"",INDEX('Students'!$B$2:$B$701,P2301))</f>
        <v/>
      </c>
      <c r="E2301">
        <f>IF(OR(H2301="",P2301=""),"",INDEX('Students'!$C$2:$C$701,P2301))</f>
        <v/>
      </c>
      <c r="F2301" s="48">
        <f>IF(H2301="","",IF(ISNUMBER(O2301),O2301,J2301))</f>
        <v/>
      </c>
      <c r="G2301">
        <f>IF(H2301="","","OneCause")</f>
        <v/>
      </c>
      <c r="H2301">
        <f>IF(AND(I2301="",J2301="",K2301=""),"",IF(NOT(ISNUMBER(O2301)),"Bad amount",IF(O2301&lt;0,"Refund (not counted)",IF(O2301=0,"Zero amount",IF(NOT(ISNUMBER(N2301)),"Bad date",IF(P2301="","NAME NOT ON ROSTER",IF(L2301="","OK",IF(MATCH(L2301,$L$2:$L$3001,0)&lt;ROW()-1,"Duplicate (ignored)","OK"))))))))</f>
        <v/>
      </c>
      <c r="I2301">
        <f>IF(OC_Date=0,"",IF(INDEX('OneCause_Paste'!$A$2301:$AZ$2301,1,OC_Date)="","",INDEX('OneCause_Paste'!$A$2301:$AZ$2301,1,OC_Date)))</f>
        <v/>
      </c>
      <c r="J2301">
        <f>IF(OC_Amt=0,"",IF(INDEX('OneCause_Paste'!$A$2301:$AZ$2301,1,OC_Amt)="","",INDEX('OneCause_Paste'!$A$2301:$AZ$2301,1,OC_Amt)))</f>
        <v/>
      </c>
      <c r="K2301">
        <f>IF(OC_Name=0,"",IF(INDEX('OneCause_Paste'!$A$2301:$AZ$2301,1,OC_Name)="","",INDEX('OneCause_Paste'!$A$2301:$AZ$2301,1,OC_Name)))</f>
        <v/>
      </c>
      <c r="L2301">
        <f>IF(OC_Txn=0,"",IF(INDEX('OneCause_Paste'!$A$2301:$AZ$2301,1,OC_Txn)="","",INDEX('OneCause_Paste'!$A$2301:$AZ$2301,1,OC_Txn)))</f>
        <v/>
      </c>
      <c r="M2301">
        <f>IF(OC_Pay=0,"",IF(INDEX('OneCause_Paste'!$A$2301:$AZ$2301,1,OC_Pay)="","",INDEX('OneCause_Paste'!$A$2301:$AZ$2301,1,OC_Pay)))</f>
        <v/>
      </c>
      <c r="N2301">
        <f>IF(I2301="","",IF(ISNUMBER(I2301),INT(I2301),IFERROR(INT(DATEVALUE(I2301)),IFERROR(INT(VALUE(I2301)),"bad"))))</f>
        <v/>
      </c>
      <c r="O2301">
        <f>IF(J2301="","",IF(ISNUMBER(J2301),ROUND(J2301,2),IFERROR(ROUND(VALUE(SUBSTITUTE(SUBSTITUTE(SUBSTITUTE(J2301,"$",""),",","")," ","")),2),"bad")))</f>
        <v/>
      </c>
      <c r="P2301">
        <f>IF(TRIM(K2301)="","",IFERROR(MATCH(LOWER(TRIM(K2301)),'Students'!$AH$2:$AH$701,0),IFERROR(MATCH(LOWER(TRIM(K2301)),'Students'!$AF$2:$AF$701,0),IFERROR(MATCH(LOWER(TRIM(K2301)),'Students'!$AG$2:$AG$701,0),""))))</f>
        <v/>
      </c>
      <c r="R2301">
        <f>IF(P2301="","",INDEX('Students'!$AD$2:$AD$701,P2301))</f>
        <v/>
      </c>
      <c r="S2301">
        <f>IF(H2301="OK",O2301,0)</f>
        <v/>
      </c>
      <c r="T2301">
        <f>IF(H2301="OK",N2301,"")</f>
        <v/>
      </c>
      <c r="U2301">
        <f>IF(OC_Donor=0,"",IF(INDEX('OneCause_Paste'!$A$2301:$AZ$2301,1,OC_Donor)="","",INDEX('OneCause_Paste'!$A$2301:$AZ$2301,1,OC_Donor)))</f>
        <v/>
      </c>
    </row>
    <row r="2302">
      <c r="A2302" s="62">
        <f>IF(H2302="","",IF(ISNUMBER(N2302),N2302,I2302))</f>
        <v/>
      </c>
      <c r="B2302">
        <f>IF(H2302="","",U2302)</f>
        <v/>
      </c>
      <c r="C2302">
        <f>IF(H2302="","",IF(P2302="",K2302,INDEX('Students'!$A$2:$A$701,P2302)))</f>
        <v/>
      </c>
      <c r="D2302">
        <f>IF(OR(H2302="",P2302=""),"",INDEX('Students'!$B$2:$B$701,P2302))</f>
        <v/>
      </c>
      <c r="E2302">
        <f>IF(OR(H2302="",P2302=""),"",INDEX('Students'!$C$2:$C$701,P2302))</f>
        <v/>
      </c>
      <c r="F2302" s="48">
        <f>IF(H2302="","",IF(ISNUMBER(O2302),O2302,J2302))</f>
        <v/>
      </c>
      <c r="G2302">
        <f>IF(H2302="","","OneCause")</f>
        <v/>
      </c>
      <c r="H2302">
        <f>IF(AND(I2302="",J2302="",K2302=""),"",IF(NOT(ISNUMBER(O2302)),"Bad amount",IF(O2302&lt;0,"Refund (not counted)",IF(O2302=0,"Zero amount",IF(NOT(ISNUMBER(N2302)),"Bad date",IF(P2302="","NAME NOT ON ROSTER",IF(L2302="","OK",IF(MATCH(L2302,$L$2:$L$3001,0)&lt;ROW()-1,"Duplicate (ignored)","OK"))))))))</f>
        <v/>
      </c>
      <c r="I2302">
        <f>IF(OC_Date=0,"",IF(INDEX('OneCause_Paste'!$A$2302:$AZ$2302,1,OC_Date)="","",INDEX('OneCause_Paste'!$A$2302:$AZ$2302,1,OC_Date)))</f>
        <v/>
      </c>
      <c r="J2302">
        <f>IF(OC_Amt=0,"",IF(INDEX('OneCause_Paste'!$A$2302:$AZ$2302,1,OC_Amt)="","",INDEX('OneCause_Paste'!$A$2302:$AZ$2302,1,OC_Amt)))</f>
        <v/>
      </c>
      <c r="K2302">
        <f>IF(OC_Name=0,"",IF(INDEX('OneCause_Paste'!$A$2302:$AZ$2302,1,OC_Name)="","",INDEX('OneCause_Paste'!$A$2302:$AZ$2302,1,OC_Name)))</f>
        <v/>
      </c>
      <c r="L2302">
        <f>IF(OC_Txn=0,"",IF(INDEX('OneCause_Paste'!$A$2302:$AZ$2302,1,OC_Txn)="","",INDEX('OneCause_Paste'!$A$2302:$AZ$2302,1,OC_Txn)))</f>
        <v/>
      </c>
      <c r="M2302">
        <f>IF(OC_Pay=0,"",IF(INDEX('OneCause_Paste'!$A$2302:$AZ$2302,1,OC_Pay)="","",INDEX('OneCause_Paste'!$A$2302:$AZ$2302,1,OC_Pay)))</f>
        <v/>
      </c>
      <c r="N2302">
        <f>IF(I2302="","",IF(ISNUMBER(I2302),INT(I2302),IFERROR(INT(DATEVALUE(I2302)),IFERROR(INT(VALUE(I2302)),"bad"))))</f>
        <v/>
      </c>
      <c r="O2302">
        <f>IF(J2302="","",IF(ISNUMBER(J2302),ROUND(J2302,2),IFERROR(ROUND(VALUE(SUBSTITUTE(SUBSTITUTE(SUBSTITUTE(J2302,"$",""),",","")," ","")),2),"bad")))</f>
        <v/>
      </c>
      <c r="P2302">
        <f>IF(TRIM(K2302)="","",IFERROR(MATCH(LOWER(TRIM(K2302)),'Students'!$AH$2:$AH$701,0),IFERROR(MATCH(LOWER(TRIM(K2302)),'Students'!$AF$2:$AF$701,0),IFERROR(MATCH(LOWER(TRIM(K2302)),'Students'!$AG$2:$AG$701,0),""))))</f>
        <v/>
      </c>
      <c r="R2302">
        <f>IF(P2302="","",INDEX('Students'!$AD$2:$AD$701,P2302))</f>
        <v/>
      </c>
      <c r="S2302">
        <f>IF(H2302="OK",O2302,0)</f>
        <v/>
      </c>
      <c r="T2302">
        <f>IF(H2302="OK",N2302,"")</f>
        <v/>
      </c>
      <c r="U2302">
        <f>IF(OC_Donor=0,"",IF(INDEX('OneCause_Paste'!$A$2302:$AZ$2302,1,OC_Donor)="","",INDEX('OneCause_Paste'!$A$2302:$AZ$2302,1,OC_Donor)))</f>
        <v/>
      </c>
    </row>
    <row r="2303">
      <c r="A2303" s="62">
        <f>IF(H2303="","",IF(ISNUMBER(N2303),N2303,I2303))</f>
        <v/>
      </c>
      <c r="B2303">
        <f>IF(H2303="","",U2303)</f>
        <v/>
      </c>
      <c r="C2303">
        <f>IF(H2303="","",IF(P2303="",K2303,INDEX('Students'!$A$2:$A$701,P2303)))</f>
        <v/>
      </c>
      <c r="D2303">
        <f>IF(OR(H2303="",P2303=""),"",INDEX('Students'!$B$2:$B$701,P2303))</f>
        <v/>
      </c>
      <c r="E2303">
        <f>IF(OR(H2303="",P2303=""),"",INDEX('Students'!$C$2:$C$701,P2303))</f>
        <v/>
      </c>
      <c r="F2303" s="48">
        <f>IF(H2303="","",IF(ISNUMBER(O2303),O2303,J2303))</f>
        <v/>
      </c>
      <c r="G2303">
        <f>IF(H2303="","","OneCause")</f>
        <v/>
      </c>
      <c r="H2303">
        <f>IF(AND(I2303="",J2303="",K2303=""),"",IF(NOT(ISNUMBER(O2303)),"Bad amount",IF(O2303&lt;0,"Refund (not counted)",IF(O2303=0,"Zero amount",IF(NOT(ISNUMBER(N2303)),"Bad date",IF(P2303="","NAME NOT ON ROSTER",IF(L2303="","OK",IF(MATCH(L2303,$L$2:$L$3001,0)&lt;ROW()-1,"Duplicate (ignored)","OK"))))))))</f>
        <v/>
      </c>
      <c r="I2303">
        <f>IF(OC_Date=0,"",IF(INDEX('OneCause_Paste'!$A$2303:$AZ$2303,1,OC_Date)="","",INDEX('OneCause_Paste'!$A$2303:$AZ$2303,1,OC_Date)))</f>
        <v/>
      </c>
      <c r="J2303">
        <f>IF(OC_Amt=0,"",IF(INDEX('OneCause_Paste'!$A$2303:$AZ$2303,1,OC_Amt)="","",INDEX('OneCause_Paste'!$A$2303:$AZ$2303,1,OC_Amt)))</f>
        <v/>
      </c>
      <c r="K2303">
        <f>IF(OC_Name=0,"",IF(INDEX('OneCause_Paste'!$A$2303:$AZ$2303,1,OC_Name)="","",INDEX('OneCause_Paste'!$A$2303:$AZ$2303,1,OC_Name)))</f>
        <v/>
      </c>
      <c r="L2303">
        <f>IF(OC_Txn=0,"",IF(INDEX('OneCause_Paste'!$A$2303:$AZ$2303,1,OC_Txn)="","",INDEX('OneCause_Paste'!$A$2303:$AZ$2303,1,OC_Txn)))</f>
        <v/>
      </c>
      <c r="M2303">
        <f>IF(OC_Pay=0,"",IF(INDEX('OneCause_Paste'!$A$2303:$AZ$2303,1,OC_Pay)="","",INDEX('OneCause_Paste'!$A$2303:$AZ$2303,1,OC_Pay)))</f>
        <v/>
      </c>
      <c r="N2303">
        <f>IF(I2303="","",IF(ISNUMBER(I2303),INT(I2303),IFERROR(INT(DATEVALUE(I2303)),IFERROR(INT(VALUE(I2303)),"bad"))))</f>
        <v/>
      </c>
      <c r="O2303">
        <f>IF(J2303="","",IF(ISNUMBER(J2303),ROUND(J2303,2),IFERROR(ROUND(VALUE(SUBSTITUTE(SUBSTITUTE(SUBSTITUTE(J2303,"$",""),",","")," ","")),2),"bad")))</f>
        <v/>
      </c>
      <c r="P2303">
        <f>IF(TRIM(K2303)="","",IFERROR(MATCH(LOWER(TRIM(K2303)),'Students'!$AH$2:$AH$701,0),IFERROR(MATCH(LOWER(TRIM(K2303)),'Students'!$AF$2:$AF$701,0),IFERROR(MATCH(LOWER(TRIM(K2303)),'Students'!$AG$2:$AG$701,0),""))))</f>
        <v/>
      </c>
      <c r="R2303">
        <f>IF(P2303="","",INDEX('Students'!$AD$2:$AD$701,P2303))</f>
        <v/>
      </c>
      <c r="S2303">
        <f>IF(H2303="OK",O2303,0)</f>
        <v/>
      </c>
      <c r="T2303">
        <f>IF(H2303="OK",N2303,"")</f>
        <v/>
      </c>
      <c r="U2303">
        <f>IF(OC_Donor=0,"",IF(INDEX('OneCause_Paste'!$A$2303:$AZ$2303,1,OC_Donor)="","",INDEX('OneCause_Paste'!$A$2303:$AZ$2303,1,OC_Donor)))</f>
        <v/>
      </c>
    </row>
    <row r="2304">
      <c r="A2304" s="62">
        <f>IF(H2304="","",IF(ISNUMBER(N2304),N2304,I2304))</f>
        <v/>
      </c>
      <c r="B2304">
        <f>IF(H2304="","",U2304)</f>
        <v/>
      </c>
      <c r="C2304">
        <f>IF(H2304="","",IF(P2304="",K2304,INDEX('Students'!$A$2:$A$701,P2304)))</f>
        <v/>
      </c>
      <c r="D2304">
        <f>IF(OR(H2304="",P2304=""),"",INDEX('Students'!$B$2:$B$701,P2304))</f>
        <v/>
      </c>
      <c r="E2304">
        <f>IF(OR(H2304="",P2304=""),"",INDEX('Students'!$C$2:$C$701,P2304))</f>
        <v/>
      </c>
      <c r="F2304" s="48">
        <f>IF(H2304="","",IF(ISNUMBER(O2304),O2304,J2304))</f>
        <v/>
      </c>
      <c r="G2304">
        <f>IF(H2304="","","OneCause")</f>
        <v/>
      </c>
      <c r="H2304">
        <f>IF(AND(I2304="",J2304="",K2304=""),"",IF(NOT(ISNUMBER(O2304)),"Bad amount",IF(O2304&lt;0,"Refund (not counted)",IF(O2304=0,"Zero amount",IF(NOT(ISNUMBER(N2304)),"Bad date",IF(P2304="","NAME NOT ON ROSTER",IF(L2304="","OK",IF(MATCH(L2304,$L$2:$L$3001,0)&lt;ROW()-1,"Duplicate (ignored)","OK"))))))))</f>
        <v/>
      </c>
      <c r="I2304">
        <f>IF(OC_Date=0,"",IF(INDEX('OneCause_Paste'!$A$2304:$AZ$2304,1,OC_Date)="","",INDEX('OneCause_Paste'!$A$2304:$AZ$2304,1,OC_Date)))</f>
        <v/>
      </c>
      <c r="J2304">
        <f>IF(OC_Amt=0,"",IF(INDEX('OneCause_Paste'!$A$2304:$AZ$2304,1,OC_Amt)="","",INDEX('OneCause_Paste'!$A$2304:$AZ$2304,1,OC_Amt)))</f>
        <v/>
      </c>
      <c r="K2304">
        <f>IF(OC_Name=0,"",IF(INDEX('OneCause_Paste'!$A$2304:$AZ$2304,1,OC_Name)="","",INDEX('OneCause_Paste'!$A$2304:$AZ$2304,1,OC_Name)))</f>
        <v/>
      </c>
      <c r="L2304">
        <f>IF(OC_Txn=0,"",IF(INDEX('OneCause_Paste'!$A$2304:$AZ$2304,1,OC_Txn)="","",INDEX('OneCause_Paste'!$A$2304:$AZ$2304,1,OC_Txn)))</f>
        <v/>
      </c>
      <c r="M2304">
        <f>IF(OC_Pay=0,"",IF(INDEX('OneCause_Paste'!$A$2304:$AZ$2304,1,OC_Pay)="","",INDEX('OneCause_Paste'!$A$2304:$AZ$2304,1,OC_Pay)))</f>
        <v/>
      </c>
      <c r="N2304">
        <f>IF(I2304="","",IF(ISNUMBER(I2304),INT(I2304),IFERROR(INT(DATEVALUE(I2304)),IFERROR(INT(VALUE(I2304)),"bad"))))</f>
        <v/>
      </c>
      <c r="O2304">
        <f>IF(J2304="","",IF(ISNUMBER(J2304),ROUND(J2304,2),IFERROR(ROUND(VALUE(SUBSTITUTE(SUBSTITUTE(SUBSTITUTE(J2304,"$",""),",","")," ","")),2),"bad")))</f>
        <v/>
      </c>
      <c r="P2304">
        <f>IF(TRIM(K2304)="","",IFERROR(MATCH(LOWER(TRIM(K2304)),'Students'!$AH$2:$AH$701,0),IFERROR(MATCH(LOWER(TRIM(K2304)),'Students'!$AF$2:$AF$701,0),IFERROR(MATCH(LOWER(TRIM(K2304)),'Students'!$AG$2:$AG$701,0),""))))</f>
        <v/>
      </c>
      <c r="R2304">
        <f>IF(P2304="","",INDEX('Students'!$AD$2:$AD$701,P2304))</f>
        <v/>
      </c>
      <c r="S2304">
        <f>IF(H2304="OK",O2304,0)</f>
        <v/>
      </c>
      <c r="T2304">
        <f>IF(H2304="OK",N2304,"")</f>
        <v/>
      </c>
      <c r="U2304">
        <f>IF(OC_Donor=0,"",IF(INDEX('OneCause_Paste'!$A$2304:$AZ$2304,1,OC_Donor)="","",INDEX('OneCause_Paste'!$A$2304:$AZ$2304,1,OC_Donor)))</f>
        <v/>
      </c>
    </row>
    <row r="2305">
      <c r="A2305" s="62">
        <f>IF(H2305="","",IF(ISNUMBER(N2305),N2305,I2305))</f>
        <v/>
      </c>
      <c r="B2305">
        <f>IF(H2305="","",U2305)</f>
        <v/>
      </c>
      <c r="C2305">
        <f>IF(H2305="","",IF(P2305="",K2305,INDEX('Students'!$A$2:$A$701,P2305)))</f>
        <v/>
      </c>
      <c r="D2305">
        <f>IF(OR(H2305="",P2305=""),"",INDEX('Students'!$B$2:$B$701,P2305))</f>
        <v/>
      </c>
      <c r="E2305">
        <f>IF(OR(H2305="",P2305=""),"",INDEX('Students'!$C$2:$C$701,P2305))</f>
        <v/>
      </c>
      <c r="F2305" s="48">
        <f>IF(H2305="","",IF(ISNUMBER(O2305),O2305,J2305))</f>
        <v/>
      </c>
      <c r="G2305">
        <f>IF(H2305="","","OneCause")</f>
        <v/>
      </c>
      <c r="H2305">
        <f>IF(AND(I2305="",J2305="",K2305=""),"",IF(NOT(ISNUMBER(O2305)),"Bad amount",IF(O2305&lt;0,"Refund (not counted)",IF(O2305=0,"Zero amount",IF(NOT(ISNUMBER(N2305)),"Bad date",IF(P2305="","NAME NOT ON ROSTER",IF(L2305="","OK",IF(MATCH(L2305,$L$2:$L$3001,0)&lt;ROW()-1,"Duplicate (ignored)","OK"))))))))</f>
        <v/>
      </c>
      <c r="I2305">
        <f>IF(OC_Date=0,"",IF(INDEX('OneCause_Paste'!$A$2305:$AZ$2305,1,OC_Date)="","",INDEX('OneCause_Paste'!$A$2305:$AZ$2305,1,OC_Date)))</f>
        <v/>
      </c>
      <c r="J2305">
        <f>IF(OC_Amt=0,"",IF(INDEX('OneCause_Paste'!$A$2305:$AZ$2305,1,OC_Amt)="","",INDEX('OneCause_Paste'!$A$2305:$AZ$2305,1,OC_Amt)))</f>
        <v/>
      </c>
      <c r="K2305">
        <f>IF(OC_Name=0,"",IF(INDEX('OneCause_Paste'!$A$2305:$AZ$2305,1,OC_Name)="","",INDEX('OneCause_Paste'!$A$2305:$AZ$2305,1,OC_Name)))</f>
        <v/>
      </c>
      <c r="L2305">
        <f>IF(OC_Txn=0,"",IF(INDEX('OneCause_Paste'!$A$2305:$AZ$2305,1,OC_Txn)="","",INDEX('OneCause_Paste'!$A$2305:$AZ$2305,1,OC_Txn)))</f>
        <v/>
      </c>
      <c r="M2305">
        <f>IF(OC_Pay=0,"",IF(INDEX('OneCause_Paste'!$A$2305:$AZ$2305,1,OC_Pay)="","",INDEX('OneCause_Paste'!$A$2305:$AZ$2305,1,OC_Pay)))</f>
        <v/>
      </c>
      <c r="N2305">
        <f>IF(I2305="","",IF(ISNUMBER(I2305),INT(I2305),IFERROR(INT(DATEVALUE(I2305)),IFERROR(INT(VALUE(I2305)),"bad"))))</f>
        <v/>
      </c>
      <c r="O2305">
        <f>IF(J2305="","",IF(ISNUMBER(J2305),ROUND(J2305,2),IFERROR(ROUND(VALUE(SUBSTITUTE(SUBSTITUTE(SUBSTITUTE(J2305,"$",""),",","")," ","")),2),"bad")))</f>
        <v/>
      </c>
      <c r="P2305">
        <f>IF(TRIM(K2305)="","",IFERROR(MATCH(LOWER(TRIM(K2305)),'Students'!$AH$2:$AH$701,0),IFERROR(MATCH(LOWER(TRIM(K2305)),'Students'!$AF$2:$AF$701,0),IFERROR(MATCH(LOWER(TRIM(K2305)),'Students'!$AG$2:$AG$701,0),""))))</f>
        <v/>
      </c>
      <c r="R2305">
        <f>IF(P2305="","",INDEX('Students'!$AD$2:$AD$701,P2305))</f>
        <v/>
      </c>
      <c r="S2305">
        <f>IF(H2305="OK",O2305,0)</f>
        <v/>
      </c>
      <c r="T2305">
        <f>IF(H2305="OK",N2305,"")</f>
        <v/>
      </c>
      <c r="U2305">
        <f>IF(OC_Donor=0,"",IF(INDEX('OneCause_Paste'!$A$2305:$AZ$2305,1,OC_Donor)="","",INDEX('OneCause_Paste'!$A$2305:$AZ$2305,1,OC_Donor)))</f>
        <v/>
      </c>
    </row>
    <row r="2306">
      <c r="A2306" s="62">
        <f>IF(H2306="","",IF(ISNUMBER(N2306),N2306,I2306))</f>
        <v/>
      </c>
      <c r="B2306">
        <f>IF(H2306="","",U2306)</f>
        <v/>
      </c>
      <c r="C2306">
        <f>IF(H2306="","",IF(P2306="",K2306,INDEX('Students'!$A$2:$A$701,P2306)))</f>
        <v/>
      </c>
      <c r="D2306">
        <f>IF(OR(H2306="",P2306=""),"",INDEX('Students'!$B$2:$B$701,P2306))</f>
        <v/>
      </c>
      <c r="E2306">
        <f>IF(OR(H2306="",P2306=""),"",INDEX('Students'!$C$2:$C$701,P2306))</f>
        <v/>
      </c>
      <c r="F2306" s="48">
        <f>IF(H2306="","",IF(ISNUMBER(O2306),O2306,J2306))</f>
        <v/>
      </c>
      <c r="G2306">
        <f>IF(H2306="","","OneCause")</f>
        <v/>
      </c>
      <c r="H2306">
        <f>IF(AND(I2306="",J2306="",K2306=""),"",IF(NOT(ISNUMBER(O2306)),"Bad amount",IF(O2306&lt;0,"Refund (not counted)",IF(O2306=0,"Zero amount",IF(NOT(ISNUMBER(N2306)),"Bad date",IF(P2306="","NAME NOT ON ROSTER",IF(L2306="","OK",IF(MATCH(L2306,$L$2:$L$3001,0)&lt;ROW()-1,"Duplicate (ignored)","OK"))))))))</f>
        <v/>
      </c>
      <c r="I2306">
        <f>IF(OC_Date=0,"",IF(INDEX('OneCause_Paste'!$A$2306:$AZ$2306,1,OC_Date)="","",INDEX('OneCause_Paste'!$A$2306:$AZ$2306,1,OC_Date)))</f>
        <v/>
      </c>
      <c r="J2306">
        <f>IF(OC_Amt=0,"",IF(INDEX('OneCause_Paste'!$A$2306:$AZ$2306,1,OC_Amt)="","",INDEX('OneCause_Paste'!$A$2306:$AZ$2306,1,OC_Amt)))</f>
        <v/>
      </c>
      <c r="K2306">
        <f>IF(OC_Name=0,"",IF(INDEX('OneCause_Paste'!$A$2306:$AZ$2306,1,OC_Name)="","",INDEX('OneCause_Paste'!$A$2306:$AZ$2306,1,OC_Name)))</f>
        <v/>
      </c>
      <c r="L2306">
        <f>IF(OC_Txn=0,"",IF(INDEX('OneCause_Paste'!$A$2306:$AZ$2306,1,OC_Txn)="","",INDEX('OneCause_Paste'!$A$2306:$AZ$2306,1,OC_Txn)))</f>
        <v/>
      </c>
      <c r="M2306">
        <f>IF(OC_Pay=0,"",IF(INDEX('OneCause_Paste'!$A$2306:$AZ$2306,1,OC_Pay)="","",INDEX('OneCause_Paste'!$A$2306:$AZ$2306,1,OC_Pay)))</f>
        <v/>
      </c>
      <c r="N2306">
        <f>IF(I2306="","",IF(ISNUMBER(I2306),INT(I2306),IFERROR(INT(DATEVALUE(I2306)),IFERROR(INT(VALUE(I2306)),"bad"))))</f>
        <v/>
      </c>
      <c r="O2306">
        <f>IF(J2306="","",IF(ISNUMBER(J2306),ROUND(J2306,2),IFERROR(ROUND(VALUE(SUBSTITUTE(SUBSTITUTE(SUBSTITUTE(J2306,"$",""),",","")," ","")),2),"bad")))</f>
        <v/>
      </c>
      <c r="P2306">
        <f>IF(TRIM(K2306)="","",IFERROR(MATCH(LOWER(TRIM(K2306)),'Students'!$AH$2:$AH$701,0),IFERROR(MATCH(LOWER(TRIM(K2306)),'Students'!$AF$2:$AF$701,0),IFERROR(MATCH(LOWER(TRIM(K2306)),'Students'!$AG$2:$AG$701,0),""))))</f>
        <v/>
      </c>
      <c r="R2306">
        <f>IF(P2306="","",INDEX('Students'!$AD$2:$AD$701,P2306))</f>
        <v/>
      </c>
      <c r="S2306">
        <f>IF(H2306="OK",O2306,0)</f>
        <v/>
      </c>
      <c r="T2306">
        <f>IF(H2306="OK",N2306,"")</f>
        <v/>
      </c>
      <c r="U2306">
        <f>IF(OC_Donor=0,"",IF(INDEX('OneCause_Paste'!$A$2306:$AZ$2306,1,OC_Donor)="","",INDEX('OneCause_Paste'!$A$2306:$AZ$2306,1,OC_Donor)))</f>
        <v/>
      </c>
    </row>
    <row r="2307">
      <c r="A2307" s="62">
        <f>IF(H2307="","",IF(ISNUMBER(N2307),N2307,I2307))</f>
        <v/>
      </c>
      <c r="B2307">
        <f>IF(H2307="","",U2307)</f>
        <v/>
      </c>
      <c r="C2307">
        <f>IF(H2307="","",IF(P2307="",K2307,INDEX('Students'!$A$2:$A$701,P2307)))</f>
        <v/>
      </c>
      <c r="D2307">
        <f>IF(OR(H2307="",P2307=""),"",INDEX('Students'!$B$2:$B$701,P2307))</f>
        <v/>
      </c>
      <c r="E2307">
        <f>IF(OR(H2307="",P2307=""),"",INDEX('Students'!$C$2:$C$701,P2307))</f>
        <v/>
      </c>
      <c r="F2307" s="48">
        <f>IF(H2307="","",IF(ISNUMBER(O2307),O2307,J2307))</f>
        <v/>
      </c>
      <c r="G2307">
        <f>IF(H2307="","","OneCause")</f>
        <v/>
      </c>
      <c r="H2307">
        <f>IF(AND(I2307="",J2307="",K2307=""),"",IF(NOT(ISNUMBER(O2307)),"Bad amount",IF(O2307&lt;0,"Refund (not counted)",IF(O2307=0,"Zero amount",IF(NOT(ISNUMBER(N2307)),"Bad date",IF(P2307="","NAME NOT ON ROSTER",IF(L2307="","OK",IF(MATCH(L2307,$L$2:$L$3001,0)&lt;ROW()-1,"Duplicate (ignored)","OK"))))))))</f>
        <v/>
      </c>
      <c r="I2307">
        <f>IF(OC_Date=0,"",IF(INDEX('OneCause_Paste'!$A$2307:$AZ$2307,1,OC_Date)="","",INDEX('OneCause_Paste'!$A$2307:$AZ$2307,1,OC_Date)))</f>
        <v/>
      </c>
      <c r="J2307">
        <f>IF(OC_Amt=0,"",IF(INDEX('OneCause_Paste'!$A$2307:$AZ$2307,1,OC_Amt)="","",INDEX('OneCause_Paste'!$A$2307:$AZ$2307,1,OC_Amt)))</f>
        <v/>
      </c>
      <c r="K2307">
        <f>IF(OC_Name=0,"",IF(INDEX('OneCause_Paste'!$A$2307:$AZ$2307,1,OC_Name)="","",INDEX('OneCause_Paste'!$A$2307:$AZ$2307,1,OC_Name)))</f>
        <v/>
      </c>
      <c r="L2307">
        <f>IF(OC_Txn=0,"",IF(INDEX('OneCause_Paste'!$A$2307:$AZ$2307,1,OC_Txn)="","",INDEX('OneCause_Paste'!$A$2307:$AZ$2307,1,OC_Txn)))</f>
        <v/>
      </c>
      <c r="M2307">
        <f>IF(OC_Pay=0,"",IF(INDEX('OneCause_Paste'!$A$2307:$AZ$2307,1,OC_Pay)="","",INDEX('OneCause_Paste'!$A$2307:$AZ$2307,1,OC_Pay)))</f>
        <v/>
      </c>
      <c r="N2307">
        <f>IF(I2307="","",IF(ISNUMBER(I2307),INT(I2307),IFERROR(INT(DATEVALUE(I2307)),IFERROR(INT(VALUE(I2307)),"bad"))))</f>
        <v/>
      </c>
      <c r="O2307">
        <f>IF(J2307="","",IF(ISNUMBER(J2307),ROUND(J2307,2),IFERROR(ROUND(VALUE(SUBSTITUTE(SUBSTITUTE(SUBSTITUTE(J2307,"$",""),",","")," ","")),2),"bad")))</f>
        <v/>
      </c>
      <c r="P2307">
        <f>IF(TRIM(K2307)="","",IFERROR(MATCH(LOWER(TRIM(K2307)),'Students'!$AH$2:$AH$701,0),IFERROR(MATCH(LOWER(TRIM(K2307)),'Students'!$AF$2:$AF$701,0),IFERROR(MATCH(LOWER(TRIM(K2307)),'Students'!$AG$2:$AG$701,0),""))))</f>
        <v/>
      </c>
      <c r="R2307">
        <f>IF(P2307="","",INDEX('Students'!$AD$2:$AD$701,P2307))</f>
        <v/>
      </c>
      <c r="S2307">
        <f>IF(H2307="OK",O2307,0)</f>
        <v/>
      </c>
      <c r="T2307">
        <f>IF(H2307="OK",N2307,"")</f>
        <v/>
      </c>
      <c r="U2307">
        <f>IF(OC_Donor=0,"",IF(INDEX('OneCause_Paste'!$A$2307:$AZ$2307,1,OC_Donor)="","",INDEX('OneCause_Paste'!$A$2307:$AZ$2307,1,OC_Donor)))</f>
        <v/>
      </c>
    </row>
    <row r="2308">
      <c r="A2308" s="62">
        <f>IF(H2308="","",IF(ISNUMBER(N2308),N2308,I2308))</f>
        <v/>
      </c>
      <c r="B2308">
        <f>IF(H2308="","",U2308)</f>
        <v/>
      </c>
      <c r="C2308">
        <f>IF(H2308="","",IF(P2308="",K2308,INDEX('Students'!$A$2:$A$701,P2308)))</f>
        <v/>
      </c>
      <c r="D2308">
        <f>IF(OR(H2308="",P2308=""),"",INDEX('Students'!$B$2:$B$701,P2308))</f>
        <v/>
      </c>
      <c r="E2308">
        <f>IF(OR(H2308="",P2308=""),"",INDEX('Students'!$C$2:$C$701,P2308))</f>
        <v/>
      </c>
      <c r="F2308" s="48">
        <f>IF(H2308="","",IF(ISNUMBER(O2308),O2308,J2308))</f>
        <v/>
      </c>
      <c r="G2308">
        <f>IF(H2308="","","OneCause")</f>
        <v/>
      </c>
      <c r="H2308">
        <f>IF(AND(I2308="",J2308="",K2308=""),"",IF(NOT(ISNUMBER(O2308)),"Bad amount",IF(O2308&lt;0,"Refund (not counted)",IF(O2308=0,"Zero amount",IF(NOT(ISNUMBER(N2308)),"Bad date",IF(P2308="","NAME NOT ON ROSTER",IF(L2308="","OK",IF(MATCH(L2308,$L$2:$L$3001,0)&lt;ROW()-1,"Duplicate (ignored)","OK"))))))))</f>
        <v/>
      </c>
      <c r="I2308">
        <f>IF(OC_Date=0,"",IF(INDEX('OneCause_Paste'!$A$2308:$AZ$2308,1,OC_Date)="","",INDEX('OneCause_Paste'!$A$2308:$AZ$2308,1,OC_Date)))</f>
        <v/>
      </c>
      <c r="J2308">
        <f>IF(OC_Amt=0,"",IF(INDEX('OneCause_Paste'!$A$2308:$AZ$2308,1,OC_Amt)="","",INDEX('OneCause_Paste'!$A$2308:$AZ$2308,1,OC_Amt)))</f>
        <v/>
      </c>
      <c r="K2308">
        <f>IF(OC_Name=0,"",IF(INDEX('OneCause_Paste'!$A$2308:$AZ$2308,1,OC_Name)="","",INDEX('OneCause_Paste'!$A$2308:$AZ$2308,1,OC_Name)))</f>
        <v/>
      </c>
      <c r="L2308">
        <f>IF(OC_Txn=0,"",IF(INDEX('OneCause_Paste'!$A$2308:$AZ$2308,1,OC_Txn)="","",INDEX('OneCause_Paste'!$A$2308:$AZ$2308,1,OC_Txn)))</f>
        <v/>
      </c>
      <c r="M2308">
        <f>IF(OC_Pay=0,"",IF(INDEX('OneCause_Paste'!$A$2308:$AZ$2308,1,OC_Pay)="","",INDEX('OneCause_Paste'!$A$2308:$AZ$2308,1,OC_Pay)))</f>
        <v/>
      </c>
      <c r="N2308">
        <f>IF(I2308="","",IF(ISNUMBER(I2308),INT(I2308),IFERROR(INT(DATEVALUE(I2308)),IFERROR(INT(VALUE(I2308)),"bad"))))</f>
        <v/>
      </c>
      <c r="O2308">
        <f>IF(J2308="","",IF(ISNUMBER(J2308),ROUND(J2308,2),IFERROR(ROUND(VALUE(SUBSTITUTE(SUBSTITUTE(SUBSTITUTE(J2308,"$",""),",","")," ","")),2),"bad")))</f>
        <v/>
      </c>
      <c r="P2308">
        <f>IF(TRIM(K2308)="","",IFERROR(MATCH(LOWER(TRIM(K2308)),'Students'!$AH$2:$AH$701,0),IFERROR(MATCH(LOWER(TRIM(K2308)),'Students'!$AF$2:$AF$701,0),IFERROR(MATCH(LOWER(TRIM(K2308)),'Students'!$AG$2:$AG$701,0),""))))</f>
        <v/>
      </c>
      <c r="R2308">
        <f>IF(P2308="","",INDEX('Students'!$AD$2:$AD$701,P2308))</f>
        <v/>
      </c>
      <c r="S2308">
        <f>IF(H2308="OK",O2308,0)</f>
        <v/>
      </c>
      <c r="T2308">
        <f>IF(H2308="OK",N2308,"")</f>
        <v/>
      </c>
      <c r="U2308">
        <f>IF(OC_Donor=0,"",IF(INDEX('OneCause_Paste'!$A$2308:$AZ$2308,1,OC_Donor)="","",INDEX('OneCause_Paste'!$A$2308:$AZ$2308,1,OC_Donor)))</f>
        <v/>
      </c>
    </row>
    <row r="2309">
      <c r="A2309" s="62">
        <f>IF(H2309="","",IF(ISNUMBER(N2309),N2309,I2309))</f>
        <v/>
      </c>
      <c r="B2309">
        <f>IF(H2309="","",U2309)</f>
        <v/>
      </c>
      <c r="C2309">
        <f>IF(H2309="","",IF(P2309="",K2309,INDEX('Students'!$A$2:$A$701,P2309)))</f>
        <v/>
      </c>
      <c r="D2309">
        <f>IF(OR(H2309="",P2309=""),"",INDEX('Students'!$B$2:$B$701,P2309))</f>
        <v/>
      </c>
      <c r="E2309">
        <f>IF(OR(H2309="",P2309=""),"",INDEX('Students'!$C$2:$C$701,P2309))</f>
        <v/>
      </c>
      <c r="F2309" s="48">
        <f>IF(H2309="","",IF(ISNUMBER(O2309),O2309,J2309))</f>
        <v/>
      </c>
      <c r="G2309">
        <f>IF(H2309="","","OneCause")</f>
        <v/>
      </c>
      <c r="H2309">
        <f>IF(AND(I2309="",J2309="",K2309=""),"",IF(NOT(ISNUMBER(O2309)),"Bad amount",IF(O2309&lt;0,"Refund (not counted)",IF(O2309=0,"Zero amount",IF(NOT(ISNUMBER(N2309)),"Bad date",IF(P2309="","NAME NOT ON ROSTER",IF(L2309="","OK",IF(MATCH(L2309,$L$2:$L$3001,0)&lt;ROW()-1,"Duplicate (ignored)","OK"))))))))</f>
        <v/>
      </c>
      <c r="I2309">
        <f>IF(OC_Date=0,"",IF(INDEX('OneCause_Paste'!$A$2309:$AZ$2309,1,OC_Date)="","",INDEX('OneCause_Paste'!$A$2309:$AZ$2309,1,OC_Date)))</f>
        <v/>
      </c>
      <c r="J2309">
        <f>IF(OC_Amt=0,"",IF(INDEX('OneCause_Paste'!$A$2309:$AZ$2309,1,OC_Amt)="","",INDEX('OneCause_Paste'!$A$2309:$AZ$2309,1,OC_Amt)))</f>
        <v/>
      </c>
      <c r="K2309">
        <f>IF(OC_Name=0,"",IF(INDEX('OneCause_Paste'!$A$2309:$AZ$2309,1,OC_Name)="","",INDEX('OneCause_Paste'!$A$2309:$AZ$2309,1,OC_Name)))</f>
        <v/>
      </c>
      <c r="L2309">
        <f>IF(OC_Txn=0,"",IF(INDEX('OneCause_Paste'!$A$2309:$AZ$2309,1,OC_Txn)="","",INDEX('OneCause_Paste'!$A$2309:$AZ$2309,1,OC_Txn)))</f>
        <v/>
      </c>
      <c r="M2309">
        <f>IF(OC_Pay=0,"",IF(INDEX('OneCause_Paste'!$A$2309:$AZ$2309,1,OC_Pay)="","",INDEX('OneCause_Paste'!$A$2309:$AZ$2309,1,OC_Pay)))</f>
        <v/>
      </c>
      <c r="N2309">
        <f>IF(I2309="","",IF(ISNUMBER(I2309),INT(I2309),IFERROR(INT(DATEVALUE(I2309)),IFERROR(INT(VALUE(I2309)),"bad"))))</f>
        <v/>
      </c>
      <c r="O2309">
        <f>IF(J2309="","",IF(ISNUMBER(J2309),ROUND(J2309,2),IFERROR(ROUND(VALUE(SUBSTITUTE(SUBSTITUTE(SUBSTITUTE(J2309,"$",""),",","")," ","")),2),"bad")))</f>
        <v/>
      </c>
      <c r="P2309">
        <f>IF(TRIM(K2309)="","",IFERROR(MATCH(LOWER(TRIM(K2309)),'Students'!$AH$2:$AH$701,0),IFERROR(MATCH(LOWER(TRIM(K2309)),'Students'!$AF$2:$AF$701,0),IFERROR(MATCH(LOWER(TRIM(K2309)),'Students'!$AG$2:$AG$701,0),""))))</f>
        <v/>
      </c>
      <c r="R2309">
        <f>IF(P2309="","",INDEX('Students'!$AD$2:$AD$701,P2309))</f>
        <v/>
      </c>
      <c r="S2309">
        <f>IF(H2309="OK",O2309,0)</f>
        <v/>
      </c>
      <c r="T2309">
        <f>IF(H2309="OK",N2309,"")</f>
        <v/>
      </c>
      <c r="U2309">
        <f>IF(OC_Donor=0,"",IF(INDEX('OneCause_Paste'!$A$2309:$AZ$2309,1,OC_Donor)="","",INDEX('OneCause_Paste'!$A$2309:$AZ$2309,1,OC_Donor)))</f>
        <v/>
      </c>
    </row>
    <row r="2310">
      <c r="A2310" s="62">
        <f>IF(H2310="","",IF(ISNUMBER(N2310),N2310,I2310))</f>
        <v/>
      </c>
      <c r="B2310">
        <f>IF(H2310="","",U2310)</f>
        <v/>
      </c>
      <c r="C2310">
        <f>IF(H2310="","",IF(P2310="",K2310,INDEX('Students'!$A$2:$A$701,P2310)))</f>
        <v/>
      </c>
      <c r="D2310">
        <f>IF(OR(H2310="",P2310=""),"",INDEX('Students'!$B$2:$B$701,P2310))</f>
        <v/>
      </c>
      <c r="E2310">
        <f>IF(OR(H2310="",P2310=""),"",INDEX('Students'!$C$2:$C$701,P2310))</f>
        <v/>
      </c>
      <c r="F2310" s="48">
        <f>IF(H2310="","",IF(ISNUMBER(O2310),O2310,J2310))</f>
        <v/>
      </c>
      <c r="G2310">
        <f>IF(H2310="","","OneCause")</f>
        <v/>
      </c>
      <c r="H2310">
        <f>IF(AND(I2310="",J2310="",K2310=""),"",IF(NOT(ISNUMBER(O2310)),"Bad amount",IF(O2310&lt;0,"Refund (not counted)",IF(O2310=0,"Zero amount",IF(NOT(ISNUMBER(N2310)),"Bad date",IF(P2310="","NAME NOT ON ROSTER",IF(L2310="","OK",IF(MATCH(L2310,$L$2:$L$3001,0)&lt;ROW()-1,"Duplicate (ignored)","OK"))))))))</f>
        <v/>
      </c>
      <c r="I2310">
        <f>IF(OC_Date=0,"",IF(INDEX('OneCause_Paste'!$A$2310:$AZ$2310,1,OC_Date)="","",INDEX('OneCause_Paste'!$A$2310:$AZ$2310,1,OC_Date)))</f>
        <v/>
      </c>
      <c r="J2310">
        <f>IF(OC_Amt=0,"",IF(INDEX('OneCause_Paste'!$A$2310:$AZ$2310,1,OC_Amt)="","",INDEX('OneCause_Paste'!$A$2310:$AZ$2310,1,OC_Amt)))</f>
        <v/>
      </c>
      <c r="K2310">
        <f>IF(OC_Name=0,"",IF(INDEX('OneCause_Paste'!$A$2310:$AZ$2310,1,OC_Name)="","",INDEX('OneCause_Paste'!$A$2310:$AZ$2310,1,OC_Name)))</f>
        <v/>
      </c>
      <c r="L2310">
        <f>IF(OC_Txn=0,"",IF(INDEX('OneCause_Paste'!$A$2310:$AZ$2310,1,OC_Txn)="","",INDEX('OneCause_Paste'!$A$2310:$AZ$2310,1,OC_Txn)))</f>
        <v/>
      </c>
      <c r="M2310">
        <f>IF(OC_Pay=0,"",IF(INDEX('OneCause_Paste'!$A$2310:$AZ$2310,1,OC_Pay)="","",INDEX('OneCause_Paste'!$A$2310:$AZ$2310,1,OC_Pay)))</f>
        <v/>
      </c>
      <c r="N2310">
        <f>IF(I2310="","",IF(ISNUMBER(I2310),INT(I2310),IFERROR(INT(DATEVALUE(I2310)),IFERROR(INT(VALUE(I2310)),"bad"))))</f>
        <v/>
      </c>
      <c r="O2310">
        <f>IF(J2310="","",IF(ISNUMBER(J2310),ROUND(J2310,2),IFERROR(ROUND(VALUE(SUBSTITUTE(SUBSTITUTE(SUBSTITUTE(J2310,"$",""),",","")," ","")),2),"bad")))</f>
        <v/>
      </c>
      <c r="P2310">
        <f>IF(TRIM(K2310)="","",IFERROR(MATCH(LOWER(TRIM(K2310)),'Students'!$AH$2:$AH$701,0),IFERROR(MATCH(LOWER(TRIM(K2310)),'Students'!$AF$2:$AF$701,0),IFERROR(MATCH(LOWER(TRIM(K2310)),'Students'!$AG$2:$AG$701,0),""))))</f>
        <v/>
      </c>
      <c r="R2310">
        <f>IF(P2310="","",INDEX('Students'!$AD$2:$AD$701,P2310))</f>
        <v/>
      </c>
      <c r="S2310">
        <f>IF(H2310="OK",O2310,0)</f>
        <v/>
      </c>
      <c r="T2310">
        <f>IF(H2310="OK",N2310,"")</f>
        <v/>
      </c>
      <c r="U2310">
        <f>IF(OC_Donor=0,"",IF(INDEX('OneCause_Paste'!$A$2310:$AZ$2310,1,OC_Donor)="","",INDEX('OneCause_Paste'!$A$2310:$AZ$2310,1,OC_Donor)))</f>
        <v/>
      </c>
    </row>
    <row r="2311">
      <c r="A2311" s="62">
        <f>IF(H2311="","",IF(ISNUMBER(N2311),N2311,I2311))</f>
        <v/>
      </c>
      <c r="B2311">
        <f>IF(H2311="","",U2311)</f>
        <v/>
      </c>
      <c r="C2311">
        <f>IF(H2311="","",IF(P2311="",K2311,INDEX('Students'!$A$2:$A$701,P2311)))</f>
        <v/>
      </c>
      <c r="D2311">
        <f>IF(OR(H2311="",P2311=""),"",INDEX('Students'!$B$2:$B$701,P2311))</f>
        <v/>
      </c>
      <c r="E2311">
        <f>IF(OR(H2311="",P2311=""),"",INDEX('Students'!$C$2:$C$701,P2311))</f>
        <v/>
      </c>
      <c r="F2311" s="48">
        <f>IF(H2311="","",IF(ISNUMBER(O2311),O2311,J2311))</f>
        <v/>
      </c>
      <c r="G2311">
        <f>IF(H2311="","","OneCause")</f>
        <v/>
      </c>
      <c r="H2311">
        <f>IF(AND(I2311="",J2311="",K2311=""),"",IF(NOT(ISNUMBER(O2311)),"Bad amount",IF(O2311&lt;0,"Refund (not counted)",IF(O2311=0,"Zero amount",IF(NOT(ISNUMBER(N2311)),"Bad date",IF(P2311="","NAME NOT ON ROSTER",IF(L2311="","OK",IF(MATCH(L2311,$L$2:$L$3001,0)&lt;ROW()-1,"Duplicate (ignored)","OK"))))))))</f>
        <v/>
      </c>
      <c r="I2311">
        <f>IF(OC_Date=0,"",IF(INDEX('OneCause_Paste'!$A$2311:$AZ$2311,1,OC_Date)="","",INDEX('OneCause_Paste'!$A$2311:$AZ$2311,1,OC_Date)))</f>
        <v/>
      </c>
      <c r="J2311">
        <f>IF(OC_Amt=0,"",IF(INDEX('OneCause_Paste'!$A$2311:$AZ$2311,1,OC_Amt)="","",INDEX('OneCause_Paste'!$A$2311:$AZ$2311,1,OC_Amt)))</f>
        <v/>
      </c>
      <c r="K2311">
        <f>IF(OC_Name=0,"",IF(INDEX('OneCause_Paste'!$A$2311:$AZ$2311,1,OC_Name)="","",INDEX('OneCause_Paste'!$A$2311:$AZ$2311,1,OC_Name)))</f>
        <v/>
      </c>
      <c r="L2311">
        <f>IF(OC_Txn=0,"",IF(INDEX('OneCause_Paste'!$A$2311:$AZ$2311,1,OC_Txn)="","",INDEX('OneCause_Paste'!$A$2311:$AZ$2311,1,OC_Txn)))</f>
        <v/>
      </c>
      <c r="M2311">
        <f>IF(OC_Pay=0,"",IF(INDEX('OneCause_Paste'!$A$2311:$AZ$2311,1,OC_Pay)="","",INDEX('OneCause_Paste'!$A$2311:$AZ$2311,1,OC_Pay)))</f>
        <v/>
      </c>
      <c r="N2311">
        <f>IF(I2311="","",IF(ISNUMBER(I2311),INT(I2311),IFERROR(INT(DATEVALUE(I2311)),IFERROR(INT(VALUE(I2311)),"bad"))))</f>
        <v/>
      </c>
      <c r="O2311">
        <f>IF(J2311="","",IF(ISNUMBER(J2311),ROUND(J2311,2),IFERROR(ROUND(VALUE(SUBSTITUTE(SUBSTITUTE(SUBSTITUTE(J2311,"$",""),",","")," ","")),2),"bad")))</f>
        <v/>
      </c>
      <c r="P2311">
        <f>IF(TRIM(K2311)="","",IFERROR(MATCH(LOWER(TRIM(K2311)),'Students'!$AH$2:$AH$701,0),IFERROR(MATCH(LOWER(TRIM(K2311)),'Students'!$AF$2:$AF$701,0),IFERROR(MATCH(LOWER(TRIM(K2311)),'Students'!$AG$2:$AG$701,0),""))))</f>
        <v/>
      </c>
      <c r="R2311">
        <f>IF(P2311="","",INDEX('Students'!$AD$2:$AD$701,P2311))</f>
        <v/>
      </c>
      <c r="S2311">
        <f>IF(H2311="OK",O2311,0)</f>
        <v/>
      </c>
      <c r="T2311">
        <f>IF(H2311="OK",N2311,"")</f>
        <v/>
      </c>
      <c r="U2311">
        <f>IF(OC_Donor=0,"",IF(INDEX('OneCause_Paste'!$A$2311:$AZ$2311,1,OC_Donor)="","",INDEX('OneCause_Paste'!$A$2311:$AZ$2311,1,OC_Donor)))</f>
        <v/>
      </c>
    </row>
    <row r="2312">
      <c r="A2312" s="62">
        <f>IF(H2312="","",IF(ISNUMBER(N2312),N2312,I2312))</f>
        <v/>
      </c>
      <c r="B2312">
        <f>IF(H2312="","",U2312)</f>
        <v/>
      </c>
      <c r="C2312">
        <f>IF(H2312="","",IF(P2312="",K2312,INDEX('Students'!$A$2:$A$701,P2312)))</f>
        <v/>
      </c>
      <c r="D2312">
        <f>IF(OR(H2312="",P2312=""),"",INDEX('Students'!$B$2:$B$701,P2312))</f>
        <v/>
      </c>
      <c r="E2312">
        <f>IF(OR(H2312="",P2312=""),"",INDEX('Students'!$C$2:$C$701,P2312))</f>
        <v/>
      </c>
      <c r="F2312" s="48">
        <f>IF(H2312="","",IF(ISNUMBER(O2312),O2312,J2312))</f>
        <v/>
      </c>
      <c r="G2312">
        <f>IF(H2312="","","OneCause")</f>
        <v/>
      </c>
      <c r="H2312">
        <f>IF(AND(I2312="",J2312="",K2312=""),"",IF(NOT(ISNUMBER(O2312)),"Bad amount",IF(O2312&lt;0,"Refund (not counted)",IF(O2312=0,"Zero amount",IF(NOT(ISNUMBER(N2312)),"Bad date",IF(P2312="","NAME NOT ON ROSTER",IF(L2312="","OK",IF(MATCH(L2312,$L$2:$L$3001,0)&lt;ROW()-1,"Duplicate (ignored)","OK"))))))))</f>
        <v/>
      </c>
      <c r="I2312">
        <f>IF(OC_Date=0,"",IF(INDEX('OneCause_Paste'!$A$2312:$AZ$2312,1,OC_Date)="","",INDEX('OneCause_Paste'!$A$2312:$AZ$2312,1,OC_Date)))</f>
        <v/>
      </c>
      <c r="J2312">
        <f>IF(OC_Amt=0,"",IF(INDEX('OneCause_Paste'!$A$2312:$AZ$2312,1,OC_Amt)="","",INDEX('OneCause_Paste'!$A$2312:$AZ$2312,1,OC_Amt)))</f>
        <v/>
      </c>
      <c r="K2312">
        <f>IF(OC_Name=0,"",IF(INDEX('OneCause_Paste'!$A$2312:$AZ$2312,1,OC_Name)="","",INDEX('OneCause_Paste'!$A$2312:$AZ$2312,1,OC_Name)))</f>
        <v/>
      </c>
      <c r="L2312">
        <f>IF(OC_Txn=0,"",IF(INDEX('OneCause_Paste'!$A$2312:$AZ$2312,1,OC_Txn)="","",INDEX('OneCause_Paste'!$A$2312:$AZ$2312,1,OC_Txn)))</f>
        <v/>
      </c>
      <c r="M2312">
        <f>IF(OC_Pay=0,"",IF(INDEX('OneCause_Paste'!$A$2312:$AZ$2312,1,OC_Pay)="","",INDEX('OneCause_Paste'!$A$2312:$AZ$2312,1,OC_Pay)))</f>
        <v/>
      </c>
      <c r="N2312">
        <f>IF(I2312="","",IF(ISNUMBER(I2312),INT(I2312),IFERROR(INT(DATEVALUE(I2312)),IFERROR(INT(VALUE(I2312)),"bad"))))</f>
        <v/>
      </c>
      <c r="O2312">
        <f>IF(J2312="","",IF(ISNUMBER(J2312),ROUND(J2312,2),IFERROR(ROUND(VALUE(SUBSTITUTE(SUBSTITUTE(SUBSTITUTE(J2312,"$",""),",","")," ","")),2),"bad")))</f>
        <v/>
      </c>
      <c r="P2312">
        <f>IF(TRIM(K2312)="","",IFERROR(MATCH(LOWER(TRIM(K2312)),'Students'!$AH$2:$AH$701,0),IFERROR(MATCH(LOWER(TRIM(K2312)),'Students'!$AF$2:$AF$701,0),IFERROR(MATCH(LOWER(TRIM(K2312)),'Students'!$AG$2:$AG$701,0),""))))</f>
        <v/>
      </c>
      <c r="R2312">
        <f>IF(P2312="","",INDEX('Students'!$AD$2:$AD$701,P2312))</f>
        <v/>
      </c>
      <c r="S2312">
        <f>IF(H2312="OK",O2312,0)</f>
        <v/>
      </c>
      <c r="T2312">
        <f>IF(H2312="OK",N2312,"")</f>
        <v/>
      </c>
      <c r="U2312">
        <f>IF(OC_Donor=0,"",IF(INDEX('OneCause_Paste'!$A$2312:$AZ$2312,1,OC_Donor)="","",INDEX('OneCause_Paste'!$A$2312:$AZ$2312,1,OC_Donor)))</f>
        <v/>
      </c>
    </row>
    <row r="2313">
      <c r="A2313" s="62">
        <f>IF(H2313="","",IF(ISNUMBER(N2313),N2313,I2313))</f>
        <v/>
      </c>
      <c r="B2313">
        <f>IF(H2313="","",U2313)</f>
        <v/>
      </c>
      <c r="C2313">
        <f>IF(H2313="","",IF(P2313="",K2313,INDEX('Students'!$A$2:$A$701,P2313)))</f>
        <v/>
      </c>
      <c r="D2313">
        <f>IF(OR(H2313="",P2313=""),"",INDEX('Students'!$B$2:$B$701,P2313))</f>
        <v/>
      </c>
      <c r="E2313">
        <f>IF(OR(H2313="",P2313=""),"",INDEX('Students'!$C$2:$C$701,P2313))</f>
        <v/>
      </c>
      <c r="F2313" s="48">
        <f>IF(H2313="","",IF(ISNUMBER(O2313),O2313,J2313))</f>
        <v/>
      </c>
      <c r="G2313">
        <f>IF(H2313="","","OneCause")</f>
        <v/>
      </c>
      <c r="H2313">
        <f>IF(AND(I2313="",J2313="",K2313=""),"",IF(NOT(ISNUMBER(O2313)),"Bad amount",IF(O2313&lt;0,"Refund (not counted)",IF(O2313=0,"Zero amount",IF(NOT(ISNUMBER(N2313)),"Bad date",IF(P2313="","NAME NOT ON ROSTER",IF(L2313="","OK",IF(MATCH(L2313,$L$2:$L$3001,0)&lt;ROW()-1,"Duplicate (ignored)","OK"))))))))</f>
        <v/>
      </c>
      <c r="I2313">
        <f>IF(OC_Date=0,"",IF(INDEX('OneCause_Paste'!$A$2313:$AZ$2313,1,OC_Date)="","",INDEX('OneCause_Paste'!$A$2313:$AZ$2313,1,OC_Date)))</f>
        <v/>
      </c>
      <c r="J2313">
        <f>IF(OC_Amt=0,"",IF(INDEX('OneCause_Paste'!$A$2313:$AZ$2313,1,OC_Amt)="","",INDEX('OneCause_Paste'!$A$2313:$AZ$2313,1,OC_Amt)))</f>
        <v/>
      </c>
      <c r="K2313">
        <f>IF(OC_Name=0,"",IF(INDEX('OneCause_Paste'!$A$2313:$AZ$2313,1,OC_Name)="","",INDEX('OneCause_Paste'!$A$2313:$AZ$2313,1,OC_Name)))</f>
        <v/>
      </c>
      <c r="L2313">
        <f>IF(OC_Txn=0,"",IF(INDEX('OneCause_Paste'!$A$2313:$AZ$2313,1,OC_Txn)="","",INDEX('OneCause_Paste'!$A$2313:$AZ$2313,1,OC_Txn)))</f>
        <v/>
      </c>
      <c r="M2313">
        <f>IF(OC_Pay=0,"",IF(INDEX('OneCause_Paste'!$A$2313:$AZ$2313,1,OC_Pay)="","",INDEX('OneCause_Paste'!$A$2313:$AZ$2313,1,OC_Pay)))</f>
        <v/>
      </c>
      <c r="N2313">
        <f>IF(I2313="","",IF(ISNUMBER(I2313),INT(I2313),IFERROR(INT(DATEVALUE(I2313)),IFERROR(INT(VALUE(I2313)),"bad"))))</f>
        <v/>
      </c>
      <c r="O2313">
        <f>IF(J2313="","",IF(ISNUMBER(J2313),ROUND(J2313,2),IFERROR(ROUND(VALUE(SUBSTITUTE(SUBSTITUTE(SUBSTITUTE(J2313,"$",""),",","")," ","")),2),"bad")))</f>
        <v/>
      </c>
      <c r="P2313">
        <f>IF(TRIM(K2313)="","",IFERROR(MATCH(LOWER(TRIM(K2313)),'Students'!$AH$2:$AH$701,0),IFERROR(MATCH(LOWER(TRIM(K2313)),'Students'!$AF$2:$AF$701,0),IFERROR(MATCH(LOWER(TRIM(K2313)),'Students'!$AG$2:$AG$701,0),""))))</f>
        <v/>
      </c>
      <c r="R2313">
        <f>IF(P2313="","",INDEX('Students'!$AD$2:$AD$701,P2313))</f>
        <v/>
      </c>
      <c r="S2313">
        <f>IF(H2313="OK",O2313,0)</f>
        <v/>
      </c>
      <c r="T2313">
        <f>IF(H2313="OK",N2313,"")</f>
        <v/>
      </c>
      <c r="U2313">
        <f>IF(OC_Donor=0,"",IF(INDEX('OneCause_Paste'!$A$2313:$AZ$2313,1,OC_Donor)="","",INDEX('OneCause_Paste'!$A$2313:$AZ$2313,1,OC_Donor)))</f>
        <v/>
      </c>
    </row>
    <row r="2314">
      <c r="A2314" s="62">
        <f>IF(H2314="","",IF(ISNUMBER(N2314),N2314,I2314))</f>
        <v/>
      </c>
      <c r="B2314">
        <f>IF(H2314="","",U2314)</f>
        <v/>
      </c>
      <c r="C2314">
        <f>IF(H2314="","",IF(P2314="",K2314,INDEX('Students'!$A$2:$A$701,P2314)))</f>
        <v/>
      </c>
      <c r="D2314">
        <f>IF(OR(H2314="",P2314=""),"",INDEX('Students'!$B$2:$B$701,P2314))</f>
        <v/>
      </c>
      <c r="E2314">
        <f>IF(OR(H2314="",P2314=""),"",INDEX('Students'!$C$2:$C$701,P2314))</f>
        <v/>
      </c>
      <c r="F2314" s="48">
        <f>IF(H2314="","",IF(ISNUMBER(O2314),O2314,J2314))</f>
        <v/>
      </c>
      <c r="G2314">
        <f>IF(H2314="","","OneCause")</f>
        <v/>
      </c>
      <c r="H2314">
        <f>IF(AND(I2314="",J2314="",K2314=""),"",IF(NOT(ISNUMBER(O2314)),"Bad amount",IF(O2314&lt;0,"Refund (not counted)",IF(O2314=0,"Zero amount",IF(NOT(ISNUMBER(N2314)),"Bad date",IF(P2314="","NAME NOT ON ROSTER",IF(L2314="","OK",IF(MATCH(L2314,$L$2:$L$3001,0)&lt;ROW()-1,"Duplicate (ignored)","OK"))))))))</f>
        <v/>
      </c>
      <c r="I2314">
        <f>IF(OC_Date=0,"",IF(INDEX('OneCause_Paste'!$A$2314:$AZ$2314,1,OC_Date)="","",INDEX('OneCause_Paste'!$A$2314:$AZ$2314,1,OC_Date)))</f>
        <v/>
      </c>
      <c r="J2314">
        <f>IF(OC_Amt=0,"",IF(INDEX('OneCause_Paste'!$A$2314:$AZ$2314,1,OC_Amt)="","",INDEX('OneCause_Paste'!$A$2314:$AZ$2314,1,OC_Amt)))</f>
        <v/>
      </c>
      <c r="K2314">
        <f>IF(OC_Name=0,"",IF(INDEX('OneCause_Paste'!$A$2314:$AZ$2314,1,OC_Name)="","",INDEX('OneCause_Paste'!$A$2314:$AZ$2314,1,OC_Name)))</f>
        <v/>
      </c>
      <c r="L2314">
        <f>IF(OC_Txn=0,"",IF(INDEX('OneCause_Paste'!$A$2314:$AZ$2314,1,OC_Txn)="","",INDEX('OneCause_Paste'!$A$2314:$AZ$2314,1,OC_Txn)))</f>
        <v/>
      </c>
      <c r="M2314">
        <f>IF(OC_Pay=0,"",IF(INDEX('OneCause_Paste'!$A$2314:$AZ$2314,1,OC_Pay)="","",INDEX('OneCause_Paste'!$A$2314:$AZ$2314,1,OC_Pay)))</f>
        <v/>
      </c>
      <c r="N2314">
        <f>IF(I2314="","",IF(ISNUMBER(I2314),INT(I2314),IFERROR(INT(DATEVALUE(I2314)),IFERROR(INT(VALUE(I2314)),"bad"))))</f>
        <v/>
      </c>
      <c r="O2314">
        <f>IF(J2314="","",IF(ISNUMBER(J2314),ROUND(J2314,2),IFERROR(ROUND(VALUE(SUBSTITUTE(SUBSTITUTE(SUBSTITUTE(J2314,"$",""),",","")," ","")),2),"bad")))</f>
        <v/>
      </c>
      <c r="P2314">
        <f>IF(TRIM(K2314)="","",IFERROR(MATCH(LOWER(TRIM(K2314)),'Students'!$AH$2:$AH$701,0),IFERROR(MATCH(LOWER(TRIM(K2314)),'Students'!$AF$2:$AF$701,0),IFERROR(MATCH(LOWER(TRIM(K2314)),'Students'!$AG$2:$AG$701,0),""))))</f>
        <v/>
      </c>
      <c r="R2314">
        <f>IF(P2314="","",INDEX('Students'!$AD$2:$AD$701,P2314))</f>
        <v/>
      </c>
      <c r="S2314">
        <f>IF(H2314="OK",O2314,0)</f>
        <v/>
      </c>
      <c r="T2314">
        <f>IF(H2314="OK",N2314,"")</f>
        <v/>
      </c>
      <c r="U2314">
        <f>IF(OC_Donor=0,"",IF(INDEX('OneCause_Paste'!$A$2314:$AZ$2314,1,OC_Donor)="","",INDEX('OneCause_Paste'!$A$2314:$AZ$2314,1,OC_Donor)))</f>
        <v/>
      </c>
    </row>
    <row r="2315">
      <c r="A2315" s="62">
        <f>IF(H2315="","",IF(ISNUMBER(N2315),N2315,I2315))</f>
        <v/>
      </c>
      <c r="B2315">
        <f>IF(H2315="","",U2315)</f>
        <v/>
      </c>
      <c r="C2315">
        <f>IF(H2315="","",IF(P2315="",K2315,INDEX('Students'!$A$2:$A$701,P2315)))</f>
        <v/>
      </c>
      <c r="D2315">
        <f>IF(OR(H2315="",P2315=""),"",INDEX('Students'!$B$2:$B$701,P2315))</f>
        <v/>
      </c>
      <c r="E2315">
        <f>IF(OR(H2315="",P2315=""),"",INDEX('Students'!$C$2:$C$701,P2315))</f>
        <v/>
      </c>
      <c r="F2315" s="48">
        <f>IF(H2315="","",IF(ISNUMBER(O2315),O2315,J2315))</f>
        <v/>
      </c>
      <c r="G2315">
        <f>IF(H2315="","","OneCause")</f>
        <v/>
      </c>
      <c r="H2315">
        <f>IF(AND(I2315="",J2315="",K2315=""),"",IF(NOT(ISNUMBER(O2315)),"Bad amount",IF(O2315&lt;0,"Refund (not counted)",IF(O2315=0,"Zero amount",IF(NOT(ISNUMBER(N2315)),"Bad date",IF(P2315="","NAME NOT ON ROSTER",IF(L2315="","OK",IF(MATCH(L2315,$L$2:$L$3001,0)&lt;ROW()-1,"Duplicate (ignored)","OK"))))))))</f>
        <v/>
      </c>
      <c r="I2315">
        <f>IF(OC_Date=0,"",IF(INDEX('OneCause_Paste'!$A$2315:$AZ$2315,1,OC_Date)="","",INDEX('OneCause_Paste'!$A$2315:$AZ$2315,1,OC_Date)))</f>
        <v/>
      </c>
      <c r="J2315">
        <f>IF(OC_Amt=0,"",IF(INDEX('OneCause_Paste'!$A$2315:$AZ$2315,1,OC_Amt)="","",INDEX('OneCause_Paste'!$A$2315:$AZ$2315,1,OC_Amt)))</f>
        <v/>
      </c>
      <c r="K2315">
        <f>IF(OC_Name=0,"",IF(INDEX('OneCause_Paste'!$A$2315:$AZ$2315,1,OC_Name)="","",INDEX('OneCause_Paste'!$A$2315:$AZ$2315,1,OC_Name)))</f>
        <v/>
      </c>
      <c r="L2315">
        <f>IF(OC_Txn=0,"",IF(INDEX('OneCause_Paste'!$A$2315:$AZ$2315,1,OC_Txn)="","",INDEX('OneCause_Paste'!$A$2315:$AZ$2315,1,OC_Txn)))</f>
        <v/>
      </c>
      <c r="M2315">
        <f>IF(OC_Pay=0,"",IF(INDEX('OneCause_Paste'!$A$2315:$AZ$2315,1,OC_Pay)="","",INDEX('OneCause_Paste'!$A$2315:$AZ$2315,1,OC_Pay)))</f>
        <v/>
      </c>
      <c r="N2315">
        <f>IF(I2315="","",IF(ISNUMBER(I2315),INT(I2315),IFERROR(INT(DATEVALUE(I2315)),IFERROR(INT(VALUE(I2315)),"bad"))))</f>
        <v/>
      </c>
      <c r="O2315">
        <f>IF(J2315="","",IF(ISNUMBER(J2315),ROUND(J2315,2),IFERROR(ROUND(VALUE(SUBSTITUTE(SUBSTITUTE(SUBSTITUTE(J2315,"$",""),",","")," ","")),2),"bad")))</f>
        <v/>
      </c>
      <c r="P2315">
        <f>IF(TRIM(K2315)="","",IFERROR(MATCH(LOWER(TRIM(K2315)),'Students'!$AH$2:$AH$701,0),IFERROR(MATCH(LOWER(TRIM(K2315)),'Students'!$AF$2:$AF$701,0),IFERROR(MATCH(LOWER(TRIM(K2315)),'Students'!$AG$2:$AG$701,0),""))))</f>
        <v/>
      </c>
      <c r="R2315">
        <f>IF(P2315="","",INDEX('Students'!$AD$2:$AD$701,P2315))</f>
        <v/>
      </c>
      <c r="S2315">
        <f>IF(H2315="OK",O2315,0)</f>
        <v/>
      </c>
      <c r="T2315">
        <f>IF(H2315="OK",N2315,"")</f>
        <v/>
      </c>
      <c r="U2315">
        <f>IF(OC_Donor=0,"",IF(INDEX('OneCause_Paste'!$A$2315:$AZ$2315,1,OC_Donor)="","",INDEX('OneCause_Paste'!$A$2315:$AZ$2315,1,OC_Donor)))</f>
        <v/>
      </c>
    </row>
    <row r="2316">
      <c r="A2316" s="62">
        <f>IF(H2316="","",IF(ISNUMBER(N2316),N2316,I2316))</f>
        <v/>
      </c>
      <c r="B2316">
        <f>IF(H2316="","",U2316)</f>
        <v/>
      </c>
      <c r="C2316">
        <f>IF(H2316="","",IF(P2316="",K2316,INDEX('Students'!$A$2:$A$701,P2316)))</f>
        <v/>
      </c>
      <c r="D2316">
        <f>IF(OR(H2316="",P2316=""),"",INDEX('Students'!$B$2:$B$701,P2316))</f>
        <v/>
      </c>
      <c r="E2316">
        <f>IF(OR(H2316="",P2316=""),"",INDEX('Students'!$C$2:$C$701,P2316))</f>
        <v/>
      </c>
      <c r="F2316" s="48">
        <f>IF(H2316="","",IF(ISNUMBER(O2316),O2316,J2316))</f>
        <v/>
      </c>
      <c r="G2316">
        <f>IF(H2316="","","OneCause")</f>
        <v/>
      </c>
      <c r="H2316">
        <f>IF(AND(I2316="",J2316="",K2316=""),"",IF(NOT(ISNUMBER(O2316)),"Bad amount",IF(O2316&lt;0,"Refund (not counted)",IF(O2316=0,"Zero amount",IF(NOT(ISNUMBER(N2316)),"Bad date",IF(P2316="","NAME NOT ON ROSTER",IF(L2316="","OK",IF(MATCH(L2316,$L$2:$L$3001,0)&lt;ROW()-1,"Duplicate (ignored)","OK"))))))))</f>
        <v/>
      </c>
      <c r="I2316">
        <f>IF(OC_Date=0,"",IF(INDEX('OneCause_Paste'!$A$2316:$AZ$2316,1,OC_Date)="","",INDEX('OneCause_Paste'!$A$2316:$AZ$2316,1,OC_Date)))</f>
        <v/>
      </c>
      <c r="J2316">
        <f>IF(OC_Amt=0,"",IF(INDEX('OneCause_Paste'!$A$2316:$AZ$2316,1,OC_Amt)="","",INDEX('OneCause_Paste'!$A$2316:$AZ$2316,1,OC_Amt)))</f>
        <v/>
      </c>
      <c r="K2316">
        <f>IF(OC_Name=0,"",IF(INDEX('OneCause_Paste'!$A$2316:$AZ$2316,1,OC_Name)="","",INDEX('OneCause_Paste'!$A$2316:$AZ$2316,1,OC_Name)))</f>
        <v/>
      </c>
      <c r="L2316">
        <f>IF(OC_Txn=0,"",IF(INDEX('OneCause_Paste'!$A$2316:$AZ$2316,1,OC_Txn)="","",INDEX('OneCause_Paste'!$A$2316:$AZ$2316,1,OC_Txn)))</f>
        <v/>
      </c>
      <c r="M2316">
        <f>IF(OC_Pay=0,"",IF(INDEX('OneCause_Paste'!$A$2316:$AZ$2316,1,OC_Pay)="","",INDEX('OneCause_Paste'!$A$2316:$AZ$2316,1,OC_Pay)))</f>
        <v/>
      </c>
      <c r="N2316">
        <f>IF(I2316="","",IF(ISNUMBER(I2316),INT(I2316),IFERROR(INT(DATEVALUE(I2316)),IFERROR(INT(VALUE(I2316)),"bad"))))</f>
        <v/>
      </c>
      <c r="O2316">
        <f>IF(J2316="","",IF(ISNUMBER(J2316),ROUND(J2316,2),IFERROR(ROUND(VALUE(SUBSTITUTE(SUBSTITUTE(SUBSTITUTE(J2316,"$",""),",","")," ","")),2),"bad")))</f>
        <v/>
      </c>
      <c r="P2316">
        <f>IF(TRIM(K2316)="","",IFERROR(MATCH(LOWER(TRIM(K2316)),'Students'!$AH$2:$AH$701,0),IFERROR(MATCH(LOWER(TRIM(K2316)),'Students'!$AF$2:$AF$701,0),IFERROR(MATCH(LOWER(TRIM(K2316)),'Students'!$AG$2:$AG$701,0),""))))</f>
        <v/>
      </c>
      <c r="R2316">
        <f>IF(P2316="","",INDEX('Students'!$AD$2:$AD$701,P2316))</f>
        <v/>
      </c>
      <c r="S2316">
        <f>IF(H2316="OK",O2316,0)</f>
        <v/>
      </c>
      <c r="T2316">
        <f>IF(H2316="OK",N2316,"")</f>
        <v/>
      </c>
      <c r="U2316">
        <f>IF(OC_Donor=0,"",IF(INDEX('OneCause_Paste'!$A$2316:$AZ$2316,1,OC_Donor)="","",INDEX('OneCause_Paste'!$A$2316:$AZ$2316,1,OC_Donor)))</f>
        <v/>
      </c>
    </row>
    <row r="2317">
      <c r="A2317" s="62">
        <f>IF(H2317="","",IF(ISNUMBER(N2317),N2317,I2317))</f>
        <v/>
      </c>
      <c r="B2317">
        <f>IF(H2317="","",U2317)</f>
        <v/>
      </c>
      <c r="C2317">
        <f>IF(H2317="","",IF(P2317="",K2317,INDEX('Students'!$A$2:$A$701,P2317)))</f>
        <v/>
      </c>
      <c r="D2317">
        <f>IF(OR(H2317="",P2317=""),"",INDEX('Students'!$B$2:$B$701,P2317))</f>
        <v/>
      </c>
      <c r="E2317">
        <f>IF(OR(H2317="",P2317=""),"",INDEX('Students'!$C$2:$C$701,P2317))</f>
        <v/>
      </c>
      <c r="F2317" s="48">
        <f>IF(H2317="","",IF(ISNUMBER(O2317),O2317,J2317))</f>
        <v/>
      </c>
      <c r="G2317">
        <f>IF(H2317="","","OneCause")</f>
        <v/>
      </c>
      <c r="H2317">
        <f>IF(AND(I2317="",J2317="",K2317=""),"",IF(NOT(ISNUMBER(O2317)),"Bad amount",IF(O2317&lt;0,"Refund (not counted)",IF(O2317=0,"Zero amount",IF(NOT(ISNUMBER(N2317)),"Bad date",IF(P2317="","NAME NOT ON ROSTER",IF(L2317="","OK",IF(MATCH(L2317,$L$2:$L$3001,0)&lt;ROW()-1,"Duplicate (ignored)","OK"))))))))</f>
        <v/>
      </c>
      <c r="I2317">
        <f>IF(OC_Date=0,"",IF(INDEX('OneCause_Paste'!$A$2317:$AZ$2317,1,OC_Date)="","",INDEX('OneCause_Paste'!$A$2317:$AZ$2317,1,OC_Date)))</f>
        <v/>
      </c>
      <c r="J2317">
        <f>IF(OC_Amt=0,"",IF(INDEX('OneCause_Paste'!$A$2317:$AZ$2317,1,OC_Amt)="","",INDEX('OneCause_Paste'!$A$2317:$AZ$2317,1,OC_Amt)))</f>
        <v/>
      </c>
      <c r="K2317">
        <f>IF(OC_Name=0,"",IF(INDEX('OneCause_Paste'!$A$2317:$AZ$2317,1,OC_Name)="","",INDEX('OneCause_Paste'!$A$2317:$AZ$2317,1,OC_Name)))</f>
        <v/>
      </c>
      <c r="L2317">
        <f>IF(OC_Txn=0,"",IF(INDEX('OneCause_Paste'!$A$2317:$AZ$2317,1,OC_Txn)="","",INDEX('OneCause_Paste'!$A$2317:$AZ$2317,1,OC_Txn)))</f>
        <v/>
      </c>
      <c r="M2317">
        <f>IF(OC_Pay=0,"",IF(INDEX('OneCause_Paste'!$A$2317:$AZ$2317,1,OC_Pay)="","",INDEX('OneCause_Paste'!$A$2317:$AZ$2317,1,OC_Pay)))</f>
        <v/>
      </c>
      <c r="N2317">
        <f>IF(I2317="","",IF(ISNUMBER(I2317),INT(I2317),IFERROR(INT(DATEVALUE(I2317)),IFERROR(INT(VALUE(I2317)),"bad"))))</f>
        <v/>
      </c>
      <c r="O2317">
        <f>IF(J2317="","",IF(ISNUMBER(J2317),ROUND(J2317,2),IFERROR(ROUND(VALUE(SUBSTITUTE(SUBSTITUTE(SUBSTITUTE(J2317,"$",""),",","")," ","")),2),"bad")))</f>
        <v/>
      </c>
      <c r="P2317">
        <f>IF(TRIM(K2317)="","",IFERROR(MATCH(LOWER(TRIM(K2317)),'Students'!$AH$2:$AH$701,0),IFERROR(MATCH(LOWER(TRIM(K2317)),'Students'!$AF$2:$AF$701,0),IFERROR(MATCH(LOWER(TRIM(K2317)),'Students'!$AG$2:$AG$701,0),""))))</f>
        <v/>
      </c>
      <c r="R2317">
        <f>IF(P2317="","",INDEX('Students'!$AD$2:$AD$701,P2317))</f>
        <v/>
      </c>
      <c r="S2317">
        <f>IF(H2317="OK",O2317,0)</f>
        <v/>
      </c>
      <c r="T2317">
        <f>IF(H2317="OK",N2317,"")</f>
        <v/>
      </c>
      <c r="U2317">
        <f>IF(OC_Donor=0,"",IF(INDEX('OneCause_Paste'!$A$2317:$AZ$2317,1,OC_Donor)="","",INDEX('OneCause_Paste'!$A$2317:$AZ$2317,1,OC_Donor)))</f>
        <v/>
      </c>
    </row>
    <row r="2318">
      <c r="A2318" s="62">
        <f>IF(H2318="","",IF(ISNUMBER(N2318),N2318,I2318))</f>
        <v/>
      </c>
      <c r="B2318">
        <f>IF(H2318="","",U2318)</f>
        <v/>
      </c>
      <c r="C2318">
        <f>IF(H2318="","",IF(P2318="",K2318,INDEX('Students'!$A$2:$A$701,P2318)))</f>
        <v/>
      </c>
      <c r="D2318">
        <f>IF(OR(H2318="",P2318=""),"",INDEX('Students'!$B$2:$B$701,P2318))</f>
        <v/>
      </c>
      <c r="E2318">
        <f>IF(OR(H2318="",P2318=""),"",INDEX('Students'!$C$2:$C$701,P2318))</f>
        <v/>
      </c>
      <c r="F2318" s="48">
        <f>IF(H2318="","",IF(ISNUMBER(O2318),O2318,J2318))</f>
        <v/>
      </c>
      <c r="G2318">
        <f>IF(H2318="","","OneCause")</f>
        <v/>
      </c>
      <c r="H2318">
        <f>IF(AND(I2318="",J2318="",K2318=""),"",IF(NOT(ISNUMBER(O2318)),"Bad amount",IF(O2318&lt;0,"Refund (not counted)",IF(O2318=0,"Zero amount",IF(NOT(ISNUMBER(N2318)),"Bad date",IF(P2318="","NAME NOT ON ROSTER",IF(L2318="","OK",IF(MATCH(L2318,$L$2:$L$3001,0)&lt;ROW()-1,"Duplicate (ignored)","OK"))))))))</f>
        <v/>
      </c>
      <c r="I2318">
        <f>IF(OC_Date=0,"",IF(INDEX('OneCause_Paste'!$A$2318:$AZ$2318,1,OC_Date)="","",INDEX('OneCause_Paste'!$A$2318:$AZ$2318,1,OC_Date)))</f>
        <v/>
      </c>
      <c r="J2318">
        <f>IF(OC_Amt=0,"",IF(INDEX('OneCause_Paste'!$A$2318:$AZ$2318,1,OC_Amt)="","",INDEX('OneCause_Paste'!$A$2318:$AZ$2318,1,OC_Amt)))</f>
        <v/>
      </c>
      <c r="K2318">
        <f>IF(OC_Name=0,"",IF(INDEX('OneCause_Paste'!$A$2318:$AZ$2318,1,OC_Name)="","",INDEX('OneCause_Paste'!$A$2318:$AZ$2318,1,OC_Name)))</f>
        <v/>
      </c>
      <c r="L2318">
        <f>IF(OC_Txn=0,"",IF(INDEX('OneCause_Paste'!$A$2318:$AZ$2318,1,OC_Txn)="","",INDEX('OneCause_Paste'!$A$2318:$AZ$2318,1,OC_Txn)))</f>
        <v/>
      </c>
      <c r="M2318">
        <f>IF(OC_Pay=0,"",IF(INDEX('OneCause_Paste'!$A$2318:$AZ$2318,1,OC_Pay)="","",INDEX('OneCause_Paste'!$A$2318:$AZ$2318,1,OC_Pay)))</f>
        <v/>
      </c>
      <c r="N2318">
        <f>IF(I2318="","",IF(ISNUMBER(I2318),INT(I2318),IFERROR(INT(DATEVALUE(I2318)),IFERROR(INT(VALUE(I2318)),"bad"))))</f>
        <v/>
      </c>
      <c r="O2318">
        <f>IF(J2318="","",IF(ISNUMBER(J2318),ROUND(J2318,2),IFERROR(ROUND(VALUE(SUBSTITUTE(SUBSTITUTE(SUBSTITUTE(J2318,"$",""),",","")," ","")),2),"bad")))</f>
        <v/>
      </c>
      <c r="P2318">
        <f>IF(TRIM(K2318)="","",IFERROR(MATCH(LOWER(TRIM(K2318)),'Students'!$AH$2:$AH$701,0),IFERROR(MATCH(LOWER(TRIM(K2318)),'Students'!$AF$2:$AF$701,0),IFERROR(MATCH(LOWER(TRIM(K2318)),'Students'!$AG$2:$AG$701,0),""))))</f>
        <v/>
      </c>
      <c r="R2318">
        <f>IF(P2318="","",INDEX('Students'!$AD$2:$AD$701,P2318))</f>
        <v/>
      </c>
      <c r="S2318">
        <f>IF(H2318="OK",O2318,0)</f>
        <v/>
      </c>
      <c r="T2318">
        <f>IF(H2318="OK",N2318,"")</f>
        <v/>
      </c>
      <c r="U2318">
        <f>IF(OC_Donor=0,"",IF(INDEX('OneCause_Paste'!$A$2318:$AZ$2318,1,OC_Donor)="","",INDEX('OneCause_Paste'!$A$2318:$AZ$2318,1,OC_Donor)))</f>
        <v/>
      </c>
    </row>
    <row r="2319">
      <c r="A2319" s="62">
        <f>IF(H2319="","",IF(ISNUMBER(N2319),N2319,I2319))</f>
        <v/>
      </c>
      <c r="B2319">
        <f>IF(H2319="","",U2319)</f>
        <v/>
      </c>
      <c r="C2319">
        <f>IF(H2319="","",IF(P2319="",K2319,INDEX('Students'!$A$2:$A$701,P2319)))</f>
        <v/>
      </c>
      <c r="D2319">
        <f>IF(OR(H2319="",P2319=""),"",INDEX('Students'!$B$2:$B$701,P2319))</f>
        <v/>
      </c>
      <c r="E2319">
        <f>IF(OR(H2319="",P2319=""),"",INDEX('Students'!$C$2:$C$701,P2319))</f>
        <v/>
      </c>
      <c r="F2319" s="48">
        <f>IF(H2319="","",IF(ISNUMBER(O2319),O2319,J2319))</f>
        <v/>
      </c>
      <c r="G2319">
        <f>IF(H2319="","","OneCause")</f>
        <v/>
      </c>
      <c r="H2319">
        <f>IF(AND(I2319="",J2319="",K2319=""),"",IF(NOT(ISNUMBER(O2319)),"Bad amount",IF(O2319&lt;0,"Refund (not counted)",IF(O2319=0,"Zero amount",IF(NOT(ISNUMBER(N2319)),"Bad date",IF(P2319="","NAME NOT ON ROSTER",IF(L2319="","OK",IF(MATCH(L2319,$L$2:$L$3001,0)&lt;ROW()-1,"Duplicate (ignored)","OK"))))))))</f>
        <v/>
      </c>
      <c r="I2319">
        <f>IF(OC_Date=0,"",IF(INDEX('OneCause_Paste'!$A$2319:$AZ$2319,1,OC_Date)="","",INDEX('OneCause_Paste'!$A$2319:$AZ$2319,1,OC_Date)))</f>
        <v/>
      </c>
      <c r="J2319">
        <f>IF(OC_Amt=0,"",IF(INDEX('OneCause_Paste'!$A$2319:$AZ$2319,1,OC_Amt)="","",INDEX('OneCause_Paste'!$A$2319:$AZ$2319,1,OC_Amt)))</f>
        <v/>
      </c>
      <c r="K2319">
        <f>IF(OC_Name=0,"",IF(INDEX('OneCause_Paste'!$A$2319:$AZ$2319,1,OC_Name)="","",INDEX('OneCause_Paste'!$A$2319:$AZ$2319,1,OC_Name)))</f>
        <v/>
      </c>
      <c r="L2319">
        <f>IF(OC_Txn=0,"",IF(INDEX('OneCause_Paste'!$A$2319:$AZ$2319,1,OC_Txn)="","",INDEX('OneCause_Paste'!$A$2319:$AZ$2319,1,OC_Txn)))</f>
        <v/>
      </c>
      <c r="M2319">
        <f>IF(OC_Pay=0,"",IF(INDEX('OneCause_Paste'!$A$2319:$AZ$2319,1,OC_Pay)="","",INDEX('OneCause_Paste'!$A$2319:$AZ$2319,1,OC_Pay)))</f>
        <v/>
      </c>
      <c r="N2319">
        <f>IF(I2319="","",IF(ISNUMBER(I2319),INT(I2319),IFERROR(INT(DATEVALUE(I2319)),IFERROR(INT(VALUE(I2319)),"bad"))))</f>
        <v/>
      </c>
      <c r="O2319">
        <f>IF(J2319="","",IF(ISNUMBER(J2319),ROUND(J2319,2),IFERROR(ROUND(VALUE(SUBSTITUTE(SUBSTITUTE(SUBSTITUTE(J2319,"$",""),",","")," ","")),2),"bad")))</f>
        <v/>
      </c>
      <c r="P2319">
        <f>IF(TRIM(K2319)="","",IFERROR(MATCH(LOWER(TRIM(K2319)),'Students'!$AH$2:$AH$701,0),IFERROR(MATCH(LOWER(TRIM(K2319)),'Students'!$AF$2:$AF$701,0),IFERROR(MATCH(LOWER(TRIM(K2319)),'Students'!$AG$2:$AG$701,0),""))))</f>
        <v/>
      </c>
      <c r="R2319">
        <f>IF(P2319="","",INDEX('Students'!$AD$2:$AD$701,P2319))</f>
        <v/>
      </c>
      <c r="S2319">
        <f>IF(H2319="OK",O2319,0)</f>
        <v/>
      </c>
      <c r="T2319">
        <f>IF(H2319="OK",N2319,"")</f>
        <v/>
      </c>
      <c r="U2319">
        <f>IF(OC_Donor=0,"",IF(INDEX('OneCause_Paste'!$A$2319:$AZ$2319,1,OC_Donor)="","",INDEX('OneCause_Paste'!$A$2319:$AZ$2319,1,OC_Donor)))</f>
        <v/>
      </c>
    </row>
    <row r="2320">
      <c r="A2320" s="62">
        <f>IF(H2320="","",IF(ISNUMBER(N2320),N2320,I2320))</f>
        <v/>
      </c>
      <c r="B2320">
        <f>IF(H2320="","",U2320)</f>
        <v/>
      </c>
      <c r="C2320">
        <f>IF(H2320="","",IF(P2320="",K2320,INDEX('Students'!$A$2:$A$701,P2320)))</f>
        <v/>
      </c>
      <c r="D2320">
        <f>IF(OR(H2320="",P2320=""),"",INDEX('Students'!$B$2:$B$701,P2320))</f>
        <v/>
      </c>
      <c r="E2320">
        <f>IF(OR(H2320="",P2320=""),"",INDEX('Students'!$C$2:$C$701,P2320))</f>
        <v/>
      </c>
      <c r="F2320" s="48">
        <f>IF(H2320="","",IF(ISNUMBER(O2320),O2320,J2320))</f>
        <v/>
      </c>
      <c r="G2320">
        <f>IF(H2320="","","OneCause")</f>
        <v/>
      </c>
      <c r="H2320">
        <f>IF(AND(I2320="",J2320="",K2320=""),"",IF(NOT(ISNUMBER(O2320)),"Bad amount",IF(O2320&lt;0,"Refund (not counted)",IF(O2320=0,"Zero amount",IF(NOT(ISNUMBER(N2320)),"Bad date",IF(P2320="","NAME NOT ON ROSTER",IF(L2320="","OK",IF(MATCH(L2320,$L$2:$L$3001,0)&lt;ROW()-1,"Duplicate (ignored)","OK"))))))))</f>
        <v/>
      </c>
      <c r="I2320">
        <f>IF(OC_Date=0,"",IF(INDEX('OneCause_Paste'!$A$2320:$AZ$2320,1,OC_Date)="","",INDEX('OneCause_Paste'!$A$2320:$AZ$2320,1,OC_Date)))</f>
        <v/>
      </c>
      <c r="J2320">
        <f>IF(OC_Amt=0,"",IF(INDEX('OneCause_Paste'!$A$2320:$AZ$2320,1,OC_Amt)="","",INDEX('OneCause_Paste'!$A$2320:$AZ$2320,1,OC_Amt)))</f>
        <v/>
      </c>
      <c r="K2320">
        <f>IF(OC_Name=0,"",IF(INDEX('OneCause_Paste'!$A$2320:$AZ$2320,1,OC_Name)="","",INDEX('OneCause_Paste'!$A$2320:$AZ$2320,1,OC_Name)))</f>
        <v/>
      </c>
      <c r="L2320">
        <f>IF(OC_Txn=0,"",IF(INDEX('OneCause_Paste'!$A$2320:$AZ$2320,1,OC_Txn)="","",INDEX('OneCause_Paste'!$A$2320:$AZ$2320,1,OC_Txn)))</f>
        <v/>
      </c>
      <c r="M2320">
        <f>IF(OC_Pay=0,"",IF(INDEX('OneCause_Paste'!$A$2320:$AZ$2320,1,OC_Pay)="","",INDEX('OneCause_Paste'!$A$2320:$AZ$2320,1,OC_Pay)))</f>
        <v/>
      </c>
      <c r="N2320">
        <f>IF(I2320="","",IF(ISNUMBER(I2320),INT(I2320),IFERROR(INT(DATEVALUE(I2320)),IFERROR(INT(VALUE(I2320)),"bad"))))</f>
        <v/>
      </c>
      <c r="O2320">
        <f>IF(J2320="","",IF(ISNUMBER(J2320),ROUND(J2320,2),IFERROR(ROUND(VALUE(SUBSTITUTE(SUBSTITUTE(SUBSTITUTE(J2320,"$",""),",","")," ","")),2),"bad")))</f>
        <v/>
      </c>
      <c r="P2320">
        <f>IF(TRIM(K2320)="","",IFERROR(MATCH(LOWER(TRIM(K2320)),'Students'!$AH$2:$AH$701,0),IFERROR(MATCH(LOWER(TRIM(K2320)),'Students'!$AF$2:$AF$701,0),IFERROR(MATCH(LOWER(TRIM(K2320)),'Students'!$AG$2:$AG$701,0),""))))</f>
        <v/>
      </c>
      <c r="R2320">
        <f>IF(P2320="","",INDEX('Students'!$AD$2:$AD$701,P2320))</f>
        <v/>
      </c>
      <c r="S2320">
        <f>IF(H2320="OK",O2320,0)</f>
        <v/>
      </c>
      <c r="T2320">
        <f>IF(H2320="OK",N2320,"")</f>
        <v/>
      </c>
      <c r="U2320">
        <f>IF(OC_Donor=0,"",IF(INDEX('OneCause_Paste'!$A$2320:$AZ$2320,1,OC_Donor)="","",INDEX('OneCause_Paste'!$A$2320:$AZ$2320,1,OC_Donor)))</f>
        <v/>
      </c>
    </row>
    <row r="2321">
      <c r="A2321" s="62">
        <f>IF(H2321="","",IF(ISNUMBER(N2321),N2321,I2321))</f>
        <v/>
      </c>
      <c r="B2321">
        <f>IF(H2321="","",U2321)</f>
        <v/>
      </c>
      <c r="C2321">
        <f>IF(H2321="","",IF(P2321="",K2321,INDEX('Students'!$A$2:$A$701,P2321)))</f>
        <v/>
      </c>
      <c r="D2321">
        <f>IF(OR(H2321="",P2321=""),"",INDEX('Students'!$B$2:$B$701,P2321))</f>
        <v/>
      </c>
      <c r="E2321">
        <f>IF(OR(H2321="",P2321=""),"",INDEX('Students'!$C$2:$C$701,P2321))</f>
        <v/>
      </c>
      <c r="F2321" s="48">
        <f>IF(H2321="","",IF(ISNUMBER(O2321),O2321,J2321))</f>
        <v/>
      </c>
      <c r="G2321">
        <f>IF(H2321="","","OneCause")</f>
        <v/>
      </c>
      <c r="H2321">
        <f>IF(AND(I2321="",J2321="",K2321=""),"",IF(NOT(ISNUMBER(O2321)),"Bad amount",IF(O2321&lt;0,"Refund (not counted)",IF(O2321=0,"Zero amount",IF(NOT(ISNUMBER(N2321)),"Bad date",IF(P2321="","NAME NOT ON ROSTER",IF(L2321="","OK",IF(MATCH(L2321,$L$2:$L$3001,0)&lt;ROW()-1,"Duplicate (ignored)","OK"))))))))</f>
        <v/>
      </c>
      <c r="I2321">
        <f>IF(OC_Date=0,"",IF(INDEX('OneCause_Paste'!$A$2321:$AZ$2321,1,OC_Date)="","",INDEX('OneCause_Paste'!$A$2321:$AZ$2321,1,OC_Date)))</f>
        <v/>
      </c>
      <c r="J2321">
        <f>IF(OC_Amt=0,"",IF(INDEX('OneCause_Paste'!$A$2321:$AZ$2321,1,OC_Amt)="","",INDEX('OneCause_Paste'!$A$2321:$AZ$2321,1,OC_Amt)))</f>
        <v/>
      </c>
      <c r="K2321">
        <f>IF(OC_Name=0,"",IF(INDEX('OneCause_Paste'!$A$2321:$AZ$2321,1,OC_Name)="","",INDEX('OneCause_Paste'!$A$2321:$AZ$2321,1,OC_Name)))</f>
        <v/>
      </c>
      <c r="L2321">
        <f>IF(OC_Txn=0,"",IF(INDEX('OneCause_Paste'!$A$2321:$AZ$2321,1,OC_Txn)="","",INDEX('OneCause_Paste'!$A$2321:$AZ$2321,1,OC_Txn)))</f>
        <v/>
      </c>
      <c r="M2321">
        <f>IF(OC_Pay=0,"",IF(INDEX('OneCause_Paste'!$A$2321:$AZ$2321,1,OC_Pay)="","",INDEX('OneCause_Paste'!$A$2321:$AZ$2321,1,OC_Pay)))</f>
        <v/>
      </c>
      <c r="N2321">
        <f>IF(I2321="","",IF(ISNUMBER(I2321),INT(I2321),IFERROR(INT(DATEVALUE(I2321)),IFERROR(INT(VALUE(I2321)),"bad"))))</f>
        <v/>
      </c>
      <c r="O2321">
        <f>IF(J2321="","",IF(ISNUMBER(J2321),ROUND(J2321,2),IFERROR(ROUND(VALUE(SUBSTITUTE(SUBSTITUTE(SUBSTITUTE(J2321,"$",""),",","")," ","")),2),"bad")))</f>
        <v/>
      </c>
      <c r="P2321">
        <f>IF(TRIM(K2321)="","",IFERROR(MATCH(LOWER(TRIM(K2321)),'Students'!$AH$2:$AH$701,0),IFERROR(MATCH(LOWER(TRIM(K2321)),'Students'!$AF$2:$AF$701,0),IFERROR(MATCH(LOWER(TRIM(K2321)),'Students'!$AG$2:$AG$701,0),""))))</f>
        <v/>
      </c>
      <c r="R2321">
        <f>IF(P2321="","",INDEX('Students'!$AD$2:$AD$701,P2321))</f>
        <v/>
      </c>
      <c r="S2321">
        <f>IF(H2321="OK",O2321,0)</f>
        <v/>
      </c>
      <c r="T2321">
        <f>IF(H2321="OK",N2321,"")</f>
        <v/>
      </c>
      <c r="U2321">
        <f>IF(OC_Donor=0,"",IF(INDEX('OneCause_Paste'!$A$2321:$AZ$2321,1,OC_Donor)="","",INDEX('OneCause_Paste'!$A$2321:$AZ$2321,1,OC_Donor)))</f>
        <v/>
      </c>
    </row>
    <row r="2322">
      <c r="A2322" s="62">
        <f>IF(H2322="","",IF(ISNUMBER(N2322),N2322,I2322))</f>
        <v/>
      </c>
      <c r="B2322">
        <f>IF(H2322="","",U2322)</f>
        <v/>
      </c>
      <c r="C2322">
        <f>IF(H2322="","",IF(P2322="",K2322,INDEX('Students'!$A$2:$A$701,P2322)))</f>
        <v/>
      </c>
      <c r="D2322">
        <f>IF(OR(H2322="",P2322=""),"",INDEX('Students'!$B$2:$B$701,P2322))</f>
        <v/>
      </c>
      <c r="E2322">
        <f>IF(OR(H2322="",P2322=""),"",INDEX('Students'!$C$2:$C$701,P2322))</f>
        <v/>
      </c>
      <c r="F2322" s="48">
        <f>IF(H2322="","",IF(ISNUMBER(O2322),O2322,J2322))</f>
        <v/>
      </c>
      <c r="G2322">
        <f>IF(H2322="","","OneCause")</f>
        <v/>
      </c>
      <c r="H2322">
        <f>IF(AND(I2322="",J2322="",K2322=""),"",IF(NOT(ISNUMBER(O2322)),"Bad amount",IF(O2322&lt;0,"Refund (not counted)",IF(O2322=0,"Zero amount",IF(NOT(ISNUMBER(N2322)),"Bad date",IF(P2322="","NAME NOT ON ROSTER",IF(L2322="","OK",IF(MATCH(L2322,$L$2:$L$3001,0)&lt;ROW()-1,"Duplicate (ignored)","OK"))))))))</f>
        <v/>
      </c>
      <c r="I2322">
        <f>IF(OC_Date=0,"",IF(INDEX('OneCause_Paste'!$A$2322:$AZ$2322,1,OC_Date)="","",INDEX('OneCause_Paste'!$A$2322:$AZ$2322,1,OC_Date)))</f>
        <v/>
      </c>
      <c r="J2322">
        <f>IF(OC_Amt=0,"",IF(INDEX('OneCause_Paste'!$A$2322:$AZ$2322,1,OC_Amt)="","",INDEX('OneCause_Paste'!$A$2322:$AZ$2322,1,OC_Amt)))</f>
        <v/>
      </c>
      <c r="K2322">
        <f>IF(OC_Name=0,"",IF(INDEX('OneCause_Paste'!$A$2322:$AZ$2322,1,OC_Name)="","",INDEX('OneCause_Paste'!$A$2322:$AZ$2322,1,OC_Name)))</f>
        <v/>
      </c>
      <c r="L2322">
        <f>IF(OC_Txn=0,"",IF(INDEX('OneCause_Paste'!$A$2322:$AZ$2322,1,OC_Txn)="","",INDEX('OneCause_Paste'!$A$2322:$AZ$2322,1,OC_Txn)))</f>
        <v/>
      </c>
      <c r="M2322">
        <f>IF(OC_Pay=0,"",IF(INDEX('OneCause_Paste'!$A$2322:$AZ$2322,1,OC_Pay)="","",INDEX('OneCause_Paste'!$A$2322:$AZ$2322,1,OC_Pay)))</f>
        <v/>
      </c>
      <c r="N2322">
        <f>IF(I2322="","",IF(ISNUMBER(I2322),INT(I2322),IFERROR(INT(DATEVALUE(I2322)),IFERROR(INT(VALUE(I2322)),"bad"))))</f>
        <v/>
      </c>
      <c r="O2322">
        <f>IF(J2322="","",IF(ISNUMBER(J2322),ROUND(J2322,2),IFERROR(ROUND(VALUE(SUBSTITUTE(SUBSTITUTE(SUBSTITUTE(J2322,"$",""),",","")," ","")),2),"bad")))</f>
        <v/>
      </c>
      <c r="P2322">
        <f>IF(TRIM(K2322)="","",IFERROR(MATCH(LOWER(TRIM(K2322)),'Students'!$AH$2:$AH$701,0),IFERROR(MATCH(LOWER(TRIM(K2322)),'Students'!$AF$2:$AF$701,0),IFERROR(MATCH(LOWER(TRIM(K2322)),'Students'!$AG$2:$AG$701,0),""))))</f>
        <v/>
      </c>
      <c r="R2322">
        <f>IF(P2322="","",INDEX('Students'!$AD$2:$AD$701,P2322))</f>
        <v/>
      </c>
      <c r="S2322">
        <f>IF(H2322="OK",O2322,0)</f>
        <v/>
      </c>
      <c r="T2322">
        <f>IF(H2322="OK",N2322,"")</f>
        <v/>
      </c>
      <c r="U2322">
        <f>IF(OC_Donor=0,"",IF(INDEX('OneCause_Paste'!$A$2322:$AZ$2322,1,OC_Donor)="","",INDEX('OneCause_Paste'!$A$2322:$AZ$2322,1,OC_Donor)))</f>
        <v/>
      </c>
    </row>
    <row r="2323">
      <c r="A2323" s="62">
        <f>IF(H2323="","",IF(ISNUMBER(N2323),N2323,I2323))</f>
        <v/>
      </c>
      <c r="B2323">
        <f>IF(H2323="","",U2323)</f>
        <v/>
      </c>
      <c r="C2323">
        <f>IF(H2323="","",IF(P2323="",K2323,INDEX('Students'!$A$2:$A$701,P2323)))</f>
        <v/>
      </c>
      <c r="D2323">
        <f>IF(OR(H2323="",P2323=""),"",INDEX('Students'!$B$2:$B$701,P2323))</f>
        <v/>
      </c>
      <c r="E2323">
        <f>IF(OR(H2323="",P2323=""),"",INDEX('Students'!$C$2:$C$701,P2323))</f>
        <v/>
      </c>
      <c r="F2323" s="48">
        <f>IF(H2323="","",IF(ISNUMBER(O2323),O2323,J2323))</f>
        <v/>
      </c>
      <c r="G2323">
        <f>IF(H2323="","","OneCause")</f>
        <v/>
      </c>
      <c r="H2323">
        <f>IF(AND(I2323="",J2323="",K2323=""),"",IF(NOT(ISNUMBER(O2323)),"Bad amount",IF(O2323&lt;0,"Refund (not counted)",IF(O2323=0,"Zero amount",IF(NOT(ISNUMBER(N2323)),"Bad date",IF(P2323="","NAME NOT ON ROSTER",IF(L2323="","OK",IF(MATCH(L2323,$L$2:$L$3001,0)&lt;ROW()-1,"Duplicate (ignored)","OK"))))))))</f>
        <v/>
      </c>
      <c r="I2323">
        <f>IF(OC_Date=0,"",IF(INDEX('OneCause_Paste'!$A$2323:$AZ$2323,1,OC_Date)="","",INDEX('OneCause_Paste'!$A$2323:$AZ$2323,1,OC_Date)))</f>
        <v/>
      </c>
      <c r="J2323">
        <f>IF(OC_Amt=0,"",IF(INDEX('OneCause_Paste'!$A$2323:$AZ$2323,1,OC_Amt)="","",INDEX('OneCause_Paste'!$A$2323:$AZ$2323,1,OC_Amt)))</f>
        <v/>
      </c>
      <c r="K2323">
        <f>IF(OC_Name=0,"",IF(INDEX('OneCause_Paste'!$A$2323:$AZ$2323,1,OC_Name)="","",INDEX('OneCause_Paste'!$A$2323:$AZ$2323,1,OC_Name)))</f>
        <v/>
      </c>
      <c r="L2323">
        <f>IF(OC_Txn=0,"",IF(INDEX('OneCause_Paste'!$A$2323:$AZ$2323,1,OC_Txn)="","",INDEX('OneCause_Paste'!$A$2323:$AZ$2323,1,OC_Txn)))</f>
        <v/>
      </c>
      <c r="M2323">
        <f>IF(OC_Pay=0,"",IF(INDEX('OneCause_Paste'!$A$2323:$AZ$2323,1,OC_Pay)="","",INDEX('OneCause_Paste'!$A$2323:$AZ$2323,1,OC_Pay)))</f>
        <v/>
      </c>
      <c r="N2323">
        <f>IF(I2323="","",IF(ISNUMBER(I2323),INT(I2323),IFERROR(INT(DATEVALUE(I2323)),IFERROR(INT(VALUE(I2323)),"bad"))))</f>
        <v/>
      </c>
      <c r="O2323">
        <f>IF(J2323="","",IF(ISNUMBER(J2323),ROUND(J2323,2),IFERROR(ROUND(VALUE(SUBSTITUTE(SUBSTITUTE(SUBSTITUTE(J2323,"$",""),",","")," ","")),2),"bad")))</f>
        <v/>
      </c>
      <c r="P2323">
        <f>IF(TRIM(K2323)="","",IFERROR(MATCH(LOWER(TRIM(K2323)),'Students'!$AH$2:$AH$701,0),IFERROR(MATCH(LOWER(TRIM(K2323)),'Students'!$AF$2:$AF$701,0),IFERROR(MATCH(LOWER(TRIM(K2323)),'Students'!$AG$2:$AG$701,0),""))))</f>
        <v/>
      </c>
      <c r="R2323">
        <f>IF(P2323="","",INDEX('Students'!$AD$2:$AD$701,P2323))</f>
        <v/>
      </c>
      <c r="S2323">
        <f>IF(H2323="OK",O2323,0)</f>
        <v/>
      </c>
      <c r="T2323">
        <f>IF(H2323="OK",N2323,"")</f>
        <v/>
      </c>
      <c r="U2323">
        <f>IF(OC_Donor=0,"",IF(INDEX('OneCause_Paste'!$A$2323:$AZ$2323,1,OC_Donor)="","",INDEX('OneCause_Paste'!$A$2323:$AZ$2323,1,OC_Donor)))</f>
        <v/>
      </c>
    </row>
    <row r="2324">
      <c r="A2324" s="62">
        <f>IF(H2324="","",IF(ISNUMBER(N2324),N2324,I2324))</f>
        <v/>
      </c>
      <c r="B2324">
        <f>IF(H2324="","",U2324)</f>
        <v/>
      </c>
      <c r="C2324">
        <f>IF(H2324="","",IF(P2324="",K2324,INDEX('Students'!$A$2:$A$701,P2324)))</f>
        <v/>
      </c>
      <c r="D2324">
        <f>IF(OR(H2324="",P2324=""),"",INDEX('Students'!$B$2:$B$701,P2324))</f>
        <v/>
      </c>
      <c r="E2324">
        <f>IF(OR(H2324="",P2324=""),"",INDEX('Students'!$C$2:$C$701,P2324))</f>
        <v/>
      </c>
      <c r="F2324" s="48">
        <f>IF(H2324="","",IF(ISNUMBER(O2324),O2324,J2324))</f>
        <v/>
      </c>
      <c r="G2324">
        <f>IF(H2324="","","OneCause")</f>
        <v/>
      </c>
      <c r="H2324">
        <f>IF(AND(I2324="",J2324="",K2324=""),"",IF(NOT(ISNUMBER(O2324)),"Bad amount",IF(O2324&lt;0,"Refund (not counted)",IF(O2324=0,"Zero amount",IF(NOT(ISNUMBER(N2324)),"Bad date",IF(P2324="","NAME NOT ON ROSTER",IF(L2324="","OK",IF(MATCH(L2324,$L$2:$L$3001,0)&lt;ROW()-1,"Duplicate (ignored)","OK"))))))))</f>
        <v/>
      </c>
      <c r="I2324">
        <f>IF(OC_Date=0,"",IF(INDEX('OneCause_Paste'!$A$2324:$AZ$2324,1,OC_Date)="","",INDEX('OneCause_Paste'!$A$2324:$AZ$2324,1,OC_Date)))</f>
        <v/>
      </c>
      <c r="J2324">
        <f>IF(OC_Amt=0,"",IF(INDEX('OneCause_Paste'!$A$2324:$AZ$2324,1,OC_Amt)="","",INDEX('OneCause_Paste'!$A$2324:$AZ$2324,1,OC_Amt)))</f>
        <v/>
      </c>
      <c r="K2324">
        <f>IF(OC_Name=0,"",IF(INDEX('OneCause_Paste'!$A$2324:$AZ$2324,1,OC_Name)="","",INDEX('OneCause_Paste'!$A$2324:$AZ$2324,1,OC_Name)))</f>
        <v/>
      </c>
      <c r="L2324">
        <f>IF(OC_Txn=0,"",IF(INDEX('OneCause_Paste'!$A$2324:$AZ$2324,1,OC_Txn)="","",INDEX('OneCause_Paste'!$A$2324:$AZ$2324,1,OC_Txn)))</f>
        <v/>
      </c>
      <c r="M2324">
        <f>IF(OC_Pay=0,"",IF(INDEX('OneCause_Paste'!$A$2324:$AZ$2324,1,OC_Pay)="","",INDEX('OneCause_Paste'!$A$2324:$AZ$2324,1,OC_Pay)))</f>
        <v/>
      </c>
      <c r="N2324">
        <f>IF(I2324="","",IF(ISNUMBER(I2324),INT(I2324),IFERROR(INT(DATEVALUE(I2324)),IFERROR(INT(VALUE(I2324)),"bad"))))</f>
        <v/>
      </c>
      <c r="O2324">
        <f>IF(J2324="","",IF(ISNUMBER(J2324),ROUND(J2324,2),IFERROR(ROUND(VALUE(SUBSTITUTE(SUBSTITUTE(SUBSTITUTE(J2324,"$",""),",","")," ","")),2),"bad")))</f>
        <v/>
      </c>
      <c r="P2324">
        <f>IF(TRIM(K2324)="","",IFERROR(MATCH(LOWER(TRIM(K2324)),'Students'!$AH$2:$AH$701,0),IFERROR(MATCH(LOWER(TRIM(K2324)),'Students'!$AF$2:$AF$701,0),IFERROR(MATCH(LOWER(TRIM(K2324)),'Students'!$AG$2:$AG$701,0),""))))</f>
        <v/>
      </c>
      <c r="R2324">
        <f>IF(P2324="","",INDEX('Students'!$AD$2:$AD$701,P2324))</f>
        <v/>
      </c>
      <c r="S2324">
        <f>IF(H2324="OK",O2324,0)</f>
        <v/>
      </c>
      <c r="T2324">
        <f>IF(H2324="OK",N2324,"")</f>
        <v/>
      </c>
      <c r="U2324">
        <f>IF(OC_Donor=0,"",IF(INDEX('OneCause_Paste'!$A$2324:$AZ$2324,1,OC_Donor)="","",INDEX('OneCause_Paste'!$A$2324:$AZ$2324,1,OC_Donor)))</f>
        <v/>
      </c>
    </row>
    <row r="2325">
      <c r="A2325" s="62">
        <f>IF(H2325="","",IF(ISNUMBER(N2325),N2325,I2325))</f>
        <v/>
      </c>
      <c r="B2325">
        <f>IF(H2325="","",U2325)</f>
        <v/>
      </c>
      <c r="C2325">
        <f>IF(H2325="","",IF(P2325="",K2325,INDEX('Students'!$A$2:$A$701,P2325)))</f>
        <v/>
      </c>
      <c r="D2325">
        <f>IF(OR(H2325="",P2325=""),"",INDEX('Students'!$B$2:$B$701,P2325))</f>
        <v/>
      </c>
      <c r="E2325">
        <f>IF(OR(H2325="",P2325=""),"",INDEX('Students'!$C$2:$C$701,P2325))</f>
        <v/>
      </c>
      <c r="F2325" s="48">
        <f>IF(H2325="","",IF(ISNUMBER(O2325),O2325,J2325))</f>
        <v/>
      </c>
      <c r="G2325">
        <f>IF(H2325="","","OneCause")</f>
        <v/>
      </c>
      <c r="H2325">
        <f>IF(AND(I2325="",J2325="",K2325=""),"",IF(NOT(ISNUMBER(O2325)),"Bad amount",IF(O2325&lt;0,"Refund (not counted)",IF(O2325=0,"Zero amount",IF(NOT(ISNUMBER(N2325)),"Bad date",IF(P2325="","NAME NOT ON ROSTER",IF(L2325="","OK",IF(MATCH(L2325,$L$2:$L$3001,0)&lt;ROW()-1,"Duplicate (ignored)","OK"))))))))</f>
        <v/>
      </c>
      <c r="I2325">
        <f>IF(OC_Date=0,"",IF(INDEX('OneCause_Paste'!$A$2325:$AZ$2325,1,OC_Date)="","",INDEX('OneCause_Paste'!$A$2325:$AZ$2325,1,OC_Date)))</f>
        <v/>
      </c>
      <c r="J2325">
        <f>IF(OC_Amt=0,"",IF(INDEX('OneCause_Paste'!$A$2325:$AZ$2325,1,OC_Amt)="","",INDEX('OneCause_Paste'!$A$2325:$AZ$2325,1,OC_Amt)))</f>
        <v/>
      </c>
      <c r="K2325">
        <f>IF(OC_Name=0,"",IF(INDEX('OneCause_Paste'!$A$2325:$AZ$2325,1,OC_Name)="","",INDEX('OneCause_Paste'!$A$2325:$AZ$2325,1,OC_Name)))</f>
        <v/>
      </c>
      <c r="L2325">
        <f>IF(OC_Txn=0,"",IF(INDEX('OneCause_Paste'!$A$2325:$AZ$2325,1,OC_Txn)="","",INDEX('OneCause_Paste'!$A$2325:$AZ$2325,1,OC_Txn)))</f>
        <v/>
      </c>
      <c r="M2325">
        <f>IF(OC_Pay=0,"",IF(INDEX('OneCause_Paste'!$A$2325:$AZ$2325,1,OC_Pay)="","",INDEX('OneCause_Paste'!$A$2325:$AZ$2325,1,OC_Pay)))</f>
        <v/>
      </c>
      <c r="N2325">
        <f>IF(I2325="","",IF(ISNUMBER(I2325),INT(I2325),IFERROR(INT(DATEVALUE(I2325)),IFERROR(INT(VALUE(I2325)),"bad"))))</f>
        <v/>
      </c>
      <c r="O2325">
        <f>IF(J2325="","",IF(ISNUMBER(J2325),ROUND(J2325,2),IFERROR(ROUND(VALUE(SUBSTITUTE(SUBSTITUTE(SUBSTITUTE(J2325,"$",""),",","")," ","")),2),"bad")))</f>
        <v/>
      </c>
      <c r="P2325">
        <f>IF(TRIM(K2325)="","",IFERROR(MATCH(LOWER(TRIM(K2325)),'Students'!$AH$2:$AH$701,0),IFERROR(MATCH(LOWER(TRIM(K2325)),'Students'!$AF$2:$AF$701,0),IFERROR(MATCH(LOWER(TRIM(K2325)),'Students'!$AG$2:$AG$701,0),""))))</f>
        <v/>
      </c>
      <c r="R2325">
        <f>IF(P2325="","",INDEX('Students'!$AD$2:$AD$701,P2325))</f>
        <v/>
      </c>
      <c r="S2325">
        <f>IF(H2325="OK",O2325,0)</f>
        <v/>
      </c>
      <c r="T2325">
        <f>IF(H2325="OK",N2325,"")</f>
        <v/>
      </c>
      <c r="U2325">
        <f>IF(OC_Donor=0,"",IF(INDEX('OneCause_Paste'!$A$2325:$AZ$2325,1,OC_Donor)="","",INDEX('OneCause_Paste'!$A$2325:$AZ$2325,1,OC_Donor)))</f>
        <v/>
      </c>
    </row>
    <row r="2326">
      <c r="A2326" s="62">
        <f>IF(H2326="","",IF(ISNUMBER(N2326),N2326,I2326))</f>
        <v/>
      </c>
      <c r="B2326">
        <f>IF(H2326="","",U2326)</f>
        <v/>
      </c>
      <c r="C2326">
        <f>IF(H2326="","",IF(P2326="",K2326,INDEX('Students'!$A$2:$A$701,P2326)))</f>
        <v/>
      </c>
      <c r="D2326">
        <f>IF(OR(H2326="",P2326=""),"",INDEX('Students'!$B$2:$B$701,P2326))</f>
        <v/>
      </c>
      <c r="E2326">
        <f>IF(OR(H2326="",P2326=""),"",INDEX('Students'!$C$2:$C$701,P2326))</f>
        <v/>
      </c>
      <c r="F2326" s="48">
        <f>IF(H2326="","",IF(ISNUMBER(O2326),O2326,J2326))</f>
        <v/>
      </c>
      <c r="G2326">
        <f>IF(H2326="","","OneCause")</f>
        <v/>
      </c>
      <c r="H2326">
        <f>IF(AND(I2326="",J2326="",K2326=""),"",IF(NOT(ISNUMBER(O2326)),"Bad amount",IF(O2326&lt;0,"Refund (not counted)",IF(O2326=0,"Zero amount",IF(NOT(ISNUMBER(N2326)),"Bad date",IF(P2326="","NAME NOT ON ROSTER",IF(L2326="","OK",IF(MATCH(L2326,$L$2:$L$3001,0)&lt;ROW()-1,"Duplicate (ignored)","OK"))))))))</f>
        <v/>
      </c>
      <c r="I2326">
        <f>IF(OC_Date=0,"",IF(INDEX('OneCause_Paste'!$A$2326:$AZ$2326,1,OC_Date)="","",INDEX('OneCause_Paste'!$A$2326:$AZ$2326,1,OC_Date)))</f>
        <v/>
      </c>
      <c r="J2326">
        <f>IF(OC_Amt=0,"",IF(INDEX('OneCause_Paste'!$A$2326:$AZ$2326,1,OC_Amt)="","",INDEX('OneCause_Paste'!$A$2326:$AZ$2326,1,OC_Amt)))</f>
        <v/>
      </c>
      <c r="K2326">
        <f>IF(OC_Name=0,"",IF(INDEX('OneCause_Paste'!$A$2326:$AZ$2326,1,OC_Name)="","",INDEX('OneCause_Paste'!$A$2326:$AZ$2326,1,OC_Name)))</f>
        <v/>
      </c>
      <c r="L2326">
        <f>IF(OC_Txn=0,"",IF(INDEX('OneCause_Paste'!$A$2326:$AZ$2326,1,OC_Txn)="","",INDEX('OneCause_Paste'!$A$2326:$AZ$2326,1,OC_Txn)))</f>
        <v/>
      </c>
      <c r="M2326">
        <f>IF(OC_Pay=0,"",IF(INDEX('OneCause_Paste'!$A$2326:$AZ$2326,1,OC_Pay)="","",INDEX('OneCause_Paste'!$A$2326:$AZ$2326,1,OC_Pay)))</f>
        <v/>
      </c>
      <c r="N2326">
        <f>IF(I2326="","",IF(ISNUMBER(I2326),INT(I2326),IFERROR(INT(DATEVALUE(I2326)),IFERROR(INT(VALUE(I2326)),"bad"))))</f>
        <v/>
      </c>
      <c r="O2326">
        <f>IF(J2326="","",IF(ISNUMBER(J2326),ROUND(J2326,2),IFERROR(ROUND(VALUE(SUBSTITUTE(SUBSTITUTE(SUBSTITUTE(J2326,"$",""),",","")," ","")),2),"bad")))</f>
        <v/>
      </c>
      <c r="P2326">
        <f>IF(TRIM(K2326)="","",IFERROR(MATCH(LOWER(TRIM(K2326)),'Students'!$AH$2:$AH$701,0),IFERROR(MATCH(LOWER(TRIM(K2326)),'Students'!$AF$2:$AF$701,0),IFERROR(MATCH(LOWER(TRIM(K2326)),'Students'!$AG$2:$AG$701,0),""))))</f>
        <v/>
      </c>
      <c r="R2326">
        <f>IF(P2326="","",INDEX('Students'!$AD$2:$AD$701,P2326))</f>
        <v/>
      </c>
      <c r="S2326">
        <f>IF(H2326="OK",O2326,0)</f>
        <v/>
      </c>
      <c r="T2326">
        <f>IF(H2326="OK",N2326,"")</f>
        <v/>
      </c>
      <c r="U2326">
        <f>IF(OC_Donor=0,"",IF(INDEX('OneCause_Paste'!$A$2326:$AZ$2326,1,OC_Donor)="","",INDEX('OneCause_Paste'!$A$2326:$AZ$2326,1,OC_Donor)))</f>
        <v/>
      </c>
    </row>
    <row r="2327">
      <c r="A2327" s="62">
        <f>IF(H2327="","",IF(ISNUMBER(N2327),N2327,I2327))</f>
        <v/>
      </c>
      <c r="B2327">
        <f>IF(H2327="","",U2327)</f>
        <v/>
      </c>
      <c r="C2327">
        <f>IF(H2327="","",IF(P2327="",K2327,INDEX('Students'!$A$2:$A$701,P2327)))</f>
        <v/>
      </c>
      <c r="D2327">
        <f>IF(OR(H2327="",P2327=""),"",INDEX('Students'!$B$2:$B$701,P2327))</f>
        <v/>
      </c>
      <c r="E2327">
        <f>IF(OR(H2327="",P2327=""),"",INDEX('Students'!$C$2:$C$701,P2327))</f>
        <v/>
      </c>
      <c r="F2327" s="48">
        <f>IF(H2327="","",IF(ISNUMBER(O2327),O2327,J2327))</f>
        <v/>
      </c>
      <c r="G2327">
        <f>IF(H2327="","","OneCause")</f>
        <v/>
      </c>
      <c r="H2327">
        <f>IF(AND(I2327="",J2327="",K2327=""),"",IF(NOT(ISNUMBER(O2327)),"Bad amount",IF(O2327&lt;0,"Refund (not counted)",IF(O2327=0,"Zero amount",IF(NOT(ISNUMBER(N2327)),"Bad date",IF(P2327="","NAME NOT ON ROSTER",IF(L2327="","OK",IF(MATCH(L2327,$L$2:$L$3001,0)&lt;ROW()-1,"Duplicate (ignored)","OK"))))))))</f>
        <v/>
      </c>
      <c r="I2327">
        <f>IF(OC_Date=0,"",IF(INDEX('OneCause_Paste'!$A$2327:$AZ$2327,1,OC_Date)="","",INDEX('OneCause_Paste'!$A$2327:$AZ$2327,1,OC_Date)))</f>
        <v/>
      </c>
      <c r="J2327">
        <f>IF(OC_Amt=0,"",IF(INDEX('OneCause_Paste'!$A$2327:$AZ$2327,1,OC_Amt)="","",INDEX('OneCause_Paste'!$A$2327:$AZ$2327,1,OC_Amt)))</f>
        <v/>
      </c>
      <c r="K2327">
        <f>IF(OC_Name=0,"",IF(INDEX('OneCause_Paste'!$A$2327:$AZ$2327,1,OC_Name)="","",INDEX('OneCause_Paste'!$A$2327:$AZ$2327,1,OC_Name)))</f>
        <v/>
      </c>
      <c r="L2327">
        <f>IF(OC_Txn=0,"",IF(INDEX('OneCause_Paste'!$A$2327:$AZ$2327,1,OC_Txn)="","",INDEX('OneCause_Paste'!$A$2327:$AZ$2327,1,OC_Txn)))</f>
        <v/>
      </c>
      <c r="M2327">
        <f>IF(OC_Pay=0,"",IF(INDEX('OneCause_Paste'!$A$2327:$AZ$2327,1,OC_Pay)="","",INDEX('OneCause_Paste'!$A$2327:$AZ$2327,1,OC_Pay)))</f>
        <v/>
      </c>
      <c r="N2327">
        <f>IF(I2327="","",IF(ISNUMBER(I2327),INT(I2327),IFERROR(INT(DATEVALUE(I2327)),IFERROR(INT(VALUE(I2327)),"bad"))))</f>
        <v/>
      </c>
      <c r="O2327">
        <f>IF(J2327="","",IF(ISNUMBER(J2327),ROUND(J2327,2),IFERROR(ROUND(VALUE(SUBSTITUTE(SUBSTITUTE(SUBSTITUTE(J2327,"$",""),",","")," ","")),2),"bad")))</f>
        <v/>
      </c>
      <c r="P2327">
        <f>IF(TRIM(K2327)="","",IFERROR(MATCH(LOWER(TRIM(K2327)),'Students'!$AH$2:$AH$701,0),IFERROR(MATCH(LOWER(TRIM(K2327)),'Students'!$AF$2:$AF$701,0),IFERROR(MATCH(LOWER(TRIM(K2327)),'Students'!$AG$2:$AG$701,0),""))))</f>
        <v/>
      </c>
      <c r="R2327">
        <f>IF(P2327="","",INDEX('Students'!$AD$2:$AD$701,P2327))</f>
        <v/>
      </c>
      <c r="S2327">
        <f>IF(H2327="OK",O2327,0)</f>
        <v/>
      </c>
      <c r="T2327">
        <f>IF(H2327="OK",N2327,"")</f>
        <v/>
      </c>
      <c r="U2327">
        <f>IF(OC_Donor=0,"",IF(INDEX('OneCause_Paste'!$A$2327:$AZ$2327,1,OC_Donor)="","",INDEX('OneCause_Paste'!$A$2327:$AZ$2327,1,OC_Donor)))</f>
        <v/>
      </c>
    </row>
    <row r="2328">
      <c r="A2328" s="62">
        <f>IF(H2328="","",IF(ISNUMBER(N2328),N2328,I2328))</f>
        <v/>
      </c>
      <c r="B2328">
        <f>IF(H2328="","",U2328)</f>
        <v/>
      </c>
      <c r="C2328">
        <f>IF(H2328="","",IF(P2328="",K2328,INDEX('Students'!$A$2:$A$701,P2328)))</f>
        <v/>
      </c>
      <c r="D2328">
        <f>IF(OR(H2328="",P2328=""),"",INDEX('Students'!$B$2:$B$701,P2328))</f>
        <v/>
      </c>
      <c r="E2328">
        <f>IF(OR(H2328="",P2328=""),"",INDEX('Students'!$C$2:$C$701,P2328))</f>
        <v/>
      </c>
      <c r="F2328" s="48">
        <f>IF(H2328="","",IF(ISNUMBER(O2328),O2328,J2328))</f>
        <v/>
      </c>
      <c r="G2328">
        <f>IF(H2328="","","OneCause")</f>
        <v/>
      </c>
      <c r="H2328">
        <f>IF(AND(I2328="",J2328="",K2328=""),"",IF(NOT(ISNUMBER(O2328)),"Bad amount",IF(O2328&lt;0,"Refund (not counted)",IF(O2328=0,"Zero amount",IF(NOT(ISNUMBER(N2328)),"Bad date",IF(P2328="","NAME NOT ON ROSTER",IF(L2328="","OK",IF(MATCH(L2328,$L$2:$L$3001,0)&lt;ROW()-1,"Duplicate (ignored)","OK"))))))))</f>
        <v/>
      </c>
      <c r="I2328">
        <f>IF(OC_Date=0,"",IF(INDEX('OneCause_Paste'!$A$2328:$AZ$2328,1,OC_Date)="","",INDEX('OneCause_Paste'!$A$2328:$AZ$2328,1,OC_Date)))</f>
        <v/>
      </c>
      <c r="J2328">
        <f>IF(OC_Amt=0,"",IF(INDEX('OneCause_Paste'!$A$2328:$AZ$2328,1,OC_Amt)="","",INDEX('OneCause_Paste'!$A$2328:$AZ$2328,1,OC_Amt)))</f>
        <v/>
      </c>
      <c r="K2328">
        <f>IF(OC_Name=0,"",IF(INDEX('OneCause_Paste'!$A$2328:$AZ$2328,1,OC_Name)="","",INDEX('OneCause_Paste'!$A$2328:$AZ$2328,1,OC_Name)))</f>
        <v/>
      </c>
      <c r="L2328">
        <f>IF(OC_Txn=0,"",IF(INDEX('OneCause_Paste'!$A$2328:$AZ$2328,1,OC_Txn)="","",INDEX('OneCause_Paste'!$A$2328:$AZ$2328,1,OC_Txn)))</f>
        <v/>
      </c>
      <c r="M2328">
        <f>IF(OC_Pay=0,"",IF(INDEX('OneCause_Paste'!$A$2328:$AZ$2328,1,OC_Pay)="","",INDEX('OneCause_Paste'!$A$2328:$AZ$2328,1,OC_Pay)))</f>
        <v/>
      </c>
      <c r="N2328">
        <f>IF(I2328="","",IF(ISNUMBER(I2328),INT(I2328),IFERROR(INT(DATEVALUE(I2328)),IFERROR(INT(VALUE(I2328)),"bad"))))</f>
        <v/>
      </c>
      <c r="O2328">
        <f>IF(J2328="","",IF(ISNUMBER(J2328),ROUND(J2328,2),IFERROR(ROUND(VALUE(SUBSTITUTE(SUBSTITUTE(SUBSTITUTE(J2328,"$",""),",","")," ","")),2),"bad")))</f>
        <v/>
      </c>
      <c r="P2328">
        <f>IF(TRIM(K2328)="","",IFERROR(MATCH(LOWER(TRIM(K2328)),'Students'!$AH$2:$AH$701,0),IFERROR(MATCH(LOWER(TRIM(K2328)),'Students'!$AF$2:$AF$701,0),IFERROR(MATCH(LOWER(TRIM(K2328)),'Students'!$AG$2:$AG$701,0),""))))</f>
        <v/>
      </c>
      <c r="R2328">
        <f>IF(P2328="","",INDEX('Students'!$AD$2:$AD$701,P2328))</f>
        <v/>
      </c>
      <c r="S2328">
        <f>IF(H2328="OK",O2328,0)</f>
        <v/>
      </c>
      <c r="T2328">
        <f>IF(H2328="OK",N2328,"")</f>
        <v/>
      </c>
      <c r="U2328">
        <f>IF(OC_Donor=0,"",IF(INDEX('OneCause_Paste'!$A$2328:$AZ$2328,1,OC_Donor)="","",INDEX('OneCause_Paste'!$A$2328:$AZ$2328,1,OC_Donor)))</f>
        <v/>
      </c>
    </row>
    <row r="2329">
      <c r="A2329" s="62">
        <f>IF(H2329="","",IF(ISNUMBER(N2329),N2329,I2329))</f>
        <v/>
      </c>
      <c r="B2329">
        <f>IF(H2329="","",U2329)</f>
        <v/>
      </c>
      <c r="C2329">
        <f>IF(H2329="","",IF(P2329="",K2329,INDEX('Students'!$A$2:$A$701,P2329)))</f>
        <v/>
      </c>
      <c r="D2329">
        <f>IF(OR(H2329="",P2329=""),"",INDEX('Students'!$B$2:$B$701,P2329))</f>
        <v/>
      </c>
      <c r="E2329">
        <f>IF(OR(H2329="",P2329=""),"",INDEX('Students'!$C$2:$C$701,P2329))</f>
        <v/>
      </c>
      <c r="F2329" s="48">
        <f>IF(H2329="","",IF(ISNUMBER(O2329),O2329,J2329))</f>
        <v/>
      </c>
      <c r="G2329">
        <f>IF(H2329="","","OneCause")</f>
        <v/>
      </c>
      <c r="H2329">
        <f>IF(AND(I2329="",J2329="",K2329=""),"",IF(NOT(ISNUMBER(O2329)),"Bad amount",IF(O2329&lt;0,"Refund (not counted)",IF(O2329=0,"Zero amount",IF(NOT(ISNUMBER(N2329)),"Bad date",IF(P2329="","NAME NOT ON ROSTER",IF(L2329="","OK",IF(MATCH(L2329,$L$2:$L$3001,0)&lt;ROW()-1,"Duplicate (ignored)","OK"))))))))</f>
        <v/>
      </c>
      <c r="I2329">
        <f>IF(OC_Date=0,"",IF(INDEX('OneCause_Paste'!$A$2329:$AZ$2329,1,OC_Date)="","",INDEX('OneCause_Paste'!$A$2329:$AZ$2329,1,OC_Date)))</f>
        <v/>
      </c>
      <c r="J2329">
        <f>IF(OC_Amt=0,"",IF(INDEX('OneCause_Paste'!$A$2329:$AZ$2329,1,OC_Amt)="","",INDEX('OneCause_Paste'!$A$2329:$AZ$2329,1,OC_Amt)))</f>
        <v/>
      </c>
      <c r="K2329">
        <f>IF(OC_Name=0,"",IF(INDEX('OneCause_Paste'!$A$2329:$AZ$2329,1,OC_Name)="","",INDEX('OneCause_Paste'!$A$2329:$AZ$2329,1,OC_Name)))</f>
        <v/>
      </c>
      <c r="L2329">
        <f>IF(OC_Txn=0,"",IF(INDEX('OneCause_Paste'!$A$2329:$AZ$2329,1,OC_Txn)="","",INDEX('OneCause_Paste'!$A$2329:$AZ$2329,1,OC_Txn)))</f>
        <v/>
      </c>
      <c r="M2329">
        <f>IF(OC_Pay=0,"",IF(INDEX('OneCause_Paste'!$A$2329:$AZ$2329,1,OC_Pay)="","",INDEX('OneCause_Paste'!$A$2329:$AZ$2329,1,OC_Pay)))</f>
        <v/>
      </c>
      <c r="N2329">
        <f>IF(I2329="","",IF(ISNUMBER(I2329),INT(I2329),IFERROR(INT(DATEVALUE(I2329)),IFERROR(INT(VALUE(I2329)),"bad"))))</f>
        <v/>
      </c>
      <c r="O2329">
        <f>IF(J2329="","",IF(ISNUMBER(J2329),ROUND(J2329,2),IFERROR(ROUND(VALUE(SUBSTITUTE(SUBSTITUTE(SUBSTITUTE(J2329,"$",""),",","")," ","")),2),"bad")))</f>
        <v/>
      </c>
      <c r="P2329">
        <f>IF(TRIM(K2329)="","",IFERROR(MATCH(LOWER(TRIM(K2329)),'Students'!$AH$2:$AH$701,0),IFERROR(MATCH(LOWER(TRIM(K2329)),'Students'!$AF$2:$AF$701,0),IFERROR(MATCH(LOWER(TRIM(K2329)),'Students'!$AG$2:$AG$701,0),""))))</f>
        <v/>
      </c>
      <c r="R2329">
        <f>IF(P2329="","",INDEX('Students'!$AD$2:$AD$701,P2329))</f>
        <v/>
      </c>
      <c r="S2329">
        <f>IF(H2329="OK",O2329,0)</f>
        <v/>
      </c>
      <c r="T2329">
        <f>IF(H2329="OK",N2329,"")</f>
        <v/>
      </c>
      <c r="U2329">
        <f>IF(OC_Donor=0,"",IF(INDEX('OneCause_Paste'!$A$2329:$AZ$2329,1,OC_Donor)="","",INDEX('OneCause_Paste'!$A$2329:$AZ$2329,1,OC_Donor)))</f>
        <v/>
      </c>
    </row>
    <row r="2330">
      <c r="A2330" s="62">
        <f>IF(H2330="","",IF(ISNUMBER(N2330),N2330,I2330))</f>
        <v/>
      </c>
      <c r="B2330">
        <f>IF(H2330="","",U2330)</f>
        <v/>
      </c>
      <c r="C2330">
        <f>IF(H2330="","",IF(P2330="",K2330,INDEX('Students'!$A$2:$A$701,P2330)))</f>
        <v/>
      </c>
      <c r="D2330">
        <f>IF(OR(H2330="",P2330=""),"",INDEX('Students'!$B$2:$B$701,P2330))</f>
        <v/>
      </c>
      <c r="E2330">
        <f>IF(OR(H2330="",P2330=""),"",INDEX('Students'!$C$2:$C$701,P2330))</f>
        <v/>
      </c>
      <c r="F2330" s="48">
        <f>IF(H2330="","",IF(ISNUMBER(O2330),O2330,J2330))</f>
        <v/>
      </c>
      <c r="G2330">
        <f>IF(H2330="","","OneCause")</f>
        <v/>
      </c>
      <c r="H2330">
        <f>IF(AND(I2330="",J2330="",K2330=""),"",IF(NOT(ISNUMBER(O2330)),"Bad amount",IF(O2330&lt;0,"Refund (not counted)",IF(O2330=0,"Zero amount",IF(NOT(ISNUMBER(N2330)),"Bad date",IF(P2330="","NAME NOT ON ROSTER",IF(L2330="","OK",IF(MATCH(L2330,$L$2:$L$3001,0)&lt;ROW()-1,"Duplicate (ignored)","OK"))))))))</f>
        <v/>
      </c>
      <c r="I2330">
        <f>IF(OC_Date=0,"",IF(INDEX('OneCause_Paste'!$A$2330:$AZ$2330,1,OC_Date)="","",INDEX('OneCause_Paste'!$A$2330:$AZ$2330,1,OC_Date)))</f>
        <v/>
      </c>
      <c r="J2330">
        <f>IF(OC_Amt=0,"",IF(INDEX('OneCause_Paste'!$A$2330:$AZ$2330,1,OC_Amt)="","",INDEX('OneCause_Paste'!$A$2330:$AZ$2330,1,OC_Amt)))</f>
        <v/>
      </c>
      <c r="K2330">
        <f>IF(OC_Name=0,"",IF(INDEX('OneCause_Paste'!$A$2330:$AZ$2330,1,OC_Name)="","",INDEX('OneCause_Paste'!$A$2330:$AZ$2330,1,OC_Name)))</f>
        <v/>
      </c>
      <c r="L2330">
        <f>IF(OC_Txn=0,"",IF(INDEX('OneCause_Paste'!$A$2330:$AZ$2330,1,OC_Txn)="","",INDEX('OneCause_Paste'!$A$2330:$AZ$2330,1,OC_Txn)))</f>
        <v/>
      </c>
      <c r="M2330">
        <f>IF(OC_Pay=0,"",IF(INDEX('OneCause_Paste'!$A$2330:$AZ$2330,1,OC_Pay)="","",INDEX('OneCause_Paste'!$A$2330:$AZ$2330,1,OC_Pay)))</f>
        <v/>
      </c>
      <c r="N2330">
        <f>IF(I2330="","",IF(ISNUMBER(I2330),INT(I2330),IFERROR(INT(DATEVALUE(I2330)),IFERROR(INT(VALUE(I2330)),"bad"))))</f>
        <v/>
      </c>
      <c r="O2330">
        <f>IF(J2330="","",IF(ISNUMBER(J2330),ROUND(J2330,2),IFERROR(ROUND(VALUE(SUBSTITUTE(SUBSTITUTE(SUBSTITUTE(J2330,"$",""),",","")," ","")),2),"bad")))</f>
        <v/>
      </c>
      <c r="P2330">
        <f>IF(TRIM(K2330)="","",IFERROR(MATCH(LOWER(TRIM(K2330)),'Students'!$AH$2:$AH$701,0),IFERROR(MATCH(LOWER(TRIM(K2330)),'Students'!$AF$2:$AF$701,0),IFERROR(MATCH(LOWER(TRIM(K2330)),'Students'!$AG$2:$AG$701,0),""))))</f>
        <v/>
      </c>
      <c r="R2330">
        <f>IF(P2330="","",INDEX('Students'!$AD$2:$AD$701,P2330))</f>
        <v/>
      </c>
      <c r="S2330">
        <f>IF(H2330="OK",O2330,0)</f>
        <v/>
      </c>
      <c r="T2330">
        <f>IF(H2330="OK",N2330,"")</f>
        <v/>
      </c>
      <c r="U2330">
        <f>IF(OC_Donor=0,"",IF(INDEX('OneCause_Paste'!$A$2330:$AZ$2330,1,OC_Donor)="","",INDEX('OneCause_Paste'!$A$2330:$AZ$2330,1,OC_Donor)))</f>
        <v/>
      </c>
    </row>
    <row r="2331">
      <c r="A2331" s="62">
        <f>IF(H2331="","",IF(ISNUMBER(N2331),N2331,I2331))</f>
        <v/>
      </c>
      <c r="B2331">
        <f>IF(H2331="","",U2331)</f>
        <v/>
      </c>
      <c r="C2331">
        <f>IF(H2331="","",IF(P2331="",K2331,INDEX('Students'!$A$2:$A$701,P2331)))</f>
        <v/>
      </c>
      <c r="D2331">
        <f>IF(OR(H2331="",P2331=""),"",INDEX('Students'!$B$2:$B$701,P2331))</f>
        <v/>
      </c>
      <c r="E2331">
        <f>IF(OR(H2331="",P2331=""),"",INDEX('Students'!$C$2:$C$701,P2331))</f>
        <v/>
      </c>
      <c r="F2331" s="48">
        <f>IF(H2331="","",IF(ISNUMBER(O2331),O2331,J2331))</f>
        <v/>
      </c>
      <c r="G2331">
        <f>IF(H2331="","","OneCause")</f>
        <v/>
      </c>
      <c r="H2331">
        <f>IF(AND(I2331="",J2331="",K2331=""),"",IF(NOT(ISNUMBER(O2331)),"Bad amount",IF(O2331&lt;0,"Refund (not counted)",IF(O2331=0,"Zero amount",IF(NOT(ISNUMBER(N2331)),"Bad date",IF(P2331="","NAME NOT ON ROSTER",IF(L2331="","OK",IF(MATCH(L2331,$L$2:$L$3001,0)&lt;ROW()-1,"Duplicate (ignored)","OK"))))))))</f>
        <v/>
      </c>
      <c r="I2331">
        <f>IF(OC_Date=0,"",IF(INDEX('OneCause_Paste'!$A$2331:$AZ$2331,1,OC_Date)="","",INDEX('OneCause_Paste'!$A$2331:$AZ$2331,1,OC_Date)))</f>
        <v/>
      </c>
      <c r="J2331">
        <f>IF(OC_Amt=0,"",IF(INDEX('OneCause_Paste'!$A$2331:$AZ$2331,1,OC_Amt)="","",INDEX('OneCause_Paste'!$A$2331:$AZ$2331,1,OC_Amt)))</f>
        <v/>
      </c>
      <c r="K2331">
        <f>IF(OC_Name=0,"",IF(INDEX('OneCause_Paste'!$A$2331:$AZ$2331,1,OC_Name)="","",INDEX('OneCause_Paste'!$A$2331:$AZ$2331,1,OC_Name)))</f>
        <v/>
      </c>
      <c r="L2331">
        <f>IF(OC_Txn=0,"",IF(INDEX('OneCause_Paste'!$A$2331:$AZ$2331,1,OC_Txn)="","",INDEX('OneCause_Paste'!$A$2331:$AZ$2331,1,OC_Txn)))</f>
        <v/>
      </c>
      <c r="M2331">
        <f>IF(OC_Pay=0,"",IF(INDEX('OneCause_Paste'!$A$2331:$AZ$2331,1,OC_Pay)="","",INDEX('OneCause_Paste'!$A$2331:$AZ$2331,1,OC_Pay)))</f>
        <v/>
      </c>
      <c r="N2331">
        <f>IF(I2331="","",IF(ISNUMBER(I2331),INT(I2331),IFERROR(INT(DATEVALUE(I2331)),IFERROR(INT(VALUE(I2331)),"bad"))))</f>
        <v/>
      </c>
      <c r="O2331">
        <f>IF(J2331="","",IF(ISNUMBER(J2331),ROUND(J2331,2),IFERROR(ROUND(VALUE(SUBSTITUTE(SUBSTITUTE(SUBSTITUTE(J2331,"$",""),",","")," ","")),2),"bad")))</f>
        <v/>
      </c>
      <c r="P2331">
        <f>IF(TRIM(K2331)="","",IFERROR(MATCH(LOWER(TRIM(K2331)),'Students'!$AH$2:$AH$701,0),IFERROR(MATCH(LOWER(TRIM(K2331)),'Students'!$AF$2:$AF$701,0),IFERROR(MATCH(LOWER(TRIM(K2331)),'Students'!$AG$2:$AG$701,0),""))))</f>
        <v/>
      </c>
      <c r="R2331">
        <f>IF(P2331="","",INDEX('Students'!$AD$2:$AD$701,P2331))</f>
        <v/>
      </c>
      <c r="S2331">
        <f>IF(H2331="OK",O2331,0)</f>
        <v/>
      </c>
      <c r="T2331">
        <f>IF(H2331="OK",N2331,"")</f>
        <v/>
      </c>
      <c r="U2331">
        <f>IF(OC_Donor=0,"",IF(INDEX('OneCause_Paste'!$A$2331:$AZ$2331,1,OC_Donor)="","",INDEX('OneCause_Paste'!$A$2331:$AZ$2331,1,OC_Donor)))</f>
        <v/>
      </c>
    </row>
    <row r="2332">
      <c r="A2332" s="62">
        <f>IF(H2332="","",IF(ISNUMBER(N2332),N2332,I2332))</f>
        <v/>
      </c>
      <c r="B2332">
        <f>IF(H2332="","",U2332)</f>
        <v/>
      </c>
      <c r="C2332">
        <f>IF(H2332="","",IF(P2332="",K2332,INDEX('Students'!$A$2:$A$701,P2332)))</f>
        <v/>
      </c>
      <c r="D2332">
        <f>IF(OR(H2332="",P2332=""),"",INDEX('Students'!$B$2:$B$701,P2332))</f>
        <v/>
      </c>
      <c r="E2332">
        <f>IF(OR(H2332="",P2332=""),"",INDEX('Students'!$C$2:$C$701,P2332))</f>
        <v/>
      </c>
      <c r="F2332" s="48">
        <f>IF(H2332="","",IF(ISNUMBER(O2332),O2332,J2332))</f>
        <v/>
      </c>
      <c r="G2332">
        <f>IF(H2332="","","OneCause")</f>
        <v/>
      </c>
      <c r="H2332">
        <f>IF(AND(I2332="",J2332="",K2332=""),"",IF(NOT(ISNUMBER(O2332)),"Bad amount",IF(O2332&lt;0,"Refund (not counted)",IF(O2332=0,"Zero amount",IF(NOT(ISNUMBER(N2332)),"Bad date",IF(P2332="","NAME NOT ON ROSTER",IF(L2332="","OK",IF(MATCH(L2332,$L$2:$L$3001,0)&lt;ROW()-1,"Duplicate (ignored)","OK"))))))))</f>
        <v/>
      </c>
      <c r="I2332">
        <f>IF(OC_Date=0,"",IF(INDEX('OneCause_Paste'!$A$2332:$AZ$2332,1,OC_Date)="","",INDEX('OneCause_Paste'!$A$2332:$AZ$2332,1,OC_Date)))</f>
        <v/>
      </c>
      <c r="J2332">
        <f>IF(OC_Amt=0,"",IF(INDEX('OneCause_Paste'!$A$2332:$AZ$2332,1,OC_Amt)="","",INDEX('OneCause_Paste'!$A$2332:$AZ$2332,1,OC_Amt)))</f>
        <v/>
      </c>
      <c r="K2332">
        <f>IF(OC_Name=0,"",IF(INDEX('OneCause_Paste'!$A$2332:$AZ$2332,1,OC_Name)="","",INDEX('OneCause_Paste'!$A$2332:$AZ$2332,1,OC_Name)))</f>
        <v/>
      </c>
      <c r="L2332">
        <f>IF(OC_Txn=0,"",IF(INDEX('OneCause_Paste'!$A$2332:$AZ$2332,1,OC_Txn)="","",INDEX('OneCause_Paste'!$A$2332:$AZ$2332,1,OC_Txn)))</f>
        <v/>
      </c>
      <c r="M2332">
        <f>IF(OC_Pay=0,"",IF(INDEX('OneCause_Paste'!$A$2332:$AZ$2332,1,OC_Pay)="","",INDEX('OneCause_Paste'!$A$2332:$AZ$2332,1,OC_Pay)))</f>
        <v/>
      </c>
      <c r="N2332">
        <f>IF(I2332="","",IF(ISNUMBER(I2332),INT(I2332),IFERROR(INT(DATEVALUE(I2332)),IFERROR(INT(VALUE(I2332)),"bad"))))</f>
        <v/>
      </c>
      <c r="O2332">
        <f>IF(J2332="","",IF(ISNUMBER(J2332),ROUND(J2332,2),IFERROR(ROUND(VALUE(SUBSTITUTE(SUBSTITUTE(SUBSTITUTE(J2332,"$",""),",","")," ","")),2),"bad")))</f>
        <v/>
      </c>
      <c r="P2332">
        <f>IF(TRIM(K2332)="","",IFERROR(MATCH(LOWER(TRIM(K2332)),'Students'!$AH$2:$AH$701,0),IFERROR(MATCH(LOWER(TRIM(K2332)),'Students'!$AF$2:$AF$701,0),IFERROR(MATCH(LOWER(TRIM(K2332)),'Students'!$AG$2:$AG$701,0),""))))</f>
        <v/>
      </c>
      <c r="R2332">
        <f>IF(P2332="","",INDEX('Students'!$AD$2:$AD$701,P2332))</f>
        <v/>
      </c>
      <c r="S2332">
        <f>IF(H2332="OK",O2332,0)</f>
        <v/>
      </c>
      <c r="T2332">
        <f>IF(H2332="OK",N2332,"")</f>
        <v/>
      </c>
      <c r="U2332">
        <f>IF(OC_Donor=0,"",IF(INDEX('OneCause_Paste'!$A$2332:$AZ$2332,1,OC_Donor)="","",INDEX('OneCause_Paste'!$A$2332:$AZ$2332,1,OC_Donor)))</f>
        <v/>
      </c>
    </row>
    <row r="2333">
      <c r="A2333" s="62">
        <f>IF(H2333="","",IF(ISNUMBER(N2333),N2333,I2333))</f>
        <v/>
      </c>
      <c r="B2333">
        <f>IF(H2333="","",U2333)</f>
        <v/>
      </c>
      <c r="C2333">
        <f>IF(H2333="","",IF(P2333="",K2333,INDEX('Students'!$A$2:$A$701,P2333)))</f>
        <v/>
      </c>
      <c r="D2333">
        <f>IF(OR(H2333="",P2333=""),"",INDEX('Students'!$B$2:$B$701,P2333))</f>
        <v/>
      </c>
      <c r="E2333">
        <f>IF(OR(H2333="",P2333=""),"",INDEX('Students'!$C$2:$C$701,P2333))</f>
        <v/>
      </c>
      <c r="F2333" s="48">
        <f>IF(H2333="","",IF(ISNUMBER(O2333),O2333,J2333))</f>
        <v/>
      </c>
      <c r="G2333">
        <f>IF(H2333="","","OneCause")</f>
        <v/>
      </c>
      <c r="H2333">
        <f>IF(AND(I2333="",J2333="",K2333=""),"",IF(NOT(ISNUMBER(O2333)),"Bad amount",IF(O2333&lt;0,"Refund (not counted)",IF(O2333=0,"Zero amount",IF(NOT(ISNUMBER(N2333)),"Bad date",IF(P2333="","NAME NOT ON ROSTER",IF(L2333="","OK",IF(MATCH(L2333,$L$2:$L$3001,0)&lt;ROW()-1,"Duplicate (ignored)","OK"))))))))</f>
        <v/>
      </c>
      <c r="I2333">
        <f>IF(OC_Date=0,"",IF(INDEX('OneCause_Paste'!$A$2333:$AZ$2333,1,OC_Date)="","",INDEX('OneCause_Paste'!$A$2333:$AZ$2333,1,OC_Date)))</f>
        <v/>
      </c>
      <c r="J2333">
        <f>IF(OC_Amt=0,"",IF(INDEX('OneCause_Paste'!$A$2333:$AZ$2333,1,OC_Amt)="","",INDEX('OneCause_Paste'!$A$2333:$AZ$2333,1,OC_Amt)))</f>
        <v/>
      </c>
      <c r="K2333">
        <f>IF(OC_Name=0,"",IF(INDEX('OneCause_Paste'!$A$2333:$AZ$2333,1,OC_Name)="","",INDEX('OneCause_Paste'!$A$2333:$AZ$2333,1,OC_Name)))</f>
        <v/>
      </c>
      <c r="L2333">
        <f>IF(OC_Txn=0,"",IF(INDEX('OneCause_Paste'!$A$2333:$AZ$2333,1,OC_Txn)="","",INDEX('OneCause_Paste'!$A$2333:$AZ$2333,1,OC_Txn)))</f>
        <v/>
      </c>
      <c r="M2333">
        <f>IF(OC_Pay=0,"",IF(INDEX('OneCause_Paste'!$A$2333:$AZ$2333,1,OC_Pay)="","",INDEX('OneCause_Paste'!$A$2333:$AZ$2333,1,OC_Pay)))</f>
        <v/>
      </c>
      <c r="N2333">
        <f>IF(I2333="","",IF(ISNUMBER(I2333),INT(I2333),IFERROR(INT(DATEVALUE(I2333)),IFERROR(INT(VALUE(I2333)),"bad"))))</f>
        <v/>
      </c>
      <c r="O2333">
        <f>IF(J2333="","",IF(ISNUMBER(J2333),ROUND(J2333,2),IFERROR(ROUND(VALUE(SUBSTITUTE(SUBSTITUTE(SUBSTITUTE(J2333,"$",""),",","")," ","")),2),"bad")))</f>
        <v/>
      </c>
      <c r="P2333">
        <f>IF(TRIM(K2333)="","",IFERROR(MATCH(LOWER(TRIM(K2333)),'Students'!$AH$2:$AH$701,0),IFERROR(MATCH(LOWER(TRIM(K2333)),'Students'!$AF$2:$AF$701,0),IFERROR(MATCH(LOWER(TRIM(K2333)),'Students'!$AG$2:$AG$701,0),""))))</f>
        <v/>
      </c>
      <c r="R2333">
        <f>IF(P2333="","",INDEX('Students'!$AD$2:$AD$701,P2333))</f>
        <v/>
      </c>
      <c r="S2333">
        <f>IF(H2333="OK",O2333,0)</f>
        <v/>
      </c>
      <c r="T2333">
        <f>IF(H2333="OK",N2333,"")</f>
        <v/>
      </c>
      <c r="U2333">
        <f>IF(OC_Donor=0,"",IF(INDEX('OneCause_Paste'!$A$2333:$AZ$2333,1,OC_Donor)="","",INDEX('OneCause_Paste'!$A$2333:$AZ$2333,1,OC_Donor)))</f>
        <v/>
      </c>
    </row>
    <row r="2334">
      <c r="A2334" s="62">
        <f>IF(H2334="","",IF(ISNUMBER(N2334),N2334,I2334))</f>
        <v/>
      </c>
      <c r="B2334">
        <f>IF(H2334="","",U2334)</f>
        <v/>
      </c>
      <c r="C2334">
        <f>IF(H2334="","",IF(P2334="",K2334,INDEX('Students'!$A$2:$A$701,P2334)))</f>
        <v/>
      </c>
      <c r="D2334">
        <f>IF(OR(H2334="",P2334=""),"",INDEX('Students'!$B$2:$B$701,P2334))</f>
        <v/>
      </c>
      <c r="E2334">
        <f>IF(OR(H2334="",P2334=""),"",INDEX('Students'!$C$2:$C$701,P2334))</f>
        <v/>
      </c>
      <c r="F2334" s="48">
        <f>IF(H2334="","",IF(ISNUMBER(O2334),O2334,J2334))</f>
        <v/>
      </c>
      <c r="G2334">
        <f>IF(H2334="","","OneCause")</f>
        <v/>
      </c>
      <c r="H2334">
        <f>IF(AND(I2334="",J2334="",K2334=""),"",IF(NOT(ISNUMBER(O2334)),"Bad amount",IF(O2334&lt;0,"Refund (not counted)",IF(O2334=0,"Zero amount",IF(NOT(ISNUMBER(N2334)),"Bad date",IF(P2334="","NAME NOT ON ROSTER",IF(L2334="","OK",IF(MATCH(L2334,$L$2:$L$3001,0)&lt;ROW()-1,"Duplicate (ignored)","OK"))))))))</f>
        <v/>
      </c>
      <c r="I2334">
        <f>IF(OC_Date=0,"",IF(INDEX('OneCause_Paste'!$A$2334:$AZ$2334,1,OC_Date)="","",INDEX('OneCause_Paste'!$A$2334:$AZ$2334,1,OC_Date)))</f>
        <v/>
      </c>
      <c r="J2334">
        <f>IF(OC_Amt=0,"",IF(INDEX('OneCause_Paste'!$A$2334:$AZ$2334,1,OC_Amt)="","",INDEX('OneCause_Paste'!$A$2334:$AZ$2334,1,OC_Amt)))</f>
        <v/>
      </c>
      <c r="K2334">
        <f>IF(OC_Name=0,"",IF(INDEX('OneCause_Paste'!$A$2334:$AZ$2334,1,OC_Name)="","",INDEX('OneCause_Paste'!$A$2334:$AZ$2334,1,OC_Name)))</f>
        <v/>
      </c>
      <c r="L2334">
        <f>IF(OC_Txn=0,"",IF(INDEX('OneCause_Paste'!$A$2334:$AZ$2334,1,OC_Txn)="","",INDEX('OneCause_Paste'!$A$2334:$AZ$2334,1,OC_Txn)))</f>
        <v/>
      </c>
      <c r="M2334">
        <f>IF(OC_Pay=0,"",IF(INDEX('OneCause_Paste'!$A$2334:$AZ$2334,1,OC_Pay)="","",INDEX('OneCause_Paste'!$A$2334:$AZ$2334,1,OC_Pay)))</f>
        <v/>
      </c>
      <c r="N2334">
        <f>IF(I2334="","",IF(ISNUMBER(I2334),INT(I2334),IFERROR(INT(DATEVALUE(I2334)),IFERROR(INT(VALUE(I2334)),"bad"))))</f>
        <v/>
      </c>
      <c r="O2334">
        <f>IF(J2334="","",IF(ISNUMBER(J2334),ROUND(J2334,2),IFERROR(ROUND(VALUE(SUBSTITUTE(SUBSTITUTE(SUBSTITUTE(J2334,"$",""),",","")," ","")),2),"bad")))</f>
        <v/>
      </c>
      <c r="P2334">
        <f>IF(TRIM(K2334)="","",IFERROR(MATCH(LOWER(TRIM(K2334)),'Students'!$AH$2:$AH$701,0),IFERROR(MATCH(LOWER(TRIM(K2334)),'Students'!$AF$2:$AF$701,0),IFERROR(MATCH(LOWER(TRIM(K2334)),'Students'!$AG$2:$AG$701,0),""))))</f>
        <v/>
      </c>
      <c r="R2334">
        <f>IF(P2334="","",INDEX('Students'!$AD$2:$AD$701,P2334))</f>
        <v/>
      </c>
      <c r="S2334">
        <f>IF(H2334="OK",O2334,0)</f>
        <v/>
      </c>
      <c r="T2334">
        <f>IF(H2334="OK",N2334,"")</f>
        <v/>
      </c>
      <c r="U2334">
        <f>IF(OC_Donor=0,"",IF(INDEX('OneCause_Paste'!$A$2334:$AZ$2334,1,OC_Donor)="","",INDEX('OneCause_Paste'!$A$2334:$AZ$2334,1,OC_Donor)))</f>
        <v/>
      </c>
    </row>
    <row r="2335">
      <c r="A2335" s="62">
        <f>IF(H2335="","",IF(ISNUMBER(N2335),N2335,I2335))</f>
        <v/>
      </c>
      <c r="B2335">
        <f>IF(H2335="","",U2335)</f>
        <v/>
      </c>
      <c r="C2335">
        <f>IF(H2335="","",IF(P2335="",K2335,INDEX('Students'!$A$2:$A$701,P2335)))</f>
        <v/>
      </c>
      <c r="D2335">
        <f>IF(OR(H2335="",P2335=""),"",INDEX('Students'!$B$2:$B$701,P2335))</f>
        <v/>
      </c>
      <c r="E2335">
        <f>IF(OR(H2335="",P2335=""),"",INDEX('Students'!$C$2:$C$701,P2335))</f>
        <v/>
      </c>
      <c r="F2335" s="48">
        <f>IF(H2335="","",IF(ISNUMBER(O2335),O2335,J2335))</f>
        <v/>
      </c>
      <c r="G2335">
        <f>IF(H2335="","","OneCause")</f>
        <v/>
      </c>
      <c r="H2335">
        <f>IF(AND(I2335="",J2335="",K2335=""),"",IF(NOT(ISNUMBER(O2335)),"Bad amount",IF(O2335&lt;0,"Refund (not counted)",IF(O2335=0,"Zero amount",IF(NOT(ISNUMBER(N2335)),"Bad date",IF(P2335="","NAME NOT ON ROSTER",IF(L2335="","OK",IF(MATCH(L2335,$L$2:$L$3001,0)&lt;ROW()-1,"Duplicate (ignored)","OK"))))))))</f>
        <v/>
      </c>
      <c r="I2335">
        <f>IF(OC_Date=0,"",IF(INDEX('OneCause_Paste'!$A$2335:$AZ$2335,1,OC_Date)="","",INDEX('OneCause_Paste'!$A$2335:$AZ$2335,1,OC_Date)))</f>
        <v/>
      </c>
      <c r="J2335">
        <f>IF(OC_Amt=0,"",IF(INDEX('OneCause_Paste'!$A$2335:$AZ$2335,1,OC_Amt)="","",INDEX('OneCause_Paste'!$A$2335:$AZ$2335,1,OC_Amt)))</f>
        <v/>
      </c>
      <c r="K2335">
        <f>IF(OC_Name=0,"",IF(INDEX('OneCause_Paste'!$A$2335:$AZ$2335,1,OC_Name)="","",INDEX('OneCause_Paste'!$A$2335:$AZ$2335,1,OC_Name)))</f>
        <v/>
      </c>
      <c r="L2335">
        <f>IF(OC_Txn=0,"",IF(INDEX('OneCause_Paste'!$A$2335:$AZ$2335,1,OC_Txn)="","",INDEX('OneCause_Paste'!$A$2335:$AZ$2335,1,OC_Txn)))</f>
        <v/>
      </c>
      <c r="M2335">
        <f>IF(OC_Pay=0,"",IF(INDEX('OneCause_Paste'!$A$2335:$AZ$2335,1,OC_Pay)="","",INDEX('OneCause_Paste'!$A$2335:$AZ$2335,1,OC_Pay)))</f>
        <v/>
      </c>
      <c r="N2335">
        <f>IF(I2335="","",IF(ISNUMBER(I2335),INT(I2335),IFERROR(INT(DATEVALUE(I2335)),IFERROR(INT(VALUE(I2335)),"bad"))))</f>
        <v/>
      </c>
      <c r="O2335">
        <f>IF(J2335="","",IF(ISNUMBER(J2335),ROUND(J2335,2),IFERROR(ROUND(VALUE(SUBSTITUTE(SUBSTITUTE(SUBSTITUTE(J2335,"$",""),",","")," ","")),2),"bad")))</f>
        <v/>
      </c>
      <c r="P2335">
        <f>IF(TRIM(K2335)="","",IFERROR(MATCH(LOWER(TRIM(K2335)),'Students'!$AH$2:$AH$701,0),IFERROR(MATCH(LOWER(TRIM(K2335)),'Students'!$AF$2:$AF$701,0),IFERROR(MATCH(LOWER(TRIM(K2335)),'Students'!$AG$2:$AG$701,0),""))))</f>
        <v/>
      </c>
      <c r="R2335">
        <f>IF(P2335="","",INDEX('Students'!$AD$2:$AD$701,P2335))</f>
        <v/>
      </c>
      <c r="S2335">
        <f>IF(H2335="OK",O2335,0)</f>
        <v/>
      </c>
      <c r="T2335">
        <f>IF(H2335="OK",N2335,"")</f>
        <v/>
      </c>
      <c r="U2335">
        <f>IF(OC_Donor=0,"",IF(INDEX('OneCause_Paste'!$A$2335:$AZ$2335,1,OC_Donor)="","",INDEX('OneCause_Paste'!$A$2335:$AZ$2335,1,OC_Donor)))</f>
        <v/>
      </c>
    </row>
    <row r="2336">
      <c r="A2336" s="62">
        <f>IF(H2336="","",IF(ISNUMBER(N2336),N2336,I2336))</f>
        <v/>
      </c>
      <c r="B2336">
        <f>IF(H2336="","",U2336)</f>
        <v/>
      </c>
      <c r="C2336">
        <f>IF(H2336="","",IF(P2336="",K2336,INDEX('Students'!$A$2:$A$701,P2336)))</f>
        <v/>
      </c>
      <c r="D2336">
        <f>IF(OR(H2336="",P2336=""),"",INDEX('Students'!$B$2:$B$701,P2336))</f>
        <v/>
      </c>
      <c r="E2336">
        <f>IF(OR(H2336="",P2336=""),"",INDEX('Students'!$C$2:$C$701,P2336))</f>
        <v/>
      </c>
      <c r="F2336" s="48">
        <f>IF(H2336="","",IF(ISNUMBER(O2336),O2336,J2336))</f>
        <v/>
      </c>
      <c r="G2336">
        <f>IF(H2336="","","OneCause")</f>
        <v/>
      </c>
      <c r="H2336">
        <f>IF(AND(I2336="",J2336="",K2336=""),"",IF(NOT(ISNUMBER(O2336)),"Bad amount",IF(O2336&lt;0,"Refund (not counted)",IF(O2336=0,"Zero amount",IF(NOT(ISNUMBER(N2336)),"Bad date",IF(P2336="","NAME NOT ON ROSTER",IF(L2336="","OK",IF(MATCH(L2336,$L$2:$L$3001,0)&lt;ROW()-1,"Duplicate (ignored)","OK"))))))))</f>
        <v/>
      </c>
      <c r="I2336">
        <f>IF(OC_Date=0,"",IF(INDEX('OneCause_Paste'!$A$2336:$AZ$2336,1,OC_Date)="","",INDEX('OneCause_Paste'!$A$2336:$AZ$2336,1,OC_Date)))</f>
        <v/>
      </c>
      <c r="J2336">
        <f>IF(OC_Amt=0,"",IF(INDEX('OneCause_Paste'!$A$2336:$AZ$2336,1,OC_Amt)="","",INDEX('OneCause_Paste'!$A$2336:$AZ$2336,1,OC_Amt)))</f>
        <v/>
      </c>
      <c r="K2336">
        <f>IF(OC_Name=0,"",IF(INDEX('OneCause_Paste'!$A$2336:$AZ$2336,1,OC_Name)="","",INDEX('OneCause_Paste'!$A$2336:$AZ$2336,1,OC_Name)))</f>
        <v/>
      </c>
      <c r="L2336">
        <f>IF(OC_Txn=0,"",IF(INDEX('OneCause_Paste'!$A$2336:$AZ$2336,1,OC_Txn)="","",INDEX('OneCause_Paste'!$A$2336:$AZ$2336,1,OC_Txn)))</f>
        <v/>
      </c>
      <c r="M2336">
        <f>IF(OC_Pay=0,"",IF(INDEX('OneCause_Paste'!$A$2336:$AZ$2336,1,OC_Pay)="","",INDEX('OneCause_Paste'!$A$2336:$AZ$2336,1,OC_Pay)))</f>
        <v/>
      </c>
      <c r="N2336">
        <f>IF(I2336="","",IF(ISNUMBER(I2336),INT(I2336),IFERROR(INT(DATEVALUE(I2336)),IFERROR(INT(VALUE(I2336)),"bad"))))</f>
        <v/>
      </c>
      <c r="O2336">
        <f>IF(J2336="","",IF(ISNUMBER(J2336),ROUND(J2336,2),IFERROR(ROUND(VALUE(SUBSTITUTE(SUBSTITUTE(SUBSTITUTE(J2336,"$",""),",","")," ","")),2),"bad")))</f>
        <v/>
      </c>
      <c r="P2336">
        <f>IF(TRIM(K2336)="","",IFERROR(MATCH(LOWER(TRIM(K2336)),'Students'!$AH$2:$AH$701,0),IFERROR(MATCH(LOWER(TRIM(K2336)),'Students'!$AF$2:$AF$701,0),IFERROR(MATCH(LOWER(TRIM(K2336)),'Students'!$AG$2:$AG$701,0),""))))</f>
        <v/>
      </c>
      <c r="R2336">
        <f>IF(P2336="","",INDEX('Students'!$AD$2:$AD$701,P2336))</f>
        <v/>
      </c>
      <c r="S2336">
        <f>IF(H2336="OK",O2336,0)</f>
        <v/>
      </c>
      <c r="T2336">
        <f>IF(H2336="OK",N2336,"")</f>
        <v/>
      </c>
      <c r="U2336">
        <f>IF(OC_Donor=0,"",IF(INDEX('OneCause_Paste'!$A$2336:$AZ$2336,1,OC_Donor)="","",INDEX('OneCause_Paste'!$A$2336:$AZ$2336,1,OC_Donor)))</f>
        <v/>
      </c>
    </row>
    <row r="2337">
      <c r="A2337" s="62">
        <f>IF(H2337="","",IF(ISNUMBER(N2337),N2337,I2337))</f>
        <v/>
      </c>
      <c r="B2337">
        <f>IF(H2337="","",U2337)</f>
        <v/>
      </c>
      <c r="C2337">
        <f>IF(H2337="","",IF(P2337="",K2337,INDEX('Students'!$A$2:$A$701,P2337)))</f>
        <v/>
      </c>
      <c r="D2337">
        <f>IF(OR(H2337="",P2337=""),"",INDEX('Students'!$B$2:$B$701,P2337))</f>
        <v/>
      </c>
      <c r="E2337">
        <f>IF(OR(H2337="",P2337=""),"",INDEX('Students'!$C$2:$C$701,P2337))</f>
        <v/>
      </c>
      <c r="F2337" s="48">
        <f>IF(H2337="","",IF(ISNUMBER(O2337),O2337,J2337))</f>
        <v/>
      </c>
      <c r="G2337">
        <f>IF(H2337="","","OneCause")</f>
        <v/>
      </c>
      <c r="H2337">
        <f>IF(AND(I2337="",J2337="",K2337=""),"",IF(NOT(ISNUMBER(O2337)),"Bad amount",IF(O2337&lt;0,"Refund (not counted)",IF(O2337=0,"Zero amount",IF(NOT(ISNUMBER(N2337)),"Bad date",IF(P2337="","NAME NOT ON ROSTER",IF(L2337="","OK",IF(MATCH(L2337,$L$2:$L$3001,0)&lt;ROW()-1,"Duplicate (ignored)","OK"))))))))</f>
        <v/>
      </c>
      <c r="I2337">
        <f>IF(OC_Date=0,"",IF(INDEX('OneCause_Paste'!$A$2337:$AZ$2337,1,OC_Date)="","",INDEX('OneCause_Paste'!$A$2337:$AZ$2337,1,OC_Date)))</f>
        <v/>
      </c>
      <c r="J2337">
        <f>IF(OC_Amt=0,"",IF(INDEX('OneCause_Paste'!$A$2337:$AZ$2337,1,OC_Amt)="","",INDEX('OneCause_Paste'!$A$2337:$AZ$2337,1,OC_Amt)))</f>
        <v/>
      </c>
      <c r="K2337">
        <f>IF(OC_Name=0,"",IF(INDEX('OneCause_Paste'!$A$2337:$AZ$2337,1,OC_Name)="","",INDEX('OneCause_Paste'!$A$2337:$AZ$2337,1,OC_Name)))</f>
        <v/>
      </c>
      <c r="L2337">
        <f>IF(OC_Txn=0,"",IF(INDEX('OneCause_Paste'!$A$2337:$AZ$2337,1,OC_Txn)="","",INDEX('OneCause_Paste'!$A$2337:$AZ$2337,1,OC_Txn)))</f>
        <v/>
      </c>
      <c r="M2337">
        <f>IF(OC_Pay=0,"",IF(INDEX('OneCause_Paste'!$A$2337:$AZ$2337,1,OC_Pay)="","",INDEX('OneCause_Paste'!$A$2337:$AZ$2337,1,OC_Pay)))</f>
        <v/>
      </c>
      <c r="N2337">
        <f>IF(I2337="","",IF(ISNUMBER(I2337),INT(I2337),IFERROR(INT(DATEVALUE(I2337)),IFERROR(INT(VALUE(I2337)),"bad"))))</f>
        <v/>
      </c>
      <c r="O2337">
        <f>IF(J2337="","",IF(ISNUMBER(J2337),ROUND(J2337,2),IFERROR(ROUND(VALUE(SUBSTITUTE(SUBSTITUTE(SUBSTITUTE(J2337,"$",""),",","")," ","")),2),"bad")))</f>
        <v/>
      </c>
      <c r="P2337">
        <f>IF(TRIM(K2337)="","",IFERROR(MATCH(LOWER(TRIM(K2337)),'Students'!$AH$2:$AH$701,0),IFERROR(MATCH(LOWER(TRIM(K2337)),'Students'!$AF$2:$AF$701,0),IFERROR(MATCH(LOWER(TRIM(K2337)),'Students'!$AG$2:$AG$701,0),""))))</f>
        <v/>
      </c>
      <c r="R2337">
        <f>IF(P2337="","",INDEX('Students'!$AD$2:$AD$701,P2337))</f>
        <v/>
      </c>
      <c r="S2337">
        <f>IF(H2337="OK",O2337,0)</f>
        <v/>
      </c>
      <c r="T2337">
        <f>IF(H2337="OK",N2337,"")</f>
        <v/>
      </c>
      <c r="U2337">
        <f>IF(OC_Donor=0,"",IF(INDEX('OneCause_Paste'!$A$2337:$AZ$2337,1,OC_Donor)="","",INDEX('OneCause_Paste'!$A$2337:$AZ$2337,1,OC_Donor)))</f>
        <v/>
      </c>
    </row>
    <row r="2338">
      <c r="A2338" s="62">
        <f>IF(H2338="","",IF(ISNUMBER(N2338),N2338,I2338))</f>
        <v/>
      </c>
      <c r="B2338">
        <f>IF(H2338="","",U2338)</f>
        <v/>
      </c>
      <c r="C2338">
        <f>IF(H2338="","",IF(P2338="",K2338,INDEX('Students'!$A$2:$A$701,P2338)))</f>
        <v/>
      </c>
      <c r="D2338">
        <f>IF(OR(H2338="",P2338=""),"",INDEX('Students'!$B$2:$B$701,P2338))</f>
        <v/>
      </c>
      <c r="E2338">
        <f>IF(OR(H2338="",P2338=""),"",INDEX('Students'!$C$2:$C$701,P2338))</f>
        <v/>
      </c>
      <c r="F2338" s="48">
        <f>IF(H2338="","",IF(ISNUMBER(O2338),O2338,J2338))</f>
        <v/>
      </c>
      <c r="G2338">
        <f>IF(H2338="","","OneCause")</f>
        <v/>
      </c>
      <c r="H2338">
        <f>IF(AND(I2338="",J2338="",K2338=""),"",IF(NOT(ISNUMBER(O2338)),"Bad amount",IF(O2338&lt;0,"Refund (not counted)",IF(O2338=0,"Zero amount",IF(NOT(ISNUMBER(N2338)),"Bad date",IF(P2338="","NAME NOT ON ROSTER",IF(L2338="","OK",IF(MATCH(L2338,$L$2:$L$3001,0)&lt;ROW()-1,"Duplicate (ignored)","OK"))))))))</f>
        <v/>
      </c>
      <c r="I2338">
        <f>IF(OC_Date=0,"",IF(INDEX('OneCause_Paste'!$A$2338:$AZ$2338,1,OC_Date)="","",INDEX('OneCause_Paste'!$A$2338:$AZ$2338,1,OC_Date)))</f>
        <v/>
      </c>
      <c r="J2338">
        <f>IF(OC_Amt=0,"",IF(INDEX('OneCause_Paste'!$A$2338:$AZ$2338,1,OC_Amt)="","",INDEX('OneCause_Paste'!$A$2338:$AZ$2338,1,OC_Amt)))</f>
        <v/>
      </c>
      <c r="K2338">
        <f>IF(OC_Name=0,"",IF(INDEX('OneCause_Paste'!$A$2338:$AZ$2338,1,OC_Name)="","",INDEX('OneCause_Paste'!$A$2338:$AZ$2338,1,OC_Name)))</f>
        <v/>
      </c>
      <c r="L2338">
        <f>IF(OC_Txn=0,"",IF(INDEX('OneCause_Paste'!$A$2338:$AZ$2338,1,OC_Txn)="","",INDEX('OneCause_Paste'!$A$2338:$AZ$2338,1,OC_Txn)))</f>
        <v/>
      </c>
      <c r="M2338">
        <f>IF(OC_Pay=0,"",IF(INDEX('OneCause_Paste'!$A$2338:$AZ$2338,1,OC_Pay)="","",INDEX('OneCause_Paste'!$A$2338:$AZ$2338,1,OC_Pay)))</f>
        <v/>
      </c>
      <c r="N2338">
        <f>IF(I2338="","",IF(ISNUMBER(I2338),INT(I2338),IFERROR(INT(DATEVALUE(I2338)),IFERROR(INT(VALUE(I2338)),"bad"))))</f>
        <v/>
      </c>
      <c r="O2338">
        <f>IF(J2338="","",IF(ISNUMBER(J2338),ROUND(J2338,2),IFERROR(ROUND(VALUE(SUBSTITUTE(SUBSTITUTE(SUBSTITUTE(J2338,"$",""),",","")," ","")),2),"bad")))</f>
        <v/>
      </c>
      <c r="P2338">
        <f>IF(TRIM(K2338)="","",IFERROR(MATCH(LOWER(TRIM(K2338)),'Students'!$AH$2:$AH$701,0),IFERROR(MATCH(LOWER(TRIM(K2338)),'Students'!$AF$2:$AF$701,0),IFERROR(MATCH(LOWER(TRIM(K2338)),'Students'!$AG$2:$AG$701,0),""))))</f>
        <v/>
      </c>
      <c r="R2338">
        <f>IF(P2338="","",INDEX('Students'!$AD$2:$AD$701,P2338))</f>
        <v/>
      </c>
      <c r="S2338">
        <f>IF(H2338="OK",O2338,0)</f>
        <v/>
      </c>
      <c r="T2338">
        <f>IF(H2338="OK",N2338,"")</f>
        <v/>
      </c>
      <c r="U2338">
        <f>IF(OC_Donor=0,"",IF(INDEX('OneCause_Paste'!$A$2338:$AZ$2338,1,OC_Donor)="","",INDEX('OneCause_Paste'!$A$2338:$AZ$2338,1,OC_Donor)))</f>
        <v/>
      </c>
    </row>
    <row r="2339">
      <c r="A2339" s="62">
        <f>IF(H2339="","",IF(ISNUMBER(N2339),N2339,I2339))</f>
        <v/>
      </c>
      <c r="B2339">
        <f>IF(H2339="","",U2339)</f>
        <v/>
      </c>
      <c r="C2339">
        <f>IF(H2339="","",IF(P2339="",K2339,INDEX('Students'!$A$2:$A$701,P2339)))</f>
        <v/>
      </c>
      <c r="D2339">
        <f>IF(OR(H2339="",P2339=""),"",INDEX('Students'!$B$2:$B$701,P2339))</f>
        <v/>
      </c>
      <c r="E2339">
        <f>IF(OR(H2339="",P2339=""),"",INDEX('Students'!$C$2:$C$701,P2339))</f>
        <v/>
      </c>
      <c r="F2339" s="48">
        <f>IF(H2339="","",IF(ISNUMBER(O2339),O2339,J2339))</f>
        <v/>
      </c>
      <c r="G2339">
        <f>IF(H2339="","","OneCause")</f>
        <v/>
      </c>
      <c r="H2339">
        <f>IF(AND(I2339="",J2339="",K2339=""),"",IF(NOT(ISNUMBER(O2339)),"Bad amount",IF(O2339&lt;0,"Refund (not counted)",IF(O2339=0,"Zero amount",IF(NOT(ISNUMBER(N2339)),"Bad date",IF(P2339="","NAME NOT ON ROSTER",IF(L2339="","OK",IF(MATCH(L2339,$L$2:$L$3001,0)&lt;ROW()-1,"Duplicate (ignored)","OK"))))))))</f>
        <v/>
      </c>
      <c r="I2339">
        <f>IF(OC_Date=0,"",IF(INDEX('OneCause_Paste'!$A$2339:$AZ$2339,1,OC_Date)="","",INDEX('OneCause_Paste'!$A$2339:$AZ$2339,1,OC_Date)))</f>
        <v/>
      </c>
      <c r="J2339">
        <f>IF(OC_Amt=0,"",IF(INDEX('OneCause_Paste'!$A$2339:$AZ$2339,1,OC_Amt)="","",INDEX('OneCause_Paste'!$A$2339:$AZ$2339,1,OC_Amt)))</f>
        <v/>
      </c>
      <c r="K2339">
        <f>IF(OC_Name=0,"",IF(INDEX('OneCause_Paste'!$A$2339:$AZ$2339,1,OC_Name)="","",INDEX('OneCause_Paste'!$A$2339:$AZ$2339,1,OC_Name)))</f>
        <v/>
      </c>
      <c r="L2339">
        <f>IF(OC_Txn=0,"",IF(INDEX('OneCause_Paste'!$A$2339:$AZ$2339,1,OC_Txn)="","",INDEX('OneCause_Paste'!$A$2339:$AZ$2339,1,OC_Txn)))</f>
        <v/>
      </c>
      <c r="M2339">
        <f>IF(OC_Pay=0,"",IF(INDEX('OneCause_Paste'!$A$2339:$AZ$2339,1,OC_Pay)="","",INDEX('OneCause_Paste'!$A$2339:$AZ$2339,1,OC_Pay)))</f>
        <v/>
      </c>
      <c r="N2339">
        <f>IF(I2339="","",IF(ISNUMBER(I2339),INT(I2339),IFERROR(INT(DATEVALUE(I2339)),IFERROR(INT(VALUE(I2339)),"bad"))))</f>
        <v/>
      </c>
      <c r="O2339">
        <f>IF(J2339="","",IF(ISNUMBER(J2339),ROUND(J2339,2),IFERROR(ROUND(VALUE(SUBSTITUTE(SUBSTITUTE(SUBSTITUTE(J2339,"$",""),",","")," ","")),2),"bad")))</f>
        <v/>
      </c>
      <c r="P2339">
        <f>IF(TRIM(K2339)="","",IFERROR(MATCH(LOWER(TRIM(K2339)),'Students'!$AH$2:$AH$701,0),IFERROR(MATCH(LOWER(TRIM(K2339)),'Students'!$AF$2:$AF$701,0),IFERROR(MATCH(LOWER(TRIM(K2339)),'Students'!$AG$2:$AG$701,0),""))))</f>
        <v/>
      </c>
      <c r="R2339">
        <f>IF(P2339="","",INDEX('Students'!$AD$2:$AD$701,P2339))</f>
        <v/>
      </c>
      <c r="S2339">
        <f>IF(H2339="OK",O2339,0)</f>
        <v/>
      </c>
      <c r="T2339">
        <f>IF(H2339="OK",N2339,"")</f>
        <v/>
      </c>
      <c r="U2339">
        <f>IF(OC_Donor=0,"",IF(INDEX('OneCause_Paste'!$A$2339:$AZ$2339,1,OC_Donor)="","",INDEX('OneCause_Paste'!$A$2339:$AZ$2339,1,OC_Donor)))</f>
        <v/>
      </c>
    </row>
    <row r="2340">
      <c r="A2340" s="62">
        <f>IF(H2340="","",IF(ISNUMBER(N2340),N2340,I2340))</f>
        <v/>
      </c>
      <c r="B2340">
        <f>IF(H2340="","",U2340)</f>
        <v/>
      </c>
      <c r="C2340">
        <f>IF(H2340="","",IF(P2340="",K2340,INDEX('Students'!$A$2:$A$701,P2340)))</f>
        <v/>
      </c>
      <c r="D2340">
        <f>IF(OR(H2340="",P2340=""),"",INDEX('Students'!$B$2:$B$701,P2340))</f>
        <v/>
      </c>
      <c r="E2340">
        <f>IF(OR(H2340="",P2340=""),"",INDEX('Students'!$C$2:$C$701,P2340))</f>
        <v/>
      </c>
      <c r="F2340" s="48">
        <f>IF(H2340="","",IF(ISNUMBER(O2340),O2340,J2340))</f>
        <v/>
      </c>
      <c r="G2340">
        <f>IF(H2340="","","OneCause")</f>
        <v/>
      </c>
      <c r="H2340">
        <f>IF(AND(I2340="",J2340="",K2340=""),"",IF(NOT(ISNUMBER(O2340)),"Bad amount",IF(O2340&lt;0,"Refund (not counted)",IF(O2340=0,"Zero amount",IF(NOT(ISNUMBER(N2340)),"Bad date",IF(P2340="","NAME NOT ON ROSTER",IF(L2340="","OK",IF(MATCH(L2340,$L$2:$L$3001,0)&lt;ROW()-1,"Duplicate (ignored)","OK"))))))))</f>
        <v/>
      </c>
      <c r="I2340">
        <f>IF(OC_Date=0,"",IF(INDEX('OneCause_Paste'!$A$2340:$AZ$2340,1,OC_Date)="","",INDEX('OneCause_Paste'!$A$2340:$AZ$2340,1,OC_Date)))</f>
        <v/>
      </c>
      <c r="J2340">
        <f>IF(OC_Amt=0,"",IF(INDEX('OneCause_Paste'!$A$2340:$AZ$2340,1,OC_Amt)="","",INDEX('OneCause_Paste'!$A$2340:$AZ$2340,1,OC_Amt)))</f>
        <v/>
      </c>
      <c r="K2340">
        <f>IF(OC_Name=0,"",IF(INDEX('OneCause_Paste'!$A$2340:$AZ$2340,1,OC_Name)="","",INDEX('OneCause_Paste'!$A$2340:$AZ$2340,1,OC_Name)))</f>
        <v/>
      </c>
      <c r="L2340">
        <f>IF(OC_Txn=0,"",IF(INDEX('OneCause_Paste'!$A$2340:$AZ$2340,1,OC_Txn)="","",INDEX('OneCause_Paste'!$A$2340:$AZ$2340,1,OC_Txn)))</f>
        <v/>
      </c>
      <c r="M2340">
        <f>IF(OC_Pay=0,"",IF(INDEX('OneCause_Paste'!$A$2340:$AZ$2340,1,OC_Pay)="","",INDEX('OneCause_Paste'!$A$2340:$AZ$2340,1,OC_Pay)))</f>
        <v/>
      </c>
      <c r="N2340">
        <f>IF(I2340="","",IF(ISNUMBER(I2340),INT(I2340),IFERROR(INT(DATEVALUE(I2340)),IFERROR(INT(VALUE(I2340)),"bad"))))</f>
        <v/>
      </c>
      <c r="O2340">
        <f>IF(J2340="","",IF(ISNUMBER(J2340),ROUND(J2340,2),IFERROR(ROUND(VALUE(SUBSTITUTE(SUBSTITUTE(SUBSTITUTE(J2340,"$",""),",","")," ","")),2),"bad")))</f>
        <v/>
      </c>
      <c r="P2340">
        <f>IF(TRIM(K2340)="","",IFERROR(MATCH(LOWER(TRIM(K2340)),'Students'!$AH$2:$AH$701,0),IFERROR(MATCH(LOWER(TRIM(K2340)),'Students'!$AF$2:$AF$701,0),IFERROR(MATCH(LOWER(TRIM(K2340)),'Students'!$AG$2:$AG$701,0),""))))</f>
        <v/>
      </c>
      <c r="R2340">
        <f>IF(P2340="","",INDEX('Students'!$AD$2:$AD$701,P2340))</f>
        <v/>
      </c>
      <c r="S2340">
        <f>IF(H2340="OK",O2340,0)</f>
        <v/>
      </c>
      <c r="T2340">
        <f>IF(H2340="OK",N2340,"")</f>
        <v/>
      </c>
      <c r="U2340">
        <f>IF(OC_Donor=0,"",IF(INDEX('OneCause_Paste'!$A$2340:$AZ$2340,1,OC_Donor)="","",INDEX('OneCause_Paste'!$A$2340:$AZ$2340,1,OC_Donor)))</f>
        <v/>
      </c>
    </row>
    <row r="2341">
      <c r="A2341" s="62">
        <f>IF(H2341="","",IF(ISNUMBER(N2341),N2341,I2341))</f>
        <v/>
      </c>
      <c r="B2341">
        <f>IF(H2341="","",U2341)</f>
        <v/>
      </c>
      <c r="C2341">
        <f>IF(H2341="","",IF(P2341="",K2341,INDEX('Students'!$A$2:$A$701,P2341)))</f>
        <v/>
      </c>
      <c r="D2341">
        <f>IF(OR(H2341="",P2341=""),"",INDEX('Students'!$B$2:$B$701,P2341))</f>
        <v/>
      </c>
      <c r="E2341">
        <f>IF(OR(H2341="",P2341=""),"",INDEX('Students'!$C$2:$C$701,P2341))</f>
        <v/>
      </c>
      <c r="F2341" s="48">
        <f>IF(H2341="","",IF(ISNUMBER(O2341),O2341,J2341))</f>
        <v/>
      </c>
      <c r="G2341">
        <f>IF(H2341="","","OneCause")</f>
        <v/>
      </c>
      <c r="H2341">
        <f>IF(AND(I2341="",J2341="",K2341=""),"",IF(NOT(ISNUMBER(O2341)),"Bad amount",IF(O2341&lt;0,"Refund (not counted)",IF(O2341=0,"Zero amount",IF(NOT(ISNUMBER(N2341)),"Bad date",IF(P2341="","NAME NOT ON ROSTER",IF(L2341="","OK",IF(MATCH(L2341,$L$2:$L$3001,0)&lt;ROW()-1,"Duplicate (ignored)","OK"))))))))</f>
        <v/>
      </c>
      <c r="I2341">
        <f>IF(OC_Date=0,"",IF(INDEX('OneCause_Paste'!$A$2341:$AZ$2341,1,OC_Date)="","",INDEX('OneCause_Paste'!$A$2341:$AZ$2341,1,OC_Date)))</f>
        <v/>
      </c>
      <c r="J2341">
        <f>IF(OC_Amt=0,"",IF(INDEX('OneCause_Paste'!$A$2341:$AZ$2341,1,OC_Amt)="","",INDEX('OneCause_Paste'!$A$2341:$AZ$2341,1,OC_Amt)))</f>
        <v/>
      </c>
      <c r="K2341">
        <f>IF(OC_Name=0,"",IF(INDEX('OneCause_Paste'!$A$2341:$AZ$2341,1,OC_Name)="","",INDEX('OneCause_Paste'!$A$2341:$AZ$2341,1,OC_Name)))</f>
        <v/>
      </c>
      <c r="L2341">
        <f>IF(OC_Txn=0,"",IF(INDEX('OneCause_Paste'!$A$2341:$AZ$2341,1,OC_Txn)="","",INDEX('OneCause_Paste'!$A$2341:$AZ$2341,1,OC_Txn)))</f>
        <v/>
      </c>
      <c r="M2341">
        <f>IF(OC_Pay=0,"",IF(INDEX('OneCause_Paste'!$A$2341:$AZ$2341,1,OC_Pay)="","",INDEX('OneCause_Paste'!$A$2341:$AZ$2341,1,OC_Pay)))</f>
        <v/>
      </c>
      <c r="N2341">
        <f>IF(I2341="","",IF(ISNUMBER(I2341),INT(I2341),IFERROR(INT(DATEVALUE(I2341)),IFERROR(INT(VALUE(I2341)),"bad"))))</f>
        <v/>
      </c>
      <c r="O2341">
        <f>IF(J2341="","",IF(ISNUMBER(J2341),ROUND(J2341,2),IFERROR(ROUND(VALUE(SUBSTITUTE(SUBSTITUTE(SUBSTITUTE(J2341,"$",""),",","")," ","")),2),"bad")))</f>
        <v/>
      </c>
      <c r="P2341">
        <f>IF(TRIM(K2341)="","",IFERROR(MATCH(LOWER(TRIM(K2341)),'Students'!$AH$2:$AH$701,0),IFERROR(MATCH(LOWER(TRIM(K2341)),'Students'!$AF$2:$AF$701,0),IFERROR(MATCH(LOWER(TRIM(K2341)),'Students'!$AG$2:$AG$701,0),""))))</f>
        <v/>
      </c>
      <c r="R2341">
        <f>IF(P2341="","",INDEX('Students'!$AD$2:$AD$701,P2341))</f>
        <v/>
      </c>
      <c r="S2341">
        <f>IF(H2341="OK",O2341,0)</f>
        <v/>
      </c>
      <c r="T2341">
        <f>IF(H2341="OK",N2341,"")</f>
        <v/>
      </c>
      <c r="U2341">
        <f>IF(OC_Donor=0,"",IF(INDEX('OneCause_Paste'!$A$2341:$AZ$2341,1,OC_Donor)="","",INDEX('OneCause_Paste'!$A$2341:$AZ$2341,1,OC_Donor)))</f>
        <v/>
      </c>
    </row>
    <row r="2342">
      <c r="A2342" s="62">
        <f>IF(H2342="","",IF(ISNUMBER(N2342),N2342,I2342))</f>
        <v/>
      </c>
      <c r="B2342">
        <f>IF(H2342="","",U2342)</f>
        <v/>
      </c>
      <c r="C2342">
        <f>IF(H2342="","",IF(P2342="",K2342,INDEX('Students'!$A$2:$A$701,P2342)))</f>
        <v/>
      </c>
      <c r="D2342">
        <f>IF(OR(H2342="",P2342=""),"",INDEX('Students'!$B$2:$B$701,P2342))</f>
        <v/>
      </c>
      <c r="E2342">
        <f>IF(OR(H2342="",P2342=""),"",INDEX('Students'!$C$2:$C$701,P2342))</f>
        <v/>
      </c>
      <c r="F2342" s="48">
        <f>IF(H2342="","",IF(ISNUMBER(O2342),O2342,J2342))</f>
        <v/>
      </c>
      <c r="G2342">
        <f>IF(H2342="","","OneCause")</f>
        <v/>
      </c>
      <c r="H2342">
        <f>IF(AND(I2342="",J2342="",K2342=""),"",IF(NOT(ISNUMBER(O2342)),"Bad amount",IF(O2342&lt;0,"Refund (not counted)",IF(O2342=0,"Zero amount",IF(NOT(ISNUMBER(N2342)),"Bad date",IF(P2342="","NAME NOT ON ROSTER",IF(L2342="","OK",IF(MATCH(L2342,$L$2:$L$3001,0)&lt;ROW()-1,"Duplicate (ignored)","OK"))))))))</f>
        <v/>
      </c>
      <c r="I2342">
        <f>IF(OC_Date=0,"",IF(INDEX('OneCause_Paste'!$A$2342:$AZ$2342,1,OC_Date)="","",INDEX('OneCause_Paste'!$A$2342:$AZ$2342,1,OC_Date)))</f>
        <v/>
      </c>
      <c r="J2342">
        <f>IF(OC_Amt=0,"",IF(INDEX('OneCause_Paste'!$A$2342:$AZ$2342,1,OC_Amt)="","",INDEX('OneCause_Paste'!$A$2342:$AZ$2342,1,OC_Amt)))</f>
        <v/>
      </c>
      <c r="K2342">
        <f>IF(OC_Name=0,"",IF(INDEX('OneCause_Paste'!$A$2342:$AZ$2342,1,OC_Name)="","",INDEX('OneCause_Paste'!$A$2342:$AZ$2342,1,OC_Name)))</f>
        <v/>
      </c>
      <c r="L2342">
        <f>IF(OC_Txn=0,"",IF(INDEX('OneCause_Paste'!$A$2342:$AZ$2342,1,OC_Txn)="","",INDEX('OneCause_Paste'!$A$2342:$AZ$2342,1,OC_Txn)))</f>
        <v/>
      </c>
      <c r="M2342">
        <f>IF(OC_Pay=0,"",IF(INDEX('OneCause_Paste'!$A$2342:$AZ$2342,1,OC_Pay)="","",INDEX('OneCause_Paste'!$A$2342:$AZ$2342,1,OC_Pay)))</f>
        <v/>
      </c>
      <c r="N2342">
        <f>IF(I2342="","",IF(ISNUMBER(I2342),INT(I2342),IFERROR(INT(DATEVALUE(I2342)),IFERROR(INT(VALUE(I2342)),"bad"))))</f>
        <v/>
      </c>
      <c r="O2342">
        <f>IF(J2342="","",IF(ISNUMBER(J2342),ROUND(J2342,2),IFERROR(ROUND(VALUE(SUBSTITUTE(SUBSTITUTE(SUBSTITUTE(J2342,"$",""),",","")," ","")),2),"bad")))</f>
        <v/>
      </c>
      <c r="P2342">
        <f>IF(TRIM(K2342)="","",IFERROR(MATCH(LOWER(TRIM(K2342)),'Students'!$AH$2:$AH$701,0),IFERROR(MATCH(LOWER(TRIM(K2342)),'Students'!$AF$2:$AF$701,0),IFERROR(MATCH(LOWER(TRIM(K2342)),'Students'!$AG$2:$AG$701,0),""))))</f>
        <v/>
      </c>
      <c r="R2342">
        <f>IF(P2342="","",INDEX('Students'!$AD$2:$AD$701,P2342))</f>
        <v/>
      </c>
      <c r="S2342">
        <f>IF(H2342="OK",O2342,0)</f>
        <v/>
      </c>
      <c r="T2342">
        <f>IF(H2342="OK",N2342,"")</f>
        <v/>
      </c>
      <c r="U2342">
        <f>IF(OC_Donor=0,"",IF(INDEX('OneCause_Paste'!$A$2342:$AZ$2342,1,OC_Donor)="","",INDEX('OneCause_Paste'!$A$2342:$AZ$2342,1,OC_Donor)))</f>
        <v/>
      </c>
    </row>
    <row r="2343">
      <c r="A2343" s="62">
        <f>IF(H2343="","",IF(ISNUMBER(N2343),N2343,I2343))</f>
        <v/>
      </c>
      <c r="B2343">
        <f>IF(H2343="","",U2343)</f>
        <v/>
      </c>
      <c r="C2343">
        <f>IF(H2343="","",IF(P2343="",K2343,INDEX('Students'!$A$2:$A$701,P2343)))</f>
        <v/>
      </c>
      <c r="D2343">
        <f>IF(OR(H2343="",P2343=""),"",INDEX('Students'!$B$2:$B$701,P2343))</f>
        <v/>
      </c>
      <c r="E2343">
        <f>IF(OR(H2343="",P2343=""),"",INDEX('Students'!$C$2:$C$701,P2343))</f>
        <v/>
      </c>
      <c r="F2343" s="48">
        <f>IF(H2343="","",IF(ISNUMBER(O2343),O2343,J2343))</f>
        <v/>
      </c>
      <c r="G2343">
        <f>IF(H2343="","","OneCause")</f>
        <v/>
      </c>
      <c r="H2343">
        <f>IF(AND(I2343="",J2343="",K2343=""),"",IF(NOT(ISNUMBER(O2343)),"Bad amount",IF(O2343&lt;0,"Refund (not counted)",IF(O2343=0,"Zero amount",IF(NOT(ISNUMBER(N2343)),"Bad date",IF(P2343="","NAME NOT ON ROSTER",IF(L2343="","OK",IF(MATCH(L2343,$L$2:$L$3001,0)&lt;ROW()-1,"Duplicate (ignored)","OK"))))))))</f>
        <v/>
      </c>
      <c r="I2343">
        <f>IF(OC_Date=0,"",IF(INDEX('OneCause_Paste'!$A$2343:$AZ$2343,1,OC_Date)="","",INDEX('OneCause_Paste'!$A$2343:$AZ$2343,1,OC_Date)))</f>
        <v/>
      </c>
      <c r="J2343">
        <f>IF(OC_Amt=0,"",IF(INDEX('OneCause_Paste'!$A$2343:$AZ$2343,1,OC_Amt)="","",INDEX('OneCause_Paste'!$A$2343:$AZ$2343,1,OC_Amt)))</f>
        <v/>
      </c>
      <c r="K2343">
        <f>IF(OC_Name=0,"",IF(INDEX('OneCause_Paste'!$A$2343:$AZ$2343,1,OC_Name)="","",INDEX('OneCause_Paste'!$A$2343:$AZ$2343,1,OC_Name)))</f>
        <v/>
      </c>
      <c r="L2343">
        <f>IF(OC_Txn=0,"",IF(INDEX('OneCause_Paste'!$A$2343:$AZ$2343,1,OC_Txn)="","",INDEX('OneCause_Paste'!$A$2343:$AZ$2343,1,OC_Txn)))</f>
        <v/>
      </c>
      <c r="M2343">
        <f>IF(OC_Pay=0,"",IF(INDEX('OneCause_Paste'!$A$2343:$AZ$2343,1,OC_Pay)="","",INDEX('OneCause_Paste'!$A$2343:$AZ$2343,1,OC_Pay)))</f>
        <v/>
      </c>
      <c r="N2343">
        <f>IF(I2343="","",IF(ISNUMBER(I2343),INT(I2343),IFERROR(INT(DATEVALUE(I2343)),IFERROR(INT(VALUE(I2343)),"bad"))))</f>
        <v/>
      </c>
      <c r="O2343">
        <f>IF(J2343="","",IF(ISNUMBER(J2343),ROUND(J2343,2),IFERROR(ROUND(VALUE(SUBSTITUTE(SUBSTITUTE(SUBSTITUTE(J2343,"$",""),",","")," ","")),2),"bad")))</f>
        <v/>
      </c>
      <c r="P2343">
        <f>IF(TRIM(K2343)="","",IFERROR(MATCH(LOWER(TRIM(K2343)),'Students'!$AH$2:$AH$701,0),IFERROR(MATCH(LOWER(TRIM(K2343)),'Students'!$AF$2:$AF$701,0),IFERROR(MATCH(LOWER(TRIM(K2343)),'Students'!$AG$2:$AG$701,0),""))))</f>
        <v/>
      </c>
      <c r="R2343">
        <f>IF(P2343="","",INDEX('Students'!$AD$2:$AD$701,P2343))</f>
        <v/>
      </c>
      <c r="S2343">
        <f>IF(H2343="OK",O2343,0)</f>
        <v/>
      </c>
      <c r="T2343">
        <f>IF(H2343="OK",N2343,"")</f>
        <v/>
      </c>
      <c r="U2343">
        <f>IF(OC_Donor=0,"",IF(INDEX('OneCause_Paste'!$A$2343:$AZ$2343,1,OC_Donor)="","",INDEX('OneCause_Paste'!$A$2343:$AZ$2343,1,OC_Donor)))</f>
        <v/>
      </c>
    </row>
    <row r="2344">
      <c r="A2344" s="62">
        <f>IF(H2344="","",IF(ISNUMBER(N2344),N2344,I2344))</f>
        <v/>
      </c>
      <c r="B2344">
        <f>IF(H2344="","",U2344)</f>
        <v/>
      </c>
      <c r="C2344">
        <f>IF(H2344="","",IF(P2344="",K2344,INDEX('Students'!$A$2:$A$701,P2344)))</f>
        <v/>
      </c>
      <c r="D2344">
        <f>IF(OR(H2344="",P2344=""),"",INDEX('Students'!$B$2:$B$701,P2344))</f>
        <v/>
      </c>
      <c r="E2344">
        <f>IF(OR(H2344="",P2344=""),"",INDEX('Students'!$C$2:$C$701,P2344))</f>
        <v/>
      </c>
      <c r="F2344" s="48">
        <f>IF(H2344="","",IF(ISNUMBER(O2344),O2344,J2344))</f>
        <v/>
      </c>
      <c r="G2344">
        <f>IF(H2344="","","OneCause")</f>
        <v/>
      </c>
      <c r="H2344">
        <f>IF(AND(I2344="",J2344="",K2344=""),"",IF(NOT(ISNUMBER(O2344)),"Bad amount",IF(O2344&lt;0,"Refund (not counted)",IF(O2344=0,"Zero amount",IF(NOT(ISNUMBER(N2344)),"Bad date",IF(P2344="","NAME NOT ON ROSTER",IF(L2344="","OK",IF(MATCH(L2344,$L$2:$L$3001,0)&lt;ROW()-1,"Duplicate (ignored)","OK"))))))))</f>
        <v/>
      </c>
      <c r="I2344">
        <f>IF(OC_Date=0,"",IF(INDEX('OneCause_Paste'!$A$2344:$AZ$2344,1,OC_Date)="","",INDEX('OneCause_Paste'!$A$2344:$AZ$2344,1,OC_Date)))</f>
        <v/>
      </c>
      <c r="J2344">
        <f>IF(OC_Amt=0,"",IF(INDEX('OneCause_Paste'!$A$2344:$AZ$2344,1,OC_Amt)="","",INDEX('OneCause_Paste'!$A$2344:$AZ$2344,1,OC_Amt)))</f>
        <v/>
      </c>
      <c r="K2344">
        <f>IF(OC_Name=0,"",IF(INDEX('OneCause_Paste'!$A$2344:$AZ$2344,1,OC_Name)="","",INDEX('OneCause_Paste'!$A$2344:$AZ$2344,1,OC_Name)))</f>
        <v/>
      </c>
      <c r="L2344">
        <f>IF(OC_Txn=0,"",IF(INDEX('OneCause_Paste'!$A$2344:$AZ$2344,1,OC_Txn)="","",INDEX('OneCause_Paste'!$A$2344:$AZ$2344,1,OC_Txn)))</f>
        <v/>
      </c>
      <c r="M2344">
        <f>IF(OC_Pay=0,"",IF(INDEX('OneCause_Paste'!$A$2344:$AZ$2344,1,OC_Pay)="","",INDEX('OneCause_Paste'!$A$2344:$AZ$2344,1,OC_Pay)))</f>
        <v/>
      </c>
      <c r="N2344">
        <f>IF(I2344="","",IF(ISNUMBER(I2344),INT(I2344),IFERROR(INT(DATEVALUE(I2344)),IFERROR(INT(VALUE(I2344)),"bad"))))</f>
        <v/>
      </c>
      <c r="O2344">
        <f>IF(J2344="","",IF(ISNUMBER(J2344),ROUND(J2344,2),IFERROR(ROUND(VALUE(SUBSTITUTE(SUBSTITUTE(SUBSTITUTE(J2344,"$",""),",","")," ","")),2),"bad")))</f>
        <v/>
      </c>
      <c r="P2344">
        <f>IF(TRIM(K2344)="","",IFERROR(MATCH(LOWER(TRIM(K2344)),'Students'!$AH$2:$AH$701,0),IFERROR(MATCH(LOWER(TRIM(K2344)),'Students'!$AF$2:$AF$701,0),IFERROR(MATCH(LOWER(TRIM(K2344)),'Students'!$AG$2:$AG$701,0),""))))</f>
        <v/>
      </c>
      <c r="R2344">
        <f>IF(P2344="","",INDEX('Students'!$AD$2:$AD$701,P2344))</f>
        <v/>
      </c>
      <c r="S2344">
        <f>IF(H2344="OK",O2344,0)</f>
        <v/>
      </c>
      <c r="T2344">
        <f>IF(H2344="OK",N2344,"")</f>
        <v/>
      </c>
      <c r="U2344">
        <f>IF(OC_Donor=0,"",IF(INDEX('OneCause_Paste'!$A$2344:$AZ$2344,1,OC_Donor)="","",INDEX('OneCause_Paste'!$A$2344:$AZ$2344,1,OC_Donor)))</f>
        <v/>
      </c>
    </row>
    <row r="2345">
      <c r="A2345" s="62">
        <f>IF(H2345="","",IF(ISNUMBER(N2345),N2345,I2345))</f>
        <v/>
      </c>
      <c r="B2345">
        <f>IF(H2345="","",U2345)</f>
        <v/>
      </c>
      <c r="C2345">
        <f>IF(H2345="","",IF(P2345="",K2345,INDEX('Students'!$A$2:$A$701,P2345)))</f>
        <v/>
      </c>
      <c r="D2345">
        <f>IF(OR(H2345="",P2345=""),"",INDEX('Students'!$B$2:$B$701,P2345))</f>
        <v/>
      </c>
      <c r="E2345">
        <f>IF(OR(H2345="",P2345=""),"",INDEX('Students'!$C$2:$C$701,P2345))</f>
        <v/>
      </c>
      <c r="F2345" s="48">
        <f>IF(H2345="","",IF(ISNUMBER(O2345),O2345,J2345))</f>
        <v/>
      </c>
      <c r="G2345">
        <f>IF(H2345="","","OneCause")</f>
        <v/>
      </c>
      <c r="H2345">
        <f>IF(AND(I2345="",J2345="",K2345=""),"",IF(NOT(ISNUMBER(O2345)),"Bad amount",IF(O2345&lt;0,"Refund (not counted)",IF(O2345=0,"Zero amount",IF(NOT(ISNUMBER(N2345)),"Bad date",IF(P2345="","NAME NOT ON ROSTER",IF(L2345="","OK",IF(MATCH(L2345,$L$2:$L$3001,0)&lt;ROW()-1,"Duplicate (ignored)","OK"))))))))</f>
        <v/>
      </c>
      <c r="I2345">
        <f>IF(OC_Date=0,"",IF(INDEX('OneCause_Paste'!$A$2345:$AZ$2345,1,OC_Date)="","",INDEX('OneCause_Paste'!$A$2345:$AZ$2345,1,OC_Date)))</f>
        <v/>
      </c>
      <c r="J2345">
        <f>IF(OC_Amt=0,"",IF(INDEX('OneCause_Paste'!$A$2345:$AZ$2345,1,OC_Amt)="","",INDEX('OneCause_Paste'!$A$2345:$AZ$2345,1,OC_Amt)))</f>
        <v/>
      </c>
      <c r="K2345">
        <f>IF(OC_Name=0,"",IF(INDEX('OneCause_Paste'!$A$2345:$AZ$2345,1,OC_Name)="","",INDEX('OneCause_Paste'!$A$2345:$AZ$2345,1,OC_Name)))</f>
        <v/>
      </c>
      <c r="L2345">
        <f>IF(OC_Txn=0,"",IF(INDEX('OneCause_Paste'!$A$2345:$AZ$2345,1,OC_Txn)="","",INDEX('OneCause_Paste'!$A$2345:$AZ$2345,1,OC_Txn)))</f>
        <v/>
      </c>
      <c r="M2345">
        <f>IF(OC_Pay=0,"",IF(INDEX('OneCause_Paste'!$A$2345:$AZ$2345,1,OC_Pay)="","",INDEX('OneCause_Paste'!$A$2345:$AZ$2345,1,OC_Pay)))</f>
        <v/>
      </c>
      <c r="N2345">
        <f>IF(I2345="","",IF(ISNUMBER(I2345),INT(I2345),IFERROR(INT(DATEVALUE(I2345)),IFERROR(INT(VALUE(I2345)),"bad"))))</f>
        <v/>
      </c>
      <c r="O2345">
        <f>IF(J2345="","",IF(ISNUMBER(J2345),ROUND(J2345,2),IFERROR(ROUND(VALUE(SUBSTITUTE(SUBSTITUTE(SUBSTITUTE(J2345,"$",""),",","")," ","")),2),"bad")))</f>
        <v/>
      </c>
      <c r="P2345">
        <f>IF(TRIM(K2345)="","",IFERROR(MATCH(LOWER(TRIM(K2345)),'Students'!$AH$2:$AH$701,0),IFERROR(MATCH(LOWER(TRIM(K2345)),'Students'!$AF$2:$AF$701,0),IFERROR(MATCH(LOWER(TRIM(K2345)),'Students'!$AG$2:$AG$701,0),""))))</f>
        <v/>
      </c>
      <c r="R2345">
        <f>IF(P2345="","",INDEX('Students'!$AD$2:$AD$701,P2345))</f>
        <v/>
      </c>
      <c r="S2345">
        <f>IF(H2345="OK",O2345,0)</f>
        <v/>
      </c>
      <c r="T2345">
        <f>IF(H2345="OK",N2345,"")</f>
        <v/>
      </c>
      <c r="U2345">
        <f>IF(OC_Donor=0,"",IF(INDEX('OneCause_Paste'!$A$2345:$AZ$2345,1,OC_Donor)="","",INDEX('OneCause_Paste'!$A$2345:$AZ$2345,1,OC_Donor)))</f>
        <v/>
      </c>
    </row>
    <row r="2346">
      <c r="A2346" s="62">
        <f>IF(H2346="","",IF(ISNUMBER(N2346),N2346,I2346))</f>
        <v/>
      </c>
      <c r="B2346">
        <f>IF(H2346="","",U2346)</f>
        <v/>
      </c>
      <c r="C2346">
        <f>IF(H2346="","",IF(P2346="",K2346,INDEX('Students'!$A$2:$A$701,P2346)))</f>
        <v/>
      </c>
      <c r="D2346">
        <f>IF(OR(H2346="",P2346=""),"",INDEX('Students'!$B$2:$B$701,P2346))</f>
        <v/>
      </c>
      <c r="E2346">
        <f>IF(OR(H2346="",P2346=""),"",INDEX('Students'!$C$2:$C$701,P2346))</f>
        <v/>
      </c>
      <c r="F2346" s="48">
        <f>IF(H2346="","",IF(ISNUMBER(O2346),O2346,J2346))</f>
        <v/>
      </c>
      <c r="G2346">
        <f>IF(H2346="","","OneCause")</f>
        <v/>
      </c>
      <c r="H2346">
        <f>IF(AND(I2346="",J2346="",K2346=""),"",IF(NOT(ISNUMBER(O2346)),"Bad amount",IF(O2346&lt;0,"Refund (not counted)",IF(O2346=0,"Zero amount",IF(NOT(ISNUMBER(N2346)),"Bad date",IF(P2346="","NAME NOT ON ROSTER",IF(L2346="","OK",IF(MATCH(L2346,$L$2:$L$3001,0)&lt;ROW()-1,"Duplicate (ignored)","OK"))))))))</f>
        <v/>
      </c>
      <c r="I2346">
        <f>IF(OC_Date=0,"",IF(INDEX('OneCause_Paste'!$A$2346:$AZ$2346,1,OC_Date)="","",INDEX('OneCause_Paste'!$A$2346:$AZ$2346,1,OC_Date)))</f>
        <v/>
      </c>
      <c r="J2346">
        <f>IF(OC_Amt=0,"",IF(INDEX('OneCause_Paste'!$A$2346:$AZ$2346,1,OC_Amt)="","",INDEX('OneCause_Paste'!$A$2346:$AZ$2346,1,OC_Amt)))</f>
        <v/>
      </c>
      <c r="K2346">
        <f>IF(OC_Name=0,"",IF(INDEX('OneCause_Paste'!$A$2346:$AZ$2346,1,OC_Name)="","",INDEX('OneCause_Paste'!$A$2346:$AZ$2346,1,OC_Name)))</f>
        <v/>
      </c>
      <c r="L2346">
        <f>IF(OC_Txn=0,"",IF(INDEX('OneCause_Paste'!$A$2346:$AZ$2346,1,OC_Txn)="","",INDEX('OneCause_Paste'!$A$2346:$AZ$2346,1,OC_Txn)))</f>
        <v/>
      </c>
      <c r="M2346">
        <f>IF(OC_Pay=0,"",IF(INDEX('OneCause_Paste'!$A$2346:$AZ$2346,1,OC_Pay)="","",INDEX('OneCause_Paste'!$A$2346:$AZ$2346,1,OC_Pay)))</f>
        <v/>
      </c>
      <c r="N2346">
        <f>IF(I2346="","",IF(ISNUMBER(I2346),INT(I2346),IFERROR(INT(DATEVALUE(I2346)),IFERROR(INT(VALUE(I2346)),"bad"))))</f>
        <v/>
      </c>
      <c r="O2346">
        <f>IF(J2346="","",IF(ISNUMBER(J2346),ROUND(J2346,2),IFERROR(ROUND(VALUE(SUBSTITUTE(SUBSTITUTE(SUBSTITUTE(J2346,"$",""),",","")," ","")),2),"bad")))</f>
        <v/>
      </c>
      <c r="P2346">
        <f>IF(TRIM(K2346)="","",IFERROR(MATCH(LOWER(TRIM(K2346)),'Students'!$AH$2:$AH$701,0),IFERROR(MATCH(LOWER(TRIM(K2346)),'Students'!$AF$2:$AF$701,0),IFERROR(MATCH(LOWER(TRIM(K2346)),'Students'!$AG$2:$AG$701,0),""))))</f>
        <v/>
      </c>
      <c r="R2346">
        <f>IF(P2346="","",INDEX('Students'!$AD$2:$AD$701,P2346))</f>
        <v/>
      </c>
      <c r="S2346">
        <f>IF(H2346="OK",O2346,0)</f>
        <v/>
      </c>
      <c r="T2346">
        <f>IF(H2346="OK",N2346,"")</f>
        <v/>
      </c>
      <c r="U2346">
        <f>IF(OC_Donor=0,"",IF(INDEX('OneCause_Paste'!$A$2346:$AZ$2346,1,OC_Donor)="","",INDEX('OneCause_Paste'!$A$2346:$AZ$2346,1,OC_Donor)))</f>
        <v/>
      </c>
    </row>
    <row r="2347">
      <c r="A2347" s="62">
        <f>IF(H2347="","",IF(ISNUMBER(N2347),N2347,I2347))</f>
        <v/>
      </c>
      <c r="B2347">
        <f>IF(H2347="","",U2347)</f>
        <v/>
      </c>
      <c r="C2347">
        <f>IF(H2347="","",IF(P2347="",K2347,INDEX('Students'!$A$2:$A$701,P2347)))</f>
        <v/>
      </c>
      <c r="D2347">
        <f>IF(OR(H2347="",P2347=""),"",INDEX('Students'!$B$2:$B$701,P2347))</f>
        <v/>
      </c>
      <c r="E2347">
        <f>IF(OR(H2347="",P2347=""),"",INDEX('Students'!$C$2:$C$701,P2347))</f>
        <v/>
      </c>
      <c r="F2347" s="48">
        <f>IF(H2347="","",IF(ISNUMBER(O2347),O2347,J2347))</f>
        <v/>
      </c>
      <c r="G2347">
        <f>IF(H2347="","","OneCause")</f>
        <v/>
      </c>
      <c r="H2347">
        <f>IF(AND(I2347="",J2347="",K2347=""),"",IF(NOT(ISNUMBER(O2347)),"Bad amount",IF(O2347&lt;0,"Refund (not counted)",IF(O2347=0,"Zero amount",IF(NOT(ISNUMBER(N2347)),"Bad date",IF(P2347="","NAME NOT ON ROSTER",IF(L2347="","OK",IF(MATCH(L2347,$L$2:$L$3001,0)&lt;ROW()-1,"Duplicate (ignored)","OK"))))))))</f>
        <v/>
      </c>
      <c r="I2347">
        <f>IF(OC_Date=0,"",IF(INDEX('OneCause_Paste'!$A$2347:$AZ$2347,1,OC_Date)="","",INDEX('OneCause_Paste'!$A$2347:$AZ$2347,1,OC_Date)))</f>
        <v/>
      </c>
      <c r="J2347">
        <f>IF(OC_Amt=0,"",IF(INDEX('OneCause_Paste'!$A$2347:$AZ$2347,1,OC_Amt)="","",INDEX('OneCause_Paste'!$A$2347:$AZ$2347,1,OC_Amt)))</f>
        <v/>
      </c>
      <c r="K2347">
        <f>IF(OC_Name=0,"",IF(INDEX('OneCause_Paste'!$A$2347:$AZ$2347,1,OC_Name)="","",INDEX('OneCause_Paste'!$A$2347:$AZ$2347,1,OC_Name)))</f>
        <v/>
      </c>
      <c r="L2347">
        <f>IF(OC_Txn=0,"",IF(INDEX('OneCause_Paste'!$A$2347:$AZ$2347,1,OC_Txn)="","",INDEX('OneCause_Paste'!$A$2347:$AZ$2347,1,OC_Txn)))</f>
        <v/>
      </c>
      <c r="M2347">
        <f>IF(OC_Pay=0,"",IF(INDEX('OneCause_Paste'!$A$2347:$AZ$2347,1,OC_Pay)="","",INDEX('OneCause_Paste'!$A$2347:$AZ$2347,1,OC_Pay)))</f>
        <v/>
      </c>
      <c r="N2347">
        <f>IF(I2347="","",IF(ISNUMBER(I2347),INT(I2347),IFERROR(INT(DATEVALUE(I2347)),IFERROR(INT(VALUE(I2347)),"bad"))))</f>
        <v/>
      </c>
      <c r="O2347">
        <f>IF(J2347="","",IF(ISNUMBER(J2347),ROUND(J2347,2),IFERROR(ROUND(VALUE(SUBSTITUTE(SUBSTITUTE(SUBSTITUTE(J2347,"$",""),",","")," ","")),2),"bad")))</f>
        <v/>
      </c>
      <c r="P2347">
        <f>IF(TRIM(K2347)="","",IFERROR(MATCH(LOWER(TRIM(K2347)),'Students'!$AH$2:$AH$701,0),IFERROR(MATCH(LOWER(TRIM(K2347)),'Students'!$AF$2:$AF$701,0),IFERROR(MATCH(LOWER(TRIM(K2347)),'Students'!$AG$2:$AG$701,0),""))))</f>
        <v/>
      </c>
      <c r="R2347">
        <f>IF(P2347="","",INDEX('Students'!$AD$2:$AD$701,P2347))</f>
        <v/>
      </c>
      <c r="S2347">
        <f>IF(H2347="OK",O2347,0)</f>
        <v/>
      </c>
      <c r="T2347">
        <f>IF(H2347="OK",N2347,"")</f>
        <v/>
      </c>
      <c r="U2347">
        <f>IF(OC_Donor=0,"",IF(INDEX('OneCause_Paste'!$A$2347:$AZ$2347,1,OC_Donor)="","",INDEX('OneCause_Paste'!$A$2347:$AZ$2347,1,OC_Donor)))</f>
        <v/>
      </c>
    </row>
    <row r="2348">
      <c r="A2348" s="62">
        <f>IF(H2348="","",IF(ISNUMBER(N2348),N2348,I2348))</f>
        <v/>
      </c>
      <c r="B2348">
        <f>IF(H2348="","",U2348)</f>
        <v/>
      </c>
      <c r="C2348">
        <f>IF(H2348="","",IF(P2348="",K2348,INDEX('Students'!$A$2:$A$701,P2348)))</f>
        <v/>
      </c>
      <c r="D2348">
        <f>IF(OR(H2348="",P2348=""),"",INDEX('Students'!$B$2:$B$701,P2348))</f>
        <v/>
      </c>
      <c r="E2348">
        <f>IF(OR(H2348="",P2348=""),"",INDEX('Students'!$C$2:$C$701,P2348))</f>
        <v/>
      </c>
      <c r="F2348" s="48">
        <f>IF(H2348="","",IF(ISNUMBER(O2348),O2348,J2348))</f>
        <v/>
      </c>
      <c r="G2348">
        <f>IF(H2348="","","OneCause")</f>
        <v/>
      </c>
      <c r="H2348">
        <f>IF(AND(I2348="",J2348="",K2348=""),"",IF(NOT(ISNUMBER(O2348)),"Bad amount",IF(O2348&lt;0,"Refund (not counted)",IF(O2348=0,"Zero amount",IF(NOT(ISNUMBER(N2348)),"Bad date",IF(P2348="","NAME NOT ON ROSTER",IF(L2348="","OK",IF(MATCH(L2348,$L$2:$L$3001,0)&lt;ROW()-1,"Duplicate (ignored)","OK"))))))))</f>
        <v/>
      </c>
      <c r="I2348">
        <f>IF(OC_Date=0,"",IF(INDEX('OneCause_Paste'!$A$2348:$AZ$2348,1,OC_Date)="","",INDEX('OneCause_Paste'!$A$2348:$AZ$2348,1,OC_Date)))</f>
        <v/>
      </c>
      <c r="J2348">
        <f>IF(OC_Amt=0,"",IF(INDEX('OneCause_Paste'!$A$2348:$AZ$2348,1,OC_Amt)="","",INDEX('OneCause_Paste'!$A$2348:$AZ$2348,1,OC_Amt)))</f>
        <v/>
      </c>
      <c r="K2348">
        <f>IF(OC_Name=0,"",IF(INDEX('OneCause_Paste'!$A$2348:$AZ$2348,1,OC_Name)="","",INDEX('OneCause_Paste'!$A$2348:$AZ$2348,1,OC_Name)))</f>
        <v/>
      </c>
      <c r="L2348">
        <f>IF(OC_Txn=0,"",IF(INDEX('OneCause_Paste'!$A$2348:$AZ$2348,1,OC_Txn)="","",INDEX('OneCause_Paste'!$A$2348:$AZ$2348,1,OC_Txn)))</f>
        <v/>
      </c>
      <c r="M2348">
        <f>IF(OC_Pay=0,"",IF(INDEX('OneCause_Paste'!$A$2348:$AZ$2348,1,OC_Pay)="","",INDEX('OneCause_Paste'!$A$2348:$AZ$2348,1,OC_Pay)))</f>
        <v/>
      </c>
      <c r="N2348">
        <f>IF(I2348="","",IF(ISNUMBER(I2348),INT(I2348),IFERROR(INT(DATEVALUE(I2348)),IFERROR(INT(VALUE(I2348)),"bad"))))</f>
        <v/>
      </c>
      <c r="O2348">
        <f>IF(J2348="","",IF(ISNUMBER(J2348),ROUND(J2348,2),IFERROR(ROUND(VALUE(SUBSTITUTE(SUBSTITUTE(SUBSTITUTE(J2348,"$",""),",","")," ","")),2),"bad")))</f>
        <v/>
      </c>
      <c r="P2348">
        <f>IF(TRIM(K2348)="","",IFERROR(MATCH(LOWER(TRIM(K2348)),'Students'!$AH$2:$AH$701,0),IFERROR(MATCH(LOWER(TRIM(K2348)),'Students'!$AF$2:$AF$701,0),IFERROR(MATCH(LOWER(TRIM(K2348)),'Students'!$AG$2:$AG$701,0),""))))</f>
        <v/>
      </c>
      <c r="R2348">
        <f>IF(P2348="","",INDEX('Students'!$AD$2:$AD$701,P2348))</f>
        <v/>
      </c>
      <c r="S2348">
        <f>IF(H2348="OK",O2348,0)</f>
        <v/>
      </c>
      <c r="T2348">
        <f>IF(H2348="OK",N2348,"")</f>
        <v/>
      </c>
      <c r="U2348">
        <f>IF(OC_Donor=0,"",IF(INDEX('OneCause_Paste'!$A$2348:$AZ$2348,1,OC_Donor)="","",INDEX('OneCause_Paste'!$A$2348:$AZ$2348,1,OC_Donor)))</f>
        <v/>
      </c>
    </row>
    <row r="2349">
      <c r="A2349" s="62">
        <f>IF(H2349="","",IF(ISNUMBER(N2349),N2349,I2349))</f>
        <v/>
      </c>
      <c r="B2349">
        <f>IF(H2349="","",U2349)</f>
        <v/>
      </c>
      <c r="C2349">
        <f>IF(H2349="","",IF(P2349="",K2349,INDEX('Students'!$A$2:$A$701,P2349)))</f>
        <v/>
      </c>
      <c r="D2349">
        <f>IF(OR(H2349="",P2349=""),"",INDEX('Students'!$B$2:$B$701,P2349))</f>
        <v/>
      </c>
      <c r="E2349">
        <f>IF(OR(H2349="",P2349=""),"",INDEX('Students'!$C$2:$C$701,P2349))</f>
        <v/>
      </c>
      <c r="F2349" s="48">
        <f>IF(H2349="","",IF(ISNUMBER(O2349),O2349,J2349))</f>
        <v/>
      </c>
      <c r="G2349">
        <f>IF(H2349="","","OneCause")</f>
        <v/>
      </c>
      <c r="H2349">
        <f>IF(AND(I2349="",J2349="",K2349=""),"",IF(NOT(ISNUMBER(O2349)),"Bad amount",IF(O2349&lt;0,"Refund (not counted)",IF(O2349=0,"Zero amount",IF(NOT(ISNUMBER(N2349)),"Bad date",IF(P2349="","NAME NOT ON ROSTER",IF(L2349="","OK",IF(MATCH(L2349,$L$2:$L$3001,0)&lt;ROW()-1,"Duplicate (ignored)","OK"))))))))</f>
        <v/>
      </c>
      <c r="I2349">
        <f>IF(OC_Date=0,"",IF(INDEX('OneCause_Paste'!$A$2349:$AZ$2349,1,OC_Date)="","",INDEX('OneCause_Paste'!$A$2349:$AZ$2349,1,OC_Date)))</f>
        <v/>
      </c>
      <c r="J2349">
        <f>IF(OC_Amt=0,"",IF(INDEX('OneCause_Paste'!$A$2349:$AZ$2349,1,OC_Amt)="","",INDEX('OneCause_Paste'!$A$2349:$AZ$2349,1,OC_Amt)))</f>
        <v/>
      </c>
      <c r="K2349">
        <f>IF(OC_Name=0,"",IF(INDEX('OneCause_Paste'!$A$2349:$AZ$2349,1,OC_Name)="","",INDEX('OneCause_Paste'!$A$2349:$AZ$2349,1,OC_Name)))</f>
        <v/>
      </c>
      <c r="L2349">
        <f>IF(OC_Txn=0,"",IF(INDEX('OneCause_Paste'!$A$2349:$AZ$2349,1,OC_Txn)="","",INDEX('OneCause_Paste'!$A$2349:$AZ$2349,1,OC_Txn)))</f>
        <v/>
      </c>
      <c r="M2349">
        <f>IF(OC_Pay=0,"",IF(INDEX('OneCause_Paste'!$A$2349:$AZ$2349,1,OC_Pay)="","",INDEX('OneCause_Paste'!$A$2349:$AZ$2349,1,OC_Pay)))</f>
        <v/>
      </c>
      <c r="N2349">
        <f>IF(I2349="","",IF(ISNUMBER(I2349),INT(I2349),IFERROR(INT(DATEVALUE(I2349)),IFERROR(INT(VALUE(I2349)),"bad"))))</f>
        <v/>
      </c>
      <c r="O2349">
        <f>IF(J2349="","",IF(ISNUMBER(J2349),ROUND(J2349,2),IFERROR(ROUND(VALUE(SUBSTITUTE(SUBSTITUTE(SUBSTITUTE(J2349,"$",""),",","")," ","")),2),"bad")))</f>
        <v/>
      </c>
      <c r="P2349">
        <f>IF(TRIM(K2349)="","",IFERROR(MATCH(LOWER(TRIM(K2349)),'Students'!$AH$2:$AH$701,0),IFERROR(MATCH(LOWER(TRIM(K2349)),'Students'!$AF$2:$AF$701,0),IFERROR(MATCH(LOWER(TRIM(K2349)),'Students'!$AG$2:$AG$701,0),""))))</f>
        <v/>
      </c>
      <c r="R2349">
        <f>IF(P2349="","",INDEX('Students'!$AD$2:$AD$701,P2349))</f>
        <v/>
      </c>
      <c r="S2349">
        <f>IF(H2349="OK",O2349,0)</f>
        <v/>
      </c>
      <c r="T2349">
        <f>IF(H2349="OK",N2349,"")</f>
        <v/>
      </c>
      <c r="U2349">
        <f>IF(OC_Donor=0,"",IF(INDEX('OneCause_Paste'!$A$2349:$AZ$2349,1,OC_Donor)="","",INDEX('OneCause_Paste'!$A$2349:$AZ$2349,1,OC_Donor)))</f>
        <v/>
      </c>
    </row>
    <row r="2350">
      <c r="A2350" s="62">
        <f>IF(H2350="","",IF(ISNUMBER(N2350),N2350,I2350))</f>
        <v/>
      </c>
      <c r="B2350">
        <f>IF(H2350="","",U2350)</f>
        <v/>
      </c>
      <c r="C2350">
        <f>IF(H2350="","",IF(P2350="",K2350,INDEX('Students'!$A$2:$A$701,P2350)))</f>
        <v/>
      </c>
      <c r="D2350">
        <f>IF(OR(H2350="",P2350=""),"",INDEX('Students'!$B$2:$B$701,P2350))</f>
        <v/>
      </c>
      <c r="E2350">
        <f>IF(OR(H2350="",P2350=""),"",INDEX('Students'!$C$2:$C$701,P2350))</f>
        <v/>
      </c>
      <c r="F2350" s="48">
        <f>IF(H2350="","",IF(ISNUMBER(O2350),O2350,J2350))</f>
        <v/>
      </c>
      <c r="G2350">
        <f>IF(H2350="","","OneCause")</f>
        <v/>
      </c>
      <c r="H2350">
        <f>IF(AND(I2350="",J2350="",K2350=""),"",IF(NOT(ISNUMBER(O2350)),"Bad amount",IF(O2350&lt;0,"Refund (not counted)",IF(O2350=0,"Zero amount",IF(NOT(ISNUMBER(N2350)),"Bad date",IF(P2350="","NAME NOT ON ROSTER",IF(L2350="","OK",IF(MATCH(L2350,$L$2:$L$3001,0)&lt;ROW()-1,"Duplicate (ignored)","OK"))))))))</f>
        <v/>
      </c>
      <c r="I2350">
        <f>IF(OC_Date=0,"",IF(INDEX('OneCause_Paste'!$A$2350:$AZ$2350,1,OC_Date)="","",INDEX('OneCause_Paste'!$A$2350:$AZ$2350,1,OC_Date)))</f>
        <v/>
      </c>
      <c r="J2350">
        <f>IF(OC_Amt=0,"",IF(INDEX('OneCause_Paste'!$A$2350:$AZ$2350,1,OC_Amt)="","",INDEX('OneCause_Paste'!$A$2350:$AZ$2350,1,OC_Amt)))</f>
        <v/>
      </c>
      <c r="K2350">
        <f>IF(OC_Name=0,"",IF(INDEX('OneCause_Paste'!$A$2350:$AZ$2350,1,OC_Name)="","",INDEX('OneCause_Paste'!$A$2350:$AZ$2350,1,OC_Name)))</f>
        <v/>
      </c>
      <c r="L2350">
        <f>IF(OC_Txn=0,"",IF(INDEX('OneCause_Paste'!$A$2350:$AZ$2350,1,OC_Txn)="","",INDEX('OneCause_Paste'!$A$2350:$AZ$2350,1,OC_Txn)))</f>
        <v/>
      </c>
      <c r="M2350">
        <f>IF(OC_Pay=0,"",IF(INDEX('OneCause_Paste'!$A$2350:$AZ$2350,1,OC_Pay)="","",INDEX('OneCause_Paste'!$A$2350:$AZ$2350,1,OC_Pay)))</f>
        <v/>
      </c>
      <c r="N2350">
        <f>IF(I2350="","",IF(ISNUMBER(I2350),INT(I2350),IFERROR(INT(DATEVALUE(I2350)),IFERROR(INT(VALUE(I2350)),"bad"))))</f>
        <v/>
      </c>
      <c r="O2350">
        <f>IF(J2350="","",IF(ISNUMBER(J2350),ROUND(J2350,2),IFERROR(ROUND(VALUE(SUBSTITUTE(SUBSTITUTE(SUBSTITUTE(J2350,"$",""),",","")," ","")),2),"bad")))</f>
        <v/>
      </c>
      <c r="P2350">
        <f>IF(TRIM(K2350)="","",IFERROR(MATCH(LOWER(TRIM(K2350)),'Students'!$AH$2:$AH$701,0),IFERROR(MATCH(LOWER(TRIM(K2350)),'Students'!$AF$2:$AF$701,0),IFERROR(MATCH(LOWER(TRIM(K2350)),'Students'!$AG$2:$AG$701,0),""))))</f>
        <v/>
      </c>
      <c r="R2350">
        <f>IF(P2350="","",INDEX('Students'!$AD$2:$AD$701,P2350))</f>
        <v/>
      </c>
      <c r="S2350">
        <f>IF(H2350="OK",O2350,0)</f>
        <v/>
      </c>
      <c r="T2350">
        <f>IF(H2350="OK",N2350,"")</f>
        <v/>
      </c>
      <c r="U2350">
        <f>IF(OC_Donor=0,"",IF(INDEX('OneCause_Paste'!$A$2350:$AZ$2350,1,OC_Donor)="","",INDEX('OneCause_Paste'!$A$2350:$AZ$2350,1,OC_Donor)))</f>
        <v/>
      </c>
    </row>
    <row r="2351">
      <c r="A2351" s="62">
        <f>IF(H2351="","",IF(ISNUMBER(N2351),N2351,I2351))</f>
        <v/>
      </c>
      <c r="B2351">
        <f>IF(H2351="","",U2351)</f>
        <v/>
      </c>
      <c r="C2351">
        <f>IF(H2351="","",IF(P2351="",K2351,INDEX('Students'!$A$2:$A$701,P2351)))</f>
        <v/>
      </c>
      <c r="D2351">
        <f>IF(OR(H2351="",P2351=""),"",INDEX('Students'!$B$2:$B$701,P2351))</f>
        <v/>
      </c>
      <c r="E2351">
        <f>IF(OR(H2351="",P2351=""),"",INDEX('Students'!$C$2:$C$701,P2351))</f>
        <v/>
      </c>
      <c r="F2351" s="48">
        <f>IF(H2351="","",IF(ISNUMBER(O2351),O2351,J2351))</f>
        <v/>
      </c>
      <c r="G2351">
        <f>IF(H2351="","","OneCause")</f>
        <v/>
      </c>
      <c r="H2351">
        <f>IF(AND(I2351="",J2351="",K2351=""),"",IF(NOT(ISNUMBER(O2351)),"Bad amount",IF(O2351&lt;0,"Refund (not counted)",IF(O2351=0,"Zero amount",IF(NOT(ISNUMBER(N2351)),"Bad date",IF(P2351="","NAME NOT ON ROSTER",IF(L2351="","OK",IF(MATCH(L2351,$L$2:$L$3001,0)&lt;ROW()-1,"Duplicate (ignored)","OK"))))))))</f>
        <v/>
      </c>
      <c r="I2351">
        <f>IF(OC_Date=0,"",IF(INDEX('OneCause_Paste'!$A$2351:$AZ$2351,1,OC_Date)="","",INDEX('OneCause_Paste'!$A$2351:$AZ$2351,1,OC_Date)))</f>
        <v/>
      </c>
      <c r="J2351">
        <f>IF(OC_Amt=0,"",IF(INDEX('OneCause_Paste'!$A$2351:$AZ$2351,1,OC_Amt)="","",INDEX('OneCause_Paste'!$A$2351:$AZ$2351,1,OC_Amt)))</f>
        <v/>
      </c>
      <c r="K2351">
        <f>IF(OC_Name=0,"",IF(INDEX('OneCause_Paste'!$A$2351:$AZ$2351,1,OC_Name)="","",INDEX('OneCause_Paste'!$A$2351:$AZ$2351,1,OC_Name)))</f>
        <v/>
      </c>
      <c r="L2351">
        <f>IF(OC_Txn=0,"",IF(INDEX('OneCause_Paste'!$A$2351:$AZ$2351,1,OC_Txn)="","",INDEX('OneCause_Paste'!$A$2351:$AZ$2351,1,OC_Txn)))</f>
        <v/>
      </c>
      <c r="M2351">
        <f>IF(OC_Pay=0,"",IF(INDEX('OneCause_Paste'!$A$2351:$AZ$2351,1,OC_Pay)="","",INDEX('OneCause_Paste'!$A$2351:$AZ$2351,1,OC_Pay)))</f>
        <v/>
      </c>
      <c r="N2351">
        <f>IF(I2351="","",IF(ISNUMBER(I2351),INT(I2351),IFERROR(INT(DATEVALUE(I2351)),IFERROR(INT(VALUE(I2351)),"bad"))))</f>
        <v/>
      </c>
      <c r="O2351">
        <f>IF(J2351="","",IF(ISNUMBER(J2351),ROUND(J2351,2),IFERROR(ROUND(VALUE(SUBSTITUTE(SUBSTITUTE(SUBSTITUTE(J2351,"$",""),",","")," ","")),2),"bad")))</f>
        <v/>
      </c>
      <c r="P2351">
        <f>IF(TRIM(K2351)="","",IFERROR(MATCH(LOWER(TRIM(K2351)),'Students'!$AH$2:$AH$701,0),IFERROR(MATCH(LOWER(TRIM(K2351)),'Students'!$AF$2:$AF$701,0),IFERROR(MATCH(LOWER(TRIM(K2351)),'Students'!$AG$2:$AG$701,0),""))))</f>
        <v/>
      </c>
      <c r="R2351">
        <f>IF(P2351="","",INDEX('Students'!$AD$2:$AD$701,P2351))</f>
        <v/>
      </c>
      <c r="S2351">
        <f>IF(H2351="OK",O2351,0)</f>
        <v/>
      </c>
      <c r="T2351">
        <f>IF(H2351="OK",N2351,"")</f>
        <v/>
      </c>
      <c r="U2351">
        <f>IF(OC_Donor=0,"",IF(INDEX('OneCause_Paste'!$A$2351:$AZ$2351,1,OC_Donor)="","",INDEX('OneCause_Paste'!$A$2351:$AZ$2351,1,OC_Donor)))</f>
        <v/>
      </c>
    </row>
    <row r="2352">
      <c r="A2352" s="62">
        <f>IF(H2352="","",IF(ISNUMBER(N2352),N2352,I2352))</f>
        <v/>
      </c>
      <c r="B2352">
        <f>IF(H2352="","",U2352)</f>
        <v/>
      </c>
      <c r="C2352">
        <f>IF(H2352="","",IF(P2352="",K2352,INDEX('Students'!$A$2:$A$701,P2352)))</f>
        <v/>
      </c>
      <c r="D2352">
        <f>IF(OR(H2352="",P2352=""),"",INDEX('Students'!$B$2:$B$701,P2352))</f>
        <v/>
      </c>
      <c r="E2352">
        <f>IF(OR(H2352="",P2352=""),"",INDEX('Students'!$C$2:$C$701,P2352))</f>
        <v/>
      </c>
      <c r="F2352" s="48">
        <f>IF(H2352="","",IF(ISNUMBER(O2352),O2352,J2352))</f>
        <v/>
      </c>
      <c r="G2352">
        <f>IF(H2352="","","OneCause")</f>
        <v/>
      </c>
      <c r="H2352">
        <f>IF(AND(I2352="",J2352="",K2352=""),"",IF(NOT(ISNUMBER(O2352)),"Bad amount",IF(O2352&lt;0,"Refund (not counted)",IF(O2352=0,"Zero amount",IF(NOT(ISNUMBER(N2352)),"Bad date",IF(P2352="","NAME NOT ON ROSTER",IF(L2352="","OK",IF(MATCH(L2352,$L$2:$L$3001,0)&lt;ROW()-1,"Duplicate (ignored)","OK"))))))))</f>
        <v/>
      </c>
      <c r="I2352">
        <f>IF(OC_Date=0,"",IF(INDEX('OneCause_Paste'!$A$2352:$AZ$2352,1,OC_Date)="","",INDEX('OneCause_Paste'!$A$2352:$AZ$2352,1,OC_Date)))</f>
        <v/>
      </c>
      <c r="J2352">
        <f>IF(OC_Amt=0,"",IF(INDEX('OneCause_Paste'!$A$2352:$AZ$2352,1,OC_Amt)="","",INDEX('OneCause_Paste'!$A$2352:$AZ$2352,1,OC_Amt)))</f>
        <v/>
      </c>
      <c r="K2352">
        <f>IF(OC_Name=0,"",IF(INDEX('OneCause_Paste'!$A$2352:$AZ$2352,1,OC_Name)="","",INDEX('OneCause_Paste'!$A$2352:$AZ$2352,1,OC_Name)))</f>
        <v/>
      </c>
      <c r="L2352">
        <f>IF(OC_Txn=0,"",IF(INDEX('OneCause_Paste'!$A$2352:$AZ$2352,1,OC_Txn)="","",INDEX('OneCause_Paste'!$A$2352:$AZ$2352,1,OC_Txn)))</f>
        <v/>
      </c>
      <c r="M2352">
        <f>IF(OC_Pay=0,"",IF(INDEX('OneCause_Paste'!$A$2352:$AZ$2352,1,OC_Pay)="","",INDEX('OneCause_Paste'!$A$2352:$AZ$2352,1,OC_Pay)))</f>
        <v/>
      </c>
      <c r="N2352">
        <f>IF(I2352="","",IF(ISNUMBER(I2352),INT(I2352),IFERROR(INT(DATEVALUE(I2352)),IFERROR(INT(VALUE(I2352)),"bad"))))</f>
        <v/>
      </c>
      <c r="O2352">
        <f>IF(J2352="","",IF(ISNUMBER(J2352),ROUND(J2352,2),IFERROR(ROUND(VALUE(SUBSTITUTE(SUBSTITUTE(SUBSTITUTE(J2352,"$",""),",","")," ","")),2),"bad")))</f>
        <v/>
      </c>
      <c r="P2352">
        <f>IF(TRIM(K2352)="","",IFERROR(MATCH(LOWER(TRIM(K2352)),'Students'!$AH$2:$AH$701,0),IFERROR(MATCH(LOWER(TRIM(K2352)),'Students'!$AF$2:$AF$701,0),IFERROR(MATCH(LOWER(TRIM(K2352)),'Students'!$AG$2:$AG$701,0),""))))</f>
        <v/>
      </c>
      <c r="R2352">
        <f>IF(P2352="","",INDEX('Students'!$AD$2:$AD$701,P2352))</f>
        <v/>
      </c>
      <c r="S2352">
        <f>IF(H2352="OK",O2352,0)</f>
        <v/>
      </c>
      <c r="T2352">
        <f>IF(H2352="OK",N2352,"")</f>
        <v/>
      </c>
      <c r="U2352">
        <f>IF(OC_Donor=0,"",IF(INDEX('OneCause_Paste'!$A$2352:$AZ$2352,1,OC_Donor)="","",INDEX('OneCause_Paste'!$A$2352:$AZ$2352,1,OC_Donor)))</f>
        <v/>
      </c>
    </row>
    <row r="2353">
      <c r="A2353" s="62">
        <f>IF(H2353="","",IF(ISNUMBER(N2353),N2353,I2353))</f>
        <v/>
      </c>
      <c r="B2353">
        <f>IF(H2353="","",U2353)</f>
        <v/>
      </c>
      <c r="C2353">
        <f>IF(H2353="","",IF(P2353="",K2353,INDEX('Students'!$A$2:$A$701,P2353)))</f>
        <v/>
      </c>
      <c r="D2353">
        <f>IF(OR(H2353="",P2353=""),"",INDEX('Students'!$B$2:$B$701,P2353))</f>
        <v/>
      </c>
      <c r="E2353">
        <f>IF(OR(H2353="",P2353=""),"",INDEX('Students'!$C$2:$C$701,P2353))</f>
        <v/>
      </c>
      <c r="F2353" s="48">
        <f>IF(H2353="","",IF(ISNUMBER(O2353),O2353,J2353))</f>
        <v/>
      </c>
      <c r="G2353">
        <f>IF(H2353="","","OneCause")</f>
        <v/>
      </c>
      <c r="H2353">
        <f>IF(AND(I2353="",J2353="",K2353=""),"",IF(NOT(ISNUMBER(O2353)),"Bad amount",IF(O2353&lt;0,"Refund (not counted)",IF(O2353=0,"Zero amount",IF(NOT(ISNUMBER(N2353)),"Bad date",IF(P2353="","NAME NOT ON ROSTER",IF(L2353="","OK",IF(MATCH(L2353,$L$2:$L$3001,0)&lt;ROW()-1,"Duplicate (ignored)","OK"))))))))</f>
        <v/>
      </c>
      <c r="I2353">
        <f>IF(OC_Date=0,"",IF(INDEX('OneCause_Paste'!$A$2353:$AZ$2353,1,OC_Date)="","",INDEX('OneCause_Paste'!$A$2353:$AZ$2353,1,OC_Date)))</f>
        <v/>
      </c>
      <c r="J2353">
        <f>IF(OC_Amt=0,"",IF(INDEX('OneCause_Paste'!$A$2353:$AZ$2353,1,OC_Amt)="","",INDEX('OneCause_Paste'!$A$2353:$AZ$2353,1,OC_Amt)))</f>
        <v/>
      </c>
      <c r="K2353">
        <f>IF(OC_Name=0,"",IF(INDEX('OneCause_Paste'!$A$2353:$AZ$2353,1,OC_Name)="","",INDEX('OneCause_Paste'!$A$2353:$AZ$2353,1,OC_Name)))</f>
        <v/>
      </c>
      <c r="L2353">
        <f>IF(OC_Txn=0,"",IF(INDEX('OneCause_Paste'!$A$2353:$AZ$2353,1,OC_Txn)="","",INDEX('OneCause_Paste'!$A$2353:$AZ$2353,1,OC_Txn)))</f>
        <v/>
      </c>
      <c r="M2353">
        <f>IF(OC_Pay=0,"",IF(INDEX('OneCause_Paste'!$A$2353:$AZ$2353,1,OC_Pay)="","",INDEX('OneCause_Paste'!$A$2353:$AZ$2353,1,OC_Pay)))</f>
        <v/>
      </c>
      <c r="N2353">
        <f>IF(I2353="","",IF(ISNUMBER(I2353),INT(I2353),IFERROR(INT(DATEVALUE(I2353)),IFERROR(INT(VALUE(I2353)),"bad"))))</f>
        <v/>
      </c>
      <c r="O2353">
        <f>IF(J2353="","",IF(ISNUMBER(J2353),ROUND(J2353,2),IFERROR(ROUND(VALUE(SUBSTITUTE(SUBSTITUTE(SUBSTITUTE(J2353,"$",""),",","")," ","")),2),"bad")))</f>
        <v/>
      </c>
      <c r="P2353">
        <f>IF(TRIM(K2353)="","",IFERROR(MATCH(LOWER(TRIM(K2353)),'Students'!$AH$2:$AH$701,0),IFERROR(MATCH(LOWER(TRIM(K2353)),'Students'!$AF$2:$AF$701,0),IFERROR(MATCH(LOWER(TRIM(K2353)),'Students'!$AG$2:$AG$701,0),""))))</f>
        <v/>
      </c>
      <c r="R2353">
        <f>IF(P2353="","",INDEX('Students'!$AD$2:$AD$701,P2353))</f>
        <v/>
      </c>
      <c r="S2353">
        <f>IF(H2353="OK",O2353,0)</f>
        <v/>
      </c>
      <c r="T2353">
        <f>IF(H2353="OK",N2353,"")</f>
        <v/>
      </c>
      <c r="U2353">
        <f>IF(OC_Donor=0,"",IF(INDEX('OneCause_Paste'!$A$2353:$AZ$2353,1,OC_Donor)="","",INDEX('OneCause_Paste'!$A$2353:$AZ$2353,1,OC_Donor)))</f>
        <v/>
      </c>
    </row>
    <row r="2354">
      <c r="A2354" s="62">
        <f>IF(H2354="","",IF(ISNUMBER(N2354),N2354,I2354))</f>
        <v/>
      </c>
      <c r="B2354">
        <f>IF(H2354="","",U2354)</f>
        <v/>
      </c>
      <c r="C2354">
        <f>IF(H2354="","",IF(P2354="",K2354,INDEX('Students'!$A$2:$A$701,P2354)))</f>
        <v/>
      </c>
      <c r="D2354">
        <f>IF(OR(H2354="",P2354=""),"",INDEX('Students'!$B$2:$B$701,P2354))</f>
        <v/>
      </c>
      <c r="E2354">
        <f>IF(OR(H2354="",P2354=""),"",INDEX('Students'!$C$2:$C$701,P2354))</f>
        <v/>
      </c>
      <c r="F2354" s="48">
        <f>IF(H2354="","",IF(ISNUMBER(O2354),O2354,J2354))</f>
        <v/>
      </c>
      <c r="G2354">
        <f>IF(H2354="","","OneCause")</f>
        <v/>
      </c>
      <c r="H2354">
        <f>IF(AND(I2354="",J2354="",K2354=""),"",IF(NOT(ISNUMBER(O2354)),"Bad amount",IF(O2354&lt;0,"Refund (not counted)",IF(O2354=0,"Zero amount",IF(NOT(ISNUMBER(N2354)),"Bad date",IF(P2354="","NAME NOT ON ROSTER",IF(L2354="","OK",IF(MATCH(L2354,$L$2:$L$3001,0)&lt;ROW()-1,"Duplicate (ignored)","OK"))))))))</f>
        <v/>
      </c>
      <c r="I2354">
        <f>IF(OC_Date=0,"",IF(INDEX('OneCause_Paste'!$A$2354:$AZ$2354,1,OC_Date)="","",INDEX('OneCause_Paste'!$A$2354:$AZ$2354,1,OC_Date)))</f>
        <v/>
      </c>
      <c r="J2354">
        <f>IF(OC_Amt=0,"",IF(INDEX('OneCause_Paste'!$A$2354:$AZ$2354,1,OC_Amt)="","",INDEX('OneCause_Paste'!$A$2354:$AZ$2354,1,OC_Amt)))</f>
        <v/>
      </c>
      <c r="K2354">
        <f>IF(OC_Name=0,"",IF(INDEX('OneCause_Paste'!$A$2354:$AZ$2354,1,OC_Name)="","",INDEX('OneCause_Paste'!$A$2354:$AZ$2354,1,OC_Name)))</f>
        <v/>
      </c>
      <c r="L2354">
        <f>IF(OC_Txn=0,"",IF(INDEX('OneCause_Paste'!$A$2354:$AZ$2354,1,OC_Txn)="","",INDEX('OneCause_Paste'!$A$2354:$AZ$2354,1,OC_Txn)))</f>
        <v/>
      </c>
      <c r="M2354">
        <f>IF(OC_Pay=0,"",IF(INDEX('OneCause_Paste'!$A$2354:$AZ$2354,1,OC_Pay)="","",INDEX('OneCause_Paste'!$A$2354:$AZ$2354,1,OC_Pay)))</f>
        <v/>
      </c>
      <c r="N2354">
        <f>IF(I2354="","",IF(ISNUMBER(I2354),INT(I2354),IFERROR(INT(DATEVALUE(I2354)),IFERROR(INT(VALUE(I2354)),"bad"))))</f>
        <v/>
      </c>
      <c r="O2354">
        <f>IF(J2354="","",IF(ISNUMBER(J2354),ROUND(J2354,2),IFERROR(ROUND(VALUE(SUBSTITUTE(SUBSTITUTE(SUBSTITUTE(J2354,"$",""),",","")," ","")),2),"bad")))</f>
        <v/>
      </c>
      <c r="P2354">
        <f>IF(TRIM(K2354)="","",IFERROR(MATCH(LOWER(TRIM(K2354)),'Students'!$AH$2:$AH$701,0),IFERROR(MATCH(LOWER(TRIM(K2354)),'Students'!$AF$2:$AF$701,0),IFERROR(MATCH(LOWER(TRIM(K2354)),'Students'!$AG$2:$AG$701,0),""))))</f>
        <v/>
      </c>
      <c r="R2354">
        <f>IF(P2354="","",INDEX('Students'!$AD$2:$AD$701,P2354))</f>
        <v/>
      </c>
      <c r="S2354">
        <f>IF(H2354="OK",O2354,0)</f>
        <v/>
      </c>
      <c r="T2354">
        <f>IF(H2354="OK",N2354,"")</f>
        <v/>
      </c>
      <c r="U2354">
        <f>IF(OC_Donor=0,"",IF(INDEX('OneCause_Paste'!$A$2354:$AZ$2354,1,OC_Donor)="","",INDEX('OneCause_Paste'!$A$2354:$AZ$2354,1,OC_Donor)))</f>
        <v/>
      </c>
    </row>
    <row r="2355">
      <c r="A2355" s="62">
        <f>IF(H2355="","",IF(ISNUMBER(N2355),N2355,I2355))</f>
        <v/>
      </c>
      <c r="B2355">
        <f>IF(H2355="","",U2355)</f>
        <v/>
      </c>
      <c r="C2355">
        <f>IF(H2355="","",IF(P2355="",K2355,INDEX('Students'!$A$2:$A$701,P2355)))</f>
        <v/>
      </c>
      <c r="D2355">
        <f>IF(OR(H2355="",P2355=""),"",INDEX('Students'!$B$2:$B$701,P2355))</f>
        <v/>
      </c>
      <c r="E2355">
        <f>IF(OR(H2355="",P2355=""),"",INDEX('Students'!$C$2:$C$701,P2355))</f>
        <v/>
      </c>
      <c r="F2355" s="48">
        <f>IF(H2355="","",IF(ISNUMBER(O2355),O2355,J2355))</f>
        <v/>
      </c>
      <c r="G2355">
        <f>IF(H2355="","","OneCause")</f>
        <v/>
      </c>
      <c r="H2355">
        <f>IF(AND(I2355="",J2355="",K2355=""),"",IF(NOT(ISNUMBER(O2355)),"Bad amount",IF(O2355&lt;0,"Refund (not counted)",IF(O2355=0,"Zero amount",IF(NOT(ISNUMBER(N2355)),"Bad date",IF(P2355="","NAME NOT ON ROSTER",IF(L2355="","OK",IF(MATCH(L2355,$L$2:$L$3001,0)&lt;ROW()-1,"Duplicate (ignored)","OK"))))))))</f>
        <v/>
      </c>
      <c r="I2355">
        <f>IF(OC_Date=0,"",IF(INDEX('OneCause_Paste'!$A$2355:$AZ$2355,1,OC_Date)="","",INDEX('OneCause_Paste'!$A$2355:$AZ$2355,1,OC_Date)))</f>
        <v/>
      </c>
      <c r="J2355">
        <f>IF(OC_Amt=0,"",IF(INDEX('OneCause_Paste'!$A$2355:$AZ$2355,1,OC_Amt)="","",INDEX('OneCause_Paste'!$A$2355:$AZ$2355,1,OC_Amt)))</f>
        <v/>
      </c>
      <c r="K2355">
        <f>IF(OC_Name=0,"",IF(INDEX('OneCause_Paste'!$A$2355:$AZ$2355,1,OC_Name)="","",INDEX('OneCause_Paste'!$A$2355:$AZ$2355,1,OC_Name)))</f>
        <v/>
      </c>
      <c r="L2355">
        <f>IF(OC_Txn=0,"",IF(INDEX('OneCause_Paste'!$A$2355:$AZ$2355,1,OC_Txn)="","",INDEX('OneCause_Paste'!$A$2355:$AZ$2355,1,OC_Txn)))</f>
        <v/>
      </c>
      <c r="M2355">
        <f>IF(OC_Pay=0,"",IF(INDEX('OneCause_Paste'!$A$2355:$AZ$2355,1,OC_Pay)="","",INDEX('OneCause_Paste'!$A$2355:$AZ$2355,1,OC_Pay)))</f>
        <v/>
      </c>
      <c r="N2355">
        <f>IF(I2355="","",IF(ISNUMBER(I2355),INT(I2355),IFERROR(INT(DATEVALUE(I2355)),IFERROR(INT(VALUE(I2355)),"bad"))))</f>
        <v/>
      </c>
      <c r="O2355">
        <f>IF(J2355="","",IF(ISNUMBER(J2355),ROUND(J2355,2),IFERROR(ROUND(VALUE(SUBSTITUTE(SUBSTITUTE(SUBSTITUTE(J2355,"$",""),",","")," ","")),2),"bad")))</f>
        <v/>
      </c>
      <c r="P2355">
        <f>IF(TRIM(K2355)="","",IFERROR(MATCH(LOWER(TRIM(K2355)),'Students'!$AH$2:$AH$701,0),IFERROR(MATCH(LOWER(TRIM(K2355)),'Students'!$AF$2:$AF$701,0),IFERROR(MATCH(LOWER(TRIM(K2355)),'Students'!$AG$2:$AG$701,0),""))))</f>
        <v/>
      </c>
      <c r="R2355">
        <f>IF(P2355="","",INDEX('Students'!$AD$2:$AD$701,P2355))</f>
        <v/>
      </c>
      <c r="S2355">
        <f>IF(H2355="OK",O2355,0)</f>
        <v/>
      </c>
      <c r="T2355">
        <f>IF(H2355="OK",N2355,"")</f>
        <v/>
      </c>
      <c r="U2355">
        <f>IF(OC_Donor=0,"",IF(INDEX('OneCause_Paste'!$A$2355:$AZ$2355,1,OC_Donor)="","",INDEX('OneCause_Paste'!$A$2355:$AZ$2355,1,OC_Donor)))</f>
        <v/>
      </c>
    </row>
    <row r="2356">
      <c r="A2356" s="62">
        <f>IF(H2356="","",IF(ISNUMBER(N2356),N2356,I2356))</f>
        <v/>
      </c>
      <c r="B2356">
        <f>IF(H2356="","",U2356)</f>
        <v/>
      </c>
      <c r="C2356">
        <f>IF(H2356="","",IF(P2356="",K2356,INDEX('Students'!$A$2:$A$701,P2356)))</f>
        <v/>
      </c>
      <c r="D2356">
        <f>IF(OR(H2356="",P2356=""),"",INDEX('Students'!$B$2:$B$701,P2356))</f>
        <v/>
      </c>
      <c r="E2356">
        <f>IF(OR(H2356="",P2356=""),"",INDEX('Students'!$C$2:$C$701,P2356))</f>
        <v/>
      </c>
      <c r="F2356" s="48">
        <f>IF(H2356="","",IF(ISNUMBER(O2356),O2356,J2356))</f>
        <v/>
      </c>
      <c r="G2356">
        <f>IF(H2356="","","OneCause")</f>
        <v/>
      </c>
      <c r="H2356">
        <f>IF(AND(I2356="",J2356="",K2356=""),"",IF(NOT(ISNUMBER(O2356)),"Bad amount",IF(O2356&lt;0,"Refund (not counted)",IF(O2356=0,"Zero amount",IF(NOT(ISNUMBER(N2356)),"Bad date",IF(P2356="","NAME NOT ON ROSTER",IF(L2356="","OK",IF(MATCH(L2356,$L$2:$L$3001,0)&lt;ROW()-1,"Duplicate (ignored)","OK"))))))))</f>
        <v/>
      </c>
      <c r="I2356">
        <f>IF(OC_Date=0,"",IF(INDEX('OneCause_Paste'!$A$2356:$AZ$2356,1,OC_Date)="","",INDEX('OneCause_Paste'!$A$2356:$AZ$2356,1,OC_Date)))</f>
        <v/>
      </c>
      <c r="J2356">
        <f>IF(OC_Amt=0,"",IF(INDEX('OneCause_Paste'!$A$2356:$AZ$2356,1,OC_Amt)="","",INDEX('OneCause_Paste'!$A$2356:$AZ$2356,1,OC_Amt)))</f>
        <v/>
      </c>
      <c r="K2356">
        <f>IF(OC_Name=0,"",IF(INDEX('OneCause_Paste'!$A$2356:$AZ$2356,1,OC_Name)="","",INDEX('OneCause_Paste'!$A$2356:$AZ$2356,1,OC_Name)))</f>
        <v/>
      </c>
      <c r="L2356">
        <f>IF(OC_Txn=0,"",IF(INDEX('OneCause_Paste'!$A$2356:$AZ$2356,1,OC_Txn)="","",INDEX('OneCause_Paste'!$A$2356:$AZ$2356,1,OC_Txn)))</f>
        <v/>
      </c>
      <c r="M2356">
        <f>IF(OC_Pay=0,"",IF(INDEX('OneCause_Paste'!$A$2356:$AZ$2356,1,OC_Pay)="","",INDEX('OneCause_Paste'!$A$2356:$AZ$2356,1,OC_Pay)))</f>
        <v/>
      </c>
      <c r="N2356">
        <f>IF(I2356="","",IF(ISNUMBER(I2356),INT(I2356),IFERROR(INT(DATEVALUE(I2356)),IFERROR(INT(VALUE(I2356)),"bad"))))</f>
        <v/>
      </c>
      <c r="O2356">
        <f>IF(J2356="","",IF(ISNUMBER(J2356),ROUND(J2356,2),IFERROR(ROUND(VALUE(SUBSTITUTE(SUBSTITUTE(SUBSTITUTE(J2356,"$",""),",","")," ","")),2),"bad")))</f>
        <v/>
      </c>
      <c r="P2356">
        <f>IF(TRIM(K2356)="","",IFERROR(MATCH(LOWER(TRIM(K2356)),'Students'!$AH$2:$AH$701,0),IFERROR(MATCH(LOWER(TRIM(K2356)),'Students'!$AF$2:$AF$701,0),IFERROR(MATCH(LOWER(TRIM(K2356)),'Students'!$AG$2:$AG$701,0),""))))</f>
        <v/>
      </c>
      <c r="R2356">
        <f>IF(P2356="","",INDEX('Students'!$AD$2:$AD$701,P2356))</f>
        <v/>
      </c>
      <c r="S2356">
        <f>IF(H2356="OK",O2356,0)</f>
        <v/>
      </c>
      <c r="T2356">
        <f>IF(H2356="OK",N2356,"")</f>
        <v/>
      </c>
      <c r="U2356">
        <f>IF(OC_Donor=0,"",IF(INDEX('OneCause_Paste'!$A$2356:$AZ$2356,1,OC_Donor)="","",INDEX('OneCause_Paste'!$A$2356:$AZ$2356,1,OC_Donor)))</f>
        <v/>
      </c>
    </row>
    <row r="2357">
      <c r="A2357" s="62">
        <f>IF(H2357="","",IF(ISNUMBER(N2357),N2357,I2357))</f>
        <v/>
      </c>
      <c r="B2357">
        <f>IF(H2357="","",U2357)</f>
        <v/>
      </c>
      <c r="C2357">
        <f>IF(H2357="","",IF(P2357="",K2357,INDEX('Students'!$A$2:$A$701,P2357)))</f>
        <v/>
      </c>
      <c r="D2357">
        <f>IF(OR(H2357="",P2357=""),"",INDEX('Students'!$B$2:$B$701,P2357))</f>
        <v/>
      </c>
      <c r="E2357">
        <f>IF(OR(H2357="",P2357=""),"",INDEX('Students'!$C$2:$C$701,P2357))</f>
        <v/>
      </c>
      <c r="F2357" s="48">
        <f>IF(H2357="","",IF(ISNUMBER(O2357),O2357,J2357))</f>
        <v/>
      </c>
      <c r="G2357">
        <f>IF(H2357="","","OneCause")</f>
        <v/>
      </c>
      <c r="H2357">
        <f>IF(AND(I2357="",J2357="",K2357=""),"",IF(NOT(ISNUMBER(O2357)),"Bad amount",IF(O2357&lt;0,"Refund (not counted)",IF(O2357=0,"Zero amount",IF(NOT(ISNUMBER(N2357)),"Bad date",IF(P2357="","NAME NOT ON ROSTER",IF(L2357="","OK",IF(MATCH(L2357,$L$2:$L$3001,0)&lt;ROW()-1,"Duplicate (ignored)","OK"))))))))</f>
        <v/>
      </c>
      <c r="I2357">
        <f>IF(OC_Date=0,"",IF(INDEX('OneCause_Paste'!$A$2357:$AZ$2357,1,OC_Date)="","",INDEX('OneCause_Paste'!$A$2357:$AZ$2357,1,OC_Date)))</f>
        <v/>
      </c>
      <c r="J2357">
        <f>IF(OC_Amt=0,"",IF(INDEX('OneCause_Paste'!$A$2357:$AZ$2357,1,OC_Amt)="","",INDEX('OneCause_Paste'!$A$2357:$AZ$2357,1,OC_Amt)))</f>
        <v/>
      </c>
      <c r="K2357">
        <f>IF(OC_Name=0,"",IF(INDEX('OneCause_Paste'!$A$2357:$AZ$2357,1,OC_Name)="","",INDEX('OneCause_Paste'!$A$2357:$AZ$2357,1,OC_Name)))</f>
        <v/>
      </c>
      <c r="L2357">
        <f>IF(OC_Txn=0,"",IF(INDEX('OneCause_Paste'!$A$2357:$AZ$2357,1,OC_Txn)="","",INDEX('OneCause_Paste'!$A$2357:$AZ$2357,1,OC_Txn)))</f>
        <v/>
      </c>
      <c r="M2357">
        <f>IF(OC_Pay=0,"",IF(INDEX('OneCause_Paste'!$A$2357:$AZ$2357,1,OC_Pay)="","",INDEX('OneCause_Paste'!$A$2357:$AZ$2357,1,OC_Pay)))</f>
        <v/>
      </c>
      <c r="N2357">
        <f>IF(I2357="","",IF(ISNUMBER(I2357),INT(I2357),IFERROR(INT(DATEVALUE(I2357)),IFERROR(INT(VALUE(I2357)),"bad"))))</f>
        <v/>
      </c>
      <c r="O2357">
        <f>IF(J2357="","",IF(ISNUMBER(J2357),ROUND(J2357,2),IFERROR(ROUND(VALUE(SUBSTITUTE(SUBSTITUTE(SUBSTITUTE(J2357,"$",""),",","")," ","")),2),"bad")))</f>
        <v/>
      </c>
      <c r="P2357">
        <f>IF(TRIM(K2357)="","",IFERROR(MATCH(LOWER(TRIM(K2357)),'Students'!$AH$2:$AH$701,0),IFERROR(MATCH(LOWER(TRIM(K2357)),'Students'!$AF$2:$AF$701,0),IFERROR(MATCH(LOWER(TRIM(K2357)),'Students'!$AG$2:$AG$701,0),""))))</f>
        <v/>
      </c>
      <c r="R2357">
        <f>IF(P2357="","",INDEX('Students'!$AD$2:$AD$701,P2357))</f>
        <v/>
      </c>
      <c r="S2357">
        <f>IF(H2357="OK",O2357,0)</f>
        <v/>
      </c>
      <c r="T2357">
        <f>IF(H2357="OK",N2357,"")</f>
        <v/>
      </c>
      <c r="U2357">
        <f>IF(OC_Donor=0,"",IF(INDEX('OneCause_Paste'!$A$2357:$AZ$2357,1,OC_Donor)="","",INDEX('OneCause_Paste'!$A$2357:$AZ$2357,1,OC_Donor)))</f>
        <v/>
      </c>
    </row>
    <row r="2358">
      <c r="A2358" s="62">
        <f>IF(H2358="","",IF(ISNUMBER(N2358),N2358,I2358))</f>
        <v/>
      </c>
      <c r="B2358">
        <f>IF(H2358="","",U2358)</f>
        <v/>
      </c>
      <c r="C2358">
        <f>IF(H2358="","",IF(P2358="",K2358,INDEX('Students'!$A$2:$A$701,P2358)))</f>
        <v/>
      </c>
      <c r="D2358">
        <f>IF(OR(H2358="",P2358=""),"",INDEX('Students'!$B$2:$B$701,P2358))</f>
        <v/>
      </c>
      <c r="E2358">
        <f>IF(OR(H2358="",P2358=""),"",INDEX('Students'!$C$2:$C$701,P2358))</f>
        <v/>
      </c>
      <c r="F2358" s="48">
        <f>IF(H2358="","",IF(ISNUMBER(O2358),O2358,J2358))</f>
        <v/>
      </c>
      <c r="G2358">
        <f>IF(H2358="","","OneCause")</f>
        <v/>
      </c>
      <c r="H2358">
        <f>IF(AND(I2358="",J2358="",K2358=""),"",IF(NOT(ISNUMBER(O2358)),"Bad amount",IF(O2358&lt;0,"Refund (not counted)",IF(O2358=0,"Zero amount",IF(NOT(ISNUMBER(N2358)),"Bad date",IF(P2358="","NAME NOT ON ROSTER",IF(L2358="","OK",IF(MATCH(L2358,$L$2:$L$3001,0)&lt;ROW()-1,"Duplicate (ignored)","OK"))))))))</f>
        <v/>
      </c>
      <c r="I2358">
        <f>IF(OC_Date=0,"",IF(INDEX('OneCause_Paste'!$A$2358:$AZ$2358,1,OC_Date)="","",INDEX('OneCause_Paste'!$A$2358:$AZ$2358,1,OC_Date)))</f>
        <v/>
      </c>
      <c r="J2358">
        <f>IF(OC_Amt=0,"",IF(INDEX('OneCause_Paste'!$A$2358:$AZ$2358,1,OC_Amt)="","",INDEX('OneCause_Paste'!$A$2358:$AZ$2358,1,OC_Amt)))</f>
        <v/>
      </c>
      <c r="K2358">
        <f>IF(OC_Name=0,"",IF(INDEX('OneCause_Paste'!$A$2358:$AZ$2358,1,OC_Name)="","",INDEX('OneCause_Paste'!$A$2358:$AZ$2358,1,OC_Name)))</f>
        <v/>
      </c>
      <c r="L2358">
        <f>IF(OC_Txn=0,"",IF(INDEX('OneCause_Paste'!$A$2358:$AZ$2358,1,OC_Txn)="","",INDEX('OneCause_Paste'!$A$2358:$AZ$2358,1,OC_Txn)))</f>
        <v/>
      </c>
      <c r="M2358">
        <f>IF(OC_Pay=0,"",IF(INDEX('OneCause_Paste'!$A$2358:$AZ$2358,1,OC_Pay)="","",INDEX('OneCause_Paste'!$A$2358:$AZ$2358,1,OC_Pay)))</f>
        <v/>
      </c>
      <c r="N2358">
        <f>IF(I2358="","",IF(ISNUMBER(I2358),INT(I2358),IFERROR(INT(DATEVALUE(I2358)),IFERROR(INT(VALUE(I2358)),"bad"))))</f>
        <v/>
      </c>
      <c r="O2358">
        <f>IF(J2358="","",IF(ISNUMBER(J2358),ROUND(J2358,2),IFERROR(ROUND(VALUE(SUBSTITUTE(SUBSTITUTE(SUBSTITUTE(J2358,"$",""),",","")," ","")),2),"bad")))</f>
        <v/>
      </c>
      <c r="P2358">
        <f>IF(TRIM(K2358)="","",IFERROR(MATCH(LOWER(TRIM(K2358)),'Students'!$AH$2:$AH$701,0),IFERROR(MATCH(LOWER(TRIM(K2358)),'Students'!$AF$2:$AF$701,0),IFERROR(MATCH(LOWER(TRIM(K2358)),'Students'!$AG$2:$AG$701,0),""))))</f>
        <v/>
      </c>
      <c r="R2358">
        <f>IF(P2358="","",INDEX('Students'!$AD$2:$AD$701,P2358))</f>
        <v/>
      </c>
      <c r="S2358">
        <f>IF(H2358="OK",O2358,0)</f>
        <v/>
      </c>
      <c r="T2358">
        <f>IF(H2358="OK",N2358,"")</f>
        <v/>
      </c>
      <c r="U2358">
        <f>IF(OC_Donor=0,"",IF(INDEX('OneCause_Paste'!$A$2358:$AZ$2358,1,OC_Donor)="","",INDEX('OneCause_Paste'!$A$2358:$AZ$2358,1,OC_Donor)))</f>
        <v/>
      </c>
    </row>
    <row r="2359">
      <c r="A2359" s="62">
        <f>IF(H2359="","",IF(ISNUMBER(N2359),N2359,I2359))</f>
        <v/>
      </c>
      <c r="B2359">
        <f>IF(H2359="","",U2359)</f>
        <v/>
      </c>
      <c r="C2359">
        <f>IF(H2359="","",IF(P2359="",K2359,INDEX('Students'!$A$2:$A$701,P2359)))</f>
        <v/>
      </c>
      <c r="D2359">
        <f>IF(OR(H2359="",P2359=""),"",INDEX('Students'!$B$2:$B$701,P2359))</f>
        <v/>
      </c>
      <c r="E2359">
        <f>IF(OR(H2359="",P2359=""),"",INDEX('Students'!$C$2:$C$701,P2359))</f>
        <v/>
      </c>
      <c r="F2359" s="48">
        <f>IF(H2359="","",IF(ISNUMBER(O2359),O2359,J2359))</f>
        <v/>
      </c>
      <c r="G2359">
        <f>IF(H2359="","","OneCause")</f>
        <v/>
      </c>
      <c r="H2359">
        <f>IF(AND(I2359="",J2359="",K2359=""),"",IF(NOT(ISNUMBER(O2359)),"Bad amount",IF(O2359&lt;0,"Refund (not counted)",IF(O2359=0,"Zero amount",IF(NOT(ISNUMBER(N2359)),"Bad date",IF(P2359="","NAME NOT ON ROSTER",IF(L2359="","OK",IF(MATCH(L2359,$L$2:$L$3001,0)&lt;ROW()-1,"Duplicate (ignored)","OK"))))))))</f>
        <v/>
      </c>
      <c r="I2359">
        <f>IF(OC_Date=0,"",IF(INDEX('OneCause_Paste'!$A$2359:$AZ$2359,1,OC_Date)="","",INDEX('OneCause_Paste'!$A$2359:$AZ$2359,1,OC_Date)))</f>
        <v/>
      </c>
      <c r="J2359">
        <f>IF(OC_Amt=0,"",IF(INDEX('OneCause_Paste'!$A$2359:$AZ$2359,1,OC_Amt)="","",INDEX('OneCause_Paste'!$A$2359:$AZ$2359,1,OC_Amt)))</f>
        <v/>
      </c>
      <c r="K2359">
        <f>IF(OC_Name=0,"",IF(INDEX('OneCause_Paste'!$A$2359:$AZ$2359,1,OC_Name)="","",INDEX('OneCause_Paste'!$A$2359:$AZ$2359,1,OC_Name)))</f>
        <v/>
      </c>
      <c r="L2359">
        <f>IF(OC_Txn=0,"",IF(INDEX('OneCause_Paste'!$A$2359:$AZ$2359,1,OC_Txn)="","",INDEX('OneCause_Paste'!$A$2359:$AZ$2359,1,OC_Txn)))</f>
        <v/>
      </c>
      <c r="M2359">
        <f>IF(OC_Pay=0,"",IF(INDEX('OneCause_Paste'!$A$2359:$AZ$2359,1,OC_Pay)="","",INDEX('OneCause_Paste'!$A$2359:$AZ$2359,1,OC_Pay)))</f>
        <v/>
      </c>
      <c r="N2359">
        <f>IF(I2359="","",IF(ISNUMBER(I2359),INT(I2359),IFERROR(INT(DATEVALUE(I2359)),IFERROR(INT(VALUE(I2359)),"bad"))))</f>
        <v/>
      </c>
      <c r="O2359">
        <f>IF(J2359="","",IF(ISNUMBER(J2359),ROUND(J2359,2),IFERROR(ROUND(VALUE(SUBSTITUTE(SUBSTITUTE(SUBSTITUTE(J2359,"$",""),",","")," ","")),2),"bad")))</f>
        <v/>
      </c>
      <c r="P2359">
        <f>IF(TRIM(K2359)="","",IFERROR(MATCH(LOWER(TRIM(K2359)),'Students'!$AH$2:$AH$701,0),IFERROR(MATCH(LOWER(TRIM(K2359)),'Students'!$AF$2:$AF$701,0),IFERROR(MATCH(LOWER(TRIM(K2359)),'Students'!$AG$2:$AG$701,0),""))))</f>
        <v/>
      </c>
      <c r="R2359">
        <f>IF(P2359="","",INDEX('Students'!$AD$2:$AD$701,P2359))</f>
        <v/>
      </c>
      <c r="S2359">
        <f>IF(H2359="OK",O2359,0)</f>
        <v/>
      </c>
      <c r="T2359">
        <f>IF(H2359="OK",N2359,"")</f>
        <v/>
      </c>
      <c r="U2359">
        <f>IF(OC_Donor=0,"",IF(INDEX('OneCause_Paste'!$A$2359:$AZ$2359,1,OC_Donor)="","",INDEX('OneCause_Paste'!$A$2359:$AZ$2359,1,OC_Donor)))</f>
        <v/>
      </c>
    </row>
    <row r="2360">
      <c r="A2360" s="62">
        <f>IF(H2360="","",IF(ISNUMBER(N2360),N2360,I2360))</f>
        <v/>
      </c>
      <c r="B2360">
        <f>IF(H2360="","",U2360)</f>
        <v/>
      </c>
      <c r="C2360">
        <f>IF(H2360="","",IF(P2360="",K2360,INDEX('Students'!$A$2:$A$701,P2360)))</f>
        <v/>
      </c>
      <c r="D2360">
        <f>IF(OR(H2360="",P2360=""),"",INDEX('Students'!$B$2:$B$701,P2360))</f>
        <v/>
      </c>
      <c r="E2360">
        <f>IF(OR(H2360="",P2360=""),"",INDEX('Students'!$C$2:$C$701,P2360))</f>
        <v/>
      </c>
      <c r="F2360" s="48">
        <f>IF(H2360="","",IF(ISNUMBER(O2360),O2360,J2360))</f>
        <v/>
      </c>
      <c r="G2360">
        <f>IF(H2360="","","OneCause")</f>
        <v/>
      </c>
      <c r="H2360">
        <f>IF(AND(I2360="",J2360="",K2360=""),"",IF(NOT(ISNUMBER(O2360)),"Bad amount",IF(O2360&lt;0,"Refund (not counted)",IF(O2360=0,"Zero amount",IF(NOT(ISNUMBER(N2360)),"Bad date",IF(P2360="","NAME NOT ON ROSTER",IF(L2360="","OK",IF(MATCH(L2360,$L$2:$L$3001,0)&lt;ROW()-1,"Duplicate (ignored)","OK"))))))))</f>
        <v/>
      </c>
      <c r="I2360">
        <f>IF(OC_Date=0,"",IF(INDEX('OneCause_Paste'!$A$2360:$AZ$2360,1,OC_Date)="","",INDEX('OneCause_Paste'!$A$2360:$AZ$2360,1,OC_Date)))</f>
        <v/>
      </c>
      <c r="J2360">
        <f>IF(OC_Amt=0,"",IF(INDEX('OneCause_Paste'!$A$2360:$AZ$2360,1,OC_Amt)="","",INDEX('OneCause_Paste'!$A$2360:$AZ$2360,1,OC_Amt)))</f>
        <v/>
      </c>
      <c r="K2360">
        <f>IF(OC_Name=0,"",IF(INDEX('OneCause_Paste'!$A$2360:$AZ$2360,1,OC_Name)="","",INDEX('OneCause_Paste'!$A$2360:$AZ$2360,1,OC_Name)))</f>
        <v/>
      </c>
      <c r="L2360">
        <f>IF(OC_Txn=0,"",IF(INDEX('OneCause_Paste'!$A$2360:$AZ$2360,1,OC_Txn)="","",INDEX('OneCause_Paste'!$A$2360:$AZ$2360,1,OC_Txn)))</f>
        <v/>
      </c>
      <c r="M2360">
        <f>IF(OC_Pay=0,"",IF(INDEX('OneCause_Paste'!$A$2360:$AZ$2360,1,OC_Pay)="","",INDEX('OneCause_Paste'!$A$2360:$AZ$2360,1,OC_Pay)))</f>
        <v/>
      </c>
      <c r="N2360">
        <f>IF(I2360="","",IF(ISNUMBER(I2360),INT(I2360),IFERROR(INT(DATEVALUE(I2360)),IFERROR(INT(VALUE(I2360)),"bad"))))</f>
        <v/>
      </c>
      <c r="O2360">
        <f>IF(J2360="","",IF(ISNUMBER(J2360),ROUND(J2360,2),IFERROR(ROUND(VALUE(SUBSTITUTE(SUBSTITUTE(SUBSTITUTE(J2360,"$",""),",","")," ","")),2),"bad")))</f>
        <v/>
      </c>
      <c r="P2360">
        <f>IF(TRIM(K2360)="","",IFERROR(MATCH(LOWER(TRIM(K2360)),'Students'!$AH$2:$AH$701,0),IFERROR(MATCH(LOWER(TRIM(K2360)),'Students'!$AF$2:$AF$701,0),IFERROR(MATCH(LOWER(TRIM(K2360)),'Students'!$AG$2:$AG$701,0),""))))</f>
        <v/>
      </c>
      <c r="R2360">
        <f>IF(P2360="","",INDEX('Students'!$AD$2:$AD$701,P2360))</f>
        <v/>
      </c>
      <c r="S2360">
        <f>IF(H2360="OK",O2360,0)</f>
        <v/>
      </c>
      <c r="T2360">
        <f>IF(H2360="OK",N2360,"")</f>
        <v/>
      </c>
      <c r="U2360">
        <f>IF(OC_Donor=0,"",IF(INDEX('OneCause_Paste'!$A$2360:$AZ$2360,1,OC_Donor)="","",INDEX('OneCause_Paste'!$A$2360:$AZ$2360,1,OC_Donor)))</f>
        <v/>
      </c>
    </row>
    <row r="2361">
      <c r="A2361" s="62">
        <f>IF(H2361="","",IF(ISNUMBER(N2361),N2361,I2361))</f>
        <v/>
      </c>
      <c r="B2361">
        <f>IF(H2361="","",U2361)</f>
        <v/>
      </c>
      <c r="C2361">
        <f>IF(H2361="","",IF(P2361="",K2361,INDEX('Students'!$A$2:$A$701,P2361)))</f>
        <v/>
      </c>
      <c r="D2361">
        <f>IF(OR(H2361="",P2361=""),"",INDEX('Students'!$B$2:$B$701,P2361))</f>
        <v/>
      </c>
      <c r="E2361">
        <f>IF(OR(H2361="",P2361=""),"",INDEX('Students'!$C$2:$C$701,P2361))</f>
        <v/>
      </c>
      <c r="F2361" s="48">
        <f>IF(H2361="","",IF(ISNUMBER(O2361),O2361,J2361))</f>
        <v/>
      </c>
      <c r="G2361">
        <f>IF(H2361="","","OneCause")</f>
        <v/>
      </c>
      <c r="H2361">
        <f>IF(AND(I2361="",J2361="",K2361=""),"",IF(NOT(ISNUMBER(O2361)),"Bad amount",IF(O2361&lt;0,"Refund (not counted)",IF(O2361=0,"Zero amount",IF(NOT(ISNUMBER(N2361)),"Bad date",IF(P2361="","NAME NOT ON ROSTER",IF(L2361="","OK",IF(MATCH(L2361,$L$2:$L$3001,0)&lt;ROW()-1,"Duplicate (ignored)","OK"))))))))</f>
        <v/>
      </c>
      <c r="I2361">
        <f>IF(OC_Date=0,"",IF(INDEX('OneCause_Paste'!$A$2361:$AZ$2361,1,OC_Date)="","",INDEX('OneCause_Paste'!$A$2361:$AZ$2361,1,OC_Date)))</f>
        <v/>
      </c>
      <c r="J2361">
        <f>IF(OC_Amt=0,"",IF(INDEX('OneCause_Paste'!$A$2361:$AZ$2361,1,OC_Amt)="","",INDEX('OneCause_Paste'!$A$2361:$AZ$2361,1,OC_Amt)))</f>
        <v/>
      </c>
      <c r="K2361">
        <f>IF(OC_Name=0,"",IF(INDEX('OneCause_Paste'!$A$2361:$AZ$2361,1,OC_Name)="","",INDEX('OneCause_Paste'!$A$2361:$AZ$2361,1,OC_Name)))</f>
        <v/>
      </c>
      <c r="L2361">
        <f>IF(OC_Txn=0,"",IF(INDEX('OneCause_Paste'!$A$2361:$AZ$2361,1,OC_Txn)="","",INDEX('OneCause_Paste'!$A$2361:$AZ$2361,1,OC_Txn)))</f>
        <v/>
      </c>
      <c r="M2361">
        <f>IF(OC_Pay=0,"",IF(INDEX('OneCause_Paste'!$A$2361:$AZ$2361,1,OC_Pay)="","",INDEX('OneCause_Paste'!$A$2361:$AZ$2361,1,OC_Pay)))</f>
        <v/>
      </c>
      <c r="N2361">
        <f>IF(I2361="","",IF(ISNUMBER(I2361),INT(I2361),IFERROR(INT(DATEVALUE(I2361)),IFERROR(INT(VALUE(I2361)),"bad"))))</f>
        <v/>
      </c>
      <c r="O2361">
        <f>IF(J2361="","",IF(ISNUMBER(J2361),ROUND(J2361,2),IFERROR(ROUND(VALUE(SUBSTITUTE(SUBSTITUTE(SUBSTITUTE(J2361,"$",""),",","")," ","")),2),"bad")))</f>
        <v/>
      </c>
      <c r="P2361">
        <f>IF(TRIM(K2361)="","",IFERROR(MATCH(LOWER(TRIM(K2361)),'Students'!$AH$2:$AH$701,0),IFERROR(MATCH(LOWER(TRIM(K2361)),'Students'!$AF$2:$AF$701,0),IFERROR(MATCH(LOWER(TRIM(K2361)),'Students'!$AG$2:$AG$701,0),""))))</f>
        <v/>
      </c>
      <c r="R2361">
        <f>IF(P2361="","",INDEX('Students'!$AD$2:$AD$701,P2361))</f>
        <v/>
      </c>
      <c r="S2361">
        <f>IF(H2361="OK",O2361,0)</f>
        <v/>
      </c>
      <c r="T2361">
        <f>IF(H2361="OK",N2361,"")</f>
        <v/>
      </c>
      <c r="U2361">
        <f>IF(OC_Donor=0,"",IF(INDEX('OneCause_Paste'!$A$2361:$AZ$2361,1,OC_Donor)="","",INDEX('OneCause_Paste'!$A$2361:$AZ$2361,1,OC_Donor)))</f>
        <v/>
      </c>
    </row>
    <row r="2362">
      <c r="A2362" s="62">
        <f>IF(H2362="","",IF(ISNUMBER(N2362),N2362,I2362))</f>
        <v/>
      </c>
      <c r="B2362">
        <f>IF(H2362="","",U2362)</f>
        <v/>
      </c>
      <c r="C2362">
        <f>IF(H2362="","",IF(P2362="",K2362,INDEX('Students'!$A$2:$A$701,P2362)))</f>
        <v/>
      </c>
      <c r="D2362">
        <f>IF(OR(H2362="",P2362=""),"",INDEX('Students'!$B$2:$B$701,P2362))</f>
        <v/>
      </c>
      <c r="E2362">
        <f>IF(OR(H2362="",P2362=""),"",INDEX('Students'!$C$2:$C$701,P2362))</f>
        <v/>
      </c>
      <c r="F2362" s="48">
        <f>IF(H2362="","",IF(ISNUMBER(O2362),O2362,J2362))</f>
        <v/>
      </c>
      <c r="G2362">
        <f>IF(H2362="","","OneCause")</f>
        <v/>
      </c>
      <c r="H2362">
        <f>IF(AND(I2362="",J2362="",K2362=""),"",IF(NOT(ISNUMBER(O2362)),"Bad amount",IF(O2362&lt;0,"Refund (not counted)",IF(O2362=0,"Zero amount",IF(NOT(ISNUMBER(N2362)),"Bad date",IF(P2362="","NAME NOT ON ROSTER",IF(L2362="","OK",IF(MATCH(L2362,$L$2:$L$3001,0)&lt;ROW()-1,"Duplicate (ignored)","OK"))))))))</f>
        <v/>
      </c>
      <c r="I2362">
        <f>IF(OC_Date=0,"",IF(INDEX('OneCause_Paste'!$A$2362:$AZ$2362,1,OC_Date)="","",INDEX('OneCause_Paste'!$A$2362:$AZ$2362,1,OC_Date)))</f>
        <v/>
      </c>
      <c r="J2362">
        <f>IF(OC_Amt=0,"",IF(INDEX('OneCause_Paste'!$A$2362:$AZ$2362,1,OC_Amt)="","",INDEX('OneCause_Paste'!$A$2362:$AZ$2362,1,OC_Amt)))</f>
        <v/>
      </c>
      <c r="K2362">
        <f>IF(OC_Name=0,"",IF(INDEX('OneCause_Paste'!$A$2362:$AZ$2362,1,OC_Name)="","",INDEX('OneCause_Paste'!$A$2362:$AZ$2362,1,OC_Name)))</f>
        <v/>
      </c>
      <c r="L2362">
        <f>IF(OC_Txn=0,"",IF(INDEX('OneCause_Paste'!$A$2362:$AZ$2362,1,OC_Txn)="","",INDEX('OneCause_Paste'!$A$2362:$AZ$2362,1,OC_Txn)))</f>
        <v/>
      </c>
      <c r="M2362">
        <f>IF(OC_Pay=0,"",IF(INDEX('OneCause_Paste'!$A$2362:$AZ$2362,1,OC_Pay)="","",INDEX('OneCause_Paste'!$A$2362:$AZ$2362,1,OC_Pay)))</f>
        <v/>
      </c>
      <c r="N2362">
        <f>IF(I2362="","",IF(ISNUMBER(I2362),INT(I2362),IFERROR(INT(DATEVALUE(I2362)),IFERROR(INT(VALUE(I2362)),"bad"))))</f>
        <v/>
      </c>
      <c r="O2362">
        <f>IF(J2362="","",IF(ISNUMBER(J2362),ROUND(J2362,2),IFERROR(ROUND(VALUE(SUBSTITUTE(SUBSTITUTE(SUBSTITUTE(J2362,"$",""),",","")," ","")),2),"bad")))</f>
        <v/>
      </c>
      <c r="P2362">
        <f>IF(TRIM(K2362)="","",IFERROR(MATCH(LOWER(TRIM(K2362)),'Students'!$AH$2:$AH$701,0),IFERROR(MATCH(LOWER(TRIM(K2362)),'Students'!$AF$2:$AF$701,0),IFERROR(MATCH(LOWER(TRIM(K2362)),'Students'!$AG$2:$AG$701,0),""))))</f>
        <v/>
      </c>
      <c r="R2362">
        <f>IF(P2362="","",INDEX('Students'!$AD$2:$AD$701,P2362))</f>
        <v/>
      </c>
      <c r="S2362">
        <f>IF(H2362="OK",O2362,0)</f>
        <v/>
      </c>
      <c r="T2362">
        <f>IF(H2362="OK",N2362,"")</f>
        <v/>
      </c>
      <c r="U2362">
        <f>IF(OC_Donor=0,"",IF(INDEX('OneCause_Paste'!$A$2362:$AZ$2362,1,OC_Donor)="","",INDEX('OneCause_Paste'!$A$2362:$AZ$2362,1,OC_Donor)))</f>
        <v/>
      </c>
    </row>
    <row r="2363">
      <c r="A2363" s="62">
        <f>IF(H2363="","",IF(ISNUMBER(N2363),N2363,I2363))</f>
        <v/>
      </c>
      <c r="B2363">
        <f>IF(H2363="","",U2363)</f>
        <v/>
      </c>
      <c r="C2363">
        <f>IF(H2363="","",IF(P2363="",K2363,INDEX('Students'!$A$2:$A$701,P2363)))</f>
        <v/>
      </c>
      <c r="D2363">
        <f>IF(OR(H2363="",P2363=""),"",INDEX('Students'!$B$2:$B$701,P2363))</f>
        <v/>
      </c>
      <c r="E2363">
        <f>IF(OR(H2363="",P2363=""),"",INDEX('Students'!$C$2:$C$701,P2363))</f>
        <v/>
      </c>
      <c r="F2363" s="48">
        <f>IF(H2363="","",IF(ISNUMBER(O2363),O2363,J2363))</f>
        <v/>
      </c>
      <c r="G2363">
        <f>IF(H2363="","","OneCause")</f>
        <v/>
      </c>
      <c r="H2363">
        <f>IF(AND(I2363="",J2363="",K2363=""),"",IF(NOT(ISNUMBER(O2363)),"Bad amount",IF(O2363&lt;0,"Refund (not counted)",IF(O2363=0,"Zero amount",IF(NOT(ISNUMBER(N2363)),"Bad date",IF(P2363="","NAME NOT ON ROSTER",IF(L2363="","OK",IF(MATCH(L2363,$L$2:$L$3001,0)&lt;ROW()-1,"Duplicate (ignored)","OK"))))))))</f>
        <v/>
      </c>
      <c r="I2363">
        <f>IF(OC_Date=0,"",IF(INDEX('OneCause_Paste'!$A$2363:$AZ$2363,1,OC_Date)="","",INDEX('OneCause_Paste'!$A$2363:$AZ$2363,1,OC_Date)))</f>
        <v/>
      </c>
      <c r="J2363">
        <f>IF(OC_Amt=0,"",IF(INDEX('OneCause_Paste'!$A$2363:$AZ$2363,1,OC_Amt)="","",INDEX('OneCause_Paste'!$A$2363:$AZ$2363,1,OC_Amt)))</f>
        <v/>
      </c>
      <c r="K2363">
        <f>IF(OC_Name=0,"",IF(INDEX('OneCause_Paste'!$A$2363:$AZ$2363,1,OC_Name)="","",INDEX('OneCause_Paste'!$A$2363:$AZ$2363,1,OC_Name)))</f>
        <v/>
      </c>
      <c r="L2363">
        <f>IF(OC_Txn=0,"",IF(INDEX('OneCause_Paste'!$A$2363:$AZ$2363,1,OC_Txn)="","",INDEX('OneCause_Paste'!$A$2363:$AZ$2363,1,OC_Txn)))</f>
        <v/>
      </c>
      <c r="M2363">
        <f>IF(OC_Pay=0,"",IF(INDEX('OneCause_Paste'!$A$2363:$AZ$2363,1,OC_Pay)="","",INDEX('OneCause_Paste'!$A$2363:$AZ$2363,1,OC_Pay)))</f>
        <v/>
      </c>
      <c r="N2363">
        <f>IF(I2363="","",IF(ISNUMBER(I2363),INT(I2363),IFERROR(INT(DATEVALUE(I2363)),IFERROR(INT(VALUE(I2363)),"bad"))))</f>
        <v/>
      </c>
      <c r="O2363">
        <f>IF(J2363="","",IF(ISNUMBER(J2363),ROUND(J2363,2),IFERROR(ROUND(VALUE(SUBSTITUTE(SUBSTITUTE(SUBSTITUTE(J2363,"$",""),",","")," ","")),2),"bad")))</f>
        <v/>
      </c>
      <c r="P2363">
        <f>IF(TRIM(K2363)="","",IFERROR(MATCH(LOWER(TRIM(K2363)),'Students'!$AH$2:$AH$701,0),IFERROR(MATCH(LOWER(TRIM(K2363)),'Students'!$AF$2:$AF$701,0),IFERROR(MATCH(LOWER(TRIM(K2363)),'Students'!$AG$2:$AG$701,0),""))))</f>
        <v/>
      </c>
      <c r="R2363">
        <f>IF(P2363="","",INDEX('Students'!$AD$2:$AD$701,P2363))</f>
        <v/>
      </c>
      <c r="S2363">
        <f>IF(H2363="OK",O2363,0)</f>
        <v/>
      </c>
      <c r="T2363">
        <f>IF(H2363="OK",N2363,"")</f>
        <v/>
      </c>
      <c r="U2363">
        <f>IF(OC_Donor=0,"",IF(INDEX('OneCause_Paste'!$A$2363:$AZ$2363,1,OC_Donor)="","",INDEX('OneCause_Paste'!$A$2363:$AZ$2363,1,OC_Donor)))</f>
        <v/>
      </c>
    </row>
    <row r="2364">
      <c r="A2364" s="62">
        <f>IF(H2364="","",IF(ISNUMBER(N2364),N2364,I2364))</f>
        <v/>
      </c>
      <c r="B2364">
        <f>IF(H2364="","",U2364)</f>
        <v/>
      </c>
      <c r="C2364">
        <f>IF(H2364="","",IF(P2364="",K2364,INDEX('Students'!$A$2:$A$701,P2364)))</f>
        <v/>
      </c>
      <c r="D2364">
        <f>IF(OR(H2364="",P2364=""),"",INDEX('Students'!$B$2:$B$701,P2364))</f>
        <v/>
      </c>
      <c r="E2364">
        <f>IF(OR(H2364="",P2364=""),"",INDEX('Students'!$C$2:$C$701,P2364))</f>
        <v/>
      </c>
      <c r="F2364" s="48">
        <f>IF(H2364="","",IF(ISNUMBER(O2364),O2364,J2364))</f>
        <v/>
      </c>
      <c r="G2364">
        <f>IF(H2364="","","OneCause")</f>
        <v/>
      </c>
      <c r="H2364">
        <f>IF(AND(I2364="",J2364="",K2364=""),"",IF(NOT(ISNUMBER(O2364)),"Bad amount",IF(O2364&lt;0,"Refund (not counted)",IF(O2364=0,"Zero amount",IF(NOT(ISNUMBER(N2364)),"Bad date",IF(P2364="","NAME NOT ON ROSTER",IF(L2364="","OK",IF(MATCH(L2364,$L$2:$L$3001,0)&lt;ROW()-1,"Duplicate (ignored)","OK"))))))))</f>
        <v/>
      </c>
      <c r="I2364">
        <f>IF(OC_Date=0,"",IF(INDEX('OneCause_Paste'!$A$2364:$AZ$2364,1,OC_Date)="","",INDEX('OneCause_Paste'!$A$2364:$AZ$2364,1,OC_Date)))</f>
        <v/>
      </c>
      <c r="J2364">
        <f>IF(OC_Amt=0,"",IF(INDEX('OneCause_Paste'!$A$2364:$AZ$2364,1,OC_Amt)="","",INDEX('OneCause_Paste'!$A$2364:$AZ$2364,1,OC_Amt)))</f>
        <v/>
      </c>
      <c r="K2364">
        <f>IF(OC_Name=0,"",IF(INDEX('OneCause_Paste'!$A$2364:$AZ$2364,1,OC_Name)="","",INDEX('OneCause_Paste'!$A$2364:$AZ$2364,1,OC_Name)))</f>
        <v/>
      </c>
      <c r="L2364">
        <f>IF(OC_Txn=0,"",IF(INDEX('OneCause_Paste'!$A$2364:$AZ$2364,1,OC_Txn)="","",INDEX('OneCause_Paste'!$A$2364:$AZ$2364,1,OC_Txn)))</f>
        <v/>
      </c>
      <c r="M2364">
        <f>IF(OC_Pay=0,"",IF(INDEX('OneCause_Paste'!$A$2364:$AZ$2364,1,OC_Pay)="","",INDEX('OneCause_Paste'!$A$2364:$AZ$2364,1,OC_Pay)))</f>
        <v/>
      </c>
      <c r="N2364">
        <f>IF(I2364="","",IF(ISNUMBER(I2364),INT(I2364),IFERROR(INT(DATEVALUE(I2364)),IFERROR(INT(VALUE(I2364)),"bad"))))</f>
        <v/>
      </c>
      <c r="O2364">
        <f>IF(J2364="","",IF(ISNUMBER(J2364),ROUND(J2364,2),IFERROR(ROUND(VALUE(SUBSTITUTE(SUBSTITUTE(SUBSTITUTE(J2364,"$",""),",","")," ","")),2),"bad")))</f>
        <v/>
      </c>
      <c r="P2364">
        <f>IF(TRIM(K2364)="","",IFERROR(MATCH(LOWER(TRIM(K2364)),'Students'!$AH$2:$AH$701,0),IFERROR(MATCH(LOWER(TRIM(K2364)),'Students'!$AF$2:$AF$701,0),IFERROR(MATCH(LOWER(TRIM(K2364)),'Students'!$AG$2:$AG$701,0),""))))</f>
        <v/>
      </c>
      <c r="R2364">
        <f>IF(P2364="","",INDEX('Students'!$AD$2:$AD$701,P2364))</f>
        <v/>
      </c>
      <c r="S2364">
        <f>IF(H2364="OK",O2364,0)</f>
        <v/>
      </c>
      <c r="T2364">
        <f>IF(H2364="OK",N2364,"")</f>
        <v/>
      </c>
      <c r="U2364">
        <f>IF(OC_Donor=0,"",IF(INDEX('OneCause_Paste'!$A$2364:$AZ$2364,1,OC_Donor)="","",INDEX('OneCause_Paste'!$A$2364:$AZ$2364,1,OC_Donor)))</f>
        <v/>
      </c>
    </row>
    <row r="2365">
      <c r="A2365" s="62">
        <f>IF(H2365="","",IF(ISNUMBER(N2365),N2365,I2365))</f>
        <v/>
      </c>
      <c r="B2365">
        <f>IF(H2365="","",U2365)</f>
        <v/>
      </c>
      <c r="C2365">
        <f>IF(H2365="","",IF(P2365="",K2365,INDEX('Students'!$A$2:$A$701,P2365)))</f>
        <v/>
      </c>
      <c r="D2365">
        <f>IF(OR(H2365="",P2365=""),"",INDEX('Students'!$B$2:$B$701,P2365))</f>
        <v/>
      </c>
      <c r="E2365">
        <f>IF(OR(H2365="",P2365=""),"",INDEX('Students'!$C$2:$C$701,P2365))</f>
        <v/>
      </c>
      <c r="F2365" s="48">
        <f>IF(H2365="","",IF(ISNUMBER(O2365),O2365,J2365))</f>
        <v/>
      </c>
      <c r="G2365">
        <f>IF(H2365="","","OneCause")</f>
        <v/>
      </c>
      <c r="H2365">
        <f>IF(AND(I2365="",J2365="",K2365=""),"",IF(NOT(ISNUMBER(O2365)),"Bad amount",IF(O2365&lt;0,"Refund (not counted)",IF(O2365=0,"Zero amount",IF(NOT(ISNUMBER(N2365)),"Bad date",IF(P2365="","NAME NOT ON ROSTER",IF(L2365="","OK",IF(MATCH(L2365,$L$2:$L$3001,0)&lt;ROW()-1,"Duplicate (ignored)","OK"))))))))</f>
        <v/>
      </c>
      <c r="I2365">
        <f>IF(OC_Date=0,"",IF(INDEX('OneCause_Paste'!$A$2365:$AZ$2365,1,OC_Date)="","",INDEX('OneCause_Paste'!$A$2365:$AZ$2365,1,OC_Date)))</f>
        <v/>
      </c>
      <c r="J2365">
        <f>IF(OC_Amt=0,"",IF(INDEX('OneCause_Paste'!$A$2365:$AZ$2365,1,OC_Amt)="","",INDEX('OneCause_Paste'!$A$2365:$AZ$2365,1,OC_Amt)))</f>
        <v/>
      </c>
      <c r="K2365">
        <f>IF(OC_Name=0,"",IF(INDEX('OneCause_Paste'!$A$2365:$AZ$2365,1,OC_Name)="","",INDEX('OneCause_Paste'!$A$2365:$AZ$2365,1,OC_Name)))</f>
        <v/>
      </c>
      <c r="L2365">
        <f>IF(OC_Txn=0,"",IF(INDEX('OneCause_Paste'!$A$2365:$AZ$2365,1,OC_Txn)="","",INDEX('OneCause_Paste'!$A$2365:$AZ$2365,1,OC_Txn)))</f>
        <v/>
      </c>
      <c r="M2365">
        <f>IF(OC_Pay=0,"",IF(INDEX('OneCause_Paste'!$A$2365:$AZ$2365,1,OC_Pay)="","",INDEX('OneCause_Paste'!$A$2365:$AZ$2365,1,OC_Pay)))</f>
        <v/>
      </c>
      <c r="N2365">
        <f>IF(I2365="","",IF(ISNUMBER(I2365),INT(I2365),IFERROR(INT(DATEVALUE(I2365)),IFERROR(INT(VALUE(I2365)),"bad"))))</f>
        <v/>
      </c>
      <c r="O2365">
        <f>IF(J2365="","",IF(ISNUMBER(J2365),ROUND(J2365,2),IFERROR(ROUND(VALUE(SUBSTITUTE(SUBSTITUTE(SUBSTITUTE(J2365,"$",""),",","")," ","")),2),"bad")))</f>
        <v/>
      </c>
      <c r="P2365">
        <f>IF(TRIM(K2365)="","",IFERROR(MATCH(LOWER(TRIM(K2365)),'Students'!$AH$2:$AH$701,0),IFERROR(MATCH(LOWER(TRIM(K2365)),'Students'!$AF$2:$AF$701,0),IFERROR(MATCH(LOWER(TRIM(K2365)),'Students'!$AG$2:$AG$701,0),""))))</f>
        <v/>
      </c>
      <c r="R2365">
        <f>IF(P2365="","",INDEX('Students'!$AD$2:$AD$701,P2365))</f>
        <v/>
      </c>
      <c r="S2365">
        <f>IF(H2365="OK",O2365,0)</f>
        <v/>
      </c>
      <c r="T2365">
        <f>IF(H2365="OK",N2365,"")</f>
        <v/>
      </c>
      <c r="U2365">
        <f>IF(OC_Donor=0,"",IF(INDEX('OneCause_Paste'!$A$2365:$AZ$2365,1,OC_Donor)="","",INDEX('OneCause_Paste'!$A$2365:$AZ$2365,1,OC_Donor)))</f>
        <v/>
      </c>
    </row>
    <row r="2366">
      <c r="A2366" s="62">
        <f>IF(H2366="","",IF(ISNUMBER(N2366),N2366,I2366))</f>
        <v/>
      </c>
      <c r="B2366">
        <f>IF(H2366="","",U2366)</f>
        <v/>
      </c>
      <c r="C2366">
        <f>IF(H2366="","",IF(P2366="",K2366,INDEX('Students'!$A$2:$A$701,P2366)))</f>
        <v/>
      </c>
      <c r="D2366">
        <f>IF(OR(H2366="",P2366=""),"",INDEX('Students'!$B$2:$B$701,P2366))</f>
        <v/>
      </c>
      <c r="E2366">
        <f>IF(OR(H2366="",P2366=""),"",INDEX('Students'!$C$2:$C$701,P2366))</f>
        <v/>
      </c>
      <c r="F2366" s="48">
        <f>IF(H2366="","",IF(ISNUMBER(O2366),O2366,J2366))</f>
        <v/>
      </c>
      <c r="G2366">
        <f>IF(H2366="","","OneCause")</f>
        <v/>
      </c>
      <c r="H2366">
        <f>IF(AND(I2366="",J2366="",K2366=""),"",IF(NOT(ISNUMBER(O2366)),"Bad amount",IF(O2366&lt;0,"Refund (not counted)",IF(O2366=0,"Zero amount",IF(NOT(ISNUMBER(N2366)),"Bad date",IF(P2366="","NAME NOT ON ROSTER",IF(L2366="","OK",IF(MATCH(L2366,$L$2:$L$3001,0)&lt;ROW()-1,"Duplicate (ignored)","OK"))))))))</f>
        <v/>
      </c>
      <c r="I2366">
        <f>IF(OC_Date=0,"",IF(INDEX('OneCause_Paste'!$A$2366:$AZ$2366,1,OC_Date)="","",INDEX('OneCause_Paste'!$A$2366:$AZ$2366,1,OC_Date)))</f>
        <v/>
      </c>
      <c r="J2366">
        <f>IF(OC_Amt=0,"",IF(INDEX('OneCause_Paste'!$A$2366:$AZ$2366,1,OC_Amt)="","",INDEX('OneCause_Paste'!$A$2366:$AZ$2366,1,OC_Amt)))</f>
        <v/>
      </c>
      <c r="K2366">
        <f>IF(OC_Name=0,"",IF(INDEX('OneCause_Paste'!$A$2366:$AZ$2366,1,OC_Name)="","",INDEX('OneCause_Paste'!$A$2366:$AZ$2366,1,OC_Name)))</f>
        <v/>
      </c>
      <c r="L2366">
        <f>IF(OC_Txn=0,"",IF(INDEX('OneCause_Paste'!$A$2366:$AZ$2366,1,OC_Txn)="","",INDEX('OneCause_Paste'!$A$2366:$AZ$2366,1,OC_Txn)))</f>
        <v/>
      </c>
      <c r="M2366">
        <f>IF(OC_Pay=0,"",IF(INDEX('OneCause_Paste'!$A$2366:$AZ$2366,1,OC_Pay)="","",INDEX('OneCause_Paste'!$A$2366:$AZ$2366,1,OC_Pay)))</f>
        <v/>
      </c>
      <c r="N2366">
        <f>IF(I2366="","",IF(ISNUMBER(I2366),INT(I2366),IFERROR(INT(DATEVALUE(I2366)),IFERROR(INT(VALUE(I2366)),"bad"))))</f>
        <v/>
      </c>
      <c r="O2366">
        <f>IF(J2366="","",IF(ISNUMBER(J2366),ROUND(J2366,2),IFERROR(ROUND(VALUE(SUBSTITUTE(SUBSTITUTE(SUBSTITUTE(J2366,"$",""),",","")," ","")),2),"bad")))</f>
        <v/>
      </c>
      <c r="P2366">
        <f>IF(TRIM(K2366)="","",IFERROR(MATCH(LOWER(TRIM(K2366)),'Students'!$AH$2:$AH$701,0),IFERROR(MATCH(LOWER(TRIM(K2366)),'Students'!$AF$2:$AF$701,0),IFERROR(MATCH(LOWER(TRIM(K2366)),'Students'!$AG$2:$AG$701,0),""))))</f>
        <v/>
      </c>
      <c r="R2366">
        <f>IF(P2366="","",INDEX('Students'!$AD$2:$AD$701,P2366))</f>
        <v/>
      </c>
      <c r="S2366">
        <f>IF(H2366="OK",O2366,0)</f>
        <v/>
      </c>
      <c r="T2366">
        <f>IF(H2366="OK",N2366,"")</f>
        <v/>
      </c>
      <c r="U2366">
        <f>IF(OC_Donor=0,"",IF(INDEX('OneCause_Paste'!$A$2366:$AZ$2366,1,OC_Donor)="","",INDEX('OneCause_Paste'!$A$2366:$AZ$2366,1,OC_Donor)))</f>
        <v/>
      </c>
    </row>
    <row r="2367">
      <c r="A2367" s="62">
        <f>IF(H2367="","",IF(ISNUMBER(N2367),N2367,I2367))</f>
        <v/>
      </c>
      <c r="B2367">
        <f>IF(H2367="","",U2367)</f>
        <v/>
      </c>
      <c r="C2367">
        <f>IF(H2367="","",IF(P2367="",K2367,INDEX('Students'!$A$2:$A$701,P2367)))</f>
        <v/>
      </c>
      <c r="D2367">
        <f>IF(OR(H2367="",P2367=""),"",INDEX('Students'!$B$2:$B$701,P2367))</f>
        <v/>
      </c>
      <c r="E2367">
        <f>IF(OR(H2367="",P2367=""),"",INDEX('Students'!$C$2:$C$701,P2367))</f>
        <v/>
      </c>
      <c r="F2367" s="48">
        <f>IF(H2367="","",IF(ISNUMBER(O2367),O2367,J2367))</f>
        <v/>
      </c>
      <c r="G2367">
        <f>IF(H2367="","","OneCause")</f>
        <v/>
      </c>
      <c r="H2367">
        <f>IF(AND(I2367="",J2367="",K2367=""),"",IF(NOT(ISNUMBER(O2367)),"Bad amount",IF(O2367&lt;0,"Refund (not counted)",IF(O2367=0,"Zero amount",IF(NOT(ISNUMBER(N2367)),"Bad date",IF(P2367="","NAME NOT ON ROSTER",IF(L2367="","OK",IF(MATCH(L2367,$L$2:$L$3001,0)&lt;ROW()-1,"Duplicate (ignored)","OK"))))))))</f>
        <v/>
      </c>
      <c r="I2367">
        <f>IF(OC_Date=0,"",IF(INDEX('OneCause_Paste'!$A$2367:$AZ$2367,1,OC_Date)="","",INDEX('OneCause_Paste'!$A$2367:$AZ$2367,1,OC_Date)))</f>
        <v/>
      </c>
      <c r="J2367">
        <f>IF(OC_Amt=0,"",IF(INDEX('OneCause_Paste'!$A$2367:$AZ$2367,1,OC_Amt)="","",INDEX('OneCause_Paste'!$A$2367:$AZ$2367,1,OC_Amt)))</f>
        <v/>
      </c>
      <c r="K2367">
        <f>IF(OC_Name=0,"",IF(INDEX('OneCause_Paste'!$A$2367:$AZ$2367,1,OC_Name)="","",INDEX('OneCause_Paste'!$A$2367:$AZ$2367,1,OC_Name)))</f>
        <v/>
      </c>
      <c r="L2367">
        <f>IF(OC_Txn=0,"",IF(INDEX('OneCause_Paste'!$A$2367:$AZ$2367,1,OC_Txn)="","",INDEX('OneCause_Paste'!$A$2367:$AZ$2367,1,OC_Txn)))</f>
        <v/>
      </c>
      <c r="M2367">
        <f>IF(OC_Pay=0,"",IF(INDEX('OneCause_Paste'!$A$2367:$AZ$2367,1,OC_Pay)="","",INDEX('OneCause_Paste'!$A$2367:$AZ$2367,1,OC_Pay)))</f>
        <v/>
      </c>
      <c r="N2367">
        <f>IF(I2367="","",IF(ISNUMBER(I2367),INT(I2367),IFERROR(INT(DATEVALUE(I2367)),IFERROR(INT(VALUE(I2367)),"bad"))))</f>
        <v/>
      </c>
      <c r="O2367">
        <f>IF(J2367="","",IF(ISNUMBER(J2367),ROUND(J2367,2),IFERROR(ROUND(VALUE(SUBSTITUTE(SUBSTITUTE(SUBSTITUTE(J2367,"$",""),",","")," ","")),2),"bad")))</f>
        <v/>
      </c>
      <c r="P2367">
        <f>IF(TRIM(K2367)="","",IFERROR(MATCH(LOWER(TRIM(K2367)),'Students'!$AH$2:$AH$701,0),IFERROR(MATCH(LOWER(TRIM(K2367)),'Students'!$AF$2:$AF$701,0),IFERROR(MATCH(LOWER(TRIM(K2367)),'Students'!$AG$2:$AG$701,0),""))))</f>
        <v/>
      </c>
      <c r="R2367">
        <f>IF(P2367="","",INDEX('Students'!$AD$2:$AD$701,P2367))</f>
        <v/>
      </c>
      <c r="S2367">
        <f>IF(H2367="OK",O2367,0)</f>
        <v/>
      </c>
      <c r="T2367">
        <f>IF(H2367="OK",N2367,"")</f>
        <v/>
      </c>
      <c r="U2367">
        <f>IF(OC_Donor=0,"",IF(INDEX('OneCause_Paste'!$A$2367:$AZ$2367,1,OC_Donor)="","",INDEX('OneCause_Paste'!$A$2367:$AZ$2367,1,OC_Donor)))</f>
        <v/>
      </c>
    </row>
    <row r="2368">
      <c r="A2368" s="62">
        <f>IF(H2368="","",IF(ISNUMBER(N2368),N2368,I2368))</f>
        <v/>
      </c>
      <c r="B2368">
        <f>IF(H2368="","",U2368)</f>
        <v/>
      </c>
      <c r="C2368">
        <f>IF(H2368="","",IF(P2368="",K2368,INDEX('Students'!$A$2:$A$701,P2368)))</f>
        <v/>
      </c>
      <c r="D2368">
        <f>IF(OR(H2368="",P2368=""),"",INDEX('Students'!$B$2:$B$701,P2368))</f>
        <v/>
      </c>
      <c r="E2368">
        <f>IF(OR(H2368="",P2368=""),"",INDEX('Students'!$C$2:$C$701,P2368))</f>
        <v/>
      </c>
      <c r="F2368" s="48">
        <f>IF(H2368="","",IF(ISNUMBER(O2368),O2368,J2368))</f>
        <v/>
      </c>
      <c r="G2368">
        <f>IF(H2368="","","OneCause")</f>
        <v/>
      </c>
      <c r="H2368">
        <f>IF(AND(I2368="",J2368="",K2368=""),"",IF(NOT(ISNUMBER(O2368)),"Bad amount",IF(O2368&lt;0,"Refund (not counted)",IF(O2368=0,"Zero amount",IF(NOT(ISNUMBER(N2368)),"Bad date",IF(P2368="","NAME NOT ON ROSTER",IF(L2368="","OK",IF(MATCH(L2368,$L$2:$L$3001,0)&lt;ROW()-1,"Duplicate (ignored)","OK"))))))))</f>
        <v/>
      </c>
      <c r="I2368">
        <f>IF(OC_Date=0,"",IF(INDEX('OneCause_Paste'!$A$2368:$AZ$2368,1,OC_Date)="","",INDEX('OneCause_Paste'!$A$2368:$AZ$2368,1,OC_Date)))</f>
        <v/>
      </c>
      <c r="J2368">
        <f>IF(OC_Amt=0,"",IF(INDEX('OneCause_Paste'!$A$2368:$AZ$2368,1,OC_Amt)="","",INDEX('OneCause_Paste'!$A$2368:$AZ$2368,1,OC_Amt)))</f>
        <v/>
      </c>
      <c r="K2368">
        <f>IF(OC_Name=0,"",IF(INDEX('OneCause_Paste'!$A$2368:$AZ$2368,1,OC_Name)="","",INDEX('OneCause_Paste'!$A$2368:$AZ$2368,1,OC_Name)))</f>
        <v/>
      </c>
      <c r="L2368">
        <f>IF(OC_Txn=0,"",IF(INDEX('OneCause_Paste'!$A$2368:$AZ$2368,1,OC_Txn)="","",INDEX('OneCause_Paste'!$A$2368:$AZ$2368,1,OC_Txn)))</f>
        <v/>
      </c>
      <c r="M2368">
        <f>IF(OC_Pay=0,"",IF(INDEX('OneCause_Paste'!$A$2368:$AZ$2368,1,OC_Pay)="","",INDEX('OneCause_Paste'!$A$2368:$AZ$2368,1,OC_Pay)))</f>
        <v/>
      </c>
      <c r="N2368">
        <f>IF(I2368="","",IF(ISNUMBER(I2368),INT(I2368),IFERROR(INT(DATEVALUE(I2368)),IFERROR(INT(VALUE(I2368)),"bad"))))</f>
        <v/>
      </c>
      <c r="O2368">
        <f>IF(J2368="","",IF(ISNUMBER(J2368),ROUND(J2368,2),IFERROR(ROUND(VALUE(SUBSTITUTE(SUBSTITUTE(SUBSTITUTE(J2368,"$",""),",","")," ","")),2),"bad")))</f>
        <v/>
      </c>
      <c r="P2368">
        <f>IF(TRIM(K2368)="","",IFERROR(MATCH(LOWER(TRIM(K2368)),'Students'!$AH$2:$AH$701,0),IFERROR(MATCH(LOWER(TRIM(K2368)),'Students'!$AF$2:$AF$701,0),IFERROR(MATCH(LOWER(TRIM(K2368)),'Students'!$AG$2:$AG$701,0),""))))</f>
        <v/>
      </c>
      <c r="R2368">
        <f>IF(P2368="","",INDEX('Students'!$AD$2:$AD$701,P2368))</f>
        <v/>
      </c>
      <c r="S2368">
        <f>IF(H2368="OK",O2368,0)</f>
        <v/>
      </c>
      <c r="T2368">
        <f>IF(H2368="OK",N2368,"")</f>
        <v/>
      </c>
      <c r="U2368">
        <f>IF(OC_Donor=0,"",IF(INDEX('OneCause_Paste'!$A$2368:$AZ$2368,1,OC_Donor)="","",INDEX('OneCause_Paste'!$A$2368:$AZ$2368,1,OC_Donor)))</f>
        <v/>
      </c>
    </row>
    <row r="2369">
      <c r="A2369" s="62">
        <f>IF(H2369="","",IF(ISNUMBER(N2369),N2369,I2369))</f>
        <v/>
      </c>
      <c r="B2369">
        <f>IF(H2369="","",U2369)</f>
        <v/>
      </c>
      <c r="C2369">
        <f>IF(H2369="","",IF(P2369="",K2369,INDEX('Students'!$A$2:$A$701,P2369)))</f>
        <v/>
      </c>
      <c r="D2369">
        <f>IF(OR(H2369="",P2369=""),"",INDEX('Students'!$B$2:$B$701,P2369))</f>
        <v/>
      </c>
      <c r="E2369">
        <f>IF(OR(H2369="",P2369=""),"",INDEX('Students'!$C$2:$C$701,P2369))</f>
        <v/>
      </c>
      <c r="F2369" s="48">
        <f>IF(H2369="","",IF(ISNUMBER(O2369),O2369,J2369))</f>
        <v/>
      </c>
      <c r="G2369">
        <f>IF(H2369="","","OneCause")</f>
        <v/>
      </c>
      <c r="H2369">
        <f>IF(AND(I2369="",J2369="",K2369=""),"",IF(NOT(ISNUMBER(O2369)),"Bad amount",IF(O2369&lt;0,"Refund (not counted)",IF(O2369=0,"Zero amount",IF(NOT(ISNUMBER(N2369)),"Bad date",IF(P2369="","NAME NOT ON ROSTER",IF(L2369="","OK",IF(MATCH(L2369,$L$2:$L$3001,0)&lt;ROW()-1,"Duplicate (ignored)","OK"))))))))</f>
        <v/>
      </c>
      <c r="I2369">
        <f>IF(OC_Date=0,"",IF(INDEX('OneCause_Paste'!$A$2369:$AZ$2369,1,OC_Date)="","",INDEX('OneCause_Paste'!$A$2369:$AZ$2369,1,OC_Date)))</f>
        <v/>
      </c>
      <c r="J2369">
        <f>IF(OC_Amt=0,"",IF(INDEX('OneCause_Paste'!$A$2369:$AZ$2369,1,OC_Amt)="","",INDEX('OneCause_Paste'!$A$2369:$AZ$2369,1,OC_Amt)))</f>
        <v/>
      </c>
      <c r="K2369">
        <f>IF(OC_Name=0,"",IF(INDEX('OneCause_Paste'!$A$2369:$AZ$2369,1,OC_Name)="","",INDEX('OneCause_Paste'!$A$2369:$AZ$2369,1,OC_Name)))</f>
        <v/>
      </c>
      <c r="L2369">
        <f>IF(OC_Txn=0,"",IF(INDEX('OneCause_Paste'!$A$2369:$AZ$2369,1,OC_Txn)="","",INDEX('OneCause_Paste'!$A$2369:$AZ$2369,1,OC_Txn)))</f>
        <v/>
      </c>
      <c r="M2369">
        <f>IF(OC_Pay=0,"",IF(INDEX('OneCause_Paste'!$A$2369:$AZ$2369,1,OC_Pay)="","",INDEX('OneCause_Paste'!$A$2369:$AZ$2369,1,OC_Pay)))</f>
        <v/>
      </c>
      <c r="N2369">
        <f>IF(I2369="","",IF(ISNUMBER(I2369),INT(I2369),IFERROR(INT(DATEVALUE(I2369)),IFERROR(INT(VALUE(I2369)),"bad"))))</f>
        <v/>
      </c>
      <c r="O2369">
        <f>IF(J2369="","",IF(ISNUMBER(J2369),ROUND(J2369,2),IFERROR(ROUND(VALUE(SUBSTITUTE(SUBSTITUTE(SUBSTITUTE(J2369,"$",""),",","")," ","")),2),"bad")))</f>
        <v/>
      </c>
      <c r="P2369">
        <f>IF(TRIM(K2369)="","",IFERROR(MATCH(LOWER(TRIM(K2369)),'Students'!$AH$2:$AH$701,0),IFERROR(MATCH(LOWER(TRIM(K2369)),'Students'!$AF$2:$AF$701,0),IFERROR(MATCH(LOWER(TRIM(K2369)),'Students'!$AG$2:$AG$701,0),""))))</f>
        <v/>
      </c>
      <c r="R2369">
        <f>IF(P2369="","",INDEX('Students'!$AD$2:$AD$701,P2369))</f>
        <v/>
      </c>
      <c r="S2369">
        <f>IF(H2369="OK",O2369,0)</f>
        <v/>
      </c>
      <c r="T2369">
        <f>IF(H2369="OK",N2369,"")</f>
        <v/>
      </c>
      <c r="U2369">
        <f>IF(OC_Donor=0,"",IF(INDEX('OneCause_Paste'!$A$2369:$AZ$2369,1,OC_Donor)="","",INDEX('OneCause_Paste'!$A$2369:$AZ$2369,1,OC_Donor)))</f>
        <v/>
      </c>
    </row>
    <row r="2370">
      <c r="A2370" s="62">
        <f>IF(H2370="","",IF(ISNUMBER(N2370),N2370,I2370))</f>
        <v/>
      </c>
      <c r="B2370">
        <f>IF(H2370="","",U2370)</f>
        <v/>
      </c>
      <c r="C2370">
        <f>IF(H2370="","",IF(P2370="",K2370,INDEX('Students'!$A$2:$A$701,P2370)))</f>
        <v/>
      </c>
      <c r="D2370">
        <f>IF(OR(H2370="",P2370=""),"",INDEX('Students'!$B$2:$B$701,P2370))</f>
        <v/>
      </c>
      <c r="E2370">
        <f>IF(OR(H2370="",P2370=""),"",INDEX('Students'!$C$2:$C$701,P2370))</f>
        <v/>
      </c>
      <c r="F2370" s="48">
        <f>IF(H2370="","",IF(ISNUMBER(O2370),O2370,J2370))</f>
        <v/>
      </c>
      <c r="G2370">
        <f>IF(H2370="","","OneCause")</f>
        <v/>
      </c>
      <c r="H2370">
        <f>IF(AND(I2370="",J2370="",K2370=""),"",IF(NOT(ISNUMBER(O2370)),"Bad amount",IF(O2370&lt;0,"Refund (not counted)",IF(O2370=0,"Zero amount",IF(NOT(ISNUMBER(N2370)),"Bad date",IF(P2370="","NAME NOT ON ROSTER",IF(L2370="","OK",IF(MATCH(L2370,$L$2:$L$3001,0)&lt;ROW()-1,"Duplicate (ignored)","OK"))))))))</f>
        <v/>
      </c>
      <c r="I2370">
        <f>IF(OC_Date=0,"",IF(INDEX('OneCause_Paste'!$A$2370:$AZ$2370,1,OC_Date)="","",INDEX('OneCause_Paste'!$A$2370:$AZ$2370,1,OC_Date)))</f>
        <v/>
      </c>
      <c r="J2370">
        <f>IF(OC_Amt=0,"",IF(INDEX('OneCause_Paste'!$A$2370:$AZ$2370,1,OC_Amt)="","",INDEX('OneCause_Paste'!$A$2370:$AZ$2370,1,OC_Amt)))</f>
        <v/>
      </c>
      <c r="K2370">
        <f>IF(OC_Name=0,"",IF(INDEX('OneCause_Paste'!$A$2370:$AZ$2370,1,OC_Name)="","",INDEX('OneCause_Paste'!$A$2370:$AZ$2370,1,OC_Name)))</f>
        <v/>
      </c>
      <c r="L2370">
        <f>IF(OC_Txn=0,"",IF(INDEX('OneCause_Paste'!$A$2370:$AZ$2370,1,OC_Txn)="","",INDEX('OneCause_Paste'!$A$2370:$AZ$2370,1,OC_Txn)))</f>
        <v/>
      </c>
      <c r="M2370">
        <f>IF(OC_Pay=0,"",IF(INDEX('OneCause_Paste'!$A$2370:$AZ$2370,1,OC_Pay)="","",INDEX('OneCause_Paste'!$A$2370:$AZ$2370,1,OC_Pay)))</f>
        <v/>
      </c>
      <c r="N2370">
        <f>IF(I2370="","",IF(ISNUMBER(I2370),INT(I2370),IFERROR(INT(DATEVALUE(I2370)),IFERROR(INT(VALUE(I2370)),"bad"))))</f>
        <v/>
      </c>
      <c r="O2370">
        <f>IF(J2370="","",IF(ISNUMBER(J2370),ROUND(J2370,2),IFERROR(ROUND(VALUE(SUBSTITUTE(SUBSTITUTE(SUBSTITUTE(J2370,"$",""),",","")," ","")),2),"bad")))</f>
        <v/>
      </c>
      <c r="P2370">
        <f>IF(TRIM(K2370)="","",IFERROR(MATCH(LOWER(TRIM(K2370)),'Students'!$AH$2:$AH$701,0),IFERROR(MATCH(LOWER(TRIM(K2370)),'Students'!$AF$2:$AF$701,0),IFERROR(MATCH(LOWER(TRIM(K2370)),'Students'!$AG$2:$AG$701,0),""))))</f>
        <v/>
      </c>
      <c r="R2370">
        <f>IF(P2370="","",INDEX('Students'!$AD$2:$AD$701,P2370))</f>
        <v/>
      </c>
      <c r="S2370">
        <f>IF(H2370="OK",O2370,0)</f>
        <v/>
      </c>
      <c r="T2370">
        <f>IF(H2370="OK",N2370,"")</f>
        <v/>
      </c>
      <c r="U2370">
        <f>IF(OC_Donor=0,"",IF(INDEX('OneCause_Paste'!$A$2370:$AZ$2370,1,OC_Donor)="","",INDEX('OneCause_Paste'!$A$2370:$AZ$2370,1,OC_Donor)))</f>
        <v/>
      </c>
    </row>
    <row r="2371">
      <c r="A2371" s="62">
        <f>IF(H2371="","",IF(ISNUMBER(N2371),N2371,I2371))</f>
        <v/>
      </c>
      <c r="B2371">
        <f>IF(H2371="","",U2371)</f>
        <v/>
      </c>
      <c r="C2371">
        <f>IF(H2371="","",IF(P2371="",K2371,INDEX('Students'!$A$2:$A$701,P2371)))</f>
        <v/>
      </c>
      <c r="D2371">
        <f>IF(OR(H2371="",P2371=""),"",INDEX('Students'!$B$2:$B$701,P2371))</f>
        <v/>
      </c>
      <c r="E2371">
        <f>IF(OR(H2371="",P2371=""),"",INDEX('Students'!$C$2:$C$701,P2371))</f>
        <v/>
      </c>
      <c r="F2371" s="48">
        <f>IF(H2371="","",IF(ISNUMBER(O2371),O2371,J2371))</f>
        <v/>
      </c>
      <c r="G2371">
        <f>IF(H2371="","","OneCause")</f>
        <v/>
      </c>
      <c r="H2371">
        <f>IF(AND(I2371="",J2371="",K2371=""),"",IF(NOT(ISNUMBER(O2371)),"Bad amount",IF(O2371&lt;0,"Refund (not counted)",IF(O2371=0,"Zero amount",IF(NOT(ISNUMBER(N2371)),"Bad date",IF(P2371="","NAME NOT ON ROSTER",IF(L2371="","OK",IF(MATCH(L2371,$L$2:$L$3001,0)&lt;ROW()-1,"Duplicate (ignored)","OK"))))))))</f>
        <v/>
      </c>
      <c r="I2371">
        <f>IF(OC_Date=0,"",IF(INDEX('OneCause_Paste'!$A$2371:$AZ$2371,1,OC_Date)="","",INDEX('OneCause_Paste'!$A$2371:$AZ$2371,1,OC_Date)))</f>
        <v/>
      </c>
      <c r="J2371">
        <f>IF(OC_Amt=0,"",IF(INDEX('OneCause_Paste'!$A$2371:$AZ$2371,1,OC_Amt)="","",INDEX('OneCause_Paste'!$A$2371:$AZ$2371,1,OC_Amt)))</f>
        <v/>
      </c>
      <c r="K2371">
        <f>IF(OC_Name=0,"",IF(INDEX('OneCause_Paste'!$A$2371:$AZ$2371,1,OC_Name)="","",INDEX('OneCause_Paste'!$A$2371:$AZ$2371,1,OC_Name)))</f>
        <v/>
      </c>
      <c r="L2371">
        <f>IF(OC_Txn=0,"",IF(INDEX('OneCause_Paste'!$A$2371:$AZ$2371,1,OC_Txn)="","",INDEX('OneCause_Paste'!$A$2371:$AZ$2371,1,OC_Txn)))</f>
        <v/>
      </c>
      <c r="M2371">
        <f>IF(OC_Pay=0,"",IF(INDEX('OneCause_Paste'!$A$2371:$AZ$2371,1,OC_Pay)="","",INDEX('OneCause_Paste'!$A$2371:$AZ$2371,1,OC_Pay)))</f>
        <v/>
      </c>
      <c r="N2371">
        <f>IF(I2371="","",IF(ISNUMBER(I2371),INT(I2371),IFERROR(INT(DATEVALUE(I2371)),IFERROR(INT(VALUE(I2371)),"bad"))))</f>
        <v/>
      </c>
      <c r="O2371">
        <f>IF(J2371="","",IF(ISNUMBER(J2371),ROUND(J2371,2),IFERROR(ROUND(VALUE(SUBSTITUTE(SUBSTITUTE(SUBSTITUTE(J2371,"$",""),",","")," ","")),2),"bad")))</f>
        <v/>
      </c>
      <c r="P2371">
        <f>IF(TRIM(K2371)="","",IFERROR(MATCH(LOWER(TRIM(K2371)),'Students'!$AH$2:$AH$701,0),IFERROR(MATCH(LOWER(TRIM(K2371)),'Students'!$AF$2:$AF$701,0),IFERROR(MATCH(LOWER(TRIM(K2371)),'Students'!$AG$2:$AG$701,0),""))))</f>
        <v/>
      </c>
      <c r="R2371">
        <f>IF(P2371="","",INDEX('Students'!$AD$2:$AD$701,P2371))</f>
        <v/>
      </c>
      <c r="S2371">
        <f>IF(H2371="OK",O2371,0)</f>
        <v/>
      </c>
      <c r="T2371">
        <f>IF(H2371="OK",N2371,"")</f>
        <v/>
      </c>
      <c r="U2371">
        <f>IF(OC_Donor=0,"",IF(INDEX('OneCause_Paste'!$A$2371:$AZ$2371,1,OC_Donor)="","",INDEX('OneCause_Paste'!$A$2371:$AZ$2371,1,OC_Donor)))</f>
        <v/>
      </c>
    </row>
    <row r="2372">
      <c r="A2372" s="62">
        <f>IF(H2372="","",IF(ISNUMBER(N2372),N2372,I2372))</f>
        <v/>
      </c>
      <c r="B2372">
        <f>IF(H2372="","",U2372)</f>
        <v/>
      </c>
      <c r="C2372">
        <f>IF(H2372="","",IF(P2372="",K2372,INDEX('Students'!$A$2:$A$701,P2372)))</f>
        <v/>
      </c>
      <c r="D2372">
        <f>IF(OR(H2372="",P2372=""),"",INDEX('Students'!$B$2:$B$701,P2372))</f>
        <v/>
      </c>
      <c r="E2372">
        <f>IF(OR(H2372="",P2372=""),"",INDEX('Students'!$C$2:$C$701,P2372))</f>
        <v/>
      </c>
      <c r="F2372" s="48">
        <f>IF(H2372="","",IF(ISNUMBER(O2372),O2372,J2372))</f>
        <v/>
      </c>
      <c r="G2372">
        <f>IF(H2372="","","OneCause")</f>
        <v/>
      </c>
      <c r="H2372">
        <f>IF(AND(I2372="",J2372="",K2372=""),"",IF(NOT(ISNUMBER(O2372)),"Bad amount",IF(O2372&lt;0,"Refund (not counted)",IF(O2372=0,"Zero amount",IF(NOT(ISNUMBER(N2372)),"Bad date",IF(P2372="","NAME NOT ON ROSTER",IF(L2372="","OK",IF(MATCH(L2372,$L$2:$L$3001,0)&lt;ROW()-1,"Duplicate (ignored)","OK"))))))))</f>
        <v/>
      </c>
      <c r="I2372">
        <f>IF(OC_Date=0,"",IF(INDEX('OneCause_Paste'!$A$2372:$AZ$2372,1,OC_Date)="","",INDEX('OneCause_Paste'!$A$2372:$AZ$2372,1,OC_Date)))</f>
        <v/>
      </c>
      <c r="J2372">
        <f>IF(OC_Amt=0,"",IF(INDEX('OneCause_Paste'!$A$2372:$AZ$2372,1,OC_Amt)="","",INDEX('OneCause_Paste'!$A$2372:$AZ$2372,1,OC_Amt)))</f>
        <v/>
      </c>
      <c r="K2372">
        <f>IF(OC_Name=0,"",IF(INDEX('OneCause_Paste'!$A$2372:$AZ$2372,1,OC_Name)="","",INDEX('OneCause_Paste'!$A$2372:$AZ$2372,1,OC_Name)))</f>
        <v/>
      </c>
      <c r="L2372">
        <f>IF(OC_Txn=0,"",IF(INDEX('OneCause_Paste'!$A$2372:$AZ$2372,1,OC_Txn)="","",INDEX('OneCause_Paste'!$A$2372:$AZ$2372,1,OC_Txn)))</f>
        <v/>
      </c>
      <c r="M2372">
        <f>IF(OC_Pay=0,"",IF(INDEX('OneCause_Paste'!$A$2372:$AZ$2372,1,OC_Pay)="","",INDEX('OneCause_Paste'!$A$2372:$AZ$2372,1,OC_Pay)))</f>
        <v/>
      </c>
      <c r="N2372">
        <f>IF(I2372="","",IF(ISNUMBER(I2372),INT(I2372),IFERROR(INT(DATEVALUE(I2372)),IFERROR(INT(VALUE(I2372)),"bad"))))</f>
        <v/>
      </c>
      <c r="O2372">
        <f>IF(J2372="","",IF(ISNUMBER(J2372),ROUND(J2372,2),IFERROR(ROUND(VALUE(SUBSTITUTE(SUBSTITUTE(SUBSTITUTE(J2372,"$",""),",","")," ","")),2),"bad")))</f>
        <v/>
      </c>
      <c r="P2372">
        <f>IF(TRIM(K2372)="","",IFERROR(MATCH(LOWER(TRIM(K2372)),'Students'!$AH$2:$AH$701,0),IFERROR(MATCH(LOWER(TRIM(K2372)),'Students'!$AF$2:$AF$701,0),IFERROR(MATCH(LOWER(TRIM(K2372)),'Students'!$AG$2:$AG$701,0),""))))</f>
        <v/>
      </c>
      <c r="R2372">
        <f>IF(P2372="","",INDEX('Students'!$AD$2:$AD$701,P2372))</f>
        <v/>
      </c>
      <c r="S2372">
        <f>IF(H2372="OK",O2372,0)</f>
        <v/>
      </c>
      <c r="T2372">
        <f>IF(H2372="OK",N2372,"")</f>
        <v/>
      </c>
      <c r="U2372">
        <f>IF(OC_Donor=0,"",IF(INDEX('OneCause_Paste'!$A$2372:$AZ$2372,1,OC_Donor)="","",INDEX('OneCause_Paste'!$A$2372:$AZ$2372,1,OC_Donor)))</f>
        <v/>
      </c>
    </row>
    <row r="2373">
      <c r="A2373" s="62">
        <f>IF(H2373="","",IF(ISNUMBER(N2373),N2373,I2373))</f>
        <v/>
      </c>
      <c r="B2373">
        <f>IF(H2373="","",U2373)</f>
        <v/>
      </c>
      <c r="C2373">
        <f>IF(H2373="","",IF(P2373="",K2373,INDEX('Students'!$A$2:$A$701,P2373)))</f>
        <v/>
      </c>
      <c r="D2373">
        <f>IF(OR(H2373="",P2373=""),"",INDEX('Students'!$B$2:$B$701,P2373))</f>
        <v/>
      </c>
      <c r="E2373">
        <f>IF(OR(H2373="",P2373=""),"",INDEX('Students'!$C$2:$C$701,P2373))</f>
        <v/>
      </c>
      <c r="F2373" s="48">
        <f>IF(H2373="","",IF(ISNUMBER(O2373),O2373,J2373))</f>
        <v/>
      </c>
      <c r="G2373">
        <f>IF(H2373="","","OneCause")</f>
        <v/>
      </c>
      <c r="H2373">
        <f>IF(AND(I2373="",J2373="",K2373=""),"",IF(NOT(ISNUMBER(O2373)),"Bad amount",IF(O2373&lt;0,"Refund (not counted)",IF(O2373=0,"Zero amount",IF(NOT(ISNUMBER(N2373)),"Bad date",IF(P2373="","NAME NOT ON ROSTER",IF(L2373="","OK",IF(MATCH(L2373,$L$2:$L$3001,0)&lt;ROW()-1,"Duplicate (ignored)","OK"))))))))</f>
        <v/>
      </c>
      <c r="I2373">
        <f>IF(OC_Date=0,"",IF(INDEX('OneCause_Paste'!$A$2373:$AZ$2373,1,OC_Date)="","",INDEX('OneCause_Paste'!$A$2373:$AZ$2373,1,OC_Date)))</f>
        <v/>
      </c>
      <c r="J2373">
        <f>IF(OC_Amt=0,"",IF(INDEX('OneCause_Paste'!$A$2373:$AZ$2373,1,OC_Amt)="","",INDEX('OneCause_Paste'!$A$2373:$AZ$2373,1,OC_Amt)))</f>
        <v/>
      </c>
      <c r="K2373">
        <f>IF(OC_Name=0,"",IF(INDEX('OneCause_Paste'!$A$2373:$AZ$2373,1,OC_Name)="","",INDEX('OneCause_Paste'!$A$2373:$AZ$2373,1,OC_Name)))</f>
        <v/>
      </c>
      <c r="L2373">
        <f>IF(OC_Txn=0,"",IF(INDEX('OneCause_Paste'!$A$2373:$AZ$2373,1,OC_Txn)="","",INDEX('OneCause_Paste'!$A$2373:$AZ$2373,1,OC_Txn)))</f>
        <v/>
      </c>
      <c r="M2373">
        <f>IF(OC_Pay=0,"",IF(INDEX('OneCause_Paste'!$A$2373:$AZ$2373,1,OC_Pay)="","",INDEX('OneCause_Paste'!$A$2373:$AZ$2373,1,OC_Pay)))</f>
        <v/>
      </c>
      <c r="N2373">
        <f>IF(I2373="","",IF(ISNUMBER(I2373),INT(I2373),IFERROR(INT(DATEVALUE(I2373)),IFERROR(INT(VALUE(I2373)),"bad"))))</f>
        <v/>
      </c>
      <c r="O2373">
        <f>IF(J2373="","",IF(ISNUMBER(J2373),ROUND(J2373,2),IFERROR(ROUND(VALUE(SUBSTITUTE(SUBSTITUTE(SUBSTITUTE(J2373,"$",""),",","")," ","")),2),"bad")))</f>
        <v/>
      </c>
      <c r="P2373">
        <f>IF(TRIM(K2373)="","",IFERROR(MATCH(LOWER(TRIM(K2373)),'Students'!$AH$2:$AH$701,0),IFERROR(MATCH(LOWER(TRIM(K2373)),'Students'!$AF$2:$AF$701,0),IFERROR(MATCH(LOWER(TRIM(K2373)),'Students'!$AG$2:$AG$701,0),""))))</f>
        <v/>
      </c>
      <c r="R2373">
        <f>IF(P2373="","",INDEX('Students'!$AD$2:$AD$701,P2373))</f>
        <v/>
      </c>
      <c r="S2373">
        <f>IF(H2373="OK",O2373,0)</f>
        <v/>
      </c>
      <c r="T2373">
        <f>IF(H2373="OK",N2373,"")</f>
        <v/>
      </c>
      <c r="U2373">
        <f>IF(OC_Donor=0,"",IF(INDEX('OneCause_Paste'!$A$2373:$AZ$2373,1,OC_Donor)="","",INDEX('OneCause_Paste'!$A$2373:$AZ$2373,1,OC_Donor)))</f>
        <v/>
      </c>
    </row>
    <row r="2374">
      <c r="A2374" s="62">
        <f>IF(H2374="","",IF(ISNUMBER(N2374),N2374,I2374))</f>
        <v/>
      </c>
      <c r="B2374">
        <f>IF(H2374="","",U2374)</f>
        <v/>
      </c>
      <c r="C2374">
        <f>IF(H2374="","",IF(P2374="",K2374,INDEX('Students'!$A$2:$A$701,P2374)))</f>
        <v/>
      </c>
      <c r="D2374">
        <f>IF(OR(H2374="",P2374=""),"",INDEX('Students'!$B$2:$B$701,P2374))</f>
        <v/>
      </c>
      <c r="E2374">
        <f>IF(OR(H2374="",P2374=""),"",INDEX('Students'!$C$2:$C$701,P2374))</f>
        <v/>
      </c>
      <c r="F2374" s="48">
        <f>IF(H2374="","",IF(ISNUMBER(O2374),O2374,J2374))</f>
        <v/>
      </c>
      <c r="G2374">
        <f>IF(H2374="","","OneCause")</f>
        <v/>
      </c>
      <c r="H2374">
        <f>IF(AND(I2374="",J2374="",K2374=""),"",IF(NOT(ISNUMBER(O2374)),"Bad amount",IF(O2374&lt;0,"Refund (not counted)",IF(O2374=0,"Zero amount",IF(NOT(ISNUMBER(N2374)),"Bad date",IF(P2374="","NAME NOT ON ROSTER",IF(L2374="","OK",IF(MATCH(L2374,$L$2:$L$3001,0)&lt;ROW()-1,"Duplicate (ignored)","OK"))))))))</f>
        <v/>
      </c>
      <c r="I2374">
        <f>IF(OC_Date=0,"",IF(INDEX('OneCause_Paste'!$A$2374:$AZ$2374,1,OC_Date)="","",INDEX('OneCause_Paste'!$A$2374:$AZ$2374,1,OC_Date)))</f>
        <v/>
      </c>
      <c r="J2374">
        <f>IF(OC_Amt=0,"",IF(INDEX('OneCause_Paste'!$A$2374:$AZ$2374,1,OC_Amt)="","",INDEX('OneCause_Paste'!$A$2374:$AZ$2374,1,OC_Amt)))</f>
        <v/>
      </c>
      <c r="K2374">
        <f>IF(OC_Name=0,"",IF(INDEX('OneCause_Paste'!$A$2374:$AZ$2374,1,OC_Name)="","",INDEX('OneCause_Paste'!$A$2374:$AZ$2374,1,OC_Name)))</f>
        <v/>
      </c>
      <c r="L2374">
        <f>IF(OC_Txn=0,"",IF(INDEX('OneCause_Paste'!$A$2374:$AZ$2374,1,OC_Txn)="","",INDEX('OneCause_Paste'!$A$2374:$AZ$2374,1,OC_Txn)))</f>
        <v/>
      </c>
      <c r="M2374">
        <f>IF(OC_Pay=0,"",IF(INDEX('OneCause_Paste'!$A$2374:$AZ$2374,1,OC_Pay)="","",INDEX('OneCause_Paste'!$A$2374:$AZ$2374,1,OC_Pay)))</f>
        <v/>
      </c>
      <c r="N2374">
        <f>IF(I2374="","",IF(ISNUMBER(I2374),INT(I2374),IFERROR(INT(DATEVALUE(I2374)),IFERROR(INT(VALUE(I2374)),"bad"))))</f>
        <v/>
      </c>
      <c r="O2374">
        <f>IF(J2374="","",IF(ISNUMBER(J2374),ROUND(J2374,2),IFERROR(ROUND(VALUE(SUBSTITUTE(SUBSTITUTE(SUBSTITUTE(J2374,"$",""),",","")," ","")),2),"bad")))</f>
        <v/>
      </c>
      <c r="P2374">
        <f>IF(TRIM(K2374)="","",IFERROR(MATCH(LOWER(TRIM(K2374)),'Students'!$AH$2:$AH$701,0),IFERROR(MATCH(LOWER(TRIM(K2374)),'Students'!$AF$2:$AF$701,0),IFERROR(MATCH(LOWER(TRIM(K2374)),'Students'!$AG$2:$AG$701,0),""))))</f>
        <v/>
      </c>
      <c r="R2374">
        <f>IF(P2374="","",INDEX('Students'!$AD$2:$AD$701,P2374))</f>
        <v/>
      </c>
      <c r="S2374">
        <f>IF(H2374="OK",O2374,0)</f>
        <v/>
      </c>
      <c r="T2374">
        <f>IF(H2374="OK",N2374,"")</f>
        <v/>
      </c>
      <c r="U2374">
        <f>IF(OC_Donor=0,"",IF(INDEX('OneCause_Paste'!$A$2374:$AZ$2374,1,OC_Donor)="","",INDEX('OneCause_Paste'!$A$2374:$AZ$2374,1,OC_Donor)))</f>
        <v/>
      </c>
    </row>
    <row r="2375">
      <c r="A2375" s="62">
        <f>IF(H2375="","",IF(ISNUMBER(N2375),N2375,I2375))</f>
        <v/>
      </c>
      <c r="B2375">
        <f>IF(H2375="","",U2375)</f>
        <v/>
      </c>
      <c r="C2375">
        <f>IF(H2375="","",IF(P2375="",K2375,INDEX('Students'!$A$2:$A$701,P2375)))</f>
        <v/>
      </c>
      <c r="D2375">
        <f>IF(OR(H2375="",P2375=""),"",INDEX('Students'!$B$2:$B$701,P2375))</f>
        <v/>
      </c>
      <c r="E2375">
        <f>IF(OR(H2375="",P2375=""),"",INDEX('Students'!$C$2:$C$701,P2375))</f>
        <v/>
      </c>
      <c r="F2375" s="48">
        <f>IF(H2375="","",IF(ISNUMBER(O2375),O2375,J2375))</f>
        <v/>
      </c>
      <c r="G2375">
        <f>IF(H2375="","","OneCause")</f>
        <v/>
      </c>
      <c r="H2375">
        <f>IF(AND(I2375="",J2375="",K2375=""),"",IF(NOT(ISNUMBER(O2375)),"Bad amount",IF(O2375&lt;0,"Refund (not counted)",IF(O2375=0,"Zero amount",IF(NOT(ISNUMBER(N2375)),"Bad date",IF(P2375="","NAME NOT ON ROSTER",IF(L2375="","OK",IF(MATCH(L2375,$L$2:$L$3001,0)&lt;ROW()-1,"Duplicate (ignored)","OK"))))))))</f>
        <v/>
      </c>
      <c r="I2375">
        <f>IF(OC_Date=0,"",IF(INDEX('OneCause_Paste'!$A$2375:$AZ$2375,1,OC_Date)="","",INDEX('OneCause_Paste'!$A$2375:$AZ$2375,1,OC_Date)))</f>
        <v/>
      </c>
      <c r="J2375">
        <f>IF(OC_Amt=0,"",IF(INDEX('OneCause_Paste'!$A$2375:$AZ$2375,1,OC_Amt)="","",INDEX('OneCause_Paste'!$A$2375:$AZ$2375,1,OC_Amt)))</f>
        <v/>
      </c>
      <c r="K2375">
        <f>IF(OC_Name=0,"",IF(INDEX('OneCause_Paste'!$A$2375:$AZ$2375,1,OC_Name)="","",INDEX('OneCause_Paste'!$A$2375:$AZ$2375,1,OC_Name)))</f>
        <v/>
      </c>
      <c r="L2375">
        <f>IF(OC_Txn=0,"",IF(INDEX('OneCause_Paste'!$A$2375:$AZ$2375,1,OC_Txn)="","",INDEX('OneCause_Paste'!$A$2375:$AZ$2375,1,OC_Txn)))</f>
        <v/>
      </c>
      <c r="M2375">
        <f>IF(OC_Pay=0,"",IF(INDEX('OneCause_Paste'!$A$2375:$AZ$2375,1,OC_Pay)="","",INDEX('OneCause_Paste'!$A$2375:$AZ$2375,1,OC_Pay)))</f>
        <v/>
      </c>
      <c r="N2375">
        <f>IF(I2375="","",IF(ISNUMBER(I2375),INT(I2375),IFERROR(INT(DATEVALUE(I2375)),IFERROR(INT(VALUE(I2375)),"bad"))))</f>
        <v/>
      </c>
      <c r="O2375">
        <f>IF(J2375="","",IF(ISNUMBER(J2375),ROUND(J2375,2),IFERROR(ROUND(VALUE(SUBSTITUTE(SUBSTITUTE(SUBSTITUTE(J2375,"$",""),",","")," ","")),2),"bad")))</f>
        <v/>
      </c>
      <c r="P2375">
        <f>IF(TRIM(K2375)="","",IFERROR(MATCH(LOWER(TRIM(K2375)),'Students'!$AH$2:$AH$701,0),IFERROR(MATCH(LOWER(TRIM(K2375)),'Students'!$AF$2:$AF$701,0),IFERROR(MATCH(LOWER(TRIM(K2375)),'Students'!$AG$2:$AG$701,0),""))))</f>
        <v/>
      </c>
      <c r="R2375">
        <f>IF(P2375="","",INDEX('Students'!$AD$2:$AD$701,P2375))</f>
        <v/>
      </c>
      <c r="S2375">
        <f>IF(H2375="OK",O2375,0)</f>
        <v/>
      </c>
      <c r="T2375">
        <f>IF(H2375="OK",N2375,"")</f>
        <v/>
      </c>
      <c r="U2375">
        <f>IF(OC_Donor=0,"",IF(INDEX('OneCause_Paste'!$A$2375:$AZ$2375,1,OC_Donor)="","",INDEX('OneCause_Paste'!$A$2375:$AZ$2375,1,OC_Donor)))</f>
        <v/>
      </c>
    </row>
    <row r="2376">
      <c r="A2376" s="62">
        <f>IF(H2376="","",IF(ISNUMBER(N2376),N2376,I2376))</f>
        <v/>
      </c>
      <c r="B2376">
        <f>IF(H2376="","",U2376)</f>
        <v/>
      </c>
      <c r="C2376">
        <f>IF(H2376="","",IF(P2376="",K2376,INDEX('Students'!$A$2:$A$701,P2376)))</f>
        <v/>
      </c>
      <c r="D2376">
        <f>IF(OR(H2376="",P2376=""),"",INDEX('Students'!$B$2:$B$701,P2376))</f>
        <v/>
      </c>
      <c r="E2376">
        <f>IF(OR(H2376="",P2376=""),"",INDEX('Students'!$C$2:$C$701,P2376))</f>
        <v/>
      </c>
      <c r="F2376" s="48">
        <f>IF(H2376="","",IF(ISNUMBER(O2376),O2376,J2376))</f>
        <v/>
      </c>
      <c r="G2376">
        <f>IF(H2376="","","OneCause")</f>
        <v/>
      </c>
      <c r="H2376">
        <f>IF(AND(I2376="",J2376="",K2376=""),"",IF(NOT(ISNUMBER(O2376)),"Bad amount",IF(O2376&lt;0,"Refund (not counted)",IF(O2376=0,"Zero amount",IF(NOT(ISNUMBER(N2376)),"Bad date",IF(P2376="","NAME NOT ON ROSTER",IF(L2376="","OK",IF(MATCH(L2376,$L$2:$L$3001,0)&lt;ROW()-1,"Duplicate (ignored)","OK"))))))))</f>
        <v/>
      </c>
      <c r="I2376">
        <f>IF(OC_Date=0,"",IF(INDEX('OneCause_Paste'!$A$2376:$AZ$2376,1,OC_Date)="","",INDEX('OneCause_Paste'!$A$2376:$AZ$2376,1,OC_Date)))</f>
        <v/>
      </c>
      <c r="J2376">
        <f>IF(OC_Amt=0,"",IF(INDEX('OneCause_Paste'!$A$2376:$AZ$2376,1,OC_Amt)="","",INDEX('OneCause_Paste'!$A$2376:$AZ$2376,1,OC_Amt)))</f>
        <v/>
      </c>
      <c r="K2376">
        <f>IF(OC_Name=0,"",IF(INDEX('OneCause_Paste'!$A$2376:$AZ$2376,1,OC_Name)="","",INDEX('OneCause_Paste'!$A$2376:$AZ$2376,1,OC_Name)))</f>
        <v/>
      </c>
      <c r="L2376">
        <f>IF(OC_Txn=0,"",IF(INDEX('OneCause_Paste'!$A$2376:$AZ$2376,1,OC_Txn)="","",INDEX('OneCause_Paste'!$A$2376:$AZ$2376,1,OC_Txn)))</f>
        <v/>
      </c>
      <c r="M2376">
        <f>IF(OC_Pay=0,"",IF(INDEX('OneCause_Paste'!$A$2376:$AZ$2376,1,OC_Pay)="","",INDEX('OneCause_Paste'!$A$2376:$AZ$2376,1,OC_Pay)))</f>
        <v/>
      </c>
      <c r="N2376">
        <f>IF(I2376="","",IF(ISNUMBER(I2376),INT(I2376),IFERROR(INT(DATEVALUE(I2376)),IFERROR(INT(VALUE(I2376)),"bad"))))</f>
        <v/>
      </c>
      <c r="O2376">
        <f>IF(J2376="","",IF(ISNUMBER(J2376),ROUND(J2376,2),IFERROR(ROUND(VALUE(SUBSTITUTE(SUBSTITUTE(SUBSTITUTE(J2376,"$",""),",","")," ","")),2),"bad")))</f>
        <v/>
      </c>
      <c r="P2376">
        <f>IF(TRIM(K2376)="","",IFERROR(MATCH(LOWER(TRIM(K2376)),'Students'!$AH$2:$AH$701,0),IFERROR(MATCH(LOWER(TRIM(K2376)),'Students'!$AF$2:$AF$701,0),IFERROR(MATCH(LOWER(TRIM(K2376)),'Students'!$AG$2:$AG$701,0),""))))</f>
        <v/>
      </c>
      <c r="R2376">
        <f>IF(P2376="","",INDEX('Students'!$AD$2:$AD$701,P2376))</f>
        <v/>
      </c>
      <c r="S2376">
        <f>IF(H2376="OK",O2376,0)</f>
        <v/>
      </c>
      <c r="T2376">
        <f>IF(H2376="OK",N2376,"")</f>
        <v/>
      </c>
      <c r="U2376">
        <f>IF(OC_Donor=0,"",IF(INDEX('OneCause_Paste'!$A$2376:$AZ$2376,1,OC_Donor)="","",INDEX('OneCause_Paste'!$A$2376:$AZ$2376,1,OC_Donor)))</f>
        <v/>
      </c>
    </row>
    <row r="2377">
      <c r="A2377" s="62">
        <f>IF(H2377="","",IF(ISNUMBER(N2377),N2377,I2377))</f>
        <v/>
      </c>
      <c r="B2377">
        <f>IF(H2377="","",U2377)</f>
        <v/>
      </c>
      <c r="C2377">
        <f>IF(H2377="","",IF(P2377="",K2377,INDEX('Students'!$A$2:$A$701,P2377)))</f>
        <v/>
      </c>
      <c r="D2377">
        <f>IF(OR(H2377="",P2377=""),"",INDEX('Students'!$B$2:$B$701,P2377))</f>
        <v/>
      </c>
      <c r="E2377">
        <f>IF(OR(H2377="",P2377=""),"",INDEX('Students'!$C$2:$C$701,P2377))</f>
        <v/>
      </c>
      <c r="F2377" s="48">
        <f>IF(H2377="","",IF(ISNUMBER(O2377),O2377,J2377))</f>
        <v/>
      </c>
      <c r="G2377">
        <f>IF(H2377="","","OneCause")</f>
        <v/>
      </c>
      <c r="H2377">
        <f>IF(AND(I2377="",J2377="",K2377=""),"",IF(NOT(ISNUMBER(O2377)),"Bad amount",IF(O2377&lt;0,"Refund (not counted)",IF(O2377=0,"Zero amount",IF(NOT(ISNUMBER(N2377)),"Bad date",IF(P2377="","NAME NOT ON ROSTER",IF(L2377="","OK",IF(MATCH(L2377,$L$2:$L$3001,0)&lt;ROW()-1,"Duplicate (ignored)","OK"))))))))</f>
        <v/>
      </c>
      <c r="I2377">
        <f>IF(OC_Date=0,"",IF(INDEX('OneCause_Paste'!$A$2377:$AZ$2377,1,OC_Date)="","",INDEX('OneCause_Paste'!$A$2377:$AZ$2377,1,OC_Date)))</f>
        <v/>
      </c>
      <c r="J2377">
        <f>IF(OC_Amt=0,"",IF(INDEX('OneCause_Paste'!$A$2377:$AZ$2377,1,OC_Amt)="","",INDEX('OneCause_Paste'!$A$2377:$AZ$2377,1,OC_Amt)))</f>
        <v/>
      </c>
      <c r="K2377">
        <f>IF(OC_Name=0,"",IF(INDEX('OneCause_Paste'!$A$2377:$AZ$2377,1,OC_Name)="","",INDEX('OneCause_Paste'!$A$2377:$AZ$2377,1,OC_Name)))</f>
        <v/>
      </c>
      <c r="L2377">
        <f>IF(OC_Txn=0,"",IF(INDEX('OneCause_Paste'!$A$2377:$AZ$2377,1,OC_Txn)="","",INDEX('OneCause_Paste'!$A$2377:$AZ$2377,1,OC_Txn)))</f>
        <v/>
      </c>
      <c r="M2377">
        <f>IF(OC_Pay=0,"",IF(INDEX('OneCause_Paste'!$A$2377:$AZ$2377,1,OC_Pay)="","",INDEX('OneCause_Paste'!$A$2377:$AZ$2377,1,OC_Pay)))</f>
        <v/>
      </c>
      <c r="N2377">
        <f>IF(I2377="","",IF(ISNUMBER(I2377),INT(I2377),IFERROR(INT(DATEVALUE(I2377)),IFERROR(INT(VALUE(I2377)),"bad"))))</f>
        <v/>
      </c>
      <c r="O2377">
        <f>IF(J2377="","",IF(ISNUMBER(J2377),ROUND(J2377,2),IFERROR(ROUND(VALUE(SUBSTITUTE(SUBSTITUTE(SUBSTITUTE(J2377,"$",""),",","")," ","")),2),"bad")))</f>
        <v/>
      </c>
      <c r="P2377">
        <f>IF(TRIM(K2377)="","",IFERROR(MATCH(LOWER(TRIM(K2377)),'Students'!$AH$2:$AH$701,0),IFERROR(MATCH(LOWER(TRIM(K2377)),'Students'!$AF$2:$AF$701,0),IFERROR(MATCH(LOWER(TRIM(K2377)),'Students'!$AG$2:$AG$701,0),""))))</f>
        <v/>
      </c>
      <c r="R2377">
        <f>IF(P2377="","",INDEX('Students'!$AD$2:$AD$701,P2377))</f>
        <v/>
      </c>
      <c r="S2377">
        <f>IF(H2377="OK",O2377,0)</f>
        <v/>
      </c>
      <c r="T2377">
        <f>IF(H2377="OK",N2377,"")</f>
        <v/>
      </c>
      <c r="U2377">
        <f>IF(OC_Donor=0,"",IF(INDEX('OneCause_Paste'!$A$2377:$AZ$2377,1,OC_Donor)="","",INDEX('OneCause_Paste'!$A$2377:$AZ$2377,1,OC_Donor)))</f>
        <v/>
      </c>
    </row>
    <row r="2378">
      <c r="A2378" s="62">
        <f>IF(H2378="","",IF(ISNUMBER(N2378),N2378,I2378))</f>
        <v/>
      </c>
      <c r="B2378">
        <f>IF(H2378="","",U2378)</f>
        <v/>
      </c>
      <c r="C2378">
        <f>IF(H2378="","",IF(P2378="",K2378,INDEX('Students'!$A$2:$A$701,P2378)))</f>
        <v/>
      </c>
      <c r="D2378">
        <f>IF(OR(H2378="",P2378=""),"",INDEX('Students'!$B$2:$B$701,P2378))</f>
        <v/>
      </c>
      <c r="E2378">
        <f>IF(OR(H2378="",P2378=""),"",INDEX('Students'!$C$2:$C$701,P2378))</f>
        <v/>
      </c>
      <c r="F2378" s="48">
        <f>IF(H2378="","",IF(ISNUMBER(O2378),O2378,J2378))</f>
        <v/>
      </c>
      <c r="G2378">
        <f>IF(H2378="","","OneCause")</f>
        <v/>
      </c>
      <c r="H2378">
        <f>IF(AND(I2378="",J2378="",K2378=""),"",IF(NOT(ISNUMBER(O2378)),"Bad amount",IF(O2378&lt;0,"Refund (not counted)",IF(O2378=0,"Zero amount",IF(NOT(ISNUMBER(N2378)),"Bad date",IF(P2378="","NAME NOT ON ROSTER",IF(L2378="","OK",IF(MATCH(L2378,$L$2:$L$3001,0)&lt;ROW()-1,"Duplicate (ignored)","OK"))))))))</f>
        <v/>
      </c>
      <c r="I2378">
        <f>IF(OC_Date=0,"",IF(INDEX('OneCause_Paste'!$A$2378:$AZ$2378,1,OC_Date)="","",INDEX('OneCause_Paste'!$A$2378:$AZ$2378,1,OC_Date)))</f>
        <v/>
      </c>
      <c r="J2378">
        <f>IF(OC_Amt=0,"",IF(INDEX('OneCause_Paste'!$A$2378:$AZ$2378,1,OC_Amt)="","",INDEX('OneCause_Paste'!$A$2378:$AZ$2378,1,OC_Amt)))</f>
        <v/>
      </c>
      <c r="K2378">
        <f>IF(OC_Name=0,"",IF(INDEX('OneCause_Paste'!$A$2378:$AZ$2378,1,OC_Name)="","",INDEX('OneCause_Paste'!$A$2378:$AZ$2378,1,OC_Name)))</f>
        <v/>
      </c>
      <c r="L2378">
        <f>IF(OC_Txn=0,"",IF(INDEX('OneCause_Paste'!$A$2378:$AZ$2378,1,OC_Txn)="","",INDEX('OneCause_Paste'!$A$2378:$AZ$2378,1,OC_Txn)))</f>
        <v/>
      </c>
      <c r="M2378">
        <f>IF(OC_Pay=0,"",IF(INDEX('OneCause_Paste'!$A$2378:$AZ$2378,1,OC_Pay)="","",INDEX('OneCause_Paste'!$A$2378:$AZ$2378,1,OC_Pay)))</f>
        <v/>
      </c>
      <c r="N2378">
        <f>IF(I2378="","",IF(ISNUMBER(I2378),INT(I2378),IFERROR(INT(DATEVALUE(I2378)),IFERROR(INT(VALUE(I2378)),"bad"))))</f>
        <v/>
      </c>
      <c r="O2378">
        <f>IF(J2378="","",IF(ISNUMBER(J2378),ROUND(J2378,2),IFERROR(ROUND(VALUE(SUBSTITUTE(SUBSTITUTE(SUBSTITUTE(J2378,"$",""),",","")," ","")),2),"bad")))</f>
        <v/>
      </c>
      <c r="P2378">
        <f>IF(TRIM(K2378)="","",IFERROR(MATCH(LOWER(TRIM(K2378)),'Students'!$AH$2:$AH$701,0),IFERROR(MATCH(LOWER(TRIM(K2378)),'Students'!$AF$2:$AF$701,0),IFERROR(MATCH(LOWER(TRIM(K2378)),'Students'!$AG$2:$AG$701,0),""))))</f>
        <v/>
      </c>
      <c r="R2378">
        <f>IF(P2378="","",INDEX('Students'!$AD$2:$AD$701,P2378))</f>
        <v/>
      </c>
      <c r="S2378">
        <f>IF(H2378="OK",O2378,0)</f>
        <v/>
      </c>
      <c r="T2378">
        <f>IF(H2378="OK",N2378,"")</f>
        <v/>
      </c>
      <c r="U2378">
        <f>IF(OC_Donor=0,"",IF(INDEX('OneCause_Paste'!$A$2378:$AZ$2378,1,OC_Donor)="","",INDEX('OneCause_Paste'!$A$2378:$AZ$2378,1,OC_Donor)))</f>
        <v/>
      </c>
    </row>
    <row r="2379">
      <c r="A2379" s="62">
        <f>IF(H2379="","",IF(ISNUMBER(N2379),N2379,I2379))</f>
        <v/>
      </c>
      <c r="B2379">
        <f>IF(H2379="","",U2379)</f>
        <v/>
      </c>
      <c r="C2379">
        <f>IF(H2379="","",IF(P2379="",K2379,INDEX('Students'!$A$2:$A$701,P2379)))</f>
        <v/>
      </c>
      <c r="D2379">
        <f>IF(OR(H2379="",P2379=""),"",INDEX('Students'!$B$2:$B$701,P2379))</f>
        <v/>
      </c>
      <c r="E2379">
        <f>IF(OR(H2379="",P2379=""),"",INDEX('Students'!$C$2:$C$701,P2379))</f>
        <v/>
      </c>
      <c r="F2379" s="48">
        <f>IF(H2379="","",IF(ISNUMBER(O2379),O2379,J2379))</f>
        <v/>
      </c>
      <c r="G2379">
        <f>IF(H2379="","","OneCause")</f>
        <v/>
      </c>
      <c r="H2379">
        <f>IF(AND(I2379="",J2379="",K2379=""),"",IF(NOT(ISNUMBER(O2379)),"Bad amount",IF(O2379&lt;0,"Refund (not counted)",IF(O2379=0,"Zero amount",IF(NOT(ISNUMBER(N2379)),"Bad date",IF(P2379="","NAME NOT ON ROSTER",IF(L2379="","OK",IF(MATCH(L2379,$L$2:$L$3001,0)&lt;ROW()-1,"Duplicate (ignored)","OK"))))))))</f>
        <v/>
      </c>
      <c r="I2379">
        <f>IF(OC_Date=0,"",IF(INDEX('OneCause_Paste'!$A$2379:$AZ$2379,1,OC_Date)="","",INDEX('OneCause_Paste'!$A$2379:$AZ$2379,1,OC_Date)))</f>
        <v/>
      </c>
      <c r="J2379">
        <f>IF(OC_Amt=0,"",IF(INDEX('OneCause_Paste'!$A$2379:$AZ$2379,1,OC_Amt)="","",INDEX('OneCause_Paste'!$A$2379:$AZ$2379,1,OC_Amt)))</f>
        <v/>
      </c>
      <c r="K2379">
        <f>IF(OC_Name=0,"",IF(INDEX('OneCause_Paste'!$A$2379:$AZ$2379,1,OC_Name)="","",INDEX('OneCause_Paste'!$A$2379:$AZ$2379,1,OC_Name)))</f>
        <v/>
      </c>
      <c r="L2379">
        <f>IF(OC_Txn=0,"",IF(INDEX('OneCause_Paste'!$A$2379:$AZ$2379,1,OC_Txn)="","",INDEX('OneCause_Paste'!$A$2379:$AZ$2379,1,OC_Txn)))</f>
        <v/>
      </c>
      <c r="M2379">
        <f>IF(OC_Pay=0,"",IF(INDEX('OneCause_Paste'!$A$2379:$AZ$2379,1,OC_Pay)="","",INDEX('OneCause_Paste'!$A$2379:$AZ$2379,1,OC_Pay)))</f>
        <v/>
      </c>
      <c r="N2379">
        <f>IF(I2379="","",IF(ISNUMBER(I2379),INT(I2379),IFERROR(INT(DATEVALUE(I2379)),IFERROR(INT(VALUE(I2379)),"bad"))))</f>
        <v/>
      </c>
      <c r="O2379">
        <f>IF(J2379="","",IF(ISNUMBER(J2379),ROUND(J2379,2),IFERROR(ROUND(VALUE(SUBSTITUTE(SUBSTITUTE(SUBSTITUTE(J2379,"$",""),",","")," ","")),2),"bad")))</f>
        <v/>
      </c>
      <c r="P2379">
        <f>IF(TRIM(K2379)="","",IFERROR(MATCH(LOWER(TRIM(K2379)),'Students'!$AH$2:$AH$701,0),IFERROR(MATCH(LOWER(TRIM(K2379)),'Students'!$AF$2:$AF$701,0),IFERROR(MATCH(LOWER(TRIM(K2379)),'Students'!$AG$2:$AG$701,0),""))))</f>
        <v/>
      </c>
      <c r="R2379">
        <f>IF(P2379="","",INDEX('Students'!$AD$2:$AD$701,P2379))</f>
        <v/>
      </c>
      <c r="S2379">
        <f>IF(H2379="OK",O2379,0)</f>
        <v/>
      </c>
      <c r="T2379">
        <f>IF(H2379="OK",N2379,"")</f>
        <v/>
      </c>
      <c r="U2379">
        <f>IF(OC_Donor=0,"",IF(INDEX('OneCause_Paste'!$A$2379:$AZ$2379,1,OC_Donor)="","",INDEX('OneCause_Paste'!$A$2379:$AZ$2379,1,OC_Donor)))</f>
        <v/>
      </c>
    </row>
    <row r="2380">
      <c r="A2380" s="62">
        <f>IF(H2380="","",IF(ISNUMBER(N2380),N2380,I2380))</f>
        <v/>
      </c>
      <c r="B2380">
        <f>IF(H2380="","",U2380)</f>
        <v/>
      </c>
      <c r="C2380">
        <f>IF(H2380="","",IF(P2380="",K2380,INDEX('Students'!$A$2:$A$701,P2380)))</f>
        <v/>
      </c>
      <c r="D2380">
        <f>IF(OR(H2380="",P2380=""),"",INDEX('Students'!$B$2:$B$701,P2380))</f>
        <v/>
      </c>
      <c r="E2380">
        <f>IF(OR(H2380="",P2380=""),"",INDEX('Students'!$C$2:$C$701,P2380))</f>
        <v/>
      </c>
      <c r="F2380" s="48">
        <f>IF(H2380="","",IF(ISNUMBER(O2380),O2380,J2380))</f>
        <v/>
      </c>
      <c r="G2380">
        <f>IF(H2380="","","OneCause")</f>
        <v/>
      </c>
      <c r="H2380">
        <f>IF(AND(I2380="",J2380="",K2380=""),"",IF(NOT(ISNUMBER(O2380)),"Bad amount",IF(O2380&lt;0,"Refund (not counted)",IF(O2380=0,"Zero amount",IF(NOT(ISNUMBER(N2380)),"Bad date",IF(P2380="","NAME NOT ON ROSTER",IF(L2380="","OK",IF(MATCH(L2380,$L$2:$L$3001,0)&lt;ROW()-1,"Duplicate (ignored)","OK"))))))))</f>
        <v/>
      </c>
      <c r="I2380">
        <f>IF(OC_Date=0,"",IF(INDEX('OneCause_Paste'!$A$2380:$AZ$2380,1,OC_Date)="","",INDEX('OneCause_Paste'!$A$2380:$AZ$2380,1,OC_Date)))</f>
        <v/>
      </c>
      <c r="J2380">
        <f>IF(OC_Amt=0,"",IF(INDEX('OneCause_Paste'!$A$2380:$AZ$2380,1,OC_Amt)="","",INDEX('OneCause_Paste'!$A$2380:$AZ$2380,1,OC_Amt)))</f>
        <v/>
      </c>
      <c r="K2380">
        <f>IF(OC_Name=0,"",IF(INDEX('OneCause_Paste'!$A$2380:$AZ$2380,1,OC_Name)="","",INDEX('OneCause_Paste'!$A$2380:$AZ$2380,1,OC_Name)))</f>
        <v/>
      </c>
      <c r="L2380">
        <f>IF(OC_Txn=0,"",IF(INDEX('OneCause_Paste'!$A$2380:$AZ$2380,1,OC_Txn)="","",INDEX('OneCause_Paste'!$A$2380:$AZ$2380,1,OC_Txn)))</f>
        <v/>
      </c>
      <c r="M2380">
        <f>IF(OC_Pay=0,"",IF(INDEX('OneCause_Paste'!$A$2380:$AZ$2380,1,OC_Pay)="","",INDEX('OneCause_Paste'!$A$2380:$AZ$2380,1,OC_Pay)))</f>
        <v/>
      </c>
      <c r="N2380">
        <f>IF(I2380="","",IF(ISNUMBER(I2380),INT(I2380),IFERROR(INT(DATEVALUE(I2380)),IFERROR(INT(VALUE(I2380)),"bad"))))</f>
        <v/>
      </c>
      <c r="O2380">
        <f>IF(J2380="","",IF(ISNUMBER(J2380),ROUND(J2380,2),IFERROR(ROUND(VALUE(SUBSTITUTE(SUBSTITUTE(SUBSTITUTE(J2380,"$",""),",","")," ","")),2),"bad")))</f>
        <v/>
      </c>
      <c r="P2380">
        <f>IF(TRIM(K2380)="","",IFERROR(MATCH(LOWER(TRIM(K2380)),'Students'!$AH$2:$AH$701,0),IFERROR(MATCH(LOWER(TRIM(K2380)),'Students'!$AF$2:$AF$701,0),IFERROR(MATCH(LOWER(TRIM(K2380)),'Students'!$AG$2:$AG$701,0),""))))</f>
        <v/>
      </c>
      <c r="R2380">
        <f>IF(P2380="","",INDEX('Students'!$AD$2:$AD$701,P2380))</f>
        <v/>
      </c>
      <c r="S2380">
        <f>IF(H2380="OK",O2380,0)</f>
        <v/>
      </c>
      <c r="T2380">
        <f>IF(H2380="OK",N2380,"")</f>
        <v/>
      </c>
      <c r="U2380">
        <f>IF(OC_Donor=0,"",IF(INDEX('OneCause_Paste'!$A$2380:$AZ$2380,1,OC_Donor)="","",INDEX('OneCause_Paste'!$A$2380:$AZ$2380,1,OC_Donor)))</f>
        <v/>
      </c>
    </row>
    <row r="2381">
      <c r="A2381" s="62">
        <f>IF(H2381="","",IF(ISNUMBER(N2381),N2381,I2381))</f>
        <v/>
      </c>
      <c r="B2381">
        <f>IF(H2381="","",U2381)</f>
        <v/>
      </c>
      <c r="C2381">
        <f>IF(H2381="","",IF(P2381="",K2381,INDEX('Students'!$A$2:$A$701,P2381)))</f>
        <v/>
      </c>
      <c r="D2381">
        <f>IF(OR(H2381="",P2381=""),"",INDEX('Students'!$B$2:$B$701,P2381))</f>
        <v/>
      </c>
      <c r="E2381">
        <f>IF(OR(H2381="",P2381=""),"",INDEX('Students'!$C$2:$C$701,P2381))</f>
        <v/>
      </c>
      <c r="F2381" s="48">
        <f>IF(H2381="","",IF(ISNUMBER(O2381),O2381,J2381))</f>
        <v/>
      </c>
      <c r="G2381">
        <f>IF(H2381="","","OneCause")</f>
        <v/>
      </c>
      <c r="H2381">
        <f>IF(AND(I2381="",J2381="",K2381=""),"",IF(NOT(ISNUMBER(O2381)),"Bad amount",IF(O2381&lt;0,"Refund (not counted)",IF(O2381=0,"Zero amount",IF(NOT(ISNUMBER(N2381)),"Bad date",IF(P2381="","NAME NOT ON ROSTER",IF(L2381="","OK",IF(MATCH(L2381,$L$2:$L$3001,0)&lt;ROW()-1,"Duplicate (ignored)","OK"))))))))</f>
        <v/>
      </c>
      <c r="I2381">
        <f>IF(OC_Date=0,"",IF(INDEX('OneCause_Paste'!$A$2381:$AZ$2381,1,OC_Date)="","",INDEX('OneCause_Paste'!$A$2381:$AZ$2381,1,OC_Date)))</f>
        <v/>
      </c>
      <c r="J2381">
        <f>IF(OC_Amt=0,"",IF(INDEX('OneCause_Paste'!$A$2381:$AZ$2381,1,OC_Amt)="","",INDEX('OneCause_Paste'!$A$2381:$AZ$2381,1,OC_Amt)))</f>
        <v/>
      </c>
      <c r="K2381">
        <f>IF(OC_Name=0,"",IF(INDEX('OneCause_Paste'!$A$2381:$AZ$2381,1,OC_Name)="","",INDEX('OneCause_Paste'!$A$2381:$AZ$2381,1,OC_Name)))</f>
        <v/>
      </c>
      <c r="L2381">
        <f>IF(OC_Txn=0,"",IF(INDEX('OneCause_Paste'!$A$2381:$AZ$2381,1,OC_Txn)="","",INDEX('OneCause_Paste'!$A$2381:$AZ$2381,1,OC_Txn)))</f>
        <v/>
      </c>
      <c r="M2381">
        <f>IF(OC_Pay=0,"",IF(INDEX('OneCause_Paste'!$A$2381:$AZ$2381,1,OC_Pay)="","",INDEX('OneCause_Paste'!$A$2381:$AZ$2381,1,OC_Pay)))</f>
        <v/>
      </c>
      <c r="N2381">
        <f>IF(I2381="","",IF(ISNUMBER(I2381),INT(I2381),IFERROR(INT(DATEVALUE(I2381)),IFERROR(INT(VALUE(I2381)),"bad"))))</f>
        <v/>
      </c>
      <c r="O2381">
        <f>IF(J2381="","",IF(ISNUMBER(J2381),ROUND(J2381,2),IFERROR(ROUND(VALUE(SUBSTITUTE(SUBSTITUTE(SUBSTITUTE(J2381,"$",""),",","")," ","")),2),"bad")))</f>
        <v/>
      </c>
      <c r="P2381">
        <f>IF(TRIM(K2381)="","",IFERROR(MATCH(LOWER(TRIM(K2381)),'Students'!$AH$2:$AH$701,0),IFERROR(MATCH(LOWER(TRIM(K2381)),'Students'!$AF$2:$AF$701,0),IFERROR(MATCH(LOWER(TRIM(K2381)),'Students'!$AG$2:$AG$701,0),""))))</f>
        <v/>
      </c>
      <c r="R2381">
        <f>IF(P2381="","",INDEX('Students'!$AD$2:$AD$701,P2381))</f>
        <v/>
      </c>
      <c r="S2381">
        <f>IF(H2381="OK",O2381,0)</f>
        <v/>
      </c>
      <c r="T2381">
        <f>IF(H2381="OK",N2381,"")</f>
        <v/>
      </c>
      <c r="U2381">
        <f>IF(OC_Donor=0,"",IF(INDEX('OneCause_Paste'!$A$2381:$AZ$2381,1,OC_Donor)="","",INDEX('OneCause_Paste'!$A$2381:$AZ$2381,1,OC_Donor)))</f>
        <v/>
      </c>
    </row>
    <row r="2382">
      <c r="A2382" s="62">
        <f>IF(H2382="","",IF(ISNUMBER(N2382),N2382,I2382))</f>
        <v/>
      </c>
      <c r="B2382">
        <f>IF(H2382="","",U2382)</f>
        <v/>
      </c>
      <c r="C2382">
        <f>IF(H2382="","",IF(P2382="",K2382,INDEX('Students'!$A$2:$A$701,P2382)))</f>
        <v/>
      </c>
      <c r="D2382">
        <f>IF(OR(H2382="",P2382=""),"",INDEX('Students'!$B$2:$B$701,P2382))</f>
        <v/>
      </c>
      <c r="E2382">
        <f>IF(OR(H2382="",P2382=""),"",INDEX('Students'!$C$2:$C$701,P2382))</f>
        <v/>
      </c>
      <c r="F2382" s="48">
        <f>IF(H2382="","",IF(ISNUMBER(O2382),O2382,J2382))</f>
        <v/>
      </c>
      <c r="G2382">
        <f>IF(H2382="","","OneCause")</f>
        <v/>
      </c>
      <c r="H2382">
        <f>IF(AND(I2382="",J2382="",K2382=""),"",IF(NOT(ISNUMBER(O2382)),"Bad amount",IF(O2382&lt;0,"Refund (not counted)",IF(O2382=0,"Zero amount",IF(NOT(ISNUMBER(N2382)),"Bad date",IF(P2382="","NAME NOT ON ROSTER",IF(L2382="","OK",IF(MATCH(L2382,$L$2:$L$3001,0)&lt;ROW()-1,"Duplicate (ignored)","OK"))))))))</f>
        <v/>
      </c>
      <c r="I2382">
        <f>IF(OC_Date=0,"",IF(INDEX('OneCause_Paste'!$A$2382:$AZ$2382,1,OC_Date)="","",INDEX('OneCause_Paste'!$A$2382:$AZ$2382,1,OC_Date)))</f>
        <v/>
      </c>
      <c r="J2382">
        <f>IF(OC_Amt=0,"",IF(INDEX('OneCause_Paste'!$A$2382:$AZ$2382,1,OC_Amt)="","",INDEX('OneCause_Paste'!$A$2382:$AZ$2382,1,OC_Amt)))</f>
        <v/>
      </c>
      <c r="K2382">
        <f>IF(OC_Name=0,"",IF(INDEX('OneCause_Paste'!$A$2382:$AZ$2382,1,OC_Name)="","",INDEX('OneCause_Paste'!$A$2382:$AZ$2382,1,OC_Name)))</f>
        <v/>
      </c>
      <c r="L2382">
        <f>IF(OC_Txn=0,"",IF(INDEX('OneCause_Paste'!$A$2382:$AZ$2382,1,OC_Txn)="","",INDEX('OneCause_Paste'!$A$2382:$AZ$2382,1,OC_Txn)))</f>
        <v/>
      </c>
      <c r="M2382">
        <f>IF(OC_Pay=0,"",IF(INDEX('OneCause_Paste'!$A$2382:$AZ$2382,1,OC_Pay)="","",INDEX('OneCause_Paste'!$A$2382:$AZ$2382,1,OC_Pay)))</f>
        <v/>
      </c>
      <c r="N2382">
        <f>IF(I2382="","",IF(ISNUMBER(I2382),INT(I2382),IFERROR(INT(DATEVALUE(I2382)),IFERROR(INT(VALUE(I2382)),"bad"))))</f>
        <v/>
      </c>
      <c r="O2382">
        <f>IF(J2382="","",IF(ISNUMBER(J2382),ROUND(J2382,2),IFERROR(ROUND(VALUE(SUBSTITUTE(SUBSTITUTE(SUBSTITUTE(J2382,"$",""),",","")," ","")),2),"bad")))</f>
        <v/>
      </c>
      <c r="P2382">
        <f>IF(TRIM(K2382)="","",IFERROR(MATCH(LOWER(TRIM(K2382)),'Students'!$AH$2:$AH$701,0),IFERROR(MATCH(LOWER(TRIM(K2382)),'Students'!$AF$2:$AF$701,0),IFERROR(MATCH(LOWER(TRIM(K2382)),'Students'!$AG$2:$AG$701,0),""))))</f>
        <v/>
      </c>
      <c r="R2382">
        <f>IF(P2382="","",INDEX('Students'!$AD$2:$AD$701,P2382))</f>
        <v/>
      </c>
      <c r="S2382">
        <f>IF(H2382="OK",O2382,0)</f>
        <v/>
      </c>
      <c r="T2382">
        <f>IF(H2382="OK",N2382,"")</f>
        <v/>
      </c>
      <c r="U2382">
        <f>IF(OC_Donor=0,"",IF(INDEX('OneCause_Paste'!$A$2382:$AZ$2382,1,OC_Donor)="","",INDEX('OneCause_Paste'!$A$2382:$AZ$2382,1,OC_Donor)))</f>
        <v/>
      </c>
    </row>
    <row r="2383">
      <c r="A2383" s="62">
        <f>IF(H2383="","",IF(ISNUMBER(N2383),N2383,I2383))</f>
        <v/>
      </c>
      <c r="B2383">
        <f>IF(H2383="","",U2383)</f>
        <v/>
      </c>
      <c r="C2383">
        <f>IF(H2383="","",IF(P2383="",K2383,INDEX('Students'!$A$2:$A$701,P2383)))</f>
        <v/>
      </c>
      <c r="D2383">
        <f>IF(OR(H2383="",P2383=""),"",INDEX('Students'!$B$2:$B$701,P2383))</f>
        <v/>
      </c>
      <c r="E2383">
        <f>IF(OR(H2383="",P2383=""),"",INDEX('Students'!$C$2:$C$701,P2383))</f>
        <v/>
      </c>
      <c r="F2383" s="48">
        <f>IF(H2383="","",IF(ISNUMBER(O2383),O2383,J2383))</f>
        <v/>
      </c>
      <c r="G2383">
        <f>IF(H2383="","","OneCause")</f>
        <v/>
      </c>
      <c r="H2383">
        <f>IF(AND(I2383="",J2383="",K2383=""),"",IF(NOT(ISNUMBER(O2383)),"Bad amount",IF(O2383&lt;0,"Refund (not counted)",IF(O2383=0,"Zero amount",IF(NOT(ISNUMBER(N2383)),"Bad date",IF(P2383="","NAME NOT ON ROSTER",IF(L2383="","OK",IF(MATCH(L2383,$L$2:$L$3001,0)&lt;ROW()-1,"Duplicate (ignored)","OK"))))))))</f>
        <v/>
      </c>
      <c r="I2383">
        <f>IF(OC_Date=0,"",IF(INDEX('OneCause_Paste'!$A$2383:$AZ$2383,1,OC_Date)="","",INDEX('OneCause_Paste'!$A$2383:$AZ$2383,1,OC_Date)))</f>
        <v/>
      </c>
      <c r="J2383">
        <f>IF(OC_Amt=0,"",IF(INDEX('OneCause_Paste'!$A$2383:$AZ$2383,1,OC_Amt)="","",INDEX('OneCause_Paste'!$A$2383:$AZ$2383,1,OC_Amt)))</f>
        <v/>
      </c>
      <c r="K2383">
        <f>IF(OC_Name=0,"",IF(INDEX('OneCause_Paste'!$A$2383:$AZ$2383,1,OC_Name)="","",INDEX('OneCause_Paste'!$A$2383:$AZ$2383,1,OC_Name)))</f>
        <v/>
      </c>
      <c r="L2383">
        <f>IF(OC_Txn=0,"",IF(INDEX('OneCause_Paste'!$A$2383:$AZ$2383,1,OC_Txn)="","",INDEX('OneCause_Paste'!$A$2383:$AZ$2383,1,OC_Txn)))</f>
        <v/>
      </c>
      <c r="M2383">
        <f>IF(OC_Pay=0,"",IF(INDEX('OneCause_Paste'!$A$2383:$AZ$2383,1,OC_Pay)="","",INDEX('OneCause_Paste'!$A$2383:$AZ$2383,1,OC_Pay)))</f>
        <v/>
      </c>
      <c r="N2383">
        <f>IF(I2383="","",IF(ISNUMBER(I2383),INT(I2383),IFERROR(INT(DATEVALUE(I2383)),IFERROR(INT(VALUE(I2383)),"bad"))))</f>
        <v/>
      </c>
      <c r="O2383">
        <f>IF(J2383="","",IF(ISNUMBER(J2383),ROUND(J2383,2),IFERROR(ROUND(VALUE(SUBSTITUTE(SUBSTITUTE(SUBSTITUTE(J2383,"$",""),",","")," ","")),2),"bad")))</f>
        <v/>
      </c>
      <c r="P2383">
        <f>IF(TRIM(K2383)="","",IFERROR(MATCH(LOWER(TRIM(K2383)),'Students'!$AH$2:$AH$701,0),IFERROR(MATCH(LOWER(TRIM(K2383)),'Students'!$AF$2:$AF$701,0),IFERROR(MATCH(LOWER(TRIM(K2383)),'Students'!$AG$2:$AG$701,0),""))))</f>
        <v/>
      </c>
      <c r="R2383">
        <f>IF(P2383="","",INDEX('Students'!$AD$2:$AD$701,P2383))</f>
        <v/>
      </c>
      <c r="S2383">
        <f>IF(H2383="OK",O2383,0)</f>
        <v/>
      </c>
      <c r="T2383">
        <f>IF(H2383="OK",N2383,"")</f>
        <v/>
      </c>
      <c r="U2383">
        <f>IF(OC_Donor=0,"",IF(INDEX('OneCause_Paste'!$A$2383:$AZ$2383,1,OC_Donor)="","",INDEX('OneCause_Paste'!$A$2383:$AZ$2383,1,OC_Donor)))</f>
        <v/>
      </c>
    </row>
    <row r="2384">
      <c r="A2384" s="62">
        <f>IF(H2384="","",IF(ISNUMBER(N2384),N2384,I2384))</f>
        <v/>
      </c>
      <c r="B2384">
        <f>IF(H2384="","",U2384)</f>
        <v/>
      </c>
      <c r="C2384">
        <f>IF(H2384="","",IF(P2384="",K2384,INDEX('Students'!$A$2:$A$701,P2384)))</f>
        <v/>
      </c>
      <c r="D2384">
        <f>IF(OR(H2384="",P2384=""),"",INDEX('Students'!$B$2:$B$701,P2384))</f>
        <v/>
      </c>
      <c r="E2384">
        <f>IF(OR(H2384="",P2384=""),"",INDEX('Students'!$C$2:$C$701,P2384))</f>
        <v/>
      </c>
      <c r="F2384" s="48">
        <f>IF(H2384="","",IF(ISNUMBER(O2384),O2384,J2384))</f>
        <v/>
      </c>
      <c r="G2384">
        <f>IF(H2384="","","OneCause")</f>
        <v/>
      </c>
      <c r="H2384">
        <f>IF(AND(I2384="",J2384="",K2384=""),"",IF(NOT(ISNUMBER(O2384)),"Bad amount",IF(O2384&lt;0,"Refund (not counted)",IF(O2384=0,"Zero amount",IF(NOT(ISNUMBER(N2384)),"Bad date",IF(P2384="","NAME NOT ON ROSTER",IF(L2384="","OK",IF(MATCH(L2384,$L$2:$L$3001,0)&lt;ROW()-1,"Duplicate (ignored)","OK"))))))))</f>
        <v/>
      </c>
      <c r="I2384">
        <f>IF(OC_Date=0,"",IF(INDEX('OneCause_Paste'!$A$2384:$AZ$2384,1,OC_Date)="","",INDEX('OneCause_Paste'!$A$2384:$AZ$2384,1,OC_Date)))</f>
        <v/>
      </c>
      <c r="J2384">
        <f>IF(OC_Amt=0,"",IF(INDEX('OneCause_Paste'!$A$2384:$AZ$2384,1,OC_Amt)="","",INDEX('OneCause_Paste'!$A$2384:$AZ$2384,1,OC_Amt)))</f>
        <v/>
      </c>
      <c r="K2384">
        <f>IF(OC_Name=0,"",IF(INDEX('OneCause_Paste'!$A$2384:$AZ$2384,1,OC_Name)="","",INDEX('OneCause_Paste'!$A$2384:$AZ$2384,1,OC_Name)))</f>
        <v/>
      </c>
      <c r="L2384">
        <f>IF(OC_Txn=0,"",IF(INDEX('OneCause_Paste'!$A$2384:$AZ$2384,1,OC_Txn)="","",INDEX('OneCause_Paste'!$A$2384:$AZ$2384,1,OC_Txn)))</f>
        <v/>
      </c>
      <c r="M2384">
        <f>IF(OC_Pay=0,"",IF(INDEX('OneCause_Paste'!$A$2384:$AZ$2384,1,OC_Pay)="","",INDEX('OneCause_Paste'!$A$2384:$AZ$2384,1,OC_Pay)))</f>
        <v/>
      </c>
      <c r="N2384">
        <f>IF(I2384="","",IF(ISNUMBER(I2384),INT(I2384),IFERROR(INT(DATEVALUE(I2384)),IFERROR(INT(VALUE(I2384)),"bad"))))</f>
        <v/>
      </c>
      <c r="O2384">
        <f>IF(J2384="","",IF(ISNUMBER(J2384),ROUND(J2384,2),IFERROR(ROUND(VALUE(SUBSTITUTE(SUBSTITUTE(SUBSTITUTE(J2384,"$",""),",","")," ","")),2),"bad")))</f>
        <v/>
      </c>
      <c r="P2384">
        <f>IF(TRIM(K2384)="","",IFERROR(MATCH(LOWER(TRIM(K2384)),'Students'!$AH$2:$AH$701,0),IFERROR(MATCH(LOWER(TRIM(K2384)),'Students'!$AF$2:$AF$701,0),IFERROR(MATCH(LOWER(TRIM(K2384)),'Students'!$AG$2:$AG$701,0),""))))</f>
        <v/>
      </c>
      <c r="R2384">
        <f>IF(P2384="","",INDEX('Students'!$AD$2:$AD$701,P2384))</f>
        <v/>
      </c>
      <c r="S2384">
        <f>IF(H2384="OK",O2384,0)</f>
        <v/>
      </c>
      <c r="T2384">
        <f>IF(H2384="OK",N2384,"")</f>
        <v/>
      </c>
      <c r="U2384">
        <f>IF(OC_Donor=0,"",IF(INDEX('OneCause_Paste'!$A$2384:$AZ$2384,1,OC_Donor)="","",INDEX('OneCause_Paste'!$A$2384:$AZ$2384,1,OC_Donor)))</f>
        <v/>
      </c>
    </row>
    <row r="2385">
      <c r="A2385" s="62">
        <f>IF(H2385="","",IF(ISNUMBER(N2385),N2385,I2385))</f>
        <v/>
      </c>
      <c r="B2385">
        <f>IF(H2385="","",U2385)</f>
        <v/>
      </c>
      <c r="C2385">
        <f>IF(H2385="","",IF(P2385="",K2385,INDEX('Students'!$A$2:$A$701,P2385)))</f>
        <v/>
      </c>
      <c r="D2385">
        <f>IF(OR(H2385="",P2385=""),"",INDEX('Students'!$B$2:$B$701,P2385))</f>
        <v/>
      </c>
      <c r="E2385">
        <f>IF(OR(H2385="",P2385=""),"",INDEX('Students'!$C$2:$C$701,P2385))</f>
        <v/>
      </c>
      <c r="F2385" s="48">
        <f>IF(H2385="","",IF(ISNUMBER(O2385),O2385,J2385))</f>
        <v/>
      </c>
      <c r="G2385">
        <f>IF(H2385="","","OneCause")</f>
        <v/>
      </c>
      <c r="H2385">
        <f>IF(AND(I2385="",J2385="",K2385=""),"",IF(NOT(ISNUMBER(O2385)),"Bad amount",IF(O2385&lt;0,"Refund (not counted)",IF(O2385=0,"Zero amount",IF(NOT(ISNUMBER(N2385)),"Bad date",IF(P2385="","NAME NOT ON ROSTER",IF(L2385="","OK",IF(MATCH(L2385,$L$2:$L$3001,0)&lt;ROW()-1,"Duplicate (ignored)","OK"))))))))</f>
        <v/>
      </c>
      <c r="I2385">
        <f>IF(OC_Date=0,"",IF(INDEX('OneCause_Paste'!$A$2385:$AZ$2385,1,OC_Date)="","",INDEX('OneCause_Paste'!$A$2385:$AZ$2385,1,OC_Date)))</f>
        <v/>
      </c>
      <c r="J2385">
        <f>IF(OC_Amt=0,"",IF(INDEX('OneCause_Paste'!$A$2385:$AZ$2385,1,OC_Amt)="","",INDEX('OneCause_Paste'!$A$2385:$AZ$2385,1,OC_Amt)))</f>
        <v/>
      </c>
      <c r="K2385">
        <f>IF(OC_Name=0,"",IF(INDEX('OneCause_Paste'!$A$2385:$AZ$2385,1,OC_Name)="","",INDEX('OneCause_Paste'!$A$2385:$AZ$2385,1,OC_Name)))</f>
        <v/>
      </c>
      <c r="L2385">
        <f>IF(OC_Txn=0,"",IF(INDEX('OneCause_Paste'!$A$2385:$AZ$2385,1,OC_Txn)="","",INDEX('OneCause_Paste'!$A$2385:$AZ$2385,1,OC_Txn)))</f>
        <v/>
      </c>
      <c r="M2385">
        <f>IF(OC_Pay=0,"",IF(INDEX('OneCause_Paste'!$A$2385:$AZ$2385,1,OC_Pay)="","",INDEX('OneCause_Paste'!$A$2385:$AZ$2385,1,OC_Pay)))</f>
        <v/>
      </c>
      <c r="N2385">
        <f>IF(I2385="","",IF(ISNUMBER(I2385),INT(I2385),IFERROR(INT(DATEVALUE(I2385)),IFERROR(INT(VALUE(I2385)),"bad"))))</f>
        <v/>
      </c>
      <c r="O2385">
        <f>IF(J2385="","",IF(ISNUMBER(J2385),ROUND(J2385,2),IFERROR(ROUND(VALUE(SUBSTITUTE(SUBSTITUTE(SUBSTITUTE(J2385,"$",""),",","")," ","")),2),"bad")))</f>
        <v/>
      </c>
      <c r="P2385">
        <f>IF(TRIM(K2385)="","",IFERROR(MATCH(LOWER(TRIM(K2385)),'Students'!$AH$2:$AH$701,0),IFERROR(MATCH(LOWER(TRIM(K2385)),'Students'!$AF$2:$AF$701,0),IFERROR(MATCH(LOWER(TRIM(K2385)),'Students'!$AG$2:$AG$701,0),""))))</f>
        <v/>
      </c>
      <c r="R2385">
        <f>IF(P2385="","",INDEX('Students'!$AD$2:$AD$701,P2385))</f>
        <v/>
      </c>
      <c r="S2385">
        <f>IF(H2385="OK",O2385,0)</f>
        <v/>
      </c>
      <c r="T2385">
        <f>IF(H2385="OK",N2385,"")</f>
        <v/>
      </c>
      <c r="U2385">
        <f>IF(OC_Donor=0,"",IF(INDEX('OneCause_Paste'!$A$2385:$AZ$2385,1,OC_Donor)="","",INDEX('OneCause_Paste'!$A$2385:$AZ$2385,1,OC_Donor)))</f>
        <v/>
      </c>
    </row>
    <row r="2386">
      <c r="A2386" s="62">
        <f>IF(H2386="","",IF(ISNUMBER(N2386),N2386,I2386))</f>
        <v/>
      </c>
      <c r="B2386">
        <f>IF(H2386="","",U2386)</f>
        <v/>
      </c>
      <c r="C2386">
        <f>IF(H2386="","",IF(P2386="",K2386,INDEX('Students'!$A$2:$A$701,P2386)))</f>
        <v/>
      </c>
      <c r="D2386">
        <f>IF(OR(H2386="",P2386=""),"",INDEX('Students'!$B$2:$B$701,P2386))</f>
        <v/>
      </c>
      <c r="E2386">
        <f>IF(OR(H2386="",P2386=""),"",INDEX('Students'!$C$2:$C$701,P2386))</f>
        <v/>
      </c>
      <c r="F2386" s="48">
        <f>IF(H2386="","",IF(ISNUMBER(O2386),O2386,J2386))</f>
        <v/>
      </c>
      <c r="G2386">
        <f>IF(H2386="","","OneCause")</f>
        <v/>
      </c>
      <c r="H2386">
        <f>IF(AND(I2386="",J2386="",K2386=""),"",IF(NOT(ISNUMBER(O2386)),"Bad amount",IF(O2386&lt;0,"Refund (not counted)",IF(O2386=0,"Zero amount",IF(NOT(ISNUMBER(N2386)),"Bad date",IF(P2386="","NAME NOT ON ROSTER",IF(L2386="","OK",IF(MATCH(L2386,$L$2:$L$3001,0)&lt;ROW()-1,"Duplicate (ignored)","OK"))))))))</f>
        <v/>
      </c>
      <c r="I2386">
        <f>IF(OC_Date=0,"",IF(INDEX('OneCause_Paste'!$A$2386:$AZ$2386,1,OC_Date)="","",INDEX('OneCause_Paste'!$A$2386:$AZ$2386,1,OC_Date)))</f>
        <v/>
      </c>
      <c r="J2386">
        <f>IF(OC_Amt=0,"",IF(INDEX('OneCause_Paste'!$A$2386:$AZ$2386,1,OC_Amt)="","",INDEX('OneCause_Paste'!$A$2386:$AZ$2386,1,OC_Amt)))</f>
        <v/>
      </c>
      <c r="K2386">
        <f>IF(OC_Name=0,"",IF(INDEX('OneCause_Paste'!$A$2386:$AZ$2386,1,OC_Name)="","",INDEX('OneCause_Paste'!$A$2386:$AZ$2386,1,OC_Name)))</f>
        <v/>
      </c>
      <c r="L2386">
        <f>IF(OC_Txn=0,"",IF(INDEX('OneCause_Paste'!$A$2386:$AZ$2386,1,OC_Txn)="","",INDEX('OneCause_Paste'!$A$2386:$AZ$2386,1,OC_Txn)))</f>
        <v/>
      </c>
      <c r="M2386">
        <f>IF(OC_Pay=0,"",IF(INDEX('OneCause_Paste'!$A$2386:$AZ$2386,1,OC_Pay)="","",INDEX('OneCause_Paste'!$A$2386:$AZ$2386,1,OC_Pay)))</f>
        <v/>
      </c>
      <c r="N2386">
        <f>IF(I2386="","",IF(ISNUMBER(I2386),INT(I2386),IFERROR(INT(DATEVALUE(I2386)),IFERROR(INT(VALUE(I2386)),"bad"))))</f>
        <v/>
      </c>
      <c r="O2386">
        <f>IF(J2386="","",IF(ISNUMBER(J2386),ROUND(J2386,2),IFERROR(ROUND(VALUE(SUBSTITUTE(SUBSTITUTE(SUBSTITUTE(J2386,"$",""),",","")," ","")),2),"bad")))</f>
        <v/>
      </c>
      <c r="P2386">
        <f>IF(TRIM(K2386)="","",IFERROR(MATCH(LOWER(TRIM(K2386)),'Students'!$AH$2:$AH$701,0),IFERROR(MATCH(LOWER(TRIM(K2386)),'Students'!$AF$2:$AF$701,0),IFERROR(MATCH(LOWER(TRIM(K2386)),'Students'!$AG$2:$AG$701,0),""))))</f>
        <v/>
      </c>
      <c r="R2386">
        <f>IF(P2386="","",INDEX('Students'!$AD$2:$AD$701,P2386))</f>
        <v/>
      </c>
      <c r="S2386">
        <f>IF(H2386="OK",O2386,0)</f>
        <v/>
      </c>
      <c r="T2386">
        <f>IF(H2386="OK",N2386,"")</f>
        <v/>
      </c>
      <c r="U2386">
        <f>IF(OC_Donor=0,"",IF(INDEX('OneCause_Paste'!$A$2386:$AZ$2386,1,OC_Donor)="","",INDEX('OneCause_Paste'!$A$2386:$AZ$2386,1,OC_Donor)))</f>
        <v/>
      </c>
    </row>
    <row r="2387">
      <c r="A2387" s="62">
        <f>IF(H2387="","",IF(ISNUMBER(N2387),N2387,I2387))</f>
        <v/>
      </c>
      <c r="B2387">
        <f>IF(H2387="","",U2387)</f>
        <v/>
      </c>
      <c r="C2387">
        <f>IF(H2387="","",IF(P2387="",K2387,INDEX('Students'!$A$2:$A$701,P2387)))</f>
        <v/>
      </c>
      <c r="D2387">
        <f>IF(OR(H2387="",P2387=""),"",INDEX('Students'!$B$2:$B$701,P2387))</f>
        <v/>
      </c>
      <c r="E2387">
        <f>IF(OR(H2387="",P2387=""),"",INDEX('Students'!$C$2:$C$701,P2387))</f>
        <v/>
      </c>
      <c r="F2387" s="48">
        <f>IF(H2387="","",IF(ISNUMBER(O2387),O2387,J2387))</f>
        <v/>
      </c>
      <c r="G2387">
        <f>IF(H2387="","","OneCause")</f>
        <v/>
      </c>
      <c r="H2387">
        <f>IF(AND(I2387="",J2387="",K2387=""),"",IF(NOT(ISNUMBER(O2387)),"Bad amount",IF(O2387&lt;0,"Refund (not counted)",IF(O2387=0,"Zero amount",IF(NOT(ISNUMBER(N2387)),"Bad date",IF(P2387="","NAME NOT ON ROSTER",IF(L2387="","OK",IF(MATCH(L2387,$L$2:$L$3001,0)&lt;ROW()-1,"Duplicate (ignored)","OK"))))))))</f>
        <v/>
      </c>
      <c r="I2387">
        <f>IF(OC_Date=0,"",IF(INDEX('OneCause_Paste'!$A$2387:$AZ$2387,1,OC_Date)="","",INDEX('OneCause_Paste'!$A$2387:$AZ$2387,1,OC_Date)))</f>
        <v/>
      </c>
      <c r="J2387">
        <f>IF(OC_Amt=0,"",IF(INDEX('OneCause_Paste'!$A$2387:$AZ$2387,1,OC_Amt)="","",INDEX('OneCause_Paste'!$A$2387:$AZ$2387,1,OC_Amt)))</f>
        <v/>
      </c>
      <c r="K2387">
        <f>IF(OC_Name=0,"",IF(INDEX('OneCause_Paste'!$A$2387:$AZ$2387,1,OC_Name)="","",INDEX('OneCause_Paste'!$A$2387:$AZ$2387,1,OC_Name)))</f>
        <v/>
      </c>
      <c r="L2387">
        <f>IF(OC_Txn=0,"",IF(INDEX('OneCause_Paste'!$A$2387:$AZ$2387,1,OC_Txn)="","",INDEX('OneCause_Paste'!$A$2387:$AZ$2387,1,OC_Txn)))</f>
        <v/>
      </c>
      <c r="M2387">
        <f>IF(OC_Pay=0,"",IF(INDEX('OneCause_Paste'!$A$2387:$AZ$2387,1,OC_Pay)="","",INDEX('OneCause_Paste'!$A$2387:$AZ$2387,1,OC_Pay)))</f>
        <v/>
      </c>
      <c r="N2387">
        <f>IF(I2387="","",IF(ISNUMBER(I2387),INT(I2387),IFERROR(INT(DATEVALUE(I2387)),IFERROR(INT(VALUE(I2387)),"bad"))))</f>
        <v/>
      </c>
      <c r="O2387">
        <f>IF(J2387="","",IF(ISNUMBER(J2387),ROUND(J2387,2),IFERROR(ROUND(VALUE(SUBSTITUTE(SUBSTITUTE(SUBSTITUTE(J2387,"$",""),",","")," ","")),2),"bad")))</f>
        <v/>
      </c>
      <c r="P2387">
        <f>IF(TRIM(K2387)="","",IFERROR(MATCH(LOWER(TRIM(K2387)),'Students'!$AH$2:$AH$701,0),IFERROR(MATCH(LOWER(TRIM(K2387)),'Students'!$AF$2:$AF$701,0),IFERROR(MATCH(LOWER(TRIM(K2387)),'Students'!$AG$2:$AG$701,0),""))))</f>
        <v/>
      </c>
      <c r="R2387">
        <f>IF(P2387="","",INDEX('Students'!$AD$2:$AD$701,P2387))</f>
        <v/>
      </c>
      <c r="S2387">
        <f>IF(H2387="OK",O2387,0)</f>
        <v/>
      </c>
      <c r="T2387">
        <f>IF(H2387="OK",N2387,"")</f>
        <v/>
      </c>
      <c r="U2387">
        <f>IF(OC_Donor=0,"",IF(INDEX('OneCause_Paste'!$A$2387:$AZ$2387,1,OC_Donor)="","",INDEX('OneCause_Paste'!$A$2387:$AZ$2387,1,OC_Donor)))</f>
        <v/>
      </c>
    </row>
    <row r="2388">
      <c r="A2388" s="62">
        <f>IF(H2388="","",IF(ISNUMBER(N2388),N2388,I2388))</f>
        <v/>
      </c>
      <c r="B2388">
        <f>IF(H2388="","",U2388)</f>
        <v/>
      </c>
      <c r="C2388">
        <f>IF(H2388="","",IF(P2388="",K2388,INDEX('Students'!$A$2:$A$701,P2388)))</f>
        <v/>
      </c>
      <c r="D2388">
        <f>IF(OR(H2388="",P2388=""),"",INDEX('Students'!$B$2:$B$701,P2388))</f>
        <v/>
      </c>
      <c r="E2388">
        <f>IF(OR(H2388="",P2388=""),"",INDEX('Students'!$C$2:$C$701,P2388))</f>
        <v/>
      </c>
      <c r="F2388" s="48">
        <f>IF(H2388="","",IF(ISNUMBER(O2388),O2388,J2388))</f>
        <v/>
      </c>
      <c r="G2388">
        <f>IF(H2388="","","OneCause")</f>
        <v/>
      </c>
      <c r="H2388">
        <f>IF(AND(I2388="",J2388="",K2388=""),"",IF(NOT(ISNUMBER(O2388)),"Bad amount",IF(O2388&lt;0,"Refund (not counted)",IF(O2388=0,"Zero amount",IF(NOT(ISNUMBER(N2388)),"Bad date",IF(P2388="","NAME NOT ON ROSTER",IF(L2388="","OK",IF(MATCH(L2388,$L$2:$L$3001,0)&lt;ROW()-1,"Duplicate (ignored)","OK"))))))))</f>
        <v/>
      </c>
      <c r="I2388">
        <f>IF(OC_Date=0,"",IF(INDEX('OneCause_Paste'!$A$2388:$AZ$2388,1,OC_Date)="","",INDEX('OneCause_Paste'!$A$2388:$AZ$2388,1,OC_Date)))</f>
        <v/>
      </c>
      <c r="J2388">
        <f>IF(OC_Amt=0,"",IF(INDEX('OneCause_Paste'!$A$2388:$AZ$2388,1,OC_Amt)="","",INDEX('OneCause_Paste'!$A$2388:$AZ$2388,1,OC_Amt)))</f>
        <v/>
      </c>
      <c r="K2388">
        <f>IF(OC_Name=0,"",IF(INDEX('OneCause_Paste'!$A$2388:$AZ$2388,1,OC_Name)="","",INDEX('OneCause_Paste'!$A$2388:$AZ$2388,1,OC_Name)))</f>
        <v/>
      </c>
      <c r="L2388">
        <f>IF(OC_Txn=0,"",IF(INDEX('OneCause_Paste'!$A$2388:$AZ$2388,1,OC_Txn)="","",INDEX('OneCause_Paste'!$A$2388:$AZ$2388,1,OC_Txn)))</f>
        <v/>
      </c>
      <c r="M2388">
        <f>IF(OC_Pay=0,"",IF(INDEX('OneCause_Paste'!$A$2388:$AZ$2388,1,OC_Pay)="","",INDEX('OneCause_Paste'!$A$2388:$AZ$2388,1,OC_Pay)))</f>
        <v/>
      </c>
      <c r="N2388">
        <f>IF(I2388="","",IF(ISNUMBER(I2388),INT(I2388),IFERROR(INT(DATEVALUE(I2388)),IFERROR(INT(VALUE(I2388)),"bad"))))</f>
        <v/>
      </c>
      <c r="O2388">
        <f>IF(J2388="","",IF(ISNUMBER(J2388),ROUND(J2388,2),IFERROR(ROUND(VALUE(SUBSTITUTE(SUBSTITUTE(SUBSTITUTE(J2388,"$",""),",","")," ","")),2),"bad")))</f>
        <v/>
      </c>
      <c r="P2388">
        <f>IF(TRIM(K2388)="","",IFERROR(MATCH(LOWER(TRIM(K2388)),'Students'!$AH$2:$AH$701,0),IFERROR(MATCH(LOWER(TRIM(K2388)),'Students'!$AF$2:$AF$701,0),IFERROR(MATCH(LOWER(TRIM(K2388)),'Students'!$AG$2:$AG$701,0),""))))</f>
        <v/>
      </c>
      <c r="R2388">
        <f>IF(P2388="","",INDEX('Students'!$AD$2:$AD$701,P2388))</f>
        <v/>
      </c>
      <c r="S2388">
        <f>IF(H2388="OK",O2388,0)</f>
        <v/>
      </c>
      <c r="T2388">
        <f>IF(H2388="OK",N2388,"")</f>
        <v/>
      </c>
      <c r="U2388">
        <f>IF(OC_Donor=0,"",IF(INDEX('OneCause_Paste'!$A$2388:$AZ$2388,1,OC_Donor)="","",INDEX('OneCause_Paste'!$A$2388:$AZ$2388,1,OC_Donor)))</f>
        <v/>
      </c>
    </row>
    <row r="2389">
      <c r="A2389" s="62">
        <f>IF(H2389="","",IF(ISNUMBER(N2389),N2389,I2389))</f>
        <v/>
      </c>
      <c r="B2389">
        <f>IF(H2389="","",U2389)</f>
        <v/>
      </c>
      <c r="C2389">
        <f>IF(H2389="","",IF(P2389="",K2389,INDEX('Students'!$A$2:$A$701,P2389)))</f>
        <v/>
      </c>
      <c r="D2389">
        <f>IF(OR(H2389="",P2389=""),"",INDEX('Students'!$B$2:$B$701,P2389))</f>
        <v/>
      </c>
      <c r="E2389">
        <f>IF(OR(H2389="",P2389=""),"",INDEX('Students'!$C$2:$C$701,P2389))</f>
        <v/>
      </c>
      <c r="F2389" s="48">
        <f>IF(H2389="","",IF(ISNUMBER(O2389),O2389,J2389))</f>
        <v/>
      </c>
      <c r="G2389">
        <f>IF(H2389="","","OneCause")</f>
        <v/>
      </c>
      <c r="H2389">
        <f>IF(AND(I2389="",J2389="",K2389=""),"",IF(NOT(ISNUMBER(O2389)),"Bad amount",IF(O2389&lt;0,"Refund (not counted)",IF(O2389=0,"Zero amount",IF(NOT(ISNUMBER(N2389)),"Bad date",IF(P2389="","NAME NOT ON ROSTER",IF(L2389="","OK",IF(MATCH(L2389,$L$2:$L$3001,0)&lt;ROW()-1,"Duplicate (ignored)","OK"))))))))</f>
        <v/>
      </c>
      <c r="I2389">
        <f>IF(OC_Date=0,"",IF(INDEX('OneCause_Paste'!$A$2389:$AZ$2389,1,OC_Date)="","",INDEX('OneCause_Paste'!$A$2389:$AZ$2389,1,OC_Date)))</f>
        <v/>
      </c>
      <c r="J2389">
        <f>IF(OC_Amt=0,"",IF(INDEX('OneCause_Paste'!$A$2389:$AZ$2389,1,OC_Amt)="","",INDEX('OneCause_Paste'!$A$2389:$AZ$2389,1,OC_Amt)))</f>
        <v/>
      </c>
      <c r="K2389">
        <f>IF(OC_Name=0,"",IF(INDEX('OneCause_Paste'!$A$2389:$AZ$2389,1,OC_Name)="","",INDEX('OneCause_Paste'!$A$2389:$AZ$2389,1,OC_Name)))</f>
        <v/>
      </c>
      <c r="L2389">
        <f>IF(OC_Txn=0,"",IF(INDEX('OneCause_Paste'!$A$2389:$AZ$2389,1,OC_Txn)="","",INDEX('OneCause_Paste'!$A$2389:$AZ$2389,1,OC_Txn)))</f>
        <v/>
      </c>
      <c r="M2389">
        <f>IF(OC_Pay=0,"",IF(INDEX('OneCause_Paste'!$A$2389:$AZ$2389,1,OC_Pay)="","",INDEX('OneCause_Paste'!$A$2389:$AZ$2389,1,OC_Pay)))</f>
        <v/>
      </c>
      <c r="N2389">
        <f>IF(I2389="","",IF(ISNUMBER(I2389),INT(I2389),IFERROR(INT(DATEVALUE(I2389)),IFERROR(INT(VALUE(I2389)),"bad"))))</f>
        <v/>
      </c>
      <c r="O2389">
        <f>IF(J2389="","",IF(ISNUMBER(J2389),ROUND(J2389,2),IFERROR(ROUND(VALUE(SUBSTITUTE(SUBSTITUTE(SUBSTITUTE(J2389,"$",""),",","")," ","")),2),"bad")))</f>
        <v/>
      </c>
      <c r="P2389">
        <f>IF(TRIM(K2389)="","",IFERROR(MATCH(LOWER(TRIM(K2389)),'Students'!$AH$2:$AH$701,0),IFERROR(MATCH(LOWER(TRIM(K2389)),'Students'!$AF$2:$AF$701,0),IFERROR(MATCH(LOWER(TRIM(K2389)),'Students'!$AG$2:$AG$701,0),""))))</f>
        <v/>
      </c>
      <c r="R2389">
        <f>IF(P2389="","",INDEX('Students'!$AD$2:$AD$701,P2389))</f>
        <v/>
      </c>
      <c r="S2389">
        <f>IF(H2389="OK",O2389,0)</f>
        <v/>
      </c>
      <c r="T2389">
        <f>IF(H2389="OK",N2389,"")</f>
        <v/>
      </c>
      <c r="U2389">
        <f>IF(OC_Donor=0,"",IF(INDEX('OneCause_Paste'!$A$2389:$AZ$2389,1,OC_Donor)="","",INDEX('OneCause_Paste'!$A$2389:$AZ$2389,1,OC_Donor)))</f>
        <v/>
      </c>
    </row>
    <row r="2390">
      <c r="A2390" s="62">
        <f>IF(H2390="","",IF(ISNUMBER(N2390),N2390,I2390))</f>
        <v/>
      </c>
      <c r="B2390">
        <f>IF(H2390="","",U2390)</f>
        <v/>
      </c>
      <c r="C2390">
        <f>IF(H2390="","",IF(P2390="",K2390,INDEX('Students'!$A$2:$A$701,P2390)))</f>
        <v/>
      </c>
      <c r="D2390">
        <f>IF(OR(H2390="",P2390=""),"",INDEX('Students'!$B$2:$B$701,P2390))</f>
        <v/>
      </c>
      <c r="E2390">
        <f>IF(OR(H2390="",P2390=""),"",INDEX('Students'!$C$2:$C$701,P2390))</f>
        <v/>
      </c>
      <c r="F2390" s="48">
        <f>IF(H2390="","",IF(ISNUMBER(O2390),O2390,J2390))</f>
        <v/>
      </c>
      <c r="G2390">
        <f>IF(H2390="","","OneCause")</f>
        <v/>
      </c>
      <c r="H2390">
        <f>IF(AND(I2390="",J2390="",K2390=""),"",IF(NOT(ISNUMBER(O2390)),"Bad amount",IF(O2390&lt;0,"Refund (not counted)",IF(O2390=0,"Zero amount",IF(NOT(ISNUMBER(N2390)),"Bad date",IF(P2390="","NAME NOT ON ROSTER",IF(L2390="","OK",IF(MATCH(L2390,$L$2:$L$3001,0)&lt;ROW()-1,"Duplicate (ignored)","OK"))))))))</f>
        <v/>
      </c>
      <c r="I2390">
        <f>IF(OC_Date=0,"",IF(INDEX('OneCause_Paste'!$A$2390:$AZ$2390,1,OC_Date)="","",INDEX('OneCause_Paste'!$A$2390:$AZ$2390,1,OC_Date)))</f>
        <v/>
      </c>
      <c r="J2390">
        <f>IF(OC_Amt=0,"",IF(INDEX('OneCause_Paste'!$A$2390:$AZ$2390,1,OC_Amt)="","",INDEX('OneCause_Paste'!$A$2390:$AZ$2390,1,OC_Amt)))</f>
        <v/>
      </c>
      <c r="K2390">
        <f>IF(OC_Name=0,"",IF(INDEX('OneCause_Paste'!$A$2390:$AZ$2390,1,OC_Name)="","",INDEX('OneCause_Paste'!$A$2390:$AZ$2390,1,OC_Name)))</f>
        <v/>
      </c>
      <c r="L2390">
        <f>IF(OC_Txn=0,"",IF(INDEX('OneCause_Paste'!$A$2390:$AZ$2390,1,OC_Txn)="","",INDEX('OneCause_Paste'!$A$2390:$AZ$2390,1,OC_Txn)))</f>
        <v/>
      </c>
      <c r="M2390">
        <f>IF(OC_Pay=0,"",IF(INDEX('OneCause_Paste'!$A$2390:$AZ$2390,1,OC_Pay)="","",INDEX('OneCause_Paste'!$A$2390:$AZ$2390,1,OC_Pay)))</f>
        <v/>
      </c>
      <c r="N2390">
        <f>IF(I2390="","",IF(ISNUMBER(I2390),INT(I2390),IFERROR(INT(DATEVALUE(I2390)),IFERROR(INT(VALUE(I2390)),"bad"))))</f>
        <v/>
      </c>
      <c r="O2390">
        <f>IF(J2390="","",IF(ISNUMBER(J2390),ROUND(J2390,2),IFERROR(ROUND(VALUE(SUBSTITUTE(SUBSTITUTE(SUBSTITUTE(J2390,"$",""),",","")," ","")),2),"bad")))</f>
        <v/>
      </c>
      <c r="P2390">
        <f>IF(TRIM(K2390)="","",IFERROR(MATCH(LOWER(TRIM(K2390)),'Students'!$AH$2:$AH$701,0),IFERROR(MATCH(LOWER(TRIM(K2390)),'Students'!$AF$2:$AF$701,0),IFERROR(MATCH(LOWER(TRIM(K2390)),'Students'!$AG$2:$AG$701,0),""))))</f>
        <v/>
      </c>
      <c r="R2390">
        <f>IF(P2390="","",INDEX('Students'!$AD$2:$AD$701,P2390))</f>
        <v/>
      </c>
      <c r="S2390">
        <f>IF(H2390="OK",O2390,0)</f>
        <v/>
      </c>
      <c r="T2390">
        <f>IF(H2390="OK",N2390,"")</f>
        <v/>
      </c>
      <c r="U2390">
        <f>IF(OC_Donor=0,"",IF(INDEX('OneCause_Paste'!$A$2390:$AZ$2390,1,OC_Donor)="","",INDEX('OneCause_Paste'!$A$2390:$AZ$2390,1,OC_Donor)))</f>
        <v/>
      </c>
    </row>
    <row r="2391">
      <c r="A2391" s="62">
        <f>IF(H2391="","",IF(ISNUMBER(N2391),N2391,I2391))</f>
        <v/>
      </c>
      <c r="B2391">
        <f>IF(H2391="","",U2391)</f>
        <v/>
      </c>
      <c r="C2391">
        <f>IF(H2391="","",IF(P2391="",K2391,INDEX('Students'!$A$2:$A$701,P2391)))</f>
        <v/>
      </c>
      <c r="D2391">
        <f>IF(OR(H2391="",P2391=""),"",INDEX('Students'!$B$2:$B$701,P2391))</f>
        <v/>
      </c>
      <c r="E2391">
        <f>IF(OR(H2391="",P2391=""),"",INDEX('Students'!$C$2:$C$701,P2391))</f>
        <v/>
      </c>
      <c r="F2391" s="48">
        <f>IF(H2391="","",IF(ISNUMBER(O2391),O2391,J2391))</f>
        <v/>
      </c>
      <c r="G2391">
        <f>IF(H2391="","","OneCause")</f>
        <v/>
      </c>
      <c r="H2391">
        <f>IF(AND(I2391="",J2391="",K2391=""),"",IF(NOT(ISNUMBER(O2391)),"Bad amount",IF(O2391&lt;0,"Refund (not counted)",IF(O2391=0,"Zero amount",IF(NOT(ISNUMBER(N2391)),"Bad date",IF(P2391="","NAME NOT ON ROSTER",IF(L2391="","OK",IF(MATCH(L2391,$L$2:$L$3001,0)&lt;ROW()-1,"Duplicate (ignored)","OK"))))))))</f>
        <v/>
      </c>
      <c r="I2391">
        <f>IF(OC_Date=0,"",IF(INDEX('OneCause_Paste'!$A$2391:$AZ$2391,1,OC_Date)="","",INDEX('OneCause_Paste'!$A$2391:$AZ$2391,1,OC_Date)))</f>
        <v/>
      </c>
      <c r="J2391">
        <f>IF(OC_Amt=0,"",IF(INDEX('OneCause_Paste'!$A$2391:$AZ$2391,1,OC_Amt)="","",INDEX('OneCause_Paste'!$A$2391:$AZ$2391,1,OC_Amt)))</f>
        <v/>
      </c>
      <c r="K2391">
        <f>IF(OC_Name=0,"",IF(INDEX('OneCause_Paste'!$A$2391:$AZ$2391,1,OC_Name)="","",INDEX('OneCause_Paste'!$A$2391:$AZ$2391,1,OC_Name)))</f>
        <v/>
      </c>
      <c r="L2391">
        <f>IF(OC_Txn=0,"",IF(INDEX('OneCause_Paste'!$A$2391:$AZ$2391,1,OC_Txn)="","",INDEX('OneCause_Paste'!$A$2391:$AZ$2391,1,OC_Txn)))</f>
        <v/>
      </c>
      <c r="M2391">
        <f>IF(OC_Pay=0,"",IF(INDEX('OneCause_Paste'!$A$2391:$AZ$2391,1,OC_Pay)="","",INDEX('OneCause_Paste'!$A$2391:$AZ$2391,1,OC_Pay)))</f>
        <v/>
      </c>
      <c r="N2391">
        <f>IF(I2391="","",IF(ISNUMBER(I2391),INT(I2391),IFERROR(INT(DATEVALUE(I2391)),IFERROR(INT(VALUE(I2391)),"bad"))))</f>
        <v/>
      </c>
      <c r="O2391">
        <f>IF(J2391="","",IF(ISNUMBER(J2391),ROUND(J2391,2),IFERROR(ROUND(VALUE(SUBSTITUTE(SUBSTITUTE(SUBSTITUTE(J2391,"$",""),",","")," ","")),2),"bad")))</f>
        <v/>
      </c>
      <c r="P2391">
        <f>IF(TRIM(K2391)="","",IFERROR(MATCH(LOWER(TRIM(K2391)),'Students'!$AH$2:$AH$701,0),IFERROR(MATCH(LOWER(TRIM(K2391)),'Students'!$AF$2:$AF$701,0),IFERROR(MATCH(LOWER(TRIM(K2391)),'Students'!$AG$2:$AG$701,0),""))))</f>
        <v/>
      </c>
      <c r="R2391">
        <f>IF(P2391="","",INDEX('Students'!$AD$2:$AD$701,P2391))</f>
        <v/>
      </c>
      <c r="S2391">
        <f>IF(H2391="OK",O2391,0)</f>
        <v/>
      </c>
      <c r="T2391">
        <f>IF(H2391="OK",N2391,"")</f>
        <v/>
      </c>
      <c r="U2391">
        <f>IF(OC_Donor=0,"",IF(INDEX('OneCause_Paste'!$A$2391:$AZ$2391,1,OC_Donor)="","",INDEX('OneCause_Paste'!$A$2391:$AZ$2391,1,OC_Donor)))</f>
        <v/>
      </c>
    </row>
    <row r="2392">
      <c r="A2392" s="62">
        <f>IF(H2392="","",IF(ISNUMBER(N2392),N2392,I2392))</f>
        <v/>
      </c>
      <c r="B2392">
        <f>IF(H2392="","",U2392)</f>
        <v/>
      </c>
      <c r="C2392">
        <f>IF(H2392="","",IF(P2392="",K2392,INDEX('Students'!$A$2:$A$701,P2392)))</f>
        <v/>
      </c>
      <c r="D2392">
        <f>IF(OR(H2392="",P2392=""),"",INDEX('Students'!$B$2:$B$701,P2392))</f>
        <v/>
      </c>
      <c r="E2392">
        <f>IF(OR(H2392="",P2392=""),"",INDEX('Students'!$C$2:$C$701,P2392))</f>
        <v/>
      </c>
      <c r="F2392" s="48">
        <f>IF(H2392="","",IF(ISNUMBER(O2392),O2392,J2392))</f>
        <v/>
      </c>
      <c r="G2392">
        <f>IF(H2392="","","OneCause")</f>
        <v/>
      </c>
      <c r="H2392">
        <f>IF(AND(I2392="",J2392="",K2392=""),"",IF(NOT(ISNUMBER(O2392)),"Bad amount",IF(O2392&lt;0,"Refund (not counted)",IF(O2392=0,"Zero amount",IF(NOT(ISNUMBER(N2392)),"Bad date",IF(P2392="","NAME NOT ON ROSTER",IF(L2392="","OK",IF(MATCH(L2392,$L$2:$L$3001,0)&lt;ROW()-1,"Duplicate (ignored)","OK"))))))))</f>
        <v/>
      </c>
      <c r="I2392">
        <f>IF(OC_Date=0,"",IF(INDEX('OneCause_Paste'!$A$2392:$AZ$2392,1,OC_Date)="","",INDEX('OneCause_Paste'!$A$2392:$AZ$2392,1,OC_Date)))</f>
        <v/>
      </c>
      <c r="J2392">
        <f>IF(OC_Amt=0,"",IF(INDEX('OneCause_Paste'!$A$2392:$AZ$2392,1,OC_Amt)="","",INDEX('OneCause_Paste'!$A$2392:$AZ$2392,1,OC_Amt)))</f>
        <v/>
      </c>
      <c r="K2392">
        <f>IF(OC_Name=0,"",IF(INDEX('OneCause_Paste'!$A$2392:$AZ$2392,1,OC_Name)="","",INDEX('OneCause_Paste'!$A$2392:$AZ$2392,1,OC_Name)))</f>
        <v/>
      </c>
      <c r="L2392">
        <f>IF(OC_Txn=0,"",IF(INDEX('OneCause_Paste'!$A$2392:$AZ$2392,1,OC_Txn)="","",INDEX('OneCause_Paste'!$A$2392:$AZ$2392,1,OC_Txn)))</f>
        <v/>
      </c>
      <c r="M2392">
        <f>IF(OC_Pay=0,"",IF(INDEX('OneCause_Paste'!$A$2392:$AZ$2392,1,OC_Pay)="","",INDEX('OneCause_Paste'!$A$2392:$AZ$2392,1,OC_Pay)))</f>
        <v/>
      </c>
      <c r="N2392">
        <f>IF(I2392="","",IF(ISNUMBER(I2392),INT(I2392),IFERROR(INT(DATEVALUE(I2392)),IFERROR(INT(VALUE(I2392)),"bad"))))</f>
        <v/>
      </c>
      <c r="O2392">
        <f>IF(J2392="","",IF(ISNUMBER(J2392),ROUND(J2392,2),IFERROR(ROUND(VALUE(SUBSTITUTE(SUBSTITUTE(SUBSTITUTE(J2392,"$",""),",","")," ","")),2),"bad")))</f>
        <v/>
      </c>
      <c r="P2392">
        <f>IF(TRIM(K2392)="","",IFERROR(MATCH(LOWER(TRIM(K2392)),'Students'!$AH$2:$AH$701,0),IFERROR(MATCH(LOWER(TRIM(K2392)),'Students'!$AF$2:$AF$701,0),IFERROR(MATCH(LOWER(TRIM(K2392)),'Students'!$AG$2:$AG$701,0),""))))</f>
        <v/>
      </c>
      <c r="R2392">
        <f>IF(P2392="","",INDEX('Students'!$AD$2:$AD$701,P2392))</f>
        <v/>
      </c>
      <c r="S2392">
        <f>IF(H2392="OK",O2392,0)</f>
        <v/>
      </c>
      <c r="T2392">
        <f>IF(H2392="OK",N2392,"")</f>
        <v/>
      </c>
      <c r="U2392">
        <f>IF(OC_Donor=0,"",IF(INDEX('OneCause_Paste'!$A$2392:$AZ$2392,1,OC_Donor)="","",INDEX('OneCause_Paste'!$A$2392:$AZ$2392,1,OC_Donor)))</f>
        <v/>
      </c>
    </row>
    <row r="2393">
      <c r="A2393" s="62">
        <f>IF(H2393="","",IF(ISNUMBER(N2393),N2393,I2393))</f>
        <v/>
      </c>
      <c r="B2393">
        <f>IF(H2393="","",U2393)</f>
        <v/>
      </c>
      <c r="C2393">
        <f>IF(H2393="","",IF(P2393="",K2393,INDEX('Students'!$A$2:$A$701,P2393)))</f>
        <v/>
      </c>
      <c r="D2393">
        <f>IF(OR(H2393="",P2393=""),"",INDEX('Students'!$B$2:$B$701,P2393))</f>
        <v/>
      </c>
      <c r="E2393">
        <f>IF(OR(H2393="",P2393=""),"",INDEX('Students'!$C$2:$C$701,P2393))</f>
        <v/>
      </c>
      <c r="F2393" s="48">
        <f>IF(H2393="","",IF(ISNUMBER(O2393),O2393,J2393))</f>
        <v/>
      </c>
      <c r="G2393">
        <f>IF(H2393="","","OneCause")</f>
        <v/>
      </c>
      <c r="H2393">
        <f>IF(AND(I2393="",J2393="",K2393=""),"",IF(NOT(ISNUMBER(O2393)),"Bad amount",IF(O2393&lt;0,"Refund (not counted)",IF(O2393=0,"Zero amount",IF(NOT(ISNUMBER(N2393)),"Bad date",IF(P2393="","NAME NOT ON ROSTER",IF(L2393="","OK",IF(MATCH(L2393,$L$2:$L$3001,0)&lt;ROW()-1,"Duplicate (ignored)","OK"))))))))</f>
        <v/>
      </c>
      <c r="I2393">
        <f>IF(OC_Date=0,"",IF(INDEX('OneCause_Paste'!$A$2393:$AZ$2393,1,OC_Date)="","",INDEX('OneCause_Paste'!$A$2393:$AZ$2393,1,OC_Date)))</f>
        <v/>
      </c>
      <c r="J2393">
        <f>IF(OC_Amt=0,"",IF(INDEX('OneCause_Paste'!$A$2393:$AZ$2393,1,OC_Amt)="","",INDEX('OneCause_Paste'!$A$2393:$AZ$2393,1,OC_Amt)))</f>
        <v/>
      </c>
      <c r="K2393">
        <f>IF(OC_Name=0,"",IF(INDEX('OneCause_Paste'!$A$2393:$AZ$2393,1,OC_Name)="","",INDEX('OneCause_Paste'!$A$2393:$AZ$2393,1,OC_Name)))</f>
        <v/>
      </c>
      <c r="L2393">
        <f>IF(OC_Txn=0,"",IF(INDEX('OneCause_Paste'!$A$2393:$AZ$2393,1,OC_Txn)="","",INDEX('OneCause_Paste'!$A$2393:$AZ$2393,1,OC_Txn)))</f>
        <v/>
      </c>
      <c r="M2393">
        <f>IF(OC_Pay=0,"",IF(INDEX('OneCause_Paste'!$A$2393:$AZ$2393,1,OC_Pay)="","",INDEX('OneCause_Paste'!$A$2393:$AZ$2393,1,OC_Pay)))</f>
        <v/>
      </c>
      <c r="N2393">
        <f>IF(I2393="","",IF(ISNUMBER(I2393),INT(I2393),IFERROR(INT(DATEVALUE(I2393)),IFERROR(INT(VALUE(I2393)),"bad"))))</f>
        <v/>
      </c>
      <c r="O2393">
        <f>IF(J2393="","",IF(ISNUMBER(J2393),ROUND(J2393,2),IFERROR(ROUND(VALUE(SUBSTITUTE(SUBSTITUTE(SUBSTITUTE(J2393,"$",""),",","")," ","")),2),"bad")))</f>
        <v/>
      </c>
      <c r="P2393">
        <f>IF(TRIM(K2393)="","",IFERROR(MATCH(LOWER(TRIM(K2393)),'Students'!$AH$2:$AH$701,0),IFERROR(MATCH(LOWER(TRIM(K2393)),'Students'!$AF$2:$AF$701,0),IFERROR(MATCH(LOWER(TRIM(K2393)),'Students'!$AG$2:$AG$701,0),""))))</f>
        <v/>
      </c>
      <c r="R2393">
        <f>IF(P2393="","",INDEX('Students'!$AD$2:$AD$701,P2393))</f>
        <v/>
      </c>
      <c r="S2393">
        <f>IF(H2393="OK",O2393,0)</f>
        <v/>
      </c>
      <c r="T2393">
        <f>IF(H2393="OK",N2393,"")</f>
        <v/>
      </c>
      <c r="U2393">
        <f>IF(OC_Donor=0,"",IF(INDEX('OneCause_Paste'!$A$2393:$AZ$2393,1,OC_Donor)="","",INDEX('OneCause_Paste'!$A$2393:$AZ$2393,1,OC_Donor)))</f>
        <v/>
      </c>
    </row>
    <row r="2394">
      <c r="A2394" s="62">
        <f>IF(H2394="","",IF(ISNUMBER(N2394),N2394,I2394))</f>
        <v/>
      </c>
      <c r="B2394">
        <f>IF(H2394="","",U2394)</f>
        <v/>
      </c>
      <c r="C2394">
        <f>IF(H2394="","",IF(P2394="",K2394,INDEX('Students'!$A$2:$A$701,P2394)))</f>
        <v/>
      </c>
      <c r="D2394">
        <f>IF(OR(H2394="",P2394=""),"",INDEX('Students'!$B$2:$B$701,P2394))</f>
        <v/>
      </c>
      <c r="E2394">
        <f>IF(OR(H2394="",P2394=""),"",INDEX('Students'!$C$2:$C$701,P2394))</f>
        <v/>
      </c>
      <c r="F2394" s="48">
        <f>IF(H2394="","",IF(ISNUMBER(O2394),O2394,J2394))</f>
        <v/>
      </c>
      <c r="G2394">
        <f>IF(H2394="","","OneCause")</f>
        <v/>
      </c>
      <c r="H2394">
        <f>IF(AND(I2394="",J2394="",K2394=""),"",IF(NOT(ISNUMBER(O2394)),"Bad amount",IF(O2394&lt;0,"Refund (not counted)",IF(O2394=0,"Zero amount",IF(NOT(ISNUMBER(N2394)),"Bad date",IF(P2394="","NAME NOT ON ROSTER",IF(L2394="","OK",IF(MATCH(L2394,$L$2:$L$3001,0)&lt;ROW()-1,"Duplicate (ignored)","OK"))))))))</f>
        <v/>
      </c>
      <c r="I2394">
        <f>IF(OC_Date=0,"",IF(INDEX('OneCause_Paste'!$A$2394:$AZ$2394,1,OC_Date)="","",INDEX('OneCause_Paste'!$A$2394:$AZ$2394,1,OC_Date)))</f>
        <v/>
      </c>
      <c r="J2394">
        <f>IF(OC_Amt=0,"",IF(INDEX('OneCause_Paste'!$A$2394:$AZ$2394,1,OC_Amt)="","",INDEX('OneCause_Paste'!$A$2394:$AZ$2394,1,OC_Amt)))</f>
        <v/>
      </c>
      <c r="K2394">
        <f>IF(OC_Name=0,"",IF(INDEX('OneCause_Paste'!$A$2394:$AZ$2394,1,OC_Name)="","",INDEX('OneCause_Paste'!$A$2394:$AZ$2394,1,OC_Name)))</f>
        <v/>
      </c>
      <c r="L2394">
        <f>IF(OC_Txn=0,"",IF(INDEX('OneCause_Paste'!$A$2394:$AZ$2394,1,OC_Txn)="","",INDEX('OneCause_Paste'!$A$2394:$AZ$2394,1,OC_Txn)))</f>
        <v/>
      </c>
      <c r="M2394">
        <f>IF(OC_Pay=0,"",IF(INDEX('OneCause_Paste'!$A$2394:$AZ$2394,1,OC_Pay)="","",INDEX('OneCause_Paste'!$A$2394:$AZ$2394,1,OC_Pay)))</f>
        <v/>
      </c>
      <c r="N2394">
        <f>IF(I2394="","",IF(ISNUMBER(I2394),INT(I2394),IFERROR(INT(DATEVALUE(I2394)),IFERROR(INT(VALUE(I2394)),"bad"))))</f>
        <v/>
      </c>
      <c r="O2394">
        <f>IF(J2394="","",IF(ISNUMBER(J2394),ROUND(J2394,2),IFERROR(ROUND(VALUE(SUBSTITUTE(SUBSTITUTE(SUBSTITUTE(J2394,"$",""),",","")," ","")),2),"bad")))</f>
        <v/>
      </c>
      <c r="P2394">
        <f>IF(TRIM(K2394)="","",IFERROR(MATCH(LOWER(TRIM(K2394)),'Students'!$AH$2:$AH$701,0),IFERROR(MATCH(LOWER(TRIM(K2394)),'Students'!$AF$2:$AF$701,0),IFERROR(MATCH(LOWER(TRIM(K2394)),'Students'!$AG$2:$AG$701,0),""))))</f>
        <v/>
      </c>
      <c r="R2394">
        <f>IF(P2394="","",INDEX('Students'!$AD$2:$AD$701,P2394))</f>
        <v/>
      </c>
      <c r="S2394">
        <f>IF(H2394="OK",O2394,0)</f>
        <v/>
      </c>
      <c r="T2394">
        <f>IF(H2394="OK",N2394,"")</f>
        <v/>
      </c>
      <c r="U2394">
        <f>IF(OC_Donor=0,"",IF(INDEX('OneCause_Paste'!$A$2394:$AZ$2394,1,OC_Donor)="","",INDEX('OneCause_Paste'!$A$2394:$AZ$2394,1,OC_Donor)))</f>
        <v/>
      </c>
    </row>
    <row r="2395">
      <c r="A2395" s="62">
        <f>IF(H2395="","",IF(ISNUMBER(N2395),N2395,I2395))</f>
        <v/>
      </c>
      <c r="B2395">
        <f>IF(H2395="","",U2395)</f>
        <v/>
      </c>
      <c r="C2395">
        <f>IF(H2395="","",IF(P2395="",K2395,INDEX('Students'!$A$2:$A$701,P2395)))</f>
        <v/>
      </c>
      <c r="D2395">
        <f>IF(OR(H2395="",P2395=""),"",INDEX('Students'!$B$2:$B$701,P2395))</f>
        <v/>
      </c>
      <c r="E2395">
        <f>IF(OR(H2395="",P2395=""),"",INDEX('Students'!$C$2:$C$701,P2395))</f>
        <v/>
      </c>
      <c r="F2395" s="48">
        <f>IF(H2395="","",IF(ISNUMBER(O2395),O2395,J2395))</f>
        <v/>
      </c>
      <c r="G2395">
        <f>IF(H2395="","","OneCause")</f>
        <v/>
      </c>
      <c r="H2395">
        <f>IF(AND(I2395="",J2395="",K2395=""),"",IF(NOT(ISNUMBER(O2395)),"Bad amount",IF(O2395&lt;0,"Refund (not counted)",IF(O2395=0,"Zero amount",IF(NOT(ISNUMBER(N2395)),"Bad date",IF(P2395="","NAME NOT ON ROSTER",IF(L2395="","OK",IF(MATCH(L2395,$L$2:$L$3001,0)&lt;ROW()-1,"Duplicate (ignored)","OK"))))))))</f>
        <v/>
      </c>
      <c r="I2395">
        <f>IF(OC_Date=0,"",IF(INDEX('OneCause_Paste'!$A$2395:$AZ$2395,1,OC_Date)="","",INDEX('OneCause_Paste'!$A$2395:$AZ$2395,1,OC_Date)))</f>
        <v/>
      </c>
      <c r="J2395">
        <f>IF(OC_Amt=0,"",IF(INDEX('OneCause_Paste'!$A$2395:$AZ$2395,1,OC_Amt)="","",INDEX('OneCause_Paste'!$A$2395:$AZ$2395,1,OC_Amt)))</f>
        <v/>
      </c>
      <c r="K2395">
        <f>IF(OC_Name=0,"",IF(INDEX('OneCause_Paste'!$A$2395:$AZ$2395,1,OC_Name)="","",INDEX('OneCause_Paste'!$A$2395:$AZ$2395,1,OC_Name)))</f>
        <v/>
      </c>
      <c r="L2395">
        <f>IF(OC_Txn=0,"",IF(INDEX('OneCause_Paste'!$A$2395:$AZ$2395,1,OC_Txn)="","",INDEX('OneCause_Paste'!$A$2395:$AZ$2395,1,OC_Txn)))</f>
        <v/>
      </c>
      <c r="M2395">
        <f>IF(OC_Pay=0,"",IF(INDEX('OneCause_Paste'!$A$2395:$AZ$2395,1,OC_Pay)="","",INDEX('OneCause_Paste'!$A$2395:$AZ$2395,1,OC_Pay)))</f>
        <v/>
      </c>
      <c r="N2395">
        <f>IF(I2395="","",IF(ISNUMBER(I2395),INT(I2395),IFERROR(INT(DATEVALUE(I2395)),IFERROR(INT(VALUE(I2395)),"bad"))))</f>
        <v/>
      </c>
      <c r="O2395">
        <f>IF(J2395="","",IF(ISNUMBER(J2395),ROUND(J2395,2),IFERROR(ROUND(VALUE(SUBSTITUTE(SUBSTITUTE(SUBSTITUTE(J2395,"$",""),",","")," ","")),2),"bad")))</f>
        <v/>
      </c>
      <c r="P2395">
        <f>IF(TRIM(K2395)="","",IFERROR(MATCH(LOWER(TRIM(K2395)),'Students'!$AH$2:$AH$701,0),IFERROR(MATCH(LOWER(TRIM(K2395)),'Students'!$AF$2:$AF$701,0),IFERROR(MATCH(LOWER(TRIM(K2395)),'Students'!$AG$2:$AG$701,0),""))))</f>
        <v/>
      </c>
      <c r="R2395">
        <f>IF(P2395="","",INDEX('Students'!$AD$2:$AD$701,P2395))</f>
        <v/>
      </c>
      <c r="S2395">
        <f>IF(H2395="OK",O2395,0)</f>
        <v/>
      </c>
      <c r="T2395">
        <f>IF(H2395="OK",N2395,"")</f>
        <v/>
      </c>
      <c r="U2395">
        <f>IF(OC_Donor=0,"",IF(INDEX('OneCause_Paste'!$A$2395:$AZ$2395,1,OC_Donor)="","",INDEX('OneCause_Paste'!$A$2395:$AZ$2395,1,OC_Donor)))</f>
        <v/>
      </c>
    </row>
    <row r="2396">
      <c r="A2396" s="62">
        <f>IF(H2396="","",IF(ISNUMBER(N2396),N2396,I2396))</f>
        <v/>
      </c>
      <c r="B2396">
        <f>IF(H2396="","",U2396)</f>
        <v/>
      </c>
      <c r="C2396">
        <f>IF(H2396="","",IF(P2396="",K2396,INDEX('Students'!$A$2:$A$701,P2396)))</f>
        <v/>
      </c>
      <c r="D2396">
        <f>IF(OR(H2396="",P2396=""),"",INDEX('Students'!$B$2:$B$701,P2396))</f>
        <v/>
      </c>
      <c r="E2396">
        <f>IF(OR(H2396="",P2396=""),"",INDEX('Students'!$C$2:$C$701,P2396))</f>
        <v/>
      </c>
      <c r="F2396" s="48">
        <f>IF(H2396="","",IF(ISNUMBER(O2396),O2396,J2396))</f>
        <v/>
      </c>
      <c r="G2396">
        <f>IF(H2396="","","OneCause")</f>
        <v/>
      </c>
      <c r="H2396">
        <f>IF(AND(I2396="",J2396="",K2396=""),"",IF(NOT(ISNUMBER(O2396)),"Bad amount",IF(O2396&lt;0,"Refund (not counted)",IF(O2396=0,"Zero amount",IF(NOT(ISNUMBER(N2396)),"Bad date",IF(P2396="","NAME NOT ON ROSTER",IF(L2396="","OK",IF(MATCH(L2396,$L$2:$L$3001,0)&lt;ROW()-1,"Duplicate (ignored)","OK"))))))))</f>
        <v/>
      </c>
      <c r="I2396">
        <f>IF(OC_Date=0,"",IF(INDEX('OneCause_Paste'!$A$2396:$AZ$2396,1,OC_Date)="","",INDEX('OneCause_Paste'!$A$2396:$AZ$2396,1,OC_Date)))</f>
        <v/>
      </c>
      <c r="J2396">
        <f>IF(OC_Amt=0,"",IF(INDEX('OneCause_Paste'!$A$2396:$AZ$2396,1,OC_Amt)="","",INDEX('OneCause_Paste'!$A$2396:$AZ$2396,1,OC_Amt)))</f>
        <v/>
      </c>
      <c r="K2396">
        <f>IF(OC_Name=0,"",IF(INDEX('OneCause_Paste'!$A$2396:$AZ$2396,1,OC_Name)="","",INDEX('OneCause_Paste'!$A$2396:$AZ$2396,1,OC_Name)))</f>
        <v/>
      </c>
      <c r="L2396">
        <f>IF(OC_Txn=0,"",IF(INDEX('OneCause_Paste'!$A$2396:$AZ$2396,1,OC_Txn)="","",INDEX('OneCause_Paste'!$A$2396:$AZ$2396,1,OC_Txn)))</f>
        <v/>
      </c>
      <c r="M2396">
        <f>IF(OC_Pay=0,"",IF(INDEX('OneCause_Paste'!$A$2396:$AZ$2396,1,OC_Pay)="","",INDEX('OneCause_Paste'!$A$2396:$AZ$2396,1,OC_Pay)))</f>
        <v/>
      </c>
      <c r="N2396">
        <f>IF(I2396="","",IF(ISNUMBER(I2396),INT(I2396),IFERROR(INT(DATEVALUE(I2396)),IFERROR(INT(VALUE(I2396)),"bad"))))</f>
        <v/>
      </c>
      <c r="O2396">
        <f>IF(J2396="","",IF(ISNUMBER(J2396),ROUND(J2396,2),IFERROR(ROUND(VALUE(SUBSTITUTE(SUBSTITUTE(SUBSTITUTE(J2396,"$",""),",","")," ","")),2),"bad")))</f>
        <v/>
      </c>
      <c r="P2396">
        <f>IF(TRIM(K2396)="","",IFERROR(MATCH(LOWER(TRIM(K2396)),'Students'!$AH$2:$AH$701,0),IFERROR(MATCH(LOWER(TRIM(K2396)),'Students'!$AF$2:$AF$701,0),IFERROR(MATCH(LOWER(TRIM(K2396)),'Students'!$AG$2:$AG$701,0),""))))</f>
        <v/>
      </c>
      <c r="R2396">
        <f>IF(P2396="","",INDEX('Students'!$AD$2:$AD$701,P2396))</f>
        <v/>
      </c>
      <c r="S2396">
        <f>IF(H2396="OK",O2396,0)</f>
        <v/>
      </c>
      <c r="T2396">
        <f>IF(H2396="OK",N2396,"")</f>
        <v/>
      </c>
      <c r="U2396">
        <f>IF(OC_Donor=0,"",IF(INDEX('OneCause_Paste'!$A$2396:$AZ$2396,1,OC_Donor)="","",INDEX('OneCause_Paste'!$A$2396:$AZ$2396,1,OC_Donor)))</f>
        <v/>
      </c>
    </row>
    <row r="2397">
      <c r="A2397" s="62">
        <f>IF(H2397="","",IF(ISNUMBER(N2397),N2397,I2397))</f>
        <v/>
      </c>
      <c r="B2397">
        <f>IF(H2397="","",U2397)</f>
        <v/>
      </c>
      <c r="C2397">
        <f>IF(H2397="","",IF(P2397="",K2397,INDEX('Students'!$A$2:$A$701,P2397)))</f>
        <v/>
      </c>
      <c r="D2397">
        <f>IF(OR(H2397="",P2397=""),"",INDEX('Students'!$B$2:$B$701,P2397))</f>
        <v/>
      </c>
      <c r="E2397">
        <f>IF(OR(H2397="",P2397=""),"",INDEX('Students'!$C$2:$C$701,P2397))</f>
        <v/>
      </c>
      <c r="F2397" s="48">
        <f>IF(H2397="","",IF(ISNUMBER(O2397),O2397,J2397))</f>
        <v/>
      </c>
      <c r="G2397">
        <f>IF(H2397="","","OneCause")</f>
        <v/>
      </c>
      <c r="H2397">
        <f>IF(AND(I2397="",J2397="",K2397=""),"",IF(NOT(ISNUMBER(O2397)),"Bad amount",IF(O2397&lt;0,"Refund (not counted)",IF(O2397=0,"Zero amount",IF(NOT(ISNUMBER(N2397)),"Bad date",IF(P2397="","NAME NOT ON ROSTER",IF(L2397="","OK",IF(MATCH(L2397,$L$2:$L$3001,0)&lt;ROW()-1,"Duplicate (ignored)","OK"))))))))</f>
        <v/>
      </c>
      <c r="I2397">
        <f>IF(OC_Date=0,"",IF(INDEX('OneCause_Paste'!$A$2397:$AZ$2397,1,OC_Date)="","",INDEX('OneCause_Paste'!$A$2397:$AZ$2397,1,OC_Date)))</f>
        <v/>
      </c>
      <c r="J2397">
        <f>IF(OC_Amt=0,"",IF(INDEX('OneCause_Paste'!$A$2397:$AZ$2397,1,OC_Amt)="","",INDEX('OneCause_Paste'!$A$2397:$AZ$2397,1,OC_Amt)))</f>
        <v/>
      </c>
      <c r="K2397">
        <f>IF(OC_Name=0,"",IF(INDEX('OneCause_Paste'!$A$2397:$AZ$2397,1,OC_Name)="","",INDEX('OneCause_Paste'!$A$2397:$AZ$2397,1,OC_Name)))</f>
        <v/>
      </c>
      <c r="L2397">
        <f>IF(OC_Txn=0,"",IF(INDEX('OneCause_Paste'!$A$2397:$AZ$2397,1,OC_Txn)="","",INDEX('OneCause_Paste'!$A$2397:$AZ$2397,1,OC_Txn)))</f>
        <v/>
      </c>
      <c r="M2397">
        <f>IF(OC_Pay=0,"",IF(INDEX('OneCause_Paste'!$A$2397:$AZ$2397,1,OC_Pay)="","",INDEX('OneCause_Paste'!$A$2397:$AZ$2397,1,OC_Pay)))</f>
        <v/>
      </c>
      <c r="N2397">
        <f>IF(I2397="","",IF(ISNUMBER(I2397),INT(I2397),IFERROR(INT(DATEVALUE(I2397)),IFERROR(INT(VALUE(I2397)),"bad"))))</f>
        <v/>
      </c>
      <c r="O2397">
        <f>IF(J2397="","",IF(ISNUMBER(J2397),ROUND(J2397,2),IFERROR(ROUND(VALUE(SUBSTITUTE(SUBSTITUTE(SUBSTITUTE(J2397,"$",""),",","")," ","")),2),"bad")))</f>
        <v/>
      </c>
      <c r="P2397">
        <f>IF(TRIM(K2397)="","",IFERROR(MATCH(LOWER(TRIM(K2397)),'Students'!$AH$2:$AH$701,0),IFERROR(MATCH(LOWER(TRIM(K2397)),'Students'!$AF$2:$AF$701,0),IFERROR(MATCH(LOWER(TRIM(K2397)),'Students'!$AG$2:$AG$701,0),""))))</f>
        <v/>
      </c>
      <c r="R2397">
        <f>IF(P2397="","",INDEX('Students'!$AD$2:$AD$701,P2397))</f>
        <v/>
      </c>
      <c r="S2397">
        <f>IF(H2397="OK",O2397,0)</f>
        <v/>
      </c>
      <c r="T2397">
        <f>IF(H2397="OK",N2397,"")</f>
        <v/>
      </c>
      <c r="U2397">
        <f>IF(OC_Donor=0,"",IF(INDEX('OneCause_Paste'!$A$2397:$AZ$2397,1,OC_Donor)="","",INDEX('OneCause_Paste'!$A$2397:$AZ$2397,1,OC_Donor)))</f>
        <v/>
      </c>
    </row>
    <row r="2398">
      <c r="A2398" s="62">
        <f>IF(H2398="","",IF(ISNUMBER(N2398),N2398,I2398))</f>
        <v/>
      </c>
      <c r="B2398">
        <f>IF(H2398="","",U2398)</f>
        <v/>
      </c>
      <c r="C2398">
        <f>IF(H2398="","",IF(P2398="",K2398,INDEX('Students'!$A$2:$A$701,P2398)))</f>
        <v/>
      </c>
      <c r="D2398">
        <f>IF(OR(H2398="",P2398=""),"",INDEX('Students'!$B$2:$B$701,P2398))</f>
        <v/>
      </c>
      <c r="E2398">
        <f>IF(OR(H2398="",P2398=""),"",INDEX('Students'!$C$2:$C$701,P2398))</f>
        <v/>
      </c>
      <c r="F2398" s="48">
        <f>IF(H2398="","",IF(ISNUMBER(O2398),O2398,J2398))</f>
        <v/>
      </c>
      <c r="G2398">
        <f>IF(H2398="","","OneCause")</f>
        <v/>
      </c>
      <c r="H2398">
        <f>IF(AND(I2398="",J2398="",K2398=""),"",IF(NOT(ISNUMBER(O2398)),"Bad amount",IF(O2398&lt;0,"Refund (not counted)",IF(O2398=0,"Zero amount",IF(NOT(ISNUMBER(N2398)),"Bad date",IF(P2398="","NAME NOT ON ROSTER",IF(L2398="","OK",IF(MATCH(L2398,$L$2:$L$3001,0)&lt;ROW()-1,"Duplicate (ignored)","OK"))))))))</f>
        <v/>
      </c>
      <c r="I2398">
        <f>IF(OC_Date=0,"",IF(INDEX('OneCause_Paste'!$A$2398:$AZ$2398,1,OC_Date)="","",INDEX('OneCause_Paste'!$A$2398:$AZ$2398,1,OC_Date)))</f>
        <v/>
      </c>
      <c r="J2398">
        <f>IF(OC_Amt=0,"",IF(INDEX('OneCause_Paste'!$A$2398:$AZ$2398,1,OC_Amt)="","",INDEX('OneCause_Paste'!$A$2398:$AZ$2398,1,OC_Amt)))</f>
        <v/>
      </c>
      <c r="K2398">
        <f>IF(OC_Name=0,"",IF(INDEX('OneCause_Paste'!$A$2398:$AZ$2398,1,OC_Name)="","",INDEX('OneCause_Paste'!$A$2398:$AZ$2398,1,OC_Name)))</f>
        <v/>
      </c>
      <c r="L2398">
        <f>IF(OC_Txn=0,"",IF(INDEX('OneCause_Paste'!$A$2398:$AZ$2398,1,OC_Txn)="","",INDEX('OneCause_Paste'!$A$2398:$AZ$2398,1,OC_Txn)))</f>
        <v/>
      </c>
      <c r="M2398">
        <f>IF(OC_Pay=0,"",IF(INDEX('OneCause_Paste'!$A$2398:$AZ$2398,1,OC_Pay)="","",INDEX('OneCause_Paste'!$A$2398:$AZ$2398,1,OC_Pay)))</f>
        <v/>
      </c>
      <c r="N2398">
        <f>IF(I2398="","",IF(ISNUMBER(I2398),INT(I2398),IFERROR(INT(DATEVALUE(I2398)),IFERROR(INT(VALUE(I2398)),"bad"))))</f>
        <v/>
      </c>
      <c r="O2398">
        <f>IF(J2398="","",IF(ISNUMBER(J2398),ROUND(J2398,2),IFERROR(ROUND(VALUE(SUBSTITUTE(SUBSTITUTE(SUBSTITUTE(J2398,"$",""),",","")," ","")),2),"bad")))</f>
        <v/>
      </c>
      <c r="P2398">
        <f>IF(TRIM(K2398)="","",IFERROR(MATCH(LOWER(TRIM(K2398)),'Students'!$AH$2:$AH$701,0),IFERROR(MATCH(LOWER(TRIM(K2398)),'Students'!$AF$2:$AF$701,0),IFERROR(MATCH(LOWER(TRIM(K2398)),'Students'!$AG$2:$AG$701,0),""))))</f>
        <v/>
      </c>
      <c r="R2398">
        <f>IF(P2398="","",INDEX('Students'!$AD$2:$AD$701,P2398))</f>
        <v/>
      </c>
      <c r="S2398">
        <f>IF(H2398="OK",O2398,0)</f>
        <v/>
      </c>
      <c r="T2398">
        <f>IF(H2398="OK",N2398,"")</f>
        <v/>
      </c>
      <c r="U2398">
        <f>IF(OC_Donor=0,"",IF(INDEX('OneCause_Paste'!$A$2398:$AZ$2398,1,OC_Donor)="","",INDEX('OneCause_Paste'!$A$2398:$AZ$2398,1,OC_Donor)))</f>
        <v/>
      </c>
    </row>
    <row r="2399">
      <c r="A2399" s="62">
        <f>IF(H2399="","",IF(ISNUMBER(N2399),N2399,I2399))</f>
        <v/>
      </c>
      <c r="B2399">
        <f>IF(H2399="","",U2399)</f>
        <v/>
      </c>
      <c r="C2399">
        <f>IF(H2399="","",IF(P2399="",K2399,INDEX('Students'!$A$2:$A$701,P2399)))</f>
        <v/>
      </c>
      <c r="D2399">
        <f>IF(OR(H2399="",P2399=""),"",INDEX('Students'!$B$2:$B$701,P2399))</f>
        <v/>
      </c>
      <c r="E2399">
        <f>IF(OR(H2399="",P2399=""),"",INDEX('Students'!$C$2:$C$701,P2399))</f>
        <v/>
      </c>
      <c r="F2399" s="48">
        <f>IF(H2399="","",IF(ISNUMBER(O2399),O2399,J2399))</f>
        <v/>
      </c>
      <c r="G2399">
        <f>IF(H2399="","","OneCause")</f>
        <v/>
      </c>
      <c r="H2399">
        <f>IF(AND(I2399="",J2399="",K2399=""),"",IF(NOT(ISNUMBER(O2399)),"Bad amount",IF(O2399&lt;0,"Refund (not counted)",IF(O2399=0,"Zero amount",IF(NOT(ISNUMBER(N2399)),"Bad date",IF(P2399="","NAME NOT ON ROSTER",IF(L2399="","OK",IF(MATCH(L2399,$L$2:$L$3001,0)&lt;ROW()-1,"Duplicate (ignored)","OK"))))))))</f>
        <v/>
      </c>
      <c r="I2399">
        <f>IF(OC_Date=0,"",IF(INDEX('OneCause_Paste'!$A$2399:$AZ$2399,1,OC_Date)="","",INDEX('OneCause_Paste'!$A$2399:$AZ$2399,1,OC_Date)))</f>
        <v/>
      </c>
      <c r="J2399">
        <f>IF(OC_Amt=0,"",IF(INDEX('OneCause_Paste'!$A$2399:$AZ$2399,1,OC_Amt)="","",INDEX('OneCause_Paste'!$A$2399:$AZ$2399,1,OC_Amt)))</f>
        <v/>
      </c>
      <c r="K2399">
        <f>IF(OC_Name=0,"",IF(INDEX('OneCause_Paste'!$A$2399:$AZ$2399,1,OC_Name)="","",INDEX('OneCause_Paste'!$A$2399:$AZ$2399,1,OC_Name)))</f>
        <v/>
      </c>
      <c r="L2399">
        <f>IF(OC_Txn=0,"",IF(INDEX('OneCause_Paste'!$A$2399:$AZ$2399,1,OC_Txn)="","",INDEX('OneCause_Paste'!$A$2399:$AZ$2399,1,OC_Txn)))</f>
        <v/>
      </c>
      <c r="M2399">
        <f>IF(OC_Pay=0,"",IF(INDEX('OneCause_Paste'!$A$2399:$AZ$2399,1,OC_Pay)="","",INDEX('OneCause_Paste'!$A$2399:$AZ$2399,1,OC_Pay)))</f>
        <v/>
      </c>
      <c r="N2399">
        <f>IF(I2399="","",IF(ISNUMBER(I2399),INT(I2399),IFERROR(INT(DATEVALUE(I2399)),IFERROR(INT(VALUE(I2399)),"bad"))))</f>
        <v/>
      </c>
      <c r="O2399">
        <f>IF(J2399="","",IF(ISNUMBER(J2399),ROUND(J2399,2),IFERROR(ROUND(VALUE(SUBSTITUTE(SUBSTITUTE(SUBSTITUTE(J2399,"$",""),",","")," ","")),2),"bad")))</f>
        <v/>
      </c>
      <c r="P2399">
        <f>IF(TRIM(K2399)="","",IFERROR(MATCH(LOWER(TRIM(K2399)),'Students'!$AH$2:$AH$701,0),IFERROR(MATCH(LOWER(TRIM(K2399)),'Students'!$AF$2:$AF$701,0),IFERROR(MATCH(LOWER(TRIM(K2399)),'Students'!$AG$2:$AG$701,0),""))))</f>
        <v/>
      </c>
      <c r="R2399">
        <f>IF(P2399="","",INDEX('Students'!$AD$2:$AD$701,P2399))</f>
        <v/>
      </c>
      <c r="S2399">
        <f>IF(H2399="OK",O2399,0)</f>
        <v/>
      </c>
      <c r="T2399">
        <f>IF(H2399="OK",N2399,"")</f>
        <v/>
      </c>
      <c r="U2399">
        <f>IF(OC_Donor=0,"",IF(INDEX('OneCause_Paste'!$A$2399:$AZ$2399,1,OC_Donor)="","",INDEX('OneCause_Paste'!$A$2399:$AZ$2399,1,OC_Donor)))</f>
        <v/>
      </c>
    </row>
    <row r="2400">
      <c r="A2400" s="62">
        <f>IF(H2400="","",IF(ISNUMBER(N2400),N2400,I2400))</f>
        <v/>
      </c>
      <c r="B2400">
        <f>IF(H2400="","",U2400)</f>
        <v/>
      </c>
      <c r="C2400">
        <f>IF(H2400="","",IF(P2400="",K2400,INDEX('Students'!$A$2:$A$701,P2400)))</f>
        <v/>
      </c>
      <c r="D2400">
        <f>IF(OR(H2400="",P2400=""),"",INDEX('Students'!$B$2:$B$701,P2400))</f>
        <v/>
      </c>
      <c r="E2400">
        <f>IF(OR(H2400="",P2400=""),"",INDEX('Students'!$C$2:$C$701,P2400))</f>
        <v/>
      </c>
      <c r="F2400" s="48">
        <f>IF(H2400="","",IF(ISNUMBER(O2400),O2400,J2400))</f>
        <v/>
      </c>
      <c r="G2400">
        <f>IF(H2400="","","OneCause")</f>
        <v/>
      </c>
      <c r="H2400">
        <f>IF(AND(I2400="",J2400="",K2400=""),"",IF(NOT(ISNUMBER(O2400)),"Bad amount",IF(O2400&lt;0,"Refund (not counted)",IF(O2400=0,"Zero amount",IF(NOT(ISNUMBER(N2400)),"Bad date",IF(P2400="","NAME NOT ON ROSTER",IF(L2400="","OK",IF(MATCH(L2400,$L$2:$L$3001,0)&lt;ROW()-1,"Duplicate (ignored)","OK"))))))))</f>
        <v/>
      </c>
      <c r="I2400">
        <f>IF(OC_Date=0,"",IF(INDEX('OneCause_Paste'!$A$2400:$AZ$2400,1,OC_Date)="","",INDEX('OneCause_Paste'!$A$2400:$AZ$2400,1,OC_Date)))</f>
        <v/>
      </c>
      <c r="J2400">
        <f>IF(OC_Amt=0,"",IF(INDEX('OneCause_Paste'!$A$2400:$AZ$2400,1,OC_Amt)="","",INDEX('OneCause_Paste'!$A$2400:$AZ$2400,1,OC_Amt)))</f>
        <v/>
      </c>
      <c r="K2400">
        <f>IF(OC_Name=0,"",IF(INDEX('OneCause_Paste'!$A$2400:$AZ$2400,1,OC_Name)="","",INDEX('OneCause_Paste'!$A$2400:$AZ$2400,1,OC_Name)))</f>
        <v/>
      </c>
      <c r="L2400">
        <f>IF(OC_Txn=0,"",IF(INDEX('OneCause_Paste'!$A$2400:$AZ$2400,1,OC_Txn)="","",INDEX('OneCause_Paste'!$A$2400:$AZ$2400,1,OC_Txn)))</f>
        <v/>
      </c>
      <c r="M2400">
        <f>IF(OC_Pay=0,"",IF(INDEX('OneCause_Paste'!$A$2400:$AZ$2400,1,OC_Pay)="","",INDEX('OneCause_Paste'!$A$2400:$AZ$2400,1,OC_Pay)))</f>
        <v/>
      </c>
      <c r="N2400">
        <f>IF(I2400="","",IF(ISNUMBER(I2400),INT(I2400),IFERROR(INT(DATEVALUE(I2400)),IFERROR(INT(VALUE(I2400)),"bad"))))</f>
        <v/>
      </c>
      <c r="O2400">
        <f>IF(J2400="","",IF(ISNUMBER(J2400),ROUND(J2400,2),IFERROR(ROUND(VALUE(SUBSTITUTE(SUBSTITUTE(SUBSTITUTE(J2400,"$",""),",","")," ","")),2),"bad")))</f>
        <v/>
      </c>
      <c r="P2400">
        <f>IF(TRIM(K2400)="","",IFERROR(MATCH(LOWER(TRIM(K2400)),'Students'!$AH$2:$AH$701,0),IFERROR(MATCH(LOWER(TRIM(K2400)),'Students'!$AF$2:$AF$701,0),IFERROR(MATCH(LOWER(TRIM(K2400)),'Students'!$AG$2:$AG$701,0),""))))</f>
        <v/>
      </c>
      <c r="R2400">
        <f>IF(P2400="","",INDEX('Students'!$AD$2:$AD$701,P2400))</f>
        <v/>
      </c>
      <c r="S2400">
        <f>IF(H2400="OK",O2400,0)</f>
        <v/>
      </c>
      <c r="T2400">
        <f>IF(H2400="OK",N2400,"")</f>
        <v/>
      </c>
      <c r="U2400">
        <f>IF(OC_Donor=0,"",IF(INDEX('OneCause_Paste'!$A$2400:$AZ$2400,1,OC_Donor)="","",INDEX('OneCause_Paste'!$A$2400:$AZ$2400,1,OC_Donor)))</f>
        <v/>
      </c>
    </row>
    <row r="2401">
      <c r="A2401" s="62">
        <f>IF(H2401="","",IF(ISNUMBER(N2401),N2401,I2401))</f>
        <v/>
      </c>
      <c r="B2401">
        <f>IF(H2401="","",U2401)</f>
        <v/>
      </c>
      <c r="C2401">
        <f>IF(H2401="","",IF(P2401="",K2401,INDEX('Students'!$A$2:$A$701,P2401)))</f>
        <v/>
      </c>
      <c r="D2401">
        <f>IF(OR(H2401="",P2401=""),"",INDEX('Students'!$B$2:$B$701,P2401))</f>
        <v/>
      </c>
      <c r="E2401">
        <f>IF(OR(H2401="",P2401=""),"",INDEX('Students'!$C$2:$C$701,P2401))</f>
        <v/>
      </c>
      <c r="F2401" s="48">
        <f>IF(H2401="","",IF(ISNUMBER(O2401),O2401,J2401))</f>
        <v/>
      </c>
      <c r="G2401">
        <f>IF(H2401="","","OneCause")</f>
        <v/>
      </c>
      <c r="H2401">
        <f>IF(AND(I2401="",J2401="",K2401=""),"",IF(NOT(ISNUMBER(O2401)),"Bad amount",IF(O2401&lt;0,"Refund (not counted)",IF(O2401=0,"Zero amount",IF(NOT(ISNUMBER(N2401)),"Bad date",IF(P2401="","NAME NOT ON ROSTER",IF(L2401="","OK",IF(MATCH(L2401,$L$2:$L$3001,0)&lt;ROW()-1,"Duplicate (ignored)","OK"))))))))</f>
        <v/>
      </c>
      <c r="I2401">
        <f>IF(OC_Date=0,"",IF(INDEX('OneCause_Paste'!$A$2401:$AZ$2401,1,OC_Date)="","",INDEX('OneCause_Paste'!$A$2401:$AZ$2401,1,OC_Date)))</f>
        <v/>
      </c>
      <c r="J2401">
        <f>IF(OC_Amt=0,"",IF(INDEX('OneCause_Paste'!$A$2401:$AZ$2401,1,OC_Amt)="","",INDEX('OneCause_Paste'!$A$2401:$AZ$2401,1,OC_Amt)))</f>
        <v/>
      </c>
      <c r="K2401">
        <f>IF(OC_Name=0,"",IF(INDEX('OneCause_Paste'!$A$2401:$AZ$2401,1,OC_Name)="","",INDEX('OneCause_Paste'!$A$2401:$AZ$2401,1,OC_Name)))</f>
        <v/>
      </c>
      <c r="L2401">
        <f>IF(OC_Txn=0,"",IF(INDEX('OneCause_Paste'!$A$2401:$AZ$2401,1,OC_Txn)="","",INDEX('OneCause_Paste'!$A$2401:$AZ$2401,1,OC_Txn)))</f>
        <v/>
      </c>
      <c r="M2401">
        <f>IF(OC_Pay=0,"",IF(INDEX('OneCause_Paste'!$A$2401:$AZ$2401,1,OC_Pay)="","",INDEX('OneCause_Paste'!$A$2401:$AZ$2401,1,OC_Pay)))</f>
        <v/>
      </c>
      <c r="N2401">
        <f>IF(I2401="","",IF(ISNUMBER(I2401),INT(I2401),IFERROR(INT(DATEVALUE(I2401)),IFERROR(INT(VALUE(I2401)),"bad"))))</f>
        <v/>
      </c>
      <c r="O2401">
        <f>IF(J2401="","",IF(ISNUMBER(J2401),ROUND(J2401,2),IFERROR(ROUND(VALUE(SUBSTITUTE(SUBSTITUTE(SUBSTITUTE(J2401,"$",""),",","")," ","")),2),"bad")))</f>
        <v/>
      </c>
      <c r="P2401">
        <f>IF(TRIM(K2401)="","",IFERROR(MATCH(LOWER(TRIM(K2401)),'Students'!$AH$2:$AH$701,0),IFERROR(MATCH(LOWER(TRIM(K2401)),'Students'!$AF$2:$AF$701,0),IFERROR(MATCH(LOWER(TRIM(K2401)),'Students'!$AG$2:$AG$701,0),""))))</f>
        <v/>
      </c>
      <c r="R2401">
        <f>IF(P2401="","",INDEX('Students'!$AD$2:$AD$701,P2401))</f>
        <v/>
      </c>
      <c r="S2401">
        <f>IF(H2401="OK",O2401,0)</f>
        <v/>
      </c>
      <c r="T2401">
        <f>IF(H2401="OK",N2401,"")</f>
        <v/>
      </c>
      <c r="U2401">
        <f>IF(OC_Donor=0,"",IF(INDEX('OneCause_Paste'!$A$2401:$AZ$2401,1,OC_Donor)="","",INDEX('OneCause_Paste'!$A$2401:$AZ$2401,1,OC_Donor)))</f>
        <v/>
      </c>
    </row>
    <row r="2402">
      <c r="A2402" s="62">
        <f>IF(H2402="","",IF(ISNUMBER(N2402),N2402,I2402))</f>
        <v/>
      </c>
      <c r="B2402">
        <f>IF(H2402="","",U2402)</f>
        <v/>
      </c>
      <c r="C2402">
        <f>IF(H2402="","",IF(P2402="",K2402,INDEX('Students'!$A$2:$A$701,P2402)))</f>
        <v/>
      </c>
      <c r="D2402">
        <f>IF(OR(H2402="",P2402=""),"",INDEX('Students'!$B$2:$B$701,P2402))</f>
        <v/>
      </c>
      <c r="E2402">
        <f>IF(OR(H2402="",P2402=""),"",INDEX('Students'!$C$2:$C$701,P2402))</f>
        <v/>
      </c>
      <c r="F2402" s="48">
        <f>IF(H2402="","",IF(ISNUMBER(O2402),O2402,J2402))</f>
        <v/>
      </c>
      <c r="G2402">
        <f>IF(H2402="","","OneCause")</f>
        <v/>
      </c>
      <c r="H2402">
        <f>IF(AND(I2402="",J2402="",K2402=""),"",IF(NOT(ISNUMBER(O2402)),"Bad amount",IF(O2402&lt;0,"Refund (not counted)",IF(O2402=0,"Zero amount",IF(NOT(ISNUMBER(N2402)),"Bad date",IF(P2402="","NAME NOT ON ROSTER",IF(L2402="","OK",IF(MATCH(L2402,$L$2:$L$3001,0)&lt;ROW()-1,"Duplicate (ignored)","OK"))))))))</f>
        <v/>
      </c>
      <c r="I2402">
        <f>IF(OC_Date=0,"",IF(INDEX('OneCause_Paste'!$A$2402:$AZ$2402,1,OC_Date)="","",INDEX('OneCause_Paste'!$A$2402:$AZ$2402,1,OC_Date)))</f>
        <v/>
      </c>
      <c r="J2402">
        <f>IF(OC_Amt=0,"",IF(INDEX('OneCause_Paste'!$A$2402:$AZ$2402,1,OC_Amt)="","",INDEX('OneCause_Paste'!$A$2402:$AZ$2402,1,OC_Amt)))</f>
        <v/>
      </c>
      <c r="K2402">
        <f>IF(OC_Name=0,"",IF(INDEX('OneCause_Paste'!$A$2402:$AZ$2402,1,OC_Name)="","",INDEX('OneCause_Paste'!$A$2402:$AZ$2402,1,OC_Name)))</f>
        <v/>
      </c>
      <c r="L2402">
        <f>IF(OC_Txn=0,"",IF(INDEX('OneCause_Paste'!$A$2402:$AZ$2402,1,OC_Txn)="","",INDEX('OneCause_Paste'!$A$2402:$AZ$2402,1,OC_Txn)))</f>
        <v/>
      </c>
      <c r="M2402">
        <f>IF(OC_Pay=0,"",IF(INDEX('OneCause_Paste'!$A$2402:$AZ$2402,1,OC_Pay)="","",INDEX('OneCause_Paste'!$A$2402:$AZ$2402,1,OC_Pay)))</f>
        <v/>
      </c>
      <c r="N2402">
        <f>IF(I2402="","",IF(ISNUMBER(I2402),INT(I2402),IFERROR(INT(DATEVALUE(I2402)),IFERROR(INT(VALUE(I2402)),"bad"))))</f>
        <v/>
      </c>
      <c r="O2402">
        <f>IF(J2402="","",IF(ISNUMBER(J2402),ROUND(J2402,2),IFERROR(ROUND(VALUE(SUBSTITUTE(SUBSTITUTE(SUBSTITUTE(J2402,"$",""),",","")," ","")),2),"bad")))</f>
        <v/>
      </c>
      <c r="P2402">
        <f>IF(TRIM(K2402)="","",IFERROR(MATCH(LOWER(TRIM(K2402)),'Students'!$AH$2:$AH$701,0),IFERROR(MATCH(LOWER(TRIM(K2402)),'Students'!$AF$2:$AF$701,0),IFERROR(MATCH(LOWER(TRIM(K2402)),'Students'!$AG$2:$AG$701,0),""))))</f>
        <v/>
      </c>
      <c r="R2402">
        <f>IF(P2402="","",INDEX('Students'!$AD$2:$AD$701,P2402))</f>
        <v/>
      </c>
      <c r="S2402">
        <f>IF(H2402="OK",O2402,0)</f>
        <v/>
      </c>
      <c r="T2402">
        <f>IF(H2402="OK",N2402,"")</f>
        <v/>
      </c>
      <c r="U2402">
        <f>IF(OC_Donor=0,"",IF(INDEX('OneCause_Paste'!$A$2402:$AZ$2402,1,OC_Donor)="","",INDEX('OneCause_Paste'!$A$2402:$AZ$2402,1,OC_Donor)))</f>
        <v/>
      </c>
    </row>
    <row r="2403">
      <c r="A2403" s="62">
        <f>IF(H2403="","",IF(ISNUMBER(N2403),N2403,I2403))</f>
        <v/>
      </c>
      <c r="B2403">
        <f>IF(H2403="","",U2403)</f>
        <v/>
      </c>
      <c r="C2403">
        <f>IF(H2403="","",IF(P2403="",K2403,INDEX('Students'!$A$2:$A$701,P2403)))</f>
        <v/>
      </c>
      <c r="D2403">
        <f>IF(OR(H2403="",P2403=""),"",INDEX('Students'!$B$2:$B$701,P2403))</f>
        <v/>
      </c>
      <c r="E2403">
        <f>IF(OR(H2403="",P2403=""),"",INDEX('Students'!$C$2:$C$701,P2403))</f>
        <v/>
      </c>
      <c r="F2403" s="48">
        <f>IF(H2403="","",IF(ISNUMBER(O2403),O2403,J2403))</f>
        <v/>
      </c>
      <c r="G2403">
        <f>IF(H2403="","","OneCause")</f>
        <v/>
      </c>
      <c r="H2403">
        <f>IF(AND(I2403="",J2403="",K2403=""),"",IF(NOT(ISNUMBER(O2403)),"Bad amount",IF(O2403&lt;0,"Refund (not counted)",IF(O2403=0,"Zero amount",IF(NOT(ISNUMBER(N2403)),"Bad date",IF(P2403="","NAME NOT ON ROSTER",IF(L2403="","OK",IF(MATCH(L2403,$L$2:$L$3001,0)&lt;ROW()-1,"Duplicate (ignored)","OK"))))))))</f>
        <v/>
      </c>
      <c r="I2403">
        <f>IF(OC_Date=0,"",IF(INDEX('OneCause_Paste'!$A$2403:$AZ$2403,1,OC_Date)="","",INDEX('OneCause_Paste'!$A$2403:$AZ$2403,1,OC_Date)))</f>
        <v/>
      </c>
      <c r="J2403">
        <f>IF(OC_Amt=0,"",IF(INDEX('OneCause_Paste'!$A$2403:$AZ$2403,1,OC_Amt)="","",INDEX('OneCause_Paste'!$A$2403:$AZ$2403,1,OC_Amt)))</f>
        <v/>
      </c>
      <c r="K2403">
        <f>IF(OC_Name=0,"",IF(INDEX('OneCause_Paste'!$A$2403:$AZ$2403,1,OC_Name)="","",INDEX('OneCause_Paste'!$A$2403:$AZ$2403,1,OC_Name)))</f>
        <v/>
      </c>
      <c r="L2403">
        <f>IF(OC_Txn=0,"",IF(INDEX('OneCause_Paste'!$A$2403:$AZ$2403,1,OC_Txn)="","",INDEX('OneCause_Paste'!$A$2403:$AZ$2403,1,OC_Txn)))</f>
        <v/>
      </c>
      <c r="M2403">
        <f>IF(OC_Pay=0,"",IF(INDEX('OneCause_Paste'!$A$2403:$AZ$2403,1,OC_Pay)="","",INDEX('OneCause_Paste'!$A$2403:$AZ$2403,1,OC_Pay)))</f>
        <v/>
      </c>
      <c r="N2403">
        <f>IF(I2403="","",IF(ISNUMBER(I2403),INT(I2403),IFERROR(INT(DATEVALUE(I2403)),IFERROR(INT(VALUE(I2403)),"bad"))))</f>
        <v/>
      </c>
      <c r="O2403">
        <f>IF(J2403="","",IF(ISNUMBER(J2403),ROUND(J2403,2),IFERROR(ROUND(VALUE(SUBSTITUTE(SUBSTITUTE(SUBSTITUTE(J2403,"$",""),",","")," ","")),2),"bad")))</f>
        <v/>
      </c>
      <c r="P2403">
        <f>IF(TRIM(K2403)="","",IFERROR(MATCH(LOWER(TRIM(K2403)),'Students'!$AH$2:$AH$701,0),IFERROR(MATCH(LOWER(TRIM(K2403)),'Students'!$AF$2:$AF$701,0),IFERROR(MATCH(LOWER(TRIM(K2403)),'Students'!$AG$2:$AG$701,0),""))))</f>
        <v/>
      </c>
      <c r="R2403">
        <f>IF(P2403="","",INDEX('Students'!$AD$2:$AD$701,P2403))</f>
        <v/>
      </c>
      <c r="S2403">
        <f>IF(H2403="OK",O2403,0)</f>
        <v/>
      </c>
      <c r="T2403">
        <f>IF(H2403="OK",N2403,"")</f>
        <v/>
      </c>
      <c r="U2403">
        <f>IF(OC_Donor=0,"",IF(INDEX('OneCause_Paste'!$A$2403:$AZ$2403,1,OC_Donor)="","",INDEX('OneCause_Paste'!$A$2403:$AZ$2403,1,OC_Donor)))</f>
        <v/>
      </c>
    </row>
    <row r="2404">
      <c r="A2404" s="62">
        <f>IF(H2404="","",IF(ISNUMBER(N2404),N2404,I2404))</f>
        <v/>
      </c>
      <c r="B2404">
        <f>IF(H2404="","",U2404)</f>
        <v/>
      </c>
      <c r="C2404">
        <f>IF(H2404="","",IF(P2404="",K2404,INDEX('Students'!$A$2:$A$701,P2404)))</f>
        <v/>
      </c>
      <c r="D2404">
        <f>IF(OR(H2404="",P2404=""),"",INDEX('Students'!$B$2:$B$701,P2404))</f>
        <v/>
      </c>
      <c r="E2404">
        <f>IF(OR(H2404="",P2404=""),"",INDEX('Students'!$C$2:$C$701,P2404))</f>
        <v/>
      </c>
      <c r="F2404" s="48">
        <f>IF(H2404="","",IF(ISNUMBER(O2404),O2404,J2404))</f>
        <v/>
      </c>
      <c r="G2404">
        <f>IF(H2404="","","OneCause")</f>
        <v/>
      </c>
      <c r="H2404">
        <f>IF(AND(I2404="",J2404="",K2404=""),"",IF(NOT(ISNUMBER(O2404)),"Bad amount",IF(O2404&lt;0,"Refund (not counted)",IF(O2404=0,"Zero amount",IF(NOT(ISNUMBER(N2404)),"Bad date",IF(P2404="","NAME NOT ON ROSTER",IF(L2404="","OK",IF(MATCH(L2404,$L$2:$L$3001,0)&lt;ROW()-1,"Duplicate (ignored)","OK"))))))))</f>
        <v/>
      </c>
      <c r="I2404">
        <f>IF(OC_Date=0,"",IF(INDEX('OneCause_Paste'!$A$2404:$AZ$2404,1,OC_Date)="","",INDEX('OneCause_Paste'!$A$2404:$AZ$2404,1,OC_Date)))</f>
        <v/>
      </c>
      <c r="J2404">
        <f>IF(OC_Amt=0,"",IF(INDEX('OneCause_Paste'!$A$2404:$AZ$2404,1,OC_Amt)="","",INDEX('OneCause_Paste'!$A$2404:$AZ$2404,1,OC_Amt)))</f>
        <v/>
      </c>
      <c r="K2404">
        <f>IF(OC_Name=0,"",IF(INDEX('OneCause_Paste'!$A$2404:$AZ$2404,1,OC_Name)="","",INDEX('OneCause_Paste'!$A$2404:$AZ$2404,1,OC_Name)))</f>
        <v/>
      </c>
      <c r="L2404">
        <f>IF(OC_Txn=0,"",IF(INDEX('OneCause_Paste'!$A$2404:$AZ$2404,1,OC_Txn)="","",INDEX('OneCause_Paste'!$A$2404:$AZ$2404,1,OC_Txn)))</f>
        <v/>
      </c>
      <c r="M2404">
        <f>IF(OC_Pay=0,"",IF(INDEX('OneCause_Paste'!$A$2404:$AZ$2404,1,OC_Pay)="","",INDEX('OneCause_Paste'!$A$2404:$AZ$2404,1,OC_Pay)))</f>
        <v/>
      </c>
      <c r="N2404">
        <f>IF(I2404="","",IF(ISNUMBER(I2404),INT(I2404),IFERROR(INT(DATEVALUE(I2404)),IFERROR(INT(VALUE(I2404)),"bad"))))</f>
        <v/>
      </c>
      <c r="O2404">
        <f>IF(J2404="","",IF(ISNUMBER(J2404),ROUND(J2404,2),IFERROR(ROUND(VALUE(SUBSTITUTE(SUBSTITUTE(SUBSTITUTE(J2404,"$",""),",","")," ","")),2),"bad")))</f>
        <v/>
      </c>
      <c r="P2404">
        <f>IF(TRIM(K2404)="","",IFERROR(MATCH(LOWER(TRIM(K2404)),'Students'!$AH$2:$AH$701,0),IFERROR(MATCH(LOWER(TRIM(K2404)),'Students'!$AF$2:$AF$701,0),IFERROR(MATCH(LOWER(TRIM(K2404)),'Students'!$AG$2:$AG$701,0),""))))</f>
        <v/>
      </c>
      <c r="R2404">
        <f>IF(P2404="","",INDEX('Students'!$AD$2:$AD$701,P2404))</f>
        <v/>
      </c>
      <c r="S2404">
        <f>IF(H2404="OK",O2404,0)</f>
        <v/>
      </c>
      <c r="T2404">
        <f>IF(H2404="OK",N2404,"")</f>
        <v/>
      </c>
      <c r="U2404">
        <f>IF(OC_Donor=0,"",IF(INDEX('OneCause_Paste'!$A$2404:$AZ$2404,1,OC_Donor)="","",INDEX('OneCause_Paste'!$A$2404:$AZ$2404,1,OC_Donor)))</f>
        <v/>
      </c>
    </row>
    <row r="2405">
      <c r="A2405" s="62">
        <f>IF(H2405="","",IF(ISNUMBER(N2405),N2405,I2405))</f>
        <v/>
      </c>
      <c r="B2405">
        <f>IF(H2405="","",U2405)</f>
        <v/>
      </c>
      <c r="C2405">
        <f>IF(H2405="","",IF(P2405="",K2405,INDEX('Students'!$A$2:$A$701,P2405)))</f>
        <v/>
      </c>
      <c r="D2405">
        <f>IF(OR(H2405="",P2405=""),"",INDEX('Students'!$B$2:$B$701,P2405))</f>
        <v/>
      </c>
      <c r="E2405">
        <f>IF(OR(H2405="",P2405=""),"",INDEX('Students'!$C$2:$C$701,P2405))</f>
        <v/>
      </c>
      <c r="F2405" s="48">
        <f>IF(H2405="","",IF(ISNUMBER(O2405),O2405,J2405))</f>
        <v/>
      </c>
      <c r="G2405">
        <f>IF(H2405="","","OneCause")</f>
        <v/>
      </c>
      <c r="H2405">
        <f>IF(AND(I2405="",J2405="",K2405=""),"",IF(NOT(ISNUMBER(O2405)),"Bad amount",IF(O2405&lt;0,"Refund (not counted)",IF(O2405=0,"Zero amount",IF(NOT(ISNUMBER(N2405)),"Bad date",IF(P2405="","NAME NOT ON ROSTER",IF(L2405="","OK",IF(MATCH(L2405,$L$2:$L$3001,0)&lt;ROW()-1,"Duplicate (ignored)","OK"))))))))</f>
        <v/>
      </c>
      <c r="I2405">
        <f>IF(OC_Date=0,"",IF(INDEX('OneCause_Paste'!$A$2405:$AZ$2405,1,OC_Date)="","",INDEX('OneCause_Paste'!$A$2405:$AZ$2405,1,OC_Date)))</f>
        <v/>
      </c>
      <c r="J2405">
        <f>IF(OC_Amt=0,"",IF(INDEX('OneCause_Paste'!$A$2405:$AZ$2405,1,OC_Amt)="","",INDEX('OneCause_Paste'!$A$2405:$AZ$2405,1,OC_Amt)))</f>
        <v/>
      </c>
      <c r="K2405">
        <f>IF(OC_Name=0,"",IF(INDEX('OneCause_Paste'!$A$2405:$AZ$2405,1,OC_Name)="","",INDEX('OneCause_Paste'!$A$2405:$AZ$2405,1,OC_Name)))</f>
        <v/>
      </c>
      <c r="L2405">
        <f>IF(OC_Txn=0,"",IF(INDEX('OneCause_Paste'!$A$2405:$AZ$2405,1,OC_Txn)="","",INDEX('OneCause_Paste'!$A$2405:$AZ$2405,1,OC_Txn)))</f>
        <v/>
      </c>
      <c r="M2405">
        <f>IF(OC_Pay=0,"",IF(INDEX('OneCause_Paste'!$A$2405:$AZ$2405,1,OC_Pay)="","",INDEX('OneCause_Paste'!$A$2405:$AZ$2405,1,OC_Pay)))</f>
        <v/>
      </c>
      <c r="N2405">
        <f>IF(I2405="","",IF(ISNUMBER(I2405),INT(I2405),IFERROR(INT(DATEVALUE(I2405)),IFERROR(INT(VALUE(I2405)),"bad"))))</f>
        <v/>
      </c>
      <c r="O2405">
        <f>IF(J2405="","",IF(ISNUMBER(J2405),ROUND(J2405,2),IFERROR(ROUND(VALUE(SUBSTITUTE(SUBSTITUTE(SUBSTITUTE(J2405,"$",""),",","")," ","")),2),"bad")))</f>
        <v/>
      </c>
      <c r="P2405">
        <f>IF(TRIM(K2405)="","",IFERROR(MATCH(LOWER(TRIM(K2405)),'Students'!$AH$2:$AH$701,0),IFERROR(MATCH(LOWER(TRIM(K2405)),'Students'!$AF$2:$AF$701,0),IFERROR(MATCH(LOWER(TRIM(K2405)),'Students'!$AG$2:$AG$701,0),""))))</f>
        <v/>
      </c>
      <c r="R2405">
        <f>IF(P2405="","",INDEX('Students'!$AD$2:$AD$701,P2405))</f>
        <v/>
      </c>
      <c r="S2405">
        <f>IF(H2405="OK",O2405,0)</f>
        <v/>
      </c>
      <c r="T2405">
        <f>IF(H2405="OK",N2405,"")</f>
        <v/>
      </c>
      <c r="U2405">
        <f>IF(OC_Donor=0,"",IF(INDEX('OneCause_Paste'!$A$2405:$AZ$2405,1,OC_Donor)="","",INDEX('OneCause_Paste'!$A$2405:$AZ$2405,1,OC_Donor)))</f>
        <v/>
      </c>
    </row>
    <row r="2406">
      <c r="A2406" s="62">
        <f>IF(H2406="","",IF(ISNUMBER(N2406),N2406,I2406))</f>
        <v/>
      </c>
      <c r="B2406">
        <f>IF(H2406="","",U2406)</f>
        <v/>
      </c>
      <c r="C2406">
        <f>IF(H2406="","",IF(P2406="",K2406,INDEX('Students'!$A$2:$A$701,P2406)))</f>
        <v/>
      </c>
      <c r="D2406">
        <f>IF(OR(H2406="",P2406=""),"",INDEX('Students'!$B$2:$B$701,P2406))</f>
        <v/>
      </c>
      <c r="E2406">
        <f>IF(OR(H2406="",P2406=""),"",INDEX('Students'!$C$2:$C$701,P2406))</f>
        <v/>
      </c>
      <c r="F2406" s="48">
        <f>IF(H2406="","",IF(ISNUMBER(O2406),O2406,J2406))</f>
        <v/>
      </c>
      <c r="G2406">
        <f>IF(H2406="","","OneCause")</f>
        <v/>
      </c>
      <c r="H2406">
        <f>IF(AND(I2406="",J2406="",K2406=""),"",IF(NOT(ISNUMBER(O2406)),"Bad amount",IF(O2406&lt;0,"Refund (not counted)",IF(O2406=0,"Zero amount",IF(NOT(ISNUMBER(N2406)),"Bad date",IF(P2406="","NAME NOT ON ROSTER",IF(L2406="","OK",IF(MATCH(L2406,$L$2:$L$3001,0)&lt;ROW()-1,"Duplicate (ignored)","OK"))))))))</f>
        <v/>
      </c>
      <c r="I2406">
        <f>IF(OC_Date=0,"",IF(INDEX('OneCause_Paste'!$A$2406:$AZ$2406,1,OC_Date)="","",INDEX('OneCause_Paste'!$A$2406:$AZ$2406,1,OC_Date)))</f>
        <v/>
      </c>
      <c r="J2406">
        <f>IF(OC_Amt=0,"",IF(INDEX('OneCause_Paste'!$A$2406:$AZ$2406,1,OC_Amt)="","",INDEX('OneCause_Paste'!$A$2406:$AZ$2406,1,OC_Amt)))</f>
        <v/>
      </c>
      <c r="K2406">
        <f>IF(OC_Name=0,"",IF(INDEX('OneCause_Paste'!$A$2406:$AZ$2406,1,OC_Name)="","",INDEX('OneCause_Paste'!$A$2406:$AZ$2406,1,OC_Name)))</f>
        <v/>
      </c>
      <c r="L2406">
        <f>IF(OC_Txn=0,"",IF(INDEX('OneCause_Paste'!$A$2406:$AZ$2406,1,OC_Txn)="","",INDEX('OneCause_Paste'!$A$2406:$AZ$2406,1,OC_Txn)))</f>
        <v/>
      </c>
      <c r="M2406">
        <f>IF(OC_Pay=0,"",IF(INDEX('OneCause_Paste'!$A$2406:$AZ$2406,1,OC_Pay)="","",INDEX('OneCause_Paste'!$A$2406:$AZ$2406,1,OC_Pay)))</f>
        <v/>
      </c>
      <c r="N2406">
        <f>IF(I2406="","",IF(ISNUMBER(I2406),INT(I2406),IFERROR(INT(DATEVALUE(I2406)),IFERROR(INT(VALUE(I2406)),"bad"))))</f>
        <v/>
      </c>
      <c r="O2406">
        <f>IF(J2406="","",IF(ISNUMBER(J2406),ROUND(J2406,2),IFERROR(ROUND(VALUE(SUBSTITUTE(SUBSTITUTE(SUBSTITUTE(J2406,"$",""),",","")," ","")),2),"bad")))</f>
        <v/>
      </c>
      <c r="P2406">
        <f>IF(TRIM(K2406)="","",IFERROR(MATCH(LOWER(TRIM(K2406)),'Students'!$AH$2:$AH$701,0),IFERROR(MATCH(LOWER(TRIM(K2406)),'Students'!$AF$2:$AF$701,0),IFERROR(MATCH(LOWER(TRIM(K2406)),'Students'!$AG$2:$AG$701,0),""))))</f>
        <v/>
      </c>
      <c r="R2406">
        <f>IF(P2406="","",INDEX('Students'!$AD$2:$AD$701,P2406))</f>
        <v/>
      </c>
      <c r="S2406">
        <f>IF(H2406="OK",O2406,0)</f>
        <v/>
      </c>
      <c r="T2406">
        <f>IF(H2406="OK",N2406,"")</f>
        <v/>
      </c>
      <c r="U2406">
        <f>IF(OC_Donor=0,"",IF(INDEX('OneCause_Paste'!$A$2406:$AZ$2406,1,OC_Donor)="","",INDEX('OneCause_Paste'!$A$2406:$AZ$2406,1,OC_Donor)))</f>
        <v/>
      </c>
    </row>
    <row r="2407">
      <c r="A2407" s="62">
        <f>IF(H2407="","",IF(ISNUMBER(N2407),N2407,I2407))</f>
        <v/>
      </c>
      <c r="B2407">
        <f>IF(H2407="","",U2407)</f>
        <v/>
      </c>
      <c r="C2407">
        <f>IF(H2407="","",IF(P2407="",K2407,INDEX('Students'!$A$2:$A$701,P2407)))</f>
        <v/>
      </c>
      <c r="D2407">
        <f>IF(OR(H2407="",P2407=""),"",INDEX('Students'!$B$2:$B$701,P2407))</f>
        <v/>
      </c>
      <c r="E2407">
        <f>IF(OR(H2407="",P2407=""),"",INDEX('Students'!$C$2:$C$701,P2407))</f>
        <v/>
      </c>
      <c r="F2407" s="48">
        <f>IF(H2407="","",IF(ISNUMBER(O2407),O2407,J2407))</f>
        <v/>
      </c>
      <c r="G2407">
        <f>IF(H2407="","","OneCause")</f>
        <v/>
      </c>
      <c r="H2407">
        <f>IF(AND(I2407="",J2407="",K2407=""),"",IF(NOT(ISNUMBER(O2407)),"Bad amount",IF(O2407&lt;0,"Refund (not counted)",IF(O2407=0,"Zero amount",IF(NOT(ISNUMBER(N2407)),"Bad date",IF(P2407="","NAME NOT ON ROSTER",IF(L2407="","OK",IF(MATCH(L2407,$L$2:$L$3001,0)&lt;ROW()-1,"Duplicate (ignored)","OK"))))))))</f>
        <v/>
      </c>
      <c r="I2407">
        <f>IF(OC_Date=0,"",IF(INDEX('OneCause_Paste'!$A$2407:$AZ$2407,1,OC_Date)="","",INDEX('OneCause_Paste'!$A$2407:$AZ$2407,1,OC_Date)))</f>
        <v/>
      </c>
      <c r="J2407">
        <f>IF(OC_Amt=0,"",IF(INDEX('OneCause_Paste'!$A$2407:$AZ$2407,1,OC_Amt)="","",INDEX('OneCause_Paste'!$A$2407:$AZ$2407,1,OC_Amt)))</f>
        <v/>
      </c>
      <c r="K2407">
        <f>IF(OC_Name=0,"",IF(INDEX('OneCause_Paste'!$A$2407:$AZ$2407,1,OC_Name)="","",INDEX('OneCause_Paste'!$A$2407:$AZ$2407,1,OC_Name)))</f>
        <v/>
      </c>
      <c r="L2407">
        <f>IF(OC_Txn=0,"",IF(INDEX('OneCause_Paste'!$A$2407:$AZ$2407,1,OC_Txn)="","",INDEX('OneCause_Paste'!$A$2407:$AZ$2407,1,OC_Txn)))</f>
        <v/>
      </c>
      <c r="M2407">
        <f>IF(OC_Pay=0,"",IF(INDEX('OneCause_Paste'!$A$2407:$AZ$2407,1,OC_Pay)="","",INDEX('OneCause_Paste'!$A$2407:$AZ$2407,1,OC_Pay)))</f>
        <v/>
      </c>
      <c r="N2407">
        <f>IF(I2407="","",IF(ISNUMBER(I2407),INT(I2407),IFERROR(INT(DATEVALUE(I2407)),IFERROR(INT(VALUE(I2407)),"bad"))))</f>
        <v/>
      </c>
      <c r="O2407">
        <f>IF(J2407="","",IF(ISNUMBER(J2407),ROUND(J2407,2),IFERROR(ROUND(VALUE(SUBSTITUTE(SUBSTITUTE(SUBSTITUTE(J2407,"$",""),",","")," ","")),2),"bad")))</f>
        <v/>
      </c>
      <c r="P2407">
        <f>IF(TRIM(K2407)="","",IFERROR(MATCH(LOWER(TRIM(K2407)),'Students'!$AH$2:$AH$701,0),IFERROR(MATCH(LOWER(TRIM(K2407)),'Students'!$AF$2:$AF$701,0),IFERROR(MATCH(LOWER(TRIM(K2407)),'Students'!$AG$2:$AG$701,0),""))))</f>
        <v/>
      </c>
      <c r="R2407">
        <f>IF(P2407="","",INDEX('Students'!$AD$2:$AD$701,P2407))</f>
        <v/>
      </c>
      <c r="S2407">
        <f>IF(H2407="OK",O2407,0)</f>
        <v/>
      </c>
      <c r="T2407">
        <f>IF(H2407="OK",N2407,"")</f>
        <v/>
      </c>
      <c r="U2407">
        <f>IF(OC_Donor=0,"",IF(INDEX('OneCause_Paste'!$A$2407:$AZ$2407,1,OC_Donor)="","",INDEX('OneCause_Paste'!$A$2407:$AZ$2407,1,OC_Donor)))</f>
        <v/>
      </c>
    </row>
    <row r="2408">
      <c r="A2408" s="62">
        <f>IF(H2408="","",IF(ISNUMBER(N2408),N2408,I2408))</f>
        <v/>
      </c>
      <c r="B2408">
        <f>IF(H2408="","",U2408)</f>
        <v/>
      </c>
      <c r="C2408">
        <f>IF(H2408="","",IF(P2408="",K2408,INDEX('Students'!$A$2:$A$701,P2408)))</f>
        <v/>
      </c>
      <c r="D2408">
        <f>IF(OR(H2408="",P2408=""),"",INDEX('Students'!$B$2:$B$701,P2408))</f>
        <v/>
      </c>
      <c r="E2408">
        <f>IF(OR(H2408="",P2408=""),"",INDEX('Students'!$C$2:$C$701,P2408))</f>
        <v/>
      </c>
      <c r="F2408" s="48">
        <f>IF(H2408="","",IF(ISNUMBER(O2408),O2408,J2408))</f>
        <v/>
      </c>
      <c r="G2408">
        <f>IF(H2408="","","OneCause")</f>
        <v/>
      </c>
      <c r="H2408">
        <f>IF(AND(I2408="",J2408="",K2408=""),"",IF(NOT(ISNUMBER(O2408)),"Bad amount",IF(O2408&lt;0,"Refund (not counted)",IF(O2408=0,"Zero amount",IF(NOT(ISNUMBER(N2408)),"Bad date",IF(P2408="","NAME NOT ON ROSTER",IF(L2408="","OK",IF(MATCH(L2408,$L$2:$L$3001,0)&lt;ROW()-1,"Duplicate (ignored)","OK"))))))))</f>
        <v/>
      </c>
      <c r="I2408">
        <f>IF(OC_Date=0,"",IF(INDEX('OneCause_Paste'!$A$2408:$AZ$2408,1,OC_Date)="","",INDEX('OneCause_Paste'!$A$2408:$AZ$2408,1,OC_Date)))</f>
        <v/>
      </c>
      <c r="J2408">
        <f>IF(OC_Amt=0,"",IF(INDEX('OneCause_Paste'!$A$2408:$AZ$2408,1,OC_Amt)="","",INDEX('OneCause_Paste'!$A$2408:$AZ$2408,1,OC_Amt)))</f>
        <v/>
      </c>
      <c r="K2408">
        <f>IF(OC_Name=0,"",IF(INDEX('OneCause_Paste'!$A$2408:$AZ$2408,1,OC_Name)="","",INDEX('OneCause_Paste'!$A$2408:$AZ$2408,1,OC_Name)))</f>
        <v/>
      </c>
      <c r="L2408">
        <f>IF(OC_Txn=0,"",IF(INDEX('OneCause_Paste'!$A$2408:$AZ$2408,1,OC_Txn)="","",INDEX('OneCause_Paste'!$A$2408:$AZ$2408,1,OC_Txn)))</f>
        <v/>
      </c>
      <c r="M2408">
        <f>IF(OC_Pay=0,"",IF(INDEX('OneCause_Paste'!$A$2408:$AZ$2408,1,OC_Pay)="","",INDEX('OneCause_Paste'!$A$2408:$AZ$2408,1,OC_Pay)))</f>
        <v/>
      </c>
      <c r="N2408">
        <f>IF(I2408="","",IF(ISNUMBER(I2408),INT(I2408),IFERROR(INT(DATEVALUE(I2408)),IFERROR(INT(VALUE(I2408)),"bad"))))</f>
        <v/>
      </c>
      <c r="O2408">
        <f>IF(J2408="","",IF(ISNUMBER(J2408),ROUND(J2408,2),IFERROR(ROUND(VALUE(SUBSTITUTE(SUBSTITUTE(SUBSTITUTE(J2408,"$",""),",","")," ","")),2),"bad")))</f>
        <v/>
      </c>
      <c r="P2408">
        <f>IF(TRIM(K2408)="","",IFERROR(MATCH(LOWER(TRIM(K2408)),'Students'!$AH$2:$AH$701,0),IFERROR(MATCH(LOWER(TRIM(K2408)),'Students'!$AF$2:$AF$701,0),IFERROR(MATCH(LOWER(TRIM(K2408)),'Students'!$AG$2:$AG$701,0),""))))</f>
        <v/>
      </c>
      <c r="R2408">
        <f>IF(P2408="","",INDEX('Students'!$AD$2:$AD$701,P2408))</f>
        <v/>
      </c>
      <c r="S2408">
        <f>IF(H2408="OK",O2408,0)</f>
        <v/>
      </c>
      <c r="T2408">
        <f>IF(H2408="OK",N2408,"")</f>
        <v/>
      </c>
      <c r="U2408">
        <f>IF(OC_Donor=0,"",IF(INDEX('OneCause_Paste'!$A$2408:$AZ$2408,1,OC_Donor)="","",INDEX('OneCause_Paste'!$A$2408:$AZ$2408,1,OC_Donor)))</f>
        <v/>
      </c>
    </row>
    <row r="2409">
      <c r="A2409" s="62">
        <f>IF(H2409="","",IF(ISNUMBER(N2409),N2409,I2409))</f>
        <v/>
      </c>
      <c r="B2409">
        <f>IF(H2409="","",U2409)</f>
        <v/>
      </c>
      <c r="C2409">
        <f>IF(H2409="","",IF(P2409="",K2409,INDEX('Students'!$A$2:$A$701,P2409)))</f>
        <v/>
      </c>
      <c r="D2409">
        <f>IF(OR(H2409="",P2409=""),"",INDEX('Students'!$B$2:$B$701,P2409))</f>
        <v/>
      </c>
      <c r="E2409">
        <f>IF(OR(H2409="",P2409=""),"",INDEX('Students'!$C$2:$C$701,P2409))</f>
        <v/>
      </c>
      <c r="F2409" s="48">
        <f>IF(H2409="","",IF(ISNUMBER(O2409),O2409,J2409))</f>
        <v/>
      </c>
      <c r="G2409">
        <f>IF(H2409="","","OneCause")</f>
        <v/>
      </c>
      <c r="H2409">
        <f>IF(AND(I2409="",J2409="",K2409=""),"",IF(NOT(ISNUMBER(O2409)),"Bad amount",IF(O2409&lt;0,"Refund (not counted)",IF(O2409=0,"Zero amount",IF(NOT(ISNUMBER(N2409)),"Bad date",IF(P2409="","NAME NOT ON ROSTER",IF(L2409="","OK",IF(MATCH(L2409,$L$2:$L$3001,0)&lt;ROW()-1,"Duplicate (ignored)","OK"))))))))</f>
        <v/>
      </c>
      <c r="I2409">
        <f>IF(OC_Date=0,"",IF(INDEX('OneCause_Paste'!$A$2409:$AZ$2409,1,OC_Date)="","",INDEX('OneCause_Paste'!$A$2409:$AZ$2409,1,OC_Date)))</f>
        <v/>
      </c>
      <c r="J2409">
        <f>IF(OC_Amt=0,"",IF(INDEX('OneCause_Paste'!$A$2409:$AZ$2409,1,OC_Amt)="","",INDEX('OneCause_Paste'!$A$2409:$AZ$2409,1,OC_Amt)))</f>
        <v/>
      </c>
      <c r="K2409">
        <f>IF(OC_Name=0,"",IF(INDEX('OneCause_Paste'!$A$2409:$AZ$2409,1,OC_Name)="","",INDEX('OneCause_Paste'!$A$2409:$AZ$2409,1,OC_Name)))</f>
        <v/>
      </c>
      <c r="L2409">
        <f>IF(OC_Txn=0,"",IF(INDEX('OneCause_Paste'!$A$2409:$AZ$2409,1,OC_Txn)="","",INDEX('OneCause_Paste'!$A$2409:$AZ$2409,1,OC_Txn)))</f>
        <v/>
      </c>
      <c r="M2409">
        <f>IF(OC_Pay=0,"",IF(INDEX('OneCause_Paste'!$A$2409:$AZ$2409,1,OC_Pay)="","",INDEX('OneCause_Paste'!$A$2409:$AZ$2409,1,OC_Pay)))</f>
        <v/>
      </c>
      <c r="N2409">
        <f>IF(I2409="","",IF(ISNUMBER(I2409),INT(I2409),IFERROR(INT(DATEVALUE(I2409)),IFERROR(INT(VALUE(I2409)),"bad"))))</f>
        <v/>
      </c>
      <c r="O2409">
        <f>IF(J2409="","",IF(ISNUMBER(J2409),ROUND(J2409,2),IFERROR(ROUND(VALUE(SUBSTITUTE(SUBSTITUTE(SUBSTITUTE(J2409,"$",""),",","")," ","")),2),"bad")))</f>
        <v/>
      </c>
      <c r="P2409">
        <f>IF(TRIM(K2409)="","",IFERROR(MATCH(LOWER(TRIM(K2409)),'Students'!$AH$2:$AH$701,0),IFERROR(MATCH(LOWER(TRIM(K2409)),'Students'!$AF$2:$AF$701,0),IFERROR(MATCH(LOWER(TRIM(K2409)),'Students'!$AG$2:$AG$701,0),""))))</f>
        <v/>
      </c>
      <c r="R2409">
        <f>IF(P2409="","",INDEX('Students'!$AD$2:$AD$701,P2409))</f>
        <v/>
      </c>
      <c r="S2409">
        <f>IF(H2409="OK",O2409,0)</f>
        <v/>
      </c>
      <c r="T2409">
        <f>IF(H2409="OK",N2409,"")</f>
        <v/>
      </c>
      <c r="U2409">
        <f>IF(OC_Donor=0,"",IF(INDEX('OneCause_Paste'!$A$2409:$AZ$2409,1,OC_Donor)="","",INDEX('OneCause_Paste'!$A$2409:$AZ$2409,1,OC_Donor)))</f>
        <v/>
      </c>
    </row>
    <row r="2410">
      <c r="A2410" s="62">
        <f>IF(H2410="","",IF(ISNUMBER(N2410),N2410,I2410))</f>
        <v/>
      </c>
      <c r="B2410">
        <f>IF(H2410="","",U2410)</f>
        <v/>
      </c>
      <c r="C2410">
        <f>IF(H2410="","",IF(P2410="",K2410,INDEX('Students'!$A$2:$A$701,P2410)))</f>
        <v/>
      </c>
      <c r="D2410">
        <f>IF(OR(H2410="",P2410=""),"",INDEX('Students'!$B$2:$B$701,P2410))</f>
        <v/>
      </c>
      <c r="E2410">
        <f>IF(OR(H2410="",P2410=""),"",INDEX('Students'!$C$2:$C$701,P2410))</f>
        <v/>
      </c>
      <c r="F2410" s="48">
        <f>IF(H2410="","",IF(ISNUMBER(O2410),O2410,J2410))</f>
        <v/>
      </c>
      <c r="G2410">
        <f>IF(H2410="","","OneCause")</f>
        <v/>
      </c>
      <c r="H2410">
        <f>IF(AND(I2410="",J2410="",K2410=""),"",IF(NOT(ISNUMBER(O2410)),"Bad amount",IF(O2410&lt;0,"Refund (not counted)",IF(O2410=0,"Zero amount",IF(NOT(ISNUMBER(N2410)),"Bad date",IF(P2410="","NAME NOT ON ROSTER",IF(L2410="","OK",IF(MATCH(L2410,$L$2:$L$3001,0)&lt;ROW()-1,"Duplicate (ignored)","OK"))))))))</f>
        <v/>
      </c>
      <c r="I2410">
        <f>IF(OC_Date=0,"",IF(INDEX('OneCause_Paste'!$A$2410:$AZ$2410,1,OC_Date)="","",INDEX('OneCause_Paste'!$A$2410:$AZ$2410,1,OC_Date)))</f>
        <v/>
      </c>
      <c r="J2410">
        <f>IF(OC_Amt=0,"",IF(INDEX('OneCause_Paste'!$A$2410:$AZ$2410,1,OC_Amt)="","",INDEX('OneCause_Paste'!$A$2410:$AZ$2410,1,OC_Amt)))</f>
        <v/>
      </c>
      <c r="K2410">
        <f>IF(OC_Name=0,"",IF(INDEX('OneCause_Paste'!$A$2410:$AZ$2410,1,OC_Name)="","",INDEX('OneCause_Paste'!$A$2410:$AZ$2410,1,OC_Name)))</f>
        <v/>
      </c>
      <c r="L2410">
        <f>IF(OC_Txn=0,"",IF(INDEX('OneCause_Paste'!$A$2410:$AZ$2410,1,OC_Txn)="","",INDEX('OneCause_Paste'!$A$2410:$AZ$2410,1,OC_Txn)))</f>
        <v/>
      </c>
      <c r="M2410">
        <f>IF(OC_Pay=0,"",IF(INDEX('OneCause_Paste'!$A$2410:$AZ$2410,1,OC_Pay)="","",INDEX('OneCause_Paste'!$A$2410:$AZ$2410,1,OC_Pay)))</f>
        <v/>
      </c>
      <c r="N2410">
        <f>IF(I2410="","",IF(ISNUMBER(I2410),INT(I2410),IFERROR(INT(DATEVALUE(I2410)),IFERROR(INT(VALUE(I2410)),"bad"))))</f>
        <v/>
      </c>
      <c r="O2410">
        <f>IF(J2410="","",IF(ISNUMBER(J2410),ROUND(J2410,2),IFERROR(ROUND(VALUE(SUBSTITUTE(SUBSTITUTE(SUBSTITUTE(J2410,"$",""),",","")," ","")),2),"bad")))</f>
        <v/>
      </c>
      <c r="P2410">
        <f>IF(TRIM(K2410)="","",IFERROR(MATCH(LOWER(TRIM(K2410)),'Students'!$AH$2:$AH$701,0),IFERROR(MATCH(LOWER(TRIM(K2410)),'Students'!$AF$2:$AF$701,0),IFERROR(MATCH(LOWER(TRIM(K2410)),'Students'!$AG$2:$AG$701,0),""))))</f>
        <v/>
      </c>
      <c r="R2410">
        <f>IF(P2410="","",INDEX('Students'!$AD$2:$AD$701,P2410))</f>
        <v/>
      </c>
      <c r="S2410">
        <f>IF(H2410="OK",O2410,0)</f>
        <v/>
      </c>
      <c r="T2410">
        <f>IF(H2410="OK",N2410,"")</f>
        <v/>
      </c>
      <c r="U2410">
        <f>IF(OC_Donor=0,"",IF(INDEX('OneCause_Paste'!$A$2410:$AZ$2410,1,OC_Donor)="","",INDEX('OneCause_Paste'!$A$2410:$AZ$2410,1,OC_Donor)))</f>
        <v/>
      </c>
    </row>
    <row r="2411">
      <c r="A2411" s="62">
        <f>IF(H2411="","",IF(ISNUMBER(N2411),N2411,I2411))</f>
        <v/>
      </c>
      <c r="B2411">
        <f>IF(H2411="","",U2411)</f>
        <v/>
      </c>
      <c r="C2411">
        <f>IF(H2411="","",IF(P2411="",K2411,INDEX('Students'!$A$2:$A$701,P2411)))</f>
        <v/>
      </c>
      <c r="D2411">
        <f>IF(OR(H2411="",P2411=""),"",INDEX('Students'!$B$2:$B$701,P2411))</f>
        <v/>
      </c>
      <c r="E2411">
        <f>IF(OR(H2411="",P2411=""),"",INDEX('Students'!$C$2:$C$701,P2411))</f>
        <v/>
      </c>
      <c r="F2411" s="48">
        <f>IF(H2411="","",IF(ISNUMBER(O2411),O2411,J2411))</f>
        <v/>
      </c>
      <c r="G2411">
        <f>IF(H2411="","","OneCause")</f>
        <v/>
      </c>
      <c r="H2411">
        <f>IF(AND(I2411="",J2411="",K2411=""),"",IF(NOT(ISNUMBER(O2411)),"Bad amount",IF(O2411&lt;0,"Refund (not counted)",IF(O2411=0,"Zero amount",IF(NOT(ISNUMBER(N2411)),"Bad date",IF(P2411="","NAME NOT ON ROSTER",IF(L2411="","OK",IF(MATCH(L2411,$L$2:$L$3001,0)&lt;ROW()-1,"Duplicate (ignored)","OK"))))))))</f>
        <v/>
      </c>
      <c r="I2411">
        <f>IF(OC_Date=0,"",IF(INDEX('OneCause_Paste'!$A$2411:$AZ$2411,1,OC_Date)="","",INDEX('OneCause_Paste'!$A$2411:$AZ$2411,1,OC_Date)))</f>
        <v/>
      </c>
      <c r="J2411">
        <f>IF(OC_Amt=0,"",IF(INDEX('OneCause_Paste'!$A$2411:$AZ$2411,1,OC_Amt)="","",INDEX('OneCause_Paste'!$A$2411:$AZ$2411,1,OC_Amt)))</f>
        <v/>
      </c>
      <c r="K2411">
        <f>IF(OC_Name=0,"",IF(INDEX('OneCause_Paste'!$A$2411:$AZ$2411,1,OC_Name)="","",INDEX('OneCause_Paste'!$A$2411:$AZ$2411,1,OC_Name)))</f>
        <v/>
      </c>
      <c r="L2411">
        <f>IF(OC_Txn=0,"",IF(INDEX('OneCause_Paste'!$A$2411:$AZ$2411,1,OC_Txn)="","",INDEX('OneCause_Paste'!$A$2411:$AZ$2411,1,OC_Txn)))</f>
        <v/>
      </c>
      <c r="M2411">
        <f>IF(OC_Pay=0,"",IF(INDEX('OneCause_Paste'!$A$2411:$AZ$2411,1,OC_Pay)="","",INDEX('OneCause_Paste'!$A$2411:$AZ$2411,1,OC_Pay)))</f>
        <v/>
      </c>
      <c r="N2411">
        <f>IF(I2411="","",IF(ISNUMBER(I2411),INT(I2411),IFERROR(INT(DATEVALUE(I2411)),IFERROR(INT(VALUE(I2411)),"bad"))))</f>
        <v/>
      </c>
      <c r="O2411">
        <f>IF(J2411="","",IF(ISNUMBER(J2411),ROUND(J2411,2),IFERROR(ROUND(VALUE(SUBSTITUTE(SUBSTITUTE(SUBSTITUTE(J2411,"$",""),",","")," ","")),2),"bad")))</f>
        <v/>
      </c>
      <c r="P2411">
        <f>IF(TRIM(K2411)="","",IFERROR(MATCH(LOWER(TRIM(K2411)),'Students'!$AH$2:$AH$701,0),IFERROR(MATCH(LOWER(TRIM(K2411)),'Students'!$AF$2:$AF$701,0),IFERROR(MATCH(LOWER(TRIM(K2411)),'Students'!$AG$2:$AG$701,0),""))))</f>
        <v/>
      </c>
      <c r="R2411">
        <f>IF(P2411="","",INDEX('Students'!$AD$2:$AD$701,P2411))</f>
        <v/>
      </c>
      <c r="S2411">
        <f>IF(H2411="OK",O2411,0)</f>
        <v/>
      </c>
      <c r="T2411">
        <f>IF(H2411="OK",N2411,"")</f>
        <v/>
      </c>
      <c r="U2411">
        <f>IF(OC_Donor=0,"",IF(INDEX('OneCause_Paste'!$A$2411:$AZ$2411,1,OC_Donor)="","",INDEX('OneCause_Paste'!$A$2411:$AZ$2411,1,OC_Donor)))</f>
        <v/>
      </c>
    </row>
    <row r="2412">
      <c r="A2412" s="62">
        <f>IF(H2412="","",IF(ISNUMBER(N2412),N2412,I2412))</f>
        <v/>
      </c>
      <c r="B2412">
        <f>IF(H2412="","",U2412)</f>
        <v/>
      </c>
      <c r="C2412">
        <f>IF(H2412="","",IF(P2412="",K2412,INDEX('Students'!$A$2:$A$701,P2412)))</f>
        <v/>
      </c>
      <c r="D2412">
        <f>IF(OR(H2412="",P2412=""),"",INDEX('Students'!$B$2:$B$701,P2412))</f>
        <v/>
      </c>
      <c r="E2412">
        <f>IF(OR(H2412="",P2412=""),"",INDEX('Students'!$C$2:$C$701,P2412))</f>
        <v/>
      </c>
      <c r="F2412" s="48">
        <f>IF(H2412="","",IF(ISNUMBER(O2412),O2412,J2412))</f>
        <v/>
      </c>
      <c r="G2412">
        <f>IF(H2412="","","OneCause")</f>
        <v/>
      </c>
      <c r="H2412">
        <f>IF(AND(I2412="",J2412="",K2412=""),"",IF(NOT(ISNUMBER(O2412)),"Bad amount",IF(O2412&lt;0,"Refund (not counted)",IF(O2412=0,"Zero amount",IF(NOT(ISNUMBER(N2412)),"Bad date",IF(P2412="","NAME NOT ON ROSTER",IF(L2412="","OK",IF(MATCH(L2412,$L$2:$L$3001,0)&lt;ROW()-1,"Duplicate (ignored)","OK"))))))))</f>
        <v/>
      </c>
      <c r="I2412">
        <f>IF(OC_Date=0,"",IF(INDEX('OneCause_Paste'!$A$2412:$AZ$2412,1,OC_Date)="","",INDEX('OneCause_Paste'!$A$2412:$AZ$2412,1,OC_Date)))</f>
        <v/>
      </c>
      <c r="J2412">
        <f>IF(OC_Amt=0,"",IF(INDEX('OneCause_Paste'!$A$2412:$AZ$2412,1,OC_Amt)="","",INDEX('OneCause_Paste'!$A$2412:$AZ$2412,1,OC_Amt)))</f>
        <v/>
      </c>
      <c r="K2412">
        <f>IF(OC_Name=0,"",IF(INDEX('OneCause_Paste'!$A$2412:$AZ$2412,1,OC_Name)="","",INDEX('OneCause_Paste'!$A$2412:$AZ$2412,1,OC_Name)))</f>
        <v/>
      </c>
      <c r="L2412">
        <f>IF(OC_Txn=0,"",IF(INDEX('OneCause_Paste'!$A$2412:$AZ$2412,1,OC_Txn)="","",INDEX('OneCause_Paste'!$A$2412:$AZ$2412,1,OC_Txn)))</f>
        <v/>
      </c>
      <c r="M2412">
        <f>IF(OC_Pay=0,"",IF(INDEX('OneCause_Paste'!$A$2412:$AZ$2412,1,OC_Pay)="","",INDEX('OneCause_Paste'!$A$2412:$AZ$2412,1,OC_Pay)))</f>
        <v/>
      </c>
      <c r="N2412">
        <f>IF(I2412="","",IF(ISNUMBER(I2412),INT(I2412),IFERROR(INT(DATEVALUE(I2412)),IFERROR(INT(VALUE(I2412)),"bad"))))</f>
        <v/>
      </c>
      <c r="O2412">
        <f>IF(J2412="","",IF(ISNUMBER(J2412),ROUND(J2412,2),IFERROR(ROUND(VALUE(SUBSTITUTE(SUBSTITUTE(SUBSTITUTE(J2412,"$",""),",","")," ","")),2),"bad")))</f>
        <v/>
      </c>
      <c r="P2412">
        <f>IF(TRIM(K2412)="","",IFERROR(MATCH(LOWER(TRIM(K2412)),'Students'!$AH$2:$AH$701,0),IFERROR(MATCH(LOWER(TRIM(K2412)),'Students'!$AF$2:$AF$701,0),IFERROR(MATCH(LOWER(TRIM(K2412)),'Students'!$AG$2:$AG$701,0),""))))</f>
        <v/>
      </c>
      <c r="R2412">
        <f>IF(P2412="","",INDEX('Students'!$AD$2:$AD$701,P2412))</f>
        <v/>
      </c>
      <c r="S2412">
        <f>IF(H2412="OK",O2412,0)</f>
        <v/>
      </c>
      <c r="T2412">
        <f>IF(H2412="OK",N2412,"")</f>
        <v/>
      </c>
      <c r="U2412">
        <f>IF(OC_Donor=0,"",IF(INDEX('OneCause_Paste'!$A$2412:$AZ$2412,1,OC_Donor)="","",INDEX('OneCause_Paste'!$A$2412:$AZ$2412,1,OC_Donor)))</f>
        <v/>
      </c>
    </row>
    <row r="2413">
      <c r="A2413" s="62">
        <f>IF(H2413="","",IF(ISNUMBER(N2413),N2413,I2413))</f>
        <v/>
      </c>
      <c r="B2413">
        <f>IF(H2413="","",U2413)</f>
        <v/>
      </c>
      <c r="C2413">
        <f>IF(H2413="","",IF(P2413="",K2413,INDEX('Students'!$A$2:$A$701,P2413)))</f>
        <v/>
      </c>
      <c r="D2413">
        <f>IF(OR(H2413="",P2413=""),"",INDEX('Students'!$B$2:$B$701,P2413))</f>
        <v/>
      </c>
      <c r="E2413">
        <f>IF(OR(H2413="",P2413=""),"",INDEX('Students'!$C$2:$C$701,P2413))</f>
        <v/>
      </c>
      <c r="F2413" s="48">
        <f>IF(H2413="","",IF(ISNUMBER(O2413),O2413,J2413))</f>
        <v/>
      </c>
      <c r="G2413">
        <f>IF(H2413="","","OneCause")</f>
        <v/>
      </c>
      <c r="H2413">
        <f>IF(AND(I2413="",J2413="",K2413=""),"",IF(NOT(ISNUMBER(O2413)),"Bad amount",IF(O2413&lt;0,"Refund (not counted)",IF(O2413=0,"Zero amount",IF(NOT(ISNUMBER(N2413)),"Bad date",IF(P2413="","NAME NOT ON ROSTER",IF(L2413="","OK",IF(MATCH(L2413,$L$2:$L$3001,0)&lt;ROW()-1,"Duplicate (ignored)","OK"))))))))</f>
        <v/>
      </c>
      <c r="I2413">
        <f>IF(OC_Date=0,"",IF(INDEX('OneCause_Paste'!$A$2413:$AZ$2413,1,OC_Date)="","",INDEX('OneCause_Paste'!$A$2413:$AZ$2413,1,OC_Date)))</f>
        <v/>
      </c>
      <c r="J2413">
        <f>IF(OC_Amt=0,"",IF(INDEX('OneCause_Paste'!$A$2413:$AZ$2413,1,OC_Amt)="","",INDEX('OneCause_Paste'!$A$2413:$AZ$2413,1,OC_Amt)))</f>
        <v/>
      </c>
      <c r="K2413">
        <f>IF(OC_Name=0,"",IF(INDEX('OneCause_Paste'!$A$2413:$AZ$2413,1,OC_Name)="","",INDEX('OneCause_Paste'!$A$2413:$AZ$2413,1,OC_Name)))</f>
        <v/>
      </c>
      <c r="L2413">
        <f>IF(OC_Txn=0,"",IF(INDEX('OneCause_Paste'!$A$2413:$AZ$2413,1,OC_Txn)="","",INDEX('OneCause_Paste'!$A$2413:$AZ$2413,1,OC_Txn)))</f>
        <v/>
      </c>
      <c r="M2413">
        <f>IF(OC_Pay=0,"",IF(INDEX('OneCause_Paste'!$A$2413:$AZ$2413,1,OC_Pay)="","",INDEX('OneCause_Paste'!$A$2413:$AZ$2413,1,OC_Pay)))</f>
        <v/>
      </c>
      <c r="N2413">
        <f>IF(I2413="","",IF(ISNUMBER(I2413),INT(I2413),IFERROR(INT(DATEVALUE(I2413)),IFERROR(INT(VALUE(I2413)),"bad"))))</f>
        <v/>
      </c>
      <c r="O2413">
        <f>IF(J2413="","",IF(ISNUMBER(J2413),ROUND(J2413,2),IFERROR(ROUND(VALUE(SUBSTITUTE(SUBSTITUTE(SUBSTITUTE(J2413,"$",""),",","")," ","")),2),"bad")))</f>
        <v/>
      </c>
      <c r="P2413">
        <f>IF(TRIM(K2413)="","",IFERROR(MATCH(LOWER(TRIM(K2413)),'Students'!$AH$2:$AH$701,0),IFERROR(MATCH(LOWER(TRIM(K2413)),'Students'!$AF$2:$AF$701,0),IFERROR(MATCH(LOWER(TRIM(K2413)),'Students'!$AG$2:$AG$701,0),""))))</f>
        <v/>
      </c>
      <c r="R2413">
        <f>IF(P2413="","",INDEX('Students'!$AD$2:$AD$701,P2413))</f>
        <v/>
      </c>
      <c r="S2413">
        <f>IF(H2413="OK",O2413,0)</f>
        <v/>
      </c>
      <c r="T2413">
        <f>IF(H2413="OK",N2413,"")</f>
        <v/>
      </c>
      <c r="U2413">
        <f>IF(OC_Donor=0,"",IF(INDEX('OneCause_Paste'!$A$2413:$AZ$2413,1,OC_Donor)="","",INDEX('OneCause_Paste'!$A$2413:$AZ$2413,1,OC_Donor)))</f>
        <v/>
      </c>
    </row>
    <row r="2414">
      <c r="A2414" s="62">
        <f>IF(H2414="","",IF(ISNUMBER(N2414),N2414,I2414))</f>
        <v/>
      </c>
      <c r="B2414">
        <f>IF(H2414="","",U2414)</f>
        <v/>
      </c>
      <c r="C2414">
        <f>IF(H2414="","",IF(P2414="",K2414,INDEX('Students'!$A$2:$A$701,P2414)))</f>
        <v/>
      </c>
      <c r="D2414">
        <f>IF(OR(H2414="",P2414=""),"",INDEX('Students'!$B$2:$B$701,P2414))</f>
        <v/>
      </c>
      <c r="E2414">
        <f>IF(OR(H2414="",P2414=""),"",INDEX('Students'!$C$2:$C$701,P2414))</f>
        <v/>
      </c>
      <c r="F2414" s="48">
        <f>IF(H2414="","",IF(ISNUMBER(O2414),O2414,J2414))</f>
        <v/>
      </c>
      <c r="G2414">
        <f>IF(H2414="","","OneCause")</f>
        <v/>
      </c>
      <c r="H2414">
        <f>IF(AND(I2414="",J2414="",K2414=""),"",IF(NOT(ISNUMBER(O2414)),"Bad amount",IF(O2414&lt;0,"Refund (not counted)",IF(O2414=0,"Zero amount",IF(NOT(ISNUMBER(N2414)),"Bad date",IF(P2414="","NAME NOT ON ROSTER",IF(L2414="","OK",IF(MATCH(L2414,$L$2:$L$3001,0)&lt;ROW()-1,"Duplicate (ignored)","OK"))))))))</f>
        <v/>
      </c>
      <c r="I2414">
        <f>IF(OC_Date=0,"",IF(INDEX('OneCause_Paste'!$A$2414:$AZ$2414,1,OC_Date)="","",INDEX('OneCause_Paste'!$A$2414:$AZ$2414,1,OC_Date)))</f>
        <v/>
      </c>
      <c r="J2414">
        <f>IF(OC_Amt=0,"",IF(INDEX('OneCause_Paste'!$A$2414:$AZ$2414,1,OC_Amt)="","",INDEX('OneCause_Paste'!$A$2414:$AZ$2414,1,OC_Amt)))</f>
        <v/>
      </c>
      <c r="K2414">
        <f>IF(OC_Name=0,"",IF(INDEX('OneCause_Paste'!$A$2414:$AZ$2414,1,OC_Name)="","",INDEX('OneCause_Paste'!$A$2414:$AZ$2414,1,OC_Name)))</f>
        <v/>
      </c>
      <c r="L2414">
        <f>IF(OC_Txn=0,"",IF(INDEX('OneCause_Paste'!$A$2414:$AZ$2414,1,OC_Txn)="","",INDEX('OneCause_Paste'!$A$2414:$AZ$2414,1,OC_Txn)))</f>
        <v/>
      </c>
      <c r="M2414">
        <f>IF(OC_Pay=0,"",IF(INDEX('OneCause_Paste'!$A$2414:$AZ$2414,1,OC_Pay)="","",INDEX('OneCause_Paste'!$A$2414:$AZ$2414,1,OC_Pay)))</f>
        <v/>
      </c>
      <c r="N2414">
        <f>IF(I2414="","",IF(ISNUMBER(I2414),INT(I2414),IFERROR(INT(DATEVALUE(I2414)),IFERROR(INT(VALUE(I2414)),"bad"))))</f>
        <v/>
      </c>
      <c r="O2414">
        <f>IF(J2414="","",IF(ISNUMBER(J2414),ROUND(J2414,2),IFERROR(ROUND(VALUE(SUBSTITUTE(SUBSTITUTE(SUBSTITUTE(J2414,"$",""),",","")," ","")),2),"bad")))</f>
        <v/>
      </c>
      <c r="P2414">
        <f>IF(TRIM(K2414)="","",IFERROR(MATCH(LOWER(TRIM(K2414)),'Students'!$AH$2:$AH$701,0),IFERROR(MATCH(LOWER(TRIM(K2414)),'Students'!$AF$2:$AF$701,0),IFERROR(MATCH(LOWER(TRIM(K2414)),'Students'!$AG$2:$AG$701,0),""))))</f>
        <v/>
      </c>
      <c r="R2414">
        <f>IF(P2414="","",INDEX('Students'!$AD$2:$AD$701,P2414))</f>
        <v/>
      </c>
      <c r="S2414">
        <f>IF(H2414="OK",O2414,0)</f>
        <v/>
      </c>
      <c r="T2414">
        <f>IF(H2414="OK",N2414,"")</f>
        <v/>
      </c>
      <c r="U2414">
        <f>IF(OC_Donor=0,"",IF(INDEX('OneCause_Paste'!$A$2414:$AZ$2414,1,OC_Donor)="","",INDEX('OneCause_Paste'!$A$2414:$AZ$2414,1,OC_Donor)))</f>
        <v/>
      </c>
    </row>
    <row r="2415">
      <c r="A2415" s="62">
        <f>IF(H2415="","",IF(ISNUMBER(N2415),N2415,I2415))</f>
        <v/>
      </c>
      <c r="B2415">
        <f>IF(H2415="","",U2415)</f>
        <v/>
      </c>
      <c r="C2415">
        <f>IF(H2415="","",IF(P2415="",K2415,INDEX('Students'!$A$2:$A$701,P2415)))</f>
        <v/>
      </c>
      <c r="D2415">
        <f>IF(OR(H2415="",P2415=""),"",INDEX('Students'!$B$2:$B$701,P2415))</f>
        <v/>
      </c>
      <c r="E2415">
        <f>IF(OR(H2415="",P2415=""),"",INDEX('Students'!$C$2:$C$701,P2415))</f>
        <v/>
      </c>
      <c r="F2415" s="48">
        <f>IF(H2415="","",IF(ISNUMBER(O2415),O2415,J2415))</f>
        <v/>
      </c>
      <c r="G2415">
        <f>IF(H2415="","","OneCause")</f>
        <v/>
      </c>
      <c r="H2415">
        <f>IF(AND(I2415="",J2415="",K2415=""),"",IF(NOT(ISNUMBER(O2415)),"Bad amount",IF(O2415&lt;0,"Refund (not counted)",IF(O2415=0,"Zero amount",IF(NOT(ISNUMBER(N2415)),"Bad date",IF(P2415="","NAME NOT ON ROSTER",IF(L2415="","OK",IF(MATCH(L2415,$L$2:$L$3001,0)&lt;ROW()-1,"Duplicate (ignored)","OK"))))))))</f>
        <v/>
      </c>
      <c r="I2415">
        <f>IF(OC_Date=0,"",IF(INDEX('OneCause_Paste'!$A$2415:$AZ$2415,1,OC_Date)="","",INDEX('OneCause_Paste'!$A$2415:$AZ$2415,1,OC_Date)))</f>
        <v/>
      </c>
      <c r="J2415">
        <f>IF(OC_Amt=0,"",IF(INDEX('OneCause_Paste'!$A$2415:$AZ$2415,1,OC_Amt)="","",INDEX('OneCause_Paste'!$A$2415:$AZ$2415,1,OC_Amt)))</f>
        <v/>
      </c>
      <c r="K2415">
        <f>IF(OC_Name=0,"",IF(INDEX('OneCause_Paste'!$A$2415:$AZ$2415,1,OC_Name)="","",INDEX('OneCause_Paste'!$A$2415:$AZ$2415,1,OC_Name)))</f>
        <v/>
      </c>
      <c r="L2415">
        <f>IF(OC_Txn=0,"",IF(INDEX('OneCause_Paste'!$A$2415:$AZ$2415,1,OC_Txn)="","",INDEX('OneCause_Paste'!$A$2415:$AZ$2415,1,OC_Txn)))</f>
        <v/>
      </c>
      <c r="M2415">
        <f>IF(OC_Pay=0,"",IF(INDEX('OneCause_Paste'!$A$2415:$AZ$2415,1,OC_Pay)="","",INDEX('OneCause_Paste'!$A$2415:$AZ$2415,1,OC_Pay)))</f>
        <v/>
      </c>
      <c r="N2415">
        <f>IF(I2415="","",IF(ISNUMBER(I2415),INT(I2415),IFERROR(INT(DATEVALUE(I2415)),IFERROR(INT(VALUE(I2415)),"bad"))))</f>
        <v/>
      </c>
      <c r="O2415">
        <f>IF(J2415="","",IF(ISNUMBER(J2415),ROUND(J2415,2),IFERROR(ROUND(VALUE(SUBSTITUTE(SUBSTITUTE(SUBSTITUTE(J2415,"$",""),",","")," ","")),2),"bad")))</f>
        <v/>
      </c>
      <c r="P2415">
        <f>IF(TRIM(K2415)="","",IFERROR(MATCH(LOWER(TRIM(K2415)),'Students'!$AH$2:$AH$701,0),IFERROR(MATCH(LOWER(TRIM(K2415)),'Students'!$AF$2:$AF$701,0),IFERROR(MATCH(LOWER(TRIM(K2415)),'Students'!$AG$2:$AG$701,0),""))))</f>
        <v/>
      </c>
      <c r="R2415">
        <f>IF(P2415="","",INDEX('Students'!$AD$2:$AD$701,P2415))</f>
        <v/>
      </c>
      <c r="S2415">
        <f>IF(H2415="OK",O2415,0)</f>
        <v/>
      </c>
      <c r="T2415">
        <f>IF(H2415="OK",N2415,"")</f>
        <v/>
      </c>
      <c r="U2415">
        <f>IF(OC_Donor=0,"",IF(INDEX('OneCause_Paste'!$A$2415:$AZ$2415,1,OC_Donor)="","",INDEX('OneCause_Paste'!$A$2415:$AZ$2415,1,OC_Donor)))</f>
        <v/>
      </c>
    </row>
    <row r="2416">
      <c r="A2416" s="62">
        <f>IF(H2416="","",IF(ISNUMBER(N2416),N2416,I2416))</f>
        <v/>
      </c>
      <c r="B2416">
        <f>IF(H2416="","",U2416)</f>
        <v/>
      </c>
      <c r="C2416">
        <f>IF(H2416="","",IF(P2416="",K2416,INDEX('Students'!$A$2:$A$701,P2416)))</f>
        <v/>
      </c>
      <c r="D2416">
        <f>IF(OR(H2416="",P2416=""),"",INDEX('Students'!$B$2:$B$701,P2416))</f>
        <v/>
      </c>
      <c r="E2416">
        <f>IF(OR(H2416="",P2416=""),"",INDEX('Students'!$C$2:$C$701,P2416))</f>
        <v/>
      </c>
      <c r="F2416" s="48">
        <f>IF(H2416="","",IF(ISNUMBER(O2416),O2416,J2416))</f>
        <v/>
      </c>
      <c r="G2416">
        <f>IF(H2416="","","OneCause")</f>
        <v/>
      </c>
      <c r="H2416">
        <f>IF(AND(I2416="",J2416="",K2416=""),"",IF(NOT(ISNUMBER(O2416)),"Bad amount",IF(O2416&lt;0,"Refund (not counted)",IF(O2416=0,"Zero amount",IF(NOT(ISNUMBER(N2416)),"Bad date",IF(P2416="","NAME NOT ON ROSTER",IF(L2416="","OK",IF(MATCH(L2416,$L$2:$L$3001,0)&lt;ROW()-1,"Duplicate (ignored)","OK"))))))))</f>
        <v/>
      </c>
      <c r="I2416">
        <f>IF(OC_Date=0,"",IF(INDEX('OneCause_Paste'!$A$2416:$AZ$2416,1,OC_Date)="","",INDEX('OneCause_Paste'!$A$2416:$AZ$2416,1,OC_Date)))</f>
        <v/>
      </c>
      <c r="J2416">
        <f>IF(OC_Amt=0,"",IF(INDEX('OneCause_Paste'!$A$2416:$AZ$2416,1,OC_Amt)="","",INDEX('OneCause_Paste'!$A$2416:$AZ$2416,1,OC_Amt)))</f>
        <v/>
      </c>
      <c r="K2416">
        <f>IF(OC_Name=0,"",IF(INDEX('OneCause_Paste'!$A$2416:$AZ$2416,1,OC_Name)="","",INDEX('OneCause_Paste'!$A$2416:$AZ$2416,1,OC_Name)))</f>
        <v/>
      </c>
      <c r="L2416">
        <f>IF(OC_Txn=0,"",IF(INDEX('OneCause_Paste'!$A$2416:$AZ$2416,1,OC_Txn)="","",INDEX('OneCause_Paste'!$A$2416:$AZ$2416,1,OC_Txn)))</f>
        <v/>
      </c>
      <c r="M2416">
        <f>IF(OC_Pay=0,"",IF(INDEX('OneCause_Paste'!$A$2416:$AZ$2416,1,OC_Pay)="","",INDEX('OneCause_Paste'!$A$2416:$AZ$2416,1,OC_Pay)))</f>
        <v/>
      </c>
      <c r="N2416">
        <f>IF(I2416="","",IF(ISNUMBER(I2416),INT(I2416),IFERROR(INT(DATEVALUE(I2416)),IFERROR(INT(VALUE(I2416)),"bad"))))</f>
        <v/>
      </c>
      <c r="O2416">
        <f>IF(J2416="","",IF(ISNUMBER(J2416),ROUND(J2416,2),IFERROR(ROUND(VALUE(SUBSTITUTE(SUBSTITUTE(SUBSTITUTE(J2416,"$",""),",","")," ","")),2),"bad")))</f>
        <v/>
      </c>
      <c r="P2416">
        <f>IF(TRIM(K2416)="","",IFERROR(MATCH(LOWER(TRIM(K2416)),'Students'!$AH$2:$AH$701,0),IFERROR(MATCH(LOWER(TRIM(K2416)),'Students'!$AF$2:$AF$701,0),IFERROR(MATCH(LOWER(TRIM(K2416)),'Students'!$AG$2:$AG$701,0),""))))</f>
        <v/>
      </c>
      <c r="R2416">
        <f>IF(P2416="","",INDEX('Students'!$AD$2:$AD$701,P2416))</f>
        <v/>
      </c>
      <c r="S2416">
        <f>IF(H2416="OK",O2416,0)</f>
        <v/>
      </c>
      <c r="T2416">
        <f>IF(H2416="OK",N2416,"")</f>
        <v/>
      </c>
      <c r="U2416">
        <f>IF(OC_Donor=0,"",IF(INDEX('OneCause_Paste'!$A$2416:$AZ$2416,1,OC_Donor)="","",INDEX('OneCause_Paste'!$A$2416:$AZ$2416,1,OC_Donor)))</f>
        <v/>
      </c>
    </row>
    <row r="2417">
      <c r="A2417" s="62">
        <f>IF(H2417="","",IF(ISNUMBER(N2417),N2417,I2417))</f>
        <v/>
      </c>
      <c r="B2417">
        <f>IF(H2417="","",U2417)</f>
        <v/>
      </c>
      <c r="C2417">
        <f>IF(H2417="","",IF(P2417="",K2417,INDEX('Students'!$A$2:$A$701,P2417)))</f>
        <v/>
      </c>
      <c r="D2417">
        <f>IF(OR(H2417="",P2417=""),"",INDEX('Students'!$B$2:$B$701,P2417))</f>
        <v/>
      </c>
      <c r="E2417">
        <f>IF(OR(H2417="",P2417=""),"",INDEX('Students'!$C$2:$C$701,P2417))</f>
        <v/>
      </c>
      <c r="F2417" s="48">
        <f>IF(H2417="","",IF(ISNUMBER(O2417),O2417,J2417))</f>
        <v/>
      </c>
      <c r="G2417">
        <f>IF(H2417="","","OneCause")</f>
        <v/>
      </c>
      <c r="H2417">
        <f>IF(AND(I2417="",J2417="",K2417=""),"",IF(NOT(ISNUMBER(O2417)),"Bad amount",IF(O2417&lt;0,"Refund (not counted)",IF(O2417=0,"Zero amount",IF(NOT(ISNUMBER(N2417)),"Bad date",IF(P2417="","NAME NOT ON ROSTER",IF(L2417="","OK",IF(MATCH(L2417,$L$2:$L$3001,0)&lt;ROW()-1,"Duplicate (ignored)","OK"))))))))</f>
        <v/>
      </c>
      <c r="I2417">
        <f>IF(OC_Date=0,"",IF(INDEX('OneCause_Paste'!$A$2417:$AZ$2417,1,OC_Date)="","",INDEX('OneCause_Paste'!$A$2417:$AZ$2417,1,OC_Date)))</f>
        <v/>
      </c>
      <c r="J2417">
        <f>IF(OC_Amt=0,"",IF(INDEX('OneCause_Paste'!$A$2417:$AZ$2417,1,OC_Amt)="","",INDEX('OneCause_Paste'!$A$2417:$AZ$2417,1,OC_Amt)))</f>
        <v/>
      </c>
      <c r="K2417">
        <f>IF(OC_Name=0,"",IF(INDEX('OneCause_Paste'!$A$2417:$AZ$2417,1,OC_Name)="","",INDEX('OneCause_Paste'!$A$2417:$AZ$2417,1,OC_Name)))</f>
        <v/>
      </c>
      <c r="L2417">
        <f>IF(OC_Txn=0,"",IF(INDEX('OneCause_Paste'!$A$2417:$AZ$2417,1,OC_Txn)="","",INDEX('OneCause_Paste'!$A$2417:$AZ$2417,1,OC_Txn)))</f>
        <v/>
      </c>
      <c r="M2417">
        <f>IF(OC_Pay=0,"",IF(INDEX('OneCause_Paste'!$A$2417:$AZ$2417,1,OC_Pay)="","",INDEX('OneCause_Paste'!$A$2417:$AZ$2417,1,OC_Pay)))</f>
        <v/>
      </c>
      <c r="N2417">
        <f>IF(I2417="","",IF(ISNUMBER(I2417),INT(I2417),IFERROR(INT(DATEVALUE(I2417)),IFERROR(INT(VALUE(I2417)),"bad"))))</f>
        <v/>
      </c>
      <c r="O2417">
        <f>IF(J2417="","",IF(ISNUMBER(J2417),ROUND(J2417,2),IFERROR(ROUND(VALUE(SUBSTITUTE(SUBSTITUTE(SUBSTITUTE(J2417,"$",""),",","")," ","")),2),"bad")))</f>
        <v/>
      </c>
      <c r="P2417">
        <f>IF(TRIM(K2417)="","",IFERROR(MATCH(LOWER(TRIM(K2417)),'Students'!$AH$2:$AH$701,0),IFERROR(MATCH(LOWER(TRIM(K2417)),'Students'!$AF$2:$AF$701,0),IFERROR(MATCH(LOWER(TRIM(K2417)),'Students'!$AG$2:$AG$701,0),""))))</f>
        <v/>
      </c>
      <c r="R2417">
        <f>IF(P2417="","",INDEX('Students'!$AD$2:$AD$701,P2417))</f>
        <v/>
      </c>
      <c r="S2417">
        <f>IF(H2417="OK",O2417,0)</f>
        <v/>
      </c>
      <c r="T2417">
        <f>IF(H2417="OK",N2417,"")</f>
        <v/>
      </c>
      <c r="U2417">
        <f>IF(OC_Donor=0,"",IF(INDEX('OneCause_Paste'!$A$2417:$AZ$2417,1,OC_Donor)="","",INDEX('OneCause_Paste'!$A$2417:$AZ$2417,1,OC_Donor)))</f>
        <v/>
      </c>
    </row>
    <row r="2418">
      <c r="A2418" s="62">
        <f>IF(H2418="","",IF(ISNUMBER(N2418),N2418,I2418))</f>
        <v/>
      </c>
      <c r="B2418">
        <f>IF(H2418="","",U2418)</f>
        <v/>
      </c>
      <c r="C2418">
        <f>IF(H2418="","",IF(P2418="",K2418,INDEX('Students'!$A$2:$A$701,P2418)))</f>
        <v/>
      </c>
      <c r="D2418">
        <f>IF(OR(H2418="",P2418=""),"",INDEX('Students'!$B$2:$B$701,P2418))</f>
        <v/>
      </c>
      <c r="E2418">
        <f>IF(OR(H2418="",P2418=""),"",INDEX('Students'!$C$2:$C$701,P2418))</f>
        <v/>
      </c>
      <c r="F2418" s="48">
        <f>IF(H2418="","",IF(ISNUMBER(O2418),O2418,J2418))</f>
        <v/>
      </c>
      <c r="G2418">
        <f>IF(H2418="","","OneCause")</f>
        <v/>
      </c>
      <c r="H2418">
        <f>IF(AND(I2418="",J2418="",K2418=""),"",IF(NOT(ISNUMBER(O2418)),"Bad amount",IF(O2418&lt;0,"Refund (not counted)",IF(O2418=0,"Zero amount",IF(NOT(ISNUMBER(N2418)),"Bad date",IF(P2418="","NAME NOT ON ROSTER",IF(L2418="","OK",IF(MATCH(L2418,$L$2:$L$3001,0)&lt;ROW()-1,"Duplicate (ignored)","OK"))))))))</f>
        <v/>
      </c>
      <c r="I2418">
        <f>IF(OC_Date=0,"",IF(INDEX('OneCause_Paste'!$A$2418:$AZ$2418,1,OC_Date)="","",INDEX('OneCause_Paste'!$A$2418:$AZ$2418,1,OC_Date)))</f>
        <v/>
      </c>
      <c r="J2418">
        <f>IF(OC_Amt=0,"",IF(INDEX('OneCause_Paste'!$A$2418:$AZ$2418,1,OC_Amt)="","",INDEX('OneCause_Paste'!$A$2418:$AZ$2418,1,OC_Amt)))</f>
        <v/>
      </c>
      <c r="K2418">
        <f>IF(OC_Name=0,"",IF(INDEX('OneCause_Paste'!$A$2418:$AZ$2418,1,OC_Name)="","",INDEX('OneCause_Paste'!$A$2418:$AZ$2418,1,OC_Name)))</f>
        <v/>
      </c>
      <c r="L2418">
        <f>IF(OC_Txn=0,"",IF(INDEX('OneCause_Paste'!$A$2418:$AZ$2418,1,OC_Txn)="","",INDEX('OneCause_Paste'!$A$2418:$AZ$2418,1,OC_Txn)))</f>
        <v/>
      </c>
      <c r="M2418">
        <f>IF(OC_Pay=0,"",IF(INDEX('OneCause_Paste'!$A$2418:$AZ$2418,1,OC_Pay)="","",INDEX('OneCause_Paste'!$A$2418:$AZ$2418,1,OC_Pay)))</f>
        <v/>
      </c>
      <c r="N2418">
        <f>IF(I2418="","",IF(ISNUMBER(I2418),INT(I2418),IFERROR(INT(DATEVALUE(I2418)),IFERROR(INT(VALUE(I2418)),"bad"))))</f>
        <v/>
      </c>
      <c r="O2418">
        <f>IF(J2418="","",IF(ISNUMBER(J2418),ROUND(J2418,2),IFERROR(ROUND(VALUE(SUBSTITUTE(SUBSTITUTE(SUBSTITUTE(J2418,"$",""),",","")," ","")),2),"bad")))</f>
        <v/>
      </c>
      <c r="P2418">
        <f>IF(TRIM(K2418)="","",IFERROR(MATCH(LOWER(TRIM(K2418)),'Students'!$AH$2:$AH$701,0),IFERROR(MATCH(LOWER(TRIM(K2418)),'Students'!$AF$2:$AF$701,0),IFERROR(MATCH(LOWER(TRIM(K2418)),'Students'!$AG$2:$AG$701,0),""))))</f>
        <v/>
      </c>
      <c r="R2418">
        <f>IF(P2418="","",INDEX('Students'!$AD$2:$AD$701,P2418))</f>
        <v/>
      </c>
      <c r="S2418">
        <f>IF(H2418="OK",O2418,0)</f>
        <v/>
      </c>
      <c r="T2418">
        <f>IF(H2418="OK",N2418,"")</f>
        <v/>
      </c>
      <c r="U2418">
        <f>IF(OC_Donor=0,"",IF(INDEX('OneCause_Paste'!$A$2418:$AZ$2418,1,OC_Donor)="","",INDEX('OneCause_Paste'!$A$2418:$AZ$2418,1,OC_Donor)))</f>
        <v/>
      </c>
    </row>
    <row r="2419">
      <c r="A2419" s="62">
        <f>IF(H2419="","",IF(ISNUMBER(N2419),N2419,I2419))</f>
        <v/>
      </c>
      <c r="B2419">
        <f>IF(H2419="","",U2419)</f>
        <v/>
      </c>
      <c r="C2419">
        <f>IF(H2419="","",IF(P2419="",K2419,INDEX('Students'!$A$2:$A$701,P2419)))</f>
        <v/>
      </c>
      <c r="D2419">
        <f>IF(OR(H2419="",P2419=""),"",INDEX('Students'!$B$2:$B$701,P2419))</f>
        <v/>
      </c>
      <c r="E2419">
        <f>IF(OR(H2419="",P2419=""),"",INDEX('Students'!$C$2:$C$701,P2419))</f>
        <v/>
      </c>
      <c r="F2419" s="48">
        <f>IF(H2419="","",IF(ISNUMBER(O2419),O2419,J2419))</f>
        <v/>
      </c>
      <c r="G2419">
        <f>IF(H2419="","","OneCause")</f>
        <v/>
      </c>
      <c r="H2419">
        <f>IF(AND(I2419="",J2419="",K2419=""),"",IF(NOT(ISNUMBER(O2419)),"Bad amount",IF(O2419&lt;0,"Refund (not counted)",IF(O2419=0,"Zero amount",IF(NOT(ISNUMBER(N2419)),"Bad date",IF(P2419="","NAME NOT ON ROSTER",IF(L2419="","OK",IF(MATCH(L2419,$L$2:$L$3001,0)&lt;ROW()-1,"Duplicate (ignored)","OK"))))))))</f>
        <v/>
      </c>
      <c r="I2419">
        <f>IF(OC_Date=0,"",IF(INDEX('OneCause_Paste'!$A$2419:$AZ$2419,1,OC_Date)="","",INDEX('OneCause_Paste'!$A$2419:$AZ$2419,1,OC_Date)))</f>
        <v/>
      </c>
      <c r="J2419">
        <f>IF(OC_Amt=0,"",IF(INDEX('OneCause_Paste'!$A$2419:$AZ$2419,1,OC_Amt)="","",INDEX('OneCause_Paste'!$A$2419:$AZ$2419,1,OC_Amt)))</f>
        <v/>
      </c>
      <c r="K2419">
        <f>IF(OC_Name=0,"",IF(INDEX('OneCause_Paste'!$A$2419:$AZ$2419,1,OC_Name)="","",INDEX('OneCause_Paste'!$A$2419:$AZ$2419,1,OC_Name)))</f>
        <v/>
      </c>
      <c r="L2419">
        <f>IF(OC_Txn=0,"",IF(INDEX('OneCause_Paste'!$A$2419:$AZ$2419,1,OC_Txn)="","",INDEX('OneCause_Paste'!$A$2419:$AZ$2419,1,OC_Txn)))</f>
        <v/>
      </c>
      <c r="M2419">
        <f>IF(OC_Pay=0,"",IF(INDEX('OneCause_Paste'!$A$2419:$AZ$2419,1,OC_Pay)="","",INDEX('OneCause_Paste'!$A$2419:$AZ$2419,1,OC_Pay)))</f>
        <v/>
      </c>
      <c r="N2419">
        <f>IF(I2419="","",IF(ISNUMBER(I2419),INT(I2419),IFERROR(INT(DATEVALUE(I2419)),IFERROR(INT(VALUE(I2419)),"bad"))))</f>
        <v/>
      </c>
      <c r="O2419">
        <f>IF(J2419="","",IF(ISNUMBER(J2419),ROUND(J2419,2),IFERROR(ROUND(VALUE(SUBSTITUTE(SUBSTITUTE(SUBSTITUTE(J2419,"$",""),",","")," ","")),2),"bad")))</f>
        <v/>
      </c>
      <c r="P2419">
        <f>IF(TRIM(K2419)="","",IFERROR(MATCH(LOWER(TRIM(K2419)),'Students'!$AH$2:$AH$701,0),IFERROR(MATCH(LOWER(TRIM(K2419)),'Students'!$AF$2:$AF$701,0),IFERROR(MATCH(LOWER(TRIM(K2419)),'Students'!$AG$2:$AG$701,0),""))))</f>
        <v/>
      </c>
      <c r="R2419">
        <f>IF(P2419="","",INDEX('Students'!$AD$2:$AD$701,P2419))</f>
        <v/>
      </c>
      <c r="S2419">
        <f>IF(H2419="OK",O2419,0)</f>
        <v/>
      </c>
      <c r="T2419">
        <f>IF(H2419="OK",N2419,"")</f>
        <v/>
      </c>
      <c r="U2419">
        <f>IF(OC_Donor=0,"",IF(INDEX('OneCause_Paste'!$A$2419:$AZ$2419,1,OC_Donor)="","",INDEX('OneCause_Paste'!$A$2419:$AZ$2419,1,OC_Donor)))</f>
        <v/>
      </c>
    </row>
    <row r="2420">
      <c r="A2420" s="62">
        <f>IF(H2420="","",IF(ISNUMBER(N2420),N2420,I2420))</f>
        <v/>
      </c>
      <c r="B2420">
        <f>IF(H2420="","",U2420)</f>
        <v/>
      </c>
      <c r="C2420">
        <f>IF(H2420="","",IF(P2420="",K2420,INDEX('Students'!$A$2:$A$701,P2420)))</f>
        <v/>
      </c>
      <c r="D2420">
        <f>IF(OR(H2420="",P2420=""),"",INDEX('Students'!$B$2:$B$701,P2420))</f>
        <v/>
      </c>
      <c r="E2420">
        <f>IF(OR(H2420="",P2420=""),"",INDEX('Students'!$C$2:$C$701,P2420))</f>
        <v/>
      </c>
      <c r="F2420" s="48">
        <f>IF(H2420="","",IF(ISNUMBER(O2420),O2420,J2420))</f>
        <v/>
      </c>
      <c r="G2420">
        <f>IF(H2420="","","OneCause")</f>
        <v/>
      </c>
      <c r="H2420">
        <f>IF(AND(I2420="",J2420="",K2420=""),"",IF(NOT(ISNUMBER(O2420)),"Bad amount",IF(O2420&lt;0,"Refund (not counted)",IF(O2420=0,"Zero amount",IF(NOT(ISNUMBER(N2420)),"Bad date",IF(P2420="","NAME NOT ON ROSTER",IF(L2420="","OK",IF(MATCH(L2420,$L$2:$L$3001,0)&lt;ROW()-1,"Duplicate (ignored)","OK"))))))))</f>
        <v/>
      </c>
      <c r="I2420">
        <f>IF(OC_Date=0,"",IF(INDEX('OneCause_Paste'!$A$2420:$AZ$2420,1,OC_Date)="","",INDEX('OneCause_Paste'!$A$2420:$AZ$2420,1,OC_Date)))</f>
        <v/>
      </c>
      <c r="J2420">
        <f>IF(OC_Amt=0,"",IF(INDEX('OneCause_Paste'!$A$2420:$AZ$2420,1,OC_Amt)="","",INDEX('OneCause_Paste'!$A$2420:$AZ$2420,1,OC_Amt)))</f>
        <v/>
      </c>
      <c r="K2420">
        <f>IF(OC_Name=0,"",IF(INDEX('OneCause_Paste'!$A$2420:$AZ$2420,1,OC_Name)="","",INDEX('OneCause_Paste'!$A$2420:$AZ$2420,1,OC_Name)))</f>
        <v/>
      </c>
      <c r="L2420">
        <f>IF(OC_Txn=0,"",IF(INDEX('OneCause_Paste'!$A$2420:$AZ$2420,1,OC_Txn)="","",INDEX('OneCause_Paste'!$A$2420:$AZ$2420,1,OC_Txn)))</f>
        <v/>
      </c>
      <c r="M2420">
        <f>IF(OC_Pay=0,"",IF(INDEX('OneCause_Paste'!$A$2420:$AZ$2420,1,OC_Pay)="","",INDEX('OneCause_Paste'!$A$2420:$AZ$2420,1,OC_Pay)))</f>
        <v/>
      </c>
      <c r="N2420">
        <f>IF(I2420="","",IF(ISNUMBER(I2420),INT(I2420),IFERROR(INT(DATEVALUE(I2420)),IFERROR(INT(VALUE(I2420)),"bad"))))</f>
        <v/>
      </c>
      <c r="O2420">
        <f>IF(J2420="","",IF(ISNUMBER(J2420),ROUND(J2420,2),IFERROR(ROUND(VALUE(SUBSTITUTE(SUBSTITUTE(SUBSTITUTE(J2420,"$",""),",","")," ","")),2),"bad")))</f>
        <v/>
      </c>
      <c r="P2420">
        <f>IF(TRIM(K2420)="","",IFERROR(MATCH(LOWER(TRIM(K2420)),'Students'!$AH$2:$AH$701,0),IFERROR(MATCH(LOWER(TRIM(K2420)),'Students'!$AF$2:$AF$701,0),IFERROR(MATCH(LOWER(TRIM(K2420)),'Students'!$AG$2:$AG$701,0),""))))</f>
        <v/>
      </c>
      <c r="R2420">
        <f>IF(P2420="","",INDEX('Students'!$AD$2:$AD$701,P2420))</f>
        <v/>
      </c>
      <c r="S2420">
        <f>IF(H2420="OK",O2420,0)</f>
        <v/>
      </c>
      <c r="T2420">
        <f>IF(H2420="OK",N2420,"")</f>
        <v/>
      </c>
      <c r="U2420">
        <f>IF(OC_Donor=0,"",IF(INDEX('OneCause_Paste'!$A$2420:$AZ$2420,1,OC_Donor)="","",INDEX('OneCause_Paste'!$A$2420:$AZ$2420,1,OC_Donor)))</f>
        <v/>
      </c>
    </row>
    <row r="2421">
      <c r="A2421" s="62">
        <f>IF(H2421="","",IF(ISNUMBER(N2421),N2421,I2421))</f>
        <v/>
      </c>
      <c r="B2421">
        <f>IF(H2421="","",U2421)</f>
        <v/>
      </c>
      <c r="C2421">
        <f>IF(H2421="","",IF(P2421="",K2421,INDEX('Students'!$A$2:$A$701,P2421)))</f>
        <v/>
      </c>
      <c r="D2421">
        <f>IF(OR(H2421="",P2421=""),"",INDEX('Students'!$B$2:$B$701,P2421))</f>
        <v/>
      </c>
      <c r="E2421">
        <f>IF(OR(H2421="",P2421=""),"",INDEX('Students'!$C$2:$C$701,P2421))</f>
        <v/>
      </c>
      <c r="F2421" s="48">
        <f>IF(H2421="","",IF(ISNUMBER(O2421),O2421,J2421))</f>
        <v/>
      </c>
      <c r="G2421">
        <f>IF(H2421="","","OneCause")</f>
        <v/>
      </c>
      <c r="H2421">
        <f>IF(AND(I2421="",J2421="",K2421=""),"",IF(NOT(ISNUMBER(O2421)),"Bad amount",IF(O2421&lt;0,"Refund (not counted)",IF(O2421=0,"Zero amount",IF(NOT(ISNUMBER(N2421)),"Bad date",IF(P2421="","NAME NOT ON ROSTER",IF(L2421="","OK",IF(MATCH(L2421,$L$2:$L$3001,0)&lt;ROW()-1,"Duplicate (ignored)","OK"))))))))</f>
        <v/>
      </c>
      <c r="I2421">
        <f>IF(OC_Date=0,"",IF(INDEX('OneCause_Paste'!$A$2421:$AZ$2421,1,OC_Date)="","",INDEX('OneCause_Paste'!$A$2421:$AZ$2421,1,OC_Date)))</f>
        <v/>
      </c>
      <c r="J2421">
        <f>IF(OC_Amt=0,"",IF(INDEX('OneCause_Paste'!$A$2421:$AZ$2421,1,OC_Amt)="","",INDEX('OneCause_Paste'!$A$2421:$AZ$2421,1,OC_Amt)))</f>
        <v/>
      </c>
      <c r="K2421">
        <f>IF(OC_Name=0,"",IF(INDEX('OneCause_Paste'!$A$2421:$AZ$2421,1,OC_Name)="","",INDEX('OneCause_Paste'!$A$2421:$AZ$2421,1,OC_Name)))</f>
        <v/>
      </c>
      <c r="L2421">
        <f>IF(OC_Txn=0,"",IF(INDEX('OneCause_Paste'!$A$2421:$AZ$2421,1,OC_Txn)="","",INDEX('OneCause_Paste'!$A$2421:$AZ$2421,1,OC_Txn)))</f>
        <v/>
      </c>
      <c r="M2421">
        <f>IF(OC_Pay=0,"",IF(INDEX('OneCause_Paste'!$A$2421:$AZ$2421,1,OC_Pay)="","",INDEX('OneCause_Paste'!$A$2421:$AZ$2421,1,OC_Pay)))</f>
        <v/>
      </c>
      <c r="N2421">
        <f>IF(I2421="","",IF(ISNUMBER(I2421),INT(I2421),IFERROR(INT(DATEVALUE(I2421)),IFERROR(INT(VALUE(I2421)),"bad"))))</f>
        <v/>
      </c>
      <c r="O2421">
        <f>IF(J2421="","",IF(ISNUMBER(J2421),ROUND(J2421,2),IFERROR(ROUND(VALUE(SUBSTITUTE(SUBSTITUTE(SUBSTITUTE(J2421,"$",""),",","")," ","")),2),"bad")))</f>
        <v/>
      </c>
      <c r="P2421">
        <f>IF(TRIM(K2421)="","",IFERROR(MATCH(LOWER(TRIM(K2421)),'Students'!$AH$2:$AH$701,0),IFERROR(MATCH(LOWER(TRIM(K2421)),'Students'!$AF$2:$AF$701,0),IFERROR(MATCH(LOWER(TRIM(K2421)),'Students'!$AG$2:$AG$701,0),""))))</f>
        <v/>
      </c>
      <c r="R2421">
        <f>IF(P2421="","",INDEX('Students'!$AD$2:$AD$701,P2421))</f>
        <v/>
      </c>
      <c r="S2421">
        <f>IF(H2421="OK",O2421,0)</f>
        <v/>
      </c>
      <c r="T2421">
        <f>IF(H2421="OK",N2421,"")</f>
        <v/>
      </c>
      <c r="U2421">
        <f>IF(OC_Donor=0,"",IF(INDEX('OneCause_Paste'!$A$2421:$AZ$2421,1,OC_Donor)="","",INDEX('OneCause_Paste'!$A$2421:$AZ$2421,1,OC_Donor)))</f>
        <v/>
      </c>
    </row>
    <row r="2422">
      <c r="A2422" s="62">
        <f>IF(H2422="","",IF(ISNUMBER(N2422),N2422,I2422))</f>
        <v/>
      </c>
      <c r="B2422">
        <f>IF(H2422="","",U2422)</f>
        <v/>
      </c>
      <c r="C2422">
        <f>IF(H2422="","",IF(P2422="",K2422,INDEX('Students'!$A$2:$A$701,P2422)))</f>
        <v/>
      </c>
      <c r="D2422">
        <f>IF(OR(H2422="",P2422=""),"",INDEX('Students'!$B$2:$B$701,P2422))</f>
        <v/>
      </c>
      <c r="E2422">
        <f>IF(OR(H2422="",P2422=""),"",INDEX('Students'!$C$2:$C$701,P2422))</f>
        <v/>
      </c>
      <c r="F2422" s="48">
        <f>IF(H2422="","",IF(ISNUMBER(O2422),O2422,J2422))</f>
        <v/>
      </c>
      <c r="G2422">
        <f>IF(H2422="","","OneCause")</f>
        <v/>
      </c>
      <c r="H2422">
        <f>IF(AND(I2422="",J2422="",K2422=""),"",IF(NOT(ISNUMBER(O2422)),"Bad amount",IF(O2422&lt;0,"Refund (not counted)",IF(O2422=0,"Zero amount",IF(NOT(ISNUMBER(N2422)),"Bad date",IF(P2422="","NAME NOT ON ROSTER",IF(L2422="","OK",IF(MATCH(L2422,$L$2:$L$3001,0)&lt;ROW()-1,"Duplicate (ignored)","OK"))))))))</f>
        <v/>
      </c>
      <c r="I2422">
        <f>IF(OC_Date=0,"",IF(INDEX('OneCause_Paste'!$A$2422:$AZ$2422,1,OC_Date)="","",INDEX('OneCause_Paste'!$A$2422:$AZ$2422,1,OC_Date)))</f>
        <v/>
      </c>
      <c r="J2422">
        <f>IF(OC_Amt=0,"",IF(INDEX('OneCause_Paste'!$A$2422:$AZ$2422,1,OC_Amt)="","",INDEX('OneCause_Paste'!$A$2422:$AZ$2422,1,OC_Amt)))</f>
        <v/>
      </c>
      <c r="K2422">
        <f>IF(OC_Name=0,"",IF(INDEX('OneCause_Paste'!$A$2422:$AZ$2422,1,OC_Name)="","",INDEX('OneCause_Paste'!$A$2422:$AZ$2422,1,OC_Name)))</f>
        <v/>
      </c>
      <c r="L2422">
        <f>IF(OC_Txn=0,"",IF(INDEX('OneCause_Paste'!$A$2422:$AZ$2422,1,OC_Txn)="","",INDEX('OneCause_Paste'!$A$2422:$AZ$2422,1,OC_Txn)))</f>
        <v/>
      </c>
      <c r="M2422">
        <f>IF(OC_Pay=0,"",IF(INDEX('OneCause_Paste'!$A$2422:$AZ$2422,1,OC_Pay)="","",INDEX('OneCause_Paste'!$A$2422:$AZ$2422,1,OC_Pay)))</f>
        <v/>
      </c>
      <c r="N2422">
        <f>IF(I2422="","",IF(ISNUMBER(I2422),INT(I2422),IFERROR(INT(DATEVALUE(I2422)),IFERROR(INT(VALUE(I2422)),"bad"))))</f>
        <v/>
      </c>
      <c r="O2422">
        <f>IF(J2422="","",IF(ISNUMBER(J2422),ROUND(J2422,2),IFERROR(ROUND(VALUE(SUBSTITUTE(SUBSTITUTE(SUBSTITUTE(J2422,"$",""),",","")," ","")),2),"bad")))</f>
        <v/>
      </c>
      <c r="P2422">
        <f>IF(TRIM(K2422)="","",IFERROR(MATCH(LOWER(TRIM(K2422)),'Students'!$AH$2:$AH$701,0),IFERROR(MATCH(LOWER(TRIM(K2422)),'Students'!$AF$2:$AF$701,0),IFERROR(MATCH(LOWER(TRIM(K2422)),'Students'!$AG$2:$AG$701,0),""))))</f>
        <v/>
      </c>
      <c r="R2422">
        <f>IF(P2422="","",INDEX('Students'!$AD$2:$AD$701,P2422))</f>
        <v/>
      </c>
      <c r="S2422">
        <f>IF(H2422="OK",O2422,0)</f>
        <v/>
      </c>
      <c r="T2422">
        <f>IF(H2422="OK",N2422,"")</f>
        <v/>
      </c>
      <c r="U2422">
        <f>IF(OC_Donor=0,"",IF(INDEX('OneCause_Paste'!$A$2422:$AZ$2422,1,OC_Donor)="","",INDEX('OneCause_Paste'!$A$2422:$AZ$2422,1,OC_Donor)))</f>
        <v/>
      </c>
    </row>
    <row r="2423">
      <c r="A2423" s="62">
        <f>IF(H2423="","",IF(ISNUMBER(N2423),N2423,I2423))</f>
        <v/>
      </c>
      <c r="B2423">
        <f>IF(H2423="","",U2423)</f>
        <v/>
      </c>
      <c r="C2423">
        <f>IF(H2423="","",IF(P2423="",K2423,INDEX('Students'!$A$2:$A$701,P2423)))</f>
        <v/>
      </c>
      <c r="D2423">
        <f>IF(OR(H2423="",P2423=""),"",INDEX('Students'!$B$2:$B$701,P2423))</f>
        <v/>
      </c>
      <c r="E2423">
        <f>IF(OR(H2423="",P2423=""),"",INDEX('Students'!$C$2:$C$701,P2423))</f>
        <v/>
      </c>
      <c r="F2423" s="48">
        <f>IF(H2423="","",IF(ISNUMBER(O2423),O2423,J2423))</f>
        <v/>
      </c>
      <c r="G2423">
        <f>IF(H2423="","","OneCause")</f>
        <v/>
      </c>
      <c r="H2423">
        <f>IF(AND(I2423="",J2423="",K2423=""),"",IF(NOT(ISNUMBER(O2423)),"Bad amount",IF(O2423&lt;0,"Refund (not counted)",IF(O2423=0,"Zero amount",IF(NOT(ISNUMBER(N2423)),"Bad date",IF(P2423="","NAME NOT ON ROSTER",IF(L2423="","OK",IF(MATCH(L2423,$L$2:$L$3001,0)&lt;ROW()-1,"Duplicate (ignored)","OK"))))))))</f>
        <v/>
      </c>
      <c r="I2423">
        <f>IF(OC_Date=0,"",IF(INDEX('OneCause_Paste'!$A$2423:$AZ$2423,1,OC_Date)="","",INDEX('OneCause_Paste'!$A$2423:$AZ$2423,1,OC_Date)))</f>
        <v/>
      </c>
      <c r="J2423">
        <f>IF(OC_Amt=0,"",IF(INDEX('OneCause_Paste'!$A$2423:$AZ$2423,1,OC_Amt)="","",INDEX('OneCause_Paste'!$A$2423:$AZ$2423,1,OC_Amt)))</f>
        <v/>
      </c>
      <c r="K2423">
        <f>IF(OC_Name=0,"",IF(INDEX('OneCause_Paste'!$A$2423:$AZ$2423,1,OC_Name)="","",INDEX('OneCause_Paste'!$A$2423:$AZ$2423,1,OC_Name)))</f>
        <v/>
      </c>
      <c r="L2423">
        <f>IF(OC_Txn=0,"",IF(INDEX('OneCause_Paste'!$A$2423:$AZ$2423,1,OC_Txn)="","",INDEX('OneCause_Paste'!$A$2423:$AZ$2423,1,OC_Txn)))</f>
        <v/>
      </c>
      <c r="M2423">
        <f>IF(OC_Pay=0,"",IF(INDEX('OneCause_Paste'!$A$2423:$AZ$2423,1,OC_Pay)="","",INDEX('OneCause_Paste'!$A$2423:$AZ$2423,1,OC_Pay)))</f>
        <v/>
      </c>
      <c r="N2423">
        <f>IF(I2423="","",IF(ISNUMBER(I2423),INT(I2423),IFERROR(INT(DATEVALUE(I2423)),IFERROR(INT(VALUE(I2423)),"bad"))))</f>
        <v/>
      </c>
      <c r="O2423">
        <f>IF(J2423="","",IF(ISNUMBER(J2423),ROUND(J2423,2),IFERROR(ROUND(VALUE(SUBSTITUTE(SUBSTITUTE(SUBSTITUTE(J2423,"$",""),",","")," ","")),2),"bad")))</f>
        <v/>
      </c>
      <c r="P2423">
        <f>IF(TRIM(K2423)="","",IFERROR(MATCH(LOWER(TRIM(K2423)),'Students'!$AH$2:$AH$701,0),IFERROR(MATCH(LOWER(TRIM(K2423)),'Students'!$AF$2:$AF$701,0),IFERROR(MATCH(LOWER(TRIM(K2423)),'Students'!$AG$2:$AG$701,0),""))))</f>
        <v/>
      </c>
      <c r="R2423">
        <f>IF(P2423="","",INDEX('Students'!$AD$2:$AD$701,P2423))</f>
        <v/>
      </c>
      <c r="S2423">
        <f>IF(H2423="OK",O2423,0)</f>
        <v/>
      </c>
      <c r="T2423">
        <f>IF(H2423="OK",N2423,"")</f>
        <v/>
      </c>
      <c r="U2423">
        <f>IF(OC_Donor=0,"",IF(INDEX('OneCause_Paste'!$A$2423:$AZ$2423,1,OC_Donor)="","",INDEX('OneCause_Paste'!$A$2423:$AZ$2423,1,OC_Donor)))</f>
        <v/>
      </c>
    </row>
    <row r="2424">
      <c r="A2424" s="62">
        <f>IF(H2424="","",IF(ISNUMBER(N2424),N2424,I2424))</f>
        <v/>
      </c>
      <c r="B2424">
        <f>IF(H2424="","",U2424)</f>
        <v/>
      </c>
      <c r="C2424">
        <f>IF(H2424="","",IF(P2424="",K2424,INDEX('Students'!$A$2:$A$701,P2424)))</f>
        <v/>
      </c>
      <c r="D2424">
        <f>IF(OR(H2424="",P2424=""),"",INDEX('Students'!$B$2:$B$701,P2424))</f>
        <v/>
      </c>
      <c r="E2424">
        <f>IF(OR(H2424="",P2424=""),"",INDEX('Students'!$C$2:$C$701,P2424))</f>
        <v/>
      </c>
      <c r="F2424" s="48">
        <f>IF(H2424="","",IF(ISNUMBER(O2424),O2424,J2424))</f>
        <v/>
      </c>
      <c r="G2424">
        <f>IF(H2424="","","OneCause")</f>
        <v/>
      </c>
      <c r="H2424">
        <f>IF(AND(I2424="",J2424="",K2424=""),"",IF(NOT(ISNUMBER(O2424)),"Bad amount",IF(O2424&lt;0,"Refund (not counted)",IF(O2424=0,"Zero amount",IF(NOT(ISNUMBER(N2424)),"Bad date",IF(P2424="","NAME NOT ON ROSTER",IF(L2424="","OK",IF(MATCH(L2424,$L$2:$L$3001,0)&lt;ROW()-1,"Duplicate (ignored)","OK"))))))))</f>
        <v/>
      </c>
      <c r="I2424">
        <f>IF(OC_Date=0,"",IF(INDEX('OneCause_Paste'!$A$2424:$AZ$2424,1,OC_Date)="","",INDEX('OneCause_Paste'!$A$2424:$AZ$2424,1,OC_Date)))</f>
        <v/>
      </c>
      <c r="J2424">
        <f>IF(OC_Amt=0,"",IF(INDEX('OneCause_Paste'!$A$2424:$AZ$2424,1,OC_Amt)="","",INDEX('OneCause_Paste'!$A$2424:$AZ$2424,1,OC_Amt)))</f>
        <v/>
      </c>
      <c r="K2424">
        <f>IF(OC_Name=0,"",IF(INDEX('OneCause_Paste'!$A$2424:$AZ$2424,1,OC_Name)="","",INDEX('OneCause_Paste'!$A$2424:$AZ$2424,1,OC_Name)))</f>
        <v/>
      </c>
      <c r="L2424">
        <f>IF(OC_Txn=0,"",IF(INDEX('OneCause_Paste'!$A$2424:$AZ$2424,1,OC_Txn)="","",INDEX('OneCause_Paste'!$A$2424:$AZ$2424,1,OC_Txn)))</f>
        <v/>
      </c>
      <c r="M2424">
        <f>IF(OC_Pay=0,"",IF(INDEX('OneCause_Paste'!$A$2424:$AZ$2424,1,OC_Pay)="","",INDEX('OneCause_Paste'!$A$2424:$AZ$2424,1,OC_Pay)))</f>
        <v/>
      </c>
      <c r="N2424">
        <f>IF(I2424="","",IF(ISNUMBER(I2424),INT(I2424),IFERROR(INT(DATEVALUE(I2424)),IFERROR(INT(VALUE(I2424)),"bad"))))</f>
        <v/>
      </c>
      <c r="O2424">
        <f>IF(J2424="","",IF(ISNUMBER(J2424),ROUND(J2424,2),IFERROR(ROUND(VALUE(SUBSTITUTE(SUBSTITUTE(SUBSTITUTE(J2424,"$",""),",","")," ","")),2),"bad")))</f>
        <v/>
      </c>
      <c r="P2424">
        <f>IF(TRIM(K2424)="","",IFERROR(MATCH(LOWER(TRIM(K2424)),'Students'!$AH$2:$AH$701,0),IFERROR(MATCH(LOWER(TRIM(K2424)),'Students'!$AF$2:$AF$701,0),IFERROR(MATCH(LOWER(TRIM(K2424)),'Students'!$AG$2:$AG$701,0),""))))</f>
        <v/>
      </c>
      <c r="R2424">
        <f>IF(P2424="","",INDEX('Students'!$AD$2:$AD$701,P2424))</f>
        <v/>
      </c>
      <c r="S2424">
        <f>IF(H2424="OK",O2424,0)</f>
        <v/>
      </c>
      <c r="T2424">
        <f>IF(H2424="OK",N2424,"")</f>
        <v/>
      </c>
      <c r="U2424">
        <f>IF(OC_Donor=0,"",IF(INDEX('OneCause_Paste'!$A$2424:$AZ$2424,1,OC_Donor)="","",INDEX('OneCause_Paste'!$A$2424:$AZ$2424,1,OC_Donor)))</f>
        <v/>
      </c>
    </row>
    <row r="2425">
      <c r="A2425" s="62">
        <f>IF(H2425="","",IF(ISNUMBER(N2425),N2425,I2425))</f>
        <v/>
      </c>
      <c r="B2425">
        <f>IF(H2425="","",U2425)</f>
        <v/>
      </c>
      <c r="C2425">
        <f>IF(H2425="","",IF(P2425="",K2425,INDEX('Students'!$A$2:$A$701,P2425)))</f>
        <v/>
      </c>
      <c r="D2425">
        <f>IF(OR(H2425="",P2425=""),"",INDEX('Students'!$B$2:$B$701,P2425))</f>
        <v/>
      </c>
      <c r="E2425">
        <f>IF(OR(H2425="",P2425=""),"",INDEX('Students'!$C$2:$C$701,P2425))</f>
        <v/>
      </c>
      <c r="F2425" s="48">
        <f>IF(H2425="","",IF(ISNUMBER(O2425),O2425,J2425))</f>
        <v/>
      </c>
      <c r="G2425">
        <f>IF(H2425="","","OneCause")</f>
        <v/>
      </c>
      <c r="H2425">
        <f>IF(AND(I2425="",J2425="",K2425=""),"",IF(NOT(ISNUMBER(O2425)),"Bad amount",IF(O2425&lt;0,"Refund (not counted)",IF(O2425=0,"Zero amount",IF(NOT(ISNUMBER(N2425)),"Bad date",IF(P2425="","NAME NOT ON ROSTER",IF(L2425="","OK",IF(MATCH(L2425,$L$2:$L$3001,0)&lt;ROW()-1,"Duplicate (ignored)","OK"))))))))</f>
        <v/>
      </c>
      <c r="I2425">
        <f>IF(OC_Date=0,"",IF(INDEX('OneCause_Paste'!$A$2425:$AZ$2425,1,OC_Date)="","",INDEX('OneCause_Paste'!$A$2425:$AZ$2425,1,OC_Date)))</f>
        <v/>
      </c>
      <c r="J2425">
        <f>IF(OC_Amt=0,"",IF(INDEX('OneCause_Paste'!$A$2425:$AZ$2425,1,OC_Amt)="","",INDEX('OneCause_Paste'!$A$2425:$AZ$2425,1,OC_Amt)))</f>
        <v/>
      </c>
      <c r="K2425">
        <f>IF(OC_Name=0,"",IF(INDEX('OneCause_Paste'!$A$2425:$AZ$2425,1,OC_Name)="","",INDEX('OneCause_Paste'!$A$2425:$AZ$2425,1,OC_Name)))</f>
        <v/>
      </c>
      <c r="L2425">
        <f>IF(OC_Txn=0,"",IF(INDEX('OneCause_Paste'!$A$2425:$AZ$2425,1,OC_Txn)="","",INDEX('OneCause_Paste'!$A$2425:$AZ$2425,1,OC_Txn)))</f>
        <v/>
      </c>
      <c r="M2425">
        <f>IF(OC_Pay=0,"",IF(INDEX('OneCause_Paste'!$A$2425:$AZ$2425,1,OC_Pay)="","",INDEX('OneCause_Paste'!$A$2425:$AZ$2425,1,OC_Pay)))</f>
        <v/>
      </c>
      <c r="N2425">
        <f>IF(I2425="","",IF(ISNUMBER(I2425),INT(I2425),IFERROR(INT(DATEVALUE(I2425)),IFERROR(INT(VALUE(I2425)),"bad"))))</f>
        <v/>
      </c>
      <c r="O2425">
        <f>IF(J2425="","",IF(ISNUMBER(J2425),ROUND(J2425,2),IFERROR(ROUND(VALUE(SUBSTITUTE(SUBSTITUTE(SUBSTITUTE(J2425,"$",""),",","")," ","")),2),"bad")))</f>
        <v/>
      </c>
      <c r="P2425">
        <f>IF(TRIM(K2425)="","",IFERROR(MATCH(LOWER(TRIM(K2425)),'Students'!$AH$2:$AH$701,0),IFERROR(MATCH(LOWER(TRIM(K2425)),'Students'!$AF$2:$AF$701,0),IFERROR(MATCH(LOWER(TRIM(K2425)),'Students'!$AG$2:$AG$701,0),""))))</f>
        <v/>
      </c>
      <c r="R2425">
        <f>IF(P2425="","",INDEX('Students'!$AD$2:$AD$701,P2425))</f>
        <v/>
      </c>
      <c r="S2425">
        <f>IF(H2425="OK",O2425,0)</f>
        <v/>
      </c>
      <c r="T2425">
        <f>IF(H2425="OK",N2425,"")</f>
        <v/>
      </c>
      <c r="U2425">
        <f>IF(OC_Donor=0,"",IF(INDEX('OneCause_Paste'!$A$2425:$AZ$2425,1,OC_Donor)="","",INDEX('OneCause_Paste'!$A$2425:$AZ$2425,1,OC_Donor)))</f>
        <v/>
      </c>
    </row>
    <row r="2426">
      <c r="A2426" s="62">
        <f>IF(H2426="","",IF(ISNUMBER(N2426),N2426,I2426))</f>
        <v/>
      </c>
      <c r="B2426">
        <f>IF(H2426="","",U2426)</f>
        <v/>
      </c>
      <c r="C2426">
        <f>IF(H2426="","",IF(P2426="",K2426,INDEX('Students'!$A$2:$A$701,P2426)))</f>
        <v/>
      </c>
      <c r="D2426">
        <f>IF(OR(H2426="",P2426=""),"",INDEX('Students'!$B$2:$B$701,P2426))</f>
        <v/>
      </c>
      <c r="E2426">
        <f>IF(OR(H2426="",P2426=""),"",INDEX('Students'!$C$2:$C$701,P2426))</f>
        <v/>
      </c>
      <c r="F2426" s="48">
        <f>IF(H2426="","",IF(ISNUMBER(O2426),O2426,J2426))</f>
        <v/>
      </c>
      <c r="G2426">
        <f>IF(H2426="","","OneCause")</f>
        <v/>
      </c>
      <c r="H2426">
        <f>IF(AND(I2426="",J2426="",K2426=""),"",IF(NOT(ISNUMBER(O2426)),"Bad amount",IF(O2426&lt;0,"Refund (not counted)",IF(O2426=0,"Zero amount",IF(NOT(ISNUMBER(N2426)),"Bad date",IF(P2426="","NAME NOT ON ROSTER",IF(L2426="","OK",IF(MATCH(L2426,$L$2:$L$3001,0)&lt;ROW()-1,"Duplicate (ignored)","OK"))))))))</f>
        <v/>
      </c>
      <c r="I2426">
        <f>IF(OC_Date=0,"",IF(INDEX('OneCause_Paste'!$A$2426:$AZ$2426,1,OC_Date)="","",INDEX('OneCause_Paste'!$A$2426:$AZ$2426,1,OC_Date)))</f>
        <v/>
      </c>
      <c r="J2426">
        <f>IF(OC_Amt=0,"",IF(INDEX('OneCause_Paste'!$A$2426:$AZ$2426,1,OC_Amt)="","",INDEX('OneCause_Paste'!$A$2426:$AZ$2426,1,OC_Amt)))</f>
        <v/>
      </c>
      <c r="K2426">
        <f>IF(OC_Name=0,"",IF(INDEX('OneCause_Paste'!$A$2426:$AZ$2426,1,OC_Name)="","",INDEX('OneCause_Paste'!$A$2426:$AZ$2426,1,OC_Name)))</f>
        <v/>
      </c>
      <c r="L2426">
        <f>IF(OC_Txn=0,"",IF(INDEX('OneCause_Paste'!$A$2426:$AZ$2426,1,OC_Txn)="","",INDEX('OneCause_Paste'!$A$2426:$AZ$2426,1,OC_Txn)))</f>
        <v/>
      </c>
      <c r="M2426">
        <f>IF(OC_Pay=0,"",IF(INDEX('OneCause_Paste'!$A$2426:$AZ$2426,1,OC_Pay)="","",INDEX('OneCause_Paste'!$A$2426:$AZ$2426,1,OC_Pay)))</f>
        <v/>
      </c>
      <c r="N2426">
        <f>IF(I2426="","",IF(ISNUMBER(I2426),INT(I2426),IFERROR(INT(DATEVALUE(I2426)),IFERROR(INT(VALUE(I2426)),"bad"))))</f>
        <v/>
      </c>
      <c r="O2426">
        <f>IF(J2426="","",IF(ISNUMBER(J2426),ROUND(J2426,2),IFERROR(ROUND(VALUE(SUBSTITUTE(SUBSTITUTE(SUBSTITUTE(J2426,"$",""),",","")," ","")),2),"bad")))</f>
        <v/>
      </c>
      <c r="P2426">
        <f>IF(TRIM(K2426)="","",IFERROR(MATCH(LOWER(TRIM(K2426)),'Students'!$AH$2:$AH$701,0),IFERROR(MATCH(LOWER(TRIM(K2426)),'Students'!$AF$2:$AF$701,0),IFERROR(MATCH(LOWER(TRIM(K2426)),'Students'!$AG$2:$AG$701,0),""))))</f>
        <v/>
      </c>
      <c r="R2426">
        <f>IF(P2426="","",INDEX('Students'!$AD$2:$AD$701,P2426))</f>
        <v/>
      </c>
      <c r="S2426">
        <f>IF(H2426="OK",O2426,0)</f>
        <v/>
      </c>
      <c r="T2426">
        <f>IF(H2426="OK",N2426,"")</f>
        <v/>
      </c>
      <c r="U2426">
        <f>IF(OC_Donor=0,"",IF(INDEX('OneCause_Paste'!$A$2426:$AZ$2426,1,OC_Donor)="","",INDEX('OneCause_Paste'!$A$2426:$AZ$2426,1,OC_Donor)))</f>
        <v/>
      </c>
    </row>
    <row r="2427">
      <c r="A2427" s="62">
        <f>IF(H2427="","",IF(ISNUMBER(N2427),N2427,I2427))</f>
        <v/>
      </c>
      <c r="B2427">
        <f>IF(H2427="","",U2427)</f>
        <v/>
      </c>
      <c r="C2427">
        <f>IF(H2427="","",IF(P2427="",K2427,INDEX('Students'!$A$2:$A$701,P2427)))</f>
        <v/>
      </c>
      <c r="D2427">
        <f>IF(OR(H2427="",P2427=""),"",INDEX('Students'!$B$2:$B$701,P2427))</f>
        <v/>
      </c>
      <c r="E2427">
        <f>IF(OR(H2427="",P2427=""),"",INDEX('Students'!$C$2:$C$701,P2427))</f>
        <v/>
      </c>
      <c r="F2427" s="48">
        <f>IF(H2427="","",IF(ISNUMBER(O2427),O2427,J2427))</f>
        <v/>
      </c>
      <c r="G2427">
        <f>IF(H2427="","","OneCause")</f>
        <v/>
      </c>
      <c r="H2427">
        <f>IF(AND(I2427="",J2427="",K2427=""),"",IF(NOT(ISNUMBER(O2427)),"Bad amount",IF(O2427&lt;0,"Refund (not counted)",IF(O2427=0,"Zero amount",IF(NOT(ISNUMBER(N2427)),"Bad date",IF(P2427="","NAME NOT ON ROSTER",IF(L2427="","OK",IF(MATCH(L2427,$L$2:$L$3001,0)&lt;ROW()-1,"Duplicate (ignored)","OK"))))))))</f>
        <v/>
      </c>
      <c r="I2427">
        <f>IF(OC_Date=0,"",IF(INDEX('OneCause_Paste'!$A$2427:$AZ$2427,1,OC_Date)="","",INDEX('OneCause_Paste'!$A$2427:$AZ$2427,1,OC_Date)))</f>
        <v/>
      </c>
      <c r="J2427">
        <f>IF(OC_Amt=0,"",IF(INDEX('OneCause_Paste'!$A$2427:$AZ$2427,1,OC_Amt)="","",INDEX('OneCause_Paste'!$A$2427:$AZ$2427,1,OC_Amt)))</f>
        <v/>
      </c>
      <c r="K2427">
        <f>IF(OC_Name=0,"",IF(INDEX('OneCause_Paste'!$A$2427:$AZ$2427,1,OC_Name)="","",INDEX('OneCause_Paste'!$A$2427:$AZ$2427,1,OC_Name)))</f>
        <v/>
      </c>
      <c r="L2427">
        <f>IF(OC_Txn=0,"",IF(INDEX('OneCause_Paste'!$A$2427:$AZ$2427,1,OC_Txn)="","",INDEX('OneCause_Paste'!$A$2427:$AZ$2427,1,OC_Txn)))</f>
        <v/>
      </c>
      <c r="M2427">
        <f>IF(OC_Pay=0,"",IF(INDEX('OneCause_Paste'!$A$2427:$AZ$2427,1,OC_Pay)="","",INDEX('OneCause_Paste'!$A$2427:$AZ$2427,1,OC_Pay)))</f>
        <v/>
      </c>
      <c r="N2427">
        <f>IF(I2427="","",IF(ISNUMBER(I2427),INT(I2427),IFERROR(INT(DATEVALUE(I2427)),IFERROR(INT(VALUE(I2427)),"bad"))))</f>
        <v/>
      </c>
      <c r="O2427">
        <f>IF(J2427="","",IF(ISNUMBER(J2427),ROUND(J2427,2),IFERROR(ROUND(VALUE(SUBSTITUTE(SUBSTITUTE(SUBSTITUTE(J2427,"$",""),",","")," ","")),2),"bad")))</f>
        <v/>
      </c>
      <c r="P2427">
        <f>IF(TRIM(K2427)="","",IFERROR(MATCH(LOWER(TRIM(K2427)),'Students'!$AH$2:$AH$701,0),IFERROR(MATCH(LOWER(TRIM(K2427)),'Students'!$AF$2:$AF$701,0),IFERROR(MATCH(LOWER(TRIM(K2427)),'Students'!$AG$2:$AG$701,0),""))))</f>
        <v/>
      </c>
      <c r="R2427">
        <f>IF(P2427="","",INDEX('Students'!$AD$2:$AD$701,P2427))</f>
        <v/>
      </c>
      <c r="S2427">
        <f>IF(H2427="OK",O2427,0)</f>
        <v/>
      </c>
      <c r="T2427">
        <f>IF(H2427="OK",N2427,"")</f>
        <v/>
      </c>
      <c r="U2427">
        <f>IF(OC_Donor=0,"",IF(INDEX('OneCause_Paste'!$A$2427:$AZ$2427,1,OC_Donor)="","",INDEX('OneCause_Paste'!$A$2427:$AZ$2427,1,OC_Donor)))</f>
        <v/>
      </c>
    </row>
    <row r="2428">
      <c r="A2428" s="62">
        <f>IF(H2428="","",IF(ISNUMBER(N2428),N2428,I2428))</f>
        <v/>
      </c>
      <c r="B2428">
        <f>IF(H2428="","",U2428)</f>
        <v/>
      </c>
      <c r="C2428">
        <f>IF(H2428="","",IF(P2428="",K2428,INDEX('Students'!$A$2:$A$701,P2428)))</f>
        <v/>
      </c>
      <c r="D2428">
        <f>IF(OR(H2428="",P2428=""),"",INDEX('Students'!$B$2:$B$701,P2428))</f>
        <v/>
      </c>
      <c r="E2428">
        <f>IF(OR(H2428="",P2428=""),"",INDEX('Students'!$C$2:$C$701,P2428))</f>
        <v/>
      </c>
      <c r="F2428" s="48">
        <f>IF(H2428="","",IF(ISNUMBER(O2428),O2428,J2428))</f>
        <v/>
      </c>
      <c r="G2428">
        <f>IF(H2428="","","OneCause")</f>
        <v/>
      </c>
      <c r="H2428">
        <f>IF(AND(I2428="",J2428="",K2428=""),"",IF(NOT(ISNUMBER(O2428)),"Bad amount",IF(O2428&lt;0,"Refund (not counted)",IF(O2428=0,"Zero amount",IF(NOT(ISNUMBER(N2428)),"Bad date",IF(P2428="","NAME NOT ON ROSTER",IF(L2428="","OK",IF(MATCH(L2428,$L$2:$L$3001,0)&lt;ROW()-1,"Duplicate (ignored)","OK"))))))))</f>
        <v/>
      </c>
      <c r="I2428">
        <f>IF(OC_Date=0,"",IF(INDEX('OneCause_Paste'!$A$2428:$AZ$2428,1,OC_Date)="","",INDEX('OneCause_Paste'!$A$2428:$AZ$2428,1,OC_Date)))</f>
        <v/>
      </c>
      <c r="J2428">
        <f>IF(OC_Amt=0,"",IF(INDEX('OneCause_Paste'!$A$2428:$AZ$2428,1,OC_Amt)="","",INDEX('OneCause_Paste'!$A$2428:$AZ$2428,1,OC_Amt)))</f>
        <v/>
      </c>
      <c r="K2428">
        <f>IF(OC_Name=0,"",IF(INDEX('OneCause_Paste'!$A$2428:$AZ$2428,1,OC_Name)="","",INDEX('OneCause_Paste'!$A$2428:$AZ$2428,1,OC_Name)))</f>
        <v/>
      </c>
      <c r="L2428">
        <f>IF(OC_Txn=0,"",IF(INDEX('OneCause_Paste'!$A$2428:$AZ$2428,1,OC_Txn)="","",INDEX('OneCause_Paste'!$A$2428:$AZ$2428,1,OC_Txn)))</f>
        <v/>
      </c>
      <c r="M2428">
        <f>IF(OC_Pay=0,"",IF(INDEX('OneCause_Paste'!$A$2428:$AZ$2428,1,OC_Pay)="","",INDEX('OneCause_Paste'!$A$2428:$AZ$2428,1,OC_Pay)))</f>
        <v/>
      </c>
      <c r="N2428">
        <f>IF(I2428="","",IF(ISNUMBER(I2428),INT(I2428),IFERROR(INT(DATEVALUE(I2428)),IFERROR(INT(VALUE(I2428)),"bad"))))</f>
        <v/>
      </c>
      <c r="O2428">
        <f>IF(J2428="","",IF(ISNUMBER(J2428),ROUND(J2428,2),IFERROR(ROUND(VALUE(SUBSTITUTE(SUBSTITUTE(SUBSTITUTE(J2428,"$",""),",","")," ","")),2),"bad")))</f>
        <v/>
      </c>
      <c r="P2428">
        <f>IF(TRIM(K2428)="","",IFERROR(MATCH(LOWER(TRIM(K2428)),'Students'!$AH$2:$AH$701,0),IFERROR(MATCH(LOWER(TRIM(K2428)),'Students'!$AF$2:$AF$701,0),IFERROR(MATCH(LOWER(TRIM(K2428)),'Students'!$AG$2:$AG$701,0),""))))</f>
        <v/>
      </c>
      <c r="R2428">
        <f>IF(P2428="","",INDEX('Students'!$AD$2:$AD$701,P2428))</f>
        <v/>
      </c>
      <c r="S2428">
        <f>IF(H2428="OK",O2428,0)</f>
        <v/>
      </c>
      <c r="T2428">
        <f>IF(H2428="OK",N2428,"")</f>
        <v/>
      </c>
      <c r="U2428">
        <f>IF(OC_Donor=0,"",IF(INDEX('OneCause_Paste'!$A$2428:$AZ$2428,1,OC_Donor)="","",INDEX('OneCause_Paste'!$A$2428:$AZ$2428,1,OC_Donor)))</f>
        <v/>
      </c>
    </row>
    <row r="2429">
      <c r="A2429" s="62">
        <f>IF(H2429="","",IF(ISNUMBER(N2429),N2429,I2429))</f>
        <v/>
      </c>
      <c r="B2429">
        <f>IF(H2429="","",U2429)</f>
        <v/>
      </c>
      <c r="C2429">
        <f>IF(H2429="","",IF(P2429="",K2429,INDEX('Students'!$A$2:$A$701,P2429)))</f>
        <v/>
      </c>
      <c r="D2429">
        <f>IF(OR(H2429="",P2429=""),"",INDEX('Students'!$B$2:$B$701,P2429))</f>
        <v/>
      </c>
      <c r="E2429">
        <f>IF(OR(H2429="",P2429=""),"",INDEX('Students'!$C$2:$C$701,P2429))</f>
        <v/>
      </c>
      <c r="F2429" s="48">
        <f>IF(H2429="","",IF(ISNUMBER(O2429),O2429,J2429))</f>
        <v/>
      </c>
      <c r="G2429">
        <f>IF(H2429="","","OneCause")</f>
        <v/>
      </c>
      <c r="H2429">
        <f>IF(AND(I2429="",J2429="",K2429=""),"",IF(NOT(ISNUMBER(O2429)),"Bad amount",IF(O2429&lt;0,"Refund (not counted)",IF(O2429=0,"Zero amount",IF(NOT(ISNUMBER(N2429)),"Bad date",IF(P2429="","NAME NOT ON ROSTER",IF(L2429="","OK",IF(MATCH(L2429,$L$2:$L$3001,0)&lt;ROW()-1,"Duplicate (ignored)","OK"))))))))</f>
        <v/>
      </c>
      <c r="I2429">
        <f>IF(OC_Date=0,"",IF(INDEX('OneCause_Paste'!$A$2429:$AZ$2429,1,OC_Date)="","",INDEX('OneCause_Paste'!$A$2429:$AZ$2429,1,OC_Date)))</f>
        <v/>
      </c>
      <c r="J2429">
        <f>IF(OC_Amt=0,"",IF(INDEX('OneCause_Paste'!$A$2429:$AZ$2429,1,OC_Amt)="","",INDEX('OneCause_Paste'!$A$2429:$AZ$2429,1,OC_Amt)))</f>
        <v/>
      </c>
      <c r="K2429">
        <f>IF(OC_Name=0,"",IF(INDEX('OneCause_Paste'!$A$2429:$AZ$2429,1,OC_Name)="","",INDEX('OneCause_Paste'!$A$2429:$AZ$2429,1,OC_Name)))</f>
        <v/>
      </c>
      <c r="L2429">
        <f>IF(OC_Txn=0,"",IF(INDEX('OneCause_Paste'!$A$2429:$AZ$2429,1,OC_Txn)="","",INDEX('OneCause_Paste'!$A$2429:$AZ$2429,1,OC_Txn)))</f>
        <v/>
      </c>
      <c r="M2429">
        <f>IF(OC_Pay=0,"",IF(INDEX('OneCause_Paste'!$A$2429:$AZ$2429,1,OC_Pay)="","",INDEX('OneCause_Paste'!$A$2429:$AZ$2429,1,OC_Pay)))</f>
        <v/>
      </c>
      <c r="N2429">
        <f>IF(I2429="","",IF(ISNUMBER(I2429),INT(I2429),IFERROR(INT(DATEVALUE(I2429)),IFERROR(INT(VALUE(I2429)),"bad"))))</f>
        <v/>
      </c>
      <c r="O2429">
        <f>IF(J2429="","",IF(ISNUMBER(J2429),ROUND(J2429,2),IFERROR(ROUND(VALUE(SUBSTITUTE(SUBSTITUTE(SUBSTITUTE(J2429,"$",""),",","")," ","")),2),"bad")))</f>
        <v/>
      </c>
      <c r="P2429">
        <f>IF(TRIM(K2429)="","",IFERROR(MATCH(LOWER(TRIM(K2429)),'Students'!$AH$2:$AH$701,0),IFERROR(MATCH(LOWER(TRIM(K2429)),'Students'!$AF$2:$AF$701,0),IFERROR(MATCH(LOWER(TRIM(K2429)),'Students'!$AG$2:$AG$701,0),""))))</f>
        <v/>
      </c>
      <c r="R2429">
        <f>IF(P2429="","",INDEX('Students'!$AD$2:$AD$701,P2429))</f>
        <v/>
      </c>
      <c r="S2429">
        <f>IF(H2429="OK",O2429,0)</f>
        <v/>
      </c>
      <c r="T2429">
        <f>IF(H2429="OK",N2429,"")</f>
        <v/>
      </c>
      <c r="U2429">
        <f>IF(OC_Donor=0,"",IF(INDEX('OneCause_Paste'!$A$2429:$AZ$2429,1,OC_Donor)="","",INDEX('OneCause_Paste'!$A$2429:$AZ$2429,1,OC_Donor)))</f>
        <v/>
      </c>
    </row>
    <row r="2430">
      <c r="A2430" s="62">
        <f>IF(H2430="","",IF(ISNUMBER(N2430),N2430,I2430))</f>
        <v/>
      </c>
      <c r="B2430">
        <f>IF(H2430="","",U2430)</f>
        <v/>
      </c>
      <c r="C2430">
        <f>IF(H2430="","",IF(P2430="",K2430,INDEX('Students'!$A$2:$A$701,P2430)))</f>
        <v/>
      </c>
      <c r="D2430">
        <f>IF(OR(H2430="",P2430=""),"",INDEX('Students'!$B$2:$B$701,P2430))</f>
        <v/>
      </c>
      <c r="E2430">
        <f>IF(OR(H2430="",P2430=""),"",INDEX('Students'!$C$2:$C$701,P2430))</f>
        <v/>
      </c>
      <c r="F2430" s="48">
        <f>IF(H2430="","",IF(ISNUMBER(O2430),O2430,J2430))</f>
        <v/>
      </c>
      <c r="G2430">
        <f>IF(H2430="","","OneCause")</f>
        <v/>
      </c>
      <c r="H2430">
        <f>IF(AND(I2430="",J2430="",K2430=""),"",IF(NOT(ISNUMBER(O2430)),"Bad amount",IF(O2430&lt;0,"Refund (not counted)",IF(O2430=0,"Zero amount",IF(NOT(ISNUMBER(N2430)),"Bad date",IF(P2430="","NAME NOT ON ROSTER",IF(L2430="","OK",IF(MATCH(L2430,$L$2:$L$3001,0)&lt;ROW()-1,"Duplicate (ignored)","OK"))))))))</f>
        <v/>
      </c>
      <c r="I2430">
        <f>IF(OC_Date=0,"",IF(INDEX('OneCause_Paste'!$A$2430:$AZ$2430,1,OC_Date)="","",INDEX('OneCause_Paste'!$A$2430:$AZ$2430,1,OC_Date)))</f>
        <v/>
      </c>
      <c r="J2430">
        <f>IF(OC_Amt=0,"",IF(INDEX('OneCause_Paste'!$A$2430:$AZ$2430,1,OC_Amt)="","",INDEX('OneCause_Paste'!$A$2430:$AZ$2430,1,OC_Amt)))</f>
        <v/>
      </c>
      <c r="K2430">
        <f>IF(OC_Name=0,"",IF(INDEX('OneCause_Paste'!$A$2430:$AZ$2430,1,OC_Name)="","",INDEX('OneCause_Paste'!$A$2430:$AZ$2430,1,OC_Name)))</f>
        <v/>
      </c>
      <c r="L2430">
        <f>IF(OC_Txn=0,"",IF(INDEX('OneCause_Paste'!$A$2430:$AZ$2430,1,OC_Txn)="","",INDEX('OneCause_Paste'!$A$2430:$AZ$2430,1,OC_Txn)))</f>
        <v/>
      </c>
      <c r="M2430">
        <f>IF(OC_Pay=0,"",IF(INDEX('OneCause_Paste'!$A$2430:$AZ$2430,1,OC_Pay)="","",INDEX('OneCause_Paste'!$A$2430:$AZ$2430,1,OC_Pay)))</f>
        <v/>
      </c>
      <c r="N2430">
        <f>IF(I2430="","",IF(ISNUMBER(I2430),INT(I2430),IFERROR(INT(DATEVALUE(I2430)),IFERROR(INT(VALUE(I2430)),"bad"))))</f>
        <v/>
      </c>
      <c r="O2430">
        <f>IF(J2430="","",IF(ISNUMBER(J2430),ROUND(J2430,2),IFERROR(ROUND(VALUE(SUBSTITUTE(SUBSTITUTE(SUBSTITUTE(J2430,"$",""),",","")," ","")),2),"bad")))</f>
        <v/>
      </c>
      <c r="P2430">
        <f>IF(TRIM(K2430)="","",IFERROR(MATCH(LOWER(TRIM(K2430)),'Students'!$AH$2:$AH$701,0),IFERROR(MATCH(LOWER(TRIM(K2430)),'Students'!$AF$2:$AF$701,0),IFERROR(MATCH(LOWER(TRIM(K2430)),'Students'!$AG$2:$AG$701,0),""))))</f>
        <v/>
      </c>
      <c r="R2430">
        <f>IF(P2430="","",INDEX('Students'!$AD$2:$AD$701,P2430))</f>
        <v/>
      </c>
      <c r="S2430">
        <f>IF(H2430="OK",O2430,0)</f>
        <v/>
      </c>
      <c r="T2430">
        <f>IF(H2430="OK",N2430,"")</f>
        <v/>
      </c>
      <c r="U2430">
        <f>IF(OC_Donor=0,"",IF(INDEX('OneCause_Paste'!$A$2430:$AZ$2430,1,OC_Donor)="","",INDEX('OneCause_Paste'!$A$2430:$AZ$2430,1,OC_Donor)))</f>
        <v/>
      </c>
    </row>
    <row r="2431">
      <c r="A2431" s="62">
        <f>IF(H2431="","",IF(ISNUMBER(N2431),N2431,I2431))</f>
        <v/>
      </c>
      <c r="B2431">
        <f>IF(H2431="","",U2431)</f>
        <v/>
      </c>
      <c r="C2431">
        <f>IF(H2431="","",IF(P2431="",K2431,INDEX('Students'!$A$2:$A$701,P2431)))</f>
        <v/>
      </c>
      <c r="D2431">
        <f>IF(OR(H2431="",P2431=""),"",INDEX('Students'!$B$2:$B$701,P2431))</f>
        <v/>
      </c>
      <c r="E2431">
        <f>IF(OR(H2431="",P2431=""),"",INDEX('Students'!$C$2:$C$701,P2431))</f>
        <v/>
      </c>
      <c r="F2431" s="48">
        <f>IF(H2431="","",IF(ISNUMBER(O2431),O2431,J2431))</f>
        <v/>
      </c>
      <c r="G2431">
        <f>IF(H2431="","","OneCause")</f>
        <v/>
      </c>
      <c r="H2431">
        <f>IF(AND(I2431="",J2431="",K2431=""),"",IF(NOT(ISNUMBER(O2431)),"Bad amount",IF(O2431&lt;0,"Refund (not counted)",IF(O2431=0,"Zero amount",IF(NOT(ISNUMBER(N2431)),"Bad date",IF(P2431="","NAME NOT ON ROSTER",IF(L2431="","OK",IF(MATCH(L2431,$L$2:$L$3001,0)&lt;ROW()-1,"Duplicate (ignored)","OK"))))))))</f>
        <v/>
      </c>
      <c r="I2431">
        <f>IF(OC_Date=0,"",IF(INDEX('OneCause_Paste'!$A$2431:$AZ$2431,1,OC_Date)="","",INDEX('OneCause_Paste'!$A$2431:$AZ$2431,1,OC_Date)))</f>
        <v/>
      </c>
      <c r="J2431">
        <f>IF(OC_Amt=0,"",IF(INDEX('OneCause_Paste'!$A$2431:$AZ$2431,1,OC_Amt)="","",INDEX('OneCause_Paste'!$A$2431:$AZ$2431,1,OC_Amt)))</f>
        <v/>
      </c>
      <c r="K2431">
        <f>IF(OC_Name=0,"",IF(INDEX('OneCause_Paste'!$A$2431:$AZ$2431,1,OC_Name)="","",INDEX('OneCause_Paste'!$A$2431:$AZ$2431,1,OC_Name)))</f>
        <v/>
      </c>
      <c r="L2431">
        <f>IF(OC_Txn=0,"",IF(INDEX('OneCause_Paste'!$A$2431:$AZ$2431,1,OC_Txn)="","",INDEX('OneCause_Paste'!$A$2431:$AZ$2431,1,OC_Txn)))</f>
        <v/>
      </c>
      <c r="M2431">
        <f>IF(OC_Pay=0,"",IF(INDEX('OneCause_Paste'!$A$2431:$AZ$2431,1,OC_Pay)="","",INDEX('OneCause_Paste'!$A$2431:$AZ$2431,1,OC_Pay)))</f>
        <v/>
      </c>
      <c r="N2431">
        <f>IF(I2431="","",IF(ISNUMBER(I2431),INT(I2431),IFERROR(INT(DATEVALUE(I2431)),IFERROR(INT(VALUE(I2431)),"bad"))))</f>
        <v/>
      </c>
      <c r="O2431">
        <f>IF(J2431="","",IF(ISNUMBER(J2431),ROUND(J2431,2),IFERROR(ROUND(VALUE(SUBSTITUTE(SUBSTITUTE(SUBSTITUTE(J2431,"$",""),",","")," ","")),2),"bad")))</f>
        <v/>
      </c>
      <c r="P2431">
        <f>IF(TRIM(K2431)="","",IFERROR(MATCH(LOWER(TRIM(K2431)),'Students'!$AH$2:$AH$701,0),IFERROR(MATCH(LOWER(TRIM(K2431)),'Students'!$AF$2:$AF$701,0),IFERROR(MATCH(LOWER(TRIM(K2431)),'Students'!$AG$2:$AG$701,0),""))))</f>
        <v/>
      </c>
      <c r="R2431">
        <f>IF(P2431="","",INDEX('Students'!$AD$2:$AD$701,P2431))</f>
        <v/>
      </c>
      <c r="S2431">
        <f>IF(H2431="OK",O2431,0)</f>
        <v/>
      </c>
      <c r="T2431">
        <f>IF(H2431="OK",N2431,"")</f>
        <v/>
      </c>
      <c r="U2431">
        <f>IF(OC_Donor=0,"",IF(INDEX('OneCause_Paste'!$A$2431:$AZ$2431,1,OC_Donor)="","",INDEX('OneCause_Paste'!$A$2431:$AZ$2431,1,OC_Donor)))</f>
        <v/>
      </c>
    </row>
    <row r="2432">
      <c r="A2432" s="62">
        <f>IF(H2432="","",IF(ISNUMBER(N2432),N2432,I2432))</f>
        <v/>
      </c>
      <c r="B2432">
        <f>IF(H2432="","",U2432)</f>
        <v/>
      </c>
      <c r="C2432">
        <f>IF(H2432="","",IF(P2432="",K2432,INDEX('Students'!$A$2:$A$701,P2432)))</f>
        <v/>
      </c>
      <c r="D2432">
        <f>IF(OR(H2432="",P2432=""),"",INDEX('Students'!$B$2:$B$701,P2432))</f>
        <v/>
      </c>
      <c r="E2432">
        <f>IF(OR(H2432="",P2432=""),"",INDEX('Students'!$C$2:$C$701,P2432))</f>
        <v/>
      </c>
      <c r="F2432" s="48">
        <f>IF(H2432="","",IF(ISNUMBER(O2432),O2432,J2432))</f>
        <v/>
      </c>
      <c r="G2432">
        <f>IF(H2432="","","OneCause")</f>
        <v/>
      </c>
      <c r="H2432">
        <f>IF(AND(I2432="",J2432="",K2432=""),"",IF(NOT(ISNUMBER(O2432)),"Bad amount",IF(O2432&lt;0,"Refund (not counted)",IF(O2432=0,"Zero amount",IF(NOT(ISNUMBER(N2432)),"Bad date",IF(P2432="","NAME NOT ON ROSTER",IF(L2432="","OK",IF(MATCH(L2432,$L$2:$L$3001,0)&lt;ROW()-1,"Duplicate (ignored)","OK"))))))))</f>
        <v/>
      </c>
      <c r="I2432">
        <f>IF(OC_Date=0,"",IF(INDEX('OneCause_Paste'!$A$2432:$AZ$2432,1,OC_Date)="","",INDEX('OneCause_Paste'!$A$2432:$AZ$2432,1,OC_Date)))</f>
        <v/>
      </c>
      <c r="J2432">
        <f>IF(OC_Amt=0,"",IF(INDEX('OneCause_Paste'!$A$2432:$AZ$2432,1,OC_Amt)="","",INDEX('OneCause_Paste'!$A$2432:$AZ$2432,1,OC_Amt)))</f>
        <v/>
      </c>
      <c r="K2432">
        <f>IF(OC_Name=0,"",IF(INDEX('OneCause_Paste'!$A$2432:$AZ$2432,1,OC_Name)="","",INDEX('OneCause_Paste'!$A$2432:$AZ$2432,1,OC_Name)))</f>
        <v/>
      </c>
      <c r="L2432">
        <f>IF(OC_Txn=0,"",IF(INDEX('OneCause_Paste'!$A$2432:$AZ$2432,1,OC_Txn)="","",INDEX('OneCause_Paste'!$A$2432:$AZ$2432,1,OC_Txn)))</f>
        <v/>
      </c>
      <c r="M2432">
        <f>IF(OC_Pay=0,"",IF(INDEX('OneCause_Paste'!$A$2432:$AZ$2432,1,OC_Pay)="","",INDEX('OneCause_Paste'!$A$2432:$AZ$2432,1,OC_Pay)))</f>
        <v/>
      </c>
      <c r="N2432">
        <f>IF(I2432="","",IF(ISNUMBER(I2432),INT(I2432),IFERROR(INT(DATEVALUE(I2432)),IFERROR(INT(VALUE(I2432)),"bad"))))</f>
        <v/>
      </c>
      <c r="O2432">
        <f>IF(J2432="","",IF(ISNUMBER(J2432),ROUND(J2432,2),IFERROR(ROUND(VALUE(SUBSTITUTE(SUBSTITUTE(SUBSTITUTE(J2432,"$",""),",","")," ","")),2),"bad")))</f>
        <v/>
      </c>
      <c r="P2432">
        <f>IF(TRIM(K2432)="","",IFERROR(MATCH(LOWER(TRIM(K2432)),'Students'!$AH$2:$AH$701,0),IFERROR(MATCH(LOWER(TRIM(K2432)),'Students'!$AF$2:$AF$701,0),IFERROR(MATCH(LOWER(TRIM(K2432)),'Students'!$AG$2:$AG$701,0),""))))</f>
        <v/>
      </c>
      <c r="R2432">
        <f>IF(P2432="","",INDEX('Students'!$AD$2:$AD$701,P2432))</f>
        <v/>
      </c>
      <c r="S2432">
        <f>IF(H2432="OK",O2432,0)</f>
        <v/>
      </c>
      <c r="T2432">
        <f>IF(H2432="OK",N2432,"")</f>
        <v/>
      </c>
      <c r="U2432">
        <f>IF(OC_Donor=0,"",IF(INDEX('OneCause_Paste'!$A$2432:$AZ$2432,1,OC_Donor)="","",INDEX('OneCause_Paste'!$A$2432:$AZ$2432,1,OC_Donor)))</f>
        <v/>
      </c>
    </row>
    <row r="2433">
      <c r="A2433" s="62">
        <f>IF(H2433="","",IF(ISNUMBER(N2433),N2433,I2433))</f>
        <v/>
      </c>
      <c r="B2433">
        <f>IF(H2433="","",U2433)</f>
        <v/>
      </c>
      <c r="C2433">
        <f>IF(H2433="","",IF(P2433="",K2433,INDEX('Students'!$A$2:$A$701,P2433)))</f>
        <v/>
      </c>
      <c r="D2433">
        <f>IF(OR(H2433="",P2433=""),"",INDEX('Students'!$B$2:$B$701,P2433))</f>
        <v/>
      </c>
      <c r="E2433">
        <f>IF(OR(H2433="",P2433=""),"",INDEX('Students'!$C$2:$C$701,P2433))</f>
        <v/>
      </c>
      <c r="F2433" s="48">
        <f>IF(H2433="","",IF(ISNUMBER(O2433),O2433,J2433))</f>
        <v/>
      </c>
      <c r="G2433">
        <f>IF(H2433="","","OneCause")</f>
        <v/>
      </c>
      <c r="H2433">
        <f>IF(AND(I2433="",J2433="",K2433=""),"",IF(NOT(ISNUMBER(O2433)),"Bad amount",IF(O2433&lt;0,"Refund (not counted)",IF(O2433=0,"Zero amount",IF(NOT(ISNUMBER(N2433)),"Bad date",IF(P2433="","NAME NOT ON ROSTER",IF(L2433="","OK",IF(MATCH(L2433,$L$2:$L$3001,0)&lt;ROW()-1,"Duplicate (ignored)","OK"))))))))</f>
        <v/>
      </c>
      <c r="I2433">
        <f>IF(OC_Date=0,"",IF(INDEX('OneCause_Paste'!$A$2433:$AZ$2433,1,OC_Date)="","",INDEX('OneCause_Paste'!$A$2433:$AZ$2433,1,OC_Date)))</f>
        <v/>
      </c>
      <c r="J2433">
        <f>IF(OC_Amt=0,"",IF(INDEX('OneCause_Paste'!$A$2433:$AZ$2433,1,OC_Amt)="","",INDEX('OneCause_Paste'!$A$2433:$AZ$2433,1,OC_Amt)))</f>
        <v/>
      </c>
      <c r="K2433">
        <f>IF(OC_Name=0,"",IF(INDEX('OneCause_Paste'!$A$2433:$AZ$2433,1,OC_Name)="","",INDEX('OneCause_Paste'!$A$2433:$AZ$2433,1,OC_Name)))</f>
        <v/>
      </c>
      <c r="L2433">
        <f>IF(OC_Txn=0,"",IF(INDEX('OneCause_Paste'!$A$2433:$AZ$2433,1,OC_Txn)="","",INDEX('OneCause_Paste'!$A$2433:$AZ$2433,1,OC_Txn)))</f>
        <v/>
      </c>
      <c r="M2433">
        <f>IF(OC_Pay=0,"",IF(INDEX('OneCause_Paste'!$A$2433:$AZ$2433,1,OC_Pay)="","",INDEX('OneCause_Paste'!$A$2433:$AZ$2433,1,OC_Pay)))</f>
        <v/>
      </c>
      <c r="N2433">
        <f>IF(I2433="","",IF(ISNUMBER(I2433),INT(I2433),IFERROR(INT(DATEVALUE(I2433)),IFERROR(INT(VALUE(I2433)),"bad"))))</f>
        <v/>
      </c>
      <c r="O2433">
        <f>IF(J2433="","",IF(ISNUMBER(J2433),ROUND(J2433,2),IFERROR(ROUND(VALUE(SUBSTITUTE(SUBSTITUTE(SUBSTITUTE(J2433,"$",""),",","")," ","")),2),"bad")))</f>
        <v/>
      </c>
      <c r="P2433">
        <f>IF(TRIM(K2433)="","",IFERROR(MATCH(LOWER(TRIM(K2433)),'Students'!$AH$2:$AH$701,0),IFERROR(MATCH(LOWER(TRIM(K2433)),'Students'!$AF$2:$AF$701,0),IFERROR(MATCH(LOWER(TRIM(K2433)),'Students'!$AG$2:$AG$701,0),""))))</f>
        <v/>
      </c>
      <c r="R2433">
        <f>IF(P2433="","",INDEX('Students'!$AD$2:$AD$701,P2433))</f>
        <v/>
      </c>
      <c r="S2433">
        <f>IF(H2433="OK",O2433,0)</f>
        <v/>
      </c>
      <c r="T2433">
        <f>IF(H2433="OK",N2433,"")</f>
        <v/>
      </c>
      <c r="U2433">
        <f>IF(OC_Donor=0,"",IF(INDEX('OneCause_Paste'!$A$2433:$AZ$2433,1,OC_Donor)="","",INDEX('OneCause_Paste'!$A$2433:$AZ$2433,1,OC_Donor)))</f>
        <v/>
      </c>
    </row>
    <row r="2434">
      <c r="A2434" s="62">
        <f>IF(H2434="","",IF(ISNUMBER(N2434),N2434,I2434))</f>
        <v/>
      </c>
      <c r="B2434">
        <f>IF(H2434="","",U2434)</f>
        <v/>
      </c>
      <c r="C2434">
        <f>IF(H2434="","",IF(P2434="",K2434,INDEX('Students'!$A$2:$A$701,P2434)))</f>
        <v/>
      </c>
      <c r="D2434">
        <f>IF(OR(H2434="",P2434=""),"",INDEX('Students'!$B$2:$B$701,P2434))</f>
        <v/>
      </c>
      <c r="E2434">
        <f>IF(OR(H2434="",P2434=""),"",INDEX('Students'!$C$2:$C$701,P2434))</f>
        <v/>
      </c>
      <c r="F2434" s="48">
        <f>IF(H2434="","",IF(ISNUMBER(O2434),O2434,J2434))</f>
        <v/>
      </c>
      <c r="G2434">
        <f>IF(H2434="","","OneCause")</f>
        <v/>
      </c>
      <c r="H2434">
        <f>IF(AND(I2434="",J2434="",K2434=""),"",IF(NOT(ISNUMBER(O2434)),"Bad amount",IF(O2434&lt;0,"Refund (not counted)",IF(O2434=0,"Zero amount",IF(NOT(ISNUMBER(N2434)),"Bad date",IF(P2434="","NAME NOT ON ROSTER",IF(L2434="","OK",IF(MATCH(L2434,$L$2:$L$3001,0)&lt;ROW()-1,"Duplicate (ignored)","OK"))))))))</f>
        <v/>
      </c>
      <c r="I2434">
        <f>IF(OC_Date=0,"",IF(INDEX('OneCause_Paste'!$A$2434:$AZ$2434,1,OC_Date)="","",INDEX('OneCause_Paste'!$A$2434:$AZ$2434,1,OC_Date)))</f>
        <v/>
      </c>
      <c r="J2434">
        <f>IF(OC_Amt=0,"",IF(INDEX('OneCause_Paste'!$A$2434:$AZ$2434,1,OC_Amt)="","",INDEX('OneCause_Paste'!$A$2434:$AZ$2434,1,OC_Amt)))</f>
        <v/>
      </c>
      <c r="K2434">
        <f>IF(OC_Name=0,"",IF(INDEX('OneCause_Paste'!$A$2434:$AZ$2434,1,OC_Name)="","",INDEX('OneCause_Paste'!$A$2434:$AZ$2434,1,OC_Name)))</f>
        <v/>
      </c>
      <c r="L2434">
        <f>IF(OC_Txn=0,"",IF(INDEX('OneCause_Paste'!$A$2434:$AZ$2434,1,OC_Txn)="","",INDEX('OneCause_Paste'!$A$2434:$AZ$2434,1,OC_Txn)))</f>
        <v/>
      </c>
      <c r="M2434">
        <f>IF(OC_Pay=0,"",IF(INDEX('OneCause_Paste'!$A$2434:$AZ$2434,1,OC_Pay)="","",INDEX('OneCause_Paste'!$A$2434:$AZ$2434,1,OC_Pay)))</f>
        <v/>
      </c>
      <c r="N2434">
        <f>IF(I2434="","",IF(ISNUMBER(I2434),INT(I2434),IFERROR(INT(DATEVALUE(I2434)),IFERROR(INT(VALUE(I2434)),"bad"))))</f>
        <v/>
      </c>
      <c r="O2434">
        <f>IF(J2434="","",IF(ISNUMBER(J2434),ROUND(J2434,2),IFERROR(ROUND(VALUE(SUBSTITUTE(SUBSTITUTE(SUBSTITUTE(J2434,"$",""),",","")," ","")),2),"bad")))</f>
        <v/>
      </c>
      <c r="P2434">
        <f>IF(TRIM(K2434)="","",IFERROR(MATCH(LOWER(TRIM(K2434)),'Students'!$AH$2:$AH$701,0),IFERROR(MATCH(LOWER(TRIM(K2434)),'Students'!$AF$2:$AF$701,0),IFERROR(MATCH(LOWER(TRIM(K2434)),'Students'!$AG$2:$AG$701,0),""))))</f>
        <v/>
      </c>
      <c r="R2434">
        <f>IF(P2434="","",INDEX('Students'!$AD$2:$AD$701,P2434))</f>
        <v/>
      </c>
      <c r="S2434">
        <f>IF(H2434="OK",O2434,0)</f>
        <v/>
      </c>
      <c r="T2434">
        <f>IF(H2434="OK",N2434,"")</f>
        <v/>
      </c>
      <c r="U2434">
        <f>IF(OC_Donor=0,"",IF(INDEX('OneCause_Paste'!$A$2434:$AZ$2434,1,OC_Donor)="","",INDEX('OneCause_Paste'!$A$2434:$AZ$2434,1,OC_Donor)))</f>
        <v/>
      </c>
    </row>
    <row r="2435">
      <c r="A2435" s="62">
        <f>IF(H2435="","",IF(ISNUMBER(N2435),N2435,I2435))</f>
        <v/>
      </c>
      <c r="B2435">
        <f>IF(H2435="","",U2435)</f>
        <v/>
      </c>
      <c r="C2435">
        <f>IF(H2435="","",IF(P2435="",K2435,INDEX('Students'!$A$2:$A$701,P2435)))</f>
        <v/>
      </c>
      <c r="D2435">
        <f>IF(OR(H2435="",P2435=""),"",INDEX('Students'!$B$2:$B$701,P2435))</f>
        <v/>
      </c>
      <c r="E2435">
        <f>IF(OR(H2435="",P2435=""),"",INDEX('Students'!$C$2:$C$701,P2435))</f>
        <v/>
      </c>
      <c r="F2435" s="48">
        <f>IF(H2435="","",IF(ISNUMBER(O2435),O2435,J2435))</f>
        <v/>
      </c>
      <c r="G2435">
        <f>IF(H2435="","","OneCause")</f>
        <v/>
      </c>
      <c r="H2435">
        <f>IF(AND(I2435="",J2435="",K2435=""),"",IF(NOT(ISNUMBER(O2435)),"Bad amount",IF(O2435&lt;0,"Refund (not counted)",IF(O2435=0,"Zero amount",IF(NOT(ISNUMBER(N2435)),"Bad date",IF(P2435="","NAME NOT ON ROSTER",IF(L2435="","OK",IF(MATCH(L2435,$L$2:$L$3001,0)&lt;ROW()-1,"Duplicate (ignored)","OK"))))))))</f>
        <v/>
      </c>
      <c r="I2435">
        <f>IF(OC_Date=0,"",IF(INDEX('OneCause_Paste'!$A$2435:$AZ$2435,1,OC_Date)="","",INDEX('OneCause_Paste'!$A$2435:$AZ$2435,1,OC_Date)))</f>
        <v/>
      </c>
      <c r="J2435">
        <f>IF(OC_Amt=0,"",IF(INDEX('OneCause_Paste'!$A$2435:$AZ$2435,1,OC_Amt)="","",INDEX('OneCause_Paste'!$A$2435:$AZ$2435,1,OC_Amt)))</f>
        <v/>
      </c>
      <c r="K2435">
        <f>IF(OC_Name=0,"",IF(INDEX('OneCause_Paste'!$A$2435:$AZ$2435,1,OC_Name)="","",INDEX('OneCause_Paste'!$A$2435:$AZ$2435,1,OC_Name)))</f>
        <v/>
      </c>
      <c r="L2435">
        <f>IF(OC_Txn=0,"",IF(INDEX('OneCause_Paste'!$A$2435:$AZ$2435,1,OC_Txn)="","",INDEX('OneCause_Paste'!$A$2435:$AZ$2435,1,OC_Txn)))</f>
        <v/>
      </c>
      <c r="M2435">
        <f>IF(OC_Pay=0,"",IF(INDEX('OneCause_Paste'!$A$2435:$AZ$2435,1,OC_Pay)="","",INDEX('OneCause_Paste'!$A$2435:$AZ$2435,1,OC_Pay)))</f>
        <v/>
      </c>
      <c r="N2435">
        <f>IF(I2435="","",IF(ISNUMBER(I2435),INT(I2435),IFERROR(INT(DATEVALUE(I2435)),IFERROR(INT(VALUE(I2435)),"bad"))))</f>
        <v/>
      </c>
      <c r="O2435">
        <f>IF(J2435="","",IF(ISNUMBER(J2435),ROUND(J2435,2),IFERROR(ROUND(VALUE(SUBSTITUTE(SUBSTITUTE(SUBSTITUTE(J2435,"$",""),",","")," ","")),2),"bad")))</f>
        <v/>
      </c>
      <c r="P2435">
        <f>IF(TRIM(K2435)="","",IFERROR(MATCH(LOWER(TRIM(K2435)),'Students'!$AH$2:$AH$701,0),IFERROR(MATCH(LOWER(TRIM(K2435)),'Students'!$AF$2:$AF$701,0),IFERROR(MATCH(LOWER(TRIM(K2435)),'Students'!$AG$2:$AG$701,0),""))))</f>
        <v/>
      </c>
      <c r="R2435">
        <f>IF(P2435="","",INDEX('Students'!$AD$2:$AD$701,P2435))</f>
        <v/>
      </c>
      <c r="S2435">
        <f>IF(H2435="OK",O2435,0)</f>
        <v/>
      </c>
      <c r="T2435">
        <f>IF(H2435="OK",N2435,"")</f>
        <v/>
      </c>
      <c r="U2435">
        <f>IF(OC_Donor=0,"",IF(INDEX('OneCause_Paste'!$A$2435:$AZ$2435,1,OC_Donor)="","",INDEX('OneCause_Paste'!$A$2435:$AZ$2435,1,OC_Donor)))</f>
        <v/>
      </c>
    </row>
    <row r="2436">
      <c r="A2436" s="62">
        <f>IF(H2436="","",IF(ISNUMBER(N2436),N2436,I2436))</f>
        <v/>
      </c>
      <c r="B2436">
        <f>IF(H2436="","",U2436)</f>
        <v/>
      </c>
      <c r="C2436">
        <f>IF(H2436="","",IF(P2436="",K2436,INDEX('Students'!$A$2:$A$701,P2436)))</f>
        <v/>
      </c>
      <c r="D2436">
        <f>IF(OR(H2436="",P2436=""),"",INDEX('Students'!$B$2:$B$701,P2436))</f>
        <v/>
      </c>
      <c r="E2436">
        <f>IF(OR(H2436="",P2436=""),"",INDEX('Students'!$C$2:$C$701,P2436))</f>
        <v/>
      </c>
      <c r="F2436" s="48">
        <f>IF(H2436="","",IF(ISNUMBER(O2436),O2436,J2436))</f>
        <v/>
      </c>
      <c r="G2436">
        <f>IF(H2436="","","OneCause")</f>
        <v/>
      </c>
      <c r="H2436">
        <f>IF(AND(I2436="",J2436="",K2436=""),"",IF(NOT(ISNUMBER(O2436)),"Bad amount",IF(O2436&lt;0,"Refund (not counted)",IF(O2436=0,"Zero amount",IF(NOT(ISNUMBER(N2436)),"Bad date",IF(P2436="","NAME NOT ON ROSTER",IF(L2436="","OK",IF(MATCH(L2436,$L$2:$L$3001,0)&lt;ROW()-1,"Duplicate (ignored)","OK"))))))))</f>
        <v/>
      </c>
      <c r="I2436">
        <f>IF(OC_Date=0,"",IF(INDEX('OneCause_Paste'!$A$2436:$AZ$2436,1,OC_Date)="","",INDEX('OneCause_Paste'!$A$2436:$AZ$2436,1,OC_Date)))</f>
        <v/>
      </c>
      <c r="J2436">
        <f>IF(OC_Amt=0,"",IF(INDEX('OneCause_Paste'!$A$2436:$AZ$2436,1,OC_Amt)="","",INDEX('OneCause_Paste'!$A$2436:$AZ$2436,1,OC_Amt)))</f>
        <v/>
      </c>
      <c r="K2436">
        <f>IF(OC_Name=0,"",IF(INDEX('OneCause_Paste'!$A$2436:$AZ$2436,1,OC_Name)="","",INDEX('OneCause_Paste'!$A$2436:$AZ$2436,1,OC_Name)))</f>
        <v/>
      </c>
      <c r="L2436">
        <f>IF(OC_Txn=0,"",IF(INDEX('OneCause_Paste'!$A$2436:$AZ$2436,1,OC_Txn)="","",INDEX('OneCause_Paste'!$A$2436:$AZ$2436,1,OC_Txn)))</f>
        <v/>
      </c>
      <c r="M2436">
        <f>IF(OC_Pay=0,"",IF(INDEX('OneCause_Paste'!$A$2436:$AZ$2436,1,OC_Pay)="","",INDEX('OneCause_Paste'!$A$2436:$AZ$2436,1,OC_Pay)))</f>
        <v/>
      </c>
      <c r="N2436">
        <f>IF(I2436="","",IF(ISNUMBER(I2436),INT(I2436),IFERROR(INT(DATEVALUE(I2436)),IFERROR(INT(VALUE(I2436)),"bad"))))</f>
        <v/>
      </c>
      <c r="O2436">
        <f>IF(J2436="","",IF(ISNUMBER(J2436),ROUND(J2436,2),IFERROR(ROUND(VALUE(SUBSTITUTE(SUBSTITUTE(SUBSTITUTE(J2436,"$",""),",","")," ","")),2),"bad")))</f>
        <v/>
      </c>
      <c r="P2436">
        <f>IF(TRIM(K2436)="","",IFERROR(MATCH(LOWER(TRIM(K2436)),'Students'!$AH$2:$AH$701,0),IFERROR(MATCH(LOWER(TRIM(K2436)),'Students'!$AF$2:$AF$701,0),IFERROR(MATCH(LOWER(TRIM(K2436)),'Students'!$AG$2:$AG$701,0),""))))</f>
        <v/>
      </c>
      <c r="R2436">
        <f>IF(P2436="","",INDEX('Students'!$AD$2:$AD$701,P2436))</f>
        <v/>
      </c>
      <c r="S2436">
        <f>IF(H2436="OK",O2436,0)</f>
        <v/>
      </c>
      <c r="T2436">
        <f>IF(H2436="OK",N2436,"")</f>
        <v/>
      </c>
      <c r="U2436">
        <f>IF(OC_Donor=0,"",IF(INDEX('OneCause_Paste'!$A$2436:$AZ$2436,1,OC_Donor)="","",INDEX('OneCause_Paste'!$A$2436:$AZ$2436,1,OC_Donor)))</f>
        <v/>
      </c>
    </row>
    <row r="2437">
      <c r="A2437" s="62">
        <f>IF(H2437="","",IF(ISNUMBER(N2437),N2437,I2437))</f>
        <v/>
      </c>
      <c r="B2437">
        <f>IF(H2437="","",U2437)</f>
        <v/>
      </c>
      <c r="C2437">
        <f>IF(H2437="","",IF(P2437="",K2437,INDEX('Students'!$A$2:$A$701,P2437)))</f>
        <v/>
      </c>
      <c r="D2437">
        <f>IF(OR(H2437="",P2437=""),"",INDEX('Students'!$B$2:$B$701,P2437))</f>
        <v/>
      </c>
      <c r="E2437">
        <f>IF(OR(H2437="",P2437=""),"",INDEX('Students'!$C$2:$C$701,P2437))</f>
        <v/>
      </c>
      <c r="F2437" s="48">
        <f>IF(H2437="","",IF(ISNUMBER(O2437),O2437,J2437))</f>
        <v/>
      </c>
      <c r="G2437">
        <f>IF(H2437="","","OneCause")</f>
        <v/>
      </c>
      <c r="H2437">
        <f>IF(AND(I2437="",J2437="",K2437=""),"",IF(NOT(ISNUMBER(O2437)),"Bad amount",IF(O2437&lt;0,"Refund (not counted)",IF(O2437=0,"Zero amount",IF(NOT(ISNUMBER(N2437)),"Bad date",IF(P2437="","NAME NOT ON ROSTER",IF(L2437="","OK",IF(MATCH(L2437,$L$2:$L$3001,0)&lt;ROW()-1,"Duplicate (ignored)","OK"))))))))</f>
        <v/>
      </c>
      <c r="I2437">
        <f>IF(OC_Date=0,"",IF(INDEX('OneCause_Paste'!$A$2437:$AZ$2437,1,OC_Date)="","",INDEX('OneCause_Paste'!$A$2437:$AZ$2437,1,OC_Date)))</f>
        <v/>
      </c>
      <c r="J2437">
        <f>IF(OC_Amt=0,"",IF(INDEX('OneCause_Paste'!$A$2437:$AZ$2437,1,OC_Amt)="","",INDEX('OneCause_Paste'!$A$2437:$AZ$2437,1,OC_Amt)))</f>
        <v/>
      </c>
      <c r="K2437">
        <f>IF(OC_Name=0,"",IF(INDEX('OneCause_Paste'!$A$2437:$AZ$2437,1,OC_Name)="","",INDEX('OneCause_Paste'!$A$2437:$AZ$2437,1,OC_Name)))</f>
        <v/>
      </c>
      <c r="L2437">
        <f>IF(OC_Txn=0,"",IF(INDEX('OneCause_Paste'!$A$2437:$AZ$2437,1,OC_Txn)="","",INDEX('OneCause_Paste'!$A$2437:$AZ$2437,1,OC_Txn)))</f>
        <v/>
      </c>
      <c r="M2437">
        <f>IF(OC_Pay=0,"",IF(INDEX('OneCause_Paste'!$A$2437:$AZ$2437,1,OC_Pay)="","",INDEX('OneCause_Paste'!$A$2437:$AZ$2437,1,OC_Pay)))</f>
        <v/>
      </c>
      <c r="N2437">
        <f>IF(I2437="","",IF(ISNUMBER(I2437),INT(I2437),IFERROR(INT(DATEVALUE(I2437)),IFERROR(INT(VALUE(I2437)),"bad"))))</f>
        <v/>
      </c>
      <c r="O2437">
        <f>IF(J2437="","",IF(ISNUMBER(J2437),ROUND(J2437,2),IFERROR(ROUND(VALUE(SUBSTITUTE(SUBSTITUTE(SUBSTITUTE(J2437,"$",""),",","")," ","")),2),"bad")))</f>
        <v/>
      </c>
      <c r="P2437">
        <f>IF(TRIM(K2437)="","",IFERROR(MATCH(LOWER(TRIM(K2437)),'Students'!$AH$2:$AH$701,0),IFERROR(MATCH(LOWER(TRIM(K2437)),'Students'!$AF$2:$AF$701,0),IFERROR(MATCH(LOWER(TRIM(K2437)),'Students'!$AG$2:$AG$701,0),""))))</f>
        <v/>
      </c>
      <c r="R2437">
        <f>IF(P2437="","",INDEX('Students'!$AD$2:$AD$701,P2437))</f>
        <v/>
      </c>
      <c r="S2437">
        <f>IF(H2437="OK",O2437,0)</f>
        <v/>
      </c>
      <c r="T2437">
        <f>IF(H2437="OK",N2437,"")</f>
        <v/>
      </c>
      <c r="U2437">
        <f>IF(OC_Donor=0,"",IF(INDEX('OneCause_Paste'!$A$2437:$AZ$2437,1,OC_Donor)="","",INDEX('OneCause_Paste'!$A$2437:$AZ$2437,1,OC_Donor)))</f>
        <v/>
      </c>
    </row>
    <row r="2438">
      <c r="A2438" s="62">
        <f>IF(H2438="","",IF(ISNUMBER(N2438),N2438,I2438))</f>
        <v/>
      </c>
      <c r="B2438">
        <f>IF(H2438="","",U2438)</f>
        <v/>
      </c>
      <c r="C2438">
        <f>IF(H2438="","",IF(P2438="",K2438,INDEX('Students'!$A$2:$A$701,P2438)))</f>
        <v/>
      </c>
      <c r="D2438">
        <f>IF(OR(H2438="",P2438=""),"",INDEX('Students'!$B$2:$B$701,P2438))</f>
        <v/>
      </c>
      <c r="E2438">
        <f>IF(OR(H2438="",P2438=""),"",INDEX('Students'!$C$2:$C$701,P2438))</f>
        <v/>
      </c>
      <c r="F2438" s="48">
        <f>IF(H2438="","",IF(ISNUMBER(O2438),O2438,J2438))</f>
        <v/>
      </c>
      <c r="G2438">
        <f>IF(H2438="","","OneCause")</f>
        <v/>
      </c>
      <c r="H2438">
        <f>IF(AND(I2438="",J2438="",K2438=""),"",IF(NOT(ISNUMBER(O2438)),"Bad amount",IF(O2438&lt;0,"Refund (not counted)",IF(O2438=0,"Zero amount",IF(NOT(ISNUMBER(N2438)),"Bad date",IF(P2438="","NAME NOT ON ROSTER",IF(L2438="","OK",IF(MATCH(L2438,$L$2:$L$3001,0)&lt;ROW()-1,"Duplicate (ignored)","OK"))))))))</f>
        <v/>
      </c>
      <c r="I2438">
        <f>IF(OC_Date=0,"",IF(INDEX('OneCause_Paste'!$A$2438:$AZ$2438,1,OC_Date)="","",INDEX('OneCause_Paste'!$A$2438:$AZ$2438,1,OC_Date)))</f>
        <v/>
      </c>
      <c r="J2438">
        <f>IF(OC_Amt=0,"",IF(INDEX('OneCause_Paste'!$A$2438:$AZ$2438,1,OC_Amt)="","",INDEX('OneCause_Paste'!$A$2438:$AZ$2438,1,OC_Amt)))</f>
        <v/>
      </c>
      <c r="K2438">
        <f>IF(OC_Name=0,"",IF(INDEX('OneCause_Paste'!$A$2438:$AZ$2438,1,OC_Name)="","",INDEX('OneCause_Paste'!$A$2438:$AZ$2438,1,OC_Name)))</f>
        <v/>
      </c>
      <c r="L2438">
        <f>IF(OC_Txn=0,"",IF(INDEX('OneCause_Paste'!$A$2438:$AZ$2438,1,OC_Txn)="","",INDEX('OneCause_Paste'!$A$2438:$AZ$2438,1,OC_Txn)))</f>
        <v/>
      </c>
      <c r="M2438">
        <f>IF(OC_Pay=0,"",IF(INDEX('OneCause_Paste'!$A$2438:$AZ$2438,1,OC_Pay)="","",INDEX('OneCause_Paste'!$A$2438:$AZ$2438,1,OC_Pay)))</f>
        <v/>
      </c>
      <c r="N2438">
        <f>IF(I2438="","",IF(ISNUMBER(I2438),INT(I2438),IFERROR(INT(DATEVALUE(I2438)),IFERROR(INT(VALUE(I2438)),"bad"))))</f>
        <v/>
      </c>
      <c r="O2438">
        <f>IF(J2438="","",IF(ISNUMBER(J2438),ROUND(J2438,2),IFERROR(ROUND(VALUE(SUBSTITUTE(SUBSTITUTE(SUBSTITUTE(J2438,"$",""),",","")," ","")),2),"bad")))</f>
        <v/>
      </c>
      <c r="P2438">
        <f>IF(TRIM(K2438)="","",IFERROR(MATCH(LOWER(TRIM(K2438)),'Students'!$AH$2:$AH$701,0),IFERROR(MATCH(LOWER(TRIM(K2438)),'Students'!$AF$2:$AF$701,0),IFERROR(MATCH(LOWER(TRIM(K2438)),'Students'!$AG$2:$AG$701,0),""))))</f>
        <v/>
      </c>
      <c r="R2438">
        <f>IF(P2438="","",INDEX('Students'!$AD$2:$AD$701,P2438))</f>
        <v/>
      </c>
      <c r="S2438">
        <f>IF(H2438="OK",O2438,0)</f>
        <v/>
      </c>
      <c r="T2438">
        <f>IF(H2438="OK",N2438,"")</f>
        <v/>
      </c>
      <c r="U2438">
        <f>IF(OC_Donor=0,"",IF(INDEX('OneCause_Paste'!$A$2438:$AZ$2438,1,OC_Donor)="","",INDEX('OneCause_Paste'!$A$2438:$AZ$2438,1,OC_Donor)))</f>
        <v/>
      </c>
    </row>
    <row r="2439">
      <c r="A2439" s="62">
        <f>IF(H2439="","",IF(ISNUMBER(N2439),N2439,I2439))</f>
        <v/>
      </c>
      <c r="B2439">
        <f>IF(H2439="","",U2439)</f>
        <v/>
      </c>
      <c r="C2439">
        <f>IF(H2439="","",IF(P2439="",K2439,INDEX('Students'!$A$2:$A$701,P2439)))</f>
        <v/>
      </c>
      <c r="D2439">
        <f>IF(OR(H2439="",P2439=""),"",INDEX('Students'!$B$2:$B$701,P2439))</f>
        <v/>
      </c>
      <c r="E2439">
        <f>IF(OR(H2439="",P2439=""),"",INDEX('Students'!$C$2:$C$701,P2439))</f>
        <v/>
      </c>
      <c r="F2439" s="48">
        <f>IF(H2439="","",IF(ISNUMBER(O2439),O2439,J2439))</f>
        <v/>
      </c>
      <c r="G2439">
        <f>IF(H2439="","","OneCause")</f>
        <v/>
      </c>
      <c r="H2439">
        <f>IF(AND(I2439="",J2439="",K2439=""),"",IF(NOT(ISNUMBER(O2439)),"Bad amount",IF(O2439&lt;0,"Refund (not counted)",IF(O2439=0,"Zero amount",IF(NOT(ISNUMBER(N2439)),"Bad date",IF(P2439="","NAME NOT ON ROSTER",IF(L2439="","OK",IF(MATCH(L2439,$L$2:$L$3001,0)&lt;ROW()-1,"Duplicate (ignored)","OK"))))))))</f>
        <v/>
      </c>
      <c r="I2439">
        <f>IF(OC_Date=0,"",IF(INDEX('OneCause_Paste'!$A$2439:$AZ$2439,1,OC_Date)="","",INDEX('OneCause_Paste'!$A$2439:$AZ$2439,1,OC_Date)))</f>
        <v/>
      </c>
      <c r="J2439">
        <f>IF(OC_Amt=0,"",IF(INDEX('OneCause_Paste'!$A$2439:$AZ$2439,1,OC_Amt)="","",INDEX('OneCause_Paste'!$A$2439:$AZ$2439,1,OC_Amt)))</f>
        <v/>
      </c>
      <c r="K2439">
        <f>IF(OC_Name=0,"",IF(INDEX('OneCause_Paste'!$A$2439:$AZ$2439,1,OC_Name)="","",INDEX('OneCause_Paste'!$A$2439:$AZ$2439,1,OC_Name)))</f>
        <v/>
      </c>
      <c r="L2439">
        <f>IF(OC_Txn=0,"",IF(INDEX('OneCause_Paste'!$A$2439:$AZ$2439,1,OC_Txn)="","",INDEX('OneCause_Paste'!$A$2439:$AZ$2439,1,OC_Txn)))</f>
        <v/>
      </c>
      <c r="M2439">
        <f>IF(OC_Pay=0,"",IF(INDEX('OneCause_Paste'!$A$2439:$AZ$2439,1,OC_Pay)="","",INDEX('OneCause_Paste'!$A$2439:$AZ$2439,1,OC_Pay)))</f>
        <v/>
      </c>
      <c r="N2439">
        <f>IF(I2439="","",IF(ISNUMBER(I2439),INT(I2439),IFERROR(INT(DATEVALUE(I2439)),IFERROR(INT(VALUE(I2439)),"bad"))))</f>
        <v/>
      </c>
      <c r="O2439">
        <f>IF(J2439="","",IF(ISNUMBER(J2439),ROUND(J2439,2),IFERROR(ROUND(VALUE(SUBSTITUTE(SUBSTITUTE(SUBSTITUTE(J2439,"$",""),",","")," ","")),2),"bad")))</f>
        <v/>
      </c>
      <c r="P2439">
        <f>IF(TRIM(K2439)="","",IFERROR(MATCH(LOWER(TRIM(K2439)),'Students'!$AH$2:$AH$701,0),IFERROR(MATCH(LOWER(TRIM(K2439)),'Students'!$AF$2:$AF$701,0),IFERROR(MATCH(LOWER(TRIM(K2439)),'Students'!$AG$2:$AG$701,0),""))))</f>
        <v/>
      </c>
      <c r="R2439">
        <f>IF(P2439="","",INDEX('Students'!$AD$2:$AD$701,P2439))</f>
        <v/>
      </c>
      <c r="S2439">
        <f>IF(H2439="OK",O2439,0)</f>
        <v/>
      </c>
      <c r="T2439">
        <f>IF(H2439="OK",N2439,"")</f>
        <v/>
      </c>
      <c r="U2439">
        <f>IF(OC_Donor=0,"",IF(INDEX('OneCause_Paste'!$A$2439:$AZ$2439,1,OC_Donor)="","",INDEX('OneCause_Paste'!$A$2439:$AZ$2439,1,OC_Donor)))</f>
        <v/>
      </c>
    </row>
    <row r="2440">
      <c r="A2440" s="62">
        <f>IF(H2440="","",IF(ISNUMBER(N2440),N2440,I2440))</f>
        <v/>
      </c>
      <c r="B2440">
        <f>IF(H2440="","",U2440)</f>
        <v/>
      </c>
      <c r="C2440">
        <f>IF(H2440="","",IF(P2440="",K2440,INDEX('Students'!$A$2:$A$701,P2440)))</f>
        <v/>
      </c>
      <c r="D2440">
        <f>IF(OR(H2440="",P2440=""),"",INDEX('Students'!$B$2:$B$701,P2440))</f>
        <v/>
      </c>
      <c r="E2440">
        <f>IF(OR(H2440="",P2440=""),"",INDEX('Students'!$C$2:$C$701,P2440))</f>
        <v/>
      </c>
      <c r="F2440" s="48">
        <f>IF(H2440="","",IF(ISNUMBER(O2440),O2440,J2440))</f>
        <v/>
      </c>
      <c r="G2440">
        <f>IF(H2440="","","OneCause")</f>
        <v/>
      </c>
      <c r="H2440">
        <f>IF(AND(I2440="",J2440="",K2440=""),"",IF(NOT(ISNUMBER(O2440)),"Bad amount",IF(O2440&lt;0,"Refund (not counted)",IF(O2440=0,"Zero amount",IF(NOT(ISNUMBER(N2440)),"Bad date",IF(P2440="","NAME NOT ON ROSTER",IF(L2440="","OK",IF(MATCH(L2440,$L$2:$L$3001,0)&lt;ROW()-1,"Duplicate (ignored)","OK"))))))))</f>
        <v/>
      </c>
      <c r="I2440">
        <f>IF(OC_Date=0,"",IF(INDEX('OneCause_Paste'!$A$2440:$AZ$2440,1,OC_Date)="","",INDEX('OneCause_Paste'!$A$2440:$AZ$2440,1,OC_Date)))</f>
        <v/>
      </c>
      <c r="J2440">
        <f>IF(OC_Amt=0,"",IF(INDEX('OneCause_Paste'!$A$2440:$AZ$2440,1,OC_Amt)="","",INDEX('OneCause_Paste'!$A$2440:$AZ$2440,1,OC_Amt)))</f>
        <v/>
      </c>
      <c r="K2440">
        <f>IF(OC_Name=0,"",IF(INDEX('OneCause_Paste'!$A$2440:$AZ$2440,1,OC_Name)="","",INDEX('OneCause_Paste'!$A$2440:$AZ$2440,1,OC_Name)))</f>
        <v/>
      </c>
      <c r="L2440">
        <f>IF(OC_Txn=0,"",IF(INDEX('OneCause_Paste'!$A$2440:$AZ$2440,1,OC_Txn)="","",INDEX('OneCause_Paste'!$A$2440:$AZ$2440,1,OC_Txn)))</f>
        <v/>
      </c>
      <c r="M2440">
        <f>IF(OC_Pay=0,"",IF(INDEX('OneCause_Paste'!$A$2440:$AZ$2440,1,OC_Pay)="","",INDEX('OneCause_Paste'!$A$2440:$AZ$2440,1,OC_Pay)))</f>
        <v/>
      </c>
      <c r="N2440">
        <f>IF(I2440="","",IF(ISNUMBER(I2440),INT(I2440),IFERROR(INT(DATEVALUE(I2440)),IFERROR(INT(VALUE(I2440)),"bad"))))</f>
        <v/>
      </c>
      <c r="O2440">
        <f>IF(J2440="","",IF(ISNUMBER(J2440),ROUND(J2440,2),IFERROR(ROUND(VALUE(SUBSTITUTE(SUBSTITUTE(SUBSTITUTE(J2440,"$",""),",","")," ","")),2),"bad")))</f>
        <v/>
      </c>
      <c r="P2440">
        <f>IF(TRIM(K2440)="","",IFERROR(MATCH(LOWER(TRIM(K2440)),'Students'!$AH$2:$AH$701,0),IFERROR(MATCH(LOWER(TRIM(K2440)),'Students'!$AF$2:$AF$701,0),IFERROR(MATCH(LOWER(TRIM(K2440)),'Students'!$AG$2:$AG$701,0),""))))</f>
        <v/>
      </c>
      <c r="R2440">
        <f>IF(P2440="","",INDEX('Students'!$AD$2:$AD$701,P2440))</f>
        <v/>
      </c>
      <c r="S2440">
        <f>IF(H2440="OK",O2440,0)</f>
        <v/>
      </c>
      <c r="T2440">
        <f>IF(H2440="OK",N2440,"")</f>
        <v/>
      </c>
      <c r="U2440">
        <f>IF(OC_Donor=0,"",IF(INDEX('OneCause_Paste'!$A$2440:$AZ$2440,1,OC_Donor)="","",INDEX('OneCause_Paste'!$A$2440:$AZ$2440,1,OC_Donor)))</f>
        <v/>
      </c>
    </row>
    <row r="2441">
      <c r="A2441" s="62">
        <f>IF(H2441="","",IF(ISNUMBER(N2441),N2441,I2441))</f>
        <v/>
      </c>
      <c r="B2441">
        <f>IF(H2441="","",U2441)</f>
        <v/>
      </c>
      <c r="C2441">
        <f>IF(H2441="","",IF(P2441="",K2441,INDEX('Students'!$A$2:$A$701,P2441)))</f>
        <v/>
      </c>
      <c r="D2441">
        <f>IF(OR(H2441="",P2441=""),"",INDEX('Students'!$B$2:$B$701,P2441))</f>
        <v/>
      </c>
      <c r="E2441">
        <f>IF(OR(H2441="",P2441=""),"",INDEX('Students'!$C$2:$C$701,P2441))</f>
        <v/>
      </c>
      <c r="F2441" s="48">
        <f>IF(H2441="","",IF(ISNUMBER(O2441),O2441,J2441))</f>
        <v/>
      </c>
      <c r="G2441">
        <f>IF(H2441="","","OneCause")</f>
        <v/>
      </c>
      <c r="H2441">
        <f>IF(AND(I2441="",J2441="",K2441=""),"",IF(NOT(ISNUMBER(O2441)),"Bad amount",IF(O2441&lt;0,"Refund (not counted)",IF(O2441=0,"Zero amount",IF(NOT(ISNUMBER(N2441)),"Bad date",IF(P2441="","NAME NOT ON ROSTER",IF(L2441="","OK",IF(MATCH(L2441,$L$2:$L$3001,0)&lt;ROW()-1,"Duplicate (ignored)","OK"))))))))</f>
        <v/>
      </c>
      <c r="I2441">
        <f>IF(OC_Date=0,"",IF(INDEX('OneCause_Paste'!$A$2441:$AZ$2441,1,OC_Date)="","",INDEX('OneCause_Paste'!$A$2441:$AZ$2441,1,OC_Date)))</f>
        <v/>
      </c>
      <c r="J2441">
        <f>IF(OC_Amt=0,"",IF(INDEX('OneCause_Paste'!$A$2441:$AZ$2441,1,OC_Amt)="","",INDEX('OneCause_Paste'!$A$2441:$AZ$2441,1,OC_Amt)))</f>
        <v/>
      </c>
      <c r="K2441">
        <f>IF(OC_Name=0,"",IF(INDEX('OneCause_Paste'!$A$2441:$AZ$2441,1,OC_Name)="","",INDEX('OneCause_Paste'!$A$2441:$AZ$2441,1,OC_Name)))</f>
        <v/>
      </c>
      <c r="L2441">
        <f>IF(OC_Txn=0,"",IF(INDEX('OneCause_Paste'!$A$2441:$AZ$2441,1,OC_Txn)="","",INDEX('OneCause_Paste'!$A$2441:$AZ$2441,1,OC_Txn)))</f>
        <v/>
      </c>
      <c r="M2441">
        <f>IF(OC_Pay=0,"",IF(INDEX('OneCause_Paste'!$A$2441:$AZ$2441,1,OC_Pay)="","",INDEX('OneCause_Paste'!$A$2441:$AZ$2441,1,OC_Pay)))</f>
        <v/>
      </c>
      <c r="N2441">
        <f>IF(I2441="","",IF(ISNUMBER(I2441),INT(I2441),IFERROR(INT(DATEVALUE(I2441)),IFERROR(INT(VALUE(I2441)),"bad"))))</f>
        <v/>
      </c>
      <c r="O2441">
        <f>IF(J2441="","",IF(ISNUMBER(J2441),ROUND(J2441,2),IFERROR(ROUND(VALUE(SUBSTITUTE(SUBSTITUTE(SUBSTITUTE(J2441,"$",""),",","")," ","")),2),"bad")))</f>
        <v/>
      </c>
      <c r="P2441">
        <f>IF(TRIM(K2441)="","",IFERROR(MATCH(LOWER(TRIM(K2441)),'Students'!$AH$2:$AH$701,0),IFERROR(MATCH(LOWER(TRIM(K2441)),'Students'!$AF$2:$AF$701,0),IFERROR(MATCH(LOWER(TRIM(K2441)),'Students'!$AG$2:$AG$701,0),""))))</f>
        <v/>
      </c>
      <c r="R2441">
        <f>IF(P2441="","",INDEX('Students'!$AD$2:$AD$701,P2441))</f>
        <v/>
      </c>
      <c r="S2441">
        <f>IF(H2441="OK",O2441,0)</f>
        <v/>
      </c>
      <c r="T2441">
        <f>IF(H2441="OK",N2441,"")</f>
        <v/>
      </c>
      <c r="U2441">
        <f>IF(OC_Donor=0,"",IF(INDEX('OneCause_Paste'!$A$2441:$AZ$2441,1,OC_Donor)="","",INDEX('OneCause_Paste'!$A$2441:$AZ$2441,1,OC_Donor)))</f>
        <v/>
      </c>
    </row>
    <row r="2442">
      <c r="A2442" s="62">
        <f>IF(H2442="","",IF(ISNUMBER(N2442),N2442,I2442))</f>
        <v/>
      </c>
      <c r="B2442">
        <f>IF(H2442="","",U2442)</f>
        <v/>
      </c>
      <c r="C2442">
        <f>IF(H2442="","",IF(P2442="",K2442,INDEX('Students'!$A$2:$A$701,P2442)))</f>
        <v/>
      </c>
      <c r="D2442">
        <f>IF(OR(H2442="",P2442=""),"",INDEX('Students'!$B$2:$B$701,P2442))</f>
        <v/>
      </c>
      <c r="E2442">
        <f>IF(OR(H2442="",P2442=""),"",INDEX('Students'!$C$2:$C$701,P2442))</f>
        <v/>
      </c>
      <c r="F2442" s="48">
        <f>IF(H2442="","",IF(ISNUMBER(O2442),O2442,J2442))</f>
        <v/>
      </c>
      <c r="G2442">
        <f>IF(H2442="","","OneCause")</f>
        <v/>
      </c>
      <c r="H2442">
        <f>IF(AND(I2442="",J2442="",K2442=""),"",IF(NOT(ISNUMBER(O2442)),"Bad amount",IF(O2442&lt;0,"Refund (not counted)",IF(O2442=0,"Zero amount",IF(NOT(ISNUMBER(N2442)),"Bad date",IF(P2442="","NAME NOT ON ROSTER",IF(L2442="","OK",IF(MATCH(L2442,$L$2:$L$3001,0)&lt;ROW()-1,"Duplicate (ignored)","OK"))))))))</f>
        <v/>
      </c>
      <c r="I2442">
        <f>IF(OC_Date=0,"",IF(INDEX('OneCause_Paste'!$A$2442:$AZ$2442,1,OC_Date)="","",INDEX('OneCause_Paste'!$A$2442:$AZ$2442,1,OC_Date)))</f>
        <v/>
      </c>
      <c r="J2442">
        <f>IF(OC_Amt=0,"",IF(INDEX('OneCause_Paste'!$A$2442:$AZ$2442,1,OC_Amt)="","",INDEX('OneCause_Paste'!$A$2442:$AZ$2442,1,OC_Amt)))</f>
        <v/>
      </c>
      <c r="K2442">
        <f>IF(OC_Name=0,"",IF(INDEX('OneCause_Paste'!$A$2442:$AZ$2442,1,OC_Name)="","",INDEX('OneCause_Paste'!$A$2442:$AZ$2442,1,OC_Name)))</f>
        <v/>
      </c>
      <c r="L2442">
        <f>IF(OC_Txn=0,"",IF(INDEX('OneCause_Paste'!$A$2442:$AZ$2442,1,OC_Txn)="","",INDEX('OneCause_Paste'!$A$2442:$AZ$2442,1,OC_Txn)))</f>
        <v/>
      </c>
      <c r="M2442">
        <f>IF(OC_Pay=0,"",IF(INDEX('OneCause_Paste'!$A$2442:$AZ$2442,1,OC_Pay)="","",INDEX('OneCause_Paste'!$A$2442:$AZ$2442,1,OC_Pay)))</f>
        <v/>
      </c>
      <c r="N2442">
        <f>IF(I2442="","",IF(ISNUMBER(I2442),INT(I2442),IFERROR(INT(DATEVALUE(I2442)),IFERROR(INT(VALUE(I2442)),"bad"))))</f>
        <v/>
      </c>
      <c r="O2442">
        <f>IF(J2442="","",IF(ISNUMBER(J2442),ROUND(J2442,2),IFERROR(ROUND(VALUE(SUBSTITUTE(SUBSTITUTE(SUBSTITUTE(J2442,"$",""),",","")," ","")),2),"bad")))</f>
        <v/>
      </c>
      <c r="P2442">
        <f>IF(TRIM(K2442)="","",IFERROR(MATCH(LOWER(TRIM(K2442)),'Students'!$AH$2:$AH$701,0),IFERROR(MATCH(LOWER(TRIM(K2442)),'Students'!$AF$2:$AF$701,0),IFERROR(MATCH(LOWER(TRIM(K2442)),'Students'!$AG$2:$AG$701,0),""))))</f>
        <v/>
      </c>
      <c r="R2442">
        <f>IF(P2442="","",INDEX('Students'!$AD$2:$AD$701,P2442))</f>
        <v/>
      </c>
      <c r="S2442">
        <f>IF(H2442="OK",O2442,0)</f>
        <v/>
      </c>
      <c r="T2442">
        <f>IF(H2442="OK",N2442,"")</f>
        <v/>
      </c>
      <c r="U2442">
        <f>IF(OC_Donor=0,"",IF(INDEX('OneCause_Paste'!$A$2442:$AZ$2442,1,OC_Donor)="","",INDEX('OneCause_Paste'!$A$2442:$AZ$2442,1,OC_Donor)))</f>
        <v/>
      </c>
    </row>
    <row r="2443">
      <c r="A2443" s="62">
        <f>IF(H2443="","",IF(ISNUMBER(N2443),N2443,I2443))</f>
        <v/>
      </c>
      <c r="B2443">
        <f>IF(H2443="","",U2443)</f>
        <v/>
      </c>
      <c r="C2443">
        <f>IF(H2443="","",IF(P2443="",K2443,INDEX('Students'!$A$2:$A$701,P2443)))</f>
        <v/>
      </c>
      <c r="D2443">
        <f>IF(OR(H2443="",P2443=""),"",INDEX('Students'!$B$2:$B$701,P2443))</f>
        <v/>
      </c>
      <c r="E2443">
        <f>IF(OR(H2443="",P2443=""),"",INDEX('Students'!$C$2:$C$701,P2443))</f>
        <v/>
      </c>
      <c r="F2443" s="48">
        <f>IF(H2443="","",IF(ISNUMBER(O2443),O2443,J2443))</f>
        <v/>
      </c>
      <c r="G2443">
        <f>IF(H2443="","","OneCause")</f>
        <v/>
      </c>
      <c r="H2443">
        <f>IF(AND(I2443="",J2443="",K2443=""),"",IF(NOT(ISNUMBER(O2443)),"Bad amount",IF(O2443&lt;0,"Refund (not counted)",IF(O2443=0,"Zero amount",IF(NOT(ISNUMBER(N2443)),"Bad date",IF(P2443="","NAME NOT ON ROSTER",IF(L2443="","OK",IF(MATCH(L2443,$L$2:$L$3001,0)&lt;ROW()-1,"Duplicate (ignored)","OK"))))))))</f>
        <v/>
      </c>
      <c r="I2443">
        <f>IF(OC_Date=0,"",IF(INDEX('OneCause_Paste'!$A$2443:$AZ$2443,1,OC_Date)="","",INDEX('OneCause_Paste'!$A$2443:$AZ$2443,1,OC_Date)))</f>
        <v/>
      </c>
      <c r="J2443">
        <f>IF(OC_Amt=0,"",IF(INDEX('OneCause_Paste'!$A$2443:$AZ$2443,1,OC_Amt)="","",INDEX('OneCause_Paste'!$A$2443:$AZ$2443,1,OC_Amt)))</f>
        <v/>
      </c>
      <c r="K2443">
        <f>IF(OC_Name=0,"",IF(INDEX('OneCause_Paste'!$A$2443:$AZ$2443,1,OC_Name)="","",INDEX('OneCause_Paste'!$A$2443:$AZ$2443,1,OC_Name)))</f>
        <v/>
      </c>
      <c r="L2443">
        <f>IF(OC_Txn=0,"",IF(INDEX('OneCause_Paste'!$A$2443:$AZ$2443,1,OC_Txn)="","",INDEX('OneCause_Paste'!$A$2443:$AZ$2443,1,OC_Txn)))</f>
        <v/>
      </c>
      <c r="M2443">
        <f>IF(OC_Pay=0,"",IF(INDEX('OneCause_Paste'!$A$2443:$AZ$2443,1,OC_Pay)="","",INDEX('OneCause_Paste'!$A$2443:$AZ$2443,1,OC_Pay)))</f>
        <v/>
      </c>
      <c r="N2443">
        <f>IF(I2443="","",IF(ISNUMBER(I2443),INT(I2443),IFERROR(INT(DATEVALUE(I2443)),IFERROR(INT(VALUE(I2443)),"bad"))))</f>
        <v/>
      </c>
      <c r="O2443">
        <f>IF(J2443="","",IF(ISNUMBER(J2443),ROUND(J2443,2),IFERROR(ROUND(VALUE(SUBSTITUTE(SUBSTITUTE(SUBSTITUTE(J2443,"$",""),",","")," ","")),2),"bad")))</f>
        <v/>
      </c>
      <c r="P2443">
        <f>IF(TRIM(K2443)="","",IFERROR(MATCH(LOWER(TRIM(K2443)),'Students'!$AH$2:$AH$701,0),IFERROR(MATCH(LOWER(TRIM(K2443)),'Students'!$AF$2:$AF$701,0),IFERROR(MATCH(LOWER(TRIM(K2443)),'Students'!$AG$2:$AG$701,0),""))))</f>
        <v/>
      </c>
      <c r="R2443">
        <f>IF(P2443="","",INDEX('Students'!$AD$2:$AD$701,P2443))</f>
        <v/>
      </c>
      <c r="S2443">
        <f>IF(H2443="OK",O2443,0)</f>
        <v/>
      </c>
      <c r="T2443">
        <f>IF(H2443="OK",N2443,"")</f>
        <v/>
      </c>
      <c r="U2443">
        <f>IF(OC_Donor=0,"",IF(INDEX('OneCause_Paste'!$A$2443:$AZ$2443,1,OC_Donor)="","",INDEX('OneCause_Paste'!$A$2443:$AZ$2443,1,OC_Donor)))</f>
        <v/>
      </c>
    </row>
    <row r="2444">
      <c r="A2444" s="62">
        <f>IF(H2444="","",IF(ISNUMBER(N2444),N2444,I2444))</f>
        <v/>
      </c>
      <c r="B2444">
        <f>IF(H2444="","",U2444)</f>
        <v/>
      </c>
      <c r="C2444">
        <f>IF(H2444="","",IF(P2444="",K2444,INDEX('Students'!$A$2:$A$701,P2444)))</f>
        <v/>
      </c>
      <c r="D2444">
        <f>IF(OR(H2444="",P2444=""),"",INDEX('Students'!$B$2:$B$701,P2444))</f>
        <v/>
      </c>
      <c r="E2444">
        <f>IF(OR(H2444="",P2444=""),"",INDEX('Students'!$C$2:$C$701,P2444))</f>
        <v/>
      </c>
      <c r="F2444" s="48">
        <f>IF(H2444="","",IF(ISNUMBER(O2444),O2444,J2444))</f>
        <v/>
      </c>
      <c r="G2444">
        <f>IF(H2444="","","OneCause")</f>
        <v/>
      </c>
      <c r="H2444">
        <f>IF(AND(I2444="",J2444="",K2444=""),"",IF(NOT(ISNUMBER(O2444)),"Bad amount",IF(O2444&lt;0,"Refund (not counted)",IF(O2444=0,"Zero amount",IF(NOT(ISNUMBER(N2444)),"Bad date",IF(P2444="","NAME NOT ON ROSTER",IF(L2444="","OK",IF(MATCH(L2444,$L$2:$L$3001,0)&lt;ROW()-1,"Duplicate (ignored)","OK"))))))))</f>
        <v/>
      </c>
      <c r="I2444">
        <f>IF(OC_Date=0,"",IF(INDEX('OneCause_Paste'!$A$2444:$AZ$2444,1,OC_Date)="","",INDEX('OneCause_Paste'!$A$2444:$AZ$2444,1,OC_Date)))</f>
        <v/>
      </c>
      <c r="J2444">
        <f>IF(OC_Amt=0,"",IF(INDEX('OneCause_Paste'!$A$2444:$AZ$2444,1,OC_Amt)="","",INDEX('OneCause_Paste'!$A$2444:$AZ$2444,1,OC_Amt)))</f>
        <v/>
      </c>
      <c r="K2444">
        <f>IF(OC_Name=0,"",IF(INDEX('OneCause_Paste'!$A$2444:$AZ$2444,1,OC_Name)="","",INDEX('OneCause_Paste'!$A$2444:$AZ$2444,1,OC_Name)))</f>
        <v/>
      </c>
      <c r="L2444">
        <f>IF(OC_Txn=0,"",IF(INDEX('OneCause_Paste'!$A$2444:$AZ$2444,1,OC_Txn)="","",INDEX('OneCause_Paste'!$A$2444:$AZ$2444,1,OC_Txn)))</f>
        <v/>
      </c>
      <c r="M2444">
        <f>IF(OC_Pay=0,"",IF(INDEX('OneCause_Paste'!$A$2444:$AZ$2444,1,OC_Pay)="","",INDEX('OneCause_Paste'!$A$2444:$AZ$2444,1,OC_Pay)))</f>
        <v/>
      </c>
      <c r="N2444">
        <f>IF(I2444="","",IF(ISNUMBER(I2444),INT(I2444),IFERROR(INT(DATEVALUE(I2444)),IFERROR(INT(VALUE(I2444)),"bad"))))</f>
        <v/>
      </c>
      <c r="O2444">
        <f>IF(J2444="","",IF(ISNUMBER(J2444),ROUND(J2444,2),IFERROR(ROUND(VALUE(SUBSTITUTE(SUBSTITUTE(SUBSTITUTE(J2444,"$",""),",","")," ","")),2),"bad")))</f>
        <v/>
      </c>
      <c r="P2444">
        <f>IF(TRIM(K2444)="","",IFERROR(MATCH(LOWER(TRIM(K2444)),'Students'!$AH$2:$AH$701,0),IFERROR(MATCH(LOWER(TRIM(K2444)),'Students'!$AF$2:$AF$701,0),IFERROR(MATCH(LOWER(TRIM(K2444)),'Students'!$AG$2:$AG$701,0),""))))</f>
        <v/>
      </c>
      <c r="R2444">
        <f>IF(P2444="","",INDEX('Students'!$AD$2:$AD$701,P2444))</f>
        <v/>
      </c>
      <c r="S2444">
        <f>IF(H2444="OK",O2444,0)</f>
        <v/>
      </c>
      <c r="T2444">
        <f>IF(H2444="OK",N2444,"")</f>
        <v/>
      </c>
      <c r="U2444">
        <f>IF(OC_Donor=0,"",IF(INDEX('OneCause_Paste'!$A$2444:$AZ$2444,1,OC_Donor)="","",INDEX('OneCause_Paste'!$A$2444:$AZ$2444,1,OC_Donor)))</f>
        <v/>
      </c>
    </row>
    <row r="2445">
      <c r="A2445" s="62">
        <f>IF(H2445="","",IF(ISNUMBER(N2445),N2445,I2445))</f>
        <v/>
      </c>
      <c r="B2445">
        <f>IF(H2445="","",U2445)</f>
        <v/>
      </c>
      <c r="C2445">
        <f>IF(H2445="","",IF(P2445="",K2445,INDEX('Students'!$A$2:$A$701,P2445)))</f>
        <v/>
      </c>
      <c r="D2445">
        <f>IF(OR(H2445="",P2445=""),"",INDEX('Students'!$B$2:$B$701,P2445))</f>
        <v/>
      </c>
      <c r="E2445">
        <f>IF(OR(H2445="",P2445=""),"",INDEX('Students'!$C$2:$C$701,P2445))</f>
        <v/>
      </c>
      <c r="F2445" s="48">
        <f>IF(H2445="","",IF(ISNUMBER(O2445),O2445,J2445))</f>
        <v/>
      </c>
      <c r="G2445">
        <f>IF(H2445="","","OneCause")</f>
        <v/>
      </c>
      <c r="H2445">
        <f>IF(AND(I2445="",J2445="",K2445=""),"",IF(NOT(ISNUMBER(O2445)),"Bad amount",IF(O2445&lt;0,"Refund (not counted)",IF(O2445=0,"Zero amount",IF(NOT(ISNUMBER(N2445)),"Bad date",IF(P2445="","NAME NOT ON ROSTER",IF(L2445="","OK",IF(MATCH(L2445,$L$2:$L$3001,0)&lt;ROW()-1,"Duplicate (ignored)","OK"))))))))</f>
        <v/>
      </c>
      <c r="I2445">
        <f>IF(OC_Date=0,"",IF(INDEX('OneCause_Paste'!$A$2445:$AZ$2445,1,OC_Date)="","",INDEX('OneCause_Paste'!$A$2445:$AZ$2445,1,OC_Date)))</f>
        <v/>
      </c>
      <c r="J2445">
        <f>IF(OC_Amt=0,"",IF(INDEX('OneCause_Paste'!$A$2445:$AZ$2445,1,OC_Amt)="","",INDEX('OneCause_Paste'!$A$2445:$AZ$2445,1,OC_Amt)))</f>
        <v/>
      </c>
      <c r="K2445">
        <f>IF(OC_Name=0,"",IF(INDEX('OneCause_Paste'!$A$2445:$AZ$2445,1,OC_Name)="","",INDEX('OneCause_Paste'!$A$2445:$AZ$2445,1,OC_Name)))</f>
        <v/>
      </c>
      <c r="L2445">
        <f>IF(OC_Txn=0,"",IF(INDEX('OneCause_Paste'!$A$2445:$AZ$2445,1,OC_Txn)="","",INDEX('OneCause_Paste'!$A$2445:$AZ$2445,1,OC_Txn)))</f>
        <v/>
      </c>
      <c r="M2445">
        <f>IF(OC_Pay=0,"",IF(INDEX('OneCause_Paste'!$A$2445:$AZ$2445,1,OC_Pay)="","",INDEX('OneCause_Paste'!$A$2445:$AZ$2445,1,OC_Pay)))</f>
        <v/>
      </c>
      <c r="N2445">
        <f>IF(I2445="","",IF(ISNUMBER(I2445),INT(I2445),IFERROR(INT(DATEVALUE(I2445)),IFERROR(INT(VALUE(I2445)),"bad"))))</f>
        <v/>
      </c>
      <c r="O2445">
        <f>IF(J2445="","",IF(ISNUMBER(J2445),ROUND(J2445,2),IFERROR(ROUND(VALUE(SUBSTITUTE(SUBSTITUTE(SUBSTITUTE(J2445,"$",""),",","")," ","")),2),"bad")))</f>
        <v/>
      </c>
      <c r="P2445">
        <f>IF(TRIM(K2445)="","",IFERROR(MATCH(LOWER(TRIM(K2445)),'Students'!$AH$2:$AH$701,0),IFERROR(MATCH(LOWER(TRIM(K2445)),'Students'!$AF$2:$AF$701,0),IFERROR(MATCH(LOWER(TRIM(K2445)),'Students'!$AG$2:$AG$701,0),""))))</f>
        <v/>
      </c>
      <c r="R2445">
        <f>IF(P2445="","",INDEX('Students'!$AD$2:$AD$701,P2445))</f>
        <v/>
      </c>
      <c r="S2445">
        <f>IF(H2445="OK",O2445,0)</f>
        <v/>
      </c>
      <c r="T2445">
        <f>IF(H2445="OK",N2445,"")</f>
        <v/>
      </c>
      <c r="U2445">
        <f>IF(OC_Donor=0,"",IF(INDEX('OneCause_Paste'!$A$2445:$AZ$2445,1,OC_Donor)="","",INDEX('OneCause_Paste'!$A$2445:$AZ$2445,1,OC_Donor)))</f>
        <v/>
      </c>
    </row>
    <row r="2446">
      <c r="A2446" s="62">
        <f>IF(H2446="","",IF(ISNUMBER(N2446),N2446,I2446))</f>
        <v/>
      </c>
      <c r="B2446">
        <f>IF(H2446="","",U2446)</f>
        <v/>
      </c>
      <c r="C2446">
        <f>IF(H2446="","",IF(P2446="",K2446,INDEX('Students'!$A$2:$A$701,P2446)))</f>
        <v/>
      </c>
      <c r="D2446">
        <f>IF(OR(H2446="",P2446=""),"",INDEX('Students'!$B$2:$B$701,P2446))</f>
        <v/>
      </c>
      <c r="E2446">
        <f>IF(OR(H2446="",P2446=""),"",INDEX('Students'!$C$2:$C$701,P2446))</f>
        <v/>
      </c>
      <c r="F2446" s="48">
        <f>IF(H2446="","",IF(ISNUMBER(O2446),O2446,J2446))</f>
        <v/>
      </c>
      <c r="G2446">
        <f>IF(H2446="","","OneCause")</f>
        <v/>
      </c>
      <c r="H2446">
        <f>IF(AND(I2446="",J2446="",K2446=""),"",IF(NOT(ISNUMBER(O2446)),"Bad amount",IF(O2446&lt;0,"Refund (not counted)",IF(O2446=0,"Zero amount",IF(NOT(ISNUMBER(N2446)),"Bad date",IF(P2446="","NAME NOT ON ROSTER",IF(L2446="","OK",IF(MATCH(L2446,$L$2:$L$3001,0)&lt;ROW()-1,"Duplicate (ignored)","OK"))))))))</f>
        <v/>
      </c>
      <c r="I2446">
        <f>IF(OC_Date=0,"",IF(INDEX('OneCause_Paste'!$A$2446:$AZ$2446,1,OC_Date)="","",INDEX('OneCause_Paste'!$A$2446:$AZ$2446,1,OC_Date)))</f>
        <v/>
      </c>
      <c r="J2446">
        <f>IF(OC_Amt=0,"",IF(INDEX('OneCause_Paste'!$A$2446:$AZ$2446,1,OC_Amt)="","",INDEX('OneCause_Paste'!$A$2446:$AZ$2446,1,OC_Amt)))</f>
        <v/>
      </c>
      <c r="K2446">
        <f>IF(OC_Name=0,"",IF(INDEX('OneCause_Paste'!$A$2446:$AZ$2446,1,OC_Name)="","",INDEX('OneCause_Paste'!$A$2446:$AZ$2446,1,OC_Name)))</f>
        <v/>
      </c>
      <c r="L2446">
        <f>IF(OC_Txn=0,"",IF(INDEX('OneCause_Paste'!$A$2446:$AZ$2446,1,OC_Txn)="","",INDEX('OneCause_Paste'!$A$2446:$AZ$2446,1,OC_Txn)))</f>
        <v/>
      </c>
      <c r="M2446">
        <f>IF(OC_Pay=0,"",IF(INDEX('OneCause_Paste'!$A$2446:$AZ$2446,1,OC_Pay)="","",INDEX('OneCause_Paste'!$A$2446:$AZ$2446,1,OC_Pay)))</f>
        <v/>
      </c>
      <c r="N2446">
        <f>IF(I2446="","",IF(ISNUMBER(I2446),INT(I2446),IFERROR(INT(DATEVALUE(I2446)),IFERROR(INT(VALUE(I2446)),"bad"))))</f>
        <v/>
      </c>
      <c r="O2446">
        <f>IF(J2446="","",IF(ISNUMBER(J2446),ROUND(J2446,2),IFERROR(ROUND(VALUE(SUBSTITUTE(SUBSTITUTE(SUBSTITUTE(J2446,"$",""),",","")," ","")),2),"bad")))</f>
        <v/>
      </c>
      <c r="P2446">
        <f>IF(TRIM(K2446)="","",IFERROR(MATCH(LOWER(TRIM(K2446)),'Students'!$AH$2:$AH$701,0),IFERROR(MATCH(LOWER(TRIM(K2446)),'Students'!$AF$2:$AF$701,0),IFERROR(MATCH(LOWER(TRIM(K2446)),'Students'!$AG$2:$AG$701,0),""))))</f>
        <v/>
      </c>
      <c r="R2446">
        <f>IF(P2446="","",INDEX('Students'!$AD$2:$AD$701,P2446))</f>
        <v/>
      </c>
      <c r="S2446">
        <f>IF(H2446="OK",O2446,0)</f>
        <v/>
      </c>
      <c r="T2446">
        <f>IF(H2446="OK",N2446,"")</f>
        <v/>
      </c>
      <c r="U2446">
        <f>IF(OC_Donor=0,"",IF(INDEX('OneCause_Paste'!$A$2446:$AZ$2446,1,OC_Donor)="","",INDEX('OneCause_Paste'!$A$2446:$AZ$2446,1,OC_Donor)))</f>
        <v/>
      </c>
    </row>
    <row r="2447">
      <c r="A2447" s="62">
        <f>IF(H2447="","",IF(ISNUMBER(N2447),N2447,I2447))</f>
        <v/>
      </c>
      <c r="B2447">
        <f>IF(H2447="","",U2447)</f>
        <v/>
      </c>
      <c r="C2447">
        <f>IF(H2447="","",IF(P2447="",K2447,INDEX('Students'!$A$2:$A$701,P2447)))</f>
        <v/>
      </c>
      <c r="D2447">
        <f>IF(OR(H2447="",P2447=""),"",INDEX('Students'!$B$2:$B$701,P2447))</f>
        <v/>
      </c>
      <c r="E2447">
        <f>IF(OR(H2447="",P2447=""),"",INDEX('Students'!$C$2:$C$701,P2447))</f>
        <v/>
      </c>
      <c r="F2447" s="48">
        <f>IF(H2447="","",IF(ISNUMBER(O2447),O2447,J2447))</f>
        <v/>
      </c>
      <c r="G2447">
        <f>IF(H2447="","","OneCause")</f>
        <v/>
      </c>
      <c r="H2447">
        <f>IF(AND(I2447="",J2447="",K2447=""),"",IF(NOT(ISNUMBER(O2447)),"Bad amount",IF(O2447&lt;0,"Refund (not counted)",IF(O2447=0,"Zero amount",IF(NOT(ISNUMBER(N2447)),"Bad date",IF(P2447="","NAME NOT ON ROSTER",IF(L2447="","OK",IF(MATCH(L2447,$L$2:$L$3001,0)&lt;ROW()-1,"Duplicate (ignored)","OK"))))))))</f>
        <v/>
      </c>
      <c r="I2447">
        <f>IF(OC_Date=0,"",IF(INDEX('OneCause_Paste'!$A$2447:$AZ$2447,1,OC_Date)="","",INDEX('OneCause_Paste'!$A$2447:$AZ$2447,1,OC_Date)))</f>
        <v/>
      </c>
      <c r="J2447">
        <f>IF(OC_Amt=0,"",IF(INDEX('OneCause_Paste'!$A$2447:$AZ$2447,1,OC_Amt)="","",INDEX('OneCause_Paste'!$A$2447:$AZ$2447,1,OC_Amt)))</f>
        <v/>
      </c>
      <c r="K2447">
        <f>IF(OC_Name=0,"",IF(INDEX('OneCause_Paste'!$A$2447:$AZ$2447,1,OC_Name)="","",INDEX('OneCause_Paste'!$A$2447:$AZ$2447,1,OC_Name)))</f>
        <v/>
      </c>
      <c r="L2447">
        <f>IF(OC_Txn=0,"",IF(INDEX('OneCause_Paste'!$A$2447:$AZ$2447,1,OC_Txn)="","",INDEX('OneCause_Paste'!$A$2447:$AZ$2447,1,OC_Txn)))</f>
        <v/>
      </c>
      <c r="M2447">
        <f>IF(OC_Pay=0,"",IF(INDEX('OneCause_Paste'!$A$2447:$AZ$2447,1,OC_Pay)="","",INDEX('OneCause_Paste'!$A$2447:$AZ$2447,1,OC_Pay)))</f>
        <v/>
      </c>
      <c r="N2447">
        <f>IF(I2447="","",IF(ISNUMBER(I2447),INT(I2447),IFERROR(INT(DATEVALUE(I2447)),IFERROR(INT(VALUE(I2447)),"bad"))))</f>
        <v/>
      </c>
      <c r="O2447">
        <f>IF(J2447="","",IF(ISNUMBER(J2447),ROUND(J2447,2),IFERROR(ROUND(VALUE(SUBSTITUTE(SUBSTITUTE(SUBSTITUTE(J2447,"$",""),",","")," ","")),2),"bad")))</f>
        <v/>
      </c>
      <c r="P2447">
        <f>IF(TRIM(K2447)="","",IFERROR(MATCH(LOWER(TRIM(K2447)),'Students'!$AH$2:$AH$701,0),IFERROR(MATCH(LOWER(TRIM(K2447)),'Students'!$AF$2:$AF$701,0),IFERROR(MATCH(LOWER(TRIM(K2447)),'Students'!$AG$2:$AG$701,0),""))))</f>
        <v/>
      </c>
      <c r="R2447">
        <f>IF(P2447="","",INDEX('Students'!$AD$2:$AD$701,P2447))</f>
        <v/>
      </c>
      <c r="S2447">
        <f>IF(H2447="OK",O2447,0)</f>
        <v/>
      </c>
      <c r="T2447">
        <f>IF(H2447="OK",N2447,"")</f>
        <v/>
      </c>
      <c r="U2447">
        <f>IF(OC_Donor=0,"",IF(INDEX('OneCause_Paste'!$A$2447:$AZ$2447,1,OC_Donor)="","",INDEX('OneCause_Paste'!$A$2447:$AZ$2447,1,OC_Donor)))</f>
        <v/>
      </c>
    </row>
    <row r="2448">
      <c r="A2448" s="62">
        <f>IF(H2448="","",IF(ISNUMBER(N2448),N2448,I2448))</f>
        <v/>
      </c>
      <c r="B2448">
        <f>IF(H2448="","",U2448)</f>
        <v/>
      </c>
      <c r="C2448">
        <f>IF(H2448="","",IF(P2448="",K2448,INDEX('Students'!$A$2:$A$701,P2448)))</f>
        <v/>
      </c>
      <c r="D2448">
        <f>IF(OR(H2448="",P2448=""),"",INDEX('Students'!$B$2:$B$701,P2448))</f>
        <v/>
      </c>
      <c r="E2448">
        <f>IF(OR(H2448="",P2448=""),"",INDEX('Students'!$C$2:$C$701,P2448))</f>
        <v/>
      </c>
      <c r="F2448" s="48">
        <f>IF(H2448="","",IF(ISNUMBER(O2448),O2448,J2448))</f>
        <v/>
      </c>
      <c r="G2448">
        <f>IF(H2448="","","OneCause")</f>
        <v/>
      </c>
      <c r="H2448">
        <f>IF(AND(I2448="",J2448="",K2448=""),"",IF(NOT(ISNUMBER(O2448)),"Bad amount",IF(O2448&lt;0,"Refund (not counted)",IF(O2448=0,"Zero amount",IF(NOT(ISNUMBER(N2448)),"Bad date",IF(P2448="","NAME NOT ON ROSTER",IF(L2448="","OK",IF(MATCH(L2448,$L$2:$L$3001,0)&lt;ROW()-1,"Duplicate (ignored)","OK"))))))))</f>
        <v/>
      </c>
      <c r="I2448">
        <f>IF(OC_Date=0,"",IF(INDEX('OneCause_Paste'!$A$2448:$AZ$2448,1,OC_Date)="","",INDEX('OneCause_Paste'!$A$2448:$AZ$2448,1,OC_Date)))</f>
        <v/>
      </c>
      <c r="J2448">
        <f>IF(OC_Amt=0,"",IF(INDEX('OneCause_Paste'!$A$2448:$AZ$2448,1,OC_Amt)="","",INDEX('OneCause_Paste'!$A$2448:$AZ$2448,1,OC_Amt)))</f>
        <v/>
      </c>
      <c r="K2448">
        <f>IF(OC_Name=0,"",IF(INDEX('OneCause_Paste'!$A$2448:$AZ$2448,1,OC_Name)="","",INDEX('OneCause_Paste'!$A$2448:$AZ$2448,1,OC_Name)))</f>
        <v/>
      </c>
      <c r="L2448">
        <f>IF(OC_Txn=0,"",IF(INDEX('OneCause_Paste'!$A$2448:$AZ$2448,1,OC_Txn)="","",INDEX('OneCause_Paste'!$A$2448:$AZ$2448,1,OC_Txn)))</f>
        <v/>
      </c>
      <c r="M2448">
        <f>IF(OC_Pay=0,"",IF(INDEX('OneCause_Paste'!$A$2448:$AZ$2448,1,OC_Pay)="","",INDEX('OneCause_Paste'!$A$2448:$AZ$2448,1,OC_Pay)))</f>
        <v/>
      </c>
      <c r="N2448">
        <f>IF(I2448="","",IF(ISNUMBER(I2448),INT(I2448),IFERROR(INT(DATEVALUE(I2448)),IFERROR(INT(VALUE(I2448)),"bad"))))</f>
        <v/>
      </c>
      <c r="O2448">
        <f>IF(J2448="","",IF(ISNUMBER(J2448),ROUND(J2448,2),IFERROR(ROUND(VALUE(SUBSTITUTE(SUBSTITUTE(SUBSTITUTE(J2448,"$",""),",","")," ","")),2),"bad")))</f>
        <v/>
      </c>
      <c r="P2448">
        <f>IF(TRIM(K2448)="","",IFERROR(MATCH(LOWER(TRIM(K2448)),'Students'!$AH$2:$AH$701,0),IFERROR(MATCH(LOWER(TRIM(K2448)),'Students'!$AF$2:$AF$701,0),IFERROR(MATCH(LOWER(TRIM(K2448)),'Students'!$AG$2:$AG$701,0),""))))</f>
        <v/>
      </c>
      <c r="R2448">
        <f>IF(P2448="","",INDEX('Students'!$AD$2:$AD$701,P2448))</f>
        <v/>
      </c>
      <c r="S2448">
        <f>IF(H2448="OK",O2448,0)</f>
        <v/>
      </c>
      <c r="T2448">
        <f>IF(H2448="OK",N2448,"")</f>
        <v/>
      </c>
      <c r="U2448">
        <f>IF(OC_Donor=0,"",IF(INDEX('OneCause_Paste'!$A$2448:$AZ$2448,1,OC_Donor)="","",INDEX('OneCause_Paste'!$A$2448:$AZ$2448,1,OC_Donor)))</f>
        <v/>
      </c>
    </row>
    <row r="2449">
      <c r="A2449" s="62">
        <f>IF(H2449="","",IF(ISNUMBER(N2449),N2449,I2449))</f>
        <v/>
      </c>
      <c r="B2449">
        <f>IF(H2449="","",U2449)</f>
        <v/>
      </c>
      <c r="C2449">
        <f>IF(H2449="","",IF(P2449="",K2449,INDEX('Students'!$A$2:$A$701,P2449)))</f>
        <v/>
      </c>
      <c r="D2449">
        <f>IF(OR(H2449="",P2449=""),"",INDEX('Students'!$B$2:$B$701,P2449))</f>
        <v/>
      </c>
      <c r="E2449">
        <f>IF(OR(H2449="",P2449=""),"",INDEX('Students'!$C$2:$C$701,P2449))</f>
        <v/>
      </c>
      <c r="F2449" s="48">
        <f>IF(H2449="","",IF(ISNUMBER(O2449),O2449,J2449))</f>
        <v/>
      </c>
      <c r="G2449">
        <f>IF(H2449="","","OneCause")</f>
        <v/>
      </c>
      <c r="H2449">
        <f>IF(AND(I2449="",J2449="",K2449=""),"",IF(NOT(ISNUMBER(O2449)),"Bad amount",IF(O2449&lt;0,"Refund (not counted)",IF(O2449=0,"Zero amount",IF(NOT(ISNUMBER(N2449)),"Bad date",IF(P2449="","NAME NOT ON ROSTER",IF(L2449="","OK",IF(MATCH(L2449,$L$2:$L$3001,0)&lt;ROW()-1,"Duplicate (ignored)","OK"))))))))</f>
        <v/>
      </c>
      <c r="I2449">
        <f>IF(OC_Date=0,"",IF(INDEX('OneCause_Paste'!$A$2449:$AZ$2449,1,OC_Date)="","",INDEX('OneCause_Paste'!$A$2449:$AZ$2449,1,OC_Date)))</f>
        <v/>
      </c>
      <c r="J2449">
        <f>IF(OC_Amt=0,"",IF(INDEX('OneCause_Paste'!$A$2449:$AZ$2449,1,OC_Amt)="","",INDEX('OneCause_Paste'!$A$2449:$AZ$2449,1,OC_Amt)))</f>
        <v/>
      </c>
      <c r="K2449">
        <f>IF(OC_Name=0,"",IF(INDEX('OneCause_Paste'!$A$2449:$AZ$2449,1,OC_Name)="","",INDEX('OneCause_Paste'!$A$2449:$AZ$2449,1,OC_Name)))</f>
        <v/>
      </c>
      <c r="L2449">
        <f>IF(OC_Txn=0,"",IF(INDEX('OneCause_Paste'!$A$2449:$AZ$2449,1,OC_Txn)="","",INDEX('OneCause_Paste'!$A$2449:$AZ$2449,1,OC_Txn)))</f>
        <v/>
      </c>
      <c r="M2449">
        <f>IF(OC_Pay=0,"",IF(INDEX('OneCause_Paste'!$A$2449:$AZ$2449,1,OC_Pay)="","",INDEX('OneCause_Paste'!$A$2449:$AZ$2449,1,OC_Pay)))</f>
        <v/>
      </c>
      <c r="N2449">
        <f>IF(I2449="","",IF(ISNUMBER(I2449),INT(I2449),IFERROR(INT(DATEVALUE(I2449)),IFERROR(INT(VALUE(I2449)),"bad"))))</f>
        <v/>
      </c>
      <c r="O2449">
        <f>IF(J2449="","",IF(ISNUMBER(J2449),ROUND(J2449,2),IFERROR(ROUND(VALUE(SUBSTITUTE(SUBSTITUTE(SUBSTITUTE(J2449,"$",""),",","")," ","")),2),"bad")))</f>
        <v/>
      </c>
      <c r="P2449">
        <f>IF(TRIM(K2449)="","",IFERROR(MATCH(LOWER(TRIM(K2449)),'Students'!$AH$2:$AH$701,0),IFERROR(MATCH(LOWER(TRIM(K2449)),'Students'!$AF$2:$AF$701,0),IFERROR(MATCH(LOWER(TRIM(K2449)),'Students'!$AG$2:$AG$701,0),""))))</f>
        <v/>
      </c>
      <c r="R2449">
        <f>IF(P2449="","",INDEX('Students'!$AD$2:$AD$701,P2449))</f>
        <v/>
      </c>
      <c r="S2449">
        <f>IF(H2449="OK",O2449,0)</f>
        <v/>
      </c>
      <c r="T2449">
        <f>IF(H2449="OK",N2449,"")</f>
        <v/>
      </c>
      <c r="U2449">
        <f>IF(OC_Donor=0,"",IF(INDEX('OneCause_Paste'!$A$2449:$AZ$2449,1,OC_Donor)="","",INDEX('OneCause_Paste'!$A$2449:$AZ$2449,1,OC_Donor)))</f>
        <v/>
      </c>
    </row>
    <row r="2450">
      <c r="A2450" s="62">
        <f>IF(H2450="","",IF(ISNUMBER(N2450),N2450,I2450))</f>
        <v/>
      </c>
      <c r="B2450">
        <f>IF(H2450="","",U2450)</f>
        <v/>
      </c>
      <c r="C2450">
        <f>IF(H2450="","",IF(P2450="",K2450,INDEX('Students'!$A$2:$A$701,P2450)))</f>
        <v/>
      </c>
      <c r="D2450">
        <f>IF(OR(H2450="",P2450=""),"",INDEX('Students'!$B$2:$B$701,P2450))</f>
        <v/>
      </c>
      <c r="E2450">
        <f>IF(OR(H2450="",P2450=""),"",INDEX('Students'!$C$2:$C$701,P2450))</f>
        <v/>
      </c>
      <c r="F2450" s="48">
        <f>IF(H2450="","",IF(ISNUMBER(O2450),O2450,J2450))</f>
        <v/>
      </c>
      <c r="G2450">
        <f>IF(H2450="","","OneCause")</f>
        <v/>
      </c>
      <c r="H2450">
        <f>IF(AND(I2450="",J2450="",K2450=""),"",IF(NOT(ISNUMBER(O2450)),"Bad amount",IF(O2450&lt;0,"Refund (not counted)",IF(O2450=0,"Zero amount",IF(NOT(ISNUMBER(N2450)),"Bad date",IF(P2450="","NAME NOT ON ROSTER",IF(L2450="","OK",IF(MATCH(L2450,$L$2:$L$3001,0)&lt;ROW()-1,"Duplicate (ignored)","OK"))))))))</f>
        <v/>
      </c>
      <c r="I2450">
        <f>IF(OC_Date=0,"",IF(INDEX('OneCause_Paste'!$A$2450:$AZ$2450,1,OC_Date)="","",INDEX('OneCause_Paste'!$A$2450:$AZ$2450,1,OC_Date)))</f>
        <v/>
      </c>
      <c r="J2450">
        <f>IF(OC_Amt=0,"",IF(INDEX('OneCause_Paste'!$A$2450:$AZ$2450,1,OC_Amt)="","",INDEX('OneCause_Paste'!$A$2450:$AZ$2450,1,OC_Amt)))</f>
        <v/>
      </c>
      <c r="K2450">
        <f>IF(OC_Name=0,"",IF(INDEX('OneCause_Paste'!$A$2450:$AZ$2450,1,OC_Name)="","",INDEX('OneCause_Paste'!$A$2450:$AZ$2450,1,OC_Name)))</f>
        <v/>
      </c>
      <c r="L2450">
        <f>IF(OC_Txn=0,"",IF(INDEX('OneCause_Paste'!$A$2450:$AZ$2450,1,OC_Txn)="","",INDEX('OneCause_Paste'!$A$2450:$AZ$2450,1,OC_Txn)))</f>
        <v/>
      </c>
      <c r="M2450">
        <f>IF(OC_Pay=0,"",IF(INDEX('OneCause_Paste'!$A$2450:$AZ$2450,1,OC_Pay)="","",INDEX('OneCause_Paste'!$A$2450:$AZ$2450,1,OC_Pay)))</f>
        <v/>
      </c>
      <c r="N2450">
        <f>IF(I2450="","",IF(ISNUMBER(I2450),INT(I2450),IFERROR(INT(DATEVALUE(I2450)),IFERROR(INT(VALUE(I2450)),"bad"))))</f>
        <v/>
      </c>
      <c r="O2450">
        <f>IF(J2450="","",IF(ISNUMBER(J2450),ROUND(J2450,2),IFERROR(ROUND(VALUE(SUBSTITUTE(SUBSTITUTE(SUBSTITUTE(J2450,"$",""),",","")," ","")),2),"bad")))</f>
        <v/>
      </c>
      <c r="P2450">
        <f>IF(TRIM(K2450)="","",IFERROR(MATCH(LOWER(TRIM(K2450)),'Students'!$AH$2:$AH$701,0),IFERROR(MATCH(LOWER(TRIM(K2450)),'Students'!$AF$2:$AF$701,0),IFERROR(MATCH(LOWER(TRIM(K2450)),'Students'!$AG$2:$AG$701,0),""))))</f>
        <v/>
      </c>
      <c r="R2450">
        <f>IF(P2450="","",INDEX('Students'!$AD$2:$AD$701,P2450))</f>
        <v/>
      </c>
      <c r="S2450">
        <f>IF(H2450="OK",O2450,0)</f>
        <v/>
      </c>
      <c r="T2450">
        <f>IF(H2450="OK",N2450,"")</f>
        <v/>
      </c>
      <c r="U2450">
        <f>IF(OC_Donor=0,"",IF(INDEX('OneCause_Paste'!$A$2450:$AZ$2450,1,OC_Donor)="","",INDEX('OneCause_Paste'!$A$2450:$AZ$2450,1,OC_Donor)))</f>
        <v/>
      </c>
    </row>
    <row r="2451">
      <c r="A2451" s="62">
        <f>IF(H2451="","",IF(ISNUMBER(N2451),N2451,I2451))</f>
        <v/>
      </c>
      <c r="B2451">
        <f>IF(H2451="","",U2451)</f>
        <v/>
      </c>
      <c r="C2451">
        <f>IF(H2451="","",IF(P2451="",K2451,INDEX('Students'!$A$2:$A$701,P2451)))</f>
        <v/>
      </c>
      <c r="D2451">
        <f>IF(OR(H2451="",P2451=""),"",INDEX('Students'!$B$2:$B$701,P2451))</f>
        <v/>
      </c>
      <c r="E2451">
        <f>IF(OR(H2451="",P2451=""),"",INDEX('Students'!$C$2:$C$701,P2451))</f>
        <v/>
      </c>
      <c r="F2451" s="48">
        <f>IF(H2451="","",IF(ISNUMBER(O2451),O2451,J2451))</f>
        <v/>
      </c>
      <c r="G2451">
        <f>IF(H2451="","","OneCause")</f>
        <v/>
      </c>
      <c r="H2451">
        <f>IF(AND(I2451="",J2451="",K2451=""),"",IF(NOT(ISNUMBER(O2451)),"Bad amount",IF(O2451&lt;0,"Refund (not counted)",IF(O2451=0,"Zero amount",IF(NOT(ISNUMBER(N2451)),"Bad date",IF(P2451="","NAME NOT ON ROSTER",IF(L2451="","OK",IF(MATCH(L2451,$L$2:$L$3001,0)&lt;ROW()-1,"Duplicate (ignored)","OK"))))))))</f>
        <v/>
      </c>
      <c r="I2451">
        <f>IF(OC_Date=0,"",IF(INDEX('OneCause_Paste'!$A$2451:$AZ$2451,1,OC_Date)="","",INDEX('OneCause_Paste'!$A$2451:$AZ$2451,1,OC_Date)))</f>
        <v/>
      </c>
      <c r="J2451">
        <f>IF(OC_Amt=0,"",IF(INDEX('OneCause_Paste'!$A$2451:$AZ$2451,1,OC_Amt)="","",INDEX('OneCause_Paste'!$A$2451:$AZ$2451,1,OC_Amt)))</f>
        <v/>
      </c>
      <c r="K2451">
        <f>IF(OC_Name=0,"",IF(INDEX('OneCause_Paste'!$A$2451:$AZ$2451,1,OC_Name)="","",INDEX('OneCause_Paste'!$A$2451:$AZ$2451,1,OC_Name)))</f>
        <v/>
      </c>
      <c r="L2451">
        <f>IF(OC_Txn=0,"",IF(INDEX('OneCause_Paste'!$A$2451:$AZ$2451,1,OC_Txn)="","",INDEX('OneCause_Paste'!$A$2451:$AZ$2451,1,OC_Txn)))</f>
        <v/>
      </c>
      <c r="M2451">
        <f>IF(OC_Pay=0,"",IF(INDEX('OneCause_Paste'!$A$2451:$AZ$2451,1,OC_Pay)="","",INDEX('OneCause_Paste'!$A$2451:$AZ$2451,1,OC_Pay)))</f>
        <v/>
      </c>
      <c r="N2451">
        <f>IF(I2451="","",IF(ISNUMBER(I2451),INT(I2451),IFERROR(INT(DATEVALUE(I2451)),IFERROR(INT(VALUE(I2451)),"bad"))))</f>
        <v/>
      </c>
      <c r="O2451">
        <f>IF(J2451="","",IF(ISNUMBER(J2451),ROUND(J2451,2),IFERROR(ROUND(VALUE(SUBSTITUTE(SUBSTITUTE(SUBSTITUTE(J2451,"$",""),",","")," ","")),2),"bad")))</f>
        <v/>
      </c>
      <c r="P2451">
        <f>IF(TRIM(K2451)="","",IFERROR(MATCH(LOWER(TRIM(K2451)),'Students'!$AH$2:$AH$701,0),IFERROR(MATCH(LOWER(TRIM(K2451)),'Students'!$AF$2:$AF$701,0),IFERROR(MATCH(LOWER(TRIM(K2451)),'Students'!$AG$2:$AG$701,0),""))))</f>
        <v/>
      </c>
      <c r="R2451">
        <f>IF(P2451="","",INDEX('Students'!$AD$2:$AD$701,P2451))</f>
        <v/>
      </c>
      <c r="S2451">
        <f>IF(H2451="OK",O2451,0)</f>
        <v/>
      </c>
      <c r="T2451">
        <f>IF(H2451="OK",N2451,"")</f>
        <v/>
      </c>
      <c r="U2451">
        <f>IF(OC_Donor=0,"",IF(INDEX('OneCause_Paste'!$A$2451:$AZ$2451,1,OC_Donor)="","",INDEX('OneCause_Paste'!$A$2451:$AZ$2451,1,OC_Donor)))</f>
        <v/>
      </c>
    </row>
    <row r="2452">
      <c r="A2452" s="62">
        <f>IF(H2452="","",IF(ISNUMBER(N2452),N2452,I2452))</f>
        <v/>
      </c>
      <c r="B2452">
        <f>IF(H2452="","",U2452)</f>
        <v/>
      </c>
      <c r="C2452">
        <f>IF(H2452="","",IF(P2452="",K2452,INDEX('Students'!$A$2:$A$701,P2452)))</f>
        <v/>
      </c>
      <c r="D2452">
        <f>IF(OR(H2452="",P2452=""),"",INDEX('Students'!$B$2:$B$701,P2452))</f>
        <v/>
      </c>
      <c r="E2452">
        <f>IF(OR(H2452="",P2452=""),"",INDEX('Students'!$C$2:$C$701,P2452))</f>
        <v/>
      </c>
      <c r="F2452" s="48">
        <f>IF(H2452="","",IF(ISNUMBER(O2452),O2452,J2452))</f>
        <v/>
      </c>
      <c r="G2452">
        <f>IF(H2452="","","OneCause")</f>
        <v/>
      </c>
      <c r="H2452">
        <f>IF(AND(I2452="",J2452="",K2452=""),"",IF(NOT(ISNUMBER(O2452)),"Bad amount",IF(O2452&lt;0,"Refund (not counted)",IF(O2452=0,"Zero amount",IF(NOT(ISNUMBER(N2452)),"Bad date",IF(P2452="","NAME NOT ON ROSTER",IF(L2452="","OK",IF(MATCH(L2452,$L$2:$L$3001,0)&lt;ROW()-1,"Duplicate (ignored)","OK"))))))))</f>
        <v/>
      </c>
      <c r="I2452">
        <f>IF(OC_Date=0,"",IF(INDEX('OneCause_Paste'!$A$2452:$AZ$2452,1,OC_Date)="","",INDEX('OneCause_Paste'!$A$2452:$AZ$2452,1,OC_Date)))</f>
        <v/>
      </c>
      <c r="J2452">
        <f>IF(OC_Amt=0,"",IF(INDEX('OneCause_Paste'!$A$2452:$AZ$2452,1,OC_Amt)="","",INDEX('OneCause_Paste'!$A$2452:$AZ$2452,1,OC_Amt)))</f>
        <v/>
      </c>
      <c r="K2452">
        <f>IF(OC_Name=0,"",IF(INDEX('OneCause_Paste'!$A$2452:$AZ$2452,1,OC_Name)="","",INDEX('OneCause_Paste'!$A$2452:$AZ$2452,1,OC_Name)))</f>
        <v/>
      </c>
      <c r="L2452">
        <f>IF(OC_Txn=0,"",IF(INDEX('OneCause_Paste'!$A$2452:$AZ$2452,1,OC_Txn)="","",INDEX('OneCause_Paste'!$A$2452:$AZ$2452,1,OC_Txn)))</f>
        <v/>
      </c>
      <c r="M2452">
        <f>IF(OC_Pay=0,"",IF(INDEX('OneCause_Paste'!$A$2452:$AZ$2452,1,OC_Pay)="","",INDEX('OneCause_Paste'!$A$2452:$AZ$2452,1,OC_Pay)))</f>
        <v/>
      </c>
      <c r="N2452">
        <f>IF(I2452="","",IF(ISNUMBER(I2452),INT(I2452),IFERROR(INT(DATEVALUE(I2452)),IFERROR(INT(VALUE(I2452)),"bad"))))</f>
        <v/>
      </c>
      <c r="O2452">
        <f>IF(J2452="","",IF(ISNUMBER(J2452),ROUND(J2452,2),IFERROR(ROUND(VALUE(SUBSTITUTE(SUBSTITUTE(SUBSTITUTE(J2452,"$",""),",","")," ","")),2),"bad")))</f>
        <v/>
      </c>
      <c r="P2452">
        <f>IF(TRIM(K2452)="","",IFERROR(MATCH(LOWER(TRIM(K2452)),'Students'!$AH$2:$AH$701,0),IFERROR(MATCH(LOWER(TRIM(K2452)),'Students'!$AF$2:$AF$701,0),IFERROR(MATCH(LOWER(TRIM(K2452)),'Students'!$AG$2:$AG$701,0),""))))</f>
        <v/>
      </c>
      <c r="R2452">
        <f>IF(P2452="","",INDEX('Students'!$AD$2:$AD$701,P2452))</f>
        <v/>
      </c>
      <c r="S2452">
        <f>IF(H2452="OK",O2452,0)</f>
        <v/>
      </c>
      <c r="T2452">
        <f>IF(H2452="OK",N2452,"")</f>
        <v/>
      </c>
      <c r="U2452">
        <f>IF(OC_Donor=0,"",IF(INDEX('OneCause_Paste'!$A$2452:$AZ$2452,1,OC_Donor)="","",INDEX('OneCause_Paste'!$A$2452:$AZ$2452,1,OC_Donor)))</f>
        <v/>
      </c>
    </row>
    <row r="2453">
      <c r="A2453" s="62">
        <f>IF(H2453="","",IF(ISNUMBER(N2453),N2453,I2453))</f>
        <v/>
      </c>
      <c r="B2453">
        <f>IF(H2453="","",U2453)</f>
        <v/>
      </c>
      <c r="C2453">
        <f>IF(H2453="","",IF(P2453="",K2453,INDEX('Students'!$A$2:$A$701,P2453)))</f>
        <v/>
      </c>
      <c r="D2453">
        <f>IF(OR(H2453="",P2453=""),"",INDEX('Students'!$B$2:$B$701,P2453))</f>
        <v/>
      </c>
      <c r="E2453">
        <f>IF(OR(H2453="",P2453=""),"",INDEX('Students'!$C$2:$C$701,P2453))</f>
        <v/>
      </c>
      <c r="F2453" s="48">
        <f>IF(H2453="","",IF(ISNUMBER(O2453),O2453,J2453))</f>
        <v/>
      </c>
      <c r="G2453">
        <f>IF(H2453="","","OneCause")</f>
        <v/>
      </c>
      <c r="H2453">
        <f>IF(AND(I2453="",J2453="",K2453=""),"",IF(NOT(ISNUMBER(O2453)),"Bad amount",IF(O2453&lt;0,"Refund (not counted)",IF(O2453=0,"Zero amount",IF(NOT(ISNUMBER(N2453)),"Bad date",IF(P2453="","NAME NOT ON ROSTER",IF(L2453="","OK",IF(MATCH(L2453,$L$2:$L$3001,0)&lt;ROW()-1,"Duplicate (ignored)","OK"))))))))</f>
        <v/>
      </c>
      <c r="I2453">
        <f>IF(OC_Date=0,"",IF(INDEX('OneCause_Paste'!$A$2453:$AZ$2453,1,OC_Date)="","",INDEX('OneCause_Paste'!$A$2453:$AZ$2453,1,OC_Date)))</f>
        <v/>
      </c>
      <c r="J2453">
        <f>IF(OC_Amt=0,"",IF(INDEX('OneCause_Paste'!$A$2453:$AZ$2453,1,OC_Amt)="","",INDEX('OneCause_Paste'!$A$2453:$AZ$2453,1,OC_Amt)))</f>
        <v/>
      </c>
      <c r="K2453">
        <f>IF(OC_Name=0,"",IF(INDEX('OneCause_Paste'!$A$2453:$AZ$2453,1,OC_Name)="","",INDEX('OneCause_Paste'!$A$2453:$AZ$2453,1,OC_Name)))</f>
        <v/>
      </c>
      <c r="L2453">
        <f>IF(OC_Txn=0,"",IF(INDEX('OneCause_Paste'!$A$2453:$AZ$2453,1,OC_Txn)="","",INDEX('OneCause_Paste'!$A$2453:$AZ$2453,1,OC_Txn)))</f>
        <v/>
      </c>
      <c r="M2453">
        <f>IF(OC_Pay=0,"",IF(INDEX('OneCause_Paste'!$A$2453:$AZ$2453,1,OC_Pay)="","",INDEX('OneCause_Paste'!$A$2453:$AZ$2453,1,OC_Pay)))</f>
        <v/>
      </c>
      <c r="N2453">
        <f>IF(I2453="","",IF(ISNUMBER(I2453),INT(I2453),IFERROR(INT(DATEVALUE(I2453)),IFERROR(INT(VALUE(I2453)),"bad"))))</f>
        <v/>
      </c>
      <c r="O2453">
        <f>IF(J2453="","",IF(ISNUMBER(J2453),ROUND(J2453,2),IFERROR(ROUND(VALUE(SUBSTITUTE(SUBSTITUTE(SUBSTITUTE(J2453,"$",""),",","")," ","")),2),"bad")))</f>
        <v/>
      </c>
      <c r="P2453">
        <f>IF(TRIM(K2453)="","",IFERROR(MATCH(LOWER(TRIM(K2453)),'Students'!$AH$2:$AH$701,0),IFERROR(MATCH(LOWER(TRIM(K2453)),'Students'!$AF$2:$AF$701,0),IFERROR(MATCH(LOWER(TRIM(K2453)),'Students'!$AG$2:$AG$701,0),""))))</f>
        <v/>
      </c>
      <c r="R2453">
        <f>IF(P2453="","",INDEX('Students'!$AD$2:$AD$701,P2453))</f>
        <v/>
      </c>
      <c r="S2453">
        <f>IF(H2453="OK",O2453,0)</f>
        <v/>
      </c>
      <c r="T2453">
        <f>IF(H2453="OK",N2453,"")</f>
        <v/>
      </c>
      <c r="U2453">
        <f>IF(OC_Donor=0,"",IF(INDEX('OneCause_Paste'!$A$2453:$AZ$2453,1,OC_Donor)="","",INDEX('OneCause_Paste'!$A$2453:$AZ$2453,1,OC_Donor)))</f>
        <v/>
      </c>
    </row>
    <row r="2454">
      <c r="A2454" s="62">
        <f>IF(H2454="","",IF(ISNUMBER(N2454),N2454,I2454))</f>
        <v/>
      </c>
      <c r="B2454">
        <f>IF(H2454="","",U2454)</f>
        <v/>
      </c>
      <c r="C2454">
        <f>IF(H2454="","",IF(P2454="",K2454,INDEX('Students'!$A$2:$A$701,P2454)))</f>
        <v/>
      </c>
      <c r="D2454">
        <f>IF(OR(H2454="",P2454=""),"",INDEX('Students'!$B$2:$B$701,P2454))</f>
        <v/>
      </c>
      <c r="E2454">
        <f>IF(OR(H2454="",P2454=""),"",INDEX('Students'!$C$2:$C$701,P2454))</f>
        <v/>
      </c>
      <c r="F2454" s="48">
        <f>IF(H2454="","",IF(ISNUMBER(O2454),O2454,J2454))</f>
        <v/>
      </c>
      <c r="G2454">
        <f>IF(H2454="","","OneCause")</f>
        <v/>
      </c>
      <c r="H2454">
        <f>IF(AND(I2454="",J2454="",K2454=""),"",IF(NOT(ISNUMBER(O2454)),"Bad amount",IF(O2454&lt;0,"Refund (not counted)",IF(O2454=0,"Zero amount",IF(NOT(ISNUMBER(N2454)),"Bad date",IF(P2454="","NAME NOT ON ROSTER",IF(L2454="","OK",IF(MATCH(L2454,$L$2:$L$3001,0)&lt;ROW()-1,"Duplicate (ignored)","OK"))))))))</f>
        <v/>
      </c>
      <c r="I2454">
        <f>IF(OC_Date=0,"",IF(INDEX('OneCause_Paste'!$A$2454:$AZ$2454,1,OC_Date)="","",INDEX('OneCause_Paste'!$A$2454:$AZ$2454,1,OC_Date)))</f>
        <v/>
      </c>
      <c r="J2454">
        <f>IF(OC_Amt=0,"",IF(INDEX('OneCause_Paste'!$A$2454:$AZ$2454,1,OC_Amt)="","",INDEX('OneCause_Paste'!$A$2454:$AZ$2454,1,OC_Amt)))</f>
        <v/>
      </c>
      <c r="K2454">
        <f>IF(OC_Name=0,"",IF(INDEX('OneCause_Paste'!$A$2454:$AZ$2454,1,OC_Name)="","",INDEX('OneCause_Paste'!$A$2454:$AZ$2454,1,OC_Name)))</f>
        <v/>
      </c>
      <c r="L2454">
        <f>IF(OC_Txn=0,"",IF(INDEX('OneCause_Paste'!$A$2454:$AZ$2454,1,OC_Txn)="","",INDEX('OneCause_Paste'!$A$2454:$AZ$2454,1,OC_Txn)))</f>
        <v/>
      </c>
      <c r="M2454">
        <f>IF(OC_Pay=0,"",IF(INDEX('OneCause_Paste'!$A$2454:$AZ$2454,1,OC_Pay)="","",INDEX('OneCause_Paste'!$A$2454:$AZ$2454,1,OC_Pay)))</f>
        <v/>
      </c>
      <c r="N2454">
        <f>IF(I2454="","",IF(ISNUMBER(I2454),INT(I2454),IFERROR(INT(DATEVALUE(I2454)),IFERROR(INT(VALUE(I2454)),"bad"))))</f>
        <v/>
      </c>
      <c r="O2454">
        <f>IF(J2454="","",IF(ISNUMBER(J2454),ROUND(J2454,2),IFERROR(ROUND(VALUE(SUBSTITUTE(SUBSTITUTE(SUBSTITUTE(J2454,"$",""),",","")," ","")),2),"bad")))</f>
        <v/>
      </c>
      <c r="P2454">
        <f>IF(TRIM(K2454)="","",IFERROR(MATCH(LOWER(TRIM(K2454)),'Students'!$AH$2:$AH$701,0),IFERROR(MATCH(LOWER(TRIM(K2454)),'Students'!$AF$2:$AF$701,0),IFERROR(MATCH(LOWER(TRIM(K2454)),'Students'!$AG$2:$AG$701,0),""))))</f>
        <v/>
      </c>
      <c r="R2454">
        <f>IF(P2454="","",INDEX('Students'!$AD$2:$AD$701,P2454))</f>
        <v/>
      </c>
      <c r="S2454">
        <f>IF(H2454="OK",O2454,0)</f>
        <v/>
      </c>
      <c r="T2454">
        <f>IF(H2454="OK",N2454,"")</f>
        <v/>
      </c>
      <c r="U2454">
        <f>IF(OC_Donor=0,"",IF(INDEX('OneCause_Paste'!$A$2454:$AZ$2454,1,OC_Donor)="","",INDEX('OneCause_Paste'!$A$2454:$AZ$2454,1,OC_Donor)))</f>
        <v/>
      </c>
    </row>
    <row r="2455">
      <c r="A2455" s="62">
        <f>IF(H2455="","",IF(ISNUMBER(N2455),N2455,I2455))</f>
        <v/>
      </c>
      <c r="B2455">
        <f>IF(H2455="","",U2455)</f>
        <v/>
      </c>
      <c r="C2455">
        <f>IF(H2455="","",IF(P2455="",K2455,INDEX('Students'!$A$2:$A$701,P2455)))</f>
        <v/>
      </c>
      <c r="D2455">
        <f>IF(OR(H2455="",P2455=""),"",INDEX('Students'!$B$2:$B$701,P2455))</f>
        <v/>
      </c>
      <c r="E2455">
        <f>IF(OR(H2455="",P2455=""),"",INDEX('Students'!$C$2:$C$701,P2455))</f>
        <v/>
      </c>
      <c r="F2455" s="48">
        <f>IF(H2455="","",IF(ISNUMBER(O2455),O2455,J2455))</f>
        <v/>
      </c>
      <c r="G2455">
        <f>IF(H2455="","","OneCause")</f>
        <v/>
      </c>
      <c r="H2455">
        <f>IF(AND(I2455="",J2455="",K2455=""),"",IF(NOT(ISNUMBER(O2455)),"Bad amount",IF(O2455&lt;0,"Refund (not counted)",IF(O2455=0,"Zero amount",IF(NOT(ISNUMBER(N2455)),"Bad date",IF(P2455="","NAME NOT ON ROSTER",IF(L2455="","OK",IF(MATCH(L2455,$L$2:$L$3001,0)&lt;ROW()-1,"Duplicate (ignored)","OK"))))))))</f>
        <v/>
      </c>
      <c r="I2455">
        <f>IF(OC_Date=0,"",IF(INDEX('OneCause_Paste'!$A$2455:$AZ$2455,1,OC_Date)="","",INDEX('OneCause_Paste'!$A$2455:$AZ$2455,1,OC_Date)))</f>
        <v/>
      </c>
      <c r="J2455">
        <f>IF(OC_Amt=0,"",IF(INDEX('OneCause_Paste'!$A$2455:$AZ$2455,1,OC_Amt)="","",INDEX('OneCause_Paste'!$A$2455:$AZ$2455,1,OC_Amt)))</f>
        <v/>
      </c>
      <c r="K2455">
        <f>IF(OC_Name=0,"",IF(INDEX('OneCause_Paste'!$A$2455:$AZ$2455,1,OC_Name)="","",INDEX('OneCause_Paste'!$A$2455:$AZ$2455,1,OC_Name)))</f>
        <v/>
      </c>
      <c r="L2455">
        <f>IF(OC_Txn=0,"",IF(INDEX('OneCause_Paste'!$A$2455:$AZ$2455,1,OC_Txn)="","",INDEX('OneCause_Paste'!$A$2455:$AZ$2455,1,OC_Txn)))</f>
        <v/>
      </c>
      <c r="M2455">
        <f>IF(OC_Pay=0,"",IF(INDEX('OneCause_Paste'!$A$2455:$AZ$2455,1,OC_Pay)="","",INDEX('OneCause_Paste'!$A$2455:$AZ$2455,1,OC_Pay)))</f>
        <v/>
      </c>
      <c r="N2455">
        <f>IF(I2455="","",IF(ISNUMBER(I2455),INT(I2455),IFERROR(INT(DATEVALUE(I2455)),IFERROR(INT(VALUE(I2455)),"bad"))))</f>
        <v/>
      </c>
      <c r="O2455">
        <f>IF(J2455="","",IF(ISNUMBER(J2455),ROUND(J2455,2),IFERROR(ROUND(VALUE(SUBSTITUTE(SUBSTITUTE(SUBSTITUTE(J2455,"$",""),",","")," ","")),2),"bad")))</f>
        <v/>
      </c>
      <c r="P2455">
        <f>IF(TRIM(K2455)="","",IFERROR(MATCH(LOWER(TRIM(K2455)),'Students'!$AH$2:$AH$701,0),IFERROR(MATCH(LOWER(TRIM(K2455)),'Students'!$AF$2:$AF$701,0),IFERROR(MATCH(LOWER(TRIM(K2455)),'Students'!$AG$2:$AG$701,0),""))))</f>
        <v/>
      </c>
      <c r="R2455">
        <f>IF(P2455="","",INDEX('Students'!$AD$2:$AD$701,P2455))</f>
        <v/>
      </c>
      <c r="S2455">
        <f>IF(H2455="OK",O2455,0)</f>
        <v/>
      </c>
      <c r="T2455">
        <f>IF(H2455="OK",N2455,"")</f>
        <v/>
      </c>
      <c r="U2455">
        <f>IF(OC_Donor=0,"",IF(INDEX('OneCause_Paste'!$A$2455:$AZ$2455,1,OC_Donor)="","",INDEX('OneCause_Paste'!$A$2455:$AZ$2455,1,OC_Donor)))</f>
        <v/>
      </c>
    </row>
    <row r="2456">
      <c r="A2456" s="62">
        <f>IF(H2456="","",IF(ISNUMBER(N2456),N2456,I2456))</f>
        <v/>
      </c>
      <c r="B2456">
        <f>IF(H2456="","",U2456)</f>
        <v/>
      </c>
      <c r="C2456">
        <f>IF(H2456="","",IF(P2456="",K2456,INDEX('Students'!$A$2:$A$701,P2456)))</f>
        <v/>
      </c>
      <c r="D2456">
        <f>IF(OR(H2456="",P2456=""),"",INDEX('Students'!$B$2:$B$701,P2456))</f>
        <v/>
      </c>
      <c r="E2456">
        <f>IF(OR(H2456="",P2456=""),"",INDEX('Students'!$C$2:$C$701,P2456))</f>
        <v/>
      </c>
      <c r="F2456" s="48">
        <f>IF(H2456="","",IF(ISNUMBER(O2456),O2456,J2456))</f>
        <v/>
      </c>
      <c r="G2456">
        <f>IF(H2456="","","OneCause")</f>
        <v/>
      </c>
      <c r="H2456">
        <f>IF(AND(I2456="",J2456="",K2456=""),"",IF(NOT(ISNUMBER(O2456)),"Bad amount",IF(O2456&lt;0,"Refund (not counted)",IF(O2456=0,"Zero amount",IF(NOT(ISNUMBER(N2456)),"Bad date",IF(P2456="","NAME NOT ON ROSTER",IF(L2456="","OK",IF(MATCH(L2456,$L$2:$L$3001,0)&lt;ROW()-1,"Duplicate (ignored)","OK"))))))))</f>
        <v/>
      </c>
      <c r="I2456">
        <f>IF(OC_Date=0,"",IF(INDEX('OneCause_Paste'!$A$2456:$AZ$2456,1,OC_Date)="","",INDEX('OneCause_Paste'!$A$2456:$AZ$2456,1,OC_Date)))</f>
        <v/>
      </c>
      <c r="J2456">
        <f>IF(OC_Amt=0,"",IF(INDEX('OneCause_Paste'!$A$2456:$AZ$2456,1,OC_Amt)="","",INDEX('OneCause_Paste'!$A$2456:$AZ$2456,1,OC_Amt)))</f>
        <v/>
      </c>
      <c r="K2456">
        <f>IF(OC_Name=0,"",IF(INDEX('OneCause_Paste'!$A$2456:$AZ$2456,1,OC_Name)="","",INDEX('OneCause_Paste'!$A$2456:$AZ$2456,1,OC_Name)))</f>
        <v/>
      </c>
      <c r="L2456">
        <f>IF(OC_Txn=0,"",IF(INDEX('OneCause_Paste'!$A$2456:$AZ$2456,1,OC_Txn)="","",INDEX('OneCause_Paste'!$A$2456:$AZ$2456,1,OC_Txn)))</f>
        <v/>
      </c>
      <c r="M2456">
        <f>IF(OC_Pay=0,"",IF(INDEX('OneCause_Paste'!$A$2456:$AZ$2456,1,OC_Pay)="","",INDEX('OneCause_Paste'!$A$2456:$AZ$2456,1,OC_Pay)))</f>
        <v/>
      </c>
      <c r="N2456">
        <f>IF(I2456="","",IF(ISNUMBER(I2456),INT(I2456),IFERROR(INT(DATEVALUE(I2456)),IFERROR(INT(VALUE(I2456)),"bad"))))</f>
        <v/>
      </c>
      <c r="O2456">
        <f>IF(J2456="","",IF(ISNUMBER(J2456),ROUND(J2456,2),IFERROR(ROUND(VALUE(SUBSTITUTE(SUBSTITUTE(SUBSTITUTE(J2456,"$",""),",","")," ","")),2),"bad")))</f>
        <v/>
      </c>
      <c r="P2456">
        <f>IF(TRIM(K2456)="","",IFERROR(MATCH(LOWER(TRIM(K2456)),'Students'!$AH$2:$AH$701,0),IFERROR(MATCH(LOWER(TRIM(K2456)),'Students'!$AF$2:$AF$701,0),IFERROR(MATCH(LOWER(TRIM(K2456)),'Students'!$AG$2:$AG$701,0),""))))</f>
        <v/>
      </c>
      <c r="R2456">
        <f>IF(P2456="","",INDEX('Students'!$AD$2:$AD$701,P2456))</f>
        <v/>
      </c>
      <c r="S2456">
        <f>IF(H2456="OK",O2456,0)</f>
        <v/>
      </c>
      <c r="T2456">
        <f>IF(H2456="OK",N2456,"")</f>
        <v/>
      </c>
      <c r="U2456">
        <f>IF(OC_Donor=0,"",IF(INDEX('OneCause_Paste'!$A$2456:$AZ$2456,1,OC_Donor)="","",INDEX('OneCause_Paste'!$A$2456:$AZ$2456,1,OC_Donor)))</f>
        <v/>
      </c>
    </row>
    <row r="2457">
      <c r="A2457" s="62">
        <f>IF(H2457="","",IF(ISNUMBER(N2457),N2457,I2457))</f>
        <v/>
      </c>
      <c r="B2457">
        <f>IF(H2457="","",U2457)</f>
        <v/>
      </c>
      <c r="C2457">
        <f>IF(H2457="","",IF(P2457="",K2457,INDEX('Students'!$A$2:$A$701,P2457)))</f>
        <v/>
      </c>
      <c r="D2457">
        <f>IF(OR(H2457="",P2457=""),"",INDEX('Students'!$B$2:$B$701,P2457))</f>
        <v/>
      </c>
      <c r="E2457">
        <f>IF(OR(H2457="",P2457=""),"",INDEX('Students'!$C$2:$C$701,P2457))</f>
        <v/>
      </c>
      <c r="F2457" s="48">
        <f>IF(H2457="","",IF(ISNUMBER(O2457),O2457,J2457))</f>
        <v/>
      </c>
      <c r="G2457">
        <f>IF(H2457="","","OneCause")</f>
        <v/>
      </c>
      <c r="H2457">
        <f>IF(AND(I2457="",J2457="",K2457=""),"",IF(NOT(ISNUMBER(O2457)),"Bad amount",IF(O2457&lt;0,"Refund (not counted)",IF(O2457=0,"Zero amount",IF(NOT(ISNUMBER(N2457)),"Bad date",IF(P2457="","NAME NOT ON ROSTER",IF(L2457="","OK",IF(MATCH(L2457,$L$2:$L$3001,0)&lt;ROW()-1,"Duplicate (ignored)","OK"))))))))</f>
        <v/>
      </c>
      <c r="I2457">
        <f>IF(OC_Date=0,"",IF(INDEX('OneCause_Paste'!$A$2457:$AZ$2457,1,OC_Date)="","",INDEX('OneCause_Paste'!$A$2457:$AZ$2457,1,OC_Date)))</f>
        <v/>
      </c>
      <c r="J2457">
        <f>IF(OC_Amt=0,"",IF(INDEX('OneCause_Paste'!$A$2457:$AZ$2457,1,OC_Amt)="","",INDEX('OneCause_Paste'!$A$2457:$AZ$2457,1,OC_Amt)))</f>
        <v/>
      </c>
      <c r="K2457">
        <f>IF(OC_Name=0,"",IF(INDEX('OneCause_Paste'!$A$2457:$AZ$2457,1,OC_Name)="","",INDEX('OneCause_Paste'!$A$2457:$AZ$2457,1,OC_Name)))</f>
        <v/>
      </c>
      <c r="L2457">
        <f>IF(OC_Txn=0,"",IF(INDEX('OneCause_Paste'!$A$2457:$AZ$2457,1,OC_Txn)="","",INDEX('OneCause_Paste'!$A$2457:$AZ$2457,1,OC_Txn)))</f>
        <v/>
      </c>
      <c r="M2457">
        <f>IF(OC_Pay=0,"",IF(INDEX('OneCause_Paste'!$A$2457:$AZ$2457,1,OC_Pay)="","",INDEX('OneCause_Paste'!$A$2457:$AZ$2457,1,OC_Pay)))</f>
        <v/>
      </c>
      <c r="N2457">
        <f>IF(I2457="","",IF(ISNUMBER(I2457),INT(I2457),IFERROR(INT(DATEVALUE(I2457)),IFERROR(INT(VALUE(I2457)),"bad"))))</f>
        <v/>
      </c>
      <c r="O2457">
        <f>IF(J2457="","",IF(ISNUMBER(J2457),ROUND(J2457,2),IFERROR(ROUND(VALUE(SUBSTITUTE(SUBSTITUTE(SUBSTITUTE(J2457,"$",""),",","")," ","")),2),"bad")))</f>
        <v/>
      </c>
      <c r="P2457">
        <f>IF(TRIM(K2457)="","",IFERROR(MATCH(LOWER(TRIM(K2457)),'Students'!$AH$2:$AH$701,0),IFERROR(MATCH(LOWER(TRIM(K2457)),'Students'!$AF$2:$AF$701,0),IFERROR(MATCH(LOWER(TRIM(K2457)),'Students'!$AG$2:$AG$701,0),""))))</f>
        <v/>
      </c>
      <c r="R2457">
        <f>IF(P2457="","",INDEX('Students'!$AD$2:$AD$701,P2457))</f>
        <v/>
      </c>
      <c r="S2457">
        <f>IF(H2457="OK",O2457,0)</f>
        <v/>
      </c>
      <c r="T2457">
        <f>IF(H2457="OK",N2457,"")</f>
        <v/>
      </c>
      <c r="U2457">
        <f>IF(OC_Donor=0,"",IF(INDEX('OneCause_Paste'!$A$2457:$AZ$2457,1,OC_Donor)="","",INDEX('OneCause_Paste'!$A$2457:$AZ$2457,1,OC_Donor)))</f>
        <v/>
      </c>
    </row>
    <row r="2458">
      <c r="A2458" s="62">
        <f>IF(H2458="","",IF(ISNUMBER(N2458),N2458,I2458))</f>
        <v/>
      </c>
      <c r="B2458">
        <f>IF(H2458="","",U2458)</f>
        <v/>
      </c>
      <c r="C2458">
        <f>IF(H2458="","",IF(P2458="",K2458,INDEX('Students'!$A$2:$A$701,P2458)))</f>
        <v/>
      </c>
      <c r="D2458">
        <f>IF(OR(H2458="",P2458=""),"",INDEX('Students'!$B$2:$B$701,P2458))</f>
        <v/>
      </c>
      <c r="E2458">
        <f>IF(OR(H2458="",P2458=""),"",INDEX('Students'!$C$2:$C$701,P2458))</f>
        <v/>
      </c>
      <c r="F2458" s="48">
        <f>IF(H2458="","",IF(ISNUMBER(O2458),O2458,J2458))</f>
        <v/>
      </c>
      <c r="G2458">
        <f>IF(H2458="","","OneCause")</f>
        <v/>
      </c>
      <c r="H2458">
        <f>IF(AND(I2458="",J2458="",K2458=""),"",IF(NOT(ISNUMBER(O2458)),"Bad amount",IF(O2458&lt;0,"Refund (not counted)",IF(O2458=0,"Zero amount",IF(NOT(ISNUMBER(N2458)),"Bad date",IF(P2458="","NAME NOT ON ROSTER",IF(L2458="","OK",IF(MATCH(L2458,$L$2:$L$3001,0)&lt;ROW()-1,"Duplicate (ignored)","OK"))))))))</f>
        <v/>
      </c>
      <c r="I2458">
        <f>IF(OC_Date=0,"",IF(INDEX('OneCause_Paste'!$A$2458:$AZ$2458,1,OC_Date)="","",INDEX('OneCause_Paste'!$A$2458:$AZ$2458,1,OC_Date)))</f>
        <v/>
      </c>
      <c r="J2458">
        <f>IF(OC_Amt=0,"",IF(INDEX('OneCause_Paste'!$A$2458:$AZ$2458,1,OC_Amt)="","",INDEX('OneCause_Paste'!$A$2458:$AZ$2458,1,OC_Amt)))</f>
        <v/>
      </c>
      <c r="K2458">
        <f>IF(OC_Name=0,"",IF(INDEX('OneCause_Paste'!$A$2458:$AZ$2458,1,OC_Name)="","",INDEX('OneCause_Paste'!$A$2458:$AZ$2458,1,OC_Name)))</f>
        <v/>
      </c>
      <c r="L2458">
        <f>IF(OC_Txn=0,"",IF(INDEX('OneCause_Paste'!$A$2458:$AZ$2458,1,OC_Txn)="","",INDEX('OneCause_Paste'!$A$2458:$AZ$2458,1,OC_Txn)))</f>
        <v/>
      </c>
      <c r="M2458">
        <f>IF(OC_Pay=0,"",IF(INDEX('OneCause_Paste'!$A$2458:$AZ$2458,1,OC_Pay)="","",INDEX('OneCause_Paste'!$A$2458:$AZ$2458,1,OC_Pay)))</f>
        <v/>
      </c>
      <c r="N2458">
        <f>IF(I2458="","",IF(ISNUMBER(I2458),INT(I2458),IFERROR(INT(DATEVALUE(I2458)),IFERROR(INT(VALUE(I2458)),"bad"))))</f>
        <v/>
      </c>
      <c r="O2458">
        <f>IF(J2458="","",IF(ISNUMBER(J2458),ROUND(J2458,2),IFERROR(ROUND(VALUE(SUBSTITUTE(SUBSTITUTE(SUBSTITUTE(J2458,"$",""),",","")," ","")),2),"bad")))</f>
        <v/>
      </c>
      <c r="P2458">
        <f>IF(TRIM(K2458)="","",IFERROR(MATCH(LOWER(TRIM(K2458)),'Students'!$AH$2:$AH$701,0),IFERROR(MATCH(LOWER(TRIM(K2458)),'Students'!$AF$2:$AF$701,0),IFERROR(MATCH(LOWER(TRIM(K2458)),'Students'!$AG$2:$AG$701,0),""))))</f>
        <v/>
      </c>
      <c r="R2458">
        <f>IF(P2458="","",INDEX('Students'!$AD$2:$AD$701,P2458))</f>
        <v/>
      </c>
      <c r="S2458">
        <f>IF(H2458="OK",O2458,0)</f>
        <v/>
      </c>
      <c r="T2458">
        <f>IF(H2458="OK",N2458,"")</f>
        <v/>
      </c>
      <c r="U2458">
        <f>IF(OC_Donor=0,"",IF(INDEX('OneCause_Paste'!$A$2458:$AZ$2458,1,OC_Donor)="","",INDEX('OneCause_Paste'!$A$2458:$AZ$2458,1,OC_Donor)))</f>
        <v/>
      </c>
    </row>
    <row r="2459">
      <c r="A2459" s="62">
        <f>IF(H2459="","",IF(ISNUMBER(N2459),N2459,I2459))</f>
        <v/>
      </c>
      <c r="B2459">
        <f>IF(H2459="","",U2459)</f>
        <v/>
      </c>
      <c r="C2459">
        <f>IF(H2459="","",IF(P2459="",K2459,INDEX('Students'!$A$2:$A$701,P2459)))</f>
        <v/>
      </c>
      <c r="D2459">
        <f>IF(OR(H2459="",P2459=""),"",INDEX('Students'!$B$2:$B$701,P2459))</f>
        <v/>
      </c>
      <c r="E2459">
        <f>IF(OR(H2459="",P2459=""),"",INDEX('Students'!$C$2:$C$701,P2459))</f>
        <v/>
      </c>
      <c r="F2459" s="48">
        <f>IF(H2459="","",IF(ISNUMBER(O2459),O2459,J2459))</f>
        <v/>
      </c>
      <c r="G2459">
        <f>IF(H2459="","","OneCause")</f>
        <v/>
      </c>
      <c r="H2459">
        <f>IF(AND(I2459="",J2459="",K2459=""),"",IF(NOT(ISNUMBER(O2459)),"Bad amount",IF(O2459&lt;0,"Refund (not counted)",IF(O2459=0,"Zero amount",IF(NOT(ISNUMBER(N2459)),"Bad date",IF(P2459="","NAME NOT ON ROSTER",IF(L2459="","OK",IF(MATCH(L2459,$L$2:$L$3001,0)&lt;ROW()-1,"Duplicate (ignored)","OK"))))))))</f>
        <v/>
      </c>
      <c r="I2459">
        <f>IF(OC_Date=0,"",IF(INDEX('OneCause_Paste'!$A$2459:$AZ$2459,1,OC_Date)="","",INDEX('OneCause_Paste'!$A$2459:$AZ$2459,1,OC_Date)))</f>
        <v/>
      </c>
      <c r="J2459">
        <f>IF(OC_Amt=0,"",IF(INDEX('OneCause_Paste'!$A$2459:$AZ$2459,1,OC_Amt)="","",INDEX('OneCause_Paste'!$A$2459:$AZ$2459,1,OC_Amt)))</f>
        <v/>
      </c>
      <c r="K2459">
        <f>IF(OC_Name=0,"",IF(INDEX('OneCause_Paste'!$A$2459:$AZ$2459,1,OC_Name)="","",INDEX('OneCause_Paste'!$A$2459:$AZ$2459,1,OC_Name)))</f>
        <v/>
      </c>
      <c r="L2459">
        <f>IF(OC_Txn=0,"",IF(INDEX('OneCause_Paste'!$A$2459:$AZ$2459,1,OC_Txn)="","",INDEX('OneCause_Paste'!$A$2459:$AZ$2459,1,OC_Txn)))</f>
        <v/>
      </c>
      <c r="M2459">
        <f>IF(OC_Pay=0,"",IF(INDEX('OneCause_Paste'!$A$2459:$AZ$2459,1,OC_Pay)="","",INDEX('OneCause_Paste'!$A$2459:$AZ$2459,1,OC_Pay)))</f>
        <v/>
      </c>
      <c r="N2459">
        <f>IF(I2459="","",IF(ISNUMBER(I2459),INT(I2459),IFERROR(INT(DATEVALUE(I2459)),IFERROR(INT(VALUE(I2459)),"bad"))))</f>
        <v/>
      </c>
      <c r="O2459">
        <f>IF(J2459="","",IF(ISNUMBER(J2459),ROUND(J2459,2),IFERROR(ROUND(VALUE(SUBSTITUTE(SUBSTITUTE(SUBSTITUTE(J2459,"$",""),",","")," ","")),2),"bad")))</f>
        <v/>
      </c>
      <c r="P2459">
        <f>IF(TRIM(K2459)="","",IFERROR(MATCH(LOWER(TRIM(K2459)),'Students'!$AH$2:$AH$701,0),IFERROR(MATCH(LOWER(TRIM(K2459)),'Students'!$AF$2:$AF$701,0),IFERROR(MATCH(LOWER(TRIM(K2459)),'Students'!$AG$2:$AG$701,0),""))))</f>
        <v/>
      </c>
      <c r="R2459">
        <f>IF(P2459="","",INDEX('Students'!$AD$2:$AD$701,P2459))</f>
        <v/>
      </c>
      <c r="S2459">
        <f>IF(H2459="OK",O2459,0)</f>
        <v/>
      </c>
      <c r="T2459">
        <f>IF(H2459="OK",N2459,"")</f>
        <v/>
      </c>
      <c r="U2459">
        <f>IF(OC_Donor=0,"",IF(INDEX('OneCause_Paste'!$A$2459:$AZ$2459,1,OC_Donor)="","",INDEX('OneCause_Paste'!$A$2459:$AZ$2459,1,OC_Donor)))</f>
        <v/>
      </c>
    </row>
    <row r="2460">
      <c r="A2460" s="62">
        <f>IF(H2460="","",IF(ISNUMBER(N2460),N2460,I2460))</f>
        <v/>
      </c>
      <c r="B2460">
        <f>IF(H2460="","",U2460)</f>
        <v/>
      </c>
      <c r="C2460">
        <f>IF(H2460="","",IF(P2460="",K2460,INDEX('Students'!$A$2:$A$701,P2460)))</f>
        <v/>
      </c>
      <c r="D2460">
        <f>IF(OR(H2460="",P2460=""),"",INDEX('Students'!$B$2:$B$701,P2460))</f>
        <v/>
      </c>
      <c r="E2460">
        <f>IF(OR(H2460="",P2460=""),"",INDEX('Students'!$C$2:$C$701,P2460))</f>
        <v/>
      </c>
      <c r="F2460" s="48">
        <f>IF(H2460="","",IF(ISNUMBER(O2460),O2460,J2460))</f>
        <v/>
      </c>
      <c r="G2460">
        <f>IF(H2460="","","OneCause")</f>
        <v/>
      </c>
      <c r="H2460">
        <f>IF(AND(I2460="",J2460="",K2460=""),"",IF(NOT(ISNUMBER(O2460)),"Bad amount",IF(O2460&lt;0,"Refund (not counted)",IF(O2460=0,"Zero amount",IF(NOT(ISNUMBER(N2460)),"Bad date",IF(P2460="","NAME NOT ON ROSTER",IF(L2460="","OK",IF(MATCH(L2460,$L$2:$L$3001,0)&lt;ROW()-1,"Duplicate (ignored)","OK"))))))))</f>
        <v/>
      </c>
      <c r="I2460">
        <f>IF(OC_Date=0,"",IF(INDEX('OneCause_Paste'!$A$2460:$AZ$2460,1,OC_Date)="","",INDEX('OneCause_Paste'!$A$2460:$AZ$2460,1,OC_Date)))</f>
        <v/>
      </c>
      <c r="J2460">
        <f>IF(OC_Amt=0,"",IF(INDEX('OneCause_Paste'!$A$2460:$AZ$2460,1,OC_Amt)="","",INDEX('OneCause_Paste'!$A$2460:$AZ$2460,1,OC_Amt)))</f>
        <v/>
      </c>
      <c r="K2460">
        <f>IF(OC_Name=0,"",IF(INDEX('OneCause_Paste'!$A$2460:$AZ$2460,1,OC_Name)="","",INDEX('OneCause_Paste'!$A$2460:$AZ$2460,1,OC_Name)))</f>
        <v/>
      </c>
      <c r="L2460">
        <f>IF(OC_Txn=0,"",IF(INDEX('OneCause_Paste'!$A$2460:$AZ$2460,1,OC_Txn)="","",INDEX('OneCause_Paste'!$A$2460:$AZ$2460,1,OC_Txn)))</f>
        <v/>
      </c>
      <c r="M2460">
        <f>IF(OC_Pay=0,"",IF(INDEX('OneCause_Paste'!$A$2460:$AZ$2460,1,OC_Pay)="","",INDEX('OneCause_Paste'!$A$2460:$AZ$2460,1,OC_Pay)))</f>
        <v/>
      </c>
      <c r="N2460">
        <f>IF(I2460="","",IF(ISNUMBER(I2460),INT(I2460),IFERROR(INT(DATEVALUE(I2460)),IFERROR(INT(VALUE(I2460)),"bad"))))</f>
        <v/>
      </c>
      <c r="O2460">
        <f>IF(J2460="","",IF(ISNUMBER(J2460),ROUND(J2460,2),IFERROR(ROUND(VALUE(SUBSTITUTE(SUBSTITUTE(SUBSTITUTE(J2460,"$",""),",","")," ","")),2),"bad")))</f>
        <v/>
      </c>
      <c r="P2460">
        <f>IF(TRIM(K2460)="","",IFERROR(MATCH(LOWER(TRIM(K2460)),'Students'!$AH$2:$AH$701,0),IFERROR(MATCH(LOWER(TRIM(K2460)),'Students'!$AF$2:$AF$701,0),IFERROR(MATCH(LOWER(TRIM(K2460)),'Students'!$AG$2:$AG$701,0),""))))</f>
        <v/>
      </c>
      <c r="R2460">
        <f>IF(P2460="","",INDEX('Students'!$AD$2:$AD$701,P2460))</f>
        <v/>
      </c>
      <c r="S2460">
        <f>IF(H2460="OK",O2460,0)</f>
        <v/>
      </c>
      <c r="T2460">
        <f>IF(H2460="OK",N2460,"")</f>
        <v/>
      </c>
      <c r="U2460">
        <f>IF(OC_Donor=0,"",IF(INDEX('OneCause_Paste'!$A$2460:$AZ$2460,1,OC_Donor)="","",INDEX('OneCause_Paste'!$A$2460:$AZ$2460,1,OC_Donor)))</f>
        <v/>
      </c>
    </row>
    <row r="2461">
      <c r="A2461" s="62">
        <f>IF(H2461="","",IF(ISNUMBER(N2461),N2461,I2461))</f>
        <v/>
      </c>
      <c r="B2461">
        <f>IF(H2461="","",U2461)</f>
        <v/>
      </c>
      <c r="C2461">
        <f>IF(H2461="","",IF(P2461="",K2461,INDEX('Students'!$A$2:$A$701,P2461)))</f>
        <v/>
      </c>
      <c r="D2461">
        <f>IF(OR(H2461="",P2461=""),"",INDEX('Students'!$B$2:$B$701,P2461))</f>
        <v/>
      </c>
      <c r="E2461">
        <f>IF(OR(H2461="",P2461=""),"",INDEX('Students'!$C$2:$C$701,P2461))</f>
        <v/>
      </c>
      <c r="F2461" s="48">
        <f>IF(H2461="","",IF(ISNUMBER(O2461),O2461,J2461))</f>
        <v/>
      </c>
      <c r="G2461">
        <f>IF(H2461="","","OneCause")</f>
        <v/>
      </c>
      <c r="H2461">
        <f>IF(AND(I2461="",J2461="",K2461=""),"",IF(NOT(ISNUMBER(O2461)),"Bad amount",IF(O2461&lt;0,"Refund (not counted)",IF(O2461=0,"Zero amount",IF(NOT(ISNUMBER(N2461)),"Bad date",IF(P2461="","NAME NOT ON ROSTER",IF(L2461="","OK",IF(MATCH(L2461,$L$2:$L$3001,0)&lt;ROW()-1,"Duplicate (ignored)","OK"))))))))</f>
        <v/>
      </c>
      <c r="I2461">
        <f>IF(OC_Date=0,"",IF(INDEX('OneCause_Paste'!$A$2461:$AZ$2461,1,OC_Date)="","",INDEX('OneCause_Paste'!$A$2461:$AZ$2461,1,OC_Date)))</f>
        <v/>
      </c>
      <c r="J2461">
        <f>IF(OC_Amt=0,"",IF(INDEX('OneCause_Paste'!$A$2461:$AZ$2461,1,OC_Amt)="","",INDEX('OneCause_Paste'!$A$2461:$AZ$2461,1,OC_Amt)))</f>
        <v/>
      </c>
      <c r="K2461">
        <f>IF(OC_Name=0,"",IF(INDEX('OneCause_Paste'!$A$2461:$AZ$2461,1,OC_Name)="","",INDEX('OneCause_Paste'!$A$2461:$AZ$2461,1,OC_Name)))</f>
        <v/>
      </c>
      <c r="L2461">
        <f>IF(OC_Txn=0,"",IF(INDEX('OneCause_Paste'!$A$2461:$AZ$2461,1,OC_Txn)="","",INDEX('OneCause_Paste'!$A$2461:$AZ$2461,1,OC_Txn)))</f>
        <v/>
      </c>
      <c r="M2461">
        <f>IF(OC_Pay=0,"",IF(INDEX('OneCause_Paste'!$A$2461:$AZ$2461,1,OC_Pay)="","",INDEX('OneCause_Paste'!$A$2461:$AZ$2461,1,OC_Pay)))</f>
        <v/>
      </c>
      <c r="N2461">
        <f>IF(I2461="","",IF(ISNUMBER(I2461),INT(I2461),IFERROR(INT(DATEVALUE(I2461)),IFERROR(INT(VALUE(I2461)),"bad"))))</f>
        <v/>
      </c>
      <c r="O2461">
        <f>IF(J2461="","",IF(ISNUMBER(J2461),ROUND(J2461,2),IFERROR(ROUND(VALUE(SUBSTITUTE(SUBSTITUTE(SUBSTITUTE(J2461,"$",""),",","")," ","")),2),"bad")))</f>
        <v/>
      </c>
      <c r="P2461">
        <f>IF(TRIM(K2461)="","",IFERROR(MATCH(LOWER(TRIM(K2461)),'Students'!$AH$2:$AH$701,0),IFERROR(MATCH(LOWER(TRIM(K2461)),'Students'!$AF$2:$AF$701,0),IFERROR(MATCH(LOWER(TRIM(K2461)),'Students'!$AG$2:$AG$701,0),""))))</f>
        <v/>
      </c>
      <c r="R2461">
        <f>IF(P2461="","",INDEX('Students'!$AD$2:$AD$701,P2461))</f>
        <v/>
      </c>
      <c r="S2461">
        <f>IF(H2461="OK",O2461,0)</f>
        <v/>
      </c>
      <c r="T2461">
        <f>IF(H2461="OK",N2461,"")</f>
        <v/>
      </c>
      <c r="U2461">
        <f>IF(OC_Donor=0,"",IF(INDEX('OneCause_Paste'!$A$2461:$AZ$2461,1,OC_Donor)="","",INDEX('OneCause_Paste'!$A$2461:$AZ$2461,1,OC_Donor)))</f>
        <v/>
      </c>
    </row>
    <row r="2462">
      <c r="A2462" s="62">
        <f>IF(H2462="","",IF(ISNUMBER(N2462),N2462,I2462))</f>
        <v/>
      </c>
      <c r="B2462">
        <f>IF(H2462="","",U2462)</f>
        <v/>
      </c>
      <c r="C2462">
        <f>IF(H2462="","",IF(P2462="",K2462,INDEX('Students'!$A$2:$A$701,P2462)))</f>
        <v/>
      </c>
      <c r="D2462">
        <f>IF(OR(H2462="",P2462=""),"",INDEX('Students'!$B$2:$B$701,P2462))</f>
        <v/>
      </c>
      <c r="E2462">
        <f>IF(OR(H2462="",P2462=""),"",INDEX('Students'!$C$2:$C$701,P2462))</f>
        <v/>
      </c>
      <c r="F2462" s="48">
        <f>IF(H2462="","",IF(ISNUMBER(O2462),O2462,J2462))</f>
        <v/>
      </c>
      <c r="G2462">
        <f>IF(H2462="","","OneCause")</f>
        <v/>
      </c>
      <c r="H2462">
        <f>IF(AND(I2462="",J2462="",K2462=""),"",IF(NOT(ISNUMBER(O2462)),"Bad amount",IF(O2462&lt;0,"Refund (not counted)",IF(O2462=0,"Zero amount",IF(NOT(ISNUMBER(N2462)),"Bad date",IF(P2462="","NAME NOT ON ROSTER",IF(L2462="","OK",IF(MATCH(L2462,$L$2:$L$3001,0)&lt;ROW()-1,"Duplicate (ignored)","OK"))))))))</f>
        <v/>
      </c>
      <c r="I2462">
        <f>IF(OC_Date=0,"",IF(INDEX('OneCause_Paste'!$A$2462:$AZ$2462,1,OC_Date)="","",INDEX('OneCause_Paste'!$A$2462:$AZ$2462,1,OC_Date)))</f>
        <v/>
      </c>
      <c r="J2462">
        <f>IF(OC_Amt=0,"",IF(INDEX('OneCause_Paste'!$A$2462:$AZ$2462,1,OC_Amt)="","",INDEX('OneCause_Paste'!$A$2462:$AZ$2462,1,OC_Amt)))</f>
        <v/>
      </c>
      <c r="K2462">
        <f>IF(OC_Name=0,"",IF(INDEX('OneCause_Paste'!$A$2462:$AZ$2462,1,OC_Name)="","",INDEX('OneCause_Paste'!$A$2462:$AZ$2462,1,OC_Name)))</f>
        <v/>
      </c>
      <c r="L2462">
        <f>IF(OC_Txn=0,"",IF(INDEX('OneCause_Paste'!$A$2462:$AZ$2462,1,OC_Txn)="","",INDEX('OneCause_Paste'!$A$2462:$AZ$2462,1,OC_Txn)))</f>
        <v/>
      </c>
      <c r="M2462">
        <f>IF(OC_Pay=0,"",IF(INDEX('OneCause_Paste'!$A$2462:$AZ$2462,1,OC_Pay)="","",INDEX('OneCause_Paste'!$A$2462:$AZ$2462,1,OC_Pay)))</f>
        <v/>
      </c>
      <c r="N2462">
        <f>IF(I2462="","",IF(ISNUMBER(I2462),INT(I2462),IFERROR(INT(DATEVALUE(I2462)),IFERROR(INT(VALUE(I2462)),"bad"))))</f>
        <v/>
      </c>
      <c r="O2462">
        <f>IF(J2462="","",IF(ISNUMBER(J2462),ROUND(J2462,2),IFERROR(ROUND(VALUE(SUBSTITUTE(SUBSTITUTE(SUBSTITUTE(J2462,"$",""),",","")," ","")),2),"bad")))</f>
        <v/>
      </c>
      <c r="P2462">
        <f>IF(TRIM(K2462)="","",IFERROR(MATCH(LOWER(TRIM(K2462)),'Students'!$AH$2:$AH$701,0),IFERROR(MATCH(LOWER(TRIM(K2462)),'Students'!$AF$2:$AF$701,0),IFERROR(MATCH(LOWER(TRIM(K2462)),'Students'!$AG$2:$AG$701,0),""))))</f>
        <v/>
      </c>
      <c r="R2462">
        <f>IF(P2462="","",INDEX('Students'!$AD$2:$AD$701,P2462))</f>
        <v/>
      </c>
      <c r="S2462">
        <f>IF(H2462="OK",O2462,0)</f>
        <v/>
      </c>
      <c r="T2462">
        <f>IF(H2462="OK",N2462,"")</f>
        <v/>
      </c>
      <c r="U2462">
        <f>IF(OC_Donor=0,"",IF(INDEX('OneCause_Paste'!$A$2462:$AZ$2462,1,OC_Donor)="","",INDEX('OneCause_Paste'!$A$2462:$AZ$2462,1,OC_Donor)))</f>
        <v/>
      </c>
    </row>
    <row r="2463">
      <c r="A2463" s="62">
        <f>IF(H2463="","",IF(ISNUMBER(N2463),N2463,I2463))</f>
        <v/>
      </c>
      <c r="B2463">
        <f>IF(H2463="","",U2463)</f>
        <v/>
      </c>
      <c r="C2463">
        <f>IF(H2463="","",IF(P2463="",K2463,INDEX('Students'!$A$2:$A$701,P2463)))</f>
        <v/>
      </c>
      <c r="D2463">
        <f>IF(OR(H2463="",P2463=""),"",INDEX('Students'!$B$2:$B$701,P2463))</f>
        <v/>
      </c>
      <c r="E2463">
        <f>IF(OR(H2463="",P2463=""),"",INDEX('Students'!$C$2:$C$701,P2463))</f>
        <v/>
      </c>
      <c r="F2463" s="48">
        <f>IF(H2463="","",IF(ISNUMBER(O2463),O2463,J2463))</f>
        <v/>
      </c>
      <c r="G2463">
        <f>IF(H2463="","","OneCause")</f>
        <v/>
      </c>
      <c r="H2463">
        <f>IF(AND(I2463="",J2463="",K2463=""),"",IF(NOT(ISNUMBER(O2463)),"Bad amount",IF(O2463&lt;0,"Refund (not counted)",IF(O2463=0,"Zero amount",IF(NOT(ISNUMBER(N2463)),"Bad date",IF(P2463="","NAME NOT ON ROSTER",IF(L2463="","OK",IF(MATCH(L2463,$L$2:$L$3001,0)&lt;ROW()-1,"Duplicate (ignored)","OK"))))))))</f>
        <v/>
      </c>
      <c r="I2463">
        <f>IF(OC_Date=0,"",IF(INDEX('OneCause_Paste'!$A$2463:$AZ$2463,1,OC_Date)="","",INDEX('OneCause_Paste'!$A$2463:$AZ$2463,1,OC_Date)))</f>
        <v/>
      </c>
      <c r="J2463">
        <f>IF(OC_Amt=0,"",IF(INDEX('OneCause_Paste'!$A$2463:$AZ$2463,1,OC_Amt)="","",INDEX('OneCause_Paste'!$A$2463:$AZ$2463,1,OC_Amt)))</f>
        <v/>
      </c>
      <c r="K2463">
        <f>IF(OC_Name=0,"",IF(INDEX('OneCause_Paste'!$A$2463:$AZ$2463,1,OC_Name)="","",INDEX('OneCause_Paste'!$A$2463:$AZ$2463,1,OC_Name)))</f>
        <v/>
      </c>
      <c r="L2463">
        <f>IF(OC_Txn=0,"",IF(INDEX('OneCause_Paste'!$A$2463:$AZ$2463,1,OC_Txn)="","",INDEX('OneCause_Paste'!$A$2463:$AZ$2463,1,OC_Txn)))</f>
        <v/>
      </c>
      <c r="M2463">
        <f>IF(OC_Pay=0,"",IF(INDEX('OneCause_Paste'!$A$2463:$AZ$2463,1,OC_Pay)="","",INDEX('OneCause_Paste'!$A$2463:$AZ$2463,1,OC_Pay)))</f>
        <v/>
      </c>
      <c r="N2463">
        <f>IF(I2463="","",IF(ISNUMBER(I2463),INT(I2463),IFERROR(INT(DATEVALUE(I2463)),IFERROR(INT(VALUE(I2463)),"bad"))))</f>
        <v/>
      </c>
      <c r="O2463">
        <f>IF(J2463="","",IF(ISNUMBER(J2463),ROUND(J2463,2),IFERROR(ROUND(VALUE(SUBSTITUTE(SUBSTITUTE(SUBSTITUTE(J2463,"$",""),",","")," ","")),2),"bad")))</f>
        <v/>
      </c>
      <c r="P2463">
        <f>IF(TRIM(K2463)="","",IFERROR(MATCH(LOWER(TRIM(K2463)),'Students'!$AH$2:$AH$701,0),IFERROR(MATCH(LOWER(TRIM(K2463)),'Students'!$AF$2:$AF$701,0),IFERROR(MATCH(LOWER(TRIM(K2463)),'Students'!$AG$2:$AG$701,0),""))))</f>
        <v/>
      </c>
      <c r="R2463">
        <f>IF(P2463="","",INDEX('Students'!$AD$2:$AD$701,P2463))</f>
        <v/>
      </c>
      <c r="S2463">
        <f>IF(H2463="OK",O2463,0)</f>
        <v/>
      </c>
      <c r="T2463">
        <f>IF(H2463="OK",N2463,"")</f>
        <v/>
      </c>
      <c r="U2463">
        <f>IF(OC_Donor=0,"",IF(INDEX('OneCause_Paste'!$A$2463:$AZ$2463,1,OC_Donor)="","",INDEX('OneCause_Paste'!$A$2463:$AZ$2463,1,OC_Donor)))</f>
        <v/>
      </c>
    </row>
    <row r="2464">
      <c r="A2464" s="62">
        <f>IF(H2464="","",IF(ISNUMBER(N2464),N2464,I2464))</f>
        <v/>
      </c>
      <c r="B2464">
        <f>IF(H2464="","",U2464)</f>
        <v/>
      </c>
      <c r="C2464">
        <f>IF(H2464="","",IF(P2464="",K2464,INDEX('Students'!$A$2:$A$701,P2464)))</f>
        <v/>
      </c>
      <c r="D2464">
        <f>IF(OR(H2464="",P2464=""),"",INDEX('Students'!$B$2:$B$701,P2464))</f>
        <v/>
      </c>
      <c r="E2464">
        <f>IF(OR(H2464="",P2464=""),"",INDEX('Students'!$C$2:$C$701,P2464))</f>
        <v/>
      </c>
      <c r="F2464" s="48">
        <f>IF(H2464="","",IF(ISNUMBER(O2464),O2464,J2464))</f>
        <v/>
      </c>
      <c r="G2464">
        <f>IF(H2464="","","OneCause")</f>
        <v/>
      </c>
      <c r="H2464">
        <f>IF(AND(I2464="",J2464="",K2464=""),"",IF(NOT(ISNUMBER(O2464)),"Bad amount",IF(O2464&lt;0,"Refund (not counted)",IF(O2464=0,"Zero amount",IF(NOT(ISNUMBER(N2464)),"Bad date",IF(P2464="","NAME NOT ON ROSTER",IF(L2464="","OK",IF(MATCH(L2464,$L$2:$L$3001,0)&lt;ROW()-1,"Duplicate (ignored)","OK"))))))))</f>
        <v/>
      </c>
      <c r="I2464">
        <f>IF(OC_Date=0,"",IF(INDEX('OneCause_Paste'!$A$2464:$AZ$2464,1,OC_Date)="","",INDEX('OneCause_Paste'!$A$2464:$AZ$2464,1,OC_Date)))</f>
        <v/>
      </c>
      <c r="J2464">
        <f>IF(OC_Amt=0,"",IF(INDEX('OneCause_Paste'!$A$2464:$AZ$2464,1,OC_Amt)="","",INDEX('OneCause_Paste'!$A$2464:$AZ$2464,1,OC_Amt)))</f>
        <v/>
      </c>
      <c r="K2464">
        <f>IF(OC_Name=0,"",IF(INDEX('OneCause_Paste'!$A$2464:$AZ$2464,1,OC_Name)="","",INDEX('OneCause_Paste'!$A$2464:$AZ$2464,1,OC_Name)))</f>
        <v/>
      </c>
      <c r="L2464">
        <f>IF(OC_Txn=0,"",IF(INDEX('OneCause_Paste'!$A$2464:$AZ$2464,1,OC_Txn)="","",INDEX('OneCause_Paste'!$A$2464:$AZ$2464,1,OC_Txn)))</f>
        <v/>
      </c>
      <c r="M2464">
        <f>IF(OC_Pay=0,"",IF(INDEX('OneCause_Paste'!$A$2464:$AZ$2464,1,OC_Pay)="","",INDEX('OneCause_Paste'!$A$2464:$AZ$2464,1,OC_Pay)))</f>
        <v/>
      </c>
      <c r="N2464">
        <f>IF(I2464="","",IF(ISNUMBER(I2464),INT(I2464),IFERROR(INT(DATEVALUE(I2464)),IFERROR(INT(VALUE(I2464)),"bad"))))</f>
        <v/>
      </c>
      <c r="O2464">
        <f>IF(J2464="","",IF(ISNUMBER(J2464),ROUND(J2464,2),IFERROR(ROUND(VALUE(SUBSTITUTE(SUBSTITUTE(SUBSTITUTE(J2464,"$",""),",","")," ","")),2),"bad")))</f>
        <v/>
      </c>
      <c r="P2464">
        <f>IF(TRIM(K2464)="","",IFERROR(MATCH(LOWER(TRIM(K2464)),'Students'!$AH$2:$AH$701,0),IFERROR(MATCH(LOWER(TRIM(K2464)),'Students'!$AF$2:$AF$701,0),IFERROR(MATCH(LOWER(TRIM(K2464)),'Students'!$AG$2:$AG$701,0),""))))</f>
        <v/>
      </c>
      <c r="R2464">
        <f>IF(P2464="","",INDEX('Students'!$AD$2:$AD$701,P2464))</f>
        <v/>
      </c>
      <c r="S2464">
        <f>IF(H2464="OK",O2464,0)</f>
        <v/>
      </c>
      <c r="T2464">
        <f>IF(H2464="OK",N2464,"")</f>
        <v/>
      </c>
      <c r="U2464">
        <f>IF(OC_Donor=0,"",IF(INDEX('OneCause_Paste'!$A$2464:$AZ$2464,1,OC_Donor)="","",INDEX('OneCause_Paste'!$A$2464:$AZ$2464,1,OC_Donor)))</f>
        <v/>
      </c>
    </row>
    <row r="2465">
      <c r="A2465" s="62">
        <f>IF(H2465="","",IF(ISNUMBER(N2465),N2465,I2465))</f>
        <v/>
      </c>
      <c r="B2465">
        <f>IF(H2465="","",U2465)</f>
        <v/>
      </c>
      <c r="C2465">
        <f>IF(H2465="","",IF(P2465="",K2465,INDEX('Students'!$A$2:$A$701,P2465)))</f>
        <v/>
      </c>
      <c r="D2465">
        <f>IF(OR(H2465="",P2465=""),"",INDEX('Students'!$B$2:$B$701,P2465))</f>
        <v/>
      </c>
      <c r="E2465">
        <f>IF(OR(H2465="",P2465=""),"",INDEX('Students'!$C$2:$C$701,P2465))</f>
        <v/>
      </c>
      <c r="F2465" s="48">
        <f>IF(H2465="","",IF(ISNUMBER(O2465),O2465,J2465))</f>
        <v/>
      </c>
      <c r="G2465">
        <f>IF(H2465="","","OneCause")</f>
        <v/>
      </c>
      <c r="H2465">
        <f>IF(AND(I2465="",J2465="",K2465=""),"",IF(NOT(ISNUMBER(O2465)),"Bad amount",IF(O2465&lt;0,"Refund (not counted)",IF(O2465=0,"Zero amount",IF(NOT(ISNUMBER(N2465)),"Bad date",IF(P2465="","NAME NOT ON ROSTER",IF(L2465="","OK",IF(MATCH(L2465,$L$2:$L$3001,0)&lt;ROW()-1,"Duplicate (ignored)","OK"))))))))</f>
        <v/>
      </c>
      <c r="I2465">
        <f>IF(OC_Date=0,"",IF(INDEX('OneCause_Paste'!$A$2465:$AZ$2465,1,OC_Date)="","",INDEX('OneCause_Paste'!$A$2465:$AZ$2465,1,OC_Date)))</f>
        <v/>
      </c>
      <c r="J2465">
        <f>IF(OC_Amt=0,"",IF(INDEX('OneCause_Paste'!$A$2465:$AZ$2465,1,OC_Amt)="","",INDEX('OneCause_Paste'!$A$2465:$AZ$2465,1,OC_Amt)))</f>
        <v/>
      </c>
      <c r="K2465">
        <f>IF(OC_Name=0,"",IF(INDEX('OneCause_Paste'!$A$2465:$AZ$2465,1,OC_Name)="","",INDEX('OneCause_Paste'!$A$2465:$AZ$2465,1,OC_Name)))</f>
        <v/>
      </c>
      <c r="L2465">
        <f>IF(OC_Txn=0,"",IF(INDEX('OneCause_Paste'!$A$2465:$AZ$2465,1,OC_Txn)="","",INDEX('OneCause_Paste'!$A$2465:$AZ$2465,1,OC_Txn)))</f>
        <v/>
      </c>
      <c r="M2465">
        <f>IF(OC_Pay=0,"",IF(INDEX('OneCause_Paste'!$A$2465:$AZ$2465,1,OC_Pay)="","",INDEX('OneCause_Paste'!$A$2465:$AZ$2465,1,OC_Pay)))</f>
        <v/>
      </c>
      <c r="N2465">
        <f>IF(I2465="","",IF(ISNUMBER(I2465),INT(I2465),IFERROR(INT(DATEVALUE(I2465)),IFERROR(INT(VALUE(I2465)),"bad"))))</f>
        <v/>
      </c>
      <c r="O2465">
        <f>IF(J2465="","",IF(ISNUMBER(J2465),ROUND(J2465,2),IFERROR(ROUND(VALUE(SUBSTITUTE(SUBSTITUTE(SUBSTITUTE(J2465,"$",""),",","")," ","")),2),"bad")))</f>
        <v/>
      </c>
      <c r="P2465">
        <f>IF(TRIM(K2465)="","",IFERROR(MATCH(LOWER(TRIM(K2465)),'Students'!$AH$2:$AH$701,0),IFERROR(MATCH(LOWER(TRIM(K2465)),'Students'!$AF$2:$AF$701,0),IFERROR(MATCH(LOWER(TRIM(K2465)),'Students'!$AG$2:$AG$701,0),""))))</f>
        <v/>
      </c>
      <c r="R2465">
        <f>IF(P2465="","",INDEX('Students'!$AD$2:$AD$701,P2465))</f>
        <v/>
      </c>
      <c r="S2465">
        <f>IF(H2465="OK",O2465,0)</f>
        <v/>
      </c>
      <c r="T2465">
        <f>IF(H2465="OK",N2465,"")</f>
        <v/>
      </c>
      <c r="U2465">
        <f>IF(OC_Donor=0,"",IF(INDEX('OneCause_Paste'!$A$2465:$AZ$2465,1,OC_Donor)="","",INDEX('OneCause_Paste'!$A$2465:$AZ$2465,1,OC_Donor)))</f>
        <v/>
      </c>
    </row>
    <row r="2466">
      <c r="A2466" s="62">
        <f>IF(H2466="","",IF(ISNUMBER(N2466),N2466,I2466))</f>
        <v/>
      </c>
      <c r="B2466">
        <f>IF(H2466="","",U2466)</f>
        <v/>
      </c>
      <c r="C2466">
        <f>IF(H2466="","",IF(P2466="",K2466,INDEX('Students'!$A$2:$A$701,P2466)))</f>
        <v/>
      </c>
      <c r="D2466">
        <f>IF(OR(H2466="",P2466=""),"",INDEX('Students'!$B$2:$B$701,P2466))</f>
        <v/>
      </c>
      <c r="E2466">
        <f>IF(OR(H2466="",P2466=""),"",INDEX('Students'!$C$2:$C$701,P2466))</f>
        <v/>
      </c>
      <c r="F2466" s="48">
        <f>IF(H2466="","",IF(ISNUMBER(O2466),O2466,J2466))</f>
        <v/>
      </c>
      <c r="G2466">
        <f>IF(H2466="","","OneCause")</f>
        <v/>
      </c>
      <c r="H2466">
        <f>IF(AND(I2466="",J2466="",K2466=""),"",IF(NOT(ISNUMBER(O2466)),"Bad amount",IF(O2466&lt;0,"Refund (not counted)",IF(O2466=0,"Zero amount",IF(NOT(ISNUMBER(N2466)),"Bad date",IF(P2466="","NAME NOT ON ROSTER",IF(L2466="","OK",IF(MATCH(L2466,$L$2:$L$3001,0)&lt;ROW()-1,"Duplicate (ignored)","OK"))))))))</f>
        <v/>
      </c>
      <c r="I2466">
        <f>IF(OC_Date=0,"",IF(INDEX('OneCause_Paste'!$A$2466:$AZ$2466,1,OC_Date)="","",INDEX('OneCause_Paste'!$A$2466:$AZ$2466,1,OC_Date)))</f>
        <v/>
      </c>
      <c r="J2466">
        <f>IF(OC_Amt=0,"",IF(INDEX('OneCause_Paste'!$A$2466:$AZ$2466,1,OC_Amt)="","",INDEX('OneCause_Paste'!$A$2466:$AZ$2466,1,OC_Amt)))</f>
        <v/>
      </c>
      <c r="K2466">
        <f>IF(OC_Name=0,"",IF(INDEX('OneCause_Paste'!$A$2466:$AZ$2466,1,OC_Name)="","",INDEX('OneCause_Paste'!$A$2466:$AZ$2466,1,OC_Name)))</f>
        <v/>
      </c>
      <c r="L2466">
        <f>IF(OC_Txn=0,"",IF(INDEX('OneCause_Paste'!$A$2466:$AZ$2466,1,OC_Txn)="","",INDEX('OneCause_Paste'!$A$2466:$AZ$2466,1,OC_Txn)))</f>
        <v/>
      </c>
      <c r="M2466">
        <f>IF(OC_Pay=0,"",IF(INDEX('OneCause_Paste'!$A$2466:$AZ$2466,1,OC_Pay)="","",INDEX('OneCause_Paste'!$A$2466:$AZ$2466,1,OC_Pay)))</f>
        <v/>
      </c>
      <c r="N2466">
        <f>IF(I2466="","",IF(ISNUMBER(I2466),INT(I2466),IFERROR(INT(DATEVALUE(I2466)),IFERROR(INT(VALUE(I2466)),"bad"))))</f>
        <v/>
      </c>
      <c r="O2466">
        <f>IF(J2466="","",IF(ISNUMBER(J2466),ROUND(J2466,2),IFERROR(ROUND(VALUE(SUBSTITUTE(SUBSTITUTE(SUBSTITUTE(J2466,"$",""),",","")," ","")),2),"bad")))</f>
        <v/>
      </c>
      <c r="P2466">
        <f>IF(TRIM(K2466)="","",IFERROR(MATCH(LOWER(TRIM(K2466)),'Students'!$AH$2:$AH$701,0),IFERROR(MATCH(LOWER(TRIM(K2466)),'Students'!$AF$2:$AF$701,0),IFERROR(MATCH(LOWER(TRIM(K2466)),'Students'!$AG$2:$AG$701,0),""))))</f>
        <v/>
      </c>
      <c r="R2466">
        <f>IF(P2466="","",INDEX('Students'!$AD$2:$AD$701,P2466))</f>
        <v/>
      </c>
      <c r="S2466">
        <f>IF(H2466="OK",O2466,0)</f>
        <v/>
      </c>
      <c r="T2466">
        <f>IF(H2466="OK",N2466,"")</f>
        <v/>
      </c>
      <c r="U2466">
        <f>IF(OC_Donor=0,"",IF(INDEX('OneCause_Paste'!$A$2466:$AZ$2466,1,OC_Donor)="","",INDEX('OneCause_Paste'!$A$2466:$AZ$2466,1,OC_Donor)))</f>
        <v/>
      </c>
    </row>
    <row r="2467">
      <c r="A2467" s="62">
        <f>IF(H2467="","",IF(ISNUMBER(N2467),N2467,I2467))</f>
        <v/>
      </c>
      <c r="B2467">
        <f>IF(H2467="","",U2467)</f>
        <v/>
      </c>
      <c r="C2467">
        <f>IF(H2467="","",IF(P2467="",K2467,INDEX('Students'!$A$2:$A$701,P2467)))</f>
        <v/>
      </c>
      <c r="D2467">
        <f>IF(OR(H2467="",P2467=""),"",INDEX('Students'!$B$2:$B$701,P2467))</f>
        <v/>
      </c>
      <c r="E2467">
        <f>IF(OR(H2467="",P2467=""),"",INDEX('Students'!$C$2:$C$701,P2467))</f>
        <v/>
      </c>
      <c r="F2467" s="48">
        <f>IF(H2467="","",IF(ISNUMBER(O2467),O2467,J2467))</f>
        <v/>
      </c>
      <c r="G2467">
        <f>IF(H2467="","","OneCause")</f>
        <v/>
      </c>
      <c r="H2467">
        <f>IF(AND(I2467="",J2467="",K2467=""),"",IF(NOT(ISNUMBER(O2467)),"Bad amount",IF(O2467&lt;0,"Refund (not counted)",IF(O2467=0,"Zero amount",IF(NOT(ISNUMBER(N2467)),"Bad date",IF(P2467="","NAME NOT ON ROSTER",IF(L2467="","OK",IF(MATCH(L2467,$L$2:$L$3001,0)&lt;ROW()-1,"Duplicate (ignored)","OK"))))))))</f>
        <v/>
      </c>
      <c r="I2467">
        <f>IF(OC_Date=0,"",IF(INDEX('OneCause_Paste'!$A$2467:$AZ$2467,1,OC_Date)="","",INDEX('OneCause_Paste'!$A$2467:$AZ$2467,1,OC_Date)))</f>
        <v/>
      </c>
      <c r="J2467">
        <f>IF(OC_Amt=0,"",IF(INDEX('OneCause_Paste'!$A$2467:$AZ$2467,1,OC_Amt)="","",INDEX('OneCause_Paste'!$A$2467:$AZ$2467,1,OC_Amt)))</f>
        <v/>
      </c>
      <c r="K2467">
        <f>IF(OC_Name=0,"",IF(INDEX('OneCause_Paste'!$A$2467:$AZ$2467,1,OC_Name)="","",INDEX('OneCause_Paste'!$A$2467:$AZ$2467,1,OC_Name)))</f>
        <v/>
      </c>
      <c r="L2467">
        <f>IF(OC_Txn=0,"",IF(INDEX('OneCause_Paste'!$A$2467:$AZ$2467,1,OC_Txn)="","",INDEX('OneCause_Paste'!$A$2467:$AZ$2467,1,OC_Txn)))</f>
        <v/>
      </c>
      <c r="M2467">
        <f>IF(OC_Pay=0,"",IF(INDEX('OneCause_Paste'!$A$2467:$AZ$2467,1,OC_Pay)="","",INDEX('OneCause_Paste'!$A$2467:$AZ$2467,1,OC_Pay)))</f>
        <v/>
      </c>
      <c r="N2467">
        <f>IF(I2467="","",IF(ISNUMBER(I2467),INT(I2467),IFERROR(INT(DATEVALUE(I2467)),IFERROR(INT(VALUE(I2467)),"bad"))))</f>
        <v/>
      </c>
      <c r="O2467">
        <f>IF(J2467="","",IF(ISNUMBER(J2467),ROUND(J2467,2),IFERROR(ROUND(VALUE(SUBSTITUTE(SUBSTITUTE(SUBSTITUTE(J2467,"$",""),",","")," ","")),2),"bad")))</f>
        <v/>
      </c>
      <c r="P2467">
        <f>IF(TRIM(K2467)="","",IFERROR(MATCH(LOWER(TRIM(K2467)),'Students'!$AH$2:$AH$701,0),IFERROR(MATCH(LOWER(TRIM(K2467)),'Students'!$AF$2:$AF$701,0),IFERROR(MATCH(LOWER(TRIM(K2467)),'Students'!$AG$2:$AG$701,0),""))))</f>
        <v/>
      </c>
      <c r="R2467">
        <f>IF(P2467="","",INDEX('Students'!$AD$2:$AD$701,P2467))</f>
        <v/>
      </c>
      <c r="S2467">
        <f>IF(H2467="OK",O2467,0)</f>
        <v/>
      </c>
      <c r="T2467">
        <f>IF(H2467="OK",N2467,"")</f>
        <v/>
      </c>
      <c r="U2467">
        <f>IF(OC_Donor=0,"",IF(INDEX('OneCause_Paste'!$A$2467:$AZ$2467,1,OC_Donor)="","",INDEX('OneCause_Paste'!$A$2467:$AZ$2467,1,OC_Donor)))</f>
        <v/>
      </c>
    </row>
    <row r="2468">
      <c r="A2468" s="62">
        <f>IF(H2468="","",IF(ISNUMBER(N2468),N2468,I2468))</f>
        <v/>
      </c>
      <c r="B2468">
        <f>IF(H2468="","",U2468)</f>
        <v/>
      </c>
      <c r="C2468">
        <f>IF(H2468="","",IF(P2468="",K2468,INDEX('Students'!$A$2:$A$701,P2468)))</f>
        <v/>
      </c>
      <c r="D2468">
        <f>IF(OR(H2468="",P2468=""),"",INDEX('Students'!$B$2:$B$701,P2468))</f>
        <v/>
      </c>
      <c r="E2468">
        <f>IF(OR(H2468="",P2468=""),"",INDEX('Students'!$C$2:$C$701,P2468))</f>
        <v/>
      </c>
      <c r="F2468" s="48">
        <f>IF(H2468="","",IF(ISNUMBER(O2468),O2468,J2468))</f>
        <v/>
      </c>
      <c r="G2468">
        <f>IF(H2468="","","OneCause")</f>
        <v/>
      </c>
      <c r="H2468">
        <f>IF(AND(I2468="",J2468="",K2468=""),"",IF(NOT(ISNUMBER(O2468)),"Bad amount",IF(O2468&lt;0,"Refund (not counted)",IF(O2468=0,"Zero amount",IF(NOT(ISNUMBER(N2468)),"Bad date",IF(P2468="","NAME NOT ON ROSTER",IF(L2468="","OK",IF(MATCH(L2468,$L$2:$L$3001,0)&lt;ROW()-1,"Duplicate (ignored)","OK"))))))))</f>
        <v/>
      </c>
      <c r="I2468">
        <f>IF(OC_Date=0,"",IF(INDEX('OneCause_Paste'!$A$2468:$AZ$2468,1,OC_Date)="","",INDEX('OneCause_Paste'!$A$2468:$AZ$2468,1,OC_Date)))</f>
        <v/>
      </c>
      <c r="J2468">
        <f>IF(OC_Amt=0,"",IF(INDEX('OneCause_Paste'!$A$2468:$AZ$2468,1,OC_Amt)="","",INDEX('OneCause_Paste'!$A$2468:$AZ$2468,1,OC_Amt)))</f>
        <v/>
      </c>
      <c r="K2468">
        <f>IF(OC_Name=0,"",IF(INDEX('OneCause_Paste'!$A$2468:$AZ$2468,1,OC_Name)="","",INDEX('OneCause_Paste'!$A$2468:$AZ$2468,1,OC_Name)))</f>
        <v/>
      </c>
      <c r="L2468">
        <f>IF(OC_Txn=0,"",IF(INDEX('OneCause_Paste'!$A$2468:$AZ$2468,1,OC_Txn)="","",INDEX('OneCause_Paste'!$A$2468:$AZ$2468,1,OC_Txn)))</f>
        <v/>
      </c>
      <c r="M2468">
        <f>IF(OC_Pay=0,"",IF(INDEX('OneCause_Paste'!$A$2468:$AZ$2468,1,OC_Pay)="","",INDEX('OneCause_Paste'!$A$2468:$AZ$2468,1,OC_Pay)))</f>
        <v/>
      </c>
      <c r="N2468">
        <f>IF(I2468="","",IF(ISNUMBER(I2468),INT(I2468),IFERROR(INT(DATEVALUE(I2468)),IFERROR(INT(VALUE(I2468)),"bad"))))</f>
        <v/>
      </c>
      <c r="O2468">
        <f>IF(J2468="","",IF(ISNUMBER(J2468),ROUND(J2468,2),IFERROR(ROUND(VALUE(SUBSTITUTE(SUBSTITUTE(SUBSTITUTE(J2468,"$",""),",","")," ","")),2),"bad")))</f>
        <v/>
      </c>
      <c r="P2468">
        <f>IF(TRIM(K2468)="","",IFERROR(MATCH(LOWER(TRIM(K2468)),'Students'!$AH$2:$AH$701,0),IFERROR(MATCH(LOWER(TRIM(K2468)),'Students'!$AF$2:$AF$701,0),IFERROR(MATCH(LOWER(TRIM(K2468)),'Students'!$AG$2:$AG$701,0),""))))</f>
        <v/>
      </c>
      <c r="R2468">
        <f>IF(P2468="","",INDEX('Students'!$AD$2:$AD$701,P2468))</f>
        <v/>
      </c>
      <c r="S2468">
        <f>IF(H2468="OK",O2468,0)</f>
        <v/>
      </c>
      <c r="T2468">
        <f>IF(H2468="OK",N2468,"")</f>
        <v/>
      </c>
      <c r="U2468">
        <f>IF(OC_Donor=0,"",IF(INDEX('OneCause_Paste'!$A$2468:$AZ$2468,1,OC_Donor)="","",INDEX('OneCause_Paste'!$A$2468:$AZ$2468,1,OC_Donor)))</f>
        <v/>
      </c>
    </row>
    <row r="2469">
      <c r="A2469" s="62">
        <f>IF(H2469="","",IF(ISNUMBER(N2469),N2469,I2469))</f>
        <v/>
      </c>
      <c r="B2469">
        <f>IF(H2469="","",U2469)</f>
        <v/>
      </c>
      <c r="C2469">
        <f>IF(H2469="","",IF(P2469="",K2469,INDEX('Students'!$A$2:$A$701,P2469)))</f>
        <v/>
      </c>
      <c r="D2469">
        <f>IF(OR(H2469="",P2469=""),"",INDEX('Students'!$B$2:$B$701,P2469))</f>
        <v/>
      </c>
      <c r="E2469">
        <f>IF(OR(H2469="",P2469=""),"",INDEX('Students'!$C$2:$C$701,P2469))</f>
        <v/>
      </c>
      <c r="F2469" s="48">
        <f>IF(H2469="","",IF(ISNUMBER(O2469),O2469,J2469))</f>
        <v/>
      </c>
      <c r="G2469">
        <f>IF(H2469="","","OneCause")</f>
        <v/>
      </c>
      <c r="H2469">
        <f>IF(AND(I2469="",J2469="",K2469=""),"",IF(NOT(ISNUMBER(O2469)),"Bad amount",IF(O2469&lt;0,"Refund (not counted)",IF(O2469=0,"Zero amount",IF(NOT(ISNUMBER(N2469)),"Bad date",IF(P2469="","NAME NOT ON ROSTER",IF(L2469="","OK",IF(MATCH(L2469,$L$2:$L$3001,0)&lt;ROW()-1,"Duplicate (ignored)","OK"))))))))</f>
        <v/>
      </c>
      <c r="I2469">
        <f>IF(OC_Date=0,"",IF(INDEX('OneCause_Paste'!$A$2469:$AZ$2469,1,OC_Date)="","",INDEX('OneCause_Paste'!$A$2469:$AZ$2469,1,OC_Date)))</f>
        <v/>
      </c>
      <c r="J2469">
        <f>IF(OC_Amt=0,"",IF(INDEX('OneCause_Paste'!$A$2469:$AZ$2469,1,OC_Amt)="","",INDEX('OneCause_Paste'!$A$2469:$AZ$2469,1,OC_Amt)))</f>
        <v/>
      </c>
      <c r="K2469">
        <f>IF(OC_Name=0,"",IF(INDEX('OneCause_Paste'!$A$2469:$AZ$2469,1,OC_Name)="","",INDEX('OneCause_Paste'!$A$2469:$AZ$2469,1,OC_Name)))</f>
        <v/>
      </c>
      <c r="L2469">
        <f>IF(OC_Txn=0,"",IF(INDEX('OneCause_Paste'!$A$2469:$AZ$2469,1,OC_Txn)="","",INDEX('OneCause_Paste'!$A$2469:$AZ$2469,1,OC_Txn)))</f>
        <v/>
      </c>
      <c r="M2469">
        <f>IF(OC_Pay=0,"",IF(INDEX('OneCause_Paste'!$A$2469:$AZ$2469,1,OC_Pay)="","",INDEX('OneCause_Paste'!$A$2469:$AZ$2469,1,OC_Pay)))</f>
        <v/>
      </c>
      <c r="N2469">
        <f>IF(I2469="","",IF(ISNUMBER(I2469),INT(I2469),IFERROR(INT(DATEVALUE(I2469)),IFERROR(INT(VALUE(I2469)),"bad"))))</f>
        <v/>
      </c>
      <c r="O2469">
        <f>IF(J2469="","",IF(ISNUMBER(J2469),ROUND(J2469,2),IFERROR(ROUND(VALUE(SUBSTITUTE(SUBSTITUTE(SUBSTITUTE(J2469,"$",""),",","")," ","")),2),"bad")))</f>
        <v/>
      </c>
      <c r="P2469">
        <f>IF(TRIM(K2469)="","",IFERROR(MATCH(LOWER(TRIM(K2469)),'Students'!$AH$2:$AH$701,0),IFERROR(MATCH(LOWER(TRIM(K2469)),'Students'!$AF$2:$AF$701,0),IFERROR(MATCH(LOWER(TRIM(K2469)),'Students'!$AG$2:$AG$701,0),""))))</f>
        <v/>
      </c>
      <c r="R2469">
        <f>IF(P2469="","",INDEX('Students'!$AD$2:$AD$701,P2469))</f>
        <v/>
      </c>
      <c r="S2469">
        <f>IF(H2469="OK",O2469,0)</f>
        <v/>
      </c>
      <c r="T2469">
        <f>IF(H2469="OK",N2469,"")</f>
        <v/>
      </c>
      <c r="U2469">
        <f>IF(OC_Donor=0,"",IF(INDEX('OneCause_Paste'!$A$2469:$AZ$2469,1,OC_Donor)="","",INDEX('OneCause_Paste'!$A$2469:$AZ$2469,1,OC_Donor)))</f>
        <v/>
      </c>
    </row>
    <row r="2470">
      <c r="A2470" s="62">
        <f>IF(H2470="","",IF(ISNUMBER(N2470),N2470,I2470))</f>
        <v/>
      </c>
      <c r="B2470">
        <f>IF(H2470="","",U2470)</f>
        <v/>
      </c>
      <c r="C2470">
        <f>IF(H2470="","",IF(P2470="",K2470,INDEX('Students'!$A$2:$A$701,P2470)))</f>
        <v/>
      </c>
      <c r="D2470">
        <f>IF(OR(H2470="",P2470=""),"",INDEX('Students'!$B$2:$B$701,P2470))</f>
        <v/>
      </c>
      <c r="E2470">
        <f>IF(OR(H2470="",P2470=""),"",INDEX('Students'!$C$2:$C$701,P2470))</f>
        <v/>
      </c>
      <c r="F2470" s="48">
        <f>IF(H2470="","",IF(ISNUMBER(O2470),O2470,J2470))</f>
        <v/>
      </c>
      <c r="G2470">
        <f>IF(H2470="","","OneCause")</f>
        <v/>
      </c>
      <c r="H2470">
        <f>IF(AND(I2470="",J2470="",K2470=""),"",IF(NOT(ISNUMBER(O2470)),"Bad amount",IF(O2470&lt;0,"Refund (not counted)",IF(O2470=0,"Zero amount",IF(NOT(ISNUMBER(N2470)),"Bad date",IF(P2470="","NAME NOT ON ROSTER",IF(L2470="","OK",IF(MATCH(L2470,$L$2:$L$3001,0)&lt;ROW()-1,"Duplicate (ignored)","OK"))))))))</f>
        <v/>
      </c>
      <c r="I2470">
        <f>IF(OC_Date=0,"",IF(INDEX('OneCause_Paste'!$A$2470:$AZ$2470,1,OC_Date)="","",INDEX('OneCause_Paste'!$A$2470:$AZ$2470,1,OC_Date)))</f>
        <v/>
      </c>
      <c r="J2470">
        <f>IF(OC_Amt=0,"",IF(INDEX('OneCause_Paste'!$A$2470:$AZ$2470,1,OC_Amt)="","",INDEX('OneCause_Paste'!$A$2470:$AZ$2470,1,OC_Amt)))</f>
        <v/>
      </c>
      <c r="K2470">
        <f>IF(OC_Name=0,"",IF(INDEX('OneCause_Paste'!$A$2470:$AZ$2470,1,OC_Name)="","",INDEX('OneCause_Paste'!$A$2470:$AZ$2470,1,OC_Name)))</f>
        <v/>
      </c>
      <c r="L2470">
        <f>IF(OC_Txn=0,"",IF(INDEX('OneCause_Paste'!$A$2470:$AZ$2470,1,OC_Txn)="","",INDEX('OneCause_Paste'!$A$2470:$AZ$2470,1,OC_Txn)))</f>
        <v/>
      </c>
      <c r="M2470">
        <f>IF(OC_Pay=0,"",IF(INDEX('OneCause_Paste'!$A$2470:$AZ$2470,1,OC_Pay)="","",INDEX('OneCause_Paste'!$A$2470:$AZ$2470,1,OC_Pay)))</f>
        <v/>
      </c>
      <c r="N2470">
        <f>IF(I2470="","",IF(ISNUMBER(I2470),INT(I2470),IFERROR(INT(DATEVALUE(I2470)),IFERROR(INT(VALUE(I2470)),"bad"))))</f>
        <v/>
      </c>
      <c r="O2470">
        <f>IF(J2470="","",IF(ISNUMBER(J2470),ROUND(J2470,2),IFERROR(ROUND(VALUE(SUBSTITUTE(SUBSTITUTE(SUBSTITUTE(J2470,"$",""),",","")," ","")),2),"bad")))</f>
        <v/>
      </c>
      <c r="P2470">
        <f>IF(TRIM(K2470)="","",IFERROR(MATCH(LOWER(TRIM(K2470)),'Students'!$AH$2:$AH$701,0),IFERROR(MATCH(LOWER(TRIM(K2470)),'Students'!$AF$2:$AF$701,0),IFERROR(MATCH(LOWER(TRIM(K2470)),'Students'!$AG$2:$AG$701,0),""))))</f>
        <v/>
      </c>
      <c r="R2470">
        <f>IF(P2470="","",INDEX('Students'!$AD$2:$AD$701,P2470))</f>
        <v/>
      </c>
      <c r="S2470">
        <f>IF(H2470="OK",O2470,0)</f>
        <v/>
      </c>
      <c r="T2470">
        <f>IF(H2470="OK",N2470,"")</f>
        <v/>
      </c>
      <c r="U2470">
        <f>IF(OC_Donor=0,"",IF(INDEX('OneCause_Paste'!$A$2470:$AZ$2470,1,OC_Donor)="","",INDEX('OneCause_Paste'!$A$2470:$AZ$2470,1,OC_Donor)))</f>
        <v/>
      </c>
    </row>
    <row r="2471">
      <c r="A2471" s="62">
        <f>IF(H2471="","",IF(ISNUMBER(N2471),N2471,I2471))</f>
        <v/>
      </c>
      <c r="B2471">
        <f>IF(H2471="","",U2471)</f>
        <v/>
      </c>
      <c r="C2471">
        <f>IF(H2471="","",IF(P2471="",K2471,INDEX('Students'!$A$2:$A$701,P2471)))</f>
        <v/>
      </c>
      <c r="D2471">
        <f>IF(OR(H2471="",P2471=""),"",INDEX('Students'!$B$2:$B$701,P2471))</f>
        <v/>
      </c>
      <c r="E2471">
        <f>IF(OR(H2471="",P2471=""),"",INDEX('Students'!$C$2:$C$701,P2471))</f>
        <v/>
      </c>
      <c r="F2471" s="48">
        <f>IF(H2471="","",IF(ISNUMBER(O2471),O2471,J2471))</f>
        <v/>
      </c>
      <c r="G2471">
        <f>IF(H2471="","","OneCause")</f>
        <v/>
      </c>
      <c r="H2471">
        <f>IF(AND(I2471="",J2471="",K2471=""),"",IF(NOT(ISNUMBER(O2471)),"Bad amount",IF(O2471&lt;0,"Refund (not counted)",IF(O2471=0,"Zero amount",IF(NOT(ISNUMBER(N2471)),"Bad date",IF(P2471="","NAME NOT ON ROSTER",IF(L2471="","OK",IF(MATCH(L2471,$L$2:$L$3001,0)&lt;ROW()-1,"Duplicate (ignored)","OK"))))))))</f>
        <v/>
      </c>
      <c r="I2471">
        <f>IF(OC_Date=0,"",IF(INDEX('OneCause_Paste'!$A$2471:$AZ$2471,1,OC_Date)="","",INDEX('OneCause_Paste'!$A$2471:$AZ$2471,1,OC_Date)))</f>
        <v/>
      </c>
      <c r="J2471">
        <f>IF(OC_Amt=0,"",IF(INDEX('OneCause_Paste'!$A$2471:$AZ$2471,1,OC_Amt)="","",INDEX('OneCause_Paste'!$A$2471:$AZ$2471,1,OC_Amt)))</f>
        <v/>
      </c>
      <c r="K2471">
        <f>IF(OC_Name=0,"",IF(INDEX('OneCause_Paste'!$A$2471:$AZ$2471,1,OC_Name)="","",INDEX('OneCause_Paste'!$A$2471:$AZ$2471,1,OC_Name)))</f>
        <v/>
      </c>
      <c r="L2471">
        <f>IF(OC_Txn=0,"",IF(INDEX('OneCause_Paste'!$A$2471:$AZ$2471,1,OC_Txn)="","",INDEX('OneCause_Paste'!$A$2471:$AZ$2471,1,OC_Txn)))</f>
        <v/>
      </c>
      <c r="M2471">
        <f>IF(OC_Pay=0,"",IF(INDEX('OneCause_Paste'!$A$2471:$AZ$2471,1,OC_Pay)="","",INDEX('OneCause_Paste'!$A$2471:$AZ$2471,1,OC_Pay)))</f>
        <v/>
      </c>
      <c r="N2471">
        <f>IF(I2471="","",IF(ISNUMBER(I2471),INT(I2471),IFERROR(INT(DATEVALUE(I2471)),IFERROR(INT(VALUE(I2471)),"bad"))))</f>
        <v/>
      </c>
      <c r="O2471">
        <f>IF(J2471="","",IF(ISNUMBER(J2471),ROUND(J2471,2),IFERROR(ROUND(VALUE(SUBSTITUTE(SUBSTITUTE(SUBSTITUTE(J2471,"$",""),",","")," ","")),2),"bad")))</f>
        <v/>
      </c>
      <c r="P2471">
        <f>IF(TRIM(K2471)="","",IFERROR(MATCH(LOWER(TRIM(K2471)),'Students'!$AH$2:$AH$701,0),IFERROR(MATCH(LOWER(TRIM(K2471)),'Students'!$AF$2:$AF$701,0),IFERROR(MATCH(LOWER(TRIM(K2471)),'Students'!$AG$2:$AG$701,0),""))))</f>
        <v/>
      </c>
      <c r="R2471">
        <f>IF(P2471="","",INDEX('Students'!$AD$2:$AD$701,P2471))</f>
        <v/>
      </c>
      <c r="S2471">
        <f>IF(H2471="OK",O2471,0)</f>
        <v/>
      </c>
      <c r="T2471">
        <f>IF(H2471="OK",N2471,"")</f>
        <v/>
      </c>
      <c r="U2471">
        <f>IF(OC_Donor=0,"",IF(INDEX('OneCause_Paste'!$A$2471:$AZ$2471,1,OC_Donor)="","",INDEX('OneCause_Paste'!$A$2471:$AZ$2471,1,OC_Donor)))</f>
        <v/>
      </c>
    </row>
    <row r="2472">
      <c r="A2472" s="62">
        <f>IF(H2472="","",IF(ISNUMBER(N2472),N2472,I2472))</f>
        <v/>
      </c>
      <c r="B2472">
        <f>IF(H2472="","",U2472)</f>
        <v/>
      </c>
      <c r="C2472">
        <f>IF(H2472="","",IF(P2472="",K2472,INDEX('Students'!$A$2:$A$701,P2472)))</f>
        <v/>
      </c>
      <c r="D2472">
        <f>IF(OR(H2472="",P2472=""),"",INDEX('Students'!$B$2:$B$701,P2472))</f>
        <v/>
      </c>
      <c r="E2472">
        <f>IF(OR(H2472="",P2472=""),"",INDEX('Students'!$C$2:$C$701,P2472))</f>
        <v/>
      </c>
      <c r="F2472" s="48">
        <f>IF(H2472="","",IF(ISNUMBER(O2472),O2472,J2472))</f>
        <v/>
      </c>
      <c r="G2472">
        <f>IF(H2472="","","OneCause")</f>
        <v/>
      </c>
      <c r="H2472">
        <f>IF(AND(I2472="",J2472="",K2472=""),"",IF(NOT(ISNUMBER(O2472)),"Bad amount",IF(O2472&lt;0,"Refund (not counted)",IF(O2472=0,"Zero amount",IF(NOT(ISNUMBER(N2472)),"Bad date",IF(P2472="","NAME NOT ON ROSTER",IF(L2472="","OK",IF(MATCH(L2472,$L$2:$L$3001,0)&lt;ROW()-1,"Duplicate (ignored)","OK"))))))))</f>
        <v/>
      </c>
      <c r="I2472">
        <f>IF(OC_Date=0,"",IF(INDEX('OneCause_Paste'!$A$2472:$AZ$2472,1,OC_Date)="","",INDEX('OneCause_Paste'!$A$2472:$AZ$2472,1,OC_Date)))</f>
        <v/>
      </c>
      <c r="J2472">
        <f>IF(OC_Amt=0,"",IF(INDEX('OneCause_Paste'!$A$2472:$AZ$2472,1,OC_Amt)="","",INDEX('OneCause_Paste'!$A$2472:$AZ$2472,1,OC_Amt)))</f>
        <v/>
      </c>
      <c r="K2472">
        <f>IF(OC_Name=0,"",IF(INDEX('OneCause_Paste'!$A$2472:$AZ$2472,1,OC_Name)="","",INDEX('OneCause_Paste'!$A$2472:$AZ$2472,1,OC_Name)))</f>
        <v/>
      </c>
      <c r="L2472">
        <f>IF(OC_Txn=0,"",IF(INDEX('OneCause_Paste'!$A$2472:$AZ$2472,1,OC_Txn)="","",INDEX('OneCause_Paste'!$A$2472:$AZ$2472,1,OC_Txn)))</f>
        <v/>
      </c>
      <c r="M2472">
        <f>IF(OC_Pay=0,"",IF(INDEX('OneCause_Paste'!$A$2472:$AZ$2472,1,OC_Pay)="","",INDEX('OneCause_Paste'!$A$2472:$AZ$2472,1,OC_Pay)))</f>
        <v/>
      </c>
      <c r="N2472">
        <f>IF(I2472="","",IF(ISNUMBER(I2472),INT(I2472),IFERROR(INT(DATEVALUE(I2472)),IFERROR(INT(VALUE(I2472)),"bad"))))</f>
        <v/>
      </c>
      <c r="O2472">
        <f>IF(J2472="","",IF(ISNUMBER(J2472),ROUND(J2472,2),IFERROR(ROUND(VALUE(SUBSTITUTE(SUBSTITUTE(SUBSTITUTE(J2472,"$",""),",","")," ","")),2),"bad")))</f>
        <v/>
      </c>
      <c r="P2472">
        <f>IF(TRIM(K2472)="","",IFERROR(MATCH(LOWER(TRIM(K2472)),'Students'!$AH$2:$AH$701,0),IFERROR(MATCH(LOWER(TRIM(K2472)),'Students'!$AF$2:$AF$701,0),IFERROR(MATCH(LOWER(TRIM(K2472)),'Students'!$AG$2:$AG$701,0),""))))</f>
        <v/>
      </c>
      <c r="R2472">
        <f>IF(P2472="","",INDEX('Students'!$AD$2:$AD$701,P2472))</f>
        <v/>
      </c>
      <c r="S2472">
        <f>IF(H2472="OK",O2472,0)</f>
        <v/>
      </c>
      <c r="T2472">
        <f>IF(H2472="OK",N2472,"")</f>
        <v/>
      </c>
      <c r="U2472">
        <f>IF(OC_Donor=0,"",IF(INDEX('OneCause_Paste'!$A$2472:$AZ$2472,1,OC_Donor)="","",INDEX('OneCause_Paste'!$A$2472:$AZ$2472,1,OC_Donor)))</f>
        <v/>
      </c>
    </row>
    <row r="2473">
      <c r="A2473" s="62">
        <f>IF(H2473="","",IF(ISNUMBER(N2473),N2473,I2473))</f>
        <v/>
      </c>
      <c r="B2473">
        <f>IF(H2473="","",U2473)</f>
        <v/>
      </c>
      <c r="C2473">
        <f>IF(H2473="","",IF(P2473="",K2473,INDEX('Students'!$A$2:$A$701,P2473)))</f>
        <v/>
      </c>
      <c r="D2473">
        <f>IF(OR(H2473="",P2473=""),"",INDEX('Students'!$B$2:$B$701,P2473))</f>
        <v/>
      </c>
      <c r="E2473">
        <f>IF(OR(H2473="",P2473=""),"",INDEX('Students'!$C$2:$C$701,P2473))</f>
        <v/>
      </c>
      <c r="F2473" s="48">
        <f>IF(H2473="","",IF(ISNUMBER(O2473),O2473,J2473))</f>
        <v/>
      </c>
      <c r="G2473">
        <f>IF(H2473="","","OneCause")</f>
        <v/>
      </c>
      <c r="H2473">
        <f>IF(AND(I2473="",J2473="",K2473=""),"",IF(NOT(ISNUMBER(O2473)),"Bad amount",IF(O2473&lt;0,"Refund (not counted)",IF(O2473=0,"Zero amount",IF(NOT(ISNUMBER(N2473)),"Bad date",IF(P2473="","NAME NOT ON ROSTER",IF(L2473="","OK",IF(MATCH(L2473,$L$2:$L$3001,0)&lt;ROW()-1,"Duplicate (ignored)","OK"))))))))</f>
        <v/>
      </c>
      <c r="I2473">
        <f>IF(OC_Date=0,"",IF(INDEX('OneCause_Paste'!$A$2473:$AZ$2473,1,OC_Date)="","",INDEX('OneCause_Paste'!$A$2473:$AZ$2473,1,OC_Date)))</f>
        <v/>
      </c>
      <c r="J2473">
        <f>IF(OC_Amt=0,"",IF(INDEX('OneCause_Paste'!$A$2473:$AZ$2473,1,OC_Amt)="","",INDEX('OneCause_Paste'!$A$2473:$AZ$2473,1,OC_Amt)))</f>
        <v/>
      </c>
      <c r="K2473">
        <f>IF(OC_Name=0,"",IF(INDEX('OneCause_Paste'!$A$2473:$AZ$2473,1,OC_Name)="","",INDEX('OneCause_Paste'!$A$2473:$AZ$2473,1,OC_Name)))</f>
        <v/>
      </c>
      <c r="L2473">
        <f>IF(OC_Txn=0,"",IF(INDEX('OneCause_Paste'!$A$2473:$AZ$2473,1,OC_Txn)="","",INDEX('OneCause_Paste'!$A$2473:$AZ$2473,1,OC_Txn)))</f>
        <v/>
      </c>
      <c r="M2473">
        <f>IF(OC_Pay=0,"",IF(INDEX('OneCause_Paste'!$A$2473:$AZ$2473,1,OC_Pay)="","",INDEX('OneCause_Paste'!$A$2473:$AZ$2473,1,OC_Pay)))</f>
        <v/>
      </c>
      <c r="N2473">
        <f>IF(I2473="","",IF(ISNUMBER(I2473),INT(I2473),IFERROR(INT(DATEVALUE(I2473)),IFERROR(INT(VALUE(I2473)),"bad"))))</f>
        <v/>
      </c>
      <c r="O2473">
        <f>IF(J2473="","",IF(ISNUMBER(J2473),ROUND(J2473,2),IFERROR(ROUND(VALUE(SUBSTITUTE(SUBSTITUTE(SUBSTITUTE(J2473,"$",""),",","")," ","")),2),"bad")))</f>
        <v/>
      </c>
      <c r="P2473">
        <f>IF(TRIM(K2473)="","",IFERROR(MATCH(LOWER(TRIM(K2473)),'Students'!$AH$2:$AH$701,0),IFERROR(MATCH(LOWER(TRIM(K2473)),'Students'!$AF$2:$AF$701,0),IFERROR(MATCH(LOWER(TRIM(K2473)),'Students'!$AG$2:$AG$701,0),""))))</f>
        <v/>
      </c>
      <c r="R2473">
        <f>IF(P2473="","",INDEX('Students'!$AD$2:$AD$701,P2473))</f>
        <v/>
      </c>
      <c r="S2473">
        <f>IF(H2473="OK",O2473,0)</f>
        <v/>
      </c>
      <c r="T2473">
        <f>IF(H2473="OK",N2473,"")</f>
        <v/>
      </c>
      <c r="U2473">
        <f>IF(OC_Donor=0,"",IF(INDEX('OneCause_Paste'!$A$2473:$AZ$2473,1,OC_Donor)="","",INDEX('OneCause_Paste'!$A$2473:$AZ$2473,1,OC_Donor)))</f>
        <v/>
      </c>
    </row>
    <row r="2474">
      <c r="A2474" s="62">
        <f>IF(H2474="","",IF(ISNUMBER(N2474),N2474,I2474))</f>
        <v/>
      </c>
      <c r="B2474">
        <f>IF(H2474="","",U2474)</f>
        <v/>
      </c>
      <c r="C2474">
        <f>IF(H2474="","",IF(P2474="",K2474,INDEX('Students'!$A$2:$A$701,P2474)))</f>
        <v/>
      </c>
      <c r="D2474">
        <f>IF(OR(H2474="",P2474=""),"",INDEX('Students'!$B$2:$B$701,P2474))</f>
        <v/>
      </c>
      <c r="E2474">
        <f>IF(OR(H2474="",P2474=""),"",INDEX('Students'!$C$2:$C$701,P2474))</f>
        <v/>
      </c>
      <c r="F2474" s="48">
        <f>IF(H2474="","",IF(ISNUMBER(O2474),O2474,J2474))</f>
        <v/>
      </c>
      <c r="G2474">
        <f>IF(H2474="","","OneCause")</f>
        <v/>
      </c>
      <c r="H2474">
        <f>IF(AND(I2474="",J2474="",K2474=""),"",IF(NOT(ISNUMBER(O2474)),"Bad amount",IF(O2474&lt;0,"Refund (not counted)",IF(O2474=0,"Zero amount",IF(NOT(ISNUMBER(N2474)),"Bad date",IF(P2474="","NAME NOT ON ROSTER",IF(L2474="","OK",IF(MATCH(L2474,$L$2:$L$3001,0)&lt;ROW()-1,"Duplicate (ignored)","OK"))))))))</f>
        <v/>
      </c>
      <c r="I2474">
        <f>IF(OC_Date=0,"",IF(INDEX('OneCause_Paste'!$A$2474:$AZ$2474,1,OC_Date)="","",INDEX('OneCause_Paste'!$A$2474:$AZ$2474,1,OC_Date)))</f>
        <v/>
      </c>
      <c r="J2474">
        <f>IF(OC_Amt=0,"",IF(INDEX('OneCause_Paste'!$A$2474:$AZ$2474,1,OC_Amt)="","",INDEX('OneCause_Paste'!$A$2474:$AZ$2474,1,OC_Amt)))</f>
        <v/>
      </c>
      <c r="K2474">
        <f>IF(OC_Name=0,"",IF(INDEX('OneCause_Paste'!$A$2474:$AZ$2474,1,OC_Name)="","",INDEX('OneCause_Paste'!$A$2474:$AZ$2474,1,OC_Name)))</f>
        <v/>
      </c>
      <c r="L2474">
        <f>IF(OC_Txn=0,"",IF(INDEX('OneCause_Paste'!$A$2474:$AZ$2474,1,OC_Txn)="","",INDEX('OneCause_Paste'!$A$2474:$AZ$2474,1,OC_Txn)))</f>
        <v/>
      </c>
      <c r="M2474">
        <f>IF(OC_Pay=0,"",IF(INDEX('OneCause_Paste'!$A$2474:$AZ$2474,1,OC_Pay)="","",INDEX('OneCause_Paste'!$A$2474:$AZ$2474,1,OC_Pay)))</f>
        <v/>
      </c>
      <c r="N2474">
        <f>IF(I2474="","",IF(ISNUMBER(I2474),INT(I2474),IFERROR(INT(DATEVALUE(I2474)),IFERROR(INT(VALUE(I2474)),"bad"))))</f>
        <v/>
      </c>
      <c r="O2474">
        <f>IF(J2474="","",IF(ISNUMBER(J2474),ROUND(J2474,2),IFERROR(ROUND(VALUE(SUBSTITUTE(SUBSTITUTE(SUBSTITUTE(J2474,"$",""),",","")," ","")),2),"bad")))</f>
        <v/>
      </c>
      <c r="P2474">
        <f>IF(TRIM(K2474)="","",IFERROR(MATCH(LOWER(TRIM(K2474)),'Students'!$AH$2:$AH$701,0),IFERROR(MATCH(LOWER(TRIM(K2474)),'Students'!$AF$2:$AF$701,0),IFERROR(MATCH(LOWER(TRIM(K2474)),'Students'!$AG$2:$AG$701,0),""))))</f>
        <v/>
      </c>
      <c r="R2474">
        <f>IF(P2474="","",INDEX('Students'!$AD$2:$AD$701,P2474))</f>
        <v/>
      </c>
      <c r="S2474">
        <f>IF(H2474="OK",O2474,0)</f>
        <v/>
      </c>
      <c r="T2474">
        <f>IF(H2474="OK",N2474,"")</f>
        <v/>
      </c>
      <c r="U2474">
        <f>IF(OC_Donor=0,"",IF(INDEX('OneCause_Paste'!$A$2474:$AZ$2474,1,OC_Donor)="","",INDEX('OneCause_Paste'!$A$2474:$AZ$2474,1,OC_Donor)))</f>
        <v/>
      </c>
    </row>
    <row r="2475">
      <c r="A2475" s="62">
        <f>IF(H2475="","",IF(ISNUMBER(N2475),N2475,I2475))</f>
        <v/>
      </c>
      <c r="B2475">
        <f>IF(H2475="","",U2475)</f>
        <v/>
      </c>
      <c r="C2475">
        <f>IF(H2475="","",IF(P2475="",K2475,INDEX('Students'!$A$2:$A$701,P2475)))</f>
        <v/>
      </c>
      <c r="D2475">
        <f>IF(OR(H2475="",P2475=""),"",INDEX('Students'!$B$2:$B$701,P2475))</f>
        <v/>
      </c>
      <c r="E2475">
        <f>IF(OR(H2475="",P2475=""),"",INDEX('Students'!$C$2:$C$701,P2475))</f>
        <v/>
      </c>
      <c r="F2475" s="48">
        <f>IF(H2475="","",IF(ISNUMBER(O2475),O2475,J2475))</f>
        <v/>
      </c>
      <c r="G2475">
        <f>IF(H2475="","","OneCause")</f>
        <v/>
      </c>
      <c r="H2475">
        <f>IF(AND(I2475="",J2475="",K2475=""),"",IF(NOT(ISNUMBER(O2475)),"Bad amount",IF(O2475&lt;0,"Refund (not counted)",IF(O2475=0,"Zero amount",IF(NOT(ISNUMBER(N2475)),"Bad date",IF(P2475="","NAME NOT ON ROSTER",IF(L2475="","OK",IF(MATCH(L2475,$L$2:$L$3001,0)&lt;ROW()-1,"Duplicate (ignored)","OK"))))))))</f>
        <v/>
      </c>
      <c r="I2475">
        <f>IF(OC_Date=0,"",IF(INDEX('OneCause_Paste'!$A$2475:$AZ$2475,1,OC_Date)="","",INDEX('OneCause_Paste'!$A$2475:$AZ$2475,1,OC_Date)))</f>
        <v/>
      </c>
      <c r="J2475">
        <f>IF(OC_Amt=0,"",IF(INDEX('OneCause_Paste'!$A$2475:$AZ$2475,1,OC_Amt)="","",INDEX('OneCause_Paste'!$A$2475:$AZ$2475,1,OC_Amt)))</f>
        <v/>
      </c>
      <c r="K2475">
        <f>IF(OC_Name=0,"",IF(INDEX('OneCause_Paste'!$A$2475:$AZ$2475,1,OC_Name)="","",INDEX('OneCause_Paste'!$A$2475:$AZ$2475,1,OC_Name)))</f>
        <v/>
      </c>
      <c r="L2475">
        <f>IF(OC_Txn=0,"",IF(INDEX('OneCause_Paste'!$A$2475:$AZ$2475,1,OC_Txn)="","",INDEX('OneCause_Paste'!$A$2475:$AZ$2475,1,OC_Txn)))</f>
        <v/>
      </c>
      <c r="M2475">
        <f>IF(OC_Pay=0,"",IF(INDEX('OneCause_Paste'!$A$2475:$AZ$2475,1,OC_Pay)="","",INDEX('OneCause_Paste'!$A$2475:$AZ$2475,1,OC_Pay)))</f>
        <v/>
      </c>
      <c r="N2475">
        <f>IF(I2475="","",IF(ISNUMBER(I2475),INT(I2475),IFERROR(INT(DATEVALUE(I2475)),IFERROR(INT(VALUE(I2475)),"bad"))))</f>
        <v/>
      </c>
      <c r="O2475">
        <f>IF(J2475="","",IF(ISNUMBER(J2475),ROUND(J2475,2),IFERROR(ROUND(VALUE(SUBSTITUTE(SUBSTITUTE(SUBSTITUTE(J2475,"$",""),",","")," ","")),2),"bad")))</f>
        <v/>
      </c>
      <c r="P2475">
        <f>IF(TRIM(K2475)="","",IFERROR(MATCH(LOWER(TRIM(K2475)),'Students'!$AH$2:$AH$701,0),IFERROR(MATCH(LOWER(TRIM(K2475)),'Students'!$AF$2:$AF$701,0),IFERROR(MATCH(LOWER(TRIM(K2475)),'Students'!$AG$2:$AG$701,0),""))))</f>
        <v/>
      </c>
      <c r="R2475">
        <f>IF(P2475="","",INDEX('Students'!$AD$2:$AD$701,P2475))</f>
        <v/>
      </c>
      <c r="S2475">
        <f>IF(H2475="OK",O2475,0)</f>
        <v/>
      </c>
      <c r="T2475">
        <f>IF(H2475="OK",N2475,"")</f>
        <v/>
      </c>
      <c r="U2475">
        <f>IF(OC_Donor=0,"",IF(INDEX('OneCause_Paste'!$A$2475:$AZ$2475,1,OC_Donor)="","",INDEX('OneCause_Paste'!$A$2475:$AZ$2475,1,OC_Donor)))</f>
        <v/>
      </c>
    </row>
    <row r="2476">
      <c r="A2476" s="62">
        <f>IF(H2476="","",IF(ISNUMBER(N2476),N2476,I2476))</f>
        <v/>
      </c>
      <c r="B2476">
        <f>IF(H2476="","",U2476)</f>
        <v/>
      </c>
      <c r="C2476">
        <f>IF(H2476="","",IF(P2476="",K2476,INDEX('Students'!$A$2:$A$701,P2476)))</f>
        <v/>
      </c>
      <c r="D2476">
        <f>IF(OR(H2476="",P2476=""),"",INDEX('Students'!$B$2:$B$701,P2476))</f>
        <v/>
      </c>
      <c r="E2476">
        <f>IF(OR(H2476="",P2476=""),"",INDEX('Students'!$C$2:$C$701,P2476))</f>
        <v/>
      </c>
      <c r="F2476" s="48">
        <f>IF(H2476="","",IF(ISNUMBER(O2476),O2476,J2476))</f>
        <v/>
      </c>
      <c r="G2476">
        <f>IF(H2476="","","OneCause")</f>
        <v/>
      </c>
      <c r="H2476">
        <f>IF(AND(I2476="",J2476="",K2476=""),"",IF(NOT(ISNUMBER(O2476)),"Bad amount",IF(O2476&lt;0,"Refund (not counted)",IF(O2476=0,"Zero amount",IF(NOT(ISNUMBER(N2476)),"Bad date",IF(P2476="","NAME NOT ON ROSTER",IF(L2476="","OK",IF(MATCH(L2476,$L$2:$L$3001,0)&lt;ROW()-1,"Duplicate (ignored)","OK"))))))))</f>
        <v/>
      </c>
      <c r="I2476">
        <f>IF(OC_Date=0,"",IF(INDEX('OneCause_Paste'!$A$2476:$AZ$2476,1,OC_Date)="","",INDEX('OneCause_Paste'!$A$2476:$AZ$2476,1,OC_Date)))</f>
        <v/>
      </c>
      <c r="J2476">
        <f>IF(OC_Amt=0,"",IF(INDEX('OneCause_Paste'!$A$2476:$AZ$2476,1,OC_Amt)="","",INDEX('OneCause_Paste'!$A$2476:$AZ$2476,1,OC_Amt)))</f>
        <v/>
      </c>
      <c r="K2476">
        <f>IF(OC_Name=0,"",IF(INDEX('OneCause_Paste'!$A$2476:$AZ$2476,1,OC_Name)="","",INDEX('OneCause_Paste'!$A$2476:$AZ$2476,1,OC_Name)))</f>
        <v/>
      </c>
      <c r="L2476">
        <f>IF(OC_Txn=0,"",IF(INDEX('OneCause_Paste'!$A$2476:$AZ$2476,1,OC_Txn)="","",INDEX('OneCause_Paste'!$A$2476:$AZ$2476,1,OC_Txn)))</f>
        <v/>
      </c>
      <c r="M2476">
        <f>IF(OC_Pay=0,"",IF(INDEX('OneCause_Paste'!$A$2476:$AZ$2476,1,OC_Pay)="","",INDEX('OneCause_Paste'!$A$2476:$AZ$2476,1,OC_Pay)))</f>
        <v/>
      </c>
      <c r="N2476">
        <f>IF(I2476="","",IF(ISNUMBER(I2476),INT(I2476),IFERROR(INT(DATEVALUE(I2476)),IFERROR(INT(VALUE(I2476)),"bad"))))</f>
        <v/>
      </c>
      <c r="O2476">
        <f>IF(J2476="","",IF(ISNUMBER(J2476),ROUND(J2476,2),IFERROR(ROUND(VALUE(SUBSTITUTE(SUBSTITUTE(SUBSTITUTE(J2476,"$",""),",","")," ","")),2),"bad")))</f>
        <v/>
      </c>
      <c r="P2476">
        <f>IF(TRIM(K2476)="","",IFERROR(MATCH(LOWER(TRIM(K2476)),'Students'!$AH$2:$AH$701,0),IFERROR(MATCH(LOWER(TRIM(K2476)),'Students'!$AF$2:$AF$701,0),IFERROR(MATCH(LOWER(TRIM(K2476)),'Students'!$AG$2:$AG$701,0),""))))</f>
        <v/>
      </c>
      <c r="R2476">
        <f>IF(P2476="","",INDEX('Students'!$AD$2:$AD$701,P2476))</f>
        <v/>
      </c>
      <c r="S2476">
        <f>IF(H2476="OK",O2476,0)</f>
        <v/>
      </c>
      <c r="T2476">
        <f>IF(H2476="OK",N2476,"")</f>
        <v/>
      </c>
      <c r="U2476">
        <f>IF(OC_Donor=0,"",IF(INDEX('OneCause_Paste'!$A$2476:$AZ$2476,1,OC_Donor)="","",INDEX('OneCause_Paste'!$A$2476:$AZ$2476,1,OC_Donor)))</f>
        <v/>
      </c>
    </row>
    <row r="2477">
      <c r="A2477" s="62">
        <f>IF(H2477="","",IF(ISNUMBER(N2477),N2477,I2477))</f>
        <v/>
      </c>
      <c r="B2477">
        <f>IF(H2477="","",U2477)</f>
        <v/>
      </c>
      <c r="C2477">
        <f>IF(H2477="","",IF(P2477="",K2477,INDEX('Students'!$A$2:$A$701,P2477)))</f>
        <v/>
      </c>
      <c r="D2477">
        <f>IF(OR(H2477="",P2477=""),"",INDEX('Students'!$B$2:$B$701,P2477))</f>
        <v/>
      </c>
      <c r="E2477">
        <f>IF(OR(H2477="",P2477=""),"",INDEX('Students'!$C$2:$C$701,P2477))</f>
        <v/>
      </c>
      <c r="F2477" s="48">
        <f>IF(H2477="","",IF(ISNUMBER(O2477),O2477,J2477))</f>
        <v/>
      </c>
      <c r="G2477">
        <f>IF(H2477="","","OneCause")</f>
        <v/>
      </c>
      <c r="H2477">
        <f>IF(AND(I2477="",J2477="",K2477=""),"",IF(NOT(ISNUMBER(O2477)),"Bad amount",IF(O2477&lt;0,"Refund (not counted)",IF(O2477=0,"Zero amount",IF(NOT(ISNUMBER(N2477)),"Bad date",IF(P2477="","NAME NOT ON ROSTER",IF(L2477="","OK",IF(MATCH(L2477,$L$2:$L$3001,0)&lt;ROW()-1,"Duplicate (ignored)","OK"))))))))</f>
        <v/>
      </c>
      <c r="I2477">
        <f>IF(OC_Date=0,"",IF(INDEX('OneCause_Paste'!$A$2477:$AZ$2477,1,OC_Date)="","",INDEX('OneCause_Paste'!$A$2477:$AZ$2477,1,OC_Date)))</f>
        <v/>
      </c>
      <c r="J2477">
        <f>IF(OC_Amt=0,"",IF(INDEX('OneCause_Paste'!$A$2477:$AZ$2477,1,OC_Amt)="","",INDEX('OneCause_Paste'!$A$2477:$AZ$2477,1,OC_Amt)))</f>
        <v/>
      </c>
      <c r="K2477">
        <f>IF(OC_Name=0,"",IF(INDEX('OneCause_Paste'!$A$2477:$AZ$2477,1,OC_Name)="","",INDEX('OneCause_Paste'!$A$2477:$AZ$2477,1,OC_Name)))</f>
        <v/>
      </c>
      <c r="L2477">
        <f>IF(OC_Txn=0,"",IF(INDEX('OneCause_Paste'!$A$2477:$AZ$2477,1,OC_Txn)="","",INDEX('OneCause_Paste'!$A$2477:$AZ$2477,1,OC_Txn)))</f>
        <v/>
      </c>
      <c r="M2477">
        <f>IF(OC_Pay=0,"",IF(INDEX('OneCause_Paste'!$A$2477:$AZ$2477,1,OC_Pay)="","",INDEX('OneCause_Paste'!$A$2477:$AZ$2477,1,OC_Pay)))</f>
        <v/>
      </c>
      <c r="N2477">
        <f>IF(I2477="","",IF(ISNUMBER(I2477),INT(I2477),IFERROR(INT(DATEVALUE(I2477)),IFERROR(INT(VALUE(I2477)),"bad"))))</f>
        <v/>
      </c>
      <c r="O2477">
        <f>IF(J2477="","",IF(ISNUMBER(J2477),ROUND(J2477,2),IFERROR(ROUND(VALUE(SUBSTITUTE(SUBSTITUTE(SUBSTITUTE(J2477,"$",""),",","")," ","")),2),"bad")))</f>
        <v/>
      </c>
      <c r="P2477">
        <f>IF(TRIM(K2477)="","",IFERROR(MATCH(LOWER(TRIM(K2477)),'Students'!$AH$2:$AH$701,0),IFERROR(MATCH(LOWER(TRIM(K2477)),'Students'!$AF$2:$AF$701,0),IFERROR(MATCH(LOWER(TRIM(K2477)),'Students'!$AG$2:$AG$701,0),""))))</f>
        <v/>
      </c>
      <c r="R2477">
        <f>IF(P2477="","",INDEX('Students'!$AD$2:$AD$701,P2477))</f>
        <v/>
      </c>
      <c r="S2477">
        <f>IF(H2477="OK",O2477,0)</f>
        <v/>
      </c>
      <c r="T2477">
        <f>IF(H2477="OK",N2477,"")</f>
        <v/>
      </c>
      <c r="U2477">
        <f>IF(OC_Donor=0,"",IF(INDEX('OneCause_Paste'!$A$2477:$AZ$2477,1,OC_Donor)="","",INDEX('OneCause_Paste'!$A$2477:$AZ$2477,1,OC_Donor)))</f>
        <v/>
      </c>
    </row>
    <row r="2478">
      <c r="A2478" s="62">
        <f>IF(H2478="","",IF(ISNUMBER(N2478),N2478,I2478))</f>
        <v/>
      </c>
      <c r="B2478">
        <f>IF(H2478="","",U2478)</f>
        <v/>
      </c>
      <c r="C2478">
        <f>IF(H2478="","",IF(P2478="",K2478,INDEX('Students'!$A$2:$A$701,P2478)))</f>
        <v/>
      </c>
      <c r="D2478">
        <f>IF(OR(H2478="",P2478=""),"",INDEX('Students'!$B$2:$B$701,P2478))</f>
        <v/>
      </c>
      <c r="E2478">
        <f>IF(OR(H2478="",P2478=""),"",INDEX('Students'!$C$2:$C$701,P2478))</f>
        <v/>
      </c>
      <c r="F2478" s="48">
        <f>IF(H2478="","",IF(ISNUMBER(O2478),O2478,J2478))</f>
        <v/>
      </c>
      <c r="G2478">
        <f>IF(H2478="","","OneCause")</f>
        <v/>
      </c>
      <c r="H2478">
        <f>IF(AND(I2478="",J2478="",K2478=""),"",IF(NOT(ISNUMBER(O2478)),"Bad amount",IF(O2478&lt;0,"Refund (not counted)",IF(O2478=0,"Zero amount",IF(NOT(ISNUMBER(N2478)),"Bad date",IF(P2478="","NAME NOT ON ROSTER",IF(L2478="","OK",IF(MATCH(L2478,$L$2:$L$3001,0)&lt;ROW()-1,"Duplicate (ignored)","OK"))))))))</f>
        <v/>
      </c>
      <c r="I2478">
        <f>IF(OC_Date=0,"",IF(INDEX('OneCause_Paste'!$A$2478:$AZ$2478,1,OC_Date)="","",INDEX('OneCause_Paste'!$A$2478:$AZ$2478,1,OC_Date)))</f>
        <v/>
      </c>
      <c r="J2478">
        <f>IF(OC_Amt=0,"",IF(INDEX('OneCause_Paste'!$A$2478:$AZ$2478,1,OC_Amt)="","",INDEX('OneCause_Paste'!$A$2478:$AZ$2478,1,OC_Amt)))</f>
        <v/>
      </c>
      <c r="K2478">
        <f>IF(OC_Name=0,"",IF(INDEX('OneCause_Paste'!$A$2478:$AZ$2478,1,OC_Name)="","",INDEX('OneCause_Paste'!$A$2478:$AZ$2478,1,OC_Name)))</f>
        <v/>
      </c>
      <c r="L2478">
        <f>IF(OC_Txn=0,"",IF(INDEX('OneCause_Paste'!$A$2478:$AZ$2478,1,OC_Txn)="","",INDEX('OneCause_Paste'!$A$2478:$AZ$2478,1,OC_Txn)))</f>
        <v/>
      </c>
      <c r="M2478">
        <f>IF(OC_Pay=0,"",IF(INDEX('OneCause_Paste'!$A$2478:$AZ$2478,1,OC_Pay)="","",INDEX('OneCause_Paste'!$A$2478:$AZ$2478,1,OC_Pay)))</f>
        <v/>
      </c>
      <c r="N2478">
        <f>IF(I2478="","",IF(ISNUMBER(I2478),INT(I2478),IFERROR(INT(DATEVALUE(I2478)),IFERROR(INT(VALUE(I2478)),"bad"))))</f>
        <v/>
      </c>
      <c r="O2478">
        <f>IF(J2478="","",IF(ISNUMBER(J2478),ROUND(J2478,2),IFERROR(ROUND(VALUE(SUBSTITUTE(SUBSTITUTE(SUBSTITUTE(J2478,"$",""),",","")," ","")),2),"bad")))</f>
        <v/>
      </c>
      <c r="P2478">
        <f>IF(TRIM(K2478)="","",IFERROR(MATCH(LOWER(TRIM(K2478)),'Students'!$AH$2:$AH$701,0),IFERROR(MATCH(LOWER(TRIM(K2478)),'Students'!$AF$2:$AF$701,0),IFERROR(MATCH(LOWER(TRIM(K2478)),'Students'!$AG$2:$AG$701,0),""))))</f>
        <v/>
      </c>
      <c r="R2478">
        <f>IF(P2478="","",INDEX('Students'!$AD$2:$AD$701,P2478))</f>
        <v/>
      </c>
      <c r="S2478">
        <f>IF(H2478="OK",O2478,0)</f>
        <v/>
      </c>
      <c r="T2478">
        <f>IF(H2478="OK",N2478,"")</f>
        <v/>
      </c>
      <c r="U2478">
        <f>IF(OC_Donor=0,"",IF(INDEX('OneCause_Paste'!$A$2478:$AZ$2478,1,OC_Donor)="","",INDEX('OneCause_Paste'!$A$2478:$AZ$2478,1,OC_Donor)))</f>
        <v/>
      </c>
    </row>
    <row r="2479">
      <c r="A2479" s="62">
        <f>IF(H2479="","",IF(ISNUMBER(N2479),N2479,I2479))</f>
        <v/>
      </c>
      <c r="B2479">
        <f>IF(H2479="","",U2479)</f>
        <v/>
      </c>
      <c r="C2479">
        <f>IF(H2479="","",IF(P2479="",K2479,INDEX('Students'!$A$2:$A$701,P2479)))</f>
        <v/>
      </c>
      <c r="D2479">
        <f>IF(OR(H2479="",P2479=""),"",INDEX('Students'!$B$2:$B$701,P2479))</f>
        <v/>
      </c>
      <c r="E2479">
        <f>IF(OR(H2479="",P2479=""),"",INDEX('Students'!$C$2:$C$701,P2479))</f>
        <v/>
      </c>
      <c r="F2479" s="48">
        <f>IF(H2479="","",IF(ISNUMBER(O2479),O2479,J2479))</f>
        <v/>
      </c>
      <c r="G2479">
        <f>IF(H2479="","","OneCause")</f>
        <v/>
      </c>
      <c r="H2479">
        <f>IF(AND(I2479="",J2479="",K2479=""),"",IF(NOT(ISNUMBER(O2479)),"Bad amount",IF(O2479&lt;0,"Refund (not counted)",IF(O2479=0,"Zero amount",IF(NOT(ISNUMBER(N2479)),"Bad date",IF(P2479="","NAME NOT ON ROSTER",IF(L2479="","OK",IF(MATCH(L2479,$L$2:$L$3001,0)&lt;ROW()-1,"Duplicate (ignored)","OK"))))))))</f>
        <v/>
      </c>
      <c r="I2479">
        <f>IF(OC_Date=0,"",IF(INDEX('OneCause_Paste'!$A$2479:$AZ$2479,1,OC_Date)="","",INDEX('OneCause_Paste'!$A$2479:$AZ$2479,1,OC_Date)))</f>
        <v/>
      </c>
      <c r="J2479">
        <f>IF(OC_Amt=0,"",IF(INDEX('OneCause_Paste'!$A$2479:$AZ$2479,1,OC_Amt)="","",INDEX('OneCause_Paste'!$A$2479:$AZ$2479,1,OC_Amt)))</f>
        <v/>
      </c>
      <c r="K2479">
        <f>IF(OC_Name=0,"",IF(INDEX('OneCause_Paste'!$A$2479:$AZ$2479,1,OC_Name)="","",INDEX('OneCause_Paste'!$A$2479:$AZ$2479,1,OC_Name)))</f>
        <v/>
      </c>
      <c r="L2479">
        <f>IF(OC_Txn=0,"",IF(INDEX('OneCause_Paste'!$A$2479:$AZ$2479,1,OC_Txn)="","",INDEX('OneCause_Paste'!$A$2479:$AZ$2479,1,OC_Txn)))</f>
        <v/>
      </c>
      <c r="M2479">
        <f>IF(OC_Pay=0,"",IF(INDEX('OneCause_Paste'!$A$2479:$AZ$2479,1,OC_Pay)="","",INDEX('OneCause_Paste'!$A$2479:$AZ$2479,1,OC_Pay)))</f>
        <v/>
      </c>
      <c r="N2479">
        <f>IF(I2479="","",IF(ISNUMBER(I2479),INT(I2479),IFERROR(INT(DATEVALUE(I2479)),IFERROR(INT(VALUE(I2479)),"bad"))))</f>
        <v/>
      </c>
      <c r="O2479">
        <f>IF(J2479="","",IF(ISNUMBER(J2479),ROUND(J2479,2),IFERROR(ROUND(VALUE(SUBSTITUTE(SUBSTITUTE(SUBSTITUTE(J2479,"$",""),",","")," ","")),2),"bad")))</f>
        <v/>
      </c>
      <c r="P2479">
        <f>IF(TRIM(K2479)="","",IFERROR(MATCH(LOWER(TRIM(K2479)),'Students'!$AH$2:$AH$701,0),IFERROR(MATCH(LOWER(TRIM(K2479)),'Students'!$AF$2:$AF$701,0),IFERROR(MATCH(LOWER(TRIM(K2479)),'Students'!$AG$2:$AG$701,0),""))))</f>
        <v/>
      </c>
      <c r="R2479">
        <f>IF(P2479="","",INDEX('Students'!$AD$2:$AD$701,P2479))</f>
        <v/>
      </c>
      <c r="S2479">
        <f>IF(H2479="OK",O2479,0)</f>
        <v/>
      </c>
      <c r="T2479">
        <f>IF(H2479="OK",N2479,"")</f>
        <v/>
      </c>
      <c r="U2479">
        <f>IF(OC_Donor=0,"",IF(INDEX('OneCause_Paste'!$A$2479:$AZ$2479,1,OC_Donor)="","",INDEX('OneCause_Paste'!$A$2479:$AZ$2479,1,OC_Donor)))</f>
        <v/>
      </c>
    </row>
    <row r="2480">
      <c r="A2480" s="62">
        <f>IF(H2480="","",IF(ISNUMBER(N2480),N2480,I2480))</f>
        <v/>
      </c>
      <c r="B2480">
        <f>IF(H2480="","",U2480)</f>
        <v/>
      </c>
      <c r="C2480">
        <f>IF(H2480="","",IF(P2480="",K2480,INDEX('Students'!$A$2:$A$701,P2480)))</f>
        <v/>
      </c>
      <c r="D2480">
        <f>IF(OR(H2480="",P2480=""),"",INDEX('Students'!$B$2:$B$701,P2480))</f>
        <v/>
      </c>
      <c r="E2480">
        <f>IF(OR(H2480="",P2480=""),"",INDEX('Students'!$C$2:$C$701,P2480))</f>
        <v/>
      </c>
      <c r="F2480" s="48">
        <f>IF(H2480="","",IF(ISNUMBER(O2480),O2480,J2480))</f>
        <v/>
      </c>
      <c r="G2480">
        <f>IF(H2480="","","OneCause")</f>
        <v/>
      </c>
      <c r="H2480">
        <f>IF(AND(I2480="",J2480="",K2480=""),"",IF(NOT(ISNUMBER(O2480)),"Bad amount",IF(O2480&lt;0,"Refund (not counted)",IF(O2480=0,"Zero amount",IF(NOT(ISNUMBER(N2480)),"Bad date",IF(P2480="","NAME NOT ON ROSTER",IF(L2480="","OK",IF(MATCH(L2480,$L$2:$L$3001,0)&lt;ROW()-1,"Duplicate (ignored)","OK"))))))))</f>
        <v/>
      </c>
      <c r="I2480">
        <f>IF(OC_Date=0,"",IF(INDEX('OneCause_Paste'!$A$2480:$AZ$2480,1,OC_Date)="","",INDEX('OneCause_Paste'!$A$2480:$AZ$2480,1,OC_Date)))</f>
        <v/>
      </c>
      <c r="J2480">
        <f>IF(OC_Amt=0,"",IF(INDEX('OneCause_Paste'!$A$2480:$AZ$2480,1,OC_Amt)="","",INDEX('OneCause_Paste'!$A$2480:$AZ$2480,1,OC_Amt)))</f>
        <v/>
      </c>
      <c r="K2480">
        <f>IF(OC_Name=0,"",IF(INDEX('OneCause_Paste'!$A$2480:$AZ$2480,1,OC_Name)="","",INDEX('OneCause_Paste'!$A$2480:$AZ$2480,1,OC_Name)))</f>
        <v/>
      </c>
      <c r="L2480">
        <f>IF(OC_Txn=0,"",IF(INDEX('OneCause_Paste'!$A$2480:$AZ$2480,1,OC_Txn)="","",INDEX('OneCause_Paste'!$A$2480:$AZ$2480,1,OC_Txn)))</f>
        <v/>
      </c>
      <c r="M2480">
        <f>IF(OC_Pay=0,"",IF(INDEX('OneCause_Paste'!$A$2480:$AZ$2480,1,OC_Pay)="","",INDEX('OneCause_Paste'!$A$2480:$AZ$2480,1,OC_Pay)))</f>
        <v/>
      </c>
      <c r="N2480">
        <f>IF(I2480="","",IF(ISNUMBER(I2480),INT(I2480),IFERROR(INT(DATEVALUE(I2480)),IFERROR(INT(VALUE(I2480)),"bad"))))</f>
        <v/>
      </c>
      <c r="O2480">
        <f>IF(J2480="","",IF(ISNUMBER(J2480),ROUND(J2480,2),IFERROR(ROUND(VALUE(SUBSTITUTE(SUBSTITUTE(SUBSTITUTE(J2480,"$",""),",","")," ","")),2),"bad")))</f>
        <v/>
      </c>
      <c r="P2480">
        <f>IF(TRIM(K2480)="","",IFERROR(MATCH(LOWER(TRIM(K2480)),'Students'!$AH$2:$AH$701,0),IFERROR(MATCH(LOWER(TRIM(K2480)),'Students'!$AF$2:$AF$701,0),IFERROR(MATCH(LOWER(TRIM(K2480)),'Students'!$AG$2:$AG$701,0),""))))</f>
        <v/>
      </c>
      <c r="R2480">
        <f>IF(P2480="","",INDEX('Students'!$AD$2:$AD$701,P2480))</f>
        <v/>
      </c>
      <c r="S2480">
        <f>IF(H2480="OK",O2480,0)</f>
        <v/>
      </c>
      <c r="T2480">
        <f>IF(H2480="OK",N2480,"")</f>
        <v/>
      </c>
      <c r="U2480">
        <f>IF(OC_Donor=0,"",IF(INDEX('OneCause_Paste'!$A$2480:$AZ$2480,1,OC_Donor)="","",INDEX('OneCause_Paste'!$A$2480:$AZ$2480,1,OC_Donor)))</f>
        <v/>
      </c>
    </row>
    <row r="2481">
      <c r="A2481" s="62">
        <f>IF(H2481="","",IF(ISNUMBER(N2481),N2481,I2481))</f>
        <v/>
      </c>
      <c r="B2481">
        <f>IF(H2481="","",U2481)</f>
        <v/>
      </c>
      <c r="C2481">
        <f>IF(H2481="","",IF(P2481="",K2481,INDEX('Students'!$A$2:$A$701,P2481)))</f>
        <v/>
      </c>
      <c r="D2481">
        <f>IF(OR(H2481="",P2481=""),"",INDEX('Students'!$B$2:$B$701,P2481))</f>
        <v/>
      </c>
      <c r="E2481">
        <f>IF(OR(H2481="",P2481=""),"",INDEX('Students'!$C$2:$C$701,P2481))</f>
        <v/>
      </c>
      <c r="F2481" s="48">
        <f>IF(H2481="","",IF(ISNUMBER(O2481),O2481,J2481))</f>
        <v/>
      </c>
      <c r="G2481">
        <f>IF(H2481="","","OneCause")</f>
        <v/>
      </c>
      <c r="H2481">
        <f>IF(AND(I2481="",J2481="",K2481=""),"",IF(NOT(ISNUMBER(O2481)),"Bad amount",IF(O2481&lt;0,"Refund (not counted)",IF(O2481=0,"Zero amount",IF(NOT(ISNUMBER(N2481)),"Bad date",IF(P2481="","NAME NOT ON ROSTER",IF(L2481="","OK",IF(MATCH(L2481,$L$2:$L$3001,0)&lt;ROW()-1,"Duplicate (ignored)","OK"))))))))</f>
        <v/>
      </c>
      <c r="I2481">
        <f>IF(OC_Date=0,"",IF(INDEX('OneCause_Paste'!$A$2481:$AZ$2481,1,OC_Date)="","",INDEX('OneCause_Paste'!$A$2481:$AZ$2481,1,OC_Date)))</f>
        <v/>
      </c>
      <c r="J2481">
        <f>IF(OC_Amt=0,"",IF(INDEX('OneCause_Paste'!$A$2481:$AZ$2481,1,OC_Amt)="","",INDEX('OneCause_Paste'!$A$2481:$AZ$2481,1,OC_Amt)))</f>
        <v/>
      </c>
      <c r="K2481">
        <f>IF(OC_Name=0,"",IF(INDEX('OneCause_Paste'!$A$2481:$AZ$2481,1,OC_Name)="","",INDEX('OneCause_Paste'!$A$2481:$AZ$2481,1,OC_Name)))</f>
        <v/>
      </c>
      <c r="L2481">
        <f>IF(OC_Txn=0,"",IF(INDEX('OneCause_Paste'!$A$2481:$AZ$2481,1,OC_Txn)="","",INDEX('OneCause_Paste'!$A$2481:$AZ$2481,1,OC_Txn)))</f>
        <v/>
      </c>
      <c r="M2481">
        <f>IF(OC_Pay=0,"",IF(INDEX('OneCause_Paste'!$A$2481:$AZ$2481,1,OC_Pay)="","",INDEX('OneCause_Paste'!$A$2481:$AZ$2481,1,OC_Pay)))</f>
        <v/>
      </c>
      <c r="N2481">
        <f>IF(I2481="","",IF(ISNUMBER(I2481),INT(I2481),IFERROR(INT(DATEVALUE(I2481)),IFERROR(INT(VALUE(I2481)),"bad"))))</f>
        <v/>
      </c>
      <c r="O2481">
        <f>IF(J2481="","",IF(ISNUMBER(J2481),ROUND(J2481,2),IFERROR(ROUND(VALUE(SUBSTITUTE(SUBSTITUTE(SUBSTITUTE(J2481,"$",""),",","")," ","")),2),"bad")))</f>
        <v/>
      </c>
      <c r="P2481">
        <f>IF(TRIM(K2481)="","",IFERROR(MATCH(LOWER(TRIM(K2481)),'Students'!$AH$2:$AH$701,0),IFERROR(MATCH(LOWER(TRIM(K2481)),'Students'!$AF$2:$AF$701,0),IFERROR(MATCH(LOWER(TRIM(K2481)),'Students'!$AG$2:$AG$701,0),""))))</f>
        <v/>
      </c>
      <c r="R2481">
        <f>IF(P2481="","",INDEX('Students'!$AD$2:$AD$701,P2481))</f>
        <v/>
      </c>
      <c r="S2481">
        <f>IF(H2481="OK",O2481,0)</f>
        <v/>
      </c>
      <c r="T2481">
        <f>IF(H2481="OK",N2481,"")</f>
        <v/>
      </c>
      <c r="U2481">
        <f>IF(OC_Donor=0,"",IF(INDEX('OneCause_Paste'!$A$2481:$AZ$2481,1,OC_Donor)="","",INDEX('OneCause_Paste'!$A$2481:$AZ$2481,1,OC_Donor)))</f>
        <v/>
      </c>
    </row>
    <row r="2482">
      <c r="A2482" s="62">
        <f>IF(H2482="","",IF(ISNUMBER(N2482),N2482,I2482))</f>
        <v/>
      </c>
      <c r="B2482">
        <f>IF(H2482="","",U2482)</f>
        <v/>
      </c>
      <c r="C2482">
        <f>IF(H2482="","",IF(P2482="",K2482,INDEX('Students'!$A$2:$A$701,P2482)))</f>
        <v/>
      </c>
      <c r="D2482">
        <f>IF(OR(H2482="",P2482=""),"",INDEX('Students'!$B$2:$B$701,P2482))</f>
        <v/>
      </c>
      <c r="E2482">
        <f>IF(OR(H2482="",P2482=""),"",INDEX('Students'!$C$2:$C$701,P2482))</f>
        <v/>
      </c>
      <c r="F2482" s="48">
        <f>IF(H2482="","",IF(ISNUMBER(O2482),O2482,J2482))</f>
        <v/>
      </c>
      <c r="G2482">
        <f>IF(H2482="","","OneCause")</f>
        <v/>
      </c>
      <c r="H2482">
        <f>IF(AND(I2482="",J2482="",K2482=""),"",IF(NOT(ISNUMBER(O2482)),"Bad amount",IF(O2482&lt;0,"Refund (not counted)",IF(O2482=0,"Zero amount",IF(NOT(ISNUMBER(N2482)),"Bad date",IF(P2482="","NAME NOT ON ROSTER",IF(L2482="","OK",IF(MATCH(L2482,$L$2:$L$3001,0)&lt;ROW()-1,"Duplicate (ignored)","OK"))))))))</f>
        <v/>
      </c>
      <c r="I2482">
        <f>IF(OC_Date=0,"",IF(INDEX('OneCause_Paste'!$A$2482:$AZ$2482,1,OC_Date)="","",INDEX('OneCause_Paste'!$A$2482:$AZ$2482,1,OC_Date)))</f>
        <v/>
      </c>
      <c r="J2482">
        <f>IF(OC_Amt=0,"",IF(INDEX('OneCause_Paste'!$A$2482:$AZ$2482,1,OC_Amt)="","",INDEX('OneCause_Paste'!$A$2482:$AZ$2482,1,OC_Amt)))</f>
        <v/>
      </c>
      <c r="K2482">
        <f>IF(OC_Name=0,"",IF(INDEX('OneCause_Paste'!$A$2482:$AZ$2482,1,OC_Name)="","",INDEX('OneCause_Paste'!$A$2482:$AZ$2482,1,OC_Name)))</f>
        <v/>
      </c>
      <c r="L2482">
        <f>IF(OC_Txn=0,"",IF(INDEX('OneCause_Paste'!$A$2482:$AZ$2482,1,OC_Txn)="","",INDEX('OneCause_Paste'!$A$2482:$AZ$2482,1,OC_Txn)))</f>
        <v/>
      </c>
      <c r="M2482">
        <f>IF(OC_Pay=0,"",IF(INDEX('OneCause_Paste'!$A$2482:$AZ$2482,1,OC_Pay)="","",INDEX('OneCause_Paste'!$A$2482:$AZ$2482,1,OC_Pay)))</f>
        <v/>
      </c>
      <c r="N2482">
        <f>IF(I2482="","",IF(ISNUMBER(I2482),INT(I2482),IFERROR(INT(DATEVALUE(I2482)),IFERROR(INT(VALUE(I2482)),"bad"))))</f>
        <v/>
      </c>
      <c r="O2482">
        <f>IF(J2482="","",IF(ISNUMBER(J2482),ROUND(J2482,2),IFERROR(ROUND(VALUE(SUBSTITUTE(SUBSTITUTE(SUBSTITUTE(J2482,"$",""),",","")," ","")),2),"bad")))</f>
        <v/>
      </c>
      <c r="P2482">
        <f>IF(TRIM(K2482)="","",IFERROR(MATCH(LOWER(TRIM(K2482)),'Students'!$AH$2:$AH$701,0),IFERROR(MATCH(LOWER(TRIM(K2482)),'Students'!$AF$2:$AF$701,0),IFERROR(MATCH(LOWER(TRIM(K2482)),'Students'!$AG$2:$AG$701,0),""))))</f>
        <v/>
      </c>
      <c r="R2482">
        <f>IF(P2482="","",INDEX('Students'!$AD$2:$AD$701,P2482))</f>
        <v/>
      </c>
      <c r="S2482">
        <f>IF(H2482="OK",O2482,0)</f>
        <v/>
      </c>
      <c r="T2482">
        <f>IF(H2482="OK",N2482,"")</f>
        <v/>
      </c>
      <c r="U2482">
        <f>IF(OC_Donor=0,"",IF(INDEX('OneCause_Paste'!$A$2482:$AZ$2482,1,OC_Donor)="","",INDEX('OneCause_Paste'!$A$2482:$AZ$2482,1,OC_Donor)))</f>
        <v/>
      </c>
    </row>
    <row r="2483">
      <c r="A2483" s="62">
        <f>IF(H2483="","",IF(ISNUMBER(N2483),N2483,I2483))</f>
        <v/>
      </c>
      <c r="B2483">
        <f>IF(H2483="","",U2483)</f>
        <v/>
      </c>
      <c r="C2483">
        <f>IF(H2483="","",IF(P2483="",K2483,INDEX('Students'!$A$2:$A$701,P2483)))</f>
        <v/>
      </c>
      <c r="D2483">
        <f>IF(OR(H2483="",P2483=""),"",INDEX('Students'!$B$2:$B$701,P2483))</f>
        <v/>
      </c>
      <c r="E2483">
        <f>IF(OR(H2483="",P2483=""),"",INDEX('Students'!$C$2:$C$701,P2483))</f>
        <v/>
      </c>
      <c r="F2483" s="48">
        <f>IF(H2483="","",IF(ISNUMBER(O2483),O2483,J2483))</f>
        <v/>
      </c>
      <c r="G2483">
        <f>IF(H2483="","","OneCause")</f>
        <v/>
      </c>
      <c r="H2483">
        <f>IF(AND(I2483="",J2483="",K2483=""),"",IF(NOT(ISNUMBER(O2483)),"Bad amount",IF(O2483&lt;0,"Refund (not counted)",IF(O2483=0,"Zero amount",IF(NOT(ISNUMBER(N2483)),"Bad date",IF(P2483="","NAME NOT ON ROSTER",IF(L2483="","OK",IF(MATCH(L2483,$L$2:$L$3001,0)&lt;ROW()-1,"Duplicate (ignored)","OK"))))))))</f>
        <v/>
      </c>
      <c r="I2483">
        <f>IF(OC_Date=0,"",IF(INDEX('OneCause_Paste'!$A$2483:$AZ$2483,1,OC_Date)="","",INDEX('OneCause_Paste'!$A$2483:$AZ$2483,1,OC_Date)))</f>
        <v/>
      </c>
      <c r="J2483">
        <f>IF(OC_Amt=0,"",IF(INDEX('OneCause_Paste'!$A$2483:$AZ$2483,1,OC_Amt)="","",INDEX('OneCause_Paste'!$A$2483:$AZ$2483,1,OC_Amt)))</f>
        <v/>
      </c>
      <c r="K2483">
        <f>IF(OC_Name=0,"",IF(INDEX('OneCause_Paste'!$A$2483:$AZ$2483,1,OC_Name)="","",INDEX('OneCause_Paste'!$A$2483:$AZ$2483,1,OC_Name)))</f>
        <v/>
      </c>
      <c r="L2483">
        <f>IF(OC_Txn=0,"",IF(INDEX('OneCause_Paste'!$A$2483:$AZ$2483,1,OC_Txn)="","",INDEX('OneCause_Paste'!$A$2483:$AZ$2483,1,OC_Txn)))</f>
        <v/>
      </c>
      <c r="M2483">
        <f>IF(OC_Pay=0,"",IF(INDEX('OneCause_Paste'!$A$2483:$AZ$2483,1,OC_Pay)="","",INDEX('OneCause_Paste'!$A$2483:$AZ$2483,1,OC_Pay)))</f>
        <v/>
      </c>
      <c r="N2483">
        <f>IF(I2483="","",IF(ISNUMBER(I2483),INT(I2483),IFERROR(INT(DATEVALUE(I2483)),IFERROR(INT(VALUE(I2483)),"bad"))))</f>
        <v/>
      </c>
      <c r="O2483">
        <f>IF(J2483="","",IF(ISNUMBER(J2483),ROUND(J2483,2),IFERROR(ROUND(VALUE(SUBSTITUTE(SUBSTITUTE(SUBSTITUTE(J2483,"$",""),",","")," ","")),2),"bad")))</f>
        <v/>
      </c>
      <c r="P2483">
        <f>IF(TRIM(K2483)="","",IFERROR(MATCH(LOWER(TRIM(K2483)),'Students'!$AH$2:$AH$701,0),IFERROR(MATCH(LOWER(TRIM(K2483)),'Students'!$AF$2:$AF$701,0),IFERROR(MATCH(LOWER(TRIM(K2483)),'Students'!$AG$2:$AG$701,0),""))))</f>
        <v/>
      </c>
      <c r="R2483">
        <f>IF(P2483="","",INDEX('Students'!$AD$2:$AD$701,P2483))</f>
        <v/>
      </c>
      <c r="S2483">
        <f>IF(H2483="OK",O2483,0)</f>
        <v/>
      </c>
      <c r="T2483">
        <f>IF(H2483="OK",N2483,"")</f>
        <v/>
      </c>
      <c r="U2483">
        <f>IF(OC_Donor=0,"",IF(INDEX('OneCause_Paste'!$A$2483:$AZ$2483,1,OC_Donor)="","",INDEX('OneCause_Paste'!$A$2483:$AZ$2483,1,OC_Donor)))</f>
        <v/>
      </c>
    </row>
    <row r="2484">
      <c r="A2484" s="62">
        <f>IF(H2484="","",IF(ISNUMBER(N2484),N2484,I2484))</f>
        <v/>
      </c>
      <c r="B2484">
        <f>IF(H2484="","",U2484)</f>
        <v/>
      </c>
      <c r="C2484">
        <f>IF(H2484="","",IF(P2484="",K2484,INDEX('Students'!$A$2:$A$701,P2484)))</f>
        <v/>
      </c>
      <c r="D2484">
        <f>IF(OR(H2484="",P2484=""),"",INDEX('Students'!$B$2:$B$701,P2484))</f>
        <v/>
      </c>
      <c r="E2484">
        <f>IF(OR(H2484="",P2484=""),"",INDEX('Students'!$C$2:$C$701,P2484))</f>
        <v/>
      </c>
      <c r="F2484" s="48">
        <f>IF(H2484="","",IF(ISNUMBER(O2484),O2484,J2484))</f>
        <v/>
      </c>
      <c r="G2484">
        <f>IF(H2484="","","OneCause")</f>
        <v/>
      </c>
      <c r="H2484">
        <f>IF(AND(I2484="",J2484="",K2484=""),"",IF(NOT(ISNUMBER(O2484)),"Bad amount",IF(O2484&lt;0,"Refund (not counted)",IF(O2484=0,"Zero amount",IF(NOT(ISNUMBER(N2484)),"Bad date",IF(P2484="","NAME NOT ON ROSTER",IF(L2484="","OK",IF(MATCH(L2484,$L$2:$L$3001,0)&lt;ROW()-1,"Duplicate (ignored)","OK"))))))))</f>
        <v/>
      </c>
      <c r="I2484">
        <f>IF(OC_Date=0,"",IF(INDEX('OneCause_Paste'!$A$2484:$AZ$2484,1,OC_Date)="","",INDEX('OneCause_Paste'!$A$2484:$AZ$2484,1,OC_Date)))</f>
        <v/>
      </c>
      <c r="J2484">
        <f>IF(OC_Amt=0,"",IF(INDEX('OneCause_Paste'!$A$2484:$AZ$2484,1,OC_Amt)="","",INDEX('OneCause_Paste'!$A$2484:$AZ$2484,1,OC_Amt)))</f>
        <v/>
      </c>
      <c r="K2484">
        <f>IF(OC_Name=0,"",IF(INDEX('OneCause_Paste'!$A$2484:$AZ$2484,1,OC_Name)="","",INDEX('OneCause_Paste'!$A$2484:$AZ$2484,1,OC_Name)))</f>
        <v/>
      </c>
      <c r="L2484">
        <f>IF(OC_Txn=0,"",IF(INDEX('OneCause_Paste'!$A$2484:$AZ$2484,1,OC_Txn)="","",INDEX('OneCause_Paste'!$A$2484:$AZ$2484,1,OC_Txn)))</f>
        <v/>
      </c>
      <c r="M2484">
        <f>IF(OC_Pay=0,"",IF(INDEX('OneCause_Paste'!$A$2484:$AZ$2484,1,OC_Pay)="","",INDEX('OneCause_Paste'!$A$2484:$AZ$2484,1,OC_Pay)))</f>
        <v/>
      </c>
      <c r="N2484">
        <f>IF(I2484="","",IF(ISNUMBER(I2484),INT(I2484),IFERROR(INT(DATEVALUE(I2484)),IFERROR(INT(VALUE(I2484)),"bad"))))</f>
        <v/>
      </c>
      <c r="O2484">
        <f>IF(J2484="","",IF(ISNUMBER(J2484),ROUND(J2484,2),IFERROR(ROUND(VALUE(SUBSTITUTE(SUBSTITUTE(SUBSTITUTE(J2484,"$",""),",","")," ","")),2),"bad")))</f>
        <v/>
      </c>
      <c r="P2484">
        <f>IF(TRIM(K2484)="","",IFERROR(MATCH(LOWER(TRIM(K2484)),'Students'!$AH$2:$AH$701,0),IFERROR(MATCH(LOWER(TRIM(K2484)),'Students'!$AF$2:$AF$701,0),IFERROR(MATCH(LOWER(TRIM(K2484)),'Students'!$AG$2:$AG$701,0),""))))</f>
        <v/>
      </c>
      <c r="R2484">
        <f>IF(P2484="","",INDEX('Students'!$AD$2:$AD$701,P2484))</f>
        <v/>
      </c>
      <c r="S2484">
        <f>IF(H2484="OK",O2484,0)</f>
        <v/>
      </c>
      <c r="T2484">
        <f>IF(H2484="OK",N2484,"")</f>
        <v/>
      </c>
      <c r="U2484">
        <f>IF(OC_Donor=0,"",IF(INDEX('OneCause_Paste'!$A$2484:$AZ$2484,1,OC_Donor)="","",INDEX('OneCause_Paste'!$A$2484:$AZ$2484,1,OC_Donor)))</f>
        <v/>
      </c>
    </row>
    <row r="2485">
      <c r="A2485" s="62">
        <f>IF(H2485="","",IF(ISNUMBER(N2485),N2485,I2485))</f>
        <v/>
      </c>
      <c r="B2485">
        <f>IF(H2485="","",U2485)</f>
        <v/>
      </c>
      <c r="C2485">
        <f>IF(H2485="","",IF(P2485="",K2485,INDEX('Students'!$A$2:$A$701,P2485)))</f>
        <v/>
      </c>
      <c r="D2485">
        <f>IF(OR(H2485="",P2485=""),"",INDEX('Students'!$B$2:$B$701,P2485))</f>
        <v/>
      </c>
      <c r="E2485">
        <f>IF(OR(H2485="",P2485=""),"",INDEX('Students'!$C$2:$C$701,P2485))</f>
        <v/>
      </c>
      <c r="F2485" s="48">
        <f>IF(H2485="","",IF(ISNUMBER(O2485),O2485,J2485))</f>
        <v/>
      </c>
      <c r="G2485">
        <f>IF(H2485="","","OneCause")</f>
        <v/>
      </c>
      <c r="H2485">
        <f>IF(AND(I2485="",J2485="",K2485=""),"",IF(NOT(ISNUMBER(O2485)),"Bad amount",IF(O2485&lt;0,"Refund (not counted)",IF(O2485=0,"Zero amount",IF(NOT(ISNUMBER(N2485)),"Bad date",IF(P2485="","NAME NOT ON ROSTER",IF(L2485="","OK",IF(MATCH(L2485,$L$2:$L$3001,0)&lt;ROW()-1,"Duplicate (ignored)","OK"))))))))</f>
        <v/>
      </c>
      <c r="I2485">
        <f>IF(OC_Date=0,"",IF(INDEX('OneCause_Paste'!$A$2485:$AZ$2485,1,OC_Date)="","",INDEX('OneCause_Paste'!$A$2485:$AZ$2485,1,OC_Date)))</f>
        <v/>
      </c>
      <c r="J2485">
        <f>IF(OC_Amt=0,"",IF(INDEX('OneCause_Paste'!$A$2485:$AZ$2485,1,OC_Amt)="","",INDEX('OneCause_Paste'!$A$2485:$AZ$2485,1,OC_Amt)))</f>
        <v/>
      </c>
      <c r="K2485">
        <f>IF(OC_Name=0,"",IF(INDEX('OneCause_Paste'!$A$2485:$AZ$2485,1,OC_Name)="","",INDEX('OneCause_Paste'!$A$2485:$AZ$2485,1,OC_Name)))</f>
        <v/>
      </c>
      <c r="L2485">
        <f>IF(OC_Txn=0,"",IF(INDEX('OneCause_Paste'!$A$2485:$AZ$2485,1,OC_Txn)="","",INDEX('OneCause_Paste'!$A$2485:$AZ$2485,1,OC_Txn)))</f>
        <v/>
      </c>
      <c r="M2485">
        <f>IF(OC_Pay=0,"",IF(INDEX('OneCause_Paste'!$A$2485:$AZ$2485,1,OC_Pay)="","",INDEX('OneCause_Paste'!$A$2485:$AZ$2485,1,OC_Pay)))</f>
        <v/>
      </c>
      <c r="N2485">
        <f>IF(I2485="","",IF(ISNUMBER(I2485),INT(I2485),IFERROR(INT(DATEVALUE(I2485)),IFERROR(INT(VALUE(I2485)),"bad"))))</f>
        <v/>
      </c>
      <c r="O2485">
        <f>IF(J2485="","",IF(ISNUMBER(J2485),ROUND(J2485,2),IFERROR(ROUND(VALUE(SUBSTITUTE(SUBSTITUTE(SUBSTITUTE(J2485,"$",""),",","")," ","")),2),"bad")))</f>
        <v/>
      </c>
      <c r="P2485">
        <f>IF(TRIM(K2485)="","",IFERROR(MATCH(LOWER(TRIM(K2485)),'Students'!$AH$2:$AH$701,0),IFERROR(MATCH(LOWER(TRIM(K2485)),'Students'!$AF$2:$AF$701,0),IFERROR(MATCH(LOWER(TRIM(K2485)),'Students'!$AG$2:$AG$701,0),""))))</f>
        <v/>
      </c>
      <c r="R2485">
        <f>IF(P2485="","",INDEX('Students'!$AD$2:$AD$701,P2485))</f>
        <v/>
      </c>
      <c r="S2485">
        <f>IF(H2485="OK",O2485,0)</f>
        <v/>
      </c>
      <c r="T2485">
        <f>IF(H2485="OK",N2485,"")</f>
        <v/>
      </c>
      <c r="U2485">
        <f>IF(OC_Donor=0,"",IF(INDEX('OneCause_Paste'!$A$2485:$AZ$2485,1,OC_Donor)="","",INDEX('OneCause_Paste'!$A$2485:$AZ$2485,1,OC_Donor)))</f>
        <v/>
      </c>
    </row>
    <row r="2486">
      <c r="A2486" s="62">
        <f>IF(H2486="","",IF(ISNUMBER(N2486),N2486,I2486))</f>
        <v/>
      </c>
      <c r="B2486">
        <f>IF(H2486="","",U2486)</f>
        <v/>
      </c>
      <c r="C2486">
        <f>IF(H2486="","",IF(P2486="",K2486,INDEX('Students'!$A$2:$A$701,P2486)))</f>
        <v/>
      </c>
      <c r="D2486">
        <f>IF(OR(H2486="",P2486=""),"",INDEX('Students'!$B$2:$B$701,P2486))</f>
        <v/>
      </c>
      <c r="E2486">
        <f>IF(OR(H2486="",P2486=""),"",INDEX('Students'!$C$2:$C$701,P2486))</f>
        <v/>
      </c>
      <c r="F2486" s="48">
        <f>IF(H2486="","",IF(ISNUMBER(O2486),O2486,J2486))</f>
        <v/>
      </c>
      <c r="G2486">
        <f>IF(H2486="","","OneCause")</f>
        <v/>
      </c>
      <c r="H2486">
        <f>IF(AND(I2486="",J2486="",K2486=""),"",IF(NOT(ISNUMBER(O2486)),"Bad amount",IF(O2486&lt;0,"Refund (not counted)",IF(O2486=0,"Zero amount",IF(NOT(ISNUMBER(N2486)),"Bad date",IF(P2486="","NAME NOT ON ROSTER",IF(L2486="","OK",IF(MATCH(L2486,$L$2:$L$3001,0)&lt;ROW()-1,"Duplicate (ignored)","OK"))))))))</f>
        <v/>
      </c>
      <c r="I2486">
        <f>IF(OC_Date=0,"",IF(INDEX('OneCause_Paste'!$A$2486:$AZ$2486,1,OC_Date)="","",INDEX('OneCause_Paste'!$A$2486:$AZ$2486,1,OC_Date)))</f>
        <v/>
      </c>
      <c r="J2486">
        <f>IF(OC_Amt=0,"",IF(INDEX('OneCause_Paste'!$A$2486:$AZ$2486,1,OC_Amt)="","",INDEX('OneCause_Paste'!$A$2486:$AZ$2486,1,OC_Amt)))</f>
        <v/>
      </c>
      <c r="K2486">
        <f>IF(OC_Name=0,"",IF(INDEX('OneCause_Paste'!$A$2486:$AZ$2486,1,OC_Name)="","",INDEX('OneCause_Paste'!$A$2486:$AZ$2486,1,OC_Name)))</f>
        <v/>
      </c>
      <c r="L2486">
        <f>IF(OC_Txn=0,"",IF(INDEX('OneCause_Paste'!$A$2486:$AZ$2486,1,OC_Txn)="","",INDEX('OneCause_Paste'!$A$2486:$AZ$2486,1,OC_Txn)))</f>
        <v/>
      </c>
      <c r="M2486">
        <f>IF(OC_Pay=0,"",IF(INDEX('OneCause_Paste'!$A$2486:$AZ$2486,1,OC_Pay)="","",INDEX('OneCause_Paste'!$A$2486:$AZ$2486,1,OC_Pay)))</f>
        <v/>
      </c>
      <c r="N2486">
        <f>IF(I2486="","",IF(ISNUMBER(I2486),INT(I2486),IFERROR(INT(DATEVALUE(I2486)),IFERROR(INT(VALUE(I2486)),"bad"))))</f>
        <v/>
      </c>
      <c r="O2486">
        <f>IF(J2486="","",IF(ISNUMBER(J2486),ROUND(J2486,2),IFERROR(ROUND(VALUE(SUBSTITUTE(SUBSTITUTE(SUBSTITUTE(J2486,"$",""),",","")," ","")),2),"bad")))</f>
        <v/>
      </c>
      <c r="P2486">
        <f>IF(TRIM(K2486)="","",IFERROR(MATCH(LOWER(TRIM(K2486)),'Students'!$AH$2:$AH$701,0),IFERROR(MATCH(LOWER(TRIM(K2486)),'Students'!$AF$2:$AF$701,0),IFERROR(MATCH(LOWER(TRIM(K2486)),'Students'!$AG$2:$AG$701,0),""))))</f>
        <v/>
      </c>
      <c r="R2486">
        <f>IF(P2486="","",INDEX('Students'!$AD$2:$AD$701,P2486))</f>
        <v/>
      </c>
      <c r="S2486">
        <f>IF(H2486="OK",O2486,0)</f>
        <v/>
      </c>
      <c r="T2486">
        <f>IF(H2486="OK",N2486,"")</f>
        <v/>
      </c>
      <c r="U2486">
        <f>IF(OC_Donor=0,"",IF(INDEX('OneCause_Paste'!$A$2486:$AZ$2486,1,OC_Donor)="","",INDEX('OneCause_Paste'!$A$2486:$AZ$2486,1,OC_Donor)))</f>
        <v/>
      </c>
    </row>
    <row r="2487">
      <c r="A2487" s="62">
        <f>IF(H2487="","",IF(ISNUMBER(N2487),N2487,I2487))</f>
        <v/>
      </c>
      <c r="B2487">
        <f>IF(H2487="","",U2487)</f>
        <v/>
      </c>
      <c r="C2487">
        <f>IF(H2487="","",IF(P2487="",K2487,INDEX('Students'!$A$2:$A$701,P2487)))</f>
        <v/>
      </c>
      <c r="D2487">
        <f>IF(OR(H2487="",P2487=""),"",INDEX('Students'!$B$2:$B$701,P2487))</f>
        <v/>
      </c>
      <c r="E2487">
        <f>IF(OR(H2487="",P2487=""),"",INDEX('Students'!$C$2:$C$701,P2487))</f>
        <v/>
      </c>
      <c r="F2487" s="48">
        <f>IF(H2487="","",IF(ISNUMBER(O2487),O2487,J2487))</f>
        <v/>
      </c>
      <c r="G2487">
        <f>IF(H2487="","","OneCause")</f>
        <v/>
      </c>
      <c r="H2487">
        <f>IF(AND(I2487="",J2487="",K2487=""),"",IF(NOT(ISNUMBER(O2487)),"Bad amount",IF(O2487&lt;0,"Refund (not counted)",IF(O2487=0,"Zero amount",IF(NOT(ISNUMBER(N2487)),"Bad date",IF(P2487="","NAME NOT ON ROSTER",IF(L2487="","OK",IF(MATCH(L2487,$L$2:$L$3001,0)&lt;ROW()-1,"Duplicate (ignored)","OK"))))))))</f>
        <v/>
      </c>
      <c r="I2487">
        <f>IF(OC_Date=0,"",IF(INDEX('OneCause_Paste'!$A$2487:$AZ$2487,1,OC_Date)="","",INDEX('OneCause_Paste'!$A$2487:$AZ$2487,1,OC_Date)))</f>
        <v/>
      </c>
      <c r="J2487">
        <f>IF(OC_Amt=0,"",IF(INDEX('OneCause_Paste'!$A$2487:$AZ$2487,1,OC_Amt)="","",INDEX('OneCause_Paste'!$A$2487:$AZ$2487,1,OC_Amt)))</f>
        <v/>
      </c>
      <c r="K2487">
        <f>IF(OC_Name=0,"",IF(INDEX('OneCause_Paste'!$A$2487:$AZ$2487,1,OC_Name)="","",INDEX('OneCause_Paste'!$A$2487:$AZ$2487,1,OC_Name)))</f>
        <v/>
      </c>
      <c r="L2487">
        <f>IF(OC_Txn=0,"",IF(INDEX('OneCause_Paste'!$A$2487:$AZ$2487,1,OC_Txn)="","",INDEX('OneCause_Paste'!$A$2487:$AZ$2487,1,OC_Txn)))</f>
        <v/>
      </c>
      <c r="M2487">
        <f>IF(OC_Pay=0,"",IF(INDEX('OneCause_Paste'!$A$2487:$AZ$2487,1,OC_Pay)="","",INDEX('OneCause_Paste'!$A$2487:$AZ$2487,1,OC_Pay)))</f>
        <v/>
      </c>
      <c r="N2487">
        <f>IF(I2487="","",IF(ISNUMBER(I2487),INT(I2487),IFERROR(INT(DATEVALUE(I2487)),IFERROR(INT(VALUE(I2487)),"bad"))))</f>
        <v/>
      </c>
      <c r="O2487">
        <f>IF(J2487="","",IF(ISNUMBER(J2487),ROUND(J2487,2),IFERROR(ROUND(VALUE(SUBSTITUTE(SUBSTITUTE(SUBSTITUTE(J2487,"$",""),",","")," ","")),2),"bad")))</f>
        <v/>
      </c>
      <c r="P2487">
        <f>IF(TRIM(K2487)="","",IFERROR(MATCH(LOWER(TRIM(K2487)),'Students'!$AH$2:$AH$701,0),IFERROR(MATCH(LOWER(TRIM(K2487)),'Students'!$AF$2:$AF$701,0),IFERROR(MATCH(LOWER(TRIM(K2487)),'Students'!$AG$2:$AG$701,0),""))))</f>
        <v/>
      </c>
      <c r="R2487">
        <f>IF(P2487="","",INDEX('Students'!$AD$2:$AD$701,P2487))</f>
        <v/>
      </c>
      <c r="S2487">
        <f>IF(H2487="OK",O2487,0)</f>
        <v/>
      </c>
      <c r="T2487">
        <f>IF(H2487="OK",N2487,"")</f>
        <v/>
      </c>
      <c r="U2487">
        <f>IF(OC_Donor=0,"",IF(INDEX('OneCause_Paste'!$A$2487:$AZ$2487,1,OC_Donor)="","",INDEX('OneCause_Paste'!$A$2487:$AZ$2487,1,OC_Donor)))</f>
        <v/>
      </c>
    </row>
    <row r="2488">
      <c r="A2488" s="62">
        <f>IF(H2488="","",IF(ISNUMBER(N2488),N2488,I2488))</f>
        <v/>
      </c>
      <c r="B2488">
        <f>IF(H2488="","",U2488)</f>
        <v/>
      </c>
      <c r="C2488">
        <f>IF(H2488="","",IF(P2488="",K2488,INDEX('Students'!$A$2:$A$701,P2488)))</f>
        <v/>
      </c>
      <c r="D2488">
        <f>IF(OR(H2488="",P2488=""),"",INDEX('Students'!$B$2:$B$701,P2488))</f>
        <v/>
      </c>
      <c r="E2488">
        <f>IF(OR(H2488="",P2488=""),"",INDEX('Students'!$C$2:$C$701,P2488))</f>
        <v/>
      </c>
      <c r="F2488" s="48">
        <f>IF(H2488="","",IF(ISNUMBER(O2488),O2488,J2488))</f>
        <v/>
      </c>
      <c r="G2488">
        <f>IF(H2488="","","OneCause")</f>
        <v/>
      </c>
      <c r="H2488">
        <f>IF(AND(I2488="",J2488="",K2488=""),"",IF(NOT(ISNUMBER(O2488)),"Bad amount",IF(O2488&lt;0,"Refund (not counted)",IF(O2488=0,"Zero amount",IF(NOT(ISNUMBER(N2488)),"Bad date",IF(P2488="","NAME NOT ON ROSTER",IF(L2488="","OK",IF(MATCH(L2488,$L$2:$L$3001,0)&lt;ROW()-1,"Duplicate (ignored)","OK"))))))))</f>
        <v/>
      </c>
      <c r="I2488">
        <f>IF(OC_Date=0,"",IF(INDEX('OneCause_Paste'!$A$2488:$AZ$2488,1,OC_Date)="","",INDEX('OneCause_Paste'!$A$2488:$AZ$2488,1,OC_Date)))</f>
        <v/>
      </c>
      <c r="J2488">
        <f>IF(OC_Amt=0,"",IF(INDEX('OneCause_Paste'!$A$2488:$AZ$2488,1,OC_Amt)="","",INDEX('OneCause_Paste'!$A$2488:$AZ$2488,1,OC_Amt)))</f>
        <v/>
      </c>
      <c r="K2488">
        <f>IF(OC_Name=0,"",IF(INDEX('OneCause_Paste'!$A$2488:$AZ$2488,1,OC_Name)="","",INDEX('OneCause_Paste'!$A$2488:$AZ$2488,1,OC_Name)))</f>
        <v/>
      </c>
      <c r="L2488">
        <f>IF(OC_Txn=0,"",IF(INDEX('OneCause_Paste'!$A$2488:$AZ$2488,1,OC_Txn)="","",INDEX('OneCause_Paste'!$A$2488:$AZ$2488,1,OC_Txn)))</f>
        <v/>
      </c>
      <c r="M2488">
        <f>IF(OC_Pay=0,"",IF(INDEX('OneCause_Paste'!$A$2488:$AZ$2488,1,OC_Pay)="","",INDEX('OneCause_Paste'!$A$2488:$AZ$2488,1,OC_Pay)))</f>
        <v/>
      </c>
      <c r="N2488">
        <f>IF(I2488="","",IF(ISNUMBER(I2488),INT(I2488),IFERROR(INT(DATEVALUE(I2488)),IFERROR(INT(VALUE(I2488)),"bad"))))</f>
        <v/>
      </c>
      <c r="O2488">
        <f>IF(J2488="","",IF(ISNUMBER(J2488),ROUND(J2488,2),IFERROR(ROUND(VALUE(SUBSTITUTE(SUBSTITUTE(SUBSTITUTE(J2488,"$",""),",","")," ","")),2),"bad")))</f>
        <v/>
      </c>
      <c r="P2488">
        <f>IF(TRIM(K2488)="","",IFERROR(MATCH(LOWER(TRIM(K2488)),'Students'!$AH$2:$AH$701,0),IFERROR(MATCH(LOWER(TRIM(K2488)),'Students'!$AF$2:$AF$701,0),IFERROR(MATCH(LOWER(TRIM(K2488)),'Students'!$AG$2:$AG$701,0),""))))</f>
        <v/>
      </c>
      <c r="R2488">
        <f>IF(P2488="","",INDEX('Students'!$AD$2:$AD$701,P2488))</f>
        <v/>
      </c>
      <c r="S2488">
        <f>IF(H2488="OK",O2488,0)</f>
        <v/>
      </c>
      <c r="T2488">
        <f>IF(H2488="OK",N2488,"")</f>
        <v/>
      </c>
      <c r="U2488">
        <f>IF(OC_Donor=0,"",IF(INDEX('OneCause_Paste'!$A$2488:$AZ$2488,1,OC_Donor)="","",INDEX('OneCause_Paste'!$A$2488:$AZ$2488,1,OC_Donor)))</f>
        <v/>
      </c>
    </row>
    <row r="2489">
      <c r="A2489" s="62">
        <f>IF(H2489="","",IF(ISNUMBER(N2489),N2489,I2489))</f>
        <v/>
      </c>
      <c r="B2489">
        <f>IF(H2489="","",U2489)</f>
        <v/>
      </c>
      <c r="C2489">
        <f>IF(H2489="","",IF(P2489="",K2489,INDEX('Students'!$A$2:$A$701,P2489)))</f>
        <v/>
      </c>
      <c r="D2489">
        <f>IF(OR(H2489="",P2489=""),"",INDEX('Students'!$B$2:$B$701,P2489))</f>
        <v/>
      </c>
      <c r="E2489">
        <f>IF(OR(H2489="",P2489=""),"",INDEX('Students'!$C$2:$C$701,P2489))</f>
        <v/>
      </c>
      <c r="F2489" s="48">
        <f>IF(H2489="","",IF(ISNUMBER(O2489),O2489,J2489))</f>
        <v/>
      </c>
      <c r="G2489">
        <f>IF(H2489="","","OneCause")</f>
        <v/>
      </c>
      <c r="H2489">
        <f>IF(AND(I2489="",J2489="",K2489=""),"",IF(NOT(ISNUMBER(O2489)),"Bad amount",IF(O2489&lt;0,"Refund (not counted)",IF(O2489=0,"Zero amount",IF(NOT(ISNUMBER(N2489)),"Bad date",IF(P2489="","NAME NOT ON ROSTER",IF(L2489="","OK",IF(MATCH(L2489,$L$2:$L$3001,0)&lt;ROW()-1,"Duplicate (ignored)","OK"))))))))</f>
        <v/>
      </c>
      <c r="I2489">
        <f>IF(OC_Date=0,"",IF(INDEX('OneCause_Paste'!$A$2489:$AZ$2489,1,OC_Date)="","",INDEX('OneCause_Paste'!$A$2489:$AZ$2489,1,OC_Date)))</f>
        <v/>
      </c>
      <c r="J2489">
        <f>IF(OC_Amt=0,"",IF(INDEX('OneCause_Paste'!$A$2489:$AZ$2489,1,OC_Amt)="","",INDEX('OneCause_Paste'!$A$2489:$AZ$2489,1,OC_Amt)))</f>
        <v/>
      </c>
      <c r="K2489">
        <f>IF(OC_Name=0,"",IF(INDEX('OneCause_Paste'!$A$2489:$AZ$2489,1,OC_Name)="","",INDEX('OneCause_Paste'!$A$2489:$AZ$2489,1,OC_Name)))</f>
        <v/>
      </c>
      <c r="L2489">
        <f>IF(OC_Txn=0,"",IF(INDEX('OneCause_Paste'!$A$2489:$AZ$2489,1,OC_Txn)="","",INDEX('OneCause_Paste'!$A$2489:$AZ$2489,1,OC_Txn)))</f>
        <v/>
      </c>
      <c r="M2489">
        <f>IF(OC_Pay=0,"",IF(INDEX('OneCause_Paste'!$A$2489:$AZ$2489,1,OC_Pay)="","",INDEX('OneCause_Paste'!$A$2489:$AZ$2489,1,OC_Pay)))</f>
        <v/>
      </c>
      <c r="N2489">
        <f>IF(I2489="","",IF(ISNUMBER(I2489),INT(I2489),IFERROR(INT(DATEVALUE(I2489)),IFERROR(INT(VALUE(I2489)),"bad"))))</f>
        <v/>
      </c>
      <c r="O2489">
        <f>IF(J2489="","",IF(ISNUMBER(J2489),ROUND(J2489,2),IFERROR(ROUND(VALUE(SUBSTITUTE(SUBSTITUTE(SUBSTITUTE(J2489,"$",""),",","")," ","")),2),"bad")))</f>
        <v/>
      </c>
      <c r="P2489">
        <f>IF(TRIM(K2489)="","",IFERROR(MATCH(LOWER(TRIM(K2489)),'Students'!$AH$2:$AH$701,0),IFERROR(MATCH(LOWER(TRIM(K2489)),'Students'!$AF$2:$AF$701,0),IFERROR(MATCH(LOWER(TRIM(K2489)),'Students'!$AG$2:$AG$701,0),""))))</f>
        <v/>
      </c>
      <c r="R2489">
        <f>IF(P2489="","",INDEX('Students'!$AD$2:$AD$701,P2489))</f>
        <v/>
      </c>
      <c r="S2489">
        <f>IF(H2489="OK",O2489,0)</f>
        <v/>
      </c>
      <c r="T2489">
        <f>IF(H2489="OK",N2489,"")</f>
        <v/>
      </c>
      <c r="U2489">
        <f>IF(OC_Donor=0,"",IF(INDEX('OneCause_Paste'!$A$2489:$AZ$2489,1,OC_Donor)="","",INDEX('OneCause_Paste'!$A$2489:$AZ$2489,1,OC_Donor)))</f>
        <v/>
      </c>
    </row>
    <row r="2490">
      <c r="A2490" s="62">
        <f>IF(H2490="","",IF(ISNUMBER(N2490),N2490,I2490))</f>
        <v/>
      </c>
      <c r="B2490">
        <f>IF(H2490="","",U2490)</f>
        <v/>
      </c>
      <c r="C2490">
        <f>IF(H2490="","",IF(P2490="",K2490,INDEX('Students'!$A$2:$A$701,P2490)))</f>
        <v/>
      </c>
      <c r="D2490">
        <f>IF(OR(H2490="",P2490=""),"",INDEX('Students'!$B$2:$B$701,P2490))</f>
        <v/>
      </c>
      <c r="E2490">
        <f>IF(OR(H2490="",P2490=""),"",INDEX('Students'!$C$2:$C$701,P2490))</f>
        <v/>
      </c>
      <c r="F2490" s="48">
        <f>IF(H2490="","",IF(ISNUMBER(O2490),O2490,J2490))</f>
        <v/>
      </c>
      <c r="G2490">
        <f>IF(H2490="","","OneCause")</f>
        <v/>
      </c>
      <c r="H2490">
        <f>IF(AND(I2490="",J2490="",K2490=""),"",IF(NOT(ISNUMBER(O2490)),"Bad amount",IF(O2490&lt;0,"Refund (not counted)",IF(O2490=0,"Zero amount",IF(NOT(ISNUMBER(N2490)),"Bad date",IF(P2490="","NAME NOT ON ROSTER",IF(L2490="","OK",IF(MATCH(L2490,$L$2:$L$3001,0)&lt;ROW()-1,"Duplicate (ignored)","OK"))))))))</f>
        <v/>
      </c>
      <c r="I2490">
        <f>IF(OC_Date=0,"",IF(INDEX('OneCause_Paste'!$A$2490:$AZ$2490,1,OC_Date)="","",INDEX('OneCause_Paste'!$A$2490:$AZ$2490,1,OC_Date)))</f>
        <v/>
      </c>
      <c r="J2490">
        <f>IF(OC_Amt=0,"",IF(INDEX('OneCause_Paste'!$A$2490:$AZ$2490,1,OC_Amt)="","",INDEX('OneCause_Paste'!$A$2490:$AZ$2490,1,OC_Amt)))</f>
        <v/>
      </c>
      <c r="K2490">
        <f>IF(OC_Name=0,"",IF(INDEX('OneCause_Paste'!$A$2490:$AZ$2490,1,OC_Name)="","",INDEX('OneCause_Paste'!$A$2490:$AZ$2490,1,OC_Name)))</f>
        <v/>
      </c>
      <c r="L2490">
        <f>IF(OC_Txn=0,"",IF(INDEX('OneCause_Paste'!$A$2490:$AZ$2490,1,OC_Txn)="","",INDEX('OneCause_Paste'!$A$2490:$AZ$2490,1,OC_Txn)))</f>
        <v/>
      </c>
      <c r="M2490">
        <f>IF(OC_Pay=0,"",IF(INDEX('OneCause_Paste'!$A$2490:$AZ$2490,1,OC_Pay)="","",INDEX('OneCause_Paste'!$A$2490:$AZ$2490,1,OC_Pay)))</f>
        <v/>
      </c>
      <c r="N2490">
        <f>IF(I2490="","",IF(ISNUMBER(I2490),INT(I2490),IFERROR(INT(DATEVALUE(I2490)),IFERROR(INT(VALUE(I2490)),"bad"))))</f>
        <v/>
      </c>
      <c r="O2490">
        <f>IF(J2490="","",IF(ISNUMBER(J2490),ROUND(J2490,2),IFERROR(ROUND(VALUE(SUBSTITUTE(SUBSTITUTE(SUBSTITUTE(J2490,"$",""),",","")," ","")),2),"bad")))</f>
        <v/>
      </c>
      <c r="P2490">
        <f>IF(TRIM(K2490)="","",IFERROR(MATCH(LOWER(TRIM(K2490)),'Students'!$AH$2:$AH$701,0),IFERROR(MATCH(LOWER(TRIM(K2490)),'Students'!$AF$2:$AF$701,0),IFERROR(MATCH(LOWER(TRIM(K2490)),'Students'!$AG$2:$AG$701,0),""))))</f>
        <v/>
      </c>
      <c r="R2490">
        <f>IF(P2490="","",INDEX('Students'!$AD$2:$AD$701,P2490))</f>
        <v/>
      </c>
      <c r="S2490">
        <f>IF(H2490="OK",O2490,0)</f>
        <v/>
      </c>
      <c r="T2490">
        <f>IF(H2490="OK",N2490,"")</f>
        <v/>
      </c>
      <c r="U2490">
        <f>IF(OC_Donor=0,"",IF(INDEX('OneCause_Paste'!$A$2490:$AZ$2490,1,OC_Donor)="","",INDEX('OneCause_Paste'!$A$2490:$AZ$2490,1,OC_Donor)))</f>
        <v/>
      </c>
    </row>
    <row r="2491">
      <c r="A2491" s="62">
        <f>IF(H2491="","",IF(ISNUMBER(N2491),N2491,I2491))</f>
        <v/>
      </c>
      <c r="B2491">
        <f>IF(H2491="","",U2491)</f>
        <v/>
      </c>
      <c r="C2491">
        <f>IF(H2491="","",IF(P2491="",K2491,INDEX('Students'!$A$2:$A$701,P2491)))</f>
        <v/>
      </c>
      <c r="D2491">
        <f>IF(OR(H2491="",P2491=""),"",INDEX('Students'!$B$2:$B$701,P2491))</f>
        <v/>
      </c>
      <c r="E2491">
        <f>IF(OR(H2491="",P2491=""),"",INDEX('Students'!$C$2:$C$701,P2491))</f>
        <v/>
      </c>
      <c r="F2491" s="48">
        <f>IF(H2491="","",IF(ISNUMBER(O2491),O2491,J2491))</f>
        <v/>
      </c>
      <c r="G2491">
        <f>IF(H2491="","","OneCause")</f>
        <v/>
      </c>
      <c r="H2491">
        <f>IF(AND(I2491="",J2491="",K2491=""),"",IF(NOT(ISNUMBER(O2491)),"Bad amount",IF(O2491&lt;0,"Refund (not counted)",IF(O2491=0,"Zero amount",IF(NOT(ISNUMBER(N2491)),"Bad date",IF(P2491="","NAME NOT ON ROSTER",IF(L2491="","OK",IF(MATCH(L2491,$L$2:$L$3001,0)&lt;ROW()-1,"Duplicate (ignored)","OK"))))))))</f>
        <v/>
      </c>
      <c r="I2491">
        <f>IF(OC_Date=0,"",IF(INDEX('OneCause_Paste'!$A$2491:$AZ$2491,1,OC_Date)="","",INDEX('OneCause_Paste'!$A$2491:$AZ$2491,1,OC_Date)))</f>
        <v/>
      </c>
      <c r="J2491">
        <f>IF(OC_Amt=0,"",IF(INDEX('OneCause_Paste'!$A$2491:$AZ$2491,1,OC_Amt)="","",INDEX('OneCause_Paste'!$A$2491:$AZ$2491,1,OC_Amt)))</f>
        <v/>
      </c>
      <c r="K2491">
        <f>IF(OC_Name=0,"",IF(INDEX('OneCause_Paste'!$A$2491:$AZ$2491,1,OC_Name)="","",INDEX('OneCause_Paste'!$A$2491:$AZ$2491,1,OC_Name)))</f>
        <v/>
      </c>
      <c r="L2491">
        <f>IF(OC_Txn=0,"",IF(INDEX('OneCause_Paste'!$A$2491:$AZ$2491,1,OC_Txn)="","",INDEX('OneCause_Paste'!$A$2491:$AZ$2491,1,OC_Txn)))</f>
        <v/>
      </c>
      <c r="M2491">
        <f>IF(OC_Pay=0,"",IF(INDEX('OneCause_Paste'!$A$2491:$AZ$2491,1,OC_Pay)="","",INDEX('OneCause_Paste'!$A$2491:$AZ$2491,1,OC_Pay)))</f>
        <v/>
      </c>
      <c r="N2491">
        <f>IF(I2491="","",IF(ISNUMBER(I2491),INT(I2491),IFERROR(INT(DATEVALUE(I2491)),IFERROR(INT(VALUE(I2491)),"bad"))))</f>
        <v/>
      </c>
      <c r="O2491">
        <f>IF(J2491="","",IF(ISNUMBER(J2491),ROUND(J2491,2),IFERROR(ROUND(VALUE(SUBSTITUTE(SUBSTITUTE(SUBSTITUTE(J2491,"$",""),",","")," ","")),2),"bad")))</f>
        <v/>
      </c>
      <c r="P2491">
        <f>IF(TRIM(K2491)="","",IFERROR(MATCH(LOWER(TRIM(K2491)),'Students'!$AH$2:$AH$701,0),IFERROR(MATCH(LOWER(TRIM(K2491)),'Students'!$AF$2:$AF$701,0),IFERROR(MATCH(LOWER(TRIM(K2491)),'Students'!$AG$2:$AG$701,0),""))))</f>
        <v/>
      </c>
      <c r="R2491">
        <f>IF(P2491="","",INDEX('Students'!$AD$2:$AD$701,P2491))</f>
        <v/>
      </c>
      <c r="S2491">
        <f>IF(H2491="OK",O2491,0)</f>
        <v/>
      </c>
      <c r="T2491">
        <f>IF(H2491="OK",N2491,"")</f>
        <v/>
      </c>
      <c r="U2491">
        <f>IF(OC_Donor=0,"",IF(INDEX('OneCause_Paste'!$A$2491:$AZ$2491,1,OC_Donor)="","",INDEX('OneCause_Paste'!$A$2491:$AZ$2491,1,OC_Donor)))</f>
        <v/>
      </c>
    </row>
    <row r="2492">
      <c r="A2492" s="62">
        <f>IF(H2492="","",IF(ISNUMBER(N2492),N2492,I2492))</f>
        <v/>
      </c>
      <c r="B2492">
        <f>IF(H2492="","",U2492)</f>
        <v/>
      </c>
      <c r="C2492">
        <f>IF(H2492="","",IF(P2492="",K2492,INDEX('Students'!$A$2:$A$701,P2492)))</f>
        <v/>
      </c>
      <c r="D2492">
        <f>IF(OR(H2492="",P2492=""),"",INDEX('Students'!$B$2:$B$701,P2492))</f>
        <v/>
      </c>
      <c r="E2492">
        <f>IF(OR(H2492="",P2492=""),"",INDEX('Students'!$C$2:$C$701,P2492))</f>
        <v/>
      </c>
      <c r="F2492" s="48">
        <f>IF(H2492="","",IF(ISNUMBER(O2492),O2492,J2492))</f>
        <v/>
      </c>
      <c r="G2492">
        <f>IF(H2492="","","OneCause")</f>
        <v/>
      </c>
      <c r="H2492">
        <f>IF(AND(I2492="",J2492="",K2492=""),"",IF(NOT(ISNUMBER(O2492)),"Bad amount",IF(O2492&lt;0,"Refund (not counted)",IF(O2492=0,"Zero amount",IF(NOT(ISNUMBER(N2492)),"Bad date",IF(P2492="","NAME NOT ON ROSTER",IF(L2492="","OK",IF(MATCH(L2492,$L$2:$L$3001,0)&lt;ROW()-1,"Duplicate (ignored)","OK"))))))))</f>
        <v/>
      </c>
      <c r="I2492">
        <f>IF(OC_Date=0,"",IF(INDEX('OneCause_Paste'!$A$2492:$AZ$2492,1,OC_Date)="","",INDEX('OneCause_Paste'!$A$2492:$AZ$2492,1,OC_Date)))</f>
        <v/>
      </c>
      <c r="J2492">
        <f>IF(OC_Amt=0,"",IF(INDEX('OneCause_Paste'!$A$2492:$AZ$2492,1,OC_Amt)="","",INDEX('OneCause_Paste'!$A$2492:$AZ$2492,1,OC_Amt)))</f>
        <v/>
      </c>
      <c r="K2492">
        <f>IF(OC_Name=0,"",IF(INDEX('OneCause_Paste'!$A$2492:$AZ$2492,1,OC_Name)="","",INDEX('OneCause_Paste'!$A$2492:$AZ$2492,1,OC_Name)))</f>
        <v/>
      </c>
      <c r="L2492">
        <f>IF(OC_Txn=0,"",IF(INDEX('OneCause_Paste'!$A$2492:$AZ$2492,1,OC_Txn)="","",INDEX('OneCause_Paste'!$A$2492:$AZ$2492,1,OC_Txn)))</f>
        <v/>
      </c>
      <c r="M2492">
        <f>IF(OC_Pay=0,"",IF(INDEX('OneCause_Paste'!$A$2492:$AZ$2492,1,OC_Pay)="","",INDEX('OneCause_Paste'!$A$2492:$AZ$2492,1,OC_Pay)))</f>
        <v/>
      </c>
      <c r="N2492">
        <f>IF(I2492="","",IF(ISNUMBER(I2492),INT(I2492),IFERROR(INT(DATEVALUE(I2492)),IFERROR(INT(VALUE(I2492)),"bad"))))</f>
        <v/>
      </c>
      <c r="O2492">
        <f>IF(J2492="","",IF(ISNUMBER(J2492),ROUND(J2492,2),IFERROR(ROUND(VALUE(SUBSTITUTE(SUBSTITUTE(SUBSTITUTE(J2492,"$",""),",","")," ","")),2),"bad")))</f>
        <v/>
      </c>
      <c r="P2492">
        <f>IF(TRIM(K2492)="","",IFERROR(MATCH(LOWER(TRIM(K2492)),'Students'!$AH$2:$AH$701,0),IFERROR(MATCH(LOWER(TRIM(K2492)),'Students'!$AF$2:$AF$701,0),IFERROR(MATCH(LOWER(TRIM(K2492)),'Students'!$AG$2:$AG$701,0),""))))</f>
        <v/>
      </c>
      <c r="R2492">
        <f>IF(P2492="","",INDEX('Students'!$AD$2:$AD$701,P2492))</f>
        <v/>
      </c>
      <c r="S2492">
        <f>IF(H2492="OK",O2492,0)</f>
        <v/>
      </c>
      <c r="T2492">
        <f>IF(H2492="OK",N2492,"")</f>
        <v/>
      </c>
      <c r="U2492">
        <f>IF(OC_Donor=0,"",IF(INDEX('OneCause_Paste'!$A$2492:$AZ$2492,1,OC_Donor)="","",INDEX('OneCause_Paste'!$A$2492:$AZ$2492,1,OC_Donor)))</f>
        <v/>
      </c>
    </row>
    <row r="2493">
      <c r="A2493" s="62">
        <f>IF(H2493="","",IF(ISNUMBER(N2493),N2493,I2493))</f>
        <v/>
      </c>
      <c r="B2493">
        <f>IF(H2493="","",U2493)</f>
        <v/>
      </c>
      <c r="C2493">
        <f>IF(H2493="","",IF(P2493="",K2493,INDEX('Students'!$A$2:$A$701,P2493)))</f>
        <v/>
      </c>
      <c r="D2493">
        <f>IF(OR(H2493="",P2493=""),"",INDEX('Students'!$B$2:$B$701,P2493))</f>
        <v/>
      </c>
      <c r="E2493">
        <f>IF(OR(H2493="",P2493=""),"",INDEX('Students'!$C$2:$C$701,P2493))</f>
        <v/>
      </c>
      <c r="F2493" s="48">
        <f>IF(H2493="","",IF(ISNUMBER(O2493),O2493,J2493))</f>
        <v/>
      </c>
      <c r="G2493">
        <f>IF(H2493="","","OneCause")</f>
        <v/>
      </c>
      <c r="H2493">
        <f>IF(AND(I2493="",J2493="",K2493=""),"",IF(NOT(ISNUMBER(O2493)),"Bad amount",IF(O2493&lt;0,"Refund (not counted)",IF(O2493=0,"Zero amount",IF(NOT(ISNUMBER(N2493)),"Bad date",IF(P2493="","NAME NOT ON ROSTER",IF(L2493="","OK",IF(MATCH(L2493,$L$2:$L$3001,0)&lt;ROW()-1,"Duplicate (ignored)","OK"))))))))</f>
        <v/>
      </c>
      <c r="I2493">
        <f>IF(OC_Date=0,"",IF(INDEX('OneCause_Paste'!$A$2493:$AZ$2493,1,OC_Date)="","",INDEX('OneCause_Paste'!$A$2493:$AZ$2493,1,OC_Date)))</f>
        <v/>
      </c>
      <c r="J2493">
        <f>IF(OC_Amt=0,"",IF(INDEX('OneCause_Paste'!$A$2493:$AZ$2493,1,OC_Amt)="","",INDEX('OneCause_Paste'!$A$2493:$AZ$2493,1,OC_Amt)))</f>
        <v/>
      </c>
      <c r="K2493">
        <f>IF(OC_Name=0,"",IF(INDEX('OneCause_Paste'!$A$2493:$AZ$2493,1,OC_Name)="","",INDEX('OneCause_Paste'!$A$2493:$AZ$2493,1,OC_Name)))</f>
        <v/>
      </c>
      <c r="L2493">
        <f>IF(OC_Txn=0,"",IF(INDEX('OneCause_Paste'!$A$2493:$AZ$2493,1,OC_Txn)="","",INDEX('OneCause_Paste'!$A$2493:$AZ$2493,1,OC_Txn)))</f>
        <v/>
      </c>
      <c r="M2493">
        <f>IF(OC_Pay=0,"",IF(INDEX('OneCause_Paste'!$A$2493:$AZ$2493,1,OC_Pay)="","",INDEX('OneCause_Paste'!$A$2493:$AZ$2493,1,OC_Pay)))</f>
        <v/>
      </c>
      <c r="N2493">
        <f>IF(I2493="","",IF(ISNUMBER(I2493),INT(I2493),IFERROR(INT(DATEVALUE(I2493)),IFERROR(INT(VALUE(I2493)),"bad"))))</f>
        <v/>
      </c>
      <c r="O2493">
        <f>IF(J2493="","",IF(ISNUMBER(J2493),ROUND(J2493,2),IFERROR(ROUND(VALUE(SUBSTITUTE(SUBSTITUTE(SUBSTITUTE(J2493,"$",""),",","")," ","")),2),"bad")))</f>
        <v/>
      </c>
      <c r="P2493">
        <f>IF(TRIM(K2493)="","",IFERROR(MATCH(LOWER(TRIM(K2493)),'Students'!$AH$2:$AH$701,0),IFERROR(MATCH(LOWER(TRIM(K2493)),'Students'!$AF$2:$AF$701,0),IFERROR(MATCH(LOWER(TRIM(K2493)),'Students'!$AG$2:$AG$701,0),""))))</f>
        <v/>
      </c>
      <c r="R2493">
        <f>IF(P2493="","",INDEX('Students'!$AD$2:$AD$701,P2493))</f>
        <v/>
      </c>
      <c r="S2493">
        <f>IF(H2493="OK",O2493,0)</f>
        <v/>
      </c>
      <c r="T2493">
        <f>IF(H2493="OK",N2493,"")</f>
        <v/>
      </c>
      <c r="U2493">
        <f>IF(OC_Donor=0,"",IF(INDEX('OneCause_Paste'!$A$2493:$AZ$2493,1,OC_Donor)="","",INDEX('OneCause_Paste'!$A$2493:$AZ$2493,1,OC_Donor)))</f>
        <v/>
      </c>
    </row>
    <row r="2494">
      <c r="A2494" s="62">
        <f>IF(H2494="","",IF(ISNUMBER(N2494),N2494,I2494))</f>
        <v/>
      </c>
      <c r="B2494">
        <f>IF(H2494="","",U2494)</f>
        <v/>
      </c>
      <c r="C2494">
        <f>IF(H2494="","",IF(P2494="",K2494,INDEX('Students'!$A$2:$A$701,P2494)))</f>
        <v/>
      </c>
      <c r="D2494">
        <f>IF(OR(H2494="",P2494=""),"",INDEX('Students'!$B$2:$B$701,P2494))</f>
        <v/>
      </c>
      <c r="E2494">
        <f>IF(OR(H2494="",P2494=""),"",INDEX('Students'!$C$2:$C$701,P2494))</f>
        <v/>
      </c>
      <c r="F2494" s="48">
        <f>IF(H2494="","",IF(ISNUMBER(O2494),O2494,J2494))</f>
        <v/>
      </c>
      <c r="G2494">
        <f>IF(H2494="","","OneCause")</f>
        <v/>
      </c>
      <c r="H2494">
        <f>IF(AND(I2494="",J2494="",K2494=""),"",IF(NOT(ISNUMBER(O2494)),"Bad amount",IF(O2494&lt;0,"Refund (not counted)",IF(O2494=0,"Zero amount",IF(NOT(ISNUMBER(N2494)),"Bad date",IF(P2494="","NAME NOT ON ROSTER",IF(L2494="","OK",IF(MATCH(L2494,$L$2:$L$3001,0)&lt;ROW()-1,"Duplicate (ignored)","OK"))))))))</f>
        <v/>
      </c>
      <c r="I2494">
        <f>IF(OC_Date=0,"",IF(INDEX('OneCause_Paste'!$A$2494:$AZ$2494,1,OC_Date)="","",INDEX('OneCause_Paste'!$A$2494:$AZ$2494,1,OC_Date)))</f>
        <v/>
      </c>
      <c r="J2494">
        <f>IF(OC_Amt=0,"",IF(INDEX('OneCause_Paste'!$A$2494:$AZ$2494,1,OC_Amt)="","",INDEX('OneCause_Paste'!$A$2494:$AZ$2494,1,OC_Amt)))</f>
        <v/>
      </c>
      <c r="K2494">
        <f>IF(OC_Name=0,"",IF(INDEX('OneCause_Paste'!$A$2494:$AZ$2494,1,OC_Name)="","",INDEX('OneCause_Paste'!$A$2494:$AZ$2494,1,OC_Name)))</f>
        <v/>
      </c>
      <c r="L2494">
        <f>IF(OC_Txn=0,"",IF(INDEX('OneCause_Paste'!$A$2494:$AZ$2494,1,OC_Txn)="","",INDEX('OneCause_Paste'!$A$2494:$AZ$2494,1,OC_Txn)))</f>
        <v/>
      </c>
      <c r="M2494">
        <f>IF(OC_Pay=0,"",IF(INDEX('OneCause_Paste'!$A$2494:$AZ$2494,1,OC_Pay)="","",INDEX('OneCause_Paste'!$A$2494:$AZ$2494,1,OC_Pay)))</f>
        <v/>
      </c>
      <c r="N2494">
        <f>IF(I2494="","",IF(ISNUMBER(I2494),INT(I2494),IFERROR(INT(DATEVALUE(I2494)),IFERROR(INT(VALUE(I2494)),"bad"))))</f>
        <v/>
      </c>
      <c r="O2494">
        <f>IF(J2494="","",IF(ISNUMBER(J2494),ROUND(J2494,2),IFERROR(ROUND(VALUE(SUBSTITUTE(SUBSTITUTE(SUBSTITUTE(J2494,"$",""),",","")," ","")),2),"bad")))</f>
        <v/>
      </c>
      <c r="P2494">
        <f>IF(TRIM(K2494)="","",IFERROR(MATCH(LOWER(TRIM(K2494)),'Students'!$AH$2:$AH$701,0),IFERROR(MATCH(LOWER(TRIM(K2494)),'Students'!$AF$2:$AF$701,0),IFERROR(MATCH(LOWER(TRIM(K2494)),'Students'!$AG$2:$AG$701,0),""))))</f>
        <v/>
      </c>
      <c r="R2494">
        <f>IF(P2494="","",INDEX('Students'!$AD$2:$AD$701,P2494))</f>
        <v/>
      </c>
      <c r="S2494">
        <f>IF(H2494="OK",O2494,0)</f>
        <v/>
      </c>
      <c r="T2494">
        <f>IF(H2494="OK",N2494,"")</f>
        <v/>
      </c>
      <c r="U2494">
        <f>IF(OC_Donor=0,"",IF(INDEX('OneCause_Paste'!$A$2494:$AZ$2494,1,OC_Donor)="","",INDEX('OneCause_Paste'!$A$2494:$AZ$2494,1,OC_Donor)))</f>
        <v/>
      </c>
    </row>
    <row r="2495">
      <c r="A2495" s="62">
        <f>IF(H2495="","",IF(ISNUMBER(N2495),N2495,I2495))</f>
        <v/>
      </c>
      <c r="B2495">
        <f>IF(H2495="","",U2495)</f>
        <v/>
      </c>
      <c r="C2495">
        <f>IF(H2495="","",IF(P2495="",K2495,INDEX('Students'!$A$2:$A$701,P2495)))</f>
        <v/>
      </c>
      <c r="D2495">
        <f>IF(OR(H2495="",P2495=""),"",INDEX('Students'!$B$2:$B$701,P2495))</f>
        <v/>
      </c>
      <c r="E2495">
        <f>IF(OR(H2495="",P2495=""),"",INDEX('Students'!$C$2:$C$701,P2495))</f>
        <v/>
      </c>
      <c r="F2495" s="48">
        <f>IF(H2495="","",IF(ISNUMBER(O2495),O2495,J2495))</f>
        <v/>
      </c>
      <c r="G2495">
        <f>IF(H2495="","","OneCause")</f>
        <v/>
      </c>
      <c r="H2495">
        <f>IF(AND(I2495="",J2495="",K2495=""),"",IF(NOT(ISNUMBER(O2495)),"Bad amount",IF(O2495&lt;0,"Refund (not counted)",IF(O2495=0,"Zero amount",IF(NOT(ISNUMBER(N2495)),"Bad date",IF(P2495="","NAME NOT ON ROSTER",IF(L2495="","OK",IF(MATCH(L2495,$L$2:$L$3001,0)&lt;ROW()-1,"Duplicate (ignored)","OK"))))))))</f>
        <v/>
      </c>
      <c r="I2495">
        <f>IF(OC_Date=0,"",IF(INDEX('OneCause_Paste'!$A$2495:$AZ$2495,1,OC_Date)="","",INDEX('OneCause_Paste'!$A$2495:$AZ$2495,1,OC_Date)))</f>
        <v/>
      </c>
      <c r="J2495">
        <f>IF(OC_Amt=0,"",IF(INDEX('OneCause_Paste'!$A$2495:$AZ$2495,1,OC_Amt)="","",INDEX('OneCause_Paste'!$A$2495:$AZ$2495,1,OC_Amt)))</f>
        <v/>
      </c>
      <c r="K2495">
        <f>IF(OC_Name=0,"",IF(INDEX('OneCause_Paste'!$A$2495:$AZ$2495,1,OC_Name)="","",INDEX('OneCause_Paste'!$A$2495:$AZ$2495,1,OC_Name)))</f>
        <v/>
      </c>
      <c r="L2495">
        <f>IF(OC_Txn=0,"",IF(INDEX('OneCause_Paste'!$A$2495:$AZ$2495,1,OC_Txn)="","",INDEX('OneCause_Paste'!$A$2495:$AZ$2495,1,OC_Txn)))</f>
        <v/>
      </c>
      <c r="M2495">
        <f>IF(OC_Pay=0,"",IF(INDEX('OneCause_Paste'!$A$2495:$AZ$2495,1,OC_Pay)="","",INDEX('OneCause_Paste'!$A$2495:$AZ$2495,1,OC_Pay)))</f>
        <v/>
      </c>
      <c r="N2495">
        <f>IF(I2495="","",IF(ISNUMBER(I2495),INT(I2495),IFERROR(INT(DATEVALUE(I2495)),IFERROR(INT(VALUE(I2495)),"bad"))))</f>
        <v/>
      </c>
      <c r="O2495">
        <f>IF(J2495="","",IF(ISNUMBER(J2495),ROUND(J2495,2),IFERROR(ROUND(VALUE(SUBSTITUTE(SUBSTITUTE(SUBSTITUTE(J2495,"$",""),",","")," ","")),2),"bad")))</f>
        <v/>
      </c>
      <c r="P2495">
        <f>IF(TRIM(K2495)="","",IFERROR(MATCH(LOWER(TRIM(K2495)),'Students'!$AH$2:$AH$701,0),IFERROR(MATCH(LOWER(TRIM(K2495)),'Students'!$AF$2:$AF$701,0),IFERROR(MATCH(LOWER(TRIM(K2495)),'Students'!$AG$2:$AG$701,0),""))))</f>
        <v/>
      </c>
      <c r="R2495">
        <f>IF(P2495="","",INDEX('Students'!$AD$2:$AD$701,P2495))</f>
        <v/>
      </c>
      <c r="S2495">
        <f>IF(H2495="OK",O2495,0)</f>
        <v/>
      </c>
      <c r="T2495">
        <f>IF(H2495="OK",N2495,"")</f>
        <v/>
      </c>
      <c r="U2495">
        <f>IF(OC_Donor=0,"",IF(INDEX('OneCause_Paste'!$A$2495:$AZ$2495,1,OC_Donor)="","",INDEX('OneCause_Paste'!$A$2495:$AZ$2495,1,OC_Donor)))</f>
        <v/>
      </c>
    </row>
    <row r="2496">
      <c r="A2496" s="62">
        <f>IF(H2496="","",IF(ISNUMBER(N2496),N2496,I2496))</f>
        <v/>
      </c>
      <c r="B2496">
        <f>IF(H2496="","",U2496)</f>
        <v/>
      </c>
      <c r="C2496">
        <f>IF(H2496="","",IF(P2496="",K2496,INDEX('Students'!$A$2:$A$701,P2496)))</f>
        <v/>
      </c>
      <c r="D2496">
        <f>IF(OR(H2496="",P2496=""),"",INDEX('Students'!$B$2:$B$701,P2496))</f>
        <v/>
      </c>
      <c r="E2496">
        <f>IF(OR(H2496="",P2496=""),"",INDEX('Students'!$C$2:$C$701,P2496))</f>
        <v/>
      </c>
      <c r="F2496" s="48">
        <f>IF(H2496="","",IF(ISNUMBER(O2496),O2496,J2496))</f>
        <v/>
      </c>
      <c r="G2496">
        <f>IF(H2496="","","OneCause")</f>
        <v/>
      </c>
      <c r="H2496">
        <f>IF(AND(I2496="",J2496="",K2496=""),"",IF(NOT(ISNUMBER(O2496)),"Bad amount",IF(O2496&lt;0,"Refund (not counted)",IF(O2496=0,"Zero amount",IF(NOT(ISNUMBER(N2496)),"Bad date",IF(P2496="","NAME NOT ON ROSTER",IF(L2496="","OK",IF(MATCH(L2496,$L$2:$L$3001,0)&lt;ROW()-1,"Duplicate (ignored)","OK"))))))))</f>
        <v/>
      </c>
      <c r="I2496">
        <f>IF(OC_Date=0,"",IF(INDEX('OneCause_Paste'!$A$2496:$AZ$2496,1,OC_Date)="","",INDEX('OneCause_Paste'!$A$2496:$AZ$2496,1,OC_Date)))</f>
        <v/>
      </c>
      <c r="J2496">
        <f>IF(OC_Amt=0,"",IF(INDEX('OneCause_Paste'!$A$2496:$AZ$2496,1,OC_Amt)="","",INDEX('OneCause_Paste'!$A$2496:$AZ$2496,1,OC_Amt)))</f>
        <v/>
      </c>
      <c r="K2496">
        <f>IF(OC_Name=0,"",IF(INDEX('OneCause_Paste'!$A$2496:$AZ$2496,1,OC_Name)="","",INDEX('OneCause_Paste'!$A$2496:$AZ$2496,1,OC_Name)))</f>
        <v/>
      </c>
      <c r="L2496">
        <f>IF(OC_Txn=0,"",IF(INDEX('OneCause_Paste'!$A$2496:$AZ$2496,1,OC_Txn)="","",INDEX('OneCause_Paste'!$A$2496:$AZ$2496,1,OC_Txn)))</f>
        <v/>
      </c>
      <c r="M2496">
        <f>IF(OC_Pay=0,"",IF(INDEX('OneCause_Paste'!$A$2496:$AZ$2496,1,OC_Pay)="","",INDEX('OneCause_Paste'!$A$2496:$AZ$2496,1,OC_Pay)))</f>
        <v/>
      </c>
      <c r="N2496">
        <f>IF(I2496="","",IF(ISNUMBER(I2496),INT(I2496),IFERROR(INT(DATEVALUE(I2496)),IFERROR(INT(VALUE(I2496)),"bad"))))</f>
        <v/>
      </c>
      <c r="O2496">
        <f>IF(J2496="","",IF(ISNUMBER(J2496),ROUND(J2496,2),IFERROR(ROUND(VALUE(SUBSTITUTE(SUBSTITUTE(SUBSTITUTE(J2496,"$",""),",","")," ","")),2),"bad")))</f>
        <v/>
      </c>
      <c r="P2496">
        <f>IF(TRIM(K2496)="","",IFERROR(MATCH(LOWER(TRIM(K2496)),'Students'!$AH$2:$AH$701,0),IFERROR(MATCH(LOWER(TRIM(K2496)),'Students'!$AF$2:$AF$701,0),IFERROR(MATCH(LOWER(TRIM(K2496)),'Students'!$AG$2:$AG$701,0),""))))</f>
        <v/>
      </c>
      <c r="R2496">
        <f>IF(P2496="","",INDEX('Students'!$AD$2:$AD$701,P2496))</f>
        <v/>
      </c>
      <c r="S2496">
        <f>IF(H2496="OK",O2496,0)</f>
        <v/>
      </c>
      <c r="T2496">
        <f>IF(H2496="OK",N2496,"")</f>
        <v/>
      </c>
      <c r="U2496">
        <f>IF(OC_Donor=0,"",IF(INDEX('OneCause_Paste'!$A$2496:$AZ$2496,1,OC_Donor)="","",INDEX('OneCause_Paste'!$A$2496:$AZ$2496,1,OC_Donor)))</f>
        <v/>
      </c>
    </row>
    <row r="2497">
      <c r="A2497" s="62">
        <f>IF(H2497="","",IF(ISNUMBER(N2497),N2497,I2497))</f>
        <v/>
      </c>
      <c r="B2497">
        <f>IF(H2497="","",U2497)</f>
        <v/>
      </c>
      <c r="C2497">
        <f>IF(H2497="","",IF(P2497="",K2497,INDEX('Students'!$A$2:$A$701,P2497)))</f>
        <v/>
      </c>
      <c r="D2497">
        <f>IF(OR(H2497="",P2497=""),"",INDEX('Students'!$B$2:$B$701,P2497))</f>
        <v/>
      </c>
      <c r="E2497">
        <f>IF(OR(H2497="",P2497=""),"",INDEX('Students'!$C$2:$C$701,P2497))</f>
        <v/>
      </c>
      <c r="F2497" s="48">
        <f>IF(H2497="","",IF(ISNUMBER(O2497),O2497,J2497))</f>
        <v/>
      </c>
      <c r="G2497">
        <f>IF(H2497="","","OneCause")</f>
        <v/>
      </c>
      <c r="H2497">
        <f>IF(AND(I2497="",J2497="",K2497=""),"",IF(NOT(ISNUMBER(O2497)),"Bad amount",IF(O2497&lt;0,"Refund (not counted)",IF(O2497=0,"Zero amount",IF(NOT(ISNUMBER(N2497)),"Bad date",IF(P2497="","NAME NOT ON ROSTER",IF(L2497="","OK",IF(MATCH(L2497,$L$2:$L$3001,0)&lt;ROW()-1,"Duplicate (ignored)","OK"))))))))</f>
        <v/>
      </c>
      <c r="I2497">
        <f>IF(OC_Date=0,"",IF(INDEX('OneCause_Paste'!$A$2497:$AZ$2497,1,OC_Date)="","",INDEX('OneCause_Paste'!$A$2497:$AZ$2497,1,OC_Date)))</f>
        <v/>
      </c>
      <c r="J2497">
        <f>IF(OC_Amt=0,"",IF(INDEX('OneCause_Paste'!$A$2497:$AZ$2497,1,OC_Amt)="","",INDEX('OneCause_Paste'!$A$2497:$AZ$2497,1,OC_Amt)))</f>
        <v/>
      </c>
      <c r="K2497">
        <f>IF(OC_Name=0,"",IF(INDEX('OneCause_Paste'!$A$2497:$AZ$2497,1,OC_Name)="","",INDEX('OneCause_Paste'!$A$2497:$AZ$2497,1,OC_Name)))</f>
        <v/>
      </c>
      <c r="L2497">
        <f>IF(OC_Txn=0,"",IF(INDEX('OneCause_Paste'!$A$2497:$AZ$2497,1,OC_Txn)="","",INDEX('OneCause_Paste'!$A$2497:$AZ$2497,1,OC_Txn)))</f>
        <v/>
      </c>
      <c r="M2497">
        <f>IF(OC_Pay=0,"",IF(INDEX('OneCause_Paste'!$A$2497:$AZ$2497,1,OC_Pay)="","",INDEX('OneCause_Paste'!$A$2497:$AZ$2497,1,OC_Pay)))</f>
        <v/>
      </c>
      <c r="N2497">
        <f>IF(I2497="","",IF(ISNUMBER(I2497),INT(I2497),IFERROR(INT(DATEVALUE(I2497)),IFERROR(INT(VALUE(I2497)),"bad"))))</f>
        <v/>
      </c>
      <c r="O2497">
        <f>IF(J2497="","",IF(ISNUMBER(J2497),ROUND(J2497,2),IFERROR(ROUND(VALUE(SUBSTITUTE(SUBSTITUTE(SUBSTITUTE(J2497,"$",""),",","")," ","")),2),"bad")))</f>
        <v/>
      </c>
      <c r="P2497">
        <f>IF(TRIM(K2497)="","",IFERROR(MATCH(LOWER(TRIM(K2497)),'Students'!$AH$2:$AH$701,0),IFERROR(MATCH(LOWER(TRIM(K2497)),'Students'!$AF$2:$AF$701,0),IFERROR(MATCH(LOWER(TRIM(K2497)),'Students'!$AG$2:$AG$701,0),""))))</f>
        <v/>
      </c>
      <c r="R2497">
        <f>IF(P2497="","",INDEX('Students'!$AD$2:$AD$701,P2497))</f>
        <v/>
      </c>
      <c r="S2497">
        <f>IF(H2497="OK",O2497,0)</f>
        <v/>
      </c>
      <c r="T2497">
        <f>IF(H2497="OK",N2497,"")</f>
        <v/>
      </c>
      <c r="U2497">
        <f>IF(OC_Donor=0,"",IF(INDEX('OneCause_Paste'!$A$2497:$AZ$2497,1,OC_Donor)="","",INDEX('OneCause_Paste'!$A$2497:$AZ$2497,1,OC_Donor)))</f>
        <v/>
      </c>
    </row>
    <row r="2498">
      <c r="A2498" s="62">
        <f>IF(H2498="","",IF(ISNUMBER(N2498),N2498,I2498))</f>
        <v/>
      </c>
      <c r="B2498">
        <f>IF(H2498="","",U2498)</f>
        <v/>
      </c>
      <c r="C2498">
        <f>IF(H2498="","",IF(P2498="",K2498,INDEX('Students'!$A$2:$A$701,P2498)))</f>
        <v/>
      </c>
      <c r="D2498">
        <f>IF(OR(H2498="",P2498=""),"",INDEX('Students'!$B$2:$B$701,P2498))</f>
        <v/>
      </c>
      <c r="E2498">
        <f>IF(OR(H2498="",P2498=""),"",INDEX('Students'!$C$2:$C$701,P2498))</f>
        <v/>
      </c>
      <c r="F2498" s="48">
        <f>IF(H2498="","",IF(ISNUMBER(O2498),O2498,J2498))</f>
        <v/>
      </c>
      <c r="G2498">
        <f>IF(H2498="","","OneCause")</f>
        <v/>
      </c>
      <c r="H2498">
        <f>IF(AND(I2498="",J2498="",K2498=""),"",IF(NOT(ISNUMBER(O2498)),"Bad amount",IF(O2498&lt;0,"Refund (not counted)",IF(O2498=0,"Zero amount",IF(NOT(ISNUMBER(N2498)),"Bad date",IF(P2498="","NAME NOT ON ROSTER",IF(L2498="","OK",IF(MATCH(L2498,$L$2:$L$3001,0)&lt;ROW()-1,"Duplicate (ignored)","OK"))))))))</f>
        <v/>
      </c>
      <c r="I2498">
        <f>IF(OC_Date=0,"",IF(INDEX('OneCause_Paste'!$A$2498:$AZ$2498,1,OC_Date)="","",INDEX('OneCause_Paste'!$A$2498:$AZ$2498,1,OC_Date)))</f>
        <v/>
      </c>
      <c r="J2498">
        <f>IF(OC_Amt=0,"",IF(INDEX('OneCause_Paste'!$A$2498:$AZ$2498,1,OC_Amt)="","",INDEX('OneCause_Paste'!$A$2498:$AZ$2498,1,OC_Amt)))</f>
        <v/>
      </c>
      <c r="K2498">
        <f>IF(OC_Name=0,"",IF(INDEX('OneCause_Paste'!$A$2498:$AZ$2498,1,OC_Name)="","",INDEX('OneCause_Paste'!$A$2498:$AZ$2498,1,OC_Name)))</f>
        <v/>
      </c>
      <c r="L2498">
        <f>IF(OC_Txn=0,"",IF(INDEX('OneCause_Paste'!$A$2498:$AZ$2498,1,OC_Txn)="","",INDEX('OneCause_Paste'!$A$2498:$AZ$2498,1,OC_Txn)))</f>
        <v/>
      </c>
      <c r="M2498">
        <f>IF(OC_Pay=0,"",IF(INDEX('OneCause_Paste'!$A$2498:$AZ$2498,1,OC_Pay)="","",INDEX('OneCause_Paste'!$A$2498:$AZ$2498,1,OC_Pay)))</f>
        <v/>
      </c>
      <c r="N2498">
        <f>IF(I2498="","",IF(ISNUMBER(I2498),INT(I2498),IFERROR(INT(DATEVALUE(I2498)),IFERROR(INT(VALUE(I2498)),"bad"))))</f>
        <v/>
      </c>
      <c r="O2498">
        <f>IF(J2498="","",IF(ISNUMBER(J2498),ROUND(J2498,2),IFERROR(ROUND(VALUE(SUBSTITUTE(SUBSTITUTE(SUBSTITUTE(J2498,"$",""),",","")," ","")),2),"bad")))</f>
        <v/>
      </c>
      <c r="P2498">
        <f>IF(TRIM(K2498)="","",IFERROR(MATCH(LOWER(TRIM(K2498)),'Students'!$AH$2:$AH$701,0),IFERROR(MATCH(LOWER(TRIM(K2498)),'Students'!$AF$2:$AF$701,0),IFERROR(MATCH(LOWER(TRIM(K2498)),'Students'!$AG$2:$AG$701,0),""))))</f>
        <v/>
      </c>
      <c r="R2498">
        <f>IF(P2498="","",INDEX('Students'!$AD$2:$AD$701,P2498))</f>
        <v/>
      </c>
      <c r="S2498">
        <f>IF(H2498="OK",O2498,0)</f>
        <v/>
      </c>
      <c r="T2498">
        <f>IF(H2498="OK",N2498,"")</f>
        <v/>
      </c>
      <c r="U2498">
        <f>IF(OC_Donor=0,"",IF(INDEX('OneCause_Paste'!$A$2498:$AZ$2498,1,OC_Donor)="","",INDEX('OneCause_Paste'!$A$2498:$AZ$2498,1,OC_Donor)))</f>
        <v/>
      </c>
    </row>
    <row r="2499">
      <c r="A2499" s="62">
        <f>IF(H2499="","",IF(ISNUMBER(N2499),N2499,I2499))</f>
        <v/>
      </c>
      <c r="B2499">
        <f>IF(H2499="","",U2499)</f>
        <v/>
      </c>
      <c r="C2499">
        <f>IF(H2499="","",IF(P2499="",K2499,INDEX('Students'!$A$2:$A$701,P2499)))</f>
        <v/>
      </c>
      <c r="D2499">
        <f>IF(OR(H2499="",P2499=""),"",INDEX('Students'!$B$2:$B$701,P2499))</f>
        <v/>
      </c>
      <c r="E2499">
        <f>IF(OR(H2499="",P2499=""),"",INDEX('Students'!$C$2:$C$701,P2499))</f>
        <v/>
      </c>
      <c r="F2499" s="48">
        <f>IF(H2499="","",IF(ISNUMBER(O2499),O2499,J2499))</f>
        <v/>
      </c>
      <c r="G2499">
        <f>IF(H2499="","","OneCause")</f>
        <v/>
      </c>
      <c r="H2499">
        <f>IF(AND(I2499="",J2499="",K2499=""),"",IF(NOT(ISNUMBER(O2499)),"Bad amount",IF(O2499&lt;0,"Refund (not counted)",IF(O2499=0,"Zero amount",IF(NOT(ISNUMBER(N2499)),"Bad date",IF(P2499="","NAME NOT ON ROSTER",IF(L2499="","OK",IF(MATCH(L2499,$L$2:$L$3001,0)&lt;ROW()-1,"Duplicate (ignored)","OK"))))))))</f>
        <v/>
      </c>
      <c r="I2499">
        <f>IF(OC_Date=0,"",IF(INDEX('OneCause_Paste'!$A$2499:$AZ$2499,1,OC_Date)="","",INDEX('OneCause_Paste'!$A$2499:$AZ$2499,1,OC_Date)))</f>
        <v/>
      </c>
      <c r="J2499">
        <f>IF(OC_Amt=0,"",IF(INDEX('OneCause_Paste'!$A$2499:$AZ$2499,1,OC_Amt)="","",INDEX('OneCause_Paste'!$A$2499:$AZ$2499,1,OC_Amt)))</f>
        <v/>
      </c>
      <c r="K2499">
        <f>IF(OC_Name=0,"",IF(INDEX('OneCause_Paste'!$A$2499:$AZ$2499,1,OC_Name)="","",INDEX('OneCause_Paste'!$A$2499:$AZ$2499,1,OC_Name)))</f>
        <v/>
      </c>
      <c r="L2499">
        <f>IF(OC_Txn=0,"",IF(INDEX('OneCause_Paste'!$A$2499:$AZ$2499,1,OC_Txn)="","",INDEX('OneCause_Paste'!$A$2499:$AZ$2499,1,OC_Txn)))</f>
        <v/>
      </c>
      <c r="M2499">
        <f>IF(OC_Pay=0,"",IF(INDEX('OneCause_Paste'!$A$2499:$AZ$2499,1,OC_Pay)="","",INDEX('OneCause_Paste'!$A$2499:$AZ$2499,1,OC_Pay)))</f>
        <v/>
      </c>
      <c r="N2499">
        <f>IF(I2499="","",IF(ISNUMBER(I2499),INT(I2499),IFERROR(INT(DATEVALUE(I2499)),IFERROR(INT(VALUE(I2499)),"bad"))))</f>
        <v/>
      </c>
      <c r="O2499">
        <f>IF(J2499="","",IF(ISNUMBER(J2499),ROUND(J2499,2),IFERROR(ROUND(VALUE(SUBSTITUTE(SUBSTITUTE(SUBSTITUTE(J2499,"$",""),",","")," ","")),2),"bad")))</f>
        <v/>
      </c>
      <c r="P2499">
        <f>IF(TRIM(K2499)="","",IFERROR(MATCH(LOWER(TRIM(K2499)),'Students'!$AH$2:$AH$701,0),IFERROR(MATCH(LOWER(TRIM(K2499)),'Students'!$AF$2:$AF$701,0),IFERROR(MATCH(LOWER(TRIM(K2499)),'Students'!$AG$2:$AG$701,0),""))))</f>
        <v/>
      </c>
      <c r="R2499">
        <f>IF(P2499="","",INDEX('Students'!$AD$2:$AD$701,P2499))</f>
        <v/>
      </c>
      <c r="S2499">
        <f>IF(H2499="OK",O2499,0)</f>
        <v/>
      </c>
      <c r="T2499">
        <f>IF(H2499="OK",N2499,"")</f>
        <v/>
      </c>
      <c r="U2499">
        <f>IF(OC_Donor=0,"",IF(INDEX('OneCause_Paste'!$A$2499:$AZ$2499,1,OC_Donor)="","",INDEX('OneCause_Paste'!$A$2499:$AZ$2499,1,OC_Donor)))</f>
        <v/>
      </c>
    </row>
    <row r="2500">
      <c r="A2500" s="62">
        <f>IF(H2500="","",IF(ISNUMBER(N2500),N2500,I2500))</f>
        <v/>
      </c>
      <c r="B2500">
        <f>IF(H2500="","",U2500)</f>
        <v/>
      </c>
      <c r="C2500">
        <f>IF(H2500="","",IF(P2500="",K2500,INDEX('Students'!$A$2:$A$701,P2500)))</f>
        <v/>
      </c>
      <c r="D2500">
        <f>IF(OR(H2500="",P2500=""),"",INDEX('Students'!$B$2:$B$701,P2500))</f>
        <v/>
      </c>
      <c r="E2500">
        <f>IF(OR(H2500="",P2500=""),"",INDEX('Students'!$C$2:$C$701,P2500))</f>
        <v/>
      </c>
      <c r="F2500" s="48">
        <f>IF(H2500="","",IF(ISNUMBER(O2500),O2500,J2500))</f>
        <v/>
      </c>
      <c r="G2500">
        <f>IF(H2500="","","OneCause")</f>
        <v/>
      </c>
      <c r="H2500">
        <f>IF(AND(I2500="",J2500="",K2500=""),"",IF(NOT(ISNUMBER(O2500)),"Bad amount",IF(O2500&lt;0,"Refund (not counted)",IF(O2500=0,"Zero amount",IF(NOT(ISNUMBER(N2500)),"Bad date",IF(P2500="","NAME NOT ON ROSTER",IF(L2500="","OK",IF(MATCH(L2500,$L$2:$L$3001,0)&lt;ROW()-1,"Duplicate (ignored)","OK"))))))))</f>
        <v/>
      </c>
      <c r="I2500">
        <f>IF(OC_Date=0,"",IF(INDEX('OneCause_Paste'!$A$2500:$AZ$2500,1,OC_Date)="","",INDEX('OneCause_Paste'!$A$2500:$AZ$2500,1,OC_Date)))</f>
        <v/>
      </c>
      <c r="J2500">
        <f>IF(OC_Amt=0,"",IF(INDEX('OneCause_Paste'!$A$2500:$AZ$2500,1,OC_Amt)="","",INDEX('OneCause_Paste'!$A$2500:$AZ$2500,1,OC_Amt)))</f>
        <v/>
      </c>
      <c r="K2500">
        <f>IF(OC_Name=0,"",IF(INDEX('OneCause_Paste'!$A$2500:$AZ$2500,1,OC_Name)="","",INDEX('OneCause_Paste'!$A$2500:$AZ$2500,1,OC_Name)))</f>
        <v/>
      </c>
      <c r="L2500">
        <f>IF(OC_Txn=0,"",IF(INDEX('OneCause_Paste'!$A$2500:$AZ$2500,1,OC_Txn)="","",INDEX('OneCause_Paste'!$A$2500:$AZ$2500,1,OC_Txn)))</f>
        <v/>
      </c>
      <c r="M2500">
        <f>IF(OC_Pay=0,"",IF(INDEX('OneCause_Paste'!$A$2500:$AZ$2500,1,OC_Pay)="","",INDEX('OneCause_Paste'!$A$2500:$AZ$2500,1,OC_Pay)))</f>
        <v/>
      </c>
      <c r="N2500">
        <f>IF(I2500="","",IF(ISNUMBER(I2500),INT(I2500),IFERROR(INT(DATEVALUE(I2500)),IFERROR(INT(VALUE(I2500)),"bad"))))</f>
        <v/>
      </c>
      <c r="O2500">
        <f>IF(J2500="","",IF(ISNUMBER(J2500),ROUND(J2500,2),IFERROR(ROUND(VALUE(SUBSTITUTE(SUBSTITUTE(SUBSTITUTE(J2500,"$",""),",","")," ","")),2),"bad")))</f>
        <v/>
      </c>
      <c r="P2500">
        <f>IF(TRIM(K2500)="","",IFERROR(MATCH(LOWER(TRIM(K2500)),'Students'!$AH$2:$AH$701,0),IFERROR(MATCH(LOWER(TRIM(K2500)),'Students'!$AF$2:$AF$701,0),IFERROR(MATCH(LOWER(TRIM(K2500)),'Students'!$AG$2:$AG$701,0),""))))</f>
        <v/>
      </c>
      <c r="R2500">
        <f>IF(P2500="","",INDEX('Students'!$AD$2:$AD$701,P2500))</f>
        <v/>
      </c>
      <c r="S2500">
        <f>IF(H2500="OK",O2500,0)</f>
        <v/>
      </c>
      <c r="T2500">
        <f>IF(H2500="OK",N2500,"")</f>
        <v/>
      </c>
      <c r="U2500">
        <f>IF(OC_Donor=0,"",IF(INDEX('OneCause_Paste'!$A$2500:$AZ$2500,1,OC_Donor)="","",INDEX('OneCause_Paste'!$A$2500:$AZ$2500,1,OC_Donor)))</f>
        <v/>
      </c>
    </row>
    <row r="2501">
      <c r="A2501" s="62">
        <f>IF(H2501="","",IF(ISNUMBER(N2501),N2501,I2501))</f>
        <v/>
      </c>
      <c r="B2501">
        <f>IF(H2501="","",U2501)</f>
        <v/>
      </c>
      <c r="C2501">
        <f>IF(H2501="","",IF(P2501="",K2501,INDEX('Students'!$A$2:$A$701,P2501)))</f>
        <v/>
      </c>
      <c r="D2501">
        <f>IF(OR(H2501="",P2501=""),"",INDEX('Students'!$B$2:$B$701,P2501))</f>
        <v/>
      </c>
      <c r="E2501">
        <f>IF(OR(H2501="",P2501=""),"",INDEX('Students'!$C$2:$C$701,P2501))</f>
        <v/>
      </c>
      <c r="F2501" s="48">
        <f>IF(H2501="","",IF(ISNUMBER(O2501),O2501,J2501))</f>
        <v/>
      </c>
      <c r="G2501">
        <f>IF(H2501="","","OneCause")</f>
        <v/>
      </c>
      <c r="H2501">
        <f>IF(AND(I2501="",J2501="",K2501=""),"",IF(NOT(ISNUMBER(O2501)),"Bad amount",IF(O2501&lt;0,"Refund (not counted)",IF(O2501=0,"Zero amount",IF(NOT(ISNUMBER(N2501)),"Bad date",IF(P2501="","NAME NOT ON ROSTER",IF(L2501="","OK",IF(MATCH(L2501,$L$2:$L$3001,0)&lt;ROW()-1,"Duplicate (ignored)","OK"))))))))</f>
        <v/>
      </c>
      <c r="I2501">
        <f>IF(OC_Date=0,"",IF(INDEX('OneCause_Paste'!$A$2501:$AZ$2501,1,OC_Date)="","",INDEX('OneCause_Paste'!$A$2501:$AZ$2501,1,OC_Date)))</f>
        <v/>
      </c>
      <c r="J2501">
        <f>IF(OC_Amt=0,"",IF(INDEX('OneCause_Paste'!$A$2501:$AZ$2501,1,OC_Amt)="","",INDEX('OneCause_Paste'!$A$2501:$AZ$2501,1,OC_Amt)))</f>
        <v/>
      </c>
      <c r="K2501">
        <f>IF(OC_Name=0,"",IF(INDEX('OneCause_Paste'!$A$2501:$AZ$2501,1,OC_Name)="","",INDEX('OneCause_Paste'!$A$2501:$AZ$2501,1,OC_Name)))</f>
        <v/>
      </c>
      <c r="L2501">
        <f>IF(OC_Txn=0,"",IF(INDEX('OneCause_Paste'!$A$2501:$AZ$2501,1,OC_Txn)="","",INDEX('OneCause_Paste'!$A$2501:$AZ$2501,1,OC_Txn)))</f>
        <v/>
      </c>
      <c r="M2501">
        <f>IF(OC_Pay=0,"",IF(INDEX('OneCause_Paste'!$A$2501:$AZ$2501,1,OC_Pay)="","",INDEX('OneCause_Paste'!$A$2501:$AZ$2501,1,OC_Pay)))</f>
        <v/>
      </c>
      <c r="N2501">
        <f>IF(I2501="","",IF(ISNUMBER(I2501),INT(I2501),IFERROR(INT(DATEVALUE(I2501)),IFERROR(INT(VALUE(I2501)),"bad"))))</f>
        <v/>
      </c>
      <c r="O2501">
        <f>IF(J2501="","",IF(ISNUMBER(J2501),ROUND(J2501,2),IFERROR(ROUND(VALUE(SUBSTITUTE(SUBSTITUTE(SUBSTITUTE(J2501,"$",""),",","")," ","")),2),"bad")))</f>
        <v/>
      </c>
      <c r="P2501">
        <f>IF(TRIM(K2501)="","",IFERROR(MATCH(LOWER(TRIM(K2501)),'Students'!$AH$2:$AH$701,0),IFERROR(MATCH(LOWER(TRIM(K2501)),'Students'!$AF$2:$AF$701,0),IFERROR(MATCH(LOWER(TRIM(K2501)),'Students'!$AG$2:$AG$701,0),""))))</f>
        <v/>
      </c>
      <c r="R2501">
        <f>IF(P2501="","",INDEX('Students'!$AD$2:$AD$701,P2501))</f>
        <v/>
      </c>
      <c r="S2501">
        <f>IF(H2501="OK",O2501,0)</f>
        <v/>
      </c>
      <c r="T2501">
        <f>IF(H2501="OK",N2501,"")</f>
        <v/>
      </c>
      <c r="U2501">
        <f>IF(OC_Donor=0,"",IF(INDEX('OneCause_Paste'!$A$2501:$AZ$2501,1,OC_Donor)="","",INDEX('OneCause_Paste'!$A$2501:$AZ$2501,1,OC_Donor)))</f>
        <v/>
      </c>
    </row>
    <row r="2502">
      <c r="A2502" s="62">
        <f>IF(H2502="","",IF(ISNUMBER(N2502),N2502,I2502))</f>
        <v/>
      </c>
      <c r="B2502">
        <f>IF(H2502="","",U2502)</f>
        <v/>
      </c>
      <c r="C2502">
        <f>IF(H2502="","",IF(P2502="",K2502,INDEX('Students'!$A$2:$A$701,P2502)))</f>
        <v/>
      </c>
      <c r="D2502">
        <f>IF(OR(H2502="",P2502=""),"",INDEX('Students'!$B$2:$B$701,P2502))</f>
        <v/>
      </c>
      <c r="E2502">
        <f>IF(OR(H2502="",P2502=""),"",INDEX('Students'!$C$2:$C$701,P2502))</f>
        <v/>
      </c>
      <c r="F2502" s="48">
        <f>IF(H2502="","",IF(ISNUMBER(O2502),O2502,J2502))</f>
        <v/>
      </c>
      <c r="G2502">
        <f>IF(H2502="","","OneCause")</f>
        <v/>
      </c>
      <c r="H2502">
        <f>IF(AND(I2502="",J2502="",K2502=""),"",IF(NOT(ISNUMBER(O2502)),"Bad amount",IF(O2502&lt;0,"Refund (not counted)",IF(O2502=0,"Zero amount",IF(NOT(ISNUMBER(N2502)),"Bad date",IF(P2502="","NAME NOT ON ROSTER",IF(L2502="","OK",IF(MATCH(L2502,$L$2:$L$3001,0)&lt;ROW()-1,"Duplicate (ignored)","OK"))))))))</f>
        <v/>
      </c>
      <c r="I2502">
        <f>IF(OC_Date=0,"",IF(INDEX('OneCause_Paste'!$A$2502:$AZ$2502,1,OC_Date)="","",INDEX('OneCause_Paste'!$A$2502:$AZ$2502,1,OC_Date)))</f>
        <v/>
      </c>
      <c r="J2502">
        <f>IF(OC_Amt=0,"",IF(INDEX('OneCause_Paste'!$A$2502:$AZ$2502,1,OC_Amt)="","",INDEX('OneCause_Paste'!$A$2502:$AZ$2502,1,OC_Amt)))</f>
        <v/>
      </c>
      <c r="K2502">
        <f>IF(OC_Name=0,"",IF(INDEX('OneCause_Paste'!$A$2502:$AZ$2502,1,OC_Name)="","",INDEX('OneCause_Paste'!$A$2502:$AZ$2502,1,OC_Name)))</f>
        <v/>
      </c>
      <c r="L2502">
        <f>IF(OC_Txn=0,"",IF(INDEX('OneCause_Paste'!$A$2502:$AZ$2502,1,OC_Txn)="","",INDEX('OneCause_Paste'!$A$2502:$AZ$2502,1,OC_Txn)))</f>
        <v/>
      </c>
      <c r="M2502">
        <f>IF(OC_Pay=0,"",IF(INDEX('OneCause_Paste'!$A$2502:$AZ$2502,1,OC_Pay)="","",INDEX('OneCause_Paste'!$A$2502:$AZ$2502,1,OC_Pay)))</f>
        <v/>
      </c>
      <c r="N2502">
        <f>IF(I2502="","",IF(ISNUMBER(I2502),INT(I2502),IFERROR(INT(DATEVALUE(I2502)),IFERROR(INT(VALUE(I2502)),"bad"))))</f>
        <v/>
      </c>
      <c r="O2502">
        <f>IF(J2502="","",IF(ISNUMBER(J2502),ROUND(J2502,2),IFERROR(ROUND(VALUE(SUBSTITUTE(SUBSTITUTE(SUBSTITUTE(J2502,"$",""),",","")," ","")),2),"bad")))</f>
        <v/>
      </c>
      <c r="P2502">
        <f>IF(TRIM(K2502)="","",IFERROR(MATCH(LOWER(TRIM(K2502)),'Students'!$AH$2:$AH$701,0),IFERROR(MATCH(LOWER(TRIM(K2502)),'Students'!$AF$2:$AF$701,0),IFERROR(MATCH(LOWER(TRIM(K2502)),'Students'!$AG$2:$AG$701,0),""))))</f>
        <v/>
      </c>
      <c r="R2502">
        <f>IF(P2502="","",INDEX('Students'!$AD$2:$AD$701,P2502))</f>
        <v/>
      </c>
      <c r="S2502">
        <f>IF(H2502="OK",O2502,0)</f>
        <v/>
      </c>
      <c r="T2502">
        <f>IF(H2502="OK",N2502,"")</f>
        <v/>
      </c>
      <c r="U2502">
        <f>IF(OC_Donor=0,"",IF(INDEX('OneCause_Paste'!$A$2502:$AZ$2502,1,OC_Donor)="","",INDEX('OneCause_Paste'!$A$2502:$AZ$2502,1,OC_Donor)))</f>
        <v/>
      </c>
    </row>
    <row r="2503">
      <c r="A2503" s="62">
        <f>IF(H2503="","",IF(ISNUMBER(N2503),N2503,I2503))</f>
        <v/>
      </c>
      <c r="B2503">
        <f>IF(H2503="","",U2503)</f>
        <v/>
      </c>
      <c r="C2503">
        <f>IF(H2503="","",IF(P2503="",K2503,INDEX('Students'!$A$2:$A$701,P2503)))</f>
        <v/>
      </c>
      <c r="D2503">
        <f>IF(OR(H2503="",P2503=""),"",INDEX('Students'!$B$2:$B$701,P2503))</f>
        <v/>
      </c>
      <c r="E2503">
        <f>IF(OR(H2503="",P2503=""),"",INDEX('Students'!$C$2:$C$701,P2503))</f>
        <v/>
      </c>
      <c r="F2503" s="48">
        <f>IF(H2503="","",IF(ISNUMBER(O2503),O2503,J2503))</f>
        <v/>
      </c>
      <c r="G2503">
        <f>IF(H2503="","","OneCause")</f>
        <v/>
      </c>
      <c r="H2503">
        <f>IF(AND(I2503="",J2503="",K2503=""),"",IF(NOT(ISNUMBER(O2503)),"Bad amount",IF(O2503&lt;0,"Refund (not counted)",IF(O2503=0,"Zero amount",IF(NOT(ISNUMBER(N2503)),"Bad date",IF(P2503="","NAME NOT ON ROSTER",IF(L2503="","OK",IF(MATCH(L2503,$L$2:$L$3001,0)&lt;ROW()-1,"Duplicate (ignored)","OK"))))))))</f>
        <v/>
      </c>
      <c r="I2503">
        <f>IF(OC_Date=0,"",IF(INDEX('OneCause_Paste'!$A$2503:$AZ$2503,1,OC_Date)="","",INDEX('OneCause_Paste'!$A$2503:$AZ$2503,1,OC_Date)))</f>
        <v/>
      </c>
      <c r="J2503">
        <f>IF(OC_Amt=0,"",IF(INDEX('OneCause_Paste'!$A$2503:$AZ$2503,1,OC_Amt)="","",INDEX('OneCause_Paste'!$A$2503:$AZ$2503,1,OC_Amt)))</f>
        <v/>
      </c>
      <c r="K2503">
        <f>IF(OC_Name=0,"",IF(INDEX('OneCause_Paste'!$A$2503:$AZ$2503,1,OC_Name)="","",INDEX('OneCause_Paste'!$A$2503:$AZ$2503,1,OC_Name)))</f>
        <v/>
      </c>
      <c r="L2503">
        <f>IF(OC_Txn=0,"",IF(INDEX('OneCause_Paste'!$A$2503:$AZ$2503,1,OC_Txn)="","",INDEX('OneCause_Paste'!$A$2503:$AZ$2503,1,OC_Txn)))</f>
        <v/>
      </c>
      <c r="M2503">
        <f>IF(OC_Pay=0,"",IF(INDEX('OneCause_Paste'!$A$2503:$AZ$2503,1,OC_Pay)="","",INDEX('OneCause_Paste'!$A$2503:$AZ$2503,1,OC_Pay)))</f>
        <v/>
      </c>
      <c r="N2503">
        <f>IF(I2503="","",IF(ISNUMBER(I2503),INT(I2503),IFERROR(INT(DATEVALUE(I2503)),IFERROR(INT(VALUE(I2503)),"bad"))))</f>
        <v/>
      </c>
      <c r="O2503">
        <f>IF(J2503="","",IF(ISNUMBER(J2503),ROUND(J2503,2),IFERROR(ROUND(VALUE(SUBSTITUTE(SUBSTITUTE(SUBSTITUTE(J2503,"$",""),",","")," ","")),2),"bad")))</f>
        <v/>
      </c>
      <c r="P2503">
        <f>IF(TRIM(K2503)="","",IFERROR(MATCH(LOWER(TRIM(K2503)),'Students'!$AH$2:$AH$701,0),IFERROR(MATCH(LOWER(TRIM(K2503)),'Students'!$AF$2:$AF$701,0),IFERROR(MATCH(LOWER(TRIM(K2503)),'Students'!$AG$2:$AG$701,0),""))))</f>
        <v/>
      </c>
      <c r="R2503">
        <f>IF(P2503="","",INDEX('Students'!$AD$2:$AD$701,P2503))</f>
        <v/>
      </c>
      <c r="S2503">
        <f>IF(H2503="OK",O2503,0)</f>
        <v/>
      </c>
      <c r="T2503">
        <f>IF(H2503="OK",N2503,"")</f>
        <v/>
      </c>
      <c r="U2503">
        <f>IF(OC_Donor=0,"",IF(INDEX('OneCause_Paste'!$A$2503:$AZ$2503,1,OC_Donor)="","",INDEX('OneCause_Paste'!$A$2503:$AZ$2503,1,OC_Donor)))</f>
        <v/>
      </c>
    </row>
    <row r="2504">
      <c r="A2504" s="62">
        <f>IF(H2504="","",IF(ISNUMBER(N2504),N2504,I2504))</f>
        <v/>
      </c>
      <c r="B2504">
        <f>IF(H2504="","",U2504)</f>
        <v/>
      </c>
      <c r="C2504">
        <f>IF(H2504="","",IF(P2504="",K2504,INDEX('Students'!$A$2:$A$701,P2504)))</f>
        <v/>
      </c>
      <c r="D2504">
        <f>IF(OR(H2504="",P2504=""),"",INDEX('Students'!$B$2:$B$701,P2504))</f>
        <v/>
      </c>
      <c r="E2504">
        <f>IF(OR(H2504="",P2504=""),"",INDEX('Students'!$C$2:$C$701,P2504))</f>
        <v/>
      </c>
      <c r="F2504" s="48">
        <f>IF(H2504="","",IF(ISNUMBER(O2504),O2504,J2504))</f>
        <v/>
      </c>
      <c r="G2504">
        <f>IF(H2504="","","OneCause")</f>
        <v/>
      </c>
      <c r="H2504">
        <f>IF(AND(I2504="",J2504="",K2504=""),"",IF(NOT(ISNUMBER(O2504)),"Bad amount",IF(O2504&lt;0,"Refund (not counted)",IF(O2504=0,"Zero amount",IF(NOT(ISNUMBER(N2504)),"Bad date",IF(P2504="","NAME NOT ON ROSTER",IF(L2504="","OK",IF(MATCH(L2504,$L$2:$L$3001,0)&lt;ROW()-1,"Duplicate (ignored)","OK"))))))))</f>
        <v/>
      </c>
      <c r="I2504">
        <f>IF(OC_Date=0,"",IF(INDEX('OneCause_Paste'!$A$2504:$AZ$2504,1,OC_Date)="","",INDEX('OneCause_Paste'!$A$2504:$AZ$2504,1,OC_Date)))</f>
        <v/>
      </c>
      <c r="J2504">
        <f>IF(OC_Amt=0,"",IF(INDEX('OneCause_Paste'!$A$2504:$AZ$2504,1,OC_Amt)="","",INDEX('OneCause_Paste'!$A$2504:$AZ$2504,1,OC_Amt)))</f>
        <v/>
      </c>
      <c r="K2504">
        <f>IF(OC_Name=0,"",IF(INDEX('OneCause_Paste'!$A$2504:$AZ$2504,1,OC_Name)="","",INDEX('OneCause_Paste'!$A$2504:$AZ$2504,1,OC_Name)))</f>
        <v/>
      </c>
      <c r="L2504">
        <f>IF(OC_Txn=0,"",IF(INDEX('OneCause_Paste'!$A$2504:$AZ$2504,1,OC_Txn)="","",INDEX('OneCause_Paste'!$A$2504:$AZ$2504,1,OC_Txn)))</f>
        <v/>
      </c>
      <c r="M2504">
        <f>IF(OC_Pay=0,"",IF(INDEX('OneCause_Paste'!$A$2504:$AZ$2504,1,OC_Pay)="","",INDEX('OneCause_Paste'!$A$2504:$AZ$2504,1,OC_Pay)))</f>
        <v/>
      </c>
      <c r="N2504">
        <f>IF(I2504="","",IF(ISNUMBER(I2504),INT(I2504),IFERROR(INT(DATEVALUE(I2504)),IFERROR(INT(VALUE(I2504)),"bad"))))</f>
        <v/>
      </c>
      <c r="O2504">
        <f>IF(J2504="","",IF(ISNUMBER(J2504),ROUND(J2504,2),IFERROR(ROUND(VALUE(SUBSTITUTE(SUBSTITUTE(SUBSTITUTE(J2504,"$",""),",","")," ","")),2),"bad")))</f>
        <v/>
      </c>
      <c r="P2504">
        <f>IF(TRIM(K2504)="","",IFERROR(MATCH(LOWER(TRIM(K2504)),'Students'!$AH$2:$AH$701,0),IFERROR(MATCH(LOWER(TRIM(K2504)),'Students'!$AF$2:$AF$701,0),IFERROR(MATCH(LOWER(TRIM(K2504)),'Students'!$AG$2:$AG$701,0),""))))</f>
        <v/>
      </c>
      <c r="R2504">
        <f>IF(P2504="","",INDEX('Students'!$AD$2:$AD$701,P2504))</f>
        <v/>
      </c>
      <c r="S2504">
        <f>IF(H2504="OK",O2504,0)</f>
        <v/>
      </c>
      <c r="T2504">
        <f>IF(H2504="OK",N2504,"")</f>
        <v/>
      </c>
      <c r="U2504">
        <f>IF(OC_Donor=0,"",IF(INDEX('OneCause_Paste'!$A$2504:$AZ$2504,1,OC_Donor)="","",INDEX('OneCause_Paste'!$A$2504:$AZ$2504,1,OC_Donor)))</f>
        <v/>
      </c>
    </row>
    <row r="2505">
      <c r="A2505" s="62">
        <f>IF(H2505="","",IF(ISNUMBER(N2505),N2505,I2505))</f>
        <v/>
      </c>
      <c r="B2505">
        <f>IF(H2505="","",U2505)</f>
        <v/>
      </c>
      <c r="C2505">
        <f>IF(H2505="","",IF(P2505="",K2505,INDEX('Students'!$A$2:$A$701,P2505)))</f>
        <v/>
      </c>
      <c r="D2505">
        <f>IF(OR(H2505="",P2505=""),"",INDEX('Students'!$B$2:$B$701,P2505))</f>
        <v/>
      </c>
      <c r="E2505">
        <f>IF(OR(H2505="",P2505=""),"",INDEX('Students'!$C$2:$C$701,P2505))</f>
        <v/>
      </c>
      <c r="F2505" s="48">
        <f>IF(H2505="","",IF(ISNUMBER(O2505),O2505,J2505))</f>
        <v/>
      </c>
      <c r="G2505">
        <f>IF(H2505="","","OneCause")</f>
        <v/>
      </c>
      <c r="H2505">
        <f>IF(AND(I2505="",J2505="",K2505=""),"",IF(NOT(ISNUMBER(O2505)),"Bad amount",IF(O2505&lt;0,"Refund (not counted)",IF(O2505=0,"Zero amount",IF(NOT(ISNUMBER(N2505)),"Bad date",IF(P2505="","NAME NOT ON ROSTER",IF(L2505="","OK",IF(MATCH(L2505,$L$2:$L$3001,0)&lt;ROW()-1,"Duplicate (ignored)","OK"))))))))</f>
        <v/>
      </c>
      <c r="I2505">
        <f>IF(OC_Date=0,"",IF(INDEX('OneCause_Paste'!$A$2505:$AZ$2505,1,OC_Date)="","",INDEX('OneCause_Paste'!$A$2505:$AZ$2505,1,OC_Date)))</f>
        <v/>
      </c>
      <c r="J2505">
        <f>IF(OC_Amt=0,"",IF(INDEX('OneCause_Paste'!$A$2505:$AZ$2505,1,OC_Amt)="","",INDEX('OneCause_Paste'!$A$2505:$AZ$2505,1,OC_Amt)))</f>
        <v/>
      </c>
      <c r="K2505">
        <f>IF(OC_Name=0,"",IF(INDEX('OneCause_Paste'!$A$2505:$AZ$2505,1,OC_Name)="","",INDEX('OneCause_Paste'!$A$2505:$AZ$2505,1,OC_Name)))</f>
        <v/>
      </c>
      <c r="L2505">
        <f>IF(OC_Txn=0,"",IF(INDEX('OneCause_Paste'!$A$2505:$AZ$2505,1,OC_Txn)="","",INDEX('OneCause_Paste'!$A$2505:$AZ$2505,1,OC_Txn)))</f>
        <v/>
      </c>
      <c r="M2505">
        <f>IF(OC_Pay=0,"",IF(INDEX('OneCause_Paste'!$A$2505:$AZ$2505,1,OC_Pay)="","",INDEX('OneCause_Paste'!$A$2505:$AZ$2505,1,OC_Pay)))</f>
        <v/>
      </c>
      <c r="N2505">
        <f>IF(I2505="","",IF(ISNUMBER(I2505),INT(I2505),IFERROR(INT(DATEVALUE(I2505)),IFERROR(INT(VALUE(I2505)),"bad"))))</f>
        <v/>
      </c>
      <c r="O2505">
        <f>IF(J2505="","",IF(ISNUMBER(J2505),ROUND(J2505,2),IFERROR(ROUND(VALUE(SUBSTITUTE(SUBSTITUTE(SUBSTITUTE(J2505,"$",""),",","")," ","")),2),"bad")))</f>
        <v/>
      </c>
      <c r="P2505">
        <f>IF(TRIM(K2505)="","",IFERROR(MATCH(LOWER(TRIM(K2505)),'Students'!$AH$2:$AH$701,0),IFERROR(MATCH(LOWER(TRIM(K2505)),'Students'!$AF$2:$AF$701,0),IFERROR(MATCH(LOWER(TRIM(K2505)),'Students'!$AG$2:$AG$701,0),""))))</f>
        <v/>
      </c>
      <c r="R2505">
        <f>IF(P2505="","",INDEX('Students'!$AD$2:$AD$701,P2505))</f>
        <v/>
      </c>
      <c r="S2505">
        <f>IF(H2505="OK",O2505,0)</f>
        <v/>
      </c>
      <c r="T2505">
        <f>IF(H2505="OK",N2505,"")</f>
        <v/>
      </c>
      <c r="U2505">
        <f>IF(OC_Donor=0,"",IF(INDEX('OneCause_Paste'!$A$2505:$AZ$2505,1,OC_Donor)="","",INDEX('OneCause_Paste'!$A$2505:$AZ$2505,1,OC_Donor)))</f>
        <v/>
      </c>
    </row>
    <row r="2506">
      <c r="A2506" s="62">
        <f>IF(H2506="","",IF(ISNUMBER(N2506),N2506,I2506))</f>
        <v/>
      </c>
      <c r="B2506">
        <f>IF(H2506="","",U2506)</f>
        <v/>
      </c>
      <c r="C2506">
        <f>IF(H2506="","",IF(P2506="",K2506,INDEX('Students'!$A$2:$A$701,P2506)))</f>
        <v/>
      </c>
      <c r="D2506">
        <f>IF(OR(H2506="",P2506=""),"",INDEX('Students'!$B$2:$B$701,P2506))</f>
        <v/>
      </c>
      <c r="E2506">
        <f>IF(OR(H2506="",P2506=""),"",INDEX('Students'!$C$2:$C$701,P2506))</f>
        <v/>
      </c>
      <c r="F2506" s="48">
        <f>IF(H2506="","",IF(ISNUMBER(O2506),O2506,J2506))</f>
        <v/>
      </c>
      <c r="G2506">
        <f>IF(H2506="","","OneCause")</f>
        <v/>
      </c>
      <c r="H2506">
        <f>IF(AND(I2506="",J2506="",K2506=""),"",IF(NOT(ISNUMBER(O2506)),"Bad amount",IF(O2506&lt;0,"Refund (not counted)",IF(O2506=0,"Zero amount",IF(NOT(ISNUMBER(N2506)),"Bad date",IF(P2506="","NAME NOT ON ROSTER",IF(L2506="","OK",IF(MATCH(L2506,$L$2:$L$3001,0)&lt;ROW()-1,"Duplicate (ignored)","OK"))))))))</f>
        <v/>
      </c>
      <c r="I2506">
        <f>IF(OC_Date=0,"",IF(INDEX('OneCause_Paste'!$A$2506:$AZ$2506,1,OC_Date)="","",INDEX('OneCause_Paste'!$A$2506:$AZ$2506,1,OC_Date)))</f>
        <v/>
      </c>
      <c r="J2506">
        <f>IF(OC_Amt=0,"",IF(INDEX('OneCause_Paste'!$A$2506:$AZ$2506,1,OC_Amt)="","",INDEX('OneCause_Paste'!$A$2506:$AZ$2506,1,OC_Amt)))</f>
        <v/>
      </c>
      <c r="K2506">
        <f>IF(OC_Name=0,"",IF(INDEX('OneCause_Paste'!$A$2506:$AZ$2506,1,OC_Name)="","",INDEX('OneCause_Paste'!$A$2506:$AZ$2506,1,OC_Name)))</f>
        <v/>
      </c>
      <c r="L2506">
        <f>IF(OC_Txn=0,"",IF(INDEX('OneCause_Paste'!$A$2506:$AZ$2506,1,OC_Txn)="","",INDEX('OneCause_Paste'!$A$2506:$AZ$2506,1,OC_Txn)))</f>
        <v/>
      </c>
      <c r="M2506">
        <f>IF(OC_Pay=0,"",IF(INDEX('OneCause_Paste'!$A$2506:$AZ$2506,1,OC_Pay)="","",INDEX('OneCause_Paste'!$A$2506:$AZ$2506,1,OC_Pay)))</f>
        <v/>
      </c>
      <c r="N2506">
        <f>IF(I2506="","",IF(ISNUMBER(I2506),INT(I2506),IFERROR(INT(DATEVALUE(I2506)),IFERROR(INT(VALUE(I2506)),"bad"))))</f>
        <v/>
      </c>
      <c r="O2506">
        <f>IF(J2506="","",IF(ISNUMBER(J2506),ROUND(J2506,2),IFERROR(ROUND(VALUE(SUBSTITUTE(SUBSTITUTE(SUBSTITUTE(J2506,"$",""),",","")," ","")),2),"bad")))</f>
        <v/>
      </c>
      <c r="P2506">
        <f>IF(TRIM(K2506)="","",IFERROR(MATCH(LOWER(TRIM(K2506)),'Students'!$AH$2:$AH$701,0),IFERROR(MATCH(LOWER(TRIM(K2506)),'Students'!$AF$2:$AF$701,0),IFERROR(MATCH(LOWER(TRIM(K2506)),'Students'!$AG$2:$AG$701,0),""))))</f>
        <v/>
      </c>
      <c r="R2506">
        <f>IF(P2506="","",INDEX('Students'!$AD$2:$AD$701,P2506))</f>
        <v/>
      </c>
      <c r="S2506">
        <f>IF(H2506="OK",O2506,0)</f>
        <v/>
      </c>
      <c r="T2506">
        <f>IF(H2506="OK",N2506,"")</f>
        <v/>
      </c>
      <c r="U2506">
        <f>IF(OC_Donor=0,"",IF(INDEX('OneCause_Paste'!$A$2506:$AZ$2506,1,OC_Donor)="","",INDEX('OneCause_Paste'!$A$2506:$AZ$2506,1,OC_Donor)))</f>
        <v/>
      </c>
    </row>
    <row r="2507">
      <c r="A2507" s="62">
        <f>IF(H2507="","",IF(ISNUMBER(N2507),N2507,I2507))</f>
        <v/>
      </c>
      <c r="B2507">
        <f>IF(H2507="","",U2507)</f>
        <v/>
      </c>
      <c r="C2507">
        <f>IF(H2507="","",IF(P2507="",K2507,INDEX('Students'!$A$2:$A$701,P2507)))</f>
        <v/>
      </c>
      <c r="D2507">
        <f>IF(OR(H2507="",P2507=""),"",INDEX('Students'!$B$2:$B$701,P2507))</f>
        <v/>
      </c>
      <c r="E2507">
        <f>IF(OR(H2507="",P2507=""),"",INDEX('Students'!$C$2:$C$701,P2507))</f>
        <v/>
      </c>
      <c r="F2507" s="48">
        <f>IF(H2507="","",IF(ISNUMBER(O2507),O2507,J2507))</f>
        <v/>
      </c>
      <c r="G2507">
        <f>IF(H2507="","","OneCause")</f>
        <v/>
      </c>
      <c r="H2507">
        <f>IF(AND(I2507="",J2507="",K2507=""),"",IF(NOT(ISNUMBER(O2507)),"Bad amount",IF(O2507&lt;0,"Refund (not counted)",IF(O2507=0,"Zero amount",IF(NOT(ISNUMBER(N2507)),"Bad date",IF(P2507="","NAME NOT ON ROSTER",IF(L2507="","OK",IF(MATCH(L2507,$L$2:$L$3001,0)&lt;ROW()-1,"Duplicate (ignored)","OK"))))))))</f>
        <v/>
      </c>
      <c r="I2507">
        <f>IF(OC_Date=0,"",IF(INDEX('OneCause_Paste'!$A$2507:$AZ$2507,1,OC_Date)="","",INDEX('OneCause_Paste'!$A$2507:$AZ$2507,1,OC_Date)))</f>
        <v/>
      </c>
      <c r="J2507">
        <f>IF(OC_Amt=0,"",IF(INDEX('OneCause_Paste'!$A$2507:$AZ$2507,1,OC_Amt)="","",INDEX('OneCause_Paste'!$A$2507:$AZ$2507,1,OC_Amt)))</f>
        <v/>
      </c>
      <c r="K2507">
        <f>IF(OC_Name=0,"",IF(INDEX('OneCause_Paste'!$A$2507:$AZ$2507,1,OC_Name)="","",INDEX('OneCause_Paste'!$A$2507:$AZ$2507,1,OC_Name)))</f>
        <v/>
      </c>
      <c r="L2507">
        <f>IF(OC_Txn=0,"",IF(INDEX('OneCause_Paste'!$A$2507:$AZ$2507,1,OC_Txn)="","",INDEX('OneCause_Paste'!$A$2507:$AZ$2507,1,OC_Txn)))</f>
        <v/>
      </c>
      <c r="M2507">
        <f>IF(OC_Pay=0,"",IF(INDEX('OneCause_Paste'!$A$2507:$AZ$2507,1,OC_Pay)="","",INDEX('OneCause_Paste'!$A$2507:$AZ$2507,1,OC_Pay)))</f>
        <v/>
      </c>
      <c r="N2507">
        <f>IF(I2507="","",IF(ISNUMBER(I2507),INT(I2507),IFERROR(INT(DATEVALUE(I2507)),IFERROR(INT(VALUE(I2507)),"bad"))))</f>
        <v/>
      </c>
      <c r="O2507">
        <f>IF(J2507="","",IF(ISNUMBER(J2507),ROUND(J2507,2),IFERROR(ROUND(VALUE(SUBSTITUTE(SUBSTITUTE(SUBSTITUTE(J2507,"$",""),",","")," ","")),2),"bad")))</f>
        <v/>
      </c>
      <c r="P2507">
        <f>IF(TRIM(K2507)="","",IFERROR(MATCH(LOWER(TRIM(K2507)),'Students'!$AH$2:$AH$701,0),IFERROR(MATCH(LOWER(TRIM(K2507)),'Students'!$AF$2:$AF$701,0),IFERROR(MATCH(LOWER(TRIM(K2507)),'Students'!$AG$2:$AG$701,0),""))))</f>
        <v/>
      </c>
      <c r="R2507">
        <f>IF(P2507="","",INDEX('Students'!$AD$2:$AD$701,P2507))</f>
        <v/>
      </c>
      <c r="S2507">
        <f>IF(H2507="OK",O2507,0)</f>
        <v/>
      </c>
      <c r="T2507">
        <f>IF(H2507="OK",N2507,"")</f>
        <v/>
      </c>
      <c r="U2507">
        <f>IF(OC_Donor=0,"",IF(INDEX('OneCause_Paste'!$A$2507:$AZ$2507,1,OC_Donor)="","",INDEX('OneCause_Paste'!$A$2507:$AZ$2507,1,OC_Donor)))</f>
        <v/>
      </c>
    </row>
    <row r="2508">
      <c r="A2508" s="62">
        <f>IF(H2508="","",IF(ISNUMBER(N2508),N2508,I2508))</f>
        <v/>
      </c>
      <c r="B2508">
        <f>IF(H2508="","",U2508)</f>
        <v/>
      </c>
      <c r="C2508">
        <f>IF(H2508="","",IF(P2508="",K2508,INDEX('Students'!$A$2:$A$701,P2508)))</f>
        <v/>
      </c>
      <c r="D2508">
        <f>IF(OR(H2508="",P2508=""),"",INDEX('Students'!$B$2:$B$701,P2508))</f>
        <v/>
      </c>
      <c r="E2508">
        <f>IF(OR(H2508="",P2508=""),"",INDEX('Students'!$C$2:$C$701,P2508))</f>
        <v/>
      </c>
      <c r="F2508" s="48">
        <f>IF(H2508="","",IF(ISNUMBER(O2508),O2508,J2508))</f>
        <v/>
      </c>
      <c r="G2508">
        <f>IF(H2508="","","OneCause")</f>
        <v/>
      </c>
      <c r="H2508">
        <f>IF(AND(I2508="",J2508="",K2508=""),"",IF(NOT(ISNUMBER(O2508)),"Bad amount",IF(O2508&lt;0,"Refund (not counted)",IF(O2508=0,"Zero amount",IF(NOT(ISNUMBER(N2508)),"Bad date",IF(P2508="","NAME NOT ON ROSTER",IF(L2508="","OK",IF(MATCH(L2508,$L$2:$L$3001,0)&lt;ROW()-1,"Duplicate (ignored)","OK"))))))))</f>
        <v/>
      </c>
      <c r="I2508">
        <f>IF(OC_Date=0,"",IF(INDEX('OneCause_Paste'!$A$2508:$AZ$2508,1,OC_Date)="","",INDEX('OneCause_Paste'!$A$2508:$AZ$2508,1,OC_Date)))</f>
        <v/>
      </c>
      <c r="J2508">
        <f>IF(OC_Amt=0,"",IF(INDEX('OneCause_Paste'!$A$2508:$AZ$2508,1,OC_Amt)="","",INDEX('OneCause_Paste'!$A$2508:$AZ$2508,1,OC_Amt)))</f>
        <v/>
      </c>
      <c r="K2508">
        <f>IF(OC_Name=0,"",IF(INDEX('OneCause_Paste'!$A$2508:$AZ$2508,1,OC_Name)="","",INDEX('OneCause_Paste'!$A$2508:$AZ$2508,1,OC_Name)))</f>
        <v/>
      </c>
      <c r="L2508">
        <f>IF(OC_Txn=0,"",IF(INDEX('OneCause_Paste'!$A$2508:$AZ$2508,1,OC_Txn)="","",INDEX('OneCause_Paste'!$A$2508:$AZ$2508,1,OC_Txn)))</f>
        <v/>
      </c>
      <c r="M2508">
        <f>IF(OC_Pay=0,"",IF(INDEX('OneCause_Paste'!$A$2508:$AZ$2508,1,OC_Pay)="","",INDEX('OneCause_Paste'!$A$2508:$AZ$2508,1,OC_Pay)))</f>
        <v/>
      </c>
      <c r="N2508">
        <f>IF(I2508="","",IF(ISNUMBER(I2508),INT(I2508),IFERROR(INT(DATEVALUE(I2508)),IFERROR(INT(VALUE(I2508)),"bad"))))</f>
        <v/>
      </c>
      <c r="O2508">
        <f>IF(J2508="","",IF(ISNUMBER(J2508),ROUND(J2508,2),IFERROR(ROUND(VALUE(SUBSTITUTE(SUBSTITUTE(SUBSTITUTE(J2508,"$",""),",","")," ","")),2),"bad")))</f>
        <v/>
      </c>
      <c r="P2508">
        <f>IF(TRIM(K2508)="","",IFERROR(MATCH(LOWER(TRIM(K2508)),'Students'!$AH$2:$AH$701,0),IFERROR(MATCH(LOWER(TRIM(K2508)),'Students'!$AF$2:$AF$701,0),IFERROR(MATCH(LOWER(TRIM(K2508)),'Students'!$AG$2:$AG$701,0),""))))</f>
        <v/>
      </c>
      <c r="R2508">
        <f>IF(P2508="","",INDEX('Students'!$AD$2:$AD$701,P2508))</f>
        <v/>
      </c>
      <c r="S2508">
        <f>IF(H2508="OK",O2508,0)</f>
        <v/>
      </c>
      <c r="T2508">
        <f>IF(H2508="OK",N2508,"")</f>
        <v/>
      </c>
      <c r="U2508">
        <f>IF(OC_Donor=0,"",IF(INDEX('OneCause_Paste'!$A$2508:$AZ$2508,1,OC_Donor)="","",INDEX('OneCause_Paste'!$A$2508:$AZ$2508,1,OC_Donor)))</f>
        <v/>
      </c>
    </row>
    <row r="2509">
      <c r="A2509" s="62">
        <f>IF(H2509="","",IF(ISNUMBER(N2509),N2509,I2509))</f>
        <v/>
      </c>
      <c r="B2509">
        <f>IF(H2509="","",U2509)</f>
        <v/>
      </c>
      <c r="C2509">
        <f>IF(H2509="","",IF(P2509="",K2509,INDEX('Students'!$A$2:$A$701,P2509)))</f>
        <v/>
      </c>
      <c r="D2509">
        <f>IF(OR(H2509="",P2509=""),"",INDEX('Students'!$B$2:$B$701,P2509))</f>
        <v/>
      </c>
      <c r="E2509">
        <f>IF(OR(H2509="",P2509=""),"",INDEX('Students'!$C$2:$C$701,P2509))</f>
        <v/>
      </c>
      <c r="F2509" s="48">
        <f>IF(H2509="","",IF(ISNUMBER(O2509),O2509,J2509))</f>
        <v/>
      </c>
      <c r="G2509">
        <f>IF(H2509="","","OneCause")</f>
        <v/>
      </c>
      <c r="H2509">
        <f>IF(AND(I2509="",J2509="",K2509=""),"",IF(NOT(ISNUMBER(O2509)),"Bad amount",IF(O2509&lt;0,"Refund (not counted)",IF(O2509=0,"Zero amount",IF(NOT(ISNUMBER(N2509)),"Bad date",IF(P2509="","NAME NOT ON ROSTER",IF(L2509="","OK",IF(MATCH(L2509,$L$2:$L$3001,0)&lt;ROW()-1,"Duplicate (ignored)","OK"))))))))</f>
        <v/>
      </c>
      <c r="I2509">
        <f>IF(OC_Date=0,"",IF(INDEX('OneCause_Paste'!$A$2509:$AZ$2509,1,OC_Date)="","",INDEX('OneCause_Paste'!$A$2509:$AZ$2509,1,OC_Date)))</f>
        <v/>
      </c>
      <c r="J2509">
        <f>IF(OC_Amt=0,"",IF(INDEX('OneCause_Paste'!$A$2509:$AZ$2509,1,OC_Amt)="","",INDEX('OneCause_Paste'!$A$2509:$AZ$2509,1,OC_Amt)))</f>
        <v/>
      </c>
      <c r="K2509">
        <f>IF(OC_Name=0,"",IF(INDEX('OneCause_Paste'!$A$2509:$AZ$2509,1,OC_Name)="","",INDEX('OneCause_Paste'!$A$2509:$AZ$2509,1,OC_Name)))</f>
        <v/>
      </c>
      <c r="L2509">
        <f>IF(OC_Txn=0,"",IF(INDEX('OneCause_Paste'!$A$2509:$AZ$2509,1,OC_Txn)="","",INDEX('OneCause_Paste'!$A$2509:$AZ$2509,1,OC_Txn)))</f>
        <v/>
      </c>
      <c r="M2509">
        <f>IF(OC_Pay=0,"",IF(INDEX('OneCause_Paste'!$A$2509:$AZ$2509,1,OC_Pay)="","",INDEX('OneCause_Paste'!$A$2509:$AZ$2509,1,OC_Pay)))</f>
        <v/>
      </c>
      <c r="N2509">
        <f>IF(I2509="","",IF(ISNUMBER(I2509),INT(I2509),IFERROR(INT(DATEVALUE(I2509)),IFERROR(INT(VALUE(I2509)),"bad"))))</f>
        <v/>
      </c>
      <c r="O2509">
        <f>IF(J2509="","",IF(ISNUMBER(J2509),ROUND(J2509,2),IFERROR(ROUND(VALUE(SUBSTITUTE(SUBSTITUTE(SUBSTITUTE(J2509,"$",""),",","")," ","")),2),"bad")))</f>
        <v/>
      </c>
      <c r="P2509">
        <f>IF(TRIM(K2509)="","",IFERROR(MATCH(LOWER(TRIM(K2509)),'Students'!$AH$2:$AH$701,0),IFERROR(MATCH(LOWER(TRIM(K2509)),'Students'!$AF$2:$AF$701,0),IFERROR(MATCH(LOWER(TRIM(K2509)),'Students'!$AG$2:$AG$701,0),""))))</f>
        <v/>
      </c>
      <c r="R2509">
        <f>IF(P2509="","",INDEX('Students'!$AD$2:$AD$701,P2509))</f>
        <v/>
      </c>
      <c r="S2509">
        <f>IF(H2509="OK",O2509,0)</f>
        <v/>
      </c>
      <c r="T2509">
        <f>IF(H2509="OK",N2509,"")</f>
        <v/>
      </c>
      <c r="U2509">
        <f>IF(OC_Donor=0,"",IF(INDEX('OneCause_Paste'!$A$2509:$AZ$2509,1,OC_Donor)="","",INDEX('OneCause_Paste'!$A$2509:$AZ$2509,1,OC_Donor)))</f>
        <v/>
      </c>
    </row>
    <row r="2510">
      <c r="A2510" s="62">
        <f>IF(H2510="","",IF(ISNUMBER(N2510),N2510,I2510))</f>
        <v/>
      </c>
      <c r="B2510">
        <f>IF(H2510="","",U2510)</f>
        <v/>
      </c>
      <c r="C2510">
        <f>IF(H2510="","",IF(P2510="",K2510,INDEX('Students'!$A$2:$A$701,P2510)))</f>
        <v/>
      </c>
      <c r="D2510">
        <f>IF(OR(H2510="",P2510=""),"",INDEX('Students'!$B$2:$B$701,P2510))</f>
        <v/>
      </c>
      <c r="E2510">
        <f>IF(OR(H2510="",P2510=""),"",INDEX('Students'!$C$2:$C$701,P2510))</f>
        <v/>
      </c>
      <c r="F2510" s="48">
        <f>IF(H2510="","",IF(ISNUMBER(O2510),O2510,J2510))</f>
        <v/>
      </c>
      <c r="G2510">
        <f>IF(H2510="","","OneCause")</f>
        <v/>
      </c>
      <c r="H2510">
        <f>IF(AND(I2510="",J2510="",K2510=""),"",IF(NOT(ISNUMBER(O2510)),"Bad amount",IF(O2510&lt;0,"Refund (not counted)",IF(O2510=0,"Zero amount",IF(NOT(ISNUMBER(N2510)),"Bad date",IF(P2510="","NAME NOT ON ROSTER",IF(L2510="","OK",IF(MATCH(L2510,$L$2:$L$3001,0)&lt;ROW()-1,"Duplicate (ignored)","OK"))))))))</f>
        <v/>
      </c>
      <c r="I2510">
        <f>IF(OC_Date=0,"",IF(INDEX('OneCause_Paste'!$A$2510:$AZ$2510,1,OC_Date)="","",INDEX('OneCause_Paste'!$A$2510:$AZ$2510,1,OC_Date)))</f>
        <v/>
      </c>
      <c r="J2510">
        <f>IF(OC_Amt=0,"",IF(INDEX('OneCause_Paste'!$A$2510:$AZ$2510,1,OC_Amt)="","",INDEX('OneCause_Paste'!$A$2510:$AZ$2510,1,OC_Amt)))</f>
        <v/>
      </c>
      <c r="K2510">
        <f>IF(OC_Name=0,"",IF(INDEX('OneCause_Paste'!$A$2510:$AZ$2510,1,OC_Name)="","",INDEX('OneCause_Paste'!$A$2510:$AZ$2510,1,OC_Name)))</f>
        <v/>
      </c>
      <c r="L2510">
        <f>IF(OC_Txn=0,"",IF(INDEX('OneCause_Paste'!$A$2510:$AZ$2510,1,OC_Txn)="","",INDEX('OneCause_Paste'!$A$2510:$AZ$2510,1,OC_Txn)))</f>
        <v/>
      </c>
      <c r="M2510">
        <f>IF(OC_Pay=0,"",IF(INDEX('OneCause_Paste'!$A$2510:$AZ$2510,1,OC_Pay)="","",INDEX('OneCause_Paste'!$A$2510:$AZ$2510,1,OC_Pay)))</f>
        <v/>
      </c>
      <c r="N2510">
        <f>IF(I2510="","",IF(ISNUMBER(I2510),INT(I2510),IFERROR(INT(DATEVALUE(I2510)),IFERROR(INT(VALUE(I2510)),"bad"))))</f>
        <v/>
      </c>
      <c r="O2510">
        <f>IF(J2510="","",IF(ISNUMBER(J2510),ROUND(J2510,2),IFERROR(ROUND(VALUE(SUBSTITUTE(SUBSTITUTE(SUBSTITUTE(J2510,"$",""),",","")," ","")),2),"bad")))</f>
        <v/>
      </c>
      <c r="P2510">
        <f>IF(TRIM(K2510)="","",IFERROR(MATCH(LOWER(TRIM(K2510)),'Students'!$AH$2:$AH$701,0),IFERROR(MATCH(LOWER(TRIM(K2510)),'Students'!$AF$2:$AF$701,0),IFERROR(MATCH(LOWER(TRIM(K2510)),'Students'!$AG$2:$AG$701,0),""))))</f>
        <v/>
      </c>
      <c r="R2510">
        <f>IF(P2510="","",INDEX('Students'!$AD$2:$AD$701,P2510))</f>
        <v/>
      </c>
      <c r="S2510">
        <f>IF(H2510="OK",O2510,0)</f>
        <v/>
      </c>
      <c r="T2510">
        <f>IF(H2510="OK",N2510,"")</f>
        <v/>
      </c>
      <c r="U2510">
        <f>IF(OC_Donor=0,"",IF(INDEX('OneCause_Paste'!$A$2510:$AZ$2510,1,OC_Donor)="","",INDEX('OneCause_Paste'!$A$2510:$AZ$2510,1,OC_Donor)))</f>
        <v/>
      </c>
    </row>
    <row r="2511">
      <c r="A2511" s="62">
        <f>IF(H2511="","",IF(ISNUMBER(N2511),N2511,I2511))</f>
        <v/>
      </c>
      <c r="B2511">
        <f>IF(H2511="","",U2511)</f>
        <v/>
      </c>
      <c r="C2511">
        <f>IF(H2511="","",IF(P2511="",K2511,INDEX('Students'!$A$2:$A$701,P2511)))</f>
        <v/>
      </c>
      <c r="D2511">
        <f>IF(OR(H2511="",P2511=""),"",INDEX('Students'!$B$2:$B$701,P2511))</f>
        <v/>
      </c>
      <c r="E2511">
        <f>IF(OR(H2511="",P2511=""),"",INDEX('Students'!$C$2:$C$701,P2511))</f>
        <v/>
      </c>
      <c r="F2511" s="48">
        <f>IF(H2511="","",IF(ISNUMBER(O2511),O2511,J2511))</f>
        <v/>
      </c>
      <c r="G2511">
        <f>IF(H2511="","","OneCause")</f>
        <v/>
      </c>
      <c r="H2511">
        <f>IF(AND(I2511="",J2511="",K2511=""),"",IF(NOT(ISNUMBER(O2511)),"Bad amount",IF(O2511&lt;0,"Refund (not counted)",IF(O2511=0,"Zero amount",IF(NOT(ISNUMBER(N2511)),"Bad date",IF(P2511="","NAME NOT ON ROSTER",IF(L2511="","OK",IF(MATCH(L2511,$L$2:$L$3001,0)&lt;ROW()-1,"Duplicate (ignored)","OK"))))))))</f>
        <v/>
      </c>
      <c r="I2511">
        <f>IF(OC_Date=0,"",IF(INDEX('OneCause_Paste'!$A$2511:$AZ$2511,1,OC_Date)="","",INDEX('OneCause_Paste'!$A$2511:$AZ$2511,1,OC_Date)))</f>
        <v/>
      </c>
      <c r="J2511">
        <f>IF(OC_Amt=0,"",IF(INDEX('OneCause_Paste'!$A$2511:$AZ$2511,1,OC_Amt)="","",INDEX('OneCause_Paste'!$A$2511:$AZ$2511,1,OC_Amt)))</f>
        <v/>
      </c>
      <c r="K2511">
        <f>IF(OC_Name=0,"",IF(INDEX('OneCause_Paste'!$A$2511:$AZ$2511,1,OC_Name)="","",INDEX('OneCause_Paste'!$A$2511:$AZ$2511,1,OC_Name)))</f>
        <v/>
      </c>
      <c r="L2511">
        <f>IF(OC_Txn=0,"",IF(INDEX('OneCause_Paste'!$A$2511:$AZ$2511,1,OC_Txn)="","",INDEX('OneCause_Paste'!$A$2511:$AZ$2511,1,OC_Txn)))</f>
        <v/>
      </c>
      <c r="M2511">
        <f>IF(OC_Pay=0,"",IF(INDEX('OneCause_Paste'!$A$2511:$AZ$2511,1,OC_Pay)="","",INDEX('OneCause_Paste'!$A$2511:$AZ$2511,1,OC_Pay)))</f>
        <v/>
      </c>
      <c r="N2511">
        <f>IF(I2511="","",IF(ISNUMBER(I2511),INT(I2511),IFERROR(INT(DATEVALUE(I2511)),IFERROR(INT(VALUE(I2511)),"bad"))))</f>
        <v/>
      </c>
      <c r="O2511">
        <f>IF(J2511="","",IF(ISNUMBER(J2511),ROUND(J2511,2),IFERROR(ROUND(VALUE(SUBSTITUTE(SUBSTITUTE(SUBSTITUTE(J2511,"$",""),",","")," ","")),2),"bad")))</f>
        <v/>
      </c>
      <c r="P2511">
        <f>IF(TRIM(K2511)="","",IFERROR(MATCH(LOWER(TRIM(K2511)),'Students'!$AH$2:$AH$701,0),IFERROR(MATCH(LOWER(TRIM(K2511)),'Students'!$AF$2:$AF$701,0),IFERROR(MATCH(LOWER(TRIM(K2511)),'Students'!$AG$2:$AG$701,0),""))))</f>
        <v/>
      </c>
      <c r="R2511">
        <f>IF(P2511="","",INDEX('Students'!$AD$2:$AD$701,P2511))</f>
        <v/>
      </c>
      <c r="S2511">
        <f>IF(H2511="OK",O2511,0)</f>
        <v/>
      </c>
      <c r="T2511">
        <f>IF(H2511="OK",N2511,"")</f>
        <v/>
      </c>
      <c r="U2511">
        <f>IF(OC_Donor=0,"",IF(INDEX('OneCause_Paste'!$A$2511:$AZ$2511,1,OC_Donor)="","",INDEX('OneCause_Paste'!$A$2511:$AZ$2511,1,OC_Donor)))</f>
        <v/>
      </c>
    </row>
    <row r="2512">
      <c r="A2512" s="62">
        <f>IF(H2512="","",IF(ISNUMBER(N2512),N2512,I2512))</f>
        <v/>
      </c>
      <c r="B2512">
        <f>IF(H2512="","",U2512)</f>
        <v/>
      </c>
      <c r="C2512">
        <f>IF(H2512="","",IF(P2512="",K2512,INDEX('Students'!$A$2:$A$701,P2512)))</f>
        <v/>
      </c>
      <c r="D2512">
        <f>IF(OR(H2512="",P2512=""),"",INDEX('Students'!$B$2:$B$701,P2512))</f>
        <v/>
      </c>
      <c r="E2512">
        <f>IF(OR(H2512="",P2512=""),"",INDEX('Students'!$C$2:$C$701,P2512))</f>
        <v/>
      </c>
      <c r="F2512" s="48">
        <f>IF(H2512="","",IF(ISNUMBER(O2512),O2512,J2512))</f>
        <v/>
      </c>
      <c r="G2512">
        <f>IF(H2512="","","OneCause")</f>
        <v/>
      </c>
      <c r="H2512">
        <f>IF(AND(I2512="",J2512="",K2512=""),"",IF(NOT(ISNUMBER(O2512)),"Bad amount",IF(O2512&lt;0,"Refund (not counted)",IF(O2512=0,"Zero amount",IF(NOT(ISNUMBER(N2512)),"Bad date",IF(P2512="","NAME NOT ON ROSTER",IF(L2512="","OK",IF(MATCH(L2512,$L$2:$L$3001,0)&lt;ROW()-1,"Duplicate (ignored)","OK"))))))))</f>
        <v/>
      </c>
      <c r="I2512">
        <f>IF(OC_Date=0,"",IF(INDEX('OneCause_Paste'!$A$2512:$AZ$2512,1,OC_Date)="","",INDEX('OneCause_Paste'!$A$2512:$AZ$2512,1,OC_Date)))</f>
        <v/>
      </c>
      <c r="J2512">
        <f>IF(OC_Amt=0,"",IF(INDEX('OneCause_Paste'!$A$2512:$AZ$2512,1,OC_Amt)="","",INDEX('OneCause_Paste'!$A$2512:$AZ$2512,1,OC_Amt)))</f>
        <v/>
      </c>
      <c r="K2512">
        <f>IF(OC_Name=0,"",IF(INDEX('OneCause_Paste'!$A$2512:$AZ$2512,1,OC_Name)="","",INDEX('OneCause_Paste'!$A$2512:$AZ$2512,1,OC_Name)))</f>
        <v/>
      </c>
      <c r="L2512">
        <f>IF(OC_Txn=0,"",IF(INDEX('OneCause_Paste'!$A$2512:$AZ$2512,1,OC_Txn)="","",INDEX('OneCause_Paste'!$A$2512:$AZ$2512,1,OC_Txn)))</f>
        <v/>
      </c>
      <c r="M2512">
        <f>IF(OC_Pay=0,"",IF(INDEX('OneCause_Paste'!$A$2512:$AZ$2512,1,OC_Pay)="","",INDEX('OneCause_Paste'!$A$2512:$AZ$2512,1,OC_Pay)))</f>
        <v/>
      </c>
      <c r="N2512">
        <f>IF(I2512="","",IF(ISNUMBER(I2512),INT(I2512),IFERROR(INT(DATEVALUE(I2512)),IFERROR(INT(VALUE(I2512)),"bad"))))</f>
        <v/>
      </c>
      <c r="O2512">
        <f>IF(J2512="","",IF(ISNUMBER(J2512),ROUND(J2512,2),IFERROR(ROUND(VALUE(SUBSTITUTE(SUBSTITUTE(SUBSTITUTE(J2512,"$",""),",","")," ","")),2),"bad")))</f>
        <v/>
      </c>
      <c r="P2512">
        <f>IF(TRIM(K2512)="","",IFERROR(MATCH(LOWER(TRIM(K2512)),'Students'!$AH$2:$AH$701,0),IFERROR(MATCH(LOWER(TRIM(K2512)),'Students'!$AF$2:$AF$701,0),IFERROR(MATCH(LOWER(TRIM(K2512)),'Students'!$AG$2:$AG$701,0),""))))</f>
        <v/>
      </c>
      <c r="R2512">
        <f>IF(P2512="","",INDEX('Students'!$AD$2:$AD$701,P2512))</f>
        <v/>
      </c>
      <c r="S2512">
        <f>IF(H2512="OK",O2512,0)</f>
        <v/>
      </c>
      <c r="T2512">
        <f>IF(H2512="OK",N2512,"")</f>
        <v/>
      </c>
      <c r="U2512">
        <f>IF(OC_Donor=0,"",IF(INDEX('OneCause_Paste'!$A$2512:$AZ$2512,1,OC_Donor)="","",INDEX('OneCause_Paste'!$A$2512:$AZ$2512,1,OC_Donor)))</f>
        <v/>
      </c>
    </row>
    <row r="2513">
      <c r="A2513" s="62">
        <f>IF(H2513="","",IF(ISNUMBER(N2513),N2513,I2513))</f>
        <v/>
      </c>
      <c r="B2513">
        <f>IF(H2513="","",U2513)</f>
        <v/>
      </c>
      <c r="C2513">
        <f>IF(H2513="","",IF(P2513="",K2513,INDEX('Students'!$A$2:$A$701,P2513)))</f>
        <v/>
      </c>
      <c r="D2513">
        <f>IF(OR(H2513="",P2513=""),"",INDEX('Students'!$B$2:$B$701,P2513))</f>
        <v/>
      </c>
      <c r="E2513">
        <f>IF(OR(H2513="",P2513=""),"",INDEX('Students'!$C$2:$C$701,P2513))</f>
        <v/>
      </c>
      <c r="F2513" s="48">
        <f>IF(H2513="","",IF(ISNUMBER(O2513),O2513,J2513))</f>
        <v/>
      </c>
      <c r="G2513">
        <f>IF(H2513="","","OneCause")</f>
        <v/>
      </c>
      <c r="H2513">
        <f>IF(AND(I2513="",J2513="",K2513=""),"",IF(NOT(ISNUMBER(O2513)),"Bad amount",IF(O2513&lt;0,"Refund (not counted)",IF(O2513=0,"Zero amount",IF(NOT(ISNUMBER(N2513)),"Bad date",IF(P2513="","NAME NOT ON ROSTER",IF(L2513="","OK",IF(MATCH(L2513,$L$2:$L$3001,0)&lt;ROW()-1,"Duplicate (ignored)","OK"))))))))</f>
        <v/>
      </c>
      <c r="I2513">
        <f>IF(OC_Date=0,"",IF(INDEX('OneCause_Paste'!$A$2513:$AZ$2513,1,OC_Date)="","",INDEX('OneCause_Paste'!$A$2513:$AZ$2513,1,OC_Date)))</f>
        <v/>
      </c>
      <c r="J2513">
        <f>IF(OC_Amt=0,"",IF(INDEX('OneCause_Paste'!$A$2513:$AZ$2513,1,OC_Amt)="","",INDEX('OneCause_Paste'!$A$2513:$AZ$2513,1,OC_Amt)))</f>
        <v/>
      </c>
      <c r="K2513">
        <f>IF(OC_Name=0,"",IF(INDEX('OneCause_Paste'!$A$2513:$AZ$2513,1,OC_Name)="","",INDEX('OneCause_Paste'!$A$2513:$AZ$2513,1,OC_Name)))</f>
        <v/>
      </c>
      <c r="L2513">
        <f>IF(OC_Txn=0,"",IF(INDEX('OneCause_Paste'!$A$2513:$AZ$2513,1,OC_Txn)="","",INDEX('OneCause_Paste'!$A$2513:$AZ$2513,1,OC_Txn)))</f>
        <v/>
      </c>
      <c r="M2513">
        <f>IF(OC_Pay=0,"",IF(INDEX('OneCause_Paste'!$A$2513:$AZ$2513,1,OC_Pay)="","",INDEX('OneCause_Paste'!$A$2513:$AZ$2513,1,OC_Pay)))</f>
        <v/>
      </c>
      <c r="N2513">
        <f>IF(I2513="","",IF(ISNUMBER(I2513),INT(I2513),IFERROR(INT(DATEVALUE(I2513)),IFERROR(INT(VALUE(I2513)),"bad"))))</f>
        <v/>
      </c>
      <c r="O2513">
        <f>IF(J2513="","",IF(ISNUMBER(J2513),ROUND(J2513,2),IFERROR(ROUND(VALUE(SUBSTITUTE(SUBSTITUTE(SUBSTITUTE(J2513,"$",""),",","")," ","")),2),"bad")))</f>
        <v/>
      </c>
      <c r="P2513">
        <f>IF(TRIM(K2513)="","",IFERROR(MATCH(LOWER(TRIM(K2513)),'Students'!$AH$2:$AH$701,0),IFERROR(MATCH(LOWER(TRIM(K2513)),'Students'!$AF$2:$AF$701,0),IFERROR(MATCH(LOWER(TRIM(K2513)),'Students'!$AG$2:$AG$701,0),""))))</f>
        <v/>
      </c>
      <c r="R2513">
        <f>IF(P2513="","",INDEX('Students'!$AD$2:$AD$701,P2513))</f>
        <v/>
      </c>
      <c r="S2513">
        <f>IF(H2513="OK",O2513,0)</f>
        <v/>
      </c>
      <c r="T2513">
        <f>IF(H2513="OK",N2513,"")</f>
        <v/>
      </c>
      <c r="U2513">
        <f>IF(OC_Donor=0,"",IF(INDEX('OneCause_Paste'!$A$2513:$AZ$2513,1,OC_Donor)="","",INDEX('OneCause_Paste'!$A$2513:$AZ$2513,1,OC_Donor)))</f>
        <v/>
      </c>
    </row>
    <row r="2514">
      <c r="A2514" s="62">
        <f>IF(H2514="","",IF(ISNUMBER(N2514),N2514,I2514))</f>
        <v/>
      </c>
      <c r="B2514">
        <f>IF(H2514="","",U2514)</f>
        <v/>
      </c>
      <c r="C2514">
        <f>IF(H2514="","",IF(P2514="",K2514,INDEX('Students'!$A$2:$A$701,P2514)))</f>
        <v/>
      </c>
      <c r="D2514">
        <f>IF(OR(H2514="",P2514=""),"",INDEX('Students'!$B$2:$B$701,P2514))</f>
        <v/>
      </c>
      <c r="E2514">
        <f>IF(OR(H2514="",P2514=""),"",INDEX('Students'!$C$2:$C$701,P2514))</f>
        <v/>
      </c>
      <c r="F2514" s="48">
        <f>IF(H2514="","",IF(ISNUMBER(O2514),O2514,J2514))</f>
        <v/>
      </c>
      <c r="G2514">
        <f>IF(H2514="","","OneCause")</f>
        <v/>
      </c>
      <c r="H2514">
        <f>IF(AND(I2514="",J2514="",K2514=""),"",IF(NOT(ISNUMBER(O2514)),"Bad amount",IF(O2514&lt;0,"Refund (not counted)",IF(O2514=0,"Zero amount",IF(NOT(ISNUMBER(N2514)),"Bad date",IF(P2514="","NAME NOT ON ROSTER",IF(L2514="","OK",IF(MATCH(L2514,$L$2:$L$3001,0)&lt;ROW()-1,"Duplicate (ignored)","OK"))))))))</f>
        <v/>
      </c>
      <c r="I2514">
        <f>IF(OC_Date=0,"",IF(INDEX('OneCause_Paste'!$A$2514:$AZ$2514,1,OC_Date)="","",INDEX('OneCause_Paste'!$A$2514:$AZ$2514,1,OC_Date)))</f>
        <v/>
      </c>
      <c r="J2514">
        <f>IF(OC_Amt=0,"",IF(INDEX('OneCause_Paste'!$A$2514:$AZ$2514,1,OC_Amt)="","",INDEX('OneCause_Paste'!$A$2514:$AZ$2514,1,OC_Amt)))</f>
        <v/>
      </c>
      <c r="K2514">
        <f>IF(OC_Name=0,"",IF(INDEX('OneCause_Paste'!$A$2514:$AZ$2514,1,OC_Name)="","",INDEX('OneCause_Paste'!$A$2514:$AZ$2514,1,OC_Name)))</f>
        <v/>
      </c>
      <c r="L2514">
        <f>IF(OC_Txn=0,"",IF(INDEX('OneCause_Paste'!$A$2514:$AZ$2514,1,OC_Txn)="","",INDEX('OneCause_Paste'!$A$2514:$AZ$2514,1,OC_Txn)))</f>
        <v/>
      </c>
      <c r="M2514">
        <f>IF(OC_Pay=0,"",IF(INDEX('OneCause_Paste'!$A$2514:$AZ$2514,1,OC_Pay)="","",INDEX('OneCause_Paste'!$A$2514:$AZ$2514,1,OC_Pay)))</f>
        <v/>
      </c>
      <c r="N2514">
        <f>IF(I2514="","",IF(ISNUMBER(I2514),INT(I2514),IFERROR(INT(DATEVALUE(I2514)),IFERROR(INT(VALUE(I2514)),"bad"))))</f>
        <v/>
      </c>
      <c r="O2514">
        <f>IF(J2514="","",IF(ISNUMBER(J2514),ROUND(J2514,2),IFERROR(ROUND(VALUE(SUBSTITUTE(SUBSTITUTE(SUBSTITUTE(J2514,"$",""),",","")," ","")),2),"bad")))</f>
        <v/>
      </c>
      <c r="P2514">
        <f>IF(TRIM(K2514)="","",IFERROR(MATCH(LOWER(TRIM(K2514)),'Students'!$AH$2:$AH$701,0),IFERROR(MATCH(LOWER(TRIM(K2514)),'Students'!$AF$2:$AF$701,0),IFERROR(MATCH(LOWER(TRIM(K2514)),'Students'!$AG$2:$AG$701,0),""))))</f>
        <v/>
      </c>
      <c r="R2514">
        <f>IF(P2514="","",INDEX('Students'!$AD$2:$AD$701,P2514))</f>
        <v/>
      </c>
      <c r="S2514">
        <f>IF(H2514="OK",O2514,0)</f>
        <v/>
      </c>
      <c r="T2514">
        <f>IF(H2514="OK",N2514,"")</f>
        <v/>
      </c>
      <c r="U2514">
        <f>IF(OC_Donor=0,"",IF(INDEX('OneCause_Paste'!$A$2514:$AZ$2514,1,OC_Donor)="","",INDEX('OneCause_Paste'!$A$2514:$AZ$2514,1,OC_Donor)))</f>
        <v/>
      </c>
    </row>
    <row r="2515">
      <c r="A2515" s="62">
        <f>IF(H2515="","",IF(ISNUMBER(N2515),N2515,I2515))</f>
        <v/>
      </c>
      <c r="B2515">
        <f>IF(H2515="","",U2515)</f>
        <v/>
      </c>
      <c r="C2515">
        <f>IF(H2515="","",IF(P2515="",K2515,INDEX('Students'!$A$2:$A$701,P2515)))</f>
        <v/>
      </c>
      <c r="D2515">
        <f>IF(OR(H2515="",P2515=""),"",INDEX('Students'!$B$2:$B$701,P2515))</f>
        <v/>
      </c>
      <c r="E2515">
        <f>IF(OR(H2515="",P2515=""),"",INDEX('Students'!$C$2:$C$701,P2515))</f>
        <v/>
      </c>
      <c r="F2515" s="48">
        <f>IF(H2515="","",IF(ISNUMBER(O2515),O2515,J2515))</f>
        <v/>
      </c>
      <c r="G2515">
        <f>IF(H2515="","","OneCause")</f>
        <v/>
      </c>
      <c r="H2515">
        <f>IF(AND(I2515="",J2515="",K2515=""),"",IF(NOT(ISNUMBER(O2515)),"Bad amount",IF(O2515&lt;0,"Refund (not counted)",IF(O2515=0,"Zero amount",IF(NOT(ISNUMBER(N2515)),"Bad date",IF(P2515="","NAME NOT ON ROSTER",IF(L2515="","OK",IF(MATCH(L2515,$L$2:$L$3001,0)&lt;ROW()-1,"Duplicate (ignored)","OK"))))))))</f>
        <v/>
      </c>
      <c r="I2515">
        <f>IF(OC_Date=0,"",IF(INDEX('OneCause_Paste'!$A$2515:$AZ$2515,1,OC_Date)="","",INDEX('OneCause_Paste'!$A$2515:$AZ$2515,1,OC_Date)))</f>
        <v/>
      </c>
      <c r="J2515">
        <f>IF(OC_Amt=0,"",IF(INDEX('OneCause_Paste'!$A$2515:$AZ$2515,1,OC_Amt)="","",INDEX('OneCause_Paste'!$A$2515:$AZ$2515,1,OC_Amt)))</f>
        <v/>
      </c>
      <c r="K2515">
        <f>IF(OC_Name=0,"",IF(INDEX('OneCause_Paste'!$A$2515:$AZ$2515,1,OC_Name)="","",INDEX('OneCause_Paste'!$A$2515:$AZ$2515,1,OC_Name)))</f>
        <v/>
      </c>
      <c r="L2515">
        <f>IF(OC_Txn=0,"",IF(INDEX('OneCause_Paste'!$A$2515:$AZ$2515,1,OC_Txn)="","",INDEX('OneCause_Paste'!$A$2515:$AZ$2515,1,OC_Txn)))</f>
        <v/>
      </c>
      <c r="M2515">
        <f>IF(OC_Pay=0,"",IF(INDEX('OneCause_Paste'!$A$2515:$AZ$2515,1,OC_Pay)="","",INDEX('OneCause_Paste'!$A$2515:$AZ$2515,1,OC_Pay)))</f>
        <v/>
      </c>
      <c r="N2515">
        <f>IF(I2515="","",IF(ISNUMBER(I2515),INT(I2515),IFERROR(INT(DATEVALUE(I2515)),IFERROR(INT(VALUE(I2515)),"bad"))))</f>
        <v/>
      </c>
      <c r="O2515">
        <f>IF(J2515="","",IF(ISNUMBER(J2515),ROUND(J2515,2),IFERROR(ROUND(VALUE(SUBSTITUTE(SUBSTITUTE(SUBSTITUTE(J2515,"$",""),",","")," ","")),2),"bad")))</f>
        <v/>
      </c>
      <c r="P2515">
        <f>IF(TRIM(K2515)="","",IFERROR(MATCH(LOWER(TRIM(K2515)),'Students'!$AH$2:$AH$701,0),IFERROR(MATCH(LOWER(TRIM(K2515)),'Students'!$AF$2:$AF$701,0),IFERROR(MATCH(LOWER(TRIM(K2515)),'Students'!$AG$2:$AG$701,0),""))))</f>
        <v/>
      </c>
      <c r="R2515">
        <f>IF(P2515="","",INDEX('Students'!$AD$2:$AD$701,P2515))</f>
        <v/>
      </c>
      <c r="S2515">
        <f>IF(H2515="OK",O2515,0)</f>
        <v/>
      </c>
      <c r="T2515">
        <f>IF(H2515="OK",N2515,"")</f>
        <v/>
      </c>
      <c r="U2515">
        <f>IF(OC_Donor=0,"",IF(INDEX('OneCause_Paste'!$A$2515:$AZ$2515,1,OC_Donor)="","",INDEX('OneCause_Paste'!$A$2515:$AZ$2515,1,OC_Donor)))</f>
        <v/>
      </c>
    </row>
    <row r="2516">
      <c r="A2516" s="62">
        <f>IF(H2516="","",IF(ISNUMBER(N2516),N2516,I2516))</f>
        <v/>
      </c>
      <c r="B2516">
        <f>IF(H2516="","",U2516)</f>
        <v/>
      </c>
      <c r="C2516">
        <f>IF(H2516="","",IF(P2516="",K2516,INDEX('Students'!$A$2:$A$701,P2516)))</f>
        <v/>
      </c>
      <c r="D2516">
        <f>IF(OR(H2516="",P2516=""),"",INDEX('Students'!$B$2:$B$701,P2516))</f>
        <v/>
      </c>
      <c r="E2516">
        <f>IF(OR(H2516="",P2516=""),"",INDEX('Students'!$C$2:$C$701,P2516))</f>
        <v/>
      </c>
      <c r="F2516" s="48">
        <f>IF(H2516="","",IF(ISNUMBER(O2516),O2516,J2516))</f>
        <v/>
      </c>
      <c r="G2516">
        <f>IF(H2516="","","OneCause")</f>
        <v/>
      </c>
      <c r="H2516">
        <f>IF(AND(I2516="",J2516="",K2516=""),"",IF(NOT(ISNUMBER(O2516)),"Bad amount",IF(O2516&lt;0,"Refund (not counted)",IF(O2516=0,"Zero amount",IF(NOT(ISNUMBER(N2516)),"Bad date",IF(P2516="","NAME NOT ON ROSTER",IF(L2516="","OK",IF(MATCH(L2516,$L$2:$L$3001,0)&lt;ROW()-1,"Duplicate (ignored)","OK"))))))))</f>
        <v/>
      </c>
      <c r="I2516">
        <f>IF(OC_Date=0,"",IF(INDEX('OneCause_Paste'!$A$2516:$AZ$2516,1,OC_Date)="","",INDEX('OneCause_Paste'!$A$2516:$AZ$2516,1,OC_Date)))</f>
        <v/>
      </c>
      <c r="J2516">
        <f>IF(OC_Amt=0,"",IF(INDEX('OneCause_Paste'!$A$2516:$AZ$2516,1,OC_Amt)="","",INDEX('OneCause_Paste'!$A$2516:$AZ$2516,1,OC_Amt)))</f>
        <v/>
      </c>
      <c r="K2516">
        <f>IF(OC_Name=0,"",IF(INDEX('OneCause_Paste'!$A$2516:$AZ$2516,1,OC_Name)="","",INDEX('OneCause_Paste'!$A$2516:$AZ$2516,1,OC_Name)))</f>
        <v/>
      </c>
      <c r="L2516">
        <f>IF(OC_Txn=0,"",IF(INDEX('OneCause_Paste'!$A$2516:$AZ$2516,1,OC_Txn)="","",INDEX('OneCause_Paste'!$A$2516:$AZ$2516,1,OC_Txn)))</f>
        <v/>
      </c>
      <c r="M2516">
        <f>IF(OC_Pay=0,"",IF(INDEX('OneCause_Paste'!$A$2516:$AZ$2516,1,OC_Pay)="","",INDEX('OneCause_Paste'!$A$2516:$AZ$2516,1,OC_Pay)))</f>
        <v/>
      </c>
      <c r="N2516">
        <f>IF(I2516="","",IF(ISNUMBER(I2516),INT(I2516),IFERROR(INT(DATEVALUE(I2516)),IFERROR(INT(VALUE(I2516)),"bad"))))</f>
        <v/>
      </c>
      <c r="O2516">
        <f>IF(J2516="","",IF(ISNUMBER(J2516),ROUND(J2516,2),IFERROR(ROUND(VALUE(SUBSTITUTE(SUBSTITUTE(SUBSTITUTE(J2516,"$",""),",","")," ","")),2),"bad")))</f>
        <v/>
      </c>
      <c r="P2516">
        <f>IF(TRIM(K2516)="","",IFERROR(MATCH(LOWER(TRIM(K2516)),'Students'!$AH$2:$AH$701,0),IFERROR(MATCH(LOWER(TRIM(K2516)),'Students'!$AF$2:$AF$701,0),IFERROR(MATCH(LOWER(TRIM(K2516)),'Students'!$AG$2:$AG$701,0),""))))</f>
        <v/>
      </c>
      <c r="R2516">
        <f>IF(P2516="","",INDEX('Students'!$AD$2:$AD$701,P2516))</f>
        <v/>
      </c>
      <c r="S2516">
        <f>IF(H2516="OK",O2516,0)</f>
        <v/>
      </c>
      <c r="T2516">
        <f>IF(H2516="OK",N2516,"")</f>
        <v/>
      </c>
      <c r="U2516">
        <f>IF(OC_Donor=0,"",IF(INDEX('OneCause_Paste'!$A$2516:$AZ$2516,1,OC_Donor)="","",INDEX('OneCause_Paste'!$A$2516:$AZ$2516,1,OC_Donor)))</f>
        <v/>
      </c>
    </row>
    <row r="2517">
      <c r="A2517" s="62">
        <f>IF(H2517="","",IF(ISNUMBER(N2517),N2517,I2517))</f>
        <v/>
      </c>
      <c r="B2517">
        <f>IF(H2517="","",U2517)</f>
        <v/>
      </c>
      <c r="C2517">
        <f>IF(H2517="","",IF(P2517="",K2517,INDEX('Students'!$A$2:$A$701,P2517)))</f>
        <v/>
      </c>
      <c r="D2517">
        <f>IF(OR(H2517="",P2517=""),"",INDEX('Students'!$B$2:$B$701,P2517))</f>
        <v/>
      </c>
      <c r="E2517">
        <f>IF(OR(H2517="",P2517=""),"",INDEX('Students'!$C$2:$C$701,P2517))</f>
        <v/>
      </c>
      <c r="F2517" s="48">
        <f>IF(H2517="","",IF(ISNUMBER(O2517),O2517,J2517))</f>
        <v/>
      </c>
      <c r="G2517">
        <f>IF(H2517="","","OneCause")</f>
        <v/>
      </c>
      <c r="H2517">
        <f>IF(AND(I2517="",J2517="",K2517=""),"",IF(NOT(ISNUMBER(O2517)),"Bad amount",IF(O2517&lt;0,"Refund (not counted)",IF(O2517=0,"Zero amount",IF(NOT(ISNUMBER(N2517)),"Bad date",IF(P2517="","NAME NOT ON ROSTER",IF(L2517="","OK",IF(MATCH(L2517,$L$2:$L$3001,0)&lt;ROW()-1,"Duplicate (ignored)","OK"))))))))</f>
        <v/>
      </c>
      <c r="I2517">
        <f>IF(OC_Date=0,"",IF(INDEX('OneCause_Paste'!$A$2517:$AZ$2517,1,OC_Date)="","",INDEX('OneCause_Paste'!$A$2517:$AZ$2517,1,OC_Date)))</f>
        <v/>
      </c>
      <c r="J2517">
        <f>IF(OC_Amt=0,"",IF(INDEX('OneCause_Paste'!$A$2517:$AZ$2517,1,OC_Amt)="","",INDEX('OneCause_Paste'!$A$2517:$AZ$2517,1,OC_Amt)))</f>
        <v/>
      </c>
      <c r="K2517">
        <f>IF(OC_Name=0,"",IF(INDEX('OneCause_Paste'!$A$2517:$AZ$2517,1,OC_Name)="","",INDEX('OneCause_Paste'!$A$2517:$AZ$2517,1,OC_Name)))</f>
        <v/>
      </c>
      <c r="L2517">
        <f>IF(OC_Txn=0,"",IF(INDEX('OneCause_Paste'!$A$2517:$AZ$2517,1,OC_Txn)="","",INDEX('OneCause_Paste'!$A$2517:$AZ$2517,1,OC_Txn)))</f>
        <v/>
      </c>
      <c r="M2517">
        <f>IF(OC_Pay=0,"",IF(INDEX('OneCause_Paste'!$A$2517:$AZ$2517,1,OC_Pay)="","",INDEX('OneCause_Paste'!$A$2517:$AZ$2517,1,OC_Pay)))</f>
        <v/>
      </c>
      <c r="N2517">
        <f>IF(I2517="","",IF(ISNUMBER(I2517),INT(I2517),IFERROR(INT(DATEVALUE(I2517)),IFERROR(INT(VALUE(I2517)),"bad"))))</f>
        <v/>
      </c>
      <c r="O2517">
        <f>IF(J2517="","",IF(ISNUMBER(J2517),ROUND(J2517,2),IFERROR(ROUND(VALUE(SUBSTITUTE(SUBSTITUTE(SUBSTITUTE(J2517,"$",""),",","")," ","")),2),"bad")))</f>
        <v/>
      </c>
      <c r="P2517">
        <f>IF(TRIM(K2517)="","",IFERROR(MATCH(LOWER(TRIM(K2517)),'Students'!$AH$2:$AH$701,0),IFERROR(MATCH(LOWER(TRIM(K2517)),'Students'!$AF$2:$AF$701,0),IFERROR(MATCH(LOWER(TRIM(K2517)),'Students'!$AG$2:$AG$701,0),""))))</f>
        <v/>
      </c>
      <c r="R2517">
        <f>IF(P2517="","",INDEX('Students'!$AD$2:$AD$701,P2517))</f>
        <v/>
      </c>
      <c r="S2517">
        <f>IF(H2517="OK",O2517,0)</f>
        <v/>
      </c>
      <c r="T2517">
        <f>IF(H2517="OK",N2517,"")</f>
        <v/>
      </c>
      <c r="U2517">
        <f>IF(OC_Donor=0,"",IF(INDEX('OneCause_Paste'!$A$2517:$AZ$2517,1,OC_Donor)="","",INDEX('OneCause_Paste'!$A$2517:$AZ$2517,1,OC_Donor)))</f>
        <v/>
      </c>
    </row>
    <row r="2518">
      <c r="A2518" s="62">
        <f>IF(H2518="","",IF(ISNUMBER(N2518),N2518,I2518))</f>
        <v/>
      </c>
      <c r="B2518">
        <f>IF(H2518="","",U2518)</f>
        <v/>
      </c>
      <c r="C2518">
        <f>IF(H2518="","",IF(P2518="",K2518,INDEX('Students'!$A$2:$A$701,P2518)))</f>
        <v/>
      </c>
      <c r="D2518">
        <f>IF(OR(H2518="",P2518=""),"",INDEX('Students'!$B$2:$B$701,P2518))</f>
        <v/>
      </c>
      <c r="E2518">
        <f>IF(OR(H2518="",P2518=""),"",INDEX('Students'!$C$2:$C$701,P2518))</f>
        <v/>
      </c>
      <c r="F2518" s="48">
        <f>IF(H2518="","",IF(ISNUMBER(O2518),O2518,J2518))</f>
        <v/>
      </c>
      <c r="G2518">
        <f>IF(H2518="","","OneCause")</f>
        <v/>
      </c>
      <c r="H2518">
        <f>IF(AND(I2518="",J2518="",K2518=""),"",IF(NOT(ISNUMBER(O2518)),"Bad amount",IF(O2518&lt;0,"Refund (not counted)",IF(O2518=0,"Zero amount",IF(NOT(ISNUMBER(N2518)),"Bad date",IF(P2518="","NAME NOT ON ROSTER",IF(L2518="","OK",IF(MATCH(L2518,$L$2:$L$3001,0)&lt;ROW()-1,"Duplicate (ignored)","OK"))))))))</f>
        <v/>
      </c>
      <c r="I2518">
        <f>IF(OC_Date=0,"",IF(INDEX('OneCause_Paste'!$A$2518:$AZ$2518,1,OC_Date)="","",INDEX('OneCause_Paste'!$A$2518:$AZ$2518,1,OC_Date)))</f>
        <v/>
      </c>
      <c r="J2518">
        <f>IF(OC_Amt=0,"",IF(INDEX('OneCause_Paste'!$A$2518:$AZ$2518,1,OC_Amt)="","",INDEX('OneCause_Paste'!$A$2518:$AZ$2518,1,OC_Amt)))</f>
        <v/>
      </c>
      <c r="K2518">
        <f>IF(OC_Name=0,"",IF(INDEX('OneCause_Paste'!$A$2518:$AZ$2518,1,OC_Name)="","",INDEX('OneCause_Paste'!$A$2518:$AZ$2518,1,OC_Name)))</f>
        <v/>
      </c>
      <c r="L2518">
        <f>IF(OC_Txn=0,"",IF(INDEX('OneCause_Paste'!$A$2518:$AZ$2518,1,OC_Txn)="","",INDEX('OneCause_Paste'!$A$2518:$AZ$2518,1,OC_Txn)))</f>
        <v/>
      </c>
      <c r="M2518">
        <f>IF(OC_Pay=0,"",IF(INDEX('OneCause_Paste'!$A$2518:$AZ$2518,1,OC_Pay)="","",INDEX('OneCause_Paste'!$A$2518:$AZ$2518,1,OC_Pay)))</f>
        <v/>
      </c>
      <c r="N2518">
        <f>IF(I2518="","",IF(ISNUMBER(I2518),INT(I2518),IFERROR(INT(DATEVALUE(I2518)),IFERROR(INT(VALUE(I2518)),"bad"))))</f>
        <v/>
      </c>
      <c r="O2518">
        <f>IF(J2518="","",IF(ISNUMBER(J2518),ROUND(J2518,2),IFERROR(ROUND(VALUE(SUBSTITUTE(SUBSTITUTE(SUBSTITUTE(J2518,"$",""),",","")," ","")),2),"bad")))</f>
        <v/>
      </c>
      <c r="P2518">
        <f>IF(TRIM(K2518)="","",IFERROR(MATCH(LOWER(TRIM(K2518)),'Students'!$AH$2:$AH$701,0),IFERROR(MATCH(LOWER(TRIM(K2518)),'Students'!$AF$2:$AF$701,0),IFERROR(MATCH(LOWER(TRIM(K2518)),'Students'!$AG$2:$AG$701,0),""))))</f>
        <v/>
      </c>
      <c r="R2518">
        <f>IF(P2518="","",INDEX('Students'!$AD$2:$AD$701,P2518))</f>
        <v/>
      </c>
      <c r="S2518">
        <f>IF(H2518="OK",O2518,0)</f>
        <v/>
      </c>
      <c r="T2518">
        <f>IF(H2518="OK",N2518,"")</f>
        <v/>
      </c>
      <c r="U2518">
        <f>IF(OC_Donor=0,"",IF(INDEX('OneCause_Paste'!$A$2518:$AZ$2518,1,OC_Donor)="","",INDEX('OneCause_Paste'!$A$2518:$AZ$2518,1,OC_Donor)))</f>
        <v/>
      </c>
    </row>
    <row r="2519">
      <c r="A2519" s="62">
        <f>IF(H2519="","",IF(ISNUMBER(N2519),N2519,I2519))</f>
        <v/>
      </c>
      <c r="B2519">
        <f>IF(H2519="","",U2519)</f>
        <v/>
      </c>
      <c r="C2519">
        <f>IF(H2519="","",IF(P2519="",K2519,INDEX('Students'!$A$2:$A$701,P2519)))</f>
        <v/>
      </c>
      <c r="D2519">
        <f>IF(OR(H2519="",P2519=""),"",INDEX('Students'!$B$2:$B$701,P2519))</f>
        <v/>
      </c>
      <c r="E2519">
        <f>IF(OR(H2519="",P2519=""),"",INDEX('Students'!$C$2:$C$701,P2519))</f>
        <v/>
      </c>
      <c r="F2519" s="48">
        <f>IF(H2519="","",IF(ISNUMBER(O2519),O2519,J2519))</f>
        <v/>
      </c>
      <c r="G2519">
        <f>IF(H2519="","","OneCause")</f>
        <v/>
      </c>
      <c r="H2519">
        <f>IF(AND(I2519="",J2519="",K2519=""),"",IF(NOT(ISNUMBER(O2519)),"Bad amount",IF(O2519&lt;0,"Refund (not counted)",IF(O2519=0,"Zero amount",IF(NOT(ISNUMBER(N2519)),"Bad date",IF(P2519="","NAME NOT ON ROSTER",IF(L2519="","OK",IF(MATCH(L2519,$L$2:$L$3001,0)&lt;ROW()-1,"Duplicate (ignored)","OK"))))))))</f>
        <v/>
      </c>
      <c r="I2519">
        <f>IF(OC_Date=0,"",IF(INDEX('OneCause_Paste'!$A$2519:$AZ$2519,1,OC_Date)="","",INDEX('OneCause_Paste'!$A$2519:$AZ$2519,1,OC_Date)))</f>
        <v/>
      </c>
      <c r="J2519">
        <f>IF(OC_Amt=0,"",IF(INDEX('OneCause_Paste'!$A$2519:$AZ$2519,1,OC_Amt)="","",INDEX('OneCause_Paste'!$A$2519:$AZ$2519,1,OC_Amt)))</f>
        <v/>
      </c>
      <c r="K2519">
        <f>IF(OC_Name=0,"",IF(INDEX('OneCause_Paste'!$A$2519:$AZ$2519,1,OC_Name)="","",INDEX('OneCause_Paste'!$A$2519:$AZ$2519,1,OC_Name)))</f>
        <v/>
      </c>
      <c r="L2519">
        <f>IF(OC_Txn=0,"",IF(INDEX('OneCause_Paste'!$A$2519:$AZ$2519,1,OC_Txn)="","",INDEX('OneCause_Paste'!$A$2519:$AZ$2519,1,OC_Txn)))</f>
        <v/>
      </c>
      <c r="M2519">
        <f>IF(OC_Pay=0,"",IF(INDEX('OneCause_Paste'!$A$2519:$AZ$2519,1,OC_Pay)="","",INDEX('OneCause_Paste'!$A$2519:$AZ$2519,1,OC_Pay)))</f>
        <v/>
      </c>
      <c r="N2519">
        <f>IF(I2519="","",IF(ISNUMBER(I2519),INT(I2519),IFERROR(INT(DATEVALUE(I2519)),IFERROR(INT(VALUE(I2519)),"bad"))))</f>
        <v/>
      </c>
      <c r="O2519">
        <f>IF(J2519="","",IF(ISNUMBER(J2519),ROUND(J2519,2),IFERROR(ROUND(VALUE(SUBSTITUTE(SUBSTITUTE(SUBSTITUTE(J2519,"$",""),",","")," ","")),2),"bad")))</f>
        <v/>
      </c>
      <c r="P2519">
        <f>IF(TRIM(K2519)="","",IFERROR(MATCH(LOWER(TRIM(K2519)),'Students'!$AH$2:$AH$701,0),IFERROR(MATCH(LOWER(TRIM(K2519)),'Students'!$AF$2:$AF$701,0),IFERROR(MATCH(LOWER(TRIM(K2519)),'Students'!$AG$2:$AG$701,0),""))))</f>
        <v/>
      </c>
      <c r="R2519">
        <f>IF(P2519="","",INDEX('Students'!$AD$2:$AD$701,P2519))</f>
        <v/>
      </c>
      <c r="S2519">
        <f>IF(H2519="OK",O2519,0)</f>
        <v/>
      </c>
      <c r="T2519">
        <f>IF(H2519="OK",N2519,"")</f>
        <v/>
      </c>
      <c r="U2519">
        <f>IF(OC_Donor=0,"",IF(INDEX('OneCause_Paste'!$A$2519:$AZ$2519,1,OC_Donor)="","",INDEX('OneCause_Paste'!$A$2519:$AZ$2519,1,OC_Donor)))</f>
        <v/>
      </c>
    </row>
    <row r="2520">
      <c r="A2520" s="62">
        <f>IF(H2520="","",IF(ISNUMBER(N2520),N2520,I2520))</f>
        <v/>
      </c>
      <c r="B2520">
        <f>IF(H2520="","",U2520)</f>
        <v/>
      </c>
      <c r="C2520">
        <f>IF(H2520="","",IF(P2520="",K2520,INDEX('Students'!$A$2:$A$701,P2520)))</f>
        <v/>
      </c>
      <c r="D2520">
        <f>IF(OR(H2520="",P2520=""),"",INDEX('Students'!$B$2:$B$701,P2520))</f>
        <v/>
      </c>
      <c r="E2520">
        <f>IF(OR(H2520="",P2520=""),"",INDEX('Students'!$C$2:$C$701,P2520))</f>
        <v/>
      </c>
      <c r="F2520" s="48">
        <f>IF(H2520="","",IF(ISNUMBER(O2520),O2520,J2520))</f>
        <v/>
      </c>
      <c r="G2520">
        <f>IF(H2520="","","OneCause")</f>
        <v/>
      </c>
      <c r="H2520">
        <f>IF(AND(I2520="",J2520="",K2520=""),"",IF(NOT(ISNUMBER(O2520)),"Bad amount",IF(O2520&lt;0,"Refund (not counted)",IF(O2520=0,"Zero amount",IF(NOT(ISNUMBER(N2520)),"Bad date",IF(P2520="","NAME NOT ON ROSTER",IF(L2520="","OK",IF(MATCH(L2520,$L$2:$L$3001,0)&lt;ROW()-1,"Duplicate (ignored)","OK"))))))))</f>
        <v/>
      </c>
      <c r="I2520">
        <f>IF(OC_Date=0,"",IF(INDEX('OneCause_Paste'!$A$2520:$AZ$2520,1,OC_Date)="","",INDEX('OneCause_Paste'!$A$2520:$AZ$2520,1,OC_Date)))</f>
        <v/>
      </c>
      <c r="J2520">
        <f>IF(OC_Amt=0,"",IF(INDEX('OneCause_Paste'!$A$2520:$AZ$2520,1,OC_Amt)="","",INDEX('OneCause_Paste'!$A$2520:$AZ$2520,1,OC_Amt)))</f>
        <v/>
      </c>
      <c r="K2520">
        <f>IF(OC_Name=0,"",IF(INDEX('OneCause_Paste'!$A$2520:$AZ$2520,1,OC_Name)="","",INDEX('OneCause_Paste'!$A$2520:$AZ$2520,1,OC_Name)))</f>
        <v/>
      </c>
      <c r="L2520">
        <f>IF(OC_Txn=0,"",IF(INDEX('OneCause_Paste'!$A$2520:$AZ$2520,1,OC_Txn)="","",INDEX('OneCause_Paste'!$A$2520:$AZ$2520,1,OC_Txn)))</f>
        <v/>
      </c>
      <c r="M2520">
        <f>IF(OC_Pay=0,"",IF(INDEX('OneCause_Paste'!$A$2520:$AZ$2520,1,OC_Pay)="","",INDEX('OneCause_Paste'!$A$2520:$AZ$2520,1,OC_Pay)))</f>
        <v/>
      </c>
      <c r="N2520">
        <f>IF(I2520="","",IF(ISNUMBER(I2520),INT(I2520),IFERROR(INT(DATEVALUE(I2520)),IFERROR(INT(VALUE(I2520)),"bad"))))</f>
        <v/>
      </c>
      <c r="O2520">
        <f>IF(J2520="","",IF(ISNUMBER(J2520),ROUND(J2520,2),IFERROR(ROUND(VALUE(SUBSTITUTE(SUBSTITUTE(SUBSTITUTE(J2520,"$",""),",","")," ","")),2),"bad")))</f>
        <v/>
      </c>
      <c r="P2520">
        <f>IF(TRIM(K2520)="","",IFERROR(MATCH(LOWER(TRIM(K2520)),'Students'!$AH$2:$AH$701,0),IFERROR(MATCH(LOWER(TRIM(K2520)),'Students'!$AF$2:$AF$701,0),IFERROR(MATCH(LOWER(TRIM(K2520)),'Students'!$AG$2:$AG$701,0),""))))</f>
        <v/>
      </c>
      <c r="R2520">
        <f>IF(P2520="","",INDEX('Students'!$AD$2:$AD$701,P2520))</f>
        <v/>
      </c>
      <c r="S2520">
        <f>IF(H2520="OK",O2520,0)</f>
        <v/>
      </c>
      <c r="T2520">
        <f>IF(H2520="OK",N2520,"")</f>
        <v/>
      </c>
      <c r="U2520">
        <f>IF(OC_Donor=0,"",IF(INDEX('OneCause_Paste'!$A$2520:$AZ$2520,1,OC_Donor)="","",INDEX('OneCause_Paste'!$A$2520:$AZ$2520,1,OC_Donor)))</f>
        <v/>
      </c>
    </row>
    <row r="2521">
      <c r="A2521" s="62">
        <f>IF(H2521="","",IF(ISNUMBER(N2521),N2521,I2521))</f>
        <v/>
      </c>
      <c r="B2521">
        <f>IF(H2521="","",U2521)</f>
        <v/>
      </c>
      <c r="C2521">
        <f>IF(H2521="","",IF(P2521="",K2521,INDEX('Students'!$A$2:$A$701,P2521)))</f>
        <v/>
      </c>
      <c r="D2521">
        <f>IF(OR(H2521="",P2521=""),"",INDEX('Students'!$B$2:$B$701,P2521))</f>
        <v/>
      </c>
      <c r="E2521">
        <f>IF(OR(H2521="",P2521=""),"",INDEX('Students'!$C$2:$C$701,P2521))</f>
        <v/>
      </c>
      <c r="F2521" s="48">
        <f>IF(H2521="","",IF(ISNUMBER(O2521),O2521,J2521))</f>
        <v/>
      </c>
      <c r="G2521">
        <f>IF(H2521="","","OneCause")</f>
        <v/>
      </c>
      <c r="H2521">
        <f>IF(AND(I2521="",J2521="",K2521=""),"",IF(NOT(ISNUMBER(O2521)),"Bad amount",IF(O2521&lt;0,"Refund (not counted)",IF(O2521=0,"Zero amount",IF(NOT(ISNUMBER(N2521)),"Bad date",IF(P2521="","NAME NOT ON ROSTER",IF(L2521="","OK",IF(MATCH(L2521,$L$2:$L$3001,0)&lt;ROW()-1,"Duplicate (ignored)","OK"))))))))</f>
        <v/>
      </c>
      <c r="I2521">
        <f>IF(OC_Date=0,"",IF(INDEX('OneCause_Paste'!$A$2521:$AZ$2521,1,OC_Date)="","",INDEX('OneCause_Paste'!$A$2521:$AZ$2521,1,OC_Date)))</f>
        <v/>
      </c>
      <c r="J2521">
        <f>IF(OC_Amt=0,"",IF(INDEX('OneCause_Paste'!$A$2521:$AZ$2521,1,OC_Amt)="","",INDEX('OneCause_Paste'!$A$2521:$AZ$2521,1,OC_Amt)))</f>
        <v/>
      </c>
      <c r="K2521">
        <f>IF(OC_Name=0,"",IF(INDEX('OneCause_Paste'!$A$2521:$AZ$2521,1,OC_Name)="","",INDEX('OneCause_Paste'!$A$2521:$AZ$2521,1,OC_Name)))</f>
        <v/>
      </c>
      <c r="L2521">
        <f>IF(OC_Txn=0,"",IF(INDEX('OneCause_Paste'!$A$2521:$AZ$2521,1,OC_Txn)="","",INDEX('OneCause_Paste'!$A$2521:$AZ$2521,1,OC_Txn)))</f>
        <v/>
      </c>
      <c r="M2521">
        <f>IF(OC_Pay=0,"",IF(INDEX('OneCause_Paste'!$A$2521:$AZ$2521,1,OC_Pay)="","",INDEX('OneCause_Paste'!$A$2521:$AZ$2521,1,OC_Pay)))</f>
        <v/>
      </c>
      <c r="N2521">
        <f>IF(I2521="","",IF(ISNUMBER(I2521),INT(I2521),IFERROR(INT(DATEVALUE(I2521)),IFERROR(INT(VALUE(I2521)),"bad"))))</f>
        <v/>
      </c>
      <c r="O2521">
        <f>IF(J2521="","",IF(ISNUMBER(J2521),ROUND(J2521,2),IFERROR(ROUND(VALUE(SUBSTITUTE(SUBSTITUTE(SUBSTITUTE(J2521,"$",""),",","")," ","")),2),"bad")))</f>
        <v/>
      </c>
      <c r="P2521">
        <f>IF(TRIM(K2521)="","",IFERROR(MATCH(LOWER(TRIM(K2521)),'Students'!$AH$2:$AH$701,0),IFERROR(MATCH(LOWER(TRIM(K2521)),'Students'!$AF$2:$AF$701,0),IFERROR(MATCH(LOWER(TRIM(K2521)),'Students'!$AG$2:$AG$701,0),""))))</f>
        <v/>
      </c>
      <c r="R2521">
        <f>IF(P2521="","",INDEX('Students'!$AD$2:$AD$701,P2521))</f>
        <v/>
      </c>
      <c r="S2521">
        <f>IF(H2521="OK",O2521,0)</f>
        <v/>
      </c>
      <c r="T2521">
        <f>IF(H2521="OK",N2521,"")</f>
        <v/>
      </c>
      <c r="U2521">
        <f>IF(OC_Donor=0,"",IF(INDEX('OneCause_Paste'!$A$2521:$AZ$2521,1,OC_Donor)="","",INDEX('OneCause_Paste'!$A$2521:$AZ$2521,1,OC_Donor)))</f>
        <v/>
      </c>
    </row>
    <row r="2522">
      <c r="A2522" s="62">
        <f>IF(H2522="","",IF(ISNUMBER(N2522),N2522,I2522))</f>
        <v/>
      </c>
      <c r="B2522">
        <f>IF(H2522="","",U2522)</f>
        <v/>
      </c>
      <c r="C2522">
        <f>IF(H2522="","",IF(P2522="",K2522,INDEX('Students'!$A$2:$A$701,P2522)))</f>
        <v/>
      </c>
      <c r="D2522">
        <f>IF(OR(H2522="",P2522=""),"",INDEX('Students'!$B$2:$B$701,P2522))</f>
        <v/>
      </c>
      <c r="E2522">
        <f>IF(OR(H2522="",P2522=""),"",INDEX('Students'!$C$2:$C$701,P2522))</f>
        <v/>
      </c>
      <c r="F2522" s="48">
        <f>IF(H2522="","",IF(ISNUMBER(O2522),O2522,J2522))</f>
        <v/>
      </c>
      <c r="G2522">
        <f>IF(H2522="","","OneCause")</f>
        <v/>
      </c>
      <c r="H2522">
        <f>IF(AND(I2522="",J2522="",K2522=""),"",IF(NOT(ISNUMBER(O2522)),"Bad amount",IF(O2522&lt;0,"Refund (not counted)",IF(O2522=0,"Zero amount",IF(NOT(ISNUMBER(N2522)),"Bad date",IF(P2522="","NAME NOT ON ROSTER",IF(L2522="","OK",IF(MATCH(L2522,$L$2:$L$3001,0)&lt;ROW()-1,"Duplicate (ignored)","OK"))))))))</f>
        <v/>
      </c>
      <c r="I2522">
        <f>IF(OC_Date=0,"",IF(INDEX('OneCause_Paste'!$A$2522:$AZ$2522,1,OC_Date)="","",INDEX('OneCause_Paste'!$A$2522:$AZ$2522,1,OC_Date)))</f>
        <v/>
      </c>
      <c r="J2522">
        <f>IF(OC_Amt=0,"",IF(INDEX('OneCause_Paste'!$A$2522:$AZ$2522,1,OC_Amt)="","",INDEX('OneCause_Paste'!$A$2522:$AZ$2522,1,OC_Amt)))</f>
        <v/>
      </c>
      <c r="K2522">
        <f>IF(OC_Name=0,"",IF(INDEX('OneCause_Paste'!$A$2522:$AZ$2522,1,OC_Name)="","",INDEX('OneCause_Paste'!$A$2522:$AZ$2522,1,OC_Name)))</f>
        <v/>
      </c>
      <c r="L2522">
        <f>IF(OC_Txn=0,"",IF(INDEX('OneCause_Paste'!$A$2522:$AZ$2522,1,OC_Txn)="","",INDEX('OneCause_Paste'!$A$2522:$AZ$2522,1,OC_Txn)))</f>
        <v/>
      </c>
      <c r="M2522">
        <f>IF(OC_Pay=0,"",IF(INDEX('OneCause_Paste'!$A$2522:$AZ$2522,1,OC_Pay)="","",INDEX('OneCause_Paste'!$A$2522:$AZ$2522,1,OC_Pay)))</f>
        <v/>
      </c>
      <c r="N2522">
        <f>IF(I2522="","",IF(ISNUMBER(I2522),INT(I2522),IFERROR(INT(DATEVALUE(I2522)),IFERROR(INT(VALUE(I2522)),"bad"))))</f>
        <v/>
      </c>
      <c r="O2522">
        <f>IF(J2522="","",IF(ISNUMBER(J2522),ROUND(J2522,2),IFERROR(ROUND(VALUE(SUBSTITUTE(SUBSTITUTE(SUBSTITUTE(J2522,"$",""),",","")," ","")),2),"bad")))</f>
        <v/>
      </c>
      <c r="P2522">
        <f>IF(TRIM(K2522)="","",IFERROR(MATCH(LOWER(TRIM(K2522)),'Students'!$AH$2:$AH$701,0),IFERROR(MATCH(LOWER(TRIM(K2522)),'Students'!$AF$2:$AF$701,0),IFERROR(MATCH(LOWER(TRIM(K2522)),'Students'!$AG$2:$AG$701,0),""))))</f>
        <v/>
      </c>
      <c r="R2522">
        <f>IF(P2522="","",INDEX('Students'!$AD$2:$AD$701,P2522))</f>
        <v/>
      </c>
      <c r="S2522">
        <f>IF(H2522="OK",O2522,0)</f>
        <v/>
      </c>
      <c r="T2522">
        <f>IF(H2522="OK",N2522,"")</f>
        <v/>
      </c>
      <c r="U2522">
        <f>IF(OC_Donor=0,"",IF(INDEX('OneCause_Paste'!$A$2522:$AZ$2522,1,OC_Donor)="","",INDEX('OneCause_Paste'!$A$2522:$AZ$2522,1,OC_Donor)))</f>
        <v/>
      </c>
    </row>
    <row r="2523">
      <c r="A2523" s="62">
        <f>IF(H2523="","",IF(ISNUMBER(N2523),N2523,I2523))</f>
        <v/>
      </c>
      <c r="B2523">
        <f>IF(H2523="","",U2523)</f>
        <v/>
      </c>
      <c r="C2523">
        <f>IF(H2523="","",IF(P2523="",K2523,INDEX('Students'!$A$2:$A$701,P2523)))</f>
        <v/>
      </c>
      <c r="D2523">
        <f>IF(OR(H2523="",P2523=""),"",INDEX('Students'!$B$2:$B$701,P2523))</f>
        <v/>
      </c>
      <c r="E2523">
        <f>IF(OR(H2523="",P2523=""),"",INDEX('Students'!$C$2:$C$701,P2523))</f>
        <v/>
      </c>
      <c r="F2523" s="48">
        <f>IF(H2523="","",IF(ISNUMBER(O2523),O2523,J2523))</f>
        <v/>
      </c>
      <c r="G2523">
        <f>IF(H2523="","","OneCause")</f>
        <v/>
      </c>
      <c r="H2523">
        <f>IF(AND(I2523="",J2523="",K2523=""),"",IF(NOT(ISNUMBER(O2523)),"Bad amount",IF(O2523&lt;0,"Refund (not counted)",IF(O2523=0,"Zero amount",IF(NOT(ISNUMBER(N2523)),"Bad date",IF(P2523="","NAME NOT ON ROSTER",IF(L2523="","OK",IF(MATCH(L2523,$L$2:$L$3001,0)&lt;ROW()-1,"Duplicate (ignored)","OK"))))))))</f>
        <v/>
      </c>
      <c r="I2523">
        <f>IF(OC_Date=0,"",IF(INDEX('OneCause_Paste'!$A$2523:$AZ$2523,1,OC_Date)="","",INDEX('OneCause_Paste'!$A$2523:$AZ$2523,1,OC_Date)))</f>
        <v/>
      </c>
      <c r="J2523">
        <f>IF(OC_Amt=0,"",IF(INDEX('OneCause_Paste'!$A$2523:$AZ$2523,1,OC_Amt)="","",INDEX('OneCause_Paste'!$A$2523:$AZ$2523,1,OC_Amt)))</f>
        <v/>
      </c>
      <c r="K2523">
        <f>IF(OC_Name=0,"",IF(INDEX('OneCause_Paste'!$A$2523:$AZ$2523,1,OC_Name)="","",INDEX('OneCause_Paste'!$A$2523:$AZ$2523,1,OC_Name)))</f>
        <v/>
      </c>
      <c r="L2523">
        <f>IF(OC_Txn=0,"",IF(INDEX('OneCause_Paste'!$A$2523:$AZ$2523,1,OC_Txn)="","",INDEX('OneCause_Paste'!$A$2523:$AZ$2523,1,OC_Txn)))</f>
        <v/>
      </c>
      <c r="M2523">
        <f>IF(OC_Pay=0,"",IF(INDEX('OneCause_Paste'!$A$2523:$AZ$2523,1,OC_Pay)="","",INDEX('OneCause_Paste'!$A$2523:$AZ$2523,1,OC_Pay)))</f>
        <v/>
      </c>
      <c r="N2523">
        <f>IF(I2523="","",IF(ISNUMBER(I2523),INT(I2523),IFERROR(INT(DATEVALUE(I2523)),IFERROR(INT(VALUE(I2523)),"bad"))))</f>
        <v/>
      </c>
      <c r="O2523">
        <f>IF(J2523="","",IF(ISNUMBER(J2523),ROUND(J2523,2),IFERROR(ROUND(VALUE(SUBSTITUTE(SUBSTITUTE(SUBSTITUTE(J2523,"$",""),",","")," ","")),2),"bad")))</f>
        <v/>
      </c>
      <c r="P2523">
        <f>IF(TRIM(K2523)="","",IFERROR(MATCH(LOWER(TRIM(K2523)),'Students'!$AH$2:$AH$701,0),IFERROR(MATCH(LOWER(TRIM(K2523)),'Students'!$AF$2:$AF$701,0),IFERROR(MATCH(LOWER(TRIM(K2523)),'Students'!$AG$2:$AG$701,0),""))))</f>
        <v/>
      </c>
      <c r="R2523">
        <f>IF(P2523="","",INDEX('Students'!$AD$2:$AD$701,P2523))</f>
        <v/>
      </c>
      <c r="S2523">
        <f>IF(H2523="OK",O2523,0)</f>
        <v/>
      </c>
      <c r="T2523">
        <f>IF(H2523="OK",N2523,"")</f>
        <v/>
      </c>
      <c r="U2523">
        <f>IF(OC_Donor=0,"",IF(INDEX('OneCause_Paste'!$A$2523:$AZ$2523,1,OC_Donor)="","",INDEX('OneCause_Paste'!$A$2523:$AZ$2523,1,OC_Donor)))</f>
        <v/>
      </c>
    </row>
    <row r="2524">
      <c r="A2524" s="62">
        <f>IF(H2524="","",IF(ISNUMBER(N2524),N2524,I2524))</f>
        <v/>
      </c>
      <c r="B2524">
        <f>IF(H2524="","",U2524)</f>
        <v/>
      </c>
      <c r="C2524">
        <f>IF(H2524="","",IF(P2524="",K2524,INDEX('Students'!$A$2:$A$701,P2524)))</f>
        <v/>
      </c>
      <c r="D2524">
        <f>IF(OR(H2524="",P2524=""),"",INDEX('Students'!$B$2:$B$701,P2524))</f>
        <v/>
      </c>
      <c r="E2524">
        <f>IF(OR(H2524="",P2524=""),"",INDEX('Students'!$C$2:$C$701,P2524))</f>
        <v/>
      </c>
      <c r="F2524" s="48">
        <f>IF(H2524="","",IF(ISNUMBER(O2524),O2524,J2524))</f>
        <v/>
      </c>
      <c r="G2524">
        <f>IF(H2524="","","OneCause")</f>
        <v/>
      </c>
      <c r="H2524">
        <f>IF(AND(I2524="",J2524="",K2524=""),"",IF(NOT(ISNUMBER(O2524)),"Bad amount",IF(O2524&lt;0,"Refund (not counted)",IF(O2524=0,"Zero amount",IF(NOT(ISNUMBER(N2524)),"Bad date",IF(P2524="","NAME NOT ON ROSTER",IF(L2524="","OK",IF(MATCH(L2524,$L$2:$L$3001,0)&lt;ROW()-1,"Duplicate (ignored)","OK"))))))))</f>
        <v/>
      </c>
      <c r="I2524">
        <f>IF(OC_Date=0,"",IF(INDEX('OneCause_Paste'!$A$2524:$AZ$2524,1,OC_Date)="","",INDEX('OneCause_Paste'!$A$2524:$AZ$2524,1,OC_Date)))</f>
        <v/>
      </c>
      <c r="J2524">
        <f>IF(OC_Amt=0,"",IF(INDEX('OneCause_Paste'!$A$2524:$AZ$2524,1,OC_Amt)="","",INDEX('OneCause_Paste'!$A$2524:$AZ$2524,1,OC_Amt)))</f>
        <v/>
      </c>
      <c r="K2524">
        <f>IF(OC_Name=0,"",IF(INDEX('OneCause_Paste'!$A$2524:$AZ$2524,1,OC_Name)="","",INDEX('OneCause_Paste'!$A$2524:$AZ$2524,1,OC_Name)))</f>
        <v/>
      </c>
      <c r="L2524">
        <f>IF(OC_Txn=0,"",IF(INDEX('OneCause_Paste'!$A$2524:$AZ$2524,1,OC_Txn)="","",INDEX('OneCause_Paste'!$A$2524:$AZ$2524,1,OC_Txn)))</f>
        <v/>
      </c>
      <c r="M2524">
        <f>IF(OC_Pay=0,"",IF(INDEX('OneCause_Paste'!$A$2524:$AZ$2524,1,OC_Pay)="","",INDEX('OneCause_Paste'!$A$2524:$AZ$2524,1,OC_Pay)))</f>
        <v/>
      </c>
      <c r="N2524">
        <f>IF(I2524="","",IF(ISNUMBER(I2524),INT(I2524),IFERROR(INT(DATEVALUE(I2524)),IFERROR(INT(VALUE(I2524)),"bad"))))</f>
        <v/>
      </c>
      <c r="O2524">
        <f>IF(J2524="","",IF(ISNUMBER(J2524),ROUND(J2524,2),IFERROR(ROUND(VALUE(SUBSTITUTE(SUBSTITUTE(SUBSTITUTE(J2524,"$",""),",","")," ","")),2),"bad")))</f>
        <v/>
      </c>
      <c r="P2524">
        <f>IF(TRIM(K2524)="","",IFERROR(MATCH(LOWER(TRIM(K2524)),'Students'!$AH$2:$AH$701,0),IFERROR(MATCH(LOWER(TRIM(K2524)),'Students'!$AF$2:$AF$701,0),IFERROR(MATCH(LOWER(TRIM(K2524)),'Students'!$AG$2:$AG$701,0),""))))</f>
        <v/>
      </c>
      <c r="R2524">
        <f>IF(P2524="","",INDEX('Students'!$AD$2:$AD$701,P2524))</f>
        <v/>
      </c>
      <c r="S2524">
        <f>IF(H2524="OK",O2524,0)</f>
        <v/>
      </c>
      <c r="T2524">
        <f>IF(H2524="OK",N2524,"")</f>
        <v/>
      </c>
      <c r="U2524">
        <f>IF(OC_Donor=0,"",IF(INDEX('OneCause_Paste'!$A$2524:$AZ$2524,1,OC_Donor)="","",INDEX('OneCause_Paste'!$A$2524:$AZ$2524,1,OC_Donor)))</f>
        <v/>
      </c>
    </row>
    <row r="2525">
      <c r="A2525" s="62">
        <f>IF(H2525="","",IF(ISNUMBER(N2525),N2525,I2525))</f>
        <v/>
      </c>
      <c r="B2525">
        <f>IF(H2525="","",U2525)</f>
        <v/>
      </c>
      <c r="C2525">
        <f>IF(H2525="","",IF(P2525="",K2525,INDEX('Students'!$A$2:$A$701,P2525)))</f>
        <v/>
      </c>
      <c r="D2525">
        <f>IF(OR(H2525="",P2525=""),"",INDEX('Students'!$B$2:$B$701,P2525))</f>
        <v/>
      </c>
      <c r="E2525">
        <f>IF(OR(H2525="",P2525=""),"",INDEX('Students'!$C$2:$C$701,P2525))</f>
        <v/>
      </c>
      <c r="F2525" s="48">
        <f>IF(H2525="","",IF(ISNUMBER(O2525),O2525,J2525))</f>
        <v/>
      </c>
      <c r="G2525">
        <f>IF(H2525="","","OneCause")</f>
        <v/>
      </c>
      <c r="H2525">
        <f>IF(AND(I2525="",J2525="",K2525=""),"",IF(NOT(ISNUMBER(O2525)),"Bad amount",IF(O2525&lt;0,"Refund (not counted)",IF(O2525=0,"Zero amount",IF(NOT(ISNUMBER(N2525)),"Bad date",IF(P2525="","NAME NOT ON ROSTER",IF(L2525="","OK",IF(MATCH(L2525,$L$2:$L$3001,0)&lt;ROW()-1,"Duplicate (ignored)","OK"))))))))</f>
        <v/>
      </c>
      <c r="I2525">
        <f>IF(OC_Date=0,"",IF(INDEX('OneCause_Paste'!$A$2525:$AZ$2525,1,OC_Date)="","",INDEX('OneCause_Paste'!$A$2525:$AZ$2525,1,OC_Date)))</f>
        <v/>
      </c>
      <c r="J2525">
        <f>IF(OC_Amt=0,"",IF(INDEX('OneCause_Paste'!$A$2525:$AZ$2525,1,OC_Amt)="","",INDEX('OneCause_Paste'!$A$2525:$AZ$2525,1,OC_Amt)))</f>
        <v/>
      </c>
      <c r="K2525">
        <f>IF(OC_Name=0,"",IF(INDEX('OneCause_Paste'!$A$2525:$AZ$2525,1,OC_Name)="","",INDEX('OneCause_Paste'!$A$2525:$AZ$2525,1,OC_Name)))</f>
        <v/>
      </c>
      <c r="L2525">
        <f>IF(OC_Txn=0,"",IF(INDEX('OneCause_Paste'!$A$2525:$AZ$2525,1,OC_Txn)="","",INDEX('OneCause_Paste'!$A$2525:$AZ$2525,1,OC_Txn)))</f>
        <v/>
      </c>
      <c r="M2525">
        <f>IF(OC_Pay=0,"",IF(INDEX('OneCause_Paste'!$A$2525:$AZ$2525,1,OC_Pay)="","",INDEX('OneCause_Paste'!$A$2525:$AZ$2525,1,OC_Pay)))</f>
        <v/>
      </c>
      <c r="N2525">
        <f>IF(I2525="","",IF(ISNUMBER(I2525),INT(I2525),IFERROR(INT(DATEVALUE(I2525)),IFERROR(INT(VALUE(I2525)),"bad"))))</f>
        <v/>
      </c>
      <c r="O2525">
        <f>IF(J2525="","",IF(ISNUMBER(J2525),ROUND(J2525,2),IFERROR(ROUND(VALUE(SUBSTITUTE(SUBSTITUTE(SUBSTITUTE(J2525,"$",""),",","")," ","")),2),"bad")))</f>
        <v/>
      </c>
      <c r="P2525">
        <f>IF(TRIM(K2525)="","",IFERROR(MATCH(LOWER(TRIM(K2525)),'Students'!$AH$2:$AH$701,0),IFERROR(MATCH(LOWER(TRIM(K2525)),'Students'!$AF$2:$AF$701,0),IFERROR(MATCH(LOWER(TRIM(K2525)),'Students'!$AG$2:$AG$701,0),""))))</f>
        <v/>
      </c>
      <c r="R2525">
        <f>IF(P2525="","",INDEX('Students'!$AD$2:$AD$701,P2525))</f>
        <v/>
      </c>
      <c r="S2525">
        <f>IF(H2525="OK",O2525,0)</f>
        <v/>
      </c>
      <c r="T2525">
        <f>IF(H2525="OK",N2525,"")</f>
        <v/>
      </c>
      <c r="U2525">
        <f>IF(OC_Donor=0,"",IF(INDEX('OneCause_Paste'!$A$2525:$AZ$2525,1,OC_Donor)="","",INDEX('OneCause_Paste'!$A$2525:$AZ$2525,1,OC_Donor)))</f>
        <v/>
      </c>
    </row>
    <row r="2526">
      <c r="A2526" s="62">
        <f>IF(H2526="","",IF(ISNUMBER(N2526),N2526,I2526))</f>
        <v/>
      </c>
      <c r="B2526">
        <f>IF(H2526="","",U2526)</f>
        <v/>
      </c>
      <c r="C2526">
        <f>IF(H2526="","",IF(P2526="",K2526,INDEX('Students'!$A$2:$A$701,P2526)))</f>
        <v/>
      </c>
      <c r="D2526">
        <f>IF(OR(H2526="",P2526=""),"",INDEX('Students'!$B$2:$B$701,P2526))</f>
        <v/>
      </c>
      <c r="E2526">
        <f>IF(OR(H2526="",P2526=""),"",INDEX('Students'!$C$2:$C$701,P2526))</f>
        <v/>
      </c>
      <c r="F2526" s="48">
        <f>IF(H2526="","",IF(ISNUMBER(O2526),O2526,J2526))</f>
        <v/>
      </c>
      <c r="G2526">
        <f>IF(H2526="","","OneCause")</f>
        <v/>
      </c>
      <c r="H2526">
        <f>IF(AND(I2526="",J2526="",K2526=""),"",IF(NOT(ISNUMBER(O2526)),"Bad amount",IF(O2526&lt;0,"Refund (not counted)",IF(O2526=0,"Zero amount",IF(NOT(ISNUMBER(N2526)),"Bad date",IF(P2526="","NAME NOT ON ROSTER",IF(L2526="","OK",IF(MATCH(L2526,$L$2:$L$3001,0)&lt;ROW()-1,"Duplicate (ignored)","OK"))))))))</f>
        <v/>
      </c>
      <c r="I2526">
        <f>IF(OC_Date=0,"",IF(INDEX('OneCause_Paste'!$A$2526:$AZ$2526,1,OC_Date)="","",INDEX('OneCause_Paste'!$A$2526:$AZ$2526,1,OC_Date)))</f>
        <v/>
      </c>
      <c r="J2526">
        <f>IF(OC_Amt=0,"",IF(INDEX('OneCause_Paste'!$A$2526:$AZ$2526,1,OC_Amt)="","",INDEX('OneCause_Paste'!$A$2526:$AZ$2526,1,OC_Amt)))</f>
        <v/>
      </c>
      <c r="K2526">
        <f>IF(OC_Name=0,"",IF(INDEX('OneCause_Paste'!$A$2526:$AZ$2526,1,OC_Name)="","",INDEX('OneCause_Paste'!$A$2526:$AZ$2526,1,OC_Name)))</f>
        <v/>
      </c>
      <c r="L2526">
        <f>IF(OC_Txn=0,"",IF(INDEX('OneCause_Paste'!$A$2526:$AZ$2526,1,OC_Txn)="","",INDEX('OneCause_Paste'!$A$2526:$AZ$2526,1,OC_Txn)))</f>
        <v/>
      </c>
      <c r="M2526">
        <f>IF(OC_Pay=0,"",IF(INDEX('OneCause_Paste'!$A$2526:$AZ$2526,1,OC_Pay)="","",INDEX('OneCause_Paste'!$A$2526:$AZ$2526,1,OC_Pay)))</f>
        <v/>
      </c>
      <c r="N2526">
        <f>IF(I2526="","",IF(ISNUMBER(I2526),INT(I2526),IFERROR(INT(DATEVALUE(I2526)),IFERROR(INT(VALUE(I2526)),"bad"))))</f>
        <v/>
      </c>
      <c r="O2526">
        <f>IF(J2526="","",IF(ISNUMBER(J2526),ROUND(J2526,2),IFERROR(ROUND(VALUE(SUBSTITUTE(SUBSTITUTE(SUBSTITUTE(J2526,"$",""),",","")," ","")),2),"bad")))</f>
        <v/>
      </c>
      <c r="P2526">
        <f>IF(TRIM(K2526)="","",IFERROR(MATCH(LOWER(TRIM(K2526)),'Students'!$AH$2:$AH$701,0),IFERROR(MATCH(LOWER(TRIM(K2526)),'Students'!$AF$2:$AF$701,0),IFERROR(MATCH(LOWER(TRIM(K2526)),'Students'!$AG$2:$AG$701,0),""))))</f>
        <v/>
      </c>
      <c r="R2526">
        <f>IF(P2526="","",INDEX('Students'!$AD$2:$AD$701,P2526))</f>
        <v/>
      </c>
      <c r="S2526">
        <f>IF(H2526="OK",O2526,0)</f>
        <v/>
      </c>
      <c r="T2526">
        <f>IF(H2526="OK",N2526,"")</f>
        <v/>
      </c>
      <c r="U2526">
        <f>IF(OC_Donor=0,"",IF(INDEX('OneCause_Paste'!$A$2526:$AZ$2526,1,OC_Donor)="","",INDEX('OneCause_Paste'!$A$2526:$AZ$2526,1,OC_Donor)))</f>
        <v/>
      </c>
    </row>
    <row r="2527">
      <c r="A2527" s="62">
        <f>IF(H2527="","",IF(ISNUMBER(N2527),N2527,I2527))</f>
        <v/>
      </c>
      <c r="B2527">
        <f>IF(H2527="","",U2527)</f>
        <v/>
      </c>
      <c r="C2527">
        <f>IF(H2527="","",IF(P2527="",K2527,INDEX('Students'!$A$2:$A$701,P2527)))</f>
        <v/>
      </c>
      <c r="D2527">
        <f>IF(OR(H2527="",P2527=""),"",INDEX('Students'!$B$2:$B$701,P2527))</f>
        <v/>
      </c>
      <c r="E2527">
        <f>IF(OR(H2527="",P2527=""),"",INDEX('Students'!$C$2:$C$701,P2527))</f>
        <v/>
      </c>
      <c r="F2527" s="48">
        <f>IF(H2527="","",IF(ISNUMBER(O2527),O2527,J2527))</f>
        <v/>
      </c>
      <c r="G2527">
        <f>IF(H2527="","","OneCause")</f>
        <v/>
      </c>
      <c r="H2527">
        <f>IF(AND(I2527="",J2527="",K2527=""),"",IF(NOT(ISNUMBER(O2527)),"Bad amount",IF(O2527&lt;0,"Refund (not counted)",IF(O2527=0,"Zero amount",IF(NOT(ISNUMBER(N2527)),"Bad date",IF(P2527="","NAME NOT ON ROSTER",IF(L2527="","OK",IF(MATCH(L2527,$L$2:$L$3001,0)&lt;ROW()-1,"Duplicate (ignored)","OK"))))))))</f>
        <v/>
      </c>
      <c r="I2527">
        <f>IF(OC_Date=0,"",IF(INDEX('OneCause_Paste'!$A$2527:$AZ$2527,1,OC_Date)="","",INDEX('OneCause_Paste'!$A$2527:$AZ$2527,1,OC_Date)))</f>
        <v/>
      </c>
      <c r="J2527">
        <f>IF(OC_Amt=0,"",IF(INDEX('OneCause_Paste'!$A$2527:$AZ$2527,1,OC_Amt)="","",INDEX('OneCause_Paste'!$A$2527:$AZ$2527,1,OC_Amt)))</f>
        <v/>
      </c>
      <c r="K2527">
        <f>IF(OC_Name=0,"",IF(INDEX('OneCause_Paste'!$A$2527:$AZ$2527,1,OC_Name)="","",INDEX('OneCause_Paste'!$A$2527:$AZ$2527,1,OC_Name)))</f>
        <v/>
      </c>
      <c r="L2527">
        <f>IF(OC_Txn=0,"",IF(INDEX('OneCause_Paste'!$A$2527:$AZ$2527,1,OC_Txn)="","",INDEX('OneCause_Paste'!$A$2527:$AZ$2527,1,OC_Txn)))</f>
        <v/>
      </c>
      <c r="M2527">
        <f>IF(OC_Pay=0,"",IF(INDEX('OneCause_Paste'!$A$2527:$AZ$2527,1,OC_Pay)="","",INDEX('OneCause_Paste'!$A$2527:$AZ$2527,1,OC_Pay)))</f>
        <v/>
      </c>
      <c r="N2527">
        <f>IF(I2527="","",IF(ISNUMBER(I2527),INT(I2527),IFERROR(INT(DATEVALUE(I2527)),IFERROR(INT(VALUE(I2527)),"bad"))))</f>
        <v/>
      </c>
      <c r="O2527">
        <f>IF(J2527="","",IF(ISNUMBER(J2527),ROUND(J2527,2),IFERROR(ROUND(VALUE(SUBSTITUTE(SUBSTITUTE(SUBSTITUTE(J2527,"$",""),",","")," ","")),2),"bad")))</f>
        <v/>
      </c>
      <c r="P2527">
        <f>IF(TRIM(K2527)="","",IFERROR(MATCH(LOWER(TRIM(K2527)),'Students'!$AH$2:$AH$701,0),IFERROR(MATCH(LOWER(TRIM(K2527)),'Students'!$AF$2:$AF$701,0),IFERROR(MATCH(LOWER(TRIM(K2527)),'Students'!$AG$2:$AG$701,0),""))))</f>
        <v/>
      </c>
      <c r="R2527">
        <f>IF(P2527="","",INDEX('Students'!$AD$2:$AD$701,P2527))</f>
        <v/>
      </c>
      <c r="S2527">
        <f>IF(H2527="OK",O2527,0)</f>
        <v/>
      </c>
      <c r="T2527">
        <f>IF(H2527="OK",N2527,"")</f>
        <v/>
      </c>
      <c r="U2527">
        <f>IF(OC_Donor=0,"",IF(INDEX('OneCause_Paste'!$A$2527:$AZ$2527,1,OC_Donor)="","",INDEX('OneCause_Paste'!$A$2527:$AZ$2527,1,OC_Donor)))</f>
        <v/>
      </c>
    </row>
    <row r="2528">
      <c r="A2528" s="62">
        <f>IF(H2528="","",IF(ISNUMBER(N2528),N2528,I2528))</f>
        <v/>
      </c>
      <c r="B2528">
        <f>IF(H2528="","",U2528)</f>
        <v/>
      </c>
      <c r="C2528">
        <f>IF(H2528="","",IF(P2528="",K2528,INDEX('Students'!$A$2:$A$701,P2528)))</f>
        <v/>
      </c>
      <c r="D2528">
        <f>IF(OR(H2528="",P2528=""),"",INDEX('Students'!$B$2:$B$701,P2528))</f>
        <v/>
      </c>
      <c r="E2528">
        <f>IF(OR(H2528="",P2528=""),"",INDEX('Students'!$C$2:$C$701,P2528))</f>
        <v/>
      </c>
      <c r="F2528" s="48">
        <f>IF(H2528="","",IF(ISNUMBER(O2528),O2528,J2528))</f>
        <v/>
      </c>
      <c r="G2528">
        <f>IF(H2528="","","OneCause")</f>
        <v/>
      </c>
      <c r="H2528">
        <f>IF(AND(I2528="",J2528="",K2528=""),"",IF(NOT(ISNUMBER(O2528)),"Bad amount",IF(O2528&lt;0,"Refund (not counted)",IF(O2528=0,"Zero amount",IF(NOT(ISNUMBER(N2528)),"Bad date",IF(P2528="","NAME NOT ON ROSTER",IF(L2528="","OK",IF(MATCH(L2528,$L$2:$L$3001,0)&lt;ROW()-1,"Duplicate (ignored)","OK"))))))))</f>
        <v/>
      </c>
      <c r="I2528">
        <f>IF(OC_Date=0,"",IF(INDEX('OneCause_Paste'!$A$2528:$AZ$2528,1,OC_Date)="","",INDEX('OneCause_Paste'!$A$2528:$AZ$2528,1,OC_Date)))</f>
        <v/>
      </c>
      <c r="J2528">
        <f>IF(OC_Amt=0,"",IF(INDEX('OneCause_Paste'!$A$2528:$AZ$2528,1,OC_Amt)="","",INDEX('OneCause_Paste'!$A$2528:$AZ$2528,1,OC_Amt)))</f>
        <v/>
      </c>
      <c r="K2528">
        <f>IF(OC_Name=0,"",IF(INDEX('OneCause_Paste'!$A$2528:$AZ$2528,1,OC_Name)="","",INDEX('OneCause_Paste'!$A$2528:$AZ$2528,1,OC_Name)))</f>
        <v/>
      </c>
      <c r="L2528">
        <f>IF(OC_Txn=0,"",IF(INDEX('OneCause_Paste'!$A$2528:$AZ$2528,1,OC_Txn)="","",INDEX('OneCause_Paste'!$A$2528:$AZ$2528,1,OC_Txn)))</f>
        <v/>
      </c>
      <c r="M2528">
        <f>IF(OC_Pay=0,"",IF(INDEX('OneCause_Paste'!$A$2528:$AZ$2528,1,OC_Pay)="","",INDEX('OneCause_Paste'!$A$2528:$AZ$2528,1,OC_Pay)))</f>
        <v/>
      </c>
      <c r="N2528">
        <f>IF(I2528="","",IF(ISNUMBER(I2528),INT(I2528),IFERROR(INT(DATEVALUE(I2528)),IFERROR(INT(VALUE(I2528)),"bad"))))</f>
        <v/>
      </c>
      <c r="O2528">
        <f>IF(J2528="","",IF(ISNUMBER(J2528),ROUND(J2528,2),IFERROR(ROUND(VALUE(SUBSTITUTE(SUBSTITUTE(SUBSTITUTE(J2528,"$",""),",","")," ","")),2),"bad")))</f>
        <v/>
      </c>
      <c r="P2528">
        <f>IF(TRIM(K2528)="","",IFERROR(MATCH(LOWER(TRIM(K2528)),'Students'!$AH$2:$AH$701,0),IFERROR(MATCH(LOWER(TRIM(K2528)),'Students'!$AF$2:$AF$701,0),IFERROR(MATCH(LOWER(TRIM(K2528)),'Students'!$AG$2:$AG$701,0),""))))</f>
        <v/>
      </c>
      <c r="R2528">
        <f>IF(P2528="","",INDEX('Students'!$AD$2:$AD$701,P2528))</f>
        <v/>
      </c>
      <c r="S2528">
        <f>IF(H2528="OK",O2528,0)</f>
        <v/>
      </c>
      <c r="T2528">
        <f>IF(H2528="OK",N2528,"")</f>
        <v/>
      </c>
      <c r="U2528">
        <f>IF(OC_Donor=0,"",IF(INDEX('OneCause_Paste'!$A$2528:$AZ$2528,1,OC_Donor)="","",INDEX('OneCause_Paste'!$A$2528:$AZ$2528,1,OC_Donor)))</f>
        <v/>
      </c>
    </row>
    <row r="2529">
      <c r="A2529" s="62">
        <f>IF(H2529="","",IF(ISNUMBER(N2529),N2529,I2529))</f>
        <v/>
      </c>
      <c r="B2529">
        <f>IF(H2529="","",U2529)</f>
        <v/>
      </c>
      <c r="C2529">
        <f>IF(H2529="","",IF(P2529="",K2529,INDEX('Students'!$A$2:$A$701,P2529)))</f>
        <v/>
      </c>
      <c r="D2529">
        <f>IF(OR(H2529="",P2529=""),"",INDEX('Students'!$B$2:$B$701,P2529))</f>
        <v/>
      </c>
      <c r="E2529">
        <f>IF(OR(H2529="",P2529=""),"",INDEX('Students'!$C$2:$C$701,P2529))</f>
        <v/>
      </c>
      <c r="F2529" s="48">
        <f>IF(H2529="","",IF(ISNUMBER(O2529),O2529,J2529))</f>
        <v/>
      </c>
      <c r="G2529">
        <f>IF(H2529="","","OneCause")</f>
        <v/>
      </c>
      <c r="H2529">
        <f>IF(AND(I2529="",J2529="",K2529=""),"",IF(NOT(ISNUMBER(O2529)),"Bad amount",IF(O2529&lt;0,"Refund (not counted)",IF(O2529=0,"Zero amount",IF(NOT(ISNUMBER(N2529)),"Bad date",IF(P2529="","NAME NOT ON ROSTER",IF(L2529="","OK",IF(MATCH(L2529,$L$2:$L$3001,0)&lt;ROW()-1,"Duplicate (ignored)","OK"))))))))</f>
        <v/>
      </c>
      <c r="I2529">
        <f>IF(OC_Date=0,"",IF(INDEX('OneCause_Paste'!$A$2529:$AZ$2529,1,OC_Date)="","",INDEX('OneCause_Paste'!$A$2529:$AZ$2529,1,OC_Date)))</f>
        <v/>
      </c>
      <c r="J2529">
        <f>IF(OC_Amt=0,"",IF(INDEX('OneCause_Paste'!$A$2529:$AZ$2529,1,OC_Amt)="","",INDEX('OneCause_Paste'!$A$2529:$AZ$2529,1,OC_Amt)))</f>
        <v/>
      </c>
      <c r="K2529">
        <f>IF(OC_Name=0,"",IF(INDEX('OneCause_Paste'!$A$2529:$AZ$2529,1,OC_Name)="","",INDEX('OneCause_Paste'!$A$2529:$AZ$2529,1,OC_Name)))</f>
        <v/>
      </c>
      <c r="L2529">
        <f>IF(OC_Txn=0,"",IF(INDEX('OneCause_Paste'!$A$2529:$AZ$2529,1,OC_Txn)="","",INDEX('OneCause_Paste'!$A$2529:$AZ$2529,1,OC_Txn)))</f>
        <v/>
      </c>
      <c r="M2529">
        <f>IF(OC_Pay=0,"",IF(INDEX('OneCause_Paste'!$A$2529:$AZ$2529,1,OC_Pay)="","",INDEX('OneCause_Paste'!$A$2529:$AZ$2529,1,OC_Pay)))</f>
        <v/>
      </c>
      <c r="N2529">
        <f>IF(I2529="","",IF(ISNUMBER(I2529),INT(I2529),IFERROR(INT(DATEVALUE(I2529)),IFERROR(INT(VALUE(I2529)),"bad"))))</f>
        <v/>
      </c>
      <c r="O2529">
        <f>IF(J2529="","",IF(ISNUMBER(J2529),ROUND(J2529,2),IFERROR(ROUND(VALUE(SUBSTITUTE(SUBSTITUTE(SUBSTITUTE(J2529,"$",""),",","")," ","")),2),"bad")))</f>
        <v/>
      </c>
      <c r="P2529">
        <f>IF(TRIM(K2529)="","",IFERROR(MATCH(LOWER(TRIM(K2529)),'Students'!$AH$2:$AH$701,0),IFERROR(MATCH(LOWER(TRIM(K2529)),'Students'!$AF$2:$AF$701,0),IFERROR(MATCH(LOWER(TRIM(K2529)),'Students'!$AG$2:$AG$701,0),""))))</f>
        <v/>
      </c>
      <c r="R2529">
        <f>IF(P2529="","",INDEX('Students'!$AD$2:$AD$701,P2529))</f>
        <v/>
      </c>
      <c r="S2529">
        <f>IF(H2529="OK",O2529,0)</f>
        <v/>
      </c>
      <c r="T2529">
        <f>IF(H2529="OK",N2529,"")</f>
        <v/>
      </c>
      <c r="U2529">
        <f>IF(OC_Donor=0,"",IF(INDEX('OneCause_Paste'!$A$2529:$AZ$2529,1,OC_Donor)="","",INDEX('OneCause_Paste'!$A$2529:$AZ$2529,1,OC_Donor)))</f>
        <v/>
      </c>
    </row>
    <row r="2530">
      <c r="A2530" s="62">
        <f>IF(H2530="","",IF(ISNUMBER(N2530),N2530,I2530))</f>
        <v/>
      </c>
      <c r="B2530">
        <f>IF(H2530="","",U2530)</f>
        <v/>
      </c>
      <c r="C2530">
        <f>IF(H2530="","",IF(P2530="",K2530,INDEX('Students'!$A$2:$A$701,P2530)))</f>
        <v/>
      </c>
      <c r="D2530">
        <f>IF(OR(H2530="",P2530=""),"",INDEX('Students'!$B$2:$B$701,P2530))</f>
        <v/>
      </c>
      <c r="E2530">
        <f>IF(OR(H2530="",P2530=""),"",INDEX('Students'!$C$2:$C$701,P2530))</f>
        <v/>
      </c>
      <c r="F2530" s="48">
        <f>IF(H2530="","",IF(ISNUMBER(O2530),O2530,J2530))</f>
        <v/>
      </c>
      <c r="G2530">
        <f>IF(H2530="","","OneCause")</f>
        <v/>
      </c>
      <c r="H2530">
        <f>IF(AND(I2530="",J2530="",K2530=""),"",IF(NOT(ISNUMBER(O2530)),"Bad amount",IF(O2530&lt;0,"Refund (not counted)",IF(O2530=0,"Zero amount",IF(NOT(ISNUMBER(N2530)),"Bad date",IF(P2530="","NAME NOT ON ROSTER",IF(L2530="","OK",IF(MATCH(L2530,$L$2:$L$3001,0)&lt;ROW()-1,"Duplicate (ignored)","OK"))))))))</f>
        <v/>
      </c>
      <c r="I2530">
        <f>IF(OC_Date=0,"",IF(INDEX('OneCause_Paste'!$A$2530:$AZ$2530,1,OC_Date)="","",INDEX('OneCause_Paste'!$A$2530:$AZ$2530,1,OC_Date)))</f>
        <v/>
      </c>
      <c r="J2530">
        <f>IF(OC_Amt=0,"",IF(INDEX('OneCause_Paste'!$A$2530:$AZ$2530,1,OC_Amt)="","",INDEX('OneCause_Paste'!$A$2530:$AZ$2530,1,OC_Amt)))</f>
        <v/>
      </c>
      <c r="K2530">
        <f>IF(OC_Name=0,"",IF(INDEX('OneCause_Paste'!$A$2530:$AZ$2530,1,OC_Name)="","",INDEX('OneCause_Paste'!$A$2530:$AZ$2530,1,OC_Name)))</f>
        <v/>
      </c>
      <c r="L2530">
        <f>IF(OC_Txn=0,"",IF(INDEX('OneCause_Paste'!$A$2530:$AZ$2530,1,OC_Txn)="","",INDEX('OneCause_Paste'!$A$2530:$AZ$2530,1,OC_Txn)))</f>
        <v/>
      </c>
      <c r="M2530">
        <f>IF(OC_Pay=0,"",IF(INDEX('OneCause_Paste'!$A$2530:$AZ$2530,1,OC_Pay)="","",INDEX('OneCause_Paste'!$A$2530:$AZ$2530,1,OC_Pay)))</f>
        <v/>
      </c>
      <c r="N2530">
        <f>IF(I2530="","",IF(ISNUMBER(I2530),INT(I2530),IFERROR(INT(DATEVALUE(I2530)),IFERROR(INT(VALUE(I2530)),"bad"))))</f>
        <v/>
      </c>
      <c r="O2530">
        <f>IF(J2530="","",IF(ISNUMBER(J2530),ROUND(J2530,2),IFERROR(ROUND(VALUE(SUBSTITUTE(SUBSTITUTE(SUBSTITUTE(J2530,"$",""),",","")," ","")),2),"bad")))</f>
        <v/>
      </c>
      <c r="P2530">
        <f>IF(TRIM(K2530)="","",IFERROR(MATCH(LOWER(TRIM(K2530)),'Students'!$AH$2:$AH$701,0),IFERROR(MATCH(LOWER(TRIM(K2530)),'Students'!$AF$2:$AF$701,0),IFERROR(MATCH(LOWER(TRIM(K2530)),'Students'!$AG$2:$AG$701,0),""))))</f>
        <v/>
      </c>
      <c r="R2530">
        <f>IF(P2530="","",INDEX('Students'!$AD$2:$AD$701,P2530))</f>
        <v/>
      </c>
      <c r="S2530">
        <f>IF(H2530="OK",O2530,0)</f>
        <v/>
      </c>
      <c r="T2530">
        <f>IF(H2530="OK",N2530,"")</f>
        <v/>
      </c>
      <c r="U2530">
        <f>IF(OC_Donor=0,"",IF(INDEX('OneCause_Paste'!$A$2530:$AZ$2530,1,OC_Donor)="","",INDEX('OneCause_Paste'!$A$2530:$AZ$2530,1,OC_Donor)))</f>
        <v/>
      </c>
    </row>
    <row r="2531">
      <c r="A2531" s="62">
        <f>IF(H2531="","",IF(ISNUMBER(N2531),N2531,I2531))</f>
        <v/>
      </c>
      <c r="B2531">
        <f>IF(H2531="","",U2531)</f>
        <v/>
      </c>
      <c r="C2531">
        <f>IF(H2531="","",IF(P2531="",K2531,INDEX('Students'!$A$2:$A$701,P2531)))</f>
        <v/>
      </c>
      <c r="D2531">
        <f>IF(OR(H2531="",P2531=""),"",INDEX('Students'!$B$2:$B$701,P2531))</f>
        <v/>
      </c>
      <c r="E2531">
        <f>IF(OR(H2531="",P2531=""),"",INDEX('Students'!$C$2:$C$701,P2531))</f>
        <v/>
      </c>
      <c r="F2531" s="48">
        <f>IF(H2531="","",IF(ISNUMBER(O2531),O2531,J2531))</f>
        <v/>
      </c>
      <c r="G2531">
        <f>IF(H2531="","","OneCause")</f>
        <v/>
      </c>
      <c r="H2531">
        <f>IF(AND(I2531="",J2531="",K2531=""),"",IF(NOT(ISNUMBER(O2531)),"Bad amount",IF(O2531&lt;0,"Refund (not counted)",IF(O2531=0,"Zero amount",IF(NOT(ISNUMBER(N2531)),"Bad date",IF(P2531="","NAME NOT ON ROSTER",IF(L2531="","OK",IF(MATCH(L2531,$L$2:$L$3001,0)&lt;ROW()-1,"Duplicate (ignored)","OK"))))))))</f>
        <v/>
      </c>
      <c r="I2531">
        <f>IF(OC_Date=0,"",IF(INDEX('OneCause_Paste'!$A$2531:$AZ$2531,1,OC_Date)="","",INDEX('OneCause_Paste'!$A$2531:$AZ$2531,1,OC_Date)))</f>
        <v/>
      </c>
      <c r="J2531">
        <f>IF(OC_Amt=0,"",IF(INDEX('OneCause_Paste'!$A$2531:$AZ$2531,1,OC_Amt)="","",INDEX('OneCause_Paste'!$A$2531:$AZ$2531,1,OC_Amt)))</f>
        <v/>
      </c>
      <c r="K2531">
        <f>IF(OC_Name=0,"",IF(INDEX('OneCause_Paste'!$A$2531:$AZ$2531,1,OC_Name)="","",INDEX('OneCause_Paste'!$A$2531:$AZ$2531,1,OC_Name)))</f>
        <v/>
      </c>
      <c r="L2531">
        <f>IF(OC_Txn=0,"",IF(INDEX('OneCause_Paste'!$A$2531:$AZ$2531,1,OC_Txn)="","",INDEX('OneCause_Paste'!$A$2531:$AZ$2531,1,OC_Txn)))</f>
        <v/>
      </c>
      <c r="M2531">
        <f>IF(OC_Pay=0,"",IF(INDEX('OneCause_Paste'!$A$2531:$AZ$2531,1,OC_Pay)="","",INDEX('OneCause_Paste'!$A$2531:$AZ$2531,1,OC_Pay)))</f>
        <v/>
      </c>
      <c r="N2531">
        <f>IF(I2531="","",IF(ISNUMBER(I2531),INT(I2531),IFERROR(INT(DATEVALUE(I2531)),IFERROR(INT(VALUE(I2531)),"bad"))))</f>
        <v/>
      </c>
      <c r="O2531">
        <f>IF(J2531="","",IF(ISNUMBER(J2531),ROUND(J2531,2),IFERROR(ROUND(VALUE(SUBSTITUTE(SUBSTITUTE(SUBSTITUTE(J2531,"$",""),",","")," ","")),2),"bad")))</f>
        <v/>
      </c>
      <c r="P2531">
        <f>IF(TRIM(K2531)="","",IFERROR(MATCH(LOWER(TRIM(K2531)),'Students'!$AH$2:$AH$701,0),IFERROR(MATCH(LOWER(TRIM(K2531)),'Students'!$AF$2:$AF$701,0),IFERROR(MATCH(LOWER(TRIM(K2531)),'Students'!$AG$2:$AG$701,0),""))))</f>
        <v/>
      </c>
      <c r="R2531">
        <f>IF(P2531="","",INDEX('Students'!$AD$2:$AD$701,P2531))</f>
        <v/>
      </c>
      <c r="S2531">
        <f>IF(H2531="OK",O2531,0)</f>
        <v/>
      </c>
      <c r="T2531">
        <f>IF(H2531="OK",N2531,"")</f>
        <v/>
      </c>
      <c r="U2531">
        <f>IF(OC_Donor=0,"",IF(INDEX('OneCause_Paste'!$A$2531:$AZ$2531,1,OC_Donor)="","",INDEX('OneCause_Paste'!$A$2531:$AZ$2531,1,OC_Donor)))</f>
        <v/>
      </c>
    </row>
    <row r="2532">
      <c r="A2532" s="62">
        <f>IF(H2532="","",IF(ISNUMBER(N2532),N2532,I2532))</f>
        <v/>
      </c>
      <c r="B2532">
        <f>IF(H2532="","",U2532)</f>
        <v/>
      </c>
      <c r="C2532">
        <f>IF(H2532="","",IF(P2532="",K2532,INDEX('Students'!$A$2:$A$701,P2532)))</f>
        <v/>
      </c>
      <c r="D2532">
        <f>IF(OR(H2532="",P2532=""),"",INDEX('Students'!$B$2:$B$701,P2532))</f>
        <v/>
      </c>
      <c r="E2532">
        <f>IF(OR(H2532="",P2532=""),"",INDEX('Students'!$C$2:$C$701,P2532))</f>
        <v/>
      </c>
      <c r="F2532" s="48">
        <f>IF(H2532="","",IF(ISNUMBER(O2532),O2532,J2532))</f>
        <v/>
      </c>
      <c r="G2532">
        <f>IF(H2532="","","OneCause")</f>
        <v/>
      </c>
      <c r="H2532">
        <f>IF(AND(I2532="",J2532="",K2532=""),"",IF(NOT(ISNUMBER(O2532)),"Bad amount",IF(O2532&lt;0,"Refund (not counted)",IF(O2532=0,"Zero amount",IF(NOT(ISNUMBER(N2532)),"Bad date",IF(P2532="","NAME NOT ON ROSTER",IF(L2532="","OK",IF(MATCH(L2532,$L$2:$L$3001,0)&lt;ROW()-1,"Duplicate (ignored)","OK"))))))))</f>
        <v/>
      </c>
      <c r="I2532">
        <f>IF(OC_Date=0,"",IF(INDEX('OneCause_Paste'!$A$2532:$AZ$2532,1,OC_Date)="","",INDEX('OneCause_Paste'!$A$2532:$AZ$2532,1,OC_Date)))</f>
        <v/>
      </c>
      <c r="J2532">
        <f>IF(OC_Amt=0,"",IF(INDEX('OneCause_Paste'!$A$2532:$AZ$2532,1,OC_Amt)="","",INDEX('OneCause_Paste'!$A$2532:$AZ$2532,1,OC_Amt)))</f>
        <v/>
      </c>
      <c r="K2532">
        <f>IF(OC_Name=0,"",IF(INDEX('OneCause_Paste'!$A$2532:$AZ$2532,1,OC_Name)="","",INDEX('OneCause_Paste'!$A$2532:$AZ$2532,1,OC_Name)))</f>
        <v/>
      </c>
      <c r="L2532">
        <f>IF(OC_Txn=0,"",IF(INDEX('OneCause_Paste'!$A$2532:$AZ$2532,1,OC_Txn)="","",INDEX('OneCause_Paste'!$A$2532:$AZ$2532,1,OC_Txn)))</f>
        <v/>
      </c>
      <c r="M2532">
        <f>IF(OC_Pay=0,"",IF(INDEX('OneCause_Paste'!$A$2532:$AZ$2532,1,OC_Pay)="","",INDEX('OneCause_Paste'!$A$2532:$AZ$2532,1,OC_Pay)))</f>
        <v/>
      </c>
      <c r="N2532">
        <f>IF(I2532="","",IF(ISNUMBER(I2532),INT(I2532),IFERROR(INT(DATEVALUE(I2532)),IFERROR(INT(VALUE(I2532)),"bad"))))</f>
        <v/>
      </c>
      <c r="O2532">
        <f>IF(J2532="","",IF(ISNUMBER(J2532),ROUND(J2532,2),IFERROR(ROUND(VALUE(SUBSTITUTE(SUBSTITUTE(SUBSTITUTE(J2532,"$",""),",","")," ","")),2),"bad")))</f>
        <v/>
      </c>
      <c r="P2532">
        <f>IF(TRIM(K2532)="","",IFERROR(MATCH(LOWER(TRIM(K2532)),'Students'!$AH$2:$AH$701,0),IFERROR(MATCH(LOWER(TRIM(K2532)),'Students'!$AF$2:$AF$701,0),IFERROR(MATCH(LOWER(TRIM(K2532)),'Students'!$AG$2:$AG$701,0),""))))</f>
        <v/>
      </c>
      <c r="R2532">
        <f>IF(P2532="","",INDEX('Students'!$AD$2:$AD$701,P2532))</f>
        <v/>
      </c>
      <c r="S2532">
        <f>IF(H2532="OK",O2532,0)</f>
        <v/>
      </c>
      <c r="T2532">
        <f>IF(H2532="OK",N2532,"")</f>
        <v/>
      </c>
      <c r="U2532">
        <f>IF(OC_Donor=0,"",IF(INDEX('OneCause_Paste'!$A$2532:$AZ$2532,1,OC_Donor)="","",INDEX('OneCause_Paste'!$A$2532:$AZ$2532,1,OC_Donor)))</f>
        <v/>
      </c>
    </row>
    <row r="2533">
      <c r="A2533" s="62">
        <f>IF(H2533="","",IF(ISNUMBER(N2533),N2533,I2533))</f>
        <v/>
      </c>
      <c r="B2533">
        <f>IF(H2533="","",U2533)</f>
        <v/>
      </c>
      <c r="C2533">
        <f>IF(H2533="","",IF(P2533="",K2533,INDEX('Students'!$A$2:$A$701,P2533)))</f>
        <v/>
      </c>
      <c r="D2533">
        <f>IF(OR(H2533="",P2533=""),"",INDEX('Students'!$B$2:$B$701,P2533))</f>
        <v/>
      </c>
      <c r="E2533">
        <f>IF(OR(H2533="",P2533=""),"",INDEX('Students'!$C$2:$C$701,P2533))</f>
        <v/>
      </c>
      <c r="F2533" s="48">
        <f>IF(H2533="","",IF(ISNUMBER(O2533),O2533,J2533))</f>
        <v/>
      </c>
      <c r="G2533">
        <f>IF(H2533="","","OneCause")</f>
        <v/>
      </c>
      <c r="H2533">
        <f>IF(AND(I2533="",J2533="",K2533=""),"",IF(NOT(ISNUMBER(O2533)),"Bad amount",IF(O2533&lt;0,"Refund (not counted)",IF(O2533=0,"Zero amount",IF(NOT(ISNUMBER(N2533)),"Bad date",IF(P2533="","NAME NOT ON ROSTER",IF(L2533="","OK",IF(MATCH(L2533,$L$2:$L$3001,0)&lt;ROW()-1,"Duplicate (ignored)","OK"))))))))</f>
        <v/>
      </c>
      <c r="I2533">
        <f>IF(OC_Date=0,"",IF(INDEX('OneCause_Paste'!$A$2533:$AZ$2533,1,OC_Date)="","",INDEX('OneCause_Paste'!$A$2533:$AZ$2533,1,OC_Date)))</f>
        <v/>
      </c>
      <c r="J2533">
        <f>IF(OC_Amt=0,"",IF(INDEX('OneCause_Paste'!$A$2533:$AZ$2533,1,OC_Amt)="","",INDEX('OneCause_Paste'!$A$2533:$AZ$2533,1,OC_Amt)))</f>
        <v/>
      </c>
      <c r="K2533">
        <f>IF(OC_Name=0,"",IF(INDEX('OneCause_Paste'!$A$2533:$AZ$2533,1,OC_Name)="","",INDEX('OneCause_Paste'!$A$2533:$AZ$2533,1,OC_Name)))</f>
        <v/>
      </c>
      <c r="L2533">
        <f>IF(OC_Txn=0,"",IF(INDEX('OneCause_Paste'!$A$2533:$AZ$2533,1,OC_Txn)="","",INDEX('OneCause_Paste'!$A$2533:$AZ$2533,1,OC_Txn)))</f>
        <v/>
      </c>
      <c r="M2533">
        <f>IF(OC_Pay=0,"",IF(INDEX('OneCause_Paste'!$A$2533:$AZ$2533,1,OC_Pay)="","",INDEX('OneCause_Paste'!$A$2533:$AZ$2533,1,OC_Pay)))</f>
        <v/>
      </c>
      <c r="N2533">
        <f>IF(I2533="","",IF(ISNUMBER(I2533),INT(I2533),IFERROR(INT(DATEVALUE(I2533)),IFERROR(INT(VALUE(I2533)),"bad"))))</f>
        <v/>
      </c>
      <c r="O2533">
        <f>IF(J2533="","",IF(ISNUMBER(J2533),ROUND(J2533,2),IFERROR(ROUND(VALUE(SUBSTITUTE(SUBSTITUTE(SUBSTITUTE(J2533,"$",""),",","")," ","")),2),"bad")))</f>
        <v/>
      </c>
      <c r="P2533">
        <f>IF(TRIM(K2533)="","",IFERROR(MATCH(LOWER(TRIM(K2533)),'Students'!$AH$2:$AH$701,0),IFERROR(MATCH(LOWER(TRIM(K2533)),'Students'!$AF$2:$AF$701,0),IFERROR(MATCH(LOWER(TRIM(K2533)),'Students'!$AG$2:$AG$701,0),""))))</f>
        <v/>
      </c>
      <c r="R2533">
        <f>IF(P2533="","",INDEX('Students'!$AD$2:$AD$701,P2533))</f>
        <v/>
      </c>
      <c r="S2533">
        <f>IF(H2533="OK",O2533,0)</f>
        <v/>
      </c>
      <c r="T2533">
        <f>IF(H2533="OK",N2533,"")</f>
        <v/>
      </c>
      <c r="U2533">
        <f>IF(OC_Donor=0,"",IF(INDEX('OneCause_Paste'!$A$2533:$AZ$2533,1,OC_Donor)="","",INDEX('OneCause_Paste'!$A$2533:$AZ$2533,1,OC_Donor)))</f>
        <v/>
      </c>
    </row>
    <row r="2534">
      <c r="A2534" s="62">
        <f>IF(H2534="","",IF(ISNUMBER(N2534),N2534,I2534))</f>
        <v/>
      </c>
      <c r="B2534">
        <f>IF(H2534="","",U2534)</f>
        <v/>
      </c>
      <c r="C2534">
        <f>IF(H2534="","",IF(P2534="",K2534,INDEX('Students'!$A$2:$A$701,P2534)))</f>
        <v/>
      </c>
      <c r="D2534">
        <f>IF(OR(H2534="",P2534=""),"",INDEX('Students'!$B$2:$B$701,P2534))</f>
        <v/>
      </c>
      <c r="E2534">
        <f>IF(OR(H2534="",P2534=""),"",INDEX('Students'!$C$2:$C$701,P2534))</f>
        <v/>
      </c>
      <c r="F2534" s="48">
        <f>IF(H2534="","",IF(ISNUMBER(O2534),O2534,J2534))</f>
        <v/>
      </c>
      <c r="G2534">
        <f>IF(H2534="","","OneCause")</f>
        <v/>
      </c>
      <c r="H2534">
        <f>IF(AND(I2534="",J2534="",K2534=""),"",IF(NOT(ISNUMBER(O2534)),"Bad amount",IF(O2534&lt;0,"Refund (not counted)",IF(O2534=0,"Zero amount",IF(NOT(ISNUMBER(N2534)),"Bad date",IF(P2534="","NAME NOT ON ROSTER",IF(L2534="","OK",IF(MATCH(L2534,$L$2:$L$3001,0)&lt;ROW()-1,"Duplicate (ignored)","OK"))))))))</f>
        <v/>
      </c>
      <c r="I2534">
        <f>IF(OC_Date=0,"",IF(INDEX('OneCause_Paste'!$A$2534:$AZ$2534,1,OC_Date)="","",INDEX('OneCause_Paste'!$A$2534:$AZ$2534,1,OC_Date)))</f>
        <v/>
      </c>
      <c r="J2534">
        <f>IF(OC_Amt=0,"",IF(INDEX('OneCause_Paste'!$A$2534:$AZ$2534,1,OC_Amt)="","",INDEX('OneCause_Paste'!$A$2534:$AZ$2534,1,OC_Amt)))</f>
        <v/>
      </c>
      <c r="K2534">
        <f>IF(OC_Name=0,"",IF(INDEX('OneCause_Paste'!$A$2534:$AZ$2534,1,OC_Name)="","",INDEX('OneCause_Paste'!$A$2534:$AZ$2534,1,OC_Name)))</f>
        <v/>
      </c>
      <c r="L2534">
        <f>IF(OC_Txn=0,"",IF(INDEX('OneCause_Paste'!$A$2534:$AZ$2534,1,OC_Txn)="","",INDEX('OneCause_Paste'!$A$2534:$AZ$2534,1,OC_Txn)))</f>
        <v/>
      </c>
      <c r="M2534">
        <f>IF(OC_Pay=0,"",IF(INDEX('OneCause_Paste'!$A$2534:$AZ$2534,1,OC_Pay)="","",INDEX('OneCause_Paste'!$A$2534:$AZ$2534,1,OC_Pay)))</f>
        <v/>
      </c>
      <c r="N2534">
        <f>IF(I2534="","",IF(ISNUMBER(I2534),INT(I2534),IFERROR(INT(DATEVALUE(I2534)),IFERROR(INT(VALUE(I2534)),"bad"))))</f>
        <v/>
      </c>
      <c r="O2534">
        <f>IF(J2534="","",IF(ISNUMBER(J2534),ROUND(J2534,2),IFERROR(ROUND(VALUE(SUBSTITUTE(SUBSTITUTE(SUBSTITUTE(J2534,"$",""),",","")," ","")),2),"bad")))</f>
        <v/>
      </c>
      <c r="P2534">
        <f>IF(TRIM(K2534)="","",IFERROR(MATCH(LOWER(TRIM(K2534)),'Students'!$AH$2:$AH$701,0),IFERROR(MATCH(LOWER(TRIM(K2534)),'Students'!$AF$2:$AF$701,0),IFERROR(MATCH(LOWER(TRIM(K2534)),'Students'!$AG$2:$AG$701,0),""))))</f>
        <v/>
      </c>
      <c r="R2534">
        <f>IF(P2534="","",INDEX('Students'!$AD$2:$AD$701,P2534))</f>
        <v/>
      </c>
      <c r="S2534">
        <f>IF(H2534="OK",O2534,0)</f>
        <v/>
      </c>
      <c r="T2534">
        <f>IF(H2534="OK",N2534,"")</f>
        <v/>
      </c>
      <c r="U2534">
        <f>IF(OC_Donor=0,"",IF(INDEX('OneCause_Paste'!$A$2534:$AZ$2534,1,OC_Donor)="","",INDEX('OneCause_Paste'!$A$2534:$AZ$2534,1,OC_Donor)))</f>
        <v/>
      </c>
    </row>
    <row r="2535">
      <c r="A2535" s="62">
        <f>IF(H2535="","",IF(ISNUMBER(N2535),N2535,I2535))</f>
        <v/>
      </c>
      <c r="B2535">
        <f>IF(H2535="","",U2535)</f>
        <v/>
      </c>
      <c r="C2535">
        <f>IF(H2535="","",IF(P2535="",K2535,INDEX('Students'!$A$2:$A$701,P2535)))</f>
        <v/>
      </c>
      <c r="D2535">
        <f>IF(OR(H2535="",P2535=""),"",INDEX('Students'!$B$2:$B$701,P2535))</f>
        <v/>
      </c>
      <c r="E2535">
        <f>IF(OR(H2535="",P2535=""),"",INDEX('Students'!$C$2:$C$701,P2535))</f>
        <v/>
      </c>
      <c r="F2535" s="48">
        <f>IF(H2535="","",IF(ISNUMBER(O2535),O2535,J2535))</f>
        <v/>
      </c>
      <c r="G2535">
        <f>IF(H2535="","","OneCause")</f>
        <v/>
      </c>
      <c r="H2535">
        <f>IF(AND(I2535="",J2535="",K2535=""),"",IF(NOT(ISNUMBER(O2535)),"Bad amount",IF(O2535&lt;0,"Refund (not counted)",IF(O2535=0,"Zero amount",IF(NOT(ISNUMBER(N2535)),"Bad date",IF(P2535="","NAME NOT ON ROSTER",IF(L2535="","OK",IF(MATCH(L2535,$L$2:$L$3001,0)&lt;ROW()-1,"Duplicate (ignored)","OK"))))))))</f>
        <v/>
      </c>
      <c r="I2535">
        <f>IF(OC_Date=0,"",IF(INDEX('OneCause_Paste'!$A$2535:$AZ$2535,1,OC_Date)="","",INDEX('OneCause_Paste'!$A$2535:$AZ$2535,1,OC_Date)))</f>
        <v/>
      </c>
      <c r="J2535">
        <f>IF(OC_Amt=0,"",IF(INDEX('OneCause_Paste'!$A$2535:$AZ$2535,1,OC_Amt)="","",INDEX('OneCause_Paste'!$A$2535:$AZ$2535,1,OC_Amt)))</f>
        <v/>
      </c>
      <c r="K2535">
        <f>IF(OC_Name=0,"",IF(INDEX('OneCause_Paste'!$A$2535:$AZ$2535,1,OC_Name)="","",INDEX('OneCause_Paste'!$A$2535:$AZ$2535,1,OC_Name)))</f>
        <v/>
      </c>
      <c r="L2535">
        <f>IF(OC_Txn=0,"",IF(INDEX('OneCause_Paste'!$A$2535:$AZ$2535,1,OC_Txn)="","",INDEX('OneCause_Paste'!$A$2535:$AZ$2535,1,OC_Txn)))</f>
        <v/>
      </c>
      <c r="M2535">
        <f>IF(OC_Pay=0,"",IF(INDEX('OneCause_Paste'!$A$2535:$AZ$2535,1,OC_Pay)="","",INDEX('OneCause_Paste'!$A$2535:$AZ$2535,1,OC_Pay)))</f>
        <v/>
      </c>
      <c r="N2535">
        <f>IF(I2535="","",IF(ISNUMBER(I2535),INT(I2535),IFERROR(INT(DATEVALUE(I2535)),IFERROR(INT(VALUE(I2535)),"bad"))))</f>
        <v/>
      </c>
      <c r="O2535">
        <f>IF(J2535="","",IF(ISNUMBER(J2535),ROUND(J2535,2),IFERROR(ROUND(VALUE(SUBSTITUTE(SUBSTITUTE(SUBSTITUTE(J2535,"$",""),",","")," ","")),2),"bad")))</f>
        <v/>
      </c>
      <c r="P2535">
        <f>IF(TRIM(K2535)="","",IFERROR(MATCH(LOWER(TRIM(K2535)),'Students'!$AH$2:$AH$701,0),IFERROR(MATCH(LOWER(TRIM(K2535)),'Students'!$AF$2:$AF$701,0),IFERROR(MATCH(LOWER(TRIM(K2535)),'Students'!$AG$2:$AG$701,0),""))))</f>
        <v/>
      </c>
      <c r="R2535">
        <f>IF(P2535="","",INDEX('Students'!$AD$2:$AD$701,P2535))</f>
        <v/>
      </c>
      <c r="S2535">
        <f>IF(H2535="OK",O2535,0)</f>
        <v/>
      </c>
      <c r="T2535">
        <f>IF(H2535="OK",N2535,"")</f>
        <v/>
      </c>
      <c r="U2535">
        <f>IF(OC_Donor=0,"",IF(INDEX('OneCause_Paste'!$A$2535:$AZ$2535,1,OC_Donor)="","",INDEX('OneCause_Paste'!$A$2535:$AZ$2535,1,OC_Donor)))</f>
        <v/>
      </c>
    </row>
    <row r="2536">
      <c r="A2536" s="62">
        <f>IF(H2536="","",IF(ISNUMBER(N2536),N2536,I2536))</f>
        <v/>
      </c>
      <c r="B2536">
        <f>IF(H2536="","",U2536)</f>
        <v/>
      </c>
      <c r="C2536">
        <f>IF(H2536="","",IF(P2536="",K2536,INDEX('Students'!$A$2:$A$701,P2536)))</f>
        <v/>
      </c>
      <c r="D2536">
        <f>IF(OR(H2536="",P2536=""),"",INDEX('Students'!$B$2:$B$701,P2536))</f>
        <v/>
      </c>
      <c r="E2536">
        <f>IF(OR(H2536="",P2536=""),"",INDEX('Students'!$C$2:$C$701,P2536))</f>
        <v/>
      </c>
      <c r="F2536" s="48">
        <f>IF(H2536="","",IF(ISNUMBER(O2536),O2536,J2536))</f>
        <v/>
      </c>
      <c r="G2536">
        <f>IF(H2536="","","OneCause")</f>
        <v/>
      </c>
      <c r="H2536">
        <f>IF(AND(I2536="",J2536="",K2536=""),"",IF(NOT(ISNUMBER(O2536)),"Bad amount",IF(O2536&lt;0,"Refund (not counted)",IF(O2536=0,"Zero amount",IF(NOT(ISNUMBER(N2536)),"Bad date",IF(P2536="","NAME NOT ON ROSTER",IF(L2536="","OK",IF(MATCH(L2536,$L$2:$L$3001,0)&lt;ROW()-1,"Duplicate (ignored)","OK"))))))))</f>
        <v/>
      </c>
      <c r="I2536">
        <f>IF(OC_Date=0,"",IF(INDEX('OneCause_Paste'!$A$2536:$AZ$2536,1,OC_Date)="","",INDEX('OneCause_Paste'!$A$2536:$AZ$2536,1,OC_Date)))</f>
        <v/>
      </c>
      <c r="J2536">
        <f>IF(OC_Amt=0,"",IF(INDEX('OneCause_Paste'!$A$2536:$AZ$2536,1,OC_Amt)="","",INDEX('OneCause_Paste'!$A$2536:$AZ$2536,1,OC_Amt)))</f>
        <v/>
      </c>
      <c r="K2536">
        <f>IF(OC_Name=0,"",IF(INDEX('OneCause_Paste'!$A$2536:$AZ$2536,1,OC_Name)="","",INDEX('OneCause_Paste'!$A$2536:$AZ$2536,1,OC_Name)))</f>
        <v/>
      </c>
      <c r="L2536">
        <f>IF(OC_Txn=0,"",IF(INDEX('OneCause_Paste'!$A$2536:$AZ$2536,1,OC_Txn)="","",INDEX('OneCause_Paste'!$A$2536:$AZ$2536,1,OC_Txn)))</f>
        <v/>
      </c>
      <c r="M2536">
        <f>IF(OC_Pay=0,"",IF(INDEX('OneCause_Paste'!$A$2536:$AZ$2536,1,OC_Pay)="","",INDEX('OneCause_Paste'!$A$2536:$AZ$2536,1,OC_Pay)))</f>
        <v/>
      </c>
      <c r="N2536">
        <f>IF(I2536="","",IF(ISNUMBER(I2536),INT(I2536),IFERROR(INT(DATEVALUE(I2536)),IFERROR(INT(VALUE(I2536)),"bad"))))</f>
        <v/>
      </c>
      <c r="O2536">
        <f>IF(J2536="","",IF(ISNUMBER(J2536),ROUND(J2536,2),IFERROR(ROUND(VALUE(SUBSTITUTE(SUBSTITUTE(SUBSTITUTE(J2536,"$",""),",","")," ","")),2),"bad")))</f>
        <v/>
      </c>
      <c r="P2536">
        <f>IF(TRIM(K2536)="","",IFERROR(MATCH(LOWER(TRIM(K2536)),'Students'!$AH$2:$AH$701,0),IFERROR(MATCH(LOWER(TRIM(K2536)),'Students'!$AF$2:$AF$701,0),IFERROR(MATCH(LOWER(TRIM(K2536)),'Students'!$AG$2:$AG$701,0),""))))</f>
        <v/>
      </c>
      <c r="R2536">
        <f>IF(P2536="","",INDEX('Students'!$AD$2:$AD$701,P2536))</f>
        <v/>
      </c>
      <c r="S2536">
        <f>IF(H2536="OK",O2536,0)</f>
        <v/>
      </c>
      <c r="T2536">
        <f>IF(H2536="OK",N2536,"")</f>
        <v/>
      </c>
      <c r="U2536">
        <f>IF(OC_Donor=0,"",IF(INDEX('OneCause_Paste'!$A$2536:$AZ$2536,1,OC_Donor)="","",INDEX('OneCause_Paste'!$A$2536:$AZ$2536,1,OC_Donor)))</f>
        <v/>
      </c>
    </row>
    <row r="2537">
      <c r="A2537" s="62">
        <f>IF(H2537="","",IF(ISNUMBER(N2537),N2537,I2537))</f>
        <v/>
      </c>
      <c r="B2537">
        <f>IF(H2537="","",U2537)</f>
        <v/>
      </c>
      <c r="C2537">
        <f>IF(H2537="","",IF(P2537="",K2537,INDEX('Students'!$A$2:$A$701,P2537)))</f>
        <v/>
      </c>
      <c r="D2537">
        <f>IF(OR(H2537="",P2537=""),"",INDEX('Students'!$B$2:$B$701,P2537))</f>
        <v/>
      </c>
      <c r="E2537">
        <f>IF(OR(H2537="",P2537=""),"",INDEX('Students'!$C$2:$C$701,P2537))</f>
        <v/>
      </c>
      <c r="F2537" s="48">
        <f>IF(H2537="","",IF(ISNUMBER(O2537),O2537,J2537))</f>
        <v/>
      </c>
      <c r="G2537">
        <f>IF(H2537="","","OneCause")</f>
        <v/>
      </c>
      <c r="H2537">
        <f>IF(AND(I2537="",J2537="",K2537=""),"",IF(NOT(ISNUMBER(O2537)),"Bad amount",IF(O2537&lt;0,"Refund (not counted)",IF(O2537=0,"Zero amount",IF(NOT(ISNUMBER(N2537)),"Bad date",IF(P2537="","NAME NOT ON ROSTER",IF(L2537="","OK",IF(MATCH(L2537,$L$2:$L$3001,0)&lt;ROW()-1,"Duplicate (ignored)","OK"))))))))</f>
        <v/>
      </c>
      <c r="I2537">
        <f>IF(OC_Date=0,"",IF(INDEX('OneCause_Paste'!$A$2537:$AZ$2537,1,OC_Date)="","",INDEX('OneCause_Paste'!$A$2537:$AZ$2537,1,OC_Date)))</f>
        <v/>
      </c>
      <c r="J2537">
        <f>IF(OC_Amt=0,"",IF(INDEX('OneCause_Paste'!$A$2537:$AZ$2537,1,OC_Amt)="","",INDEX('OneCause_Paste'!$A$2537:$AZ$2537,1,OC_Amt)))</f>
        <v/>
      </c>
      <c r="K2537">
        <f>IF(OC_Name=0,"",IF(INDEX('OneCause_Paste'!$A$2537:$AZ$2537,1,OC_Name)="","",INDEX('OneCause_Paste'!$A$2537:$AZ$2537,1,OC_Name)))</f>
        <v/>
      </c>
      <c r="L2537">
        <f>IF(OC_Txn=0,"",IF(INDEX('OneCause_Paste'!$A$2537:$AZ$2537,1,OC_Txn)="","",INDEX('OneCause_Paste'!$A$2537:$AZ$2537,1,OC_Txn)))</f>
        <v/>
      </c>
      <c r="M2537">
        <f>IF(OC_Pay=0,"",IF(INDEX('OneCause_Paste'!$A$2537:$AZ$2537,1,OC_Pay)="","",INDEX('OneCause_Paste'!$A$2537:$AZ$2537,1,OC_Pay)))</f>
        <v/>
      </c>
      <c r="N2537">
        <f>IF(I2537="","",IF(ISNUMBER(I2537),INT(I2537),IFERROR(INT(DATEVALUE(I2537)),IFERROR(INT(VALUE(I2537)),"bad"))))</f>
        <v/>
      </c>
      <c r="O2537">
        <f>IF(J2537="","",IF(ISNUMBER(J2537),ROUND(J2537,2),IFERROR(ROUND(VALUE(SUBSTITUTE(SUBSTITUTE(SUBSTITUTE(J2537,"$",""),",","")," ","")),2),"bad")))</f>
        <v/>
      </c>
      <c r="P2537">
        <f>IF(TRIM(K2537)="","",IFERROR(MATCH(LOWER(TRIM(K2537)),'Students'!$AH$2:$AH$701,0),IFERROR(MATCH(LOWER(TRIM(K2537)),'Students'!$AF$2:$AF$701,0),IFERROR(MATCH(LOWER(TRIM(K2537)),'Students'!$AG$2:$AG$701,0),""))))</f>
        <v/>
      </c>
      <c r="R2537">
        <f>IF(P2537="","",INDEX('Students'!$AD$2:$AD$701,P2537))</f>
        <v/>
      </c>
      <c r="S2537">
        <f>IF(H2537="OK",O2537,0)</f>
        <v/>
      </c>
      <c r="T2537">
        <f>IF(H2537="OK",N2537,"")</f>
        <v/>
      </c>
      <c r="U2537">
        <f>IF(OC_Donor=0,"",IF(INDEX('OneCause_Paste'!$A$2537:$AZ$2537,1,OC_Donor)="","",INDEX('OneCause_Paste'!$A$2537:$AZ$2537,1,OC_Donor)))</f>
        <v/>
      </c>
    </row>
    <row r="2538">
      <c r="A2538" s="62">
        <f>IF(H2538="","",IF(ISNUMBER(N2538),N2538,I2538))</f>
        <v/>
      </c>
      <c r="B2538">
        <f>IF(H2538="","",U2538)</f>
        <v/>
      </c>
      <c r="C2538">
        <f>IF(H2538="","",IF(P2538="",K2538,INDEX('Students'!$A$2:$A$701,P2538)))</f>
        <v/>
      </c>
      <c r="D2538">
        <f>IF(OR(H2538="",P2538=""),"",INDEX('Students'!$B$2:$B$701,P2538))</f>
        <v/>
      </c>
      <c r="E2538">
        <f>IF(OR(H2538="",P2538=""),"",INDEX('Students'!$C$2:$C$701,P2538))</f>
        <v/>
      </c>
      <c r="F2538" s="48">
        <f>IF(H2538="","",IF(ISNUMBER(O2538),O2538,J2538))</f>
        <v/>
      </c>
      <c r="G2538">
        <f>IF(H2538="","","OneCause")</f>
        <v/>
      </c>
      <c r="H2538">
        <f>IF(AND(I2538="",J2538="",K2538=""),"",IF(NOT(ISNUMBER(O2538)),"Bad amount",IF(O2538&lt;0,"Refund (not counted)",IF(O2538=0,"Zero amount",IF(NOT(ISNUMBER(N2538)),"Bad date",IF(P2538="","NAME NOT ON ROSTER",IF(L2538="","OK",IF(MATCH(L2538,$L$2:$L$3001,0)&lt;ROW()-1,"Duplicate (ignored)","OK"))))))))</f>
        <v/>
      </c>
      <c r="I2538">
        <f>IF(OC_Date=0,"",IF(INDEX('OneCause_Paste'!$A$2538:$AZ$2538,1,OC_Date)="","",INDEX('OneCause_Paste'!$A$2538:$AZ$2538,1,OC_Date)))</f>
        <v/>
      </c>
      <c r="J2538">
        <f>IF(OC_Amt=0,"",IF(INDEX('OneCause_Paste'!$A$2538:$AZ$2538,1,OC_Amt)="","",INDEX('OneCause_Paste'!$A$2538:$AZ$2538,1,OC_Amt)))</f>
        <v/>
      </c>
      <c r="K2538">
        <f>IF(OC_Name=0,"",IF(INDEX('OneCause_Paste'!$A$2538:$AZ$2538,1,OC_Name)="","",INDEX('OneCause_Paste'!$A$2538:$AZ$2538,1,OC_Name)))</f>
        <v/>
      </c>
      <c r="L2538">
        <f>IF(OC_Txn=0,"",IF(INDEX('OneCause_Paste'!$A$2538:$AZ$2538,1,OC_Txn)="","",INDEX('OneCause_Paste'!$A$2538:$AZ$2538,1,OC_Txn)))</f>
        <v/>
      </c>
      <c r="M2538">
        <f>IF(OC_Pay=0,"",IF(INDEX('OneCause_Paste'!$A$2538:$AZ$2538,1,OC_Pay)="","",INDEX('OneCause_Paste'!$A$2538:$AZ$2538,1,OC_Pay)))</f>
        <v/>
      </c>
      <c r="N2538">
        <f>IF(I2538="","",IF(ISNUMBER(I2538),INT(I2538),IFERROR(INT(DATEVALUE(I2538)),IFERROR(INT(VALUE(I2538)),"bad"))))</f>
        <v/>
      </c>
      <c r="O2538">
        <f>IF(J2538="","",IF(ISNUMBER(J2538),ROUND(J2538,2),IFERROR(ROUND(VALUE(SUBSTITUTE(SUBSTITUTE(SUBSTITUTE(J2538,"$",""),",","")," ","")),2),"bad")))</f>
        <v/>
      </c>
      <c r="P2538">
        <f>IF(TRIM(K2538)="","",IFERROR(MATCH(LOWER(TRIM(K2538)),'Students'!$AH$2:$AH$701,0),IFERROR(MATCH(LOWER(TRIM(K2538)),'Students'!$AF$2:$AF$701,0),IFERROR(MATCH(LOWER(TRIM(K2538)),'Students'!$AG$2:$AG$701,0),""))))</f>
        <v/>
      </c>
      <c r="R2538">
        <f>IF(P2538="","",INDEX('Students'!$AD$2:$AD$701,P2538))</f>
        <v/>
      </c>
      <c r="S2538">
        <f>IF(H2538="OK",O2538,0)</f>
        <v/>
      </c>
      <c r="T2538">
        <f>IF(H2538="OK",N2538,"")</f>
        <v/>
      </c>
      <c r="U2538">
        <f>IF(OC_Donor=0,"",IF(INDEX('OneCause_Paste'!$A$2538:$AZ$2538,1,OC_Donor)="","",INDEX('OneCause_Paste'!$A$2538:$AZ$2538,1,OC_Donor)))</f>
        <v/>
      </c>
    </row>
    <row r="2539">
      <c r="A2539" s="62">
        <f>IF(H2539="","",IF(ISNUMBER(N2539),N2539,I2539))</f>
        <v/>
      </c>
      <c r="B2539">
        <f>IF(H2539="","",U2539)</f>
        <v/>
      </c>
      <c r="C2539">
        <f>IF(H2539="","",IF(P2539="",K2539,INDEX('Students'!$A$2:$A$701,P2539)))</f>
        <v/>
      </c>
      <c r="D2539">
        <f>IF(OR(H2539="",P2539=""),"",INDEX('Students'!$B$2:$B$701,P2539))</f>
        <v/>
      </c>
      <c r="E2539">
        <f>IF(OR(H2539="",P2539=""),"",INDEX('Students'!$C$2:$C$701,P2539))</f>
        <v/>
      </c>
      <c r="F2539" s="48">
        <f>IF(H2539="","",IF(ISNUMBER(O2539),O2539,J2539))</f>
        <v/>
      </c>
      <c r="G2539">
        <f>IF(H2539="","","OneCause")</f>
        <v/>
      </c>
      <c r="H2539">
        <f>IF(AND(I2539="",J2539="",K2539=""),"",IF(NOT(ISNUMBER(O2539)),"Bad amount",IF(O2539&lt;0,"Refund (not counted)",IF(O2539=0,"Zero amount",IF(NOT(ISNUMBER(N2539)),"Bad date",IF(P2539="","NAME NOT ON ROSTER",IF(L2539="","OK",IF(MATCH(L2539,$L$2:$L$3001,0)&lt;ROW()-1,"Duplicate (ignored)","OK"))))))))</f>
        <v/>
      </c>
      <c r="I2539">
        <f>IF(OC_Date=0,"",IF(INDEX('OneCause_Paste'!$A$2539:$AZ$2539,1,OC_Date)="","",INDEX('OneCause_Paste'!$A$2539:$AZ$2539,1,OC_Date)))</f>
        <v/>
      </c>
      <c r="J2539">
        <f>IF(OC_Amt=0,"",IF(INDEX('OneCause_Paste'!$A$2539:$AZ$2539,1,OC_Amt)="","",INDEX('OneCause_Paste'!$A$2539:$AZ$2539,1,OC_Amt)))</f>
        <v/>
      </c>
      <c r="K2539">
        <f>IF(OC_Name=0,"",IF(INDEX('OneCause_Paste'!$A$2539:$AZ$2539,1,OC_Name)="","",INDEX('OneCause_Paste'!$A$2539:$AZ$2539,1,OC_Name)))</f>
        <v/>
      </c>
      <c r="L2539">
        <f>IF(OC_Txn=0,"",IF(INDEX('OneCause_Paste'!$A$2539:$AZ$2539,1,OC_Txn)="","",INDEX('OneCause_Paste'!$A$2539:$AZ$2539,1,OC_Txn)))</f>
        <v/>
      </c>
      <c r="M2539">
        <f>IF(OC_Pay=0,"",IF(INDEX('OneCause_Paste'!$A$2539:$AZ$2539,1,OC_Pay)="","",INDEX('OneCause_Paste'!$A$2539:$AZ$2539,1,OC_Pay)))</f>
        <v/>
      </c>
      <c r="N2539">
        <f>IF(I2539="","",IF(ISNUMBER(I2539),INT(I2539),IFERROR(INT(DATEVALUE(I2539)),IFERROR(INT(VALUE(I2539)),"bad"))))</f>
        <v/>
      </c>
      <c r="O2539">
        <f>IF(J2539="","",IF(ISNUMBER(J2539),ROUND(J2539,2),IFERROR(ROUND(VALUE(SUBSTITUTE(SUBSTITUTE(SUBSTITUTE(J2539,"$",""),",","")," ","")),2),"bad")))</f>
        <v/>
      </c>
      <c r="P2539">
        <f>IF(TRIM(K2539)="","",IFERROR(MATCH(LOWER(TRIM(K2539)),'Students'!$AH$2:$AH$701,0),IFERROR(MATCH(LOWER(TRIM(K2539)),'Students'!$AF$2:$AF$701,0),IFERROR(MATCH(LOWER(TRIM(K2539)),'Students'!$AG$2:$AG$701,0),""))))</f>
        <v/>
      </c>
      <c r="R2539">
        <f>IF(P2539="","",INDEX('Students'!$AD$2:$AD$701,P2539))</f>
        <v/>
      </c>
      <c r="S2539">
        <f>IF(H2539="OK",O2539,0)</f>
        <v/>
      </c>
      <c r="T2539">
        <f>IF(H2539="OK",N2539,"")</f>
        <v/>
      </c>
      <c r="U2539">
        <f>IF(OC_Donor=0,"",IF(INDEX('OneCause_Paste'!$A$2539:$AZ$2539,1,OC_Donor)="","",INDEX('OneCause_Paste'!$A$2539:$AZ$2539,1,OC_Donor)))</f>
        <v/>
      </c>
    </row>
    <row r="2540">
      <c r="A2540" s="62">
        <f>IF(H2540="","",IF(ISNUMBER(N2540),N2540,I2540))</f>
        <v/>
      </c>
      <c r="B2540">
        <f>IF(H2540="","",U2540)</f>
        <v/>
      </c>
      <c r="C2540">
        <f>IF(H2540="","",IF(P2540="",K2540,INDEX('Students'!$A$2:$A$701,P2540)))</f>
        <v/>
      </c>
      <c r="D2540">
        <f>IF(OR(H2540="",P2540=""),"",INDEX('Students'!$B$2:$B$701,P2540))</f>
        <v/>
      </c>
      <c r="E2540">
        <f>IF(OR(H2540="",P2540=""),"",INDEX('Students'!$C$2:$C$701,P2540))</f>
        <v/>
      </c>
      <c r="F2540" s="48">
        <f>IF(H2540="","",IF(ISNUMBER(O2540),O2540,J2540))</f>
        <v/>
      </c>
      <c r="G2540">
        <f>IF(H2540="","","OneCause")</f>
        <v/>
      </c>
      <c r="H2540">
        <f>IF(AND(I2540="",J2540="",K2540=""),"",IF(NOT(ISNUMBER(O2540)),"Bad amount",IF(O2540&lt;0,"Refund (not counted)",IF(O2540=0,"Zero amount",IF(NOT(ISNUMBER(N2540)),"Bad date",IF(P2540="","NAME NOT ON ROSTER",IF(L2540="","OK",IF(MATCH(L2540,$L$2:$L$3001,0)&lt;ROW()-1,"Duplicate (ignored)","OK"))))))))</f>
        <v/>
      </c>
      <c r="I2540">
        <f>IF(OC_Date=0,"",IF(INDEX('OneCause_Paste'!$A$2540:$AZ$2540,1,OC_Date)="","",INDEX('OneCause_Paste'!$A$2540:$AZ$2540,1,OC_Date)))</f>
        <v/>
      </c>
      <c r="J2540">
        <f>IF(OC_Amt=0,"",IF(INDEX('OneCause_Paste'!$A$2540:$AZ$2540,1,OC_Amt)="","",INDEX('OneCause_Paste'!$A$2540:$AZ$2540,1,OC_Amt)))</f>
        <v/>
      </c>
      <c r="K2540">
        <f>IF(OC_Name=0,"",IF(INDEX('OneCause_Paste'!$A$2540:$AZ$2540,1,OC_Name)="","",INDEX('OneCause_Paste'!$A$2540:$AZ$2540,1,OC_Name)))</f>
        <v/>
      </c>
      <c r="L2540">
        <f>IF(OC_Txn=0,"",IF(INDEX('OneCause_Paste'!$A$2540:$AZ$2540,1,OC_Txn)="","",INDEX('OneCause_Paste'!$A$2540:$AZ$2540,1,OC_Txn)))</f>
        <v/>
      </c>
      <c r="M2540">
        <f>IF(OC_Pay=0,"",IF(INDEX('OneCause_Paste'!$A$2540:$AZ$2540,1,OC_Pay)="","",INDEX('OneCause_Paste'!$A$2540:$AZ$2540,1,OC_Pay)))</f>
        <v/>
      </c>
      <c r="N2540">
        <f>IF(I2540="","",IF(ISNUMBER(I2540),INT(I2540),IFERROR(INT(DATEVALUE(I2540)),IFERROR(INT(VALUE(I2540)),"bad"))))</f>
        <v/>
      </c>
      <c r="O2540">
        <f>IF(J2540="","",IF(ISNUMBER(J2540),ROUND(J2540,2),IFERROR(ROUND(VALUE(SUBSTITUTE(SUBSTITUTE(SUBSTITUTE(J2540,"$",""),",","")," ","")),2),"bad")))</f>
        <v/>
      </c>
      <c r="P2540">
        <f>IF(TRIM(K2540)="","",IFERROR(MATCH(LOWER(TRIM(K2540)),'Students'!$AH$2:$AH$701,0),IFERROR(MATCH(LOWER(TRIM(K2540)),'Students'!$AF$2:$AF$701,0),IFERROR(MATCH(LOWER(TRIM(K2540)),'Students'!$AG$2:$AG$701,0),""))))</f>
        <v/>
      </c>
      <c r="R2540">
        <f>IF(P2540="","",INDEX('Students'!$AD$2:$AD$701,P2540))</f>
        <v/>
      </c>
      <c r="S2540">
        <f>IF(H2540="OK",O2540,0)</f>
        <v/>
      </c>
      <c r="T2540">
        <f>IF(H2540="OK",N2540,"")</f>
        <v/>
      </c>
      <c r="U2540">
        <f>IF(OC_Donor=0,"",IF(INDEX('OneCause_Paste'!$A$2540:$AZ$2540,1,OC_Donor)="","",INDEX('OneCause_Paste'!$A$2540:$AZ$2540,1,OC_Donor)))</f>
        <v/>
      </c>
    </row>
    <row r="2541">
      <c r="A2541" s="62">
        <f>IF(H2541="","",IF(ISNUMBER(N2541),N2541,I2541))</f>
        <v/>
      </c>
      <c r="B2541">
        <f>IF(H2541="","",U2541)</f>
        <v/>
      </c>
      <c r="C2541">
        <f>IF(H2541="","",IF(P2541="",K2541,INDEX('Students'!$A$2:$A$701,P2541)))</f>
        <v/>
      </c>
      <c r="D2541">
        <f>IF(OR(H2541="",P2541=""),"",INDEX('Students'!$B$2:$B$701,P2541))</f>
        <v/>
      </c>
      <c r="E2541">
        <f>IF(OR(H2541="",P2541=""),"",INDEX('Students'!$C$2:$C$701,P2541))</f>
        <v/>
      </c>
      <c r="F2541" s="48">
        <f>IF(H2541="","",IF(ISNUMBER(O2541),O2541,J2541))</f>
        <v/>
      </c>
      <c r="G2541">
        <f>IF(H2541="","","OneCause")</f>
        <v/>
      </c>
      <c r="H2541">
        <f>IF(AND(I2541="",J2541="",K2541=""),"",IF(NOT(ISNUMBER(O2541)),"Bad amount",IF(O2541&lt;0,"Refund (not counted)",IF(O2541=0,"Zero amount",IF(NOT(ISNUMBER(N2541)),"Bad date",IF(P2541="","NAME NOT ON ROSTER",IF(L2541="","OK",IF(MATCH(L2541,$L$2:$L$3001,0)&lt;ROW()-1,"Duplicate (ignored)","OK"))))))))</f>
        <v/>
      </c>
      <c r="I2541">
        <f>IF(OC_Date=0,"",IF(INDEX('OneCause_Paste'!$A$2541:$AZ$2541,1,OC_Date)="","",INDEX('OneCause_Paste'!$A$2541:$AZ$2541,1,OC_Date)))</f>
        <v/>
      </c>
      <c r="J2541">
        <f>IF(OC_Amt=0,"",IF(INDEX('OneCause_Paste'!$A$2541:$AZ$2541,1,OC_Amt)="","",INDEX('OneCause_Paste'!$A$2541:$AZ$2541,1,OC_Amt)))</f>
        <v/>
      </c>
      <c r="K2541">
        <f>IF(OC_Name=0,"",IF(INDEX('OneCause_Paste'!$A$2541:$AZ$2541,1,OC_Name)="","",INDEX('OneCause_Paste'!$A$2541:$AZ$2541,1,OC_Name)))</f>
        <v/>
      </c>
      <c r="L2541">
        <f>IF(OC_Txn=0,"",IF(INDEX('OneCause_Paste'!$A$2541:$AZ$2541,1,OC_Txn)="","",INDEX('OneCause_Paste'!$A$2541:$AZ$2541,1,OC_Txn)))</f>
        <v/>
      </c>
      <c r="M2541">
        <f>IF(OC_Pay=0,"",IF(INDEX('OneCause_Paste'!$A$2541:$AZ$2541,1,OC_Pay)="","",INDEX('OneCause_Paste'!$A$2541:$AZ$2541,1,OC_Pay)))</f>
        <v/>
      </c>
      <c r="N2541">
        <f>IF(I2541="","",IF(ISNUMBER(I2541),INT(I2541),IFERROR(INT(DATEVALUE(I2541)),IFERROR(INT(VALUE(I2541)),"bad"))))</f>
        <v/>
      </c>
      <c r="O2541">
        <f>IF(J2541="","",IF(ISNUMBER(J2541),ROUND(J2541,2),IFERROR(ROUND(VALUE(SUBSTITUTE(SUBSTITUTE(SUBSTITUTE(J2541,"$",""),",","")," ","")),2),"bad")))</f>
        <v/>
      </c>
      <c r="P2541">
        <f>IF(TRIM(K2541)="","",IFERROR(MATCH(LOWER(TRIM(K2541)),'Students'!$AH$2:$AH$701,0),IFERROR(MATCH(LOWER(TRIM(K2541)),'Students'!$AF$2:$AF$701,0),IFERROR(MATCH(LOWER(TRIM(K2541)),'Students'!$AG$2:$AG$701,0),""))))</f>
        <v/>
      </c>
      <c r="R2541">
        <f>IF(P2541="","",INDEX('Students'!$AD$2:$AD$701,P2541))</f>
        <v/>
      </c>
      <c r="S2541">
        <f>IF(H2541="OK",O2541,0)</f>
        <v/>
      </c>
      <c r="T2541">
        <f>IF(H2541="OK",N2541,"")</f>
        <v/>
      </c>
      <c r="U2541">
        <f>IF(OC_Donor=0,"",IF(INDEX('OneCause_Paste'!$A$2541:$AZ$2541,1,OC_Donor)="","",INDEX('OneCause_Paste'!$A$2541:$AZ$2541,1,OC_Donor)))</f>
        <v/>
      </c>
    </row>
    <row r="2542">
      <c r="A2542" s="62">
        <f>IF(H2542="","",IF(ISNUMBER(N2542),N2542,I2542))</f>
        <v/>
      </c>
      <c r="B2542">
        <f>IF(H2542="","",U2542)</f>
        <v/>
      </c>
      <c r="C2542">
        <f>IF(H2542="","",IF(P2542="",K2542,INDEX('Students'!$A$2:$A$701,P2542)))</f>
        <v/>
      </c>
      <c r="D2542">
        <f>IF(OR(H2542="",P2542=""),"",INDEX('Students'!$B$2:$B$701,P2542))</f>
        <v/>
      </c>
      <c r="E2542">
        <f>IF(OR(H2542="",P2542=""),"",INDEX('Students'!$C$2:$C$701,P2542))</f>
        <v/>
      </c>
      <c r="F2542" s="48">
        <f>IF(H2542="","",IF(ISNUMBER(O2542),O2542,J2542))</f>
        <v/>
      </c>
      <c r="G2542">
        <f>IF(H2542="","","OneCause")</f>
        <v/>
      </c>
      <c r="H2542">
        <f>IF(AND(I2542="",J2542="",K2542=""),"",IF(NOT(ISNUMBER(O2542)),"Bad amount",IF(O2542&lt;0,"Refund (not counted)",IF(O2542=0,"Zero amount",IF(NOT(ISNUMBER(N2542)),"Bad date",IF(P2542="","NAME NOT ON ROSTER",IF(L2542="","OK",IF(MATCH(L2542,$L$2:$L$3001,0)&lt;ROW()-1,"Duplicate (ignored)","OK"))))))))</f>
        <v/>
      </c>
      <c r="I2542">
        <f>IF(OC_Date=0,"",IF(INDEX('OneCause_Paste'!$A$2542:$AZ$2542,1,OC_Date)="","",INDEX('OneCause_Paste'!$A$2542:$AZ$2542,1,OC_Date)))</f>
        <v/>
      </c>
      <c r="J2542">
        <f>IF(OC_Amt=0,"",IF(INDEX('OneCause_Paste'!$A$2542:$AZ$2542,1,OC_Amt)="","",INDEX('OneCause_Paste'!$A$2542:$AZ$2542,1,OC_Amt)))</f>
        <v/>
      </c>
      <c r="K2542">
        <f>IF(OC_Name=0,"",IF(INDEX('OneCause_Paste'!$A$2542:$AZ$2542,1,OC_Name)="","",INDEX('OneCause_Paste'!$A$2542:$AZ$2542,1,OC_Name)))</f>
        <v/>
      </c>
      <c r="L2542">
        <f>IF(OC_Txn=0,"",IF(INDEX('OneCause_Paste'!$A$2542:$AZ$2542,1,OC_Txn)="","",INDEX('OneCause_Paste'!$A$2542:$AZ$2542,1,OC_Txn)))</f>
        <v/>
      </c>
      <c r="M2542">
        <f>IF(OC_Pay=0,"",IF(INDEX('OneCause_Paste'!$A$2542:$AZ$2542,1,OC_Pay)="","",INDEX('OneCause_Paste'!$A$2542:$AZ$2542,1,OC_Pay)))</f>
        <v/>
      </c>
      <c r="N2542">
        <f>IF(I2542="","",IF(ISNUMBER(I2542),INT(I2542),IFERROR(INT(DATEVALUE(I2542)),IFERROR(INT(VALUE(I2542)),"bad"))))</f>
        <v/>
      </c>
      <c r="O2542">
        <f>IF(J2542="","",IF(ISNUMBER(J2542),ROUND(J2542,2),IFERROR(ROUND(VALUE(SUBSTITUTE(SUBSTITUTE(SUBSTITUTE(J2542,"$",""),",","")," ","")),2),"bad")))</f>
        <v/>
      </c>
      <c r="P2542">
        <f>IF(TRIM(K2542)="","",IFERROR(MATCH(LOWER(TRIM(K2542)),'Students'!$AH$2:$AH$701,0),IFERROR(MATCH(LOWER(TRIM(K2542)),'Students'!$AF$2:$AF$701,0),IFERROR(MATCH(LOWER(TRIM(K2542)),'Students'!$AG$2:$AG$701,0),""))))</f>
        <v/>
      </c>
      <c r="R2542">
        <f>IF(P2542="","",INDEX('Students'!$AD$2:$AD$701,P2542))</f>
        <v/>
      </c>
      <c r="S2542">
        <f>IF(H2542="OK",O2542,0)</f>
        <v/>
      </c>
      <c r="T2542">
        <f>IF(H2542="OK",N2542,"")</f>
        <v/>
      </c>
      <c r="U2542">
        <f>IF(OC_Donor=0,"",IF(INDEX('OneCause_Paste'!$A$2542:$AZ$2542,1,OC_Donor)="","",INDEX('OneCause_Paste'!$A$2542:$AZ$2542,1,OC_Donor)))</f>
        <v/>
      </c>
    </row>
    <row r="2543">
      <c r="A2543" s="62">
        <f>IF(H2543="","",IF(ISNUMBER(N2543),N2543,I2543))</f>
        <v/>
      </c>
      <c r="B2543">
        <f>IF(H2543="","",U2543)</f>
        <v/>
      </c>
      <c r="C2543">
        <f>IF(H2543="","",IF(P2543="",K2543,INDEX('Students'!$A$2:$A$701,P2543)))</f>
        <v/>
      </c>
      <c r="D2543">
        <f>IF(OR(H2543="",P2543=""),"",INDEX('Students'!$B$2:$B$701,P2543))</f>
        <v/>
      </c>
      <c r="E2543">
        <f>IF(OR(H2543="",P2543=""),"",INDEX('Students'!$C$2:$C$701,P2543))</f>
        <v/>
      </c>
      <c r="F2543" s="48">
        <f>IF(H2543="","",IF(ISNUMBER(O2543),O2543,J2543))</f>
        <v/>
      </c>
      <c r="G2543">
        <f>IF(H2543="","","OneCause")</f>
        <v/>
      </c>
      <c r="H2543">
        <f>IF(AND(I2543="",J2543="",K2543=""),"",IF(NOT(ISNUMBER(O2543)),"Bad amount",IF(O2543&lt;0,"Refund (not counted)",IF(O2543=0,"Zero amount",IF(NOT(ISNUMBER(N2543)),"Bad date",IF(P2543="","NAME NOT ON ROSTER",IF(L2543="","OK",IF(MATCH(L2543,$L$2:$L$3001,0)&lt;ROW()-1,"Duplicate (ignored)","OK"))))))))</f>
        <v/>
      </c>
      <c r="I2543">
        <f>IF(OC_Date=0,"",IF(INDEX('OneCause_Paste'!$A$2543:$AZ$2543,1,OC_Date)="","",INDEX('OneCause_Paste'!$A$2543:$AZ$2543,1,OC_Date)))</f>
        <v/>
      </c>
      <c r="J2543">
        <f>IF(OC_Amt=0,"",IF(INDEX('OneCause_Paste'!$A$2543:$AZ$2543,1,OC_Amt)="","",INDEX('OneCause_Paste'!$A$2543:$AZ$2543,1,OC_Amt)))</f>
        <v/>
      </c>
      <c r="K2543">
        <f>IF(OC_Name=0,"",IF(INDEX('OneCause_Paste'!$A$2543:$AZ$2543,1,OC_Name)="","",INDEX('OneCause_Paste'!$A$2543:$AZ$2543,1,OC_Name)))</f>
        <v/>
      </c>
      <c r="L2543">
        <f>IF(OC_Txn=0,"",IF(INDEX('OneCause_Paste'!$A$2543:$AZ$2543,1,OC_Txn)="","",INDEX('OneCause_Paste'!$A$2543:$AZ$2543,1,OC_Txn)))</f>
        <v/>
      </c>
      <c r="M2543">
        <f>IF(OC_Pay=0,"",IF(INDEX('OneCause_Paste'!$A$2543:$AZ$2543,1,OC_Pay)="","",INDEX('OneCause_Paste'!$A$2543:$AZ$2543,1,OC_Pay)))</f>
        <v/>
      </c>
      <c r="N2543">
        <f>IF(I2543="","",IF(ISNUMBER(I2543),INT(I2543),IFERROR(INT(DATEVALUE(I2543)),IFERROR(INT(VALUE(I2543)),"bad"))))</f>
        <v/>
      </c>
      <c r="O2543">
        <f>IF(J2543="","",IF(ISNUMBER(J2543),ROUND(J2543,2),IFERROR(ROUND(VALUE(SUBSTITUTE(SUBSTITUTE(SUBSTITUTE(J2543,"$",""),",","")," ","")),2),"bad")))</f>
        <v/>
      </c>
      <c r="P2543">
        <f>IF(TRIM(K2543)="","",IFERROR(MATCH(LOWER(TRIM(K2543)),'Students'!$AH$2:$AH$701,0),IFERROR(MATCH(LOWER(TRIM(K2543)),'Students'!$AF$2:$AF$701,0),IFERROR(MATCH(LOWER(TRIM(K2543)),'Students'!$AG$2:$AG$701,0),""))))</f>
        <v/>
      </c>
      <c r="R2543">
        <f>IF(P2543="","",INDEX('Students'!$AD$2:$AD$701,P2543))</f>
        <v/>
      </c>
      <c r="S2543">
        <f>IF(H2543="OK",O2543,0)</f>
        <v/>
      </c>
      <c r="T2543">
        <f>IF(H2543="OK",N2543,"")</f>
        <v/>
      </c>
      <c r="U2543">
        <f>IF(OC_Donor=0,"",IF(INDEX('OneCause_Paste'!$A$2543:$AZ$2543,1,OC_Donor)="","",INDEX('OneCause_Paste'!$A$2543:$AZ$2543,1,OC_Donor)))</f>
        <v/>
      </c>
    </row>
    <row r="2544">
      <c r="A2544" s="62">
        <f>IF(H2544="","",IF(ISNUMBER(N2544),N2544,I2544))</f>
        <v/>
      </c>
      <c r="B2544">
        <f>IF(H2544="","",U2544)</f>
        <v/>
      </c>
      <c r="C2544">
        <f>IF(H2544="","",IF(P2544="",K2544,INDEX('Students'!$A$2:$A$701,P2544)))</f>
        <v/>
      </c>
      <c r="D2544">
        <f>IF(OR(H2544="",P2544=""),"",INDEX('Students'!$B$2:$B$701,P2544))</f>
        <v/>
      </c>
      <c r="E2544">
        <f>IF(OR(H2544="",P2544=""),"",INDEX('Students'!$C$2:$C$701,P2544))</f>
        <v/>
      </c>
      <c r="F2544" s="48">
        <f>IF(H2544="","",IF(ISNUMBER(O2544),O2544,J2544))</f>
        <v/>
      </c>
      <c r="G2544">
        <f>IF(H2544="","","OneCause")</f>
        <v/>
      </c>
      <c r="H2544">
        <f>IF(AND(I2544="",J2544="",K2544=""),"",IF(NOT(ISNUMBER(O2544)),"Bad amount",IF(O2544&lt;0,"Refund (not counted)",IF(O2544=0,"Zero amount",IF(NOT(ISNUMBER(N2544)),"Bad date",IF(P2544="","NAME NOT ON ROSTER",IF(L2544="","OK",IF(MATCH(L2544,$L$2:$L$3001,0)&lt;ROW()-1,"Duplicate (ignored)","OK"))))))))</f>
        <v/>
      </c>
      <c r="I2544">
        <f>IF(OC_Date=0,"",IF(INDEX('OneCause_Paste'!$A$2544:$AZ$2544,1,OC_Date)="","",INDEX('OneCause_Paste'!$A$2544:$AZ$2544,1,OC_Date)))</f>
        <v/>
      </c>
      <c r="J2544">
        <f>IF(OC_Amt=0,"",IF(INDEX('OneCause_Paste'!$A$2544:$AZ$2544,1,OC_Amt)="","",INDEX('OneCause_Paste'!$A$2544:$AZ$2544,1,OC_Amt)))</f>
        <v/>
      </c>
      <c r="K2544">
        <f>IF(OC_Name=0,"",IF(INDEX('OneCause_Paste'!$A$2544:$AZ$2544,1,OC_Name)="","",INDEX('OneCause_Paste'!$A$2544:$AZ$2544,1,OC_Name)))</f>
        <v/>
      </c>
      <c r="L2544">
        <f>IF(OC_Txn=0,"",IF(INDEX('OneCause_Paste'!$A$2544:$AZ$2544,1,OC_Txn)="","",INDEX('OneCause_Paste'!$A$2544:$AZ$2544,1,OC_Txn)))</f>
        <v/>
      </c>
      <c r="M2544">
        <f>IF(OC_Pay=0,"",IF(INDEX('OneCause_Paste'!$A$2544:$AZ$2544,1,OC_Pay)="","",INDEX('OneCause_Paste'!$A$2544:$AZ$2544,1,OC_Pay)))</f>
        <v/>
      </c>
      <c r="N2544">
        <f>IF(I2544="","",IF(ISNUMBER(I2544),INT(I2544),IFERROR(INT(DATEVALUE(I2544)),IFERROR(INT(VALUE(I2544)),"bad"))))</f>
        <v/>
      </c>
      <c r="O2544">
        <f>IF(J2544="","",IF(ISNUMBER(J2544),ROUND(J2544,2),IFERROR(ROUND(VALUE(SUBSTITUTE(SUBSTITUTE(SUBSTITUTE(J2544,"$",""),",","")," ","")),2),"bad")))</f>
        <v/>
      </c>
      <c r="P2544">
        <f>IF(TRIM(K2544)="","",IFERROR(MATCH(LOWER(TRIM(K2544)),'Students'!$AH$2:$AH$701,0),IFERROR(MATCH(LOWER(TRIM(K2544)),'Students'!$AF$2:$AF$701,0),IFERROR(MATCH(LOWER(TRIM(K2544)),'Students'!$AG$2:$AG$701,0),""))))</f>
        <v/>
      </c>
      <c r="R2544">
        <f>IF(P2544="","",INDEX('Students'!$AD$2:$AD$701,P2544))</f>
        <v/>
      </c>
      <c r="S2544">
        <f>IF(H2544="OK",O2544,0)</f>
        <v/>
      </c>
      <c r="T2544">
        <f>IF(H2544="OK",N2544,"")</f>
        <v/>
      </c>
      <c r="U2544">
        <f>IF(OC_Donor=0,"",IF(INDEX('OneCause_Paste'!$A$2544:$AZ$2544,1,OC_Donor)="","",INDEX('OneCause_Paste'!$A$2544:$AZ$2544,1,OC_Donor)))</f>
        <v/>
      </c>
    </row>
    <row r="2545">
      <c r="A2545" s="62">
        <f>IF(H2545="","",IF(ISNUMBER(N2545),N2545,I2545))</f>
        <v/>
      </c>
      <c r="B2545">
        <f>IF(H2545="","",U2545)</f>
        <v/>
      </c>
      <c r="C2545">
        <f>IF(H2545="","",IF(P2545="",K2545,INDEX('Students'!$A$2:$A$701,P2545)))</f>
        <v/>
      </c>
      <c r="D2545">
        <f>IF(OR(H2545="",P2545=""),"",INDEX('Students'!$B$2:$B$701,P2545))</f>
        <v/>
      </c>
      <c r="E2545">
        <f>IF(OR(H2545="",P2545=""),"",INDEX('Students'!$C$2:$C$701,P2545))</f>
        <v/>
      </c>
      <c r="F2545" s="48">
        <f>IF(H2545="","",IF(ISNUMBER(O2545),O2545,J2545))</f>
        <v/>
      </c>
      <c r="G2545">
        <f>IF(H2545="","","OneCause")</f>
        <v/>
      </c>
      <c r="H2545">
        <f>IF(AND(I2545="",J2545="",K2545=""),"",IF(NOT(ISNUMBER(O2545)),"Bad amount",IF(O2545&lt;0,"Refund (not counted)",IF(O2545=0,"Zero amount",IF(NOT(ISNUMBER(N2545)),"Bad date",IF(P2545="","NAME NOT ON ROSTER",IF(L2545="","OK",IF(MATCH(L2545,$L$2:$L$3001,0)&lt;ROW()-1,"Duplicate (ignored)","OK"))))))))</f>
        <v/>
      </c>
      <c r="I2545">
        <f>IF(OC_Date=0,"",IF(INDEX('OneCause_Paste'!$A$2545:$AZ$2545,1,OC_Date)="","",INDEX('OneCause_Paste'!$A$2545:$AZ$2545,1,OC_Date)))</f>
        <v/>
      </c>
      <c r="J2545">
        <f>IF(OC_Amt=0,"",IF(INDEX('OneCause_Paste'!$A$2545:$AZ$2545,1,OC_Amt)="","",INDEX('OneCause_Paste'!$A$2545:$AZ$2545,1,OC_Amt)))</f>
        <v/>
      </c>
      <c r="K2545">
        <f>IF(OC_Name=0,"",IF(INDEX('OneCause_Paste'!$A$2545:$AZ$2545,1,OC_Name)="","",INDEX('OneCause_Paste'!$A$2545:$AZ$2545,1,OC_Name)))</f>
        <v/>
      </c>
      <c r="L2545">
        <f>IF(OC_Txn=0,"",IF(INDEX('OneCause_Paste'!$A$2545:$AZ$2545,1,OC_Txn)="","",INDEX('OneCause_Paste'!$A$2545:$AZ$2545,1,OC_Txn)))</f>
        <v/>
      </c>
      <c r="M2545">
        <f>IF(OC_Pay=0,"",IF(INDEX('OneCause_Paste'!$A$2545:$AZ$2545,1,OC_Pay)="","",INDEX('OneCause_Paste'!$A$2545:$AZ$2545,1,OC_Pay)))</f>
        <v/>
      </c>
      <c r="N2545">
        <f>IF(I2545="","",IF(ISNUMBER(I2545),INT(I2545),IFERROR(INT(DATEVALUE(I2545)),IFERROR(INT(VALUE(I2545)),"bad"))))</f>
        <v/>
      </c>
      <c r="O2545">
        <f>IF(J2545="","",IF(ISNUMBER(J2545),ROUND(J2545,2),IFERROR(ROUND(VALUE(SUBSTITUTE(SUBSTITUTE(SUBSTITUTE(J2545,"$",""),",","")," ","")),2),"bad")))</f>
        <v/>
      </c>
      <c r="P2545">
        <f>IF(TRIM(K2545)="","",IFERROR(MATCH(LOWER(TRIM(K2545)),'Students'!$AH$2:$AH$701,0),IFERROR(MATCH(LOWER(TRIM(K2545)),'Students'!$AF$2:$AF$701,0),IFERROR(MATCH(LOWER(TRIM(K2545)),'Students'!$AG$2:$AG$701,0),""))))</f>
        <v/>
      </c>
      <c r="R2545">
        <f>IF(P2545="","",INDEX('Students'!$AD$2:$AD$701,P2545))</f>
        <v/>
      </c>
      <c r="S2545">
        <f>IF(H2545="OK",O2545,0)</f>
        <v/>
      </c>
      <c r="T2545">
        <f>IF(H2545="OK",N2545,"")</f>
        <v/>
      </c>
      <c r="U2545">
        <f>IF(OC_Donor=0,"",IF(INDEX('OneCause_Paste'!$A$2545:$AZ$2545,1,OC_Donor)="","",INDEX('OneCause_Paste'!$A$2545:$AZ$2545,1,OC_Donor)))</f>
        <v/>
      </c>
    </row>
    <row r="2546">
      <c r="A2546" s="62">
        <f>IF(H2546="","",IF(ISNUMBER(N2546),N2546,I2546))</f>
        <v/>
      </c>
      <c r="B2546">
        <f>IF(H2546="","",U2546)</f>
        <v/>
      </c>
      <c r="C2546">
        <f>IF(H2546="","",IF(P2546="",K2546,INDEX('Students'!$A$2:$A$701,P2546)))</f>
        <v/>
      </c>
      <c r="D2546">
        <f>IF(OR(H2546="",P2546=""),"",INDEX('Students'!$B$2:$B$701,P2546))</f>
        <v/>
      </c>
      <c r="E2546">
        <f>IF(OR(H2546="",P2546=""),"",INDEX('Students'!$C$2:$C$701,P2546))</f>
        <v/>
      </c>
      <c r="F2546" s="48">
        <f>IF(H2546="","",IF(ISNUMBER(O2546),O2546,J2546))</f>
        <v/>
      </c>
      <c r="G2546">
        <f>IF(H2546="","","OneCause")</f>
        <v/>
      </c>
      <c r="H2546">
        <f>IF(AND(I2546="",J2546="",K2546=""),"",IF(NOT(ISNUMBER(O2546)),"Bad amount",IF(O2546&lt;0,"Refund (not counted)",IF(O2546=0,"Zero amount",IF(NOT(ISNUMBER(N2546)),"Bad date",IF(P2546="","NAME NOT ON ROSTER",IF(L2546="","OK",IF(MATCH(L2546,$L$2:$L$3001,0)&lt;ROW()-1,"Duplicate (ignored)","OK"))))))))</f>
        <v/>
      </c>
      <c r="I2546">
        <f>IF(OC_Date=0,"",IF(INDEX('OneCause_Paste'!$A$2546:$AZ$2546,1,OC_Date)="","",INDEX('OneCause_Paste'!$A$2546:$AZ$2546,1,OC_Date)))</f>
        <v/>
      </c>
      <c r="J2546">
        <f>IF(OC_Amt=0,"",IF(INDEX('OneCause_Paste'!$A$2546:$AZ$2546,1,OC_Amt)="","",INDEX('OneCause_Paste'!$A$2546:$AZ$2546,1,OC_Amt)))</f>
        <v/>
      </c>
      <c r="K2546">
        <f>IF(OC_Name=0,"",IF(INDEX('OneCause_Paste'!$A$2546:$AZ$2546,1,OC_Name)="","",INDEX('OneCause_Paste'!$A$2546:$AZ$2546,1,OC_Name)))</f>
        <v/>
      </c>
      <c r="L2546">
        <f>IF(OC_Txn=0,"",IF(INDEX('OneCause_Paste'!$A$2546:$AZ$2546,1,OC_Txn)="","",INDEX('OneCause_Paste'!$A$2546:$AZ$2546,1,OC_Txn)))</f>
        <v/>
      </c>
      <c r="M2546">
        <f>IF(OC_Pay=0,"",IF(INDEX('OneCause_Paste'!$A$2546:$AZ$2546,1,OC_Pay)="","",INDEX('OneCause_Paste'!$A$2546:$AZ$2546,1,OC_Pay)))</f>
        <v/>
      </c>
      <c r="N2546">
        <f>IF(I2546="","",IF(ISNUMBER(I2546),INT(I2546),IFERROR(INT(DATEVALUE(I2546)),IFERROR(INT(VALUE(I2546)),"bad"))))</f>
        <v/>
      </c>
      <c r="O2546">
        <f>IF(J2546="","",IF(ISNUMBER(J2546),ROUND(J2546,2),IFERROR(ROUND(VALUE(SUBSTITUTE(SUBSTITUTE(SUBSTITUTE(J2546,"$",""),",","")," ","")),2),"bad")))</f>
        <v/>
      </c>
      <c r="P2546">
        <f>IF(TRIM(K2546)="","",IFERROR(MATCH(LOWER(TRIM(K2546)),'Students'!$AH$2:$AH$701,0),IFERROR(MATCH(LOWER(TRIM(K2546)),'Students'!$AF$2:$AF$701,0),IFERROR(MATCH(LOWER(TRIM(K2546)),'Students'!$AG$2:$AG$701,0),""))))</f>
        <v/>
      </c>
      <c r="R2546">
        <f>IF(P2546="","",INDEX('Students'!$AD$2:$AD$701,P2546))</f>
        <v/>
      </c>
      <c r="S2546">
        <f>IF(H2546="OK",O2546,0)</f>
        <v/>
      </c>
      <c r="T2546">
        <f>IF(H2546="OK",N2546,"")</f>
        <v/>
      </c>
      <c r="U2546">
        <f>IF(OC_Donor=0,"",IF(INDEX('OneCause_Paste'!$A$2546:$AZ$2546,1,OC_Donor)="","",INDEX('OneCause_Paste'!$A$2546:$AZ$2546,1,OC_Donor)))</f>
        <v/>
      </c>
    </row>
    <row r="2547">
      <c r="A2547" s="62">
        <f>IF(H2547="","",IF(ISNUMBER(N2547),N2547,I2547))</f>
        <v/>
      </c>
      <c r="B2547">
        <f>IF(H2547="","",U2547)</f>
        <v/>
      </c>
      <c r="C2547">
        <f>IF(H2547="","",IF(P2547="",K2547,INDEX('Students'!$A$2:$A$701,P2547)))</f>
        <v/>
      </c>
      <c r="D2547">
        <f>IF(OR(H2547="",P2547=""),"",INDEX('Students'!$B$2:$B$701,P2547))</f>
        <v/>
      </c>
      <c r="E2547">
        <f>IF(OR(H2547="",P2547=""),"",INDEX('Students'!$C$2:$C$701,P2547))</f>
        <v/>
      </c>
      <c r="F2547" s="48">
        <f>IF(H2547="","",IF(ISNUMBER(O2547),O2547,J2547))</f>
        <v/>
      </c>
      <c r="G2547">
        <f>IF(H2547="","","OneCause")</f>
        <v/>
      </c>
      <c r="H2547">
        <f>IF(AND(I2547="",J2547="",K2547=""),"",IF(NOT(ISNUMBER(O2547)),"Bad amount",IF(O2547&lt;0,"Refund (not counted)",IF(O2547=0,"Zero amount",IF(NOT(ISNUMBER(N2547)),"Bad date",IF(P2547="","NAME NOT ON ROSTER",IF(L2547="","OK",IF(MATCH(L2547,$L$2:$L$3001,0)&lt;ROW()-1,"Duplicate (ignored)","OK"))))))))</f>
        <v/>
      </c>
      <c r="I2547">
        <f>IF(OC_Date=0,"",IF(INDEX('OneCause_Paste'!$A$2547:$AZ$2547,1,OC_Date)="","",INDEX('OneCause_Paste'!$A$2547:$AZ$2547,1,OC_Date)))</f>
        <v/>
      </c>
      <c r="J2547">
        <f>IF(OC_Amt=0,"",IF(INDEX('OneCause_Paste'!$A$2547:$AZ$2547,1,OC_Amt)="","",INDEX('OneCause_Paste'!$A$2547:$AZ$2547,1,OC_Amt)))</f>
        <v/>
      </c>
      <c r="K2547">
        <f>IF(OC_Name=0,"",IF(INDEX('OneCause_Paste'!$A$2547:$AZ$2547,1,OC_Name)="","",INDEX('OneCause_Paste'!$A$2547:$AZ$2547,1,OC_Name)))</f>
        <v/>
      </c>
      <c r="L2547">
        <f>IF(OC_Txn=0,"",IF(INDEX('OneCause_Paste'!$A$2547:$AZ$2547,1,OC_Txn)="","",INDEX('OneCause_Paste'!$A$2547:$AZ$2547,1,OC_Txn)))</f>
        <v/>
      </c>
      <c r="M2547">
        <f>IF(OC_Pay=0,"",IF(INDEX('OneCause_Paste'!$A$2547:$AZ$2547,1,OC_Pay)="","",INDEX('OneCause_Paste'!$A$2547:$AZ$2547,1,OC_Pay)))</f>
        <v/>
      </c>
      <c r="N2547">
        <f>IF(I2547="","",IF(ISNUMBER(I2547),INT(I2547),IFERROR(INT(DATEVALUE(I2547)),IFERROR(INT(VALUE(I2547)),"bad"))))</f>
        <v/>
      </c>
      <c r="O2547">
        <f>IF(J2547="","",IF(ISNUMBER(J2547),ROUND(J2547,2),IFERROR(ROUND(VALUE(SUBSTITUTE(SUBSTITUTE(SUBSTITUTE(J2547,"$",""),",","")," ","")),2),"bad")))</f>
        <v/>
      </c>
      <c r="P2547">
        <f>IF(TRIM(K2547)="","",IFERROR(MATCH(LOWER(TRIM(K2547)),'Students'!$AH$2:$AH$701,0),IFERROR(MATCH(LOWER(TRIM(K2547)),'Students'!$AF$2:$AF$701,0),IFERROR(MATCH(LOWER(TRIM(K2547)),'Students'!$AG$2:$AG$701,0),""))))</f>
        <v/>
      </c>
      <c r="R2547">
        <f>IF(P2547="","",INDEX('Students'!$AD$2:$AD$701,P2547))</f>
        <v/>
      </c>
      <c r="S2547">
        <f>IF(H2547="OK",O2547,0)</f>
        <v/>
      </c>
      <c r="T2547">
        <f>IF(H2547="OK",N2547,"")</f>
        <v/>
      </c>
      <c r="U2547">
        <f>IF(OC_Donor=0,"",IF(INDEX('OneCause_Paste'!$A$2547:$AZ$2547,1,OC_Donor)="","",INDEX('OneCause_Paste'!$A$2547:$AZ$2547,1,OC_Donor)))</f>
        <v/>
      </c>
    </row>
    <row r="2548">
      <c r="A2548" s="62">
        <f>IF(H2548="","",IF(ISNUMBER(N2548),N2548,I2548))</f>
        <v/>
      </c>
      <c r="B2548">
        <f>IF(H2548="","",U2548)</f>
        <v/>
      </c>
      <c r="C2548">
        <f>IF(H2548="","",IF(P2548="",K2548,INDEX('Students'!$A$2:$A$701,P2548)))</f>
        <v/>
      </c>
      <c r="D2548">
        <f>IF(OR(H2548="",P2548=""),"",INDEX('Students'!$B$2:$B$701,P2548))</f>
        <v/>
      </c>
      <c r="E2548">
        <f>IF(OR(H2548="",P2548=""),"",INDEX('Students'!$C$2:$C$701,P2548))</f>
        <v/>
      </c>
      <c r="F2548" s="48">
        <f>IF(H2548="","",IF(ISNUMBER(O2548),O2548,J2548))</f>
        <v/>
      </c>
      <c r="G2548">
        <f>IF(H2548="","","OneCause")</f>
        <v/>
      </c>
      <c r="H2548">
        <f>IF(AND(I2548="",J2548="",K2548=""),"",IF(NOT(ISNUMBER(O2548)),"Bad amount",IF(O2548&lt;0,"Refund (not counted)",IF(O2548=0,"Zero amount",IF(NOT(ISNUMBER(N2548)),"Bad date",IF(P2548="","NAME NOT ON ROSTER",IF(L2548="","OK",IF(MATCH(L2548,$L$2:$L$3001,0)&lt;ROW()-1,"Duplicate (ignored)","OK"))))))))</f>
        <v/>
      </c>
      <c r="I2548">
        <f>IF(OC_Date=0,"",IF(INDEX('OneCause_Paste'!$A$2548:$AZ$2548,1,OC_Date)="","",INDEX('OneCause_Paste'!$A$2548:$AZ$2548,1,OC_Date)))</f>
        <v/>
      </c>
      <c r="J2548">
        <f>IF(OC_Amt=0,"",IF(INDEX('OneCause_Paste'!$A$2548:$AZ$2548,1,OC_Amt)="","",INDEX('OneCause_Paste'!$A$2548:$AZ$2548,1,OC_Amt)))</f>
        <v/>
      </c>
      <c r="K2548">
        <f>IF(OC_Name=0,"",IF(INDEX('OneCause_Paste'!$A$2548:$AZ$2548,1,OC_Name)="","",INDEX('OneCause_Paste'!$A$2548:$AZ$2548,1,OC_Name)))</f>
        <v/>
      </c>
      <c r="L2548">
        <f>IF(OC_Txn=0,"",IF(INDEX('OneCause_Paste'!$A$2548:$AZ$2548,1,OC_Txn)="","",INDEX('OneCause_Paste'!$A$2548:$AZ$2548,1,OC_Txn)))</f>
        <v/>
      </c>
      <c r="M2548">
        <f>IF(OC_Pay=0,"",IF(INDEX('OneCause_Paste'!$A$2548:$AZ$2548,1,OC_Pay)="","",INDEX('OneCause_Paste'!$A$2548:$AZ$2548,1,OC_Pay)))</f>
        <v/>
      </c>
      <c r="N2548">
        <f>IF(I2548="","",IF(ISNUMBER(I2548),INT(I2548),IFERROR(INT(DATEVALUE(I2548)),IFERROR(INT(VALUE(I2548)),"bad"))))</f>
        <v/>
      </c>
      <c r="O2548">
        <f>IF(J2548="","",IF(ISNUMBER(J2548),ROUND(J2548,2),IFERROR(ROUND(VALUE(SUBSTITUTE(SUBSTITUTE(SUBSTITUTE(J2548,"$",""),",","")," ","")),2),"bad")))</f>
        <v/>
      </c>
      <c r="P2548">
        <f>IF(TRIM(K2548)="","",IFERROR(MATCH(LOWER(TRIM(K2548)),'Students'!$AH$2:$AH$701,0),IFERROR(MATCH(LOWER(TRIM(K2548)),'Students'!$AF$2:$AF$701,0),IFERROR(MATCH(LOWER(TRIM(K2548)),'Students'!$AG$2:$AG$701,0),""))))</f>
        <v/>
      </c>
      <c r="R2548">
        <f>IF(P2548="","",INDEX('Students'!$AD$2:$AD$701,P2548))</f>
        <v/>
      </c>
      <c r="S2548">
        <f>IF(H2548="OK",O2548,0)</f>
        <v/>
      </c>
      <c r="T2548">
        <f>IF(H2548="OK",N2548,"")</f>
        <v/>
      </c>
      <c r="U2548">
        <f>IF(OC_Donor=0,"",IF(INDEX('OneCause_Paste'!$A$2548:$AZ$2548,1,OC_Donor)="","",INDEX('OneCause_Paste'!$A$2548:$AZ$2548,1,OC_Donor)))</f>
        <v/>
      </c>
    </row>
    <row r="2549">
      <c r="A2549" s="62">
        <f>IF(H2549="","",IF(ISNUMBER(N2549),N2549,I2549))</f>
        <v/>
      </c>
      <c r="B2549">
        <f>IF(H2549="","",U2549)</f>
        <v/>
      </c>
      <c r="C2549">
        <f>IF(H2549="","",IF(P2549="",K2549,INDEX('Students'!$A$2:$A$701,P2549)))</f>
        <v/>
      </c>
      <c r="D2549">
        <f>IF(OR(H2549="",P2549=""),"",INDEX('Students'!$B$2:$B$701,P2549))</f>
        <v/>
      </c>
      <c r="E2549">
        <f>IF(OR(H2549="",P2549=""),"",INDEX('Students'!$C$2:$C$701,P2549))</f>
        <v/>
      </c>
      <c r="F2549" s="48">
        <f>IF(H2549="","",IF(ISNUMBER(O2549),O2549,J2549))</f>
        <v/>
      </c>
      <c r="G2549">
        <f>IF(H2549="","","OneCause")</f>
        <v/>
      </c>
      <c r="H2549">
        <f>IF(AND(I2549="",J2549="",K2549=""),"",IF(NOT(ISNUMBER(O2549)),"Bad amount",IF(O2549&lt;0,"Refund (not counted)",IF(O2549=0,"Zero amount",IF(NOT(ISNUMBER(N2549)),"Bad date",IF(P2549="","NAME NOT ON ROSTER",IF(L2549="","OK",IF(MATCH(L2549,$L$2:$L$3001,0)&lt;ROW()-1,"Duplicate (ignored)","OK"))))))))</f>
        <v/>
      </c>
      <c r="I2549">
        <f>IF(OC_Date=0,"",IF(INDEX('OneCause_Paste'!$A$2549:$AZ$2549,1,OC_Date)="","",INDEX('OneCause_Paste'!$A$2549:$AZ$2549,1,OC_Date)))</f>
        <v/>
      </c>
      <c r="J2549">
        <f>IF(OC_Amt=0,"",IF(INDEX('OneCause_Paste'!$A$2549:$AZ$2549,1,OC_Amt)="","",INDEX('OneCause_Paste'!$A$2549:$AZ$2549,1,OC_Amt)))</f>
        <v/>
      </c>
      <c r="K2549">
        <f>IF(OC_Name=0,"",IF(INDEX('OneCause_Paste'!$A$2549:$AZ$2549,1,OC_Name)="","",INDEX('OneCause_Paste'!$A$2549:$AZ$2549,1,OC_Name)))</f>
        <v/>
      </c>
      <c r="L2549">
        <f>IF(OC_Txn=0,"",IF(INDEX('OneCause_Paste'!$A$2549:$AZ$2549,1,OC_Txn)="","",INDEX('OneCause_Paste'!$A$2549:$AZ$2549,1,OC_Txn)))</f>
        <v/>
      </c>
      <c r="M2549">
        <f>IF(OC_Pay=0,"",IF(INDEX('OneCause_Paste'!$A$2549:$AZ$2549,1,OC_Pay)="","",INDEX('OneCause_Paste'!$A$2549:$AZ$2549,1,OC_Pay)))</f>
        <v/>
      </c>
      <c r="N2549">
        <f>IF(I2549="","",IF(ISNUMBER(I2549),INT(I2549),IFERROR(INT(DATEVALUE(I2549)),IFERROR(INT(VALUE(I2549)),"bad"))))</f>
        <v/>
      </c>
      <c r="O2549">
        <f>IF(J2549="","",IF(ISNUMBER(J2549),ROUND(J2549,2),IFERROR(ROUND(VALUE(SUBSTITUTE(SUBSTITUTE(SUBSTITUTE(J2549,"$",""),",","")," ","")),2),"bad")))</f>
        <v/>
      </c>
      <c r="P2549">
        <f>IF(TRIM(K2549)="","",IFERROR(MATCH(LOWER(TRIM(K2549)),'Students'!$AH$2:$AH$701,0),IFERROR(MATCH(LOWER(TRIM(K2549)),'Students'!$AF$2:$AF$701,0),IFERROR(MATCH(LOWER(TRIM(K2549)),'Students'!$AG$2:$AG$701,0),""))))</f>
        <v/>
      </c>
      <c r="R2549">
        <f>IF(P2549="","",INDEX('Students'!$AD$2:$AD$701,P2549))</f>
        <v/>
      </c>
      <c r="S2549">
        <f>IF(H2549="OK",O2549,0)</f>
        <v/>
      </c>
      <c r="T2549">
        <f>IF(H2549="OK",N2549,"")</f>
        <v/>
      </c>
      <c r="U2549">
        <f>IF(OC_Donor=0,"",IF(INDEX('OneCause_Paste'!$A$2549:$AZ$2549,1,OC_Donor)="","",INDEX('OneCause_Paste'!$A$2549:$AZ$2549,1,OC_Donor)))</f>
        <v/>
      </c>
    </row>
    <row r="2550">
      <c r="A2550" s="62">
        <f>IF(H2550="","",IF(ISNUMBER(N2550),N2550,I2550))</f>
        <v/>
      </c>
      <c r="B2550">
        <f>IF(H2550="","",U2550)</f>
        <v/>
      </c>
      <c r="C2550">
        <f>IF(H2550="","",IF(P2550="",K2550,INDEX('Students'!$A$2:$A$701,P2550)))</f>
        <v/>
      </c>
      <c r="D2550">
        <f>IF(OR(H2550="",P2550=""),"",INDEX('Students'!$B$2:$B$701,P2550))</f>
        <v/>
      </c>
      <c r="E2550">
        <f>IF(OR(H2550="",P2550=""),"",INDEX('Students'!$C$2:$C$701,P2550))</f>
        <v/>
      </c>
      <c r="F2550" s="48">
        <f>IF(H2550="","",IF(ISNUMBER(O2550),O2550,J2550))</f>
        <v/>
      </c>
      <c r="G2550">
        <f>IF(H2550="","","OneCause")</f>
        <v/>
      </c>
      <c r="H2550">
        <f>IF(AND(I2550="",J2550="",K2550=""),"",IF(NOT(ISNUMBER(O2550)),"Bad amount",IF(O2550&lt;0,"Refund (not counted)",IF(O2550=0,"Zero amount",IF(NOT(ISNUMBER(N2550)),"Bad date",IF(P2550="","NAME NOT ON ROSTER",IF(L2550="","OK",IF(MATCH(L2550,$L$2:$L$3001,0)&lt;ROW()-1,"Duplicate (ignored)","OK"))))))))</f>
        <v/>
      </c>
      <c r="I2550">
        <f>IF(OC_Date=0,"",IF(INDEX('OneCause_Paste'!$A$2550:$AZ$2550,1,OC_Date)="","",INDEX('OneCause_Paste'!$A$2550:$AZ$2550,1,OC_Date)))</f>
        <v/>
      </c>
      <c r="J2550">
        <f>IF(OC_Amt=0,"",IF(INDEX('OneCause_Paste'!$A$2550:$AZ$2550,1,OC_Amt)="","",INDEX('OneCause_Paste'!$A$2550:$AZ$2550,1,OC_Amt)))</f>
        <v/>
      </c>
      <c r="K2550">
        <f>IF(OC_Name=0,"",IF(INDEX('OneCause_Paste'!$A$2550:$AZ$2550,1,OC_Name)="","",INDEX('OneCause_Paste'!$A$2550:$AZ$2550,1,OC_Name)))</f>
        <v/>
      </c>
      <c r="L2550">
        <f>IF(OC_Txn=0,"",IF(INDEX('OneCause_Paste'!$A$2550:$AZ$2550,1,OC_Txn)="","",INDEX('OneCause_Paste'!$A$2550:$AZ$2550,1,OC_Txn)))</f>
        <v/>
      </c>
      <c r="M2550">
        <f>IF(OC_Pay=0,"",IF(INDEX('OneCause_Paste'!$A$2550:$AZ$2550,1,OC_Pay)="","",INDEX('OneCause_Paste'!$A$2550:$AZ$2550,1,OC_Pay)))</f>
        <v/>
      </c>
      <c r="N2550">
        <f>IF(I2550="","",IF(ISNUMBER(I2550),INT(I2550),IFERROR(INT(DATEVALUE(I2550)),IFERROR(INT(VALUE(I2550)),"bad"))))</f>
        <v/>
      </c>
      <c r="O2550">
        <f>IF(J2550="","",IF(ISNUMBER(J2550),ROUND(J2550,2),IFERROR(ROUND(VALUE(SUBSTITUTE(SUBSTITUTE(SUBSTITUTE(J2550,"$",""),",","")," ","")),2),"bad")))</f>
        <v/>
      </c>
      <c r="P2550">
        <f>IF(TRIM(K2550)="","",IFERROR(MATCH(LOWER(TRIM(K2550)),'Students'!$AH$2:$AH$701,0),IFERROR(MATCH(LOWER(TRIM(K2550)),'Students'!$AF$2:$AF$701,0),IFERROR(MATCH(LOWER(TRIM(K2550)),'Students'!$AG$2:$AG$701,0),""))))</f>
        <v/>
      </c>
      <c r="R2550">
        <f>IF(P2550="","",INDEX('Students'!$AD$2:$AD$701,P2550))</f>
        <v/>
      </c>
      <c r="S2550">
        <f>IF(H2550="OK",O2550,0)</f>
        <v/>
      </c>
      <c r="T2550">
        <f>IF(H2550="OK",N2550,"")</f>
        <v/>
      </c>
      <c r="U2550">
        <f>IF(OC_Donor=0,"",IF(INDEX('OneCause_Paste'!$A$2550:$AZ$2550,1,OC_Donor)="","",INDEX('OneCause_Paste'!$A$2550:$AZ$2550,1,OC_Donor)))</f>
        <v/>
      </c>
    </row>
    <row r="2551">
      <c r="A2551" s="62">
        <f>IF(H2551="","",IF(ISNUMBER(N2551),N2551,I2551))</f>
        <v/>
      </c>
      <c r="B2551">
        <f>IF(H2551="","",U2551)</f>
        <v/>
      </c>
      <c r="C2551">
        <f>IF(H2551="","",IF(P2551="",K2551,INDEX('Students'!$A$2:$A$701,P2551)))</f>
        <v/>
      </c>
      <c r="D2551">
        <f>IF(OR(H2551="",P2551=""),"",INDEX('Students'!$B$2:$B$701,P2551))</f>
        <v/>
      </c>
      <c r="E2551">
        <f>IF(OR(H2551="",P2551=""),"",INDEX('Students'!$C$2:$C$701,P2551))</f>
        <v/>
      </c>
      <c r="F2551" s="48">
        <f>IF(H2551="","",IF(ISNUMBER(O2551),O2551,J2551))</f>
        <v/>
      </c>
      <c r="G2551">
        <f>IF(H2551="","","OneCause")</f>
        <v/>
      </c>
      <c r="H2551">
        <f>IF(AND(I2551="",J2551="",K2551=""),"",IF(NOT(ISNUMBER(O2551)),"Bad amount",IF(O2551&lt;0,"Refund (not counted)",IF(O2551=0,"Zero amount",IF(NOT(ISNUMBER(N2551)),"Bad date",IF(P2551="","NAME NOT ON ROSTER",IF(L2551="","OK",IF(MATCH(L2551,$L$2:$L$3001,0)&lt;ROW()-1,"Duplicate (ignored)","OK"))))))))</f>
        <v/>
      </c>
      <c r="I2551">
        <f>IF(OC_Date=0,"",IF(INDEX('OneCause_Paste'!$A$2551:$AZ$2551,1,OC_Date)="","",INDEX('OneCause_Paste'!$A$2551:$AZ$2551,1,OC_Date)))</f>
        <v/>
      </c>
      <c r="J2551">
        <f>IF(OC_Amt=0,"",IF(INDEX('OneCause_Paste'!$A$2551:$AZ$2551,1,OC_Amt)="","",INDEX('OneCause_Paste'!$A$2551:$AZ$2551,1,OC_Amt)))</f>
        <v/>
      </c>
      <c r="K2551">
        <f>IF(OC_Name=0,"",IF(INDEX('OneCause_Paste'!$A$2551:$AZ$2551,1,OC_Name)="","",INDEX('OneCause_Paste'!$A$2551:$AZ$2551,1,OC_Name)))</f>
        <v/>
      </c>
      <c r="L2551">
        <f>IF(OC_Txn=0,"",IF(INDEX('OneCause_Paste'!$A$2551:$AZ$2551,1,OC_Txn)="","",INDEX('OneCause_Paste'!$A$2551:$AZ$2551,1,OC_Txn)))</f>
        <v/>
      </c>
      <c r="M2551">
        <f>IF(OC_Pay=0,"",IF(INDEX('OneCause_Paste'!$A$2551:$AZ$2551,1,OC_Pay)="","",INDEX('OneCause_Paste'!$A$2551:$AZ$2551,1,OC_Pay)))</f>
        <v/>
      </c>
      <c r="N2551">
        <f>IF(I2551="","",IF(ISNUMBER(I2551),INT(I2551),IFERROR(INT(DATEVALUE(I2551)),IFERROR(INT(VALUE(I2551)),"bad"))))</f>
        <v/>
      </c>
      <c r="O2551">
        <f>IF(J2551="","",IF(ISNUMBER(J2551),ROUND(J2551,2),IFERROR(ROUND(VALUE(SUBSTITUTE(SUBSTITUTE(SUBSTITUTE(J2551,"$",""),",","")," ","")),2),"bad")))</f>
        <v/>
      </c>
      <c r="P2551">
        <f>IF(TRIM(K2551)="","",IFERROR(MATCH(LOWER(TRIM(K2551)),'Students'!$AH$2:$AH$701,0),IFERROR(MATCH(LOWER(TRIM(K2551)),'Students'!$AF$2:$AF$701,0),IFERROR(MATCH(LOWER(TRIM(K2551)),'Students'!$AG$2:$AG$701,0),""))))</f>
        <v/>
      </c>
      <c r="R2551">
        <f>IF(P2551="","",INDEX('Students'!$AD$2:$AD$701,P2551))</f>
        <v/>
      </c>
      <c r="S2551">
        <f>IF(H2551="OK",O2551,0)</f>
        <v/>
      </c>
      <c r="T2551">
        <f>IF(H2551="OK",N2551,"")</f>
        <v/>
      </c>
      <c r="U2551">
        <f>IF(OC_Donor=0,"",IF(INDEX('OneCause_Paste'!$A$2551:$AZ$2551,1,OC_Donor)="","",INDEX('OneCause_Paste'!$A$2551:$AZ$2551,1,OC_Donor)))</f>
        <v/>
      </c>
    </row>
    <row r="2552">
      <c r="A2552" s="62">
        <f>IF(H2552="","",IF(ISNUMBER(N2552),N2552,I2552))</f>
        <v/>
      </c>
      <c r="B2552">
        <f>IF(H2552="","",U2552)</f>
        <v/>
      </c>
      <c r="C2552">
        <f>IF(H2552="","",IF(P2552="",K2552,INDEX('Students'!$A$2:$A$701,P2552)))</f>
        <v/>
      </c>
      <c r="D2552">
        <f>IF(OR(H2552="",P2552=""),"",INDEX('Students'!$B$2:$B$701,P2552))</f>
        <v/>
      </c>
      <c r="E2552">
        <f>IF(OR(H2552="",P2552=""),"",INDEX('Students'!$C$2:$C$701,P2552))</f>
        <v/>
      </c>
      <c r="F2552" s="48">
        <f>IF(H2552="","",IF(ISNUMBER(O2552),O2552,J2552))</f>
        <v/>
      </c>
      <c r="G2552">
        <f>IF(H2552="","","OneCause")</f>
        <v/>
      </c>
      <c r="H2552">
        <f>IF(AND(I2552="",J2552="",K2552=""),"",IF(NOT(ISNUMBER(O2552)),"Bad amount",IF(O2552&lt;0,"Refund (not counted)",IF(O2552=0,"Zero amount",IF(NOT(ISNUMBER(N2552)),"Bad date",IF(P2552="","NAME NOT ON ROSTER",IF(L2552="","OK",IF(MATCH(L2552,$L$2:$L$3001,0)&lt;ROW()-1,"Duplicate (ignored)","OK"))))))))</f>
        <v/>
      </c>
      <c r="I2552">
        <f>IF(OC_Date=0,"",IF(INDEX('OneCause_Paste'!$A$2552:$AZ$2552,1,OC_Date)="","",INDEX('OneCause_Paste'!$A$2552:$AZ$2552,1,OC_Date)))</f>
        <v/>
      </c>
      <c r="J2552">
        <f>IF(OC_Amt=0,"",IF(INDEX('OneCause_Paste'!$A$2552:$AZ$2552,1,OC_Amt)="","",INDEX('OneCause_Paste'!$A$2552:$AZ$2552,1,OC_Amt)))</f>
        <v/>
      </c>
      <c r="K2552">
        <f>IF(OC_Name=0,"",IF(INDEX('OneCause_Paste'!$A$2552:$AZ$2552,1,OC_Name)="","",INDEX('OneCause_Paste'!$A$2552:$AZ$2552,1,OC_Name)))</f>
        <v/>
      </c>
      <c r="L2552">
        <f>IF(OC_Txn=0,"",IF(INDEX('OneCause_Paste'!$A$2552:$AZ$2552,1,OC_Txn)="","",INDEX('OneCause_Paste'!$A$2552:$AZ$2552,1,OC_Txn)))</f>
        <v/>
      </c>
      <c r="M2552">
        <f>IF(OC_Pay=0,"",IF(INDEX('OneCause_Paste'!$A$2552:$AZ$2552,1,OC_Pay)="","",INDEX('OneCause_Paste'!$A$2552:$AZ$2552,1,OC_Pay)))</f>
        <v/>
      </c>
      <c r="N2552">
        <f>IF(I2552="","",IF(ISNUMBER(I2552),INT(I2552),IFERROR(INT(DATEVALUE(I2552)),IFERROR(INT(VALUE(I2552)),"bad"))))</f>
        <v/>
      </c>
      <c r="O2552">
        <f>IF(J2552="","",IF(ISNUMBER(J2552),ROUND(J2552,2),IFERROR(ROUND(VALUE(SUBSTITUTE(SUBSTITUTE(SUBSTITUTE(J2552,"$",""),",","")," ","")),2),"bad")))</f>
        <v/>
      </c>
      <c r="P2552">
        <f>IF(TRIM(K2552)="","",IFERROR(MATCH(LOWER(TRIM(K2552)),'Students'!$AH$2:$AH$701,0),IFERROR(MATCH(LOWER(TRIM(K2552)),'Students'!$AF$2:$AF$701,0),IFERROR(MATCH(LOWER(TRIM(K2552)),'Students'!$AG$2:$AG$701,0),""))))</f>
        <v/>
      </c>
      <c r="R2552">
        <f>IF(P2552="","",INDEX('Students'!$AD$2:$AD$701,P2552))</f>
        <v/>
      </c>
      <c r="S2552">
        <f>IF(H2552="OK",O2552,0)</f>
        <v/>
      </c>
      <c r="T2552">
        <f>IF(H2552="OK",N2552,"")</f>
        <v/>
      </c>
      <c r="U2552">
        <f>IF(OC_Donor=0,"",IF(INDEX('OneCause_Paste'!$A$2552:$AZ$2552,1,OC_Donor)="","",INDEX('OneCause_Paste'!$A$2552:$AZ$2552,1,OC_Donor)))</f>
        <v/>
      </c>
    </row>
    <row r="2553">
      <c r="A2553" s="62">
        <f>IF(H2553="","",IF(ISNUMBER(N2553),N2553,I2553))</f>
        <v/>
      </c>
      <c r="B2553">
        <f>IF(H2553="","",U2553)</f>
        <v/>
      </c>
      <c r="C2553">
        <f>IF(H2553="","",IF(P2553="",K2553,INDEX('Students'!$A$2:$A$701,P2553)))</f>
        <v/>
      </c>
      <c r="D2553">
        <f>IF(OR(H2553="",P2553=""),"",INDEX('Students'!$B$2:$B$701,P2553))</f>
        <v/>
      </c>
      <c r="E2553">
        <f>IF(OR(H2553="",P2553=""),"",INDEX('Students'!$C$2:$C$701,P2553))</f>
        <v/>
      </c>
      <c r="F2553" s="48">
        <f>IF(H2553="","",IF(ISNUMBER(O2553),O2553,J2553))</f>
        <v/>
      </c>
      <c r="G2553">
        <f>IF(H2553="","","OneCause")</f>
        <v/>
      </c>
      <c r="H2553">
        <f>IF(AND(I2553="",J2553="",K2553=""),"",IF(NOT(ISNUMBER(O2553)),"Bad amount",IF(O2553&lt;0,"Refund (not counted)",IF(O2553=0,"Zero amount",IF(NOT(ISNUMBER(N2553)),"Bad date",IF(P2553="","NAME NOT ON ROSTER",IF(L2553="","OK",IF(MATCH(L2553,$L$2:$L$3001,0)&lt;ROW()-1,"Duplicate (ignored)","OK"))))))))</f>
        <v/>
      </c>
      <c r="I2553">
        <f>IF(OC_Date=0,"",IF(INDEX('OneCause_Paste'!$A$2553:$AZ$2553,1,OC_Date)="","",INDEX('OneCause_Paste'!$A$2553:$AZ$2553,1,OC_Date)))</f>
        <v/>
      </c>
      <c r="J2553">
        <f>IF(OC_Amt=0,"",IF(INDEX('OneCause_Paste'!$A$2553:$AZ$2553,1,OC_Amt)="","",INDEX('OneCause_Paste'!$A$2553:$AZ$2553,1,OC_Amt)))</f>
        <v/>
      </c>
      <c r="K2553">
        <f>IF(OC_Name=0,"",IF(INDEX('OneCause_Paste'!$A$2553:$AZ$2553,1,OC_Name)="","",INDEX('OneCause_Paste'!$A$2553:$AZ$2553,1,OC_Name)))</f>
        <v/>
      </c>
      <c r="L2553">
        <f>IF(OC_Txn=0,"",IF(INDEX('OneCause_Paste'!$A$2553:$AZ$2553,1,OC_Txn)="","",INDEX('OneCause_Paste'!$A$2553:$AZ$2553,1,OC_Txn)))</f>
        <v/>
      </c>
      <c r="M2553">
        <f>IF(OC_Pay=0,"",IF(INDEX('OneCause_Paste'!$A$2553:$AZ$2553,1,OC_Pay)="","",INDEX('OneCause_Paste'!$A$2553:$AZ$2553,1,OC_Pay)))</f>
        <v/>
      </c>
      <c r="N2553">
        <f>IF(I2553="","",IF(ISNUMBER(I2553),INT(I2553),IFERROR(INT(DATEVALUE(I2553)),IFERROR(INT(VALUE(I2553)),"bad"))))</f>
        <v/>
      </c>
      <c r="O2553">
        <f>IF(J2553="","",IF(ISNUMBER(J2553),ROUND(J2553,2),IFERROR(ROUND(VALUE(SUBSTITUTE(SUBSTITUTE(SUBSTITUTE(J2553,"$",""),",","")," ","")),2),"bad")))</f>
        <v/>
      </c>
      <c r="P2553">
        <f>IF(TRIM(K2553)="","",IFERROR(MATCH(LOWER(TRIM(K2553)),'Students'!$AH$2:$AH$701,0),IFERROR(MATCH(LOWER(TRIM(K2553)),'Students'!$AF$2:$AF$701,0),IFERROR(MATCH(LOWER(TRIM(K2553)),'Students'!$AG$2:$AG$701,0),""))))</f>
        <v/>
      </c>
      <c r="R2553">
        <f>IF(P2553="","",INDEX('Students'!$AD$2:$AD$701,P2553))</f>
        <v/>
      </c>
      <c r="S2553">
        <f>IF(H2553="OK",O2553,0)</f>
        <v/>
      </c>
      <c r="T2553">
        <f>IF(H2553="OK",N2553,"")</f>
        <v/>
      </c>
      <c r="U2553">
        <f>IF(OC_Donor=0,"",IF(INDEX('OneCause_Paste'!$A$2553:$AZ$2553,1,OC_Donor)="","",INDEX('OneCause_Paste'!$A$2553:$AZ$2553,1,OC_Donor)))</f>
        <v/>
      </c>
    </row>
    <row r="2554">
      <c r="A2554" s="62">
        <f>IF(H2554="","",IF(ISNUMBER(N2554),N2554,I2554))</f>
        <v/>
      </c>
      <c r="B2554">
        <f>IF(H2554="","",U2554)</f>
        <v/>
      </c>
      <c r="C2554">
        <f>IF(H2554="","",IF(P2554="",K2554,INDEX('Students'!$A$2:$A$701,P2554)))</f>
        <v/>
      </c>
      <c r="D2554">
        <f>IF(OR(H2554="",P2554=""),"",INDEX('Students'!$B$2:$B$701,P2554))</f>
        <v/>
      </c>
      <c r="E2554">
        <f>IF(OR(H2554="",P2554=""),"",INDEX('Students'!$C$2:$C$701,P2554))</f>
        <v/>
      </c>
      <c r="F2554" s="48">
        <f>IF(H2554="","",IF(ISNUMBER(O2554),O2554,J2554))</f>
        <v/>
      </c>
      <c r="G2554">
        <f>IF(H2554="","","OneCause")</f>
        <v/>
      </c>
      <c r="H2554">
        <f>IF(AND(I2554="",J2554="",K2554=""),"",IF(NOT(ISNUMBER(O2554)),"Bad amount",IF(O2554&lt;0,"Refund (not counted)",IF(O2554=0,"Zero amount",IF(NOT(ISNUMBER(N2554)),"Bad date",IF(P2554="","NAME NOT ON ROSTER",IF(L2554="","OK",IF(MATCH(L2554,$L$2:$L$3001,0)&lt;ROW()-1,"Duplicate (ignored)","OK"))))))))</f>
        <v/>
      </c>
      <c r="I2554">
        <f>IF(OC_Date=0,"",IF(INDEX('OneCause_Paste'!$A$2554:$AZ$2554,1,OC_Date)="","",INDEX('OneCause_Paste'!$A$2554:$AZ$2554,1,OC_Date)))</f>
        <v/>
      </c>
      <c r="J2554">
        <f>IF(OC_Amt=0,"",IF(INDEX('OneCause_Paste'!$A$2554:$AZ$2554,1,OC_Amt)="","",INDEX('OneCause_Paste'!$A$2554:$AZ$2554,1,OC_Amt)))</f>
        <v/>
      </c>
      <c r="K2554">
        <f>IF(OC_Name=0,"",IF(INDEX('OneCause_Paste'!$A$2554:$AZ$2554,1,OC_Name)="","",INDEX('OneCause_Paste'!$A$2554:$AZ$2554,1,OC_Name)))</f>
        <v/>
      </c>
      <c r="L2554">
        <f>IF(OC_Txn=0,"",IF(INDEX('OneCause_Paste'!$A$2554:$AZ$2554,1,OC_Txn)="","",INDEX('OneCause_Paste'!$A$2554:$AZ$2554,1,OC_Txn)))</f>
        <v/>
      </c>
      <c r="M2554">
        <f>IF(OC_Pay=0,"",IF(INDEX('OneCause_Paste'!$A$2554:$AZ$2554,1,OC_Pay)="","",INDEX('OneCause_Paste'!$A$2554:$AZ$2554,1,OC_Pay)))</f>
        <v/>
      </c>
      <c r="N2554">
        <f>IF(I2554="","",IF(ISNUMBER(I2554),INT(I2554),IFERROR(INT(DATEVALUE(I2554)),IFERROR(INT(VALUE(I2554)),"bad"))))</f>
        <v/>
      </c>
      <c r="O2554">
        <f>IF(J2554="","",IF(ISNUMBER(J2554),ROUND(J2554,2),IFERROR(ROUND(VALUE(SUBSTITUTE(SUBSTITUTE(SUBSTITUTE(J2554,"$",""),",","")," ","")),2),"bad")))</f>
        <v/>
      </c>
      <c r="P2554">
        <f>IF(TRIM(K2554)="","",IFERROR(MATCH(LOWER(TRIM(K2554)),'Students'!$AH$2:$AH$701,0),IFERROR(MATCH(LOWER(TRIM(K2554)),'Students'!$AF$2:$AF$701,0),IFERROR(MATCH(LOWER(TRIM(K2554)),'Students'!$AG$2:$AG$701,0),""))))</f>
        <v/>
      </c>
      <c r="R2554">
        <f>IF(P2554="","",INDEX('Students'!$AD$2:$AD$701,P2554))</f>
        <v/>
      </c>
      <c r="S2554">
        <f>IF(H2554="OK",O2554,0)</f>
        <v/>
      </c>
      <c r="T2554">
        <f>IF(H2554="OK",N2554,"")</f>
        <v/>
      </c>
      <c r="U2554">
        <f>IF(OC_Donor=0,"",IF(INDEX('OneCause_Paste'!$A$2554:$AZ$2554,1,OC_Donor)="","",INDEX('OneCause_Paste'!$A$2554:$AZ$2554,1,OC_Donor)))</f>
        <v/>
      </c>
    </row>
    <row r="2555">
      <c r="A2555" s="62">
        <f>IF(H2555="","",IF(ISNUMBER(N2555),N2555,I2555))</f>
        <v/>
      </c>
      <c r="B2555">
        <f>IF(H2555="","",U2555)</f>
        <v/>
      </c>
      <c r="C2555">
        <f>IF(H2555="","",IF(P2555="",K2555,INDEX('Students'!$A$2:$A$701,P2555)))</f>
        <v/>
      </c>
      <c r="D2555">
        <f>IF(OR(H2555="",P2555=""),"",INDEX('Students'!$B$2:$B$701,P2555))</f>
        <v/>
      </c>
      <c r="E2555">
        <f>IF(OR(H2555="",P2555=""),"",INDEX('Students'!$C$2:$C$701,P2555))</f>
        <v/>
      </c>
      <c r="F2555" s="48">
        <f>IF(H2555="","",IF(ISNUMBER(O2555),O2555,J2555))</f>
        <v/>
      </c>
      <c r="G2555">
        <f>IF(H2555="","","OneCause")</f>
        <v/>
      </c>
      <c r="H2555">
        <f>IF(AND(I2555="",J2555="",K2555=""),"",IF(NOT(ISNUMBER(O2555)),"Bad amount",IF(O2555&lt;0,"Refund (not counted)",IF(O2555=0,"Zero amount",IF(NOT(ISNUMBER(N2555)),"Bad date",IF(P2555="","NAME NOT ON ROSTER",IF(L2555="","OK",IF(MATCH(L2555,$L$2:$L$3001,0)&lt;ROW()-1,"Duplicate (ignored)","OK"))))))))</f>
        <v/>
      </c>
      <c r="I2555">
        <f>IF(OC_Date=0,"",IF(INDEX('OneCause_Paste'!$A$2555:$AZ$2555,1,OC_Date)="","",INDEX('OneCause_Paste'!$A$2555:$AZ$2555,1,OC_Date)))</f>
        <v/>
      </c>
      <c r="J2555">
        <f>IF(OC_Amt=0,"",IF(INDEX('OneCause_Paste'!$A$2555:$AZ$2555,1,OC_Amt)="","",INDEX('OneCause_Paste'!$A$2555:$AZ$2555,1,OC_Amt)))</f>
        <v/>
      </c>
      <c r="K2555">
        <f>IF(OC_Name=0,"",IF(INDEX('OneCause_Paste'!$A$2555:$AZ$2555,1,OC_Name)="","",INDEX('OneCause_Paste'!$A$2555:$AZ$2555,1,OC_Name)))</f>
        <v/>
      </c>
      <c r="L2555">
        <f>IF(OC_Txn=0,"",IF(INDEX('OneCause_Paste'!$A$2555:$AZ$2555,1,OC_Txn)="","",INDEX('OneCause_Paste'!$A$2555:$AZ$2555,1,OC_Txn)))</f>
        <v/>
      </c>
      <c r="M2555">
        <f>IF(OC_Pay=0,"",IF(INDEX('OneCause_Paste'!$A$2555:$AZ$2555,1,OC_Pay)="","",INDEX('OneCause_Paste'!$A$2555:$AZ$2555,1,OC_Pay)))</f>
        <v/>
      </c>
      <c r="N2555">
        <f>IF(I2555="","",IF(ISNUMBER(I2555),INT(I2555),IFERROR(INT(DATEVALUE(I2555)),IFERROR(INT(VALUE(I2555)),"bad"))))</f>
        <v/>
      </c>
      <c r="O2555">
        <f>IF(J2555="","",IF(ISNUMBER(J2555),ROUND(J2555,2),IFERROR(ROUND(VALUE(SUBSTITUTE(SUBSTITUTE(SUBSTITUTE(J2555,"$",""),",","")," ","")),2),"bad")))</f>
        <v/>
      </c>
      <c r="P2555">
        <f>IF(TRIM(K2555)="","",IFERROR(MATCH(LOWER(TRIM(K2555)),'Students'!$AH$2:$AH$701,0),IFERROR(MATCH(LOWER(TRIM(K2555)),'Students'!$AF$2:$AF$701,0),IFERROR(MATCH(LOWER(TRIM(K2555)),'Students'!$AG$2:$AG$701,0),""))))</f>
        <v/>
      </c>
      <c r="R2555">
        <f>IF(P2555="","",INDEX('Students'!$AD$2:$AD$701,P2555))</f>
        <v/>
      </c>
      <c r="S2555">
        <f>IF(H2555="OK",O2555,0)</f>
        <v/>
      </c>
      <c r="T2555">
        <f>IF(H2555="OK",N2555,"")</f>
        <v/>
      </c>
      <c r="U2555">
        <f>IF(OC_Donor=0,"",IF(INDEX('OneCause_Paste'!$A$2555:$AZ$2555,1,OC_Donor)="","",INDEX('OneCause_Paste'!$A$2555:$AZ$2555,1,OC_Donor)))</f>
        <v/>
      </c>
    </row>
    <row r="2556">
      <c r="A2556" s="62">
        <f>IF(H2556="","",IF(ISNUMBER(N2556),N2556,I2556))</f>
        <v/>
      </c>
      <c r="B2556">
        <f>IF(H2556="","",U2556)</f>
        <v/>
      </c>
      <c r="C2556">
        <f>IF(H2556="","",IF(P2556="",K2556,INDEX('Students'!$A$2:$A$701,P2556)))</f>
        <v/>
      </c>
      <c r="D2556">
        <f>IF(OR(H2556="",P2556=""),"",INDEX('Students'!$B$2:$B$701,P2556))</f>
        <v/>
      </c>
      <c r="E2556">
        <f>IF(OR(H2556="",P2556=""),"",INDEX('Students'!$C$2:$C$701,P2556))</f>
        <v/>
      </c>
      <c r="F2556" s="48">
        <f>IF(H2556="","",IF(ISNUMBER(O2556),O2556,J2556))</f>
        <v/>
      </c>
      <c r="G2556">
        <f>IF(H2556="","","OneCause")</f>
        <v/>
      </c>
      <c r="H2556">
        <f>IF(AND(I2556="",J2556="",K2556=""),"",IF(NOT(ISNUMBER(O2556)),"Bad amount",IF(O2556&lt;0,"Refund (not counted)",IF(O2556=0,"Zero amount",IF(NOT(ISNUMBER(N2556)),"Bad date",IF(P2556="","NAME NOT ON ROSTER",IF(L2556="","OK",IF(MATCH(L2556,$L$2:$L$3001,0)&lt;ROW()-1,"Duplicate (ignored)","OK"))))))))</f>
        <v/>
      </c>
      <c r="I2556">
        <f>IF(OC_Date=0,"",IF(INDEX('OneCause_Paste'!$A$2556:$AZ$2556,1,OC_Date)="","",INDEX('OneCause_Paste'!$A$2556:$AZ$2556,1,OC_Date)))</f>
        <v/>
      </c>
      <c r="J2556">
        <f>IF(OC_Amt=0,"",IF(INDEX('OneCause_Paste'!$A$2556:$AZ$2556,1,OC_Amt)="","",INDEX('OneCause_Paste'!$A$2556:$AZ$2556,1,OC_Amt)))</f>
        <v/>
      </c>
      <c r="K2556">
        <f>IF(OC_Name=0,"",IF(INDEX('OneCause_Paste'!$A$2556:$AZ$2556,1,OC_Name)="","",INDEX('OneCause_Paste'!$A$2556:$AZ$2556,1,OC_Name)))</f>
        <v/>
      </c>
      <c r="L2556">
        <f>IF(OC_Txn=0,"",IF(INDEX('OneCause_Paste'!$A$2556:$AZ$2556,1,OC_Txn)="","",INDEX('OneCause_Paste'!$A$2556:$AZ$2556,1,OC_Txn)))</f>
        <v/>
      </c>
      <c r="M2556">
        <f>IF(OC_Pay=0,"",IF(INDEX('OneCause_Paste'!$A$2556:$AZ$2556,1,OC_Pay)="","",INDEX('OneCause_Paste'!$A$2556:$AZ$2556,1,OC_Pay)))</f>
        <v/>
      </c>
      <c r="N2556">
        <f>IF(I2556="","",IF(ISNUMBER(I2556),INT(I2556),IFERROR(INT(DATEVALUE(I2556)),IFERROR(INT(VALUE(I2556)),"bad"))))</f>
        <v/>
      </c>
      <c r="O2556">
        <f>IF(J2556="","",IF(ISNUMBER(J2556),ROUND(J2556,2),IFERROR(ROUND(VALUE(SUBSTITUTE(SUBSTITUTE(SUBSTITUTE(J2556,"$",""),",","")," ","")),2),"bad")))</f>
        <v/>
      </c>
      <c r="P2556">
        <f>IF(TRIM(K2556)="","",IFERROR(MATCH(LOWER(TRIM(K2556)),'Students'!$AH$2:$AH$701,0),IFERROR(MATCH(LOWER(TRIM(K2556)),'Students'!$AF$2:$AF$701,0),IFERROR(MATCH(LOWER(TRIM(K2556)),'Students'!$AG$2:$AG$701,0),""))))</f>
        <v/>
      </c>
      <c r="R2556">
        <f>IF(P2556="","",INDEX('Students'!$AD$2:$AD$701,P2556))</f>
        <v/>
      </c>
      <c r="S2556">
        <f>IF(H2556="OK",O2556,0)</f>
        <v/>
      </c>
      <c r="T2556">
        <f>IF(H2556="OK",N2556,"")</f>
        <v/>
      </c>
      <c r="U2556">
        <f>IF(OC_Donor=0,"",IF(INDEX('OneCause_Paste'!$A$2556:$AZ$2556,1,OC_Donor)="","",INDEX('OneCause_Paste'!$A$2556:$AZ$2556,1,OC_Donor)))</f>
        <v/>
      </c>
    </row>
    <row r="2557">
      <c r="A2557" s="62">
        <f>IF(H2557="","",IF(ISNUMBER(N2557),N2557,I2557))</f>
        <v/>
      </c>
      <c r="B2557">
        <f>IF(H2557="","",U2557)</f>
        <v/>
      </c>
      <c r="C2557">
        <f>IF(H2557="","",IF(P2557="",K2557,INDEX('Students'!$A$2:$A$701,P2557)))</f>
        <v/>
      </c>
      <c r="D2557">
        <f>IF(OR(H2557="",P2557=""),"",INDEX('Students'!$B$2:$B$701,P2557))</f>
        <v/>
      </c>
      <c r="E2557">
        <f>IF(OR(H2557="",P2557=""),"",INDEX('Students'!$C$2:$C$701,P2557))</f>
        <v/>
      </c>
      <c r="F2557" s="48">
        <f>IF(H2557="","",IF(ISNUMBER(O2557),O2557,J2557))</f>
        <v/>
      </c>
      <c r="G2557">
        <f>IF(H2557="","","OneCause")</f>
        <v/>
      </c>
      <c r="H2557">
        <f>IF(AND(I2557="",J2557="",K2557=""),"",IF(NOT(ISNUMBER(O2557)),"Bad amount",IF(O2557&lt;0,"Refund (not counted)",IF(O2557=0,"Zero amount",IF(NOT(ISNUMBER(N2557)),"Bad date",IF(P2557="","NAME NOT ON ROSTER",IF(L2557="","OK",IF(MATCH(L2557,$L$2:$L$3001,0)&lt;ROW()-1,"Duplicate (ignored)","OK"))))))))</f>
        <v/>
      </c>
      <c r="I2557">
        <f>IF(OC_Date=0,"",IF(INDEX('OneCause_Paste'!$A$2557:$AZ$2557,1,OC_Date)="","",INDEX('OneCause_Paste'!$A$2557:$AZ$2557,1,OC_Date)))</f>
        <v/>
      </c>
      <c r="J2557">
        <f>IF(OC_Amt=0,"",IF(INDEX('OneCause_Paste'!$A$2557:$AZ$2557,1,OC_Amt)="","",INDEX('OneCause_Paste'!$A$2557:$AZ$2557,1,OC_Amt)))</f>
        <v/>
      </c>
      <c r="K2557">
        <f>IF(OC_Name=0,"",IF(INDEX('OneCause_Paste'!$A$2557:$AZ$2557,1,OC_Name)="","",INDEX('OneCause_Paste'!$A$2557:$AZ$2557,1,OC_Name)))</f>
        <v/>
      </c>
      <c r="L2557">
        <f>IF(OC_Txn=0,"",IF(INDEX('OneCause_Paste'!$A$2557:$AZ$2557,1,OC_Txn)="","",INDEX('OneCause_Paste'!$A$2557:$AZ$2557,1,OC_Txn)))</f>
        <v/>
      </c>
      <c r="M2557">
        <f>IF(OC_Pay=0,"",IF(INDEX('OneCause_Paste'!$A$2557:$AZ$2557,1,OC_Pay)="","",INDEX('OneCause_Paste'!$A$2557:$AZ$2557,1,OC_Pay)))</f>
        <v/>
      </c>
      <c r="N2557">
        <f>IF(I2557="","",IF(ISNUMBER(I2557),INT(I2557),IFERROR(INT(DATEVALUE(I2557)),IFERROR(INT(VALUE(I2557)),"bad"))))</f>
        <v/>
      </c>
      <c r="O2557">
        <f>IF(J2557="","",IF(ISNUMBER(J2557),ROUND(J2557,2),IFERROR(ROUND(VALUE(SUBSTITUTE(SUBSTITUTE(SUBSTITUTE(J2557,"$",""),",","")," ","")),2),"bad")))</f>
        <v/>
      </c>
      <c r="P2557">
        <f>IF(TRIM(K2557)="","",IFERROR(MATCH(LOWER(TRIM(K2557)),'Students'!$AH$2:$AH$701,0),IFERROR(MATCH(LOWER(TRIM(K2557)),'Students'!$AF$2:$AF$701,0),IFERROR(MATCH(LOWER(TRIM(K2557)),'Students'!$AG$2:$AG$701,0),""))))</f>
        <v/>
      </c>
      <c r="R2557">
        <f>IF(P2557="","",INDEX('Students'!$AD$2:$AD$701,P2557))</f>
        <v/>
      </c>
      <c r="S2557">
        <f>IF(H2557="OK",O2557,0)</f>
        <v/>
      </c>
      <c r="T2557">
        <f>IF(H2557="OK",N2557,"")</f>
        <v/>
      </c>
      <c r="U2557">
        <f>IF(OC_Donor=0,"",IF(INDEX('OneCause_Paste'!$A$2557:$AZ$2557,1,OC_Donor)="","",INDEX('OneCause_Paste'!$A$2557:$AZ$2557,1,OC_Donor)))</f>
        <v/>
      </c>
    </row>
    <row r="2558">
      <c r="A2558" s="62">
        <f>IF(H2558="","",IF(ISNUMBER(N2558),N2558,I2558))</f>
        <v/>
      </c>
      <c r="B2558">
        <f>IF(H2558="","",U2558)</f>
        <v/>
      </c>
      <c r="C2558">
        <f>IF(H2558="","",IF(P2558="",K2558,INDEX('Students'!$A$2:$A$701,P2558)))</f>
        <v/>
      </c>
      <c r="D2558">
        <f>IF(OR(H2558="",P2558=""),"",INDEX('Students'!$B$2:$B$701,P2558))</f>
        <v/>
      </c>
      <c r="E2558">
        <f>IF(OR(H2558="",P2558=""),"",INDEX('Students'!$C$2:$C$701,P2558))</f>
        <v/>
      </c>
      <c r="F2558" s="48">
        <f>IF(H2558="","",IF(ISNUMBER(O2558),O2558,J2558))</f>
        <v/>
      </c>
      <c r="G2558">
        <f>IF(H2558="","","OneCause")</f>
        <v/>
      </c>
      <c r="H2558">
        <f>IF(AND(I2558="",J2558="",K2558=""),"",IF(NOT(ISNUMBER(O2558)),"Bad amount",IF(O2558&lt;0,"Refund (not counted)",IF(O2558=0,"Zero amount",IF(NOT(ISNUMBER(N2558)),"Bad date",IF(P2558="","NAME NOT ON ROSTER",IF(L2558="","OK",IF(MATCH(L2558,$L$2:$L$3001,0)&lt;ROW()-1,"Duplicate (ignored)","OK"))))))))</f>
        <v/>
      </c>
      <c r="I2558">
        <f>IF(OC_Date=0,"",IF(INDEX('OneCause_Paste'!$A$2558:$AZ$2558,1,OC_Date)="","",INDEX('OneCause_Paste'!$A$2558:$AZ$2558,1,OC_Date)))</f>
        <v/>
      </c>
      <c r="J2558">
        <f>IF(OC_Amt=0,"",IF(INDEX('OneCause_Paste'!$A$2558:$AZ$2558,1,OC_Amt)="","",INDEX('OneCause_Paste'!$A$2558:$AZ$2558,1,OC_Amt)))</f>
        <v/>
      </c>
      <c r="K2558">
        <f>IF(OC_Name=0,"",IF(INDEX('OneCause_Paste'!$A$2558:$AZ$2558,1,OC_Name)="","",INDEX('OneCause_Paste'!$A$2558:$AZ$2558,1,OC_Name)))</f>
        <v/>
      </c>
      <c r="L2558">
        <f>IF(OC_Txn=0,"",IF(INDEX('OneCause_Paste'!$A$2558:$AZ$2558,1,OC_Txn)="","",INDEX('OneCause_Paste'!$A$2558:$AZ$2558,1,OC_Txn)))</f>
        <v/>
      </c>
      <c r="M2558">
        <f>IF(OC_Pay=0,"",IF(INDEX('OneCause_Paste'!$A$2558:$AZ$2558,1,OC_Pay)="","",INDEX('OneCause_Paste'!$A$2558:$AZ$2558,1,OC_Pay)))</f>
        <v/>
      </c>
      <c r="N2558">
        <f>IF(I2558="","",IF(ISNUMBER(I2558),INT(I2558),IFERROR(INT(DATEVALUE(I2558)),IFERROR(INT(VALUE(I2558)),"bad"))))</f>
        <v/>
      </c>
      <c r="O2558">
        <f>IF(J2558="","",IF(ISNUMBER(J2558),ROUND(J2558,2),IFERROR(ROUND(VALUE(SUBSTITUTE(SUBSTITUTE(SUBSTITUTE(J2558,"$",""),",","")," ","")),2),"bad")))</f>
        <v/>
      </c>
      <c r="P2558">
        <f>IF(TRIM(K2558)="","",IFERROR(MATCH(LOWER(TRIM(K2558)),'Students'!$AH$2:$AH$701,0),IFERROR(MATCH(LOWER(TRIM(K2558)),'Students'!$AF$2:$AF$701,0),IFERROR(MATCH(LOWER(TRIM(K2558)),'Students'!$AG$2:$AG$701,0),""))))</f>
        <v/>
      </c>
      <c r="R2558">
        <f>IF(P2558="","",INDEX('Students'!$AD$2:$AD$701,P2558))</f>
        <v/>
      </c>
      <c r="S2558">
        <f>IF(H2558="OK",O2558,0)</f>
        <v/>
      </c>
      <c r="T2558">
        <f>IF(H2558="OK",N2558,"")</f>
        <v/>
      </c>
      <c r="U2558">
        <f>IF(OC_Donor=0,"",IF(INDEX('OneCause_Paste'!$A$2558:$AZ$2558,1,OC_Donor)="","",INDEX('OneCause_Paste'!$A$2558:$AZ$2558,1,OC_Donor)))</f>
        <v/>
      </c>
    </row>
    <row r="2559">
      <c r="A2559" s="62">
        <f>IF(H2559="","",IF(ISNUMBER(N2559),N2559,I2559))</f>
        <v/>
      </c>
      <c r="B2559">
        <f>IF(H2559="","",U2559)</f>
        <v/>
      </c>
      <c r="C2559">
        <f>IF(H2559="","",IF(P2559="",K2559,INDEX('Students'!$A$2:$A$701,P2559)))</f>
        <v/>
      </c>
      <c r="D2559">
        <f>IF(OR(H2559="",P2559=""),"",INDEX('Students'!$B$2:$B$701,P2559))</f>
        <v/>
      </c>
      <c r="E2559">
        <f>IF(OR(H2559="",P2559=""),"",INDEX('Students'!$C$2:$C$701,P2559))</f>
        <v/>
      </c>
      <c r="F2559" s="48">
        <f>IF(H2559="","",IF(ISNUMBER(O2559),O2559,J2559))</f>
        <v/>
      </c>
      <c r="G2559">
        <f>IF(H2559="","","OneCause")</f>
        <v/>
      </c>
      <c r="H2559">
        <f>IF(AND(I2559="",J2559="",K2559=""),"",IF(NOT(ISNUMBER(O2559)),"Bad amount",IF(O2559&lt;0,"Refund (not counted)",IF(O2559=0,"Zero amount",IF(NOT(ISNUMBER(N2559)),"Bad date",IF(P2559="","NAME NOT ON ROSTER",IF(L2559="","OK",IF(MATCH(L2559,$L$2:$L$3001,0)&lt;ROW()-1,"Duplicate (ignored)","OK"))))))))</f>
        <v/>
      </c>
      <c r="I2559">
        <f>IF(OC_Date=0,"",IF(INDEX('OneCause_Paste'!$A$2559:$AZ$2559,1,OC_Date)="","",INDEX('OneCause_Paste'!$A$2559:$AZ$2559,1,OC_Date)))</f>
        <v/>
      </c>
      <c r="J2559">
        <f>IF(OC_Amt=0,"",IF(INDEX('OneCause_Paste'!$A$2559:$AZ$2559,1,OC_Amt)="","",INDEX('OneCause_Paste'!$A$2559:$AZ$2559,1,OC_Amt)))</f>
        <v/>
      </c>
      <c r="K2559">
        <f>IF(OC_Name=0,"",IF(INDEX('OneCause_Paste'!$A$2559:$AZ$2559,1,OC_Name)="","",INDEX('OneCause_Paste'!$A$2559:$AZ$2559,1,OC_Name)))</f>
        <v/>
      </c>
      <c r="L2559">
        <f>IF(OC_Txn=0,"",IF(INDEX('OneCause_Paste'!$A$2559:$AZ$2559,1,OC_Txn)="","",INDEX('OneCause_Paste'!$A$2559:$AZ$2559,1,OC_Txn)))</f>
        <v/>
      </c>
      <c r="M2559">
        <f>IF(OC_Pay=0,"",IF(INDEX('OneCause_Paste'!$A$2559:$AZ$2559,1,OC_Pay)="","",INDEX('OneCause_Paste'!$A$2559:$AZ$2559,1,OC_Pay)))</f>
        <v/>
      </c>
      <c r="N2559">
        <f>IF(I2559="","",IF(ISNUMBER(I2559),INT(I2559),IFERROR(INT(DATEVALUE(I2559)),IFERROR(INT(VALUE(I2559)),"bad"))))</f>
        <v/>
      </c>
      <c r="O2559">
        <f>IF(J2559="","",IF(ISNUMBER(J2559),ROUND(J2559,2),IFERROR(ROUND(VALUE(SUBSTITUTE(SUBSTITUTE(SUBSTITUTE(J2559,"$",""),",","")," ","")),2),"bad")))</f>
        <v/>
      </c>
      <c r="P2559">
        <f>IF(TRIM(K2559)="","",IFERROR(MATCH(LOWER(TRIM(K2559)),'Students'!$AH$2:$AH$701,0),IFERROR(MATCH(LOWER(TRIM(K2559)),'Students'!$AF$2:$AF$701,0),IFERROR(MATCH(LOWER(TRIM(K2559)),'Students'!$AG$2:$AG$701,0),""))))</f>
        <v/>
      </c>
      <c r="R2559">
        <f>IF(P2559="","",INDEX('Students'!$AD$2:$AD$701,P2559))</f>
        <v/>
      </c>
      <c r="S2559">
        <f>IF(H2559="OK",O2559,0)</f>
        <v/>
      </c>
      <c r="T2559">
        <f>IF(H2559="OK",N2559,"")</f>
        <v/>
      </c>
      <c r="U2559">
        <f>IF(OC_Donor=0,"",IF(INDEX('OneCause_Paste'!$A$2559:$AZ$2559,1,OC_Donor)="","",INDEX('OneCause_Paste'!$A$2559:$AZ$2559,1,OC_Donor)))</f>
        <v/>
      </c>
    </row>
    <row r="2560">
      <c r="A2560" s="62">
        <f>IF(H2560="","",IF(ISNUMBER(N2560),N2560,I2560))</f>
        <v/>
      </c>
      <c r="B2560">
        <f>IF(H2560="","",U2560)</f>
        <v/>
      </c>
      <c r="C2560">
        <f>IF(H2560="","",IF(P2560="",K2560,INDEX('Students'!$A$2:$A$701,P2560)))</f>
        <v/>
      </c>
      <c r="D2560">
        <f>IF(OR(H2560="",P2560=""),"",INDEX('Students'!$B$2:$B$701,P2560))</f>
        <v/>
      </c>
      <c r="E2560">
        <f>IF(OR(H2560="",P2560=""),"",INDEX('Students'!$C$2:$C$701,P2560))</f>
        <v/>
      </c>
      <c r="F2560" s="48">
        <f>IF(H2560="","",IF(ISNUMBER(O2560),O2560,J2560))</f>
        <v/>
      </c>
      <c r="G2560">
        <f>IF(H2560="","","OneCause")</f>
        <v/>
      </c>
      <c r="H2560">
        <f>IF(AND(I2560="",J2560="",K2560=""),"",IF(NOT(ISNUMBER(O2560)),"Bad amount",IF(O2560&lt;0,"Refund (not counted)",IF(O2560=0,"Zero amount",IF(NOT(ISNUMBER(N2560)),"Bad date",IF(P2560="","NAME NOT ON ROSTER",IF(L2560="","OK",IF(MATCH(L2560,$L$2:$L$3001,0)&lt;ROW()-1,"Duplicate (ignored)","OK"))))))))</f>
        <v/>
      </c>
      <c r="I2560">
        <f>IF(OC_Date=0,"",IF(INDEX('OneCause_Paste'!$A$2560:$AZ$2560,1,OC_Date)="","",INDEX('OneCause_Paste'!$A$2560:$AZ$2560,1,OC_Date)))</f>
        <v/>
      </c>
      <c r="J2560">
        <f>IF(OC_Amt=0,"",IF(INDEX('OneCause_Paste'!$A$2560:$AZ$2560,1,OC_Amt)="","",INDEX('OneCause_Paste'!$A$2560:$AZ$2560,1,OC_Amt)))</f>
        <v/>
      </c>
      <c r="K2560">
        <f>IF(OC_Name=0,"",IF(INDEX('OneCause_Paste'!$A$2560:$AZ$2560,1,OC_Name)="","",INDEX('OneCause_Paste'!$A$2560:$AZ$2560,1,OC_Name)))</f>
        <v/>
      </c>
      <c r="L2560">
        <f>IF(OC_Txn=0,"",IF(INDEX('OneCause_Paste'!$A$2560:$AZ$2560,1,OC_Txn)="","",INDEX('OneCause_Paste'!$A$2560:$AZ$2560,1,OC_Txn)))</f>
        <v/>
      </c>
      <c r="M2560">
        <f>IF(OC_Pay=0,"",IF(INDEX('OneCause_Paste'!$A$2560:$AZ$2560,1,OC_Pay)="","",INDEX('OneCause_Paste'!$A$2560:$AZ$2560,1,OC_Pay)))</f>
        <v/>
      </c>
      <c r="N2560">
        <f>IF(I2560="","",IF(ISNUMBER(I2560),INT(I2560),IFERROR(INT(DATEVALUE(I2560)),IFERROR(INT(VALUE(I2560)),"bad"))))</f>
        <v/>
      </c>
      <c r="O2560">
        <f>IF(J2560="","",IF(ISNUMBER(J2560),ROUND(J2560,2),IFERROR(ROUND(VALUE(SUBSTITUTE(SUBSTITUTE(SUBSTITUTE(J2560,"$",""),",","")," ","")),2),"bad")))</f>
        <v/>
      </c>
      <c r="P2560">
        <f>IF(TRIM(K2560)="","",IFERROR(MATCH(LOWER(TRIM(K2560)),'Students'!$AH$2:$AH$701,0),IFERROR(MATCH(LOWER(TRIM(K2560)),'Students'!$AF$2:$AF$701,0),IFERROR(MATCH(LOWER(TRIM(K2560)),'Students'!$AG$2:$AG$701,0),""))))</f>
        <v/>
      </c>
      <c r="R2560">
        <f>IF(P2560="","",INDEX('Students'!$AD$2:$AD$701,P2560))</f>
        <v/>
      </c>
      <c r="S2560">
        <f>IF(H2560="OK",O2560,0)</f>
        <v/>
      </c>
      <c r="T2560">
        <f>IF(H2560="OK",N2560,"")</f>
        <v/>
      </c>
      <c r="U2560">
        <f>IF(OC_Donor=0,"",IF(INDEX('OneCause_Paste'!$A$2560:$AZ$2560,1,OC_Donor)="","",INDEX('OneCause_Paste'!$A$2560:$AZ$2560,1,OC_Donor)))</f>
        <v/>
      </c>
    </row>
    <row r="2561">
      <c r="A2561" s="62">
        <f>IF(H2561="","",IF(ISNUMBER(N2561),N2561,I2561))</f>
        <v/>
      </c>
      <c r="B2561">
        <f>IF(H2561="","",U2561)</f>
        <v/>
      </c>
      <c r="C2561">
        <f>IF(H2561="","",IF(P2561="",K2561,INDEX('Students'!$A$2:$A$701,P2561)))</f>
        <v/>
      </c>
      <c r="D2561">
        <f>IF(OR(H2561="",P2561=""),"",INDEX('Students'!$B$2:$B$701,P2561))</f>
        <v/>
      </c>
      <c r="E2561">
        <f>IF(OR(H2561="",P2561=""),"",INDEX('Students'!$C$2:$C$701,P2561))</f>
        <v/>
      </c>
      <c r="F2561" s="48">
        <f>IF(H2561="","",IF(ISNUMBER(O2561),O2561,J2561))</f>
        <v/>
      </c>
      <c r="G2561">
        <f>IF(H2561="","","OneCause")</f>
        <v/>
      </c>
      <c r="H2561">
        <f>IF(AND(I2561="",J2561="",K2561=""),"",IF(NOT(ISNUMBER(O2561)),"Bad amount",IF(O2561&lt;0,"Refund (not counted)",IF(O2561=0,"Zero amount",IF(NOT(ISNUMBER(N2561)),"Bad date",IF(P2561="","NAME NOT ON ROSTER",IF(L2561="","OK",IF(MATCH(L2561,$L$2:$L$3001,0)&lt;ROW()-1,"Duplicate (ignored)","OK"))))))))</f>
        <v/>
      </c>
      <c r="I2561">
        <f>IF(OC_Date=0,"",IF(INDEX('OneCause_Paste'!$A$2561:$AZ$2561,1,OC_Date)="","",INDEX('OneCause_Paste'!$A$2561:$AZ$2561,1,OC_Date)))</f>
        <v/>
      </c>
      <c r="J2561">
        <f>IF(OC_Amt=0,"",IF(INDEX('OneCause_Paste'!$A$2561:$AZ$2561,1,OC_Amt)="","",INDEX('OneCause_Paste'!$A$2561:$AZ$2561,1,OC_Amt)))</f>
        <v/>
      </c>
      <c r="K2561">
        <f>IF(OC_Name=0,"",IF(INDEX('OneCause_Paste'!$A$2561:$AZ$2561,1,OC_Name)="","",INDEX('OneCause_Paste'!$A$2561:$AZ$2561,1,OC_Name)))</f>
        <v/>
      </c>
      <c r="L2561">
        <f>IF(OC_Txn=0,"",IF(INDEX('OneCause_Paste'!$A$2561:$AZ$2561,1,OC_Txn)="","",INDEX('OneCause_Paste'!$A$2561:$AZ$2561,1,OC_Txn)))</f>
        <v/>
      </c>
      <c r="M2561">
        <f>IF(OC_Pay=0,"",IF(INDEX('OneCause_Paste'!$A$2561:$AZ$2561,1,OC_Pay)="","",INDEX('OneCause_Paste'!$A$2561:$AZ$2561,1,OC_Pay)))</f>
        <v/>
      </c>
      <c r="N2561">
        <f>IF(I2561="","",IF(ISNUMBER(I2561),INT(I2561),IFERROR(INT(DATEVALUE(I2561)),IFERROR(INT(VALUE(I2561)),"bad"))))</f>
        <v/>
      </c>
      <c r="O2561">
        <f>IF(J2561="","",IF(ISNUMBER(J2561),ROUND(J2561,2),IFERROR(ROUND(VALUE(SUBSTITUTE(SUBSTITUTE(SUBSTITUTE(J2561,"$",""),",","")," ","")),2),"bad")))</f>
        <v/>
      </c>
      <c r="P2561">
        <f>IF(TRIM(K2561)="","",IFERROR(MATCH(LOWER(TRIM(K2561)),'Students'!$AH$2:$AH$701,0),IFERROR(MATCH(LOWER(TRIM(K2561)),'Students'!$AF$2:$AF$701,0),IFERROR(MATCH(LOWER(TRIM(K2561)),'Students'!$AG$2:$AG$701,0),""))))</f>
        <v/>
      </c>
      <c r="R2561">
        <f>IF(P2561="","",INDEX('Students'!$AD$2:$AD$701,P2561))</f>
        <v/>
      </c>
      <c r="S2561">
        <f>IF(H2561="OK",O2561,0)</f>
        <v/>
      </c>
      <c r="T2561">
        <f>IF(H2561="OK",N2561,"")</f>
        <v/>
      </c>
      <c r="U2561">
        <f>IF(OC_Donor=0,"",IF(INDEX('OneCause_Paste'!$A$2561:$AZ$2561,1,OC_Donor)="","",INDEX('OneCause_Paste'!$A$2561:$AZ$2561,1,OC_Donor)))</f>
        <v/>
      </c>
    </row>
    <row r="2562">
      <c r="A2562" s="62">
        <f>IF(H2562="","",IF(ISNUMBER(N2562),N2562,I2562))</f>
        <v/>
      </c>
      <c r="B2562">
        <f>IF(H2562="","",U2562)</f>
        <v/>
      </c>
      <c r="C2562">
        <f>IF(H2562="","",IF(P2562="",K2562,INDEX('Students'!$A$2:$A$701,P2562)))</f>
        <v/>
      </c>
      <c r="D2562">
        <f>IF(OR(H2562="",P2562=""),"",INDEX('Students'!$B$2:$B$701,P2562))</f>
        <v/>
      </c>
      <c r="E2562">
        <f>IF(OR(H2562="",P2562=""),"",INDEX('Students'!$C$2:$C$701,P2562))</f>
        <v/>
      </c>
      <c r="F2562" s="48">
        <f>IF(H2562="","",IF(ISNUMBER(O2562),O2562,J2562))</f>
        <v/>
      </c>
      <c r="G2562">
        <f>IF(H2562="","","OneCause")</f>
        <v/>
      </c>
      <c r="H2562">
        <f>IF(AND(I2562="",J2562="",K2562=""),"",IF(NOT(ISNUMBER(O2562)),"Bad amount",IF(O2562&lt;0,"Refund (not counted)",IF(O2562=0,"Zero amount",IF(NOT(ISNUMBER(N2562)),"Bad date",IF(P2562="","NAME NOT ON ROSTER",IF(L2562="","OK",IF(MATCH(L2562,$L$2:$L$3001,0)&lt;ROW()-1,"Duplicate (ignored)","OK"))))))))</f>
        <v/>
      </c>
      <c r="I2562">
        <f>IF(OC_Date=0,"",IF(INDEX('OneCause_Paste'!$A$2562:$AZ$2562,1,OC_Date)="","",INDEX('OneCause_Paste'!$A$2562:$AZ$2562,1,OC_Date)))</f>
        <v/>
      </c>
      <c r="J2562">
        <f>IF(OC_Amt=0,"",IF(INDEX('OneCause_Paste'!$A$2562:$AZ$2562,1,OC_Amt)="","",INDEX('OneCause_Paste'!$A$2562:$AZ$2562,1,OC_Amt)))</f>
        <v/>
      </c>
      <c r="K2562">
        <f>IF(OC_Name=0,"",IF(INDEX('OneCause_Paste'!$A$2562:$AZ$2562,1,OC_Name)="","",INDEX('OneCause_Paste'!$A$2562:$AZ$2562,1,OC_Name)))</f>
        <v/>
      </c>
      <c r="L2562">
        <f>IF(OC_Txn=0,"",IF(INDEX('OneCause_Paste'!$A$2562:$AZ$2562,1,OC_Txn)="","",INDEX('OneCause_Paste'!$A$2562:$AZ$2562,1,OC_Txn)))</f>
        <v/>
      </c>
      <c r="M2562">
        <f>IF(OC_Pay=0,"",IF(INDEX('OneCause_Paste'!$A$2562:$AZ$2562,1,OC_Pay)="","",INDEX('OneCause_Paste'!$A$2562:$AZ$2562,1,OC_Pay)))</f>
        <v/>
      </c>
      <c r="N2562">
        <f>IF(I2562="","",IF(ISNUMBER(I2562),INT(I2562),IFERROR(INT(DATEVALUE(I2562)),IFERROR(INT(VALUE(I2562)),"bad"))))</f>
        <v/>
      </c>
      <c r="O2562">
        <f>IF(J2562="","",IF(ISNUMBER(J2562),ROUND(J2562,2),IFERROR(ROUND(VALUE(SUBSTITUTE(SUBSTITUTE(SUBSTITUTE(J2562,"$",""),",","")," ","")),2),"bad")))</f>
        <v/>
      </c>
      <c r="P2562">
        <f>IF(TRIM(K2562)="","",IFERROR(MATCH(LOWER(TRIM(K2562)),'Students'!$AH$2:$AH$701,0),IFERROR(MATCH(LOWER(TRIM(K2562)),'Students'!$AF$2:$AF$701,0),IFERROR(MATCH(LOWER(TRIM(K2562)),'Students'!$AG$2:$AG$701,0),""))))</f>
        <v/>
      </c>
      <c r="R2562">
        <f>IF(P2562="","",INDEX('Students'!$AD$2:$AD$701,P2562))</f>
        <v/>
      </c>
      <c r="S2562">
        <f>IF(H2562="OK",O2562,0)</f>
        <v/>
      </c>
      <c r="T2562">
        <f>IF(H2562="OK",N2562,"")</f>
        <v/>
      </c>
      <c r="U2562">
        <f>IF(OC_Donor=0,"",IF(INDEX('OneCause_Paste'!$A$2562:$AZ$2562,1,OC_Donor)="","",INDEX('OneCause_Paste'!$A$2562:$AZ$2562,1,OC_Donor)))</f>
        <v/>
      </c>
    </row>
    <row r="2563">
      <c r="A2563" s="62">
        <f>IF(H2563="","",IF(ISNUMBER(N2563),N2563,I2563))</f>
        <v/>
      </c>
      <c r="B2563">
        <f>IF(H2563="","",U2563)</f>
        <v/>
      </c>
      <c r="C2563">
        <f>IF(H2563="","",IF(P2563="",K2563,INDEX('Students'!$A$2:$A$701,P2563)))</f>
        <v/>
      </c>
      <c r="D2563">
        <f>IF(OR(H2563="",P2563=""),"",INDEX('Students'!$B$2:$B$701,P2563))</f>
        <v/>
      </c>
      <c r="E2563">
        <f>IF(OR(H2563="",P2563=""),"",INDEX('Students'!$C$2:$C$701,P2563))</f>
        <v/>
      </c>
      <c r="F2563" s="48">
        <f>IF(H2563="","",IF(ISNUMBER(O2563),O2563,J2563))</f>
        <v/>
      </c>
      <c r="G2563">
        <f>IF(H2563="","","OneCause")</f>
        <v/>
      </c>
      <c r="H2563">
        <f>IF(AND(I2563="",J2563="",K2563=""),"",IF(NOT(ISNUMBER(O2563)),"Bad amount",IF(O2563&lt;0,"Refund (not counted)",IF(O2563=0,"Zero amount",IF(NOT(ISNUMBER(N2563)),"Bad date",IF(P2563="","NAME NOT ON ROSTER",IF(L2563="","OK",IF(MATCH(L2563,$L$2:$L$3001,0)&lt;ROW()-1,"Duplicate (ignored)","OK"))))))))</f>
        <v/>
      </c>
      <c r="I2563">
        <f>IF(OC_Date=0,"",IF(INDEX('OneCause_Paste'!$A$2563:$AZ$2563,1,OC_Date)="","",INDEX('OneCause_Paste'!$A$2563:$AZ$2563,1,OC_Date)))</f>
        <v/>
      </c>
      <c r="J2563">
        <f>IF(OC_Amt=0,"",IF(INDEX('OneCause_Paste'!$A$2563:$AZ$2563,1,OC_Amt)="","",INDEX('OneCause_Paste'!$A$2563:$AZ$2563,1,OC_Amt)))</f>
        <v/>
      </c>
      <c r="K2563">
        <f>IF(OC_Name=0,"",IF(INDEX('OneCause_Paste'!$A$2563:$AZ$2563,1,OC_Name)="","",INDEX('OneCause_Paste'!$A$2563:$AZ$2563,1,OC_Name)))</f>
        <v/>
      </c>
      <c r="L2563">
        <f>IF(OC_Txn=0,"",IF(INDEX('OneCause_Paste'!$A$2563:$AZ$2563,1,OC_Txn)="","",INDEX('OneCause_Paste'!$A$2563:$AZ$2563,1,OC_Txn)))</f>
        <v/>
      </c>
      <c r="M2563">
        <f>IF(OC_Pay=0,"",IF(INDEX('OneCause_Paste'!$A$2563:$AZ$2563,1,OC_Pay)="","",INDEX('OneCause_Paste'!$A$2563:$AZ$2563,1,OC_Pay)))</f>
        <v/>
      </c>
      <c r="N2563">
        <f>IF(I2563="","",IF(ISNUMBER(I2563),INT(I2563),IFERROR(INT(DATEVALUE(I2563)),IFERROR(INT(VALUE(I2563)),"bad"))))</f>
        <v/>
      </c>
      <c r="O2563">
        <f>IF(J2563="","",IF(ISNUMBER(J2563),ROUND(J2563,2),IFERROR(ROUND(VALUE(SUBSTITUTE(SUBSTITUTE(SUBSTITUTE(J2563,"$",""),",","")," ","")),2),"bad")))</f>
        <v/>
      </c>
      <c r="P2563">
        <f>IF(TRIM(K2563)="","",IFERROR(MATCH(LOWER(TRIM(K2563)),'Students'!$AH$2:$AH$701,0),IFERROR(MATCH(LOWER(TRIM(K2563)),'Students'!$AF$2:$AF$701,0),IFERROR(MATCH(LOWER(TRIM(K2563)),'Students'!$AG$2:$AG$701,0),""))))</f>
        <v/>
      </c>
      <c r="R2563">
        <f>IF(P2563="","",INDEX('Students'!$AD$2:$AD$701,P2563))</f>
        <v/>
      </c>
      <c r="S2563">
        <f>IF(H2563="OK",O2563,0)</f>
        <v/>
      </c>
      <c r="T2563">
        <f>IF(H2563="OK",N2563,"")</f>
        <v/>
      </c>
      <c r="U2563">
        <f>IF(OC_Donor=0,"",IF(INDEX('OneCause_Paste'!$A$2563:$AZ$2563,1,OC_Donor)="","",INDEX('OneCause_Paste'!$A$2563:$AZ$2563,1,OC_Donor)))</f>
        <v/>
      </c>
    </row>
    <row r="2564">
      <c r="A2564" s="62">
        <f>IF(H2564="","",IF(ISNUMBER(N2564),N2564,I2564))</f>
        <v/>
      </c>
      <c r="B2564">
        <f>IF(H2564="","",U2564)</f>
        <v/>
      </c>
      <c r="C2564">
        <f>IF(H2564="","",IF(P2564="",K2564,INDEX('Students'!$A$2:$A$701,P2564)))</f>
        <v/>
      </c>
      <c r="D2564">
        <f>IF(OR(H2564="",P2564=""),"",INDEX('Students'!$B$2:$B$701,P2564))</f>
        <v/>
      </c>
      <c r="E2564">
        <f>IF(OR(H2564="",P2564=""),"",INDEX('Students'!$C$2:$C$701,P2564))</f>
        <v/>
      </c>
      <c r="F2564" s="48">
        <f>IF(H2564="","",IF(ISNUMBER(O2564),O2564,J2564))</f>
        <v/>
      </c>
      <c r="G2564">
        <f>IF(H2564="","","OneCause")</f>
        <v/>
      </c>
      <c r="H2564">
        <f>IF(AND(I2564="",J2564="",K2564=""),"",IF(NOT(ISNUMBER(O2564)),"Bad amount",IF(O2564&lt;0,"Refund (not counted)",IF(O2564=0,"Zero amount",IF(NOT(ISNUMBER(N2564)),"Bad date",IF(P2564="","NAME NOT ON ROSTER",IF(L2564="","OK",IF(MATCH(L2564,$L$2:$L$3001,0)&lt;ROW()-1,"Duplicate (ignored)","OK"))))))))</f>
        <v/>
      </c>
      <c r="I2564">
        <f>IF(OC_Date=0,"",IF(INDEX('OneCause_Paste'!$A$2564:$AZ$2564,1,OC_Date)="","",INDEX('OneCause_Paste'!$A$2564:$AZ$2564,1,OC_Date)))</f>
        <v/>
      </c>
      <c r="J2564">
        <f>IF(OC_Amt=0,"",IF(INDEX('OneCause_Paste'!$A$2564:$AZ$2564,1,OC_Amt)="","",INDEX('OneCause_Paste'!$A$2564:$AZ$2564,1,OC_Amt)))</f>
        <v/>
      </c>
      <c r="K2564">
        <f>IF(OC_Name=0,"",IF(INDEX('OneCause_Paste'!$A$2564:$AZ$2564,1,OC_Name)="","",INDEX('OneCause_Paste'!$A$2564:$AZ$2564,1,OC_Name)))</f>
        <v/>
      </c>
      <c r="L2564">
        <f>IF(OC_Txn=0,"",IF(INDEX('OneCause_Paste'!$A$2564:$AZ$2564,1,OC_Txn)="","",INDEX('OneCause_Paste'!$A$2564:$AZ$2564,1,OC_Txn)))</f>
        <v/>
      </c>
      <c r="M2564">
        <f>IF(OC_Pay=0,"",IF(INDEX('OneCause_Paste'!$A$2564:$AZ$2564,1,OC_Pay)="","",INDEX('OneCause_Paste'!$A$2564:$AZ$2564,1,OC_Pay)))</f>
        <v/>
      </c>
      <c r="N2564">
        <f>IF(I2564="","",IF(ISNUMBER(I2564),INT(I2564),IFERROR(INT(DATEVALUE(I2564)),IFERROR(INT(VALUE(I2564)),"bad"))))</f>
        <v/>
      </c>
      <c r="O2564">
        <f>IF(J2564="","",IF(ISNUMBER(J2564),ROUND(J2564,2),IFERROR(ROUND(VALUE(SUBSTITUTE(SUBSTITUTE(SUBSTITUTE(J2564,"$",""),",","")," ","")),2),"bad")))</f>
        <v/>
      </c>
      <c r="P2564">
        <f>IF(TRIM(K2564)="","",IFERROR(MATCH(LOWER(TRIM(K2564)),'Students'!$AH$2:$AH$701,0),IFERROR(MATCH(LOWER(TRIM(K2564)),'Students'!$AF$2:$AF$701,0),IFERROR(MATCH(LOWER(TRIM(K2564)),'Students'!$AG$2:$AG$701,0),""))))</f>
        <v/>
      </c>
      <c r="R2564">
        <f>IF(P2564="","",INDEX('Students'!$AD$2:$AD$701,P2564))</f>
        <v/>
      </c>
      <c r="S2564">
        <f>IF(H2564="OK",O2564,0)</f>
        <v/>
      </c>
      <c r="T2564">
        <f>IF(H2564="OK",N2564,"")</f>
        <v/>
      </c>
      <c r="U2564">
        <f>IF(OC_Donor=0,"",IF(INDEX('OneCause_Paste'!$A$2564:$AZ$2564,1,OC_Donor)="","",INDEX('OneCause_Paste'!$A$2564:$AZ$2564,1,OC_Donor)))</f>
        <v/>
      </c>
    </row>
    <row r="2565">
      <c r="A2565" s="62">
        <f>IF(H2565="","",IF(ISNUMBER(N2565),N2565,I2565))</f>
        <v/>
      </c>
      <c r="B2565">
        <f>IF(H2565="","",U2565)</f>
        <v/>
      </c>
      <c r="C2565">
        <f>IF(H2565="","",IF(P2565="",K2565,INDEX('Students'!$A$2:$A$701,P2565)))</f>
        <v/>
      </c>
      <c r="D2565">
        <f>IF(OR(H2565="",P2565=""),"",INDEX('Students'!$B$2:$B$701,P2565))</f>
        <v/>
      </c>
      <c r="E2565">
        <f>IF(OR(H2565="",P2565=""),"",INDEX('Students'!$C$2:$C$701,P2565))</f>
        <v/>
      </c>
      <c r="F2565" s="48">
        <f>IF(H2565="","",IF(ISNUMBER(O2565),O2565,J2565))</f>
        <v/>
      </c>
      <c r="G2565">
        <f>IF(H2565="","","OneCause")</f>
        <v/>
      </c>
      <c r="H2565">
        <f>IF(AND(I2565="",J2565="",K2565=""),"",IF(NOT(ISNUMBER(O2565)),"Bad amount",IF(O2565&lt;0,"Refund (not counted)",IF(O2565=0,"Zero amount",IF(NOT(ISNUMBER(N2565)),"Bad date",IF(P2565="","NAME NOT ON ROSTER",IF(L2565="","OK",IF(MATCH(L2565,$L$2:$L$3001,0)&lt;ROW()-1,"Duplicate (ignored)","OK"))))))))</f>
        <v/>
      </c>
      <c r="I2565">
        <f>IF(OC_Date=0,"",IF(INDEX('OneCause_Paste'!$A$2565:$AZ$2565,1,OC_Date)="","",INDEX('OneCause_Paste'!$A$2565:$AZ$2565,1,OC_Date)))</f>
        <v/>
      </c>
      <c r="J2565">
        <f>IF(OC_Amt=0,"",IF(INDEX('OneCause_Paste'!$A$2565:$AZ$2565,1,OC_Amt)="","",INDEX('OneCause_Paste'!$A$2565:$AZ$2565,1,OC_Amt)))</f>
        <v/>
      </c>
      <c r="K2565">
        <f>IF(OC_Name=0,"",IF(INDEX('OneCause_Paste'!$A$2565:$AZ$2565,1,OC_Name)="","",INDEX('OneCause_Paste'!$A$2565:$AZ$2565,1,OC_Name)))</f>
        <v/>
      </c>
      <c r="L2565">
        <f>IF(OC_Txn=0,"",IF(INDEX('OneCause_Paste'!$A$2565:$AZ$2565,1,OC_Txn)="","",INDEX('OneCause_Paste'!$A$2565:$AZ$2565,1,OC_Txn)))</f>
        <v/>
      </c>
      <c r="M2565">
        <f>IF(OC_Pay=0,"",IF(INDEX('OneCause_Paste'!$A$2565:$AZ$2565,1,OC_Pay)="","",INDEX('OneCause_Paste'!$A$2565:$AZ$2565,1,OC_Pay)))</f>
        <v/>
      </c>
      <c r="N2565">
        <f>IF(I2565="","",IF(ISNUMBER(I2565),INT(I2565),IFERROR(INT(DATEVALUE(I2565)),IFERROR(INT(VALUE(I2565)),"bad"))))</f>
        <v/>
      </c>
      <c r="O2565">
        <f>IF(J2565="","",IF(ISNUMBER(J2565),ROUND(J2565,2),IFERROR(ROUND(VALUE(SUBSTITUTE(SUBSTITUTE(SUBSTITUTE(J2565,"$",""),",","")," ","")),2),"bad")))</f>
        <v/>
      </c>
      <c r="P2565">
        <f>IF(TRIM(K2565)="","",IFERROR(MATCH(LOWER(TRIM(K2565)),'Students'!$AH$2:$AH$701,0),IFERROR(MATCH(LOWER(TRIM(K2565)),'Students'!$AF$2:$AF$701,0),IFERROR(MATCH(LOWER(TRIM(K2565)),'Students'!$AG$2:$AG$701,0),""))))</f>
        <v/>
      </c>
      <c r="R2565">
        <f>IF(P2565="","",INDEX('Students'!$AD$2:$AD$701,P2565))</f>
        <v/>
      </c>
      <c r="S2565">
        <f>IF(H2565="OK",O2565,0)</f>
        <v/>
      </c>
      <c r="T2565">
        <f>IF(H2565="OK",N2565,"")</f>
        <v/>
      </c>
      <c r="U2565">
        <f>IF(OC_Donor=0,"",IF(INDEX('OneCause_Paste'!$A$2565:$AZ$2565,1,OC_Donor)="","",INDEX('OneCause_Paste'!$A$2565:$AZ$2565,1,OC_Donor)))</f>
        <v/>
      </c>
    </row>
    <row r="2566">
      <c r="A2566" s="62">
        <f>IF(H2566="","",IF(ISNUMBER(N2566),N2566,I2566))</f>
        <v/>
      </c>
      <c r="B2566">
        <f>IF(H2566="","",U2566)</f>
        <v/>
      </c>
      <c r="C2566">
        <f>IF(H2566="","",IF(P2566="",K2566,INDEX('Students'!$A$2:$A$701,P2566)))</f>
        <v/>
      </c>
      <c r="D2566">
        <f>IF(OR(H2566="",P2566=""),"",INDEX('Students'!$B$2:$B$701,P2566))</f>
        <v/>
      </c>
      <c r="E2566">
        <f>IF(OR(H2566="",P2566=""),"",INDEX('Students'!$C$2:$C$701,P2566))</f>
        <v/>
      </c>
      <c r="F2566" s="48">
        <f>IF(H2566="","",IF(ISNUMBER(O2566),O2566,J2566))</f>
        <v/>
      </c>
      <c r="G2566">
        <f>IF(H2566="","","OneCause")</f>
        <v/>
      </c>
      <c r="H2566">
        <f>IF(AND(I2566="",J2566="",K2566=""),"",IF(NOT(ISNUMBER(O2566)),"Bad amount",IF(O2566&lt;0,"Refund (not counted)",IF(O2566=0,"Zero amount",IF(NOT(ISNUMBER(N2566)),"Bad date",IF(P2566="","NAME NOT ON ROSTER",IF(L2566="","OK",IF(MATCH(L2566,$L$2:$L$3001,0)&lt;ROW()-1,"Duplicate (ignored)","OK"))))))))</f>
        <v/>
      </c>
      <c r="I2566">
        <f>IF(OC_Date=0,"",IF(INDEX('OneCause_Paste'!$A$2566:$AZ$2566,1,OC_Date)="","",INDEX('OneCause_Paste'!$A$2566:$AZ$2566,1,OC_Date)))</f>
        <v/>
      </c>
      <c r="J2566">
        <f>IF(OC_Amt=0,"",IF(INDEX('OneCause_Paste'!$A$2566:$AZ$2566,1,OC_Amt)="","",INDEX('OneCause_Paste'!$A$2566:$AZ$2566,1,OC_Amt)))</f>
        <v/>
      </c>
      <c r="K2566">
        <f>IF(OC_Name=0,"",IF(INDEX('OneCause_Paste'!$A$2566:$AZ$2566,1,OC_Name)="","",INDEX('OneCause_Paste'!$A$2566:$AZ$2566,1,OC_Name)))</f>
        <v/>
      </c>
      <c r="L2566">
        <f>IF(OC_Txn=0,"",IF(INDEX('OneCause_Paste'!$A$2566:$AZ$2566,1,OC_Txn)="","",INDEX('OneCause_Paste'!$A$2566:$AZ$2566,1,OC_Txn)))</f>
        <v/>
      </c>
      <c r="M2566">
        <f>IF(OC_Pay=0,"",IF(INDEX('OneCause_Paste'!$A$2566:$AZ$2566,1,OC_Pay)="","",INDEX('OneCause_Paste'!$A$2566:$AZ$2566,1,OC_Pay)))</f>
        <v/>
      </c>
      <c r="N2566">
        <f>IF(I2566="","",IF(ISNUMBER(I2566),INT(I2566),IFERROR(INT(DATEVALUE(I2566)),IFERROR(INT(VALUE(I2566)),"bad"))))</f>
        <v/>
      </c>
      <c r="O2566">
        <f>IF(J2566="","",IF(ISNUMBER(J2566),ROUND(J2566,2),IFERROR(ROUND(VALUE(SUBSTITUTE(SUBSTITUTE(SUBSTITUTE(J2566,"$",""),",","")," ","")),2),"bad")))</f>
        <v/>
      </c>
      <c r="P2566">
        <f>IF(TRIM(K2566)="","",IFERROR(MATCH(LOWER(TRIM(K2566)),'Students'!$AH$2:$AH$701,0),IFERROR(MATCH(LOWER(TRIM(K2566)),'Students'!$AF$2:$AF$701,0),IFERROR(MATCH(LOWER(TRIM(K2566)),'Students'!$AG$2:$AG$701,0),""))))</f>
        <v/>
      </c>
      <c r="R2566">
        <f>IF(P2566="","",INDEX('Students'!$AD$2:$AD$701,P2566))</f>
        <v/>
      </c>
      <c r="S2566">
        <f>IF(H2566="OK",O2566,0)</f>
        <v/>
      </c>
      <c r="T2566">
        <f>IF(H2566="OK",N2566,"")</f>
        <v/>
      </c>
      <c r="U2566">
        <f>IF(OC_Donor=0,"",IF(INDEX('OneCause_Paste'!$A$2566:$AZ$2566,1,OC_Donor)="","",INDEX('OneCause_Paste'!$A$2566:$AZ$2566,1,OC_Donor)))</f>
        <v/>
      </c>
    </row>
    <row r="2567">
      <c r="A2567" s="62">
        <f>IF(H2567="","",IF(ISNUMBER(N2567),N2567,I2567))</f>
        <v/>
      </c>
      <c r="B2567">
        <f>IF(H2567="","",U2567)</f>
        <v/>
      </c>
      <c r="C2567">
        <f>IF(H2567="","",IF(P2567="",K2567,INDEX('Students'!$A$2:$A$701,P2567)))</f>
        <v/>
      </c>
      <c r="D2567">
        <f>IF(OR(H2567="",P2567=""),"",INDEX('Students'!$B$2:$B$701,P2567))</f>
        <v/>
      </c>
      <c r="E2567">
        <f>IF(OR(H2567="",P2567=""),"",INDEX('Students'!$C$2:$C$701,P2567))</f>
        <v/>
      </c>
      <c r="F2567" s="48">
        <f>IF(H2567="","",IF(ISNUMBER(O2567),O2567,J2567))</f>
        <v/>
      </c>
      <c r="G2567">
        <f>IF(H2567="","","OneCause")</f>
        <v/>
      </c>
      <c r="H2567">
        <f>IF(AND(I2567="",J2567="",K2567=""),"",IF(NOT(ISNUMBER(O2567)),"Bad amount",IF(O2567&lt;0,"Refund (not counted)",IF(O2567=0,"Zero amount",IF(NOT(ISNUMBER(N2567)),"Bad date",IF(P2567="","NAME NOT ON ROSTER",IF(L2567="","OK",IF(MATCH(L2567,$L$2:$L$3001,0)&lt;ROW()-1,"Duplicate (ignored)","OK"))))))))</f>
        <v/>
      </c>
      <c r="I2567">
        <f>IF(OC_Date=0,"",IF(INDEX('OneCause_Paste'!$A$2567:$AZ$2567,1,OC_Date)="","",INDEX('OneCause_Paste'!$A$2567:$AZ$2567,1,OC_Date)))</f>
        <v/>
      </c>
      <c r="J2567">
        <f>IF(OC_Amt=0,"",IF(INDEX('OneCause_Paste'!$A$2567:$AZ$2567,1,OC_Amt)="","",INDEX('OneCause_Paste'!$A$2567:$AZ$2567,1,OC_Amt)))</f>
        <v/>
      </c>
      <c r="K2567">
        <f>IF(OC_Name=0,"",IF(INDEX('OneCause_Paste'!$A$2567:$AZ$2567,1,OC_Name)="","",INDEX('OneCause_Paste'!$A$2567:$AZ$2567,1,OC_Name)))</f>
        <v/>
      </c>
      <c r="L2567">
        <f>IF(OC_Txn=0,"",IF(INDEX('OneCause_Paste'!$A$2567:$AZ$2567,1,OC_Txn)="","",INDEX('OneCause_Paste'!$A$2567:$AZ$2567,1,OC_Txn)))</f>
        <v/>
      </c>
      <c r="M2567">
        <f>IF(OC_Pay=0,"",IF(INDEX('OneCause_Paste'!$A$2567:$AZ$2567,1,OC_Pay)="","",INDEX('OneCause_Paste'!$A$2567:$AZ$2567,1,OC_Pay)))</f>
        <v/>
      </c>
      <c r="N2567">
        <f>IF(I2567="","",IF(ISNUMBER(I2567),INT(I2567),IFERROR(INT(DATEVALUE(I2567)),IFERROR(INT(VALUE(I2567)),"bad"))))</f>
        <v/>
      </c>
      <c r="O2567">
        <f>IF(J2567="","",IF(ISNUMBER(J2567),ROUND(J2567,2),IFERROR(ROUND(VALUE(SUBSTITUTE(SUBSTITUTE(SUBSTITUTE(J2567,"$",""),",","")," ","")),2),"bad")))</f>
        <v/>
      </c>
      <c r="P2567">
        <f>IF(TRIM(K2567)="","",IFERROR(MATCH(LOWER(TRIM(K2567)),'Students'!$AH$2:$AH$701,0),IFERROR(MATCH(LOWER(TRIM(K2567)),'Students'!$AF$2:$AF$701,0),IFERROR(MATCH(LOWER(TRIM(K2567)),'Students'!$AG$2:$AG$701,0),""))))</f>
        <v/>
      </c>
      <c r="R2567">
        <f>IF(P2567="","",INDEX('Students'!$AD$2:$AD$701,P2567))</f>
        <v/>
      </c>
      <c r="S2567">
        <f>IF(H2567="OK",O2567,0)</f>
        <v/>
      </c>
      <c r="T2567">
        <f>IF(H2567="OK",N2567,"")</f>
        <v/>
      </c>
      <c r="U2567">
        <f>IF(OC_Donor=0,"",IF(INDEX('OneCause_Paste'!$A$2567:$AZ$2567,1,OC_Donor)="","",INDEX('OneCause_Paste'!$A$2567:$AZ$2567,1,OC_Donor)))</f>
        <v/>
      </c>
    </row>
    <row r="2568">
      <c r="A2568" s="62">
        <f>IF(H2568="","",IF(ISNUMBER(N2568),N2568,I2568))</f>
        <v/>
      </c>
      <c r="B2568">
        <f>IF(H2568="","",U2568)</f>
        <v/>
      </c>
      <c r="C2568">
        <f>IF(H2568="","",IF(P2568="",K2568,INDEX('Students'!$A$2:$A$701,P2568)))</f>
        <v/>
      </c>
      <c r="D2568">
        <f>IF(OR(H2568="",P2568=""),"",INDEX('Students'!$B$2:$B$701,P2568))</f>
        <v/>
      </c>
      <c r="E2568">
        <f>IF(OR(H2568="",P2568=""),"",INDEX('Students'!$C$2:$C$701,P2568))</f>
        <v/>
      </c>
      <c r="F2568" s="48">
        <f>IF(H2568="","",IF(ISNUMBER(O2568),O2568,J2568))</f>
        <v/>
      </c>
      <c r="G2568">
        <f>IF(H2568="","","OneCause")</f>
        <v/>
      </c>
      <c r="H2568">
        <f>IF(AND(I2568="",J2568="",K2568=""),"",IF(NOT(ISNUMBER(O2568)),"Bad amount",IF(O2568&lt;0,"Refund (not counted)",IF(O2568=0,"Zero amount",IF(NOT(ISNUMBER(N2568)),"Bad date",IF(P2568="","NAME NOT ON ROSTER",IF(L2568="","OK",IF(MATCH(L2568,$L$2:$L$3001,0)&lt;ROW()-1,"Duplicate (ignored)","OK"))))))))</f>
        <v/>
      </c>
      <c r="I2568">
        <f>IF(OC_Date=0,"",IF(INDEX('OneCause_Paste'!$A$2568:$AZ$2568,1,OC_Date)="","",INDEX('OneCause_Paste'!$A$2568:$AZ$2568,1,OC_Date)))</f>
        <v/>
      </c>
      <c r="J2568">
        <f>IF(OC_Amt=0,"",IF(INDEX('OneCause_Paste'!$A$2568:$AZ$2568,1,OC_Amt)="","",INDEX('OneCause_Paste'!$A$2568:$AZ$2568,1,OC_Amt)))</f>
        <v/>
      </c>
      <c r="K2568">
        <f>IF(OC_Name=0,"",IF(INDEX('OneCause_Paste'!$A$2568:$AZ$2568,1,OC_Name)="","",INDEX('OneCause_Paste'!$A$2568:$AZ$2568,1,OC_Name)))</f>
        <v/>
      </c>
      <c r="L2568">
        <f>IF(OC_Txn=0,"",IF(INDEX('OneCause_Paste'!$A$2568:$AZ$2568,1,OC_Txn)="","",INDEX('OneCause_Paste'!$A$2568:$AZ$2568,1,OC_Txn)))</f>
        <v/>
      </c>
      <c r="M2568">
        <f>IF(OC_Pay=0,"",IF(INDEX('OneCause_Paste'!$A$2568:$AZ$2568,1,OC_Pay)="","",INDEX('OneCause_Paste'!$A$2568:$AZ$2568,1,OC_Pay)))</f>
        <v/>
      </c>
      <c r="N2568">
        <f>IF(I2568="","",IF(ISNUMBER(I2568),INT(I2568),IFERROR(INT(DATEVALUE(I2568)),IFERROR(INT(VALUE(I2568)),"bad"))))</f>
        <v/>
      </c>
      <c r="O2568">
        <f>IF(J2568="","",IF(ISNUMBER(J2568),ROUND(J2568,2),IFERROR(ROUND(VALUE(SUBSTITUTE(SUBSTITUTE(SUBSTITUTE(J2568,"$",""),",","")," ","")),2),"bad")))</f>
        <v/>
      </c>
      <c r="P2568">
        <f>IF(TRIM(K2568)="","",IFERROR(MATCH(LOWER(TRIM(K2568)),'Students'!$AH$2:$AH$701,0),IFERROR(MATCH(LOWER(TRIM(K2568)),'Students'!$AF$2:$AF$701,0),IFERROR(MATCH(LOWER(TRIM(K2568)),'Students'!$AG$2:$AG$701,0),""))))</f>
        <v/>
      </c>
      <c r="R2568">
        <f>IF(P2568="","",INDEX('Students'!$AD$2:$AD$701,P2568))</f>
        <v/>
      </c>
      <c r="S2568">
        <f>IF(H2568="OK",O2568,0)</f>
        <v/>
      </c>
      <c r="T2568">
        <f>IF(H2568="OK",N2568,"")</f>
        <v/>
      </c>
      <c r="U2568">
        <f>IF(OC_Donor=0,"",IF(INDEX('OneCause_Paste'!$A$2568:$AZ$2568,1,OC_Donor)="","",INDEX('OneCause_Paste'!$A$2568:$AZ$2568,1,OC_Donor)))</f>
        <v/>
      </c>
    </row>
    <row r="2569">
      <c r="A2569" s="62">
        <f>IF(H2569="","",IF(ISNUMBER(N2569),N2569,I2569))</f>
        <v/>
      </c>
      <c r="B2569">
        <f>IF(H2569="","",U2569)</f>
        <v/>
      </c>
      <c r="C2569">
        <f>IF(H2569="","",IF(P2569="",K2569,INDEX('Students'!$A$2:$A$701,P2569)))</f>
        <v/>
      </c>
      <c r="D2569">
        <f>IF(OR(H2569="",P2569=""),"",INDEX('Students'!$B$2:$B$701,P2569))</f>
        <v/>
      </c>
      <c r="E2569">
        <f>IF(OR(H2569="",P2569=""),"",INDEX('Students'!$C$2:$C$701,P2569))</f>
        <v/>
      </c>
      <c r="F2569" s="48">
        <f>IF(H2569="","",IF(ISNUMBER(O2569),O2569,J2569))</f>
        <v/>
      </c>
      <c r="G2569">
        <f>IF(H2569="","","OneCause")</f>
        <v/>
      </c>
      <c r="H2569">
        <f>IF(AND(I2569="",J2569="",K2569=""),"",IF(NOT(ISNUMBER(O2569)),"Bad amount",IF(O2569&lt;0,"Refund (not counted)",IF(O2569=0,"Zero amount",IF(NOT(ISNUMBER(N2569)),"Bad date",IF(P2569="","NAME NOT ON ROSTER",IF(L2569="","OK",IF(MATCH(L2569,$L$2:$L$3001,0)&lt;ROW()-1,"Duplicate (ignored)","OK"))))))))</f>
        <v/>
      </c>
      <c r="I2569">
        <f>IF(OC_Date=0,"",IF(INDEX('OneCause_Paste'!$A$2569:$AZ$2569,1,OC_Date)="","",INDEX('OneCause_Paste'!$A$2569:$AZ$2569,1,OC_Date)))</f>
        <v/>
      </c>
      <c r="J2569">
        <f>IF(OC_Amt=0,"",IF(INDEX('OneCause_Paste'!$A$2569:$AZ$2569,1,OC_Amt)="","",INDEX('OneCause_Paste'!$A$2569:$AZ$2569,1,OC_Amt)))</f>
        <v/>
      </c>
      <c r="K2569">
        <f>IF(OC_Name=0,"",IF(INDEX('OneCause_Paste'!$A$2569:$AZ$2569,1,OC_Name)="","",INDEX('OneCause_Paste'!$A$2569:$AZ$2569,1,OC_Name)))</f>
        <v/>
      </c>
      <c r="L2569">
        <f>IF(OC_Txn=0,"",IF(INDEX('OneCause_Paste'!$A$2569:$AZ$2569,1,OC_Txn)="","",INDEX('OneCause_Paste'!$A$2569:$AZ$2569,1,OC_Txn)))</f>
        <v/>
      </c>
      <c r="M2569">
        <f>IF(OC_Pay=0,"",IF(INDEX('OneCause_Paste'!$A$2569:$AZ$2569,1,OC_Pay)="","",INDEX('OneCause_Paste'!$A$2569:$AZ$2569,1,OC_Pay)))</f>
        <v/>
      </c>
      <c r="N2569">
        <f>IF(I2569="","",IF(ISNUMBER(I2569),INT(I2569),IFERROR(INT(DATEVALUE(I2569)),IFERROR(INT(VALUE(I2569)),"bad"))))</f>
        <v/>
      </c>
      <c r="O2569">
        <f>IF(J2569="","",IF(ISNUMBER(J2569),ROUND(J2569,2),IFERROR(ROUND(VALUE(SUBSTITUTE(SUBSTITUTE(SUBSTITUTE(J2569,"$",""),",","")," ","")),2),"bad")))</f>
        <v/>
      </c>
      <c r="P2569">
        <f>IF(TRIM(K2569)="","",IFERROR(MATCH(LOWER(TRIM(K2569)),'Students'!$AH$2:$AH$701,0),IFERROR(MATCH(LOWER(TRIM(K2569)),'Students'!$AF$2:$AF$701,0),IFERROR(MATCH(LOWER(TRIM(K2569)),'Students'!$AG$2:$AG$701,0),""))))</f>
        <v/>
      </c>
      <c r="R2569">
        <f>IF(P2569="","",INDEX('Students'!$AD$2:$AD$701,P2569))</f>
        <v/>
      </c>
      <c r="S2569">
        <f>IF(H2569="OK",O2569,0)</f>
        <v/>
      </c>
      <c r="T2569">
        <f>IF(H2569="OK",N2569,"")</f>
        <v/>
      </c>
      <c r="U2569">
        <f>IF(OC_Donor=0,"",IF(INDEX('OneCause_Paste'!$A$2569:$AZ$2569,1,OC_Donor)="","",INDEX('OneCause_Paste'!$A$2569:$AZ$2569,1,OC_Donor)))</f>
        <v/>
      </c>
    </row>
    <row r="2570">
      <c r="A2570" s="62">
        <f>IF(H2570="","",IF(ISNUMBER(N2570),N2570,I2570))</f>
        <v/>
      </c>
      <c r="B2570">
        <f>IF(H2570="","",U2570)</f>
        <v/>
      </c>
      <c r="C2570">
        <f>IF(H2570="","",IF(P2570="",K2570,INDEX('Students'!$A$2:$A$701,P2570)))</f>
        <v/>
      </c>
      <c r="D2570">
        <f>IF(OR(H2570="",P2570=""),"",INDEX('Students'!$B$2:$B$701,P2570))</f>
        <v/>
      </c>
      <c r="E2570">
        <f>IF(OR(H2570="",P2570=""),"",INDEX('Students'!$C$2:$C$701,P2570))</f>
        <v/>
      </c>
      <c r="F2570" s="48">
        <f>IF(H2570="","",IF(ISNUMBER(O2570),O2570,J2570))</f>
        <v/>
      </c>
      <c r="G2570">
        <f>IF(H2570="","","OneCause")</f>
        <v/>
      </c>
      <c r="H2570">
        <f>IF(AND(I2570="",J2570="",K2570=""),"",IF(NOT(ISNUMBER(O2570)),"Bad amount",IF(O2570&lt;0,"Refund (not counted)",IF(O2570=0,"Zero amount",IF(NOT(ISNUMBER(N2570)),"Bad date",IF(P2570="","NAME NOT ON ROSTER",IF(L2570="","OK",IF(MATCH(L2570,$L$2:$L$3001,0)&lt;ROW()-1,"Duplicate (ignored)","OK"))))))))</f>
        <v/>
      </c>
      <c r="I2570">
        <f>IF(OC_Date=0,"",IF(INDEX('OneCause_Paste'!$A$2570:$AZ$2570,1,OC_Date)="","",INDEX('OneCause_Paste'!$A$2570:$AZ$2570,1,OC_Date)))</f>
        <v/>
      </c>
      <c r="J2570">
        <f>IF(OC_Amt=0,"",IF(INDEX('OneCause_Paste'!$A$2570:$AZ$2570,1,OC_Amt)="","",INDEX('OneCause_Paste'!$A$2570:$AZ$2570,1,OC_Amt)))</f>
        <v/>
      </c>
      <c r="K2570">
        <f>IF(OC_Name=0,"",IF(INDEX('OneCause_Paste'!$A$2570:$AZ$2570,1,OC_Name)="","",INDEX('OneCause_Paste'!$A$2570:$AZ$2570,1,OC_Name)))</f>
        <v/>
      </c>
      <c r="L2570">
        <f>IF(OC_Txn=0,"",IF(INDEX('OneCause_Paste'!$A$2570:$AZ$2570,1,OC_Txn)="","",INDEX('OneCause_Paste'!$A$2570:$AZ$2570,1,OC_Txn)))</f>
        <v/>
      </c>
      <c r="M2570">
        <f>IF(OC_Pay=0,"",IF(INDEX('OneCause_Paste'!$A$2570:$AZ$2570,1,OC_Pay)="","",INDEX('OneCause_Paste'!$A$2570:$AZ$2570,1,OC_Pay)))</f>
        <v/>
      </c>
      <c r="N2570">
        <f>IF(I2570="","",IF(ISNUMBER(I2570),INT(I2570),IFERROR(INT(DATEVALUE(I2570)),IFERROR(INT(VALUE(I2570)),"bad"))))</f>
        <v/>
      </c>
      <c r="O2570">
        <f>IF(J2570="","",IF(ISNUMBER(J2570),ROUND(J2570,2),IFERROR(ROUND(VALUE(SUBSTITUTE(SUBSTITUTE(SUBSTITUTE(J2570,"$",""),",","")," ","")),2),"bad")))</f>
        <v/>
      </c>
      <c r="P2570">
        <f>IF(TRIM(K2570)="","",IFERROR(MATCH(LOWER(TRIM(K2570)),'Students'!$AH$2:$AH$701,0),IFERROR(MATCH(LOWER(TRIM(K2570)),'Students'!$AF$2:$AF$701,0),IFERROR(MATCH(LOWER(TRIM(K2570)),'Students'!$AG$2:$AG$701,0),""))))</f>
        <v/>
      </c>
      <c r="R2570">
        <f>IF(P2570="","",INDEX('Students'!$AD$2:$AD$701,P2570))</f>
        <v/>
      </c>
      <c r="S2570">
        <f>IF(H2570="OK",O2570,0)</f>
        <v/>
      </c>
      <c r="T2570">
        <f>IF(H2570="OK",N2570,"")</f>
        <v/>
      </c>
      <c r="U2570">
        <f>IF(OC_Donor=0,"",IF(INDEX('OneCause_Paste'!$A$2570:$AZ$2570,1,OC_Donor)="","",INDEX('OneCause_Paste'!$A$2570:$AZ$2570,1,OC_Donor)))</f>
        <v/>
      </c>
    </row>
    <row r="2571">
      <c r="A2571" s="62">
        <f>IF(H2571="","",IF(ISNUMBER(N2571),N2571,I2571))</f>
        <v/>
      </c>
      <c r="B2571">
        <f>IF(H2571="","",U2571)</f>
        <v/>
      </c>
      <c r="C2571">
        <f>IF(H2571="","",IF(P2571="",K2571,INDEX('Students'!$A$2:$A$701,P2571)))</f>
        <v/>
      </c>
      <c r="D2571">
        <f>IF(OR(H2571="",P2571=""),"",INDEX('Students'!$B$2:$B$701,P2571))</f>
        <v/>
      </c>
      <c r="E2571">
        <f>IF(OR(H2571="",P2571=""),"",INDEX('Students'!$C$2:$C$701,P2571))</f>
        <v/>
      </c>
      <c r="F2571" s="48">
        <f>IF(H2571="","",IF(ISNUMBER(O2571),O2571,J2571))</f>
        <v/>
      </c>
      <c r="G2571">
        <f>IF(H2571="","","OneCause")</f>
        <v/>
      </c>
      <c r="H2571">
        <f>IF(AND(I2571="",J2571="",K2571=""),"",IF(NOT(ISNUMBER(O2571)),"Bad amount",IF(O2571&lt;0,"Refund (not counted)",IF(O2571=0,"Zero amount",IF(NOT(ISNUMBER(N2571)),"Bad date",IF(P2571="","NAME NOT ON ROSTER",IF(L2571="","OK",IF(MATCH(L2571,$L$2:$L$3001,0)&lt;ROW()-1,"Duplicate (ignored)","OK"))))))))</f>
        <v/>
      </c>
      <c r="I2571">
        <f>IF(OC_Date=0,"",IF(INDEX('OneCause_Paste'!$A$2571:$AZ$2571,1,OC_Date)="","",INDEX('OneCause_Paste'!$A$2571:$AZ$2571,1,OC_Date)))</f>
        <v/>
      </c>
      <c r="J2571">
        <f>IF(OC_Amt=0,"",IF(INDEX('OneCause_Paste'!$A$2571:$AZ$2571,1,OC_Amt)="","",INDEX('OneCause_Paste'!$A$2571:$AZ$2571,1,OC_Amt)))</f>
        <v/>
      </c>
      <c r="K2571">
        <f>IF(OC_Name=0,"",IF(INDEX('OneCause_Paste'!$A$2571:$AZ$2571,1,OC_Name)="","",INDEX('OneCause_Paste'!$A$2571:$AZ$2571,1,OC_Name)))</f>
        <v/>
      </c>
      <c r="L2571">
        <f>IF(OC_Txn=0,"",IF(INDEX('OneCause_Paste'!$A$2571:$AZ$2571,1,OC_Txn)="","",INDEX('OneCause_Paste'!$A$2571:$AZ$2571,1,OC_Txn)))</f>
        <v/>
      </c>
      <c r="M2571">
        <f>IF(OC_Pay=0,"",IF(INDEX('OneCause_Paste'!$A$2571:$AZ$2571,1,OC_Pay)="","",INDEX('OneCause_Paste'!$A$2571:$AZ$2571,1,OC_Pay)))</f>
        <v/>
      </c>
      <c r="N2571">
        <f>IF(I2571="","",IF(ISNUMBER(I2571),INT(I2571),IFERROR(INT(DATEVALUE(I2571)),IFERROR(INT(VALUE(I2571)),"bad"))))</f>
        <v/>
      </c>
      <c r="O2571">
        <f>IF(J2571="","",IF(ISNUMBER(J2571),ROUND(J2571,2),IFERROR(ROUND(VALUE(SUBSTITUTE(SUBSTITUTE(SUBSTITUTE(J2571,"$",""),",","")," ","")),2),"bad")))</f>
        <v/>
      </c>
      <c r="P2571">
        <f>IF(TRIM(K2571)="","",IFERROR(MATCH(LOWER(TRIM(K2571)),'Students'!$AH$2:$AH$701,0),IFERROR(MATCH(LOWER(TRIM(K2571)),'Students'!$AF$2:$AF$701,0),IFERROR(MATCH(LOWER(TRIM(K2571)),'Students'!$AG$2:$AG$701,0),""))))</f>
        <v/>
      </c>
      <c r="R2571">
        <f>IF(P2571="","",INDEX('Students'!$AD$2:$AD$701,P2571))</f>
        <v/>
      </c>
      <c r="S2571">
        <f>IF(H2571="OK",O2571,0)</f>
        <v/>
      </c>
      <c r="T2571">
        <f>IF(H2571="OK",N2571,"")</f>
        <v/>
      </c>
      <c r="U2571">
        <f>IF(OC_Donor=0,"",IF(INDEX('OneCause_Paste'!$A$2571:$AZ$2571,1,OC_Donor)="","",INDEX('OneCause_Paste'!$A$2571:$AZ$2571,1,OC_Donor)))</f>
        <v/>
      </c>
    </row>
    <row r="2572">
      <c r="A2572" s="62">
        <f>IF(H2572="","",IF(ISNUMBER(N2572),N2572,I2572))</f>
        <v/>
      </c>
      <c r="B2572">
        <f>IF(H2572="","",U2572)</f>
        <v/>
      </c>
      <c r="C2572">
        <f>IF(H2572="","",IF(P2572="",K2572,INDEX('Students'!$A$2:$A$701,P2572)))</f>
        <v/>
      </c>
      <c r="D2572">
        <f>IF(OR(H2572="",P2572=""),"",INDEX('Students'!$B$2:$B$701,P2572))</f>
        <v/>
      </c>
      <c r="E2572">
        <f>IF(OR(H2572="",P2572=""),"",INDEX('Students'!$C$2:$C$701,P2572))</f>
        <v/>
      </c>
      <c r="F2572" s="48">
        <f>IF(H2572="","",IF(ISNUMBER(O2572),O2572,J2572))</f>
        <v/>
      </c>
      <c r="G2572">
        <f>IF(H2572="","","OneCause")</f>
        <v/>
      </c>
      <c r="H2572">
        <f>IF(AND(I2572="",J2572="",K2572=""),"",IF(NOT(ISNUMBER(O2572)),"Bad amount",IF(O2572&lt;0,"Refund (not counted)",IF(O2572=0,"Zero amount",IF(NOT(ISNUMBER(N2572)),"Bad date",IF(P2572="","NAME NOT ON ROSTER",IF(L2572="","OK",IF(MATCH(L2572,$L$2:$L$3001,0)&lt;ROW()-1,"Duplicate (ignored)","OK"))))))))</f>
        <v/>
      </c>
      <c r="I2572">
        <f>IF(OC_Date=0,"",IF(INDEX('OneCause_Paste'!$A$2572:$AZ$2572,1,OC_Date)="","",INDEX('OneCause_Paste'!$A$2572:$AZ$2572,1,OC_Date)))</f>
        <v/>
      </c>
      <c r="J2572">
        <f>IF(OC_Amt=0,"",IF(INDEX('OneCause_Paste'!$A$2572:$AZ$2572,1,OC_Amt)="","",INDEX('OneCause_Paste'!$A$2572:$AZ$2572,1,OC_Amt)))</f>
        <v/>
      </c>
      <c r="K2572">
        <f>IF(OC_Name=0,"",IF(INDEX('OneCause_Paste'!$A$2572:$AZ$2572,1,OC_Name)="","",INDEX('OneCause_Paste'!$A$2572:$AZ$2572,1,OC_Name)))</f>
        <v/>
      </c>
      <c r="L2572">
        <f>IF(OC_Txn=0,"",IF(INDEX('OneCause_Paste'!$A$2572:$AZ$2572,1,OC_Txn)="","",INDEX('OneCause_Paste'!$A$2572:$AZ$2572,1,OC_Txn)))</f>
        <v/>
      </c>
      <c r="M2572">
        <f>IF(OC_Pay=0,"",IF(INDEX('OneCause_Paste'!$A$2572:$AZ$2572,1,OC_Pay)="","",INDEX('OneCause_Paste'!$A$2572:$AZ$2572,1,OC_Pay)))</f>
        <v/>
      </c>
      <c r="N2572">
        <f>IF(I2572="","",IF(ISNUMBER(I2572),INT(I2572),IFERROR(INT(DATEVALUE(I2572)),IFERROR(INT(VALUE(I2572)),"bad"))))</f>
        <v/>
      </c>
      <c r="O2572">
        <f>IF(J2572="","",IF(ISNUMBER(J2572),ROUND(J2572,2),IFERROR(ROUND(VALUE(SUBSTITUTE(SUBSTITUTE(SUBSTITUTE(J2572,"$",""),",","")," ","")),2),"bad")))</f>
        <v/>
      </c>
      <c r="P2572">
        <f>IF(TRIM(K2572)="","",IFERROR(MATCH(LOWER(TRIM(K2572)),'Students'!$AH$2:$AH$701,0),IFERROR(MATCH(LOWER(TRIM(K2572)),'Students'!$AF$2:$AF$701,0),IFERROR(MATCH(LOWER(TRIM(K2572)),'Students'!$AG$2:$AG$701,0),""))))</f>
        <v/>
      </c>
      <c r="R2572">
        <f>IF(P2572="","",INDEX('Students'!$AD$2:$AD$701,P2572))</f>
        <v/>
      </c>
      <c r="S2572">
        <f>IF(H2572="OK",O2572,0)</f>
        <v/>
      </c>
      <c r="T2572">
        <f>IF(H2572="OK",N2572,"")</f>
        <v/>
      </c>
      <c r="U2572">
        <f>IF(OC_Donor=0,"",IF(INDEX('OneCause_Paste'!$A$2572:$AZ$2572,1,OC_Donor)="","",INDEX('OneCause_Paste'!$A$2572:$AZ$2572,1,OC_Donor)))</f>
        <v/>
      </c>
    </row>
    <row r="2573">
      <c r="A2573" s="62">
        <f>IF(H2573="","",IF(ISNUMBER(N2573),N2573,I2573))</f>
        <v/>
      </c>
      <c r="B2573">
        <f>IF(H2573="","",U2573)</f>
        <v/>
      </c>
      <c r="C2573">
        <f>IF(H2573="","",IF(P2573="",K2573,INDEX('Students'!$A$2:$A$701,P2573)))</f>
        <v/>
      </c>
      <c r="D2573">
        <f>IF(OR(H2573="",P2573=""),"",INDEX('Students'!$B$2:$B$701,P2573))</f>
        <v/>
      </c>
      <c r="E2573">
        <f>IF(OR(H2573="",P2573=""),"",INDEX('Students'!$C$2:$C$701,P2573))</f>
        <v/>
      </c>
      <c r="F2573" s="48">
        <f>IF(H2573="","",IF(ISNUMBER(O2573),O2573,J2573))</f>
        <v/>
      </c>
      <c r="G2573">
        <f>IF(H2573="","","OneCause")</f>
        <v/>
      </c>
      <c r="H2573">
        <f>IF(AND(I2573="",J2573="",K2573=""),"",IF(NOT(ISNUMBER(O2573)),"Bad amount",IF(O2573&lt;0,"Refund (not counted)",IF(O2573=0,"Zero amount",IF(NOT(ISNUMBER(N2573)),"Bad date",IF(P2573="","NAME NOT ON ROSTER",IF(L2573="","OK",IF(MATCH(L2573,$L$2:$L$3001,0)&lt;ROW()-1,"Duplicate (ignored)","OK"))))))))</f>
        <v/>
      </c>
      <c r="I2573">
        <f>IF(OC_Date=0,"",IF(INDEX('OneCause_Paste'!$A$2573:$AZ$2573,1,OC_Date)="","",INDEX('OneCause_Paste'!$A$2573:$AZ$2573,1,OC_Date)))</f>
        <v/>
      </c>
      <c r="J2573">
        <f>IF(OC_Amt=0,"",IF(INDEX('OneCause_Paste'!$A$2573:$AZ$2573,1,OC_Amt)="","",INDEX('OneCause_Paste'!$A$2573:$AZ$2573,1,OC_Amt)))</f>
        <v/>
      </c>
      <c r="K2573">
        <f>IF(OC_Name=0,"",IF(INDEX('OneCause_Paste'!$A$2573:$AZ$2573,1,OC_Name)="","",INDEX('OneCause_Paste'!$A$2573:$AZ$2573,1,OC_Name)))</f>
        <v/>
      </c>
      <c r="L2573">
        <f>IF(OC_Txn=0,"",IF(INDEX('OneCause_Paste'!$A$2573:$AZ$2573,1,OC_Txn)="","",INDEX('OneCause_Paste'!$A$2573:$AZ$2573,1,OC_Txn)))</f>
        <v/>
      </c>
      <c r="M2573">
        <f>IF(OC_Pay=0,"",IF(INDEX('OneCause_Paste'!$A$2573:$AZ$2573,1,OC_Pay)="","",INDEX('OneCause_Paste'!$A$2573:$AZ$2573,1,OC_Pay)))</f>
        <v/>
      </c>
      <c r="N2573">
        <f>IF(I2573="","",IF(ISNUMBER(I2573),INT(I2573),IFERROR(INT(DATEVALUE(I2573)),IFERROR(INT(VALUE(I2573)),"bad"))))</f>
        <v/>
      </c>
      <c r="O2573">
        <f>IF(J2573="","",IF(ISNUMBER(J2573),ROUND(J2573,2),IFERROR(ROUND(VALUE(SUBSTITUTE(SUBSTITUTE(SUBSTITUTE(J2573,"$",""),",","")," ","")),2),"bad")))</f>
        <v/>
      </c>
      <c r="P2573">
        <f>IF(TRIM(K2573)="","",IFERROR(MATCH(LOWER(TRIM(K2573)),'Students'!$AH$2:$AH$701,0),IFERROR(MATCH(LOWER(TRIM(K2573)),'Students'!$AF$2:$AF$701,0),IFERROR(MATCH(LOWER(TRIM(K2573)),'Students'!$AG$2:$AG$701,0),""))))</f>
        <v/>
      </c>
      <c r="R2573">
        <f>IF(P2573="","",INDEX('Students'!$AD$2:$AD$701,P2573))</f>
        <v/>
      </c>
      <c r="S2573">
        <f>IF(H2573="OK",O2573,0)</f>
        <v/>
      </c>
      <c r="T2573">
        <f>IF(H2573="OK",N2573,"")</f>
        <v/>
      </c>
      <c r="U2573">
        <f>IF(OC_Donor=0,"",IF(INDEX('OneCause_Paste'!$A$2573:$AZ$2573,1,OC_Donor)="","",INDEX('OneCause_Paste'!$A$2573:$AZ$2573,1,OC_Donor)))</f>
        <v/>
      </c>
    </row>
    <row r="2574">
      <c r="A2574" s="62">
        <f>IF(H2574="","",IF(ISNUMBER(N2574),N2574,I2574))</f>
        <v/>
      </c>
      <c r="B2574">
        <f>IF(H2574="","",U2574)</f>
        <v/>
      </c>
      <c r="C2574">
        <f>IF(H2574="","",IF(P2574="",K2574,INDEX('Students'!$A$2:$A$701,P2574)))</f>
        <v/>
      </c>
      <c r="D2574">
        <f>IF(OR(H2574="",P2574=""),"",INDEX('Students'!$B$2:$B$701,P2574))</f>
        <v/>
      </c>
      <c r="E2574">
        <f>IF(OR(H2574="",P2574=""),"",INDEX('Students'!$C$2:$C$701,P2574))</f>
        <v/>
      </c>
      <c r="F2574" s="48">
        <f>IF(H2574="","",IF(ISNUMBER(O2574),O2574,J2574))</f>
        <v/>
      </c>
      <c r="G2574">
        <f>IF(H2574="","","OneCause")</f>
        <v/>
      </c>
      <c r="H2574">
        <f>IF(AND(I2574="",J2574="",K2574=""),"",IF(NOT(ISNUMBER(O2574)),"Bad amount",IF(O2574&lt;0,"Refund (not counted)",IF(O2574=0,"Zero amount",IF(NOT(ISNUMBER(N2574)),"Bad date",IF(P2574="","NAME NOT ON ROSTER",IF(L2574="","OK",IF(MATCH(L2574,$L$2:$L$3001,0)&lt;ROW()-1,"Duplicate (ignored)","OK"))))))))</f>
        <v/>
      </c>
      <c r="I2574">
        <f>IF(OC_Date=0,"",IF(INDEX('OneCause_Paste'!$A$2574:$AZ$2574,1,OC_Date)="","",INDEX('OneCause_Paste'!$A$2574:$AZ$2574,1,OC_Date)))</f>
        <v/>
      </c>
      <c r="J2574">
        <f>IF(OC_Amt=0,"",IF(INDEX('OneCause_Paste'!$A$2574:$AZ$2574,1,OC_Amt)="","",INDEX('OneCause_Paste'!$A$2574:$AZ$2574,1,OC_Amt)))</f>
        <v/>
      </c>
      <c r="K2574">
        <f>IF(OC_Name=0,"",IF(INDEX('OneCause_Paste'!$A$2574:$AZ$2574,1,OC_Name)="","",INDEX('OneCause_Paste'!$A$2574:$AZ$2574,1,OC_Name)))</f>
        <v/>
      </c>
      <c r="L2574">
        <f>IF(OC_Txn=0,"",IF(INDEX('OneCause_Paste'!$A$2574:$AZ$2574,1,OC_Txn)="","",INDEX('OneCause_Paste'!$A$2574:$AZ$2574,1,OC_Txn)))</f>
        <v/>
      </c>
      <c r="M2574">
        <f>IF(OC_Pay=0,"",IF(INDEX('OneCause_Paste'!$A$2574:$AZ$2574,1,OC_Pay)="","",INDEX('OneCause_Paste'!$A$2574:$AZ$2574,1,OC_Pay)))</f>
        <v/>
      </c>
      <c r="N2574">
        <f>IF(I2574="","",IF(ISNUMBER(I2574),INT(I2574),IFERROR(INT(DATEVALUE(I2574)),IFERROR(INT(VALUE(I2574)),"bad"))))</f>
        <v/>
      </c>
      <c r="O2574">
        <f>IF(J2574="","",IF(ISNUMBER(J2574),ROUND(J2574,2),IFERROR(ROUND(VALUE(SUBSTITUTE(SUBSTITUTE(SUBSTITUTE(J2574,"$",""),",","")," ","")),2),"bad")))</f>
        <v/>
      </c>
      <c r="P2574">
        <f>IF(TRIM(K2574)="","",IFERROR(MATCH(LOWER(TRIM(K2574)),'Students'!$AH$2:$AH$701,0),IFERROR(MATCH(LOWER(TRIM(K2574)),'Students'!$AF$2:$AF$701,0),IFERROR(MATCH(LOWER(TRIM(K2574)),'Students'!$AG$2:$AG$701,0),""))))</f>
        <v/>
      </c>
      <c r="R2574">
        <f>IF(P2574="","",INDEX('Students'!$AD$2:$AD$701,P2574))</f>
        <v/>
      </c>
      <c r="S2574">
        <f>IF(H2574="OK",O2574,0)</f>
        <v/>
      </c>
      <c r="T2574">
        <f>IF(H2574="OK",N2574,"")</f>
        <v/>
      </c>
      <c r="U2574">
        <f>IF(OC_Donor=0,"",IF(INDEX('OneCause_Paste'!$A$2574:$AZ$2574,1,OC_Donor)="","",INDEX('OneCause_Paste'!$A$2574:$AZ$2574,1,OC_Donor)))</f>
        <v/>
      </c>
    </row>
    <row r="2575">
      <c r="A2575" s="62">
        <f>IF(H2575="","",IF(ISNUMBER(N2575),N2575,I2575))</f>
        <v/>
      </c>
      <c r="B2575">
        <f>IF(H2575="","",U2575)</f>
        <v/>
      </c>
      <c r="C2575">
        <f>IF(H2575="","",IF(P2575="",K2575,INDEX('Students'!$A$2:$A$701,P2575)))</f>
        <v/>
      </c>
      <c r="D2575">
        <f>IF(OR(H2575="",P2575=""),"",INDEX('Students'!$B$2:$B$701,P2575))</f>
        <v/>
      </c>
      <c r="E2575">
        <f>IF(OR(H2575="",P2575=""),"",INDEX('Students'!$C$2:$C$701,P2575))</f>
        <v/>
      </c>
      <c r="F2575" s="48">
        <f>IF(H2575="","",IF(ISNUMBER(O2575),O2575,J2575))</f>
        <v/>
      </c>
      <c r="G2575">
        <f>IF(H2575="","","OneCause")</f>
        <v/>
      </c>
      <c r="H2575">
        <f>IF(AND(I2575="",J2575="",K2575=""),"",IF(NOT(ISNUMBER(O2575)),"Bad amount",IF(O2575&lt;0,"Refund (not counted)",IF(O2575=0,"Zero amount",IF(NOT(ISNUMBER(N2575)),"Bad date",IF(P2575="","NAME NOT ON ROSTER",IF(L2575="","OK",IF(MATCH(L2575,$L$2:$L$3001,0)&lt;ROW()-1,"Duplicate (ignored)","OK"))))))))</f>
        <v/>
      </c>
      <c r="I2575">
        <f>IF(OC_Date=0,"",IF(INDEX('OneCause_Paste'!$A$2575:$AZ$2575,1,OC_Date)="","",INDEX('OneCause_Paste'!$A$2575:$AZ$2575,1,OC_Date)))</f>
        <v/>
      </c>
      <c r="J2575">
        <f>IF(OC_Amt=0,"",IF(INDEX('OneCause_Paste'!$A$2575:$AZ$2575,1,OC_Amt)="","",INDEX('OneCause_Paste'!$A$2575:$AZ$2575,1,OC_Amt)))</f>
        <v/>
      </c>
      <c r="K2575">
        <f>IF(OC_Name=0,"",IF(INDEX('OneCause_Paste'!$A$2575:$AZ$2575,1,OC_Name)="","",INDEX('OneCause_Paste'!$A$2575:$AZ$2575,1,OC_Name)))</f>
        <v/>
      </c>
      <c r="L2575">
        <f>IF(OC_Txn=0,"",IF(INDEX('OneCause_Paste'!$A$2575:$AZ$2575,1,OC_Txn)="","",INDEX('OneCause_Paste'!$A$2575:$AZ$2575,1,OC_Txn)))</f>
        <v/>
      </c>
      <c r="M2575">
        <f>IF(OC_Pay=0,"",IF(INDEX('OneCause_Paste'!$A$2575:$AZ$2575,1,OC_Pay)="","",INDEX('OneCause_Paste'!$A$2575:$AZ$2575,1,OC_Pay)))</f>
        <v/>
      </c>
      <c r="N2575">
        <f>IF(I2575="","",IF(ISNUMBER(I2575),INT(I2575),IFERROR(INT(DATEVALUE(I2575)),IFERROR(INT(VALUE(I2575)),"bad"))))</f>
        <v/>
      </c>
      <c r="O2575">
        <f>IF(J2575="","",IF(ISNUMBER(J2575),ROUND(J2575,2),IFERROR(ROUND(VALUE(SUBSTITUTE(SUBSTITUTE(SUBSTITUTE(J2575,"$",""),",","")," ","")),2),"bad")))</f>
        <v/>
      </c>
      <c r="P2575">
        <f>IF(TRIM(K2575)="","",IFERROR(MATCH(LOWER(TRIM(K2575)),'Students'!$AH$2:$AH$701,0),IFERROR(MATCH(LOWER(TRIM(K2575)),'Students'!$AF$2:$AF$701,0),IFERROR(MATCH(LOWER(TRIM(K2575)),'Students'!$AG$2:$AG$701,0),""))))</f>
        <v/>
      </c>
      <c r="R2575">
        <f>IF(P2575="","",INDEX('Students'!$AD$2:$AD$701,P2575))</f>
        <v/>
      </c>
      <c r="S2575">
        <f>IF(H2575="OK",O2575,0)</f>
        <v/>
      </c>
      <c r="T2575">
        <f>IF(H2575="OK",N2575,"")</f>
        <v/>
      </c>
      <c r="U2575">
        <f>IF(OC_Donor=0,"",IF(INDEX('OneCause_Paste'!$A$2575:$AZ$2575,1,OC_Donor)="","",INDEX('OneCause_Paste'!$A$2575:$AZ$2575,1,OC_Donor)))</f>
        <v/>
      </c>
    </row>
    <row r="2576">
      <c r="A2576" s="62">
        <f>IF(H2576="","",IF(ISNUMBER(N2576),N2576,I2576))</f>
        <v/>
      </c>
      <c r="B2576">
        <f>IF(H2576="","",U2576)</f>
        <v/>
      </c>
      <c r="C2576">
        <f>IF(H2576="","",IF(P2576="",K2576,INDEX('Students'!$A$2:$A$701,P2576)))</f>
        <v/>
      </c>
      <c r="D2576">
        <f>IF(OR(H2576="",P2576=""),"",INDEX('Students'!$B$2:$B$701,P2576))</f>
        <v/>
      </c>
      <c r="E2576">
        <f>IF(OR(H2576="",P2576=""),"",INDEX('Students'!$C$2:$C$701,P2576))</f>
        <v/>
      </c>
      <c r="F2576" s="48">
        <f>IF(H2576="","",IF(ISNUMBER(O2576),O2576,J2576))</f>
        <v/>
      </c>
      <c r="G2576">
        <f>IF(H2576="","","OneCause")</f>
        <v/>
      </c>
      <c r="H2576">
        <f>IF(AND(I2576="",J2576="",K2576=""),"",IF(NOT(ISNUMBER(O2576)),"Bad amount",IF(O2576&lt;0,"Refund (not counted)",IF(O2576=0,"Zero amount",IF(NOT(ISNUMBER(N2576)),"Bad date",IF(P2576="","NAME NOT ON ROSTER",IF(L2576="","OK",IF(MATCH(L2576,$L$2:$L$3001,0)&lt;ROW()-1,"Duplicate (ignored)","OK"))))))))</f>
        <v/>
      </c>
      <c r="I2576">
        <f>IF(OC_Date=0,"",IF(INDEX('OneCause_Paste'!$A$2576:$AZ$2576,1,OC_Date)="","",INDEX('OneCause_Paste'!$A$2576:$AZ$2576,1,OC_Date)))</f>
        <v/>
      </c>
      <c r="J2576">
        <f>IF(OC_Amt=0,"",IF(INDEX('OneCause_Paste'!$A$2576:$AZ$2576,1,OC_Amt)="","",INDEX('OneCause_Paste'!$A$2576:$AZ$2576,1,OC_Amt)))</f>
        <v/>
      </c>
      <c r="K2576">
        <f>IF(OC_Name=0,"",IF(INDEX('OneCause_Paste'!$A$2576:$AZ$2576,1,OC_Name)="","",INDEX('OneCause_Paste'!$A$2576:$AZ$2576,1,OC_Name)))</f>
        <v/>
      </c>
      <c r="L2576">
        <f>IF(OC_Txn=0,"",IF(INDEX('OneCause_Paste'!$A$2576:$AZ$2576,1,OC_Txn)="","",INDEX('OneCause_Paste'!$A$2576:$AZ$2576,1,OC_Txn)))</f>
        <v/>
      </c>
      <c r="M2576">
        <f>IF(OC_Pay=0,"",IF(INDEX('OneCause_Paste'!$A$2576:$AZ$2576,1,OC_Pay)="","",INDEX('OneCause_Paste'!$A$2576:$AZ$2576,1,OC_Pay)))</f>
        <v/>
      </c>
      <c r="N2576">
        <f>IF(I2576="","",IF(ISNUMBER(I2576),INT(I2576),IFERROR(INT(DATEVALUE(I2576)),IFERROR(INT(VALUE(I2576)),"bad"))))</f>
        <v/>
      </c>
      <c r="O2576">
        <f>IF(J2576="","",IF(ISNUMBER(J2576),ROUND(J2576,2),IFERROR(ROUND(VALUE(SUBSTITUTE(SUBSTITUTE(SUBSTITUTE(J2576,"$",""),",","")," ","")),2),"bad")))</f>
        <v/>
      </c>
      <c r="P2576">
        <f>IF(TRIM(K2576)="","",IFERROR(MATCH(LOWER(TRIM(K2576)),'Students'!$AH$2:$AH$701,0),IFERROR(MATCH(LOWER(TRIM(K2576)),'Students'!$AF$2:$AF$701,0),IFERROR(MATCH(LOWER(TRIM(K2576)),'Students'!$AG$2:$AG$701,0),""))))</f>
        <v/>
      </c>
      <c r="R2576">
        <f>IF(P2576="","",INDEX('Students'!$AD$2:$AD$701,P2576))</f>
        <v/>
      </c>
      <c r="S2576">
        <f>IF(H2576="OK",O2576,0)</f>
        <v/>
      </c>
      <c r="T2576">
        <f>IF(H2576="OK",N2576,"")</f>
        <v/>
      </c>
      <c r="U2576">
        <f>IF(OC_Donor=0,"",IF(INDEX('OneCause_Paste'!$A$2576:$AZ$2576,1,OC_Donor)="","",INDEX('OneCause_Paste'!$A$2576:$AZ$2576,1,OC_Donor)))</f>
        <v/>
      </c>
    </row>
    <row r="2577">
      <c r="A2577" s="62">
        <f>IF(H2577="","",IF(ISNUMBER(N2577),N2577,I2577))</f>
        <v/>
      </c>
      <c r="B2577">
        <f>IF(H2577="","",U2577)</f>
        <v/>
      </c>
      <c r="C2577">
        <f>IF(H2577="","",IF(P2577="",K2577,INDEX('Students'!$A$2:$A$701,P2577)))</f>
        <v/>
      </c>
      <c r="D2577">
        <f>IF(OR(H2577="",P2577=""),"",INDEX('Students'!$B$2:$B$701,P2577))</f>
        <v/>
      </c>
      <c r="E2577">
        <f>IF(OR(H2577="",P2577=""),"",INDEX('Students'!$C$2:$C$701,P2577))</f>
        <v/>
      </c>
      <c r="F2577" s="48">
        <f>IF(H2577="","",IF(ISNUMBER(O2577),O2577,J2577))</f>
        <v/>
      </c>
      <c r="G2577">
        <f>IF(H2577="","","OneCause")</f>
        <v/>
      </c>
      <c r="H2577">
        <f>IF(AND(I2577="",J2577="",K2577=""),"",IF(NOT(ISNUMBER(O2577)),"Bad amount",IF(O2577&lt;0,"Refund (not counted)",IF(O2577=0,"Zero amount",IF(NOT(ISNUMBER(N2577)),"Bad date",IF(P2577="","NAME NOT ON ROSTER",IF(L2577="","OK",IF(MATCH(L2577,$L$2:$L$3001,0)&lt;ROW()-1,"Duplicate (ignored)","OK"))))))))</f>
        <v/>
      </c>
      <c r="I2577">
        <f>IF(OC_Date=0,"",IF(INDEX('OneCause_Paste'!$A$2577:$AZ$2577,1,OC_Date)="","",INDEX('OneCause_Paste'!$A$2577:$AZ$2577,1,OC_Date)))</f>
        <v/>
      </c>
      <c r="J2577">
        <f>IF(OC_Amt=0,"",IF(INDEX('OneCause_Paste'!$A$2577:$AZ$2577,1,OC_Amt)="","",INDEX('OneCause_Paste'!$A$2577:$AZ$2577,1,OC_Amt)))</f>
        <v/>
      </c>
      <c r="K2577">
        <f>IF(OC_Name=0,"",IF(INDEX('OneCause_Paste'!$A$2577:$AZ$2577,1,OC_Name)="","",INDEX('OneCause_Paste'!$A$2577:$AZ$2577,1,OC_Name)))</f>
        <v/>
      </c>
      <c r="L2577">
        <f>IF(OC_Txn=0,"",IF(INDEX('OneCause_Paste'!$A$2577:$AZ$2577,1,OC_Txn)="","",INDEX('OneCause_Paste'!$A$2577:$AZ$2577,1,OC_Txn)))</f>
        <v/>
      </c>
      <c r="M2577">
        <f>IF(OC_Pay=0,"",IF(INDEX('OneCause_Paste'!$A$2577:$AZ$2577,1,OC_Pay)="","",INDEX('OneCause_Paste'!$A$2577:$AZ$2577,1,OC_Pay)))</f>
        <v/>
      </c>
      <c r="N2577">
        <f>IF(I2577="","",IF(ISNUMBER(I2577),INT(I2577),IFERROR(INT(DATEVALUE(I2577)),IFERROR(INT(VALUE(I2577)),"bad"))))</f>
        <v/>
      </c>
      <c r="O2577">
        <f>IF(J2577="","",IF(ISNUMBER(J2577),ROUND(J2577,2),IFERROR(ROUND(VALUE(SUBSTITUTE(SUBSTITUTE(SUBSTITUTE(J2577,"$",""),",","")," ","")),2),"bad")))</f>
        <v/>
      </c>
      <c r="P2577">
        <f>IF(TRIM(K2577)="","",IFERROR(MATCH(LOWER(TRIM(K2577)),'Students'!$AH$2:$AH$701,0),IFERROR(MATCH(LOWER(TRIM(K2577)),'Students'!$AF$2:$AF$701,0),IFERROR(MATCH(LOWER(TRIM(K2577)),'Students'!$AG$2:$AG$701,0),""))))</f>
        <v/>
      </c>
      <c r="R2577">
        <f>IF(P2577="","",INDEX('Students'!$AD$2:$AD$701,P2577))</f>
        <v/>
      </c>
      <c r="S2577">
        <f>IF(H2577="OK",O2577,0)</f>
        <v/>
      </c>
      <c r="T2577">
        <f>IF(H2577="OK",N2577,"")</f>
        <v/>
      </c>
      <c r="U2577">
        <f>IF(OC_Donor=0,"",IF(INDEX('OneCause_Paste'!$A$2577:$AZ$2577,1,OC_Donor)="","",INDEX('OneCause_Paste'!$A$2577:$AZ$2577,1,OC_Donor)))</f>
        <v/>
      </c>
    </row>
    <row r="2578">
      <c r="A2578" s="62">
        <f>IF(H2578="","",IF(ISNUMBER(N2578),N2578,I2578))</f>
        <v/>
      </c>
      <c r="B2578">
        <f>IF(H2578="","",U2578)</f>
        <v/>
      </c>
      <c r="C2578">
        <f>IF(H2578="","",IF(P2578="",K2578,INDEX('Students'!$A$2:$A$701,P2578)))</f>
        <v/>
      </c>
      <c r="D2578">
        <f>IF(OR(H2578="",P2578=""),"",INDEX('Students'!$B$2:$B$701,P2578))</f>
        <v/>
      </c>
      <c r="E2578">
        <f>IF(OR(H2578="",P2578=""),"",INDEX('Students'!$C$2:$C$701,P2578))</f>
        <v/>
      </c>
      <c r="F2578" s="48">
        <f>IF(H2578="","",IF(ISNUMBER(O2578),O2578,J2578))</f>
        <v/>
      </c>
      <c r="G2578">
        <f>IF(H2578="","","OneCause")</f>
        <v/>
      </c>
      <c r="H2578">
        <f>IF(AND(I2578="",J2578="",K2578=""),"",IF(NOT(ISNUMBER(O2578)),"Bad amount",IF(O2578&lt;0,"Refund (not counted)",IF(O2578=0,"Zero amount",IF(NOT(ISNUMBER(N2578)),"Bad date",IF(P2578="","NAME NOT ON ROSTER",IF(L2578="","OK",IF(MATCH(L2578,$L$2:$L$3001,0)&lt;ROW()-1,"Duplicate (ignored)","OK"))))))))</f>
        <v/>
      </c>
      <c r="I2578">
        <f>IF(OC_Date=0,"",IF(INDEX('OneCause_Paste'!$A$2578:$AZ$2578,1,OC_Date)="","",INDEX('OneCause_Paste'!$A$2578:$AZ$2578,1,OC_Date)))</f>
        <v/>
      </c>
      <c r="J2578">
        <f>IF(OC_Amt=0,"",IF(INDEX('OneCause_Paste'!$A$2578:$AZ$2578,1,OC_Amt)="","",INDEX('OneCause_Paste'!$A$2578:$AZ$2578,1,OC_Amt)))</f>
        <v/>
      </c>
      <c r="K2578">
        <f>IF(OC_Name=0,"",IF(INDEX('OneCause_Paste'!$A$2578:$AZ$2578,1,OC_Name)="","",INDEX('OneCause_Paste'!$A$2578:$AZ$2578,1,OC_Name)))</f>
        <v/>
      </c>
      <c r="L2578">
        <f>IF(OC_Txn=0,"",IF(INDEX('OneCause_Paste'!$A$2578:$AZ$2578,1,OC_Txn)="","",INDEX('OneCause_Paste'!$A$2578:$AZ$2578,1,OC_Txn)))</f>
        <v/>
      </c>
      <c r="M2578">
        <f>IF(OC_Pay=0,"",IF(INDEX('OneCause_Paste'!$A$2578:$AZ$2578,1,OC_Pay)="","",INDEX('OneCause_Paste'!$A$2578:$AZ$2578,1,OC_Pay)))</f>
        <v/>
      </c>
      <c r="N2578">
        <f>IF(I2578="","",IF(ISNUMBER(I2578),INT(I2578),IFERROR(INT(DATEVALUE(I2578)),IFERROR(INT(VALUE(I2578)),"bad"))))</f>
        <v/>
      </c>
      <c r="O2578">
        <f>IF(J2578="","",IF(ISNUMBER(J2578),ROUND(J2578,2),IFERROR(ROUND(VALUE(SUBSTITUTE(SUBSTITUTE(SUBSTITUTE(J2578,"$",""),",","")," ","")),2),"bad")))</f>
        <v/>
      </c>
      <c r="P2578">
        <f>IF(TRIM(K2578)="","",IFERROR(MATCH(LOWER(TRIM(K2578)),'Students'!$AH$2:$AH$701,0),IFERROR(MATCH(LOWER(TRIM(K2578)),'Students'!$AF$2:$AF$701,0),IFERROR(MATCH(LOWER(TRIM(K2578)),'Students'!$AG$2:$AG$701,0),""))))</f>
        <v/>
      </c>
      <c r="R2578">
        <f>IF(P2578="","",INDEX('Students'!$AD$2:$AD$701,P2578))</f>
        <v/>
      </c>
      <c r="S2578">
        <f>IF(H2578="OK",O2578,0)</f>
        <v/>
      </c>
      <c r="T2578">
        <f>IF(H2578="OK",N2578,"")</f>
        <v/>
      </c>
      <c r="U2578">
        <f>IF(OC_Donor=0,"",IF(INDEX('OneCause_Paste'!$A$2578:$AZ$2578,1,OC_Donor)="","",INDEX('OneCause_Paste'!$A$2578:$AZ$2578,1,OC_Donor)))</f>
        <v/>
      </c>
    </row>
    <row r="2579">
      <c r="A2579" s="62">
        <f>IF(H2579="","",IF(ISNUMBER(N2579),N2579,I2579))</f>
        <v/>
      </c>
      <c r="B2579">
        <f>IF(H2579="","",U2579)</f>
        <v/>
      </c>
      <c r="C2579">
        <f>IF(H2579="","",IF(P2579="",K2579,INDEX('Students'!$A$2:$A$701,P2579)))</f>
        <v/>
      </c>
      <c r="D2579">
        <f>IF(OR(H2579="",P2579=""),"",INDEX('Students'!$B$2:$B$701,P2579))</f>
        <v/>
      </c>
      <c r="E2579">
        <f>IF(OR(H2579="",P2579=""),"",INDEX('Students'!$C$2:$C$701,P2579))</f>
        <v/>
      </c>
      <c r="F2579" s="48">
        <f>IF(H2579="","",IF(ISNUMBER(O2579),O2579,J2579))</f>
        <v/>
      </c>
      <c r="G2579">
        <f>IF(H2579="","","OneCause")</f>
        <v/>
      </c>
      <c r="H2579">
        <f>IF(AND(I2579="",J2579="",K2579=""),"",IF(NOT(ISNUMBER(O2579)),"Bad amount",IF(O2579&lt;0,"Refund (not counted)",IF(O2579=0,"Zero amount",IF(NOT(ISNUMBER(N2579)),"Bad date",IF(P2579="","NAME NOT ON ROSTER",IF(L2579="","OK",IF(MATCH(L2579,$L$2:$L$3001,0)&lt;ROW()-1,"Duplicate (ignored)","OK"))))))))</f>
        <v/>
      </c>
      <c r="I2579">
        <f>IF(OC_Date=0,"",IF(INDEX('OneCause_Paste'!$A$2579:$AZ$2579,1,OC_Date)="","",INDEX('OneCause_Paste'!$A$2579:$AZ$2579,1,OC_Date)))</f>
        <v/>
      </c>
      <c r="J2579">
        <f>IF(OC_Amt=0,"",IF(INDEX('OneCause_Paste'!$A$2579:$AZ$2579,1,OC_Amt)="","",INDEX('OneCause_Paste'!$A$2579:$AZ$2579,1,OC_Amt)))</f>
        <v/>
      </c>
      <c r="K2579">
        <f>IF(OC_Name=0,"",IF(INDEX('OneCause_Paste'!$A$2579:$AZ$2579,1,OC_Name)="","",INDEX('OneCause_Paste'!$A$2579:$AZ$2579,1,OC_Name)))</f>
        <v/>
      </c>
      <c r="L2579">
        <f>IF(OC_Txn=0,"",IF(INDEX('OneCause_Paste'!$A$2579:$AZ$2579,1,OC_Txn)="","",INDEX('OneCause_Paste'!$A$2579:$AZ$2579,1,OC_Txn)))</f>
        <v/>
      </c>
      <c r="M2579">
        <f>IF(OC_Pay=0,"",IF(INDEX('OneCause_Paste'!$A$2579:$AZ$2579,1,OC_Pay)="","",INDEX('OneCause_Paste'!$A$2579:$AZ$2579,1,OC_Pay)))</f>
        <v/>
      </c>
      <c r="N2579">
        <f>IF(I2579="","",IF(ISNUMBER(I2579),INT(I2579),IFERROR(INT(DATEVALUE(I2579)),IFERROR(INT(VALUE(I2579)),"bad"))))</f>
        <v/>
      </c>
      <c r="O2579">
        <f>IF(J2579="","",IF(ISNUMBER(J2579),ROUND(J2579,2),IFERROR(ROUND(VALUE(SUBSTITUTE(SUBSTITUTE(SUBSTITUTE(J2579,"$",""),",","")," ","")),2),"bad")))</f>
        <v/>
      </c>
      <c r="P2579">
        <f>IF(TRIM(K2579)="","",IFERROR(MATCH(LOWER(TRIM(K2579)),'Students'!$AH$2:$AH$701,0),IFERROR(MATCH(LOWER(TRIM(K2579)),'Students'!$AF$2:$AF$701,0),IFERROR(MATCH(LOWER(TRIM(K2579)),'Students'!$AG$2:$AG$701,0),""))))</f>
        <v/>
      </c>
      <c r="R2579">
        <f>IF(P2579="","",INDEX('Students'!$AD$2:$AD$701,P2579))</f>
        <v/>
      </c>
      <c r="S2579">
        <f>IF(H2579="OK",O2579,0)</f>
        <v/>
      </c>
      <c r="T2579">
        <f>IF(H2579="OK",N2579,"")</f>
        <v/>
      </c>
      <c r="U2579">
        <f>IF(OC_Donor=0,"",IF(INDEX('OneCause_Paste'!$A$2579:$AZ$2579,1,OC_Donor)="","",INDEX('OneCause_Paste'!$A$2579:$AZ$2579,1,OC_Donor)))</f>
        <v/>
      </c>
    </row>
    <row r="2580">
      <c r="A2580" s="62">
        <f>IF(H2580="","",IF(ISNUMBER(N2580),N2580,I2580))</f>
        <v/>
      </c>
      <c r="B2580">
        <f>IF(H2580="","",U2580)</f>
        <v/>
      </c>
      <c r="C2580">
        <f>IF(H2580="","",IF(P2580="",K2580,INDEX('Students'!$A$2:$A$701,P2580)))</f>
        <v/>
      </c>
      <c r="D2580">
        <f>IF(OR(H2580="",P2580=""),"",INDEX('Students'!$B$2:$B$701,P2580))</f>
        <v/>
      </c>
      <c r="E2580">
        <f>IF(OR(H2580="",P2580=""),"",INDEX('Students'!$C$2:$C$701,P2580))</f>
        <v/>
      </c>
      <c r="F2580" s="48">
        <f>IF(H2580="","",IF(ISNUMBER(O2580),O2580,J2580))</f>
        <v/>
      </c>
      <c r="G2580">
        <f>IF(H2580="","","OneCause")</f>
        <v/>
      </c>
      <c r="H2580">
        <f>IF(AND(I2580="",J2580="",K2580=""),"",IF(NOT(ISNUMBER(O2580)),"Bad amount",IF(O2580&lt;0,"Refund (not counted)",IF(O2580=0,"Zero amount",IF(NOT(ISNUMBER(N2580)),"Bad date",IF(P2580="","NAME NOT ON ROSTER",IF(L2580="","OK",IF(MATCH(L2580,$L$2:$L$3001,0)&lt;ROW()-1,"Duplicate (ignored)","OK"))))))))</f>
        <v/>
      </c>
      <c r="I2580">
        <f>IF(OC_Date=0,"",IF(INDEX('OneCause_Paste'!$A$2580:$AZ$2580,1,OC_Date)="","",INDEX('OneCause_Paste'!$A$2580:$AZ$2580,1,OC_Date)))</f>
        <v/>
      </c>
      <c r="J2580">
        <f>IF(OC_Amt=0,"",IF(INDEX('OneCause_Paste'!$A$2580:$AZ$2580,1,OC_Amt)="","",INDEX('OneCause_Paste'!$A$2580:$AZ$2580,1,OC_Amt)))</f>
        <v/>
      </c>
      <c r="K2580">
        <f>IF(OC_Name=0,"",IF(INDEX('OneCause_Paste'!$A$2580:$AZ$2580,1,OC_Name)="","",INDEX('OneCause_Paste'!$A$2580:$AZ$2580,1,OC_Name)))</f>
        <v/>
      </c>
      <c r="L2580">
        <f>IF(OC_Txn=0,"",IF(INDEX('OneCause_Paste'!$A$2580:$AZ$2580,1,OC_Txn)="","",INDEX('OneCause_Paste'!$A$2580:$AZ$2580,1,OC_Txn)))</f>
        <v/>
      </c>
      <c r="M2580">
        <f>IF(OC_Pay=0,"",IF(INDEX('OneCause_Paste'!$A$2580:$AZ$2580,1,OC_Pay)="","",INDEX('OneCause_Paste'!$A$2580:$AZ$2580,1,OC_Pay)))</f>
        <v/>
      </c>
      <c r="N2580">
        <f>IF(I2580="","",IF(ISNUMBER(I2580),INT(I2580),IFERROR(INT(DATEVALUE(I2580)),IFERROR(INT(VALUE(I2580)),"bad"))))</f>
        <v/>
      </c>
      <c r="O2580">
        <f>IF(J2580="","",IF(ISNUMBER(J2580),ROUND(J2580,2),IFERROR(ROUND(VALUE(SUBSTITUTE(SUBSTITUTE(SUBSTITUTE(J2580,"$",""),",","")," ","")),2),"bad")))</f>
        <v/>
      </c>
      <c r="P2580">
        <f>IF(TRIM(K2580)="","",IFERROR(MATCH(LOWER(TRIM(K2580)),'Students'!$AH$2:$AH$701,0),IFERROR(MATCH(LOWER(TRIM(K2580)),'Students'!$AF$2:$AF$701,0),IFERROR(MATCH(LOWER(TRIM(K2580)),'Students'!$AG$2:$AG$701,0),""))))</f>
        <v/>
      </c>
      <c r="R2580">
        <f>IF(P2580="","",INDEX('Students'!$AD$2:$AD$701,P2580))</f>
        <v/>
      </c>
      <c r="S2580">
        <f>IF(H2580="OK",O2580,0)</f>
        <v/>
      </c>
      <c r="T2580">
        <f>IF(H2580="OK",N2580,"")</f>
        <v/>
      </c>
      <c r="U2580">
        <f>IF(OC_Donor=0,"",IF(INDEX('OneCause_Paste'!$A$2580:$AZ$2580,1,OC_Donor)="","",INDEX('OneCause_Paste'!$A$2580:$AZ$2580,1,OC_Donor)))</f>
        <v/>
      </c>
    </row>
    <row r="2581">
      <c r="A2581" s="62">
        <f>IF(H2581="","",IF(ISNUMBER(N2581),N2581,I2581))</f>
        <v/>
      </c>
      <c r="B2581">
        <f>IF(H2581="","",U2581)</f>
        <v/>
      </c>
      <c r="C2581">
        <f>IF(H2581="","",IF(P2581="",K2581,INDEX('Students'!$A$2:$A$701,P2581)))</f>
        <v/>
      </c>
      <c r="D2581">
        <f>IF(OR(H2581="",P2581=""),"",INDEX('Students'!$B$2:$B$701,P2581))</f>
        <v/>
      </c>
      <c r="E2581">
        <f>IF(OR(H2581="",P2581=""),"",INDEX('Students'!$C$2:$C$701,P2581))</f>
        <v/>
      </c>
      <c r="F2581" s="48">
        <f>IF(H2581="","",IF(ISNUMBER(O2581),O2581,J2581))</f>
        <v/>
      </c>
      <c r="G2581">
        <f>IF(H2581="","","OneCause")</f>
        <v/>
      </c>
      <c r="H2581">
        <f>IF(AND(I2581="",J2581="",K2581=""),"",IF(NOT(ISNUMBER(O2581)),"Bad amount",IF(O2581&lt;0,"Refund (not counted)",IF(O2581=0,"Zero amount",IF(NOT(ISNUMBER(N2581)),"Bad date",IF(P2581="","NAME NOT ON ROSTER",IF(L2581="","OK",IF(MATCH(L2581,$L$2:$L$3001,0)&lt;ROW()-1,"Duplicate (ignored)","OK"))))))))</f>
        <v/>
      </c>
      <c r="I2581">
        <f>IF(OC_Date=0,"",IF(INDEX('OneCause_Paste'!$A$2581:$AZ$2581,1,OC_Date)="","",INDEX('OneCause_Paste'!$A$2581:$AZ$2581,1,OC_Date)))</f>
        <v/>
      </c>
      <c r="J2581">
        <f>IF(OC_Amt=0,"",IF(INDEX('OneCause_Paste'!$A$2581:$AZ$2581,1,OC_Amt)="","",INDEX('OneCause_Paste'!$A$2581:$AZ$2581,1,OC_Amt)))</f>
        <v/>
      </c>
      <c r="K2581">
        <f>IF(OC_Name=0,"",IF(INDEX('OneCause_Paste'!$A$2581:$AZ$2581,1,OC_Name)="","",INDEX('OneCause_Paste'!$A$2581:$AZ$2581,1,OC_Name)))</f>
        <v/>
      </c>
      <c r="L2581">
        <f>IF(OC_Txn=0,"",IF(INDEX('OneCause_Paste'!$A$2581:$AZ$2581,1,OC_Txn)="","",INDEX('OneCause_Paste'!$A$2581:$AZ$2581,1,OC_Txn)))</f>
        <v/>
      </c>
      <c r="M2581">
        <f>IF(OC_Pay=0,"",IF(INDEX('OneCause_Paste'!$A$2581:$AZ$2581,1,OC_Pay)="","",INDEX('OneCause_Paste'!$A$2581:$AZ$2581,1,OC_Pay)))</f>
        <v/>
      </c>
      <c r="N2581">
        <f>IF(I2581="","",IF(ISNUMBER(I2581),INT(I2581),IFERROR(INT(DATEVALUE(I2581)),IFERROR(INT(VALUE(I2581)),"bad"))))</f>
        <v/>
      </c>
      <c r="O2581">
        <f>IF(J2581="","",IF(ISNUMBER(J2581),ROUND(J2581,2),IFERROR(ROUND(VALUE(SUBSTITUTE(SUBSTITUTE(SUBSTITUTE(J2581,"$",""),",","")," ","")),2),"bad")))</f>
        <v/>
      </c>
      <c r="P2581">
        <f>IF(TRIM(K2581)="","",IFERROR(MATCH(LOWER(TRIM(K2581)),'Students'!$AH$2:$AH$701,0),IFERROR(MATCH(LOWER(TRIM(K2581)),'Students'!$AF$2:$AF$701,0),IFERROR(MATCH(LOWER(TRIM(K2581)),'Students'!$AG$2:$AG$701,0),""))))</f>
        <v/>
      </c>
      <c r="R2581">
        <f>IF(P2581="","",INDEX('Students'!$AD$2:$AD$701,P2581))</f>
        <v/>
      </c>
      <c r="S2581">
        <f>IF(H2581="OK",O2581,0)</f>
        <v/>
      </c>
      <c r="T2581">
        <f>IF(H2581="OK",N2581,"")</f>
        <v/>
      </c>
      <c r="U2581">
        <f>IF(OC_Donor=0,"",IF(INDEX('OneCause_Paste'!$A$2581:$AZ$2581,1,OC_Donor)="","",INDEX('OneCause_Paste'!$A$2581:$AZ$2581,1,OC_Donor)))</f>
        <v/>
      </c>
    </row>
    <row r="2582">
      <c r="A2582" s="62">
        <f>IF(H2582="","",IF(ISNUMBER(N2582),N2582,I2582))</f>
        <v/>
      </c>
      <c r="B2582">
        <f>IF(H2582="","",U2582)</f>
        <v/>
      </c>
      <c r="C2582">
        <f>IF(H2582="","",IF(P2582="",K2582,INDEX('Students'!$A$2:$A$701,P2582)))</f>
        <v/>
      </c>
      <c r="D2582">
        <f>IF(OR(H2582="",P2582=""),"",INDEX('Students'!$B$2:$B$701,P2582))</f>
        <v/>
      </c>
      <c r="E2582">
        <f>IF(OR(H2582="",P2582=""),"",INDEX('Students'!$C$2:$C$701,P2582))</f>
        <v/>
      </c>
      <c r="F2582" s="48">
        <f>IF(H2582="","",IF(ISNUMBER(O2582),O2582,J2582))</f>
        <v/>
      </c>
      <c r="G2582">
        <f>IF(H2582="","","OneCause")</f>
        <v/>
      </c>
      <c r="H2582">
        <f>IF(AND(I2582="",J2582="",K2582=""),"",IF(NOT(ISNUMBER(O2582)),"Bad amount",IF(O2582&lt;0,"Refund (not counted)",IF(O2582=0,"Zero amount",IF(NOT(ISNUMBER(N2582)),"Bad date",IF(P2582="","NAME NOT ON ROSTER",IF(L2582="","OK",IF(MATCH(L2582,$L$2:$L$3001,0)&lt;ROW()-1,"Duplicate (ignored)","OK"))))))))</f>
        <v/>
      </c>
      <c r="I2582">
        <f>IF(OC_Date=0,"",IF(INDEX('OneCause_Paste'!$A$2582:$AZ$2582,1,OC_Date)="","",INDEX('OneCause_Paste'!$A$2582:$AZ$2582,1,OC_Date)))</f>
        <v/>
      </c>
      <c r="J2582">
        <f>IF(OC_Amt=0,"",IF(INDEX('OneCause_Paste'!$A$2582:$AZ$2582,1,OC_Amt)="","",INDEX('OneCause_Paste'!$A$2582:$AZ$2582,1,OC_Amt)))</f>
        <v/>
      </c>
      <c r="K2582">
        <f>IF(OC_Name=0,"",IF(INDEX('OneCause_Paste'!$A$2582:$AZ$2582,1,OC_Name)="","",INDEX('OneCause_Paste'!$A$2582:$AZ$2582,1,OC_Name)))</f>
        <v/>
      </c>
      <c r="L2582">
        <f>IF(OC_Txn=0,"",IF(INDEX('OneCause_Paste'!$A$2582:$AZ$2582,1,OC_Txn)="","",INDEX('OneCause_Paste'!$A$2582:$AZ$2582,1,OC_Txn)))</f>
        <v/>
      </c>
      <c r="M2582">
        <f>IF(OC_Pay=0,"",IF(INDEX('OneCause_Paste'!$A$2582:$AZ$2582,1,OC_Pay)="","",INDEX('OneCause_Paste'!$A$2582:$AZ$2582,1,OC_Pay)))</f>
        <v/>
      </c>
      <c r="N2582">
        <f>IF(I2582="","",IF(ISNUMBER(I2582),INT(I2582),IFERROR(INT(DATEVALUE(I2582)),IFERROR(INT(VALUE(I2582)),"bad"))))</f>
        <v/>
      </c>
      <c r="O2582">
        <f>IF(J2582="","",IF(ISNUMBER(J2582),ROUND(J2582,2),IFERROR(ROUND(VALUE(SUBSTITUTE(SUBSTITUTE(SUBSTITUTE(J2582,"$",""),",","")," ","")),2),"bad")))</f>
        <v/>
      </c>
      <c r="P2582">
        <f>IF(TRIM(K2582)="","",IFERROR(MATCH(LOWER(TRIM(K2582)),'Students'!$AH$2:$AH$701,0),IFERROR(MATCH(LOWER(TRIM(K2582)),'Students'!$AF$2:$AF$701,0),IFERROR(MATCH(LOWER(TRIM(K2582)),'Students'!$AG$2:$AG$701,0),""))))</f>
        <v/>
      </c>
      <c r="R2582">
        <f>IF(P2582="","",INDEX('Students'!$AD$2:$AD$701,P2582))</f>
        <v/>
      </c>
      <c r="S2582">
        <f>IF(H2582="OK",O2582,0)</f>
        <v/>
      </c>
      <c r="T2582">
        <f>IF(H2582="OK",N2582,"")</f>
        <v/>
      </c>
      <c r="U2582">
        <f>IF(OC_Donor=0,"",IF(INDEX('OneCause_Paste'!$A$2582:$AZ$2582,1,OC_Donor)="","",INDEX('OneCause_Paste'!$A$2582:$AZ$2582,1,OC_Donor)))</f>
        <v/>
      </c>
    </row>
    <row r="2583">
      <c r="A2583" s="62">
        <f>IF(H2583="","",IF(ISNUMBER(N2583),N2583,I2583))</f>
        <v/>
      </c>
      <c r="B2583">
        <f>IF(H2583="","",U2583)</f>
        <v/>
      </c>
      <c r="C2583">
        <f>IF(H2583="","",IF(P2583="",K2583,INDEX('Students'!$A$2:$A$701,P2583)))</f>
        <v/>
      </c>
      <c r="D2583">
        <f>IF(OR(H2583="",P2583=""),"",INDEX('Students'!$B$2:$B$701,P2583))</f>
        <v/>
      </c>
      <c r="E2583">
        <f>IF(OR(H2583="",P2583=""),"",INDEX('Students'!$C$2:$C$701,P2583))</f>
        <v/>
      </c>
      <c r="F2583" s="48">
        <f>IF(H2583="","",IF(ISNUMBER(O2583),O2583,J2583))</f>
        <v/>
      </c>
      <c r="G2583">
        <f>IF(H2583="","","OneCause")</f>
        <v/>
      </c>
      <c r="H2583">
        <f>IF(AND(I2583="",J2583="",K2583=""),"",IF(NOT(ISNUMBER(O2583)),"Bad amount",IF(O2583&lt;0,"Refund (not counted)",IF(O2583=0,"Zero amount",IF(NOT(ISNUMBER(N2583)),"Bad date",IF(P2583="","NAME NOT ON ROSTER",IF(L2583="","OK",IF(MATCH(L2583,$L$2:$L$3001,0)&lt;ROW()-1,"Duplicate (ignored)","OK"))))))))</f>
        <v/>
      </c>
      <c r="I2583">
        <f>IF(OC_Date=0,"",IF(INDEX('OneCause_Paste'!$A$2583:$AZ$2583,1,OC_Date)="","",INDEX('OneCause_Paste'!$A$2583:$AZ$2583,1,OC_Date)))</f>
        <v/>
      </c>
      <c r="J2583">
        <f>IF(OC_Amt=0,"",IF(INDEX('OneCause_Paste'!$A$2583:$AZ$2583,1,OC_Amt)="","",INDEX('OneCause_Paste'!$A$2583:$AZ$2583,1,OC_Amt)))</f>
        <v/>
      </c>
      <c r="K2583">
        <f>IF(OC_Name=0,"",IF(INDEX('OneCause_Paste'!$A$2583:$AZ$2583,1,OC_Name)="","",INDEX('OneCause_Paste'!$A$2583:$AZ$2583,1,OC_Name)))</f>
        <v/>
      </c>
      <c r="L2583">
        <f>IF(OC_Txn=0,"",IF(INDEX('OneCause_Paste'!$A$2583:$AZ$2583,1,OC_Txn)="","",INDEX('OneCause_Paste'!$A$2583:$AZ$2583,1,OC_Txn)))</f>
        <v/>
      </c>
      <c r="M2583">
        <f>IF(OC_Pay=0,"",IF(INDEX('OneCause_Paste'!$A$2583:$AZ$2583,1,OC_Pay)="","",INDEX('OneCause_Paste'!$A$2583:$AZ$2583,1,OC_Pay)))</f>
        <v/>
      </c>
      <c r="N2583">
        <f>IF(I2583="","",IF(ISNUMBER(I2583),INT(I2583),IFERROR(INT(DATEVALUE(I2583)),IFERROR(INT(VALUE(I2583)),"bad"))))</f>
        <v/>
      </c>
      <c r="O2583">
        <f>IF(J2583="","",IF(ISNUMBER(J2583),ROUND(J2583,2),IFERROR(ROUND(VALUE(SUBSTITUTE(SUBSTITUTE(SUBSTITUTE(J2583,"$",""),",","")," ","")),2),"bad")))</f>
        <v/>
      </c>
      <c r="P2583">
        <f>IF(TRIM(K2583)="","",IFERROR(MATCH(LOWER(TRIM(K2583)),'Students'!$AH$2:$AH$701,0),IFERROR(MATCH(LOWER(TRIM(K2583)),'Students'!$AF$2:$AF$701,0),IFERROR(MATCH(LOWER(TRIM(K2583)),'Students'!$AG$2:$AG$701,0),""))))</f>
        <v/>
      </c>
      <c r="R2583">
        <f>IF(P2583="","",INDEX('Students'!$AD$2:$AD$701,P2583))</f>
        <v/>
      </c>
      <c r="S2583">
        <f>IF(H2583="OK",O2583,0)</f>
        <v/>
      </c>
      <c r="T2583">
        <f>IF(H2583="OK",N2583,"")</f>
        <v/>
      </c>
      <c r="U2583">
        <f>IF(OC_Donor=0,"",IF(INDEX('OneCause_Paste'!$A$2583:$AZ$2583,1,OC_Donor)="","",INDEX('OneCause_Paste'!$A$2583:$AZ$2583,1,OC_Donor)))</f>
        <v/>
      </c>
    </row>
    <row r="2584">
      <c r="A2584" s="62">
        <f>IF(H2584="","",IF(ISNUMBER(N2584),N2584,I2584))</f>
        <v/>
      </c>
      <c r="B2584">
        <f>IF(H2584="","",U2584)</f>
        <v/>
      </c>
      <c r="C2584">
        <f>IF(H2584="","",IF(P2584="",K2584,INDEX('Students'!$A$2:$A$701,P2584)))</f>
        <v/>
      </c>
      <c r="D2584">
        <f>IF(OR(H2584="",P2584=""),"",INDEX('Students'!$B$2:$B$701,P2584))</f>
        <v/>
      </c>
      <c r="E2584">
        <f>IF(OR(H2584="",P2584=""),"",INDEX('Students'!$C$2:$C$701,P2584))</f>
        <v/>
      </c>
      <c r="F2584" s="48">
        <f>IF(H2584="","",IF(ISNUMBER(O2584),O2584,J2584))</f>
        <v/>
      </c>
      <c r="G2584">
        <f>IF(H2584="","","OneCause")</f>
        <v/>
      </c>
      <c r="H2584">
        <f>IF(AND(I2584="",J2584="",K2584=""),"",IF(NOT(ISNUMBER(O2584)),"Bad amount",IF(O2584&lt;0,"Refund (not counted)",IF(O2584=0,"Zero amount",IF(NOT(ISNUMBER(N2584)),"Bad date",IF(P2584="","NAME NOT ON ROSTER",IF(L2584="","OK",IF(MATCH(L2584,$L$2:$L$3001,0)&lt;ROW()-1,"Duplicate (ignored)","OK"))))))))</f>
        <v/>
      </c>
      <c r="I2584">
        <f>IF(OC_Date=0,"",IF(INDEX('OneCause_Paste'!$A$2584:$AZ$2584,1,OC_Date)="","",INDEX('OneCause_Paste'!$A$2584:$AZ$2584,1,OC_Date)))</f>
        <v/>
      </c>
      <c r="J2584">
        <f>IF(OC_Amt=0,"",IF(INDEX('OneCause_Paste'!$A$2584:$AZ$2584,1,OC_Amt)="","",INDEX('OneCause_Paste'!$A$2584:$AZ$2584,1,OC_Amt)))</f>
        <v/>
      </c>
      <c r="K2584">
        <f>IF(OC_Name=0,"",IF(INDEX('OneCause_Paste'!$A$2584:$AZ$2584,1,OC_Name)="","",INDEX('OneCause_Paste'!$A$2584:$AZ$2584,1,OC_Name)))</f>
        <v/>
      </c>
      <c r="L2584">
        <f>IF(OC_Txn=0,"",IF(INDEX('OneCause_Paste'!$A$2584:$AZ$2584,1,OC_Txn)="","",INDEX('OneCause_Paste'!$A$2584:$AZ$2584,1,OC_Txn)))</f>
        <v/>
      </c>
      <c r="M2584">
        <f>IF(OC_Pay=0,"",IF(INDEX('OneCause_Paste'!$A$2584:$AZ$2584,1,OC_Pay)="","",INDEX('OneCause_Paste'!$A$2584:$AZ$2584,1,OC_Pay)))</f>
        <v/>
      </c>
      <c r="N2584">
        <f>IF(I2584="","",IF(ISNUMBER(I2584),INT(I2584),IFERROR(INT(DATEVALUE(I2584)),IFERROR(INT(VALUE(I2584)),"bad"))))</f>
        <v/>
      </c>
      <c r="O2584">
        <f>IF(J2584="","",IF(ISNUMBER(J2584),ROUND(J2584,2),IFERROR(ROUND(VALUE(SUBSTITUTE(SUBSTITUTE(SUBSTITUTE(J2584,"$",""),",","")," ","")),2),"bad")))</f>
        <v/>
      </c>
      <c r="P2584">
        <f>IF(TRIM(K2584)="","",IFERROR(MATCH(LOWER(TRIM(K2584)),'Students'!$AH$2:$AH$701,0),IFERROR(MATCH(LOWER(TRIM(K2584)),'Students'!$AF$2:$AF$701,0),IFERROR(MATCH(LOWER(TRIM(K2584)),'Students'!$AG$2:$AG$701,0),""))))</f>
        <v/>
      </c>
      <c r="R2584">
        <f>IF(P2584="","",INDEX('Students'!$AD$2:$AD$701,P2584))</f>
        <v/>
      </c>
      <c r="S2584">
        <f>IF(H2584="OK",O2584,0)</f>
        <v/>
      </c>
      <c r="T2584">
        <f>IF(H2584="OK",N2584,"")</f>
        <v/>
      </c>
      <c r="U2584">
        <f>IF(OC_Donor=0,"",IF(INDEX('OneCause_Paste'!$A$2584:$AZ$2584,1,OC_Donor)="","",INDEX('OneCause_Paste'!$A$2584:$AZ$2584,1,OC_Donor)))</f>
        <v/>
      </c>
    </row>
    <row r="2585">
      <c r="A2585" s="62">
        <f>IF(H2585="","",IF(ISNUMBER(N2585),N2585,I2585))</f>
        <v/>
      </c>
      <c r="B2585">
        <f>IF(H2585="","",U2585)</f>
        <v/>
      </c>
      <c r="C2585">
        <f>IF(H2585="","",IF(P2585="",K2585,INDEX('Students'!$A$2:$A$701,P2585)))</f>
        <v/>
      </c>
      <c r="D2585">
        <f>IF(OR(H2585="",P2585=""),"",INDEX('Students'!$B$2:$B$701,P2585))</f>
        <v/>
      </c>
      <c r="E2585">
        <f>IF(OR(H2585="",P2585=""),"",INDEX('Students'!$C$2:$C$701,P2585))</f>
        <v/>
      </c>
      <c r="F2585" s="48">
        <f>IF(H2585="","",IF(ISNUMBER(O2585),O2585,J2585))</f>
        <v/>
      </c>
      <c r="G2585">
        <f>IF(H2585="","","OneCause")</f>
        <v/>
      </c>
      <c r="H2585">
        <f>IF(AND(I2585="",J2585="",K2585=""),"",IF(NOT(ISNUMBER(O2585)),"Bad amount",IF(O2585&lt;0,"Refund (not counted)",IF(O2585=0,"Zero amount",IF(NOT(ISNUMBER(N2585)),"Bad date",IF(P2585="","NAME NOT ON ROSTER",IF(L2585="","OK",IF(MATCH(L2585,$L$2:$L$3001,0)&lt;ROW()-1,"Duplicate (ignored)","OK"))))))))</f>
        <v/>
      </c>
      <c r="I2585">
        <f>IF(OC_Date=0,"",IF(INDEX('OneCause_Paste'!$A$2585:$AZ$2585,1,OC_Date)="","",INDEX('OneCause_Paste'!$A$2585:$AZ$2585,1,OC_Date)))</f>
        <v/>
      </c>
      <c r="J2585">
        <f>IF(OC_Amt=0,"",IF(INDEX('OneCause_Paste'!$A$2585:$AZ$2585,1,OC_Amt)="","",INDEX('OneCause_Paste'!$A$2585:$AZ$2585,1,OC_Amt)))</f>
        <v/>
      </c>
      <c r="K2585">
        <f>IF(OC_Name=0,"",IF(INDEX('OneCause_Paste'!$A$2585:$AZ$2585,1,OC_Name)="","",INDEX('OneCause_Paste'!$A$2585:$AZ$2585,1,OC_Name)))</f>
        <v/>
      </c>
      <c r="L2585">
        <f>IF(OC_Txn=0,"",IF(INDEX('OneCause_Paste'!$A$2585:$AZ$2585,1,OC_Txn)="","",INDEX('OneCause_Paste'!$A$2585:$AZ$2585,1,OC_Txn)))</f>
        <v/>
      </c>
      <c r="M2585">
        <f>IF(OC_Pay=0,"",IF(INDEX('OneCause_Paste'!$A$2585:$AZ$2585,1,OC_Pay)="","",INDEX('OneCause_Paste'!$A$2585:$AZ$2585,1,OC_Pay)))</f>
        <v/>
      </c>
      <c r="N2585">
        <f>IF(I2585="","",IF(ISNUMBER(I2585),INT(I2585),IFERROR(INT(DATEVALUE(I2585)),IFERROR(INT(VALUE(I2585)),"bad"))))</f>
        <v/>
      </c>
      <c r="O2585">
        <f>IF(J2585="","",IF(ISNUMBER(J2585),ROUND(J2585,2),IFERROR(ROUND(VALUE(SUBSTITUTE(SUBSTITUTE(SUBSTITUTE(J2585,"$",""),",","")," ","")),2),"bad")))</f>
        <v/>
      </c>
      <c r="P2585">
        <f>IF(TRIM(K2585)="","",IFERROR(MATCH(LOWER(TRIM(K2585)),'Students'!$AH$2:$AH$701,0),IFERROR(MATCH(LOWER(TRIM(K2585)),'Students'!$AF$2:$AF$701,0),IFERROR(MATCH(LOWER(TRIM(K2585)),'Students'!$AG$2:$AG$701,0),""))))</f>
        <v/>
      </c>
      <c r="R2585">
        <f>IF(P2585="","",INDEX('Students'!$AD$2:$AD$701,P2585))</f>
        <v/>
      </c>
      <c r="S2585">
        <f>IF(H2585="OK",O2585,0)</f>
        <v/>
      </c>
      <c r="T2585">
        <f>IF(H2585="OK",N2585,"")</f>
        <v/>
      </c>
      <c r="U2585">
        <f>IF(OC_Donor=0,"",IF(INDEX('OneCause_Paste'!$A$2585:$AZ$2585,1,OC_Donor)="","",INDEX('OneCause_Paste'!$A$2585:$AZ$2585,1,OC_Donor)))</f>
        <v/>
      </c>
    </row>
    <row r="2586">
      <c r="A2586" s="62">
        <f>IF(H2586="","",IF(ISNUMBER(N2586),N2586,I2586))</f>
        <v/>
      </c>
      <c r="B2586">
        <f>IF(H2586="","",U2586)</f>
        <v/>
      </c>
      <c r="C2586">
        <f>IF(H2586="","",IF(P2586="",K2586,INDEX('Students'!$A$2:$A$701,P2586)))</f>
        <v/>
      </c>
      <c r="D2586">
        <f>IF(OR(H2586="",P2586=""),"",INDEX('Students'!$B$2:$B$701,P2586))</f>
        <v/>
      </c>
      <c r="E2586">
        <f>IF(OR(H2586="",P2586=""),"",INDEX('Students'!$C$2:$C$701,P2586))</f>
        <v/>
      </c>
      <c r="F2586" s="48">
        <f>IF(H2586="","",IF(ISNUMBER(O2586),O2586,J2586))</f>
        <v/>
      </c>
      <c r="G2586">
        <f>IF(H2586="","","OneCause")</f>
        <v/>
      </c>
      <c r="H2586">
        <f>IF(AND(I2586="",J2586="",K2586=""),"",IF(NOT(ISNUMBER(O2586)),"Bad amount",IF(O2586&lt;0,"Refund (not counted)",IF(O2586=0,"Zero amount",IF(NOT(ISNUMBER(N2586)),"Bad date",IF(P2586="","NAME NOT ON ROSTER",IF(L2586="","OK",IF(MATCH(L2586,$L$2:$L$3001,0)&lt;ROW()-1,"Duplicate (ignored)","OK"))))))))</f>
        <v/>
      </c>
      <c r="I2586">
        <f>IF(OC_Date=0,"",IF(INDEX('OneCause_Paste'!$A$2586:$AZ$2586,1,OC_Date)="","",INDEX('OneCause_Paste'!$A$2586:$AZ$2586,1,OC_Date)))</f>
        <v/>
      </c>
      <c r="J2586">
        <f>IF(OC_Amt=0,"",IF(INDEX('OneCause_Paste'!$A$2586:$AZ$2586,1,OC_Amt)="","",INDEX('OneCause_Paste'!$A$2586:$AZ$2586,1,OC_Amt)))</f>
        <v/>
      </c>
      <c r="K2586">
        <f>IF(OC_Name=0,"",IF(INDEX('OneCause_Paste'!$A$2586:$AZ$2586,1,OC_Name)="","",INDEX('OneCause_Paste'!$A$2586:$AZ$2586,1,OC_Name)))</f>
        <v/>
      </c>
      <c r="L2586">
        <f>IF(OC_Txn=0,"",IF(INDEX('OneCause_Paste'!$A$2586:$AZ$2586,1,OC_Txn)="","",INDEX('OneCause_Paste'!$A$2586:$AZ$2586,1,OC_Txn)))</f>
        <v/>
      </c>
      <c r="M2586">
        <f>IF(OC_Pay=0,"",IF(INDEX('OneCause_Paste'!$A$2586:$AZ$2586,1,OC_Pay)="","",INDEX('OneCause_Paste'!$A$2586:$AZ$2586,1,OC_Pay)))</f>
        <v/>
      </c>
      <c r="N2586">
        <f>IF(I2586="","",IF(ISNUMBER(I2586),INT(I2586),IFERROR(INT(DATEVALUE(I2586)),IFERROR(INT(VALUE(I2586)),"bad"))))</f>
        <v/>
      </c>
      <c r="O2586">
        <f>IF(J2586="","",IF(ISNUMBER(J2586),ROUND(J2586,2),IFERROR(ROUND(VALUE(SUBSTITUTE(SUBSTITUTE(SUBSTITUTE(J2586,"$",""),",","")," ","")),2),"bad")))</f>
        <v/>
      </c>
      <c r="P2586">
        <f>IF(TRIM(K2586)="","",IFERROR(MATCH(LOWER(TRIM(K2586)),'Students'!$AH$2:$AH$701,0),IFERROR(MATCH(LOWER(TRIM(K2586)),'Students'!$AF$2:$AF$701,0),IFERROR(MATCH(LOWER(TRIM(K2586)),'Students'!$AG$2:$AG$701,0),""))))</f>
        <v/>
      </c>
      <c r="R2586">
        <f>IF(P2586="","",INDEX('Students'!$AD$2:$AD$701,P2586))</f>
        <v/>
      </c>
      <c r="S2586">
        <f>IF(H2586="OK",O2586,0)</f>
        <v/>
      </c>
      <c r="T2586">
        <f>IF(H2586="OK",N2586,"")</f>
        <v/>
      </c>
      <c r="U2586">
        <f>IF(OC_Donor=0,"",IF(INDEX('OneCause_Paste'!$A$2586:$AZ$2586,1,OC_Donor)="","",INDEX('OneCause_Paste'!$A$2586:$AZ$2586,1,OC_Donor)))</f>
        <v/>
      </c>
    </row>
    <row r="2587">
      <c r="A2587" s="62">
        <f>IF(H2587="","",IF(ISNUMBER(N2587),N2587,I2587))</f>
        <v/>
      </c>
      <c r="B2587">
        <f>IF(H2587="","",U2587)</f>
        <v/>
      </c>
      <c r="C2587">
        <f>IF(H2587="","",IF(P2587="",K2587,INDEX('Students'!$A$2:$A$701,P2587)))</f>
        <v/>
      </c>
      <c r="D2587">
        <f>IF(OR(H2587="",P2587=""),"",INDEX('Students'!$B$2:$B$701,P2587))</f>
        <v/>
      </c>
      <c r="E2587">
        <f>IF(OR(H2587="",P2587=""),"",INDEX('Students'!$C$2:$C$701,P2587))</f>
        <v/>
      </c>
      <c r="F2587" s="48">
        <f>IF(H2587="","",IF(ISNUMBER(O2587),O2587,J2587))</f>
        <v/>
      </c>
      <c r="G2587">
        <f>IF(H2587="","","OneCause")</f>
        <v/>
      </c>
      <c r="H2587">
        <f>IF(AND(I2587="",J2587="",K2587=""),"",IF(NOT(ISNUMBER(O2587)),"Bad amount",IF(O2587&lt;0,"Refund (not counted)",IF(O2587=0,"Zero amount",IF(NOT(ISNUMBER(N2587)),"Bad date",IF(P2587="","NAME NOT ON ROSTER",IF(L2587="","OK",IF(MATCH(L2587,$L$2:$L$3001,0)&lt;ROW()-1,"Duplicate (ignored)","OK"))))))))</f>
        <v/>
      </c>
      <c r="I2587">
        <f>IF(OC_Date=0,"",IF(INDEX('OneCause_Paste'!$A$2587:$AZ$2587,1,OC_Date)="","",INDEX('OneCause_Paste'!$A$2587:$AZ$2587,1,OC_Date)))</f>
        <v/>
      </c>
      <c r="J2587">
        <f>IF(OC_Amt=0,"",IF(INDEX('OneCause_Paste'!$A$2587:$AZ$2587,1,OC_Amt)="","",INDEX('OneCause_Paste'!$A$2587:$AZ$2587,1,OC_Amt)))</f>
        <v/>
      </c>
      <c r="K2587">
        <f>IF(OC_Name=0,"",IF(INDEX('OneCause_Paste'!$A$2587:$AZ$2587,1,OC_Name)="","",INDEX('OneCause_Paste'!$A$2587:$AZ$2587,1,OC_Name)))</f>
        <v/>
      </c>
      <c r="L2587">
        <f>IF(OC_Txn=0,"",IF(INDEX('OneCause_Paste'!$A$2587:$AZ$2587,1,OC_Txn)="","",INDEX('OneCause_Paste'!$A$2587:$AZ$2587,1,OC_Txn)))</f>
        <v/>
      </c>
      <c r="M2587">
        <f>IF(OC_Pay=0,"",IF(INDEX('OneCause_Paste'!$A$2587:$AZ$2587,1,OC_Pay)="","",INDEX('OneCause_Paste'!$A$2587:$AZ$2587,1,OC_Pay)))</f>
        <v/>
      </c>
      <c r="N2587">
        <f>IF(I2587="","",IF(ISNUMBER(I2587),INT(I2587),IFERROR(INT(DATEVALUE(I2587)),IFERROR(INT(VALUE(I2587)),"bad"))))</f>
        <v/>
      </c>
      <c r="O2587">
        <f>IF(J2587="","",IF(ISNUMBER(J2587),ROUND(J2587,2),IFERROR(ROUND(VALUE(SUBSTITUTE(SUBSTITUTE(SUBSTITUTE(J2587,"$",""),",","")," ","")),2),"bad")))</f>
        <v/>
      </c>
      <c r="P2587">
        <f>IF(TRIM(K2587)="","",IFERROR(MATCH(LOWER(TRIM(K2587)),'Students'!$AH$2:$AH$701,0),IFERROR(MATCH(LOWER(TRIM(K2587)),'Students'!$AF$2:$AF$701,0),IFERROR(MATCH(LOWER(TRIM(K2587)),'Students'!$AG$2:$AG$701,0),""))))</f>
        <v/>
      </c>
      <c r="R2587">
        <f>IF(P2587="","",INDEX('Students'!$AD$2:$AD$701,P2587))</f>
        <v/>
      </c>
      <c r="S2587">
        <f>IF(H2587="OK",O2587,0)</f>
        <v/>
      </c>
      <c r="T2587">
        <f>IF(H2587="OK",N2587,"")</f>
        <v/>
      </c>
      <c r="U2587">
        <f>IF(OC_Donor=0,"",IF(INDEX('OneCause_Paste'!$A$2587:$AZ$2587,1,OC_Donor)="","",INDEX('OneCause_Paste'!$A$2587:$AZ$2587,1,OC_Donor)))</f>
        <v/>
      </c>
    </row>
    <row r="2588">
      <c r="A2588" s="62">
        <f>IF(H2588="","",IF(ISNUMBER(N2588),N2588,I2588))</f>
        <v/>
      </c>
      <c r="B2588">
        <f>IF(H2588="","",U2588)</f>
        <v/>
      </c>
      <c r="C2588">
        <f>IF(H2588="","",IF(P2588="",K2588,INDEX('Students'!$A$2:$A$701,P2588)))</f>
        <v/>
      </c>
      <c r="D2588">
        <f>IF(OR(H2588="",P2588=""),"",INDEX('Students'!$B$2:$B$701,P2588))</f>
        <v/>
      </c>
      <c r="E2588">
        <f>IF(OR(H2588="",P2588=""),"",INDEX('Students'!$C$2:$C$701,P2588))</f>
        <v/>
      </c>
      <c r="F2588" s="48">
        <f>IF(H2588="","",IF(ISNUMBER(O2588),O2588,J2588))</f>
        <v/>
      </c>
      <c r="G2588">
        <f>IF(H2588="","","OneCause")</f>
        <v/>
      </c>
      <c r="H2588">
        <f>IF(AND(I2588="",J2588="",K2588=""),"",IF(NOT(ISNUMBER(O2588)),"Bad amount",IF(O2588&lt;0,"Refund (not counted)",IF(O2588=0,"Zero amount",IF(NOT(ISNUMBER(N2588)),"Bad date",IF(P2588="","NAME NOT ON ROSTER",IF(L2588="","OK",IF(MATCH(L2588,$L$2:$L$3001,0)&lt;ROW()-1,"Duplicate (ignored)","OK"))))))))</f>
        <v/>
      </c>
      <c r="I2588">
        <f>IF(OC_Date=0,"",IF(INDEX('OneCause_Paste'!$A$2588:$AZ$2588,1,OC_Date)="","",INDEX('OneCause_Paste'!$A$2588:$AZ$2588,1,OC_Date)))</f>
        <v/>
      </c>
      <c r="J2588">
        <f>IF(OC_Amt=0,"",IF(INDEX('OneCause_Paste'!$A$2588:$AZ$2588,1,OC_Amt)="","",INDEX('OneCause_Paste'!$A$2588:$AZ$2588,1,OC_Amt)))</f>
        <v/>
      </c>
      <c r="K2588">
        <f>IF(OC_Name=0,"",IF(INDEX('OneCause_Paste'!$A$2588:$AZ$2588,1,OC_Name)="","",INDEX('OneCause_Paste'!$A$2588:$AZ$2588,1,OC_Name)))</f>
        <v/>
      </c>
      <c r="L2588">
        <f>IF(OC_Txn=0,"",IF(INDEX('OneCause_Paste'!$A$2588:$AZ$2588,1,OC_Txn)="","",INDEX('OneCause_Paste'!$A$2588:$AZ$2588,1,OC_Txn)))</f>
        <v/>
      </c>
      <c r="M2588">
        <f>IF(OC_Pay=0,"",IF(INDEX('OneCause_Paste'!$A$2588:$AZ$2588,1,OC_Pay)="","",INDEX('OneCause_Paste'!$A$2588:$AZ$2588,1,OC_Pay)))</f>
        <v/>
      </c>
      <c r="N2588">
        <f>IF(I2588="","",IF(ISNUMBER(I2588),INT(I2588),IFERROR(INT(DATEVALUE(I2588)),IFERROR(INT(VALUE(I2588)),"bad"))))</f>
        <v/>
      </c>
      <c r="O2588">
        <f>IF(J2588="","",IF(ISNUMBER(J2588),ROUND(J2588,2),IFERROR(ROUND(VALUE(SUBSTITUTE(SUBSTITUTE(SUBSTITUTE(J2588,"$",""),",","")," ","")),2),"bad")))</f>
        <v/>
      </c>
      <c r="P2588">
        <f>IF(TRIM(K2588)="","",IFERROR(MATCH(LOWER(TRIM(K2588)),'Students'!$AH$2:$AH$701,0),IFERROR(MATCH(LOWER(TRIM(K2588)),'Students'!$AF$2:$AF$701,0),IFERROR(MATCH(LOWER(TRIM(K2588)),'Students'!$AG$2:$AG$701,0),""))))</f>
        <v/>
      </c>
      <c r="R2588">
        <f>IF(P2588="","",INDEX('Students'!$AD$2:$AD$701,P2588))</f>
        <v/>
      </c>
      <c r="S2588">
        <f>IF(H2588="OK",O2588,0)</f>
        <v/>
      </c>
      <c r="T2588">
        <f>IF(H2588="OK",N2588,"")</f>
        <v/>
      </c>
      <c r="U2588">
        <f>IF(OC_Donor=0,"",IF(INDEX('OneCause_Paste'!$A$2588:$AZ$2588,1,OC_Donor)="","",INDEX('OneCause_Paste'!$A$2588:$AZ$2588,1,OC_Donor)))</f>
        <v/>
      </c>
    </row>
    <row r="2589">
      <c r="A2589" s="62">
        <f>IF(H2589="","",IF(ISNUMBER(N2589),N2589,I2589))</f>
        <v/>
      </c>
      <c r="B2589">
        <f>IF(H2589="","",U2589)</f>
        <v/>
      </c>
      <c r="C2589">
        <f>IF(H2589="","",IF(P2589="",K2589,INDEX('Students'!$A$2:$A$701,P2589)))</f>
        <v/>
      </c>
      <c r="D2589">
        <f>IF(OR(H2589="",P2589=""),"",INDEX('Students'!$B$2:$B$701,P2589))</f>
        <v/>
      </c>
      <c r="E2589">
        <f>IF(OR(H2589="",P2589=""),"",INDEX('Students'!$C$2:$C$701,P2589))</f>
        <v/>
      </c>
      <c r="F2589" s="48">
        <f>IF(H2589="","",IF(ISNUMBER(O2589),O2589,J2589))</f>
        <v/>
      </c>
      <c r="G2589">
        <f>IF(H2589="","","OneCause")</f>
        <v/>
      </c>
      <c r="H2589">
        <f>IF(AND(I2589="",J2589="",K2589=""),"",IF(NOT(ISNUMBER(O2589)),"Bad amount",IF(O2589&lt;0,"Refund (not counted)",IF(O2589=0,"Zero amount",IF(NOT(ISNUMBER(N2589)),"Bad date",IF(P2589="","NAME NOT ON ROSTER",IF(L2589="","OK",IF(MATCH(L2589,$L$2:$L$3001,0)&lt;ROW()-1,"Duplicate (ignored)","OK"))))))))</f>
        <v/>
      </c>
      <c r="I2589">
        <f>IF(OC_Date=0,"",IF(INDEX('OneCause_Paste'!$A$2589:$AZ$2589,1,OC_Date)="","",INDEX('OneCause_Paste'!$A$2589:$AZ$2589,1,OC_Date)))</f>
        <v/>
      </c>
      <c r="J2589">
        <f>IF(OC_Amt=0,"",IF(INDEX('OneCause_Paste'!$A$2589:$AZ$2589,1,OC_Amt)="","",INDEX('OneCause_Paste'!$A$2589:$AZ$2589,1,OC_Amt)))</f>
        <v/>
      </c>
      <c r="K2589">
        <f>IF(OC_Name=0,"",IF(INDEX('OneCause_Paste'!$A$2589:$AZ$2589,1,OC_Name)="","",INDEX('OneCause_Paste'!$A$2589:$AZ$2589,1,OC_Name)))</f>
        <v/>
      </c>
      <c r="L2589">
        <f>IF(OC_Txn=0,"",IF(INDEX('OneCause_Paste'!$A$2589:$AZ$2589,1,OC_Txn)="","",INDEX('OneCause_Paste'!$A$2589:$AZ$2589,1,OC_Txn)))</f>
        <v/>
      </c>
      <c r="M2589">
        <f>IF(OC_Pay=0,"",IF(INDEX('OneCause_Paste'!$A$2589:$AZ$2589,1,OC_Pay)="","",INDEX('OneCause_Paste'!$A$2589:$AZ$2589,1,OC_Pay)))</f>
        <v/>
      </c>
      <c r="N2589">
        <f>IF(I2589="","",IF(ISNUMBER(I2589),INT(I2589),IFERROR(INT(DATEVALUE(I2589)),IFERROR(INT(VALUE(I2589)),"bad"))))</f>
        <v/>
      </c>
      <c r="O2589">
        <f>IF(J2589="","",IF(ISNUMBER(J2589),ROUND(J2589,2),IFERROR(ROUND(VALUE(SUBSTITUTE(SUBSTITUTE(SUBSTITUTE(J2589,"$",""),",","")," ","")),2),"bad")))</f>
        <v/>
      </c>
      <c r="P2589">
        <f>IF(TRIM(K2589)="","",IFERROR(MATCH(LOWER(TRIM(K2589)),'Students'!$AH$2:$AH$701,0),IFERROR(MATCH(LOWER(TRIM(K2589)),'Students'!$AF$2:$AF$701,0),IFERROR(MATCH(LOWER(TRIM(K2589)),'Students'!$AG$2:$AG$701,0),""))))</f>
        <v/>
      </c>
      <c r="R2589">
        <f>IF(P2589="","",INDEX('Students'!$AD$2:$AD$701,P2589))</f>
        <v/>
      </c>
      <c r="S2589">
        <f>IF(H2589="OK",O2589,0)</f>
        <v/>
      </c>
      <c r="T2589">
        <f>IF(H2589="OK",N2589,"")</f>
        <v/>
      </c>
      <c r="U2589">
        <f>IF(OC_Donor=0,"",IF(INDEX('OneCause_Paste'!$A$2589:$AZ$2589,1,OC_Donor)="","",INDEX('OneCause_Paste'!$A$2589:$AZ$2589,1,OC_Donor)))</f>
        <v/>
      </c>
    </row>
    <row r="2590">
      <c r="A2590" s="62">
        <f>IF(H2590="","",IF(ISNUMBER(N2590),N2590,I2590))</f>
        <v/>
      </c>
      <c r="B2590">
        <f>IF(H2590="","",U2590)</f>
        <v/>
      </c>
      <c r="C2590">
        <f>IF(H2590="","",IF(P2590="",K2590,INDEX('Students'!$A$2:$A$701,P2590)))</f>
        <v/>
      </c>
      <c r="D2590">
        <f>IF(OR(H2590="",P2590=""),"",INDEX('Students'!$B$2:$B$701,P2590))</f>
        <v/>
      </c>
      <c r="E2590">
        <f>IF(OR(H2590="",P2590=""),"",INDEX('Students'!$C$2:$C$701,P2590))</f>
        <v/>
      </c>
      <c r="F2590" s="48">
        <f>IF(H2590="","",IF(ISNUMBER(O2590),O2590,J2590))</f>
        <v/>
      </c>
      <c r="G2590">
        <f>IF(H2590="","","OneCause")</f>
        <v/>
      </c>
      <c r="H2590">
        <f>IF(AND(I2590="",J2590="",K2590=""),"",IF(NOT(ISNUMBER(O2590)),"Bad amount",IF(O2590&lt;0,"Refund (not counted)",IF(O2590=0,"Zero amount",IF(NOT(ISNUMBER(N2590)),"Bad date",IF(P2590="","NAME NOT ON ROSTER",IF(L2590="","OK",IF(MATCH(L2590,$L$2:$L$3001,0)&lt;ROW()-1,"Duplicate (ignored)","OK"))))))))</f>
        <v/>
      </c>
      <c r="I2590">
        <f>IF(OC_Date=0,"",IF(INDEX('OneCause_Paste'!$A$2590:$AZ$2590,1,OC_Date)="","",INDEX('OneCause_Paste'!$A$2590:$AZ$2590,1,OC_Date)))</f>
        <v/>
      </c>
      <c r="J2590">
        <f>IF(OC_Amt=0,"",IF(INDEX('OneCause_Paste'!$A$2590:$AZ$2590,1,OC_Amt)="","",INDEX('OneCause_Paste'!$A$2590:$AZ$2590,1,OC_Amt)))</f>
        <v/>
      </c>
      <c r="K2590">
        <f>IF(OC_Name=0,"",IF(INDEX('OneCause_Paste'!$A$2590:$AZ$2590,1,OC_Name)="","",INDEX('OneCause_Paste'!$A$2590:$AZ$2590,1,OC_Name)))</f>
        <v/>
      </c>
      <c r="L2590">
        <f>IF(OC_Txn=0,"",IF(INDEX('OneCause_Paste'!$A$2590:$AZ$2590,1,OC_Txn)="","",INDEX('OneCause_Paste'!$A$2590:$AZ$2590,1,OC_Txn)))</f>
        <v/>
      </c>
      <c r="M2590">
        <f>IF(OC_Pay=0,"",IF(INDEX('OneCause_Paste'!$A$2590:$AZ$2590,1,OC_Pay)="","",INDEX('OneCause_Paste'!$A$2590:$AZ$2590,1,OC_Pay)))</f>
        <v/>
      </c>
      <c r="N2590">
        <f>IF(I2590="","",IF(ISNUMBER(I2590),INT(I2590),IFERROR(INT(DATEVALUE(I2590)),IFERROR(INT(VALUE(I2590)),"bad"))))</f>
        <v/>
      </c>
      <c r="O2590">
        <f>IF(J2590="","",IF(ISNUMBER(J2590),ROUND(J2590,2),IFERROR(ROUND(VALUE(SUBSTITUTE(SUBSTITUTE(SUBSTITUTE(J2590,"$",""),",","")," ","")),2),"bad")))</f>
        <v/>
      </c>
      <c r="P2590">
        <f>IF(TRIM(K2590)="","",IFERROR(MATCH(LOWER(TRIM(K2590)),'Students'!$AH$2:$AH$701,0),IFERROR(MATCH(LOWER(TRIM(K2590)),'Students'!$AF$2:$AF$701,0),IFERROR(MATCH(LOWER(TRIM(K2590)),'Students'!$AG$2:$AG$701,0),""))))</f>
        <v/>
      </c>
      <c r="R2590">
        <f>IF(P2590="","",INDEX('Students'!$AD$2:$AD$701,P2590))</f>
        <v/>
      </c>
      <c r="S2590">
        <f>IF(H2590="OK",O2590,0)</f>
        <v/>
      </c>
      <c r="T2590">
        <f>IF(H2590="OK",N2590,"")</f>
        <v/>
      </c>
      <c r="U2590">
        <f>IF(OC_Donor=0,"",IF(INDEX('OneCause_Paste'!$A$2590:$AZ$2590,1,OC_Donor)="","",INDEX('OneCause_Paste'!$A$2590:$AZ$2590,1,OC_Donor)))</f>
        <v/>
      </c>
    </row>
    <row r="2591">
      <c r="A2591" s="62">
        <f>IF(H2591="","",IF(ISNUMBER(N2591),N2591,I2591))</f>
        <v/>
      </c>
      <c r="B2591">
        <f>IF(H2591="","",U2591)</f>
        <v/>
      </c>
      <c r="C2591">
        <f>IF(H2591="","",IF(P2591="",K2591,INDEX('Students'!$A$2:$A$701,P2591)))</f>
        <v/>
      </c>
      <c r="D2591">
        <f>IF(OR(H2591="",P2591=""),"",INDEX('Students'!$B$2:$B$701,P2591))</f>
        <v/>
      </c>
      <c r="E2591">
        <f>IF(OR(H2591="",P2591=""),"",INDEX('Students'!$C$2:$C$701,P2591))</f>
        <v/>
      </c>
      <c r="F2591" s="48">
        <f>IF(H2591="","",IF(ISNUMBER(O2591),O2591,J2591))</f>
        <v/>
      </c>
      <c r="G2591">
        <f>IF(H2591="","","OneCause")</f>
        <v/>
      </c>
      <c r="H2591">
        <f>IF(AND(I2591="",J2591="",K2591=""),"",IF(NOT(ISNUMBER(O2591)),"Bad amount",IF(O2591&lt;0,"Refund (not counted)",IF(O2591=0,"Zero amount",IF(NOT(ISNUMBER(N2591)),"Bad date",IF(P2591="","NAME NOT ON ROSTER",IF(L2591="","OK",IF(MATCH(L2591,$L$2:$L$3001,0)&lt;ROW()-1,"Duplicate (ignored)","OK"))))))))</f>
        <v/>
      </c>
      <c r="I2591">
        <f>IF(OC_Date=0,"",IF(INDEX('OneCause_Paste'!$A$2591:$AZ$2591,1,OC_Date)="","",INDEX('OneCause_Paste'!$A$2591:$AZ$2591,1,OC_Date)))</f>
        <v/>
      </c>
      <c r="J2591">
        <f>IF(OC_Amt=0,"",IF(INDEX('OneCause_Paste'!$A$2591:$AZ$2591,1,OC_Amt)="","",INDEX('OneCause_Paste'!$A$2591:$AZ$2591,1,OC_Amt)))</f>
        <v/>
      </c>
      <c r="K2591">
        <f>IF(OC_Name=0,"",IF(INDEX('OneCause_Paste'!$A$2591:$AZ$2591,1,OC_Name)="","",INDEX('OneCause_Paste'!$A$2591:$AZ$2591,1,OC_Name)))</f>
        <v/>
      </c>
      <c r="L2591">
        <f>IF(OC_Txn=0,"",IF(INDEX('OneCause_Paste'!$A$2591:$AZ$2591,1,OC_Txn)="","",INDEX('OneCause_Paste'!$A$2591:$AZ$2591,1,OC_Txn)))</f>
        <v/>
      </c>
      <c r="M2591">
        <f>IF(OC_Pay=0,"",IF(INDEX('OneCause_Paste'!$A$2591:$AZ$2591,1,OC_Pay)="","",INDEX('OneCause_Paste'!$A$2591:$AZ$2591,1,OC_Pay)))</f>
        <v/>
      </c>
      <c r="N2591">
        <f>IF(I2591="","",IF(ISNUMBER(I2591),INT(I2591),IFERROR(INT(DATEVALUE(I2591)),IFERROR(INT(VALUE(I2591)),"bad"))))</f>
        <v/>
      </c>
      <c r="O2591">
        <f>IF(J2591="","",IF(ISNUMBER(J2591),ROUND(J2591,2),IFERROR(ROUND(VALUE(SUBSTITUTE(SUBSTITUTE(SUBSTITUTE(J2591,"$",""),",","")," ","")),2),"bad")))</f>
        <v/>
      </c>
      <c r="P2591">
        <f>IF(TRIM(K2591)="","",IFERROR(MATCH(LOWER(TRIM(K2591)),'Students'!$AH$2:$AH$701,0),IFERROR(MATCH(LOWER(TRIM(K2591)),'Students'!$AF$2:$AF$701,0),IFERROR(MATCH(LOWER(TRIM(K2591)),'Students'!$AG$2:$AG$701,0),""))))</f>
        <v/>
      </c>
      <c r="R2591">
        <f>IF(P2591="","",INDEX('Students'!$AD$2:$AD$701,P2591))</f>
        <v/>
      </c>
      <c r="S2591">
        <f>IF(H2591="OK",O2591,0)</f>
        <v/>
      </c>
      <c r="T2591">
        <f>IF(H2591="OK",N2591,"")</f>
        <v/>
      </c>
      <c r="U2591">
        <f>IF(OC_Donor=0,"",IF(INDEX('OneCause_Paste'!$A$2591:$AZ$2591,1,OC_Donor)="","",INDEX('OneCause_Paste'!$A$2591:$AZ$2591,1,OC_Donor)))</f>
        <v/>
      </c>
    </row>
    <row r="2592">
      <c r="A2592" s="62">
        <f>IF(H2592="","",IF(ISNUMBER(N2592),N2592,I2592))</f>
        <v/>
      </c>
      <c r="B2592">
        <f>IF(H2592="","",U2592)</f>
        <v/>
      </c>
      <c r="C2592">
        <f>IF(H2592="","",IF(P2592="",K2592,INDEX('Students'!$A$2:$A$701,P2592)))</f>
        <v/>
      </c>
      <c r="D2592">
        <f>IF(OR(H2592="",P2592=""),"",INDEX('Students'!$B$2:$B$701,P2592))</f>
        <v/>
      </c>
      <c r="E2592">
        <f>IF(OR(H2592="",P2592=""),"",INDEX('Students'!$C$2:$C$701,P2592))</f>
        <v/>
      </c>
      <c r="F2592" s="48">
        <f>IF(H2592="","",IF(ISNUMBER(O2592),O2592,J2592))</f>
        <v/>
      </c>
      <c r="G2592">
        <f>IF(H2592="","","OneCause")</f>
        <v/>
      </c>
      <c r="H2592">
        <f>IF(AND(I2592="",J2592="",K2592=""),"",IF(NOT(ISNUMBER(O2592)),"Bad amount",IF(O2592&lt;0,"Refund (not counted)",IF(O2592=0,"Zero amount",IF(NOT(ISNUMBER(N2592)),"Bad date",IF(P2592="","NAME NOT ON ROSTER",IF(L2592="","OK",IF(MATCH(L2592,$L$2:$L$3001,0)&lt;ROW()-1,"Duplicate (ignored)","OK"))))))))</f>
        <v/>
      </c>
      <c r="I2592">
        <f>IF(OC_Date=0,"",IF(INDEX('OneCause_Paste'!$A$2592:$AZ$2592,1,OC_Date)="","",INDEX('OneCause_Paste'!$A$2592:$AZ$2592,1,OC_Date)))</f>
        <v/>
      </c>
      <c r="J2592">
        <f>IF(OC_Amt=0,"",IF(INDEX('OneCause_Paste'!$A$2592:$AZ$2592,1,OC_Amt)="","",INDEX('OneCause_Paste'!$A$2592:$AZ$2592,1,OC_Amt)))</f>
        <v/>
      </c>
      <c r="K2592">
        <f>IF(OC_Name=0,"",IF(INDEX('OneCause_Paste'!$A$2592:$AZ$2592,1,OC_Name)="","",INDEX('OneCause_Paste'!$A$2592:$AZ$2592,1,OC_Name)))</f>
        <v/>
      </c>
      <c r="L2592">
        <f>IF(OC_Txn=0,"",IF(INDEX('OneCause_Paste'!$A$2592:$AZ$2592,1,OC_Txn)="","",INDEX('OneCause_Paste'!$A$2592:$AZ$2592,1,OC_Txn)))</f>
        <v/>
      </c>
      <c r="M2592">
        <f>IF(OC_Pay=0,"",IF(INDEX('OneCause_Paste'!$A$2592:$AZ$2592,1,OC_Pay)="","",INDEX('OneCause_Paste'!$A$2592:$AZ$2592,1,OC_Pay)))</f>
        <v/>
      </c>
      <c r="N2592">
        <f>IF(I2592="","",IF(ISNUMBER(I2592),INT(I2592),IFERROR(INT(DATEVALUE(I2592)),IFERROR(INT(VALUE(I2592)),"bad"))))</f>
        <v/>
      </c>
      <c r="O2592">
        <f>IF(J2592="","",IF(ISNUMBER(J2592),ROUND(J2592,2),IFERROR(ROUND(VALUE(SUBSTITUTE(SUBSTITUTE(SUBSTITUTE(J2592,"$",""),",","")," ","")),2),"bad")))</f>
        <v/>
      </c>
      <c r="P2592">
        <f>IF(TRIM(K2592)="","",IFERROR(MATCH(LOWER(TRIM(K2592)),'Students'!$AH$2:$AH$701,0),IFERROR(MATCH(LOWER(TRIM(K2592)),'Students'!$AF$2:$AF$701,0),IFERROR(MATCH(LOWER(TRIM(K2592)),'Students'!$AG$2:$AG$701,0),""))))</f>
        <v/>
      </c>
      <c r="R2592">
        <f>IF(P2592="","",INDEX('Students'!$AD$2:$AD$701,P2592))</f>
        <v/>
      </c>
      <c r="S2592">
        <f>IF(H2592="OK",O2592,0)</f>
        <v/>
      </c>
      <c r="T2592">
        <f>IF(H2592="OK",N2592,"")</f>
        <v/>
      </c>
      <c r="U2592">
        <f>IF(OC_Donor=0,"",IF(INDEX('OneCause_Paste'!$A$2592:$AZ$2592,1,OC_Donor)="","",INDEX('OneCause_Paste'!$A$2592:$AZ$2592,1,OC_Donor)))</f>
        <v/>
      </c>
    </row>
    <row r="2593">
      <c r="A2593" s="62">
        <f>IF(H2593="","",IF(ISNUMBER(N2593),N2593,I2593))</f>
        <v/>
      </c>
      <c r="B2593">
        <f>IF(H2593="","",U2593)</f>
        <v/>
      </c>
      <c r="C2593">
        <f>IF(H2593="","",IF(P2593="",K2593,INDEX('Students'!$A$2:$A$701,P2593)))</f>
        <v/>
      </c>
      <c r="D2593">
        <f>IF(OR(H2593="",P2593=""),"",INDEX('Students'!$B$2:$B$701,P2593))</f>
        <v/>
      </c>
      <c r="E2593">
        <f>IF(OR(H2593="",P2593=""),"",INDEX('Students'!$C$2:$C$701,P2593))</f>
        <v/>
      </c>
      <c r="F2593" s="48">
        <f>IF(H2593="","",IF(ISNUMBER(O2593),O2593,J2593))</f>
        <v/>
      </c>
      <c r="G2593">
        <f>IF(H2593="","","OneCause")</f>
        <v/>
      </c>
      <c r="H2593">
        <f>IF(AND(I2593="",J2593="",K2593=""),"",IF(NOT(ISNUMBER(O2593)),"Bad amount",IF(O2593&lt;0,"Refund (not counted)",IF(O2593=0,"Zero amount",IF(NOT(ISNUMBER(N2593)),"Bad date",IF(P2593="","NAME NOT ON ROSTER",IF(L2593="","OK",IF(MATCH(L2593,$L$2:$L$3001,0)&lt;ROW()-1,"Duplicate (ignored)","OK"))))))))</f>
        <v/>
      </c>
      <c r="I2593">
        <f>IF(OC_Date=0,"",IF(INDEX('OneCause_Paste'!$A$2593:$AZ$2593,1,OC_Date)="","",INDEX('OneCause_Paste'!$A$2593:$AZ$2593,1,OC_Date)))</f>
        <v/>
      </c>
      <c r="J2593">
        <f>IF(OC_Amt=0,"",IF(INDEX('OneCause_Paste'!$A$2593:$AZ$2593,1,OC_Amt)="","",INDEX('OneCause_Paste'!$A$2593:$AZ$2593,1,OC_Amt)))</f>
        <v/>
      </c>
      <c r="K2593">
        <f>IF(OC_Name=0,"",IF(INDEX('OneCause_Paste'!$A$2593:$AZ$2593,1,OC_Name)="","",INDEX('OneCause_Paste'!$A$2593:$AZ$2593,1,OC_Name)))</f>
        <v/>
      </c>
      <c r="L2593">
        <f>IF(OC_Txn=0,"",IF(INDEX('OneCause_Paste'!$A$2593:$AZ$2593,1,OC_Txn)="","",INDEX('OneCause_Paste'!$A$2593:$AZ$2593,1,OC_Txn)))</f>
        <v/>
      </c>
      <c r="M2593">
        <f>IF(OC_Pay=0,"",IF(INDEX('OneCause_Paste'!$A$2593:$AZ$2593,1,OC_Pay)="","",INDEX('OneCause_Paste'!$A$2593:$AZ$2593,1,OC_Pay)))</f>
        <v/>
      </c>
      <c r="N2593">
        <f>IF(I2593="","",IF(ISNUMBER(I2593),INT(I2593),IFERROR(INT(DATEVALUE(I2593)),IFERROR(INT(VALUE(I2593)),"bad"))))</f>
        <v/>
      </c>
      <c r="O2593">
        <f>IF(J2593="","",IF(ISNUMBER(J2593),ROUND(J2593,2),IFERROR(ROUND(VALUE(SUBSTITUTE(SUBSTITUTE(SUBSTITUTE(J2593,"$",""),",","")," ","")),2),"bad")))</f>
        <v/>
      </c>
      <c r="P2593">
        <f>IF(TRIM(K2593)="","",IFERROR(MATCH(LOWER(TRIM(K2593)),'Students'!$AH$2:$AH$701,0),IFERROR(MATCH(LOWER(TRIM(K2593)),'Students'!$AF$2:$AF$701,0),IFERROR(MATCH(LOWER(TRIM(K2593)),'Students'!$AG$2:$AG$701,0),""))))</f>
        <v/>
      </c>
      <c r="R2593">
        <f>IF(P2593="","",INDEX('Students'!$AD$2:$AD$701,P2593))</f>
        <v/>
      </c>
      <c r="S2593">
        <f>IF(H2593="OK",O2593,0)</f>
        <v/>
      </c>
      <c r="T2593">
        <f>IF(H2593="OK",N2593,"")</f>
        <v/>
      </c>
      <c r="U2593">
        <f>IF(OC_Donor=0,"",IF(INDEX('OneCause_Paste'!$A$2593:$AZ$2593,1,OC_Donor)="","",INDEX('OneCause_Paste'!$A$2593:$AZ$2593,1,OC_Donor)))</f>
        <v/>
      </c>
    </row>
    <row r="2594">
      <c r="A2594" s="62">
        <f>IF(H2594="","",IF(ISNUMBER(N2594),N2594,I2594))</f>
        <v/>
      </c>
      <c r="B2594">
        <f>IF(H2594="","",U2594)</f>
        <v/>
      </c>
      <c r="C2594">
        <f>IF(H2594="","",IF(P2594="",K2594,INDEX('Students'!$A$2:$A$701,P2594)))</f>
        <v/>
      </c>
      <c r="D2594">
        <f>IF(OR(H2594="",P2594=""),"",INDEX('Students'!$B$2:$B$701,P2594))</f>
        <v/>
      </c>
      <c r="E2594">
        <f>IF(OR(H2594="",P2594=""),"",INDEX('Students'!$C$2:$C$701,P2594))</f>
        <v/>
      </c>
      <c r="F2594" s="48">
        <f>IF(H2594="","",IF(ISNUMBER(O2594),O2594,J2594))</f>
        <v/>
      </c>
      <c r="G2594">
        <f>IF(H2594="","","OneCause")</f>
        <v/>
      </c>
      <c r="H2594">
        <f>IF(AND(I2594="",J2594="",K2594=""),"",IF(NOT(ISNUMBER(O2594)),"Bad amount",IF(O2594&lt;0,"Refund (not counted)",IF(O2594=0,"Zero amount",IF(NOT(ISNUMBER(N2594)),"Bad date",IF(P2594="","NAME NOT ON ROSTER",IF(L2594="","OK",IF(MATCH(L2594,$L$2:$L$3001,0)&lt;ROW()-1,"Duplicate (ignored)","OK"))))))))</f>
        <v/>
      </c>
      <c r="I2594">
        <f>IF(OC_Date=0,"",IF(INDEX('OneCause_Paste'!$A$2594:$AZ$2594,1,OC_Date)="","",INDEX('OneCause_Paste'!$A$2594:$AZ$2594,1,OC_Date)))</f>
        <v/>
      </c>
      <c r="J2594">
        <f>IF(OC_Amt=0,"",IF(INDEX('OneCause_Paste'!$A$2594:$AZ$2594,1,OC_Amt)="","",INDEX('OneCause_Paste'!$A$2594:$AZ$2594,1,OC_Amt)))</f>
        <v/>
      </c>
      <c r="K2594">
        <f>IF(OC_Name=0,"",IF(INDEX('OneCause_Paste'!$A$2594:$AZ$2594,1,OC_Name)="","",INDEX('OneCause_Paste'!$A$2594:$AZ$2594,1,OC_Name)))</f>
        <v/>
      </c>
      <c r="L2594">
        <f>IF(OC_Txn=0,"",IF(INDEX('OneCause_Paste'!$A$2594:$AZ$2594,1,OC_Txn)="","",INDEX('OneCause_Paste'!$A$2594:$AZ$2594,1,OC_Txn)))</f>
        <v/>
      </c>
      <c r="M2594">
        <f>IF(OC_Pay=0,"",IF(INDEX('OneCause_Paste'!$A$2594:$AZ$2594,1,OC_Pay)="","",INDEX('OneCause_Paste'!$A$2594:$AZ$2594,1,OC_Pay)))</f>
        <v/>
      </c>
      <c r="N2594">
        <f>IF(I2594="","",IF(ISNUMBER(I2594),INT(I2594),IFERROR(INT(DATEVALUE(I2594)),IFERROR(INT(VALUE(I2594)),"bad"))))</f>
        <v/>
      </c>
      <c r="O2594">
        <f>IF(J2594="","",IF(ISNUMBER(J2594),ROUND(J2594,2),IFERROR(ROUND(VALUE(SUBSTITUTE(SUBSTITUTE(SUBSTITUTE(J2594,"$",""),",","")," ","")),2),"bad")))</f>
        <v/>
      </c>
      <c r="P2594">
        <f>IF(TRIM(K2594)="","",IFERROR(MATCH(LOWER(TRIM(K2594)),'Students'!$AH$2:$AH$701,0),IFERROR(MATCH(LOWER(TRIM(K2594)),'Students'!$AF$2:$AF$701,0),IFERROR(MATCH(LOWER(TRIM(K2594)),'Students'!$AG$2:$AG$701,0),""))))</f>
        <v/>
      </c>
      <c r="R2594">
        <f>IF(P2594="","",INDEX('Students'!$AD$2:$AD$701,P2594))</f>
        <v/>
      </c>
      <c r="S2594">
        <f>IF(H2594="OK",O2594,0)</f>
        <v/>
      </c>
      <c r="T2594">
        <f>IF(H2594="OK",N2594,"")</f>
        <v/>
      </c>
      <c r="U2594">
        <f>IF(OC_Donor=0,"",IF(INDEX('OneCause_Paste'!$A$2594:$AZ$2594,1,OC_Donor)="","",INDEX('OneCause_Paste'!$A$2594:$AZ$2594,1,OC_Donor)))</f>
        <v/>
      </c>
    </row>
    <row r="2595">
      <c r="A2595" s="62">
        <f>IF(H2595="","",IF(ISNUMBER(N2595),N2595,I2595))</f>
        <v/>
      </c>
      <c r="B2595">
        <f>IF(H2595="","",U2595)</f>
        <v/>
      </c>
      <c r="C2595">
        <f>IF(H2595="","",IF(P2595="",K2595,INDEX('Students'!$A$2:$A$701,P2595)))</f>
        <v/>
      </c>
      <c r="D2595">
        <f>IF(OR(H2595="",P2595=""),"",INDEX('Students'!$B$2:$B$701,P2595))</f>
        <v/>
      </c>
      <c r="E2595">
        <f>IF(OR(H2595="",P2595=""),"",INDEX('Students'!$C$2:$C$701,P2595))</f>
        <v/>
      </c>
      <c r="F2595" s="48">
        <f>IF(H2595="","",IF(ISNUMBER(O2595),O2595,J2595))</f>
        <v/>
      </c>
      <c r="G2595">
        <f>IF(H2595="","","OneCause")</f>
        <v/>
      </c>
      <c r="H2595">
        <f>IF(AND(I2595="",J2595="",K2595=""),"",IF(NOT(ISNUMBER(O2595)),"Bad amount",IF(O2595&lt;0,"Refund (not counted)",IF(O2595=0,"Zero amount",IF(NOT(ISNUMBER(N2595)),"Bad date",IF(P2595="","NAME NOT ON ROSTER",IF(L2595="","OK",IF(MATCH(L2595,$L$2:$L$3001,0)&lt;ROW()-1,"Duplicate (ignored)","OK"))))))))</f>
        <v/>
      </c>
      <c r="I2595">
        <f>IF(OC_Date=0,"",IF(INDEX('OneCause_Paste'!$A$2595:$AZ$2595,1,OC_Date)="","",INDEX('OneCause_Paste'!$A$2595:$AZ$2595,1,OC_Date)))</f>
        <v/>
      </c>
      <c r="J2595">
        <f>IF(OC_Amt=0,"",IF(INDEX('OneCause_Paste'!$A$2595:$AZ$2595,1,OC_Amt)="","",INDEX('OneCause_Paste'!$A$2595:$AZ$2595,1,OC_Amt)))</f>
        <v/>
      </c>
      <c r="K2595">
        <f>IF(OC_Name=0,"",IF(INDEX('OneCause_Paste'!$A$2595:$AZ$2595,1,OC_Name)="","",INDEX('OneCause_Paste'!$A$2595:$AZ$2595,1,OC_Name)))</f>
        <v/>
      </c>
      <c r="L2595">
        <f>IF(OC_Txn=0,"",IF(INDEX('OneCause_Paste'!$A$2595:$AZ$2595,1,OC_Txn)="","",INDEX('OneCause_Paste'!$A$2595:$AZ$2595,1,OC_Txn)))</f>
        <v/>
      </c>
      <c r="M2595">
        <f>IF(OC_Pay=0,"",IF(INDEX('OneCause_Paste'!$A$2595:$AZ$2595,1,OC_Pay)="","",INDEX('OneCause_Paste'!$A$2595:$AZ$2595,1,OC_Pay)))</f>
        <v/>
      </c>
      <c r="N2595">
        <f>IF(I2595="","",IF(ISNUMBER(I2595),INT(I2595),IFERROR(INT(DATEVALUE(I2595)),IFERROR(INT(VALUE(I2595)),"bad"))))</f>
        <v/>
      </c>
      <c r="O2595">
        <f>IF(J2595="","",IF(ISNUMBER(J2595),ROUND(J2595,2),IFERROR(ROUND(VALUE(SUBSTITUTE(SUBSTITUTE(SUBSTITUTE(J2595,"$",""),",","")," ","")),2),"bad")))</f>
        <v/>
      </c>
      <c r="P2595">
        <f>IF(TRIM(K2595)="","",IFERROR(MATCH(LOWER(TRIM(K2595)),'Students'!$AH$2:$AH$701,0),IFERROR(MATCH(LOWER(TRIM(K2595)),'Students'!$AF$2:$AF$701,0),IFERROR(MATCH(LOWER(TRIM(K2595)),'Students'!$AG$2:$AG$701,0),""))))</f>
        <v/>
      </c>
      <c r="R2595">
        <f>IF(P2595="","",INDEX('Students'!$AD$2:$AD$701,P2595))</f>
        <v/>
      </c>
      <c r="S2595">
        <f>IF(H2595="OK",O2595,0)</f>
        <v/>
      </c>
      <c r="T2595">
        <f>IF(H2595="OK",N2595,"")</f>
        <v/>
      </c>
      <c r="U2595">
        <f>IF(OC_Donor=0,"",IF(INDEX('OneCause_Paste'!$A$2595:$AZ$2595,1,OC_Donor)="","",INDEX('OneCause_Paste'!$A$2595:$AZ$2595,1,OC_Donor)))</f>
        <v/>
      </c>
    </row>
    <row r="2596">
      <c r="A2596" s="62">
        <f>IF(H2596="","",IF(ISNUMBER(N2596),N2596,I2596))</f>
        <v/>
      </c>
      <c r="B2596">
        <f>IF(H2596="","",U2596)</f>
        <v/>
      </c>
      <c r="C2596">
        <f>IF(H2596="","",IF(P2596="",K2596,INDEX('Students'!$A$2:$A$701,P2596)))</f>
        <v/>
      </c>
      <c r="D2596">
        <f>IF(OR(H2596="",P2596=""),"",INDEX('Students'!$B$2:$B$701,P2596))</f>
        <v/>
      </c>
      <c r="E2596">
        <f>IF(OR(H2596="",P2596=""),"",INDEX('Students'!$C$2:$C$701,P2596))</f>
        <v/>
      </c>
      <c r="F2596" s="48">
        <f>IF(H2596="","",IF(ISNUMBER(O2596),O2596,J2596))</f>
        <v/>
      </c>
      <c r="G2596">
        <f>IF(H2596="","","OneCause")</f>
        <v/>
      </c>
      <c r="H2596">
        <f>IF(AND(I2596="",J2596="",K2596=""),"",IF(NOT(ISNUMBER(O2596)),"Bad amount",IF(O2596&lt;0,"Refund (not counted)",IF(O2596=0,"Zero amount",IF(NOT(ISNUMBER(N2596)),"Bad date",IF(P2596="","NAME NOT ON ROSTER",IF(L2596="","OK",IF(MATCH(L2596,$L$2:$L$3001,0)&lt;ROW()-1,"Duplicate (ignored)","OK"))))))))</f>
        <v/>
      </c>
      <c r="I2596">
        <f>IF(OC_Date=0,"",IF(INDEX('OneCause_Paste'!$A$2596:$AZ$2596,1,OC_Date)="","",INDEX('OneCause_Paste'!$A$2596:$AZ$2596,1,OC_Date)))</f>
        <v/>
      </c>
      <c r="J2596">
        <f>IF(OC_Amt=0,"",IF(INDEX('OneCause_Paste'!$A$2596:$AZ$2596,1,OC_Amt)="","",INDEX('OneCause_Paste'!$A$2596:$AZ$2596,1,OC_Amt)))</f>
        <v/>
      </c>
      <c r="K2596">
        <f>IF(OC_Name=0,"",IF(INDEX('OneCause_Paste'!$A$2596:$AZ$2596,1,OC_Name)="","",INDEX('OneCause_Paste'!$A$2596:$AZ$2596,1,OC_Name)))</f>
        <v/>
      </c>
      <c r="L2596">
        <f>IF(OC_Txn=0,"",IF(INDEX('OneCause_Paste'!$A$2596:$AZ$2596,1,OC_Txn)="","",INDEX('OneCause_Paste'!$A$2596:$AZ$2596,1,OC_Txn)))</f>
        <v/>
      </c>
      <c r="M2596">
        <f>IF(OC_Pay=0,"",IF(INDEX('OneCause_Paste'!$A$2596:$AZ$2596,1,OC_Pay)="","",INDEX('OneCause_Paste'!$A$2596:$AZ$2596,1,OC_Pay)))</f>
        <v/>
      </c>
      <c r="N2596">
        <f>IF(I2596="","",IF(ISNUMBER(I2596),INT(I2596),IFERROR(INT(DATEVALUE(I2596)),IFERROR(INT(VALUE(I2596)),"bad"))))</f>
        <v/>
      </c>
      <c r="O2596">
        <f>IF(J2596="","",IF(ISNUMBER(J2596),ROUND(J2596,2),IFERROR(ROUND(VALUE(SUBSTITUTE(SUBSTITUTE(SUBSTITUTE(J2596,"$",""),",","")," ","")),2),"bad")))</f>
        <v/>
      </c>
      <c r="P2596">
        <f>IF(TRIM(K2596)="","",IFERROR(MATCH(LOWER(TRIM(K2596)),'Students'!$AH$2:$AH$701,0),IFERROR(MATCH(LOWER(TRIM(K2596)),'Students'!$AF$2:$AF$701,0),IFERROR(MATCH(LOWER(TRIM(K2596)),'Students'!$AG$2:$AG$701,0),""))))</f>
        <v/>
      </c>
      <c r="R2596">
        <f>IF(P2596="","",INDEX('Students'!$AD$2:$AD$701,P2596))</f>
        <v/>
      </c>
      <c r="S2596">
        <f>IF(H2596="OK",O2596,0)</f>
        <v/>
      </c>
      <c r="T2596">
        <f>IF(H2596="OK",N2596,"")</f>
        <v/>
      </c>
      <c r="U2596">
        <f>IF(OC_Donor=0,"",IF(INDEX('OneCause_Paste'!$A$2596:$AZ$2596,1,OC_Donor)="","",INDEX('OneCause_Paste'!$A$2596:$AZ$2596,1,OC_Donor)))</f>
        <v/>
      </c>
    </row>
    <row r="2597">
      <c r="A2597" s="62">
        <f>IF(H2597="","",IF(ISNUMBER(N2597),N2597,I2597))</f>
        <v/>
      </c>
      <c r="B2597">
        <f>IF(H2597="","",U2597)</f>
        <v/>
      </c>
      <c r="C2597">
        <f>IF(H2597="","",IF(P2597="",K2597,INDEX('Students'!$A$2:$A$701,P2597)))</f>
        <v/>
      </c>
      <c r="D2597">
        <f>IF(OR(H2597="",P2597=""),"",INDEX('Students'!$B$2:$B$701,P2597))</f>
        <v/>
      </c>
      <c r="E2597">
        <f>IF(OR(H2597="",P2597=""),"",INDEX('Students'!$C$2:$C$701,P2597))</f>
        <v/>
      </c>
      <c r="F2597" s="48">
        <f>IF(H2597="","",IF(ISNUMBER(O2597),O2597,J2597))</f>
        <v/>
      </c>
      <c r="G2597">
        <f>IF(H2597="","","OneCause")</f>
        <v/>
      </c>
      <c r="H2597">
        <f>IF(AND(I2597="",J2597="",K2597=""),"",IF(NOT(ISNUMBER(O2597)),"Bad amount",IF(O2597&lt;0,"Refund (not counted)",IF(O2597=0,"Zero amount",IF(NOT(ISNUMBER(N2597)),"Bad date",IF(P2597="","NAME NOT ON ROSTER",IF(L2597="","OK",IF(MATCH(L2597,$L$2:$L$3001,0)&lt;ROW()-1,"Duplicate (ignored)","OK"))))))))</f>
        <v/>
      </c>
      <c r="I2597">
        <f>IF(OC_Date=0,"",IF(INDEX('OneCause_Paste'!$A$2597:$AZ$2597,1,OC_Date)="","",INDEX('OneCause_Paste'!$A$2597:$AZ$2597,1,OC_Date)))</f>
        <v/>
      </c>
      <c r="J2597">
        <f>IF(OC_Amt=0,"",IF(INDEX('OneCause_Paste'!$A$2597:$AZ$2597,1,OC_Amt)="","",INDEX('OneCause_Paste'!$A$2597:$AZ$2597,1,OC_Amt)))</f>
        <v/>
      </c>
      <c r="K2597">
        <f>IF(OC_Name=0,"",IF(INDEX('OneCause_Paste'!$A$2597:$AZ$2597,1,OC_Name)="","",INDEX('OneCause_Paste'!$A$2597:$AZ$2597,1,OC_Name)))</f>
        <v/>
      </c>
      <c r="L2597">
        <f>IF(OC_Txn=0,"",IF(INDEX('OneCause_Paste'!$A$2597:$AZ$2597,1,OC_Txn)="","",INDEX('OneCause_Paste'!$A$2597:$AZ$2597,1,OC_Txn)))</f>
        <v/>
      </c>
      <c r="M2597">
        <f>IF(OC_Pay=0,"",IF(INDEX('OneCause_Paste'!$A$2597:$AZ$2597,1,OC_Pay)="","",INDEX('OneCause_Paste'!$A$2597:$AZ$2597,1,OC_Pay)))</f>
        <v/>
      </c>
      <c r="N2597">
        <f>IF(I2597="","",IF(ISNUMBER(I2597),INT(I2597),IFERROR(INT(DATEVALUE(I2597)),IFERROR(INT(VALUE(I2597)),"bad"))))</f>
        <v/>
      </c>
      <c r="O2597">
        <f>IF(J2597="","",IF(ISNUMBER(J2597),ROUND(J2597,2),IFERROR(ROUND(VALUE(SUBSTITUTE(SUBSTITUTE(SUBSTITUTE(J2597,"$",""),",","")," ","")),2),"bad")))</f>
        <v/>
      </c>
      <c r="P2597">
        <f>IF(TRIM(K2597)="","",IFERROR(MATCH(LOWER(TRIM(K2597)),'Students'!$AH$2:$AH$701,0),IFERROR(MATCH(LOWER(TRIM(K2597)),'Students'!$AF$2:$AF$701,0),IFERROR(MATCH(LOWER(TRIM(K2597)),'Students'!$AG$2:$AG$701,0),""))))</f>
        <v/>
      </c>
      <c r="R2597">
        <f>IF(P2597="","",INDEX('Students'!$AD$2:$AD$701,P2597))</f>
        <v/>
      </c>
      <c r="S2597">
        <f>IF(H2597="OK",O2597,0)</f>
        <v/>
      </c>
      <c r="T2597">
        <f>IF(H2597="OK",N2597,"")</f>
        <v/>
      </c>
      <c r="U2597">
        <f>IF(OC_Donor=0,"",IF(INDEX('OneCause_Paste'!$A$2597:$AZ$2597,1,OC_Donor)="","",INDEX('OneCause_Paste'!$A$2597:$AZ$2597,1,OC_Donor)))</f>
        <v/>
      </c>
    </row>
    <row r="2598">
      <c r="A2598" s="62">
        <f>IF(H2598="","",IF(ISNUMBER(N2598),N2598,I2598))</f>
        <v/>
      </c>
      <c r="B2598">
        <f>IF(H2598="","",U2598)</f>
        <v/>
      </c>
      <c r="C2598">
        <f>IF(H2598="","",IF(P2598="",K2598,INDEX('Students'!$A$2:$A$701,P2598)))</f>
        <v/>
      </c>
      <c r="D2598">
        <f>IF(OR(H2598="",P2598=""),"",INDEX('Students'!$B$2:$B$701,P2598))</f>
        <v/>
      </c>
      <c r="E2598">
        <f>IF(OR(H2598="",P2598=""),"",INDEX('Students'!$C$2:$C$701,P2598))</f>
        <v/>
      </c>
      <c r="F2598" s="48">
        <f>IF(H2598="","",IF(ISNUMBER(O2598),O2598,J2598))</f>
        <v/>
      </c>
      <c r="G2598">
        <f>IF(H2598="","","OneCause")</f>
        <v/>
      </c>
      <c r="H2598">
        <f>IF(AND(I2598="",J2598="",K2598=""),"",IF(NOT(ISNUMBER(O2598)),"Bad amount",IF(O2598&lt;0,"Refund (not counted)",IF(O2598=0,"Zero amount",IF(NOT(ISNUMBER(N2598)),"Bad date",IF(P2598="","NAME NOT ON ROSTER",IF(L2598="","OK",IF(MATCH(L2598,$L$2:$L$3001,0)&lt;ROW()-1,"Duplicate (ignored)","OK"))))))))</f>
        <v/>
      </c>
      <c r="I2598">
        <f>IF(OC_Date=0,"",IF(INDEX('OneCause_Paste'!$A$2598:$AZ$2598,1,OC_Date)="","",INDEX('OneCause_Paste'!$A$2598:$AZ$2598,1,OC_Date)))</f>
        <v/>
      </c>
      <c r="J2598">
        <f>IF(OC_Amt=0,"",IF(INDEX('OneCause_Paste'!$A$2598:$AZ$2598,1,OC_Amt)="","",INDEX('OneCause_Paste'!$A$2598:$AZ$2598,1,OC_Amt)))</f>
        <v/>
      </c>
      <c r="K2598">
        <f>IF(OC_Name=0,"",IF(INDEX('OneCause_Paste'!$A$2598:$AZ$2598,1,OC_Name)="","",INDEX('OneCause_Paste'!$A$2598:$AZ$2598,1,OC_Name)))</f>
        <v/>
      </c>
      <c r="L2598">
        <f>IF(OC_Txn=0,"",IF(INDEX('OneCause_Paste'!$A$2598:$AZ$2598,1,OC_Txn)="","",INDEX('OneCause_Paste'!$A$2598:$AZ$2598,1,OC_Txn)))</f>
        <v/>
      </c>
      <c r="M2598">
        <f>IF(OC_Pay=0,"",IF(INDEX('OneCause_Paste'!$A$2598:$AZ$2598,1,OC_Pay)="","",INDEX('OneCause_Paste'!$A$2598:$AZ$2598,1,OC_Pay)))</f>
        <v/>
      </c>
      <c r="N2598">
        <f>IF(I2598="","",IF(ISNUMBER(I2598),INT(I2598),IFERROR(INT(DATEVALUE(I2598)),IFERROR(INT(VALUE(I2598)),"bad"))))</f>
        <v/>
      </c>
      <c r="O2598">
        <f>IF(J2598="","",IF(ISNUMBER(J2598),ROUND(J2598,2),IFERROR(ROUND(VALUE(SUBSTITUTE(SUBSTITUTE(SUBSTITUTE(J2598,"$",""),",","")," ","")),2),"bad")))</f>
        <v/>
      </c>
      <c r="P2598">
        <f>IF(TRIM(K2598)="","",IFERROR(MATCH(LOWER(TRIM(K2598)),'Students'!$AH$2:$AH$701,0),IFERROR(MATCH(LOWER(TRIM(K2598)),'Students'!$AF$2:$AF$701,0),IFERROR(MATCH(LOWER(TRIM(K2598)),'Students'!$AG$2:$AG$701,0),""))))</f>
        <v/>
      </c>
      <c r="R2598">
        <f>IF(P2598="","",INDEX('Students'!$AD$2:$AD$701,P2598))</f>
        <v/>
      </c>
      <c r="S2598">
        <f>IF(H2598="OK",O2598,0)</f>
        <v/>
      </c>
      <c r="T2598">
        <f>IF(H2598="OK",N2598,"")</f>
        <v/>
      </c>
      <c r="U2598">
        <f>IF(OC_Donor=0,"",IF(INDEX('OneCause_Paste'!$A$2598:$AZ$2598,1,OC_Donor)="","",INDEX('OneCause_Paste'!$A$2598:$AZ$2598,1,OC_Donor)))</f>
        <v/>
      </c>
    </row>
    <row r="2599">
      <c r="A2599" s="62">
        <f>IF(H2599="","",IF(ISNUMBER(N2599),N2599,I2599))</f>
        <v/>
      </c>
      <c r="B2599">
        <f>IF(H2599="","",U2599)</f>
        <v/>
      </c>
      <c r="C2599">
        <f>IF(H2599="","",IF(P2599="",K2599,INDEX('Students'!$A$2:$A$701,P2599)))</f>
        <v/>
      </c>
      <c r="D2599">
        <f>IF(OR(H2599="",P2599=""),"",INDEX('Students'!$B$2:$B$701,P2599))</f>
        <v/>
      </c>
      <c r="E2599">
        <f>IF(OR(H2599="",P2599=""),"",INDEX('Students'!$C$2:$C$701,P2599))</f>
        <v/>
      </c>
      <c r="F2599" s="48">
        <f>IF(H2599="","",IF(ISNUMBER(O2599),O2599,J2599))</f>
        <v/>
      </c>
      <c r="G2599">
        <f>IF(H2599="","","OneCause")</f>
        <v/>
      </c>
      <c r="H2599">
        <f>IF(AND(I2599="",J2599="",K2599=""),"",IF(NOT(ISNUMBER(O2599)),"Bad amount",IF(O2599&lt;0,"Refund (not counted)",IF(O2599=0,"Zero amount",IF(NOT(ISNUMBER(N2599)),"Bad date",IF(P2599="","NAME NOT ON ROSTER",IF(L2599="","OK",IF(MATCH(L2599,$L$2:$L$3001,0)&lt;ROW()-1,"Duplicate (ignored)","OK"))))))))</f>
        <v/>
      </c>
      <c r="I2599">
        <f>IF(OC_Date=0,"",IF(INDEX('OneCause_Paste'!$A$2599:$AZ$2599,1,OC_Date)="","",INDEX('OneCause_Paste'!$A$2599:$AZ$2599,1,OC_Date)))</f>
        <v/>
      </c>
      <c r="J2599">
        <f>IF(OC_Amt=0,"",IF(INDEX('OneCause_Paste'!$A$2599:$AZ$2599,1,OC_Amt)="","",INDEX('OneCause_Paste'!$A$2599:$AZ$2599,1,OC_Amt)))</f>
        <v/>
      </c>
      <c r="K2599">
        <f>IF(OC_Name=0,"",IF(INDEX('OneCause_Paste'!$A$2599:$AZ$2599,1,OC_Name)="","",INDEX('OneCause_Paste'!$A$2599:$AZ$2599,1,OC_Name)))</f>
        <v/>
      </c>
      <c r="L2599">
        <f>IF(OC_Txn=0,"",IF(INDEX('OneCause_Paste'!$A$2599:$AZ$2599,1,OC_Txn)="","",INDEX('OneCause_Paste'!$A$2599:$AZ$2599,1,OC_Txn)))</f>
        <v/>
      </c>
      <c r="M2599">
        <f>IF(OC_Pay=0,"",IF(INDEX('OneCause_Paste'!$A$2599:$AZ$2599,1,OC_Pay)="","",INDEX('OneCause_Paste'!$A$2599:$AZ$2599,1,OC_Pay)))</f>
        <v/>
      </c>
      <c r="N2599">
        <f>IF(I2599="","",IF(ISNUMBER(I2599),INT(I2599),IFERROR(INT(DATEVALUE(I2599)),IFERROR(INT(VALUE(I2599)),"bad"))))</f>
        <v/>
      </c>
      <c r="O2599">
        <f>IF(J2599="","",IF(ISNUMBER(J2599),ROUND(J2599,2),IFERROR(ROUND(VALUE(SUBSTITUTE(SUBSTITUTE(SUBSTITUTE(J2599,"$",""),",","")," ","")),2),"bad")))</f>
        <v/>
      </c>
      <c r="P2599">
        <f>IF(TRIM(K2599)="","",IFERROR(MATCH(LOWER(TRIM(K2599)),'Students'!$AH$2:$AH$701,0),IFERROR(MATCH(LOWER(TRIM(K2599)),'Students'!$AF$2:$AF$701,0),IFERROR(MATCH(LOWER(TRIM(K2599)),'Students'!$AG$2:$AG$701,0),""))))</f>
        <v/>
      </c>
      <c r="R2599">
        <f>IF(P2599="","",INDEX('Students'!$AD$2:$AD$701,P2599))</f>
        <v/>
      </c>
      <c r="S2599">
        <f>IF(H2599="OK",O2599,0)</f>
        <v/>
      </c>
      <c r="T2599">
        <f>IF(H2599="OK",N2599,"")</f>
        <v/>
      </c>
      <c r="U2599">
        <f>IF(OC_Donor=0,"",IF(INDEX('OneCause_Paste'!$A$2599:$AZ$2599,1,OC_Donor)="","",INDEX('OneCause_Paste'!$A$2599:$AZ$2599,1,OC_Donor)))</f>
        <v/>
      </c>
    </row>
    <row r="2600">
      <c r="A2600" s="62">
        <f>IF(H2600="","",IF(ISNUMBER(N2600),N2600,I2600))</f>
        <v/>
      </c>
      <c r="B2600">
        <f>IF(H2600="","",U2600)</f>
        <v/>
      </c>
      <c r="C2600">
        <f>IF(H2600="","",IF(P2600="",K2600,INDEX('Students'!$A$2:$A$701,P2600)))</f>
        <v/>
      </c>
      <c r="D2600">
        <f>IF(OR(H2600="",P2600=""),"",INDEX('Students'!$B$2:$B$701,P2600))</f>
        <v/>
      </c>
      <c r="E2600">
        <f>IF(OR(H2600="",P2600=""),"",INDEX('Students'!$C$2:$C$701,P2600))</f>
        <v/>
      </c>
      <c r="F2600" s="48">
        <f>IF(H2600="","",IF(ISNUMBER(O2600),O2600,J2600))</f>
        <v/>
      </c>
      <c r="G2600">
        <f>IF(H2600="","","OneCause")</f>
        <v/>
      </c>
      <c r="H2600">
        <f>IF(AND(I2600="",J2600="",K2600=""),"",IF(NOT(ISNUMBER(O2600)),"Bad amount",IF(O2600&lt;0,"Refund (not counted)",IF(O2600=0,"Zero amount",IF(NOT(ISNUMBER(N2600)),"Bad date",IF(P2600="","NAME NOT ON ROSTER",IF(L2600="","OK",IF(MATCH(L2600,$L$2:$L$3001,0)&lt;ROW()-1,"Duplicate (ignored)","OK"))))))))</f>
        <v/>
      </c>
      <c r="I2600">
        <f>IF(OC_Date=0,"",IF(INDEX('OneCause_Paste'!$A$2600:$AZ$2600,1,OC_Date)="","",INDEX('OneCause_Paste'!$A$2600:$AZ$2600,1,OC_Date)))</f>
        <v/>
      </c>
      <c r="J2600">
        <f>IF(OC_Amt=0,"",IF(INDEX('OneCause_Paste'!$A$2600:$AZ$2600,1,OC_Amt)="","",INDEX('OneCause_Paste'!$A$2600:$AZ$2600,1,OC_Amt)))</f>
        <v/>
      </c>
      <c r="K2600">
        <f>IF(OC_Name=0,"",IF(INDEX('OneCause_Paste'!$A$2600:$AZ$2600,1,OC_Name)="","",INDEX('OneCause_Paste'!$A$2600:$AZ$2600,1,OC_Name)))</f>
        <v/>
      </c>
      <c r="L2600">
        <f>IF(OC_Txn=0,"",IF(INDEX('OneCause_Paste'!$A$2600:$AZ$2600,1,OC_Txn)="","",INDEX('OneCause_Paste'!$A$2600:$AZ$2600,1,OC_Txn)))</f>
        <v/>
      </c>
      <c r="M2600">
        <f>IF(OC_Pay=0,"",IF(INDEX('OneCause_Paste'!$A$2600:$AZ$2600,1,OC_Pay)="","",INDEX('OneCause_Paste'!$A$2600:$AZ$2600,1,OC_Pay)))</f>
        <v/>
      </c>
      <c r="N2600">
        <f>IF(I2600="","",IF(ISNUMBER(I2600),INT(I2600),IFERROR(INT(DATEVALUE(I2600)),IFERROR(INT(VALUE(I2600)),"bad"))))</f>
        <v/>
      </c>
      <c r="O2600">
        <f>IF(J2600="","",IF(ISNUMBER(J2600),ROUND(J2600,2),IFERROR(ROUND(VALUE(SUBSTITUTE(SUBSTITUTE(SUBSTITUTE(J2600,"$",""),",","")," ","")),2),"bad")))</f>
        <v/>
      </c>
      <c r="P2600">
        <f>IF(TRIM(K2600)="","",IFERROR(MATCH(LOWER(TRIM(K2600)),'Students'!$AH$2:$AH$701,0),IFERROR(MATCH(LOWER(TRIM(K2600)),'Students'!$AF$2:$AF$701,0),IFERROR(MATCH(LOWER(TRIM(K2600)),'Students'!$AG$2:$AG$701,0),""))))</f>
        <v/>
      </c>
      <c r="R2600">
        <f>IF(P2600="","",INDEX('Students'!$AD$2:$AD$701,P2600))</f>
        <v/>
      </c>
      <c r="S2600">
        <f>IF(H2600="OK",O2600,0)</f>
        <v/>
      </c>
      <c r="T2600">
        <f>IF(H2600="OK",N2600,"")</f>
        <v/>
      </c>
      <c r="U2600">
        <f>IF(OC_Donor=0,"",IF(INDEX('OneCause_Paste'!$A$2600:$AZ$2600,1,OC_Donor)="","",INDEX('OneCause_Paste'!$A$2600:$AZ$2600,1,OC_Donor)))</f>
        <v/>
      </c>
    </row>
    <row r="2601">
      <c r="A2601" s="62">
        <f>IF(H2601="","",IF(ISNUMBER(N2601),N2601,I2601))</f>
        <v/>
      </c>
      <c r="B2601">
        <f>IF(H2601="","",U2601)</f>
        <v/>
      </c>
      <c r="C2601">
        <f>IF(H2601="","",IF(P2601="",K2601,INDEX('Students'!$A$2:$A$701,P2601)))</f>
        <v/>
      </c>
      <c r="D2601">
        <f>IF(OR(H2601="",P2601=""),"",INDEX('Students'!$B$2:$B$701,P2601))</f>
        <v/>
      </c>
      <c r="E2601">
        <f>IF(OR(H2601="",P2601=""),"",INDEX('Students'!$C$2:$C$701,P2601))</f>
        <v/>
      </c>
      <c r="F2601" s="48">
        <f>IF(H2601="","",IF(ISNUMBER(O2601),O2601,J2601))</f>
        <v/>
      </c>
      <c r="G2601">
        <f>IF(H2601="","","OneCause")</f>
        <v/>
      </c>
      <c r="H2601">
        <f>IF(AND(I2601="",J2601="",K2601=""),"",IF(NOT(ISNUMBER(O2601)),"Bad amount",IF(O2601&lt;0,"Refund (not counted)",IF(O2601=0,"Zero amount",IF(NOT(ISNUMBER(N2601)),"Bad date",IF(P2601="","NAME NOT ON ROSTER",IF(L2601="","OK",IF(MATCH(L2601,$L$2:$L$3001,0)&lt;ROW()-1,"Duplicate (ignored)","OK"))))))))</f>
        <v/>
      </c>
      <c r="I2601">
        <f>IF(OC_Date=0,"",IF(INDEX('OneCause_Paste'!$A$2601:$AZ$2601,1,OC_Date)="","",INDEX('OneCause_Paste'!$A$2601:$AZ$2601,1,OC_Date)))</f>
        <v/>
      </c>
      <c r="J2601">
        <f>IF(OC_Amt=0,"",IF(INDEX('OneCause_Paste'!$A$2601:$AZ$2601,1,OC_Amt)="","",INDEX('OneCause_Paste'!$A$2601:$AZ$2601,1,OC_Amt)))</f>
        <v/>
      </c>
      <c r="K2601">
        <f>IF(OC_Name=0,"",IF(INDEX('OneCause_Paste'!$A$2601:$AZ$2601,1,OC_Name)="","",INDEX('OneCause_Paste'!$A$2601:$AZ$2601,1,OC_Name)))</f>
        <v/>
      </c>
      <c r="L2601">
        <f>IF(OC_Txn=0,"",IF(INDEX('OneCause_Paste'!$A$2601:$AZ$2601,1,OC_Txn)="","",INDEX('OneCause_Paste'!$A$2601:$AZ$2601,1,OC_Txn)))</f>
        <v/>
      </c>
      <c r="M2601">
        <f>IF(OC_Pay=0,"",IF(INDEX('OneCause_Paste'!$A$2601:$AZ$2601,1,OC_Pay)="","",INDEX('OneCause_Paste'!$A$2601:$AZ$2601,1,OC_Pay)))</f>
        <v/>
      </c>
      <c r="N2601">
        <f>IF(I2601="","",IF(ISNUMBER(I2601),INT(I2601),IFERROR(INT(DATEVALUE(I2601)),IFERROR(INT(VALUE(I2601)),"bad"))))</f>
        <v/>
      </c>
      <c r="O2601">
        <f>IF(J2601="","",IF(ISNUMBER(J2601),ROUND(J2601,2),IFERROR(ROUND(VALUE(SUBSTITUTE(SUBSTITUTE(SUBSTITUTE(J2601,"$",""),",","")," ","")),2),"bad")))</f>
        <v/>
      </c>
      <c r="P2601">
        <f>IF(TRIM(K2601)="","",IFERROR(MATCH(LOWER(TRIM(K2601)),'Students'!$AH$2:$AH$701,0),IFERROR(MATCH(LOWER(TRIM(K2601)),'Students'!$AF$2:$AF$701,0),IFERROR(MATCH(LOWER(TRIM(K2601)),'Students'!$AG$2:$AG$701,0),""))))</f>
        <v/>
      </c>
      <c r="R2601">
        <f>IF(P2601="","",INDEX('Students'!$AD$2:$AD$701,P2601))</f>
        <v/>
      </c>
      <c r="S2601">
        <f>IF(H2601="OK",O2601,0)</f>
        <v/>
      </c>
      <c r="T2601">
        <f>IF(H2601="OK",N2601,"")</f>
        <v/>
      </c>
      <c r="U2601">
        <f>IF(OC_Donor=0,"",IF(INDEX('OneCause_Paste'!$A$2601:$AZ$2601,1,OC_Donor)="","",INDEX('OneCause_Paste'!$A$2601:$AZ$2601,1,OC_Donor)))</f>
        <v/>
      </c>
    </row>
    <row r="2602">
      <c r="A2602" s="62">
        <f>IF(H2602="","",IF(ISNUMBER(N2602),N2602,I2602))</f>
        <v/>
      </c>
      <c r="B2602">
        <f>IF(H2602="","",U2602)</f>
        <v/>
      </c>
      <c r="C2602">
        <f>IF(H2602="","",IF(P2602="",K2602,INDEX('Students'!$A$2:$A$701,P2602)))</f>
        <v/>
      </c>
      <c r="D2602">
        <f>IF(OR(H2602="",P2602=""),"",INDEX('Students'!$B$2:$B$701,P2602))</f>
        <v/>
      </c>
      <c r="E2602">
        <f>IF(OR(H2602="",P2602=""),"",INDEX('Students'!$C$2:$C$701,P2602))</f>
        <v/>
      </c>
      <c r="F2602" s="48">
        <f>IF(H2602="","",IF(ISNUMBER(O2602),O2602,J2602))</f>
        <v/>
      </c>
      <c r="G2602">
        <f>IF(H2602="","","OneCause")</f>
        <v/>
      </c>
      <c r="H2602">
        <f>IF(AND(I2602="",J2602="",K2602=""),"",IF(NOT(ISNUMBER(O2602)),"Bad amount",IF(O2602&lt;0,"Refund (not counted)",IF(O2602=0,"Zero amount",IF(NOT(ISNUMBER(N2602)),"Bad date",IF(P2602="","NAME NOT ON ROSTER",IF(L2602="","OK",IF(MATCH(L2602,$L$2:$L$3001,0)&lt;ROW()-1,"Duplicate (ignored)","OK"))))))))</f>
        <v/>
      </c>
      <c r="I2602">
        <f>IF(OC_Date=0,"",IF(INDEX('OneCause_Paste'!$A$2602:$AZ$2602,1,OC_Date)="","",INDEX('OneCause_Paste'!$A$2602:$AZ$2602,1,OC_Date)))</f>
        <v/>
      </c>
      <c r="J2602">
        <f>IF(OC_Amt=0,"",IF(INDEX('OneCause_Paste'!$A$2602:$AZ$2602,1,OC_Amt)="","",INDEX('OneCause_Paste'!$A$2602:$AZ$2602,1,OC_Amt)))</f>
        <v/>
      </c>
      <c r="K2602">
        <f>IF(OC_Name=0,"",IF(INDEX('OneCause_Paste'!$A$2602:$AZ$2602,1,OC_Name)="","",INDEX('OneCause_Paste'!$A$2602:$AZ$2602,1,OC_Name)))</f>
        <v/>
      </c>
      <c r="L2602">
        <f>IF(OC_Txn=0,"",IF(INDEX('OneCause_Paste'!$A$2602:$AZ$2602,1,OC_Txn)="","",INDEX('OneCause_Paste'!$A$2602:$AZ$2602,1,OC_Txn)))</f>
        <v/>
      </c>
      <c r="M2602">
        <f>IF(OC_Pay=0,"",IF(INDEX('OneCause_Paste'!$A$2602:$AZ$2602,1,OC_Pay)="","",INDEX('OneCause_Paste'!$A$2602:$AZ$2602,1,OC_Pay)))</f>
        <v/>
      </c>
      <c r="N2602">
        <f>IF(I2602="","",IF(ISNUMBER(I2602),INT(I2602),IFERROR(INT(DATEVALUE(I2602)),IFERROR(INT(VALUE(I2602)),"bad"))))</f>
        <v/>
      </c>
      <c r="O2602">
        <f>IF(J2602="","",IF(ISNUMBER(J2602),ROUND(J2602,2),IFERROR(ROUND(VALUE(SUBSTITUTE(SUBSTITUTE(SUBSTITUTE(J2602,"$",""),",","")," ","")),2),"bad")))</f>
        <v/>
      </c>
      <c r="P2602">
        <f>IF(TRIM(K2602)="","",IFERROR(MATCH(LOWER(TRIM(K2602)),'Students'!$AH$2:$AH$701,0),IFERROR(MATCH(LOWER(TRIM(K2602)),'Students'!$AF$2:$AF$701,0),IFERROR(MATCH(LOWER(TRIM(K2602)),'Students'!$AG$2:$AG$701,0),""))))</f>
        <v/>
      </c>
      <c r="R2602">
        <f>IF(P2602="","",INDEX('Students'!$AD$2:$AD$701,P2602))</f>
        <v/>
      </c>
      <c r="S2602">
        <f>IF(H2602="OK",O2602,0)</f>
        <v/>
      </c>
      <c r="T2602">
        <f>IF(H2602="OK",N2602,"")</f>
        <v/>
      </c>
      <c r="U2602">
        <f>IF(OC_Donor=0,"",IF(INDEX('OneCause_Paste'!$A$2602:$AZ$2602,1,OC_Donor)="","",INDEX('OneCause_Paste'!$A$2602:$AZ$2602,1,OC_Donor)))</f>
        <v/>
      </c>
    </row>
    <row r="2603">
      <c r="A2603" s="62">
        <f>IF(H2603="","",IF(ISNUMBER(N2603),N2603,I2603))</f>
        <v/>
      </c>
      <c r="B2603">
        <f>IF(H2603="","",U2603)</f>
        <v/>
      </c>
      <c r="C2603">
        <f>IF(H2603="","",IF(P2603="",K2603,INDEX('Students'!$A$2:$A$701,P2603)))</f>
        <v/>
      </c>
      <c r="D2603">
        <f>IF(OR(H2603="",P2603=""),"",INDEX('Students'!$B$2:$B$701,P2603))</f>
        <v/>
      </c>
      <c r="E2603">
        <f>IF(OR(H2603="",P2603=""),"",INDEX('Students'!$C$2:$C$701,P2603))</f>
        <v/>
      </c>
      <c r="F2603" s="48">
        <f>IF(H2603="","",IF(ISNUMBER(O2603),O2603,J2603))</f>
        <v/>
      </c>
      <c r="G2603">
        <f>IF(H2603="","","OneCause")</f>
        <v/>
      </c>
      <c r="H2603">
        <f>IF(AND(I2603="",J2603="",K2603=""),"",IF(NOT(ISNUMBER(O2603)),"Bad amount",IF(O2603&lt;0,"Refund (not counted)",IF(O2603=0,"Zero amount",IF(NOT(ISNUMBER(N2603)),"Bad date",IF(P2603="","NAME NOT ON ROSTER",IF(L2603="","OK",IF(MATCH(L2603,$L$2:$L$3001,0)&lt;ROW()-1,"Duplicate (ignored)","OK"))))))))</f>
        <v/>
      </c>
      <c r="I2603">
        <f>IF(OC_Date=0,"",IF(INDEX('OneCause_Paste'!$A$2603:$AZ$2603,1,OC_Date)="","",INDEX('OneCause_Paste'!$A$2603:$AZ$2603,1,OC_Date)))</f>
        <v/>
      </c>
      <c r="J2603">
        <f>IF(OC_Amt=0,"",IF(INDEX('OneCause_Paste'!$A$2603:$AZ$2603,1,OC_Amt)="","",INDEX('OneCause_Paste'!$A$2603:$AZ$2603,1,OC_Amt)))</f>
        <v/>
      </c>
      <c r="K2603">
        <f>IF(OC_Name=0,"",IF(INDEX('OneCause_Paste'!$A$2603:$AZ$2603,1,OC_Name)="","",INDEX('OneCause_Paste'!$A$2603:$AZ$2603,1,OC_Name)))</f>
        <v/>
      </c>
      <c r="L2603">
        <f>IF(OC_Txn=0,"",IF(INDEX('OneCause_Paste'!$A$2603:$AZ$2603,1,OC_Txn)="","",INDEX('OneCause_Paste'!$A$2603:$AZ$2603,1,OC_Txn)))</f>
        <v/>
      </c>
      <c r="M2603">
        <f>IF(OC_Pay=0,"",IF(INDEX('OneCause_Paste'!$A$2603:$AZ$2603,1,OC_Pay)="","",INDEX('OneCause_Paste'!$A$2603:$AZ$2603,1,OC_Pay)))</f>
        <v/>
      </c>
      <c r="N2603">
        <f>IF(I2603="","",IF(ISNUMBER(I2603),INT(I2603),IFERROR(INT(DATEVALUE(I2603)),IFERROR(INT(VALUE(I2603)),"bad"))))</f>
        <v/>
      </c>
      <c r="O2603">
        <f>IF(J2603="","",IF(ISNUMBER(J2603),ROUND(J2603,2),IFERROR(ROUND(VALUE(SUBSTITUTE(SUBSTITUTE(SUBSTITUTE(J2603,"$",""),",","")," ","")),2),"bad")))</f>
        <v/>
      </c>
      <c r="P2603">
        <f>IF(TRIM(K2603)="","",IFERROR(MATCH(LOWER(TRIM(K2603)),'Students'!$AH$2:$AH$701,0),IFERROR(MATCH(LOWER(TRIM(K2603)),'Students'!$AF$2:$AF$701,0),IFERROR(MATCH(LOWER(TRIM(K2603)),'Students'!$AG$2:$AG$701,0),""))))</f>
        <v/>
      </c>
      <c r="R2603">
        <f>IF(P2603="","",INDEX('Students'!$AD$2:$AD$701,P2603))</f>
        <v/>
      </c>
      <c r="S2603">
        <f>IF(H2603="OK",O2603,0)</f>
        <v/>
      </c>
      <c r="T2603">
        <f>IF(H2603="OK",N2603,"")</f>
        <v/>
      </c>
      <c r="U2603">
        <f>IF(OC_Donor=0,"",IF(INDEX('OneCause_Paste'!$A$2603:$AZ$2603,1,OC_Donor)="","",INDEX('OneCause_Paste'!$A$2603:$AZ$2603,1,OC_Donor)))</f>
        <v/>
      </c>
    </row>
    <row r="2604">
      <c r="A2604" s="62">
        <f>IF(H2604="","",IF(ISNUMBER(N2604),N2604,I2604))</f>
        <v/>
      </c>
      <c r="B2604">
        <f>IF(H2604="","",U2604)</f>
        <v/>
      </c>
      <c r="C2604">
        <f>IF(H2604="","",IF(P2604="",K2604,INDEX('Students'!$A$2:$A$701,P2604)))</f>
        <v/>
      </c>
      <c r="D2604">
        <f>IF(OR(H2604="",P2604=""),"",INDEX('Students'!$B$2:$B$701,P2604))</f>
        <v/>
      </c>
      <c r="E2604">
        <f>IF(OR(H2604="",P2604=""),"",INDEX('Students'!$C$2:$C$701,P2604))</f>
        <v/>
      </c>
      <c r="F2604" s="48">
        <f>IF(H2604="","",IF(ISNUMBER(O2604),O2604,J2604))</f>
        <v/>
      </c>
      <c r="G2604">
        <f>IF(H2604="","","OneCause")</f>
        <v/>
      </c>
      <c r="H2604">
        <f>IF(AND(I2604="",J2604="",K2604=""),"",IF(NOT(ISNUMBER(O2604)),"Bad amount",IF(O2604&lt;0,"Refund (not counted)",IF(O2604=0,"Zero amount",IF(NOT(ISNUMBER(N2604)),"Bad date",IF(P2604="","NAME NOT ON ROSTER",IF(L2604="","OK",IF(MATCH(L2604,$L$2:$L$3001,0)&lt;ROW()-1,"Duplicate (ignored)","OK"))))))))</f>
        <v/>
      </c>
      <c r="I2604">
        <f>IF(OC_Date=0,"",IF(INDEX('OneCause_Paste'!$A$2604:$AZ$2604,1,OC_Date)="","",INDEX('OneCause_Paste'!$A$2604:$AZ$2604,1,OC_Date)))</f>
        <v/>
      </c>
      <c r="J2604">
        <f>IF(OC_Amt=0,"",IF(INDEX('OneCause_Paste'!$A$2604:$AZ$2604,1,OC_Amt)="","",INDEX('OneCause_Paste'!$A$2604:$AZ$2604,1,OC_Amt)))</f>
        <v/>
      </c>
      <c r="K2604">
        <f>IF(OC_Name=0,"",IF(INDEX('OneCause_Paste'!$A$2604:$AZ$2604,1,OC_Name)="","",INDEX('OneCause_Paste'!$A$2604:$AZ$2604,1,OC_Name)))</f>
        <v/>
      </c>
      <c r="L2604">
        <f>IF(OC_Txn=0,"",IF(INDEX('OneCause_Paste'!$A$2604:$AZ$2604,1,OC_Txn)="","",INDEX('OneCause_Paste'!$A$2604:$AZ$2604,1,OC_Txn)))</f>
        <v/>
      </c>
      <c r="M2604">
        <f>IF(OC_Pay=0,"",IF(INDEX('OneCause_Paste'!$A$2604:$AZ$2604,1,OC_Pay)="","",INDEX('OneCause_Paste'!$A$2604:$AZ$2604,1,OC_Pay)))</f>
        <v/>
      </c>
      <c r="N2604">
        <f>IF(I2604="","",IF(ISNUMBER(I2604),INT(I2604),IFERROR(INT(DATEVALUE(I2604)),IFERROR(INT(VALUE(I2604)),"bad"))))</f>
        <v/>
      </c>
      <c r="O2604">
        <f>IF(J2604="","",IF(ISNUMBER(J2604),ROUND(J2604,2),IFERROR(ROUND(VALUE(SUBSTITUTE(SUBSTITUTE(SUBSTITUTE(J2604,"$",""),",","")," ","")),2),"bad")))</f>
        <v/>
      </c>
      <c r="P2604">
        <f>IF(TRIM(K2604)="","",IFERROR(MATCH(LOWER(TRIM(K2604)),'Students'!$AH$2:$AH$701,0),IFERROR(MATCH(LOWER(TRIM(K2604)),'Students'!$AF$2:$AF$701,0),IFERROR(MATCH(LOWER(TRIM(K2604)),'Students'!$AG$2:$AG$701,0),""))))</f>
        <v/>
      </c>
      <c r="R2604">
        <f>IF(P2604="","",INDEX('Students'!$AD$2:$AD$701,P2604))</f>
        <v/>
      </c>
      <c r="S2604">
        <f>IF(H2604="OK",O2604,0)</f>
        <v/>
      </c>
      <c r="T2604">
        <f>IF(H2604="OK",N2604,"")</f>
        <v/>
      </c>
      <c r="U2604">
        <f>IF(OC_Donor=0,"",IF(INDEX('OneCause_Paste'!$A$2604:$AZ$2604,1,OC_Donor)="","",INDEX('OneCause_Paste'!$A$2604:$AZ$2604,1,OC_Donor)))</f>
        <v/>
      </c>
    </row>
    <row r="2605">
      <c r="A2605" s="62">
        <f>IF(H2605="","",IF(ISNUMBER(N2605),N2605,I2605))</f>
        <v/>
      </c>
      <c r="B2605">
        <f>IF(H2605="","",U2605)</f>
        <v/>
      </c>
      <c r="C2605">
        <f>IF(H2605="","",IF(P2605="",K2605,INDEX('Students'!$A$2:$A$701,P2605)))</f>
        <v/>
      </c>
      <c r="D2605">
        <f>IF(OR(H2605="",P2605=""),"",INDEX('Students'!$B$2:$B$701,P2605))</f>
        <v/>
      </c>
      <c r="E2605">
        <f>IF(OR(H2605="",P2605=""),"",INDEX('Students'!$C$2:$C$701,P2605))</f>
        <v/>
      </c>
      <c r="F2605" s="48">
        <f>IF(H2605="","",IF(ISNUMBER(O2605),O2605,J2605))</f>
        <v/>
      </c>
      <c r="G2605">
        <f>IF(H2605="","","OneCause")</f>
        <v/>
      </c>
      <c r="H2605">
        <f>IF(AND(I2605="",J2605="",K2605=""),"",IF(NOT(ISNUMBER(O2605)),"Bad amount",IF(O2605&lt;0,"Refund (not counted)",IF(O2605=0,"Zero amount",IF(NOT(ISNUMBER(N2605)),"Bad date",IF(P2605="","NAME NOT ON ROSTER",IF(L2605="","OK",IF(MATCH(L2605,$L$2:$L$3001,0)&lt;ROW()-1,"Duplicate (ignored)","OK"))))))))</f>
        <v/>
      </c>
      <c r="I2605">
        <f>IF(OC_Date=0,"",IF(INDEX('OneCause_Paste'!$A$2605:$AZ$2605,1,OC_Date)="","",INDEX('OneCause_Paste'!$A$2605:$AZ$2605,1,OC_Date)))</f>
        <v/>
      </c>
      <c r="J2605">
        <f>IF(OC_Amt=0,"",IF(INDEX('OneCause_Paste'!$A$2605:$AZ$2605,1,OC_Amt)="","",INDEX('OneCause_Paste'!$A$2605:$AZ$2605,1,OC_Amt)))</f>
        <v/>
      </c>
      <c r="K2605">
        <f>IF(OC_Name=0,"",IF(INDEX('OneCause_Paste'!$A$2605:$AZ$2605,1,OC_Name)="","",INDEX('OneCause_Paste'!$A$2605:$AZ$2605,1,OC_Name)))</f>
        <v/>
      </c>
      <c r="L2605">
        <f>IF(OC_Txn=0,"",IF(INDEX('OneCause_Paste'!$A$2605:$AZ$2605,1,OC_Txn)="","",INDEX('OneCause_Paste'!$A$2605:$AZ$2605,1,OC_Txn)))</f>
        <v/>
      </c>
      <c r="M2605">
        <f>IF(OC_Pay=0,"",IF(INDEX('OneCause_Paste'!$A$2605:$AZ$2605,1,OC_Pay)="","",INDEX('OneCause_Paste'!$A$2605:$AZ$2605,1,OC_Pay)))</f>
        <v/>
      </c>
      <c r="N2605">
        <f>IF(I2605="","",IF(ISNUMBER(I2605),INT(I2605),IFERROR(INT(DATEVALUE(I2605)),IFERROR(INT(VALUE(I2605)),"bad"))))</f>
        <v/>
      </c>
      <c r="O2605">
        <f>IF(J2605="","",IF(ISNUMBER(J2605),ROUND(J2605,2),IFERROR(ROUND(VALUE(SUBSTITUTE(SUBSTITUTE(SUBSTITUTE(J2605,"$",""),",","")," ","")),2),"bad")))</f>
        <v/>
      </c>
      <c r="P2605">
        <f>IF(TRIM(K2605)="","",IFERROR(MATCH(LOWER(TRIM(K2605)),'Students'!$AH$2:$AH$701,0),IFERROR(MATCH(LOWER(TRIM(K2605)),'Students'!$AF$2:$AF$701,0),IFERROR(MATCH(LOWER(TRIM(K2605)),'Students'!$AG$2:$AG$701,0),""))))</f>
        <v/>
      </c>
      <c r="R2605">
        <f>IF(P2605="","",INDEX('Students'!$AD$2:$AD$701,P2605))</f>
        <v/>
      </c>
      <c r="S2605">
        <f>IF(H2605="OK",O2605,0)</f>
        <v/>
      </c>
      <c r="T2605">
        <f>IF(H2605="OK",N2605,"")</f>
        <v/>
      </c>
      <c r="U2605">
        <f>IF(OC_Donor=0,"",IF(INDEX('OneCause_Paste'!$A$2605:$AZ$2605,1,OC_Donor)="","",INDEX('OneCause_Paste'!$A$2605:$AZ$2605,1,OC_Donor)))</f>
        <v/>
      </c>
    </row>
    <row r="2606">
      <c r="A2606" s="62">
        <f>IF(H2606="","",IF(ISNUMBER(N2606),N2606,I2606))</f>
        <v/>
      </c>
      <c r="B2606">
        <f>IF(H2606="","",U2606)</f>
        <v/>
      </c>
      <c r="C2606">
        <f>IF(H2606="","",IF(P2606="",K2606,INDEX('Students'!$A$2:$A$701,P2606)))</f>
        <v/>
      </c>
      <c r="D2606">
        <f>IF(OR(H2606="",P2606=""),"",INDEX('Students'!$B$2:$B$701,P2606))</f>
        <v/>
      </c>
      <c r="E2606">
        <f>IF(OR(H2606="",P2606=""),"",INDEX('Students'!$C$2:$C$701,P2606))</f>
        <v/>
      </c>
      <c r="F2606" s="48">
        <f>IF(H2606="","",IF(ISNUMBER(O2606),O2606,J2606))</f>
        <v/>
      </c>
      <c r="G2606">
        <f>IF(H2606="","","OneCause")</f>
        <v/>
      </c>
      <c r="H2606">
        <f>IF(AND(I2606="",J2606="",K2606=""),"",IF(NOT(ISNUMBER(O2606)),"Bad amount",IF(O2606&lt;0,"Refund (not counted)",IF(O2606=0,"Zero amount",IF(NOT(ISNUMBER(N2606)),"Bad date",IF(P2606="","NAME NOT ON ROSTER",IF(L2606="","OK",IF(MATCH(L2606,$L$2:$L$3001,0)&lt;ROW()-1,"Duplicate (ignored)","OK"))))))))</f>
        <v/>
      </c>
      <c r="I2606">
        <f>IF(OC_Date=0,"",IF(INDEX('OneCause_Paste'!$A$2606:$AZ$2606,1,OC_Date)="","",INDEX('OneCause_Paste'!$A$2606:$AZ$2606,1,OC_Date)))</f>
        <v/>
      </c>
      <c r="J2606">
        <f>IF(OC_Amt=0,"",IF(INDEX('OneCause_Paste'!$A$2606:$AZ$2606,1,OC_Amt)="","",INDEX('OneCause_Paste'!$A$2606:$AZ$2606,1,OC_Amt)))</f>
        <v/>
      </c>
      <c r="K2606">
        <f>IF(OC_Name=0,"",IF(INDEX('OneCause_Paste'!$A$2606:$AZ$2606,1,OC_Name)="","",INDEX('OneCause_Paste'!$A$2606:$AZ$2606,1,OC_Name)))</f>
        <v/>
      </c>
      <c r="L2606">
        <f>IF(OC_Txn=0,"",IF(INDEX('OneCause_Paste'!$A$2606:$AZ$2606,1,OC_Txn)="","",INDEX('OneCause_Paste'!$A$2606:$AZ$2606,1,OC_Txn)))</f>
        <v/>
      </c>
      <c r="M2606">
        <f>IF(OC_Pay=0,"",IF(INDEX('OneCause_Paste'!$A$2606:$AZ$2606,1,OC_Pay)="","",INDEX('OneCause_Paste'!$A$2606:$AZ$2606,1,OC_Pay)))</f>
        <v/>
      </c>
      <c r="N2606">
        <f>IF(I2606="","",IF(ISNUMBER(I2606),INT(I2606),IFERROR(INT(DATEVALUE(I2606)),IFERROR(INT(VALUE(I2606)),"bad"))))</f>
        <v/>
      </c>
      <c r="O2606">
        <f>IF(J2606="","",IF(ISNUMBER(J2606),ROUND(J2606,2),IFERROR(ROUND(VALUE(SUBSTITUTE(SUBSTITUTE(SUBSTITUTE(J2606,"$",""),",","")," ","")),2),"bad")))</f>
        <v/>
      </c>
      <c r="P2606">
        <f>IF(TRIM(K2606)="","",IFERROR(MATCH(LOWER(TRIM(K2606)),'Students'!$AH$2:$AH$701,0),IFERROR(MATCH(LOWER(TRIM(K2606)),'Students'!$AF$2:$AF$701,0),IFERROR(MATCH(LOWER(TRIM(K2606)),'Students'!$AG$2:$AG$701,0),""))))</f>
        <v/>
      </c>
      <c r="R2606">
        <f>IF(P2606="","",INDEX('Students'!$AD$2:$AD$701,P2606))</f>
        <v/>
      </c>
      <c r="S2606">
        <f>IF(H2606="OK",O2606,0)</f>
        <v/>
      </c>
      <c r="T2606">
        <f>IF(H2606="OK",N2606,"")</f>
        <v/>
      </c>
      <c r="U2606">
        <f>IF(OC_Donor=0,"",IF(INDEX('OneCause_Paste'!$A$2606:$AZ$2606,1,OC_Donor)="","",INDEX('OneCause_Paste'!$A$2606:$AZ$2606,1,OC_Donor)))</f>
        <v/>
      </c>
    </row>
    <row r="2607">
      <c r="A2607" s="62">
        <f>IF(H2607="","",IF(ISNUMBER(N2607),N2607,I2607))</f>
        <v/>
      </c>
      <c r="B2607">
        <f>IF(H2607="","",U2607)</f>
        <v/>
      </c>
      <c r="C2607">
        <f>IF(H2607="","",IF(P2607="",K2607,INDEX('Students'!$A$2:$A$701,P2607)))</f>
        <v/>
      </c>
      <c r="D2607">
        <f>IF(OR(H2607="",P2607=""),"",INDEX('Students'!$B$2:$B$701,P2607))</f>
        <v/>
      </c>
      <c r="E2607">
        <f>IF(OR(H2607="",P2607=""),"",INDEX('Students'!$C$2:$C$701,P2607))</f>
        <v/>
      </c>
      <c r="F2607" s="48">
        <f>IF(H2607="","",IF(ISNUMBER(O2607),O2607,J2607))</f>
        <v/>
      </c>
      <c r="G2607">
        <f>IF(H2607="","","OneCause")</f>
        <v/>
      </c>
      <c r="H2607">
        <f>IF(AND(I2607="",J2607="",K2607=""),"",IF(NOT(ISNUMBER(O2607)),"Bad amount",IF(O2607&lt;0,"Refund (not counted)",IF(O2607=0,"Zero amount",IF(NOT(ISNUMBER(N2607)),"Bad date",IF(P2607="","NAME NOT ON ROSTER",IF(L2607="","OK",IF(MATCH(L2607,$L$2:$L$3001,0)&lt;ROW()-1,"Duplicate (ignored)","OK"))))))))</f>
        <v/>
      </c>
      <c r="I2607">
        <f>IF(OC_Date=0,"",IF(INDEX('OneCause_Paste'!$A$2607:$AZ$2607,1,OC_Date)="","",INDEX('OneCause_Paste'!$A$2607:$AZ$2607,1,OC_Date)))</f>
        <v/>
      </c>
      <c r="J2607">
        <f>IF(OC_Amt=0,"",IF(INDEX('OneCause_Paste'!$A$2607:$AZ$2607,1,OC_Amt)="","",INDEX('OneCause_Paste'!$A$2607:$AZ$2607,1,OC_Amt)))</f>
        <v/>
      </c>
      <c r="K2607">
        <f>IF(OC_Name=0,"",IF(INDEX('OneCause_Paste'!$A$2607:$AZ$2607,1,OC_Name)="","",INDEX('OneCause_Paste'!$A$2607:$AZ$2607,1,OC_Name)))</f>
        <v/>
      </c>
      <c r="L2607">
        <f>IF(OC_Txn=0,"",IF(INDEX('OneCause_Paste'!$A$2607:$AZ$2607,1,OC_Txn)="","",INDEX('OneCause_Paste'!$A$2607:$AZ$2607,1,OC_Txn)))</f>
        <v/>
      </c>
      <c r="M2607">
        <f>IF(OC_Pay=0,"",IF(INDEX('OneCause_Paste'!$A$2607:$AZ$2607,1,OC_Pay)="","",INDEX('OneCause_Paste'!$A$2607:$AZ$2607,1,OC_Pay)))</f>
        <v/>
      </c>
      <c r="N2607">
        <f>IF(I2607="","",IF(ISNUMBER(I2607),INT(I2607),IFERROR(INT(DATEVALUE(I2607)),IFERROR(INT(VALUE(I2607)),"bad"))))</f>
        <v/>
      </c>
      <c r="O2607">
        <f>IF(J2607="","",IF(ISNUMBER(J2607),ROUND(J2607,2),IFERROR(ROUND(VALUE(SUBSTITUTE(SUBSTITUTE(SUBSTITUTE(J2607,"$",""),",","")," ","")),2),"bad")))</f>
        <v/>
      </c>
      <c r="P2607">
        <f>IF(TRIM(K2607)="","",IFERROR(MATCH(LOWER(TRIM(K2607)),'Students'!$AH$2:$AH$701,0),IFERROR(MATCH(LOWER(TRIM(K2607)),'Students'!$AF$2:$AF$701,0),IFERROR(MATCH(LOWER(TRIM(K2607)),'Students'!$AG$2:$AG$701,0),""))))</f>
        <v/>
      </c>
      <c r="R2607">
        <f>IF(P2607="","",INDEX('Students'!$AD$2:$AD$701,P2607))</f>
        <v/>
      </c>
      <c r="S2607">
        <f>IF(H2607="OK",O2607,0)</f>
        <v/>
      </c>
      <c r="T2607">
        <f>IF(H2607="OK",N2607,"")</f>
        <v/>
      </c>
      <c r="U2607">
        <f>IF(OC_Donor=0,"",IF(INDEX('OneCause_Paste'!$A$2607:$AZ$2607,1,OC_Donor)="","",INDEX('OneCause_Paste'!$A$2607:$AZ$2607,1,OC_Donor)))</f>
        <v/>
      </c>
    </row>
    <row r="2608">
      <c r="A2608" s="62">
        <f>IF(H2608="","",IF(ISNUMBER(N2608),N2608,I2608))</f>
        <v/>
      </c>
      <c r="B2608">
        <f>IF(H2608="","",U2608)</f>
        <v/>
      </c>
      <c r="C2608">
        <f>IF(H2608="","",IF(P2608="",K2608,INDEX('Students'!$A$2:$A$701,P2608)))</f>
        <v/>
      </c>
      <c r="D2608">
        <f>IF(OR(H2608="",P2608=""),"",INDEX('Students'!$B$2:$B$701,P2608))</f>
        <v/>
      </c>
      <c r="E2608">
        <f>IF(OR(H2608="",P2608=""),"",INDEX('Students'!$C$2:$C$701,P2608))</f>
        <v/>
      </c>
      <c r="F2608" s="48">
        <f>IF(H2608="","",IF(ISNUMBER(O2608),O2608,J2608))</f>
        <v/>
      </c>
      <c r="G2608">
        <f>IF(H2608="","","OneCause")</f>
        <v/>
      </c>
      <c r="H2608">
        <f>IF(AND(I2608="",J2608="",K2608=""),"",IF(NOT(ISNUMBER(O2608)),"Bad amount",IF(O2608&lt;0,"Refund (not counted)",IF(O2608=0,"Zero amount",IF(NOT(ISNUMBER(N2608)),"Bad date",IF(P2608="","NAME NOT ON ROSTER",IF(L2608="","OK",IF(MATCH(L2608,$L$2:$L$3001,0)&lt;ROW()-1,"Duplicate (ignored)","OK"))))))))</f>
        <v/>
      </c>
      <c r="I2608">
        <f>IF(OC_Date=0,"",IF(INDEX('OneCause_Paste'!$A$2608:$AZ$2608,1,OC_Date)="","",INDEX('OneCause_Paste'!$A$2608:$AZ$2608,1,OC_Date)))</f>
        <v/>
      </c>
      <c r="J2608">
        <f>IF(OC_Amt=0,"",IF(INDEX('OneCause_Paste'!$A$2608:$AZ$2608,1,OC_Amt)="","",INDEX('OneCause_Paste'!$A$2608:$AZ$2608,1,OC_Amt)))</f>
        <v/>
      </c>
      <c r="K2608">
        <f>IF(OC_Name=0,"",IF(INDEX('OneCause_Paste'!$A$2608:$AZ$2608,1,OC_Name)="","",INDEX('OneCause_Paste'!$A$2608:$AZ$2608,1,OC_Name)))</f>
        <v/>
      </c>
      <c r="L2608">
        <f>IF(OC_Txn=0,"",IF(INDEX('OneCause_Paste'!$A$2608:$AZ$2608,1,OC_Txn)="","",INDEX('OneCause_Paste'!$A$2608:$AZ$2608,1,OC_Txn)))</f>
        <v/>
      </c>
      <c r="M2608">
        <f>IF(OC_Pay=0,"",IF(INDEX('OneCause_Paste'!$A$2608:$AZ$2608,1,OC_Pay)="","",INDEX('OneCause_Paste'!$A$2608:$AZ$2608,1,OC_Pay)))</f>
        <v/>
      </c>
      <c r="N2608">
        <f>IF(I2608="","",IF(ISNUMBER(I2608),INT(I2608),IFERROR(INT(DATEVALUE(I2608)),IFERROR(INT(VALUE(I2608)),"bad"))))</f>
        <v/>
      </c>
      <c r="O2608">
        <f>IF(J2608="","",IF(ISNUMBER(J2608),ROUND(J2608,2),IFERROR(ROUND(VALUE(SUBSTITUTE(SUBSTITUTE(SUBSTITUTE(J2608,"$",""),",","")," ","")),2),"bad")))</f>
        <v/>
      </c>
      <c r="P2608">
        <f>IF(TRIM(K2608)="","",IFERROR(MATCH(LOWER(TRIM(K2608)),'Students'!$AH$2:$AH$701,0),IFERROR(MATCH(LOWER(TRIM(K2608)),'Students'!$AF$2:$AF$701,0),IFERROR(MATCH(LOWER(TRIM(K2608)),'Students'!$AG$2:$AG$701,0),""))))</f>
        <v/>
      </c>
      <c r="R2608">
        <f>IF(P2608="","",INDEX('Students'!$AD$2:$AD$701,P2608))</f>
        <v/>
      </c>
      <c r="S2608">
        <f>IF(H2608="OK",O2608,0)</f>
        <v/>
      </c>
      <c r="T2608">
        <f>IF(H2608="OK",N2608,"")</f>
        <v/>
      </c>
      <c r="U2608">
        <f>IF(OC_Donor=0,"",IF(INDEX('OneCause_Paste'!$A$2608:$AZ$2608,1,OC_Donor)="","",INDEX('OneCause_Paste'!$A$2608:$AZ$2608,1,OC_Donor)))</f>
        <v/>
      </c>
    </row>
    <row r="2609">
      <c r="A2609" s="62">
        <f>IF(H2609="","",IF(ISNUMBER(N2609),N2609,I2609))</f>
        <v/>
      </c>
      <c r="B2609">
        <f>IF(H2609="","",U2609)</f>
        <v/>
      </c>
      <c r="C2609">
        <f>IF(H2609="","",IF(P2609="",K2609,INDEX('Students'!$A$2:$A$701,P2609)))</f>
        <v/>
      </c>
      <c r="D2609">
        <f>IF(OR(H2609="",P2609=""),"",INDEX('Students'!$B$2:$B$701,P2609))</f>
        <v/>
      </c>
      <c r="E2609">
        <f>IF(OR(H2609="",P2609=""),"",INDEX('Students'!$C$2:$C$701,P2609))</f>
        <v/>
      </c>
      <c r="F2609" s="48">
        <f>IF(H2609="","",IF(ISNUMBER(O2609),O2609,J2609))</f>
        <v/>
      </c>
      <c r="G2609">
        <f>IF(H2609="","","OneCause")</f>
        <v/>
      </c>
      <c r="H2609">
        <f>IF(AND(I2609="",J2609="",K2609=""),"",IF(NOT(ISNUMBER(O2609)),"Bad amount",IF(O2609&lt;0,"Refund (not counted)",IF(O2609=0,"Zero amount",IF(NOT(ISNUMBER(N2609)),"Bad date",IF(P2609="","NAME NOT ON ROSTER",IF(L2609="","OK",IF(MATCH(L2609,$L$2:$L$3001,0)&lt;ROW()-1,"Duplicate (ignored)","OK"))))))))</f>
        <v/>
      </c>
      <c r="I2609">
        <f>IF(OC_Date=0,"",IF(INDEX('OneCause_Paste'!$A$2609:$AZ$2609,1,OC_Date)="","",INDEX('OneCause_Paste'!$A$2609:$AZ$2609,1,OC_Date)))</f>
        <v/>
      </c>
      <c r="J2609">
        <f>IF(OC_Amt=0,"",IF(INDEX('OneCause_Paste'!$A$2609:$AZ$2609,1,OC_Amt)="","",INDEX('OneCause_Paste'!$A$2609:$AZ$2609,1,OC_Amt)))</f>
        <v/>
      </c>
      <c r="K2609">
        <f>IF(OC_Name=0,"",IF(INDEX('OneCause_Paste'!$A$2609:$AZ$2609,1,OC_Name)="","",INDEX('OneCause_Paste'!$A$2609:$AZ$2609,1,OC_Name)))</f>
        <v/>
      </c>
      <c r="L2609">
        <f>IF(OC_Txn=0,"",IF(INDEX('OneCause_Paste'!$A$2609:$AZ$2609,1,OC_Txn)="","",INDEX('OneCause_Paste'!$A$2609:$AZ$2609,1,OC_Txn)))</f>
        <v/>
      </c>
      <c r="M2609">
        <f>IF(OC_Pay=0,"",IF(INDEX('OneCause_Paste'!$A$2609:$AZ$2609,1,OC_Pay)="","",INDEX('OneCause_Paste'!$A$2609:$AZ$2609,1,OC_Pay)))</f>
        <v/>
      </c>
      <c r="N2609">
        <f>IF(I2609="","",IF(ISNUMBER(I2609),INT(I2609),IFERROR(INT(DATEVALUE(I2609)),IFERROR(INT(VALUE(I2609)),"bad"))))</f>
        <v/>
      </c>
      <c r="O2609">
        <f>IF(J2609="","",IF(ISNUMBER(J2609),ROUND(J2609,2),IFERROR(ROUND(VALUE(SUBSTITUTE(SUBSTITUTE(SUBSTITUTE(J2609,"$",""),",","")," ","")),2),"bad")))</f>
        <v/>
      </c>
      <c r="P2609">
        <f>IF(TRIM(K2609)="","",IFERROR(MATCH(LOWER(TRIM(K2609)),'Students'!$AH$2:$AH$701,0),IFERROR(MATCH(LOWER(TRIM(K2609)),'Students'!$AF$2:$AF$701,0),IFERROR(MATCH(LOWER(TRIM(K2609)),'Students'!$AG$2:$AG$701,0),""))))</f>
        <v/>
      </c>
      <c r="R2609">
        <f>IF(P2609="","",INDEX('Students'!$AD$2:$AD$701,P2609))</f>
        <v/>
      </c>
      <c r="S2609">
        <f>IF(H2609="OK",O2609,0)</f>
        <v/>
      </c>
      <c r="T2609">
        <f>IF(H2609="OK",N2609,"")</f>
        <v/>
      </c>
      <c r="U2609">
        <f>IF(OC_Donor=0,"",IF(INDEX('OneCause_Paste'!$A$2609:$AZ$2609,1,OC_Donor)="","",INDEX('OneCause_Paste'!$A$2609:$AZ$2609,1,OC_Donor)))</f>
        <v/>
      </c>
    </row>
    <row r="2610">
      <c r="A2610" s="62">
        <f>IF(H2610="","",IF(ISNUMBER(N2610),N2610,I2610))</f>
        <v/>
      </c>
      <c r="B2610">
        <f>IF(H2610="","",U2610)</f>
        <v/>
      </c>
      <c r="C2610">
        <f>IF(H2610="","",IF(P2610="",K2610,INDEX('Students'!$A$2:$A$701,P2610)))</f>
        <v/>
      </c>
      <c r="D2610">
        <f>IF(OR(H2610="",P2610=""),"",INDEX('Students'!$B$2:$B$701,P2610))</f>
        <v/>
      </c>
      <c r="E2610">
        <f>IF(OR(H2610="",P2610=""),"",INDEX('Students'!$C$2:$C$701,P2610))</f>
        <v/>
      </c>
      <c r="F2610" s="48">
        <f>IF(H2610="","",IF(ISNUMBER(O2610),O2610,J2610))</f>
        <v/>
      </c>
      <c r="G2610">
        <f>IF(H2610="","","OneCause")</f>
        <v/>
      </c>
      <c r="H2610">
        <f>IF(AND(I2610="",J2610="",K2610=""),"",IF(NOT(ISNUMBER(O2610)),"Bad amount",IF(O2610&lt;0,"Refund (not counted)",IF(O2610=0,"Zero amount",IF(NOT(ISNUMBER(N2610)),"Bad date",IF(P2610="","NAME NOT ON ROSTER",IF(L2610="","OK",IF(MATCH(L2610,$L$2:$L$3001,0)&lt;ROW()-1,"Duplicate (ignored)","OK"))))))))</f>
        <v/>
      </c>
      <c r="I2610">
        <f>IF(OC_Date=0,"",IF(INDEX('OneCause_Paste'!$A$2610:$AZ$2610,1,OC_Date)="","",INDEX('OneCause_Paste'!$A$2610:$AZ$2610,1,OC_Date)))</f>
        <v/>
      </c>
      <c r="J2610">
        <f>IF(OC_Amt=0,"",IF(INDEX('OneCause_Paste'!$A$2610:$AZ$2610,1,OC_Amt)="","",INDEX('OneCause_Paste'!$A$2610:$AZ$2610,1,OC_Amt)))</f>
        <v/>
      </c>
      <c r="K2610">
        <f>IF(OC_Name=0,"",IF(INDEX('OneCause_Paste'!$A$2610:$AZ$2610,1,OC_Name)="","",INDEX('OneCause_Paste'!$A$2610:$AZ$2610,1,OC_Name)))</f>
        <v/>
      </c>
      <c r="L2610">
        <f>IF(OC_Txn=0,"",IF(INDEX('OneCause_Paste'!$A$2610:$AZ$2610,1,OC_Txn)="","",INDEX('OneCause_Paste'!$A$2610:$AZ$2610,1,OC_Txn)))</f>
        <v/>
      </c>
      <c r="M2610">
        <f>IF(OC_Pay=0,"",IF(INDEX('OneCause_Paste'!$A$2610:$AZ$2610,1,OC_Pay)="","",INDEX('OneCause_Paste'!$A$2610:$AZ$2610,1,OC_Pay)))</f>
        <v/>
      </c>
      <c r="N2610">
        <f>IF(I2610="","",IF(ISNUMBER(I2610),INT(I2610),IFERROR(INT(DATEVALUE(I2610)),IFERROR(INT(VALUE(I2610)),"bad"))))</f>
        <v/>
      </c>
      <c r="O2610">
        <f>IF(J2610="","",IF(ISNUMBER(J2610),ROUND(J2610,2),IFERROR(ROUND(VALUE(SUBSTITUTE(SUBSTITUTE(SUBSTITUTE(J2610,"$",""),",","")," ","")),2),"bad")))</f>
        <v/>
      </c>
      <c r="P2610">
        <f>IF(TRIM(K2610)="","",IFERROR(MATCH(LOWER(TRIM(K2610)),'Students'!$AH$2:$AH$701,0),IFERROR(MATCH(LOWER(TRIM(K2610)),'Students'!$AF$2:$AF$701,0),IFERROR(MATCH(LOWER(TRIM(K2610)),'Students'!$AG$2:$AG$701,0),""))))</f>
        <v/>
      </c>
      <c r="R2610">
        <f>IF(P2610="","",INDEX('Students'!$AD$2:$AD$701,P2610))</f>
        <v/>
      </c>
      <c r="S2610">
        <f>IF(H2610="OK",O2610,0)</f>
        <v/>
      </c>
      <c r="T2610">
        <f>IF(H2610="OK",N2610,"")</f>
        <v/>
      </c>
      <c r="U2610">
        <f>IF(OC_Donor=0,"",IF(INDEX('OneCause_Paste'!$A$2610:$AZ$2610,1,OC_Donor)="","",INDEX('OneCause_Paste'!$A$2610:$AZ$2610,1,OC_Donor)))</f>
        <v/>
      </c>
    </row>
    <row r="2611">
      <c r="A2611" s="62">
        <f>IF(H2611="","",IF(ISNUMBER(N2611),N2611,I2611))</f>
        <v/>
      </c>
      <c r="B2611">
        <f>IF(H2611="","",U2611)</f>
        <v/>
      </c>
      <c r="C2611">
        <f>IF(H2611="","",IF(P2611="",K2611,INDEX('Students'!$A$2:$A$701,P2611)))</f>
        <v/>
      </c>
      <c r="D2611">
        <f>IF(OR(H2611="",P2611=""),"",INDEX('Students'!$B$2:$B$701,P2611))</f>
        <v/>
      </c>
      <c r="E2611">
        <f>IF(OR(H2611="",P2611=""),"",INDEX('Students'!$C$2:$C$701,P2611))</f>
        <v/>
      </c>
      <c r="F2611" s="48">
        <f>IF(H2611="","",IF(ISNUMBER(O2611),O2611,J2611))</f>
        <v/>
      </c>
      <c r="G2611">
        <f>IF(H2611="","","OneCause")</f>
        <v/>
      </c>
      <c r="H2611">
        <f>IF(AND(I2611="",J2611="",K2611=""),"",IF(NOT(ISNUMBER(O2611)),"Bad amount",IF(O2611&lt;0,"Refund (not counted)",IF(O2611=0,"Zero amount",IF(NOT(ISNUMBER(N2611)),"Bad date",IF(P2611="","NAME NOT ON ROSTER",IF(L2611="","OK",IF(MATCH(L2611,$L$2:$L$3001,0)&lt;ROW()-1,"Duplicate (ignored)","OK"))))))))</f>
        <v/>
      </c>
      <c r="I2611">
        <f>IF(OC_Date=0,"",IF(INDEX('OneCause_Paste'!$A$2611:$AZ$2611,1,OC_Date)="","",INDEX('OneCause_Paste'!$A$2611:$AZ$2611,1,OC_Date)))</f>
        <v/>
      </c>
      <c r="J2611">
        <f>IF(OC_Amt=0,"",IF(INDEX('OneCause_Paste'!$A$2611:$AZ$2611,1,OC_Amt)="","",INDEX('OneCause_Paste'!$A$2611:$AZ$2611,1,OC_Amt)))</f>
        <v/>
      </c>
      <c r="K2611">
        <f>IF(OC_Name=0,"",IF(INDEX('OneCause_Paste'!$A$2611:$AZ$2611,1,OC_Name)="","",INDEX('OneCause_Paste'!$A$2611:$AZ$2611,1,OC_Name)))</f>
        <v/>
      </c>
      <c r="L2611">
        <f>IF(OC_Txn=0,"",IF(INDEX('OneCause_Paste'!$A$2611:$AZ$2611,1,OC_Txn)="","",INDEX('OneCause_Paste'!$A$2611:$AZ$2611,1,OC_Txn)))</f>
        <v/>
      </c>
      <c r="M2611">
        <f>IF(OC_Pay=0,"",IF(INDEX('OneCause_Paste'!$A$2611:$AZ$2611,1,OC_Pay)="","",INDEX('OneCause_Paste'!$A$2611:$AZ$2611,1,OC_Pay)))</f>
        <v/>
      </c>
      <c r="N2611">
        <f>IF(I2611="","",IF(ISNUMBER(I2611),INT(I2611),IFERROR(INT(DATEVALUE(I2611)),IFERROR(INT(VALUE(I2611)),"bad"))))</f>
        <v/>
      </c>
      <c r="O2611">
        <f>IF(J2611="","",IF(ISNUMBER(J2611),ROUND(J2611,2),IFERROR(ROUND(VALUE(SUBSTITUTE(SUBSTITUTE(SUBSTITUTE(J2611,"$",""),",","")," ","")),2),"bad")))</f>
        <v/>
      </c>
      <c r="P2611">
        <f>IF(TRIM(K2611)="","",IFERROR(MATCH(LOWER(TRIM(K2611)),'Students'!$AH$2:$AH$701,0),IFERROR(MATCH(LOWER(TRIM(K2611)),'Students'!$AF$2:$AF$701,0),IFERROR(MATCH(LOWER(TRIM(K2611)),'Students'!$AG$2:$AG$701,0),""))))</f>
        <v/>
      </c>
      <c r="R2611">
        <f>IF(P2611="","",INDEX('Students'!$AD$2:$AD$701,P2611))</f>
        <v/>
      </c>
      <c r="S2611">
        <f>IF(H2611="OK",O2611,0)</f>
        <v/>
      </c>
      <c r="T2611">
        <f>IF(H2611="OK",N2611,"")</f>
        <v/>
      </c>
      <c r="U2611">
        <f>IF(OC_Donor=0,"",IF(INDEX('OneCause_Paste'!$A$2611:$AZ$2611,1,OC_Donor)="","",INDEX('OneCause_Paste'!$A$2611:$AZ$2611,1,OC_Donor)))</f>
        <v/>
      </c>
    </row>
    <row r="2612">
      <c r="A2612" s="62">
        <f>IF(H2612="","",IF(ISNUMBER(N2612),N2612,I2612))</f>
        <v/>
      </c>
      <c r="B2612">
        <f>IF(H2612="","",U2612)</f>
        <v/>
      </c>
      <c r="C2612">
        <f>IF(H2612="","",IF(P2612="",K2612,INDEX('Students'!$A$2:$A$701,P2612)))</f>
        <v/>
      </c>
      <c r="D2612">
        <f>IF(OR(H2612="",P2612=""),"",INDEX('Students'!$B$2:$B$701,P2612))</f>
        <v/>
      </c>
      <c r="E2612">
        <f>IF(OR(H2612="",P2612=""),"",INDEX('Students'!$C$2:$C$701,P2612))</f>
        <v/>
      </c>
      <c r="F2612" s="48">
        <f>IF(H2612="","",IF(ISNUMBER(O2612),O2612,J2612))</f>
        <v/>
      </c>
      <c r="G2612">
        <f>IF(H2612="","","OneCause")</f>
        <v/>
      </c>
      <c r="H2612">
        <f>IF(AND(I2612="",J2612="",K2612=""),"",IF(NOT(ISNUMBER(O2612)),"Bad amount",IF(O2612&lt;0,"Refund (not counted)",IF(O2612=0,"Zero amount",IF(NOT(ISNUMBER(N2612)),"Bad date",IF(P2612="","NAME NOT ON ROSTER",IF(L2612="","OK",IF(MATCH(L2612,$L$2:$L$3001,0)&lt;ROW()-1,"Duplicate (ignored)","OK"))))))))</f>
        <v/>
      </c>
      <c r="I2612">
        <f>IF(OC_Date=0,"",IF(INDEX('OneCause_Paste'!$A$2612:$AZ$2612,1,OC_Date)="","",INDEX('OneCause_Paste'!$A$2612:$AZ$2612,1,OC_Date)))</f>
        <v/>
      </c>
      <c r="J2612">
        <f>IF(OC_Amt=0,"",IF(INDEX('OneCause_Paste'!$A$2612:$AZ$2612,1,OC_Amt)="","",INDEX('OneCause_Paste'!$A$2612:$AZ$2612,1,OC_Amt)))</f>
        <v/>
      </c>
      <c r="K2612">
        <f>IF(OC_Name=0,"",IF(INDEX('OneCause_Paste'!$A$2612:$AZ$2612,1,OC_Name)="","",INDEX('OneCause_Paste'!$A$2612:$AZ$2612,1,OC_Name)))</f>
        <v/>
      </c>
      <c r="L2612">
        <f>IF(OC_Txn=0,"",IF(INDEX('OneCause_Paste'!$A$2612:$AZ$2612,1,OC_Txn)="","",INDEX('OneCause_Paste'!$A$2612:$AZ$2612,1,OC_Txn)))</f>
        <v/>
      </c>
      <c r="M2612">
        <f>IF(OC_Pay=0,"",IF(INDEX('OneCause_Paste'!$A$2612:$AZ$2612,1,OC_Pay)="","",INDEX('OneCause_Paste'!$A$2612:$AZ$2612,1,OC_Pay)))</f>
        <v/>
      </c>
      <c r="N2612">
        <f>IF(I2612="","",IF(ISNUMBER(I2612),INT(I2612),IFERROR(INT(DATEVALUE(I2612)),IFERROR(INT(VALUE(I2612)),"bad"))))</f>
        <v/>
      </c>
      <c r="O2612">
        <f>IF(J2612="","",IF(ISNUMBER(J2612),ROUND(J2612,2),IFERROR(ROUND(VALUE(SUBSTITUTE(SUBSTITUTE(SUBSTITUTE(J2612,"$",""),",","")," ","")),2),"bad")))</f>
        <v/>
      </c>
      <c r="P2612">
        <f>IF(TRIM(K2612)="","",IFERROR(MATCH(LOWER(TRIM(K2612)),'Students'!$AH$2:$AH$701,0),IFERROR(MATCH(LOWER(TRIM(K2612)),'Students'!$AF$2:$AF$701,0),IFERROR(MATCH(LOWER(TRIM(K2612)),'Students'!$AG$2:$AG$701,0),""))))</f>
        <v/>
      </c>
      <c r="R2612">
        <f>IF(P2612="","",INDEX('Students'!$AD$2:$AD$701,P2612))</f>
        <v/>
      </c>
      <c r="S2612">
        <f>IF(H2612="OK",O2612,0)</f>
        <v/>
      </c>
      <c r="T2612">
        <f>IF(H2612="OK",N2612,"")</f>
        <v/>
      </c>
      <c r="U2612">
        <f>IF(OC_Donor=0,"",IF(INDEX('OneCause_Paste'!$A$2612:$AZ$2612,1,OC_Donor)="","",INDEX('OneCause_Paste'!$A$2612:$AZ$2612,1,OC_Donor)))</f>
        <v/>
      </c>
    </row>
    <row r="2613">
      <c r="A2613" s="62">
        <f>IF(H2613="","",IF(ISNUMBER(N2613),N2613,I2613))</f>
        <v/>
      </c>
      <c r="B2613">
        <f>IF(H2613="","",U2613)</f>
        <v/>
      </c>
      <c r="C2613">
        <f>IF(H2613="","",IF(P2613="",K2613,INDEX('Students'!$A$2:$A$701,P2613)))</f>
        <v/>
      </c>
      <c r="D2613">
        <f>IF(OR(H2613="",P2613=""),"",INDEX('Students'!$B$2:$B$701,P2613))</f>
        <v/>
      </c>
      <c r="E2613">
        <f>IF(OR(H2613="",P2613=""),"",INDEX('Students'!$C$2:$C$701,P2613))</f>
        <v/>
      </c>
      <c r="F2613" s="48">
        <f>IF(H2613="","",IF(ISNUMBER(O2613),O2613,J2613))</f>
        <v/>
      </c>
      <c r="G2613">
        <f>IF(H2613="","","OneCause")</f>
        <v/>
      </c>
      <c r="H2613">
        <f>IF(AND(I2613="",J2613="",K2613=""),"",IF(NOT(ISNUMBER(O2613)),"Bad amount",IF(O2613&lt;0,"Refund (not counted)",IF(O2613=0,"Zero amount",IF(NOT(ISNUMBER(N2613)),"Bad date",IF(P2613="","NAME NOT ON ROSTER",IF(L2613="","OK",IF(MATCH(L2613,$L$2:$L$3001,0)&lt;ROW()-1,"Duplicate (ignored)","OK"))))))))</f>
        <v/>
      </c>
      <c r="I2613">
        <f>IF(OC_Date=0,"",IF(INDEX('OneCause_Paste'!$A$2613:$AZ$2613,1,OC_Date)="","",INDEX('OneCause_Paste'!$A$2613:$AZ$2613,1,OC_Date)))</f>
        <v/>
      </c>
      <c r="J2613">
        <f>IF(OC_Amt=0,"",IF(INDEX('OneCause_Paste'!$A$2613:$AZ$2613,1,OC_Amt)="","",INDEX('OneCause_Paste'!$A$2613:$AZ$2613,1,OC_Amt)))</f>
        <v/>
      </c>
      <c r="K2613">
        <f>IF(OC_Name=0,"",IF(INDEX('OneCause_Paste'!$A$2613:$AZ$2613,1,OC_Name)="","",INDEX('OneCause_Paste'!$A$2613:$AZ$2613,1,OC_Name)))</f>
        <v/>
      </c>
      <c r="L2613">
        <f>IF(OC_Txn=0,"",IF(INDEX('OneCause_Paste'!$A$2613:$AZ$2613,1,OC_Txn)="","",INDEX('OneCause_Paste'!$A$2613:$AZ$2613,1,OC_Txn)))</f>
        <v/>
      </c>
      <c r="M2613">
        <f>IF(OC_Pay=0,"",IF(INDEX('OneCause_Paste'!$A$2613:$AZ$2613,1,OC_Pay)="","",INDEX('OneCause_Paste'!$A$2613:$AZ$2613,1,OC_Pay)))</f>
        <v/>
      </c>
      <c r="N2613">
        <f>IF(I2613="","",IF(ISNUMBER(I2613),INT(I2613),IFERROR(INT(DATEVALUE(I2613)),IFERROR(INT(VALUE(I2613)),"bad"))))</f>
        <v/>
      </c>
      <c r="O2613">
        <f>IF(J2613="","",IF(ISNUMBER(J2613),ROUND(J2613,2),IFERROR(ROUND(VALUE(SUBSTITUTE(SUBSTITUTE(SUBSTITUTE(J2613,"$",""),",","")," ","")),2),"bad")))</f>
        <v/>
      </c>
      <c r="P2613">
        <f>IF(TRIM(K2613)="","",IFERROR(MATCH(LOWER(TRIM(K2613)),'Students'!$AH$2:$AH$701,0),IFERROR(MATCH(LOWER(TRIM(K2613)),'Students'!$AF$2:$AF$701,0),IFERROR(MATCH(LOWER(TRIM(K2613)),'Students'!$AG$2:$AG$701,0),""))))</f>
        <v/>
      </c>
      <c r="R2613">
        <f>IF(P2613="","",INDEX('Students'!$AD$2:$AD$701,P2613))</f>
        <v/>
      </c>
      <c r="S2613">
        <f>IF(H2613="OK",O2613,0)</f>
        <v/>
      </c>
      <c r="T2613">
        <f>IF(H2613="OK",N2613,"")</f>
        <v/>
      </c>
      <c r="U2613">
        <f>IF(OC_Donor=0,"",IF(INDEX('OneCause_Paste'!$A$2613:$AZ$2613,1,OC_Donor)="","",INDEX('OneCause_Paste'!$A$2613:$AZ$2613,1,OC_Donor)))</f>
        <v/>
      </c>
    </row>
    <row r="2614">
      <c r="A2614" s="62">
        <f>IF(H2614="","",IF(ISNUMBER(N2614),N2614,I2614))</f>
        <v/>
      </c>
      <c r="B2614">
        <f>IF(H2614="","",U2614)</f>
        <v/>
      </c>
      <c r="C2614">
        <f>IF(H2614="","",IF(P2614="",K2614,INDEX('Students'!$A$2:$A$701,P2614)))</f>
        <v/>
      </c>
      <c r="D2614">
        <f>IF(OR(H2614="",P2614=""),"",INDEX('Students'!$B$2:$B$701,P2614))</f>
        <v/>
      </c>
      <c r="E2614">
        <f>IF(OR(H2614="",P2614=""),"",INDEX('Students'!$C$2:$C$701,P2614))</f>
        <v/>
      </c>
      <c r="F2614" s="48">
        <f>IF(H2614="","",IF(ISNUMBER(O2614),O2614,J2614))</f>
        <v/>
      </c>
      <c r="G2614">
        <f>IF(H2614="","","OneCause")</f>
        <v/>
      </c>
      <c r="H2614">
        <f>IF(AND(I2614="",J2614="",K2614=""),"",IF(NOT(ISNUMBER(O2614)),"Bad amount",IF(O2614&lt;0,"Refund (not counted)",IF(O2614=0,"Zero amount",IF(NOT(ISNUMBER(N2614)),"Bad date",IF(P2614="","NAME NOT ON ROSTER",IF(L2614="","OK",IF(MATCH(L2614,$L$2:$L$3001,0)&lt;ROW()-1,"Duplicate (ignored)","OK"))))))))</f>
        <v/>
      </c>
      <c r="I2614">
        <f>IF(OC_Date=0,"",IF(INDEX('OneCause_Paste'!$A$2614:$AZ$2614,1,OC_Date)="","",INDEX('OneCause_Paste'!$A$2614:$AZ$2614,1,OC_Date)))</f>
        <v/>
      </c>
      <c r="J2614">
        <f>IF(OC_Amt=0,"",IF(INDEX('OneCause_Paste'!$A$2614:$AZ$2614,1,OC_Amt)="","",INDEX('OneCause_Paste'!$A$2614:$AZ$2614,1,OC_Amt)))</f>
        <v/>
      </c>
      <c r="K2614">
        <f>IF(OC_Name=0,"",IF(INDEX('OneCause_Paste'!$A$2614:$AZ$2614,1,OC_Name)="","",INDEX('OneCause_Paste'!$A$2614:$AZ$2614,1,OC_Name)))</f>
        <v/>
      </c>
      <c r="L2614">
        <f>IF(OC_Txn=0,"",IF(INDEX('OneCause_Paste'!$A$2614:$AZ$2614,1,OC_Txn)="","",INDEX('OneCause_Paste'!$A$2614:$AZ$2614,1,OC_Txn)))</f>
        <v/>
      </c>
      <c r="M2614">
        <f>IF(OC_Pay=0,"",IF(INDEX('OneCause_Paste'!$A$2614:$AZ$2614,1,OC_Pay)="","",INDEX('OneCause_Paste'!$A$2614:$AZ$2614,1,OC_Pay)))</f>
        <v/>
      </c>
      <c r="N2614">
        <f>IF(I2614="","",IF(ISNUMBER(I2614),INT(I2614),IFERROR(INT(DATEVALUE(I2614)),IFERROR(INT(VALUE(I2614)),"bad"))))</f>
        <v/>
      </c>
      <c r="O2614">
        <f>IF(J2614="","",IF(ISNUMBER(J2614),ROUND(J2614,2),IFERROR(ROUND(VALUE(SUBSTITUTE(SUBSTITUTE(SUBSTITUTE(J2614,"$",""),",","")," ","")),2),"bad")))</f>
        <v/>
      </c>
      <c r="P2614">
        <f>IF(TRIM(K2614)="","",IFERROR(MATCH(LOWER(TRIM(K2614)),'Students'!$AH$2:$AH$701,0),IFERROR(MATCH(LOWER(TRIM(K2614)),'Students'!$AF$2:$AF$701,0),IFERROR(MATCH(LOWER(TRIM(K2614)),'Students'!$AG$2:$AG$701,0),""))))</f>
        <v/>
      </c>
      <c r="R2614">
        <f>IF(P2614="","",INDEX('Students'!$AD$2:$AD$701,P2614))</f>
        <v/>
      </c>
      <c r="S2614">
        <f>IF(H2614="OK",O2614,0)</f>
        <v/>
      </c>
      <c r="T2614">
        <f>IF(H2614="OK",N2614,"")</f>
        <v/>
      </c>
      <c r="U2614">
        <f>IF(OC_Donor=0,"",IF(INDEX('OneCause_Paste'!$A$2614:$AZ$2614,1,OC_Donor)="","",INDEX('OneCause_Paste'!$A$2614:$AZ$2614,1,OC_Donor)))</f>
        <v/>
      </c>
    </row>
    <row r="2615">
      <c r="A2615" s="62">
        <f>IF(H2615="","",IF(ISNUMBER(N2615),N2615,I2615))</f>
        <v/>
      </c>
      <c r="B2615">
        <f>IF(H2615="","",U2615)</f>
        <v/>
      </c>
      <c r="C2615">
        <f>IF(H2615="","",IF(P2615="",K2615,INDEX('Students'!$A$2:$A$701,P2615)))</f>
        <v/>
      </c>
      <c r="D2615">
        <f>IF(OR(H2615="",P2615=""),"",INDEX('Students'!$B$2:$B$701,P2615))</f>
        <v/>
      </c>
      <c r="E2615">
        <f>IF(OR(H2615="",P2615=""),"",INDEX('Students'!$C$2:$C$701,P2615))</f>
        <v/>
      </c>
      <c r="F2615" s="48">
        <f>IF(H2615="","",IF(ISNUMBER(O2615),O2615,J2615))</f>
        <v/>
      </c>
      <c r="G2615">
        <f>IF(H2615="","","OneCause")</f>
        <v/>
      </c>
      <c r="H2615">
        <f>IF(AND(I2615="",J2615="",K2615=""),"",IF(NOT(ISNUMBER(O2615)),"Bad amount",IF(O2615&lt;0,"Refund (not counted)",IF(O2615=0,"Zero amount",IF(NOT(ISNUMBER(N2615)),"Bad date",IF(P2615="","NAME NOT ON ROSTER",IF(L2615="","OK",IF(MATCH(L2615,$L$2:$L$3001,0)&lt;ROW()-1,"Duplicate (ignored)","OK"))))))))</f>
        <v/>
      </c>
      <c r="I2615">
        <f>IF(OC_Date=0,"",IF(INDEX('OneCause_Paste'!$A$2615:$AZ$2615,1,OC_Date)="","",INDEX('OneCause_Paste'!$A$2615:$AZ$2615,1,OC_Date)))</f>
        <v/>
      </c>
      <c r="J2615">
        <f>IF(OC_Amt=0,"",IF(INDEX('OneCause_Paste'!$A$2615:$AZ$2615,1,OC_Amt)="","",INDEX('OneCause_Paste'!$A$2615:$AZ$2615,1,OC_Amt)))</f>
        <v/>
      </c>
      <c r="K2615">
        <f>IF(OC_Name=0,"",IF(INDEX('OneCause_Paste'!$A$2615:$AZ$2615,1,OC_Name)="","",INDEX('OneCause_Paste'!$A$2615:$AZ$2615,1,OC_Name)))</f>
        <v/>
      </c>
      <c r="L2615">
        <f>IF(OC_Txn=0,"",IF(INDEX('OneCause_Paste'!$A$2615:$AZ$2615,1,OC_Txn)="","",INDEX('OneCause_Paste'!$A$2615:$AZ$2615,1,OC_Txn)))</f>
        <v/>
      </c>
      <c r="M2615">
        <f>IF(OC_Pay=0,"",IF(INDEX('OneCause_Paste'!$A$2615:$AZ$2615,1,OC_Pay)="","",INDEX('OneCause_Paste'!$A$2615:$AZ$2615,1,OC_Pay)))</f>
        <v/>
      </c>
      <c r="N2615">
        <f>IF(I2615="","",IF(ISNUMBER(I2615),INT(I2615),IFERROR(INT(DATEVALUE(I2615)),IFERROR(INT(VALUE(I2615)),"bad"))))</f>
        <v/>
      </c>
      <c r="O2615">
        <f>IF(J2615="","",IF(ISNUMBER(J2615),ROUND(J2615,2),IFERROR(ROUND(VALUE(SUBSTITUTE(SUBSTITUTE(SUBSTITUTE(J2615,"$",""),",","")," ","")),2),"bad")))</f>
        <v/>
      </c>
      <c r="P2615">
        <f>IF(TRIM(K2615)="","",IFERROR(MATCH(LOWER(TRIM(K2615)),'Students'!$AH$2:$AH$701,0),IFERROR(MATCH(LOWER(TRIM(K2615)),'Students'!$AF$2:$AF$701,0),IFERROR(MATCH(LOWER(TRIM(K2615)),'Students'!$AG$2:$AG$701,0),""))))</f>
        <v/>
      </c>
      <c r="R2615">
        <f>IF(P2615="","",INDEX('Students'!$AD$2:$AD$701,P2615))</f>
        <v/>
      </c>
      <c r="S2615">
        <f>IF(H2615="OK",O2615,0)</f>
        <v/>
      </c>
      <c r="T2615">
        <f>IF(H2615="OK",N2615,"")</f>
        <v/>
      </c>
      <c r="U2615">
        <f>IF(OC_Donor=0,"",IF(INDEX('OneCause_Paste'!$A$2615:$AZ$2615,1,OC_Donor)="","",INDEX('OneCause_Paste'!$A$2615:$AZ$2615,1,OC_Donor)))</f>
        <v/>
      </c>
    </row>
    <row r="2616">
      <c r="A2616" s="62">
        <f>IF(H2616="","",IF(ISNUMBER(N2616),N2616,I2616))</f>
        <v/>
      </c>
      <c r="B2616">
        <f>IF(H2616="","",U2616)</f>
        <v/>
      </c>
      <c r="C2616">
        <f>IF(H2616="","",IF(P2616="",K2616,INDEX('Students'!$A$2:$A$701,P2616)))</f>
        <v/>
      </c>
      <c r="D2616">
        <f>IF(OR(H2616="",P2616=""),"",INDEX('Students'!$B$2:$B$701,P2616))</f>
        <v/>
      </c>
      <c r="E2616">
        <f>IF(OR(H2616="",P2616=""),"",INDEX('Students'!$C$2:$C$701,P2616))</f>
        <v/>
      </c>
      <c r="F2616" s="48">
        <f>IF(H2616="","",IF(ISNUMBER(O2616),O2616,J2616))</f>
        <v/>
      </c>
      <c r="G2616">
        <f>IF(H2616="","","OneCause")</f>
        <v/>
      </c>
      <c r="H2616">
        <f>IF(AND(I2616="",J2616="",K2616=""),"",IF(NOT(ISNUMBER(O2616)),"Bad amount",IF(O2616&lt;0,"Refund (not counted)",IF(O2616=0,"Zero amount",IF(NOT(ISNUMBER(N2616)),"Bad date",IF(P2616="","NAME NOT ON ROSTER",IF(L2616="","OK",IF(MATCH(L2616,$L$2:$L$3001,0)&lt;ROW()-1,"Duplicate (ignored)","OK"))))))))</f>
        <v/>
      </c>
      <c r="I2616">
        <f>IF(OC_Date=0,"",IF(INDEX('OneCause_Paste'!$A$2616:$AZ$2616,1,OC_Date)="","",INDEX('OneCause_Paste'!$A$2616:$AZ$2616,1,OC_Date)))</f>
        <v/>
      </c>
      <c r="J2616">
        <f>IF(OC_Amt=0,"",IF(INDEX('OneCause_Paste'!$A$2616:$AZ$2616,1,OC_Amt)="","",INDEX('OneCause_Paste'!$A$2616:$AZ$2616,1,OC_Amt)))</f>
        <v/>
      </c>
      <c r="K2616">
        <f>IF(OC_Name=0,"",IF(INDEX('OneCause_Paste'!$A$2616:$AZ$2616,1,OC_Name)="","",INDEX('OneCause_Paste'!$A$2616:$AZ$2616,1,OC_Name)))</f>
        <v/>
      </c>
      <c r="L2616">
        <f>IF(OC_Txn=0,"",IF(INDEX('OneCause_Paste'!$A$2616:$AZ$2616,1,OC_Txn)="","",INDEX('OneCause_Paste'!$A$2616:$AZ$2616,1,OC_Txn)))</f>
        <v/>
      </c>
      <c r="M2616">
        <f>IF(OC_Pay=0,"",IF(INDEX('OneCause_Paste'!$A$2616:$AZ$2616,1,OC_Pay)="","",INDEX('OneCause_Paste'!$A$2616:$AZ$2616,1,OC_Pay)))</f>
        <v/>
      </c>
      <c r="N2616">
        <f>IF(I2616="","",IF(ISNUMBER(I2616),INT(I2616),IFERROR(INT(DATEVALUE(I2616)),IFERROR(INT(VALUE(I2616)),"bad"))))</f>
        <v/>
      </c>
      <c r="O2616">
        <f>IF(J2616="","",IF(ISNUMBER(J2616),ROUND(J2616,2),IFERROR(ROUND(VALUE(SUBSTITUTE(SUBSTITUTE(SUBSTITUTE(J2616,"$",""),",","")," ","")),2),"bad")))</f>
        <v/>
      </c>
      <c r="P2616">
        <f>IF(TRIM(K2616)="","",IFERROR(MATCH(LOWER(TRIM(K2616)),'Students'!$AH$2:$AH$701,0),IFERROR(MATCH(LOWER(TRIM(K2616)),'Students'!$AF$2:$AF$701,0),IFERROR(MATCH(LOWER(TRIM(K2616)),'Students'!$AG$2:$AG$701,0),""))))</f>
        <v/>
      </c>
      <c r="R2616">
        <f>IF(P2616="","",INDEX('Students'!$AD$2:$AD$701,P2616))</f>
        <v/>
      </c>
      <c r="S2616">
        <f>IF(H2616="OK",O2616,0)</f>
        <v/>
      </c>
      <c r="T2616">
        <f>IF(H2616="OK",N2616,"")</f>
        <v/>
      </c>
      <c r="U2616">
        <f>IF(OC_Donor=0,"",IF(INDEX('OneCause_Paste'!$A$2616:$AZ$2616,1,OC_Donor)="","",INDEX('OneCause_Paste'!$A$2616:$AZ$2616,1,OC_Donor)))</f>
        <v/>
      </c>
    </row>
    <row r="2617">
      <c r="A2617" s="62">
        <f>IF(H2617="","",IF(ISNUMBER(N2617),N2617,I2617))</f>
        <v/>
      </c>
      <c r="B2617">
        <f>IF(H2617="","",U2617)</f>
        <v/>
      </c>
      <c r="C2617">
        <f>IF(H2617="","",IF(P2617="",K2617,INDEX('Students'!$A$2:$A$701,P2617)))</f>
        <v/>
      </c>
      <c r="D2617">
        <f>IF(OR(H2617="",P2617=""),"",INDEX('Students'!$B$2:$B$701,P2617))</f>
        <v/>
      </c>
      <c r="E2617">
        <f>IF(OR(H2617="",P2617=""),"",INDEX('Students'!$C$2:$C$701,P2617))</f>
        <v/>
      </c>
      <c r="F2617" s="48">
        <f>IF(H2617="","",IF(ISNUMBER(O2617),O2617,J2617))</f>
        <v/>
      </c>
      <c r="G2617">
        <f>IF(H2617="","","OneCause")</f>
        <v/>
      </c>
      <c r="H2617">
        <f>IF(AND(I2617="",J2617="",K2617=""),"",IF(NOT(ISNUMBER(O2617)),"Bad amount",IF(O2617&lt;0,"Refund (not counted)",IF(O2617=0,"Zero amount",IF(NOT(ISNUMBER(N2617)),"Bad date",IF(P2617="","NAME NOT ON ROSTER",IF(L2617="","OK",IF(MATCH(L2617,$L$2:$L$3001,0)&lt;ROW()-1,"Duplicate (ignored)","OK"))))))))</f>
        <v/>
      </c>
      <c r="I2617">
        <f>IF(OC_Date=0,"",IF(INDEX('OneCause_Paste'!$A$2617:$AZ$2617,1,OC_Date)="","",INDEX('OneCause_Paste'!$A$2617:$AZ$2617,1,OC_Date)))</f>
        <v/>
      </c>
      <c r="J2617">
        <f>IF(OC_Amt=0,"",IF(INDEX('OneCause_Paste'!$A$2617:$AZ$2617,1,OC_Amt)="","",INDEX('OneCause_Paste'!$A$2617:$AZ$2617,1,OC_Amt)))</f>
        <v/>
      </c>
      <c r="K2617">
        <f>IF(OC_Name=0,"",IF(INDEX('OneCause_Paste'!$A$2617:$AZ$2617,1,OC_Name)="","",INDEX('OneCause_Paste'!$A$2617:$AZ$2617,1,OC_Name)))</f>
        <v/>
      </c>
      <c r="L2617">
        <f>IF(OC_Txn=0,"",IF(INDEX('OneCause_Paste'!$A$2617:$AZ$2617,1,OC_Txn)="","",INDEX('OneCause_Paste'!$A$2617:$AZ$2617,1,OC_Txn)))</f>
        <v/>
      </c>
      <c r="M2617">
        <f>IF(OC_Pay=0,"",IF(INDEX('OneCause_Paste'!$A$2617:$AZ$2617,1,OC_Pay)="","",INDEX('OneCause_Paste'!$A$2617:$AZ$2617,1,OC_Pay)))</f>
        <v/>
      </c>
      <c r="N2617">
        <f>IF(I2617="","",IF(ISNUMBER(I2617),INT(I2617),IFERROR(INT(DATEVALUE(I2617)),IFERROR(INT(VALUE(I2617)),"bad"))))</f>
        <v/>
      </c>
      <c r="O2617">
        <f>IF(J2617="","",IF(ISNUMBER(J2617),ROUND(J2617,2),IFERROR(ROUND(VALUE(SUBSTITUTE(SUBSTITUTE(SUBSTITUTE(J2617,"$",""),",","")," ","")),2),"bad")))</f>
        <v/>
      </c>
      <c r="P2617">
        <f>IF(TRIM(K2617)="","",IFERROR(MATCH(LOWER(TRIM(K2617)),'Students'!$AH$2:$AH$701,0),IFERROR(MATCH(LOWER(TRIM(K2617)),'Students'!$AF$2:$AF$701,0),IFERROR(MATCH(LOWER(TRIM(K2617)),'Students'!$AG$2:$AG$701,0),""))))</f>
        <v/>
      </c>
      <c r="R2617">
        <f>IF(P2617="","",INDEX('Students'!$AD$2:$AD$701,P2617))</f>
        <v/>
      </c>
      <c r="S2617">
        <f>IF(H2617="OK",O2617,0)</f>
        <v/>
      </c>
      <c r="T2617">
        <f>IF(H2617="OK",N2617,"")</f>
        <v/>
      </c>
      <c r="U2617">
        <f>IF(OC_Donor=0,"",IF(INDEX('OneCause_Paste'!$A$2617:$AZ$2617,1,OC_Donor)="","",INDEX('OneCause_Paste'!$A$2617:$AZ$2617,1,OC_Donor)))</f>
        <v/>
      </c>
    </row>
    <row r="2618">
      <c r="A2618" s="62">
        <f>IF(H2618="","",IF(ISNUMBER(N2618),N2618,I2618))</f>
        <v/>
      </c>
      <c r="B2618">
        <f>IF(H2618="","",U2618)</f>
        <v/>
      </c>
      <c r="C2618">
        <f>IF(H2618="","",IF(P2618="",K2618,INDEX('Students'!$A$2:$A$701,P2618)))</f>
        <v/>
      </c>
      <c r="D2618">
        <f>IF(OR(H2618="",P2618=""),"",INDEX('Students'!$B$2:$B$701,P2618))</f>
        <v/>
      </c>
      <c r="E2618">
        <f>IF(OR(H2618="",P2618=""),"",INDEX('Students'!$C$2:$C$701,P2618))</f>
        <v/>
      </c>
      <c r="F2618" s="48">
        <f>IF(H2618="","",IF(ISNUMBER(O2618),O2618,J2618))</f>
        <v/>
      </c>
      <c r="G2618">
        <f>IF(H2618="","","OneCause")</f>
        <v/>
      </c>
      <c r="H2618">
        <f>IF(AND(I2618="",J2618="",K2618=""),"",IF(NOT(ISNUMBER(O2618)),"Bad amount",IF(O2618&lt;0,"Refund (not counted)",IF(O2618=0,"Zero amount",IF(NOT(ISNUMBER(N2618)),"Bad date",IF(P2618="","NAME NOT ON ROSTER",IF(L2618="","OK",IF(MATCH(L2618,$L$2:$L$3001,0)&lt;ROW()-1,"Duplicate (ignored)","OK"))))))))</f>
        <v/>
      </c>
      <c r="I2618">
        <f>IF(OC_Date=0,"",IF(INDEX('OneCause_Paste'!$A$2618:$AZ$2618,1,OC_Date)="","",INDEX('OneCause_Paste'!$A$2618:$AZ$2618,1,OC_Date)))</f>
        <v/>
      </c>
      <c r="J2618">
        <f>IF(OC_Amt=0,"",IF(INDEX('OneCause_Paste'!$A$2618:$AZ$2618,1,OC_Amt)="","",INDEX('OneCause_Paste'!$A$2618:$AZ$2618,1,OC_Amt)))</f>
        <v/>
      </c>
      <c r="K2618">
        <f>IF(OC_Name=0,"",IF(INDEX('OneCause_Paste'!$A$2618:$AZ$2618,1,OC_Name)="","",INDEX('OneCause_Paste'!$A$2618:$AZ$2618,1,OC_Name)))</f>
        <v/>
      </c>
      <c r="L2618">
        <f>IF(OC_Txn=0,"",IF(INDEX('OneCause_Paste'!$A$2618:$AZ$2618,1,OC_Txn)="","",INDEX('OneCause_Paste'!$A$2618:$AZ$2618,1,OC_Txn)))</f>
        <v/>
      </c>
      <c r="M2618">
        <f>IF(OC_Pay=0,"",IF(INDEX('OneCause_Paste'!$A$2618:$AZ$2618,1,OC_Pay)="","",INDEX('OneCause_Paste'!$A$2618:$AZ$2618,1,OC_Pay)))</f>
        <v/>
      </c>
      <c r="N2618">
        <f>IF(I2618="","",IF(ISNUMBER(I2618),INT(I2618),IFERROR(INT(DATEVALUE(I2618)),IFERROR(INT(VALUE(I2618)),"bad"))))</f>
        <v/>
      </c>
      <c r="O2618">
        <f>IF(J2618="","",IF(ISNUMBER(J2618),ROUND(J2618,2),IFERROR(ROUND(VALUE(SUBSTITUTE(SUBSTITUTE(SUBSTITUTE(J2618,"$",""),",","")," ","")),2),"bad")))</f>
        <v/>
      </c>
      <c r="P2618">
        <f>IF(TRIM(K2618)="","",IFERROR(MATCH(LOWER(TRIM(K2618)),'Students'!$AH$2:$AH$701,0),IFERROR(MATCH(LOWER(TRIM(K2618)),'Students'!$AF$2:$AF$701,0),IFERROR(MATCH(LOWER(TRIM(K2618)),'Students'!$AG$2:$AG$701,0),""))))</f>
        <v/>
      </c>
      <c r="R2618">
        <f>IF(P2618="","",INDEX('Students'!$AD$2:$AD$701,P2618))</f>
        <v/>
      </c>
      <c r="S2618">
        <f>IF(H2618="OK",O2618,0)</f>
        <v/>
      </c>
      <c r="T2618">
        <f>IF(H2618="OK",N2618,"")</f>
        <v/>
      </c>
      <c r="U2618">
        <f>IF(OC_Donor=0,"",IF(INDEX('OneCause_Paste'!$A$2618:$AZ$2618,1,OC_Donor)="","",INDEX('OneCause_Paste'!$A$2618:$AZ$2618,1,OC_Donor)))</f>
        <v/>
      </c>
    </row>
    <row r="2619">
      <c r="A2619" s="62">
        <f>IF(H2619="","",IF(ISNUMBER(N2619),N2619,I2619))</f>
        <v/>
      </c>
      <c r="B2619">
        <f>IF(H2619="","",U2619)</f>
        <v/>
      </c>
      <c r="C2619">
        <f>IF(H2619="","",IF(P2619="",K2619,INDEX('Students'!$A$2:$A$701,P2619)))</f>
        <v/>
      </c>
      <c r="D2619">
        <f>IF(OR(H2619="",P2619=""),"",INDEX('Students'!$B$2:$B$701,P2619))</f>
        <v/>
      </c>
      <c r="E2619">
        <f>IF(OR(H2619="",P2619=""),"",INDEX('Students'!$C$2:$C$701,P2619))</f>
        <v/>
      </c>
      <c r="F2619" s="48">
        <f>IF(H2619="","",IF(ISNUMBER(O2619),O2619,J2619))</f>
        <v/>
      </c>
      <c r="G2619">
        <f>IF(H2619="","","OneCause")</f>
        <v/>
      </c>
      <c r="H2619">
        <f>IF(AND(I2619="",J2619="",K2619=""),"",IF(NOT(ISNUMBER(O2619)),"Bad amount",IF(O2619&lt;0,"Refund (not counted)",IF(O2619=0,"Zero amount",IF(NOT(ISNUMBER(N2619)),"Bad date",IF(P2619="","NAME NOT ON ROSTER",IF(L2619="","OK",IF(MATCH(L2619,$L$2:$L$3001,0)&lt;ROW()-1,"Duplicate (ignored)","OK"))))))))</f>
        <v/>
      </c>
      <c r="I2619">
        <f>IF(OC_Date=0,"",IF(INDEX('OneCause_Paste'!$A$2619:$AZ$2619,1,OC_Date)="","",INDEX('OneCause_Paste'!$A$2619:$AZ$2619,1,OC_Date)))</f>
        <v/>
      </c>
      <c r="J2619">
        <f>IF(OC_Amt=0,"",IF(INDEX('OneCause_Paste'!$A$2619:$AZ$2619,1,OC_Amt)="","",INDEX('OneCause_Paste'!$A$2619:$AZ$2619,1,OC_Amt)))</f>
        <v/>
      </c>
      <c r="K2619">
        <f>IF(OC_Name=0,"",IF(INDEX('OneCause_Paste'!$A$2619:$AZ$2619,1,OC_Name)="","",INDEX('OneCause_Paste'!$A$2619:$AZ$2619,1,OC_Name)))</f>
        <v/>
      </c>
      <c r="L2619">
        <f>IF(OC_Txn=0,"",IF(INDEX('OneCause_Paste'!$A$2619:$AZ$2619,1,OC_Txn)="","",INDEX('OneCause_Paste'!$A$2619:$AZ$2619,1,OC_Txn)))</f>
        <v/>
      </c>
      <c r="M2619">
        <f>IF(OC_Pay=0,"",IF(INDEX('OneCause_Paste'!$A$2619:$AZ$2619,1,OC_Pay)="","",INDEX('OneCause_Paste'!$A$2619:$AZ$2619,1,OC_Pay)))</f>
        <v/>
      </c>
      <c r="N2619">
        <f>IF(I2619="","",IF(ISNUMBER(I2619),INT(I2619),IFERROR(INT(DATEVALUE(I2619)),IFERROR(INT(VALUE(I2619)),"bad"))))</f>
        <v/>
      </c>
      <c r="O2619">
        <f>IF(J2619="","",IF(ISNUMBER(J2619),ROUND(J2619,2),IFERROR(ROUND(VALUE(SUBSTITUTE(SUBSTITUTE(SUBSTITUTE(J2619,"$",""),",","")," ","")),2),"bad")))</f>
        <v/>
      </c>
      <c r="P2619">
        <f>IF(TRIM(K2619)="","",IFERROR(MATCH(LOWER(TRIM(K2619)),'Students'!$AH$2:$AH$701,0),IFERROR(MATCH(LOWER(TRIM(K2619)),'Students'!$AF$2:$AF$701,0),IFERROR(MATCH(LOWER(TRIM(K2619)),'Students'!$AG$2:$AG$701,0),""))))</f>
        <v/>
      </c>
      <c r="R2619">
        <f>IF(P2619="","",INDEX('Students'!$AD$2:$AD$701,P2619))</f>
        <v/>
      </c>
      <c r="S2619">
        <f>IF(H2619="OK",O2619,0)</f>
        <v/>
      </c>
      <c r="T2619">
        <f>IF(H2619="OK",N2619,"")</f>
        <v/>
      </c>
      <c r="U2619">
        <f>IF(OC_Donor=0,"",IF(INDEX('OneCause_Paste'!$A$2619:$AZ$2619,1,OC_Donor)="","",INDEX('OneCause_Paste'!$A$2619:$AZ$2619,1,OC_Donor)))</f>
        <v/>
      </c>
    </row>
    <row r="2620">
      <c r="A2620" s="62">
        <f>IF(H2620="","",IF(ISNUMBER(N2620),N2620,I2620))</f>
        <v/>
      </c>
      <c r="B2620">
        <f>IF(H2620="","",U2620)</f>
        <v/>
      </c>
      <c r="C2620">
        <f>IF(H2620="","",IF(P2620="",K2620,INDEX('Students'!$A$2:$A$701,P2620)))</f>
        <v/>
      </c>
      <c r="D2620">
        <f>IF(OR(H2620="",P2620=""),"",INDEX('Students'!$B$2:$B$701,P2620))</f>
        <v/>
      </c>
      <c r="E2620">
        <f>IF(OR(H2620="",P2620=""),"",INDEX('Students'!$C$2:$C$701,P2620))</f>
        <v/>
      </c>
      <c r="F2620" s="48">
        <f>IF(H2620="","",IF(ISNUMBER(O2620),O2620,J2620))</f>
        <v/>
      </c>
      <c r="G2620">
        <f>IF(H2620="","","OneCause")</f>
        <v/>
      </c>
      <c r="H2620">
        <f>IF(AND(I2620="",J2620="",K2620=""),"",IF(NOT(ISNUMBER(O2620)),"Bad amount",IF(O2620&lt;0,"Refund (not counted)",IF(O2620=0,"Zero amount",IF(NOT(ISNUMBER(N2620)),"Bad date",IF(P2620="","NAME NOT ON ROSTER",IF(L2620="","OK",IF(MATCH(L2620,$L$2:$L$3001,0)&lt;ROW()-1,"Duplicate (ignored)","OK"))))))))</f>
        <v/>
      </c>
      <c r="I2620">
        <f>IF(OC_Date=0,"",IF(INDEX('OneCause_Paste'!$A$2620:$AZ$2620,1,OC_Date)="","",INDEX('OneCause_Paste'!$A$2620:$AZ$2620,1,OC_Date)))</f>
        <v/>
      </c>
      <c r="J2620">
        <f>IF(OC_Amt=0,"",IF(INDEX('OneCause_Paste'!$A$2620:$AZ$2620,1,OC_Amt)="","",INDEX('OneCause_Paste'!$A$2620:$AZ$2620,1,OC_Amt)))</f>
        <v/>
      </c>
      <c r="K2620">
        <f>IF(OC_Name=0,"",IF(INDEX('OneCause_Paste'!$A$2620:$AZ$2620,1,OC_Name)="","",INDEX('OneCause_Paste'!$A$2620:$AZ$2620,1,OC_Name)))</f>
        <v/>
      </c>
      <c r="L2620">
        <f>IF(OC_Txn=0,"",IF(INDEX('OneCause_Paste'!$A$2620:$AZ$2620,1,OC_Txn)="","",INDEX('OneCause_Paste'!$A$2620:$AZ$2620,1,OC_Txn)))</f>
        <v/>
      </c>
      <c r="M2620">
        <f>IF(OC_Pay=0,"",IF(INDEX('OneCause_Paste'!$A$2620:$AZ$2620,1,OC_Pay)="","",INDEX('OneCause_Paste'!$A$2620:$AZ$2620,1,OC_Pay)))</f>
        <v/>
      </c>
      <c r="N2620">
        <f>IF(I2620="","",IF(ISNUMBER(I2620),INT(I2620),IFERROR(INT(DATEVALUE(I2620)),IFERROR(INT(VALUE(I2620)),"bad"))))</f>
        <v/>
      </c>
      <c r="O2620">
        <f>IF(J2620="","",IF(ISNUMBER(J2620),ROUND(J2620,2),IFERROR(ROUND(VALUE(SUBSTITUTE(SUBSTITUTE(SUBSTITUTE(J2620,"$",""),",","")," ","")),2),"bad")))</f>
        <v/>
      </c>
      <c r="P2620">
        <f>IF(TRIM(K2620)="","",IFERROR(MATCH(LOWER(TRIM(K2620)),'Students'!$AH$2:$AH$701,0),IFERROR(MATCH(LOWER(TRIM(K2620)),'Students'!$AF$2:$AF$701,0),IFERROR(MATCH(LOWER(TRIM(K2620)),'Students'!$AG$2:$AG$701,0),""))))</f>
        <v/>
      </c>
      <c r="R2620">
        <f>IF(P2620="","",INDEX('Students'!$AD$2:$AD$701,P2620))</f>
        <v/>
      </c>
      <c r="S2620">
        <f>IF(H2620="OK",O2620,0)</f>
        <v/>
      </c>
      <c r="T2620">
        <f>IF(H2620="OK",N2620,"")</f>
        <v/>
      </c>
      <c r="U2620">
        <f>IF(OC_Donor=0,"",IF(INDEX('OneCause_Paste'!$A$2620:$AZ$2620,1,OC_Donor)="","",INDEX('OneCause_Paste'!$A$2620:$AZ$2620,1,OC_Donor)))</f>
        <v/>
      </c>
    </row>
    <row r="2621">
      <c r="A2621" s="62">
        <f>IF(H2621="","",IF(ISNUMBER(N2621),N2621,I2621))</f>
        <v/>
      </c>
      <c r="B2621">
        <f>IF(H2621="","",U2621)</f>
        <v/>
      </c>
      <c r="C2621">
        <f>IF(H2621="","",IF(P2621="",K2621,INDEX('Students'!$A$2:$A$701,P2621)))</f>
        <v/>
      </c>
      <c r="D2621">
        <f>IF(OR(H2621="",P2621=""),"",INDEX('Students'!$B$2:$B$701,P2621))</f>
        <v/>
      </c>
      <c r="E2621">
        <f>IF(OR(H2621="",P2621=""),"",INDEX('Students'!$C$2:$C$701,P2621))</f>
        <v/>
      </c>
      <c r="F2621" s="48">
        <f>IF(H2621="","",IF(ISNUMBER(O2621),O2621,J2621))</f>
        <v/>
      </c>
      <c r="G2621">
        <f>IF(H2621="","","OneCause")</f>
        <v/>
      </c>
      <c r="H2621">
        <f>IF(AND(I2621="",J2621="",K2621=""),"",IF(NOT(ISNUMBER(O2621)),"Bad amount",IF(O2621&lt;0,"Refund (not counted)",IF(O2621=0,"Zero amount",IF(NOT(ISNUMBER(N2621)),"Bad date",IF(P2621="","NAME NOT ON ROSTER",IF(L2621="","OK",IF(MATCH(L2621,$L$2:$L$3001,0)&lt;ROW()-1,"Duplicate (ignored)","OK"))))))))</f>
        <v/>
      </c>
      <c r="I2621">
        <f>IF(OC_Date=0,"",IF(INDEX('OneCause_Paste'!$A$2621:$AZ$2621,1,OC_Date)="","",INDEX('OneCause_Paste'!$A$2621:$AZ$2621,1,OC_Date)))</f>
        <v/>
      </c>
      <c r="J2621">
        <f>IF(OC_Amt=0,"",IF(INDEX('OneCause_Paste'!$A$2621:$AZ$2621,1,OC_Amt)="","",INDEX('OneCause_Paste'!$A$2621:$AZ$2621,1,OC_Amt)))</f>
        <v/>
      </c>
      <c r="K2621">
        <f>IF(OC_Name=0,"",IF(INDEX('OneCause_Paste'!$A$2621:$AZ$2621,1,OC_Name)="","",INDEX('OneCause_Paste'!$A$2621:$AZ$2621,1,OC_Name)))</f>
        <v/>
      </c>
      <c r="L2621">
        <f>IF(OC_Txn=0,"",IF(INDEX('OneCause_Paste'!$A$2621:$AZ$2621,1,OC_Txn)="","",INDEX('OneCause_Paste'!$A$2621:$AZ$2621,1,OC_Txn)))</f>
        <v/>
      </c>
      <c r="M2621">
        <f>IF(OC_Pay=0,"",IF(INDEX('OneCause_Paste'!$A$2621:$AZ$2621,1,OC_Pay)="","",INDEX('OneCause_Paste'!$A$2621:$AZ$2621,1,OC_Pay)))</f>
        <v/>
      </c>
      <c r="N2621">
        <f>IF(I2621="","",IF(ISNUMBER(I2621),INT(I2621),IFERROR(INT(DATEVALUE(I2621)),IFERROR(INT(VALUE(I2621)),"bad"))))</f>
        <v/>
      </c>
      <c r="O2621">
        <f>IF(J2621="","",IF(ISNUMBER(J2621),ROUND(J2621,2),IFERROR(ROUND(VALUE(SUBSTITUTE(SUBSTITUTE(SUBSTITUTE(J2621,"$",""),",","")," ","")),2),"bad")))</f>
        <v/>
      </c>
      <c r="P2621">
        <f>IF(TRIM(K2621)="","",IFERROR(MATCH(LOWER(TRIM(K2621)),'Students'!$AH$2:$AH$701,0),IFERROR(MATCH(LOWER(TRIM(K2621)),'Students'!$AF$2:$AF$701,0),IFERROR(MATCH(LOWER(TRIM(K2621)),'Students'!$AG$2:$AG$701,0),""))))</f>
        <v/>
      </c>
      <c r="R2621">
        <f>IF(P2621="","",INDEX('Students'!$AD$2:$AD$701,P2621))</f>
        <v/>
      </c>
      <c r="S2621">
        <f>IF(H2621="OK",O2621,0)</f>
        <v/>
      </c>
      <c r="T2621">
        <f>IF(H2621="OK",N2621,"")</f>
        <v/>
      </c>
      <c r="U2621">
        <f>IF(OC_Donor=0,"",IF(INDEX('OneCause_Paste'!$A$2621:$AZ$2621,1,OC_Donor)="","",INDEX('OneCause_Paste'!$A$2621:$AZ$2621,1,OC_Donor)))</f>
        <v/>
      </c>
    </row>
    <row r="2622">
      <c r="A2622" s="62">
        <f>IF(H2622="","",IF(ISNUMBER(N2622),N2622,I2622))</f>
        <v/>
      </c>
      <c r="B2622">
        <f>IF(H2622="","",U2622)</f>
        <v/>
      </c>
      <c r="C2622">
        <f>IF(H2622="","",IF(P2622="",K2622,INDEX('Students'!$A$2:$A$701,P2622)))</f>
        <v/>
      </c>
      <c r="D2622">
        <f>IF(OR(H2622="",P2622=""),"",INDEX('Students'!$B$2:$B$701,P2622))</f>
        <v/>
      </c>
      <c r="E2622">
        <f>IF(OR(H2622="",P2622=""),"",INDEX('Students'!$C$2:$C$701,P2622))</f>
        <v/>
      </c>
      <c r="F2622" s="48">
        <f>IF(H2622="","",IF(ISNUMBER(O2622),O2622,J2622))</f>
        <v/>
      </c>
      <c r="G2622">
        <f>IF(H2622="","","OneCause")</f>
        <v/>
      </c>
      <c r="H2622">
        <f>IF(AND(I2622="",J2622="",K2622=""),"",IF(NOT(ISNUMBER(O2622)),"Bad amount",IF(O2622&lt;0,"Refund (not counted)",IF(O2622=0,"Zero amount",IF(NOT(ISNUMBER(N2622)),"Bad date",IF(P2622="","NAME NOT ON ROSTER",IF(L2622="","OK",IF(MATCH(L2622,$L$2:$L$3001,0)&lt;ROW()-1,"Duplicate (ignored)","OK"))))))))</f>
        <v/>
      </c>
      <c r="I2622">
        <f>IF(OC_Date=0,"",IF(INDEX('OneCause_Paste'!$A$2622:$AZ$2622,1,OC_Date)="","",INDEX('OneCause_Paste'!$A$2622:$AZ$2622,1,OC_Date)))</f>
        <v/>
      </c>
      <c r="J2622">
        <f>IF(OC_Amt=0,"",IF(INDEX('OneCause_Paste'!$A$2622:$AZ$2622,1,OC_Amt)="","",INDEX('OneCause_Paste'!$A$2622:$AZ$2622,1,OC_Amt)))</f>
        <v/>
      </c>
      <c r="K2622">
        <f>IF(OC_Name=0,"",IF(INDEX('OneCause_Paste'!$A$2622:$AZ$2622,1,OC_Name)="","",INDEX('OneCause_Paste'!$A$2622:$AZ$2622,1,OC_Name)))</f>
        <v/>
      </c>
      <c r="L2622">
        <f>IF(OC_Txn=0,"",IF(INDEX('OneCause_Paste'!$A$2622:$AZ$2622,1,OC_Txn)="","",INDEX('OneCause_Paste'!$A$2622:$AZ$2622,1,OC_Txn)))</f>
        <v/>
      </c>
      <c r="M2622">
        <f>IF(OC_Pay=0,"",IF(INDEX('OneCause_Paste'!$A$2622:$AZ$2622,1,OC_Pay)="","",INDEX('OneCause_Paste'!$A$2622:$AZ$2622,1,OC_Pay)))</f>
        <v/>
      </c>
      <c r="N2622">
        <f>IF(I2622="","",IF(ISNUMBER(I2622),INT(I2622),IFERROR(INT(DATEVALUE(I2622)),IFERROR(INT(VALUE(I2622)),"bad"))))</f>
        <v/>
      </c>
      <c r="O2622">
        <f>IF(J2622="","",IF(ISNUMBER(J2622),ROUND(J2622,2),IFERROR(ROUND(VALUE(SUBSTITUTE(SUBSTITUTE(SUBSTITUTE(J2622,"$",""),",","")," ","")),2),"bad")))</f>
        <v/>
      </c>
      <c r="P2622">
        <f>IF(TRIM(K2622)="","",IFERROR(MATCH(LOWER(TRIM(K2622)),'Students'!$AH$2:$AH$701,0),IFERROR(MATCH(LOWER(TRIM(K2622)),'Students'!$AF$2:$AF$701,0),IFERROR(MATCH(LOWER(TRIM(K2622)),'Students'!$AG$2:$AG$701,0),""))))</f>
        <v/>
      </c>
      <c r="R2622">
        <f>IF(P2622="","",INDEX('Students'!$AD$2:$AD$701,P2622))</f>
        <v/>
      </c>
      <c r="S2622">
        <f>IF(H2622="OK",O2622,0)</f>
        <v/>
      </c>
      <c r="T2622">
        <f>IF(H2622="OK",N2622,"")</f>
        <v/>
      </c>
      <c r="U2622">
        <f>IF(OC_Donor=0,"",IF(INDEX('OneCause_Paste'!$A$2622:$AZ$2622,1,OC_Donor)="","",INDEX('OneCause_Paste'!$A$2622:$AZ$2622,1,OC_Donor)))</f>
        <v/>
      </c>
    </row>
    <row r="2623">
      <c r="A2623" s="62">
        <f>IF(H2623="","",IF(ISNUMBER(N2623),N2623,I2623))</f>
        <v/>
      </c>
      <c r="B2623">
        <f>IF(H2623="","",U2623)</f>
        <v/>
      </c>
      <c r="C2623">
        <f>IF(H2623="","",IF(P2623="",K2623,INDEX('Students'!$A$2:$A$701,P2623)))</f>
        <v/>
      </c>
      <c r="D2623">
        <f>IF(OR(H2623="",P2623=""),"",INDEX('Students'!$B$2:$B$701,P2623))</f>
        <v/>
      </c>
      <c r="E2623">
        <f>IF(OR(H2623="",P2623=""),"",INDEX('Students'!$C$2:$C$701,P2623))</f>
        <v/>
      </c>
      <c r="F2623" s="48">
        <f>IF(H2623="","",IF(ISNUMBER(O2623),O2623,J2623))</f>
        <v/>
      </c>
      <c r="G2623">
        <f>IF(H2623="","","OneCause")</f>
        <v/>
      </c>
      <c r="H2623">
        <f>IF(AND(I2623="",J2623="",K2623=""),"",IF(NOT(ISNUMBER(O2623)),"Bad amount",IF(O2623&lt;0,"Refund (not counted)",IF(O2623=0,"Zero amount",IF(NOT(ISNUMBER(N2623)),"Bad date",IF(P2623="","NAME NOT ON ROSTER",IF(L2623="","OK",IF(MATCH(L2623,$L$2:$L$3001,0)&lt;ROW()-1,"Duplicate (ignored)","OK"))))))))</f>
        <v/>
      </c>
      <c r="I2623">
        <f>IF(OC_Date=0,"",IF(INDEX('OneCause_Paste'!$A$2623:$AZ$2623,1,OC_Date)="","",INDEX('OneCause_Paste'!$A$2623:$AZ$2623,1,OC_Date)))</f>
        <v/>
      </c>
      <c r="J2623">
        <f>IF(OC_Amt=0,"",IF(INDEX('OneCause_Paste'!$A$2623:$AZ$2623,1,OC_Amt)="","",INDEX('OneCause_Paste'!$A$2623:$AZ$2623,1,OC_Amt)))</f>
        <v/>
      </c>
      <c r="K2623">
        <f>IF(OC_Name=0,"",IF(INDEX('OneCause_Paste'!$A$2623:$AZ$2623,1,OC_Name)="","",INDEX('OneCause_Paste'!$A$2623:$AZ$2623,1,OC_Name)))</f>
        <v/>
      </c>
      <c r="L2623">
        <f>IF(OC_Txn=0,"",IF(INDEX('OneCause_Paste'!$A$2623:$AZ$2623,1,OC_Txn)="","",INDEX('OneCause_Paste'!$A$2623:$AZ$2623,1,OC_Txn)))</f>
        <v/>
      </c>
      <c r="M2623">
        <f>IF(OC_Pay=0,"",IF(INDEX('OneCause_Paste'!$A$2623:$AZ$2623,1,OC_Pay)="","",INDEX('OneCause_Paste'!$A$2623:$AZ$2623,1,OC_Pay)))</f>
        <v/>
      </c>
      <c r="N2623">
        <f>IF(I2623="","",IF(ISNUMBER(I2623),INT(I2623),IFERROR(INT(DATEVALUE(I2623)),IFERROR(INT(VALUE(I2623)),"bad"))))</f>
        <v/>
      </c>
      <c r="O2623">
        <f>IF(J2623="","",IF(ISNUMBER(J2623),ROUND(J2623,2),IFERROR(ROUND(VALUE(SUBSTITUTE(SUBSTITUTE(SUBSTITUTE(J2623,"$",""),",","")," ","")),2),"bad")))</f>
        <v/>
      </c>
      <c r="P2623">
        <f>IF(TRIM(K2623)="","",IFERROR(MATCH(LOWER(TRIM(K2623)),'Students'!$AH$2:$AH$701,0),IFERROR(MATCH(LOWER(TRIM(K2623)),'Students'!$AF$2:$AF$701,0),IFERROR(MATCH(LOWER(TRIM(K2623)),'Students'!$AG$2:$AG$701,0),""))))</f>
        <v/>
      </c>
      <c r="R2623">
        <f>IF(P2623="","",INDEX('Students'!$AD$2:$AD$701,P2623))</f>
        <v/>
      </c>
      <c r="S2623">
        <f>IF(H2623="OK",O2623,0)</f>
        <v/>
      </c>
      <c r="T2623">
        <f>IF(H2623="OK",N2623,"")</f>
        <v/>
      </c>
      <c r="U2623">
        <f>IF(OC_Donor=0,"",IF(INDEX('OneCause_Paste'!$A$2623:$AZ$2623,1,OC_Donor)="","",INDEX('OneCause_Paste'!$A$2623:$AZ$2623,1,OC_Donor)))</f>
        <v/>
      </c>
    </row>
    <row r="2624">
      <c r="A2624" s="62">
        <f>IF(H2624="","",IF(ISNUMBER(N2624),N2624,I2624))</f>
        <v/>
      </c>
      <c r="B2624">
        <f>IF(H2624="","",U2624)</f>
        <v/>
      </c>
      <c r="C2624">
        <f>IF(H2624="","",IF(P2624="",K2624,INDEX('Students'!$A$2:$A$701,P2624)))</f>
        <v/>
      </c>
      <c r="D2624">
        <f>IF(OR(H2624="",P2624=""),"",INDEX('Students'!$B$2:$B$701,P2624))</f>
        <v/>
      </c>
      <c r="E2624">
        <f>IF(OR(H2624="",P2624=""),"",INDEX('Students'!$C$2:$C$701,P2624))</f>
        <v/>
      </c>
      <c r="F2624" s="48">
        <f>IF(H2624="","",IF(ISNUMBER(O2624),O2624,J2624))</f>
        <v/>
      </c>
      <c r="G2624">
        <f>IF(H2624="","","OneCause")</f>
        <v/>
      </c>
      <c r="H2624">
        <f>IF(AND(I2624="",J2624="",K2624=""),"",IF(NOT(ISNUMBER(O2624)),"Bad amount",IF(O2624&lt;0,"Refund (not counted)",IF(O2624=0,"Zero amount",IF(NOT(ISNUMBER(N2624)),"Bad date",IF(P2624="","NAME NOT ON ROSTER",IF(L2624="","OK",IF(MATCH(L2624,$L$2:$L$3001,0)&lt;ROW()-1,"Duplicate (ignored)","OK"))))))))</f>
        <v/>
      </c>
      <c r="I2624">
        <f>IF(OC_Date=0,"",IF(INDEX('OneCause_Paste'!$A$2624:$AZ$2624,1,OC_Date)="","",INDEX('OneCause_Paste'!$A$2624:$AZ$2624,1,OC_Date)))</f>
        <v/>
      </c>
      <c r="J2624">
        <f>IF(OC_Amt=0,"",IF(INDEX('OneCause_Paste'!$A$2624:$AZ$2624,1,OC_Amt)="","",INDEX('OneCause_Paste'!$A$2624:$AZ$2624,1,OC_Amt)))</f>
        <v/>
      </c>
      <c r="K2624">
        <f>IF(OC_Name=0,"",IF(INDEX('OneCause_Paste'!$A$2624:$AZ$2624,1,OC_Name)="","",INDEX('OneCause_Paste'!$A$2624:$AZ$2624,1,OC_Name)))</f>
        <v/>
      </c>
      <c r="L2624">
        <f>IF(OC_Txn=0,"",IF(INDEX('OneCause_Paste'!$A$2624:$AZ$2624,1,OC_Txn)="","",INDEX('OneCause_Paste'!$A$2624:$AZ$2624,1,OC_Txn)))</f>
        <v/>
      </c>
      <c r="M2624">
        <f>IF(OC_Pay=0,"",IF(INDEX('OneCause_Paste'!$A$2624:$AZ$2624,1,OC_Pay)="","",INDEX('OneCause_Paste'!$A$2624:$AZ$2624,1,OC_Pay)))</f>
        <v/>
      </c>
      <c r="N2624">
        <f>IF(I2624="","",IF(ISNUMBER(I2624),INT(I2624),IFERROR(INT(DATEVALUE(I2624)),IFERROR(INT(VALUE(I2624)),"bad"))))</f>
        <v/>
      </c>
      <c r="O2624">
        <f>IF(J2624="","",IF(ISNUMBER(J2624),ROUND(J2624,2),IFERROR(ROUND(VALUE(SUBSTITUTE(SUBSTITUTE(SUBSTITUTE(J2624,"$",""),",","")," ","")),2),"bad")))</f>
        <v/>
      </c>
      <c r="P2624">
        <f>IF(TRIM(K2624)="","",IFERROR(MATCH(LOWER(TRIM(K2624)),'Students'!$AH$2:$AH$701,0),IFERROR(MATCH(LOWER(TRIM(K2624)),'Students'!$AF$2:$AF$701,0),IFERROR(MATCH(LOWER(TRIM(K2624)),'Students'!$AG$2:$AG$701,0),""))))</f>
        <v/>
      </c>
      <c r="R2624">
        <f>IF(P2624="","",INDEX('Students'!$AD$2:$AD$701,P2624))</f>
        <v/>
      </c>
      <c r="S2624">
        <f>IF(H2624="OK",O2624,0)</f>
        <v/>
      </c>
      <c r="T2624">
        <f>IF(H2624="OK",N2624,"")</f>
        <v/>
      </c>
      <c r="U2624">
        <f>IF(OC_Donor=0,"",IF(INDEX('OneCause_Paste'!$A$2624:$AZ$2624,1,OC_Donor)="","",INDEX('OneCause_Paste'!$A$2624:$AZ$2624,1,OC_Donor)))</f>
        <v/>
      </c>
    </row>
    <row r="2625">
      <c r="A2625" s="62">
        <f>IF(H2625="","",IF(ISNUMBER(N2625),N2625,I2625))</f>
        <v/>
      </c>
      <c r="B2625">
        <f>IF(H2625="","",U2625)</f>
        <v/>
      </c>
      <c r="C2625">
        <f>IF(H2625="","",IF(P2625="",K2625,INDEX('Students'!$A$2:$A$701,P2625)))</f>
        <v/>
      </c>
      <c r="D2625">
        <f>IF(OR(H2625="",P2625=""),"",INDEX('Students'!$B$2:$B$701,P2625))</f>
        <v/>
      </c>
      <c r="E2625">
        <f>IF(OR(H2625="",P2625=""),"",INDEX('Students'!$C$2:$C$701,P2625))</f>
        <v/>
      </c>
      <c r="F2625" s="48">
        <f>IF(H2625="","",IF(ISNUMBER(O2625),O2625,J2625))</f>
        <v/>
      </c>
      <c r="G2625">
        <f>IF(H2625="","","OneCause")</f>
        <v/>
      </c>
      <c r="H2625">
        <f>IF(AND(I2625="",J2625="",K2625=""),"",IF(NOT(ISNUMBER(O2625)),"Bad amount",IF(O2625&lt;0,"Refund (not counted)",IF(O2625=0,"Zero amount",IF(NOT(ISNUMBER(N2625)),"Bad date",IF(P2625="","NAME NOT ON ROSTER",IF(L2625="","OK",IF(MATCH(L2625,$L$2:$L$3001,0)&lt;ROW()-1,"Duplicate (ignored)","OK"))))))))</f>
        <v/>
      </c>
      <c r="I2625">
        <f>IF(OC_Date=0,"",IF(INDEX('OneCause_Paste'!$A$2625:$AZ$2625,1,OC_Date)="","",INDEX('OneCause_Paste'!$A$2625:$AZ$2625,1,OC_Date)))</f>
        <v/>
      </c>
      <c r="J2625">
        <f>IF(OC_Amt=0,"",IF(INDEX('OneCause_Paste'!$A$2625:$AZ$2625,1,OC_Amt)="","",INDEX('OneCause_Paste'!$A$2625:$AZ$2625,1,OC_Amt)))</f>
        <v/>
      </c>
      <c r="K2625">
        <f>IF(OC_Name=0,"",IF(INDEX('OneCause_Paste'!$A$2625:$AZ$2625,1,OC_Name)="","",INDEX('OneCause_Paste'!$A$2625:$AZ$2625,1,OC_Name)))</f>
        <v/>
      </c>
      <c r="L2625">
        <f>IF(OC_Txn=0,"",IF(INDEX('OneCause_Paste'!$A$2625:$AZ$2625,1,OC_Txn)="","",INDEX('OneCause_Paste'!$A$2625:$AZ$2625,1,OC_Txn)))</f>
        <v/>
      </c>
      <c r="M2625">
        <f>IF(OC_Pay=0,"",IF(INDEX('OneCause_Paste'!$A$2625:$AZ$2625,1,OC_Pay)="","",INDEX('OneCause_Paste'!$A$2625:$AZ$2625,1,OC_Pay)))</f>
        <v/>
      </c>
      <c r="N2625">
        <f>IF(I2625="","",IF(ISNUMBER(I2625),INT(I2625),IFERROR(INT(DATEVALUE(I2625)),IFERROR(INT(VALUE(I2625)),"bad"))))</f>
        <v/>
      </c>
      <c r="O2625">
        <f>IF(J2625="","",IF(ISNUMBER(J2625),ROUND(J2625,2),IFERROR(ROUND(VALUE(SUBSTITUTE(SUBSTITUTE(SUBSTITUTE(J2625,"$",""),",","")," ","")),2),"bad")))</f>
        <v/>
      </c>
      <c r="P2625">
        <f>IF(TRIM(K2625)="","",IFERROR(MATCH(LOWER(TRIM(K2625)),'Students'!$AH$2:$AH$701,0),IFERROR(MATCH(LOWER(TRIM(K2625)),'Students'!$AF$2:$AF$701,0),IFERROR(MATCH(LOWER(TRIM(K2625)),'Students'!$AG$2:$AG$701,0),""))))</f>
        <v/>
      </c>
      <c r="R2625">
        <f>IF(P2625="","",INDEX('Students'!$AD$2:$AD$701,P2625))</f>
        <v/>
      </c>
      <c r="S2625">
        <f>IF(H2625="OK",O2625,0)</f>
        <v/>
      </c>
      <c r="T2625">
        <f>IF(H2625="OK",N2625,"")</f>
        <v/>
      </c>
      <c r="U2625">
        <f>IF(OC_Donor=0,"",IF(INDEX('OneCause_Paste'!$A$2625:$AZ$2625,1,OC_Donor)="","",INDEX('OneCause_Paste'!$A$2625:$AZ$2625,1,OC_Donor)))</f>
        <v/>
      </c>
    </row>
    <row r="2626">
      <c r="A2626" s="62">
        <f>IF(H2626="","",IF(ISNUMBER(N2626),N2626,I2626))</f>
        <v/>
      </c>
      <c r="B2626">
        <f>IF(H2626="","",U2626)</f>
        <v/>
      </c>
      <c r="C2626">
        <f>IF(H2626="","",IF(P2626="",K2626,INDEX('Students'!$A$2:$A$701,P2626)))</f>
        <v/>
      </c>
      <c r="D2626">
        <f>IF(OR(H2626="",P2626=""),"",INDEX('Students'!$B$2:$B$701,P2626))</f>
        <v/>
      </c>
      <c r="E2626">
        <f>IF(OR(H2626="",P2626=""),"",INDEX('Students'!$C$2:$C$701,P2626))</f>
        <v/>
      </c>
      <c r="F2626" s="48">
        <f>IF(H2626="","",IF(ISNUMBER(O2626),O2626,J2626))</f>
        <v/>
      </c>
      <c r="G2626">
        <f>IF(H2626="","","OneCause")</f>
        <v/>
      </c>
      <c r="H2626">
        <f>IF(AND(I2626="",J2626="",K2626=""),"",IF(NOT(ISNUMBER(O2626)),"Bad amount",IF(O2626&lt;0,"Refund (not counted)",IF(O2626=0,"Zero amount",IF(NOT(ISNUMBER(N2626)),"Bad date",IF(P2626="","NAME NOT ON ROSTER",IF(L2626="","OK",IF(MATCH(L2626,$L$2:$L$3001,0)&lt;ROW()-1,"Duplicate (ignored)","OK"))))))))</f>
        <v/>
      </c>
      <c r="I2626">
        <f>IF(OC_Date=0,"",IF(INDEX('OneCause_Paste'!$A$2626:$AZ$2626,1,OC_Date)="","",INDEX('OneCause_Paste'!$A$2626:$AZ$2626,1,OC_Date)))</f>
        <v/>
      </c>
      <c r="J2626">
        <f>IF(OC_Amt=0,"",IF(INDEX('OneCause_Paste'!$A$2626:$AZ$2626,1,OC_Amt)="","",INDEX('OneCause_Paste'!$A$2626:$AZ$2626,1,OC_Amt)))</f>
        <v/>
      </c>
      <c r="K2626">
        <f>IF(OC_Name=0,"",IF(INDEX('OneCause_Paste'!$A$2626:$AZ$2626,1,OC_Name)="","",INDEX('OneCause_Paste'!$A$2626:$AZ$2626,1,OC_Name)))</f>
        <v/>
      </c>
      <c r="L2626">
        <f>IF(OC_Txn=0,"",IF(INDEX('OneCause_Paste'!$A$2626:$AZ$2626,1,OC_Txn)="","",INDEX('OneCause_Paste'!$A$2626:$AZ$2626,1,OC_Txn)))</f>
        <v/>
      </c>
      <c r="M2626">
        <f>IF(OC_Pay=0,"",IF(INDEX('OneCause_Paste'!$A$2626:$AZ$2626,1,OC_Pay)="","",INDEX('OneCause_Paste'!$A$2626:$AZ$2626,1,OC_Pay)))</f>
        <v/>
      </c>
      <c r="N2626">
        <f>IF(I2626="","",IF(ISNUMBER(I2626),INT(I2626),IFERROR(INT(DATEVALUE(I2626)),IFERROR(INT(VALUE(I2626)),"bad"))))</f>
        <v/>
      </c>
      <c r="O2626">
        <f>IF(J2626="","",IF(ISNUMBER(J2626),ROUND(J2626,2),IFERROR(ROUND(VALUE(SUBSTITUTE(SUBSTITUTE(SUBSTITUTE(J2626,"$",""),",","")," ","")),2),"bad")))</f>
        <v/>
      </c>
      <c r="P2626">
        <f>IF(TRIM(K2626)="","",IFERROR(MATCH(LOWER(TRIM(K2626)),'Students'!$AH$2:$AH$701,0),IFERROR(MATCH(LOWER(TRIM(K2626)),'Students'!$AF$2:$AF$701,0),IFERROR(MATCH(LOWER(TRIM(K2626)),'Students'!$AG$2:$AG$701,0),""))))</f>
        <v/>
      </c>
      <c r="R2626">
        <f>IF(P2626="","",INDEX('Students'!$AD$2:$AD$701,P2626))</f>
        <v/>
      </c>
      <c r="S2626">
        <f>IF(H2626="OK",O2626,0)</f>
        <v/>
      </c>
      <c r="T2626">
        <f>IF(H2626="OK",N2626,"")</f>
        <v/>
      </c>
      <c r="U2626">
        <f>IF(OC_Donor=0,"",IF(INDEX('OneCause_Paste'!$A$2626:$AZ$2626,1,OC_Donor)="","",INDEX('OneCause_Paste'!$A$2626:$AZ$2626,1,OC_Donor)))</f>
        <v/>
      </c>
    </row>
    <row r="2627">
      <c r="A2627" s="62">
        <f>IF(H2627="","",IF(ISNUMBER(N2627),N2627,I2627))</f>
        <v/>
      </c>
      <c r="B2627">
        <f>IF(H2627="","",U2627)</f>
        <v/>
      </c>
      <c r="C2627">
        <f>IF(H2627="","",IF(P2627="",K2627,INDEX('Students'!$A$2:$A$701,P2627)))</f>
        <v/>
      </c>
      <c r="D2627">
        <f>IF(OR(H2627="",P2627=""),"",INDEX('Students'!$B$2:$B$701,P2627))</f>
        <v/>
      </c>
      <c r="E2627">
        <f>IF(OR(H2627="",P2627=""),"",INDEX('Students'!$C$2:$C$701,P2627))</f>
        <v/>
      </c>
      <c r="F2627" s="48">
        <f>IF(H2627="","",IF(ISNUMBER(O2627),O2627,J2627))</f>
        <v/>
      </c>
      <c r="G2627">
        <f>IF(H2627="","","OneCause")</f>
        <v/>
      </c>
      <c r="H2627">
        <f>IF(AND(I2627="",J2627="",K2627=""),"",IF(NOT(ISNUMBER(O2627)),"Bad amount",IF(O2627&lt;0,"Refund (not counted)",IF(O2627=0,"Zero amount",IF(NOT(ISNUMBER(N2627)),"Bad date",IF(P2627="","NAME NOT ON ROSTER",IF(L2627="","OK",IF(MATCH(L2627,$L$2:$L$3001,0)&lt;ROW()-1,"Duplicate (ignored)","OK"))))))))</f>
        <v/>
      </c>
      <c r="I2627">
        <f>IF(OC_Date=0,"",IF(INDEX('OneCause_Paste'!$A$2627:$AZ$2627,1,OC_Date)="","",INDEX('OneCause_Paste'!$A$2627:$AZ$2627,1,OC_Date)))</f>
        <v/>
      </c>
      <c r="J2627">
        <f>IF(OC_Amt=0,"",IF(INDEX('OneCause_Paste'!$A$2627:$AZ$2627,1,OC_Amt)="","",INDEX('OneCause_Paste'!$A$2627:$AZ$2627,1,OC_Amt)))</f>
        <v/>
      </c>
      <c r="K2627">
        <f>IF(OC_Name=0,"",IF(INDEX('OneCause_Paste'!$A$2627:$AZ$2627,1,OC_Name)="","",INDEX('OneCause_Paste'!$A$2627:$AZ$2627,1,OC_Name)))</f>
        <v/>
      </c>
      <c r="L2627">
        <f>IF(OC_Txn=0,"",IF(INDEX('OneCause_Paste'!$A$2627:$AZ$2627,1,OC_Txn)="","",INDEX('OneCause_Paste'!$A$2627:$AZ$2627,1,OC_Txn)))</f>
        <v/>
      </c>
      <c r="M2627">
        <f>IF(OC_Pay=0,"",IF(INDEX('OneCause_Paste'!$A$2627:$AZ$2627,1,OC_Pay)="","",INDEX('OneCause_Paste'!$A$2627:$AZ$2627,1,OC_Pay)))</f>
        <v/>
      </c>
      <c r="N2627">
        <f>IF(I2627="","",IF(ISNUMBER(I2627),INT(I2627),IFERROR(INT(DATEVALUE(I2627)),IFERROR(INT(VALUE(I2627)),"bad"))))</f>
        <v/>
      </c>
      <c r="O2627">
        <f>IF(J2627="","",IF(ISNUMBER(J2627),ROUND(J2627,2),IFERROR(ROUND(VALUE(SUBSTITUTE(SUBSTITUTE(SUBSTITUTE(J2627,"$",""),",","")," ","")),2),"bad")))</f>
        <v/>
      </c>
      <c r="P2627">
        <f>IF(TRIM(K2627)="","",IFERROR(MATCH(LOWER(TRIM(K2627)),'Students'!$AH$2:$AH$701,0),IFERROR(MATCH(LOWER(TRIM(K2627)),'Students'!$AF$2:$AF$701,0),IFERROR(MATCH(LOWER(TRIM(K2627)),'Students'!$AG$2:$AG$701,0),""))))</f>
        <v/>
      </c>
      <c r="R2627">
        <f>IF(P2627="","",INDEX('Students'!$AD$2:$AD$701,P2627))</f>
        <v/>
      </c>
      <c r="S2627">
        <f>IF(H2627="OK",O2627,0)</f>
        <v/>
      </c>
      <c r="T2627">
        <f>IF(H2627="OK",N2627,"")</f>
        <v/>
      </c>
      <c r="U2627">
        <f>IF(OC_Donor=0,"",IF(INDEX('OneCause_Paste'!$A$2627:$AZ$2627,1,OC_Donor)="","",INDEX('OneCause_Paste'!$A$2627:$AZ$2627,1,OC_Donor)))</f>
        <v/>
      </c>
    </row>
    <row r="2628">
      <c r="A2628" s="62">
        <f>IF(H2628="","",IF(ISNUMBER(N2628),N2628,I2628))</f>
        <v/>
      </c>
      <c r="B2628">
        <f>IF(H2628="","",U2628)</f>
        <v/>
      </c>
      <c r="C2628">
        <f>IF(H2628="","",IF(P2628="",K2628,INDEX('Students'!$A$2:$A$701,P2628)))</f>
        <v/>
      </c>
      <c r="D2628">
        <f>IF(OR(H2628="",P2628=""),"",INDEX('Students'!$B$2:$B$701,P2628))</f>
        <v/>
      </c>
      <c r="E2628">
        <f>IF(OR(H2628="",P2628=""),"",INDEX('Students'!$C$2:$C$701,P2628))</f>
        <v/>
      </c>
      <c r="F2628" s="48">
        <f>IF(H2628="","",IF(ISNUMBER(O2628),O2628,J2628))</f>
        <v/>
      </c>
      <c r="G2628">
        <f>IF(H2628="","","OneCause")</f>
        <v/>
      </c>
      <c r="H2628">
        <f>IF(AND(I2628="",J2628="",K2628=""),"",IF(NOT(ISNUMBER(O2628)),"Bad amount",IF(O2628&lt;0,"Refund (not counted)",IF(O2628=0,"Zero amount",IF(NOT(ISNUMBER(N2628)),"Bad date",IF(P2628="","NAME NOT ON ROSTER",IF(L2628="","OK",IF(MATCH(L2628,$L$2:$L$3001,0)&lt;ROW()-1,"Duplicate (ignored)","OK"))))))))</f>
        <v/>
      </c>
      <c r="I2628">
        <f>IF(OC_Date=0,"",IF(INDEX('OneCause_Paste'!$A$2628:$AZ$2628,1,OC_Date)="","",INDEX('OneCause_Paste'!$A$2628:$AZ$2628,1,OC_Date)))</f>
        <v/>
      </c>
      <c r="J2628">
        <f>IF(OC_Amt=0,"",IF(INDEX('OneCause_Paste'!$A$2628:$AZ$2628,1,OC_Amt)="","",INDEX('OneCause_Paste'!$A$2628:$AZ$2628,1,OC_Amt)))</f>
        <v/>
      </c>
      <c r="K2628">
        <f>IF(OC_Name=0,"",IF(INDEX('OneCause_Paste'!$A$2628:$AZ$2628,1,OC_Name)="","",INDEX('OneCause_Paste'!$A$2628:$AZ$2628,1,OC_Name)))</f>
        <v/>
      </c>
      <c r="L2628">
        <f>IF(OC_Txn=0,"",IF(INDEX('OneCause_Paste'!$A$2628:$AZ$2628,1,OC_Txn)="","",INDEX('OneCause_Paste'!$A$2628:$AZ$2628,1,OC_Txn)))</f>
        <v/>
      </c>
      <c r="M2628">
        <f>IF(OC_Pay=0,"",IF(INDEX('OneCause_Paste'!$A$2628:$AZ$2628,1,OC_Pay)="","",INDEX('OneCause_Paste'!$A$2628:$AZ$2628,1,OC_Pay)))</f>
        <v/>
      </c>
      <c r="N2628">
        <f>IF(I2628="","",IF(ISNUMBER(I2628),INT(I2628),IFERROR(INT(DATEVALUE(I2628)),IFERROR(INT(VALUE(I2628)),"bad"))))</f>
        <v/>
      </c>
      <c r="O2628">
        <f>IF(J2628="","",IF(ISNUMBER(J2628),ROUND(J2628,2),IFERROR(ROUND(VALUE(SUBSTITUTE(SUBSTITUTE(SUBSTITUTE(J2628,"$",""),",","")," ","")),2),"bad")))</f>
        <v/>
      </c>
      <c r="P2628">
        <f>IF(TRIM(K2628)="","",IFERROR(MATCH(LOWER(TRIM(K2628)),'Students'!$AH$2:$AH$701,0),IFERROR(MATCH(LOWER(TRIM(K2628)),'Students'!$AF$2:$AF$701,0),IFERROR(MATCH(LOWER(TRIM(K2628)),'Students'!$AG$2:$AG$701,0),""))))</f>
        <v/>
      </c>
      <c r="R2628">
        <f>IF(P2628="","",INDEX('Students'!$AD$2:$AD$701,P2628))</f>
        <v/>
      </c>
      <c r="S2628">
        <f>IF(H2628="OK",O2628,0)</f>
        <v/>
      </c>
      <c r="T2628">
        <f>IF(H2628="OK",N2628,"")</f>
        <v/>
      </c>
      <c r="U2628">
        <f>IF(OC_Donor=0,"",IF(INDEX('OneCause_Paste'!$A$2628:$AZ$2628,1,OC_Donor)="","",INDEX('OneCause_Paste'!$A$2628:$AZ$2628,1,OC_Donor)))</f>
        <v/>
      </c>
    </row>
    <row r="2629">
      <c r="A2629" s="62">
        <f>IF(H2629="","",IF(ISNUMBER(N2629),N2629,I2629))</f>
        <v/>
      </c>
      <c r="B2629">
        <f>IF(H2629="","",U2629)</f>
        <v/>
      </c>
      <c r="C2629">
        <f>IF(H2629="","",IF(P2629="",K2629,INDEX('Students'!$A$2:$A$701,P2629)))</f>
        <v/>
      </c>
      <c r="D2629">
        <f>IF(OR(H2629="",P2629=""),"",INDEX('Students'!$B$2:$B$701,P2629))</f>
        <v/>
      </c>
      <c r="E2629">
        <f>IF(OR(H2629="",P2629=""),"",INDEX('Students'!$C$2:$C$701,P2629))</f>
        <v/>
      </c>
      <c r="F2629" s="48">
        <f>IF(H2629="","",IF(ISNUMBER(O2629),O2629,J2629))</f>
        <v/>
      </c>
      <c r="G2629">
        <f>IF(H2629="","","OneCause")</f>
        <v/>
      </c>
      <c r="H2629">
        <f>IF(AND(I2629="",J2629="",K2629=""),"",IF(NOT(ISNUMBER(O2629)),"Bad amount",IF(O2629&lt;0,"Refund (not counted)",IF(O2629=0,"Zero amount",IF(NOT(ISNUMBER(N2629)),"Bad date",IF(P2629="","NAME NOT ON ROSTER",IF(L2629="","OK",IF(MATCH(L2629,$L$2:$L$3001,0)&lt;ROW()-1,"Duplicate (ignored)","OK"))))))))</f>
        <v/>
      </c>
      <c r="I2629">
        <f>IF(OC_Date=0,"",IF(INDEX('OneCause_Paste'!$A$2629:$AZ$2629,1,OC_Date)="","",INDEX('OneCause_Paste'!$A$2629:$AZ$2629,1,OC_Date)))</f>
        <v/>
      </c>
      <c r="J2629">
        <f>IF(OC_Amt=0,"",IF(INDEX('OneCause_Paste'!$A$2629:$AZ$2629,1,OC_Amt)="","",INDEX('OneCause_Paste'!$A$2629:$AZ$2629,1,OC_Amt)))</f>
        <v/>
      </c>
      <c r="K2629">
        <f>IF(OC_Name=0,"",IF(INDEX('OneCause_Paste'!$A$2629:$AZ$2629,1,OC_Name)="","",INDEX('OneCause_Paste'!$A$2629:$AZ$2629,1,OC_Name)))</f>
        <v/>
      </c>
      <c r="L2629">
        <f>IF(OC_Txn=0,"",IF(INDEX('OneCause_Paste'!$A$2629:$AZ$2629,1,OC_Txn)="","",INDEX('OneCause_Paste'!$A$2629:$AZ$2629,1,OC_Txn)))</f>
        <v/>
      </c>
      <c r="M2629">
        <f>IF(OC_Pay=0,"",IF(INDEX('OneCause_Paste'!$A$2629:$AZ$2629,1,OC_Pay)="","",INDEX('OneCause_Paste'!$A$2629:$AZ$2629,1,OC_Pay)))</f>
        <v/>
      </c>
      <c r="N2629">
        <f>IF(I2629="","",IF(ISNUMBER(I2629),INT(I2629),IFERROR(INT(DATEVALUE(I2629)),IFERROR(INT(VALUE(I2629)),"bad"))))</f>
        <v/>
      </c>
      <c r="O2629">
        <f>IF(J2629="","",IF(ISNUMBER(J2629),ROUND(J2629,2),IFERROR(ROUND(VALUE(SUBSTITUTE(SUBSTITUTE(SUBSTITUTE(J2629,"$",""),",","")," ","")),2),"bad")))</f>
        <v/>
      </c>
      <c r="P2629">
        <f>IF(TRIM(K2629)="","",IFERROR(MATCH(LOWER(TRIM(K2629)),'Students'!$AH$2:$AH$701,0),IFERROR(MATCH(LOWER(TRIM(K2629)),'Students'!$AF$2:$AF$701,0),IFERROR(MATCH(LOWER(TRIM(K2629)),'Students'!$AG$2:$AG$701,0),""))))</f>
        <v/>
      </c>
      <c r="R2629">
        <f>IF(P2629="","",INDEX('Students'!$AD$2:$AD$701,P2629))</f>
        <v/>
      </c>
      <c r="S2629">
        <f>IF(H2629="OK",O2629,0)</f>
        <v/>
      </c>
      <c r="T2629">
        <f>IF(H2629="OK",N2629,"")</f>
        <v/>
      </c>
      <c r="U2629">
        <f>IF(OC_Donor=0,"",IF(INDEX('OneCause_Paste'!$A$2629:$AZ$2629,1,OC_Donor)="","",INDEX('OneCause_Paste'!$A$2629:$AZ$2629,1,OC_Donor)))</f>
        <v/>
      </c>
    </row>
    <row r="2630">
      <c r="A2630" s="62">
        <f>IF(H2630="","",IF(ISNUMBER(N2630),N2630,I2630))</f>
        <v/>
      </c>
      <c r="B2630">
        <f>IF(H2630="","",U2630)</f>
        <v/>
      </c>
      <c r="C2630">
        <f>IF(H2630="","",IF(P2630="",K2630,INDEX('Students'!$A$2:$A$701,P2630)))</f>
        <v/>
      </c>
      <c r="D2630">
        <f>IF(OR(H2630="",P2630=""),"",INDEX('Students'!$B$2:$B$701,P2630))</f>
        <v/>
      </c>
      <c r="E2630">
        <f>IF(OR(H2630="",P2630=""),"",INDEX('Students'!$C$2:$C$701,P2630))</f>
        <v/>
      </c>
      <c r="F2630" s="48">
        <f>IF(H2630="","",IF(ISNUMBER(O2630),O2630,J2630))</f>
        <v/>
      </c>
      <c r="G2630">
        <f>IF(H2630="","","OneCause")</f>
        <v/>
      </c>
      <c r="H2630">
        <f>IF(AND(I2630="",J2630="",K2630=""),"",IF(NOT(ISNUMBER(O2630)),"Bad amount",IF(O2630&lt;0,"Refund (not counted)",IF(O2630=0,"Zero amount",IF(NOT(ISNUMBER(N2630)),"Bad date",IF(P2630="","NAME NOT ON ROSTER",IF(L2630="","OK",IF(MATCH(L2630,$L$2:$L$3001,0)&lt;ROW()-1,"Duplicate (ignored)","OK"))))))))</f>
        <v/>
      </c>
      <c r="I2630">
        <f>IF(OC_Date=0,"",IF(INDEX('OneCause_Paste'!$A$2630:$AZ$2630,1,OC_Date)="","",INDEX('OneCause_Paste'!$A$2630:$AZ$2630,1,OC_Date)))</f>
        <v/>
      </c>
      <c r="J2630">
        <f>IF(OC_Amt=0,"",IF(INDEX('OneCause_Paste'!$A$2630:$AZ$2630,1,OC_Amt)="","",INDEX('OneCause_Paste'!$A$2630:$AZ$2630,1,OC_Amt)))</f>
        <v/>
      </c>
      <c r="K2630">
        <f>IF(OC_Name=0,"",IF(INDEX('OneCause_Paste'!$A$2630:$AZ$2630,1,OC_Name)="","",INDEX('OneCause_Paste'!$A$2630:$AZ$2630,1,OC_Name)))</f>
        <v/>
      </c>
      <c r="L2630">
        <f>IF(OC_Txn=0,"",IF(INDEX('OneCause_Paste'!$A$2630:$AZ$2630,1,OC_Txn)="","",INDEX('OneCause_Paste'!$A$2630:$AZ$2630,1,OC_Txn)))</f>
        <v/>
      </c>
      <c r="M2630">
        <f>IF(OC_Pay=0,"",IF(INDEX('OneCause_Paste'!$A$2630:$AZ$2630,1,OC_Pay)="","",INDEX('OneCause_Paste'!$A$2630:$AZ$2630,1,OC_Pay)))</f>
        <v/>
      </c>
      <c r="N2630">
        <f>IF(I2630="","",IF(ISNUMBER(I2630),INT(I2630),IFERROR(INT(DATEVALUE(I2630)),IFERROR(INT(VALUE(I2630)),"bad"))))</f>
        <v/>
      </c>
      <c r="O2630">
        <f>IF(J2630="","",IF(ISNUMBER(J2630),ROUND(J2630,2),IFERROR(ROUND(VALUE(SUBSTITUTE(SUBSTITUTE(SUBSTITUTE(J2630,"$",""),",","")," ","")),2),"bad")))</f>
        <v/>
      </c>
      <c r="P2630">
        <f>IF(TRIM(K2630)="","",IFERROR(MATCH(LOWER(TRIM(K2630)),'Students'!$AH$2:$AH$701,0),IFERROR(MATCH(LOWER(TRIM(K2630)),'Students'!$AF$2:$AF$701,0),IFERROR(MATCH(LOWER(TRIM(K2630)),'Students'!$AG$2:$AG$701,0),""))))</f>
        <v/>
      </c>
      <c r="R2630">
        <f>IF(P2630="","",INDEX('Students'!$AD$2:$AD$701,P2630))</f>
        <v/>
      </c>
      <c r="S2630">
        <f>IF(H2630="OK",O2630,0)</f>
        <v/>
      </c>
      <c r="T2630">
        <f>IF(H2630="OK",N2630,"")</f>
        <v/>
      </c>
      <c r="U2630">
        <f>IF(OC_Donor=0,"",IF(INDEX('OneCause_Paste'!$A$2630:$AZ$2630,1,OC_Donor)="","",INDEX('OneCause_Paste'!$A$2630:$AZ$2630,1,OC_Donor)))</f>
        <v/>
      </c>
    </row>
    <row r="2631">
      <c r="A2631" s="62">
        <f>IF(H2631="","",IF(ISNUMBER(N2631),N2631,I2631))</f>
        <v/>
      </c>
      <c r="B2631">
        <f>IF(H2631="","",U2631)</f>
        <v/>
      </c>
      <c r="C2631">
        <f>IF(H2631="","",IF(P2631="",K2631,INDEX('Students'!$A$2:$A$701,P2631)))</f>
        <v/>
      </c>
      <c r="D2631">
        <f>IF(OR(H2631="",P2631=""),"",INDEX('Students'!$B$2:$B$701,P2631))</f>
        <v/>
      </c>
      <c r="E2631">
        <f>IF(OR(H2631="",P2631=""),"",INDEX('Students'!$C$2:$C$701,P2631))</f>
        <v/>
      </c>
      <c r="F2631" s="48">
        <f>IF(H2631="","",IF(ISNUMBER(O2631),O2631,J2631))</f>
        <v/>
      </c>
      <c r="G2631">
        <f>IF(H2631="","","OneCause")</f>
        <v/>
      </c>
      <c r="H2631">
        <f>IF(AND(I2631="",J2631="",K2631=""),"",IF(NOT(ISNUMBER(O2631)),"Bad amount",IF(O2631&lt;0,"Refund (not counted)",IF(O2631=0,"Zero amount",IF(NOT(ISNUMBER(N2631)),"Bad date",IF(P2631="","NAME NOT ON ROSTER",IF(L2631="","OK",IF(MATCH(L2631,$L$2:$L$3001,0)&lt;ROW()-1,"Duplicate (ignored)","OK"))))))))</f>
        <v/>
      </c>
      <c r="I2631">
        <f>IF(OC_Date=0,"",IF(INDEX('OneCause_Paste'!$A$2631:$AZ$2631,1,OC_Date)="","",INDEX('OneCause_Paste'!$A$2631:$AZ$2631,1,OC_Date)))</f>
        <v/>
      </c>
      <c r="J2631">
        <f>IF(OC_Amt=0,"",IF(INDEX('OneCause_Paste'!$A$2631:$AZ$2631,1,OC_Amt)="","",INDEX('OneCause_Paste'!$A$2631:$AZ$2631,1,OC_Amt)))</f>
        <v/>
      </c>
      <c r="K2631">
        <f>IF(OC_Name=0,"",IF(INDEX('OneCause_Paste'!$A$2631:$AZ$2631,1,OC_Name)="","",INDEX('OneCause_Paste'!$A$2631:$AZ$2631,1,OC_Name)))</f>
        <v/>
      </c>
      <c r="L2631">
        <f>IF(OC_Txn=0,"",IF(INDEX('OneCause_Paste'!$A$2631:$AZ$2631,1,OC_Txn)="","",INDEX('OneCause_Paste'!$A$2631:$AZ$2631,1,OC_Txn)))</f>
        <v/>
      </c>
      <c r="M2631">
        <f>IF(OC_Pay=0,"",IF(INDEX('OneCause_Paste'!$A$2631:$AZ$2631,1,OC_Pay)="","",INDEX('OneCause_Paste'!$A$2631:$AZ$2631,1,OC_Pay)))</f>
        <v/>
      </c>
      <c r="N2631">
        <f>IF(I2631="","",IF(ISNUMBER(I2631),INT(I2631),IFERROR(INT(DATEVALUE(I2631)),IFERROR(INT(VALUE(I2631)),"bad"))))</f>
        <v/>
      </c>
      <c r="O2631">
        <f>IF(J2631="","",IF(ISNUMBER(J2631),ROUND(J2631,2),IFERROR(ROUND(VALUE(SUBSTITUTE(SUBSTITUTE(SUBSTITUTE(J2631,"$",""),",","")," ","")),2),"bad")))</f>
        <v/>
      </c>
      <c r="P2631">
        <f>IF(TRIM(K2631)="","",IFERROR(MATCH(LOWER(TRIM(K2631)),'Students'!$AH$2:$AH$701,0),IFERROR(MATCH(LOWER(TRIM(K2631)),'Students'!$AF$2:$AF$701,0),IFERROR(MATCH(LOWER(TRIM(K2631)),'Students'!$AG$2:$AG$701,0),""))))</f>
        <v/>
      </c>
      <c r="R2631">
        <f>IF(P2631="","",INDEX('Students'!$AD$2:$AD$701,P2631))</f>
        <v/>
      </c>
      <c r="S2631">
        <f>IF(H2631="OK",O2631,0)</f>
        <v/>
      </c>
      <c r="T2631">
        <f>IF(H2631="OK",N2631,"")</f>
        <v/>
      </c>
      <c r="U2631">
        <f>IF(OC_Donor=0,"",IF(INDEX('OneCause_Paste'!$A$2631:$AZ$2631,1,OC_Donor)="","",INDEX('OneCause_Paste'!$A$2631:$AZ$2631,1,OC_Donor)))</f>
        <v/>
      </c>
    </row>
    <row r="2632">
      <c r="A2632" s="62">
        <f>IF(H2632="","",IF(ISNUMBER(N2632),N2632,I2632))</f>
        <v/>
      </c>
      <c r="B2632">
        <f>IF(H2632="","",U2632)</f>
        <v/>
      </c>
      <c r="C2632">
        <f>IF(H2632="","",IF(P2632="",K2632,INDEX('Students'!$A$2:$A$701,P2632)))</f>
        <v/>
      </c>
      <c r="D2632">
        <f>IF(OR(H2632="",P2632=""),"",INDEX('Students'!$B$2:$B$701,P2632))</f>
        <v/>
      </c>
      <c r="E2632">
        <f>IF(OR(H2632="",P2632=""),"",INDEX('Students'!$C$2:$C$701,P2632))</f>
        <v/>
      </c>
      <c r="F2632" s="48">
        <f>IF(H2632="","",IF(ISNUMBER(O2632),O2632,J2632))</f>
        <v/>
      </c>
      <c r="G2632">
        <f>IF(H2632="","","OneCause")</f>
        <v/>
      </c>
      <c r="H2632">
        <f>IF(AND(I2632="",J2632="",K2632=""),"",IF(NOT(ISNUMBER(O2632)),"Bad amount",IF(O2632&lt;0,"Refund (not counted)",IF(O2632=0,"Zero amount",IF(NOT(ISNUMBER(N2632)),"Bad date",IF(P2632="","NAME NOT ON ROSTER",IF(L2632="","OK",IF(MATCH(L2632,$L$2:$L$3001,0)&lt;ROW()-1,"Duplicate (ignored)","OK"))))))))</f>
        <v/>
      </c>
      <c r="I2632">
        <f>IF(OC_Date=0,"",IF(INDEX('OneCause_Paste'!$A$2632:$AZ$2632,1,OC_Date)="","",INDEX('OneCause_Paste'!$A$2632:$AZ$2632,1,OC_Date)))</f>
        <v/>
      </c>
      <c r="J2632">
        <f>IF(OC_Amt=0,"",IF(INDEX('OneCause_Paste'!$A$2632:$AZ$2632,1,OC_Amt)="","",INDEX('OneCause_Paste'!$A$2632:$AZ$2632,1,OC_Amt)))</f>
        <v/>
      </c>
      <c r="K2632">
        <f>IF(OC_Name=0,"",IF(INDEX('OneCause_Paste'!$A$2632:$AZ$2632,1,OC_Name)="","",INDEX('OneCause_Paste'!$A$2632:$AZ$2632,1,OC_Name)))</f>
        <v/>
      </c>
      <c r="L2632">
        <f>IF(OC_Txn=0,"",IF(INDEX('OneCause_Paste'!$A$2632:$AZ$2632,1,OC_Txn)="","",INDEX('OneCause_Paste'!$A$2632:$AZ$2632,1,OC_Txn)))</f>
        <v/>
      </c>
      <c r="M2632">
        <f>IF(OC_Pay=0,"",IF(INDEX('OneCause_Paste'!$A$2632:$AZ$2632,1,OC_Pay)="","",INDEX('OneCause_Paste'!$A$2632:$AZ$2632,1,OC_Pay)))</f>
        <v/>
      </c>
      <c r="N2632">
        <f>IF(I2632="","",IF(ISNUMBER(I2632),INT(I2632),IFERROR(INT(DATEVALUE(I2632)),IFERROR(INT(VALUE(I2632)),"bad"))))</f>
        <v/>
      </c>
      <c r="O2632">
        <f>IF(J2632="","",IF(ISNUMBER(J2632),ROUND(J2632,2),IFERROR(ROUND(VALUE(SUBSTITUTE(SUBSTITUTE(SUBSTITUTE(J2632,"$",""),",","")," ","")),2),"bad")))</f>
        <v/>
      </c>
      <c r="P2632">
        <f>IF(TRIM(K2632)="","",IFERROR(MATCH(LOWER(TRIM(K2632)),'Students'!$AH$2:$AH$701,0),IFERROR(MATCH(LOWER(TRIM(K2632)),'Students'!$AF$2:$AF$701,0),IFERROR(MATCH(LOWER(TRIM(K2632)),'Students'!$AG$2:$AG$701,0),""))))</f>
        <v/>
      </c>
      <c r="R2632">
        <f>IF(P2632="","",INDEX('Students'!$AD$2:$AD$701,P2632))</f>
        <v/>
      </c>
      <c r="S2632">
        <f>IF(H2632="OK",O2632,0)</f>
        <v/>
      </c>
      <c r="T2632">
        <f>IF(H2632="OK",N2632,"")</f>
        <v/>
      </c>
      <c r="U2632">
        <f>IF(OC_Donor=0,"",IF(INDEX('OneCause_Paste'!$A$2632:$AZ$2632,1,OC_Donor)="","",INDEX('OneCause_Paste'!$A$2632:$AZ$2632,1,OC_Donor)))</f>
        <v/>
      </c>
    </row>
    <row r="2633">
      <c r="A2633" s="62">
        <f>IF(H2633="","",IF(ISNUMBER(N2633),N2633,I2633))</f>
        <v/>
      </c>
      <c r="B2633">
        <f>IF(H2633="","",U2633)</f>
        <v/>
      </c>
      <c r="C2633">
        <f>IF(H2633="","",IF(P2633="",K2633,INDEX('Students'!$A$2:$A$701,P2633)))</f>
        <v/>
      </c>
      <c r="D2633">
        <f>IF(OR(H2633="",P2633=""),"",INDEX('Students'!$B$2:$B$701,P2633))</f>
        <v/>
      </c>
      <c r="E2633">
        <f>IF(OR(H2633="",P2633=""),"",INDEX('Students'!$C$2:$C$701,P2633))</f>
        <v/>
      </c>
      <c r="F2633" s="48">
        <f>IF(H2633="","",IF(ISNUMBER(O2633),O2633,J2633))</f>
        <v/>
      </c>
      <c r="G2633">
        <f>IF(H2633="","","OneCause")</f>
        <v/>
      </c>
      <c r="H2633">
        <f>IF(AND(I2633="",J2633="",K2633=""),"",IF(NOT(ISNUMBER(O2633)),"Bad amount",IF(O2633&lt;0,"Refund (not counted)",IF(O2633=0,"Zero amount",IF(NOT(ISNUMBER(N2633)),"Bad date",IF(P2633="","NAME NOT ON ROSTER",IF(L2633="","OK",IF(MATCH(L2633,$L$2:$L$3001,0)&lt;ROW()-1,"Duplicate (ignored)","OK"))))))))</f>
        <v/>
      </c>
      <c r="I2633">
        <f>IF(OC_Date=0,"",IF(INDEX('OneCause_Paste'!$A$2633:$AZ$2633,1,OC_Date)="","",INDEX('OneCause_Paste'!$A$2633:$AZ$2633,1,OC_Date)))</f>
        <v/>
      </c>
      <c r="J2633">
        <f>IF(OC_Amt=0,"",IF(INDEX('OneCause_Paste'!$A$2633:$AZ$2633,1,OC_Amt)="","",INDEX('OneCause_Paste'!$A$2633:$AZ$2633,1,OC_Amt)))</f>
        <v/>
      </c>
      <c r="K2633">
        <f>IF(OC_Name=0,"",IF(INDEX('OneCause_Paste'!$A$2633:$AZ$2633,1,OC_Name)="","",INDEX('OneCause_Paste'!$A$2633:$AZ$2633,1,OC_Name)))</f>
        <v/>
      </c>
      <c r="L2633">
        <f>IF(OC_Txn=0,"",IF(INDEX('OneCause_Paste'!$A$2633:$AZ$2633,1,OC_Txn)="","",INDEX('OneCause_Paste'!$A$2633:$AZ$2633,1,OC_Txn)))</f>
        <v/>
      </c>
      <c r="M2633">
        <f>IF(OC_Pay=0,"",IF(INDEX('OneCause_Paste'!$A$2633:$AZ$2633,1,OC_Pay)="","",INDEX('OneCause_Paste'!$A$2633:$AZ$2633,1,OC_Pay)))</f>
        <v/>
      </c>
      <c r="N2633">
        <f>IF(I2633="","",IF(ISNUMBER(I2633),INT(I2633),IFERROR(INT(DATEVALUE(I2633)),IFERROR(INT(VALUE(I2633)),"bad"))))</f>
        <v/>
      </c>
      <c r="O2633">
        <f>IF(J2633="","",IF(ISNUMBER(J2633),ROUND(J2633,2),IFERROR(ROUND(VALUE(SUBSTITUTE(SUBSTITUTE(SUBSTITUTE(J2633,"$",""),",","")," ","")),2),"bad")))</f>
        <v/>
      </c>
      <c r="P2633">
        <f>IF(TRIM(K2633)="","",IFERROR(MATCH(LOWER(TRIM(K2633)),'Students'!$AH$2:$AH$701,0),IFERROR(MATCH(LOWER(TRIM(K2633)),'Students'!$AF$2:$AF$701,0),IFERROR(MATCH(LOWER(TRIM(K2633)),'Students'!$AG$2:$AG$701,0),""))))</f>
        <v/>
      </c>
      <c r="R2633">
        <f>IF(P2633="","",INDEX('Students'!$AD$2:$AD$701,P2633))</f>
        <v/>
      </c>
      <c r="S2633">
        <f>IF(H2633="OK",O2633,0)</f>
        <v/>
      </c>
      <c r="T2633">
        <f>IF(H2633="OK",N2633,"")</f>
        <v/>
      </c>
      <c r="U2633">
        <f>IF(OC_Donor=0,"",IF(INDEX('OneCause_Paste'!$A$2633:$AZ$2633,1,OC_Donor)="","",INDEX('OneCause_Paste'!$A$2633:$AZ$2633,1,OC_Donor)))</f>
        <v/>
      </c>
    </row>
    <row r="2634">
      <c r="A2634" s="62">
        <f>IF(H2634="","",IF(ISNUMBER(N2634),N2634,I2634))</f>
        <v/>
      </c>
      <c r="B2634">
        <f>IF(H2634="","",U2634)</f>
        <v/>
      </c>
      <c r="C2634">
        <f>IF(H2634="","",IF(P2634="",K2634,INDEX('Students'!$A$2:$A$701,P2634)))</f>
        <v/>
      </c>
      <c r="D2634">
        <f>IF(OR(H2634="",P2634=""),"",INDEX('Students'!$B$2:$B$701,P2634))</f>
        <v/>
      </c>
      <c r="E2634">
        <f>IF(OR(H2634="",P2634=""),"",INDEX('Students'!$C$2:$C$701,P2634))</f>
        <v/>
      </c>
      <c r="F2634" s="48">
        <f>IF(H2634="","",IF(ISNUMBER(O2634),O2634,J2634))</f>
        <v/>
      </c>
      <c r="G2634">
        <f>IF(H2634="","","OneCause")</f>
        <v/>
      </c>
      <c r="H2634">
        <f>IF(AND(I2634="",J2634="",K2634=""),"",IF(NOT(ISNUMBER(O2634)),"Bad amount",IF(O2634&lt;0,"Refund (not counted)",IF(O2634=0,"Zero amount",IF(NOT(ISNUMBER(N2634)),"Bad date",IF(P2634="","NAME NOT ON ROSTER",IF(L2634="","OK",IF(MATCH(L2634,$L$2:$L$3001,0)&lt;ROW()-1,"Duplicate (ignored)","OK"))))))))</f>
        <v/>
      </c>
      <c r="I2634">
        <f>IF(OC_Date=0,"",IF(INDEX('OneCause_Paste'!$A$2634:$AZ$2634,1,OC_Date)="","",INDEX('OneCause_Paste'!$A$2634:$AZ$2634,1,OC_Date)))</f>
        <v/>
      </c>
      <c r="J2634">
        <f>IF(OC_Amt=0,"",IF(INDEX('OneCause_Paste'!$A$2634:$AZ$2634,1,OC_Amt)="","",INDEX('OneCause_Paste'!$A$2634:$AZ$2634,1,OC_Amt)))</f>
        <v/>
      </c>
      <c r="K2634">
        <f>IF(OC_Name=0,"",IF(INDEX('OneCause_Paste'!$A$2634:$AZ$2634,1,OC_Name)="","",INDEX('OneCause_Paste'!$A$2634:$AZ$2634,1,OC_Name)))</f>
        <v/>
      </c>
      <c r="L2634">
        <f>IF(OC_Txn=0,"",IF(INDEX('OneCause_Paste'!$A$2634:$AZ$2634,1,OC_Txn)="","",INDEX('OneCause_Paste'!$A$2634:$AZ$2634,1,OC_Txn)))</f>
        <v/>
      </c>
      <c r="M2634">
        <f>IF(OC_Pay=0,"",IF(INDEX('OneCause_Paste'!$A$2634:$AZ$2634,1,OC_Pay)="","",INDEX('OneCause_Paste'!$A$2634:$AZ$2634,1,OC_Pay)))</f>
        <v/>
      </c>
      <c r="N2634">
        <f>IF(I2634="","",IF(ISNUMBER(I2634),INT(I2634),IFERROR(INT(DATEVALUE(I2634)),IFERROR(INT(VALUE(I2634)),"bad"))))</f>
        <v/>
      </c>
      <c r="O2634">
        <f>IF(J2634="","",IF(ISNUMBER(J2634),ROUND(J2634,2),IFERROR(ROUND(VALUE(SUBSTITUTE(SUBSTITUTE(SUBSTITUTE(J2634,"$",""),",","")," ","")),2),"bad")))</f>
        <v/>
      </c>
      <c r="P2634">
        <f>IF(TRIM(K2634)="","",IFERROR(MATCH(LOWER(TRIM(K2634)),'Students'!$AH$2:$AH$701,0),IFERROR(MATCH(LOWER(TRIM(K2634)),'Students'!$AF$2:$AF$701,0),IFERROR(MATCH(LOWER(TRIM(K2634)),'Students'!$AG$2:$AG$701,0),""))))</f>
        <v/>
      </c>
      <c r="R2634">
        <f>IF(P2634="","",INDEX('Students'!$AD$2:$AD$701,P2634))</f>
        <v/>
      </c>
      <c r="S2634">
        <f>IF(H2634="OK",O2634,0)</f>
        <v/>
      </c>
      <c r="T2634">
        <f>IF(H2634="OK",N2634,"")</f>
        <v/>
      </c>
      <c r="U2634">
        <f>IF(OC_Donor=0,"",IF(INDEX('OneCause_Paste'!$A$2634:$AZ$2634,1,OC_Donor)="","",INDEX('OneCause_Paste'!$A$2634:$AZ$2634,1,OC_Donor)))</f>
        <v/>
      </c>
    </row>
    <row r="2635">
      <c r="A2635" s="62">
        <f>IF(H2635="","",IF(ISNUMBER(N2635),N2635,I2635))</f>
        <v/>
      </c>
      <c r="B2635">
        <f>IF(H2635="","",U2635)</f>
        <v/>
      </c>
      <c r="C2635">
        <f>IF(H2635="","",IF(P2635="",K2635,INDEX('Students'!$A$2:$A$701,P2635)))</f>
        <v/>
      </c>
      <c r="D2635">
        <f>IF(OR(H2635="",P2635=""),"",INDEX('Students'!$B$2:$B$701,P2635))</f>
        <v/>
      </c>
      <c r="E2635">
        <f>IF(OR(H2635="",P2635=""),"",INDEX('Students'!$C$2:$C$701,P2635))</f>
        <v/>
      </c>
      <c r="F2635" s="48">
        <f>IF(H2635="","",IF(ISNUMBER(O2635),O2635,J2635))</f>
        <v/>
      </c>
      <c r="G2635">
        <f>IF(H2635="","","OneCause")</f>
        <v/>
      </c>
      <c r="H2635">
        <f>IF(AND(I2635="",J2635="",K2635=""),"",IF(NOT(ISNUMBER(O2635)),"Bad amount",IF(O2635&lt;0,"Refund (not counted)",IF(O2635=0,"Zero amount",IF(NOT(ISNUMBER(N2635)),"Bad date",IF(P2635="","NAME NOT ON ROSTER",IF(L2635="","OK",IF(MATCH(L2635,$L$2:$L$3001,0)&lt;ROW()-1,"Duplicate (ignored)","OK"))))))))</f>
        <v/>
      </c>
      <c r="I2635">
        <f>IF(OC_Date=0,"",IF(INDEX('OneCause_Paste'!$A$2635:$AZ$2635,1,OC_Date)="","",INDEX('OneCause_Paste'!$A$2635:$AZ$2635,1,OC_Date)))</f>
        <v/>
      </c>
      <c r="J2635">
        <f>IF(OC_Amt=0,"",IF(INDEX('OneCause_Paste'!$A$2635:$AZ$2635,1,OC_Amt)="","",INDEX('OneCause_Paste'!$A$2635:$AZ$2635,1,OC_Amt)))</f>
        <v/>
      </c>
      <c r="K2635">
        <f>IF(OC_Name=0,"",IF(INDEX('OneCause_Paste'!$A$2635:$AZ$2635,1,OC_Name)="","",INDEX('OneCause_Paste'!$A$2635:$AZ$2635,1,OC_Name)))</f>
        <v/>
      </c>
      <c r="L2635">
        <f>IF(OC_Txn=0,"",IF(INDEX('OneCause_Paste'!$A$2635:$AZ$2635,1,OC_Txn)="","",INDEX('OneCause_Paste'!$A$2635:$AZ$2635,1,OC_Txn)))</f>
        <v/>
      </c>
      <c r="M2635">
        <f>IF(OC_Pay=0,"",IF(INDEX('OneCause_Paste'!$A$2635:$AZ$2635,1,OC_Pay)="","",INDEX('OneCause_Paste'!$A$2635:$AZ$2635,1,OC_Pay)))</f>
        <v/>
      </c>
      <c r="N2635">
        <f>IF(I2635="","",IF(ISNUMBER(I2635),INT(I2635),IFERROR(INT(DATEVALUE(I2635)),IFERROR(INT(VALUE(I2635)),"bad"))))</f>
        <v/>
      </c>
      <c r="O2635">
        <f>IF(J2635="","",IF(ISNUMBER(J2635),ROUND(J2635,2),IFERROR(ROUND(VALUE(SUBSTITUTE(SUBSTITUTE(SUBSTITUTE(J2635,"$",""),",","")," ","")),2),"bad")))</f>
        <v/>
      </c>
      <c r="P2635">
        <f>IF(TRIM(K2635)="","",IFERROR(MATCH(LOWER(TRIM(K2635)),'Students'!$AH$2:$AH$701,0),IFERROR(MATCH(LOWER(TRIM(K2635)),'Students'!$AF$2:$AF$701,0),IFERROR(MATCH(LOWER(TRIM(K2635)),'Students'!$AG$2:$AG$701,0),""))))</f>
        <v/>
      </c>
      <c r="R2635">
        <f>IF(P2635="","",INDEX('Students'!$AD$2:$AD$701,P2635))</f>
        <v/>
      </c>
      <c r="S2635">
        <f>IF(H2635="OK",O2635,0)</f>
        <v/>
      </c>
      <c r="T2635">
        <f>IF(H2635="OK",N2635,"")</f>
        <v/>
      </c>
      <c r="U2635">
        <f>IF(OC_Donor=0,"",IF(INDEX('OneCause_Paste'!$A$2635:$AZ$2635,1,OC_Donor)="","",INDEX('OneCause_Paste'!$A$2635:$AZ$2635,1,OC_Donor)))</f>
        <v/>
      </c>
    </row>
    <row r="2636">
      <c r="A2636" s="62">
        <f>IF(H2636="","",IF(ISNUMBER(N2636),N2636,I2636))</f>
        <v/>
      </c>
      <c r="B2636">
        <f>IF(H2636="","",U2636)</f>
        <v/>
      </c>
      <c r="C2636">
        <f>IF(H2636="","",IF(P2636="",K2636,INDEX('Students'!$A$2:$A$701,P2636)))</f>
        <v/>
      </c>
      <c r="D2636">
        <f>IF(OR(H2636="",P2636=""),"",INDEX('Students'!$B$2:$B$701,P2636))</f>
        <v/>
      </c>
      <c r="E2636">
        <f>IF(OR(H2636="",P2636=""),"",INDEX('Students'!$C$2:$C$701,P2636))</f>
        <v/>
      </c>
      <c r="F2636" s="48">
        <f>IF(H2636="","",IF(ISNUMBER(O2636),O2636,J2636))</f>
        <v/>
      </c>
      <c r="G2636">
        <f>IF(H2636="","","OneCause")</f>
        <v/>
      </c>
      <c r="H2636">
        <f>IF(AND(I2636="",J2636="",K2636=""),"",IF(NOT(ISNUMBER(O2636)),"Bad amount",IF(O2636&lt;0,"Refund (not counted)",IF(O2636=0,"Zero amount",IF(NOT(ISNUMBER(N2636)),"Bad date",IF(P2636="","NAME NOT ON ROSTER",IF(L2636="","OK",IF(MATCH(L2636,$L$2:$L$3001,0)&lt;ROW()-1,"Duplicate (ignored)","OK"))))))))</f>
        <v/>
      </c>
      <c r="I2636">
        <f>IF(OC_Date=0,"",IF(INDEX('OneCause_Paste'!$A$2636:$AZ$2636,1,OC_Date)="","",INDEX('OneCause_Paste'!$A$2636:$AZ$2636,1,OC_Date)))</f>
        <v/>
      </c>
      <c r="J2636">
        <f>IF(OC_Amt=0,"",IF(INDEX('OneCause_Paste'!$A$2636:$AZ$2636,1,OC_Amt)="","",INDEX('OneCause_Paste'!$A$2636:$AZ$2636,1,OC_Amt)))</f>
        <v/>
      </c>
      <c r="K2636">
        <f>IF(OC_Name=0,"",IF(INDEX('OneCause_Paste'!$A$2636:$AZ$2636,1,OC_Name)="","",INDEX('OneCause_Paste'!$A$2636:$AZ$2636,1,OC_Name)))</f>
        <v/>
      </c>
      <c r="L2636">
        <f>IF(OC_Txn=0,"",IF(INDEX('OneCause_Paste'!$A$2636:$AZ$2636,1,OC_Txn)="","",INDEX('OneCause_Paste'!$A$2636:$AZ$2636,1,OC_Txn)))</f>
        <v/>
      </c>
      <c r="M2636">
        <f>IF(OC_Pay=0,"",IF(INDEX('OneCause_Paste'!$A$2636:$AZ$2636,1,OC_Pay)="","",INDEX('OneCause_Paste'!$A$2636:$AZ$2636,1,OC_Pay)))</f>
        <v/>
      </c>
      <c r="N2636">
        <f>IF(I2636="","",IF(ISNUMBER(I2636),INT(I2636),IFERROR(INT(DATEVALUE(I2636)),IFERROR(INT(VALUE(I2636)),"bad"))))</f>
        <v/>
      </c>
      <c r="O2636">
        <f>IF(J2636="","",IF(ISNUMBER(J2636),ROUND(J2636,2),IFERROR(ROUND(VALUE(SUBSTITUTE(SUBSTITUTE(SUBSTITUTE(J2636,"$",""),",","")," ","")),2),"bad")))</f>
        <v/>
      </c>
      <c r="P2636">
        <f>IF(TRIM(K2636)="","",IFERROR(MATCH(LOWER(TRIM(K2636)),'Students'!$AH$2:$AH$701,0),IFERROR(MATCH(LOWER(TRIM(K2636)),'Students'!$AF$2:$AF$701,0),IFERROR(MATCH(LOWER(TRIM(K2636)),'Students'!$AG$2:$AG$701,0),""))))</f>
        <v/>
      </c>
      <c r="R2636">
        <f>IF(P2636="","",INDEX('Students'!$AD$2:$AD$701,P2636))</f>
        <v/>
      </c>
      <c r="S2636">
        <f>IF(H2636="OK",O2636,0)</f>
        <v/>
      </c>
      <c r="T2636">
        <f>IF(H2636="OK",N2636,"")</f>
        <v/>
      </c>
      <c r="U2636">
        <f>IF(OC_Donor=0,"",IF(INDEX('OneCause_Paste'!$A$2636:$AZ$2636,1,OC_Donor)="","",INDEX('OneCause_Paste'!$A$2636:$AZ$2636,1,OC_Donor)))</f>
        <v/>
      </c>
    </row>
    <row r="2637">
      <c r="A2637" s="62">
        <f>IF(H2637="","",IF(ISNUMBER(N2637),N2637,I2637))</f>
        <v/>
      </c>
      <c r="B2637">
        <f>IF(H2637="","",U2637)</f>
        <v/>
      </c>
      <c r="C2637">
        <f>IF(H2637="","",IF(P2637="",K2637,INDEX('Students'!$A$2:$A$701,P2637)))</f>
        <v/>
      </c>
      <c r="D2637">
        <f>IF(OR(H2637="",P2637=""),"",INDEX('Students'!$B$2:$B$701,P2637))</f>
        <v/>
      </c>
      <c r="E2637">
        <f>IF(OR(H2637="",P2637=""),"",INDEX('Students'!$C$2:$C$701,P2637))</f>
        <v/>
      </c>
      <c r="F2637" s="48">
        <f>IF(H2637="","",IF(ISNUMBER(O2637),O2637,J2637))</f>
        <v/>
      </c>
      <c r="G2637">
        <f>IF(H2637="","","OneCause")</f>
        <v/>
      </c>
      <c r="H2637">
        <f>IF(AND(I2637="",J2637="",K2637=""),"",IF(NOT(ISNUMBER(O2637)),"Bad amount",IF(O2637&lt;0,"Refund (not counted)",IF(O2637=0,"Zero amount",IF(NOT(ISNUMBER(N2637)),"Bad date",IF(P2637="","NAME NOT ON ROSTER",IF(L2637="","OK",IF(MATCH(L2637,$L$2:$L$3001,0)&lt;ROW()-1,"Duplicate (ignored)","OK"))))))))</f>
        <v/>
      </c>
      <c r="I2637">
        <f>IF(OC_Date=0,"",IF(INDEX('OneCause_Paste'!$A$2637:$AZ$2637,1,OC_Date)="","",INDEX('OneCause_Paste'!$A$2637:$AZ$2637,1,OC_Date)))</f>
        <v/>
      </c>
      <c r="J2637">
        <f>IF(OC_Amt=0,"",IF(INDEX('OneCause_Paste'!$A$2637:$AZ$2637,1,OC_Amt)="","",INDEX('OneCause_Paste'!$A$2637:$AZ$2637,1,OC_Amt)))</f>
        <v/>
      </c>
      <c r="K2637">
        <f>IF(OC_Name=0,"",IF(INDEX('OneCause_Paste'!$A$2637:$AZ$2637,1,OC_Name)="","",INDEX('OneCause_Paste'!$A$2637:$AZ$2637,1,OC_Name)))</f>
        <v/>
      </c>
      <c r="L2637">
        <f>IF(OC_Txn=0,"",IF(INDEX('OneCause_Paste'!$A$2637:$AZ$2637,1,OC_Txn)="","",INDEX('OneCause_Paste'!$A$2637:$AZ$2637,1,OC_Txn)))</f>
        <v/>
      </c>
      <c r="M2637">
        <f>IF(OC_Pay=0,"",IF(INDEX('OneCause_Paste'!$A$2637:$AZ$2637,1,OC_Pay)="","",INDEX('OneCause_Paste'!$A$2637:$AZ$2637,1,OC_Pay)))</f>
        <v/>
      </c>
      <c r="N2637">
        <f>IF(I2637="","",IF(ISNUMBER(I2637),INT(I2637),IFERROR(INT(DATEVALUE(I2637)),IFERROR(INT(VALUE(I2637)),"bad"))))</f>
        <v/>
      </c>
      <c r="O2637">
        <f>IF(J2637="","",IF(ISNUMBER(J2637),ROUND(J2637,2),IFERROR(ROUND(VALUE(SUBSTITUTE(SUBSTITUTE(SUBSTITUTE(J2637,"$",""),",","")," ","")),2),"bad")))</f>
        <v/>
      </c>
      <c r="P2637">
        <f>IF(TRIM(K2637)="","",IFERROR(MATCH(LOWER(TRIM(K2637)),'Students'!$AH$2:$AH$701,0),IFERROR(MATCH(LOWER(TRIM(K2637)),'Students'!$AF$2:$AF$701,0),IFERROR(MATCH(LOWER(TRIM(K2637)),'Students'!$AG$2:$AG$701,0),""))))</f>
        <v/>
      </c>
      <c r="R2637">
        <f>IF(P2637="","",INDEX('Students'!$AD$2:$AD$701,P2637))</f>
        <v/>
      </c>
      <c r="S2637">
        <f>IF(H2637="OK",O2637,0)</f>
        <v/>
      </c>
      <c r="T2637">
        <f>IF(H2637="OK",N2637,"")</f>
        <v/>
      </c>
      <c r="U2637">
        <f>IF(OC_Donor=0,"",IF(INDEX('OneCause_Paste'!$A$2637:$AZ$2637,1,OC_Donor)="","",INDEX('OneCause_Paste'!$A$2637:$AZ$2637,1,OC_Donor)))</f>
        <v/>
      </c>
    </row>
    <row r="2638">
      <c r="A2638" s="62">
        <f>IF(H2638="","",IF(ISNUMBER(N2638),N2638,I2638))</f>
        <v/>
      </c>
      <c r="B2638">
        <f>IF(H2638="","",U2638)</f>
        <v/>
      </c>
      <c r="C2638">
        <f>IF(H2638="","",IF(P2638="",K2638,INDEX('Students'!$A$2:$A$701,P2638)))</f>
        <v/>
      </c>
      <c r="D2638">
        <f>IF(OR(H2638="",P2638=""),"",INDEX('Students'!$B$2:$B$701,P2638))</f>
        <v/>
      </c>
      <c r="E2638">
        <f>IF(OR(H2638="",P2638=""),"",INDEX('Students'!$C$2:$C$701,P2638))</f>
        <v/>
      </c>
      <c r="F2638" s="48">
        <f>IF(H2638="","",IF(ISNUMBER(O2638),O2638,J2638))</f>
        <v/>
      </c>
      <c r="G2638">
        <f>IF(H2638="","","OneCause")</f>
        <v/>
      </c>
      <c r="H2638">
        <f>IF(AND(I2638="",J2638="",K2638=""),"",IF(NOT(ISNUMBER(O2638)),"Bad amount",IF(O2638&lt;0,"Refund (not counted)",IF(O2638=0,"Zero amount",IF(NOT(ISNUMBER(N2638)),"Bad date",IF(P2638="","NAME NOT ON ROSTER",IF(L2638="","OK",IF(MATCH(L2638,$L$2:$L$3001,0)&lt;ROW()-1,"Duplicate (ignored)","OK"))))))))</f>
        <v/>
      </c>
      <c r="I2638">
        <f>IF(OC_Date=0,"",IF(INDEX('OneCause_Paste'!$A$2638:$AZ$2638,1,OC_Date)="","",INDEX('OneCause_Paste'!$A$2638:$AZ$2638,1,OC_Date)))</f>
        <v/>
      </c>
      <c r="J2638">
        <f>IF(OC_Amt=0,"",IF(INDEX('OneCause_Paste'!$A$2638:$AZ$2638,1,OC_Amt)="","",INDEX('OneCause_Paste'!$A$2638:$AZ$2638,1,OC_Amt)))</f>
        <v/>
      </c>
      <c r="K2638">
        <f>IF(OC_Name=0,"",IF(INDEX('OneCause_Paste'!$A$2638:$AZ$2638,1,OC_Name)="","",INDEX('OneCause_Paste'!$A$2638:$AZ$2638,1,OC_Name)))</f>
        <v/>
      </c>
      <c r="L2638">
        <f>IF(OC_Txn=0,"",IF(INDEX('OneCause_Paste'!$A$2638:$AZ$2638,1,OC_Txn)="","",INDEX('OneCause_Paste'!$A$2638:$AZ$2638,1,OC_Txn)))</f>
        <v/>
      </c>
      <c r="M2638">
        <f>IF(OC_Pay=0,"",IF(INDEX('OneCause_Paste'!$A$2638:$AZ$2638,1,OC_Pay)="","",INDEX('OneCause_Paste'!$A$2638:$AZ$2638,1,OC_Pay)))</f>
        <v/>
      </c>
      <c r="N2638">
        <f>IF(I2638="","",IF(ISNUMBER(I2638),INT(I2638),IFERROR(INT(DATEVALUE(I2638)),IFERROR(INT(VALUE(I2638)),"bad"))))</f>
        <v/>
      </c>
      <c r="O2638">
        <f>IF(J2638="","",IF(ISNUMBER(J2638),ROUND(J2638,2),IFERROR(ROUND(VALUE(SUBSTITUTE(SUBSTITUTE(SUBSTITUTE(J2638,"$",""),",","")," ","")),2),"bad")))</f>
        <v/>
      </c>
      <c r="P2638">
        <f>IF(TRIM(K2638)="","",IFERROR(MATCH(LOWER(TRIM(K2638)),'Students'!$AH$2:$AH$701,0),IFERROR(MATCH(LOWER(TRIM(K2638)),'Students'!$AF$2:$AF$701,0),IFERROR(MATCH(LOWER(TRIM(K2638)),'Students'!$AG$2:$AG$701,0),""))))</f>
        <v/>
      </c>
      <c r="R2638">
        <f>IF(P2638="","",INDEX('Students'!$AD$2:$AD$701,P2638))</f>
        <v/>
      </c>
      <c r="S2638">
        <f>IF(H2638="OK",O2638,0)</f>
        <v/>
      </c>
      <c r="T2638">
        <f>IF(H2638="OK",N2638,"")</f>
        <v/>
      </c>
      <c r="U2638">
        <f>IF(OC_Donor=0,"",IF(INDEX('OneCause_Paste'!$A$2638:$AZ$2638,1,OC_Donor)="","",INDEX('OneCause_Paste'!$A$2638:$AZ$2638,1,OC_Donor)))</f>
        <v/>
      </c>
    </row>
    <row r="2639">
      <c r="A2639" s="62">
        <f>IF(H2639="","",IF(ISNUMBER(N2639),N2639,I2639))</f>
        <v/>
      </c>
      <c r="B2639">
        <f>IF(H2639="","",U2639)</f>
        <v/>
      </c>
      <c r="C2639">
        <f>IF(H2639="","",IF(P2639="",K2639,INDEX('Students'!$A$2:$A$701,P2639)))</f>
        <v/>
      </c>
      <c r="D2639">
        <f>IF(OR(H2639="",P2639=""),"",INDEX('Students'!$B$2:$B$701,P2639))</f>
        <v/>
      </c>
      <c r="E2639">
        <f>IF(OR(H2639="",P2639=""),"",INDEX('Students'!$C$2:$C$701,P2639))</f>
        <v/>
      </c>
      <c r="F2639" s="48">
        <f>IF(H2639="","",IF(ISNUMBER(O2639),O2639,J2639))</f>
        <v/>
      </c>
      <c r="G2639">
        <f>IF(H2639="","","OneCause")</f>
        <v/>
      </c>
      <c r="H2639">
        <f>IF(AND(I2639="",J2639="",K2639=""),"",IF(NOT(ISNUMBER(O2639)),"Bad amount",IF(O2639&lt;0,"Refund (not counted)",IF(O2639=0,"Zero amount",IF(NOT(ISNUMBER(N2639)),"Bad date",IF(P2639="","NAME NOT ON ROSTER",IF(L2639="","OK",IF(MATCH(L2639,$L$2:$L$3001,0)&lt;ROW()-1,"Duplicate (ignored)","OK"))))))))</f>
        <v/>
      </c>
      <c r="I2639">
        <f>IF(OC_Date=0,"",IF(INDEX('OneCause_Paste'!$A$2639:$AZ$2639,1,OC_Date)="","",INDEX('OneCause_Paste'!$A$2639:$AZ$2639,1,OC_Date)))</f>
        <v/>
      </c>
      <c r="J2639">
        <f>IF(OC_Amt=0,"",IF(INDEX('OneCause_Paste'!$A$2639:$AZ$2639,1,OC_Amt)="","",INDEX('OneCause_Paste'!$A$2639:$AZ$2639,1,OC_Amt)))</f>
        <v/>
      </c>
      <c r="K2639">
        <f>IF(OC_Name=0,"",IF(INDEX('OneCause_Paste'!$A$2639:$AZ$2639,1,OC_Name)="","",INDEX('OneCause_Paste'!$A$2639:$AZ$2639,1,OC_Name)))</f>
        <v/>
      </c>
      <c r="L2639">
        <f>IF(OC_Txn=0,"",IF(INDEX('OneCause_Paste'!$A$2639:$AZ$2639,1,OC_Txn)="","",INDEX('OneCause_Paste'!$A$2639:$AZ$2639,1,OC_Txn)))</f>
        <v/>
      </c>
      <c r="M2639">
        <f>IF(OC_Pay=0,"",IF(INDEX('OneCause_Paste'!$A$2639:$AZ$2639,1,OC_Pay)="","",INDEX('OneCause_Paste'!$A$2639:$AZ$2639,1,OC_Pay)))</f>
        <v/>
      </c>
      <c r="N2639">
        <f>IF(I2639="","",IF(ISNUMBER(I2639),INT(I2639),IFERROR(INT(DATEVALUE(I2639)),IFERROR(INT(VALUE(I2639)),"bad"))))</f>
        <v/>
      </c>
      <c r="O2639">
        <f>IF(J2639="","",IF(ISNUMBER(J2639),ROUND(J2639,2),IFERROR(ROUND(VALUE(SUBSTITUTE(SUBSTITUTE(SUBSTITUTE(J2639,"$",""),",","")," ","")),2),"bad")))</f>
        <v/>
      </c>
      <c r="P2639">
        <f>IF(TRIM(K2639)="","",IFERROR(MATCH(LOWER(TRIM(K2639)),'Students'!$AH$2:$AH$701,0),IFERROR(MATCH(LOWER(TRIM(K2639)),'Students'!$AF$2:$AF$701,0),IFERROR(MATCH(LOWER(TRIM(K2639)),'Students'!$AG$2:$AG$701,0),""))))</f>
        <v/>
      </c>
      <c r="R2639">
        <f>IF(P2639="","",INDEX('Students'!$AD$2:$AD$701,P2639))</f>
        <v/>
      </c>
      <c r="S2639">
        <f>IF(H2639="OK",O2639,0)</f>
        <v/>
      </c>
      <c r="T2639">
        <f>IF(H2639="OK",N2639,"")</f>
        <v/>
      </c>
      <c r="U2639">
        <f>IF(OC_Donor=0,"",IF(INDEX('OneCause_Paste'!$A$2639:$AZ$2639,1,OC_Donor)="","",INDEX('OneCause_Paste'!$A$2639:$AZ$2639,1,OC_Donor)))</f>
        <v/>
      </c>
    </row>
    <row r="2640">
      <c r="A2640" s="62">
        <f>IF(H2640="","",IF(ISNUMBER(N2640),N2640,I2640))</f>
        <v/>
      </c>
      <c r="B2640">
        <f>IF(H2640="","",U2640)</f>
        <v/>
      </c>
      <c r="C2640">
        <f>IF(H2640="","",IF(P2640="",K2640,INDEX('Students'!$A$2:$A$701,P2640)))</f>
        <v/>
      </c>
      <c r="D2640">
        <f>IF(OR(H2640="",P2640=""),"",INDEX('Students'!$B$2:$B$701,P2640))</f>
        <v/>
      </c>
      <c r="E2640">
        <f>IF(OR(H2640="",P2640=""),"",INDEX('Students'!$C$2:$C$701,P2640))</f>
        <v/>
      </c>
      <c r="F2640" s="48">
        <f>IF(H2640="","",IF(ISNUMBER(O2640),O2640,J2640))</f>
        <v/>
      </c>
      <c r="G2640">
        <f>IF(H2640="","","OneCause")</f>
        <v/>
      </c>
      <c r="H2640">
        <f>IF(AND(I2640="",J2640="",K2640=""),"",IF(NOT(ISNUMBER(O2640)),"Bad amount",IF(O2640&lt;0,"Refund (not counted)",IF(O2640=0,"Zero amount",IF(NOT(ISNUMBER(N2640)),"Bad date",IF(P2640="","NAME NOT ON ROSTER",IF(L2640="","OK",IF(MATCH(L2640,$L$2:$L$3001,0)&lt;ROW()-1,"Duplicate (ignored)","OK"))))))))</f>
        <v/>
      </c>
      <c r="I2640">
        <f>IF(OC_Date=0,"",IF(INDEX('OneCause_Paste'!$A$2640:$AZ$2640,1,OC_Date)="","",INDEX('OneCause_Paste'!$A$2640:$AZ$2640,1,OC_Date)))</f>
        <v/>
      </c>
      <c r="J2640">
        <f>IF(OC_Amt=0,"",IF(INDEX('OneCause_Paste'!$A$2640:$AZ$2640,1,OC_Amt)="","",INDEX('OneCause_Paste'!$A$2640:$AZ$2640,1,OC_Amt)))</f>
        <v/>
      </c>
      <c r="K2640">
        <f>IF(OC_Name=0,"",IF(INDEX('OneCause_Paste'!$A$2640:$AZ$2640,1,OC_Name)="","",INDEX('OneCause_Paste'!$A$2640:$AZ$2640,1,OC_Name)))</f>
        <v/>
      </c>
      <c r="L2640">
        <f>IF(OC_Txn=0,"",IF(INDEX('OneCause_Paste'!$A$2640:$AZ$2640,1,OC_Txn)="","",INDEX('OneCause_Paste'!$A$2640:$AZ$2640,1,OC_Txn)))</f>
        <v/>
      </c>
      <c r="M2640">
        <f>IF(OC_Pay=0,"",IF(INDEX('OneCause_Paste'!$A$2640:$AZ$2640,1,OC_Pay)="","",INDEX('OneCause_Paste'!$A$2640:$AZ$2640,1,OC_Pay)))</f>
        <v/>
      </c>
      <c r="N2640">
        <f>IF(I2640="","",IF(ISNUMBER(I2640),INT(I2640),IFERROR(INT(DATEVALUE(I2640)),IFERROR(INT(VALUE(I2640)),"bad"))))</f>
        <v/>
      </c>
      <c r="O2640">
        <f>IF(J2640="","",IF(ISNUMBER(J2640),ROUND(J2640,2),IFERROR(ROUND(VALUE(SUBSTITUTE(SUBSTITUTE(SUBSTITUTE(J2640,"$",""),",","")," ","")),2),"bad")))</f>
        <v/>
      </c>
      <c r="P2640">
        <f>IF(TRIM(K2640)="","",IFERROR(MATCH(LOWER(TRIM(K2640)),'Students'!$AH$2:$AH$701,0),IFERROR(MATCH(LOWER(TRIM(K2640)),'Students'!$AF$2:$AF$701,0),IFERROR(MATCH(LOWER(TRIM(K2640)),'Students'!$AG$2:$AG$701,0),""))))</f>
        <v/>
      </c>
      <c r="R2640">
        <f>IF(P2640="","",INDEX('Students'!$AD$2:$AD$701,P2640))</f>
        <v/>
      </c>
      <c r="S2640">
        <f>IF(H2640="OK",O2640,0)</f>
        <v/>
      </c>
      <c r="T2640">
        <f>IF(H2640="OK",N2640,"")</f>
        <v/>
      </c>
      <c r="U2640">
        <f>IF(OC_Donor=0,"",IF(INDEX('OneCause_Paste'!$A$2640:$AZ$2640,1,OC_Donor)="","",INDEX('OneCause_Paste'!$A$2640:$AZ$2640,1,OC_Donor)))</f>
        <v/>
      </c>
    </row>
    <row r="2641">
      <c r="A2641" s="62">
        <f>IF(H2641="","",IF(ISNUMBER(N2641),N2641,I2641))</f>
        <v/>
      </c>
      <c r="B2641">
        <f>IF(H2641="","",U2641)</f>
        <v/>
      </c>
      <c r="C2641">
        <f>IF(H2641="","",IF(P2641="",K2641,INDEX('Students'!$A$2:$A$701,P2641)))</f>
        <v/>
      </c>
      <c r="D2641">
        <f>IF(OR(H2641="",P2641=""),"",INDEX('Students'!$B$2:$B$701,P2641))</f>
        <v/>
      </c>
      <c r="E2641">
        <f>IF(OR(H2641="",P2641=""),"",INDEX('Students'!$C$2:$C$701,P2641))</f>
        <v/>
      </c>
      <c r="F2641" s="48">
        <f>IF(H2641="","",IF(ISNUMBER(O2641),O2641,J2641))</f>
        <v/>
      </c>
      <c r="G2641">
        <f>IF(H2641="","","OneCause")</f>
        <v/>
      </c>
      <c r="H2641">
        <f>IF(AND(I2641="",J2641="",K2641=""),"",IF(NOT(ISNUMBER(O2641)),"Bad amount",IF(O2641&lt;0,"Refund (not counted)",IF(O2641=0,"Zero amount",IF(NOT(ISNUMBER(N2641)),"Bad date",IF(P2641="","NAME NOT ON ROSTER",IF(L2641="","OK",IF(MATCH(L2641,$L$2:$L$3001,0)&lt;ROW()-1,"Duplicate (ignored)","OK"))))))))</f>
        <v/>
      </c>
      <c r="I2641">
        <f>IF(OC_Date=0,"",IF(INDEX('OneCause_Paste'!$A$2641:$AZ$2641,1,OC_Date)="","",INDEX('OneCause_Paste'!$A$2641:$AZ$2641,1,OC_Date)))</f>
        <v/>
      </c>
      <c r="J2641">
        <f>IF(OC_Amt=0,"",IF(INDEX('OneCause_Paste'!$A$2641:$AZ$2641,1,OC_Amt)="","",INDEX('OneCause_Paste'!$A$2641:$AZ$2641,1,OC_Amt)))</f>
        <v/>
      </c>
      <c r="K2641">
        <f>IF(OC_Name=0,"",IF(INDEX('OneCause_Paste'!$A$2641:$AZ$2641,1,OC_Name)="","",INDEX('OneCause_Paste'!$A$2641:$AZ$2641,1,OC_Name)))</f>
        <v/>
      </c>
      <c r="L2641">
        <f>IF(OC_Txn=0,"",IF(INDEX('OneCause_Paste'!$A$2641:$AZ$2641,1,OC_Txn)="","",INDEX('OneCause_Paste'!$A$2641:$AZ$2641,1,OC_Txn)))</f>
        <v/>
      </c>
      <c r="M2641">
        <f>IF(OC_Pay=0,"",IF(INDEX('OneCause_Paste'!$A$2641:$AZ$2641,1,OC_Pay)="","",INDEX('OneCause_Paste'!$A$2641:$AZ$2641,1,OC_Pay)))</f>
        <v/>
      </c>
      <c r="N2641">
        <f>IF(I2641="","",IF(ISNUMBER(I2641),INT(I2641),IFERROR(INT(DATEVALUE(I2641)),IFERROR(INT(VALUE(I2641)),"bad"))))</f>
        <v/>
      </c>
      <c r="O2641">
        <f>IF(J2641="","",IF(ISNUMBER(J2641),ROUND(J2641,2),IFERROR(ROUND(VALUE(SUBSTITUTE(SUBSTITUTE(SUBSTITUTE(J2641,"$",""),",","")," ","")),2),"bad")))</f>
        <v/>
      </c>
      <c r="P2641">
        <f>IF(TRIM(K2641)="","",IFERROR(MATCH(LOWER(TRIM(K2641)),'Students'!$AH$2:$AH$701,0),IFERROR(MATCH(LOWER(TRIM(K2641)),'Students'!$AF$2:$AF$701,0),IFERROR(MATCH(LOWER(TRIM(K2641)),'Students'!$AG$2:$AG$701,0),""))))</f>
        <v/>
      </c>
      <c r="R2641">
        <f>IF(P2641="","",INDEX('Students'!$AD$2:$AD$701,P2641))</f>
        <v/>
      </c>
      <c r="S2641">
        <f>IF(H2641="OK",O2641,0)</f>
        <v/>
      </c>
      <c r="T2641">
        <f>IF(H2641="OK",N2641,"")</f>
        <v/>
      </c>
      <c r="U2641">
        <f>IF(OC_Donor=0,"",IF(INDEX('OneCause_Paste'!$A$2641:$AZ$2641,1,OC_Donor)="","",INDEX('OneCause_Paste'!$A$2641:$AZ$2641,1,OC_Donor)))</f>
        <v/>
      </c>
    </row>
    <row r="2642">
      <c r="A2642" s="62">
        <f>IF(H2642="","",IF(ISNUMBER(N2642),N2642,I2642))</f>
        <v/>
      </c>
      <c r="B2642">
        <f>IF(H2642="","",U2642)</f>
        <v/>
      </c>
      <c r="C2642">
        <f>IF(H2642="","",IF(P2642="",K2642,INDEX('Students'!$A$2:$A$701,P2642)))</f>
        <v/>
      </c>
      <c r="D2642">
        <f>IF(OR(H2642="",P2642=""),"",INDEX('Students'!$B$2:$B$701,P2642))</f>
        <v/>
      </c>
      <c r="E2642">
        <f>IF(OR(H2642="",P2642=""),"",INDEX('Students'!$C$2:$C$701,P2642))</f>
        <v/>
      </c>
      <c r="F2642" s="48">
        <f>IF(H2642="","",IF(ISNUMBER(O2642),O2642,J2642))</f>
        <v/>
      </c>
      <c r="G2642">
        <f>IF(H2642="","","OneCause")</f>
        <v/>
      </c>
      <c r="H2642">
        <f>IF(AND(I2642="",J2642="",K2642=""),"",IF(NOT(ISNUMBER(O2642)),"Bad amount",IF(O2642&lt;0,"Refund (not counted)",IF(O2642=0,"Zero amount",IF(NOT(ISNUMBER(N2642)),"Bad date",IF(P2642="","NAME NOT ON ROSTER",IF(L2642="","OK",IF(MATCH(L2642,$L$2:$L$3001,0)&lt;ROW()-1,"Duplicate (ignored)","OK"))))))))</f>
        <v/>
      </c>
      <c r="I2642">
        <f>IF(OC_Date=0,"",IF(INDEX('OneCause_Paste'!$A$2642:$AZ$2642,1,OC_Date)="","",INDEX('OneCause_Paste'!$A$2642:$AZ$2642,1,OC_Date)))</f>
        <v/>
      </c>
      <c r="J2642">
        <f>IF(OC_Amt=0,"",IF(INDEX('OneCause_Paste'!$A$2642:$AZ$2642,1,OC_Amt)="","",INDEX('OneCause_Paste'!$A$2642:$AZ$2642,1,OC_Amt)))</f>
        <v/>
      </c>
      <c r="K2642">
        <f>IF(OC_Name=0,"",IF(INDEX('OneCause_Paste'!$A$2642:$AZ$2642,1,OC_Name)="","",INDEX('OneCause_Paste'!$A$2642:$AZ$2642,1,OC_Name)))</f>
        <v/>
      </c>
      <c r="L2642">
        <f>IF(OC_Txn=0,"",IF(INDEX('OneCause_Paste'!$A$2642:$AZ$2642,1,OC_Txn)="","",INDEX('OneCause_Paste'!$A$2642:$AZ$2642,1,OC_Txn)))</f>
        <v/>
      </c>
      <c r="M2642">
        <f>IF(OC_Pay=0,"",IF(INDEX('OneCause_Paste'!$A$2642:$AZ$2642,1,OC_Pay)="","",INDEX('OneCause_Paste'!$A$2642:$AZ$2642,1,OC_Pay)))</f>
        <v/>
      </c>
      <c r="N2642">
        <f>IF(I2642="","",IF(ISNUMBER(I2642),INT(I2642),IFERROR(INT(DATEVALUE(I2642)),IFERROR(INT(VALUE(I2642)),"bad"))))</f>
        <v/>
      </c>
      <c r="O2642">
        <f>IF(J2642="","",IF(ISNUMBER(J2642),ROUND(J2642,2),IFERROR(ROUND(VALUE(SUBSTITUTE(SUBSTITUTE(SUBSTITUTE(J2642,"$",""),",","")," ","")),2),"bad")))</f>
        <v/>
      </c>
      <c r="P2642">
        <f>IF(TRIM(K2642)="","",IFERROR(MATCH(LOWER(TRIM(K2642)),'Students'!$AH$2:$AH$701,0),IFERROR(MATCH(LOWER(TRIM(K2642)),'Students'!$AF$2:$AF$701,0),IFERROR(MATCH(LOWER(TRIM(K2642)),'Students'!$AG$2:$AG$701,0),""))))</f>
        <v/>
      </c>
      <c r="R2642">
        <f>IF(P2642="","",INDEX('Students'!$AD$2:$AD$701,P2642))</f>
        <v/>
      </c>
      <c r="S2642">
        <f>IF(H2642="OK",O2642,0)</f>
        <v/>
      </c>
      <c r="T2642">
        <f>IF(H2642="OK",N2642,"")</f>
        <v/>
      </c>
      <c r="U2642">
        <f>IF(OC_Donor=0,"",IF(INDEX('OneCause_Paste'!$A$2642:$AZ$2642,1,OC_Donor)="","",INDEX('OneCause_Paste'!$A$2642:$AZ$2642,1,OC_Donor)))</f>
        <v/>
      </c>
    </row>
    <row r="2643">
      <c r="A2643" s="62">
        <f>IF(H2643="","",IF(ISNUMBER(N2643),N2643,I2643))</f>
        <v/>
      </c>
      <c r="B2643">
        <f>IF(H2643="","",U2643)</f>
        <v/>
      </c>
      <c r="C2643">
        <f>IF(H2643="","",IF(P2643="",K2643,INDEX('Students'!$A$2:$A$701,P2643)))</f>
        <v/>
      </c>
      <c r="D2643">
        <f>IF(OR(H2643="",P2643=""),"",INDEX('Students'!$B$2:$B$701,P2643))</f>
        <v/>
      </c>
      <c r="E2643">
        <f>IF(OR(H2643="",P2643=""),"",INDEX('Students'!$C$2:$C$701,P2643))</f>
        <v/>
      </c>
      <c r="F2643" s="48">
        <f>IF(H2643="","",IF(ISNUMBER(O2643),O2643,J2643))</f>
        <v/>
      </c>
      <c r="G2643">
        <f>IF(H2643="","","OneCause")</f>
        <v/>
      </c>
      <c r="H2643">
        <f>IF(AND(I2643="",J2643="",K2643=""),"",IF(NOT(ISNUMBER(O2643)),"Bad amount",IF(O2643&lt;0,"Refund (not counted)",IF(O2643=0,"Zero amount",IF(NOT(ISNUMBER(N2643)),"Bad date",IF(P2643="","NAME NOT ON ROSTER",IF(L2643="","OK",IF(MATCH(L2643,$L$2:$L$3001,0)&lt;ROW()-1,"Duplicate (ignored)","OK"))))))))</f>
        <v/>
      </c>
      <c r="I2643">
        <f>IF(OC_Date=0,"",IF(INDEX('OneCause_Paste'!$A$2643:$AZ$2643,1,OC_Date)="","",INDEX('OneCause_Paste'!$A$2643:$AZ$2643,1,OC_Date)))</f>
        <v/>
      </c>
      <c r="J2643">
        <f>IF(OC_Amt=0,"",IF(INDEX('OneCause_Paste'!$A$2643:$AZ$2643,1,OC_Amt)="","",INDEX('OneCause_Paste'!$A$2643:$AZ$2643,1,OC_Amt)))</f>
        <v/>
      </c>
      <c r="K2643">
        <f>IF(OC_Name=0,"",IF(INDEX('OneCause_Paste'!$A$2643:$AZ$2643,1,OC_Name)="","",INDEX('OneCause_Paste'!$A$2643:$AZ$2643,1,OC_Name)))</f>
        <v/>
      </c>
      <c r="L2643">
        <f>IF(OC_Txn=0,"",IF(INDEX('OneCause_Paste'!$A$2643:$AZ$2643,1,OC_Txn)="","",INDEX('OneCause_Paste'!$A$2643:$AZ$2643,1,OC_Txn)))</f>
        <v/>
      </c>
      <c r="M2643">
        <f>IF(OC_Pay=0,"",IF(INDEX('OneCause_Paste'!$A$2643:$AZ$2643,1,OC_Pay)="","",INDEX('OneCause_Paste'!$A$2643:$AZ$2643,1,OC_Pay)))</f>
        <v/>
      </c>
      <c r="N2643">
        <f>IF(I2643="","",IF(ISNUMBER(I2643),INT(I2643),IFERROR(INT(DATEVALUE(I2643)),IFERROR(INT(VALUE(I2643)),"bad"))))</f>
        <v/>
      </c>
      <c r="O2643">
        <f>IF(J2643="","",IF(ISNUMBER(J2643),ROUND(J2643,2),IFERROR(ROUND(VALUE(SUBSTITUTE(SUBSTITUTE(SUBSTITUTE(J2643,"$",""),",","")," ","")),2),"bad")))</f>
        <v/>
      </c>
      <c r="P2643">
        <f>IF(TRIM(K2643)="","",IFERROR(MATCH(LOWER(TRIM(K2643)),'Students'!$AH$2:$AH$701,0),IFERROR(MATCH(LOWER(TRIM(K2643)),'Students'!$AF$2:$AF$701,0),IFERROR(MATCH(LOWER(TRIM(K2643)),'Students'!$AG$2:$AG$701,0),""))))</f>
        <v/>
      </c>
      <c r="R2643">
        <f>IF(P2643="","",INDEX('Students'!$AD$2:$AD$701,P2643))</f>
        <v/>
      </c>
      <c r="S2643">
        <f>IF(H2643="OK",O2643,0)</f>
        <v/>
      </c>
      <c r="T2643">
        <f>IF(H2643="OK",N2643,"")</f>
        <v/>
      </c>
      <c r="U2643">
        <f>IF(OC_Donor=0,"",IF(INDEX('OneCause_Paste'!$A$2643:$AZ$2643,1,OC_Donor)="","",INDEX('OneCause_Paste'!$A$2643:$AZ$2643,1,OC_Donor)))</f>
        <v/>
      </c>
    </row>
    <row r="2644">
      <c r="A2644" s="62">
        <f>IF(H2644="","",IF(ISNUMBER(N2644),N2644,I2644))</f>
        <v/>
      </c>
      <c r="B2644">
        <f>IF(H2644="","",U2644)</f>
        <v/>
      </c>
      <c r="C2644">
        <f>IF(H2644="","",IF(P2644="",K2644,INDEX('Students'!$A$2:$A$701,P2644)))</f>
        <v/>
      </c>
      <c r="D2644">
        <f>IF(OR(H2644="",P2644=""),"",INDEX('Students'!$B$2:$B$701,P2644))</f>
        <v/>
      </c>
      <c r="E2644">
        <f>IF(OR(H2644="",P2644=""),"",INDEX('Students'!$C$2:$C$701,P2644))</f>
        <v/>
      </c>
      <c r="F2644" s="48">
        <f>IF(H2644="","",IF(ISNUMBER(O2644),O2644,J2644))</f>
        <v/>
      </c>
      <c r="G2644">
        <f>IF(H2644="","","OneCause")</f>
        <v/>
      </c>
      <c r="H2644">
        <f>IF(AND(I2644="",J2644="",K2644=""),"",IF(NOT(ISNUMBER(O2644)),"Bad amount",IF(O2644&lt;0,"Refund (not counted)",IF(O2644=0,"Zero amount",IF(NOT(ISNUMBER(N2644)),"Bad date",IF(P2644="","NAME NOT ON ROSTER",IF(L2644="","OK",IF(MATCH(L2644,$L$2:$L$3001,0)&lt;ROW()-1,"Duplicate (ignored)","OK"))))))))</f>
        <v/>
      </c>
      <c r="I2644">
        <f>IF(OC_Date=0,"",IF(INDEX('OneCause_Paste'!$A$2644:$AZ$2644,1,OC_Date)="","",INDEX('OneCause_Paste'!$A$2644:$AZ$2644,1,OC_Date)))</f>
        <v/>
      </c>
      <c r="J2644">
        <f>IF(OC_Amt=0,"",IF(INDEX('OneCause_Paste'!$A$2644:$AZ$2644,1,OC_Amt)="","",INDEX('OneCause_Paste'!$A$2644:$AZ$2644,1,OC_Amt)))</f>
        <v/>
      </c>
      <c r="K2644">
        <f>IF(OC_Name=0,"",IF(INDEX('OneCause_Paste'!$A$2644:$AZ$2644,1,OC_Name)="","",INDEX('OneCause_Paste'!$A$2644:$AZ$2644,1,OC_Name)))</f>
        <v/>
      </c>
      <c r="L2644">
        <f>IF(OC_Txn=0,"",IF(INDEX('OneCause_Paste'!$A$2644:$AZ$2644,1,OC_Txn)="","",INDEX('OneCause_Paste'!$A$2644:$AZ$2644,1,OC_Txn)))</f>
        <v/>
      </c>
      <c r="M2644">
        <f>IF(OC_Pay=0,"",IF(INDEX('OneCause_Paste'!$A$2644:$AZ$2644,1,OC_Pay)="","",INDEX('OneCause_Paste'!$A$2644:$AZ$2644,1,OC_Pay)))</f>
        <v/>
      </c>
      <c r="N2644">
        <f>IF(I2644="","",IF(ISNUMBER(I2644),INT(I2644),IFERROR(INT(DATEVALUE(I2644)),IFERROR(INT(VALUE(I2644)),"bad"))))</f>
        <v/>
      </c>
      <c r="O2644">
        <f>IF(J2644="","",IF(ISNUMBER(J2644),ROUND(J2644,2),IFERROR(ROUND(VALUE(SUBSTITUTE(SUBSTITUTE(SUBSTITUTE(J2644,"$",""),",","")," ","")),2),"bad")))</f>
        <v/>
      </c>
      <c r="P2644">
        <f>IF(TRIM(K2644)="","",IFERROR(MATCH(LOWER(TRIM(K2644)),'Students'!$AH$2:$AH$701,0),IFERROR(MATCH(LOWER(TRIM(K2644)),'Students'!$AF$2:$AF$701,0),IFERROR(MATCH(LOWER(TRIM(K2644)),'Students'!$AG$2:$AG$701,0),""))))</f>
        <v/>
      </c>
      <c r="R2644">
        <f>IF(P2644="","",INDEX('Students'!$AD$2:$AD$701,P2644))</f>
        <v/>
      </c>
      <c r="S2644">
        <f>IF(H2644="OK",O2644,0)</f>
        <v/>
      </c>
      <c r="T2644">
        <f>IF(H2644="OK",N2644,"")</f>
        <v/>
      </c>
      <c r="U2644">
        <f>IF(OC_Donor=0,"",IF(INDEX('OneCause_Paste'!$A$2644:$AZ$2644,1,OC_Donor)="","",INDEX('OneCause_Paste'!$A$2644:$AZ$2644,1,OC_Donor)))</f>
        <v/>
      </c>
    </row>
    <row r="2645">
      <c r="A2645" s="62">
        <f>IF(H2645="","",IF(ISNUMBER(N2645),N2645,I2645))</f>
        <v/>
      </c>
      <c r="B2645">
        <f>IF(H2645="","",U2645)</f>
        <v/>
      </c>
      <c r="C2645">
        <f>IF(H2645="","",IF(P2645="",K2645,INDEX('Students'!$A$2:$A$701,P2645)))</f>
        <v/>
      </c>
      <c r="D2645">
        <f>IF(OR(H2645="",P2645=""),"",INDEX('Students'!$B$2:$B$701,P2645))</f>
        <v/>
      </c>
      <c r="E2645">
        <f>IF(OR(H2645="",P2645=""),"",INDEX('Students'!$C$2:$C$701,P2645))</f>
        <v/>
      </c>
      <c r="F2645" s="48">
        <f>IF(H2645="","",IF(ISNUMBER(O2645),O2645,J2645))</f>
        <v/>
      </c>
      <c r="G2645">
        <f>IF(H2645="","","OneCause")</f>
        <v/>
      </c>
      <c r="H2645">
        <f>IF(AND(I2645="",J2645="",K2645=""),"",IF(NOT(ISNUMBER(O2645)),"Bad amount",IF(O2645&lt;0,"Refund (not counted)",IF(O2645=0,"Zero amount",IF(NOT(ISNUMBER(N2645)),"Bad date",IF(P2645="","NAME NOT ON ROSTER",IF(L2645="","OK",IF(MATCH(L2645,$L$2:$L$3001,0)&lt;ROW()-1,"Duplicate (ignored)","OK"))))))))</f>
        <v/>
      </c>
      <c r="I2645">
        <f>IF(OC_Date=0,"",IF(INDEX('OneCause_Paste'!$A$2645:$AZ$2645,1,OC_Date)="","",INDEX('OneCause_Paste'!$A$2645:$AZ$2645,1,OC_Date)))</f>
        <v/>
      </c>
      <c r="J2645">
        <f>IF(OC_Amt=0,"",IF(INDEX('OneCause_Paste'!$A$2645:$AZ$2645,1,OC_Amt)="","",INDEX('OneCause_Paste'!$A$2645:$AZ$2645,1,OC_Amt)))</f>
        <v/>
      </c>
      <c r="K2645">
        <f>IF(OC_Name=0,"",IF(INDEX('OneCause_Paste'!$A$2645:$AZ$2645,1,OC_Name)="","",INDEX('OneCause_Paste'!$A$2645:$AZ$2645,1,OC_Name)))</f>
        <v/>
      </c>
      <c r="L2645">
        <f>IF(OC_Txn=0,"",IF(INDEX('OneCause_Paste'!$A$2645:$AZ$2645,1,OC_Txn)="","",INDEX('OneCause_Paste'!$A$2645:$AZ$2645,1,OC_Txn)))</f>
        <v/>
      </c>
      <c r="M2645">
        <f>IF(OC_Pay=0,"",IF(INDEX('OneCause_Paste'!$A$2645:$AZ$2645,1,OC_Pay)="","",INDEX('OneCause_Paste'!$A$2645:$AZ$2645,1,OC_Pay)))</f>
        <v/>
      </c>
      <c r="N2645">
        <f>IF(I2645="","",IF(ISNUMBER(I2645),INT(I2645),IFERROR(INT(DATEVALUE(I2645)),IFERROR(INT(VALUE(I2645)),"bad"))))</f>
        <v/>
      </c>
      <c r="O2645">
        <f>IF(J2645="","",IF(ISNUMBER(J2645),ROUND(J2645,2),IFERROR(ROUND(VALUE(SUBSTITUTE(SUBSTITUTE(SUBSTITUTE(J2645,"$",""),",","")," ","")),2),"bad")))</f>
        <v/>
      </c>
      <c r="P2645">
        <f>IF(TRIM(K2645)="","",IFERROR(MATCH(LOWER(TRIM(K2645)),'Students'!$AH$2:$AH$701,0),IFERROR(MATCH(LOWER(TRIM(K2645)),'Students'!$AF$2:$AF$701,0),IFERROR(MATCH(LOWER(TRIM(K2645)),'Students'!$AG$2:$AG$701,0),""))))</f>
        <v/>
      </c>
      <c r="R2645">
        <f>IF(P2645="","",INDEX('Students'!$AD$2:$AD$701,P2645))</f>
        <v/>
      </c>
      <c r="S2645">
        <f>IF(H2645="OK",O2645,0)</f>
        <v/>
      </c>
      <c r="T2645">
        <f>IF(H2645="OK",N2645,"")</f>
        <v/>
      </c>
      <c r="U2645">
        <f>IF(OC_Donor=0,"",IF(INDEX('OneCause_Paste'!$A$2645:$AZ$2645,1,OC_Donor)="","",INDEX('OneCause_Paste'!$A$2645:$AZ$2645,1,OC_Donor)))</f>
        <v/>
      </c>
    </row>
    <row r="2646">
      <c r="A2646" s="62">
        <f>IF(H2646="","",IF(ISNUMBER(N2646),N2646,I2646))</f>
        <v/>
      </c>
      <c r="B2646">
        <f>IF(H2646="","",U2646)</f>
        <v/>
      </c>
      <c r="C2646">
        <f>IF(H2646="","",IF(P2646="",K2646,INDEX('Students'!$A$2:$A$701,P2646)))</f>
        <v/>
      </c>
      <c r="D2646">
        <f>IF(OR(H2646="",P2646=""),"",INDEX('Students'!$B$2:$B$701,P2646))</f>
        <v/>
      </c>
      <c r="E2646">
        <f>IF(OR(H2646="",P2646=""),"",INDEX('Students'!$C$2:$C$701,P2646))</f>
        <v/>
      </c>
      <c r="F2646" s="48">
        <f>IF(H2646="","",IF(ISNUMBER(O2646),O2646,J2646))</f>
        <v/>
      </c>
      <c r="G2646">
        <f>IF(H2646="","","OneCause")</f>
        <v/>
      </c>
      <c r="H2646">
        <f>IF(AND(I2646="",J2646="",K2646=""),"",IF(NOT(ISNUMBER(O2646)),"Bad amount",IF(O2646&lt;0,"Refund (not counted)",IF(O2646=0,"Zero amount",IF(NOT(ISNUMBER(N2646)),"Bad date",IF(P2646="","NAME NOT ON ROSTER",IF(L2646="","OK",IF(MATCH(L2646,$L$2:$L$3001,0)&lt;ROW()-1,"Duplicate (ignored)","OK"))))))))</f>
        <v/>
      </c>
      <c r="I2646">
        <f>IF(OC_Date=0,"",IF(INDEX('OneCause_Paste'!$A$2646:$AZ$2646,1,OC_Date)="","",INDEX('OneCause_Paste'!$A$2646:$AZ$2646,1,OC_Date)))</f>
        <v/>
      </c>
      <c r="J2646">
        <f>IF(OC_Amt=0,"",IF(INDEX('OneCause_Paste'!$A$2646:$AZ$2646,1,OC_Amt)="","",INDEX('OneCause_Paste'!$A$2646:$AZ$2646,1,OC_Amt)))</f>
        <v/>
      </c>
      <c r="K2646">
        <f>IF(OC_Name=0,"",IF(INDEX('OneCause_Paste'!$A$2646:$AZ$2646,1,OC_Name)="","",INDEX('OneCause_Paste'!$A$2646:$AZ$2646,1,OC_Name)))</f>
        <v/>
      </c>
      <c r="L2646">
        <f>IF(OC_Txn=0,"",IF(INDEX('OneCause_Paste'!$A$2646:$AZ$2646,1,OC_Txn)="","",INDEX('OneCause_Paste'!$A$2646:$AZ$2646,1,OC_Txn)))</f>
        <v/>
      </c>
      <c r="M2646">
        <f>IF(OC_Pay=0,"",IF(INDEX('OneCause_Paste'!$A$2646:$AZ$2646,1,OC_Pay)="","",INDEX('OneCause_Paste'!$A$2646:$AZ$2646,1,OC_Pay)))</f>
        <v/>
      </c>
      <c r="N2646">
        <f>IF(I2646="","",IF(ISNUMBER(I2646),INT(I2646),IFERROR(INT(DATEVALUE(I2646)),IFERROR(INT(VALUE(I2646)),"bad"))))</f>
        <v/>
      </c>
      <c r="O2646">
        <f>IF(J2646="","",IF(ISNUMBER(J2646),ROUND(J2646,2),IFERROR(ROUND(VALUE(SUBSTITUTE(SUBSTITUTE(SUBSTITUTE(J2646,"$",""),",","")," ","")),2),"bad")))</f>
        <v/>
      </c>
      <c r="P2646">
        <f>IF(TRIM(K2646)="","",IFERROR(MATCH(LOWER(TRIM(K2646)),'Students'!$AH$2:$AH$701,0),IFERROR(MATCH(LOWER(TRIM(K2646)),'Students'!$AF$2:$AF$701,0),IFERROR(MATCH(LOWER(TRIM(K2646)),'Students'!$AG$2:$AG$701,0),""))))</f>
        <v/>
      </c>
      <c r="R2646">
        <f>IF(P2646="","",INDEX('Students'!$AD$2:$AD$701,P2646))</f>
        <v/>
      </c>
      <c r="S2646">
        <f>IF(H2646="OK",O2646,0)</f>
        <v/>
      </c>
      <c r="T2646">
        <f>IF(H2646="OK",N2646,"")</f>
        <v/>
      </c>
      <c r="U2646">
        <f>IF(OC_Donor=0,"",IF(INDEX('OneCause_Paste'!$A$2646:$AZ$2646,1,OC_Donor)="","",INDEX('OneCause_Paste'!$A$2646:$AZ$2646,1,OC_Donor)))</f>
        <v/>
      </c>
    </row>
    <row r="2647">
      <c r="A2647" s="62">
        <f>IF(H2647="","",IF(ISNUMBER(N2647),N2647,I2647))</f>
        <v/>
      </c>
      <c r="B2647">
        <f>IF(H2647="","",U2647)</f>
        <v/>
      </c>
      <c r="C2647">
        <f>IF(H2647="","",IF(P2647="",K2647,INDEX('Students'!$A$2:$A$701,P2647)))</f>
        <v/>
      </c>
      <c r="D2647">
        <f>IF(OR(H2647="",P2647=""),"",INDEX('Students'!$B$2:$B$701,P2647))</f>
        <v/>
      </c>
      <c r="E2647">
        <f>IF(OR(H2647="",P2647=""),"",INDEX('Students'!$C$2:$C$701,P2647))</f>
        <v/>
      </c>
      <c r="F2647" s="48">
        <f>IF(H2647="","",IF(ISNUMBER(O2647),O2647,J2647))</f>
        <v/>
      </c>
      <c r="G2647">
        <f>IF(H2647="","","OneCause")</f>
        <v/>
      </c>
      <c r="H2647">
        <f>IF(AND(I2647="",J2647="",K2647=""),"",IF(NOT(ISNUMBER(O2647)),"Bad amount",IF(O2647&lt;0,"Refund (not counted)",IF(O2647=0,"Zero amount",IF(NOT(ISNUMBER(N2647)),"Bad date",IF(P2647="","NAME NOT ON ROSTER",IF(L2647="","OK",IF(MATCH(L2647,$L$2:$L$3001,0)&lt;ROW()-1,"Duplicate (ignored)","OK"))))))))</f>
        <v/>
      </c>
      <c r="I2647">
        <f>IF(OC_Date=0,"",IF(INDEX('OneCause_Paste'!$A$2647:$AZ$2647,1,OC_Date)="","",INDEX('OneCause_Paste'!$A$2647:$AZ$2647,1,OC_Date)))</f>
        <v/>
      </c>
      <c r="J2647">
        <f>IF(OC_Amt=0,"",IF(INDEX('OneCause_Paste'!$A$2647:$AZ$2647,1,OC_Amt)="","",INDEX('OneCause_Paste'!$A$2647:$AZ$2647,1,OC_Amt)))</f>
        <v/>
      </c>
      <c r="K2647">
        <f>IF(OC_Name=0,"",IF(INDEX('OneCause_Paste'!$A$2647:$AZ$2647,1,OC_Name)="","",INDEX('OneCause_Paste'!$A$2647:$AZ$2647,1,OC_Name)))</f>
        <v/>
      </c>
      <c r="L2647">
        <f>IF(OC_Txn=0,"",IF(INDEX('OneCause_Paste'!$A$2647:$AZ$2647,1,OC_Txn)="","",INDEX('OneCause_Paste'!$A$2647:$AZ$2647,1,OC_Txn)))</f>
        <v/>
      </c>
      <c r="M2647">
        <f>IF(OC_Pay=0,"",IF(INDEX('OneCause_Paste'!$A$2647:$AZ$2647,1,OC_Pay)="","",INDEX('OneCause_Paste'!$A$2647:$AZ$2647,1,OC_Pay)))</f>
        <v/>
      </c>
      <c r="N2647">
        <f>IF(I2647="","",IF(ISNUMBER(I2647),INT(I2647),IFERROR(INT(DATEVALUE(I2647)),IFERROR(INT(VALUE(I2647)),"bad"))))</f>
        <v/>
      </c>
      <c r="O2647">
        <f>IF(J2647="","",IF(ISNUMBER(J2647),ROUND(J2647,2),IFERROR(ROUND(VALUE(SUBSTITUTE(SUBSTITUTE(SUBSTITUTE(J2647,"$",""),",","")," ","")),2),"bad")))</f>
        <v/>
      </c>
      <c r="P2647">
        <f>IF(TRIM(K2647)="","",IFERROR(MATCH(LOWER(TRIM(K2647)),'Students'!$AH$2:$AH$701,0),IFERROR(MATCH(LOWER(TRIM(K2647)),'Students'!$AF$2:$AF$701,0),IFERROR(MATCH(LOWER(TRIM(K2647)),'Students'!$AG$2:$AG$701,0),""))))</f>
        <v/>
      </c>
      <c r="R2647">
        <f>IF(P2647="","",INDEX('Students'!$AD$2:$AD$701,P2647))</f>
        <v/>
      </c>
      <c r="S2647">
        <f>IF(H2647="OK",O2647,0)</f>
        <v/>
      </c>
      <c r="T2647">
        <f>IF(H2647="OK",N2647,"")</f>
        <v/>
      </c>
      <c r="U2647">
        <f>IF(OC_Donor=0,"",IF(INDEX('OneCause_Paste'!$A$2647:$AZ$2647,1,OC_Donor)="","",INDEX('OneCause_Paste'!$A$2647:$AZ$2647,1,OC_Donor)))</f>
        <v/>
      </c>
    </row>
    <row r="2648">
      <c r="A2648" s="62">
        <f>IF(H2648="","",IF(ISNUMBER(N2648),N2648,I2648))</f>
        <v/>
      </c>
      <c r="B2648">
        <f>IF(H2648="","",U2648)</f>
        <v/>
      </c>
      <c r="C2648">
        <f>IF(H2648="","",IF(P2648="",K2648,INDEX('Students'!$A$2:$A$701,P2648)))</f>
        <v/>
      </c>
      <c r="D2648">
        <f>IF(OR(H2648="",P2648=""),"",INDEX('Students'!$B$2:$B$701,P2648))</f>
        <v/>
      </c>
      <c r="E2648">
        <f>IF(OR(H2648="",P2648=""),"",INDEX('Students'!$C$2:$C$701,P2648))</f>
        <v/>
      </c>
      <c r="F2648" s="48">
        <f>IF(H2648="","",IF(ISNUMBER(O2648),O2648,J2648))</f>
        <v/>
      </c>
      <c r="G2648">
        <f>IF(H2648="","","OneCause")</f>
        <v/>
      </c>
      <c r="H2648">
        <f>IF(AND(I2648="",J2648="",K2648=""),"",IF(NOT(ISNUMBER(O2648)),"Bad amount",IF(O2648&lt;0,"Refund (not counted)",IF(O2648=0,"Zero amount",IF(NOT(ISNUMBER(N2648)),"Bad date",IF(P2648="","NAME NOT ON ROSTER",IF(L2648="","OK",IF(MATCH(L2648,$L$2:$L$3001,0)&lt;ROW()-1,"Duplicate (ignored)","OK"))))))))</f>
        <v/>
      </c>
      <c r="I2648">
        <f>IF(OC_Date=0,"",IF(INDEX('OneCause_Paste'!$A$2648:$AZ$2648,1,OC_Date)="","",INDEX('OneCause_Paste'!$A$2648:$AZ$2648,1,OC_Date)))</f>
        <v/>
      </c>
      <c r="J2648">
        <f>IF(OC_Amt=0,"",IF(INDEX('OneCause_Paste'!$A$2648:$AZ$2648,1,OC_Amt)="","",INDEX('OneCause_Paste'!$A$2648:$AZ$2648,1,OC_Amt)))</f>
        <v/>
      </c>
      <c r="K2648">
        <f>IF(OC_Name=0,"",IF(INDEX('OneCause_Paste'!$A$2648:$AZ$2648,1,OC_Name)="","",INDEX('OneCause_Paste'!$A$2648:$AZ$2648,1,OC_Name)))</f>
        <v/>
      </c>
      <c r="L2648">
        <f>IF(OC_Txn=0,"",IF(INDEX('OneCause_Paste'!$A$2648:$AZ$2648,1,OC_Txn)="","",INDEX('OneCause_Paste'!$A$2648:$AZ$2648,1,OC_Txn)))</f>
        <v/>
      </c>
      <c r="M2648">
        <f>IF(OC_Pay=0,"",IF(INDEX('OneCause_Paste'!$A$2648:$AZ$2648,1,OC_Pay)="","",INDEX('OneCause_Paste'!$A$2648:$AZ$2648,1,OC_Pay)))</f>
        <v/>
      </c>
      <c r="N2648">
        <f>IF(I2648="","",IF(ISNUMBER(I2648),INT(I2648),IFERROR(INT(DATEVALUE(I2648)),IFERROR(INT(VALUE(I2648)),"bad"))))</f>
        <v/>
      </c>
      <c r="O2648">
        <f>IF(J2648="","",IF(ISNUMBER(J2648),ROUND(J2648,2),IFERROR(ROUND(VALUE(SUBSTITUTE(SUBSTITUTE(SUBSTITUTE(J2648,"$",""),",","")," ","")),2),"bad")))</f>
        <v/>
      </c>
      <c r="P2648">
        <f>IF(TRIM(K2648)="","",IFERROR(MATCH(LOWER(TRIM(K2648)),'Students'!$AH$2:$AH$701,0),IFERROR(MATCH(LOWER(TRIM(K2648)),'Students'!$AF$2:$AF$701,0),IFERROR(MATCH(LOWER(TRIM(K2648)),'Students'!$AG$2:$AG$701,0),""))))</f>
        <v/>
      </c>
      <c r="R2648">
        <f>IF(P2648="","",INDEX('Students'!$AD$2:$AD$701,P2648))</f>
        <v/>
      </c>
      <c r="S2648">
        <f>IF(H2648="OK",O2648,0)</f>
        <v/>
      </c>
      <c r="T2648">
        <f>IF(H2648="OK",N2648,"")</f>
        <v/>
      </c>
      <c r="U2648">
        <f>IF(OC_Donor=0,"",IF(INDEX('OneCause_Paste'!$A$2648:$AZ$2648,1,OC_Donor)="","",INDEX('OneCause_Paste'!$A$2648:$AZ$2648,1,OC_Donor)))</f>
        <v/>
      </c>
    </row>
    <row r="2649">
      <c r="A2649" s="62">
        <f>IF(H2649="","",IF(ISNUMBER(N2649),N2649,I2649))</f>
        <v/>
      </c>
      <c r="B2649">
        <f>IF(H2649="","",U2649)</f>
        <v/>
      </c>
      <c r="C2649">
        <f>IF(H2649="","",IF(P2649="",K2649,INDEX('Students'!$A$2:$A$701,P2649)))</f>
        <v/>
      </c>
      <c r="D2649">
        <f>IF(OR(H2649="",P2649=""),"",INDEX('Students'!$B$2:$B$701,P2649))</f>
        <v/>
      </c>
      <c r="E2649">
        <f>IF(OR(H2649="",P2649=""),"",INDEX('Students'!$C$2:$C$701,P2649))</f>
        <v/>
      </c>
      <c r="F2649" s="48">
        <f>IF(H2649="","",IF(ISNUMBER(O2649),O2649,J2649))</f>
        <v/>
      </c>
      <c r="G2649">
        <f>IF(H2649="","","OneCause")</f>
        <v/>
      </c>
      <c r="H2649">
        <f>IF(AND(I2649="",J2649="",K2649=""),"",IF(NOT(ISNUMBER(O2649)),"Bad amount",IF(O2649&lt;0,"Refund (not counted)",IF(O2649=0,"Zero amount",IF(NOT(ISNUMBER(N2649)),"Bad date",IF(P2649="","NAME NOT ON ROSTER",IF(L2649="","OK",IF(MATCH(L2649,$L$2:$L$3001,0)&lt;ROW()-1,"Duplicate (ignored)","OK"))))))))</f>
        <v/>
      </c>
      <c r="I2649">
        <f>IF(OC_Date=0,"",IF(INDEX('OneCause_Paste'!$A$2649:$AZ$2649,1,OC_Date)="","",INDEX('OneCause_Paste'!$A$2649:$AZ$2649,1,OC_Date)))</f>
        <v/>
      </c>
      <c r="J2649">
        <f>IF(OC_Amt=0,"",IF(INDEX('OneCause_Paste'!$A$2649:$AZ$2649,1,OC_Amt)="","",INDEX('OneCause_Paste'!$A$2649:$AZ$2649,1,OC_Amt)))</f>
        <v/>
      </c>
      <c r="K2649">
        <f>IF(OC_Name=0,"",IF(INDEX('OneCause_Paste'!$A$2649:$AZ$2649,1,OC_Name)="","",INDEX('OneCause_Paste'!$A$2649:$AZ$2649,1,OC_Name)))</f>
        <v/>
      </c>
      <c r="L2649">
        <f>IF(OC_Txn=0,"",IF(INDEX('OneCause_Paste'!$A$2649:$AZ$2649,1,OC_Txn)="","",INDEX('OneCause_Paste'!$A$2649:$AZ$2649,1,OC_Txn)))</f>
        <v/>
      </c>
      <c r="M2649">
        <f>IF(OC_Pay=0,"",IF(INDEX('OneCause_Paste'!$A$2649:$AZ$2649,1,OC_Pay)="","",INDEX('OneCause_Paste'!$A$2649:$AZ$2649,1,OC_Pay)))</f>
        <v/>
      </c>
      <c r="N2649">
        <f>IF(I2649="","",IF(ISNUMBER(I2649),INT(I2649),IFERROR(INT(DATEVALUE(I2649)),IFERROR(INT(VALUE(I2649)),"bad"))))</f>
        <v/>
      </c>
      <c r="O2649">
        <f>IF(J2649="","",IF(ISNUMBER(J2649),ROUND(J2649,2),IFERROR(ROUND(VALUE(SUBSTITUTE(SUBSTITUTE(SUBSTITUTE(J2649,"$",""),",","")," ","")),2),"bad")))</f>
        <v/>
      </c>
      <c r="P2649">
        <f>IF(TRIM(K2649)="","",IFERROR(MATCH(LOWER(TRIM(K2649)),'Students'!$AH$2:$AH$701,0),IFERROR(MATCH(LOWER(TRIM(K2649)),'Students'!$AF$2:$AF$701,0),IFERROR(MATCH(LOWER(TRIM(K2649)),'Students'!$AG$2:$AG$701,0),""))))</f>
        <v/>
      </c>
      <c r="R2649">
        <f>IF(P2649="","",INDEX('Students'!$AD$2:$AD$701,P2649))</f>
        <v/>
      </c>
      <c r="S2649">
        <f>IF(H2649="OK",O2649,0)</f>
        <v/>
      </c>
      <c r="T2649">
        <f>IF(H2649="OK",N2649,"")</f>
        <v/>
      </c>
      <c r="U2649">
        <f>IF(OC_Donor=0,"",IF(INDEX('OneCause_Paste'!$A$2649:$AZ$2649,1,OC_Donor)="","",INDEX('OneCause_Paste'!$A$2649:$AZ$2649,1,OC_Donor)))</f>
        <v/>
      </c>
    </row>
    <row r="2650">
      <c r="A2650" s="62">
        <f>IF(H2650="","",IF(ISNUMBER(N2650),N2650,I2650))</f>
        <v/>
      </c>
      <c r="B2650">
        <f>IF(H2650="","",U2650)</f>
        <v/>
      </c>
      <c r="C2650">
        <f>IF(H2650="","",IF(P2650="",K2650,INDEX('Students'!$A$2:$A$701,P2650)))</f>
        <v/>
      </c>
      <c r="D2650">
        <f>IF(OR(H2650="",P2650=""),"",INDEX('Students'!$B$2:$B$701,P2650))</f>
        <v/>
      </c>
      <c r="E2650">
        <f>IF(OR(H2650="",P2650=""),"",INDEX('Students'!$C$2:$C$701,P2650))</f>
        <v/>
      </c>
      <c r="F2650" s="48">
        <f>IF(H2650="","",IF(ISNUMBER(O2650),O2650,J2650))</f>
        <v/>
      </c>
      <c r="G2650">
        <f>IF(H2650="","","OneCause")</f>
        <v/>
      </c>
      <c r="H2650">
        <f>IF(AND(I2650="",J2650="",K2650=""),"",IF(NOT(ISNUMBER(O2650)),"Bad amount",IF(O2650&lt;0,"Refund (not counted)",IF(O2650=0,"Zero amount",IF(NOT(ISNUMBER(N2650)),"Bad date",IF(P2650="","NAME NOT ON ROSTER",IF(L2650="","OK",IF(MATCH(L2650,$L$2:$L$3001,0)&lt;ROW()-1,"Duplicate (ignored)","OK"))))))))</f>
        <v/>
      </c>
      <c r="I2650">
        <f>IF(OC_Date=0,"",IF(INDEX('OneCause_Paste'!$A$2650:$AZ$2650,1,OC_Date)="","",INDEX('OneCause_Paste'!$A$2650:$AZ$2650,1,OC_Date)))</f>
        <v/>
      </c>
      <c r="J2650">
        <f>IF(OC_Amt=0,"",IF(INDEX('OneCause_Paste'!$A$2650:$AZ$2650,1,OC_Amt)="","",INDEX('OneCause_Paste'!$A$2650:$AZ$2650,1,OC_Amt)))</f>
        <v/>
      </c>
      <c r="K2650">
        <f>IF(OC_Name=0,"",IF(INDEX('OneCause_Paste'!$A$2650:$AZ$2650,1,OC_Name)="","",INDEX('OneCause_Paste'!$A$2650:$AZ$2650,1,OC_Name)))</f>
        <v/>
      </c>
      <c r="L2650">
        <f>IF(OC_Txn=0,"",IF(INDEX('OneCause_Paste'!$A$2650:$AZ$2650,1,OC_Txn)="","",INDEX('OneCause_Paste'!$A$2650:$AZ$2650,1,OC_Txn)))</f>
        <v/>
      </c>
      <c r="M2650">
        <f>IF(OC_Pay=0,"",IF(INDEX('OneCause_Paste'!$A$2650:$AZ$2650,1,OC_Pay)="","",INDEX('OneCause_Paste'!$A$2650:$AZ$2650,1,OC_Pay)))</f>
        <v/>
      </c>
      <c r="N2650">
        <f>IF(I2650="","",IF(ISNUMBER(I2650),INT(I2650),IFERROR(INT(DATEVALUE(I2650)),IFERROR(INT(VALUE(I2650)),"bad"))))</f>
        <v/>
      </c>
      <c r="O2650">
        <f>IF(J2650="","",IF(ISNUMBER(J2650),ROUND(J2650,2),IFERROR(ROUND(VALUE(SUBSTITUTE(SUBSTITUTE(SUBSTITUTE(J2650,"$",""),",","")," ","")),2),"bad")))</f>
        <v/>
      </c>
      <c r="P2650">
        <f>IF(TRIM(K2650)="","",IFERROR(MATCH(LOWER(TRIM(K2650)),'Students'!$AH$2:$AH$701,0),IFERROR(MATCH(LOWER(TRIM(K2650)),'Students'!$AF$2:$AF$701,0),IFERROR(MATCH(LOWER(TRIM(K2650)),'Students'!$AG$2:$AG$701,0),""))))</f>
        <v/>
      </c>
      <c r="R2650">
        <f>IF(P2650="","",INDEX('Students'!$AD$2:$AD$701,P2650))</f>
        <v/>
      </c>
      <c r="S2650">
        <f>IF(H2650="OK",O2650,0)</f>
        <v/>
      </c>
      <c r="T2650">
        <f>IF(H2650="OK",N2650,"")</f>
        <v/>
      </c>
      <c r="U2650">
        <f>IF(OC_Donor=0,"",IF(INDEX('OneCause_Paste'!$A$2650:$AZ$2650,1,OC_Donor)="","",INDEX('OneCause_Paste'!$A$2650:$AZ$2650,1,OC_Donor)))</f>
        <v/>
      </c>
    </row>
    <row r="2651">
      <c r="A2651" s="62">
        <f>IF(H2651="","",IF(ISNUMBER(N2651),N2651,I2651))</f>
        <v/>
      </c>
      <c r="B2651">
        <f>IF(H2651="","",U2651)</f>
        <v/>
      </c>
      <c r="C2651">
        <f>IF(H2651="","",IF(P2651="",K2651,INDEX('Students'!$A$2:$A$701,P2651)))</f>
        <v/>
      </c>
      <c r="D2651">
        <f>IF(OR(H2651="",P2651=""),"",INDEX('Students'!$B$2:$B$701,P2651))</f>
        <v/>
      </c>
      <c r="E2651">
        <f>IF(OR(H2651="",P2651=""),"",INDEX('Students'!$C$2:$C$701,P2651))</f>
        <v/>
      </c>
      <c r="F2651" s="48">
        <f>IF(H2651="","",IF(ISNUMBER(O2651),O2651,J2651))</f>
        <v/>
      </c>
      <c r="G2651">
        <f>IF(H2651="","","OneCause")</f>
        <v/>
      </c>
      <c r="H2651">
        <f>IF(AND(I2651="",J2651="",K2651=""),"",IF(NOT(ISNUMBER(O2651)),"Bad amount",IF(O2651&lt;0,"Refund (not counted)",IF(O2651=0,"Zero amount",IF(NOT(ISNUMBER(N2651)),"Bad date",IF(P2651="","NAME NOT ON ROSTER",IF(L2651="","OK",IF(MATCH(L2651,$L$2:$L$3001,0)&lt;ROW()-1,"Duplicate (ignored)","OK"))))))))</f>
        <v/>
      </c>
      <c r="I2651">
        <f>IF(OC_Date=0,"",IF(INDEX('OneCause_Paste'!$A$2651:$AZ$2651,1,OC_Date)="","",INDEX('OneCause_Paste'!$A$2651:$AZ$2651,1,OC_Date)))</f>
        <v/>
      </c>
      <c r="J2651">
        <f>IF(OC_Amt=0,"",IF(INDEX('OneCause_Paste'!$A$2651:$AZ$2651,1,OC_Amt)="","",INDEX('OneCause_Paste'!$A$2651:$AZ$2651,1,OC_Amt)))</f>
        <v/>
      </c>
      <c r="K2651">
        <f>IF(OC_Name=0,"",IF(INDEX('OneCause_Paste'!$A$2651:$AZ$2651,1,OC_Name)="","",INDEX('OneCause_Paste'!$A$2651:$AZ$2651,1,OC_Name)))</f>
        <v/>
      </c>
      <c r="L2651">
        <f>IF(OC_Txn=0,"",IF(INDEX('OneCause_Paste'!$A$2651:$AZ$2651,1,OC_Txn)="","",INDEX('OneCause_Paste'!$A$2651:$AZ$2651,1,OC_Txn)))</f>
        <v/>
      </c>
      <c r="M2651">
        <f>IF(OC_Pay=0,"",IF(INDEX('OneCause_Paste'!$A$2651:$AZ$2651,1,OC_Pay)="","",INDEX('OneCause_Paste'!$A$2651:$AZ$2651,1,OC_Pay)))</f>
        <v/>
      </c>
      <c r="N2651">
        <f>IF(I2651="","",IF(ISNUMBER(I2651),INT(I2651),IFERROR(INT(DATEVALUE(I2651)),IFERROR(INT(VALUE(I2651)),"bad"))))</f>
        <v/>
      </c>
      <c r="O2651">
        <f>IF(J2651="","",IF(ISNUMBER(J2651),ROUND(J2651,2),IFERROR(ROUND(VALUE(SUBSTITUTE(SUBSTITUTE(SUBSTITUTE(J2651,"$",""),",","")," ","")),2),"bad")))</f>
        <v/>
      </c>
      <c r="P2651">
        <f>IF(TRIM(K2651)="","",IFERROR(MATCH(LOWER(TRIM(K2651)),'Students'!$AH$2:$AH$701,0),IFERROR(MATCH(LOWER(TRIM(K2651)),'Students'!$AF$2:$AF$701,0),IFERROR(MATCH(LOWER(TRIM(K2651)),'Students'!$AG$2:$AG$701,0),""))))</f>
        <v/>
      </c>
      <c r="R2651">
        <f>IF(P2651="","",INDEX('Students'!$AD$2:$AD$701,P2651))</f>
        <v/>
      </c>
      <c r="S2651">
        <f>IF(H2651="OK",O2651,0)</f>
        <v/>
      </c>
      <c r="T2651">
        <f>IF(H2651="OK",N2651,"")</f>
        <v/>
      </c>
      <c r="U2651">
        <f>IF(OC_Donor=0,"",IF(INDEX('OneCause_Paste'!$A$2651:$AZ$2651,1,OC_Donor)="","",INDEX('OneCause_Paste'!$A$2651:$AZ$2651,1,OC_Donor)))</f>
        <v/>
      </c>
    </row>
    <row r="2652">
      <c r="A2652" s="62">
        <f>IF(H2652="","",IF(ISNUMBER(N2652),N2652,I2652))</f>
        <v/>
      </c>
      <c r="B2652">
        <f>IF(H2652="","",U2652)</f>
        <v/>
      </c>
      <c r="C2652">
        <f>IF(H2652="","",IF(P2652="",K2652,INDEX('Students'!$A$2:$A$701,P2652)))</f>
        <v/>
      </c>
      <c r="D2652">
        <f>IF(OR(H2652="",P2652=""),"",INDEX('Students'!$B$2:$B$701,P2652))</f>
        <v/>
      </c>
      <c r="E2652">
        <f>IF(OR(H2652="",P2652=""),"",INDEX('Students'!$C$2:$C$701,P2652))</f>
        <v/>
      </c>
      <c r="F2652" s="48">
        <f>IF(H2652="","",IF(ISNUMBER(O2652),O2652,J2652))</f>
        <v/>
      </c>
      <c r="G2652">
        <f>IF(H2652="","","OneCause")</f>
        <v/>
      </c>
      <c r="H2652">
        <f>IF(AND(I2652="",J2652="",K2652=""),"",IF(NOT(ISNUMBER(O2652)),"Bad amount",IF(O2652&lt;0,"Refund (not counted)",IF(O2652=0,"Zero amount",IF(NOT(ISNUMBER(N2652)),"Bad date",IF(P2652="","NAME NOT ON ROSTER",IF(L2652="","OK",IF(MATCH(L2652,$L$2:$L$3001,0)&lt;ROW()-1,"Duplicate (ignored)","OK"))))))))</f>
        <v/>
      </c>
      <c r="I2652">
        <f>IF(OC_Date=0,"",IF(INDEX('OneCause_Paste'!$A$2652:$AZ$2652,1,OC_Date)="","",INDEX('OneCause_Paste'!$A$2652:$AZ$2652,1,OC_Date)))</f>
        <v/>
      </c>
      <c r="J2652">
        <f>IF(OC_Amt=0,"",IF(INDEX('OneCause_Paste'!$A$2652:$AZ$2652,1,OC_Amt)="","",INDEX('OneCause_Paste'!$A$2652:$AZ$2652,1,OC_Amt)))</f>
        <v/>
      </c>
      <c r="K2652">
        <f>IF(OC_Name=0,"",IF(INDEX('OneCause_Paste'!$A$2652:$AZ$2652,1,OC_Name)="","",INDEX('OneCause_Paste'!$A$2652:$AZ$2652,1,OC_Name)))</f>
        <v/>
      </c>
      <c r="L2652">
        <f>IF(OC_Txn=0,"",IF(INDEX('OneCause_Paste'!$A$2652:$AZ$2652,1,OC_Txn)="","",INDEX('OneCause_Paste'!$A$2652:$AZ$2652,1,OC_Txn)))</f>
        <v/>
      </c>
      <c r="M2652">
        <f>IF(OC_Pay=0,"",IF(INDEX('OneCause_Paste'!$A$2652:$AZ$2652,1,OC_Pay)="","",INDEX('OneCause_Paste'!$A$2652:$AZ$2652,1,OC_Pay)))</f>
        <v/>
      </c>
      <c r="N2652">
        <f>IF(I2652="","",IF(ISNUMBER(I2652),INT(I2652),IFERROR(INT(DATEVALUE(I2652)),IFERROR(INT(VALUE(I2652)),"bad"))))</f>
        <v/>
      </c>
      <c r="O2652">
        <f>IF(J2652="","",IF(ISNUMBER(J2652),ROUND(J2652,2),IFERROR(ROUND(VALUE(SUBSTITUTE(SUBSTITUTE(SUBSTITUTE(J2652,"$",""),",","")," ","")),2),"bad")))</f>
        <v/>
      </c>
      <c r="P2652">
        <f>IF(TRIM(K2652)="","",IFERROR(MATCH(LOWER(TRIM(K2652)),'Students'!$AH$2:$AH$701,0),IFERROR(MATCH(LOWER(TRIM(K2652)),'Students'!$AF$2:$AF$701,0),IFERROR(MATCH(LOWER(TRIM(K2652)),'Students'!$AG$2:$AG$701,0),""))))</f>
        <v/>
      </c>
      <c r="R2652">
        <f>IF(P2652="","",INDEX('Students'!$AD$2:$AD$701,P2652))</f>
        <v/>
      </c>
      <c r="S2652">
        <f>IF(H2652="OK",O2652,0)</f>
        <v/>
      </c>
      <c r="T2652">
        <f>IF(H2652="OK",N2652,"")</f>
        <v/>
      </c>
      <c r="U2652">
        <f>IF(OC_Donor=0,"",IF(INDEX('OneCause_Paste'!$A$2652:$AZ$2652,1,OC_Donor)="","",INDEX('OneCause_Paste'!$A$2652:$AZ$2652,1,OC_Donor)))</f>
        <v/>
      </c>
    </row>
    <row r="2653">
      <c r="A2653" s="62">
        <f>IF(H2653="","",IF(ISNUMBER(N2653),N2653,I2653))</f>
        <v/>
      </c>
      <c r="B2653">
        <f>IF(H2653="","",U2653)</f>
        <v/>
      </c>
      <c r="C2653">
        <f>IF(H2653="","",IF(P2653="",K2653,INDEX('Students'!$A$2:$A$701,P2653)))</f>
        <v/>
      </c>
      <c r="D2653">
        <f>IF(OR(H2653="",P2653=""),"",INDEX('Students'!$B$2:$B$701,P2653))</f>
        <v/>
      </c>
      <c r="E2653">
        <f>IF(OR(H2653="",P2653=""),"",INDEX('Students'!$C$2:$C$701,P2653))</f>
        <v/>
      </c>
      <c r="F2653" s="48">
        <f>IF(H2653="","",IF(ISNUMBER(O2653),O2653,J2653))</f>
        <v/>
      </c>
      <c r="G2653">
        <f>IF(H2653="","","OneCause")</f>
        <v/>
      </c>
      <c r="H2653">
        <f>IF(AND(I2653="",J2653="",K2653=""),"",IF(NOT(ISNUMBER(O2653)),"Bad amount",IF(O2653&lt;0,"Refund (not counted)",IF(O2653=0,"Zero amount",IF(NOT(ISNUMBER(N2653)),"Bad date",IF(P2653="","NAME NOT ON ROSTER",IF(L2653="","OK",IF(MATCH(L2653,$L$2:$L$3001,0)&lt;ROW()-1,"Duplicate (ignored)","OK"))))))))</f>
        <v/>
      </c>
      <c r="I2653">
        <f>IF(OC_Date=0,"",IF(INDEX('OneCause_Paste'!$A$2653:$AZ$2653,1,OC_Date)="","",INDEX('OneCause_Paste'!$A$2653:$AZ$2653,1,OC_Date)))</f>
        <v/>
      </c>
      <c r="J2653">
        <f>IF(OC_Amt=0,"",IF(INDEX('OneCause_Paste'!$A$2653:$AZ$2653,1,OC_Amt)="","",INDEX('OneCause_Paste'!$A$2653:$AZ$2653,1,OC_Amt)))</f>
        <v/>
      </c>
      <c r="K2653">
        <f>IF(OC_Name=0,"",IF(INDEX('OneCause_Paste'!$A$2653:$AZ$2653,1,OC_Name)="","",INDEX('OneCause_Paste'!$A$2653:$AZ$2653,1,OC_Name)))</f>
        <v/>
      </c>
      <c r="L2653">
        <f>IF(OC_Txn=0,"",IF(INDEX('OneCause_Paste'!$A$2653:$AZ$2653,1,OC_Txn)="","",INDEX('OneCause_Paste'!$A$2653:$AZ$2653,1,OC_Txn)))</f>
        <v/>
      </c>
      <c r="M2653">
        <f>IF(OC_Pay=0,"",IF(INDEX('OneCause_Paste'!$A$2653:$AZ$2653,1,OC_Pay)="","",INDEX('OneCause_Paste'!$A$2653:$AZ$2653,1,OC_Pay)))</f>
        <v/>
      </c>
      <c r="N2653">
        <f>IF(I2653="","",IF(ISNUMBER(I2653),INT(I2653),IFERROR(INT(DATEVALUE(I2653)),IFERROR(INT(VALUE(I2653)),"bad"))))</f>
        <v/>
      </c>
      <c r="O2653">
        <f>IF(J2653="","",IF(ISNUMBER(J2653),ROUND(J2653,2),IFERROR(ROUND(VALUE(SUBSTITUTE(SUBSTITUTE(SUBSTITUTE(J2653,"$",""),",","")," ","")),2),"bad")))</f>
        <v/>
      </c>
      <c r="P2653">
        <f>IF(TRIM(K2653)="","",IFERROR(MATCH(LOWER(TRIM(K2653)),'Students'!$AH$2:$AH$701,0),IFERROR(MATCH(LOWER(TRIM(K2653)),'Students'!$AF$2:$AF$701,0),IFERROR(MATCH(LOWER(TRIM(K2653)),'Students'!$AG$2:$AG$701,0),""))))</f>
        <v/>
      </c>
      <c r="R2653">
        <f>IF(P2653="","",INDEX('Students'!$AD$2:$AD$701,P2653))</f>
        <v/>
      </c>
      <c r="S2653">
        <f>IF(H2653="OK",O2653,0)</f>
        <v/>
      </c>
      <c r="T2653">
        <f>IF(H2653="OK",N2653,"")</f>
        <v/>
      </c>
      <c r="U2653">
        <f>IF(OC_Donor=0,"",IF(INDEX('OneCause_Paste'!$A$2653:$AZ$2653,1,OC_Donor)="","",INDEX('OneCause_Paste'!$A$2653:$AZ$2653,1,OC_Donor)))</f>
        <v/>
      </c>
    </row>
    <row r="2654">
      <c r="A2654" s="62">
        <f>IF(H2654="","",IF(ISNUMBER(N2654),N2654,I2654))</f>
        <v/>
      </c>
      <c r="B2654">
        <f>IF(H2654="","",U2654)</f>
        <v/>
      </c>
      <c r="C2654">
        <f>IF(H2654="","",IF(P2654="",K2654,INDEX('Students'!$A$2:$A$701,P2654)))</f>
        <v/>
      </c>
      <c r="D2654">
        <f>IF(OR(H2654="",P2654=""),"",INDEX('Students'!$B$2:$B$701,P2654))</f>
        <v/>
      </c>
      <c r="E2654">
        <f>IF(OR(H2654="",P2654=""),"",INDEX('Students'!$C$2:$C$701,P2654))</f>
        <v/>
      </c>
      <c r="F2654" s="48">
        <f>IF(H2654="","",IF(ISNUMBER(O2654),O2654,J2654))</f>
        <v/>
      </c>
      <c r="G2654">
        <f>IF(H2654="","","OneCause")</f>
        <v/>
      </c>
      <c r="H2654">
        <f>IF(AND(I2654="",J2654="",K2654=""),"",IF(NOT(ISNUMBER(O2654)),"Bad amount",IF(O2654&lt;0,"Refund (not counted)",IF(O2654=0,"Zero amount",IF(NOT(ISNUMBER(N2654)),"Bad date",IF(P2654="","NAME NOT ON ROSTER",IF(L2654="","OK",IF(MATCH(L2654,$L$2:$L$3001,0)&lt;ROW()-1,"Duplicate (ignored)","OK"))))))))</f>
        <v/>
      </c>
      <c r="I2654">
        <f>IF(OC_Date=0,"",IF(INDEX('OneCause_Paste'!$A$2654:$AZ$2654,1,OC_Date)="","",INDEX('OneCause_Paste'!$A$2654:$AZ$2654,1,OC_Date)))</f>
        <v/>
      </c>
      <c r="J2654">
        <f>IF(OC_Amt=0,"",IF(INDEX('OneCause_Paste'!$A$2654:$AZ$2654,1,OC_Amt)="","",INDEX('OneCause_Paste'!$A$2654:$AZ$2654,1,OC_Amt)))</f>
        <v/>
      </c>
      <c r="K2654">
        <f>IF(OC_Name=0,"",IF(INDEX('OneCause_Paste'!$A$2654:$AZ$2654,1,OC_Name)="","",INDEX('OneCause_Paste'!$A$2654:$AZ$2654,1,OC_Name)))</f>
        <v/>
      </c>
      <c r="L2654">
        <f>IF(OC_Txn=0,"",IF(INDEX('OneCause_Paste'!$A$2654:$AZ$2654,1,OC_Txn)="","",INDEX('OneCause_Paste'!$A$2654:$AZ$2654,1,OC_Txn)))</f>
        <v/>
      </c>
      <c r="M2654">
        <f>IF(OC_Pay=0,"",IF(INDEX('OneCause_Paste'!$A$2654:$AZ$2654,1,OC_Pay)="","",INDEX('OneCause_Paste'!$A$2654:$AZ$2654,1,OC_Pay)))</f>
        <v/>
      </c>
      <c r="N2654">
        <f>IF(I2654="","",IF(ISNUMBER(I2654),INT(I2654),IFERROR(INT(DATEVALUE(I2654)),IFERROR(INT(VALUE(I2654)),"bad"))))</f>
        <v/>
      </c>
      <c r="O2654">
        <f>IF(J2654="","",IF(ISNUMBER(J2654),ROUND(J2654,2),IFERROR(ROUND(VALUE(SUBSTITUTE(SUBSTITUTE(SUBSTITUTE(J2654,"$",""),",","")," ","")),2),"bad")))</f>
        <v/>
      </c>
      <c r="P2654">
        <f>IF(TRIM(K2654)="","",IFERROR(MATCH(LOWER(TRIM(K2654)),'Students'!$AH$2:$AH$701,0),IFERROR(MATCH(LOWER(TRIM(K2654)),'Students'!$AF$2:$AF$701,0),IFERROR(MATCH(LOWER(TRIM(K2654)),'Students'!$AG$2:$AG$701,0),""))))</f>
        <v/>
      </c>
      <c r="R2654">
        <f>IF(P2654="","",INDEX('Students'!$AD$2:$AD$701,P2654))</f>
        <v/>
      </c>
      <c r="S2654">
        <f>IF(H2654="OK",O2654,0)</f>
        <v/>
      </c>
      <c r="T2654">
        <f>IF(H2654="OK",N2654,"")</f>
        <v/>
      </c>
      <c r="U2654">
        <f>IF(OC_Donor=0,"",IF(INDEX('OneCause_Paste'!$A$2654:$AZ$2654,1,OC_Donor)="","",INDEX('OneCause_Paste'!$A$2654:$AZ$2654,1,OC_Donor)))</f>
        <v/>
      </c>
    </row>
    <row r="2655">
      <c r="A2655" s="62">
        <f>IF(H2655="","",IF(ISNUMBER(N2655),N2655,I2655))</f>
        <v/>
      </c>
      <c r="B2655">
        <f>IF(H2655="","",U2655)</f>
        <v/>
      </c>
      <c r="C2655">
        <f>IF(H2655="","",IF(P2655="",K2655,INDEX('Students'!$A$2:$A$701,P2655)))</f>
        <v/>
      </c>
      <c r="D2655">
        <f>IF(OR(H2655="",P2655=""),"",INDEX('Students'!$B$2:$B$701,P2655))</f>
        <v/>
      </c>
      <c r="E2655">
        <f>IF(OR(H2655="",P2655=""),"",INDEX('Students'!$C$2:$C$701,P2655))</f>
        <v/>
      </c>
      <c r="F2655" s="48">
        <f>IF(H2655="","",IF(ISNUMBER(O2655),O2655,J2655))</f>
        <v/>
      </c>
      <c r="G2655">
        <f>IF(H2655="","","OneCause")</f>
        <v/>
      </c>
      <c r="H2655">
        <f>IF(AND(I2655="",J2655="",K2655=""),"",IF(NOT(ISNUMBER(O2655)),"Bad amount",IF(O2655&lt;0,"Refund (not counted)",IF(O2655=0,"Zero amount",IF(NOT(ISNUMBER(N2655)),"Bad date",IF(P2655="","NAME NOT ON ROSTER",IF(L2655="","OK",IF(MATCH(L2655,$L$2:$L$3001,0)&lt;ROW()-1,"Duplicate (ignored)","OK"))))))))</f>
        <v/>
      </c>
      <c r="I2655">
        <f>IF(OC_Date=0,"",IF(INDEX('OneCause_Paste'!$A$2655:$AZ$2655,1,OC_Date)="","",INDEX('OneCause_Paste'!$A$2655:$AZ$2655,1,OC_Date)))</f>
        <v/>
      </c>
      <c r="J2655">
        <f>IF(OC_Amt=0,"",IF(INDEX('OneCause_Paste'!$A$2655:$AZ$2655,1,OC_Amt)="","",INDEX('OneCause_Paste'!$A$2655:$AZ$2655,1,OC_Amt)))</f>
        <v/>
      </c>
      <c r="K2655">
        <f>IF(OC_Name=0,"",IF(INDEX('OneCause_Paste'!$A$2655:$AZ$2655,1,OC_Name)="","",INDEX('OneCause_Paste'!$A$2655:$AZ$2655,1,OC_Name)))</f>
        <v/>
      </c>
      <c r="L2655">
        <f>IF(OC_Txn=0,"",IF(INDEX('OneCause_Paste'!$A$2655:$AZ$2655,1,OC_Txn)="","",INDEX('OneCause_Paste'!$A$2655:$AZ$2655,1,OC_Txn)))</f>
        <v/>
      </c>
      <c r="M2655">
        <f>IF(OC_Pay=0,"",IF(INDEX('OneCause_Paste'!$A$2655:$AZ$2655,1,OC_Pay)="","",INDEX('OneCause_Paste'!$A$2655:$AZ$2655,1,OC_Pay)))</f>
        <v/>
      </c>
      <c r="N2655">
        <f>IF(I2655="","",IF(ISNUMBER(I2655),INT(I2655),IFERROR(INT(DATEVALUE(I2655)),IFERROR(INT(VALUE(I2655)),"bad"))))</f>
        <v/>
      </c>
      <c r="O2655">
        <f>IF(J2655="","",IF(ISNUMBER(J2655),ROUND(J2655,2),IFERROR(ROUND(VALUE(SUBSTITUTE(SUBSTITUTE(SUBSTITUTE(J2655,"$",""),",","")," ","")),2),"bad")))</f>
        <v/>
      </c>
      <c r="P2655">
        <f>IF(TRIM(K2655)="","",IFERROR(MATCH(LOWER(TRIM(K2655)),'Students'!$AH$2:$AH$701,0),IFERROR(MATCH(LOWER(TRIM(K2655)),'Students'!$AF$2:$AF$701,0),IFERROR(MATCH(LOWER(TRIM(K2655)),'Students'!$AG$2:$AG$701,0),""))))</f>
        <v/>
      </c>
      <c r="R2655">
        <f>IF(P2655="","",INDEX('Students'!$AD$2:$AD$701,P2655))</f>
        <v/>
      </c>
      <c r="S2655">
        <f>IF(H2655="OK",O2655,0)</f>
        <v/>
      </c>
      <c r="T2655">
        <f>IF(H2655="OK",N2655,"")</f>
        <v/>
      </c>
      <c r="U2655">
        <f>IF(OC_Donor=0,"",IF(INDEX('OneCause_Paste'!$A$2655:$AZ$2655,1,OC_Donor)="","",INDEX('OneCause_Paste'!$A$2655:$AZ$2655,1,OC_Donor)))</f>
        <v/>
      </c>
    </row>
    <row r="2656">
      <c r="A2656" s="62">
        <f>IF(H2656="","",IF(ISNUMBER(N2656),N2656,I2656))</f>
        <v/>
      </c>
      <c r="B2656">
        <f>IF(H2656="","",U2656)</f>
        <v/>
      </c>
      <c r="C2656">
        <f>IF(H2656="","",IF(P2656="",K2656,INDEX('Students'!$A$2:$A$701,P2656)))</f>
        <v/>
      </c>
      <c r="D2656">
        <f>IF(OR(H2656="",P2656=""),"",INDEX('Students'!$B$2:$B$701,P2656))</f>
        <v/>
      </c>
      <c r="E2656">
        <f>IF(OR(H2656="",P2656=""),"",INDEX('Students'!$C$2:$C$701,P2656))</f>
        <v/>
      </c>
      <c r="F2656" s="48">
        <f>IF(H2656="","",IF(ISNUMBER(O2656),O2656,J2656))</f>
        <v/>
      </c>
      <c r="G2656">
        <f>IF(H2656="","","OneCause")</f>
        <v/>
      </c>
      <c r="H2656">
        <f>IF(AND(I2656="",J2656="",K2656=""),"",IF(NOT(ISNUMBER(O2656)),"Bad amount",IF(O2656&lt;0,"Refund (not counted)",IF(O2656=0,"Zero amount",IF(NOT(ISNUMBER(N2656)),"Bad date",IF(P2656="","NAME NOT ON ROSTER",IF(L2656="","OK",IF(MATCH(L2656,$L$2:$L$3001,0)&lt;ROW()-1,"Duplicate (ignored)","OK"))))))))</f>
        <v/>
      </c>
      <c r="I2656">
        <f>IF(OC_Date=0,"",IF(INDEX('OneCause_Paste'!$A$2656:$AZ$2656,1,OC_Date)="","",INDEX('OneCause_Paste'!$A$2656:$AZ$2656,1,OC_Date)))</f>
        <v/>
      </c>
      <c r="J2656">
        <f>IF(OC_Amt=0,"",IF(INDEX('OneCause_Paste'!$A$2656:$AZ$2656,1,OC_Amt)="","",INDEX('OneCause_Paste'!$A$2656:$AZ$2656,1,OC_Amt)))</f>
        <v/>
      </c>
      <c r="K2656">
        <f>IF(OC_Name=0,"",IF(INDEX('OneCause_Paste'!$A$2656:$AZ$2656,1,OC_Name)="","",INDEX('OneCause_Paste'!$A$2656:$AZ$2656,1,OC_Name)))</f>
        <v/>
      </c>
      <c r="L2656">
        <f>IF(OC_Txn=0,"",IF(INDEX('OneCause_Paste'!$A$2656:$AZ$2656,1,OC_Txn)="","",INDEX('OneCause_Paste'!$A$2656:$AZ$2656,1,OC_Txn)))</f>
        <v/>
      </c>
      <c r="M2656">
        <f>IF(OC_Pay=0,"",IF(INDEX('OneCause_Paste'!$A$2656:$AZ$2656,1,OC_Pay)="","",INDEX('OneCause_Paste'!$A$2656:$AZ$2656,1,OC_Pay)))</f>
        <v/>
      </c>
      <c r="N2656">
        <f>IF(I2656="","",IF(ISNUMBER(I2656),INT(I2656),IFERROR(INT(DATEVALUE(I2656)),IFERROR(INT(VALUE(I2656)),"bad"))))</f>
        <v/>
      </c>
      <c r="O2656">
        <f>IF(J2656="","",IF(ISNUMBER(J2656),ROUND(J2656,2),IFERROR(ROUND(VALUE(SUBSTITUTE(SUBSTITUTE(SUBSTITUTE(J2656,"$",""),",","")," ","")),2),"bad")))</f>
        <v/>
      </c>
      <c r="P2656">
        <f>IF(TRIM(K2656)="","",IFERROR(MATCH(LOWER(TRIM(K2656)),'Students'!$AH$2:$AH$701,0),IFERROR(MATCH(LOWER(TRIM(K2656)),'Students'!$AF$2:$AF$701,0),IFERROR(MATCH(LOWER(TRIM(K2656)),'Students'!$AG$2:$AG$701,0),""))))</f>
        <v/>
      </c>
      <c r="R2656">
        <f>IF(P2656="","",INDEX('Students'!$AD$2:$AD$701,P2656))</f>
        <v/>
      </c>
      <c r="S2656">
        <f>IF(H2656="OK",O2656,0)</f>
        <v/>
      </c>
      <c r="T2656">
        <f>IF(H2656="OK",N2656,"")</f>
        <v/>
      </c>
      <c r="U2656">
        <f>IF(OC_Donor=0,"",IF(INDEX('OneCause_Paste'!$A$2656:$AZ$2656,1,OC_Donor)="","",INDEX('OneCause_Paste'!$A$2656:$AZ$2656,1,OC_Donor)))</f>
        <v/>
      </c>
    </row>
    <row r="2657">
      <c r="A2657" s="62">
        <f>IF(H2657="","",IF(ISNUMBER(N2657),N2657,I2657))</f>
        <v/>
      </c>
      <c r="B2657">
        <f>IF(H2657="","",U2657)</f>
        <v/>
      </c>
      <c r="C2657">
        <f>IF(H2657="","",IF(P2657="",K2657,INDEX('Students'!$A$2:$A$701,P2657)))</f>
        <v/>
      </c>
      <c r="D2657">
        <f>IF(OR(H2657="",P2657=""),"",INDEX('Students'!$B$2:$B$701,P2657))</f>
        <v/>
      </c>
      <c r="E2657">
        <f>IF(OR(H2657="",P2657=""),"",INDEX('Students'!$C$2:$C$701,P2657))</f>
        <v/>
      </c>
      <c r="F2657" s="48">
        <f>IF(H2657="","",IF(ISNUMBER(O2657),O2657,J2657))</f>
        <v/>
      </c>
      <c r="G2657">
        <f>IF(H2657="","","OneCause")</f>
        <v/>
      </c>
      <c r="H2657">
        <f>IF(AND(I2657="",J2657="",K2657=""),"",IF(NOT(ISNUMBER(O2657)),"Bad amount",IF(O2657&lt;0,"Refund (not counted)",IF(O2657=0,"Zero amount",IF(NOT(ISNUMBER(N2657)),"Bad date",IF(P2657="","NAME NOT ON ROSTER",IF(L2657="","OK",IF(MATCH(L2657,$L$2:$L$3001,0)&lt;ROW()-1,"Duplicate (ignored)","OK"))))))))</f>
        <v/>
      </c>
      <c r="I2657">
        <f>IF(OC_Date=0,"",IF(INDEX('OneCause_Paste'!$A$2657:$AZ$2657,1,OC_Date)="","",INDEX('OneCause_Paste'!$A$2657:$AZ$2657,1,OC_Date)))</f>
        <v/>
      </c>
      <c r="J2657">
        <f>IF(OC_Amt=0,"",IF(INDEX('OneCause_Paste'!$A$2657:$AZ$2657,1,OC_Amt)="","",INDEX('OneCause_Paste'!$A$2657:$AZ$2657,1,OC_Amt)))</f>
        <v/>
      </c>
      <c r="K2657">
        <f>IF(OC_Name=0,"",IF(INDEX('OneCause_Paste'!$A$2657:$AZ$2657,1,OC_Name)="","",INDEX('OneCause_Paste'!$A$2657:$AZ$2657,1,OC_Name)))</f>
        <v/>
      </c>
      <c r="L2657">
        <f>IF(OC_Txn=0,"",IF(INDEX('OneCause_Paste'!$A$2657:$AZ$2657,1,OC_Txn)="","",INDEX('OneCause_Paste'!$A$2657:$AZ$2657,1,OC_Txn)))</f>
        <v/>
      </c>
      <c r="M2657">
        <f>IF(OC_Pay=0,"",IF(INDEX('OneCause_Paste'!$A$2657:$AZ$2657,1,OC_Pay)="","",INDEX('OneCause_Paste'!$A$2657:$AZ$2657,1,OC_Pay)))</f>
        <v/>
      </c>
      <c r="N2657">
        <f>IF(I2657="","",IF(ISNUMBER(I2657),INT(I2657),IFERROR(INT(DATEVALUE(I2657)),IFERROR(INT(VALUE(I2657)),"bad"))))</f>
        <v/>
      </c>
      <c r="O2657">
        <f>IF(J2657="","",IF(ISNUMBER(J2657),ROUND(J2657,2),IFERROR(ROUND(VALUE(SUBSTITUTE(SUBSTITUTE(SUBSTITUTE(J2657,"$",""),",","")," ","")),2),"bad")))</f>
        <v/>
      </c>
      <c r="P2657">
        <f>IF(TRIM(K2657)="","",IFERROR(MATCH(LOWER(TRIM(K2657)),'Students'!$AH$2:$AH$701,0),IFERROR(MATCH(LOWER(TRIM(K2657)),'Students'!$AF$2:$AF$701,0),IFERROR(MATCH(LOWER(TRIM(K2657)),'Students'!$AG$2:$AG$701,0),""))))</f>
        <v/>
      </c>
      <c r="R2657">
        <f>IF(P2657="","",INDEX('Students'!$AD$2:$AD$701,P2657))</f>
        <v/>
      </c>
      <c r="S2657">
        <f>IF(H2657="OK",O2657,0)</f>
        <v/>
      </c>
      <c r="T2657">
        <f>IF(H2657="OK",N2657,"")</f>
        <v/>
      </c>
      <c r="U2657">
        <f>IF(OC_Donor=0,"",IF(INDEX('OneCause_Paste'!$A$2657:$AZ$2657,1,OC_Donor)="","",INDEX('OneCause_Paste'!$A$2657:$AZ$2657,1,OC_Donor)))</f>
        <v/>
      </c>
    </row>
    <row r="2658">
      <c r="A2658" s="62">
        <f>IF(H2658="","",IF(ISNUMBER(N2658),N2658,I2658))</f>
        <v/>
      </c>
      <c r="B2658">
        <f>IF(H2658="","",U2658)</f>
        <v/>
      </c>
      <c r="C2658">
        <f>IF(H2658="","",IF(P2658="",K2658,INDEX('Students'!$A$2:$A$701,P2658)))</f>
        <v/>
      </c>
      <c r="D2658">
        <f>IF(OR(H2658="",P2658=""),"",INDEX('Students'!$B$2:$B$701,P2658))</f>
        <v/>
      </c>
      <c r="E2658">
        <f>IF(OR(H2658="",P2658=""),"",INDEX('Students'!$C$2:$C$701,P2658))</f>
        <v/>
      </c>
      <c r="F2658" s="48">
        <f>IF(H2658="","",IF(ISNUMBER(O2658),O2658,J2658))</f>
        <v/>
      </c>
      <c r="G2658">
        <f>IF(H2658="","","OneCause")</f>
        <v/>
      </c>
      <c r="H2658">
        <f>IF(AND(I2658="",J2658="",K2658=""),"",IF(NOT(ISNUMBER(O2658)),"Bad amount",IF(O2658&lt;0,"Refund (not counted)",IF(O2658=0,"Zero amount",IF(NOT(ISNUMBER(N2658)),"Bad date",IF(P2658="","NAME NOT ON ROSTER",IF(L2658="","OK",IF(MATCH(L2658,$L$2:$L$3001,0)&lt;ROW()-1,"Duplicate (ignored)","OK"))))))))</f>
        <v/>
      </c>
      <c r="I2658">
        <f>IF(OC_Date=0,"",IF(INDEX('OneCause_Paste'!$A$2658:$AZ$2658,1,OC_Date)="","",INDEX('OneCause_Paste'!$A$2658:$AZ$2658,1,OC_Date)))</f>
        <v/>
      </c>
      <c r="J2658">
        <f>IF(OC_Amt=0,"",IF(INDEX('OneCause_Paste'!$A$2658:$AZ$2658,1,OC_Amt)="","",INDEX('OneCause_Paste'!$A$2658:$AZ$2658,1,OC_Amt)))</f>
        <v/>
      </c>
      <c r="K2658">
        <f>IF(OC_Name=0,"",IF(INDEX('OneCause_Paste'!$A$2658:$AZ$2658,1,OC_Name)="","",INDEX('OneCause_Paste'!$A$2658:$AZ$2658,1,OC_Name)))</f>
        <v/>
      </c>
      <c r="L2658">
        <f>IF(OC_Txn=0,"",IF(INDEX('OneCause_Paste'!$A$2658:$AZ$2658,1,OC_Txn)="","",INDEX('OneCause_Paste'!$A$2658:$AZ$2658,1,OC_Txn)))</f>
        <v/>
      </c>
      <c r="M2658">
        <f>IF(OC_Pay=0,"",IF(INDEX('OneCause_Paste'!$A$2658:$AZ$2658,1,OC_Pay)="","",INDEX('OneCause_Paste'!$A$2658:$AZ$2658,1,OC_Pay)))</f>
        <v/>
      </c>
      <c r="N2658">
        <f>IF(I2658="","",IF(ISNUMBER(I2658),INT(I2658),IFERROR(INT(DATEVALUE(I2658)),IFERROR(INT(VALUE(I2658)),"bad"))))</f>
        <v/>
      </c>
      <c r="O2658">
        <f>IF(J2658="","",IF(ISNUMBER(J2658),ROUND(J2658,2),IFERROR(ROUND(VALUE(SUBSTITUTE(SUBSTITUTE(SUBSTITUTE(J2658,"$",""),",","")," ","")),2),"bad")))</f>
        <v/>
      </c>
      <c r="P2658">
        <f>IF(TRIM(K2658)="","",IFERROR(MATCH(LOWER(TRIM(K2658)),'Students'!$AH$2:$AH$701,0),IFERROR(MATCH(LOWER(TRIM(K2658)),'Students'!$AF$2:$AF$701,0),IFERROR(MATCH(LOWER(TRIM(K2658)),'Students'!$AG$2:$AG$701,0),""))))</f>
        <v/>
      </c>
      <c r="R2658">
        <f>IF(P2658="","",INDEX('Students'!$AD$2:$AD$701,P2658))</f>
        <v/>
      </c>
      <c r="S2658">
        <f>IF(H2658="OK",O2658,0)</f>
        <v/>
      </c>
      <c r="T2658">
        <f>IF(H2658="OK",N2658,"")</f>
        <v/>
      </c>
      <c r="U2658">
        <f>IF(OC_Donor=0,"",IF(INDEX('OneCause_Paste'!$A$2658:$AZ$2658,1,OC_Donor)="","",INDEX('OneCause_Paste'!$A$2658:$AZ$2658,1,OC_Donor)))</f>
        <v/>
      </c>
    </row>
    <row r="2659">
      <c r="A2659" s="62">
        <f>IF(H2659="","",IF(ISNUMBER(N2659),N2659,I2659))</f>
        <v/>
      </c>
      <c r="B2659">
        <f>IF(H2659="","",U2659)</f>
        <v/>
      </c>
      <c r="C2659">
        <f>IF(H2659="","",IF(P2659="",K2659,INDEX('Students'!$A$2:$A$701,P2659)))</f>
        <v/>
      </c>
      <c r="D2659">
        <f>IF(OR(H2659="",P2659=""),"",INDEX('Students'!$B$2:$B$701,P2659))</f>
        <v/>
      </c>
      <c r="E2659">
        <f>IF(OR(H2659="",P2659=""),"",INDEX('Students'!$C$2:$C$701,P2659))</f>
        <v/>
      </c>
      <c r="F2659" s="48">
        <f>IF(H2659="","",IF(ISNUMBER(O2659),O2659,J2659))</f>
        <v/>
      </c>
      <c r="G2659">
        <f>IF(H2659="","","OneCause")</f>
        <v/>
      </c>
      <c r="H2659">
        <f>IF(AND(I2659="",J2659="",K2659=""),"",IF(NOT(ISNUMBER(O2659)),"Bad amount",IF(O2659&lt;0,"Refund (not counted)",IF(O2659=0,"Zero amount",IF(NOT(ISNUMBER(N2659)),"Bad date",IF(P2659="","NAME NOT ON ROSTER",IF(L2659="","OK",IF(MATCH(L2659,$L$2:$L$3001,0)&lt;ROW()-1,"Duplicate (ignored)","OK"))))))))</f>
        <v/>
      </c>
      <c r="I2659">
        <f>IF(OC_Date=0,"",IF(INDEX('OneCause_Paste'!$A$2659:$AZ$2659,1,OC_Date)="","",INDEX('OneCause_Paste'!$A$2659:$AZ$2659,1,OC_Date)))</f>
        <v/>
      </c>
      <c r="J2659">
        <f>IF(OC_Amt=0,"",IF(INDEX('OneCause_Paste'!$A$2659:$AZ$2659,1,OC_Amt)="","",INDEX('OneCause_Paste'!$A$2659:$AZ$2659,1,OC_Amt)))</f>
        <v/>
      </c>
      <c r="K2659">
        <f>IF(OC_Name=0,"",IF(INDEX('OneCause_Paste'!$A$2659:$AZ$2659,1,OC_Name)="","",INDEX('OneCause_Paste'!$A$2659:$AZ$2659,1,OC_Name)))</f>
        <v/>
      </c>
      <c r="L2659">
        <f>IF(OC_Txn=0,"",IF(INDEX('OneCause_Paste'!$A$2659:$AZ$2659,1,OC_Txn)="","",INDEX('OneCause_Paste'!$A$2659:$AZ$2659,1,OC_Txn)))</f>
        <v/>
      </c>
      <c r="M2659">
        <f>IF(OC_Pay=0,"",IF(INDEX('OneCause_Paste'!$A$2659:$AZ$2659,1,OC_Pay)="","",INDEX('OneCause_Paste'!$A$2659:$AZ$2659,1,OC_Pay)))</f>
        <v/>
      </c>
      <c r="N2659">
        <f>IF(I2659="","",IF(ISNUMBER(I2659),INT(I2659),IFERROR(INT(DATEVALUE(I2659)),IFERROR(INT(VALUE(I2659)),"bad"))))</f>
        <v/>
      </c>
      <c r="O2659">
        <f>IF(J2659="","",IF(ISNUMBER(J2659),ROUND(J2659,2),IFERROR(ROUND(VALUE(SUBSTITUTE(SUBSTITUTE(SUBSTITUTE(J2659,"$",""),",","")," ","")),2),"bad")))</f>
        <v/>
      </c>
      <c r="P2659">
        <f>IF(TRIM(K2659)="","",IFERROR(MATCH(LOWER(TRIM(K2659)),'Students'!$AH$2:$AH$701,0),IFERROR(MATCH(LOWER(TRIM(K2659)),'Students'!$AF$2:$AF$701,0),IFERROR(MATCH(LOWER(TRIM(K2659)),'Students'!$AG$2:$AG$701,0),""))))</f>
        <v/>
      </c>
      <c r="R2659">
        <f>IF(P2659="","",INDEX('Students'!$AD$2:$AD$701,P2659))</f>
        <v/>
      </c>
      <c r="S2659">
        <f>IF(H2659="OK",O2659,0)</f>
        <v/>
      </c>
      <c r="T2659">
        <f>IF(H2659="OK",N2659,"")</f>
        <v/>
      </c>
      <c r="U2659">
        <f>IF(OC_Donor=0,"",IF(INDEX('OneCause_Paste'!$A$2659:$AZ$2659,1,OC_Donor)="","",INDEX('OneCause_Paste'!$A$2659:$AZ$2659,1,OC_Donor)))</f>
        <v/>
      </c>
    </row>
    <row r="2660">
      <c r="A2660" s="62">
        <f>IF(H2660="","",IF(ISNUMBER(N2660),N2660,I2660))</f>
        <v/>
      </c>
      <c r="B2660">
        <f>IF(H2660="","",U2660)</f>
        <v/>
      </c>
      <c r="C2660">
        <f>IF(H2660="","",IF(P2660="",K2660,INDEX('Students'!$A$2:$A$701,P2660)))</f>
        <v/>
      </c>
      <c r="D2660">
        <f>IF(OR(H2660="",P2660=""),"",INDEX('Students'!$B$2:$B$701,P2660))</f>
        <v/>
      </c>
      <c r="E2660">
        <f>IF(OR(H2660="",P2660=""),"",INDEX('Students'!$C$2:$C$701,P2660))</f>
        <v/>
      </c>
      <c r="F2660" s="48">
        <f>IF(H2660="","",IF(ISNUMBER(O2660),O2660,J2660))</f>
        <v/>
      </c>
      <c r="G2660">
        <f>IF(H2660="","","OneCause")</f>
        <v/>
      </c>
      <c r="H2660">
        <f>IF(AND(I2660="",J2660="",K2660=""),"",IF(NOT(ISNUMBER(O2660)),"Bad amount",IF(O2660&lt;0,"Refund (not counted)",IF(O2660=0,"Zero amount",IF(NOT(ISNUMBER(N2660)),"Bad date",IF(P2660="","NAME NOT ON ROSTER",IF(L2660="","OK",IF(MATCH(L2660,$L$2:$L$3001,0)&lt;ROW()-1,"Duplicate (ignored)","OK"))))))))</f>
        <v/>
      </c>
      <c r="I2660">
        <f>IF(OC_Date=0,"",IF(INDEX('OneCause_Paste'!$A$2660:$AZ$2660,1,OC_Date)="","",INDEX('OneCause_Paste'!$A$2660:$AZ$2660,1,OC_Date)))</f>
        <v/>
      </c>
      <c r="J2660">
        <f>IF(OC_Amt=0,"",IF(INDEX('OneCause_Paste'!$A$2660:$AZ$2660,1,OC_Amt)="","",INDEX('OneCause_Paste'!$A$2660:$AZ$2660,1,OC_Amt)))</f>
        <v/>
      </c>
      <c r="K2660">
        <f>IF(OC_Name=0,"",IF(INDEX('OneCause_Paste'!$A$2660:$AZ$2660,1,OC_Name)="","",INDEX('OneCause_Paste'!$A$2660:$AZ$2660,1,OC_Name)))</f>
        <v/>
      </c>
      <c r="L2660">
        <f>IF(OC_Txn=0,"",IF(INDEX('OneCause_Paste'!$A$2660:$AZ$2660,1,OC_Txn)="","",INDEX('OneCause_Paste'!$A$2660:$AZ$2660,1,OC_Txn)))</f>
        <v/>
      </c>
      <c r="M2660">
        <f>IF(OC_Pay=0,"",IF(INDEX('OneCause_Paste'!$A$2660:$AZ$2660,1,OC_Pay)="","",INDEX('OneCause_Paste'!$A$2660:$AZ$2660,1,OC_Pay)))</f>
        <v/>
      </c>
      <c r="N2660">
        <f>IF(I2660="","",IF(ISNUMBER(I2660),INT(I2660),IFERROR(INT(DATEVALUE(I2660)),IFERROR(INT(VALUE(I2660)),"bad"))))</f>
        <v/>
      </c>
      <c r="O2660">
        <f>IF(J2660="","",IF(ISNUMBER(J2660),ROUND(J2660,2),IFERROR(ROUND(VALUE(SUBSTITUTE(SUBSTITUTE(SUBSTITUTE(J2660,"$",""),",","")," ","")),2),"bad")))</f>
        <v/>
      </c>
      <c r="P2660">
        <f>IF(TRIM(K2660)="","",IFERROR(MATCH(LOWER(TRIM(K2660)),'Students'!$AH$2:$AH$701,0),IFERROR(MATCH(LOWER(TRIM(K2660)),'Students'!$AF$2:$AF$701,0),IFERROR(MATCH(LOWER(TRIM(K2660)),'Students'!$AG$2:$AG$701,0),""))))</f>
        <v/>
      </c>
      <c r="R2660">
        <f>IF(P2660="","",INDEX('Students'!$AD$2:$AD$701,P2660))</f>
        <v/>
      </c>
      <c r="S2660">
        <f>IF(H2660="OK",O2660,0)</f>
        <v/>
      </c>
      <c r="T2660">
        <f>IF(H2660="OK",N2660,"")</f>
        <v/>
      </c>
      <c r="U2660">
        <f>IF(OC_Donor=0,"",IF(INDEX('OneCause_Paste'!$A$2660:$AZ$2660,1,OC_Donor)="","",INDEX('OneCause_Paste'!$A$2660:$AZ$2660,1,OC_Donor)))</f>
        <v/>
      </c>
    </row>
    <row r="2661">
      <c r="A2661" s="62">
        <f>IF(H2661="","",IF(ISNUMBER(N2661),N2661,I2661))</f>
        <v/>
      </c>
      <c r="B2661">
        <f>IF(H2661="","",U2661)</f>
        <v/>
      </c>
      <c r="C2661">
        <f>IF(H2661="","",IF(P2661="",K2661,INDEX('Students'!$A$2:$A$701,P2661)))</f>
        <v/>
      </c>
      <c r="D2661">
        <f>IF(OR(H2661="",P2661=""),"",INDEX('Students'!$B$2:$B$701,P2661))</f>
        <v/>
      </c>
      <c r="E2661">
        <f>IF(OR(H2661="",P2661=""),"",INDEX('Students'!$C$2:$C$701,P2661))</f>
        <v/>
      </c>
      <c r="F2661" s="48">
        <f>IF(H2661="","",IF(ISNUMBER(O2661),O2661,J2661))</f>
        <v/>
      </c>
      <c r="G2661">
        <f>IF(H2661="","","OneCause")</f>
        <v/>
      </c>
      <c r="H2661">
        <f>IF(AND(I2661="",J2661="",K2661=""),"",IF(NOT(ISNUMBER(O2661)),"Bad amount",IF(O2661&lt;0,"Refund (not counted)",IF(O2661=0,"Zero amount",IF(NOT(ISNUMBER(N2661)),"Bad date",IF(P2661="","NAME NOT ON ROSTER",IF(L2661="","OK",IF(MATCH(L2661,$L$2:$L$3001,0)&lt;ROW()-1,"Duplicate (ignored)","OK"))))))))</f>
        <v/>
      </c>
      <c r="I2661">
        <f>IF(OC_Date=0,"",IF(INDEX('OneCause_Paste'!$A$2661:$AZ$2661,1,OC_Date)="","",INDEX('OneCause_Paste'!$A$2661:$AZ$2661,1,OC_Date)))</f>
        <v/>
      </c>
      <c r="J2661">
        <f>IF(OC_Amt=0,"",IF(INDEX('OneCause_Paste'!$A$2661:$AZ$2661,1,OC_Amt)="","",INDEX('OneCause_Paste'!$A$2661:$AZ$2661,1,OC_Amt)))</f>
        <v/>
      </c>
      <c r="K2661">
        <f>IF(OC_Name=0,"",IF(INDEX('OneCause_Paste'!$A$2661:$AZ$2661,1,OC_Name)="","",INDEX('OneCause_Paste'!$A$2661:$AZ$2661,1,OC_Name)))</f>
        <v/>
      </c>
      <c r="L2661">
        <f>IF(OC_Txn=0,"",IF(INDEX('OneCause_Paste'!$A$2661:$AZ$2661,1,OC_Txn)="","",INDEX('OneCause_Paste'!$A$2661:$AZ$2661,1,OC_Txn)))</f>
        <v/>
      </c>
      <c r="M2661">
        <f>IF(OC_Pay=0,"",IF(INDEX('OneCause_Paste'!$A$2661:$AZ$2661,1,OC_Pay)="","",INDEX('OneCause_Paste'!$A$2661:$AZ$2661,1,OC_Pay)))</f>
        <v/>
      </c>
      <c r="N2661">
        <f>IF(I2661="","",IF(ISNUMBER(I2661),INT(I2661),IFERROR(INT(DATEVALUE(I2661)),IFERROR(INT(VALUE(I2661)),"bad"))))</f>
        <v/>
      </c>
      <c r="O2661">
        <f>IF(J2661="","",IF(ISNUMBER(J2661),ROUND(J2661,2),IFERROR(ROUND(VALUE(SUBSTITUTE(SUBSTITUTE(SUBSTITUTE(J2661,"$",""),",","")," ","")),2),"bad")))</f>
        <v/>
      </c>
      <c r="P2661">
        <f>IF(TRIM(K2661)="","",IFERROR(MATCH(LOWER(TRIM(K2661)),'Students'!$AH$2:$AH$701,0),IFERROR(MATCH(LOWER(TRIM(K2661)),'Students'!$AF$2:$AF$701,0),IFERROR(MATCH(LOWER(TRIM(K2661)),'Students'!$AG$2:$AG$701,0),""))))</f>
        <v/>
      </c>
      <c r="R2661">
        <f>IF(P2661="","",INDEX('Students'!$AD$2:$AD$701,P2661))</f>
        <v/>
      </c>
      <c r="S2661">
        <f>IF(H2661="OK",O2661,0)</f>
        <v/>
      </c>
      <c r="T2661">
        <f>IF(H2661="OK",N2661,"")</f>
        <v/>
      </c>
      <c r="U2661">
        <f>IF(OC_Donor=0,"",IF(INDEX('OneCause_Paste'!$A$2661:$AZ$2661,1,OC_Donor)="","",INDEX('OneCause_Paste'!$A$2661:$AZ$2661,1,OC_Donor)))</f>
        <v/>
      </c>
    </row>
    <row r="2662">
      <c r="A2662" s="62">
        <f>IF(H2662="","",IF(ISNUMBER(N2662),N2662,I2662))</f>
        <v/>
      </c>
      <c r="B2662">
        <f>IF(H2662="","",U2662)</f>
        <v/>
      </c>
      <c r="C2662">
        <f>IF(H2662="","",IF(P2662="",K2662,INDEX('Students'!$A$2:$A$701,P2662)))</f>
        <v/>
      </c>
      <c r="D2662">
        <f>IF(OR(H2662="",P2662=""),"",INDEX('Students'!$B$2:$B$701,P2662))</f>
        <v/>
      </c>
      <c r="E2662">
        <f>IF(OR(H2662="",P2662=""),"",INDEX('Students'!$C$2:$C$701,P2662))</f>
        <v/>
      </c>
      <c r="F2662" s="48">
        <f>IF(H2662="","",IF(ISNUMBER(O2662),O2662,J2662))</f>
        <v/>
      </c>
      <c r="G2662">
        <f>IF(H2662="","","OneCause")</f>
        <v/>
      </c>
      <c r="H2662">
        <f>IF(AND(I2662="",J2662="",K2662=""),"",IF(NOT(ISNUMBER(O2662)),"Bad amount",IF(O2662&lt;0,"Refund (not counted)",IF(O2662=0,"Zero amount",IF(NOT(ISNUMBER(N2662)),"Bad date",IF(P2662="","NAME NOT ON ROSTER",IF(L2662="","OK",IF(MATCH(L2662,$L$2:$L$3001,0)&lt;ROW()-1,"Duplicate (ignored)","OK"))))))))</f>
        <v/>
      </c>
      <c r="I2662">
        <f>IF(OC_Date=0,"",IF(INDEX('OneCause_Paste'!$A$2662:$AZ$2662,1,OC_Date)="","",INDEX('OneCause_Paste'!$A$2662:$AZ$2662,1,OC_Date)))</f>
        <v/>
      </c>
      <c r="J2662">
        <f>IF(OC_Amt=0,"",IF(INDEX('OneCause_Paste'!$A$2662:$AZ$2662,1,OC_Amt)="","",INDEX('OneCause_Paste'!$A$2662:$AZ$2662,1,OC_Amt)))</f>
        <v/>
      </c>
      <c r="K2662">
        <f>IF(OC_Name=0,"",IF(INDEX('OneCause_Paste'!$A$2662:$AZ$2662,1,OC_Name)="","",INDEX('OneCause_Paste'!$A$2662:$AZ$2662,1,OC_Name)))</f>
        <v/>
      </c>
      <c r="L2662">
        <f>IF(OC_Txn=0,"",IF(INDEX('OneCause_Paste'!$A$2662:$AZ$2662,1,OC_Txn)="","",INDEX('OneCause_Paste'!$A$2662:$AZ$2662,1,OC_Txn)))</f>
        <v/>
      </c>
      <c r="M2662">
        <f>IF(OC_Pay=0,"",IF(INDEX('OneCause_Paste'!$A$2662:$AZ$2662,1,OC_Pay)="","",INDEX('OneCause_Paste'!$A$2662:$AZ$2662,1,OC_Pay)))</f>
        <v/>
      </c>
      <c r="N2662">
        <f>IF(I2662="","",IF(ISNUMBER(I2662),INT(I2662),IFERROR(INT(DATEVALUE(I2662)),IFERROR(INT(VALUE(I2662)),"bad"))))</f>
        <v/>
      </c>
      <c r="O2662">
        <f>IF(J2662="","",IF(ISNUMBER(J2662),ROUND(J2662,2),IFERROR(ROUND(VALUE(SUBSTITUTE(SUBSTITUTE(SUBSTITUTE(J2662,"$",""),",","")," ","")),2),"bad")))</f>
        <v/>
      </c>
      <c r="P2662">
        <f>IF(TRIM(K2662)="","",IFERROR(MATCH(LOWER(TRIM(K2662)),'Students'!$AH$2:$AH$701,0),IFERROR(MATCH(LOWER(TRIM(K2662)),'Students'!$AF$2:$AF$701,0),IFERROR(MATCH(LOWER(TRIM(K2662)),'Students'!$AG$2:$AG$701,0),""))))</f>
        <v/>
      </c>
      <c r="R2662">
        <f>IF(P2662="","",INDEX('Students'!$AD$2:$AD$701,P2662))</f>
        <v/>
      </c>
      <c r="S2662">
        <f>IF(H2662="OK",O2662,0)</f>
        <v/>
      </c>
      <c r="T2662">
        <f>IF(H2662="OK",N2662,"")</f>
        <v/>
      </c>
      <c r="U2662">
        <f>IF(OC_Donor=0,"",IF(INDEX('OneCause_Paste'!$A$2662:$AZ$2662,1,OC_Donor)="","",INDEX('OneCause_Paste'!$A$2662:$AZ$2662,1,OC_Donor)))</f>
        <v/>
      </c>
    </row>
    <row r="2663">
      <c r="A2663" s="62">
        <f>IF(H2663="","",IF(ISNUMBER(N2663),N2663,I2663))</f>
        <v/>
      </c>
      <c r="B2663">
        <f>IF(H2663="","",U2663)</f>
        <v/>
      </c>
      <c r="C2663">
        <f>IF(H2663="","",IF(P2663="",K2663,INDEX('Students'!$A$2:$A$701,P2663)))</f>
        <v/>
      </c>
      <c r="D2663">
        <f>IF(OR(H2663="",P2663=""),"",INDEX('Students'!$B$2:$B$701,P2663))</f>
        <v/>
      </c>
      <c r="E2663">
        <f>IF(OR(H2663="",P2663=""),"",INDEX('Students'!$C$2:$C$701,P2663))</f>
        <v/>
      </c>
      <c r="F2663" s="48">
        <f>IF(H2663="","",IF(ISNUMBER(O2663),O2663,J2663))</f>
        <v/>
      </c>
      <c r="G2663">
        <f>IF(H2663="","","OneCause")</f>
        <v/>
      </c>
      <c r="H2663">
        <f>IF(AND(I2663="",J2663="",K2663=""),"",IF(NOT(ISNUMBER(O2663)),"Bad amount",IF(O2663&lt;0,"Refund (not counted)",IF(O2663=0,"Zero amount",IF(NOT(ISNUMBER(N2663)),"Bad date",IF(P2663="","NAME NOT ON ROSTER",IF(L2663="","OK",IF(MATCH(L2663,$L$2:$L$3001,0)&lt;ROW()-1,"Duplicate (ignored)","OK"))))))))</f>
        <v/>
      </c>
      <c r="I2663">
        <f>IF(OC_Date=0,"",IF(INDEX('OneCause_Paste'!$A$2663:$AZ$2663,1,OC_Date)="","",INDEX('OneCause_Paste'!$A$2663:$AZ$2663,1,OC_Date)))</f>
        <v/>
      </c>
      <c r="J2663">
        <f>IF(OC_Amt=0,"",IF(INDEX('OneCause_Paste'!$A$2663:$AZ$2663,1,OC_Amt)="","",INDEX('OneCause_Paste'!$A$2663:$AZ$2663,1,OC_Amt)))</f>
        <v/>
      </c>
      <c r="K2663">
        <f>IF(OC_Name=0,"",IF(INDEX('OneCause_Paste'!$A$2663:$AZ$2663,1,OC_Name)="","",INDEX('OneCause_Paste'!$A$2663:$AZ$2663,1,OC_Name)))</f>
        <v/>
      </c>
      <c r="L2663">
        <f>IF(OC_Txn=0,"",IF(INDEX('OneCause_Paste'!$A$2663:$AZ$2663,1,OC_Txn)="","",INDEX('OneCause_Paste'!$A$2663:$AZ$2663,1,OC_Txn)))</f>
        <v/>
      </c>
      <c r="M2663">
        <f>IF(OC_Pay=0,"",IF(INDEX('OneCause_Paste'!$A$2663:$AZ$2663,1,OC_Pay)="","",INDEX('OneCause_Paste'!$A$2663:$AZ$2663,1,OC_Pay)))</f>
        <v/>
      </c>
      <c r="N2663">
        <f>IF(I2663="","",IF(ISNUMBER(I2663),INT(I2663),IFERROR(INT(DATEVALUE(I2663)),IFERROR(INT(VALUE(I2663)),"bad"))))</f>
        <v/>
      </c>
      <c r="O2663">
        <f>IF(J2663="","",IF(ISNUMBER(J2663),ROUND(J2663,2),IFERROR(ROUND(VALUE(SUBSTITUTE(SUBSTITUTE(SUBSTITUTE(J2663,"$",""),",","")," ","")),2),"bad")))</f>
        <v/>
      </c>
      <c r="P2663">
        <f>IF(TRIM(K2663)="","",IFERROR(MATCH(LOWER(TRIM(K2663)),'Students'!$AH$2:$AH$701,0),IFERROR(MATCH(LOWER(TRIM(K2663)),'Students'!$AF$2:$AF$701,0),IFERROR(MATCH(LOWER(TRIM(K2663)),'Students'!$AG$2:$AG$701,0),""))))</f>
        <v/>
      </c>
      <c r="R2663">
        <f>IF(P2663="","",INDEX('Students'!$AD$2:$AD$701,P2663))</f>
        <v/>
      </c>
      <c r="S2663">
        <f>IF(H2663="OK",O2663,0)</f>
        <v/>
      </c>
      <c r="T2663">
        <f>IF(H2663="OK",N2663,"")</f>
        <v/>
      </c>
      <c r="U2663">
        <f>IF(OC_Donor=0,"",IF(INDEX('OneCause_Paste'!$A$2663:$AZ$2663,1,OC_Donor)="","",INDEX('OneCause_Paste'!$A$2663:$AZ$2663,1,OC_Donor)))</f>
        <v/>
      </c>
    </row>
    <row r="2664">
      <c r="A2664" s="62">
        <f>IF(H2664="","",IF(ISNUMBER(N2664),N2664,I2664))</f>
        <v/>
      </c>
      <c r="B2664">
        <f>IF(H2664="","",U2664)</f>
        <v/>
      </c>
      <c r="C2664">
        <f>IF(H2664="","",IF(P2664="",K2664,INDEX('Students'!$A$2:$A$701,P2664)))</f>
        <v/>
      </c>
      <c r="D2664">
        <f>IF(OR(H2664="",P2664=""),"",INDEX('Students'!$B$2:$B$701,P2664))</f>
        <v/>
      </c>
      <c r="E2664">
        <f>IF(OR(H2664="",P2664=""),"",INDEX('Students'!$C$2:$C$701,P2664))</f>
        <v/>
      </c>
      <c r="F2664" s="48">
        <f>IF(H2664="","",IF(ISNUMBER(O2664),O2664,J2664))</f>
        <v/>
      </c>
      <c r="G2664">
        <f>IF(H2664="","","OneCause")</f>
        <v/>
      </c>
      <c r="H2664">
        <f>IF(AND(I2664="",J2664="",K2664=""),"",IF(NOT(ISNUMBER(O2664)),"Bad amount",IF(O2664&lt;0,"Refund (not counted)",IF(O2664=0,"Zero amount",IF(NOT(ISNUMBER(N2664)),"Bad date",IF(P2664="","NAME NOT ON ROSTER",IF(L2664="","OK",IF(MATCH(L2664,$L$2:$L$3001,0)&lt;ROW()-1,"Duplicate (ignored)","OK"))))))))</f>
        <v/>
      </c>
      <c r="I2664">
        <f>IF(OC_Date=0,"",IF(INDEX('OneCause_Paste'!$A$2664:$AZ$2664,1,OC_Date)="","",INDEX('OneCause_Paste'!$A$2664:$AZ$2664,1,OC_Date)))</f>
        <v/>
      </c>
      <c r="J2664">
        <f>IF(OC_Amt=0,"",IF(INDEX('OneCause_Paste'!$A$2664:$AZ$2664,1,OC_Amt)="","",INDEX('OneCause_Paste'!$A$2664:$AZ$2664,1,OC_Amt)))</f>
        <v/>
      </c>
      <c r="K2664">
        <f>IF(OC_Name=0,"",IF(INDEX('OneCause_Paste'!$A$2664:$AZ$2664,1,OC_Name)="","",INDEX('OneCause_Paste'!$A$2664:$AZ$2664,1,OC_Name)))</f>
        <v/>
      </c>
      <c r="L2664">
        <f>IF(OC_Txn=0,"",IF(INDEX('OneCause_Paste'!$A$2664:$AZ$2664,1,OC_Txn)="","",INDEX('OneCause_Paste'!$A$2664:$AZ$2664,1,OC_Txn)))</f>
        <v/>
      </c>
      <c r="M2664">
        <f>IF(OC_Pay=0,"",IF(INDEX('OneCause_Paste'!$A$2664:$AZ$2664,1,OC_Pay)="","",INDEX('OneCause_Paste'!$A$2664:$AZ$2664,1,OC_Pay)))</f>
        <v/>
      </c>
      <c r="N2664">
        <f>IF(I2664="","",IF(ISNUMBER(I2664),INT(I2664),IFERROR(INT(DATEVALUE(I2664)),IFERROR(INT(VALUE(I2664)),"bad"))))</f>
        <v/>
      </c>
      <c r="O2664">
        <f>IF(J2664="","",IF(ISNUMBER(J2664),ROUND(J2664,2),IFERROR(ROUND(VALUE(SUBSTITUTE(SUBSTITUTE(SUBSTITUTE(J2664,"$",""),",","")," ","")),2),"bad")))</f>
        <v/>
      </c>
      <c r="P2664">
        <f>IF(TRIM(K2664)="","",IFERROR(MATCH(LOWER(TRIM(K2664)),'Students'!$AH$2:$AH$701,0),IFERROR(MATCH(LOWER(TRIM(K2664)),'Students'!$AF$2:$AF$701,0),IFERROR(MATCH(LOWER(TRIM(K2664)),'Students'!$AG$2:$AG$701,0),""))))</f>
        <v/>
      </c>
      <c r="R2664">
        <f>IF(P2664="","",INDEX('Students'!$AD$2:$AD$701,P2664))</f>
        <v/>
      </c>
      <c r="S2664">
        <f>IF(H2664="OK",O2664,0)</f>
        <v/>
      </c>
      <c r="T2664">
        <f>IF(H2664="OK",N2664,"")</f>
        <v/>
      </c>
      <c r="U2664">
        <f>IF(OC_Donor=0,"",IF(INDEX('OneCause_Paste'!$A$2664:$AZ$2664,1,OC_Donor)="","",INDEX('OneCause_Paste'!$A$2664:$AZ$2664,1,OC_Donor)))</f>
        <v/>
      </c>
    </row>
    <row r="2665">
      <c r="A2665" s="62">
        <f>IF(H2665="","",IF(ISNUMBER(N2665),N2665,I2665))</f>
        <v/>
      </c>
      <c r="B2665">
        <f>IF(H2665="","",U2665)</f>
        <v/>
      </c>
      <c r="C2665">
        <f>IF(H2665="","",IF(P2665="",K2665,INDEX('Students'!$A$2:$A$701,P2665)))</f>
        <v/>
      </c>
      <c r="D2665">
        <f>IF(OR(H2665="",P2665=""),"",INDEX('Students'!$B$2:$B$701,P2665))</f>
        <v/>
      </c>
      <c r="E2665">
        <f>IF(OR(H2665="",P2665=""),"",INDEX('Students'!$C$2:$C$701,P2665))</f>
        <v/>
      </c>
      <c r="F2665" s="48">
        <f>IF(H2665="","",IF(ISNUMBER(O2665),O2665,J2665))</f>
        <v/>
      </c>
      <c r="G2665">
        <f>IF(H2665="","","OneCause")</f>
        <v/>
      </c>
      <c r="H2665">
        <f>IF(AND(I2665="",J2665="",K2665=""),"",IF(NOT(ISNUMBER(O2665)),"Bad amount",IF(O2665&lt;0,"Refund (not counted)",IF(O2665=0,"Zero amount",IF(NOT(ISNUMBER(N2665)),"Bad date",IF(P2665="","NAME NOT ON ROSTER",IF(L2665="","OK",IF(MATCH(L2665,$L$2:$L$3001,0)&lt;ROW()-1,"Duplicate (ignored)","OK"))))))))</f>
        <v/>
      </c>
      <c r="I2665">
        <f>IF(OC_Date=0,"",IF(INDEX('OneCause_Paste'!$A$2665:$AZ$2665,1,OC_Date)="","",INDEX('OneCause_Paste'!$A$2665:$AZ$2665,1,OC_Date)))</f>
        <v/>
      </c>
      <c r="J2665">
        <f>IF(OC_Amt=0,"",IF(INDEX('OneCause_Paste'!$A$2665:$AZ$2665,1,OC_Amt)="","",INDEX('OneCause_Paste'!$A$2665:$AZ$2665,1,OC_Amt)))</f>
        <v/>
      </c>
      <c r="K2665">
        <f>IF(OC_Name=0,"",IF(INDEX('OneCause_Paste'!$A$2665:$AZ$2665,1,OC_Name)="","",INDEX('OneCause_Paste'!$A$2665:$AZ$2665,1,OC_Name)))</f>
        <v/>
      </c>
      <c r="L2665">
        <f>IF(OC_Txn=0,"",IF(INDEX('OneCause_Paste'!$A$2665:$AZ$2665,1,OC_Txn)="","",INDEX('OneCause_Paste'!$A$2665:$AZ$2665,1,OC_Txn)))</f>
        <v/>
      </c>
      <c r="M2665">
        <f>IF(OC_Pay=0,"",IF(INDEX('OneCause_Paste'!$A$2665:$AZ$2665,1,OC_Pay)="","",INDEX('OneCause_Paste'!$A$2665:$AZ$2665,1,OC_Pay)))</f>
        <v/>
      </c>
      <c r="N2665">
        <f>IF(I2665="","",IF(ISNUMBER(I2665),INT(I2665),IFERROR(INT(DATEVALUE(I2665)),IFERROR(INT(VALUE(I2665)),"bad"))))</f>
        <v/>
      </c>
      <c r="O2665">
        <f>IF(J2665="","",IF(ISNUMBER(J2665),ROUND(J2665,2),IFERROR(ROUND(VALUE(SUBSTITUTE(SUBSTITUTE(SUBSTITUTE(J2665,"$",""),",","")," ","")),2),"bad")))</f>
        <v/>
      </c>
      <c r="P2665">
        <f>IF(TRIM(K2665)="","",IFERROR(MATCH(LOWER(TRIM(K2665)),'Students'!$AH$2:$AH$701,0),IFERROR(MATCH(LOWER(TRIM(K2665)),'Students'!$AF$2:$AF$701,0),IFERROR(MATCH(LOWER(TRIM(K2665)),'Students'!$AG$2:$AG$701,0),""))))</f>
        <v/>
      </c>
      <c r="R2665">
        <f>IF(P2665="","",INDEX('Students'!$AD$2:$AD$701,P2665))</f>
        <v/>
      </c>
      <c r="S2665">
        <f>IF(H2665="OK",O2665,0)</f>
        <v/>
      </c>
      <c r="T2665">
        <f>IF(H2665="OK",N2665,"")</f>
        <v/>
      </c>
      <c r="U2665">
        <f>IF(OC_Donor=0,"",IF(INDEX('OneCause_Paste'!$A$2665:$AZ$2665,1,OC_Donor)="","",INDEX('OneCause_Paste'!$A$2665:$AZ$2665,1,OC_Donor)))</f>
        <v/>
      </c>
    </row>
    <row r="2666">
      <c r="A2666" s="62">
        <f>IF(H2666="","",IF(ISNUMBER(N2666),N2666,I2666))</f>
        <v/>
      </c>
      <c r="B2666">
        <f>IF(H2666="","",U2666)</f>
        <v/>
      </c>
      <c r="C2666">
        <f>IF(H2666="","",IF(P2666="",K2666,INDEX('Students'!$A$2:$A$701,P2666)))</f>
        <v/>
      </c>
      <c r="D2666">
        <f>IF(OR(H2666="",P2666=""),"",INDEX('Students'!$B$2:$B$701,P2666))</f>
        <v/>
      </c>
      <c r="E2666">
        <f>IF(OR(H2666="",P2666=""),"",INDEX('Students'!$C$2:$C$701,P2666))</f>
        <v/>
      </c>
      <c r="F2666" s="48">
        <f>IF(H2666="","",IF(ISNUMBER(O2666),O2666,J2666))</f>
        <v/>
      </c>
      <c r="G2666">
        <f>IF(H2666="","","OneCause")</f>
        <v/>
      </c>
      <c r="H2666">
        <f>IF(AND(I2666="",J2666="",K2666=""),"",IF(NOT(ISNUMBER(O2666)),"Bad amount",IF(O2666&lt;0,"Refund (not counted)",IF(O2666=0,"Zero amount",IF(NOT(ISNUMBER(N2666)),"Bad date",IF(P2666="","NAME NOT ON ROSTER",IF(L2666="","OK",IF(MATCH(L2666,$L$2:$L$3001,0)&lt;ROW()-1,"Duplicate (ignored)","OK"))))))))</f>
        <v/>
      </c>
      <c r="I2666">
        <f>IF(OC_Date=0,"",IF(INDEX('OneCause_Paste'!$A$2666:$AZ$2666,1,OC_Date)="","",INDEX('OneCause_Paste'!$A$2666:$AZ$2666,1,OC_Date)))</f>
        <v/>
      </c>
      <c r="J2666">
        <f>IF(OC_Amt=0,"",IF(INDEX('OneCause_Paste'!$A$2666:$AZ$2666,1,OC_Amt)="","",INDEX('OneCause_Paste'!$A$2666:$AZ$2666,1,OC_Amt)))</f>
        <v/>
      </c>
      <c r="K2666">
        <f>IF(OC_Name=0,"",IF(INDEX('OneCause_Paste'!$A$2666:$AZ$2666,1,OC_Name)="","",INDEX('OneCause_Paste'!$A$2666:$AZ$2666,1,OC_Name)))</f>
        <v/>
      </c>
      <c r="L2666">
        <f>IF(OC_Txn=0,"",IF(INDEX('OneCause_Paste'!$A$2666:$AZ$2666,1,OC_Txn)="","",INDEX('OneCause_Paste'!$A$2666:$AZ$2666,1,OC_Txn)))</f>
        <v/>
      </c>
      <c r="M2666">
        <f>IF(OC_Pay=0,"",IF(INDEX('OneCause_Paste'!$A$2666:$AZ$2666,1,OC_Pay)="","",INDEX('OneCause_Paste'!$A$2666:$AZ$2666,1,OC_Pay)))</f>
        <v/>
      </c>
      <c r="N2666">
        <f>IF(I2666="","",IF(ISNUMBER(I2666),INT(I2666),IFERROR(INT(DATEVALUE(I2666)),IFERROR(INT(VALUE(I2666)),"bad"))))</f>
        <v/>
      </c>
      <c r="O2666">
        <f>IF(J2666="","",IF(ISNUMBER(J2666),ROUND(J2666,2),IFERROR(ROUND(VALUE(SUBSTITUTE(SUBSTITUTE(SUBSTITUTE(J2666,"$",""),",","")," ","")),2),"bad")))</f>
        <v/>
      </c>
      <c r="P2666">
        <f>IF(TRIM(K2666)="","",IFERROR(MATCH(LOWER(TRIM(K2666)),'Students'!$AH$2:$AH$701,0),IFERROR(MATCH(LOWER(TRIM(K2666)),'Students'!$AF$2:$AF$701,0),IFERROR(MATCH(LOWER(TRIM(K2666)),'Students'!$AG$2:$AG$701,0),""))))</f>
        <v/>
      </c>
      <c r="R2666">
        <f>IF(P2666="","",INDEX('Students'!$AD$2:$AD$701,P2666))</f>
        <v/>
      </c>
      <c r="S2666">
        <f>IF(H2666="OK",O2666,0)</f>
        <v/>
      </c>
      <c r="T2666">
        <f>IF(H2666="OK",N2666,"")</f>
        <v/>
      </c>
      <c r="U2666">
        <f>IF(OC_Donor=0,"",IF(INDEX('OneCause_Paste'!$A$2666:$AZ$2666,1,OC_Donor)="","",INDEX('OneCause_Paste'!$A$2666:$AZ$2666,1,OC_Donor)))</f>
        <v/>
      </c>
    </row>
    <row r="2667">
      <c r="A2667" s="62">
        <f>IF(H2667="","",IF(ISNUMBER(N2667),N2667,I2667))</f>
        <v/>
      </c>
      <c r="B2667">
        <f>IF(H2667="","",U2667)</f>
        <v/>
      </c>
      <c r="C2667">
        <f>IF(H2667="","",IF(P2667="",K2667,INDEX('Students'!$A$2:$A$701,P2667)))</f>
        <v/>
      </c>
      <c r="D2667">
        <f>IF(OR(H2667="",P2667=""),"",INDEX('Students'!$B$2:$B$701,P2667))</f>
        <v/>
      </c>
      <c r="E2667">
        <f>IF(OR(H2667="",P2667=""),"",INDEX('Students'!$C$2:$C$701,P2667))</f>
        <v/>
      </c>
      <c r="F2667" s="48">
        <f>IF(H2667="","",IF(ISNUMBER(O2667),O2667,J2667))</f>
        <v/>
      </c>
      <c r="G2667">
        <f>IF(H2667="","","OneCause")</f>
        <v/>
      </c>
      <c r="H2667">
        <f>IF(AND(I2667="",J2667="",K2667=""),"",IF(NOT(ISNUMBER(O2667)),"Bad amount",IF(O2667&lt;0,"Refund (not counted)",IF(O2667=0,"Zero amount",IF(NOT(ISNUMBER(N2667)),"Bad date",IF(P2667="","NAME NOT ON ROSTER",IF(L2667="","OK",IF(MATCH(L2667,$L$2:$L$3001,0)&lt;ROW()-1,"Duplicate (ignored)","OK"))))))))</f>
        <v/>
      </c>
      <c r="I2667">
        <f>IF(OC_Date=0,"",IF(INDEX('OneCause_Paste'!$A$2667:$AZ$2667,1,OC_Date)="","",INDEX('OneCause_Paste'!$A$2667:$AZ$2667,1,OC_Date)))</f>
        <v/>
      </c>
      <c r="J2667">
        <f>IF(OC_Amt=0,"",IF(INDEX('OneCause_Paste'!$A$2667:$AZ$2667,1,OC_Amt)="","",INDEX('OneCause_Paste'!$A$2667:$AZ$2667,1,OC_Amt)))</f>
        <v/>
      </c>
      <c r="K2667">
        <f>IF(OC_Name=0,"",IF(INDEX('OneCause_Paste'!$A$2667:$AZ$2667,1,OC_Name)="","",INDEX('OneCause_Paste'!$A$2667:$AZ$2667,1,OC_Name)))</f>
        <v/>
      </c>
      <c r="L2667">
        <f>IF(OC_Txn=0,"",IF(INDEX('OneCause_Paste'!$A$2667:$AZ$2667,1,OC_Txn)="","",INDEX('OneCause_Paste'!$A$2667:$AZ$2667,1,OC_Txn)))</f>
        <v/>
      </c>
      <c r="M2667">
        <f>IF(OC_Pay=0,"",IF(INDEX('OneCause_Paste'!$A$2667:$AZ$2667,1,OC_Pay)="","",INDEX('OneCause_Paste'!$A$2667:$AZ$2667,1,OC_Pay)))</f>
        <v/>
      </c>
      <c r="N2667">
        <f>IF(I2667="","",IF(ISNUMBER(I2667),INT(I2667),IFERROR(INT(DATEVALUE(I2667)),IFERROR(INT(VALUE(I2667)),"bad"))))</f>
        <v/>
      </c>
      <c r="O2667">
        <f>IF(J2667="","",IF(ISNUMBER(J2667),ROUND(J2667,2),IFERROR(ROUND(VALUE(SUBSTITUTE(SUBSTITUTE(SUBSTITUTE(J2667,"$",""),",","")," ","")),2),"bad")))</f>
        <v/>
      </c>
      <c r="P2667">
        <f>IF(TRIM(K2667)="","",IFERROR(MATCH(LOWER(TRIM(K2667)),'Students'!$AH$2:$AH$701,0),IFERROR(MATCH(LOWER(TRIM(K2667)),'Students'!$AF$2:$AF$701,0),IFERROR(MATCH(LOWER(TRIM(K2667)),'Students'!$AG$2:$AG$701,0),""))))</f>
        <v/>
      </c>
      <c r="R2667">
        <f>IF(P2667="","",INDEX('Students'!$AD$2:$AD$701,P2667))</f>
        <v/>
      </c>
      <c r="S2667">
        <f>IF(H2667="OK",O2667,0)</f>
        <v/>
      </c>
      <c r="T2667">
        <f>IF(H2667="OK",N2667,"")</f>
        <v/>
      </c>
      <c r="U2667">
        <f>IF(OC_Donor=0,"",IF(INDEX('OneCause_Paste'!$A$2667:$AZ$2667,1,OC_Donor)="","",INDEX('OneCause_Paste'!$A$2667:$AZ$2667,1,OC_Donor)))</f>
        <v/>
      </c>
    </row>
    <row r="2668">
      <c r="A2668" s="62">
        <f>IF(H2668="","",IF(ISNUMBER(N2668),N2668,I2668))</f>
        <v/>
      </c>
      <c r="B2668">
        <f>IF(H2668="","",U2668)</f>
        <v/>
      </c>
      <c r="C2668">
        <f>IF(H2668="","",IF(P2668="",K2668,INDEX('Students'!$A$2:$A$701,P2668)))</f>
        <v/>
      </c>
      <c r="D2668">
        <f>IF(OR(H2668="",P2668=""),"",INDEX('Students'!$B$2:$B$701,P2668))</f>
        <v/>
      </c>
      <c r="E2668">
        <f>IF(OR(H2668="",P2668=""),"",INDEX('Students'!$C$2:$C$701,P2668))</f>
        <v/>
      </c>
      <c r="F2668" s="48">
        <f>IF(H2668="","",IF(ISNUMBER(O2668),O2668,J2668))</f>
        <v/>
      </c>
      <c r="G2668">
        <f>IF(H2668="","","OneCause")</f>
        <v/>
      </c>
      <c r="H2668">
        <f>IF(AND(I2668="",J2668="",K2668=""),"",IF(NOT(ISNUMBER(O2668)),"Bad amount",IF(O2668&lt;0,"Refund (not counted)",IF(O2668=0,"Zero amount",IF(NOT(ISNUMBER(N2668)),"Bad date",IF(P2668="","NAME NOT ON ROSTER",IF(L2668="","OK",IF(MATCH(L2668,$L$2:$L$3001,0)&lt;ROW()-1,"Duplicate (ignored)","OK"))))))))</f>
        <v/>
      </c>
      <c r="I2668">
        <f>IF(OC_Date=0,"",IF(INDEX('OneCause_Paste'!$A$2668:$AZ$2668,1,OC_Date)="","",INDEX('OneCause_Paste'!$A$2668:$AZ$2668,1,OC_Date)))</f>
        <v/>
      </c>
      <c r="J2668">
        <f>IF(OC_Amt=0,"",IF(INDEX('OneCause_Paste'!$A$2668:$AZ$2668,1,OC_Amt)="","",INDEX('OneCause_Paste'!$A$2668:$AZ$2668,1,OC_Amt)))</f>
        <v/>
      </c>
      <c r="K2668">
        <f>IF(OC_Name=0,"",IF(INDEX('OneCause_Paste'!$A$2668:$AZ$2668,1,OC_Name)="","",INDEX('OneCause_Paste'!$A$2668:$AZ$2668,1,OC_Name)))</f>
        <v/>
      </c>
      <c r="L2668">
        <f>IF(OC_Txn=0,"",IF(INDEX('OneCause_Paste'!$A$2668:$AZ$2668,1,OC_Txn)="","",INDEX('OneCause_Paste'!$A$2668:$AZ$2668,1,OC_Txn)))</f>
        <v/>
      </c>
      <c r="M2668">
        <f>IF(OC_Pay=0,"",IF(INDEX('OneCause_Paste'!$A$2668:$AZ$2668,1,OC_Pay)="","",INDEX('OneCause_Paste'!$A$2668:$AZ$2668,1,OC_Pay)))</f>
        <v/>
      </c>
      <c r="N2668">
        <f>IF(I2668="","",IF(ISNUMBER(I2668),INT(I2668),IFERROR(INT(DATEVALUE(I2668)),IFERROR(INT(VALUE(I2668)),"bad"))))</f>
        <v/>
      </c>
      <c r="O2668">
        <f>IF(J2668="","",IF(ISNUMBER(J2668),ROUND(J2668,2),IFERROR(ROUND(VALUE(SUBSTITUTE(SUBSTITUTE(SUBSTITUTE(J2668,"$",""),",","")," ","")),2),"bad")))</f>
        <v/>
      </c>
      <c r="P2668">
        <f>IF(TRIM(K2668)="","",IFERROR(MATCH(LOWER(TRIM(K2668)),'Students'!$AH$2:$AH$701,0),IFERROR(MATCH(LOWER(TRIM(K2668)),'Students'!$AF$2:$AF$701,0),IFERROR(MATCH(LOWER(TRIM(K2668)),'Students'!$AG$2:$AG$701,0),""))))</f>
        <v/>
      </c>
      <c r="R2668">
        <f>IF(P2668="","",INDEX('Students'!$AD$2:$AD$701,P2668))</f>
        <v/>
      </c>
      <c r="S2668">
        <f>IF(H2668="OK",O2668,0)</f>
        <v/>
      </c>
      <c r="T2668">
        <f>IF(H2668="OK",N2668,"")</f>
        <v/>
      </c>
      <c r="U2668">
        <f>IF(OC_Donor=0,"",IF(INDEX('OneCause_Paste'!$A$2668:$AZ$2668,1,OC_Donor)="","",INDEX('OneCause_Paste'!$A$2668:$AZ$2668,1,OC_Donor)))</f>
        <v/>
      </c>
    </row>
    <row r="2669">
      <c r="A2669" s="62">
        <f>IF(H2669="","",IF(ISNUMBER(N2669),N2669,I2669))</f>
        <v/>
      </c>
      <c r="B2669">
        <f>IF(H2669="","",U2669)</f>
        <v/>
      </c>
      <c r="C2669">
        <f>IF(H2669="","",IF(P2669="",K2669,INDEX('Students'!$A$2:$A$701,P2669)))</f>
        <v/>
      </c>
      <c r="D2669">
        <f>IF(OR(H2669="",P2669=""),"",INDEX('Students'!$B$2:$B$701,P2669))</f>
        <v/>
      </c>
      <c r="E2669">
        <f>IF(OR(H2669="",P2669=""),"",INDEX('Students'!$C$2:$C$701,P2669))</f>
        <v/>
      </c>
      <c r="F2669" s="48">
        <f>IF(H2669="","",IF(ISNUMBER(O2669),O2669,J2669))</f>
        <v/>
      </c>
      <c r="G2669">
        <f>IF(H2669="","","OneCause")</f>
        <v/>
      </c>
      <c r="H2669">
        <f>IF(AND(I2669="",J2669="",K2669=""),"",IF(NOT(ISNUMBER(O2669)),"Bad amount",IF(O2669&lt;0,"Refund (not counted)",IF(O2669=0,"Zero amount",IF(NOT(ISNUMBER(N2669)),"Bad date",IF(P2669="","NAME NOT ON ROSTER",IF(L2669="","OK",IF(MATCH(L2669,$L$2:$L$3001,0)&lt;ROW()-1,"Duplicate (ignored)","OK"))))))))</f>
        <v/>
      </c>
      <c r="I2669">
        <f>IF(OC_Date=0,"",IF(INDEX('OneCause_Paste'!$A$2669:$AZ$2669,1,OC_Date)="","",INDEX('OneCause_Paste'!$A$2669:$AZ$2669,1,OC_Date)))</f>
        <v/>
      </c>
      <c r="J2669">
        <f>IF(OC_Amt=0,"",IF(INDEX('OneCause_Paste'!$A$2669:$AZ$2669,1,OC_Amt)="","",INDEX('OneCause_Paste'!$A$2669:$AZ$2669,1,OC_Amt)))</f>
        <v/>
      </c>
      <c r="K2669">
        <f>IF(OC_Name=0,"",IF(INDEX('OneCause_Paste'!$A$2669:$AZ$2669,1,OC_Name)="","",INDEX('OneCause_Paste'!$A$2669:$AZ$2669,1,OC_Name)))</f>
        <v/>
      </c>
      <c r="L2669">
        <f>IF(OC_Txn=0,"",IF(INDEX('OneCause_Paste'!$A$2669:$AZ$2669,1,OC_Txn)="","",INDEX('OneCause_Paste'!$A$2669:$AZ$2669,1,OC_Txn)))</f>
        <v/>
      </c>
      <c r="M2669">
        <f>IF(OC_Pay=0,"",IF(INDEX('OneCause_Paste'!$A$2669:$AZ$2669,1,OC_Pay)="","",INDEX('OneCause_Paste'!$A$2669:$AZ$2669,1,OC_Pay)))</f>
        <v/>
      </c>
      <c r="N2669">
        <f>IF(I2669="","",IF(ISNUMBER(I2669),INT(I2669),IFERROR(INT(DATEVALUE(I2669)),IFERROR(INT(VALUE(I2669)),"bad"))))</f>
        <v/>
      </c>
      <c r="O2669">
        <f>IF(J2669="","",IF(ISNUMBER(J2669),ROUND(J2669,2),IFERROR(ROUND(VALUE(SUBSTITUTE(SUBSTITUTE(SUBSTITUTE(J2669,"$",""),",","")," ","")),2),"bad")))</f>
        <v/>
      </c>
      <c r="P2669">
        <f>IF(TRIM(K2669)="","",IFERROR(MATCH(LOWER(TRIM(K2669)),'Students'!$AH$2:$AH$701,0),IFERROR(MATCH(LOWER(TRIM(K2669)),'Students'!$AF$2:$AF$701,0),IFERROR(MATCH(LOWER(TRIM(K2669)),'Students'!$AG$2:$AG$701,0),""))))</f>
        <v/>
      </c>
      <c r="R2669">
        <f>IF(P2669="","",INDEX('Students'!$AD$2:$AD$701,P2669))</f>
        <v/>
      </c>
      <c r="S2669">
        <f>IF(H2669="OK",O2669,0)</f>
        <v/>
      </c>
      <c r="T2669">
        <f>IF(H2669="OK",N2669,"")</f>
        <v/>
      </c>
      <c r="U2669">
        <f>IF(OC_Donor=0,"",IF(INDEX('OneCause_Paste'!$A$2669:$AZ$2669,1,OC_Donor)="","",INDEX('OneCause_Paste'!$A$2669:$AZ$2669,1,OC_Donor)))</f>
        <v/>
      </c>
    </row>
    <row r="2670">
      <c r="A2670" s="62">
        <f>IF(H2670="","",IF(ISNUMBER(N2670),N2670,I2670))</f>
        <v/>
      </c>
      <c r="B2670">
        <f>IF(H2670="","",U2670)</f>
        <v/>
      </c>
      <c r="C2670">
        <f>IF(H2670="","",IF(P2670="",K2670,INDEX('Students'!$A$2:$A$701,P2670)))</f>
        <v/>
      </c>
      <c r="D2670">
        <f>IF(OR(H2670="",P2670=""),"",INDEX('Students'!$B$2:$B$701,P2670))</f>
        <v/>
      </c>
      <c r="E2670">
        <f>IF(OR(H2670="",P2670=""),"",INDEX('Students'!$C$2:$C$701,P2670))</f>
        <v/>
      </c>
      <c r="F2670" s="48">
        <f>IF(H2670="","",IF(ISNUMBER(O2670),O2670,J2670))</f>
        <v/>
      </c>
      <c r="G2670">
        <f>IF(H2670="","","OneCause")</f>
        <v/>
      </c>
      <c r="H2670">
        <f>IF(AND(I2670="",J2670="",K2670=""),"",IF(NOT(ISNUMBER(O2670)),"Bad amount",IF(O2670&lt;0,"Refund (not counted)",IF(O2670=0,"Zero amount",IF(NOT(ISNUMBER(N2670)),"Bad date",IF(P2670="","NAME NOT ON ROSTER",IF(L2670="","OK",IF(MATCH(L2670,$L$2:$L$3001,0)&lt;ROW()-1,"Duplicate (ignored)","OK"))))))))</f>
        <v/>
      </c>
      <c r="I2670">
        <f>IF(OC_Date=0,"",IF(INDEX('OneCause_Paste'!$A$2670:$AZ$2670,1,OC_Date)="","",INDEX('OneCause_Paste'!$A$2670:$AZ$2670,1,OC_Date)))</f>
        <v/>
      </c>
      <c r="J2670">
        <f>IF(OC_Amt=0,"",IF(INDEX('OneCause_Paste'!$A$2670:$AZ$2670,1,OC_Amt)="","",INDEX('OneCause_Paste'!$A$2670:$AZ$2670,1,OC_Amt)))</f>
        <v/>
      </c>
      <c r="K2670">
        <f>IF(OC_Name=0,"",IF(INDEX('OneCause_Paste'!$A$2670:$AZ$2670,1,OC_Name)="","",INDEX('OneCause_Paste'!$A$2670:$AZ$2670,1,OC_Name)))</f>
        <v/>
      </c>
      <c r="L2670">
        <f>IF(OC_Txn=0,"",IF(INDEX('OneCause_Paste'!$A$2670:$AZ$2670,1,OC_Txn)="","",INDEX('OneCause_Paste'!$A$2670:$AZ$2670,1,OC_Txn)))</f>
        <v/>
      </c>
      <c r="M2670">
        <f>IF(OC_Pay=0,"",IF(INDEX('OneCause_Paste'!$A$2670:$AZ$2670,1,OC_Pay)="","",INDEX('OneCause_Paste'!$A$2670:$AZ$2670,1,OC_Pay)))</f>
        <v/>
      </c>
      <c r="N2670">
        <f>IF(I2670="","",IF(ISNUMBER(I2670),INT(I2670),IFERROR(INT(DATEVALUE(I2670)),IFERROR(INT(VALUE(I2670)),"bad"))))</f>
        <v/>
      </c>
      <c r="O2670">
        <f>IF(J2670="","",IF(ISNUMBER(J2670),ROUND(J2670,2),IFERROR(ROUND(VALUE(SUBSTITUTE(SUBSTITUTE(SUBSTITUTE(J2670,"$",""),",","")," ","")),2),"bad")))</f>
        <v/>
      </c>
      <c r="P2670">
        <f>IF(TRIM(K2670)="","",IFERROR(MATCH(LOWER(TRIM(K2670)),'Students'!$AH$2:$AH$701,0),IFERROR(MATCH(LOWER(TRIM(K2670)),'Students'!$AF$2:$AF$701,0),IFERROR(MATCH(LOWER(TRIM(K2670)),'Students'!$AG$2:$AG$701,0),""))))</f>
        <v/>
      </c>
      <c r="R2670">
        <f>IF(P2670="","",INDEX('Students'!$AD$2:$AD$701,P2670))</f>
        <v/>
      </c>
      <c r="S2670">
        <f>IF(H2670="OK",O2670,0)</f>
        <v/>
      </c>
      <c r="T2670">
        <f>IF(H2670="OK",N2670,"")</f>
        <v/>
      </c>
      <c r="U2670">
        <f>IF(OC_Donor=0,"",IF(INDEX('OneCause_Paste'!$A$2670:$AZ$2670,1,OC_Donor)="","",INDEX('OneCause_Paste'!$A$2670:$AZ$2670,1,OC_Donor)))</f>
        <v/>
      </c>
    </row>
    <row r="2671">
      <c r="A2671" s="62">
        <f>IF(H2671="","",IF(ISNUMBER(N2671),N2671,I2671))</f>
        <v/>
      </c>
      <c r="B2671">
        <f>IF(H2671="","",U2671)</f>
        <v/>
      </c>
      <c r="C2671">
        <f>IF(H2671="","",IF(P2671="",K2671,INDEX('Students'!$A$2:$A$701,P2671)))</f>
        <v/>
      </c>
      <c r="D2671">
        <f>IF(OR(H2671="",P2671=""),"",INDEX('Students'!$B$2:$B$701,P2671))</f>
        <v/>
      </c>
      <c r="E2671">
        <f>IF(OR(H2671="",P2671=""),"",INDEX('Students'!$C$2:$C$701,P2671))</f>
        <v/>
      </c>
      <c r="F2671" s="48">
        <f>IF(H2671="","",IF(ISNUMBER(O2671),O2671,J2671))</f>
        <v/>
      </c>
      <c r="G2671">
        <f>IF(H2671="","","OneCause")</f>
        <v/>
      </c>
      <c r="H2671">
        <f>IF(AND(I2671="",J2671="",K2671=""),"",IF(NOT(ISNUMBER(O2671)),"Bad amount",IF(O2671&lt;0,"Refund (not counted)",IF(O2671=0,"Zero amount",IF(NOT(ISNUMBER(N2671)),"Bad date",IF(P2671="","NAME NOT ON ROSTER",IF(L2671="","OK",IF(MATCH(L2671,$L$2:$L$3001,0)&lt;ROW()-1,"Duplicate (ignored)","OK"))))))))</f>
        <v/>
      </c>
      <c r="I2671">
        <f>IF(OC_Date=0,"",IF(INDEX('OneCause_Paste'!$A$2671:$AZ$2671,1,OC_Date)="","",INDEX('OneCause_Paste'!$A$2671:$AZ$2671,1,OC_Date)))</f>
        <v/>
      </c>
      <c r="J2671">
        <f>IF(OC_Amt=0,"",IF(INDEX('OneCause_Paste'!$A$2671:$AZ$2671,1,OC_Amt)="","",INDEX('OneCause_Paste'!$A$2671:$AZ$2671,1,OC_Amt)))</f>
        <v/>
      </c>
      <c r="K2671">
        <f>IF(OC_Name=0,"",IF(INDEX('OneCause_Paste'!$A$2671:$AZ$2671,1,OC_Name)="","",INDEX('OneCause_Paste'!$A$2671:$AZ$2671,1,OC_Name)))</f>
        <v/>
      </c>
      <c r="L2671">
        <f>IF(OC_Txn=0,"",IF(INDEX('OneCause_Paste'!$A$2671:$AZ$2671,1,OC_Txn)="","",INDEX('OneCause_Paste'!$A$2671:$AZ$2671,1,OC_Txn)))</f>
        <v/>
      </c>
      <c r="M2671">
        <f>IF(OC_Pay=0,"",IF(INDEX('OneCause_Paste'!$A$2671:$AZ$2671,1,OC_Pay)="","",INDEX('OneCause_Paste'!$A$2671:$AZ$2671,1,OC_Pay)))</f>
        <v/>
      </c>
      <c r="N2671">
        <f>IF(I2671="","",IF(ISNUMBER(I2671),INT(I2671),IFERROR(INT(DATEVALUE(I2671)),IFERROR(INT(VALUE(I2671)),"bad"))))</f>
        <v/>
      </c>
      <c r="O2671">
        <f>IF(J2671="","",IF(ISNUMBER(J2671),ROUND(J2671,2),IFERROR(ROUND(VALUE(SUBSTITUTE(SUBSTITUTE(SUBSTITUTE(J2671,"$",""),",","")," ","")),2),"bad")))</f>
        <v/>
      </c>
      <c r="P2671">
        <f>IF(TRIM(K2671)="","",IFERROR(MATCH(LOWER(TRIM(K2671)),'Students'!$AH$2:$AH$701,0),IFERROR(MATCH(LOWER(TRIM(K2671)),'Students'!$AF$2:$AF$701,0),IFERROR(MATCH(LOWER(TRIM(K2671)),'Students'!$AG$2:$AG$701,0),""))))</f>
        <v/>
      </c>
      <c r="R2671">
        <f>IF(P2671="","",INDEX('Students'!$AD$2:$AD$701,P2671))</f>
        <v/>
      </c>
      <c r="S2671">
        <f>IF(H2671="OK",O2671,0)</f>
        <v/>
      </c>
      <c r="T2671">
        <f>IF(H2671="OK",N2671,"")</f>
        <v/>
      </c>
      <c r="U2671">
        <f>IF(OC_Donor=0,"",IF(INDEX('OneCause_Paste'!$A$2671:$AZ$2671,1,OC_Donor)="","",INDEX('OneCause_Paste'!$A$2671:$AZ$2671,1,OC_Donor)))</f>
        <v/>
      </c>
    </row>
    <row r="2672">
      <c r="A2672" s="62">
        <f>IF(H2672="","",IF(ISNUMBER(N2672),N2672,I2672))</f>
        <v/>
      </c>
      <c r="B2672">
        <f>IF(H2672="","",U2672)</f>
        <v/>
      </c>
      <c r="C2672">
        <f>IF(H2672="","",IF(P2672="",K2672,INDEX('Students'!$A$2:$A$701,P2672)))</f>
        <v/>
      </c>
      <c r="D2672">
        <f>IF(OR(H2672="",P2672=""),"",INDEX('Students'!$B$2:$B$701,P2672))</f>
        <v/>
      </c>
      <c r="E2672">
        <f>IF(OR(H2672="",P2672=""),"",INDEX('Students'!$C$2:$C$701,P2672))</f>
        <v/>
      </c>
      <c r="F2672" s="48">
        <f>IF(H2672="","",IF(ISNUMBER(O2672),O2672,J2672))</f>
        <v/>
      </c>
      <c r="G2672">
        <f>IF(H2672="","","OneCause")</f>
        <v/>
      </c>
      <c r="H2672">
        <f>IF(AND(I2672="",J2672="",K2672=""),"",IF(NOT(ISNUMBER(O2672)),"Bad amount",IF(O2672&lt;0,"Refund (not counted)",IF(O2672=0,"Zero amount",IF(NOT(ISNUMBER(N2672)),"Bad date",IF(P2672="","NAME NOT ON ROSTER",IF(L2672="","OK",IF(MATCH(L2672,$L$2:$L$3001,0)&lt;ROW()-1,"Duplicate (ignored)","OK"))))))))</f>
        <v/>
      </c>
      <c r="I2672">
        <f>IF(OC_Date=0,"",IF(INDEX('OneCause_Paste'!$A$2672:$AZ$2672,1,OC_Date)="","",INDEX('OneCause_Paste'!$A$2672:$AZ$2672,1,OC_Date)))</f>
        <v/>
      </c>
      <c r="J2672">
        <f>IF(OC_Amt=0,"",IF(INDEX('OneCause_Paste'!$A$2672:$AZ$2672,1,OC_Amt)="","",INDEX('OneCause_Paste'!$A$2672:$AZ$2672,1,OC_Amt)))</f>
        <v/>
      </c>
      <c r="K2672">
        <f>IF(OC_Name=0,"",IF(INDEX('OneCause_Paste'!$A$2672:$AZ$2672,1,OC_Name)="","",INDEX('OneCause_Paste'!$A$2672:$AZ$2672,1,OC_Name)))</f>
        <v/>
      </c>
      <c r="L2672">
        <f>IF(OC_Txn=0,"",IF(INDEX('OneCause_Paste'!$A$2672:$AZ$2672,1,OC_Txn)="","",INDEX('OneCause_Paste'!$A$2672:$AZ$2672,1,OC_Txn)))</f>
        <v/>
      </c>
      <c r="M2672">
        <f>IF(OC_Pay=0,"",IF(INDEX('OneCause_Paste'!$A$2672:$AZ$2672,1,OC_Pay)="","",INDEX('OneCause_Paste'!$A$2672:$AZ$2672,1,OC_Pay)))</f>
        <v/>
      </c>
      <c r="N2672">
        <f>IF(I2672="","",IF(ISNUMBER(I2672),INT(I2672),IFERROR(INT(DATEVALUE(I2672)),IFERROR(INT(VALUE(I2672)),"bad"))))</f>
        <v/>
      </c>
      <c r="O2672">
        <f>IF(J2672="","",IF(ISNUMBER(J2672),ROUND(J2672,2),IFERROR(ROUND(VALUE(SUBSTITUTE(SUBSTITUTE(SUBSTITUTE(J2672,"$",""),",","")," ","")),2),"bad")))</f>
        <v/>
      </c>
      <c r="P2672">
        <f>IF(TRIM(K2672)="","",IFERROR(MATCH(LOWER(TRIM(K2672)),'Students'!$AH$2:$AH$701,0),IFERROR(MATCH(LOWER(TRIM(K2672)),'Students'!$AF$2:$AF$701,0),IFERROR(MATCH(LOWER(TRIM(K2672)),'Students'!$AG$2:$AG$701,0),""))))</f>
        <v/>
      </c>
      <c r="R2672">
        <f>IF(P2672="","",INDEX('Students'!$AD$2:$AD$701,P2672))</f>
        <v/>
      </c>
      <c r="S2672">
        <f>IF(H2672="OK",O2672,0)</f>
        <v/>
      </c>
      <c r="T2672">
        <f>IF(H2672="OK",N2672,"")</f>
        <v/>
      </c>
      <c r="U2672">
        <f>IF(OC_Donor=0,"",IF(INDEX('OneCause_Paste'!$A$2672:$AZ$2672,1,OC_Donor)="","",INDEX('OneCause_Paste'!$A$2672:$AZ$2672,1,OC_Donor)))</f>
        <v/>
      </c>
    </row>
    <row r="2673">
      <c r="A2673" s="62">
        <f>IF(H2673="","",IF(ISNUMBER(N2673),N2673,I2673))</f>
        <v/>
      </c>
      <c r="B2673">
        <f>IF(H2673="","",U2673)</f>
        <v/>
      </c>
      <c r="C2673">
        <f>IF(H2673="","",IF(P2673="",K2673,INDEX('Students'!$A$2:$A$701,P2673)))</f>
        <v/>
      </c>
      <c r="D2673">
        <f>IF(OR(H2673="",P2673=""),"",INDEX('Students'!$B$2:$B$701,P2673))</f>
        <v/>
      </c>
      <c r="E2673">
        <f>IF(OR(H2673="",P2673=""),"",INDEX('Students'!$C$2:$C$701,P2673))</f>
        <v/>
      </c>
      <c r="F2673" s="48">
        <f>IF(H2673="","",IF(ISNUMBER(O2673),O2673,J2673))</f>
        <v/>
      </c>
      <c r="G2673">
        <f>IF(H2673="","","OneCause")</f>
        <v/>
      </c>
      <c r="H2673">
        <f>IF(AND(I2673="",J2673="",K2673=""),"",IF(NOT(ISNUMBER(O2673)),"Bad amount",IF(O2673&lt;0,"Refund (not counted)",IF(O2673=0,"Zero amount",IF(NOT(ISNUMBER(N2673)),"Bad date",IF(P2673="","NAME NOT ON ROSTER",IF(L2673="","OK",IF(MATCH(L2673,$L$2:$L$3001,0)&lt;ROW()-1,"Duplicate (ignored)","OK"))))))))</f>
        <v/>
      </c>
      <c r="I2673">
        <f>IF(OC_Date=0,"",IF(INDEX('OneCause_Paste'!$A$2673:$AZ$2673,1,OC_Date)="","",INDEX('OneCause_Paste'!$A$2673:$AZ$2673,1,OC_Date)))</f>
        <v/>
      </c>
      <c r="J2673">
        <f>IF(OC_Amt=0,"",IF(INDEX('OneCause_Paste'!$A$2673:$AZ$2673,1,OC_Amt)="","",INDEX('OneCause_Paste'!$A$2673:$AZ$2673,1,OC_Amt)))</f>
        <v/>
      </c>
      <c r="K2673">
        <f>IF(OC_Name=0,"",IF(INDEX('OneCause_Paste'!$A$2673:$AZ$2673,1,OC_Name)="","",INDEX('OneCause_Paste'!$A$2673:$AZ$2673,1,OC_Name)))</f>
        <v/>
      </c>
      <c r="L2673">
        <f>IF(OC_Txn=0,"",IF(INDEX('OneCause_Paste'!$A$2673:$AZ$2673,1,OC_Txn)="","",INDEX('OneCause_Paste'!$A$2673:$AZ$2673,1,OC_Txn)))</f>
        <v/>
      </c>
      <c r="M2673">
        <f>IF(OC_Pay=0,"",IF(INDEX('OneCause_Paste'!$A$2673:$AZ$2673,1,OC_Pay)="","",INDEX('OneCause_Paste'!$A$2673:$AZ$2673,1,OC_Pay)))</f>
        <v/>
      </c>
      <c r="N2673">
        <f>IF(I2673="","",IF(ISNUMBER(I2673),INT(I2673),IFERROR(INT(DATEVALUE(I2673)),IFERROR(INT(VALUE(I2673)),"bad"))))</f>
        <v/>
      </c>
      <c r="O2673">
        <f>IF(J2673="","",IF(ISNUMBER(J2673),ROUND(J2673,2),IFERROR(ROUND(VALUE(SUBSTITUTE(SUBSTITUTE(SUBSTITUTE(J2673,"$",""),",","")," ","")),2),"bad")))</f>
        <v/>
      </c>
      <c r="P2673">
        <f>IF(TRIM(K2673)="","",IFERROR(MATCH(LOWER(TRIM(K2673)),'Students'!$AH$2:$AH$701,0),IFERROR(MATCH(LOWER(TRIM(K2673)),'Students'!$AF$2:$AF$701,0),IFERROR(MATCH(LOWER(TRIM(K2673)),'Students'!$AG$2:$AG$701,0),""))))</f>
        <v/>
      </c>
      <c r="R2673">
        <f>IF(P2673="","",INDEX('Students'!$AD$2:$AD$701,P2673))</f>
        <v/>
      </c>
      <c r="S2673">
        <f>IF(H2673="OK",O2673,0)</f>
        <v/>
      </c>
      <c r="T2673">
        <f>IF(H2673="OK",N2673,"")</f>
        <v/>
      </c>
      <c r="U2673">
        <f>IF(OC_Donor=0,"",IF(INDEX('OneCause_Paste'!$A$2673:$AZ$2673,1,OC_Donor)="","",INDEX('OneCause_Paste'!$A$2673:$AZ$2673,1,OC_Donor)))</f>
        <v/>
      </c>
    </row>
    <row r="2674">
      <c r="A2674" s="62">
        <f>IF(H2674="","",IF(ISNUMBER(N2674),N2674,I2674))</f>
        <v/>
      </c>
      <c r="B2674">
        <f>IF(H2674="","",U2674)</f>
        <v/>
      </c>
      <c r="C2674">
        <f>IF(H2674="","",IF(P2674="",K2674,INDEX('Students'!$A$2:$A$701,P2674)))</f>
        <v/>
      </c>
      <c r="D2674">
        <f>IF(OR(H2674="",P2674=""),"",INDEX('Students'!$B$2:$B$701,P2674))</f>
        <v/>
      </c>
      <c r="E2674">
        <f>IF(OR(H2674="",P2674=""),"",INDEX('Students'!$C$2:$C$701,P2674))</f>
        <v/>
      </c>
      <c r="F2674" s="48">
        <f>IF(H2674="","",IF(ISNUMBER(O2674),O2674,J2674))</f>
        <v/>
      </c>
      <c r="G2674">
        <f>IF(H2674="","","OneCause")</f>
        <v/>
      </c>
      <c r="H2674">
        <f>IF(AND(I2674="",J2674="",K2674=""),"",IF(NOT(ISNUMBER(O2674)),"Bad amount",IF(O2674&lt;0,"Refund (not counted)",IF(O2674=0,"Zero amount",IF(NOT(ISNUMBER(N2674)),"Bad date",IF(P2674="","NAME NOT ON ROSTER",IF(L2674="","OK",IF(MATCH(L2674,$L$2:$L$3001,0)&lt;ROW()-1,"Duplicate (ignored)","OK"))))))))</f>
        <v/>
      </c>
      <c r="I2674">
        <f>IF(OC_Date=0,"",IF(INDEX('OneCause_Paste'!$A$2674:$AZ$2674,1,OC_Date)="","",INDEX('OneCause_Paste'!$A$2674:$AZ$2674,1,OC_Date)))</f>
        <v/>
      </c>
      <c r="J2674">
        <f>IF(OC_Amt=0,"",IF(INDEX('OneCause_Paste'!$A$2674:$AZ$2674,1,OC_Amt)="","",INDEX('OneCause_Paste'!$A$2674:$AZ$2674,1,OC_Amt)))</f>
        <v/>
      </c>
      <c r="K2674">
        <f>IF(OC_Name=0,"",IF(INDEX('OneCause_Paste'!$A$2674:$AZ$2674,1,OC_Name)="","",INDEX('OneCause_Paste'!$A$2674:$AZ$2674,1,OC_Name)))</f>
        <v/>
      </c>
      <c r="L2674">
        <f>IF(OC_Txn=0,"",IF(INDEX('OneCause_Paste'!$A$2674:$AZ$2674,1,OC_Txn)="","",INDEX('OneCause_Paste'!$A$2674:$AZ$2674,1,OC_Txn)))</f>
        <v/>
      </c>
      <c r="M2674">
        <f>IF(OC_Pay=0,"",IF(INDEX('OneCause_Paste'!$A$2674:$AZ$2674,1,OC_Pay)="","",INDEX('OneCause_Paste'!$A$2674:$AZ$2674,1,OC_Pay)))</f>
        <v/>
      </c>
      <c r="N2674">
        <f>IF(I2674="","",IF(ISNUMBER(I2674),INT(I2674),IFERROR(INT(DATEVALUE(I2674)),IFERROR(INT(VALUE(I2674)),"bad"))))</f>
        <v/>
      </c>
      <c r="O2674">
        <f>IF(J2674="","",IF(ISNUMBER(J2674),ROUND(J2674,2),IFERROR(ROUND(VALUE(SUBSTITUTE(SUBSTITUTE(SUBSTITUTE(J2674,"$",""),",","")," ","")),2),"bad")))</f>
        <v/>
      </c>
      <c r="P2674">
        <f>IF(TRIM(K2674)="","",IFERROR(MATCH(LOWER(TRIM(K2674)),'Students'!$AH$2:$AH$701,0),IFERROR(MATCH(LOWER(TRIM(K2674)),'Students'!$AF$2:$AF$701,0),IFERROR(MATCH(LOWER(TRIM(K2674)),'Students'!$AG$2:$AG$701,0),""))))</f>
        <v/>
      </c>
      <c r="R2674">
        <f>IF(P2674="","",INDEX('Students'!$AD$2:$AD$701,P2674))</f>
        <v/>
      </c>
      <c r="S2674">
        <f>IF(H2674="OK",O2674,0)</f>
        <v/>
      </c>
      <c r="T2674">
        <f>IF(H2674="OK",N2674,"")</f>
        <v/>
      </c>
      <c r="U2674">
        <f>IF(OC_Donor=0,"",IF(INDEX('OneCause_Paste'!$A$2674:$AZ$2674,1,OC_Donor)="","",INDEX('OneCause_Paste'!$A$2674:$AZ$2674,1,OC_Donor)))</f>
        <v/>
      </c>
    </row>
    <row r="2675">
      <c r="A2675" s="62">
        <f>IF(H2675="","",IF(ISNUMBER(N2675),N2675,I2675))</f>
        <v/>
      </c>
      <c r="B2675">
        <f>IF(H2675="","",U2675)</f>
        <v/>
      </c>
      <c r="C2675">
        <f>IF(H2675="","",IF(P2675="",K2675,INDEX('Students'!$A$2:$A$701,P2675)))</f>
        <v/>
      </c>
      <c r="D2675">
        <f>IF(OR(H2675="",P2675=""),"",INDEX('Students'!$B$2:$B$701,P2675))</f>
        <v/>
      </c>
      <c r="E2675">
        <f>IF(OR(H2675="",P2675=""),"",INDEX('Students'!$C$2:$C$701,P2675))</f>
        <v/>
      </c>
      <c r="F2675" s="48">
        <f>IF(H2675="","",IF(ISNUMBER(O2675),O2675,J2675))</f>
        <v/>
      </c>
      <c r="G2675">
        <f>IF(H2675="","","OneCause")</f>
        <v/>
      </c>
      <c r="H2675">
        <f>IF(AND(I2675="",J2675="",K2675=""),"",IF(NOT(ISNUMBER(O2675)),"Bad amount",IF(O2675&lt;0,"Refund (not counted)",IF(O2675=0,"Zero amount",IF(NOT(ISNUMBER(N2675)),"Bad date",IF(P2675="","NAME NOT ON ROSTER",IF(L2675="","OK",IF(MATCH(L2675,$L$2:$L$3001,0)&lt;ROW()-1,"Duplicate (ignored)","OK"))))))))</f>
        <v/>
      </c>
      <c r="I2675">
        <f>IF(OC_Date=0,"",IF(INDEX('OneCause_Paste'!$A$2675:$AZ$2675,1,OC_Date)="","",INDEX('OneCause_Paste'!$A$2675:$AZ$2675,1,OC_Date)))</f>
        <v/>
      </c>
      <c r="J2675">
        <f>IF(OC_Amt=0,"",IF(INDEX('OneCause_Paste'!$A$2675:$AZ$2675,1,OC_Amt)="","",INDEX('OneCause_Paste'!$A$2675:$AZ$2675,1,OC_Amt)))</f>
        <v/>
      </c>
      <c r="K2675">
        <f>IF(OC_Name=0,"",IF(INDEX('OneCause_Paste'!$A$2675:$AZ$2675,1,OC_Name)="","",INDEX('OneCause_Paste'!$A$2675:$AZ$2675,1,OC_Name)))</f>
        <v/>
      </c>
      <c r="L2675">
        <f>IF(OC_Txn=0,"",IF(INDEX('OneCause_Paste'!$A$2675:$AZ$2675,1,OC_Txn)="","",INDEX('OneCause_Paste'!$A$2675:$AZ$2675,1,OC_Txn)))</f>
        <v/>
      </c>
      <c r="M2675">
        <f>IF(OC_Pay=0,"",IF(INDEX('OneCause_Paste'!$A$2675:$AZ$2675,1,OC_Pay)="","",INDEX('OneCause_Paste'!$A$2675:$AZ$2675,1,OC_Pay)))</f>
        <v/>
      </c>
      <c r="N2675">
        <f>IF(I2675="","",IF(ISNUMBER(I2675),INT(I2675),IFERROR(INT(DATEVALUE(I2675)),IFERROR(INT(VALUE(I2675)),"bad"))))</f>
        <v/>
      </c>
      <c r="O2675">
        <f>IF(J2675="","",IF(ISNUMBER(J2675),ROUND(J2675,2),IFERROR(ROUND(VALUE(SUBSTITUTE(SUBSTITUTE(SUBSTITUTE(J2675,"$",""),",","")," ","")),2),"bad")))</f>
        <v/>
      </c>
      <c r="P2675">
        <f>IF(TRIM(K2675)="","",IFERROR(MATCH(LOWER(TRIM(K2675)),'Students'!$AH$2:$AH$701,0),IFERROR(MATCH(LOWER(TRIM(K2675)),'Students'!$AF$2:$AF$701,0),IFERROR(MATCH(LOWER(TRIM(K2675)),'Students'!$AG$2:$AG$701,0),""))))</f>
        <v/>
      </c>
      <c r="R2675">
        <f>IF(P2675="","",INDEX('Students'!$AD$2:$AD$701,P2675))</f>
        <v/>
      </c>
      <c r="S2675">
        <f>IF(H2675="OK",O2675,0)</f>
        <v/>
      </c>
      <c r="T2675">
        <f>IF(H2675="OK",N2675,"")</f>
        <v/>
      </c>
      <c r="U2675">
        <f>IF(OC_Donor=0,"",IF(INDEX('OneCause_Paste'!$A$2675:$AZ$2675,1,OC_Donor)="","",INDEX('OneCause_Paste'!$A$2675:$AZ$2675,1,OC_Donor)))</f>
        <v/>
      </c>
    </row>
    <row r="2676">
      <c r="A2676" s="62">
        <f>IF(H2676="","",IF(ISNUMBER(N2676),N2676,I2676))</f>
        <v/>
      </c>
      <c r="B2676">
        <f>IF(H2676="","",U2676)</f>
        <v/>
      </c>
      <c r="C2676">
        <f>IF(H2676="","",IF(P2676="",K2676,INDEX('Students'!$A$2:$A$701,P2676)))</f>
        <v/>
      </c>
      <c r="D2676">
        <f>IF(OR(H2676="",P2676=""),"",INDEX('Students'!$B$2:$B$701,P2676))</f>
        <v/>
      </c>
      <c r="E2676">
        <f>IF(OR(H2676="",P2676=""),"",INDEX('Students'!$C$2:$C$701,P2676))</f>
        <v/>
      </c>
      <c r="F2676" s="48">
        <f>IF(H2676="","",IF(ISNUMBER(O2676),O2676,J2676))</f>
        <v/>
      </c>
      <c r="G2676">
        <f>IF(H2676="","","OneCause")</f>
        <v/>
      </c>
      <c r="H2676">
        <f>IF(AND(I2676="",J2676="",K2676=""),"",IF(NOT(ISNUMBER(O2676)),"Bad amount",IF(O2676&lt;0,"Refund (not counted)",IF(O2676=0,"Zero amount",IF(NOT(ISNUMBER(N2676)),"Bad date",IF(P2676="","NAME NOT ON ROSTER",IF(L2676="","OK",IF(MATCH(L2676,$L$2:$L$3001,0)&lt;ROW()-1,"Duplicate (ignored)","OK"))))))))</f>
        <v/>
      </c>
      <c r="I2676">
        <f>IF(OC_Date=0,"",IF(INDEX('OneCause_Paste'!$A$2676:$AZ$2676,1,OC_Date)="","",INDEX('OneCause_Paste'!$A$2676:$AZ$2676,1,OC_Date)))</f>
        <v/>
      </c>
      <c r="J2676">
        <f>IF(OC_Amt=0,"",IF(INDEX('OneCause_Paste'!$A$2676:$AZ$2676,1,OC_Amt)="","",INDEX('OneCause_Paste'!$A$2676:$AZ$2676,1,OC_Amt)))</f>
        <v/>
      </c>
      <c r="K2676">
        <f>IF(OC_Name=0,"",IF(INDEX('OneCause_Paste'!$A$2676:$AZ$2676,1,OC_Name)="","",INDEX('OneCause_Paste'!$A$2676:$AZ$2676,1,OC_Name)))</f>
        <v/>
      </c>
      <c r="L2676">
        <f>IF(OC_Txn=0,"",IF(INDEX('OneCause_Paste'!$A$2676:$AZ$2676,1,OC_Txn)="","",INDEX('OneCause_Paste'!$A$2676:$AZ$2676,1,OC_Txn)))</f>
        <v/>
      </c>
      <c r="M2676">
        <f>IF(OC_Pay=0,"",IF(INDEX('OneCause_Paste'!$A$2676:$AZ$2676,1,OC_Pay)="","",INDEX('OneCause_Paste'!$A$2676:$AZ$2676,1,OC_Pay)))</f>
        <v/>
      </c>
      <c r="N2676">
        <f>IF(I2676="","",IF(ISNUMBER(I2676),INT(I2676),IFERROR(INT(DATEVALUE(I2676)),IFERROR(INT(VALUE(I2676)),"bad"))))</f>
        <v/>
      </c>
      <c r="O2676">
        <f>IF(J2676="","",IF(ISNUMBER(J2676),ROUND(J2676,2),IFERROR(ROUND(VALUE(SUBSTITUTE(SUBSTITUTE(SUBSTITUTE(J2676,"$",""),",","")," ","")),2),"bad")))</f>
        <v/>
      </c>
      <c r="P2676">
        <f>IF(TRIM(K2676)="","",IFERROR(MATCH(LOWER(TRIM(K2676)),'Students'!$AH$2:$AH$701,0),IFERROR(MATCH(LOWER(TRIM(K2676)),'Students'!$AF$2:$AF$701,0),IFERROR(MATCH(LOWER(TRIM(K2676)),'Students'!$AG$2:$AG$701,0),""))))</f>
        <v/>
      </c>
      <c r="R2676">
        <f>IF(P2676="","",INDEX('Students'!$AD$2:$AD$701,P2676))</f>
        <v/>
      </c>
      <c r="S2676">
        <f>IF(H2676="OK",O2676,0)</f>
        <v/>
      </c>
      <c r="T2676">
        <f>IF(H2676="OK",N2676,"")</f>
        <v/>
      </c>
      <c r="U2676">
        <f>IF(OC_Donor=0,"",IF(INDEX('OneCause_Paste'!$A$2676:$AZ$2676,1,OC_Donor)="","",INDEX('OneCause_Paste'!$A$2676:$AZ$2676,1,OC_Donor)))</f>
        <v/>
      </c>
    </row>
    <row r="2677">
      <c r="A2677" s="62">
        <f>IF(H2677="","",IF(ISNUMBER(N2677),N2677,I2677))</f>
        <v/>
      </c>
      <c r="B2677">
        <f>IF(H2677="","",U2677)</f>
        <v/>
      </c>
      <c r="C2677">
        <f>IF(H2677="","",IF(P2677="",K2677,INDEX('Students'!$A$2:$A$701,P2677)))</f>
        <v/>
      </c>
      <c r="D2677">
        <f>IF(OR(H2677="",P2677=""),"",INDEX('Students'!$B$2:$B$701,P2677))</f>
        <v/>
      </c>
      <c r="E2677">
        <f>IF(OR(H2677="",P2677=""),"",INDEX('Students'!$C$2:$C$701,P2677))</f>
        <v/>
      </c>
      <c r="F2677" s="48">
        <f>IF(H2677="","",IF(ISNUMBER(O2677),O2677,J2677))</f>
        <v/>
      </c>
      <c r="G2677">
        <f>IF(H2677="","","OneCause")</f>
        <v/>
      </c>
      <c r="H2677">
        <f>IF(AND(I2677="",J2677="",K2677=""),"",IF(NOT(ISNUMBER(O2677)),"Bad amount",IF(O2677&lt;0,"Refund (not counted)",IF(O2677=0,"Zero amount",IF(NOT(ISNUMBER(N2677)),"Bad date",IF(P2677="","NAME NOT ON ROSTER",IF(L2677="","OK",IF(MATCH(L2677,$L$2:$L$3001,0)&lt;ROW()-1,"Duplicate (ignored)","OK"))))))))</f>
        <v/>
      </c>
      <c r="I2677">
        <f>IF(OC_Date=0,"",IF(INDEX('OneCause_Paste'!$A$2677:$AZ$2677,1,OC_Date)="","",INDEX('OneCause_Paste'!$A$2677:$AZ$2677,1,OC_Date)))</f>
        <v/>
      </c>
      <c r="J2677">
        <f>IF(OC_Amt=0,"",IF(INDEX('OneCause_Paste'!$A$2677:$AZ$2677,1,OC_Amt)="","",INDEX('OneCause_Paste'!$A$2677:$AZ$2677,1,OC_Amt)))</f>
        <v/>
      </c>
      <c r="K2677">
        <f>IF(OC_Name=0,"",IF(INDEX('OneCause_Paste'!$A$2677:$AZ$2677,1,OC_Name)="","",INDEX('OneCause_Paste'!$A$2677:$AZ$2677,1,OC_Name)))</f>
        <v/>
      </c>
      <c r="L2677">
        <f>IF(OC_Txn=0,"",IF(INDEX('OneCause_Paste'!$A$2677:$AZ$2677,1,OC_Txn)="","",INDEX('OneCause_Paste'!$A$2677:$AZ$2677,1,OC_Txn)))</f>
        <v/>
      </c>
      <c r="M2677">
        <f>IF(OC_Pay=0,"",IF(INDEX('OneCause_Paste'!$A$2677:$AZ$2677,1,OC_Pay)="","",INDEX('OneCause_Paste'!$A$2677:$AZ$2677,1,OC_Pay)))</f>
        <v/>
      </c>
      <c r="N2677">
        <f>IF(I2677="","",IF(ISNUMBER(I2677),INT(I2677),IFERROR(INT(DATEVALUE(I2677)),IFERROR(INT(VALUE(I2677)),"bad"))))</f>
        <v/>
      </c>
      <c r="O2677">
        <f>IF(J2677="","",IF(ISNUMBER(J2677),ROUND(J2677,2),IFERROR(ROUND(VALUE(SUBSTITUTE(SUBSTITUTE(SUBSTITUTE(J2677,"$",""),",","")," ","")),2),"bad")))</f>
        <v/>
      </c>
      <c r="P2677">
        <f>IF(TRIM(K2677)="","",IFERROR(MATCH(LOWER(TRIM(K2677)),'Students'!$AH$2:$AH$701,0),IFERROR(MATCH(LOWER(TRIM(K2677)),'Students'!$AF$2:$AF$701,0),IFERROR(MATCH(LOWER(TRIM(K2677)),'Students'!$AG$2:$AG$701,0),""))))</f>
        <v/>
      </c>
      <c r="R2677">
        <f>IF(P2677="","",INDEX('Students'!$AD$2:$AD$701,P2677))</f>
        <v/>
      </c>
      <c r="S2677">
        <f>IF(H2677="OK",O2677,0)</f>
        <v/>
      </c>
      <c r="T2677">
        <f>IF(H2677="OK",N2677,"")</f>
        <v/>
      </c>
      <c r="U2677">
        <f>IF(OC_Donor=0,"",IF(INDEX('OneCause_Paste'!$A$2677:$AZ$2677,1,OC_Donor)="","",INDEX('OneCause_Paste'!$A$2677:$AZ$2677,1,OC_Donor)))</f>
        <v/>
      </c>
    </row>
    <row r="2678">
      <c r="A2678" s="62">
        <f>IF(H2678="","",IF(ISNUMBER(N2678),N2678,I2678))</f>
        <v/>
      </c>
      <c r="B2678">
        <f>IF(H2678="","",U2678)</f>
        <v/>
      </c>
      <c r="C2678">
        <f>IF(H2678="","",IF(P2678="",K2678,INDEX('Students'!$A$2:$A$701,P2678)))</f>
        <v/>
      </c>
      <c r="D2678">
        <f>IF(OR(H2678="",P2678=""),"",INDEX('Students'!$B$2:$B$701,P2678))</f>
        <v/>
      </c>
      <c r="E2678">
        <f>IF(OR(H2678="",P2678=""),"",INDEX('Students'!$C$2:$C$701,P2678))</f>
        <v/>
      </c>
      <c r="F2678" s="48">
        <f>IF(H2678="","",IF(ISNUMBER(O2678),O2678,J2678))</f>
        <v/>
      </c>
      <c r="G2678">
        <f>IF(H2678="","","OneCause")</f>
        <v/>
      </c>
      <c r="H2678">
        <f>IF(AND(I2678="",J2678="",K2678=""),"",IF(NOT(ISNUMBER(O2678)),"Bad amount",IF(O2678&lt;0,"Refund (not counted)",IF(O2678=0,"Zero amount",IF(NOT(ISNUMBER(N2678)),"Bad date",IF(P2678="","NAME NOT ON ROSTER",IF(L2678="","OK",IF(MATCH(L2678,$L$2:$L$3001,0)&lt;ROW()-1,"Duplicate (ignored)","OK"))))))))</f>
        <v/>
      </c>
      <c r="I2678">
        <f>IF(OC_Date=0,"",IF(INDEX('OneCause_Paste'!$A$2678:$AZ$2678,1,OC_Date)="","",INDEX('OneCause_Paste'!$A$2678:$AZ$2678,1,OC_Date)))</f>
        <v/>
      </c>
      <c r="J2678">
        <f>IF(OC_Amt=0,"",IF(INDEX('OneCause_Paste'!$A$2678:$AZ$2678,1,OC_Amt)="","",INDEX('OneCause_Paste'!$A$2678:$AZ$2678,1,OC_Amt)))</f>
        <v/>
      </c>
      <c r="K2678">
        <f>IF(OC_Name=0,"",IF(INDEX('OneCause_Paste'!$A$2678:$AZ$2678,1,OC_Name)="","",INDEX('OneCause_Paste'!$A$2678:$AZ$2678,1,OC_Name)))</f>
        <v/>
      </c>
      <c r="L2678">
        <f>IF(OC_Txn=0,"",IF(INDEX('OneCause_Paste'!$A$2678:$AZ$2678,1,OC_Txn)="","",INDEX('OneCause_Paste'!$A$2678:$AZ$2678,1,OC_Txn)))</f>
        <v/>
      </c>
      <c r="M2678">
        <f>IF(OC_Pay=0,"",IF(INDEX('OneCause_Paste'!$A$2678:$AZ$2678,1,OC_Pay)="","",INDEX('OneCause_Paste'!$A$2678:$AZ$2678,1,OC_Pay)))</f>
        <v/>
      </c>
      <c r="N2678">
        <f>IF(I2678="","",IF(ISNUMBER(I2678),INT(I2678),IFERROR(INT(DATEVALUE(I2678)),IFERROR(INT(VALUE(I2678)),"bad"))))</f>
        <v/>
      </c>
      <c r="O2678">
        <f>IF(J2678="","",IF(ISNUMBER(J2678),ROUND(J2678,2),IFERROR(ROUND(VALUE(SUBSTITUTE(SUBSTITUTE(SUBSTITUTE(J2678,"$",""),",","")," ","")),2),"bad")))</f>
        <v/>
      </c>
      <c r="P2678">
        <f>IF(TRIM(K2678)="","",IFERROR(MATCH(LOWER(TRIM(K2678)),'Students'!$AH$2:$AH$701,0),IFERROR(MATCH(LOWER(TRIM(K2678)),'Students'!$AF$2:$AF$701,0),IFERROR(MATCH(LOWER(TRIM(K2678)),'Students'!$AG$2:$AG$701,0),""))))</f>
        <v/>
      </c>
      <c r="R2678">
        <f>IF(P2678="","",INDEX('Students'!$AD$2:$AD$701,P2678))</f>
        <v/>
      </c>
      <c r="S2678">
        <f>IF(H2678="OK",O2678,0)</f>
        <v/>
      </c>
      <c r="T2678">
        <f>IF(H2678="OK",N2678,"")</f>
        <v/>
      </c>
      <c r="U2678">
        <f>IF(OC_Donor=0,"",IF(INDEX('OneCause_Paste'!$A$2678:$AZ$2678,1,OC_Donor)="","",INDEX('OneCause_Paste'!$A$2678:$AZ$2678,1,OC_Donor)))</f>
        <v/>
      </c>
    </row>
    <row r="2679">
      <c r="A2679" s="62">
        <f>IF(H2679="","",IF(ISNUMBER(N2679),N2679,I2679))</f>
        <v/>
      </c>
      <c r="B2679">
        <f>IF(H2679="","",U2679)</f>
        <v/>
      </c>
      <c r="C2679">
        <f>IF(H2679="","",IF(P2679="",K2679,INDEX('Students'!$A$2:$A$701,P2679)))</f>
        <v/>
      </c>
      <c r="D2679">
        <f>IF(OR(H2679="",P2679=""),"",INDEX('Students'!$B$2:$B$701,P2679))</f>
        <v/>
      </c>
      <c r="E2679">
        <f>IF(OR(H2679="",P2679=""),"",INDEX('Students'!$C$2:$C$701,P2679))</f>
        <v/>
      </c>
      <c r="F2679" s="48">
        <f>IF(H2679="","",IF(ISNUMBER(O2679),O2679,J2679))</f>
        <v/>
      </c>
      <c r="G2679">
        <f>IF(H2679="","","OneCause")</f>
        <v/>
      </c>
      <c r="H2679">
        <f>IF(AND(I2679="",J2679="",K2679=""),"",IF(NOT(ISNUMBER(O2679)),"Bad amount",IF(O2679&lt;0,"Refund (not counted)",IF(O2679=0,"Zero amount",IF(NOT(ISNUMBER(N2679)),"Bad date",IF(P2679="","NAME NOT ON ROSTER",IF(L2679="","OK",IF(MATCH(L2679,$L$2:$L$3001,0)&lt;ROW()-1,"Duplicate (ignored)","OK"))))))))</f>
        <v/>
      </c>
      <c r="I2679">
        <f>IF(OC_Date=0,"",IF(INDEX('OneCause_Paste'!$A$2679:$AZ$2679,1,OC_Date)="","",INDEX('OneCause_Paste'!$A$2679:$AZ$2679,1,OC_Date)))</f>
        <v/>
      </c>
      <c r="J2679">
        <f>IF(OC_Amt=0,"",IF(INDEX('OneCause_Paste'!$A$2679:$AZ$2679,1,OC_Amt)="","",INDEX('OneCause_Paste'!$A$2679:$AZ$2679,1,OC_Amt)))</f>
        <v/>
      </c>
      <c r="K2679">
        <f>IF(OC_Name=0,"",IF(INDEX('OneCause_Paste'!$A$2679:$AZ$2679,1,OC_Name)="","",INDEX('OneCause_Paste'!$A$2679:$AZ$2679,1,OC_Name)))</f>
        <v/>
      </c>
      <c r="L2679">
        <f>IF(OC_Txn=0,"",IF(INDEX('OneCause_Paste'!$A$2679:$AZ$2679,1,OC_Txn)="","",INDEX('OneCause_Paste'!$A$2679:$AZ$2679,1,OC_Txn)))</f>
        <v/>
      </c>
      <c r="M2679">
        <f>IF(OC_Pay=0,"",IF(INDEX('OneCause_Paste'!$A$2679:$AZ$2679,1,OC_Pay)="","",INDEX('OneCause_Paste'!$A$2679:$AZ$2679,1,OC_Pay)))</f>
        <v/>
      </c>
      <c r="N2679">
        <f>IF(I2679="","",IF(ISNUMBER(I2679),INT(I2679),IFERROR(INT(DATEVALUE(I2679)),IFERROR(INT(VALUE(I2679)),"bad"))))</f>
        <v/>
      </c>
      <c r="O2679">
        <f>IF(J2679="","",IF(ISNUMBER(J2679),ROUND(J2679,2),IFERROR(ROUND(VALUE(SUBSTITUTE(SUBSTITUTE(SUBSTITUTE(J2679,"$",""),",","")," ","")),2),"bad")))</f>
        <v/>
      </c>
      <c r="P2679">
        <f>IF(TRIM(K2679)="","",IFERROR(MATCH(LOWER(TRIM(K2679)),'Students'!$AH$2:$AH$701,0),IFERROR(MATCH(LOWER(TRIM(K2679)),'Students'!$AF$2:$AF$701,0),IFERROR(MATCH(LOWER(TRIM(K2679)),'Students'!$AG$2:$AG$701,0),""))))</f>
        <v/>
      </c>
      <c r="R2679">
        <f>IF(P2679="","",INDEX('Students'!$AD$2:$AD$701,P2679))</f>
        <v/>
      </c>
      <c r="S2679">
        <f>IF(H2679="OK",O2679,0)</f>
        <v/>
      </c>
      <c r="T2679">
        <f>IF(H2679="OK",N2679,"")</f>
        <v/>
      </c>
      <c r="U2679">
        <f>IF(OC_Donor=0,"",IF(INDEX('OneCause_Paste'!$A$2679:$AZ$2679,1,OC_Donor)="","",INDEX('OneCause_Paste'!$A$2679:$AZ$2679,1,OC_Donor)))</f>
        <v/>
      </c>
    </row>
    <row r="2680">
      <c r="A2680" s="62">
        <f>IF(H2680="","",IF(ISNUMBER(N2680),N2680,I2680))</f>
        <v/>
      </c>
      <c r="B2680">
        <f>IF(H2680="","",U2680)</f>
        <v/>
      </c>
      <c r="C2680">
        <f>IF(H2680="","",IF(P2680="",K2680,INDEX('Students'!$A$2:$A$701,P2680)))</f>
        <v/>
      </c>
      <c r="D2680">
        <f>IF(OR(H2680="",P2680=""),"",INDEX('Students'!$B$2:$B$701,P2680))</f>
        <v/>
      </c>
      <c r="E2680">
        <f>IF(OR(H2680="",P2680=""),"",INDEX('Students'!$C$2:$C$701,P2680))</f>
        <v/>
      </c>
      <c r="F2680" s="48">
        <f>IF(H2680="","",IF(ISNUMBER(O2680),O2680,J2680))</f>
        <v/>
      </c>
      <c r="G2680">
        <f>IF(H2680="","","OneCause")</f>
        <v/>
      </c>
      <c r="H2680">
        <f>IF(AND(I2680="",J2680="",K2680=""),"",IF(NOT(ISNUMBER(O2680)),"Bad amount",IF(O2680&lt;0,"Refund (not counted)",IF(O2680=0,"Zero amount",IF(NOT(ISNUMBER(N2680)),"Bad date",IF(P2680="","NAME NOT ON ROSTER",IF(L2680="","OK",IF(MATCH(L2680,$L$2:$L$3001,0)&lt;ROW()-1,"Duplicate (ignored)","OK"))))))))</f>
        <v/>
      </c>
      <c r="I2680">
        <f>IF(OC_Date=0,"",IF(INDEX('OneCause_Paste'!$A$2680:$AZ$2680,1,OC_Date)="","",INDEX('OneCause_Paste'!$A$2680:$AZ$2680,1,OC_Date)))</f>
        <v/>
      </c>
      <c r="J2680">
        <f>IF(OC_Amt=0,"",IF(INDEX('OneCause_Paste'!$A$2680:$AZ$2680,1,OC_Amt)="","",INDEX('OneCause_Paste'!$A$2680:$AZ$2680,1,OC_Amt)))</f>
        <v/>
      </c>
      <c r="K2680">
        <f>IF(OC_Name=0,"",IF(INDEX('OneCause_Paste'!$A$2680:$AZ$2680,1,OC_Name)="","",INDEX('OneCause_Paste'!$A$2680:$AZ$2680,1,OC_Name)))</f>
        <v/>
      </c>
      <c r="L2680">
        <f>IF(OC_Txn=0,"",IF(INDEX('OneCause_Paste'!$A$2680:$AZ$2680,1,OC_Txn)="","",INDEX('OneCause_Paste'!$A$2680:$AZ$2680,1,OC_Txn)))</f>
        <v/>
      </c>
      <c r="M2680">
        <f>IF(OC_Pay=0,"",IF(INDEX('OneCause_Paste'!$A$2680:$AZ$2680,1,OC_Pay)="","",INDEX('OneCause_Paste'!$A$2680:$AZ$2680,1,OC_Pay)))</f>
        <v/>
      </c>
      <c r="N2680">
        <f>IF(I2680="","",IF(ISNUMBER(I2680),INT(I2680),IFERROR(INT(DATEVALUE(I2680)),IFERROR(INT(VALUE(I2680)),"bad"))))</f>
        <v/>
      </c>
      <c r="O2680">
        <f>IF(J2680="","",IF(ISNUMBER(J2680),ROUND(J2680,2),IFERROR(ROUND(VALUE(SUBSTITUTE(SUBSTITUTE(SUBSTITUTE(J2680,"$",""),",","")," ","")),2),"bad")))</f>
        <v/>
      </c>
      <c r="P2680">
        <f>IF(TRIM(K2680)="","",IFERROR(MATCH(LOWER(TRIM(K2680)),'Students'!$AH$2:$AH$701,0),IFERROR(MATCH(LOWER(TRIM(K2680)),'Students'!$AF$2:$AF$701,0),IFERROR(MATCH(LOWER(TRIM(K2680)),'Students'!$AG$2:$AG$701,0),""))))</f>
        <v/>
      </c>
      <c r="R2680">
        <f>IF(P2680="","",INDEX('Students'!$AD$2:$AD$701,P2680))</f>
        <v/>
      </c>
      <c r="S2680">
        <f>IF(H2680="OK",O2680,0)</f>
        <v/>
      </c>
      <c r="T2680">
        <f>IF(H2680="OK",N2680,"")</f>
        <v/>
      </c>
      <c r="U2680">
        <f>IF(OC_Donor=0,"",IF(INDEX('OneCause_Paste'!$A$2680:$AZ$2680,1,OC_Donor)="","",INDEX('OneCause_Paste'!$A$2680:$AZ$2680,1,OC_Donor)))</f>
        <v/>
      </c>
    </row>
    <row r="2681">
      <c r="A2681" s="62">
        <f>IF(H2681="","",IF(ISNUMBER(N2681),N2681,I2681))</f>
        <v/>
      </c>
      <c r="B2681">
        <f>IF(H2681="","",U2681)</f>
        <v/>
      </c>
      <c r="C2681">
        <f>IF(H2681="","",IF(P2681="",K2681,INDEX('Students'!$A$2:$A$701,P2681)))</f>
        <v/>
      </c>
      <c r="D2681">
        <f>IF(OR(H2681="",P2681=""),"",INDEX('Students'!$B$2:$B$701,P2681))</f>
        <v/>
      </c>
      <c r="E2681">
        <f>IF(OR(H2681="",P2681=""),"",INDEX('Students'!$C$2:$C$701,P2681))</f>
        <v/>
      </c>
      <c r="F2681" s="48">
        <f>IF(H2681="","",IF(ISNUMBER(O2681),O2681,J2681))</f>
        <v/>
      </c>
      <c r="G2681">
        <f>IF(H2681="","","OneCause")</f>
        <v/>
      </c>
      <c r="H2681">
        <f>IF(AND(I2681="",J2681="",K2681=""),"",IF(NOT(ISNUMBER(O2681)),"Bad amount",IF(O2681&lt;0,"Refund (not counted)",IF(O2681=0,"Zero amount",IF(NOT(ISNUMBER(N2681)),"Bad date",IF(P2681="","NAME NOT ON ROSTER",IF(L2681="","OK",IF(MATCH(L2681,$L$2:$L$3001,0)&lt;ROW()-1,"Duplicate (ignored)","OK"))))))))</f>
        <v/>
      </c>
      <c r="I2681">
        <f>IF(OC_Date=0,"",IF(INDEX('OneCause_Paste'!$A$2681:$AZ$2681,1,OC_Date)="","",INDEX('OneCause_Paste'!$A$2681:$AZ$2681,1,OC_Date)))</f>
        <v/>
      </c>
      <c r="J2681">
        <f>IF(OC_Amt=0,"",IF(INDEX('OneCause_Paste'!$A$2681:$AZ$2681,1,OC_Amt)="","",INDEX('OneCause_Paste'!$A$2681:$AZ$2681,1,OC_Amt)))</f>
        <v/>
      </c>
      <c r="K2681">
        <f>IF(OC_Name=0,"",IF(INDEX('OneCause_Paste'!$A$2681:$AZ$2681,1,OC_Name)="","",INDEX('OneCause_Paste'!$A$2681:$AZ$2681,1,OC_Name)))</f>
        <v/>
      </c>
      <c r="L2681">
        <f>IF(OC_Txn=0,"",IF(INDEX('OneCause_Paste'!$A$2681:$AZ$2681,1,OC_Txn)="","",INDEX('OneCause_Paste'!$A$2681:$AZ$2681,1,OC_Txn)))</f>
        <v/>
      </c>
      <c r="M2681">
        <f>IF(OC_Pay=0,"",IF(INDEX('OneCause_Paste'!$A$2681:$AZ$2681,1,OC_Pay)="","",INDEX('OneCause_Paste'!$A$2681:$AZ$2681,1,OC_Pay)))</f>
        <v/>
      </c>
      <c r="N2681">
        <f>IF(I2681="","",IF(ISNUMBER(I2681),INT(I2681),IFERROR(INT(DATEVALUE(I2681)),IFERROR(INT(VALUE(I2681)),"bad"))))</f>
        <v/>
      </c>
      <c r="O2681">
        <f>IF(J2681="","",IF(ISNUMBER(J2681),ROUND(J2681,2),IFERROR(ROUND(VALUE(SUBSTITUTE(SUBSTITUTE(SUBSTITUTE(J2681,"$",""),",","")," ","")),2),"bad")))</f>
        <v/>
      </c>
      <c r="P2681">
        <f>IF(TRIM(K2681)="","",IFERROR(MATCH(LOWER(TRIM(K2681)),'Students'!$AH$2:$AH$701,0),IFERROR(MATCH(LOWER(TRIM(K2681)),'Students'!$AF$2:$AF$701,0),IFERROR(MATCH(LOWER(TRIM(K2681)),'Students'!$AG$2:$AG$701,0),""))))</f>
        <v/>
      </c>
      <c r="R2681">
        <f>IF(P2681="","",INDEX('Students'!$AD$2:$AD$701,P2681))</f>
        <v/>
      </c>
      <c r="S2681">
        <f>IF(H2681="OK",O2681,0)</f>
        <v/>
      </c>
      <c r="T2681">
        <f>IF(H2681="OK",N2681,"")</f>
        <v/>
      </c>
      <c r="U2681">
        <f>IF(OC_Donor=0,"",IF(INDEX('OneCause_Paste'!$A$2681:$AZ$2681,1,OC_Donor)="","",INDEX('OneCause_Paste'!$A$2681:$AZ$2681,1,OC_Donor)))</f>
        <v/>
      </c>
    </row>
    <row r="2682">
      <c r="A2682" s="62">
        <f>IF(H2682="","",IF(ISNUMBER(N2682),N2682,I2682))</f>
        <v/>
      </c>
      <c r="B2682">
        <f>IF(H2682="","",U2682)</f>
        <v/>
      </c>
      <c r="C2682">
        <f>IF(H2682="","",IF(P2682="",K2682,INDEX('Students'!$A$2:$A$701,P2682)))</f>
        <v/>
      </c>
      <c r="D2682">
        <f>IF(OR(H2682="",P2682=""),"",INDEX('Students'!$B$2:$B$701,P2682))</f>
        <v/>
      </c>
      <c r="E2682">
        <f>IF(OR(H2682="",P2682=""),"",INDEX('Students'!$C$2:$C$701,P2682))</f>
        <v/>
      </c>
      <c r="F2682" s="48">
        <f>IF(H2682="","",IF(ISNUMBER(O2682),O2682,J2682))</f>
        <v/>
      </c>
      <c r="G2682">
        <f>IF(H2682="","","OneCause")</f>
        <v/>
      </c>
      <c r="H2682">
        <f>IF(AND(I2682="",J2682="",K2682=""),"",IF(NOT(ISNUMBER(O2682)),"Bad amount",IF(O2682&lt;0,"Refund (not counted)",IF(O2682=0,"Zero amount",IF(NOT(ISNUMBER(N2682)),"Bad date",IF(P2682="","NAME NOT ON ROSTER",IF(L2682="","OK",IF(MATCH(L2682,$L$2:$L$3001,0)&lt;ROW()-1,"Duplicate (ignored)","OK"))))))))</f>
        <v/>
      </c>
      <c r="I2682">
        <f>IF(OC_Date=0,"",IF(INDEX('OneCause_Paste'!$A$2682:$AZ$2682,1,OC_Date)="","",INDEX('OneCause_Paste'!$A$2682:$AZ$2682,1,OC_Date)))</f>
        <v/>
      </c>
      <c r="J2682">
        <f>IF(OC_Amt=0,"",IF(INDEX('OneCause_Paste'!$A$2682:$AZ$2682,1,OC_Amt)="","",INDEX('OneCause_Paste'!$A$2682:$AZ$2682,1,OC_Amt)))</f>
        <v/>
      </c>
      <c r="K2682">
        <f>IF(OC_Name=0,"",IF(INDEX('OneCause_Paste'!$A$2682:$AZ$2682,1,OC_Name)="","",INDEX('OneCause_Paste'!$A$2682:$AZ$2682,1,OC_Name)))</f>
        <v/>
      </c>
      <c r="L2682">
        <f>IF(OC_Txn=0,"",IF(INDEX('OneCause_Paste'!$A$2682:$AZ$2682,1,OC_Txn)="","",INDEX('OneCause_Paste'!$A$2682:$AZ$2682,1,OC_Txn)))</f>
        <v/>
      </c>
      <c r="M2682">
        <f>IF(OC_Pay=0,"",IF(INDEX('OneCause_Paste'!$A$2682:$AZ$2682,1,OC_Pay)="","",INDEX('OneCause_Paste'!$A$2682:$AZ$2682,1,OC_Pay)))</f>
        <v/>
      </c>
      <c r="N2682">
        <f>IF(I2682="","",IF(ISNUMBER(I2682),INT(I2682),IFERROR(INT(DATEVALUE(I2682)),IFERROR(INT(VALUE(I2682)),"bad"))))</f>
        <v/>
      </c>
      <c r="O2682">
        <f>IF(J2682="","",IF(ISNUMBER(J2682),ROUND(J2682,2),IFERROR(ROUND(VALUE(SUBSTITUTE(SUBSTITUTE(SUBSTITUTE(J2682,"$",""),",","")," ","")),2),"bad")))</f>
        <v/>
      </c>
      <c r="P2682">
        <f>IF(TRIM(K2682)="","",IFERROR(MATCH(LOWER(TRIM(K2682)),'Students'!$AH$2:$AH$701,0),IFERROR(MATCH(LOWER(TRIM(K2682)),'Students'!$AF$2:$AF$701,0),IFERROR(MATCH(LOWER(TRIM(K2682)),'Students'!$AG$2:$AG$701,0),""))))</f>
        <v/>
      </c>
      <c r="R2682">
        <f>IF(P2682="","",INDEX('Students'!$AD$2:$AD$701,P2682))</f>
        <v/>
      </c>
      <c r="S2682">
        <f>IF(H2682="OK",O2682,0)</f>
        <v/>
      </c>
      <c r="T2682">
        <f>IF(H2682="OK",N2682,"")</f>
        <v/>
      </c>
      <c r="U2682">
        <f>IF(OC_Donor=0,"",IF(INDEX('OneCause_Paste'!$A$2682:$AZ$2682,1,OC_Donor)="","",INDEX('OneCause_Paste'!$A$2682:$AZ$2682,1,OC_Donor)))</f>
        <v/>
      </c>
    </row>
    <row r="2683">
      <c r="A2683" s="62">
        <f>IF(H2683="","",IF(ISNUMBER(N2683),N2683,I2683))</f>
        <v/>
      </c>
      <c r="B2683">
        <f>IF(H2683="","",U2683)</f>
        <v/>
      </c>
      <c r="C2683">
        <f>IF(H2683="","",IF(P2683="",K2683,INDEX('Students'!$A$2:$A$701,P2683)))</f>
        <v/>
      </c>
      <c r="D2683">
        <f>IF(OR(H2683="",P2683=""),"",INDEX('Students'!$B$2:$B$701,P2683))</f>
        <v/>
      </c>
      <c r="E2683">
        <f>IF(OR(H2683="",P2683=""),"",INDEX('Students'!$C$2:$C$701,P2683))</f>
        <v/>
      </c>
      <c r="F2683" s="48">
        <f>IF(H2683="","",IF(ISNUMBER(O2683),O2683,J2683))</f>
        <v/>
      </c>
      <c r="G2683">
        <f>IF(H2683="","","OneCause")</f>
        <v/>
      </c>
      <c r="H2683">
        <f>IF(AND(I2683="",J2683="",K2683=""),"",IF(NOT(ISNUMBER(O2683)),"Bad amount",IF(O2683&lt;0,"Refund (not counted)",IF(O2683=0,"Zero amount",IF(NOT(ISNUMBER(N2683)),"Bad date",IF(P2683="","NAME NOT ON ROSTER",IF(L2683="","OK",IF(MATCH(L2683,$L$2:$L$3001,0)&lt;ROW()-1,"Duplicate (ignored)","OK"))))))))</f>
        <v/>
      </c>
      <c r="I2683">
        <f>IF(OC_Date=0,"",IF(INDEX('OneCause_Paste'!$A$2683:$AZ$2683,1,OC_Date)="","",INDEX('OneCause_Paste'!$A$2683:$AZ$2683,1,OC_Date)))</f>
        <v/>
      </c>
      <c r="J2683">
        <f>IF(OC_Amt=0,"",IF(INDEX('OneCause_Paste'!$A$2683:$AZ$2683,1,OC_Amt)="","",INDEX('OneCause_Paste'!$A$2683:$AZ$2683,1,OC_Amt)))</f>
        <v/>
      </c>
      <c r="K2683">
        <f>IF(OC_Name=0,"",IF(INDEX('OneCause_Paste'!$A$2683:$AZ$2683,1,OC_Name)="","",INDEX('OneCause_Paste'!$A$2683:$AZ$2683,1,OC_Name)))</f>
        <v/>
      </c>
      <c r="L2683">
        <f>IF(OC_Txn=0,"",IF(INDEX('OneCause_Paste'!$A$2683:$AZ$2683,1,OC_Txn)="","",INDEX('OneCause_Paste'!$A$2683:$AZ$2683,1,OC_Txn)))</f>
        <v/>
      </c>
      <c r="M2683">
        <f>IF(OC_Pay=0,"",IF(INDEX('OneCause_Paste'!$A$2683:$AZ$2683,1,OC_Pay)="","",INDEX('OneCause_Paste'!$A$2683:$AZ$2683,1,OC_Pay)))</f>
        <v/>
      </c>
      <c r="N2683">
        <f>IF(I2683="","",IF(ISNUMBER(I2683),INT(I2683),IFERROR(INT(DATEVALUE(I2683)),IFERROR(INT(VALUE(I2683)),"bad"))))</f>
        <v/>
      </c>
      <c r="O2683">
        <f>IF(J2683="","",IF(ISNUMBER(J2683),ROUND(J2683,2),IFERROR(ROUND(VALUE(SUBSTITUTE(SUBSTITUTE(SUBSTITUTE(J2683,"$",""),",","")," ","")),2),"bad")))</f>
        <v/>
      </c>
      <c r="P2683">
        <f>IF(TRIM(K2683)="","",IFERROR(MATCH(LOWER(TRIM(K2683)),'Students'!$AH$2:$AH$701,0),IFERROR(MATCH(LOWER(TRIM(K2683)),'Students'!$AF$2:$AF$701,0),IFERROR(MATCH(LOWER(TRIM(K2683)),'Students'!$AG$2:$AG$701,0),""))))</f>
        <v/>
      </c>
      <c r="R2683">
        <f>IF(P2683="","",INDEX('Students'!$AD$2:$AD$701,P2683))</f>
        <v/>
      </c>
      <c r="S2683">
        <f>IF(H2683="OK",O2683,0)</f>
        <v/>
      </c>
      <c r="T2683">
        <f>IF(H2683="OK",N2683,"")</f>
        <v/>
      </c>
      <c r="U2683">
        <f>IF(OC_Donor=0,"",IF(INDEX('OneCause_Paste'!$A$2683:$AZ$2683,1,OC_Donor)="","",INDEX('OneCause_Paste'!$A$2683:$AZ$2683,1,OC_Donor)))</f>
        <v/>
      </c>
    </row>
    <row r="2684">
      <c r="A2684" s="62">
        <f>IF(H2684="","",IF(ISNUMBER(N2684),N2684,I2684))</f>
        <v/>
      </c>
      <c r="B2684">
        <f>IF(H2684="","",U2684)</f>
        <v/>
      </c>
      <c r="C2684">
        <f>IF(H2684="","",IF(P2684="",K2684,INDEX('Students'!$A$2:$A$701,P2684)))</f>
        <v/>
      </c>
      <c r="D2684">
        <f>IF(OR(H2684="",P2684=""),"",INDEX('Students'!$B$2:$B$701,P2684))</f>
        <v/>
      </c>
      <c r="E2684">
        <f>IF(OR(H2684="",P2684=""),"",INDEX('Students'!$C$2:$C$701,P2684))</f>
        <v/>
      </c>
      <c r="F2684" s="48">
        <f>IF(H2684="","",IF(ISNUMBER(O2684),O2684,J2684))</f>
        <v/>
      </c>
      <c r="G2684">
        <f>IF(H2684="","","OneCause")</f>
        <v/>
      </c>
      <c r="H2684">
        <f>IF(AND(I2684="",J2684="",K2684=""),"",IF(NOT(ISNUMBER(O2684)),"Bad amount",IF(O2684&lt;0,"Refund (not counted)",IF(O2684=0,"Zero amount",IF(NOT(ISNUMBER(N2684)),"Bad date",IF(P2684="","NAME NOT ON ROSTER",IF(L2684="","OK",IF(MATCH(L2684,$L$2:$L$3001,0)&lt;ROW()-1,"Duplicate (ignored)","OK"))))))))</f>
        <v/>
      </c>
      <c r="I2684">
        <f>IF(OC_Date=0,"",IF(INDEX('OneCause_Paste'!$A$2684:$AZ$2684,1,OC_Date)="","",INDEX('OneCause_Paste'!$A$2684:$AZ$2684,1,OC_Date)))</f>
        <v/>
      </c>
      <c r="J2684">
        <f>IF(OC_Amt=0,"",IF(INDEX('OneCause_Paste'!$A$2684:$AZ$2684,1,OC_Amt)="","",INDEX('OneCause_Paste'!$A$2684:$AZ$2684,1,OC_Amt)))</f>
        <v/>
      </c>
      <c r="K2684">
        <f>IF(OC_Name=0,"",IF(INDEX('OneCause_Paste'!$A$2684:$AZ$2684,1,OC_Name)="","",INDEX('OneCause_Paste'!$A$2684:$AZ$2684,1,OC_Name)))</f>
        <v/>
      </c>
      <c r="L2684">
        <f>IF(OC_Txn=0,"",IF(INDEX('OneCause_Paste'!$A$2684:$AZ$2684,1,OC_Txn)="","",INDEX('OneCause_Paste'!$A$2684:$AZ$2684,1,OC_Txn)))</f>
        <v/>
      </c>
      <c r="M2684">
        <f>IF(OC_Pay=0,"",IF(INDEX('OneCause_Paste'!$A$2684:$AZ$2684,1,OC_Pay)="","",INDEX('OneCause_Paste'!$A$2684:$AZ$2684,1,OC_Pay)))</f>
        <v/>
      </c>
      <c r="N2684">
        <f>IF(I2684="","",IF(ISNUMBER(I2684),INT(I2684),IFERROR(INT(DATEVALUE(I2684)),IFERROR(INT(VALUE(I2684)),"bad"))))</f>
        <v/>
      </c>
      <c r="O2684">
        <f>IF(J2684="","",IF(ISNUMBER(J2684),ROUND(J2684,2),IFERROR(ROUND(VALUE(SUBSTITUTE(SUBSTITUTE(SUBSTITUTE(J2684,"$",""),",","")," ","")),2),"bad")))</f>
        <v/>
      </c>
      <c r="P2684">
        <f>IF(TRIM(K2684)="","",IFERROR(MATCH(LOWER(TRIM(K2684)),'Students'!$AH$2:$AH$701,0),IFERROR(MATCH(LOWER(TRIM(K2684)),'Students'!$AF$2:$AF$701,0),IFERROR(MATCH(LOWER(TRIM(K2684)),'Students'!$AG$2:$AG$701,0),""))))</f>
        <v/>
      </c>
      <c r="R2684">
        <f>IF(P2684="","",INDEX('Students'!$AD$2:$AD$701,P2684))</f>
        <v/>
      </c>
      <c r="S2684">
        <f>IF(H2684="OK",O2684,0)</f>
        <v/>
      </c>
      <c r="T2684">
        <f>IF(H2684="OK",N2684,"")</f>
        <v/>
      </c>
      <c r="U2684">
        <f>IF(OC_Donor=0,"",IF(INDEX('OneCause_Paste'!$A$2684:$AZ$2684,1,OC_Donor)="","",INDEX('OneCause_Paste'!$A$2684:$AZ$2684,1,OC_Donor)))</f>
        <v/>
      </c>
    </row>
    <row r="2685">
      <c r="A2685" s="62">
        <f>IF(H2685="","",IF(ISNUMBER(N2685),N2685,I2685))</f>
        <v/>
      </c>
      <c r="B2685">
        <f>IF(H2685="","",U2685)</f>
        <v/>
      </c>
      <c r="C2685">
        <f>IF(H2685="","",IF(P2685="",K2685,INDEX('Students'!$A$2:$A$701,P2685)))</f>
        <v/>
      </c>
      <c r="D2685">
        <f>IF(OR(H2685="",P2685=""),"",INDEX('Students'!$B$2:$B$701,P2685))</f>
        <v/>
      </c>
      <c r="E2685">
        <f>IF(OR(H2685="",P2685=""),"",INDEX('Students'!$C$2:$C$701,P2685))</f>
        <v/>
      </c>
      <c r="F2685" s="48">
        <f>IF(H2685="","",IF(ISNUMBER(O2685),O2685,J2685))</f>
        <v/>
      </c>
      <c r="G2685">
        <f>IF(H2685="","","OneCause")</f>
        <v/>
      </c>
      <c r="H2685">
        <f>IF(AND(I2685="",J2685="",K2685=""),"",IF(NOT(ISNUMBER(O2685)),"Bad amount",IF(O2685&lt;0,"Refund (not counted)",IF(O2685=0,"Zero amount",IF(NOT(ISNUMBER(N2685)),"Bad date",IF(P2685="","NAME NOT ON ROSTER",IF(L2685="","OK",IF(MATCH(L2685,$L$2:$L$3001,0)&lt;ROW()-1,"Duplicate (ignored)","OK"))))))))</f>
        <v/>
      </c>
      <c r="I2685">
        <f>IF(OC_Date=0,"",IF(INDEX('OneCause_Paste'!$A$2685:$AZ$2685,1,OC_Date)="","",INDEX('OneCause_Paste'!$A$2685:$AZ$2685,1,OC_Date)))</f>
        <v/>
      </c>
      <c r="J2685">
        <f>IF(OC_Amt=0,"",IF(INDEX('OneCause_Paste'!$A$2685:$AZ$2685,1,OC_Amt)="","",INDEX('OneCause_Paste'!$A$2685:$AZ$2685,1,OC_Amt)))</f>
        <v/>
      </c>
      <c r="K2685">
        <f>IF(OC_Name=0,"",IF(INDEX('OneCause_Paste'!$A$2685:$AZ$2685,1,OC_Name)="","",INDEX('OneCause_Paste'!$A$2685:$AZ$2685,1,OC_Name)))</f>
        <v/>
      </c>
      <c r="L2685">
        <f>IF(OC_Txn=0,"",IF(INDEX('OneCause_Paste'!$A$2685:$AZ$2685,1,OC_Txn)="","",INDEX('OneCause_Paste'!$A$2685:$AZ$2685,1,OC_Txn)))</f>
        <v/>
      </c>
      <c r="M2685">
        <f>IF(OC_Pay=0,"",IF(INDEX('OneCause_Paste'!$A$2685:$AZ$2685,1,OC_Pay)="","",INDEX('OneCause_Paste'!$A$2685:$AZ$2685,1,OC_Pay)))</f>
        <v/>
      </c>
      <c r="N2685">
        <f>IF(I2685="","",IF(ISNUMBER(I2685),INT(I2685),IFERROR(INT(DATEVALUE(I2685)),IFERROR(INT(VALUE(I2685)),"bad"))))</f>
        <v/>
      </c>
      <c r="O2685">
        <f>IF(J2685="","",IF(ISNUMBER(J2685),ROUND(J2685,2),IFERROR(ROUND(VALUE(SUBSTITUTE(SUBSTITUTE(SUBSTITUTE(J2685,"$",""),",","")," ","")),2),"bad")))</f>
        <v/>
      </c>
      <c r="P2685">
        <f>IF(TRIM(K2685)="","",IFERROR(MATCH(LOWER(TRIM(K2685)),'Students'!$AH$2:$AH$701,0),IFERROR(MATCH(LOWER(TRIM(K2685)),'Students'!$AF$2:$AF$701,0),IFERROR(MATCH(LOWER(TRIM(K2685)),'Students'!$AG$2:$AG$701,0),""))))</f>
        <v/>
      </c>
      <c r="R2685">
        <f>IF(P2685="","",INDEX('Students'!$AD$2:$AD$701,P2685))</f>
        <v/>
      </c>
      <c r="S2685">
        <f>IF(H2685="OK",O2685,0)</f>
        <v/>
      </c>
      <c r="T2685">
        <f>IF(H2685="OK",N2685,"")</f>
        <v/>
      </c>
      <c r="U2685">
        <f>IF(OC_Donor=0,"",IF(INDEX('OneCause_Paste'!$A$2685:$AZ$2685,1,OC_Donor)="","",INDEX('OneCause_Paste'!$A$2685:$AZ$2685,1,OC_Donor)))</f>
        <v/>
      </c>
    </row>
    <row r="2686">
      <c r="A2686" s="62">
        <f>IF(H2686="","",IF(ISNUMBER(N2686),N2686,I2686))</f>
        <v/>
      </c>
      <c r="B2686">
        <f>IF(H2686="","",U2686)</f>
        <v/>
      </c>
      <c r="C2686">
        <f>IF(H2686="","",IF(P2686="",K2686,INDEX('Students'!$A$2:$A$701,P2686)))</f>
        <v/>
      </c>
      <c r="D2686">
        <f>IF(OR(H2686="",P2686=""),"",INDEX('Students'!$B$2:$B$701,P2686))</f>
        <v/>
      </c>
      <c r="E2686">
        <f>IF(OR(H2686="",P2686=""),"",INDEX('Students'!$C$2:$C$701,P2686))</f>
        <v/>
      </c>
      <c r="F2686" s="48">
        <f>IF(H2686="","",IF(ISNUMBER(O2686),O2686,J2686))</f>
        <v/>
      </c>
      <c r="G2686">
        <f>IF(H2686="","","OneCause")</f>
        <v/>
      </c>
      <c r="H2686">
        <f>IF(AND(I2686="",J2686="",K2686=""),"",IF(NOT(ISNUMBER(O2686)),"Bad amount",IF(O2686&lt;0,"Refund (not counted)",IF(O2686=0,"Zero amount",IF(NOT(ISNUMBER(N2686)),"Bad date",IF(P2686="","NAME NOT ON ROSTER",IF(L2686="","OK",IF(MATCH(L2686,$L$2:$L$3001,0)&lt;ROW()-1,"Duplicate (ignored)","OK"))))))))</f>
        <v/>
      </c>
      <c r="I2686">
        <f>IF(OC_Date=0,"",IF(INDEX('OneCause_Paste'!$A$2686:$AZ$2686,1,OC_Date)="","",INDEX('OneCause_Paste'!$A$2686:$AZ$2686,1,OC_Date)))</f>
        <v/>
      </c>
      <c r="J2686">
        <f>IF(OC_Amt=0,"",IF(INDEX('OneCause_Paste'!$A$2686:$AZ$2686,1,OC_Amt)="","",INDEX('OneCause_Paste'!$A$2686:$AZ$2686,1,OC_Amt)))</f>
        <v/>
      </c>
      <c r="K2686">
        <f>IF(OC_Name=0,"",IF(INDEX('OneCause_Paste'!$A$2686:$AZ$2686,1,OC_Name)="","",INDEX('OneCause_Paste'!$A$2686:$AZ$2686,1,OC_Name)))</f>
        <v/>
      </c>
      <c r="L2686">
        <f>IF(OC_Txn=0,"",IF(INDEX('OneCause_Paste'!$A$2686:$AZ$2686,1,OC_Txn)="","",INDEX('OneCause_Paste'!$A$2686:$AZ$2686,1,OC_Txn)))</f>
        <v/>
      </c>
      <c r="M2686">
        <f>IF(OC_Pay=0,"",IF(INDEX('OneCause_Paste'!$A$2686:$AZ$2686,1,OC_Pay)="","",INDEX('OneCause_Paste'!$A$2686:$AZ$2686,1,OC_Pay)))</f>
        <v/>
      </c>
      <c r="N2686">
        <f>IF(I2686="","",IF(ISNUMBER(I2686),INT(I2686),IFERROR(INT(DATEVALUE(I2686)),IFERROR(INT(VALUE(I2686)),"bad"))))</f>
        <v/>
      </c>
      <c r="O2686">
        <f>IF(J2686="","",IF(ISNUMBER(J2686),ROUND(J2686,2),IFERROR(ROUND(VALUE(SUBSTITUTE(SUBSTITUTE(SUBSTITUTE(J2686,"$",""),",","")," ","")),2),"bad")))</f>
        <v/>
      </c>
      <c r="P2686">
        <f>IF(TRIM(K2686)="","",IFERROR(MATCH(LOWER(TRIM(K2686)),'Students'!$AH$2:$AH$701,0),IFERROR(MATCH(LOWER(TRIM(K2686)),'Students'!$AF$2:$AF$701,0),IFERROR(MATCH(LOWER(TRIM(K2686)),'Students'!$AG$2:$AG$701,0),""))))</f>
        <v/>
      </c>
      <c r="R2686">
        <f>IF(P2686="","",INDEX('Students'!$AD$2:$AD$701,P2686))</f>
        <v/>
      </c>
      <c r="S2686">
        <f>IF(H2686="OK",O2686,0)</f>
        <v/>
      </c>
      <c r="T2686">
        <f>IF(H2686="OK",N2686,"")</f>
        <v/>
      </c>
      <c r="U2686">
        <f>IF(OC_Donor=0,"",IF(INDEX('OneCause_Paste'!$A$2686:$AZ$2686,1,OC_Donor)="","",INDEX('OneCause_Paste'!$A$2686:$AZ$2686,1,OC_Donor)))</f>
        <v/>
      </c>
    </row>
    <row r="2687">
      <c r="A2687" s="62">
        <f>IF(H2687="","",IF(ISNUMBER(N2687),N2687,I2687))</f>
        <v/>
      </c>
      <c r="B2687">
        <f>IF(H2687="","",U2687)</f>
        <v/>
      </c>
      <c r="C2687">
        <f>IF(H2687="","",IF(P2687="",K2687,INDEX('Students'!$A$2:$A$701,P2687)))</f>
        <v/>
      </c>
      <c r="D2687">
        <f>IF(OR(H2687="",P2687=""),"",INDEX('Students'!$B$2:$B$701,P2687))</f>
        <v/>
      </c>
      <c r="E2687">
        <f>IF(OR(H2687="",P2687=""),"",INDEX('Students'!$C$2:$C$701,P2687))</f>
        <v/>
      </c>
      <c r="F2687" s="48">
        <f>IF(H2687="","",IF(ISNUMBER(O2687),O2687,J2687))</f>
        <v/>
      </c>
      <c r="G2687">
        <f>IF(H2687="","","OneCause")</f>
        <v/>
      </c>
      <c r="H2687">
        <f>IF(AND(I2687="",J2687="",K2687=""),"",IF(NOT(ISNUMBER(O2687)),"Bad amount",IF(O2687&lt;0,"Refund (not counted)",IF(O2687=0,"Zero amount",IF(NOT(ISNUMBER(N2687)),"Bad date",IF(P2687="","NAME NOT ON ROSTER",IF(L2687="","OK",IF(MATCH(L2687,$L$2:$L$3001,0)&lt;ROW()-1,"Duplicate (ignored)","OK"))))))))</f>
        <v/>
      </c>
      <c r="I2687">
        <f>IF(OC_Date=0,"",IF(INDEX('OneCause_Paste'!$A$2687:$AZ$2687,1,OC_Date)="","",INDEX('OneCause_Paste'!$A$2687:$AZ$2687,1,OC_Date)))</f>
        <v/>
      </c>
      <c r="J2687">
        <f>IF(OC_Amt=0,"",IF(INDEX('OneCause_Paste'!$A$2687:$AZ$2687,1,OC_Amt)="","",INDEX('OneCause_Paste'!$A$2687:$AZ$2687,1,OC_Amt)))</f>
        <v/>
      </c>
      <c r="K2687">
        <f>IF(OC_Name=0,"",IF(INDEX('OneCause_Paste'!$A$2687:$AZ$2687,1,OC_Name)="","",INDEX('OneCause_Paste'!$A$2687:$AZ$2687,1,OC_Name)))</f>
        <v/>
      </c>
      <c r="L2687">
        <f>IF(OC_Txn=0,"",IF(INDEX('OneCause_Paste'!$A$2687:$AZ$2687,1,OC_Txn)="","",INDEX('OneCause_Paste'!$A$2687:$AZ$2687,1,OC_Txn)))</f>
        <v/>
      </c>
      <c r="M2687">
        <f>IF(OC_Pay=0,"",IF(INDEX('OneCause_Paste'!$A$2687:$AZ$2687,1,OC_Pay)="","",INDEX('OneCause_Paste'!$A$2687:$AZ$2687,1,OC_Pay)))</f>
        <v/>
      </c>
      <c r="N2687">
        <f>IF(I2687="","",IF(ISNUMBER(I2687),INT(I2687),IFERROR(INT(DATEVALUE(I2687)),IFERROR(INT(VALUE(I2687)),"bad"))))</f>
        <v/>
      </c>
      <c r="O2687">
        <f>IF(J2687="","",IF(ISNUMBER(J2687),ROUND(J2687,2),IFERROR(ROUND(VALUE(SUBSTITUTE(SUBSTITUTE(SUBSTITUTE(J2687,"$",""),",","")," ","")),2),"bad")))</f>
        <v/>
      </c>
      <c r="P2687">
        <f>IF(TRIM(K2687)="","",IFERROR(MATCH(LOWER(TRIM(K2687)),'Students'!$AH$2:$AH$701,0),IFERROR(MATCH(LOWER(TRIM(K2687)),'Students'!$AF$2:$AF$701,0),IFERROR(MATCH(LOWER(TRIM(K2687)),'Students'!$AG$2:$AG$701,0),""))))</f>
        <v/>
      </c>
      <c r="R2687">
        <f>IF(P2687="","",INDEX('Students'!$AD$2:$AD$701,P2687))</f>
        <v/>
      </c>
      <c r="S2687">
        <f>IF(H2687="OK",O2687,0)</f>
        <v/>
      </c>
      <c r="T2687">
        <f>IF(H2687="OK",N2687,"")</f>
        <v/>
      </c>
      <c r="U2687">
        <f>IF(OC_Donor=0,"",IF(INDEX('OneCause_Paste'!$A$2687:$AZ$2687,1,OC_Donor)="","",INDEX('OneCause_Paste'!$A$2687:$AZ$2687,1,OC_Donor)))</f>
        <v/>
      </c>
    </row>
    <row r="2688">
      <c r="A2688" s="62">
        <f>IF(H2688="","",IF(ISNUMBER(N2688),N2688,I2688))</f>
        <v/>
      </c>
      <c r="B2688">
        <f>IF(H2688="","",U2688)</f>
        <v/>
      </c>
      <c r="C2688">
        <f>IF(H2688="","",IF(P2688="",K2688,INDEX('Students'!$A$2:$A$701,P2688)))</f>
        <v/>
      </c>
      <c r="D2688">
        <f>IF(OR(H2688="",P2688=""),"",INDEX('Students'!$B$2:$B$701,P2688))</f>
        <v/>
      </c>
      <c r="E2688">
        <f>IF(OR(H2688="",P2688=""),"",INDEX('Students'!$C$2:$C$701,P2688))</f>
        <v/>
      </c>
      <c r="F2688" s="48">
        <f>IF(H2688="","",IF(ISNUMBER(O2688),O2688,J2688))</f>
        <v/>
      </c>
      <c r="G2688">
        <f>IF(H2688="","","OneCause")</f>
        <v/>
      </c>
      <c r="H2688">
        <f>IF(AND(I2688="",J2688="",K2688=""),"",IF(NOT(ISNUMBER(O2688)),"Bad amount",IF(O2688&lt;0,"Refund (not counted)",IF(O2688=0,"Zero amount",IF(NOT(ISNUMBER(N2688)),"Bad date",IF(P2688="","NAME NOT ON ROSTER",IF(L2688="","OK",IF(MATCH(L2688,$L$2:$L$3001,0)&lt;ROW()-1,"Duplicate (ignored)","OK"))))))))</f>
        <v/>
      </c>
      <c r="I2688">
        <f>IF(OC_Date=0,"",IF(INDEX('OneCause_Paste'!$A$2688:$AZ$2688,1,OC_Date)="","",INDEX('OneCause_Paste'!$A$2688:$AZ$2688,1,OC_Date)))</f>
        <v/>
      </c>
      <c r="J2688">
        <f>IF(OC_Amt=0,"",IF(INDEX('OneCause_Paste'!$A$2688:$AZ$2688,1,OC_Amt)="","",INDEX('OneCause_Paste'!$A$2688:$AZ$2688,1,OC_Amt)))</f>
        <v/>
      </c>
      <c r="K2688">
        <f>IF(OC_Name=0,"",IF(INDEX('OneCause_Paste'!$A$2688:$AZ$2688,1,OC_Name)="","",INDEX('OneCause_Paste'!$A$2688:$AZ$2688,1,OC_Name)))</f>
        <v/>
      </c>
      <c r="L2688">
        <f>IF(OC_Txn=0,"",IF(INDEX('OneCause_Paste'!$A$2688:$AZ$2688,1,OC_Txn)="","",INDEX('OneCause_Paste'!$A$2688:$AZ$2688,1,OC_Txn)))</f>
        <v/>
      </c>
      <c r="M2688">
        <f>IF(OC_Pay=0,"",IF(INDEX('OneCause_Paste'!$A$2688:$AZ$2688,1,OC_Pay)="","",INDEX('OneCause_Paste'!$A$2688:$AZ$2688,1,OC_Pay)))</f>
        <v/>
      </c>
      <c r="N2688">
        <f>IF(I2688="","",IF(ISNUMBER(I2688),INT(I2688),IFERROR(INT(DATEVALUE(I2688)),IFERROR(INT(VALUE(I2688)),"bad"))))</f>
        <v/>
      </c>
      <c r="O2688">
        <f>IF(J2688="","",IF(ISNUMBER(J2688),ROUND(J2688,2),IFERROR(ROUND(VALUE(SUBSTITUTE(SUBSTITUTE(SUBSTITUTE(J2688,"$",""),",","")," ","")),2),"bad")))</f>
        <v/>
      </c>
      <c r="P2688">
        <f>IF(TRIM(K2688)="","",IFERROR(MATCH(LOWER(TRIM(K2688)),'Students'!$AH$2:$AH$701,0),IFERROR(MATCH(LOWER(TRIM(K2688)),'Students'!$AF$2:$AF$701,0),IFERROR(MATCH(LOWER(TRIM(K2688)),'Students'!$AG$2:$AG$701,0),""))))</f>
        <v/>
      </c>
      <c r="R2688">
        <f>IF(P2688="","",INDEX('Students'!$AD$2:$AD$701,P2688))</f>
        <v/>
      </c>
      <c r="S2688">
        <f>IF(H2688="OK",O2688,0)</f>
        <v/>
      </c>
      <c r="T2688">
        <f>IF(H2688="OK",N2688,"")</f>
        <v/>
      </c>
      <c r="U2688">
        <f>IF(OC_Donor=0,"",IF(INDEX('OneCause_Paste'!$A$2688:$AZ$2688,1,OC_Donor)="","",INDEX('OneCause_Paste'!$A$2688:$AZ$2688,1,OC_Donor)))</f>
        <v/>
      </c>
    </row>
    <row r="2689">
      <c r="A2689" s="62">
        <f>IF(H2689="","",IF(ISNUMBER(N2689),N2689,I2689))</f>
        <v/>
      </c>
      <c r="B2689">
        <f>IF(H2689="","",U2689)</f>
        <v/>
      </c>
      <c r="C2689">
        <f>IF(H2689="","",IF(P2689="",K2689,INDEX('Students'!$A$2:$A$701,P2689)))</f>
        <v/>
      </c>
      <c r="D2689">
        <f>IF(OR(H2689="",P2689=""),"",INDEX('Students'!$B$2:$B$701,P2689))</f>
        <v/>
      </c>
      <c r="E2689">
        <f>IF(OR(H2689="",P2689=""),"",INDEX('Students'!$C$2:$C$701,P2689))</f>
        <v/>
      </c>
      <c r="F2689" s="48">
        <f>IF(H2689="","",IF(ISNUMBER(O2689),O2689,J2689))</f>
        <v/>
      </c>
      <c r="G2689">
        <f>IF(H2689="","","OneCause")</f>
        <v/>
      </c>
      <c r="H2689">
        <f>IF(AND(I2689="",J2689="",K2689=""),"",IF(NOT(ISNUMBER(O2689)),"Bad amount",IF(O2689&lt;0,"Refund (not counted)",IF(O2689=0,"Zero amount",IF(NOT(ISNUMBER(N2689)),"Bad date",IF(P2689="","NAME NOT ON ROSTER",IF(L2689="","OK",IF(MATCH(L2689,$L$2:$L$3001,0)&lt;ROW()-1,"Duplicate (ignored)","OK"))))))))</f>
        <v/>
      </c>
      <c r="I2689">
        <f>IF(OC_Date=0,"",IF(INDEX('OneCause_Paste'!$A$2689:$AZ$2689,1,OC_Date)="","",INDEX('OneCause_Paste'!$A$2689:$AZ$2689,1,OC_Date)))</f>
        <v/>
      </c>
      <c r="J2689">
        <f>IF(OC_Amt=0,"",IF(INDEX('OneCause_Paste'!$A$2689:$AZ$2689,1,OC_Amt)="","",INDEX('OneCause_Paste'!$A$2689:$AZ$2689,1,OC_Amt)))</f>
        <v/>
      </c>
      <c r="K2689">
        <f>IF(OC_Name=0,"",IF(INDEX('OneCause_Paste'!$A$2689:$AZ$2689,1,OC_Name)="","",INDEX('OneCause_Paste'!$A$2689:$AZ$2689,1,OC_Name)))</f>
        <v/>
      </c>
      <c r="L2689">
        <f>IF(OC_Txn=0,"",IF(INDEX('OneCause_Paste'!$A$2689:$AZ$2689,1,OC_Txn)="","",INDEX('OneCause_Paste'!$A$2689:$AZ$2689,1,OC_Txn)))</f>
        <v/>
      </c>
      <c r="M2689">
        <f>IF(OC_Pay=0,"",IF(INDEX('OneCause_Paste'!$A$2689:$AZ$2689,1,OC_Pay)="","",INDEX('OneCause_Paste'!$A$2689:$AZ$2689,1,OC_Pay)))</f>
        <v/>
      </c>
      <c r="N2689">
        <f>IF(I2689="","",IF(ISNUMBER(I2689),INT(I2689),IFERROR(INT(DATEVALUE(I2689)),IFERROR(INT(VALUE(I2689)),"bad"))))</f>
        <v/>
      </c>
      <c r="O2689">
        <f>IF(J2689="","",IF(ISNUMBER(J2689),ROUND(J2689,2),IFERROR(ROUND(VALUE(SUBSTITUTE(SUBSTITUTE(SUBSTITUTE(J2689,"$",""),",","")," ","")),2),"bad")))</f>
        <v/>
      </c>
      <c r="P2689">
        <f>IF(TRIM(K2689)="","",IFERROR(MATCH(LOWER(TRIM(K2689)),'Students'!$AH$2:$AH$701,0),IFERROR(MATCH(LOWER(TRIM(K2689)),'Students'!$AF$2:$AF$701,0),IFERROR(MATCH(LOWER(TRIM(K2689)),'Students'!$AG$2:$AG$701,0),""))))</f>
        <v/>
      </c>
      <c r="R2689">
        <f>IF(P2689="","",INDEX('Students'!$AD$2:$AD$701,P2689))</f>
        <v/>
      </c>
      <c r="S2689">
        <f>IF(H2689="OK",O2689,0)</f>
        <v/>
      </c>
      <c r="T2689">
        <f>IF(H2689="OK",N2689,"")</f>
        <v/>
      </c>
      <c r="U2689">
        <f>IF(OC_Donor=0,"",IF(INDEX('OneCause_Paste'!$A$2689:$AZ$2689,1,OC_Donor)="","",INDEX('OneCause_Paste'!$A$2689:$AZ$2689,1,OC_Donor)))</f>
        <v/>
      </c>
    </row>
    <row r="2690">
      <c r="A2690" s="62">
        <f>IF(H2690="","",IF(ISNUMBER(N2690),N2690,I2690))</f>
        <v/>
      </c>
      <c r="B2690">
        <f>IF(H2690="","",U2690)</f>
        <v/>
      </c>
      <c r="C2690">
        <f>IF(H2690="","",IF(P2690="",K2690,INDEX('Students'!$A$2:$A$701,P2690)))</f>
        <v/>
      </c>
      <c r="D2690">
        <f>IF(OR(H2690="",P2690=""),"",INDEX('Students'!$B$2:$B$701,P2690))</f>
        <v/>
      </c>
      <c r="E2690">
        <f>IF(OR(H2690="",P2690=""),"",INDEX('Students'!$C$2:$C$701,P2690))</f>
        <v/>
      </c>
      <c r="F2690" s="48">
        <f>IF(H2690="","",IF(ISNUMBER(O2690),O2690,J2690))</f>
        <v/>
      </c>
      <c r="G2690">
        <f>IF(H2690="","","OneCause")</f>
        <v/>
      </c>
      <c r="H2690">
        <f>IF(AND(I2690="",J2690="",K2690=""),"",IF(NOT(ISNUMBER(O2690)),"Bad amount",IF(O2690&lt;0,"Refund (not counted)",IF(O2690=0,"Zero amount",IF(NOT(ISNUMBER(N2690)),"Bad date",IF(P2690="","NAME NOT ON ROSTER",IF(L2690="","OK",IF(MATCH(L2690,$L$2:$L$3001,0)&lt;ROW()-1,"Duplicate (ignored)","OK"))))))))</f>
        <v/>
      </c>
      <c r="I2690">
        <f>IF(OC_Date=0,"",IF(INDEX('OneCause_Paste'!$A$2690:$AZ$2690,1,OC_Date)="","",INDEX('OneCause_Paste'!$A$2690:$AZ$2690,1,OC_Date)))</f>
        <v/>
      </c>
      <c r="J2690">
        <f>IF(OC_Amt=0,"",IF(INDEX('OneCause_Paste'!$A$2690:$AZ$2690,1,OC_Amt)="","",INDEX('OneCause_Paste'!$A$2690:$AZ$2690,1,OC_Amt)))</f>
        <v/>
      </c>
      <c r="K2690">
        <f>IF(OC_Name=0,"",IF(INDEX('OneCause_Paste'!$A$2690:$AZ$2690,1,OC_Name)="","",INDEX('OneCause_Paste'!$A$2690:$AZ$2690,1,OC_Name)))</f>
        <v/>
      </c>
      <c r="L2690">
        <f>IF(OC_Txn=0,"",IF(INDEX('OneCause_Paste'!$A$2690:$AZ$2690,1,OC_Txn)="","",INDEX('OneCause_Paste'!$A$2690:$AZ$2690,1,OC_Txn)))</f>
        <v/>
      </c>
      <c r="M2690">
        <f>IF(OC_Pay=0,"",IF(INDEX('OneCause_Paste'!$A$2690:$AZ$2690,1,OC_Pay)="","",INDEX('OneCause_Paste'!$A$2690:$AZ$2690,1,OC_Pay)))</f>
        <v/>
      </c>
      <c r="N2690">
        <f>IF(I2690="","",IF(ISNUMBER(I2690),INT(I2690),IFERROR(INT(DATEVALUE(I2690)),IFERROR(INT(VALUE(I2690)),"bad"))))</f>
        <v/>
      </c>
      <c r="O2690">
        <f>IF(J2690="","",IF(ISNUMBER(J2690),ROUND(J2690,2),IFERROR(ROUND(VALUE(SUBSTITUTE(SUBSTITUTE(SUBSTITUTE(J2690,"$",""),",","")," ","")),2),"bad")))</f>
        <v/>
      </c>
      <c r="P2690">
        <f>IF(TRIM(K2690)="","",IFERROR(MATCH(LOWER(TRIM(K2690)),'Students'!$AH$2:$AH$701,0),IFERROR(MATCH(LOWER(TRIM(K2690)),'Students'!$AF$2:$AF$701,0),IFERROR(MATCH(LOWER(TRIM(K2690)),'Students'!$AG$2:$AG$701,0),""))))</f>
        <v/>
      </c>
      <c r="R2690">
        <f>IF(P2690="","",INDEX('Students'!$AD$2:$AD$701,P2690))</f>
        <v/>
      </c>
      <c r="S2690">
        <f>IF(H2690="OK",O2690,0)</f>
        <v/>
      </c>
      <c r="T2690">
        <f>IF(H2690="OK",N2690,"")</f>
        <v/>
      </c>
      <c r="U2690">
        <f>IF(OC_Donor=0,"",IF(INDEX('OneCause_Paste'!$A$2690:$AZ$2690,1,OC_Donor)="","",INDEX('OneCause_Paste'!$A$2690:$AZ$2690,1,OC_Donor)))</f>
        <v/>
      </c>
    </row>
    <row r="2691">
      <c r="A2691" s="62">
        <f>IF(H2691="","",IF(ISNUMBER(N2691),N2691,I2691))</f>
        <v/>
      </c>
      <c r="B2691">
        <f>IF(H2691="","",U2691)</f>
        <v/>
      </c>
      <c r="C2691">
        <f>IF(H2691="","",IF(P2691="",K2691,INDEX('Students'!$A$2:$A$701,P2691)))</f>
        <v/>
      </c>
      <c r="D2691">
        <f>IF(OR(H2691="",P2691=""),"",INDEX('Students'!$B$2:$B$701,P2691))</f>
        <v/>
      </c>
      <c r="E2691">
        <f>IF(OR(H2691="",P2691=""),"",INDEX('Students'!$C$2:$C$701,P2691))</f>
        <v/>
      </c>
      <c r="F2691" s="48">
        <f>IF(H2691="","",IF(ISNUMBER(O2691),O2691,J2691))</f>
        <v/>
      </c>
      <c r="G2691">
        <f>IF(H2691="","","OneCause")</f>
        <v/>
      </c>
      <c r="H2691">
        <f>IF(AND(I2691="",J2691="",K2691=""),"",IF(NOT(ISNUMBER(O2691)),"Bad amount",IF(O2691&lt;0,"Refund (not counted)",IF(O2691=0,"Zero amount",IF(NOT(ISNUMBER(N2691)),"Bad date",IF(P2691="","NAME NOT ON ROSTER",IF(L2691="","OK",IF(MATCH(L2691,$L$2:$L$3001,0)&lt;ROW()-1,"Duplicate (ignored)","OK"))))))))</f>
        <v/>
      </c>
      <c r="I2691">
        <f>IF(OC_Date=0,"",IF(INDEX('OneCause_Paste'!$A$2691:$AZ$2691,1,OC_Date)="","",INDEX('OneCause_Paste'!$A$2691:$AZ$2691,1,OC_Date)))</f>
        <v/>
      </c>
      <c r="J2691">
        <f>IF(OC_Amt=0,"",IF(INDEX('OneCause_Paste'!$A$2691:$AZ$2691,1,OC_Amt)="","",INDEX('OneCause_Paste'!$A$2691:$AZ$2691,1,OC_Amt)))</f>
        <v/>
      </c>
      <c r="K2691">
        <f>IF(OC_Name=0,"",IF(INDEX('OneCause_Paste'!$A$2691:$AZ$2691,1,OC_Name)="","",INDEX('OneCause_Paste'!$A$2691:$AZ$2691,1,OC_Name)))</f>
        <v/>
      </c>
      <c r="L2691">
        <f>IF(OC_Txn=0,"",IF(INDEX('OneCause_Paste'!$A$2691:$AZ$2691,1,OC_Txn)="","",INDEX('OneCause_Paste'!$A$2691:$AZ$2691,1,OC_Txn)))</f>
        <v/>
      </c>
      <c r="M2691">
        <f>IF(OC_Pay=0,"",IF(INDEX('OneCause_Paste'!$A$2691:$AZ$2691,1,OC_Pay)="","",INDEX('OneCause_Paste'!$A$2691:$AZ$2691,1,OC_Pay)))</f>
        <v/>
      </c>
      <c r="N2691">
        <f>IF(I2691="","",IF(ISNUMBER(I2691),INT(I2691),IFERROR(INT(DATEVALUE(I2691)),IFERROR(INT(VALUE(I2691)),"bad"))))</f>
        <v/>
      </c>
      <c r="O2691">
        <f>IF(J2691="","",IF(ISNUMBER(J2691),ROUND(J2691,2),IFERROR(ROUND(VALUE(SUBSTITUTE(SUBSTITUTE(SUBSTITUTE(J2691,"$",""),",","")," ","")),2),"bad")))</f>
        <v/>
      </c>
      <c r="P2691">
        <f>IF(TRIM(K2691)="","",IFERROR(MATCH(LOWER(TRIM(K2691)),'Students'!$AH$2:$AH$701,0),IFERROR(MATCH(LOWER(TRIM(K2691)),'Students'!$AF$2:$AF$701,0),IFERROR(MATCH(LOWER(TRIM(K2691)),'Students'!$AG$2:$AG$701,0),""))))</f>
        <v/>
      </c>
      <c r="R2691">
        <f>IF(P2691="","",INDEX('Students'!$AD$2:$AD$701,P2691))</f>
        <v/>
      </c>
      <c r="S2691">
        <f>IF(H2691="OK",O2691,0)</f>
        <v/>
      </c>
      <c r="T2691">
        <f>IF(H2691="OK",N2691,"")</f>
        <v/>
      </c>
      <c r="U2691">
        <f>IF(OC_Donor=0,"",IF(INDEX('OneCause_Paste'!$A$2691:$AZ$2691,1,OC_Donor)="","",INDEX('OneCause_Paste'!$A$2691:$AZ$2691,1,OC_Donor)))</f>
        <v/>
      </c>
    </row>
    <row r="2692">
      <c r="A2692" s="62">
        <f>IF(H2692="","",IF(ISNUMBER(N2692),N2692,I2692))</f>
        <v/>
      </c>
      <c r="B2692">
        <f>IF(H2692="","",U2692)</f>
        <v/>
      </c>
      <c r="C2692">
        <f>IF(H2692="","",IF(P2692="",K2692,INDEX('Students'!$A$2:$A$701,P2692)))</f>
        <v/>
      </c>
      <c r="D2692">
        <f>IF(OR(H2692="",P2692=""),"",INDEX('Students'!$B$2:$B$701,P2692))</f>
        <v/>
      </c>
      <c r="E2692">
        <f>IF(OR(H2692="",P2692=""),"",INDEX('Students'!$C$2:$C$701,P2692))</f>
        <v/>
      </c>
      <c r="F2692" s="48">
        <f>IF(H2692="","",IF(ISNUMBER(O2692),O2692,J2692))</f>
        <v/>
      </c>
      <c r="G2692">
        <f>IF(H2692="","","OneCause")</f>
        <v/>
      </c>
      <c r="H2692">
        <f>IF(AND(I2692="",J2692="",K2692=""),"",IF(NOT(ISNUMBER(O2692)),"Bad amount",IF(O2692&lt;0,"Refund (not counted)",IF(O2692=0,"Zero amount",IF(NOT(ISNUMBER(N2692)),"Bad date",IF(P2692="","NAME NOT ON ROSTER",IF(L2692="","OK",IF(MATCH(L2692,$L$2:$L$3001,0)&lt;ROW()-1,"Duplicate (ignored)","OK"))))))))</f>
        <v/>
      </c>
      <c r="I2692">
        <f>IF(OC_Date=0,"",IF(INDEX('OneCause_Paste'!$A$2692:$AZ$2692,1,OC_Date)="","",INDEX('OneCause_Paste'!$A$2692:$AZ$2692,1,OC_Date)))</f>
        <v/>
      </c>
      <c r="J2692">
        <f>IF(OC_Amt=0,"",IF(INDEX('OneCause_Paste'!$A$2692:$AZ$2692,1,OC_Amt)="","",INDEX('OneCause_Paste'!$A$2692:$AZ$2692,1,OC_Amt)))</f>
        <v/>
      </c>
      <c r="K2692">
        <f>IF(OC_Name=0,"",IF(INDEX('OneCause_Paste'!$A$2692:$AZ$2692,1,OC_Name)="","",INDEX('OneCause_Paste'!$A$2692:$AZ$2692,1,OC_Name)))</f>
        <v/>
      </c>
      <c r="L2692">
        <f>IF(OC_Txn=0,"",IF(INDEX('OneCause_Paste'!$A$2692:$AZ$2692,1,OC_Txn)="","",INDEX('OneCause_Paste'!$A$2692:$AZ$2692,1,OC_Txn)))</f>
        <v/>
      </c>
      <c r="M2692">
        <f>IF(OC_Pay=0,"",IF(INDEX('OneCause_Paste'!$A$2692:$AZ$2692,1,OC_Pay)="","",INDEX('OneCause_Paste'!$A$2692:$AZ$2692,1,OC_Pay)))</f>
        <v/>
      </c>
      <c r="N2692">
        <f>IF(I2692="","",IF(ISNUMBER(I2692),INT(I2692),IFERROR(INT(DATEVALUE(I2692)),IFERROR(INT(VALUE(I2692)),"bad"))))</f>
        <v/>
      </c>
      <c r="O2692">
        <f>IF(J2692="","",IF(ISNUMBER(J2692),ROUND(J2692,2),IFERROR(ROUND(VALUE(SUBSTITUTE(SUBSTITUTE(SUBSTITUTE(J2692,"$",""),",","")," ","")),2),"bad")))</f>
        <v/>
      </c>
      <c r="P2692">
        <f>IF(TRIM(K2692)="","",IFERROR(MATCH(LOWER(TRIM(K2692)),'Students'!$AH$2:$AH$701,0),IFERROR(MATCH(LOWER(TRIM(K2692)),'Students'!$AF$2:$AF$701,0),IFERROR(MATCH(LOWER(TRIM(K2692)),'Students'!$AG$2:$AG$701,0),""))))</f>
        <v/>
      </c>
      <c r="R2692">
        <f>IF(P2692="","",INDEX('Students'!$AD$2:$AD$701,P2692))</f>
        <v/>
      </c>
      <c r="S2692">
        <f>IF(H2692="OK",O2692,0)</f>
        <v/>
      </c>
      <c r="T2692">
        <f>IF(H2692="OK",N2692,"")</f>
        <v/>
      </c>
      <c r="U2692">
        <f>IF(OC_Donor=0,"",IF(INDEX('OneCause_Paste'!$A$2692:$AZ$2692,1,OC_Donor)="","",INDEX('OneCause_Paste'!$A$2692:$AZ$2692,1,OC_Donor)))</f>
        <v/>
      </c>
    </row>
    <row r="2693">
      <c r="A2693" s="62">
        <f>IF(H2693="","",IF(ISNUMBER(N2693),N2693,I2693))</f>
        <v/>
      </c>
      <c r="B2693">
        <f>IF(H2693="","",U2693)</f>
        <v/>
      </c>
      <c r="C2693">
        <f>IF(H2693="","",IF(P2693="",K2693,INDEX('Students'!$A$2:$A$701,P2693)))</f>
        <v/>
      </c>
      <c r="D2693">
        <f>IF(OR(H2693="",P2693=""),"",INDEX('Students'!$B$2:$B$701,P2693))</f>
        <v/>
      </c>
      <c r="E2693">
        <f>IF(OR(H2693="",P2693=""),"",INDEX('Students'!$C$2:$C$701,P2693))</f>
        <v/>
      </c>
      <c r="F2693" s="48">
        <f>IF(H2693="","",IF(ISNUMBER(O2693),O2693,J2693))</f>
        <v/>
      </c>
      <c r="G2693">
        <f>IF(H2693="","","OneCause")</f>
        <v/>
      </c>
      <c r="H2693">
        <f>IF(AND(I2693="",J2693="",K2693=""),"",IF(NOT(ISNUMBER(O2693)),"Bad amount",IF(O2693&lt;0,"Refund (not counted)",IF(O2693=0,"Zero amount",IF(NOT(ISNUMBER(N2693)),"Bad date",IF(P2693="","NAME NOT ON ROSTER",IF(L2693="","OK",IF(MATCH(L2693,$L$2:$L$3001,0)&lt;ROW()-1,"Duplicate (ignored)","OK"))))))))</f>
        <v/>
      </c>
      <c r="I2693">
        <f>IF(OC_Date=0,"",IF(INDEX('OneCause_Paste'!$A$2693:$AZ$2693,1,OC_Date)="","",INDEX('OneCause_Paste'!$A$2693:$AZ$2693,1,OC_Date)))</f>
        <v/>
      </c>
      <c r="J2693">
        <f>IF(OC_Amt=0,"",IF(INDEX('OneCause_Paste'!$A$2693:$AZ$2693,1,OC_Amt)="","",INDEX('OneCause_Paste'!$A$2693:$AZ$2693,1,OC_Amt)))</f>
        <v/>
      </c>
      <c r="K2693">
        <f>IF(OC_Name=0,"",IF(INDEX('OneCause_Paste'!$A$2693:$AZ$2693,1,OC_Name)="","",INDEX('OneCause_Paste'!$A$2693:$AZ$2693,1,OC_Name)))</f>
        <v/>
      </c>
      <c r="L2693">
        <f>IF(OC_Txn=0,"",IF(INDEX('OneCause_Paste'!$A$2693:$AZ$2693,1,OC_Txn)="","",INDEX('OneCause_Paste'!$A$2693:$AZ$2693,1,OC_Txn)))</f>
        <v/>
      </c>
      <c r="M2693">
        <f>IF(OC_Pay=0,"",IF(INDEX('OneCause_Paste'!$A$2693:$AZ$2693,1,OC_Pay)="","",INDEX('OneCause_Paste'!$A$2693:$AZ$2693,1,OC_Pay)))</f>
        <v/>
      </c>
      <c r="N2693">
        <f>IF(I2693="","",IF(ISNUMBER(I2693),INT(I2693),IFERROR(INT(DATEVALUE(I2693)),IFERROR(INT(VALUE(I2693)),"bad"))))</f>
        <v/>
      </c>
      <c r="O2693">
        <f>IF(J2693="","",IF(ISNUMBER(J2693),ROUND(J2693,2),IFERROR(ROUND(VALUE(SUBSTITUTE(SUBSTITUTE(SUBSTITUTE(J2693,"$",""),",","")," ","")),2),"bad")))</f>
        <v/>
      </c>
      <c r="P2693">
        <f>IF(TRIM(K2693)="","",IFERROR(MATCH(LOWER(TRIM(K2693)),'Students'!$AH$2:$AH$701,0),IFERROR(MATCH(LOWER(TRIM(K2693)),'Students'!$AF$2:$AF$701,0),IFERROR(MATCH(LOWER(TRIM(K2693)),'Students'!$AG$2:$AG$701,0),""))))</f>
        <v/>
      </c>
      <c r="R2693">
        <f>IF(P2693="","",INDEX('Students'!$AD$2:$AD$701,P2693))</f>
        <v/>
      </c>
      <c r="S2693">
        <f>IF(H2693="OK",O2693,0)</f>
        <v/>
      </c>
      <c r="T2693">
        <f>IF(H2693="OK",N2693,"")</f>
        <v/>
      </c>
      <c r="U2693">
        <f>IF(OC_Donor=0,"",IF(INDEX('OneCause_Paste'!$A$2693:$AZ$2693,1,OC_Donor)="","",INDEX('OneCause_Paste'!$A$2693:$AZ$2693,1,OC_Donor)))</f>
        <v/>
      </c>
    </row>
    <row r="2694">
      <c r="A2694" s="62">
        <f>IF(H2694="","",IF(ISNUMBER(N2694),N2694,I2694))</f>
        <v/>
      </c>
      <c r="B2694">
        <f>IF(H2694="","",U2694)</f>
        <v/>
      </c>
      <c r="C2694">
        <f>IF(H2694="","",IF(P2694="",K2694,INDEX('Students'!$A$2:$A$701,P2694)))</f>
        <v/>
      </c>
      <c r="D2694">
        <f>IF(OR(H2694="",P2694=""),"",INDEX('Students'!$B$2:$B$701,P2694))</f>
        <v/>
      </c>
      <c r="E2694">
        <f>IF(OR(H2694="",P2694=""),"",INDEX('Students'!$C$2:$C$701,P2694))</f>
        <v/>
      </c>
      <c r="F2694" s="48">
        <f>IF(H2694="","",IF(ISNUMBER(O2694),O2694,J2694))</f>
        <v/>
      </c>
      <c r="G2694">
        <f>IF(H2694="","","OneCause")</f>
        <v/>
      </c>
      <c r="H2694">
        <f>IF(AND(I2694="",J2694="",K2694=""),"",IF(NOT(ISNUMBER(O2694)),"Bad amount",IF(O2694&lt;0,"Refund (not counted)",IF(O2694=0,"Zero amount",IF(NOT(ISNUMBER(N2694)),"Bad date",IF(P2694="","NAME NOT ON ROSTER",IF(L2694="","OK",IF(MATCH(L2694,$L$2:$L$3001,0)&lt;ROW()-1,"Duplicate (ignored)","OK"))))))))</f>
        <v/>
      </c>
      <c r="I2694">
        <f>IF(OC_Date=0,"",IF(INDEX('OneCause_Paste'!$A$2694:$AZ$2694,1,OC_Date)="","",INDEX('OneCause_Paste'!$A$2694:$AZ$2694,1,OC_Date)))</f>
        <v/>
      </c>
      <c r="J2694">
        <f>IF(OC_Amt=0,"",IF(INDEX('OneCause_Paste'!$A$2694:$AZ$2694,1,OC_Amt)="","",INDEX('OneCause_Paste'!$A$2694:$AZ$2694,1,OC_Amt)))</f>
        <v/>
      </c>
      <c r="K2694">
        <f>IF(OC_Name=0,"",IF(INDEX('OneCause_Paste'!$A$2694:$AZ$2694,1,OC_Name)="","",INDEX('OneCause_Paste'!$A$2694:$AZ$2694,1,OC_Name)))</f>
        <v/>
      </c>
      <c r="L2694">
        <f>IF(OC_Txn=0,"",IF(INDEX('OneCause_Paste'!$A$2694:$AZ$2694,1,OC_Txn)="","",INDEX('OneCause_Paste'!$A$2694:$AZ$2694,1,OC_Txn)))</f>
        <v/>
      </c>
      <c r="M2694">
        <f>IF(OC_Pay=0,"",IF(INDEX('OneCause_Paste'!$A$2694:$AZ$2694,1,OC_Pay)="","",INDEX('OneCause_Paste'!$A$2694:$AZ$2694,1,OC_Pay)))</f>
        <v/>
      </c>
      <c r="N2694">
        <f>IF(I2694="","",IF(ISNUMBER(I2694),INT(I2694),IFERROR(INT(DATEVALUE(I2694)),IFERROR(INT(VALUE(I2694)),"bad"))))</f>
        <v/>
      </c>
      <c r="O2694">
        <f>IF(J2694="","",IF(ISNUMBER(J2694),ROUND(J2694,2),IFERROR(ROUND(VALUE(SUBSTITUTE(SUBSTITUTE(SUBSTITUTE(J2694,"$",""),",","")," ","")),2),"bad")))</f>
        <v/>
      </c>
      <c r="P2694">
        <f>IF(TRIM(K2694)="","",IFERROR(MATCH(LOWER(TRIM(K2694)),'Students'!$AH$2:$AH$701,0),IFERROR(MATCH(LOWER(TRIM(K2694)),'Students'!$AF$2:$AF$701,0),IFERROR(MATCH(LOWER(TRIM(K2694)),'Students'!$AG$2:$AG$701,0),""))))</f>
        <v/>
      </c>
      <c r="R2694">
        <f>IF(P2694="","",INDEX('Students'!$AD$2:$AD$701,P2694))</f>
        <v/>
      </c>
      <c r="S2694">
        <f>IF(H2694="OK",O2694,0)</f>
        <v/>
      </c>
      <c r="T2694">
        <f>IF(H2694="OK",N2694,"")</f>
        <v/>
      </c>
      <c r="U2694">
        <f>IF(OC_Donor=0,"",IF(INDEX('OneCause_Paste'!$A$2694:$AZ$2694,1,OC_Donor)="","",INDEX('OneCause_Paste'!$A$2694:$AZ$2694,1,OC_Donor)))</f>
        <v/>
      </c>
    </row>
    <row r="2695">
      <c r="A2695" s="62">
        <f>IF(H2695="","",IF(ISNUMBER(N2695),N2695,I2695))</f>
        <v/>
      </c>
      <c r="B2695">
        <f>IF(H2695="","",U2695)</f>
        <v/>
      </c>
      <c r="C2695">
        <f>IF(H2695="","",IF(P2695="",K2695,INDEX('Students'!$A$2:$A$701,P2695)))</f>
        <v/>
      </c>
      <c r="D2695">
        <f>IF(OR(H2695="",P2695=""),"",INDEX('Students'!$B$2:$B$701,P2695))</f>
        <v/>
      </c>
      <c r="E2695">
        <f>IF(OR(H2695="",P2695=""),"",INDEX('Students'!$C$2:$C$701,P2695))</f>
        <v/>
      </c>
      <c r="F2695" s="48">
        <f>IF(H2695="","",IF(ISNUMBER(O2695),O2695,J2695))</f>
        <v/>
      </c>
      <c r="G2695">
        <f>IF(H2695="","","OneCause")</f>
        <v/>
      </c>
      <c r="H2695">
        <f>IF(AND(I2695="",J2695="",K2695=""),"",IF(NOT(ISNUMBER(O2695)),"Bad amount",IF(O2695&lt;0,"Refund (not counted)",IF(O2695=0,"Zero amount",IF(NOT(ISNUMBER(N2695)),"Bad date",IF(P2695="","NAME NOT ON ROSTER",IF(L2695="","OK",IF(MATCH(L2695,$L$2:$L$3001,0)&lt;ROW()-1,"Duplicate (ignored)","OK"))))))))</f>
        <v/>
      </c>
      <c r="I2695">
        <f>IF(OC_Date=0,"",IF(INDEX('OneCause_Paste'!$A$2695:$AZ$2695,1,OC_Date)="","",INDEX('OneCause_Paste'!$A$2695:$AZ$2695,1,OC_Date)))</f>
        <v/>
      </c>
      <c r="J2695">
        <f>IF(OC_Amt=0,"",IF(INDEX('OneCause_Paste'!$A$2695:$AZ$2695,1,OC_Amt)="","",INDEX('OneCause_Paste'!$A$2695:$AZ$2695,1,OC_Amt)))</f>
        <v/>
      </c>
      <c r="K2695">
        <f>IF(OC_Name=0,"",IF(INDEX('OneCause_Paste'!$A$2695:$AZ$2695,1,OC_Name)="","",INDEX('OneCause_Paste'!$A$2695:$AZ$2695,1,OC_Name)))</f>
        <v/>
      </c>
      <c r="L2695">
        <f>IF(OC_Txn=0,"",IF(INDEX('OneCause_Paste'!$A$2695:$AZ$2695,1,OC_Txn)="","",INDEX('OneCause_Paste'!$A$2695:$AZ$2695,1,OC_Txn)))</f>
        <v/>
      </c>
      <c r="M2695">
        <f>IF(OC_Pay=0,"",IF(INDEX('OneCause_Paste'!$A$2695:$AZ$2695,1,OC_Pay)="","",INDEX('OneCause_Paste'!$A$2695:$AZ$2695,1,OC_Pay)))</f>
        <v/>
      </c>
      <c r="N2695">
        <f>IF(I2695="","",IF(ISNUMBER(I2695),INT(I2695),IFERROR(INT(DATEVALUE(I2695)),IFERROR(INT(VALUE(I2695)),"bad"))))</f>
        <v/>
      </c>
      <c r="O2695">
        <f>IF(J2695="","",IF(ISNUMBER(J2695),ROUND(J2695,2),IFERROR(ROUND(VALUE(SUBSTITUTE(SUBSTITUTE(SUBSTITUTE(J2695,"$",""),",","")," ","")),2),"bad")))</f>
        <v/>
      </c>
      <c r="P2695">
        <f>IF(TRIM(K2695)="","",IFERROR(MATCH(LOWER(TRIM(K2695)),'Students'!$AH$2:$AH$701,0),IFERROR(MATCH(LOWER(TRIM(K2695)),'Students'!$AF$2:$AF$701,0),IFERROR(MATCH(LOWER(TRIM(K2695)),'Students'!$AG$2:$AG$701,0),""))))</f>
        <v/>
      </c>
      <c r="R2695">
        <f>IF(P2695="","",INDEX('Students'!$AD$2:$AD$701,P2695))</f>
        <v/>
      </c>
      <c r="S2695">
        <f>IF(H2695="OK",O2695,0)</f>
        <v/>
      </c>
      <c r="T2695">
        <f>IF(H2695="OK",N2695,"")</f>
        <v/>
      </c>
      <c r="U2695">
        <f>IF(OC_Donor=0,"",IF(INDEX('OneCause_Paste'!$A$2695:$AZ$2695,1,OC_Donor)="","",INDEX('OneCause_Paste'!$A$2695:$AZ$2695,1,OC_Donor)))</f>
        <v/>
      </c>
    </row>
    <row r="2696">
      <c r="A2696" s="62">
        <f>IF(H2696="","",IF(ISNUMBER(N2696),N2696,I2696))</f>
        <v/>
      </c>
      <c r="B2696">
        <f>IF(H2696="","",U2696)</f>
        <v/>
      </c>
      <c r="C2696">
        <f>IF(H2696="","",IF(P2696="",K2696,INDEX('Students'!$A$2:$A$701,P2696)))</f>
        <v/>
      </c>
      <c r="D2696">
        <f>IF(OR(H2696="",P2696=""),"",INDEX('Students'!$B$2:$B$701,P2696))</f>
        <v/>
      </c>
      <c r="E2696">
        <f>IF(OR(H2696="",P2696=""),"",INDEX('Students'!$C$2:$C$701,P2696))</f>
        <v/>
      </c>
      <c r="F2696" s="48">
        <f>IF(H2696="","",IF(ISNUMBER(O2696),O2696,J2696))</f>
        <v/>
      </c>
      <c r="G2696">
        <f>IF(H2696="","","OneCause")</f>
        <v/>
      </c>
      <c r="H2696">
        <f>IF(AND(I2696="",J2696="",K2696=""),"",IF(NOT(ISNUMBER(O2696)),"Bad amount",IF(O2696&lt;0,"Refund (not counted)",IF(O2696=0,"Zero amount",IF(NOT(ISNUMBER(N2696)),"Bad date",IF(P2696="","NAME NOT ON ROSTER",IF(L2696="","OK",IF(MATCH(L2696,$L$2:$L$3001,0)&lt;ROW()-1,"Duplicate (ignored)","OK"))))))))</f>
        <v/>
      </c>
      <c r="I2696">
        <f>IF(OC_Date=0,"",IF(INDEX('OneCause_Paste'!$A$2696:$AZ$2696,1,OC_Date)="","",INDEX('OneCause_Paste'!$A$2696:$AZ$2696,1,OC_Date)))</f>
        <v/>
      </c>
      <c r="J2696">
        <f>IF(OC_Amt=0,"",IF(INDEX('OneCause_Paste'!$A$2696:$AZ$2696,1,OC_Amt)="","",INDEX('OneCause_Paste'!$A$2696:$AZ$2696,1,OC_Amt)))</f>
        <v/>
      </c>
      <c r="K2696">
        <f>IF(OC_Name=0,"",IF(INDEX('OneCause_Paste'!$A$2696:$AZ$2696,1,OC_Name)="","",INDEX('OneCause_Paste'!$A$2696:$AZ$2696,1,OC_Name)))</f>
        <v/>
      </c>
      <c r="L2696">
        <f>IF(OC_Txn=0,"",IF(INDEX('OneCause_Paste'!$A$2696:$AZ$2696,1,OC_Txn)="","",INDEX('OneCause_Paste'!$A$2696:$AZ$2696,1,OC_Txn)))</f>
        <v/>
      </c>
      <c r="M2696">
        <f>IF(OC_Pay=0,"",IF(INDEX('OneCause_Paste'!$A$2696:$AZ$2696,1,OC_Pay)="","",INDEX('OneCause_Paste'!$A$2696:$AZ$2696,1,OC_Pay)))</f>
        <v/>
      </c>
      <c r="N2696">
        <f>IF(I2696="","",IF(ISNUMBER(I2696),INT(I2696),IFERROR(INT(DATEVALUE(I2696)),IFERROR(INT(VALUE(I2696)),"bad"))))</f>
        <v/>
      </c>
      <c r="O2696">
        <f>IF(J2696="","",IF(ISNUMBER(J2696),ROUND(J2696,2),IFERROR(ROUND(VALUE(SUBSTITUTE(SUBSTITUTE(SUBSTITUTE(J2696,"$",""),",","")," ","")),2),"bad")))</f>
        <v/>
      </c>
      <c r="P2696">
        <f>IF(TRIM(K2696)="","",IFERROR(MATCH(LOWER(TRIM(K2696)),'Students'!$AH$2:$AH$701,0),IFERROR(MATCH(LOWER(TRIM(K2696)),'Students'!$AF$2:$AF$701,0),IFERROR(MATCH(LOWER(TRIM(K2696)),'Students'!$AG$2:$AG$701,0),""))))</f>
        <v/>
      </c>
      <c r="R2696">
        <f>IF(P2696="","",INDEX('Students'!$AD$2:$AD$701,P2696))</f>
        <v/>
      </c>
      <c r="S2696">
        <f>IF(H2696="OK",O2696,0)</f>
        <v/>
      </c>
      <c r="T2696">
        <f>IF(H2696="OK",N2696,"")</f>
        <v/>
      </c>
      <c r="U2696">
        <f>IF(OC_Donor=0,"",IF(INDEX('OneCause_Paste'!$A$2696:$AZ$2696,1,OC_Donor)="","",INDEX('OneCause_Paste'!$A$2696:$AZ$2696,1,OC_Donor)))</f>
        <v/>
      </c>
    </row>
    <row r="2697">
      <c r="A2697" s="62">
        <f>IF(H2697="","",IF(ISNUMBER(N2697),N2697,I2697))</f>
        <v/>
      </c>
      <c r="B2697">
        <f>IF(H2697="","",U2697)</f>
        <v/>
      </c>
      <c r="C2697">
        <f>IF(H2697="","",IF(P2697="",K2697,INDEX('Students'!$A$2:$A$701,P2697)))</f>
        <v/>
      </c>
      <c r="D2697">
        <f>IF(OR(H2697="",P2697=""),"",INDEX('Students'!$B$2:$B$701,P2697))</f>
        <v/>
      </c>
      <c r="E2697">
        <f>IF(OR(H2697="",P2697=""),"",INDEX('Students'!$C$2:$C$701,P2697))</f>
        <v/>
      </c>
      <c r="F2697" s="48">
        <f>IF(H2697="","",IF(ISNUMBER(O2697),O2697,J2697))</f>
        <v/>
      </c>
      <c r="G2697">
        <f>IF(H2697="","","OneCause")</f>
        <v/>
      </c>
      <c r="H2697">
        <f>IF(AND(I2697="",J2697="",K2697=""),"",IF(NOT(ISNUMBER(O2697)),"Bad amount",IF(O2697&lt;0,"Refund (not counted)",IF(O2697=0,"Zero amount",IF(NOT(ISNUMBER(N2697)),"Bad date",IF(P2697="","NAME NOT ON ROSTER",IF(L2697="","OK",IF(MATCH(L2697,$L$2:$L$3001,0)&lt;ROW()-1,"Duplicate (ignored)","OK"))))))))</f>
        <v/>
      </c>
      <c r="I2697">
        <f>IF(OC_Date=0,"",IF(INDEX('OneCause_Paste'!$A$2697:$AZ$2697,1,OC_Date)="","",INDEX('OneCause_Paste'!$A$2697:$AZ$2697,1,OC_Date)))</f>
        <v/>
      </c>
      <c r="J2697">
        <f>IF(OC_Amt=0,"",IF(INDEX('OneCause_Paste'!$A$2697:$AZ$2697,1,OC_Amt)="","",INDEX('OneCause_Paste'!$A$2697:$AZ$2697,1,OC_Amt)))</f>
        <v/>
      </c>
      <c r="K2697">
        <f>IF(OC_Name=0,"",IF(INDEX('OneCause_Paste'!$A$2697:$AZ$2697,1,OC_Name)="","",INDEX('OneCause_Paste'!$A$2697:$AZ$2697,1,OC_Name)))</f>
        <v/>
      </c>
      <c r="L2697">
        <f>IF(OC_Txn=0,"",IF(INDEX('OneCause_Paste'!$A$2697:$AZ$2697,1,OC_Txn)="","",INDEX('OneCause_Paste'!$A$2697:$AZ$2697,1,OC_Txn)))</f>
        <v/>
      </c>
      <c r="M2697">
        <f>IF(OC_Pay=0,"",IF(INDEX('OneCause_Paste'!$A$2697:$AZ$2697,1,OC_Pay)="","",INDEX('OneCause_Paste'!$A$2697:$AZ$2697,1,OC_Pay)))</f>
        <v/>
      </c>
      <c r="N2697">
        <f>IF(I2697="","",IF(ISNUMBER(I2697),INT(I2697),IFERROR(INT(DATEVALUE(I2697)),IFERROR(INT(VALUE(I2697)),"bad"))))</f>
        <v/>
      </c>
      <c r="O2697">
        <f>IF(J2697="","",IF(ISNUMBER(J2697),ROUND(J2697,2),IFERROR(ROUND(VALUE(SUBSTITUTE(SUBSTITUTE(SUBSTITUTE(J2697,"$",""),",","")," ","")),2),"bad")))</f>
        <v/>
      </c>
      <c r="P2697">
        <f>IF(TRIM(K2697)="","",IFERROR(MATCH(LOWER(TRIM(K2697)),'Students'!$AH$2:$AH$701,0),IFERROR(MATCH(LOWER(TRIM(K2697)),'Students'!$AF$2:$AF$701,0),IFERROR(MATCH(LOWER(TRIM(K2697)),'Students'!$AG$2:$AG$701,0),""))))</f>
        <v/>
      </c>
      <c r="R2697">
        <f>IF(P2697="","",INDEX('Students'!$AD$2:$AD$701,P2697))</f>
        <v/>
      </c>
      <c r="S2697">
        <f>IF(H2697="OK",O2697,0)</f>
        <v/>
      </c>
      <c r="T2697">
        <f>IF(H2697="OK",N2697,"")</f>
        <v/>
      </c>
      <c r="U2697">
        <f>IF(OC_Donor=0,"",IF(INDEX('OneCause_Paste'!$A$2697:$AZ$2697,1,OC_Donor)="","",INDEX('OneCause_Paste'!$A$2697:$AZ$2697,1,OC_Donor)))</f>
        <v/>
      </c>
    </row>
    <row r="2698">
      <c r="A2698" s="62">
        <f>IF(H2698="","",IF(ISNUMBER(N2698),N2698,I2698))</f>
        <v/>
      </c>
      <c r="B2698">
        <f>IF(H2698="","",U2698)</f>
        <v/>
      </c>
      <c r="C2698">
        <f>IF(H2698="","",IF(P2698="",K2698,INDEX('Students'!$A$2:$A$701,P2698)))</f>
        <v/>
      </c>
      <c r="D2698">
        <f>IF(OR(H2698="",P2698=""),"",INDEX('Students'!$B$2:$B$701,P2698))</f>
        <v/>
      </c>
      <c r="E2698">
        <f>IF(OR(H2698="",P2698=""),"",INDEX('Students'!$C$2:$C$701,P2698))</f>
        <v/>
      </c>
      <c r="F2698" s="48">
        <f>IF(H2698="","",IF(ISNUMBER(O2698),O2698,J2698))</f>
        <v/>
      </c>
      <c r="G2698">
        <f>IF(H2698="","","OneCause")</f>
        <v/>
      </c>
      <c r="H2698">
        <f>IF(AND(I2698="",J2698="",K2698=""),"",IF(NOT(ISNUMBER(O2698)),"Bad amount",IF(O2698&lt;0,"Refund (not counted)",IF(O2698=0,"Zero amount",IF(NOT(ISNUMBER(N2698)),"Bad date",IF(P2698="","NAME NOT ON ROSTER",IF(L2698="","OK",IF(MATCH(L2698,$L$2:$L$3001,0)&lt;ROW()-1,"Duplicate (ignored)","OK"))))))))</f>
        <v/>
      </c>
      <c r="I2698">
        <f>IF(OC_Date=0,"",IF(INDEX('OneCause_Paste'!$A$2698:$AZ$2698,1,OC_Date)="","",INDEX('OneCause_Paste'!$A$2698:$AZ$2698,1,OC_Date)))</f>
        <v/>
      </c>
      <c r="J2698">
        <f>IF(OC_Amt=0,"",IF(INDEX('OneCause_Paste'!$A$2698:$AZ$2698,1,OC_Amt)="","",INDEX('OneCause_Paste'!$A$2698:$AZ$2698,1,OC_Amt)))</f>
        <v/>
      </c>
      <c r="K2698">
        <f>IF(OC_Name=0,"",IF(INDEX('OneCause_Paste'!$A$2698:$AZ$2698,1,OC_Name)="","",INDEX('OneCause_Paste'!$A$2698:$AZ$2698,1,OC_Name)))</f>
        <v/>
      </c>
      <c r="L2698">
        <f>IF(OC_Txn=0,"",IF(INDEX('OneCause_Paste'!$A$2698:$AZ$2698,1,OC_Txn)="","",INDEX('OneCause_Paste'!$A$2698:$AZ$2698,1,OC_Txn)))</f>
        <v/>
      </c>
      <c r="M2698">
        <f>IF(OC_Pay=0,"",IF(INDEX('OneCause_Paste'!$A$2698:$AZ$2698,1,OC_Pay)="","",INDEX('OneCause_Paste'!$A$2698:$AZ$2698,1,OC_Pay)))</f>
        <v/>
      </c>
      <c r="N2698">
        <f>IF(I2698="","",IF(ISNUMBER(I2698),INT(I2698),IFERROR(INT(DATEVALUE(I2698)),IFERROR(INT(VALUE(I2698)),"bad"))))</f>
        <v/>
      </c>
      <c r="O2698">
        <f>IF(J2698="","",IF(ISNUMBER(J2698),ROUND(J2698,2),IFERROR(ROUND(VALUE(SUBSTITUTE(SUBSTITUTE(SUBSTITUTE(J2698,"$",""),",","")," ","")),2),"bad")))</f>
        <v/>
      </c>
      <c r="P2698">
        <f>IF(TRIM(K2698)="","",IFERROR(MATCH(LOWER(TRIM(K2698)),'Students'!$AH$2:$AH$701,0),IFERROR(MATCH(LOWER(TRIM(K2698)),'Students'!$AF$2:$AF$701,0),IFERROR(MATCH(LOWER(TRIM(K2698)),'Students'!$AG$2:$AG$701,0),""))))</f>
        <v/>
      </c>
      <c r="R2698">
        <f>IF(P2698="","",INDEX('Students'!$AD$2:$AD$701,P2698))</f>
        <v/>
      </c>
      <c r="S2698">
        <f>IF(H2698="OK",O2698,0)</f>
        <v/>
      </c>
      <c r="T2698">
        <f>IF(H2698="OK",N2698,"")</f>
        <v/>
      </c>
      <c r="U2698">
        <f>IF(OC_Donor=0,"",IF(INDEX('OneCause_Paste'!$A$2698:$AZ$2698,1,OC_Donor)="","",INDEX('OneCause_Paste'!$A$2698:$AZ$2698,1,OC_Donor)))</f>
        <v/>
      </c>
    </row>
    <row r="2699">
      <c r="A2699" s="62">
        <f>IF(H2699="","",IF(ISNUMBER(N2699),N2699,I2699))</f>
        <v/>
      </c>
      <c r="B2699">
        <f>IF(H2699="","",U2699)</f>
        <v/>
      </c>
      <c r="C2699">
        <f>IF(H2699="","",IF(P2699="",K2699,INDEX('Students'!$A$2:$A$701,P2699)))</f>
        <v/>
      </c>
      <c r="D2699">
        <f>IF(OR(H2699="",P2699=""),"",INDEX('Students'!$B$2:$B$701,P2699))</f>
        <v/>
      </c>
      <c r="E2699">
        <f>IF(OR(H2699="",P2699=""),"",INDEX('Students'!$C$2:$C$701,P2699))</f>
        <v/>
      </c>
      <c r="F2699" s="48">
        <f>IF(H2699="","",IF(ISNUMBER(O2699),O2699,J2699))</f>
        <v/>
      </c>
      <c r="G2699">
        <f>IF(H2699="","","OneCause")</f>
        <v/>
      </c>
      <c r="H2699">
        <f>IF(AND(I2699="",J2699="",K2699=""),"",IF(NOT(ISNUMBER(O2699)),"Bad amount",IF(O2699&lt;0,"Refund (not counted)",IF(O2699=0,"Zero amount",IF(NOT(ISNUMBER(N2699)),"Bad date",IF(P2699="","NAME NOT ON ROSTER",IF(L2699="","OK",IF(MATCH(L2699,$L$2:$L$3001,0)&lt;ROW()-1,"Duplicate (ignored)","OK"))))))))</f>
        <v/>
      </c>
      <c r="I2699">
        <f>IF(OC_Date=0,"",IF(INDEX('OneCause_Paste'!$A$2699:$AZ$2699,1,OC_Date)="","",INDEX('OneCause_Paste'!$A$2699:$AZ$2699,1,OC_Date)))</f>
        <v/>
      </c>
      <c r="J2699">
        <f>IF(OC_Amt=0,"",IF(INDEX('OneCause_Paste'!$A$2699:$AZ$2699,1,OC_Amt)="","",INDEX('OneCause_Paste'!$A$2699:$AZ$2699,1,OC_Amt)))</f>
        <v/>
      </c>
      <c r="K2699">
        <f>IF(OC_Name=0,"",IF(INDEX('OneCause_Paste'!$A$2699:$AZ$2699,1,OC_Name)="","",INDEX('OneCause_Paste'!$A$2699:$AZ$2699,1,OC_Name)))</f>
        <v/>
      </c>
      <c r="L2699">
        <f>IF(OC_Txn=0,"",IF(INDEX('OneCause_Paste'!$A$2699:$AZ$2699,1,OC_Txn)="","",INDEX('OneCause_Paste'!$A$2699:$AZ$2699,1,OC_Txn)))</f>
        <v/>
      </c>
      <c r="M2699">
        <f>IF(OC_Pay=0,"",IF(INDEX('OneCause_Paste'!$A$2699:$AZ$2699,1,OC_Pay)="","",INDEX('OneCause_Paste'!$A$2699:$AZ$2699,1,OC_Pay)))</f>
        <v/>
      </c>
      <c r="N2699">
        <f>IF(I2699="","",IF(ISNUMBER(I2699),INT(I2699),IFERROR(INT(DATEVALUE(I2699)),IFERROR(INT(VALUE(I2699)),"bad"))))</f>
        <v/>
      </c>
      <c r="O2699">
        <f>IF(J2699="","",IF(ISNUMBER(J2699),ROUND(J2699,2),IFERROR(ROUND(VALUE(SUBSTITUTE(SUBSTITUTE(SUBSTITUTE(J2699,"$",""),",","")," ","")),2),"bad")))</f>
        <v/>
      </c>
      <c r="P2699">
        <f>IF(TRIM(K2699)="","",IFERROR(MATCH(LOWER(TRIM(K2699)),'Students'!$AH$2:$AH$701,0),IFERROR(MATCH(LOWER(TRIM(K2699)),'Students'!$AF$2:$AF$701,0),IFERROR(MATCH(LOWER(TRIM(K2699)),'Students'!$AG$2:$AG$701,0),""))))</f>
        <v/>
      </c>
      <c r="R2699">
        <f>IF(P2699="","",INDEX('Students'!$AD$2:$AD$701,P2699))</f>
        <v/>
      </c>
      <c r="S2699">
        <f>IF(H2699="OK",O2699,0)</f>
        <v/>
      </c>
      <c r="T2699">
        <f>IF(H2699="OK",N2699,"")</f>
        <v/>
      </c>
      <c r="U2699">
        <f>IF(OC_Donor=0,"",IF(INDEX('OneCause_Paste'!$A$2699:$AZ$2699,1,OC_Donor)="","",INDEX('OneCause_Paste'!$A$2699:$AZ$2699,1,OC_Donor)))</f>
        <v/>
      </c>
    </row>
    <row r="2700">
      <c r="A2700" s="62">
        <f>IF(H2700="","",IF(ISNUMBER(N2700),N2700,I2700))</f>
        <v/>
      </c>
      <c r="B2700">
        <f>IF(H2700="","",U2700)</f>
        <v/>
      </c>
      <c r="C2700">
        <f>IF(H2700="","",IF(P2700="",K2700,INDEX('Students'!$A$2:$A$701,P2700)))</f>
        <v/>
      </c>
      <c r="D2700">
        <f>IF(OR(H2700="",P2700=""),"",INDEX('Students'!$B$2:$B$701,P2700))</f>
        <v/>
      </c>
      <c r="E2700">
        <f>IF(OR(H2700="",P2700=""),"",INDEX('Students'!$C$2:$C$701,P2700))</f>
        <v/>
      </c>
      <c r="F2700" s="48">
        <f>IF(H2700="","",IF(ISNUMBER(O2700),O2700,J2700))</f>
        <v/>
      </c>
      <c r="G2700">
        <f>IF(H2700="","","OneCause")</f>
        <v/>
      </c>
      <c r="H2700">
        <f>IF(AND(I2700="",J2700="",K2700=""),"",IF(NOT(ISNUMBER(O2700)),"Bad amount",IF(O2700&lt;0,"Refund (not counted)",IF(O2700=0,"Zero amount",IF(NOT(ISNUMBER(N2700)),"Bad date",IF(P2700="","NAME NOT ON ROSTER",IF(L2700="","OK",IF(MATCH(L2700,$L$2:$L$3001,0)&lt;ROW()-1,"Duplicate (ignored)","OK"))))))))</f>
        <v/>
      </c>
      <c r="I2700">
        <f>IF(OC_Date=0,"",IF(INDEX('OneCause_Paste'!$A$2700:$AZ$2700,1,OC_Date)="","",INDEX('OneCause_Paste'!$A$2700:$AZ$2700,1,OC_Date)))</f>
        <v/>
      </c>
      <c r="J2700">
        <f>IF(OC_Amt=0,"",IF(INDEX('OneCause_Paste'!$A$2700:$AZ$2700,1,OC_Amt)="","",INDEX('OneCause_Paste'!$A$2700:$AZ$2700,1,OC_Amt)))</f>
        <v/>
      </c>
      <c r="K2700">
        <f>IF(OC_Name=0,"",IF(INDEX('OneCause_Paste'!$A$2700:$AZ$2700,1,OC_Name)="","",INDEX('OneCause_Paste'!$A$2700:$AZ$2700,1,OC_Name)))</f>
        <v/>
      </c>
      <c r="L2700">
        <f>IF(OC_Txn=0,"",IF(INDEX('OneCause_Paste'!$A$2700:$AZ$2700,1,OC_Txn)="","",INDEX('OneCause_Paste'!$A$2700:$AZ$2700,1,OC_Txn)))</f>
        <v/>
      </c>
      <c r="M2700">
        <f>IF(OC_Pay=0,"",IF(INDEX('OneCause_Paste'!$A$2700:$AZ$2700,1,OC_Pay)="","",INDEX('OneCause_Paste'!$A$2700:$AZ$2700,1,OC_Pay)))</f>
        <v/>
      </c>
      <c r="N2700">
        <f>IF(I2700="","",IF(ISNUMBER(I2700),INT(I2700),IFERROR(INT(DATEVALUE(I2700)),IFERROR(INT(VALUE(I2700)),"bad"))))</f>
        <v/>
      </c>
      <c r="O2700">
        <f>IF(J2700="","",IF(ISNUMBER(J2700),ROUND(J2700,2),IFERROR(ROUND(VALUE(SUBSTITUTE(SUBSTITUTE(SUBSTITUTE(J2700,"$",""),",","")," ","")),2),"bad")))</f>
        <v/>
      </c>
      <c r="P2700">
        <f>IF(TRIM(K2700)="","",IFERROR(MATCH(LOWER(TRIM(K2700)),'Students'!$AH$2:$AH$701,0),IFERROR(MATCH(LOWER(TRIM(K2700)),'Students'!$AF$2:$AF$701,0),IFERROR(MATCH(LOWER(TRIM(K2700)),'Students'!$AG$2:$AG$701,0),""))))</f>
        <v/>
      </c>
      <c r="R2700">
        <f>IF(P2700="","",INDEX('Students'!$AD$2:$AD$701,P2700))</f>
        <v/>
      </c>
      <c r="S2700">
        <f>IF(H2700="OK",O2700,0)</f>
        <v/>
      </c>
      <c r="T2700">
        <f>IF(H2700="OK",N2700,"")</f>
        <v/>
      </c>
      <c r="U2700">
        <f>IF(OC_Donor=0,"",IF(INDEX('OneCause_Paste'!$A$2700:$AZ$2700,1,OC_Donor)="","",INDEX('OneCause_Paste'!$A$2700:$AZ$2700,1,OC_Donor)))</f>
        <v/>
      </c>
    </row>
    <row r="2701">
      <c r="A2701" s="62">
        <f>IF(H2701="","",IF(ISNUMBER(N2701),N2701,I2701))</f>
        <v/>
      </c>
      <c r="B2701">
        <f>IF(H2701="","",U2701)</f>
        <v/>
      </c>
      <c r="C2701">
        <f>IF(H2701="","",IF(P2701="",K2701,INDEX('Students'!$A$2:$A$701,P2701)))</f>
        <v/>
      </c>
      <c r="D2701">
        <f>IF(OR(H2701="",P2701=""),"",INDEX('Students'!$B$2:$B$701,P2701))</f>
        <v/>
      </c>
      <c r="E2701">
        <f>IF(OR(H2701="",P2701=""),"",INDEX('Students'!$C$2:$C$701,P2701))</f>
        <v/>
      </c>
      <c r="F2701" s="48">
        <f>IF(H2701="","",IF(ISNUMBER(O2701),O2701,J2701))</f>
        <v/>
      </c>
      <c r="G2701">
        <f>IF(H2701="","","OneCause")</f>
        <v/>
      </c>
      <c r="H2701">
        <f>IF(AND(I2701="",J2701="",K2701=""),"",IF(NOT(ISNUMBER(O2701)),"Bad amount",IF(O2701&lt;0,"Refund (not counted)",IF(O2701=0,"Zero amount",IF(NOT(ISNUMBER(N2701)),"Bad date",IF(P2701="","NAME NOT ON ROSTER",IF(L2701="","OK",IF(MATCH(L2701,$L$2:$L$3001,0)&lt;ROW()-1,"Duplicate (ignored)","OK"))))))))</f>
        <v/>
      </c>
      <c r="I2701">
        <f>IF(OC_Date=0,"",IF(INDEX('OneCause_Paste'!$A$2701:$AZ$2701,1,OC_Date)="","",INDEX('OneCause_Paste'!$A$2701:$AZ$2701,1,OC_Date)))</f>
        <v/>
      </c>
      <c r="J2701">
        <f>IF(OC_Amt=0,"",IF(INDEX('OneCause_Paste'!$A$2701:$AZ$2701,1,OC_Amt)="","",INDEX('OneCause_Paste'!$A$2701:$AZ$2701,1,OC_Amt)))</f>
        <v/>
      </c>
      <c r="K2701">
        <f>IF(OC_Name=0,"",IF(INDEX('OneCause_Paste'!$A$2701:$AZ$2701,1,OC_Name)="","",INDEX('OneCause_Paste'!$A$2701:$AZ$2701,1,OC_Name)))</f>
        <v/>
      </c>
      <c r="L2701">
        <f>IF(OC_Txn=0,"",IF(INDEX('OneCause_Paste'!$A$2701:$AZ$2701,1,OC_Txn)="","",INDEX('OneCause_Paste'!$A$2701:$AZ$2701,1,OC_Txn)))</f>
        <v/>
      </c>
      <c r="M2701">
        <f>IF(OC_Pay=0,"",IF(INDEX('OneCause_Paste'!$A$2701:$AZ$2701,1,OC_Pay)="","",INDEX('OneCause_Paste'!$A$2701:$AZ$2701,1,OC_Pay)))</f>
        <v/>
      </c>
      <c r="N2701">
        <f>IF(I2701="","",IF(ISNUMBER(I2701),INT(I2701),IFERROR(INT(DATEVALUE(I2701)),IFERROR(INT(VALUE(I2701)),"bad"))))</f>
        <v/>
      </c>
      <c r="O2701">
        <f>IF(J2701="","",IF(ISNUMBER(J2701),ROUND(J2701,2),IFERROR(ROUND(VALUE(SUBSTITUTE(SUBSTITUTE(SUBSTITUTE(J2701,"$",""),",","")," ","")),2),"bad")))</f>
        <v/>
      </c>
      <c r="P2701">
        <f>IF(TRIM(K2701)="","",IFERROR(MATCH(LOWER(TRIM(K2701)),'Students'!$AH$2:$AH$701,0),IFERROR(MATCH(LOWER(TRIM(K2701)),'Students'!$AF$2:$AF$701,0),IFERROR(MATCH(LOWER(TRIM(K2701)),'Students'!$AG$2:$AG$701,0),""))))</f>
        <v/>
      </c>
      <c r="R2701">
        <f>IF(P2701="","",INDEX('Students'!$AD$2:$AD$701,P2701))</f>
        <v/>
      </c>
      <c r="S2701">
        <f>IF(H2701="OK",O2701,0)</f>
        <v/>
      </c>
      <c r="T2701">
        <f>IF(H2701="OK",N2701,"")</f>
        <v/>
      </c>
      <c r="U2701">
        <f>IF(OC_Donor=0,"",IF(INDEX('OneCause_Paste'!$A$2701:$AZ$2701,1,OC_Donor)="","",INDEX('OneCause_Paste'!$A$2701:$AZ$2701,1,OC_Donor)))</f>
        <v/>
      </c>
    </row>
    <row r="2702">
      <c r="A2702" s="62">
        <f>IF(H2702="","",IF(ISNUMBER(N2702),N2702,I2702))</f>
        <v/>
      </c>
      <c r="B2702">
        <f>IF(H2702="","",U2702)</f>
        <v/>
      </c>
      <c r="C2702">
        <f>IF(H2702="","",IF(P2702="",K2702,INDEX('Students'!$A$2:$A$701,P2702)))</f>
        <v/>
      </c>
      <c r="D2702">
        <f>IF(OR(H2702="",P2702=""),"",INDEX('Students'!$B$2:$B$701,P2702))</f>
        <v/>
      </c>
      <c r="E2702">
        <f>IF(OR(H2702="",P2702=""),"",INDEX('Students'!$C$2:$C$701,P2702))</f>
        <v/>
      </c>
      <c r="F2702" s="48">
        <f>IF(H2702="","",IF(ISNUMBER(O2702),O2702,J2702))</f>
        <v/>
      </c>
      <c r="G2702">
        <f>IF(H2702="","","OneCause")</f>
        <v/>
      </c>
      <c r="H2702">
        <f>IF(AND(I2702="",J2702="",K2702=""),"",IF(NOT(ISNUMBER(O2702)),"Bad amount",IF(O2702&lt;0,"Refund (not counted)",IF(O2702=0,"Zero amount",IF(NOT(ISNUMBER(N2702)),"Bad date",IF(P2702="","NAME NOT ON ROSTER",IF(L2702="","OK",IF(MATCH(L2702,$L$2:$L$3001,0)&lt;ROW()-1,"Duplicate (ignored)","OK"))))))))</f>
        <v/>
      </c>
      <c r="I2702">
        <f>IF(OC_Date=0,"",IF(INDEX('OneCause_Paste'!$A$2702:$AZ$2702,1,OC_Date)="","",INDEX('OneCause_Paste'!$A$2702:$AZ$2702,1,OC_Date)))</f>
        <v/>
      </c>
      <c r="J2702">
        <f>IF(OC_Amt=0,"",IF(INDEX('OneCause_Paste'!$A$2702:$AZ$2702,1,OC_Amt)="","",INDEX('OneCause_Paste'!$A$2702:$AZ$2702,1,OC_Amt)))</f>
        <v/>
      </c>
      <c r="K2702">
        <f>IF(OC_Name=0,"",IF(INDEX('OneCause_Paste'!$A$2702:$AZ$2702,1,OC_Name)="","",INDEX('OneCause_Paste'!$A$2702:$AZ$2702,1,OC_Name)))</f>
        <v/>
      </c>
      <c r="L2702">
        <f>IF(OC_Txn=0,"",IF(INDEX('OneCause_Paste'!$A$2702:$AZ$2702,1,OC_Txn)="","",INDEX('OneCause_Paste'!$A$2702:$AZ$2702,1,OC_Txn)))</f>
        <v/>
      </c>
      <c r="M2702">
        <f>IF(OC_Pay=0,"",IF(INDEX('OneCause_Paste'!$A$2702:$AZ$2702,1,OC_Pay)="","",INDEX('OneCause_Paste'!$A$2702:$AZ$2702,1,OC_Pay)))</f>
        <v/>
      </c>
      <c r="N2702">
        <f>IF(I2702="","",IF(ISNUMBER(I2702),INT(I2702),IFERROR(INT(DATEVALUE(I2702)),IFERROR(INT(VALUE(I2702)),"bad"))))</f>
        <v/>
      </c>
      <c r="O2702">
        <f>IF(J2702="","",IF(ISNUMBER(J2702),ROUND(J2702,2),IFERROR(ROUND(VALUE(SUBSTITUTE(SUBSTITUTE(SUBSTITUTE(J2702,"$",""),",","")," ","")),2),"bad")))</f>
        <v/>
      </c>
      <c r="P2702">
        <f>IF(TRIM(K2702)="","",IFERROR(MATCH(LOWER(TRIM(K2702)),'Students'!$AH$2:$AH$701,0),IFERROR(MATCH(LOWER(TRIM(K2702)),'Students'!$AF$2:$AF$701,0),IFERROR(MATCH(LOWER(TRIM(K2702)),'Students'!$AG$2:$AG$701,0),""))))</f>
        <v/>
      </c>
      <c r="R2702">
        <f>IF(P2702="","",INDEX('Students'!$AD$2:$AD$701,P2702))</f>
        <v/>
      </c>
      <c r="S2702">
        <f>IF(H2702="OK",O2702,0)</f>
        <v/>
      </c>
      <c r="T2702">
        <f>IF(H2702="OK",N2702,"")</f>
        <v/>
      </c>
      <c r="U2702">
        <f>IF(OC_Donor=0,"",IF(INDEX('OneCause_Paste'!$A$2702:$AZ$2702,1,OC_Donor)="","",INDEX('OneCause_Paste'!$A$2702:$AZ$2702,1,OC_Donor)))</f>
        <v/>
      </c>
    </row>
    <row r="2703">
      <c r="A2703" s="62">
        <f>IF(H2703="","",IF(ISNUMBER(N2703),N2703,I2703))</f>
        <v/>
      </c>
      <c r="B2703">
        <f>IF(H2703="","",U2703)</f>
        <v/>
      </c>
      <c r="C2703">
        <f>IF(H2703="","",IF(P2703="",K2703,INDEX('Students'!$A$2:$A$701,P2703)))</f>
        <v/>
      </c>
      <c r="D2703">
        <f>IF(OR(H2703="",P2703=""),"",INDEX('Students'!$B$2:$B$701,P2703))</f>
        <v/>
      </c>
      <c r="E2703">
        <f>IF(OR(H2703="",P2703=""),"",INDEX('Students'!$C$2:$C$701,P2703))</f>
        <v/>
      </c>
      <c r="F2703" s="48">
        <f>IF(H2703="","",IF(ISNUMBER(O2703),O2703,J2703))</f>
        <v/>
      </c>
      <c r="G2703">
        <f>IF(H2703="","","OneCause")</f>
        <v/>
      </c>
      <c r="H2703">
        <f>IF(AND(I2703="",J2703="",K2703=""),"",IF(NOT(ISNUMBER(O2703)),"Bad amount",IF(O2703&lt;0,"Refund (not counted)",IF(O2703=0,"Zero amount",IF(NOT(ISNUMBER(N2703)),"Bad date",IF(P2703="","NAME NOT ON ROSTER",IF(L2703="","OK",IF(MATCH(L2703,$L$2:$L$3001,0)&lt;ROW()-1,"Duplicate (ignored)","OK"))))))))</f>
        <v/>
      </c>
      <c r="I2703">
        <f>IF(OC_Date=0,"",IF(INDEX('OneCause_Paste'!$A$2703:$AZ$2703,1,OC_Date)="","",INDEX('OneCause_Paste'!$A$2703:$AZ$2703,1,OC_Date)))</f>
        <v/>
      </c>
      <c r="J2703">
        <f>IF(OC_Amt=0,"",IF(INDEX('OneCause_Paste'!$A$2703:$AZ$2703,1,OC_Amt)="","",INDEX('OneCause_Paste'!$A$2703:$AZ$2703,1,OC_Amt)))</f>
        <v/>
      </c>
      <c r="K2703">
        <f>IF(OC_Name=0,"",IF(INDEX('OneCause_Paste'!$A$2703:$AZ$2703,1,OC_Name)="","",INDEX('OneCause_Paste'!$A$2703:$AZ$2703,1,OC_Name)))</f>
        <v/>
      </c>
      <c r="L2703">
        <f>IF(OC_Txn=0,"",IF(INDEX('OneCause_Paste'!$A$2703:$AZ$2703,1,OC_Txn)="","",INDEX('OneCause_Paste'!$A$2703:$AZ$2703,1,OC_Txn)))</f>
        <v/>
      </c>
      <c r="M2703">
        <f>IF(OC_Pay=0,"",IF(INDEX('OneCause_Paste'!$A$2703:$AZ$2703,1,OC_Pay)="","",INDEX('OneCause_Paste'!$A$2703:$AZ$2703,1,OC_Pay)))</f>
        <v/>
      </c>
      <c r="N2703">
        <f>IF(I2703="","",IF(ISNUMBER(I2703),INT(I2703),IFERROR(INT(DATEVALUE(I2703)),IFERROR(INT(VALUE(I2703)),"bad"))))</f>
        <v/>
      </c>
      <c r="O2703">
        <f>IF(J2703="","",IF(ISNUMBER(J2703),ROUND(J2703,2),IFERROR(ROUND(VALUE(SUBSTITUTE(SUBSTITUTE(SUBSTITUTE(J2703,"$",""),",","")," ","")),2),"bad")))</f>
        <v/>
      </c>
      <c r="P2703">
        <f>IF(TRIM(K2703)="","",IFERROR(MATCH(LOWER(TRIM(K2703)),'Students'!$AH$2:$AH$701,0),IFERROR(MATCH(LOWER(TRIM(K2703)),'Students'!$AF$2:$AF$701,0),IFERROR(MATCH(LOWER(TRIM(K2703)),'Students'!$AG$2:$AG$701,0),""))))</f>
        <v/>
      </c>
      <c r="R2703">
        <f>IF(P2703="","",INDEX('Students'!$AD$2:$AD$701,P2703))</f>
        <v/>
      </c>
      <c r="S2703">
        <f>IF(H2703="OK",O2703,0)</f>
        <v/>
      </c>
      <c r="T2703">
        <f>IF(H2703="OK",N2703,"")</f>
        <v/>
      </c>
      <c r="U2703">
        <f>IF(OC_Donor=0,"",IF(INDEX('OneCause_Paste'!$A$2703:$AZ$2703,1,OC_Donor)="","",INDEX('OneCause_Paste'!$A$2703:$AZ$2703,1,OC_Donor)))</f>
        <v/>
      </c>
    </row>
    <row r="2704">
      <c r="A2704" s="62">
        <f>IF(H2704="","",IF(ISNUMBER(N2704),N2704,I2704))</f>
        <v/>
      </c>
      <c r="B2704">
        <f>IF(H2704="","",U2704)</f>
        <v/>
      </c>
      <c r="C2704">
        <f>IF(H2704="","",IF(P2704="",K2704,INDEX('Students'!$A$2:$A$701,P2704)))</f>
        <v/>
      </c>
      <c r="D2704">
        <f>IF(OR(H2704="",P2704=""),"",INDEX('Students'!$B$2:$B$701,P2704))</f>
        <v/>
      </c>
      <c r="E2704">
        <f>IF(OR(H2704="",P2704=""),"",INDEX('Students'!$C$2:$C$701,P2704))</f>
        <v/>
      </c>
      <c r="F2704" s="48">
        <f>IF(H2704="","",IF(ISNUMBER(O2704),O2704,J2704))</f>
        <v/>
      </c>
      <c r="G2704">
        <f>IF(H2704="","","OneCause")</f>
        <v/>
      </c>
      <c r="H2704">
        <f>IF(AND(I2704="",J2704="",K2704=""),"",IF(NOT(ISNUMBER(O2704)),"Bad amount",IF(O2704&lt;0,"Refund (not counted)",IF(O2704=0,"Zero amount",IF(NOT(ISNUMBER(N2704)),"Bad date",IF(P2704="","NAME NOT ON ROSTER",IF(L2704="","OK",IF(MATCH(L2704,$L$2:$L$3001,0)&lt;ROW()-1,"Duplicate (ignored)","OK"))))))))</f>
        <v/>
      </c>
      <c r="I2704">
        <f>IF(OC_Date=0,"",IF(INDEX('OneCause_Paste'!$A$2704:$AZ$2704,1,OC_Date)="","",INDEX('OneCause_Paste'!$A$2704:$AZ$2704,1,OC_Date)))</f>
        <v/>
      </c>
      <c r="J2704">
        <f>IF(OC_Amt=0,"",IF(INDEX('OneCause_Paste'!$A$2704:$AZ$2704,1,OC_Amt)="","",INDEX('OneCause_Paste'!$A$2704:$AZ$2704,1,OC_Amt)))</f>
        <v/>
      </c>
      <c r="K2704">
        <f>IF(OC_Name=0,"",IF(INDEX('OneCause_Paste'!$A$2704:$AZ$2704,1,OC_Name)="","",INDEX('OneCause_Paste'!$A$2704:$AZ$2704,1,OC_Name)))</f>
        <v/>
      </c>
      <c r="L2704">
        <f>IF(OC_Txn=0,"",IF(INDEX('OneCause_Paste'!$A$2704:$AZ$2704,1,OC_Txn)="","",INDEX('OneCause_Paste'!$A$2704:$AZ$2704,1,OC_Txn)))</f>
        <v/>
      </c>
      <c r="M2704">
        <f>IF(OC_Pay=0,"",IF(INDEX('OneCause_Paste'!$A$2704:$AZ$2704,1,OC_Pay)="","",INDEX('OneCause_Paste'!$A$2704:$AZ$2704,1,OC_Pay)))</f>
        <v/>
      </c>
      <c r="N2704">
        <f>IF(I2704="","",IF(ISNUMBER(I2704),INT(I2704),IFERROR(INT(DATEVALUE(I2704)),IFERROR(INT(VALUE(I2704)),"bad"))))</f>
        <v/>
      </c>
      <c r="O2704">
        <f>IF(J2704="","",IF(ISNUMBER(J2704),ROUND(J2704,2),IFERROR(ROUND(VALUE(SUBSTITUTE(SUBSTITUTE(SUBSTITUTE(J2704,"$",""),",","")," ","")),2),"bad")))</f>
        <v/>
      </c>
      <c r="P2704">
        <f>IF(TRIM(K2704)="","",IFERROR(MATCH(LOWER(TRIM(K2704)),'Students'!$AH$2:$AH$701,0),IFERROR(MATCH(LOWER(TRIM(K2704)),'Students'!$AF$2:$AF$701,0),IFERROR(MATCH(LOWER(TRIM(K2704)),'Students'!$AG$2:$AG$701,0),""))))</f>
        <v/>
      </c>
      <c r="R2704">
        <f>IF(P2704="","",INDEX('Students'!$AD$2:$AD$701,P2704))</f>
        <v/>
      </c>
      <c r="S2704">
        <f>IF(H2704="OK",O2704,0)</f>
        <v/>
      </c>
      <c r="T2704">
        <f>IF(H2704="OK",N2704,"")</f>
        <v/>
      </c>
      <c r="U2704">
        <f>IF(OC_Donor=0,"",IF(INDEX('OneCause_Paste'!$A$2704:$AZ$2704,1,OC_Donor)="","",INDEX('OneCause_Paste'!$A$2704:$AZ$2704,1,OC_Donor)))</f>
        <v/>
      </c>
    </row>
    <row r="2705">
      <c r="A2705" s="62">
        <f>IF(H2705="","",IF(ISNUMBER(N2705),N2705,I2705))</f>
        <v/>
      </c>
      <c r="B2705">
        <f>IF(H2705="","",U2705)</f>
        <v/>
      </c>
      <c r="C2705">
        <f>IF(H2705="","",IF(P2705="",K2705,INDEX('Students'!$A$2:$A$701,P2705)))</f>
        <v/>
      </c>
      <c r="D2705">
        <f>IF(OR(H2705="",P2705=""),"",INDEX('Students'!$B$2:$B$701,P2705))</f>
        <v/>
      </c>
      <c r="E2705">
        <f>IF(OR(H2705="",P2705=""),"",INDEX('Students'!$C$2:$C$701,P2705))</f>
        <v/>
      </c>
      <c r="F2705" s="48">
        <f>IF(H2705="","",IF(ISNUMBER(O2705),O2705,J2705))</f>
        <v/>
      </c>
      <c r="G2705">
        <f>IF(H2705="","","OneCause")</f>
        <v/>
      </c>
      <c r="H2705">
        <f>IF(AND(I2705="",J2705="",K2705=""),"",IF(NOT(ISNUMBER(O2705)),"Bad amount",IF(O2705&lt;0,"Refund (not counted)",IF(O2705=0,"Zero amount",IF(NOT(ISNUMBER(N2705)),"Bad date",IF(P2705="","NAME NOT ON ROSTER",IF(L2705="","OK",IF(MATCH(L2705,$L$2:$L$3001,0)&lt;ROW()-1,"Duplicate (ignored)","OK"))))))))</f>
        <v/>
      </c>
      <c r="I2705">
        <f>IF(OC_Date=0,"",IF(INDEX('OneCause_Paste'!$A$2705:$AZ$2705,1,OC_Date)="","",INDEX('OneCause_Paste'!$A$2705:$AZ$2705,1,OC_Date)))</f>
        <v/>
      </c>
      <c r="J2705">
        <f>IF(OC_Amt=0,"",IF(INDEX('OneCause_Paste'!$A$2705:$AZ$2705,1,OC_Amt)="","",INDEX('OneCause_Paste'!$A$2705:$AZ$2705,1,OC_Amt)))</f>
        <v/>
      </c>
      <c r="K2705">
        <f>IF(OC_Name=0,"",IF(INDEX('OneCause_Paste'!$A$2705:$AZ$2705,1,OC_Name)="","",INDEX('OneCause_Paste'!$A$2705:$AZ$2705,1,OC_Name)))</f>
        <v/>
      </c>
      <c r="L2705">
        <f>IF(OC_Txn=0,"",IF(INDEX('OneCause_Paste'!$A$2705:$AZ$2705,1,OC_Txn)="","",INDEX('OneCause_Paste'!$A$2705:$AZ$2705,1,OC_Txn)))</f>
        <v/>
      </c>
      <c r="M2705">
        <f>IF(OC_Pay=0,"",IF(INDEX('OneCause_Paste'!$A$2705:$AZ$2705,1,OC_Pay)="","",INDEX('OneCause_Paste'!$A$2705:$AZ$2705,1,OC_Pay)))</f>
        <v/>
      </c>
      <c r="N2705">
        <f>IF(I2705="","",IF(ISNUMBER(I2705),INT(I2705),IFERROR(INT(DATEVALUE(I2705)),IFERROR(INT(VALUE(I2705)),"bad"))))</f>
        <v/>
      </c>
      <c r="O2705">
        <f>IF(J2705="","",IF(ISNUMBER(J2705),ROUND(J2705,2),IFERROR(ROUND(VALUE(SUBSTITUTE(SUBSTITUTE(SUBSTITUTE(J2705,"$",""),",","")," ","")),2),"bad")))</f>
        <v/>
      </c>
      <c r="P2705">
        <f>IF(TRIM(K2705)="","",IFERROR(MATCH(LOWER(TRIM(K2705)),'Students'!$AH$2:$AH$701,0),IFERROR(MATCH(LOWER(TRIM(K2705)),'Students'!$AF$2:$AF$701,0),IFERROR(MATCH(LOWER(TRIM(K2705)),'Students'!$AG$2:$AG$701,0),""))))</f>
        <v/>
      </c>
      <c r="R2705">
        <f>IF(P2705="","",INDEX('Students'!$AD$2:$AD$701,P2705))</f>
        <v/>
      </c>
      <c r="S2705">
        <f>IF(H2705="OK",O2705,0)</f>
        <v/>
      </c>
      <c r="T2705">
        <f>IF(H2705="OK",N2705,"")</f>
        <v/>
      </c>
      <c r="U2705">
        <f>IF(OC_Donor=0,"",IF(INDEX('OneCause_Paste'!$A$2705:$AZ$2705,1,OC_Donor)="","",INDEX('OneCause_Paste'!$A$2705:$AZ$2705,1,OC_Donor)))</f>
        <v/>
      </c>
    </row>
    <row r="2706">
      <c r="A2706" s="62">
        <f>IF(H2706="","",IF(ISNUMBER(N2706),N2706,I2706))</f>
        <v/>
      </c>
      <c r="B2706">
        <f>IF(H2706="","",U2706)</f>
        <v/>
      </c>
      <c r="C2706">
        <f>IF(H2706="","",IF(P2706="",K2706,INDEX('Students'!$A$2:$A$701,P2706)))</f>
        <v/>
      </c>
      <c r="D2706">
        <f>IF(OR(H2706="",P2706=""),"",INDEX('Students'!$B$2:$B$701,P2706))</f>
        <v/>
      </c>
      <c r="E2706">
        <f>IF(OR(H2706="",P2706=""),"",INDEX('Students'!$C$2:$C$701,P2706))</f>
        <v/>
      </c>
      <c r="F2706" s="48">
        <f>IF(H2706="","",IF(ISNUMBER(O2706),O2706,J2706))</f>
        <v/>
      </c>
      <c r="G2706">
        <f>IF(H2706="","","OneCause")</f>
        <v/>
      </c>
      <c r="H2706">
        <f>IF(AND(I2706="",J2706="",K2706=""),"",IF(NOT(ISNUMBER(O2706)),"Bad amount",IF(O2706&lt;0,"Refund (not counted)",IF(O2706=0,"Zero amount",IF(NOT(ISNUMBER(N2706)),"Bad date",IF(P2706="","NAME NOT ON ROSTER",IF(L2706="","OK",IF(MATCH(L2706,$L$2:$L$3001,0)&lt;ROW()-1,"Duplicate (ignored)","OK"))))))))</f>
        <v/>
      </c>
      <c r="I2706">
        <f>IF(OC_Date=0,"",IF(INDEX('OneCause_Paste'!$A$2706:$AZ$2706,1,OC_Date)="","",INDEX('OneCause_Paste'!$A$2706:$AZ$2706,1,OC_Date)))</f>
        <v/>
      </c>
      <c r="J2706">
        <f>IF(OC_Amt=0,"",IF(INDEX('OneCause_Paste'!$A$2706:$AZ$2706,1,OC_Amt)="","",INDEX('OneCause_Paste'!$A$2706:$AZ$2706,1,OC_Amt)))</f>
        <v/>
      </c>
      <c r="K2706">
        <f>IF(OC_Name=0,"",IF(INDEX('OneCause_Paste'!$A$2706:$AZ$2706,1,OC_Name)="","",INDEX('OneCause_Paste'!$A$2706:$AZ$2706,1,OC_Name)))</f>
        <v/>
      </c>
      <c r="L2706">
        <f>IF(OC_Txn=0,"",IF(INDEX('OneCause_Paste'!$A$2706:$AZ$2706,1,OC_Txn)="","",INDEX('OneCause_Paste'!$A$2706:$AZ$2706,1,OC_Txn)))</f>
        <v/>
      </c>
      <c r="M2706">
        <f>IF(OC_Pay=0,"",IF(INDEX('OneCause_Paste'!$A$2706:$AZ$2706,1,OC_Pay)="","",INDEX('OneCause_Paste'!$A$2706:$AZ$2706,1,OC_Pay)))</f>
        <v/>
      </c>
      <c r="N2706">
        <f>IF(I2706="","",IF(ISNUMBER(I2706),INT(I2706),IFERROR(INT(DATEVALUE(I2706)),IFERROR(INT(VALUE(I2706)),"bad"))))</f>
        <v/>
      </c>
      <c r="O2706">
        <f>IF(J2706="","",IF(ISNUMBER(J2706),ROUND(J2706,2),IFERROR(ROUND(VALUE(SUBSTITUTE(SUBSTITUTE(SUBSTITUTE(J2706,"$",""),",","")," ","")),2),"bad")))</f>
        <v/>
      </c>
      <c r="P2706">
        <f>IF(TRIM(K2706)="","",IFERROR(MATCH(LOWER(TRIM(K2706)),'Students'!$AH$2:$AH$701,0),IFERROR(MATCH(LOWER(TRIM(K2706)),'Students'!$AF$2:$AF$701,0),IFERROR(MATCH(LOWER(TRIM(K2706)),'Students'!$AG$2:$AG$701,0),""))))</f>
        <v/>
      </c>
      <c r="R2706">
        <f>IF(P2706="","",INDEX('Students'!$AD$2:$AD$701,P2706))</f>
        <v/>
      </c>
      <c r="S2706">
        <f>IF(H2706="OK",O2706,0)</f>
        <v/>
      </c>
      <c r="T2706">
        <f>IF(H2706="OK",N2706,"")</f>
        <v/>
      </c>
      <c r="U2706">
        <f>IF(OC_Donor=0,"",IF(INDEX('OneCause_Paste'!$A$2706:$AZ$2706,1,OC_Donor)="","",INDEX('OneCause_Paste'!$A$2706:$AZ$2706,1,OC_Donor)))</f>
        <v/>
      </c>
    </row>
    <row r="2707">
      <c r="A2707" s="62">
        <f>IF(H2707="","",IF(ISNUMBER(N2707),N2707,I2707))</f>
        <v/>
      </c>
      <c r="B2707">
        <f>IF(H2707="","",U2707)</f>
        <v/>
      </c>
      <c r="C2707">
        <f>IF(H2707="","",IF(P2707="",K2707,INDEX('Students'!$A$2:$A$701,P2707)))</f>
        <v/>
      </c>
      <c r="D2707">
        <f>IF(OR(H2707="",P2707=""),"",INDEX('Students'!$B$2:$B$701,P2707))</f>
        <v/>
      </c>
      <c r="E2707">
        <f>IF(OR(H2707="",P2707=""),"",INDEX('Students'!$C$2:$C$701,P2707))</f>
        <v/>
      </c>
      <c r="F2707" s="48">
        <f>IF(H2707="","",IF(ISNUMBER(O2707),O2707,J2707))</f>
        <v/>
      </c>
      <c r="G2707">
        <f>IF(H2707="","","OneCause")</f>
        <v/>
      </c>
      <c r="H2707">
        <f>IF(AND(I2707="",J2707="",K2707=""),"",IF(NOT(ISNUMBER(O2707)),"Bad amount",IF(O2707&lt;0,"Refund (not counted)",IF(O2707=0,"Zero amount",IF(NOT(ISNUMBER(N2707)),"Bad date",IF(P2707="","NAME NOT ON ROSTER",IF(L2707="","OK",IF(MATCH(L2707,$L$2:$L$3001,0)&lt;ROW()-1,"Duplicate (ignored)","OK"))))))))</f>
        <v/>
      </c>
      <c r="I2707">
        <f>IF(OC_Date=0,"",IF(INDEX('OneCause_Paste'!$A$2707:$AZ$2707,1,OC_Date)="","",INDEX('OneCause_Paste'!$A$2707:$AZ$2707,1,OC_Date)))</f>
        <v/>
      </c>
      <c r="J2707">
        <f>IF(OC_Amt=0,"",IF(INDEX('OneCause_Paste'!$A$2707:$AZ$2707,1,OC_Amt)="","",INDEX('OneCause_Paste'!$A$2707:$AZ$2707,1,OC_Amt)))</f>
        <v/>
      </c>
      <c r="K2707">
        <f>IF(OC_Name=0,"",IF(INDEX('OneCause_Paste'!$A$2707:$AZ$2707,1,OC_Name)="","",INDEX('OneCause_Paste'!$A$2707:$AZ$2707,1,OC_Name)))</f>
        <v/>
      </c>
      <c r="L2707">
        <f>IF(OC_Txn=0,"",IF(INDEX('OneCause_Paste'!$A$2707:$AZ$2707,1,OC_Txn)="","",INDEX('OneCause_Paste'!$A$2707:$AZ$2707,1,OC_Txn)))</f>
        <v/>
      </c>
      <c r="M2707">
        <f>IF(OC_Pay=0,"",IF(INDEX('OneCause_Paste'!$A$2707:$AZ$2707,1,OC_Pay)="","",INDEX('OneCause_Paste'!$A$2707:$AZ$2707,1,OC_Pay)))</f>
        <v/>
      </c>
      <c r="N2707">
        <f>IF(I2707="","",IF(ISNUMBER(I2707),INT(I2707),IFERROR(INT(DATEVALUE(I2707)),IFERROR(INT(VALUE(I2707)),"bad"))))</f>
        <v/>
      </c>
      <c r="O2707">
        <f>IF(J2707="","",IF(ISNUMBER(J2707),ROUND(J2707,2),IFERROR(ROUND(VALUE(SUBSTITUTE(SUBSTITUTE(SUBSTITUTE(J2707,"$",""),",","")," ","")),2),"bad")))</f>
        <v/>
      </c>
      <c r="P2707">
        <f>IF(TRIM(K2707)="","",IFERROR(MATCH(LOWER(TRIM(K2707)),'Students'!$AH$2:$AH$701,0),IFERROR(MATCH(LOWER(TRIM(K2707)),'Students'!$AF$2:$AF$701,0),IFERROR(MATCH(LOWER(TRIM(K2707)),'Students'!$AG$2:$AG$701,0),""))))</f>
        <v/>
      </c>
      <c r="R2707">
        <f>IF(P2707="","",INDEX('Students'!$AD$2:$AD$701,P2707))</f>
        <v/>
      </c>
      <c r="S2707">
        <f>IF(H2707="OK",O2707,0)</f>
        <v/>
      </c>
      <c r="T2707">
        <f>IF(H2707="OK",N2707,"")</f>
        <v/>
      </c>
      <c r="U2707">
        <f>IF(OC_Donor=0,"",IF(INDEX('OneCause_Paste'!$A$2707:$AZ$2707,1,OC_Donor)="","",INDEX('OneCause_Paste'!$A$2707:$AZ$2707,1,OC_Donor)))</f>
        <v/>
      </c>
    </row>
    <row r="2708">
      <c r="A2708" s="62">
        <f>IF(H2708="","",IF(ISNUMBER(N2708),N2708,I2708))</f>
        <v/>
      </c>
      <c r="B2708">
        <f>IF(H2708="","",U2708)</f>
        <v/>
      </c>
      <c r="C2708">
        <f>IF(H2708="","",IF(P2708="",K2708,INDEX('Students'!$A$2:$A$701,P2708)))</f>
        <v/>
      </c>
      <c r="D2708">
        <f>IF(OR(H2708="",P2708=""),"",INDEX('Students'!$B$2:$B$701,P2708))</f>
        <v/>
      </c>
      <c r="E2708">
        <f>IF(OR(H2708="",P2708=""),"",INDEX('Students'!$C$2:$C$701,P2708))</f>
        <v/>
      </c>
      <c r="F2708" s="48">
        <f>IF(H2708="","",IF(ISNUMBER(O2708),O2708,J2708))</f>
        <v/>
      </c>
      <c r="G2708">
        <f>IF(H2708="","","OneCause")</f>
        <v/>
      </c>
      <c r="H2708">
        <f>IF(AND(I2708="",J2708="",K2708=""),"",IF(NOT(ISNUMBER(O2708)),"Bad amount",IF(O2708&lt;0,"Refund (not counted)",IF(O2708=0,"Zero amount",IF(NOT(ISNUMBER(N2708)),"Bad date",IF(P2708="","NAME NOT ON ROSTER",IF(L2708="","OK",IF(MATCH(L2708,$L$2:$L$3001,0)&lt;ROW()-1,"Duplicate (ignored)","OK"))))))))</f>
        <v/>
      </c>
      <c r="I2708">
        <f>IF(OC_Date=0,"",IF(INDEX('OneCause_Paste'!$A$2708:$AZ$2708,1,OC_Date)="","",INDEX('OneCause_Paste'!$A$2708:$AZ$2708,1,OC_Date)))</f>
        <v/>
      </c>
      <c r="J2708">
        <f>IF(OC_Amt=0,"",IF(INDEX('OneCause_Paste'!$A$2708:$AZ$2708,1,OC_Amt)="","",INDEX('OneCause_Paste'!$A$2708:$AZ$2708,1,OC_Amt)))</f>
        <v/>
      </c>
      <c r="K2708">
        <f>IF(OC_Name=0,"",IF(INDEX('OneCause_Paste'!$A$2708:$AZ$2708,1,OC_Name)="","",INDEX('OneCause_Paste'!$A$2708:$AZ$2708,1,OC_Name)))</f>
        <v/>
      </c>
      <c r="L2708">
        <f>IF(OC_Txn=0,"",IF(INDEX('OneCause_Paste'!$A$2708:$AZ$2708,1,OC_Txn)="","",INDEX('OneCause_Paste'!$A$2708:$AZ$2708,1,OC_Txn)))</f>
        <v/>
      </c>
      <c r="M2708">
        <f>IF(OC_Pay=0,"",IF(INDEX('OneCause_Paste'!$A$2708:$AZ$2708,1,OC_Pay)="","",INDEX('OneCause_Paste'!$A$2708:$AZ$2708,1,OC_Pay)))</f>
        <v/>
      </c>
      <c r="N2708">
        <f>IF(I2708="","",IF(ISNUMBER(I2708),INT(I2708),IFERROR(INT(DATEVALUE(I2708)),IFERROR(INT(VALUE(I2708)),"bad"))))</f>
        <v/>
      </c>
      <c r="O2708">
        <f>IF(J2708="","",IF(ISNUMBER(J2708),ROUND(J2708,2),IFERROR(ROUND(VALUE(SUBSTITUTE(SUBSTITUTE(SUBSTITUTE(J2708,"$",""),",","")," ","")),2),"bad")))</f>
        <v/>
      </c>
      <c r="P2708">
        <f>IF(TRIM(K2708)="","",IFERROR(MATCH(LOWER(TRIM(K2708)),'Students'!$AH$2:$AH$701,0),IFERROR(MATCH(LOWER(TRIM(K2708)),'Students'!$AF$2:$AF$701,0),IFERROR(MATCH(LOWER(TRIM(K2708)),'Students'!$AG$2:$AG$701,0),""))))</f>
        <v/>
      </c>
      <c r="R2708">
        <f>IF(P2708="","",INDEX('Students'!$AD$2:$AD$701,P2708))</f>
        <v/>
      </c>
      <c r="S2708">
        <f>IF(H2708="OK",O2708,0)</f>
        <v/>
      </c>
      <c r="T2708">
        <f>IF(H2708="OK",N2708,"")</f>
        <v/>
      </c>
      <c r="U2708">
        <f>IF(OC_Donor=0,"",IF(INDEX('OneCause_Paste'!$A$2708:$AZ$2708,1,OC_Donor)="","",INDEX('OneCause_Paste'!$A$2708:$AZ$2708,1,OC_Donor)))</f>
        <v/>
      </c>
    </row>
    <row r="2709">
      <c r="A2709" s="62">
        <f>IF(H2709="","",IF(ISNUMBER(N2709),N2709,I2709))</f>
        <v/>
      </c>
      <c r="B2709">
        <f>IF(H2709="","",U2709)</f>
        <v/>
      </c>
      <c r="C2709">
        <f>IF(H2709="","",IF(P2709="",K2709,INDEX('Students'!$A$2:$A$701,P2709)))</f>
        <v/>
      </c>
      <c r="D2709">
        <f>IF(OR(H2709="",P2709=""),"",INDEX('Students'!$B$2:$B$701,P2709))</f>
        <v/>
      </c>
      <c r="E2709">
        <f>IF(OR(H2709="",P2709=""),"",INDEX('Students'!$C$2:$C$701,P2709))</f>
        <v/>
      </c>
      <c r="F2709" s="48">
        <f>IF(H2709="","",IF(ISNUMBER(O2709),O2709,J2709))</f>
        <v/>
      </c>
      <c r="G2709">
        <f>IF(H2709="","","OneCause")</f>
        <v/>
      </c>
      <c r="H2709">
        <f>IF(AND(I2709="",J2709="",K2709=""),"",IF(NOT(ISNUMBER(O2709)),"Bad amount",IF(O2709&lt;0,"Refund (not counted)",IF(O2709=0,"Zero amount",IF(NOT(ISNUMBER(N2709)),"Bad date",IF(P2709="","NAME NOT ON ROSTER",IF(L2709="","OK",IF(MATCH(L2709,$L$2:$L$3001,0)&lt;ROW()-1,"Duplicate (ignored)","OK"))))))))</f>
        <v/>
      </c>
      <c r="I2709">
        <f>IF(OC_Date=0,"",IF(INDEX('OneCause_Paste'!$A$2709:$AZ$2709,1,OC_Date)="","",INDEX('OneCause_Paste'!$A$2709:$AZ$2709,1,OC_Date)))</f>
        <v/>
      </c>
      <c r="J2709">
        <f>IF(OC_Amt=0,"",IF(INDEX('OneCause_Paste'!$A$2709:$AZ$2709,1,OC_Amt)="","",INDEX('OneCause_Paste'!$A$2709:$AZ$2709,1,OC_Amt)))</f>
        <v/>
      </c>
      <c r="K2709">
        <f>IF(OC_Name=0,"",IF(INDEX('OneCause_Paste'!$A$2709:$AZ$2709,1,OC_Name)="","",INDEX('OneCause_Paste'!$A$2709:$AZ$2709,1,OC_Name)))</f>
        <v/>
      </c>
      <c r="L2709">
        <f>IF(OC_Txn=0,"",IF(INDEX('OneCause_Paste'!$A$2709:$AZ$2709,1,OC_Txn)="","",INDEX('OneCause_Paste'!$A$2709:$AZ$2709,1,OC_Txn)))</f>
        <v/>
      </c>
      <c r="M2709">
        <f>IF(OC_Pay=0,"",IF(INDEX('OneCause_Paste'!$A$2709:$AZ$2709,1,OC_Pay)="","",INDEX('OneCause_Paste'!$A$2709:$AZ$2709,1,OC_Pay)))</f>
        <v/>
      </c>
      <c r="N2709">
        <f>IF(I2709="","",IF(ISNUMBER(I2709),INT(I2709),IFERROR(INT(DATEVALUE(I2709)),IFERROR(INT(VALUE(I2709)),"bad"))))</f>
        <v/>
      </c>
      <c r="O2709">
        <f>IF(J2709="","",IF(ISNUMBER(J2709),ROUND(J2709,2),IFERROR(ROUND(VALUE(SUBSTITUTE(SUBSTITUTE(SUBSTITUTE(J2709,"$",""),",","")," ","")),2),"bad")))</f>
        <v/>
      </c>
      <c r="P2709">
        <f>IF(TRIM(K2709)="","",IFERROR(MATCH(LOWER(TRIM(K2709)),'Students'!$AH$2:$AH$701,0),IFERROR(MATCH(LOWER(TRIM(K2709)),'Students'!$AF$2:$AF$701,0),IFERROR(MATCH(LOWER(TRIM(K2709)),'Students'!$AG$2:$AG$701,0),""))))</f>
        <v/>
      </c>
      <c r="R2709">
        <f>IF(P2709="","",INDEX('Students'!$AD$2:$AD$701,P2709))</f>
        <v/>
      </c>
      <c r="S2709">
        <f>IF(H2709="OK",O2709,0)</f>
        <v/>
      </c>
      <c r="T2709">
        <f>IF(H2709="OK",N2709,"")</f>
        <v/>
      </c>
      <c r="U2709">
        <f>IF(OC_Donor=0,"",IF(INDEX('OneCause_Paste'!$A$2709:$AZ$2709,1,OC_Donor)="","",INDEX('OneCause_Paste'!$A$2709:$AZ$2709,1,OC_Donor)))</f>
        <v/>
      </c>
    </row>
    <row r="2710">
      <c r="A2710" s="62">
        <f>IF(H2710="","",IF(ISNUMBER(N2710),N2710,I2710))</f>
        <v/>
      </c>
      <c r="B2710">
        <f>IF(H2710="","",U2710)</f>
        <v/>
      </c>
      <c r="C2710">
        <f>IF(H2710="","",IF(P2710="",K2710,INDEX('Students'!$A$2:$A$701,P2710)))</f>
        <v/>
      </c>
      <c r="D2710">
        <f>IF(OR(H2710="",P2710=""),"",INDEX('Students'!$B$2:$B$701,P2710))</f>
        <v/>
      </c>
      <c r="E2710">
        <f>IF(OR(H2710="",P2710=""),"",INDEX('Students'!$C$2:$C$701,P2710))</f>
        <v/>
      </c>
      <c r="F2710" s="48">
        <f>IF(H2710="","",IF(ISNUMBER(O2710),O2710,J2710))</f>
        <v/>
      </c>
      <c r="G2710">
        <f>IF(H2710="","","OneCause")</f>
        <v/>
      </c>
      <c r="H2710">
        <f>IF(AND(I2710="",J2710="",K2710=""),"",IF(NOT(ISNUMBER(O2710)),"Bad amount",IF(O2710&lt;0,"Refund (not counted)",IF(O2710=0,"Zero amount",IF(NOT(ISNUMBER(N2710)),"Bad date",IF(P2710="","NAME NOT ON ROSTER",IF(L2710="","OK",IF(MATCH(L2710,$L$2:$L$3001,0)&lt;ROW()-1,"Duplicate (ignored)","OK"))))))))</f>
        <v/>
      </c>
      <c r="I2710">
        <f>IF(OC_Date=0,"",IF(INDEX('OneCause_Paste'!$A$2710:$AZ$2710,1,OC_Date)="","",INDEX('OneCause_Paste'!$A$2710:$AZ$2710,1,OC_Date)))</f>
        <v/>
      </c>
      <c r="J2710">
        <f>IF(OC_Amt=0,"",IF(INDEX('OneCause_Paste'!$A$2710:$AZ$2710,1,OC_Amt)="","",INDEX('OneCause_Paste'!$A$2710:$AZ$2710,1,OC_Amt)))</f>
        <v/>
      </c>
      <c r="K2710">
        <f>IF(OC_Name=0,"",IF(INDEX('OneCause_Paste'!$A$2710:$AZ$2710,1,OC_Name)="","",INDEX('OneCause_Paste'!$A$2710:$AZ$2710,1,OC_Name)))</f>
        <v/>
      </c>
      <c r="L2710">
        <f>IF(OC_Txn=0,"",IF(INDEX('OneCause_Paste'!$A$2710:$AZ$2710,1,OC_Txn)="","",INDEX('OneCause_Paste'!$A$2710:$AZ$2710,1,OC_Txn)))</f>
        <v/>
      </c>
      <c r="M2710">
        <f>IF(OC_Pay=0,"",IF(INDEX('OneCause_Paste'!$A$2710:$AZ$2710,1,OC_Pay)="","",INDEX('OneCause_Paste'!$A$2710:$AZ$2710,1,OC_Pay)))</f>
        <v/>
      </c>
      <c r="N2710">
        <f>IF(I2710="","",IF(ISNUMBER(I2710),INT(I2710),IFERROR(INT(DATEVALUE(I2710)),IFERROR(INT(VALUE(I2710)),"bad"))))</f>
        <v/>
      </c>
      <c r="O2710">
        <f>IF(J2710="","",IF(ISNUMBER(J2710),ROUND(J2710,2),IFERROR(ROUND(VALUE(SUBSTITUTE(SUBSTITUTE(SUBSTITUTE(J2710,"$",""),",","")," ","")),2),"bad")))</f>
        <v/>
      </c>
      <c r="P2710">
        <f>IF(TRIM(K2710)="","",IFERROR(MATCH(LOWER(TRIM(K2710)),'Students'!$AH$2:$AH$701,0),IFERROR(MATCH(LOWER(TRIM(K2710)),'Students'!$AF$2:$AF$701,0),IFERROR(MATCH(LOWER(TRIM(K2710)),'Students'!$AG$2:$AG$701,0),""))))</f>
        <v/>
      </c>
      <c r="R2710">
        <f>IF(P2710="","",INDEX('Students'!$AD$2:$AD$701,P2710))</f>
        <v/>
      </c>
      <c r="S2710">
        <f>IF(H2710="OK",O2710,0)</f>
        <v/>
      </c>
      <c r="T2710">
        <f>IF(H2710="OK",N2710,"")</f>
        <v/>
      </c>
      <c r="U2710">
        <f>IF(OC_Donor=0,"",IF(INDEX('OneCause_Paste'!$A$2710:$AZ$2710,1,OC_Donor)="","",INDEX('OneCause_Paste'!$A$2710:$AZ$2710,1,OC_Donor)))</f>
        <v/>
      </c>
    </row>
    <row r="2711">
      <c r="A2711" s="62">
        <f>IF(H2711="","",IF(ISNUMBER(N2711),N2711,I2711))</f>
        <v/>
      </c>
      <c r="B2711">
        <f>IF(H2711="","",U2711)</f>
        <v/>
      </c>
      <c r="C2711">
        <f>IF(H2711="","",IF(P2711="",K2711,INDEX('Students'!$A$2:$A$701,P2711)))</f>
        <v/>
      </c>
      <c r="D2711">
        <f>IF(OR(H2711="",P2711=""),"",INDEX('Students'!$B$2:$B$701,P2711))</f>
        <v/>
      </c>
      <c r="E2711">
        <f>IF(OR(H2711="",P2711=""),"",INDEX('Students'!$C$2:$C$701,P2711))</f>
        <v/>
      </c>
      <c r="F2711" s="48">
        <f>IF(H2711="","",IF(ISNUMBER(O2711),O2711,J2711))</f>
        <v/>
      </c>
      <c r="G2711">
        <f>IF(H2711="","","OneCause")</f>
        <v/>
      </c>
      <c r="H2711">
        <f>IF(AND(I2711="",J2711="",K2711=""),"",IF(NOT(ISNUMBER(O2711)),"Bad amount",IF(O2711&lt;0,"Refund (not counted)",IF(O2711=0,"Zero amount",IF(NOT(ISNUMBER(N2711)),"Bad date",IF(P2711="","NAME NOT ON ROSTER",IF(L2711="","OK",IF(MATCH(L2711,$L$2:$L$3001,0)&lt;ROW()-1,"Duplicate (ignored)","OK"))))))))</f>
        <v/>
      </c>
      <c r="I2711">
        <f>IF(OC_Date=0,"",IF(INDEX('OneCause_Paste'!$A$2711:$AZ$2711,1,OC_Date)="","",INDEX('OneCause_Paste'!$A$2711:$AZ$2711,1,OC_Date)))</f>
        <v/>
      </c>
      <c r="J2711">
        <f>IF(OC_Amt=0,"",IF(INDEX('OneCause_Paste'!$A$2711:$AZ$2711,1,OC_Amt)="","",INDEX('OneCause_Paste'!$A$2711:$AZ$2711,1,OC_Amt)))</f>
        <v/>
      </c>
      <c r="K2711">
        <f>IF(OC_Name=0,"",IF(INDEX('OneCause_Paste'!$A$2711:$AZ$2711,1,OC_Name)="","",INDEX('OneCause_Paste'!$A$2711:$AZ$2711,1,OC_Name)))</f>
        <v/>
      </c>
      <c r="L2711">
        <f>IF(OC_Txn=0,"",IF(INDEX('OneCause_Paste'!$A$2711:$AZ$2711,1,OC_Txn)="","",INDEX('OneCause_Paste'!$A$2711:$AZ$2711,1,OC_Txn)))</f>
        <v/>
      </c>
      <c r="M2711">
        <f>IF(OC_Pay=0,"",IF(INDEX('OneCause_Paste'!$A$2711:$AZ$2711,1,OC_Pay)="","",INDEX('OneCause_Paste'!$A$2711:$AZ$2711,1,OC_Pay)))</f>
        <v/>
      </c>
      <c r="N2711">
        <f>IF(I2711="","",IF(ISNUMBER(I2711),INT(I2711),IFERROR(INT(DATEVALUE(I2711)),IFERROR(INT(VALUE(I2711)),"bad"))))</f>
        <v/>
      </c>
      <c r="O2711">
        <f>IF(J2711="","",IF(ISNUMBER(J2711),ROUND(J2711,2),IFERROR(ROUND(VALUE(SUBSTITUTE(SUBSTITUTE(SUBSTITUTE(J2711,"$",""),",","")," ","")),2),"bad")))</f>
        <v/>
      </c>
      <c r="P2711">
        <f>IF(TRIM(K2711)="","",IFERROR(MATCH(LOWER(TRIM(K2711)),'Students'!$AH$2:$AH$701,0),IFERROR(MATCH(LOWER(TRIM(K2711)),'Students'!$AF$2:$AF$701,0),IFERROR(MATCH(LOWER(TRIM(K2711)),'Students'!$AG$2:$AG$701,0),""))))</f>
        <v/>
      </c>
      <c r="R2711">
        <f>IF(P2711="","",INDEX('Students'!$AD$2:$AD$701,P2711))</f>
        <v/>
      </c>
      <c r="S2711">
        <f>IF(H2711="OK",O2711,0)</f>
        <v/>
      </c>
      <c r="T2711">
        <f>IF(H2711="OK",N2711,"")</f>
        <v/>
      </c>
      <c r="U2711">
        <f>IF(OC_Donor=0,"",IF(INDEX('OneCause_Paste'!$A$2711:$AZ$2711,1,OC_Donor)="","",INDEX('OneCause_Paste'!$A$2711:$AZ$2711,1,OC_Donor)))</f>
        <v/>
      </c>
    </row>
    <row r="2712">
      <c r="A2712" s="62">
        <f>IF(H2712="","",IF(ISNUMBER(N2712),N2712,I2712))</f>
        <v/>
      </c>
      <c r="B2712">
        <f>IF(H2712="","",U2712)</f>
        <v/>
      </c>
      <c r="C2712">
        <f>IF(H2712="","",IF(P2712="",K2712,INDEX('Students'!$A$2:$A$701,P2712)))</f>
        <v/>
      </c>
      <c r="D2712">
        <f>IF(OR(H2712="",P2712=""),"",INDEX('Students'!$B$2:$B$701,P2712))</f>
        <v/>
      </c>
      <c r="E2712">
        <f>IF(OR(H2712="",P2712=""),"",INDEX('Students'!$C$2:$C$701,P2712))</f>
        <v/>
      </c>
      <c r="F2712" s="48">
        <f>IF(H2712="","",IF(ISNUMBER(O2712),O2712,J2712))</f>
        <v/>
      </c>
      <c r="G2712">
        <f>IF(H2712="","","OneCause")</f>
        <v/>
      </c>
      <c r="H2712">
        <f>IF(AND(I2712="",J2712="",K2712=""),"",IF(NOT(ISNUMBER(O2712)),"Bad amount",IF(O2712&lt;0,"Refund (not counted)",IF(O2712=0,"Zero amount",IF(NOT(ISNUMBER(N2712)),"Bad date",IF(P2712="","NAME NOT ON ROSTER",IF(L2712="","OK",IF(MATCH(L2712,$L$2:$L$3001,0)&lt;ROW()-1,"Duplicate (ignored)","OK"))))))))</f>
        <v/>
      </c>
      <c r="I2712">
        <f>IF(OC_Date=0,"",IF(INDEX('OneCause_Paste'!$A$2712:$AZ$2712,1,OC_Date)="","",INDEX('OneCause_Paste'!$A$2712:$AZ$2712,1,OC_Date)))</f>
        <v/>
      </c>
      <c r="J2712">
        <f>IF(OC_Amt=0,"",IF(INDEX('OneCause_Paste'!$A$2712:$AZ$2712,1,OC_Amt)="","",INDEX('OneCause_Paste'!$A$2712:$AZ$2712,1,OC_Amt)))</f>
        <v/>
      </c>
      <c r="K2712">
        <f>IF(OC_Name=0,"",IF(INDEX('OneCause_Paste'!$A$2712:$AZ$2712,1,OC_Name)="","",INDEX('OneCause_Paste'!$A$2712:$AZ$2712,1,OC_Name)))</f>
        <v/>
      </c>
      <c r="L2712">
        <f>IF(OC_Txn=0,"",IF(INDEX('OneCause_Paste'!$A$2712:$AZ$2712,1,OC_Txn)="","",INDEX('OneCause_Paste'!$A$2712:$AZ$2712,1,OC_Txn)))</f>
        <v/>
      </c>
      <c r="M2712">
        <f>IF(OC_Pay=0,"",IF(INDEX('OneCause_Paste'!$A$2712:$AZ$2712,1,OC_Pay)="","",INDEX('OneCause_Paste'!$A$2712:$AZ$2712,1,OC_Pay)))</f>
        <v/>
      </c>
      <c r="N2712">
        <f>IF(I2712="","",IF(ISNUMBER(I2712),INT(I2712),IFERROR(INT(DATEVALUE(I2712)),IFERROR(INT(VALUE(I2712)),"bad"))))</f>
        <v/>
      </c>
      <c r="O2712">
        <f>IF(J2712="","",IF(ISNUMBER(J2712),ROUND(J2712,2),IFERROR(ROUND(VALUE(SUBSTITUTE(SUBSTITUTE(SUBSTITUTE(J2712,"$",""),",","")," ","")),2),"bad")))</f>
        <v/>
      </c>
      <c r="P2712">
        <f>IF(TRIM(K2712)="","",IFERROR(MATCH(LOWER(TRIM(K2712)),'Students'!$AH$2:$AH$701,0),IFERROR(MATCH(LOWER(TRIM(K2712)),'Students'!$AF$2:$AF$701,0),IFERROR(MATCH(LOWER(TRIM(K2712)),'Students'!$AG$2:$AG$701,0),""))))</f>
        <v/>
      </c>
      <c r="R2712">
        <f>IF(P2712="","",INDEX('Students'!$AD$2:$AD$701,P2712))</f>
        <v/>
      </c>
      <c r="S2712">
        <f>IF(H2712="OK",O2712,0)</f>
        <v/>
      </c>
      <c r="T2712">
        <f>IF(H2712="OK",N2712,"")</f>
        <v/>
      </c>
      <c r="U2712">
        <f>IF(OC_Donor=0,"",IF(INDEX('OneCause_Paste'!$A$2712:$AZ$2712,1,OC_Donor)="","",INDEX('OneCause_Paste'!$A$2712:$AZ$2712,1,OC_Donor)))</f>
        <v/>
      </c>
    </row>
    <row r="2713">
      <c r="A2713" s="62">
        <f>IF(H2713="","",IF(ISNUMBER(N2713),N2713,I2713))</f>
        <v/>
      </c>
      <c r="B2713">
        <f>IF(H2713="","",U2713)</f>
        <v/>
      </c>
      <c r="C2713">
        <f>IF(H2713="","",IF(P2713="",K2713,INDEX('Students'!$A$2:$A$701,P2713)))</f>
        <v/>
      </c>
      <c r="D2713">
        <f>IF(OR(H2713="",P2713=""),"",INDEX('Students'!$B$2:$B$701,P2713))</f>
        <v/>
      </c>
      <c r="E2713">
        <f>IF(OR(H2713="",P2713=""),"",INDEX('Students'!$C$2:$C$701,P2713))</f>
        <v/>
      </c>
      <c r="F2713" s="48">
        <f>IF(H2713="","",IF(ISNUMBER(O2713),O2713,J2713))</f>
        <v/>
      </c>
      <c r="G2713">
        <f>IF(H2713="","","OneCause")</f>
        <v/>
      </c>
      <c r="H2713">
        <f>IF(AND(I2713="",J2713="",K2713=""),"",IF(NOT(ISNUMBER(O2713)),"Bad amount",IF(O2713&lt;0,"Refund (not counted)",IF(O2713=0,"Zero amount",IF(NOT(ISNUMBER(N2713)),"Bad date",IF(P2713="","NAME NOT ON ROSTER",IF(L2713="","OK",IF(MATCH(L2713,$L$2:$L$3001,0)&lt;ROW()-1,"Duplicate (ignored)","OK"))))))))</f>
        <v/>
      </c>
      <c r="I2713">
        <f>IF(OC_Date=0,"",IF(INDEX('OneCause_Paste'!$A$2713:$AZ$2713,1,OC_Date)="","",INDEX('OneCause_Paste'!$A$2713:$AZ$2713,1,OC_Date)))</f>
        <v/>
      </c>
      <c r="J2713">
        <f>IF(OC_Amt=0,"",IF(INDEX('OneCause_Paste'!$A$2713:$AZ$2713,1,OC_Amt)="","",INDEX('OneCause_Paste'!$A$2713:$AZ$2713,1,OC_Amt)))</f>
        <v/>
      </c>
      <c r="K2713">
        <f>IF(OC_Name=0,"",IF(INDEX('OneCause_Paste'!$A$2713:$AZ$2713,1,OC_Name)="","",INDEX('OneCause_Paste'!$A$2713:$AZ$2713,1,OC_Name)))</f>
        <v/>
      </c>
      <c r="L2713">
        <f>IF(OC_Txn=0,"",IF(INDEX('OneCause_Paste'!$A$2713:$AZ$2713,1,OC_Txn)="","",INDEX('OneCause_Paste'!$A$2713:$AZ$2713,1,OC_Txn)))</f>
        <v/>
      </c>
      <c r="M2713">
        <f>IF(OC_Pay=0,"",IF(INDEX('OneCause_Paste'!$A$2713:$AZ$2713,1,OC_Pay)="","",INDEX('OneCause_Paste'!$A$2713:$AZ$2713,1,OC_Pay)))</f>
        <v/>
      </c>
      <c r="N2713">
        <f>IF(I2713="","",IF(ISNUMBER(I2713),INT(I2713),IFERROR(INT(DATEVALUE(I2713)),IFERROR(INT(VALUE(I2713)),"bad"))))</f>
        <v/>
      </c>
      <c r="O2713">
        <f>IF(J2713="","",IF(ISNUMBER(J2713),ROUND(J2713,2),IFERROR(ROUND(VALUE(SUBSTITUTE(SUBSTITUTE(SUBSTITUTE(J2713,"$",""),",","")," ","")),2),"bad")))</f>
        <v/>
      </c>
      <c r="P2713">
        <f>IF(TRIM(K2713)="","",IFERROR(MATCH(LOWER(TRIM(K2713)),'Students'!$AH$2:$AH$701,0),IFERROR(MATCH(LOWER(TRIM(K2713)),'Students'!$AF$2:$AF$701,0),IFERROR(MATCH(LOWER(TRIM(K2713)),'Students'!$AG$2:$AG$701,0),""))))</f>
        <v/>
      </c>
      <c r="R2713">
        <f>IF(P2713="","",INDEX('Students'!$AD$2:$AD$701,P2713))</f>
        <v/>
      </c>
      <c r="S2713">
        <f>IF(H2713="OK",O2713,0)</f>
        <v/>
      </c>
      <c r="T2713">
        <f>IF(H2713="OK",N2713,"")</f>
        <v/>
      </c>
      <c r="U2713">
        <f>IF(OC_Donor=0,"",IF(INDEX('OneCause_Paste'!$A$2713:$AZ$2713,1,OC_Donor)="","",INDEX('OneCause_Paste'!$A$2713:$AZ$2713,1,OC_Donor)))</f>
        <v/>
      </c>
    </row>
    <row r="2714">
      <c r="A2714" s="62">
        <f>IF(H2714="","",IF(ISNUMBER(N2714),N2714,I2714))</f>
        <v/>
      </c>
      <c r="B2714">
        <f>IF(H2714="","",U2714)</f>
        <v/>
      </c>
      <c r="C2714">
        <f>IF(H2714="","",IF(P2714="",K2714,INDEX('Students'!$A$2:$A$701,P2714)))</f>
        <v/>
      </c>
      <c r="D2714">
        <f>IF(OR(H2714="",P2714=""),"",INDEX('Students'!$B$2:$B$701,P2714))</f>
        <v/>
      </c>
      <c r="E2714">
        <f>IF(OR(H2714="",P2714=""),"",INDEX('Students'!$C$2:$C$701,P2714))</f>
        <v/>
      </c>
      <c r="F2714" s="48">
        <f>IF(H2714="","",IF(ISNUMBER(O2714),O2714,J2714))</f>
        <v/>
      </c>
      <c r="G2714">
        <f>IF(H2714="","","OneCause")</f>
        <v/>
      </c>
      <c r="H2714">
        <f>IF(AND(I2714="",J2714="",K2714=""),"",IF(NOT(ISNUMBER(O2714)),"Bad amount",IF(O2714&lt;0,"Refund (not counted)",IF(O2714=0,"Zero amount",IF(NOT(ISNUMBER(N2714)),"Bad date",IF(P2714="","NAME NOT ON ROSTER",IF(L2714="","OK",IF(MATCH(L2714,$L$2:$L$3001,0)&lt;ROW()-1,"Duplicate (ignored)","OK"))))))))</f>
        <v/>
      </c>
      <c r="I2714">
        <f>IF(OC_Date=0,"",IF(INDEX('OneCause_Paste'!$A$2714:$AZ$2714,1,OC_Date)="","",INDEX('OneCause_Paste'!$A$2714:$AZ$2714,1,OC_Date)))</f>
        <v/>
      </c>
      <c r="J2714">
        <f>IF(OC_Amt=0,"",IF(INDEX('OneCause_Paste'!$A$2714:$AZ$2714,1,OC_Amt)="","",INDEX('OneCause_Paste'!$A$2714:$AZ$2714,1,OC_Amt)))</f>
        <v/>
      </c>
      <c r="K2714">
        <f>IF(OC_Name=0,"",IF(INDEX('OneCause_Paste'!$A$2714:$AZ$2714,1,OC_Name)="","",INDEX('OneCause_Paste'!$A$2714:$AZ$2714,1,OC_Name)))</f>
        <v/>
      </c>
      <c r="L2714">
        <f>IF(OC_Txn=0,"",IF(INDEX('OneCause_Paste'!$A$2714:$AZ$2714,1,OC_Txn)="","",INDEX('OneCause_Paste'!$A$2714:$AZ$2714,1,OC_Txn)))</f>
        <v/>
      </c>
      <c r="M2714">
        <f>IF(OC_Pay=0,"",IF(INDEX('OneCause_Paste'!$A$2714:$AZ$2714,1,OC_Pay)="","",INDEX('OneCause_Paste'!$A$2714:$AZ$2714,1,OC_Pay)))</f>
        <v/>
      </c>
      <c r="N2714">
        <f>IF(I2714="","",IF(ISNUMBER(I2714),INT(I2714),IFERROR(INT(DATEVALUE(I2714)),IFERROR(INT(VALUE(I2714)),"bad"))))</f>
        <v/>
      </c>
      <c r="O2714">
        <f>IF(J2714="","",IF(ISNUMBER(J2714),ROUND(J2714,2),IFERROR(ROUND(VALUE(SUBSTITUTE(SUBSTITUTE(SUBSTITUTE(J2714,"$",""),",","")," ","")),2),"bad")))</f>
        <v/>
      </c>
      <c r="P2714">
        <f>IF(TRIM(K2714)="","",IFERROR(MATCH(LOWER(TRIM(K2714)),'Students'!$AH$2:$AH$701,0),IFERROR(MATCH(LOWER(TRIM(K2714)),'Students'!$AF$2:$AF$701,0),IFERROR(MATCH(LOWER(TRIM(K2714)),'Students'!$AG$2:$AG$701,0),""))))</f>
        <v/>
      </c>
      <c r="R2714">
        <f>IF(P2714="","",INDEX('Students'!$AD$2:$AD$701,P2714))</f>
        <v/>
      </c>
      <c r="S2714">
        <f>IF(H2714="OK",O2714,0)</f>
        <v/>
      </c>
      <c r="T2714">
        <f>IF(H2714="OK",N2714,"")</f>
        <v/>
      </c>
      <c r="U2714">
        <f>IF(OC_Donor=0,"",IF(INDEX('OneCause_Paste'!$A$2714:$AZ$2714,1,OC_Donor)="","",INDEX('OneCause_Paste'!$A$2714:$AZ$2714,1,OC_Donor)))</f>
        <v/>
      </c>
    </row>
    <row r="2715">
      <c r="A2715" s="62">
        <f>IF(H2715="","",IF(ISNUMBER(N2715),N2715,I2715))</f>
        <v/>
      </c>
      <c r="B2715">
        <f>IF(H2715="","",U2715)</f>
        <v/>
      </c>
      <c r="C2715">
        <f>IF(H2715="","",IF(P2715="",K2715,INDEX('Students'!$A$2:$A$701,P2715)))</f>
        <v/>
      </c>
      <c r="D2715">
        <f>IF(OR(H2715="",P2715=""),"",INDEX('Students'!$B$2:$B$701,P2715))</f>
        <v/>
      </c>
      <c r="E2715">
        <f>IF(OR(H2715="",P2715=""),"",INDEX('Students'!$C$2:$C$701,P2715))</f>
        <v/>
      </c>
      <c r="F2715" s="48">
        <f>IF(H2715="","",IF(ISNUMBER(O2715),O2715,J2715))</f>
        <v/>
      </c>
      <c r="G2715">
        <f>IF(H2715="","","OneCause")</f>
        <v/>
      </c>
      <c r="H2715">
        <f>IF(AND(I2715="",J2715="",K2715=""),"",IF(NOT(ISNUMBER(O2715)),"Bad amount",IF(O2715&lt;0,"Refund (not counted)",IF(O2715=0,"Zero amount",IF(NOT(ISNUMBER(N2715)),"Bad date",IF(P2715="","NAME NOT ON ROSTER",IF(L2715="","OK",IF(MATCH(L2715,$L$2:$L$3001,0)&lt;ROW()-1,"Duplicate (ignored)","OK"))))))))</f>
        <v/>
      </c>
      <c r="I2715">
        <f>IF(OC_Date=0,"",IF(INDEX('OneCause_Paste'!$A$2715:$AZ$2715,1,OC_Date)="","",INDEX('OneCause_Paste'!$A$2715:$AZ$2715,1,OC_Date)))</f>
        <v/>
      </c>
      <c r="J2715">
        <f>IF(OC_Amt=0,"",IF(INDEX('OneCause_Paste'!$A$2715:$AZ$2715,1,OC_Amt)="","",INDEX('OneCause_Paste'!$A$2715:$AZ$2715,1,OC_Amt)))</f>
        <v/>
      </c>
      <c r="K2715">
        <f>IF(OC_Name=0,"",IF(INDEX('OneCause_Paste'!$A$2715:$AZ$2715,1,OC_Name)="","",INDEX('OneCause_Paste'!$A$2715:$AZ$2715,1,OC_Name)))</f>
        <v/>
      </c>
      <c r="L2715">
        <f>IF(OC_Txn=0,"",IF(INDEX('OneCause_Paste'!$A$2715:$AZ$2715,1,OC_Txn)="","",INDEX('OneCause_Paste'!$A$2715:$AZ$2715,1,OC_Txn)))</f>
        <v/>
      </c>
      <c r="M2715">
        <f>IF(OC_Pay=0,"",IF(INDEX('OneCause_Paste'!$A$2715:$AZ$2715,1,OC_Pay)="","",INDEX('OneCause_Paste'!$A$2715:$AZ$2715,1,OC_Pay)))</f>
        <v/>
      </c>
      <c r="N2715">
        <f>IF(I2715="","",IF(ISNUMBER(I2715),INT(I2715),IFERROR(INT(DATEVALUE(I2715)),IFERROR(INT(VALUE(I2715)),"bad"))))</f>
        <v/>
      </c>
      <c r="O2715">
        <f>IF(J2715="","",IF(ISNUMBER(J2715),ROUND(J2715,2),IFERROR(ROUND(VALUE(SUBSTITUTE(SUBSTITUTE(SUBSTITUTE(J2715,"$",""),",","")," ","")),2),"bad")))</f>
        <v/>
      </c>
      <c r="P2715">
        <f>IF(TRIM(K2715)="","",IFERROR(MATCH(LOWER(TRIM(K2715)),'Students'!$AH$2:$AH$701,0),IFERROR(MATCH(LOWER(TRIM(K2715)),'Students'!$AF$2:$AF$701,0),IFERROR(MATCH(LOWER(TRIM(K2715)),'Students'!$AG$2:$AG$701,0),""))))</f>
        <v/>
      </c>
      <c r="R2715">
        <f>IF(P2715="","",INDEX('Students'!$AD$2:$AD$701,P2715))</f>
        <v/>
      </c>
      <c r="S2715">
        <f>IF(H2715="OK",O2715,0)</f>
        <v/>
      </c>
      <c r="T2715">
        <f>IF(H2715="OK",N2715,"")</f>
        <v/>
      </c>
      <c r="U2715">
        <f>IF(OC_Donor=0,"",IF(INDEX('OneCause_Paste'!$A$2715:$AZ$2715,1,OC_Donor)="","",INDEX('OneCause_Paste'!$A$2715:$AZ$2715,1,OC_Donor)))</f>
        <v/>
      </c>
    </row>
    <row r="2716">
      <c r="A2716" s="62">
        <f>IF(H2716="","",IF(ISNUMBER(N2716),N2716,I2716))</f>
        <v/>
      </c>
      <c r="B2716">
        <f>IF(H2716="","",U2716)</f>
        <v/>
      </c>
      <c r="C2716">
        <f>IF(H2716="","",IF(P2716="",K2716,INDEX('Students'!$A$2:$A$701,P2716)))</f>
        <v/>
      </c>
      <c r="D2716">
        <f>IF(OR(H2716="",P2716=""),"",INDEX('Students'!$B$2:$B$701,P2716))</f>
        <v/>
      </c>
      <c r="E2716">
        <f>IF(OR(H2716="",P2716=""),"",INDEX('Students'!$C$2:$C$701,P2716))</f>
        <v/>
      </c>
      <c r="F2716" s="48">
        <f>IF(H2716="","",IF(ISNUMBER(O2716),O2716,J2716))</f>
        <v/>
      </c>
      <c r="G2716">
        <f>IF(H2716="","","OneCause")</f>
        <v/>
      </c>
      <c r="H2716">
        <f>IF(AND(I2716="",J2716="",K2716=""),"",IF(NOT(ISNUMBER(O2716)),"Bad amount",IF(O2716&lt;0,"Refund (not counted)",IF(O2716=0,"Zero amount",IF(NOT(ISNUMBER(N2716)),"Bad date",IF(P2716="","NAME NOT ON ROSTER",IF(L2716="","OK",IF(MATCH(L2716,$L$2:$L$3001,0)&lt;ROW()-1,"Duplicate (ignored)","OK"))))))))</f>
        <v/>
      </c>
      <c r="I2716">
        <f>IF(OC_Date=0,"",IF(INDEX('OneCause_Paste'!$A$2716:$AZ$2716,1,OC_Date)="","",INDEX('OneCause_Paste'!$A$2716:$AZ$2716,1,OC_Date)))</f>
        <v/>
      </c>
      <c r="J2716">
        <f>IF(OC_Amt=0,"",IF(INDEX('OneCause_Paste'!$A$2716:$AZ$2716,1,OC_Amt)="","",INDEX('OneCause_Paste'!$A$2716:$AZ$2716,1,OC_Amt)))</f>
        <v/>
      </c>
      <c r="K2716">
        <f>IF(OC_Name=0,"",IF(INDEX('OneCause_Paste'!$A$2716:$AZ$2716,1,OC_Name)="","",INDEX('OneCause_Paste'!$A$2716:$AZ$2716,1,OC_Name)))</f>
        <v/>
      </c>
      <c r="L2716">
        <f>IF(OC_Txn=0,"",IF(INDEX('OneCause_Paste'!$A$2716:$AZ$2716,1,OC_Txn)="","",INDEX('OneCause_Paste'!$A$2716:$AZ$2716,1,OC_Txn)))</f>
        <v/>
      </c>
      <c r="M2716">
        <f>IF(OC_Pay=0,"",IF(INDEX('OneCause_Paste'!$A$2716:$AZ$2716,1,OC_Pay)="","",INDEX('OneCause_Paste'!$A$2716:$AZ$2716,1,OC_Pay)))</f>
        <v/>
      </c>
      <c r="N2716">
        <f>IF(I2716="","",IF(ISNUMBER(I2716),INT(I2716),IFERROR(INT(DATEVALUE(I2716)),IFERROR(INT(VALUE(I2716)),"bad"))))</f>
        <v/>
      </c>
      <c r="O2716">
        <f>IF(J2716="","",IF(ISNUMBER(J2716),ROUND(J2716,2),IFERROR(ROUND(VALUE(SUBSTITUTE(SUBSTITUTE(SUBSTITUTE(J2716,"$",""),",","")," ","")),2),"bad")))</f>
        <v/>
      </c>
      <c r="P2716">
        <f>IF(TRIM(K2716)="","",IFERROR(MATCH(LOWER(TRIM(K2716)),'Students'!$AH$2:$AH$701,0),IFERROR(MATCH(LOWER(TRIM(K2716)),'Students'!$AF$2:$AF$701,0),IFERROR(MATCH(LOWER(TRIM(K2716)),'Students'!$AG$2:$AG$701,0),""))))</f>
        <v/>
      </c>
      <c r="R2716">
        <f>IF(P2716="","",INDEX('Students'!$AD$2:$AD$701,P2716))</f>
        <v/>
      </c>
      <c r="S2716">
        <f>IF(H2716="OK",O2716,0)</f>
        <v/>
      </c>
      <c r="T2716">
        <f>IF(H2716="OK",N2716,"")</f>
        <v/>
      </c>
      <c r="U2716">
        <f>IF(OC_Donor=0,"",IF(INDEX('OneCause_Paste'!$A$2716:$AZ$2716,1,OC_Donor)="","",INDEX('OneCause_Paste'!$A$2716:$AZ$2716,1,OC_Donor)))</f>
        <v/>
      </c>
    </row>
    <row r="2717">
      <c r="A2717" s="62">
        <f>IF(H2717="","",IF(ISNUMBER(N2717),N2717,I2717))</f>
        <v/>
      </c>
      <c r="B2717">
        <f>IF(H2717="","",U2717)</f>
        <v/>
      </c>
      <c r="C2717">
        <f>IF(H2717="","",IF(P2717="",K2717,INDEX('Students'!$A$2:$A$701,P2717)))</f>
        <v/>
      </c>
      <c r="D2717">
        <f>IF(OR(H2717="",P2717=""),"",INDEX('Students'!$B$2:$B$701,P2717))</f>
        <v/>
      </c>
      <c r="E2717">
        <f>IF(OR(H2717="",P2717=""),"",INDEX('Students'!$C$2:$C$701,P2717))</f>
        <v/>
      </c>
      <c r="F2717" s="48">
        <f>IF(H2717="","",IF(ISNUMBER(O2717),O2717,J2717))</f>
        <v/>
      </c>
      <c r="G2717">
        <f>IF(H2717="","","OneCause")</f>
        <v/>
      </c>
      <c r="H2717">
        <f>IF(AND(I2717="",J2717="",K2717=""),"",IF(NOT(ISNUMBER(O2717)),"Bad amount",IF(O2717&lt;0,"Refund (not counted)",IF(O2717=0,"Zero amount",IF(NOT(ISNUMBER(N2717)),"Bad date",IF(P2717="","NAME NOT ON ROSTER",IF(L2717="","OK",IF(MATCH(L2717,$L$2:$L$3001,0)&lt;ROW()-1,"Duplicate (ignored)","OK"))))))))</f>
        <v/>
      </c>
      <c r="I2717">
        <f>IF(OC_Date=0,"",IF(INDEX('OneCause_Paste'!$A$2717:$AZ$2717,1,OC_Date)="","",INDEX('OneCause_Paste'!$A$2717:$AZ$2717,1,OC_Date)))</f>
        <v/>
      </c>
      <c r="J2717">
        <f>IF(OC_Amt=0,"",IF(INDEX('OneCause_Paste'!$A$2717:$AZ$2717,1,OC_Amt)="","",INDEX('OneCause_Paste'!$A$2717:$AZ$2717,1,OC_Amt)))</f>
        <v/>
      </c>
      <c r="K2717">
        <f>IF(OC_Name=0,"",IF(INDEX('OneCause_Paste'!$A$2717:$AZ$2717,1,OC_Name)="","",INDEX('OneCause_Paste'!$A$2717:$AZ$2717,1,OC_Name)))</f>
        <v/>
      </c>
      <c r="L2717">
        <f>IF(OC_Txn=0,"",IF(INDEX('OneCause_Paste'!$A$2717:$AZ$2717,1,OC_Txn)="","",INDEX('OneCause_Paste'!$A$2717:$AZ$2717,1,OC_Txn)))</f>
        <v/>
      </c>
      <c r="M2717">
        <f>IF(OC_Pay=0,"",IF(INDEX('OneCause_Paste'!$A$2717:$AZ$2717,1,OC_Pay)="","",INDEX('OneCause_Paste'!$A$2717:$AZ$2717,1,OC_Pay)))</f>
        <v/>
      </c>
      <c r="N2717">
        <f>IF(I2717="","",IF(ISNUMBER(I2717),INT(I2717),IFERROR(INT(DATEVALUE(I2717)),IFERROR(INT(VALUE(I2717)),"bad"))))</f>
        <v/>
      </c>
      <c r="O2717">
        <f>IF(J2717="","",IF(ISNUMBER(J2717),ROUND(J2717,2),IFERROR(ROUND(VALUE(SUBSTITUTE(SUBSTITUTE(SUBSTITUTE(J2717,"$",""),",","")," ","")),2),"bad")))</f>
        <v/>
      </c>
      <c r="P2717">
        <f>IF(TRIM(K2717)="","",IFERROR(MATCH(LOWER(TRIM(K2717)),'Students'!$AH$2:$AH$701,0),IFERROR(MATCH(LOWER(TRIM(K2717)),'Students'!$AF$2:$AF$701,0),IFERROR(MATCH(LOWER(TRIM(K2717)),'Students'!$AG$2:$AG$701,0),""))))</f>
        <v/>
      </c>
      <c r="R2717">
        <f>IF(P2717="","",INDEX('Students'!$AD$2:$AD$701,P2717))</f>
        <v/>
      </c>
      <c r="S2717">
        <f>IF(H2717="OK",O2717,0)</f>
        <v/>
      </c>
      <c r="T2717">
        <f>IF(H2717="OK",N2717,"")</f>
        <v/>
      </c>
      <c r="U2717">
        <f>IF(OC_Donor=0,"",IF(INDEX('OneCause_Paste'!$A$2717:$AZ$2717,1,OC_Donor)="","",INDEX('OneCause_Paste'!$A$2717:$AZ$2717,1,OC_Donor)))</f>
        <v/>
      </c>
    </row>
    <row r="2718">
      <c r="A2718" s="62">
        <f>IF(H2718="","",IF(ISNUMBER(N2718),N2718,I2718))</f>
        <v/>
      </c>
      <c r="B2718">
        <f>IF(H2718="","",U2718)</f>
        <v/>
      </c>
      <c r="C2718">
        <f>IF(H2718="","",IF(P2718="",K2718,INDEX('Students'!$A$2:$A$701,P2718)))</f>
        <v/>
      </c>
      <c r="D2718">
        <f>IF(OR(H2718="",P2718=""),"",INDEX('Students'!$B$2:$B$701,P2718))</f>
        <v/>
      </c>
      <c r="E2718">
        <f>IF(OR(H2718="",P2718=""),"",INDEX('Students'!$C$2:$C$701,P2718))</f>
        <v/>
      </c>
      <c r="F2718" s="48">
        <f>IF(H2718="","",IF(ISNUMBER(O2718),O2718,J2718))</f>
        <v/>
      </c>
      <c r="G2718">
        <f>IF(H2718="","","OneCause")</f>
        <v/>
      </c>
      <c r="H2718">
        <f>IF(AND(I2718="",J2718="",K2718=""),"",IF(NOT(ISNUMBER(O2718)),"Bad amount",IF(O2718&lt;0,"Refund (not counted)",IF(O2718=0,"Zero amount",IF(NOT(ISNUMBER(N2718)),"Bad date",IF(P2718="","NAME NOT ON ROSTER",IF(L2718="","OK",IF(MATCH(L2718,$L$2:$L$3001,0)&lt;ROW()-1,"Duplicate (ignored)","OK"))))))))</f>
        <v/>
      </c>
      <c r="I2718">
        <f>IF(OC_Date=0,"",IF(INDEX('OneCause_Paste'!$A$2718:$AZ$2718,1,OC_Date)="","",INDEX('OneCause_Paste'!$A$2718:$AZ$2718,1,OC_Date)))</f>
        <v/>
      </c>
      <c r="J2718">
        <f>IF(OC_Amt=0,"",IF(INDEX('OneCause_Paste'!$A$2718:$AZ$2718,1,OC_Amt)="","",INDEX('OneCause_Paste'!$A$2718:$AZ$2718,1,OC_Amt)))</f>
        <v/>
      </c>
      <c r="K2718">
        <f>IF(OC_Name=0,"",IF(INDEX('OneCause_Paste'!$A$2718:$AZ$2718,1,OC_Name)="","",INDEX('OneCause_Paste'!$A$2718:$AZ$2718,1,OC_Name)))</f>
        <v/>
      </c>
      <c r="L2718">
        <f>IF(OC_Txn=0,"",IF(INDEX('OneCause_Paste'!$A$2718:$AZ$2718,1,OC_Txn)="","",INDEX('OneCause_Paste'!$A$2718:$AZ$2718,1,OC_Txn)))</f>
        <v/>
      </c>
      <c r="M2718">
        <f>IF(OC_Pay=0,"",IF(INDEX('OneCause_Paste'!$A$2718:$AZ$2718,1,OC_Pay)="","",INDEX('OneCause_Paste'!$A$2718:$AZ$2718,1,OC_Pay)))</f>
        <v/>
      </c>
      <c r="N2718">
        <f>IF(I2718="","",IF(ISNUMBER(I2718),INT(I2718),IFERROR(INT(DATEVALUE(I2718)),IFERROR(INT(VALUE(I2718)),"bad"))))</f>
        <v/>
      </c>
      <c r="O2718">
        <f>IF(J2718="","",IF(ISNUMBER(J2718),ROUND(J2718,2),IFERROR(ROUND(VALUE(SUBSTITUTE(SUBSTITUTE(SUBSTITUTE(J2718,"$",""),",","")," ","")),2),"bad")))</f>
        <v/>
      </c>
      <c r="P2718">
        <f>IF(TRIM(K2718)="","",IFERROR(MATCH(LOWER(TRIM(K2718)),'Students'!$AH$2:$AH$701,0),IFERROR(MATCH(LOWER(TRIM(K2718)),'Students'!$AF$2:$AF$701,0),IFERROR(MATCH(LOWER(TRIM(K2718)),'Students'!$AG$2:$AG$701,0),""))))</f>
        <v/>
      </c>
      <c r="R2718">
        <f>IF(P2718="","",INDEX('Students'!$AD$2:$AD$701,P2718))</f>
        <v/>
      </c>
      <c r="S2718">
        <f>IF(H2718="OK",O2718,0)</f>
        <v/>
      </c>
      <c r="T2718">
        <f>IF(H2718="OK",N2718,"")</f>
        <v/>
      </c>
      <c r="U2718">
        <f>IF(OC_Donor=0,"",IF(INDEX('OneCause_Paste'!$A$2718:$AZ$2718,1,OC_Donor)="","",INDEX('OneCause_Paste'!$A$2718:$AZ$2718,1,OC_Donor)))</f>
        <v/>
      </c>
    </row>
    <row r="2719">
      <c r="A2719" s="62">
        <f>IF(H2719="","",IF(ISNUMBER(N2719),N2719,I2719))</f>
        <v/>
      </c>
      <c r="B2719">
        <f>IF(H2719="","",U2719)</f>
        <v/>
      </c>
      <c r="C2719">
        <f>IF(H2719="","",IF(P2719="",K2719,INDEX('Students'!$A$2:$A$701,P2719)))</f>
        <v/>
      </c>
      <c r="D2719">
        <f>IF(OR(H2719="",P2719=""),"",INDEX('Students'!$B$2:$B$701,P2719))</f>
        <v/>
      </c>
      <c r="E2719">
        <f>IF(OR(H2719="",P2719=""),"",INDEX('Students'!$C$2:$C$701,P2719))</f>
        <v/>
      </c>
      <c r="F2719" s="48">
        <f>IF(H2719="","",IF(ISNUMBER(O2719),O2719,J2719))</f>
        <v/>
      </c>
      <c r="G2719">
        <f>IF(H2719="","","OneCause")</f>
        <v/>
      </c>
      <c r="H2719">
        <f>IF(AND(I2719="",J2719="",K2719=""),"",IF(NOT(ISNUMBER(O2719)),"Bad amount",IF(O2719&lt;0,"Refund (not counted)",IF(O2719=0,"Zero amount",IF(NOT(ISNUMBER(N2719)),"Bad date",IF(P2719="","NAME NOT ON ROSTER",IF(L2719="","OK",IF(MATCH(L2719,$L$2:$L$3001,0)&lt;ROW()-1,"Duplicate (ignored)","OK"))))))))</f>
        <v/>
      </c>
      <c r="I2719">
        <f>IF(OC_Date=0,"",IF(INDEX('OneCause_Paste'!$A$2719:$AZ$2719,1,OC_Date)="","",INDEX('OneCause_Paste'!$A$2719:$AZ$2719,1,OC_Date)))</f>
        <v/>
      </c>
      <c r="J2719">
        <f>IF(OC_Amt=0,"",IF(INDEX('OneCause_Paste'!$A$2719:$AZ$2719,1,OC_Amt)="","",INDEX('OneCause_Paste'!$A$2719:$AZ$2719,1,OC_Amt)))</f>
        <v/>
      </c>
      <c r="K2719">
        <f>IF(OC_Name=0,"",IF(INDEX('OneCause_Paste'!$A$2719:$AZ$2719,1,OC_Name)="","",INDEX('OneCause_Paste'!$A$2719:$AZ$2719,1,OC_Name)))</f>
        <v/>
      </c>
      <c r="L2719">
        <f>IF(OC_Txn=0,"",IF(INDEX('OneCause_Paste'!$A$2719:$AZ$2719,1,OC_Txn)="","",INDEX('OneCause_Paste'!$A$2719:$AZ$2719,1,OC_Txn)))</f>
        <v/>
      </c>
      <c r="M2719">
        <f>IF(OC_Pay=0,"",IF(INDEX('OneCause_Paste'!$A$2719:$AZ$2719,1,OC_Pay)="","",INDEX('OneCause_Paste'!$A$2719:$AZ$2719,1,OC_Pay)))</f>
        <v/>
      </c>
      <c r="N2719">
        <f>IF(I2719="","",IF(ISNUMBER(I2719),INT(I2719),IFERROR(INT(DATEVALUE(I2719)),IFERROR(INT(VALUE(I2719)),"bad"))))</f>
        <v/>
      </c>
      <c r="O2719">
        <f>IF(J2719="","",IF(ISNUMBER(J2719),ROUND(J2719,2),IFERROR(ROUND(VALUE(SUBSTITUTE(SUBSTITUTE(SUBSTITUTE(J2719,"$",""),",","")," ","")),2),"bad")))</f>
        <v/>
      </c>
      <c r="P2719">
        <f>IF(TRIM(K2719)="","",IFERROR(MATCH(LOWER(TRIM(K2719)),'Students'!$AH$2:$AH$701,0),IFERROR(MATCH(LOWER(TRIM(K2719)),'Students'!$AF$2:$AF$701,0),IFERROR(MATCH(LOWER(TRIM(K2719)),'Students'!$AG$2:$AG$701,0),""))))</f>
        <v/>
      </c>
      <c r="R2719">
        <f>IF(P2719="","",INDEX('Students'!$AD$2:$AD$701,P2719))</f>
        <v/>
      </c>
      <c r="S2719">
        <f>IF(H2719="OK",O2719,0)</f>
        <v/>
      </c>
      <c r="T2719">
        <f>IF(H2719="OK",N2719,"")</f>
        <v/>
      </c>
      <c r="U2719">
        <f>IF(OC_Donor=0,"",IF(INDEX('OneCause_Paste'!$A$2719:$AZ$2719,1,OC_Donor)="","",INDEX('OneCause_Paste'!$A$2719:$AZ$2719,1,OC_Donor)))</f>
        <v/>
      </c>
    </row>
    <row r="2720">
      <c r="A2720" s="62">
        <f>IF(H2720="","",IF(ISNUMBER(N2720),N2720,I2720))</f>
        <v/>
      </c>
      <c r="B2720">
        <f>IF(H2720="","",U2720)</f>
        <v/>
      </c>
      <c r="C2720">
        <f>IF(H2720="","",IF(P2720="",K2720,INDEX('Students'!$A$2:$A$701,P2720)))</f>
        <v/>
      </c>
      <c r="D2720">
        <f>IF(OR(H2720="",P2720=""),"",INDEX('Students'!$B$2:$B$701,P2720))</f>
        <v/>
      </c>
      <c r="E2720">
        <f>IF(OR(H2720="",P2720=""),"",INDEX('Students'!$C$2:$C$701,P2720))</f>
        <v/>
      </c>
      <c r="F2720" s="48">
        <f>IF(H2720="","",IF(ISNUMBER(O2720),O2720,J2720))</f>
        <v/>
      </c>
      <c r="G2720">
        <f>IF(H2720="","","OneCause")</f>
        <v/>
      </c>
      <c r="H2720">
        <f>IF(AND(I2720="",J2720="",K2720=""),"",IF(NOT(ISNUMBER(O2720)),"Bad amount",IF(O2720&lt;0,"Refund (not counted)",IF(O2720=0,"Zero amount",IF(NOT(ISNUMBER(N2720)),"Bad date",IF(P2720="","NAME NOT ON ROSTER",IF(L2720="","OK",IF(MATCH(L2720,$L$2:$L$3001,0)&lt;ROW()-1,"Duplicate (ignored)","OK"))))))))</f>
        <v/>
      </c>
      <c r="I2720">
        <f>IF(OC_Date=0,"",IF(INDEX('OneCause_Paste'!$A$2720:$AZ$2720,1,OC_Date)="","",INDEX('OneCause_Paste'!$A$2720:$AZ$2720,1,OC_Date)))</f>
        <v/>
      </c>
      <c r="J2720">
        <f>IF(OC_Amt=0,"",IF(INDEX('OneCause_Paste'!$A$2720:$AZ$2720,1,OC_Amt)="","",INDEX('OneCause_Paste'!$A$2720:$AZ$2720,1,OC_Amt)))</f>
        <v/>
      </c>
      <c r="K2720">
        <f>IF(OC_Name=0,"",IF(INDEX('OneCause_Paste'!$A$2720:$AZ$2720,1,OC_Name)="","",INDEX('OneCause_Paste'!$A$2720:$AZ$2720,1,OC_Name)))</f>
        <v/>
      </c>
      <c r="L2720">
        <f>IF(OC_Txn=0,"",IF(INDEX('OneCause_Paste'!$A$2720:$AZ$2720,1,OC_Txn)="","",INDEX('OneCause_Paste'!$A$2720:$AZ$2720,1,OC_Txn)))</f>
        <v/>
      </c>
      <c r="M2720">
        <f>IF(OC_Pay=0,"",IF(INDEX('OneCause_Paste'!$A$2720:$AZ$2720,1,OC_Pay)="","",INDEX('OneCause_Paste'!$A$2720:$AZ$2720,1,OC_Pay)))</f>
        <v/>
      </c>
      <c r="N2720">
        <f>IF(I2720="","",IF(ISNUMBER(I2720),INT(I2720),IFERROR(INT(DATEVALUE(I2720)),IFERROR(INT(VALUE(I2720)),"bad"))))</f>
        <v/>
      </c>
      <c r="O2720">
        <f>IF(J2720="","",IF(ISNUMBER(J2720),ROUND(J2720,2),IFERROR(ROUND(VALUE(SUBSTITUTE(SUBSTITUTE(SUBSTITUTE(J2720,"$",""),",","")," ","")),2),"bad")))</f>
        <v/>
      </c>
      <c r="P2720">
        <f>IF(TRIM(K2720)="","",IFERROR(MATCH(LOWER(TRIM(K2720)),'Students'!$AH$2:$AH$701,0),IFERROR(MATCH(LOWER(TRIM(K2720)),'Students'!$AF$2:$AF$701,0),IFERROR(MATCH(LOWER(TRIM(K2720)),'Students'!$AG$2:$AG$701,0),""))))</f>
        <v/>
      </c>
      <c r="R2720">
        <f>IF(P2720="","",INDEX('Students'!$AD$2:$AD$701,P2720))</f>
        <v/>
      </c>
      <c r="S2720">
        <f>IF(H2720="OK",O2720,0)</f>
        <v/>
      </c>
      <c r="T2720">
        <f>IF(H2720="OK",N2720,"")</f>
        <v/>
      </c>
      <c r="U2720">
        <f>IF(OC_Donor=0,"",IF(INDEX('OneCause_Paste'!$A$2720:$AZ$2720,1,OC_Donor)="","",INDEX('OneCause_Paste'!$A$2720:$AZ$2720,1,OC_Donor)))</f>
        <v/>
      </c>
    </row>
    <row r="2721">
      <c r="A2721" s="62">
        <f>IF(H2721="","",IF(ISNUMBER(N2721),N2721,I2721))</f>
        <v/>
      </c>
      <c r="B2721">
        <f>IF(H2721="","",U2721)</f>
        <v/>
      </c>
      <c r="C2721">
        <f>IF(H2721="","",IF(P2721="",K2721,INDEX('Students'!$A$2:$A$701,P2721)))</f>
        <v/>
      </c>
      <c r="D2721">
        <f>IF(OR(H2721="",P2721=""),"",INDEX('Students'!$B$2:$B$701,P2721))</f>
        <v/>
      </c>
      <c r="E2721">
        <f>IF(OR(H2721="",P2721=""),"",INDEX('Students'!$C$2:$C$701,P2721))</f>
        <v/>
      </c>
      <c r="F2721" s="48">
        <f>IF(H2721="","",IF(ISNUMBER(O2721),O2721,J2721))</f>
        <v/>
      </c>
      <c r="G2721">
        <f>IF(H2721="","","OneCause")</f>
        <v/>
      </c>
      <c r="H2721">
        <f>IF(AND(I2721="",J2721="",K2721=""),"",IF(NOT(ISNUMBER(O2721)),"Bad amount",IF(O2721&lt;0,"Refund (not counted)",IF(O2721=0,"Zero amount",IF(NOT(ISNUMBER(N2721)),"Bad date",IF(P2721="","NAME NOT ON ROSTER",IF(L2721="","OK",IF(MATCH(L2721,$L$2:$L$3001,0)&lt;ROW()-1,"Duplicate (ignored)","OK"))))))))</f>
        <v/>
      </c>
      <c r="I2721">
        <f>IF(OC_Date=0,"",IF(INDEX('OneCause_Paste'!$A$2721:$AZ$2721,1,OC_Date)="","",INDEX('OneCause_Paste'!$A$2721:$AZ$2721,1,OC_Date)))</f>
        <v/>
      </c>
      <c r="J2721">
        <f>IF(OC_Amt=0,"",IF(INDEX('OneCause_Paste'!$A$2721:$AZ$2721,1,OC_Amt)="","",INDEX('OneCause_Paste'!$A$2721:$AZ$2721,1,OC_Amt)))</f>
        <v/>
      </c>
      <c r="K2721">
        <f>IF(OC_Name=0,"",IF(INDEX('OneCause_Paste'!$A$2721:$AZ$2721,1,OC_Name)="","",INDEX('OneCause_Paste'!$A$2721:$AZ$2721,1,OC_Name)))</f>
        <v/>
      </c>
      <c r="L2721">
        <f>IF(OC_Txn=0,"",IF(INDEX('OneCause_Paste'!$A$2721:$AZ$2721,1,OC_Txn)="","",INDEX('OneCause_Paste'!$A$2721:$AZ$2721,1,OC_Txn)))</f>
        <v/>
      </c>
      <c r="M2721">
        <f>IF(OC_Pay=0,"",IF(INDEX('OneCause_Paste'!$A$2721:$AZ$2721,1,OC_Pay)="","",INDEX('OneCause_Paste'!$A$2721:$AZ$2721,1,OC_Pay)))</f>
        <v/>
      </c>
      <c r="N2721">
        <f>IF(I2721="","",IF(ISNUMBER(I2721),INT(I2721),IFERROR(INT(DATEVALUE(I2721)),IFERROR(INT(VALUE(I2721)),"bad"))))</f>
        <v/>
      </c>
      <c r="O2721">
        <f>IF(J2721="","",IF(ISNUMBER(J2721),ROUND(J2721,2),IFERROR(ROUND(VALUE(SUBSTITUTE(SUBSTITUTE(SUBSTITUTE(J2721,"$",""),",","")," ","")),2),"bad")))</f>
        <v/>
      </c>
      <c r="P2721">
        <f>IF(TRIM(K2721)="","",IFERROR(MATCH(LOWER(TRIM(K2721)),'Students'!$AH$2:$AH$701,0),IFERROR(MATCH(LOWER(TRIM(K2721)),'Students'!$AF$2:$AF$701,0),IFERROR(MATCH(LOWER(TRIM(K2721)),'Students'!$AG$2:$AG$701,0),""))))</f>
        <v/>
      </c>
      <c r="R2721">
        <f>IF(P2721="","",INDEX('Students'!$AD$2:$AD$701,P2721))</f>
        <v/>
      </c>
      <c r="S2721">
        <f>IF(H2721="OK",O2721,0)</f>
        <v/>
      </c>
      <c r="T2721">
        <f>IF(H2721="OK",N2721,"")</f>
        <v/>
      </c>
      <c r="U2721">
        <f>IF(OC_Donor=0,"",IF(INDEX('OneCause_Paste'!$A$2721:$AZ$2721,1,OC_Donor)="","",INDEX('OneCause_Paste'!$A$2721:$AZ$2721,1,OC_Donor)))</f>
        <v/>
      </c>
    </row>
    <row r="2722">
      <c r="A2722" s="62">
        <f>IF(H2722="","",IF(ISNUMBER(N2722),N2722,I2722))</f>
        <v/>
      </c>
      <c r="B2722">
        <f>IF(H2722="","",U2722)</f>
        <v/>
      </c>
      <c r="C2722">
        <f>IF(H2722="","",IF(P2722="",K2722,INDEX('Students'!$A$2:$A$701,P2722)))</f>
        <v/>
      </c>
      <c r="D2722">
        <f>IF(OR(H2722="",P2722=""),"",INDEX('Students'!$B$2:$B$701,P2722))</f>
        <v/>
      </c>
      <c r="E2722">
        <f>IF(OR(H2722="",P2722=""),"",INDEX('Students'!$C$2:$C$701,P2722))</f>
        <v/>
      </c>
      <c r="F2722" s="48">
        <f>IF(H2722="","",IF(ISNUMBER(O2722),O2722,J2722))</f>
        <v/>
      </c>
      <c r="G2722">
        <f>IF(H2722="","","OneCause")</f>
        <v/>
      </c>
      <c r="H2722">
        <f>IF(AND(I2722="",J2722="",K2722=""),"",IF(NOT(ISNUMBER(O2722)),"Bad amount",IF(O2722&lt;0,"Refund (not counted)",IF(O2722=0,"Zero amount",IF(NOT(ISNUMBER(N2722)),"Bad date",IF(P2722="","NAME NOT ON ROSTER",IF(L2722="","OK",IF(MATCH(L2722,$L$2:$L$3001,0)&lt;ROW()-1,"Duplicate (ignored)","OK"))))))))</f>
        <v/>
      </c>
      <c r="I2722">
        <f>IF(OC_Date=0,"",IF(INDEX('OneCause_Paste'!$A$2722:$AZ$2722,1,OC_Date)="","",INDEX('OneCause_Paste'!$A$2722:$AZ$2722,1,OC_Date)))</f>
        <v/>
      </c>
      <c r="J2722">
        <f>IF(OC_Amt=0,"",IF(INDEX('OneCause_Paste'!$A$2722:$AZ$2722,1,OC_Amt)="","",INDEX('OneCause_Paste'!$A$2722:$AZ$2722,1,OC_Amt)))</f>
        <v/>
      </c>
      <c r="K2722">
        <f>IF(OC_Name=0,"",IF(INDEX('OneCause_Paste'!$A$2722:$AZ$2722,1,OC_Name)="","",INDEX('OneCause_Paste'!$A$2722:$AZ$2722,1,OC_Name)))</f>
        <v/>
      </c>
      <c r="L2722">
        <f>IF(OC_Txn=0,"",IF(INDEX('OneCause_Paste'!$A$2722:$AZ$2722,1,OC_Txn)="","",INDEX('OneCause_Paste'!$A$2722:$AZ$2722,1,OC_Txn)))</f>
        <v/>
      </c>
      <c r="M2722">
        <f>IF(OC_Pay=0,"",IF(INDEX('OneCause_Paste'!$A$2722:$AZ$2722,1,OC_Pay)="","",INDEX('OneCause_Paste'!$A$2722:$AZ$2722,1,OC_Pay)))</f>
        <v/>
      </c>
      <c r="N2722">
        <f>IF(I2722="","",IF(ISNUMBER(I2722),INT(I2722),IFERROR(INT(DATEVALUE(I2722)),IFERROR(INT(VALUE(I2722)),"bad"))))</f>
        <v/>
      </c>
      <c r="O2722">
        <f>IF(J2722="","",IF(ISNUMBER(J2722),ROUND(J2722,2),IFERROR(ROUND(VALUE(SUBSTITUTE(SUBSTITUTE(SUBSTITUTE(J2722,"$",""),",","")," ","")),2),"bad")))</f>
        <v/>
      </c>
      <c r="P2722">
        <f>IF(TRIM(K2722)="","",IFERROR(MATCH(LOWER(TRIM(K2722)),'Students'!$AH$2:$AH$701,0),IFERROR(MATCH(LOWER(TRIM(K2722)),'Students'!$AF$2:$AF$701,0),IFERROR(MATCH(LOWER(TRIM(K2722)),'Students'!$AG$2:$AG$701,0),""))))</f>
        <v/>
      </c>
      <c r="R2722">
        <f>IF(P2722="","",INDEX('Students'!$AD$2:$AD$701,P2722))</f>
        <v/>
      </c>
      <c r="S2722">
        <f>IF(H2722="OK",O2722,0)</f>
        <v/>
      </c>
      <c r="T2722">
        <f>IF(H2722="OK",N2722,"")</f>
        <v/>
      </c>
      <c r="U2722">
        <f>IF(OC_Donor=0,"",IF(INDEX('OneCause_Paste'!$A$2722:$AZ$2722,1,OC_Donor)="","",INDEX('OneCause_Paste'!$A$2722:$AZ$2722,1,OC_Donor)))</f>
        <v/>
      </c>
    </row>
    <row r="2723">
      <c r="A2723" s="62">
        <f>IF(H2723="","",IF(ISNUMBER(N2723),N2723,I2723))</f>
        <v/>
      </c>
      <c r="B2723">
        <f>IF(H2723="","",U2723)</f>
        <v/>
      </c>
      <c r="C2723">
        <f>IF(H2723="","",IF(P2723="",K2723,INDEX('Students'!$A$2:$A$701,P2723)))</f>
        <v/>
      </c>
      <c r="D2723">
        <f>IF(OR(H2723="",P2723=""),"",INDEX('Students'!$B$2:$B$701,P2723))</f>
        <v/>
      </c>
      <c r="E2723">
        <f>IF(OR(H2723="",P2723=""),"",INDEX('Students'!$C$2:$C$701,P2723))</f>
        <v/>
      </c>
      <c r="F2723" s="48">
        <f>IF(H2723="","",IF(ISNUMBER(O2723),O2723,J2723))</f>
        <v/>
      </c>
      <c r="G2723">
        <f>IF(H2723="","","OneCause")</f>
        <v/>
      </c>
      <c r="H2723">
        <f>IF(AND(I2723="",J2723="",K2723=""),"",IF(NOT(ISNUMBER(O2723)),"Bad amount",IF(O2723&lt;0,"Refund (not counted)",IF(O2723=0,"Zero amount",IF(NOT(ISNUMBER(N2723)),"Bad date",IF(P2723="","NAME NOT ON ROSTER",IF(L2723="","OK",IF(MATCH(L2723,$L$2:$L$3001,0)&lt;ROW()-1,"Duplicate (ignored)","OK"))))))))</f>
        <v/>
      </c>
      <c r="I2723">
        <f>IF(OC_Date=0,"",IF(INDEX('OneCause_Paste'!$A$2723:$AZ$2723,1,OC_Date)="","",INDEX('OneCause_Paste'!$A$2723:$AZ$2723,1,OC_Date)))</f>
        <v/>
      </c>
      <c r="J2723">
        <f>IF(OC_Amt=0,"",IF(INDEX('OneCause_Paste'!$A$2723:$AZ$2723,1,OC_Amt)="","",INDEX('OneCause_Paste'!$A$2723:$AZ$2723,1,OC_Amt)))</f>
        <v/>
      </c>
      <c r="K2723">
        <f>IF(OC_Name=0,"",IF(INDEX('OneCause_Paste'!$A$2723:$AZ$2723,1,OC_Name)="","",INDEX('OneCause_Paste'!$A$2723:$AZ$2723,1,OC_Name)))</f>
        <v/>
      </c>
      <c r="L2723">
        <f>IF(OC_Txn=0,"",IF(INDEX('OneCause_Paste'!$A$2723:$AZ$2723,1,OC_Txn)="","",INDEX('OneCause_Paste'!$A$2723:$AZ$2723,1,OC_Txn)))</f>
        <v/>
      </c>
      <c r="M2723">
        <f>IF(OC_Pay=0,"",IF(INDEX('OneCause_Paste'!$A$2723:$AZ$2723,1,OC_Pay)="","",INDEX('OneCause_Paste'!$A$2723:$AZ$2723,1,OC_Pay)))</f>
        <v/>
      </c>
      <c r="N2723">
        <f>IF(I2723="","",IF(ISNUMBER(I2723),INT(I2723),IFERROR(INT(DATEVALUE(I2723)),IFERROR(INT(VALUE(I2723)),"bad"))))</f>
        <v/>
      </c>
      <c r="O2723">
        <f>IF(J2723="","",IF(ISNUMBER(J2723),ROUND(J2723,2),IFERROR(ROUND(VALUE(SUBSTITUTE(SUBSTITUTE(SUBSTITUTE(J2723,"$",""),",","")," ","")),2),"bad")))</f>
        <v/>
      </c>
      <c r="P2723">
        <f>IF(TRIM(K2723)="","",IFERROR(MATCH(LOWER(TRIM(K2723)),'Students'!$AH$2:$AH$701,0),IFERROR(MATCH(LOWER(TRIM(K2723)),'Students'!$AF$2:$AF$701,0),IFERROR(MATCH(LOWER(TRIM(K2723)),'Students'!$AG$2:$AG$701,0),""))))</f>
        <v/>
      </c>
      <c r="R2723">
        <f>IF(P2723="","",INDEX('Students'!$AD$2:$AD$701,P2723))</f>
        <v/>
      </c>
      <c r="S2723">
        <f>IF(H2723="OK",O2723,0)</f>
        <v/>
      </c>
      <c r="T2723">
        <f>IF(H2723="OK",N2723,"")</f>
        <v/>
      </c>
      <c r="U2723">
        <f>IF(OC_Donor=0,"",IF(INDEX('OneCause_Paste'!$A$2723:$AZ$2723,1,OC_Donor)="","",INDEX('OneCause_Paste'!$A$2723:$AZ$2723,1,OC_Donor)))</f>
        <v/>
      </c>
    </row>
    <row r="2724">
      <c r="A2724" s="62">
        <f>IF(H2724="","",IF(ISNUMBER(N2724),N2724,I2724))</f>
        <v/>
      </c>
      <c r="B2724">
        <f>IF(H2724="","",U2724)</f>
        <v/>
      </c>
      <c r="C2724">
        <f>IF(H2724="","",IF(P2724="",K2724,INDEX('Students'!$A$2:$A$701,P2724)))</f>
        <v/>
      </c>
      <c r="D2724">
        <f>IF(OR(H2724="",P2724=""),"",INDEX('Students'!$B$2:$B$701,P2724))</f>
        <v/>
      </c>
      <c r="E2724">
        <f>IF(OR(H2724="",P2724=""),"",INDEX('Students'!$C$2:$C$701,P2724))</f>
        <v/>
      </c>
      <c r="F2724" s="48">
        <f>IF(H2724="","",IF(ISNUMBER(O2724),O2724,J2724))</f>
        <v/>
      </c>
      <c r="G2724">
        <f>IF(H2724="","","OneCause")</f>
        <v/>
      </c>
      <c r="H2724">
        <f>IF(AND(I2724="",J2724="",K2724=""),"",IF(NOT(ISNUMBER(O2724)),"Bad amount",IF(O2724&lt;0,"Refund (not counted)",IF(O2724=0,"Zero amount",IF(NOT(ISNUMBER(N2724)),"Bad date",IF(P2724="","NAME NOT ON ROSTER",IF(L2724="","OK",IF(MATCH(L2724,$L$2:$L$3001,0)&lt;ROW()-1,"Duplicate (ignored)","OK"))))))))</f>
        <v/>
      </c>
      <c r="I2724">
        <f>IF(OC_Date=0,"",IF(INDEX('OneCause_Paste'!$A$2724:$AZ$2724,1,OC_Date)="","",INDEX('OneCause_Paste'!$A$2724:$AZ$2724,1,OC_Date)))</f>
        <v/>
      </c>
      <c r="J2724">
        <f>IF(OC_Amt=0,"",IF(INDEX('OneCause_Paste'!$A$2724:$AZ$2724,1,OC_Amt)="","",INDEX('OneCause_Paste'!$A$2724:$AZ$2724,1,OC_Amt)))</f>
        <v/>
      </c>
      <c r="K2724">
        <f>IF(OC_Name=0,"",IF(INDEX('OneCause_Paste'!$A$2724:$AZ$2724,1,OC_Name)="","",INDEX('OneCause_Paste'!$A$2724:$AZ$2724,1,OC_Name)))</f>
        <v/>
      </c>
      <c r="L2724">
        <f>IF(OC_Txn=0,"",IF(INDEX('OneCause_Paste'!$A$2724:$AZ$2724,1,OC_Txn)="","",INDEX('OneCause_Paste'!$A$2724:$AZ$2724,1,OC_Txn)))</f>
        <v/>
      </c>
      <c r="M2724">
        <f>IF(OC_Pay=0,"",IF(INDEX('OneCause_Paste'!$A$2724:$AZ$2724,1,OC_Pay)="","",INDEX('OneCause_Paste'!$A$2724:$AZ$2724,1,OC_Pay)))</f>
        <v/>
      </c>
      <c r="N2724">
        <f>IF(I2724="","",IF(ISNUMBER(I2724),INT(I2724),IFERROR(INT(DATEVALUE(I2724)),IFERROR(INT(VALUE(I2724)),"bad"))))</f>
        <v/>
      </c>
      <c r="O2724">
        <f>IF(J2724="","",IF(ISNUMBER(J2724),ROUND(J2724,2),IFERROR(ROUND(VALUE(SUBSTITUTE(SUBSTITUTE(SUBSTITUTE(J2724,"$",""),",","")," ","")),2),"bad")))</f>
        <v/>
      </c>
      <c r="P2724">
        <f>IF(TRIM(K2724)="","",IFERROR(MATCH(LOWER(TRIM(K2724)),'Students'!$AH$2:$AH$701,0),IFERROR(MATCH(LOWER(TRIM(K2724)),'Students'!$AF$2:$AF$701,0),IFERROR(MATCH(LOWER(TRIM(K2724)),'Students'!$AG$2:$AG$701,0),""))))</f>
        <v/>
      </c>
      <c r="R2724">
        <f>IF(P2724="","",INDEX('Students'!$AD$2:$AD$701,P2724))</f>
        <v/>
      </c>
      <c r="S2724">
        <f>IF(H2724="OK",O2724,0)</f>
        <v/>
      </c>
      <c r="T2724">
        <f>IF(H2724="OK",N2724,"")</f>
        <v/>
      </c>
      <c r="U2724">
        <f>IF(OC_Donor=0,"",IF(INDEX('OneCause_Paste'!$A$2724:$AZ$2724,1,OC_Donor)="","",INDEX('OneCause_Paste'!$A$2724:$AZ$2724,1,OC_Donor)))</f>
        <v/>
      </c>
    </row>
    <row r="2725">
      <c r="A2725" s="62">
        <f>IF(H2725="","",IF(ISNUMBER(N2725),N2725,I2725))</f>
        <v/>
      </c>
      <c r="B2725">
        <f>IF(H2725="","",U2725)</f>
        <v/>
      </c>
      <c r="C2725">
        <f>IF(H2725="","",IF(P2725="",K2725,INDEX('Students'!$A$2:$A$701,P2725)))</f>
        <v/>
      </c>
      <c r="D2725">
        <f>IF(OR(H2725="",P2725=""),"",INDEX('Students'!$B$2:$B$701,P2725))</f>
        <v/>
      </c>
      <c r="E2725">
        <f>IF(OR(H2725="",P2725=""),"",INDEX('Students'!$C$2:$C$701,P2725))</f>
        <v/>
      </c>
      <c r="F2725" s="48">
        <f>IF(H2725="","",IF(ISNUMBER(O2725),O2725,J2725))</f>
        <v/>
      </c>
      <c r="G2725">
        <f>IF(H2725="","","OneCause")</f>
        <v/>
      </c>
      <c r="H2725">
        <f>IF(AND(I2725="",J2725="",K2725=""),"",IF(NOT(ISNUMBER(O2725)),"Bad amount",IF(O2725&lt;0,"Refund (not counted)",IF(O2725=0,"Zero amount",IF(NOT(ISNUMBER(N2725)),"Bad date",IF(P2725="","NAME NOT ON ROSTER",IF(L2725="","OK",IF(MATCH(L2725,$L$2:$L$3001,0)&lt;ROW()-1,"Duplicate (ignored)","OK"))))))))</f>
        <v/>
      </c>
      <c r="I2725">
        <f>IF(OC_Date=0,"",IF(INDEX('OneCause_Paste'!$A$2725:$AZ$2725,1,OC_Date)="","",INDEX('OneCause_Paste'!$A$2725:$AZ$2725,1,OC_Date)))</f>
        <v/>
      </c>
      <c r="J2725">
        <f>IF(OC_Amt=0,"",IF(INDEX('OneCause_Paste'!$A$2725:$AZ$2725,1,OC_Amt)="","",INDEX('OneCause_Paste'!$A$2725:$AZ$2725,1,OC_Amt)))</f>
        <v/>
      </c>
      <c r="K2725">
        <f>IF(OC_Name=0,"",IF(INDEX('OneCause_Paste'!$A$2725:$AZ$2725,1,OC_Name)="","",INDEX('OneCause_Paste'!$A$2725:$AZ$2725,1,OC_Name)))</f>
        <v/>
      </c>
      <c r="L2725">
        <f>IF(OC_Txn=0,"",IF(INDEX('OneCause_Paste'!$A$2725:$AZ$2725,1,OC_Txn)="","",INDEX('OneCause_Paste'!$A$2725:$AZ$2725,1,OC_Txn)))</f>
        <v/>
      </c>
      <c r="M2725">
        <f>IF(OC_Pay=0,"",IF(INDEX('OneCause_Paste'!$A$2725:$AZ$2725,1,OC_Pay)="","",INDEX('OneCause_Paste'!$A$2725:$AZ$2725,1,OC_Pay)))</f>
        <v/>
      </c>
      <c r="N2725">
        <f>IF(I2725="","",IF(ISNUMBER(I2725),INT(I2725),IFERROR(INT(DATEVALUE(I2725)),IFERROR(INT(VALUE(I2725)),"bad"))))</f>
        <v/>
      </c>
      <c r="O2725">
        <f>IF(J2725="","",IF(ISNUMBER(J2725),ROUND(J2725,2),IFERROR(ROUND(VALUE(SUBSTITUTE(SUBSTITUTE(SUBSTITUTE(J2725,"$",""),",","")," ","")),2),"bad")))</f>
        <v/>
      </c>
      <c r="P2725">
        <f>IF(TRIM(K2725)="","",IFERROR(MATCH(LOWER(TRIM(K2725)),'Students'!$AH$2:$AH$701,0),IFERROR(MATCH(LOWER(TRIM(K2725)),'Students'!$AF$2:$AF$701,0),IFERROR(MATCH(LOWER(TRIM(K2725)),'Students'!$AG$2:$AG$701,0),""))))</f>
        <v/>
      </c>
      <c r="R2725">
        <f>IF(P2725="","",INDEX('Students'!$AD$2:$AD$701,P2725))</f>
        <v/>
      </c>
      <c r="S2725">
        <f>IF(H2725="OK",O2725,0)</f>
        <v/>
      </c>
      <c r="T2725">
        <f>IF(H2725="OK",N2725,"")</f>
        <v/>
      </c>
      <c r="U2725">
        <f>IF(OC_Donor=0,"",IF(INDEX('OneCause_Paste'!$A$2725:$AZ$2725,1,OC_Donor)="","",INDEX('OneCause_Paste'!$A$2725:$AZ$2725,1,OC_Donor)))</f>
        <v/>
      </c>
    </row>
    <row r="2726">
      <c r="A2726" s="62">
        <f>IF(H2726="","",IF(ISNUMBER(N2726),N2726,I2726))</f>
        <v/>
      </c>
      <c r="B2726">
        <f>IF(H2726="","",U2726)</f>
        <v/>
      </c>
      <c r="C2726">
        <f>IF(H2726="","",IF(P2726="",K2726,INDEX('Students'!$A$2:$A$701,P2726)))</f>
        <v/>
      </c>
      <c r="D2726">
        <f>IF(OR(H2726="",P2726=""),"",INDEX('Students'!$B$2:$B$701,P2726))</f>
        <v/>
      </c>
      <c r="E2726">
        <f>IF(OR(H2726="",P2726=""),"",INDEX('Students'!$C$2:$C$701,P2726))</f>
        <v/>
      </c>
      <c r="F2726" s="48">
        <f>IF(H2726="","",IF(ISNUMBER(O2726),O2726,J2726))</f>
        <v/>
      </c>
      <c r="G2726">
        <f>IF(H2726="","","OneCause")</f>
        <v/>
      </c>
      <c r="H2726">
        <f>IF(AND(I2726="",J2726="",K2726=""),"",IF(NOT(ISNUMBER(O2726)),"Bad amount",IF(O2726&lt;0,"Refund (not counted)",IF(O2726=0,"Zero amount",IF(NOT(ISNUMBER(N2726)),"Bad date",IF(P2726="","NAME NOT ON ROSTER",IF(L2726="","OK",IF(MATCH(L2726,$L$2:$L$3001,0)&lt;ROW()-1,"Duplicate (ignored)","OK"))))))))</f>
        <v/>
      </c>
      <c r="I2726">
        <f>IF(OC_Date=0,"",IF(INDEX('OneCause_Paste'!$A$2726:$AZ$2726,1,OC_Date)="","",INDEX('OneCause_Paste'!$A$2726:$AZ$2726,1,OC_Date)))</f>
        <v/>
      </c>
      <c r="J2726">
        <f>IF(OC_Amt=0,"",IF(INDEX('OneCause_Paste'!$A$2726:$AZ$2726,1,OC_Amt)="","",INDEX('OneCause_Paste'!$A$2726:$AZ$2726,1,OC_Amt)))</f>
        <v/>
      </c>
      <c r="K2726">
        <f>IF(OC_Name=0,"",IF(INDEX('OneCause_Paste'!$A$2726:$AZ$2726,1,OC_Name)="","",INDEX('OneCause_Paste'!$A$2726:$AZ$2726,1,OC_Name)))</f>
        <v/>
      </c>
      <c r="L2726">
        <f>IF(OC_Txn=0,"",IF(INDEX('OneCause_Paste'!$A$2726:$AZ$2726,1,OC_Txn)="","",INDEX('OneCause_Paste'!$A$2726:$AZ$2726,1,OC_Txn)))</f>
        <v/>
      </c>
      <c r="M2726">
        <f>IF(OC_Pay=0,"",IF(INDEX('OneCause_Paste'!$A$2726:$AZ$2726,1,OC_Pay)="","",INDEX('OneCause_Paste'!$A$2726:$AZ$2726,1,OC_Pay)))</f>
        <v/>
      </c>
      <c r="N2726">
        <f>IF(I2726="","",IF(ISNUMBER(I2726),INT(I2726),IFERROR(INT(DATEVALUE(I2726)),IFERROR(INT(VALUE(I2726)),"bad"))))</f>
        <v/>
      </c>
      <c r="O2726">
        <f>IF(J2726="","",IF(ISNUMBER(J2726),ROUND(J2726,2),IFERROR(ROUND(VALUE(SUBSTITUTE(SUBSTITUTE(SUBSTITUTE(J2726,"$",""),",","")," ","")),2),"bad")))</f>
        <v/>
      </c>
      <c r="P2726">
        <f>IF(TRIM(K2726)="","",IFERROR(MATCH(LOWER(TRIM(K2726)),'Students'!$AH$2:$AH$701,0),IFERROR(MATCH(LOWER(TRIM(K2726)),'Students'!$AF$2:$AF$701,0),IFERROR(MATCH(LOWER(TRIM(K2726)),'Students'!$AG$2:$AG$701,0),""))))</f>
        <v/>
      </c>
      <c r="R2726">
        <f>IF(P2726="","",INDEX('Students'!$AD$2:$AD$701,P2726))</f>
        <v/>
      </c>
      <c r="S2726">
        <f>IF(H2726="OK",O2726,0)</f>
        <v/>
      </c>
      <c r="T2726">
        <f>IF(H2726="OK",N2726,"")</f>
        <v/>
      </c>
      <c r="U2726">
        <f>IF(OC_Donor=0,"",IF(INDEX('OneCause_Paste'!$A$2726:$AZ$2726,1,OC_Donor)="","",INDEX('OneCause_Paste'!$A$2726:$AZ$2726,1,OC_Donor)))</f>
        <v/>
      </c>
    </row>
    <row r="2727">
      <c r="A2727" s="62">
        <f>IF(H2727="","",IF(ISNUMBER(N2727),N2727,I2727))</f>
        <v/>
      </c>
      <c r="B2727">
        <f>IF(H2727="","",U2727)</f>
        <v/>
      </c>
      <c r="C2727">
        <f>IF(H2727="","",IF(P2727="",K2727,INDEX('Students'!$A$2:$A$701,P2727)))</f>
        <v/>
      </c>
      <c r="D2727">
        <f>IF(OR(H2727="",P2727=""),"",INDEX('Students'!$B$2:$B$701,P2727))</f>
        <v/>
      </c>
      <c r="E2727">
        <f>IF(OR(H2727="",P2727=""),"",INDEX('Students'!$C$2:$C$701,P2727))</f>
        <v/>
      </c>
      <c r="F2727" s="48">
        <f>IF(H2727="","",IF(ISNUMBER(O2727),O2727,J2727))</f>
        <v/>
      </c>
      <c r="G2727">
        <f>IF(H2727="","","OneCause")</f>
        <v/>
      </c>
      <c r="H2727">
        <f>IF(AND(I2727="",J2727="",K2727=""),"",IF(NOT(ISNUMBER(O2727)),"Bad amount",IF(O2727&lt;0,"Refund (not counted)",IF(O2727=0,"Zero amount",IF(NOT(ISNUMBER(N2727)),"Bad date",IF(P2727="","NAME NOT ON ROSTER",IF(L2727="","OK",IF(MATCH(L2727,$L$2:$L$3001,0)&lt;ROW()-1,"Duplicate (ignored)","OK"))))))))</f>
        <v/>
      </c>
      <c r="I2727">
        <f>IF(OC_Date=0,"",IF(INDEX('OneCause_Paste'!$A$2727:$AZ$2727,1,OC_Date)="","",INDEX('OneCause_Paste'!$A$2727:$AZ$2727,1,OC_Date)))</f>
        <v/>
      </c>
      <c r="J2727">
        <f>IF(OC_Amt=0,"",IF(INDEX('OneCause_Paste'!$A$2727:$AZ$2727,1,OC_Amt)="","",INDEX('OneCause_Paste'!$A$2727:$AZ$2727,1,OC_Amt)))</f>
        <v/>
      </c>
      <c r="K2727">
        <f>IF(OC_Name=0,"",IF(INDEX('OneCause_Paste'!$A$2727:$AZ$2727,1,OC_Name)="","",INDEX('OneCause_Paste'!$A$2727:$AZ$2727,1,OC_Name)))</f>
        <v/>
      </c>
      <c r="L2727">
        <f>IF(OC_Txn=0,"",IF(INDEX('OneCause_Paste'!$A$2727:$AZ$2727,1,OC_Txn)="","",INDEX('OneCause_Paste'!$A$2727:$AZ$2727,1,OC_Txn)))</f>
        <v/>
      </c>
      <c r="M2727">
        <f>IF(OC_Pay=0,"",IF(INDEX('OneCause_Paste'!$A$2727:$AZ$2727,1,OC_Pay)="","",INDEX('OneCause_Paste'!$A$2727:$AZ$2727,1,OC_Pay)))</f>
        <v/>
      </c>
      <c r="N2727">
        <f>IF(I2727="","",IF(ISNUMBER(I2727),INT(I2727),IFERROR(INT(DATEVALUE(I2727)),IFERROR(INT(VALUE(I2727)),"bad"))))</f>
        <v/>
      </c>
      <c r="O2727">
        <f>IF(J2727="","",IF(ISNUMBER(J2727),ROUND(J2727,2),IFERROR(ROUND(VALUE(SUBSTITUTE(SUBSTITUTE(SUBSTITUTE(J2727,"$",""),",","")," ","")),2),"bad")))</f>
        <v/>
      </c>
      <c r="P2727">
        <f>IF(TRIM(K2727)="","",IFERROR(MATCH(LOWER(TRIM(K2727)),'Students'!$AH$2:$AH$701,0),IFERROR(MATCH(LOWER(TRIM(K2727)),'Students'!$AF$2:$AF$701,0),IFERROR(MATCH(LOWER(TRIM(K2727)),'Students'!$AG$2:$AG$701,0),""))))</f>
        <v/>
      </c>
      <c r="R2727">
        <f>IF(P2727="","",INDEX('Students'!$AD$2:$AD$701,P2727))</f>
        <v/>
      </c>
      <c r="S2727">
        <f>IF(H2727="OK",O2727,0)</f>
        <v/>
      </c>
      <c r="T2727">
        <f>IF(H2727="OK",N2727,"")</f>
        <v/>
      </c>
      <c r="U2727">
        <f>IF(OC_Donor=0,"",IF(INDEX('OneCause_Paste'!$A$2727:$AZ$2727,1,OC_Donor)="","",INDEX('OneCause_Paste'!$A$2727:$AZ$2727,1,OC_Donor)))</f>
        <v/>
      </c>
    </row>
    <row r="2728">
      <c r="A2728" s="62">
        <f>IF(H2728="","",IF(ISNUMBER(N2728),N2728,I2728))</f>
        <v/>
      </c>
      <c r="B2728">
        <f>IF(H2728="","",U2728)</f>
        <v/>
      </c>
      <c r="C2728">
        <f>IF(H2728="","",IF(P2728="",K2728,INDEX('Students'!$A$2:$A$701,P2728)))</f>
        <v/>
      </c>
      <c r="D2728">
        <f>IF(OR(H2728="",P2728=""),"",INDEX('Students'!$B$2:$B$701,P2728))</f>
        <v/>
      </c>
      <c r="E2728">
        <f>IF(OR(H2728="",P2728=""),"",INDEX('Students'!$C$2:$C$701,P2728))</f>
        <v/>
      </c>
      <c r="F2728" s="48">
        <f>IF(H2728="","",IF(ISNUMBER(O2728),O2728,J2728))</f>
        <v/>
      </c>
      <c r="G2728">
        <f>IF(H2728="","","OneCause")</f>
        <v/>
      </c>
      <c r="H2728">
        <f>IF(AND(I2728="",J2728="",K2728=""),"",IF(NOT(ISNUMBER(O2728)),"Bad amount",IF(O2728&lt;0,"Refund (not counted)",IF(O2728=0,"Zero amount",IF(NOT(ISNUMBER(N2728)),"Bad date",IF(P2728="","NAME NOT ON ROSTER",IF(L2728="","OK",IF(MATCH(L2728,$L$2:$L$3001,0)&lt;ROW()-1,"Duplicate (ignored)","OK"))))))))</f>
        <v/>
      </c>
      <c r="I2728">
        <f>IF(OC_Date=0,"",IF(INDEX('OneCause_Paste'!$A$2728:$AZ$2728,1,OC_Date)="","",INDEX('OneCause_Paste'!$A$2728:$AZ$2728,1,OC_Date)))</f>
        <v/>
      </c>
      <c r="J2728">
        <f>IF(OC_Amt=0,"",IF(INDEX('OneCause_Paste'!$A$2728:$AZ$2728,1,OC_Amt)="","",INDEX('OneCause_Paste'!$A$2728:$AZ$2728,1,OC_Amt)))</f>
        <v/>
      </c>
      <c r="K2728">
        <f>IF(OC_Name=0,"",IF(INDEX('OneCause_Paste'!$A$2728:$AZ$2728,1,OC_Name)="","",INDEX('OneCause_Paste'!$A$2728:$AZ$2728,1,OC_Name)))</f>
        <v/>
      </c>
      <c r="L2728">
        <f>IF(OC_Txn=0,"",IF(INDEX('OneCause_Paste'!$A$2728:$AZ$2728,1,OC_Txn)="","",INDEX('OneCause_Paste'!$A$2728:$AZ$2728,1,OC_Txn)))</f>
        <v/>
      </c>
      <c r="M2728">
        <f>IF(OC_Pay=0,"",IF(INDEX('OneCause_Paste'!$A$2728:$AZ$2728,1,OC_Pay)="","",INDEX('OneCause_Paste'!$A$2728:$AZ$2728,1,OC_Pay)))</f>
        <v/>
      </c>
      <c r="N2728">
        <f>IF(I2728="","",IF(ISNUMBER(I2728),INT(I2728),IFERROR(INT(DATEVALUE(I2728)),IFERROR(INT(VALUE(I2728)),"bad"))))</f>
        <v/>
      </c>
      <c r="O2728">
        <f>IF(J2728="","",IF(ISNUMBER(J2728),ROUND(J2728,2),IFERROR(ROUND(VALUE(SUBSTITUTE(SUBSTITUTE(SUBSTITUTE(J2728,"$",""),",","")," ","")),2),"bad")))</f>
        <v/>
      </c>
      <c r="P2728">
        <f>IF(TRIM(K2728)="","",IFERROR(MATCH(LOWER(TRIM(K2728)),'Students'!$AH$2:$AH$701,0),IFERROR(MATCH(LOWER(TRIM(K2728)),'Students'!$AF$2:$AF$701,0),IFERROR(MATCH(LOWER(TRIM(K2728)),'Students'!$AG$2:$AG$701,0),""))))</f>
        <v/>
      </c>
      <c r="R2728">
        <f>IF(P2728="","",INDEX('Students'!$AD$2:$AD$701,P2728))</f>
        <v/>
      </c>
      <c r="S2728">
        <f>IF(H2728="OK",O2728,0)</f>
        <v/>
      </c>
      <c r="T2728">
        <f>IF(H2728="OK",N2728,"")</f>
        <v/>
      </c>
      <c r="U2728">
        <f>IF(OC_Donor=0,"",IF(INDEX('OneCause_Paste'!$A$2728:$AZ$2728,1,OC_Donor)="","",INDEX('OneCause_Paste'!$A$2728:$AZ$2728,1,OC_Donor)))</f>
        <v/>
      </c>
    </row>
    <row r="2729">
      <c r="A2729" s="62">
        <f>IF(H2729="","",IF(ISNUMBER(N2729),N2729,I2729))</f>
        <v/>
      </c>
      <c r="B2729">
        <f>IF(H2729="","",U2729)</f>
        <v/>
      </c>
      <c r="C2729">
        <f>IF(H2729="","",IF(P2729="",K2729,INDEX('Students'!$A$2:$A$701,P2729)))</f>
        <v/>
      </c>
      <c r="D2729">
        <f>IF(OR(H2729="",P2729=""),"",INDEX('Students'!$B$2:$B$701,P2729))</f>
        <v/>
      </c>
      <c r="E2729">
        <f>IF(OR(H2729="",P2729=""),"",INDEX('Students'!$C$2:$C$701,P2729))</f>
        <v/>
      </c>
      <c r="F2729" s="48">
        <f>IF(H2729="","",IF(ISNUMBER(O2729),O2729,J2729))</f>
        <v/>
      </c>
      <c r="G2729">
        <f>IF(H2729="","","OneCause")</f>
        <v/>
      </c>
      <c r="H2729">
        <f>IF(AND(I2729="",J2729="",K2729=""),"",IF(NOT(ISNUMBER(O2729)),"Bad amount",IF(O2729&lt;0,"Refund (not counted)",IF(O2729=0,"Zero amount",IF(NOT(ISNUMBER(N2729)),"Bad date",IF(P2729="","NAME NOT ON ROSTER",IF(L2729="","OK",IF(MATCH(L2729,$L$2:$L$3001,0)&lt;ROW()-1,"Duplicate (ignored)","OK"))))))))</f>
        <v/>
      </c>
      <c r="I2729">
        <f>IF(OC_Date=0,"",IF(INDEX('OneCause_Paste'!$A$2729:$AZ$2729,1,OC_Date)="","",INDEX('OneCause_Paste'!$A$2729:$AZ$2729,1,OC_Date)))</f>
        <v/>
      </c>
      <c r="J2729">
        <f>IF(OC_Amt=0,"",IF(INDEX('OneCause_Paste'!$A$2729:$AZ$2729,1,OC_Amt)="","",INDEX('OneCause_Paste'!$A$2729:$AZ$2729,1,OC_Amt)))</f>
        <v/>
      </c>
      <c r="K2729">
        <f>IF(OC_Name=0,"",IF(INDEX('OneCause_Paste'!$A$2729:$AZ$2729,1,OC_Name)="","",INDEX('OneCause_Paste'!$A$2729:$AZ$2729,1,OC_Name)))</f>
        <v/>
      </c>
      <c r="L2729">
        <f>IF(OC_Txn=0,"",IF(INDEX('OneCause_Paste'!$A$2729:$AZ$2729,1,OC_Txn)="","",INDEX('OneCause_Paste'!$A$2729:$AZ$2729,1,OC_Txn)))</f>
        <v/>
      </c>
      <c r="M2729">
        <f>IF(OC_Pay=0,"",IF(INDEX('OneCause_Paste'!$A$2729:$AZ$2729,1,OC_Pay)="","",INDEX('OneCause_Paste'!$A$2729:$AZ$2729,1,OC_Pay)))</f>
        <v/>
      </c>
      <c r="N2729">
        <f>IF(I2729="","",IF(ISNUMBER(I2729),INT(I2729),IFERROR(INT(DATEVALUE(I2729)),IFERROR(INT(VALUE(I2729)),"bad"))))</f>
        <v/>
      </c>
      <c r="O2729">
        <f>IF(J2729="","",IF(ISNUMBER(J2729),ROUND(J2729,2),IFERROR(ROUND(VALUE(SUBSTITUTE(SUBSTITUTE(SUBSTITUTE(J2729,"$",""),",","")," ","")),2),"bad")))</f>
        <v/>
      </c>
      <c r="P2729">
        <f>IF(TRIM(K2729)="","",IFERROR(MATCH(LOWER(TRIM(K2729)),'Students'!$AH$2:$AH$701,0),IFERROR(MATCH(LOWER(TRIM(K2729)),'Students'!$AF$2:$AF$701,0),IFERROR(MATCH(LOWER(TRIM(K2729)),'Students'!$AG$2:$AG$701,0),""))))</f>
        <v/>
      </c>
      <c r="R2729">
        <f>IF(P2729="","",INDEX('Students'!$AD$2:$AD$701,P2729))</f>
        <v/>
      </c>
      <c r="S2729">
        <f>IF(H2729="OK",O2729,0)</f>
        <v/>
      </c>
      <c r="T2729">
        <f>IF(H2729="OK",N2729,"")</f>
        <v/>
      </c>
      <c r="U2729">
        <f>IF(OC_Donor=0,"",IF(INDEX('OneCause_Paste'!$A$2729:$AZ$2729,1,OC_Donor)="","",INDEX('OneCause_Paste'!$A$2729:$AZ$2729,1,OC_Donor)))</f>
        <v/>
      </c>
    </row>
    <row r="2730">
      <c r="A2730" s="62">
        <f>IF(H2730="","",IF(ISNUMBER(N2730),N2730,I2730))</f>
        <v/>
      </c>
      <c r="B2730">
        <f>IF(H2730="","",U2730)</f>
        <v/>
      </c>
      <c r="C2730">
        <f>IF(H2730="","",IF(P2730="",K2730,INDEX('Students'!$A$2:$A$701,P2730)))</f>
        <v/>
      </c>
      <c r="D2730">
        <f>IF(OR(H2730="",P2730=""),"",INDEX('Students'!$B$2:$B$701,P2730))</f>
        <v/>
      </c>
      <c r="E2730">
        <f>IF(OR(H2730="",P2730=""),"",INDEX('Students'!$C$2:$C$701,P2730))</f>
        <v/>
      </c>
      <c r="F2730" s="48">
        <f>IF(H2730="","",IF(ISNUMBER(O2730),O2730,J2730))</f>
        <v/>
      </c>
      <c r="G2730">
        <f>IF(H2730="","","OneCause")</f>
        <v/>
      </c>
      <c r="H2730">
        <f>IF(AND(I2730="",J2730="",K2730=""),"",IF(NOT(ISNUMBER(O2730)),"Bad amount",IF(O2730&lt;0,"Refund (not counted)",IF(O2730=0,"Zero amount",IF(NOT(ISNUMBER(N2730)),"Bad date",IF(P2730="","NAME NOT ON ROSTER",IF(L2730="","OK",IF(MATCH(L2730,$L$2:$L$3001,0)&lt;ROW()-1,"Duplicate (ignored)","OK"))))))))</f>
        <v/>
      </c>
      <c r="I2730">
        <f>IF(OC_Date=0,"",IF(INDEX('OneCause_Paste'!$A$2730:$AZ$2730,1,OC_Date)="","",INDEX('OneCause_Paste'!$A$2730:$AZ$2730,1,OC_Date)))</f>
        <v/>
      </c>
      <c r="J2730">
        <f>IF(OC_Amt=0,"",IF(INDEX('OneCause_Paste'!$A$2730:$AZ$2730,1,OC_Amt)="","",INDEX('OneCause_Paste'!$A$2730:$AZ$2730,1,OC_Amt)))</f>
        <v/>
      </c>
      <c r="K2730">
        <f>IF(OC_Name=0,"",IF(INDEX('OneCause_Paste'!$A$2730:$AZ$2730,1,OC_Name)="","",INDEX('OneCause_Paste'!$A$2730:$AZ$2730,1,OC_Name)))</f>
        <v/>
      </c>
      <c r="L2730">
        <f>IF(OC_Txn=0,"",IF(INDEX('OneCause_Paste'!$A$2730:$AZ$2730,1,OC_Txn)="","",INDEX('OneCause_Paste'!$A$2730:$AZ$2730,1,OC_Txn)))</f>
        <v/>
      </c>
      <c r="M2730">
        <f>IF(OC_Pay=0,"",IF(INDEX('OneCause_Paste'!$A$2730:$AZ$2730,1,OC_Pay)="","",INDEX('OneCause_Paste'!$A$2730:$AZ$2730,1,OC_Pay)))</f>
        <v/>
      </c>
      <c r="N2730">
        <f>IF(I2730="","",IF(ISNUMBER(I2730),INT(I2730),IFERROR(INT(DATEVALUE(I2730)),IFERROR(INT(VALUE(I2730)),"bad"))))</f>
        <v/>
      </c>
      <c r="O2730">
        <f>IF(J2730="","",IF(ISNUMBER(J2730),ROUND(J2730,2),IFERROR(ROUND(VALUE(SUBSTITUTE(SUBSTITUTE(SUBSTITUTE(J2730,"$",""),",","")," ","")),2),"bad")))</f>
        <v/>
      </c>
      <c r="P2730">
        <f>IF(TRIM(K2730)="","",IFERROR(MATCH(LOWER(TRIM(K2730)),'Students'!$AH$2:$AH$701,0),IFERROR(MATCH(LOWER(TRIM(K2730)),'Students'!$AF$2:$AF$701,0),IFERROR(MATCH(LOWER(TRIM(K2730)),'Students'!$AG$2:$AG$701,0),""))))</f>
        <v/>
      </c>
      <c r="R2730">
        <f>IF(P2730="","",INDEX('Students'!$AD$2:$AD$701,P2730))</f>
        <v/>
      </c>
      <c r="S2730">
        <f>IF(H2730="OK",O2730,0)</f>
        <v/>
      </c>
      <c r="T2730">
        <f>IF(H2730="OK",N2730,"")</f>
        <v/>
      </c>
      <c r="U2730">
        <f>IF(OC_Donor=0,"",IF(INDEX('OneCause_Paste'!$A$2730:$AZ$2730,1,OC_Donor)="","",INDEX('OneCause_Paste'!$A$2730:$AZ$2730,1,OC_Donor)))</f>
        <v/>
      </c>
    </row>
    <row r="2731">
      <c r="A2731" s="62">
        <f>IF(H2731="","",IF(ISNUMBER(N2731),N2731,I2731))</f>
        <v/>
      </c>
      <c r="B2731">
        <f>IF(H2731="","",U2731)</f>
        <v/>
      </c>
      <c r="C2731">
        <f>IF(H2731="","",IF(P2731="",K2731,INDEX('Students'!$A$2:$A$701,P2731)))</f>
        <v/>
      </c>
      <c r="D2731">
        <f>IF(OR(H2731="",P2731=""),"",INDEX('Students'!$B$2:$B$701,P2731))</f>
        <v/>
      </c>
      <c r="E2731">
        <f>IF(OR(H2731="",P2731=""),"",INDEX('Students'!$C$2:$C$701,P2731))</f>
        <v/>
      </c>
      <c r="F2731" s="48">
        <f>IF(H2731="","",IF(ISNUMBER(O2731),O2731,J2731))</f>
        <v/>
      </c>
      <c r="G2731">
        <f>IF(H2731="","","OneCause")</f>
        <v/>
      </c>
      <c r="H2731">
        <f>IF(AND(I2731="",J2731="",K2731=""),"",IF(NOT(ISNUMBER(O2731)),"Bad amount",IF(O2731&lt;0,"Refund (not counted)",IF(O2731=0,"Zero amount",IF(NOT(ISNUMBER(N2731)),"Bad date",IF(P2731="","NAME NOT ON ROSTER",IF(L2731="","OK",IF(MATCH(L2731,$L$2:$L$3001,0)&lt;ROW()-1,"Duplicate (ignored)","OK"))))))))</f>
        <v/>
      </c>
      <c r="I2731">
        <f>IF(OC_Date=0,"",IF(INDEX('OneCause_Paste'!$A$2731:$AZ$2731,1,OC_Date)="","",INDEX('OneCause_Paste'!$A$2731:$AZ$2731,1,OC_Date)))</f>
        <v/>
      </c>
      <c r="J2731">
        <f>IF(OC_Amt=0,"",IF(INDEX('OneCause_Paste'!$A$2731:$AZ$2731,1,OC_Amt)="","",INDEX('OneCause_Paste'!$A$2731:$AZ$2731,1,OC_Amt)))</f>
        <v/>
      </c>
      <c r="K2731">
        <f>IF(OC_Name=0,"",IF(INDEX('OneCause_Paste'!$A$2731:$AZ$2731,1,OC_Name)="","",INDEX('OneCause_Paste'!$A$2731:$AZ$2731,1,OC_Name)))</f>
        <v/>
      </c>
      <c r="L2731">
        <f>IF(OC_Txn=0,"",IF(INDEX('OneCause_Paste'!$A$2731:$AZ$2731,1,OC_Txn)="","",INDEX('OneCause_Paste'!$A$2731:$AZ$2731,1,OC_Txn)))</f>
        <v/>
      </c>
      <c r="M2731">
        <f>IF(OC_Pay=0,"",IF(INDEX('OneCause_Paste'!$A$2731:$AZ$2731,1,OC_Pay)="","",INDEX('OneCause_Paste'!$A$2731:$AZ$2731,1,OC_Pay)))</f>
        <v/>
      </c>
      <c r="N2731">
        <f>IF(I2731="","",IF(ISNUMBER(I2731),INT(I2731),IFERROR(INT(DATEVALUE(I2731)),IFERROR(INT(VALUE(I2731)),"bad"))))</f>
        <v/>
      </c>
      <c r="O2731">
        <f>IF(J2731="","",IF(ISNUMBER(J2731),ROUND(J2731,2),IFERROR(ROUND(VALUE(SUBSTITUTE(SUBSTITUTE(SUBSTITUTE(J2731,"$",""),",","")," ","")),2),"bad")))</f>
        <v/>
      </c>
      <c r="P2731">
        <f>IF(TRIM(K2731)="","",IFERROR(MATCH(LOWER(TRIM(K2731)),'Students'!$AH$2:$AH$701,0),IFERROR(MATCH(LOWER(TRIM(K2731)),'Students'!$AF$2:$AF$701,0),IFERROR(MATCH(LOWER(TRIM(K2731)),'Students'!$AG$2:$AG$701,0),""))))</f>
        <v/>
      </c>
      <c r="R2731">
        <f>IF(P2731="","",INDEX('Students'!$AD$2:$AD$701,P2731))</f>
        <v/>
      </c>
      <c r="S2731">
        <f>IF(H2731="OK",O2731,0)</f>
        <v/>
      </c>
      <c r="T2731">
        <f>IF(H2731="OK",N2731,"")</f>
        <v/>
      </c>
      <c r="U2731">
        <f>IF(OC_Donor=0,"",IF(INDEX('OneCause_Paste'!$A$2731:$AZ$2731,1,OC_Donor)="","",INDEX('OneCause_Paste'!$A$2731:$AZ$2731,1,OC_Donor)))</f>
        <v/>
      </c>
    </row>
    <row r="2732">
      <c r="A2732" s="62">
        <f>IF(H2732="","",IF(ISNUMBER(N2732),N2732,I2732))</f>
        <v/>
      </c>
      <c r="B2732">
        <f>IF(H2732="","",U2732)</f>
        <v/>
      </c>
      <c r="C2732">
        <f>IF(H2732="","",IF(P2732="",K2732,INDEX('Students'!$A$2:$A$701,P2732)))</f>
        <v/>
      </c>
      <c r="D2732">
        <f>IF(OR(H2732="",P2732=""),"",INDEX('Students'!$B$2:$B$701,P2732))</f>
        <v/>
      </c>
      <c r="E2732">
        <f>IF(OR(H2732="",P2732=""),"",INDEX('Students'!$C$2:$C$701,P2732))</f>
        <v/>
      </c>
      <c r="F2732" s="48">
        <f>IF(H2732="","",IF(ISNUMBER(O2732),O2732,J2732))</f>
        <v/>
      </c>
      <c r="G2732">
        <f>IF(H2732="","","OneCause")</f>
        <v/>
      </c>
      <c r="H2732">
        <f>IF(AND(I2732="",J2732="",K2732=""),"",IF(NOT(ISNUMBER(O2732)),"Bad amount",IF(O2732&lt;0,"Refund (not counted)",IF(O2732=0,"Zero amount",IF(NOT(ISNUMBER(N2732)),"Bad date",IF(P2732="","NAME NOT ON ROSTER",IF(L2732="","OK",IF(MATCH(L2732,$L$2:$L$3001,0)&lt;ROW()-1,"Duplicate (ignored)","OK"))))))))</f>
        <v/>
      </c>
      <c r="I2732">
        <f>IF(OC_Date=0,"",IF(INDEX('OneCause_Paste'!$A$2732:$AZ$2732,1,OC_Date)="","",INDEX('OneCause_Paste'!$A$2732:$AZ$2732,1,OC_Date)))</f>
        <v/>
      </c>
      <c r="J2732">
        <f>IF(OC_Amt=0,"",IF(INDEX('OneCause_Paste'!$A$2732:$AZ$2732,1,OC_Amt)="","",INDEX('OneCause_Paste'!$A$2732:$AZ$2732,1,OC_Amt)))</f>
        <v/>
      </c>
      <c r="K2732">
        <f>IF(OC_Name=0,"",IF(INDEX('OneCause_Paste'!$A$2732:$AZ$2732,1,OC_Name)="","",INDEX('OneCause_Paste'!$A$2732:$AZ$2732,1,OC_Name)))</f>
        <v/>
      </c>
      <c r="L2732">
        <f>IF(OC_Txn=0,"",IF(INDEX('OneCause_Paste'!$A$2732:$AZ$2732,1,OC_Txn)="","",INDEX('OneCause_Paste'!$A$2732:$AZ$2732,1,OC_Txn)))</f>
        <v/>
      </c>
      <c r="M2732">
        <f>IF(OC_Pay=0,"",IF(INDEX('OneCause_Paste'!$A$2732:$AZ$2732,1,OC_Pay)="","",INDEX('OneCause_Paste'!$A$2732:$AZ$2732,1,OC_Pay)))</f>
        <v/>
      </c>
      <c r="N2732">
        <f>IF(I2732="","",IF(ISNUMBER(I2732),INT(I2732),IFERROR(INT(DATEVALUE(I2732)),IFERROR(INT(VALUE(I2732)),"bad"))))</f>
        <v/>
      </c>
      <c r="O2732">
        <f>IF(J2732="","",IF(ISNUMBER(J2732),ROUND(J2732,2),IFERROR(ROUND(VALUE(SUBSTITUTE(SUBSTITUTE(SUBSTITUTE(J2732,"$",""),",","")," ","")),2),"bad")))</f>
        <v/>
      </c>
      <c r="P2732">
        <f>IF(TRIM(K2732)="","",IFERROR(MATCH(LOWER(TRIM(K2732)),'Students'!$AH$2:$AH$701,0),IFERROR(MATCH(LOWER(TRIM(K2732)),'Students'!$AF$2:$AF$701,0),IFERROR(MATCH(LOWER(TRIM(K2732)),'Students'!$AG$2:$AG$701,0),""))))</f>
        <v/>
      </c>
      <c r="R2732">
        <f>IF(P2732="","",INDEX('Students'!$AD$2:$AD$701,P2732))</f>
        <v/>
      </c>
      <c r="S2732">
        <f>IF(H2732="OK",O2732,0)</f>
        <v/>
      </c>
      <c r="T2732">
        <f>IF(H2732="OK",N2732,"")</f>
        <v/>
      </c>
      <c r="U2732">
        <f>IF(OC_Donor=0,"",IF(INDEX('OneCause_Paste'!$A$2732:$AZ$2732,1,OC_Donor)="","",INDEX('OneCause_Paste'!$A$2732:$AZ$2732,1,OC_Donor)))</f>
        <v/>
      </c>
    </row>
    <row r="2733">
      <c r="A2733" s="62">
        <f>IF(H2733="","",IF(ISNUMBER(N2733),N2733,I2733))</f>
        <v/>
      </c>
      <c r="B2733">
        <f>IF(H2733="","",U2733)</f>
        <v/>
      </c>
      <c r="C2733">
        <f>IF(H2733="","",IF(P2733="",K2733,INDEX('Students'!$A$2:$A$701,P2733)))</f>
        <v/>
      </c>
      <c r="D2733">
        <f>IF(OR(H2733="",P2733=""),"",INDEX('Students'!$B$2:$B$701,P2733))</f>
        <v/>
      </c>
      <c r="E2733">
        <f>IF(OR(H2733="",P2733=""),"",INDEX('Students'!$C$2:$C$701,P2733))</f>
        <v/>
      </c>
      <c r="F2733" s="48">
        <f>IF(H2733="","",IF(ISNUMBER(O2733),O2733,J2733))</f>
        <v/>
      </c>
      <c r="G2733">
        <f>IF(H2733="","","OneCause")</f>
        <v/>
      </c>
      <c r="H2733">
        <f>IF(AND(I2733="",J2733="",K2733=""),"",IF(NOT(ISNUMBER(O2733)),"Bad amount",IF(O2733&lt;0,"Refund (not counted)",IF(O2733=0,"Zero amount",IF(NOT(ISNUMBER(N2733)),"Bad date",IF(P2733="","NAME NOT ON ROSTER",IF(L2733="","OK",IF(MATCH(L2733,$L$2:$L$3001,0)&lt;ROW()-1,"Duplicate (ignored)","OK"))))))))</f>
        <v/>
      </c>
      <c r="I2733">
        <f>IF(OC_Date=0,"",IF(INDEX('OneCause_Paste'!$A$2733:$AZ$2733,1,OC_Date)="","",INDEX('OneCause_Paste'!$A$2733:$AZ$2733,1,OC_Date)))</f>
        <v/>
      </c>
      <c r="J2733">
        <f>IF(OC_Amt=0,"",IF(INDEX('OneCause_Paste'!$A$2733:$AZ$2733,1,OC_Amt)="","",INDEX('OneCause_Paste'!$A$2733:$AZ$2733,1,OC_Amt)))</f>
        <v/>
      </c>
      <c r="K2733">
        <f>IF(OC_Name=0,"",IF(INDEX('OneCause_Paste'!$A$2733:$AZ$2733,1,OC_Name)="","",INDEX('OneCause_Paste'!$A$2733:$AZ$2733,1,OC_Name)))</f>
        <v/>
      </c>
      <c r="L2733">
        <f>IF(OC_Txn=0,"",IF(INDEX('OneCause_Paste'!$A$2733:$AZ$2733,1,OC_Txn)="","",INDEX('OneCause_Paste'!$A$2733:$AZ$2733,1,OC_Txn)))</f>
        <v/>
      </c>
      <c r="M2733">
        <f>IF(OC_Pay=0,"",IF(INDEX('OneCause_Paste'!$A$2733:$AZ$2733,1,OC_Pay)="","",INDEX('OneCause_Paste'!$A$2733:$AZ$2733,1,OC_Pay)))</f>
        <v/>
      </c>
      <c r="N2733">
        <f>IF(I2733="","",IF(ISNUMBER(I2733),INT(I2733),IFERROR(INT(DATEVALUE(I2733)),IFERROR(INT(VALUE(I2733)),"bad"))))</f>
        <v/>
      </c>
      <c r="O2733">
        <f>IF(J2733="","",IF(ISNUMBER(J2733),ROUND(J2733,2),IFERROR(ROUND(VALUE(SUBSTITUTE(SUBSTITUTE(SUBSTITUTE(J2733,"$",""),",","")," ","")),2),"bad")))</f>
        <v/>
      </c>
      <c r="P2733">
        <f>IF(TRIM(K2733)="","",IFERROR(MATCH(LOWER(TRIM(K2733)),'Students'!$AH$2:$AH$701,0),IFERROR(MATCH(LOWER(TRIM(K2733)),'Students'!$AF$2:$AF$701,0),IFERROR(MATCH(LOWER(TRIM(K2733)),'Students'!$AG$2:$AG$701,0),""))))</f>
        <v/>
      </c>
      <c r="R2733">
        <f>IF(P2733="","",INDEX('Students'!$AD$2:$AD$701,P2733))</f>
        <v/>
      </c>
      <c r="S2733">
        <f>IF(H2733="OK",O2733,0)</f>
        <v/>
      </c>
      <c r="T2733">
        <f>IF(H2733="OK",N2733,"")</f>
        <v/>
      </c>
      <c r="U2733">
        <f>IF(OC_Donor=0,"",IF(INDEX('OneCause_Paste'!$A$2733:$AZ$2733,1,OC_Donor)="","",INDEX('OneCause_Paste'!$A$2733:$AZ$2733,1,OC_Donor)))</f>
        <v/>
      </c>
    </row>
    <row r="2734">
      <c r="A2734" s="62">
        <f>IF(H2734="","",IF(ISNUMBER(N2734),N2734,I2734))</f>
        <v/>
      </c>
      <c r="B2734">
        <f>IF(H2734="","",U2734)</f>
        <v/>
      </c>
      <c r="C2734">
        <f>IF(H2734="","",IF(P2734="",K2734,INDEX('Students'!$A$2:$A$701,P2734)))</f>
        <v/>
      </c>
      <c r="D2734">
        <f>IF(OR(H2734="",P2734=""),"",INDEX('Students'!$B$2:$B$701,P2734))</f>
        <v/>
      </c>
      <c r="E2734">
        <f>IF(OR(H2734="",P2734=""),"",INDEX('Students'!$C$2:$C$701,P2734))</f>
        <v/>
      </c>
      <c r="F2734" s="48">
        <f>IF(H2734="","",IF(ISNUMBER(O2734),O2734,J2734))</f>
        <v/>
      </c>
      <c r="G2734">
        <f>IF(H2734="","","OneCause")</f>
        <v/>
      </c>
      <c r="H2734">
        <f>IF(AND(I2734="",J2734="",K2734=""),"",IF(NOT(ISNUMBER(O2734)),"Bad amount",IF(O2734&lt;0,"Refund (not counted)",IF(O2734=0,"Zero amount",IF(NOT(ISNUMBER(N2734)),"Bad date",IF(P2734="","NAME NOT ON ROSTER",IF(L2734="","OK",IF(MATCH(L2734,$L$2:$L$3001,0)&lt;ROW()-1,"Duplicate (ignored)","OK"))))))))</f>
        <v/>
      </c>
      <c r="I2734">
        <f>IF(OC_Date=0,"",IF(INDEX('OneCause_Paste'!$A$2734:$AZ$2734,1,OC_Date)="","",INDEX('OneCause_Paste'!$A$2734:$AZ$2734,1,OC_Date)))</f>
        <v/>
      </c>
      <c r="J2734">
        <f>IF(OC_Amt=0,"",IF(INDEX('OneCause_Paste'!$A$2734:$AZ$2734,1,OC_Amt)="","",INDEX('OneCause_Paste'!$A$2734:$AZ$2734,1,OC_Amt)))</f>
        <v/>
      </c>
      <c r="K2734">
        <f>IF(OC_Name=0,"",IF(INDEX('OneCause_Paste'!$A$2734:$AZ$2734,1,OC_Name)="","",INDEX('OneCause_Paste'!$A$2734:$AZ$2734,1,OC_Name)))</f>
        <v/>
      </c>
      <c r="L2734">
        <f>IF(OC_Txn=0,"",IF(INDEX('OneCause_Paste'!$A$2734:$AZ$2734,1,OC_Txn)="","",INDEX('OneCause_Paste'!$A$2734:$AZ$2734,1,OC_Txn)))</f>
        <v/>
      </c>
      <c r="M2734">
        <f>IF(OC_Pay=0,"",IF(INDEX('OneCause_Paste'!$A$2734:$AZ$2734,1,OC_Pay)="","",INDEX('OneCause_Paste'!$A$2734:$AZ$2734,1,OC_Pay)))</f>
        <v/>
      </c>
      <c r="N2734">
        <f>IF(I2734="","",IF(ISNUMBER(I2734),INT(I2734),IFERROR(INT(DATEVALUE(I2734)),IFERROR(INT(VALUE(I2734)),"bad"))))</f>
        <v/>
      </c>
      <c r="O2734">
        <f>IF(J2734="","",IF(ISNUMBER(J2734),ROUND(J2734,2),IFERROR(ROUND(VALUE(SUBSTITUTE(SUBSTITUTE(SUBSTITUTE(J2734,"$",""),",","")," ","")),2),"bad")))</f>
        <v/>
      </c>
      <c r="P2734">
        <f>IF(TRIM(K2734)="","",IFERROR(MATCH(LOWER(TRIM(K2734)),'Students'!$AH$2:$AH$701,0),IFERROR(MATCH(LOWER(TRIM(K2734)),'Students'!$AF$2:$AF$701,0),IFERROR(MATCH(LOWER(TRIM(K2734)),'Students'!$AG$2:$AG$701,0),""))))</f>
        <v/>
      </c>
      <c r="R2734">
        <f>IF(P2734="","",INDEX('Students'!$AD$2:$AD$701,P2734))</f>
        <v/>
      </c>
      <c r="S2734">
        <f>IF(H2734="OK",O2734,0)</f>
        <v/>
      </c>
      <c r="T2734">
        <f>IF(H2734="OK",N2734,"")</f>
        <v/>
      </c>
      <c r="U2734">
        <f>IF(OC_Donor=0,"",IF(INDEX('OneCause_Paste'!$A$2734:$AZ$2734,1,OC_Donor)="","",INDEX('OneCause_Paste'!$A$2734:$AZ$2734,1,OC_Donor)))</f>
        <v/>
      </c>
    </row>
    <row r="2735">
      <c r="A2735" s="62">
        <f>IF(H2735="","",IF(ISNUMBER(N2735),N2735,I2735))</f>
        <v/>
      </c>
      <c r="B2735">
        <f>IF(H2735="","",U2735)</f>
        <v/>
      </c>
      <c r="C2735">
        <f>IF(H2735="","",IF(P2735="",K2735,INDEX('Students'!$A$2:$A$701,P2735)))</f>
        <v/>
      </c>
      <c r="D2735">
        <f>IF(OR(H2735="",P2735=""),"",INDEX('Students'!$B$2:$B$701,P2735))</f>
        <v/>
      </c>
      <c r="E2735">
        <f>IF(OR(H2735="",P2735=""),"",INDEX('Students'!$C$2:$C$701,P2735))</f>
        <v/>
      </c>
      <c r="F2735" s="48">
        <f>IF(H2735="","",IF(ISNUMBER(O2735),O2735,J2735))</f>
        <v/>
      </c>
      <c r="G2735">
        <f>IF(H2735="","","OneCause")</f>
        <v/>
      </c>
      <c r="H2735">
        <f>IF(AND(I2735="",J2735="",K2735=""),"",IF(NOT(ISNUMBER(O2735)),"Bad amount",IF(O2735&lt;0,"Refund (not counted)",IF(O2735=0,"Zero amount",IF(NOT(ISNUMBER(N2735)),"Bad date",IF(P2735="","NAME NOT ON ROSTER",IF(L2735="","OK",IF(MATCH(L2735,$L$2:$L$3001,0)&lt;ROW()-1,"Duplicate (ignored)","OK"))))))))</f>
        <v/>
      </c>
      <c r="I2735">
        <f>IF(OC_Date=0,"",IF(INDEX('OneCause_Paste'!$A$2735:$AZ$2735,1,OC_Date)="","",INDEX('OneCause_Paste'!$A$2735:$AZ$2735,1,OC_Date)))</f>
        <v/>
      </c>
      <c r="J2735">
        <f>IF(OC_Amt=0,"",IF(INDEX('OneCause_Paste'!$A$2735:$AZ$2735,1,OC_Amt)="","",INDEX('OneCause_Paste'!$A$2735:$AZ$2735,1,OC_Amt)))</f>
        <v/>
      </c>
      <c r="K2735">
        <f>IF(OC_Name=0,"",IF(INDEX('OneCause_Paste'!$A$2735:$AZ$2735,1,OC_Name)="","",INDEX('OneCause_Paste'!$A$2735:$AZ$2735,1,OC_Name)))</f>
        <v/>
      </c>
      <c r="L2735">
        <f>IF(OC_Txn=0,"",IF(INDEX('OneCause_Paste'!$A$2735:$AZ$2735,1,OC_Txn)="","",INDEX('OneCause_Paste'!$A$2735:$AZ$2735,1,OC_Txn)))</f>
        <v/>
      </c>
      <c r="M2735">
        <f>IF(OC_Pay=0,"",IF(INDEX('OneCause_Paste'!$A$2735:$AZ$2735,1,OC_Pay)="","",INDEX('OneCause_Paste'!$A$2735:$AZ$2735,1,OC_Pay)))</f>
        <v/>
      </c>
      <c r="N2735">
        <f>IF(I2735="","",IF(ISNUMBER(I2735),INT(I2735),IFERROR(INT(DATEVALUE(I2735)),IFERROR(INT(VALUE(I2735)),"bad"))))</f>
        <v/>
      </c>
      <c r="O2735">
        <f>IF(J2735="","",IF(ISNUMBER(J2735),ROUND(J2735,2),IFERROR(ROUND(VALUE(SUBSTITUTE(SUBSTITUTE(SUBSTITUTE(J2735,"$",""),",","")," ","")),2),"bad")))</f>
        <v/>
      </c>
      <c r="P2735">
        <f>IF(TRIM(K2735)="","",IFERROR(MATCH(LOWER(TRIM(K2735)),'Students'!$AH$2:$AH$701,0),IFERROR(MATCH(LOWER(TRIM(K2735)),'Students'!$AF$2:$AF$701,0),IFERROR(MATCH(LOWER(TRIM(K2735)),'Students'!$AG$2:$AG$701,0),""))))</f>
        <v/>
      </c>
      <c r="R2735">
        <f>IF(P2735="","",INDEX('Students'!$AD$2:$AD$701,P2735))</f>
        <v/>
      </c>
      <c r="S2735">
        <f>IF(H2735="OK",O2735,0)</f>
        <v/>
      </c>
      <c r="T2735">
        <f>IF(H2735="OK",N2735,"")</f>
        <v/>
      </c>
      <c r="U2735">
        <f>IF(OC_Donor=0,"",IF(INDEX('OneCause_Paste'!$A$2735:$AZ$2735,1,OC_Donor)="","",INDEX('OneCause_Paste'!$A$2735:$AZ$2735,1,OC_Donor)))</f>
        <v/>
      </c>
    </row>
    <row r="2736">
      <c r="A2736" s="62">
        <f>IF(H2736="","",IF(ISNUMBER(N2736),N2736,I2736))</f>
        <v/>
      </c>
      <c r="B2736">
        <f>IF(H2736="","",U2736)</f>
        <v/>
      </c>
      <c r="C2736">
        <f>IF(H2736="","",IF(P2736="",K2736,INDEX('Students'!$A$2:$A$701,P2736)))</f>
        <v/>
      </c>
      <c r="D2736">
        <f>IF(OR(H2736="",P2736=""),"",INDEX('Students'!$B$2:$B$701,P2736))</f>
        <v/>
      </c>
      <c r="E2736">
        <f>IF(OR(H2736="",P2736=""),"",INDEX('Students'!$C$2:$C$701,P2736))</f>
        <v/>
      </c>
      <c r="F2736" s="48">
        <f>IF(H2736="","",IF(ISNUMBER(O2736),O2736,J2736))</f>
        <v/>
      </c>
      <c r="G2736">
        <f>IF(H2736="","","OneCause")</f>
        <v/>
      </c>
      <c r="H2736">
        <f>IF(AND(I2736="",J2736="",K2736=""),"",IF(NOT(ISNUMBER(O2736)),"Bad amount",IF(O2736&lt;0,"Refund (not counted)",IF(O2736=0,"Zero amount",IF(NOT(ISNUMBER(N2736)),"Bad date",IF(P2736="","NAME NOT ON ROSTER",IF(L2736="","OK",IF(MATCH(L2736,$L$2:$L$3001,0)&lt;ROW()-1,"Duplicate (ignored)","OK"))))))))</f>
        <v/>
      </c>
      <c r="I2736">
        <f>IF(OC_Date=0,"",IF(INDEX('OneCause_Paste'!$A$2736:$AZ$2736,1,OC_Date)="","",INDEX('OneCause_Paste'!$A$2736:$AZ$2736,1,OC_Date)))</f>
        <v/>
      </c>
      <c r="J2736">
        <f>IF(OC_Amt=0,"",IF(INDEX('OneCause_Paste'!$A$2736:$AZ$2736,1,OC_Amt)="","",INDEX('OneCause_Paste'!$A$2736:$AZ$2736,1,OC_Amt)))</f>
        <v/>
      </c>
      <c r="K2736">
        <f>IF(OC_Name=0,"",IF(INDEX('OneCause_Paste'!$A$2736:$AZ$2736,1,OC_Name)="","",INDEX('OneCause_Paste'!$A$2736:$AZ$2736,1,OC_Name)))</f>
        <v/>
      </c>
      <c r="L2736">
        <f>IF(OC_Txn=0,"",IF(INDEX('OneCause_Paste'!$A$2736:$AZ$2736,1,OC_Txn)="","",INDEX('OneCause_Paste'!$A$2736:$AZ$2736,1,OC_Txn)))</f>
        <v/>
      </c>
      <c r="M2736">
        <f>IF(OC_Pay=0,"",IF(INDEX('OneCause_Paste'!$A$2736:$AZ$2736,1,OC_Pay)="","",INDEX('OneCause_Paste'!$A$2736:$AZ$2736,1,OC_Pay)))</f>
        <v/>
      </c>
      <c r="N2736">
        <f>IF(I2736="","",IF(ISNUMBER(I2736),INT(I2736),IFERROR(INT(DATEVALUE(I2736)),IFERROR(INT(VALUE(I2736)),"bad"))))</f>
        <v/>
      </c>
      <c r="O2736">
        <f>IF(J2736="","",IF(ISNUMBER(J2736),ROUND(J2736,2),IFERROR(ROUND(VALUE(SUBSTITUTE(SUBSTITUTE(SUBSTITUTE(J2736,"$",""),",","")," ","")),2),"bad")))</f>
        <v/>
      </c>
      <c r="P2736">
        <f>IF(TRIM(K2736)="","",IFERROR(MATCH(LOWER(TRIM(K2736)),'Students'!$AH$2:$AH$701,0),IFERROR(MATCH(LOWER(TRIM(K2736)),'Students'!$AF$2:$AF$701,0),IFERROR(MATCH(LOWER(TRIM(K2736)),'Students'!$AG$2:$AG$701,0),""))))</f>
        <v/>
      </c>
      <c r="R2736">
        <f>IF(P2736="","",INDEX('Students'!$AD$2:$AD$701,P2736))</f>
        <v/>
      </c>
      <c r="S2736">
        <f>IF(H2736="OK",O2736,0)</f>
        <v/>
      </c>
      <c r="T2736">
        <f>IF(H2736="OK",N2736,"")</f>
        <v/>
      </c>
      <c r="U2736">
        <f>IF(OC_Donor=0,"",IF(INDEX('OneCause_Paste'!$A$2736:$AZ$2736,1,OC_Donor)="","",INDEX('OneCause_Paste'!$A$2736:$AZ$2736,1,OC_Donor)))</f>
        <v/>
      </c>
    </row>
    <row r="2737">
      <c r="A2737" s="62">
        <f>IF(H2737="","",IF(ISNUMBER(N2737),N2737,I2737))</f>
        <v/>
      </c>
      <c r="B2737">
        <f>IF(H2737="","",U2737)</f>
        <v/>
      </c>
      <c r="C2737">
        <f>IF(H2737="","",IF(P2737="",K2737,INDEX('Students'!$A$2:$A$701,P2737)))</f>
        <v/>
      </c>
      <c r="D2737">
        <f>IF(OR(H2737="",P2737=""),"",INDEX('Students'!$B$2:$B$701,P2737))</f>
        <v/>
      </c>
      <c r="E2737">
        <f>IF(OR(H2737="",P2737=""),"",INDEX('Students'!$C$2:$C$701,P2737))</f>
        <v/>
      </c>
      <c r="F2737" s="48">
        <f>IF(H2737="","",IF(ISNUMBER(O2737),O2737,J2737))</f>
        <v/>
      </c>
      <c r="G2737">
        <f>IF(H2737="","","OneCause")</f>
        <v/>
      </c>
      <c r="H2737">
        <f>IF(AND(I2737="",J2737="",K2737=""),"",IF(NOT(ISNUMBER(O2737)),"Bad amount",IF(O2737&lt;0,"Refund (not counted)",IF(O2737=0,"Zero amount",IF(NOT(ISNUMBER(N2737)),"Bad date",IF(P2737="","NAME NOT ON ROSTER",IF(L2737="","OK",IF(MATCH(L2737,$L$2:$L$3001,0)&lt;ROW()-1,"Duplicate (ignored)","OK"))))))))</f>
        <v/>
      </c>
      <c r="I2737">
        <f>IF(OC_Date=0,"",IF(INDEX('OneCause_Paste'!$A$2737:$AZ$2737,1,OC_Date)="","",INDEX('OneCause_Paste'!$A$2737:$AZ$2737,1,OC_Date)))</f>
        <v/>
      </c>
      <c r="J2737">
        <f>IF(OC_Amt=0,"",IF(INDEX('OneCause_Paste'!$A$2737:$AZ$2737,1,OC_Amt)="","",INDEX('OneCause_Paste'!$A$2737:$AZ$2737,1,OC_Amt)))</f>
        <v/>
      </c>
      <c r="K2737">
        <f>IF(OC_Name=0,"",IF(INDEX('OneCause_Paste'!$A$2737:$AZ$2737,1,OC_Name)="","",INDEX('OneCause_Paste'!$A$2737:$AZ$2737,1,OC_Name)))</f>
        <v/>
      </c>
      <c r="L2737">
        <f>IF(OC_Txn=0,"",IF(INDEX('OneCause_Paste'!$A$2737:$AZ$2737,1,OC_Txn)="","",INDEX('OneCause_Paste'!$A$2737:$AZ$2737,1,OC_Txn)))</f>
        <v/>
      </c>
      <c r="M2737">
        <f>IF(OC_Pay=0,"",IF(INDEX('OneCause_Paste'!$A$2737:$AZ$2737,1,OC_Pay)="","",INDEX('OneCause_Paste'!$A$2737:$AZ$2737,1,OC_Pay)))</f>
        <v/>
      </c>
      <c r="N2737">
        <f>IF(I2737="","",IF(ISNUMBER(I2737),INT(I2737),IFERROR(INT(DATEVALUE(I2737)),IFERROR(INT(VALUE(I2737)),"bad"))))</f>
        <v/>
      </c>
      <c r="O2737">
        <f>IF(J2737="","",IF(ISNUMBER(J2737),ROUND(J2737,2),IFERROR(ROUND(VALUE(SUBSTITUTE(SUBSTITUTE(SUBSTITUTE(J2737,"$",""),",","")," ","")),2),"bad")))</f>
        <v/>
      </c>
      <c r="P2737">
        <f>IF(TRIM(K2737)="","",IFERROR(MATCH(LOWER(TRIM(K2737)),'Students'!$AH$2:$AH$701,0),IFERROR(MATCH(LOWER(TRIM(K2737)),'Students'!$AF$2:$AF$701,0),IFERROR(MATCH(LOWER(TRIM(K2737)),'Students'!$AG$2:$AG$701,0),""))))</f>
        <v/>
      </c>
      <c r="R2737">
        <f>IF(P2737="","",INDEX('Students'!$AD$2:$AD$701,P2737))</f>
        <v/>
      </c>
      <c r="S2737">
        <f>IF(H2737="OK",O2737,0)</f>
        <v/>
      </c>
      <c r="T2737">
        <f>IF(H2737="OK",N2737,"")</f>
        <v/>
      </c>
      <c r="U2737">
        <f>IF(OC_Donor=0,"",IF(INDEX('OneCause_Paste'!$A$2737:$AZ$2737,1,OC_Donor)="","",INDEX('OneCause_Paste'!$A$2737:$AZ$2737,1,OC_Donor)))</f>
        <v/>
      </c>
    </row>
    <row r="2738">
      <c r="A2738" s="62">
        <f>IF(H2738="","",IF(ISNUMBER(N2738),N2738,I2738))</f>
        <v/>
      </c>
      <c r="B2738">
        <f>IF(H2738="","",U2738)</f>
        <v/>
      </c>
      <c r="C2738">
        <f>IF(H2738="","",IF(P2738="",K2738,INDEX('Students'!$A$2:$A$701,P2738)))</f>
        <v/>
      </c>
      <c r="D2738">
        <f>IF(OR(H2738="",P2738=""),"",INDEX('Students'!$B$2:$B$701,P2738))</f>
        <v/>
      </c>
      <c r="E2738">
        <f>IF(OR(H2738="",P2738=""),"",INDEX('Students'!$C$2:$C$701,P2738))</f>
        <v/>
      </c>
      <c r="F2738" s="48">
        <f>IF(H2738="","",IF(ISNUMBER(O2738),O2738,J2738))</f>
        <v/>
      </c>
      <c r="G2738">
        <f>IF(H2738="","","OneCause")</f>
        <v/>
      </c>
      <c r="H2738">
        <f>IF(AND(I2738="",J2738="",K2738=""),"",IF(NOT(ISNUMBER(O2738)),"Bad amount",IF(O2738&lt;0,"Refund (not counted)",IF(O2738=0,"Zero amount",IF(NOT(ISNUMBER(N2738)),"Bad date",IF(P2738="","NAME NOT ON ROSTER",IF(L2738="","OK",IF(MATCH(L2738,$L$2:$L$3001,0)&lt;ROW()-1,"Duplicate (ignored)","OK"))))))))</f>
        <v/>
      </c>
      <c r="I2738">
        <f>IF(OC_Date=0,"",IF(INDEX('OneCause_Paste'!$A$2738:$AZ$2738,1,OC_Date)="","",INDEX('OneCause_Paste'!$A$2738:$AZ$2738,1,OC_Date)))</f>
        <v/>
      </c>
      <c r="J2738">
        <f>IF(OC_Amt=0,"",IF(INDEX('OneCause_Paste'!$A$2738:$AZ$2738,1,OC_Amt)="","",INDEX('OneCause_Paste'!$A$2738:$AZ$2738,1,OC_Amt)))</f>
        <v/>
      </c>
      <c r="K2738">
        <f>IF(OC_Name=0,"",IF(INDEX('OneCause_Paste'!$A$2738:$AZ$2738,1,OC_Name)="","",INDEX('OneCause_Paste'!$A$2738:$AZ$2738,1,OC_Name)))</f>
        <v/>
      </c>
      <c r="L2738">
        <f>IF(OC_Txn=0,"",IF(INDEX('OneCause_Paste'!$A$2738:$AZ$2738,1,OC_Txn)="","",INDEX('OneCause_Paste'!$A$2738:$AZ$2738,1,OC_Txn)))</f>
        <v/>
      </c>
      <c r="M2738">
        <f>IF(OC_Pay=0,"",IF(INDEX('OneCause_Paste'!$A$2738:$AZ$2738,1,OC_Pay)="","",INDEX('OneCause_Paste'!$A$2738:$AZ$2738,1,OC_Pay)))</f>
        <v/>
      </c>
      <c r="N2738">
        <f>IF(I2738="","",IF(ISNUMBER(I2738),INT(I2738),IFERROR(INT(DATEVALUE(I2738)),IFERROR(INT(VALUE(I2738)),"bad"))))</f>
        <v/>
      </c>
      <c r="O2738">
        <f>IF(J2738="","",IF(ISNUMBER(J2738),ROUND(J2738,2),IFERROR(ROUND(VALUE(SUBSTITUTE(SUBSTITUTE(SUBSTITUTE(J2738,"$",""),",","")," ","")),2),"bad")))</f>
        <v/>
      </c>
      <c r="P2738">
        <f>IF(TRIM(K2738)="","",IFERROR(MATCH(LOWER(TRIM(K2738)),'Students'!$AH$2:$AH$701,0),IFERROR(MATCH(LOWER(TRIM(K2738)),'Students'!$AF$2:$AF$701,0),IFERROR(MATCH(LOWER(TRIM(K2738)),'Students'!$AG$2:$AG$701,0),""))))</f>
        <v/>
      </c>
      <c r="R2738">
        <f>IF(P2738="","",INDEX('Students'!$AD$2:$AD$701,P2738))</f>
        <v/>
      </c>
      <c r="S2738">
        <f>IF(H2738="OK",O2738,0)</f>
        <v/>
      </c>
      <c r="T2738">
        <f>IF(H2738="OK",N2738,"")</f>
        <v/>
      </c>
      <c r="U2738">
        <f>IF(OC_Donor=0,"",IF(INDEX('OneCause_Paste'!$A$2738:$AZ$2738,1,OC_Donor)="","",INDEX('OneCause_Paste'!$A$2738:$AZ$2738,1,OC_Donor)))</f>
        <v/>
      </c>
    </row>
    <row r="2739">
      <c r="A2739" s="62">
        <f>IF(H2739="","",IF(ISNUMBER(N2739),N2739,I2739))</f>
        <v/>
      </c>
      <c r="B2739">
        <f>IF(H2739="","",U2739)</f>
        <v/>
      </c>
      <c r="C2739">
        <f>IF(H2739="","",IF(P2739="",K2739,INDEX('Students'!$A$2:$A$701,P2739)))</f>
        <v/>
      </c>
      <c r="D2739">
        <f>IF(OR(H2739="",P2739=""),"",INDEX('Students'!$B$2:$B$701,P2739))</f>
        <v/>
      </c>
      <c r="E2739">
        <f>IF(OR(H2739="",P2739=""),"",INDEX('Students'!$C$2:$C$701,P2739))</f>
        <v/>
      </c>
      <c r="F2739" s="48">
        <f>IF(H2739="","",IF(ISNUMBER(O2739),O2739,J2739))</f>
        <v/>
      </c>
      <c r="G2739">
        <f>IF(H2739="","","OneCause")</f>
        <v/>
      </c>
      <c r="H2739">
        <f>IF(AND(I2739="",J2739="",K2739=""),"",IF(NOT(ISNUMBER(O2739)),"Bad amount",IF(O2739&lt;0,"Refund (not counted)",IF(O2739=0,"Zero amount",IF(NOT(ISNUMBER(N2739)),"Bad date",IF(P2739="","NAME NOT ON ROSTER",IF(L2739="","OK",IF(MATCH(L2739,$L$2:$L$3001,0)&lt;ROW()-1,"Duplicate (ignored)","OK"))))))))</f>
        <v/>
      </c>
      <c r="I2739">
        <f>IF(OC_Date=0,"",IF(INDEX('OneCause_Paste'!$A$2739:$AZ$2739,1,OC_Date)="","",INDEX('OneCause_Paste'!$A$2739:$AZ$2739,1,OC_Date)))</f>
        <v/>
      </c>
      <c r="J2739">
        <f>IF(OC_Amt=0,"",IF(INDEX('OneCause_Paste'!$A$2739:$AZ$2739,1,OC_Amt)="","",INDEX('OneCause_Paste'!$A$2739:$AZ$2739,1,OC_Amt)))</f>
        <v/>
      </c>
      <c r="K2739">
        <f>IF(OC_Name=0,"",IF(INDEX('OneCause_Paste'!$A$2739:$AZ$2739,1,OC_Name)="","",INDEX('OneCause_Paste'!$A$2739:$AZ$2739,1,OC_Name)))</f>
        <v/>
      </c>
      <c r="L2739">
        <f>IF(OC_Txn=0,"",IF(INDEX('OneCause_Paste'!$A$2739:$AZ$2739,1,OC_Txn)="","",INDEX('OneCause_Paste'!$A$2739:$AZ$2739,1,OC_Txn)))</f>
        <v/>
      </c>
      <c r="M2739">
        <f>IF(OC_Pay=0,"",IF(INDEX('OneCause_Paste'!$A$2739:$AZ$2739,1,OC_Pay)="","",INDEX('OneCause_Paste'!$A$2739:$AZ$2739,1,OC_Pay)))</f>
        <v/>
      </c>
      <c r="N2739">
        <f>IF(I2739="","",IF(ISNUMBER(I2739),INT(I2739),IFERROR(INT(DATEVALUE(I2739)),IFERROR(INT(VALUE(I2739)),"bad"))))</f>
        <v/>
      </c>
      <c r="O2739">
        <f>IF(J2739="","",IF(ISNUMBER(J2739),ROUND(J2739,2),IFERROR(ROUND(VALUE(SUBSTITUTE(SUBSTITUTE(SUBSTITUTE(J2739,"$",""),",","")," ","")),2),"bad")))</f>
        <v/>
      </c>
      <c r="P2739">
        <f>IF(TRIM(K2739)="","",IFERROR(MATCH(LOWER(TRIM(K2739)),'Students'!$AH$2:$AH$701,0),IFERROR(MATCH(LOWER(TRIM(K2739)),'Students'!$AF$2:$AF$701,0),IFERROR(MATCH(LOWER(TRIM(K2739)),'Students'!$AG$2:$AG$701,0),""))))</f>
        <v/>
      </c>
      <c r="R2739">
        <f>IF(P2739="","",INDEX('Students'!$AD$2:$AD$701,P2739))</f>
        <v/>
      </c>
      <c r="S2739">
        <f>IF(H2739="OK",O2739,0)</f>
        <v/>
      </c>
      <c r="T2739">
        <f>IF(H2739="OK",N2739,"")</f>
        <v/>
      </c>
      <c r="U2739">
        <f>IF(OC_Donor=0,"",IF(INDEX('OneCause_Paste'!$A$2739:$AZ$2739,1,OC_Donor)="","",INDEX('OneCause_Paste'!$A$2739:$AZ$2739,1,OC_Donor)))</f>
        <v/>
      </c>
    </row>
    <row r="2740">
      <c r="A2740" s="62">
        <f>IF(H2740="","",IF(ISNUMBER(N2740),N2740,I2740))</f>
        <v/>
      </c>
      <c r="B2740">
        <f>IF(H2740="","",U2740)</f>
        <v/>
      </c>
      <c r="C2740">
        <f>IF(H2740="","",IF(P2740="",K2740,INDEX('Students'!$A$2:$A$701,P2740)))</f>
        <v/>
      </c>
      <c r="D2740">
        <f>IF(OR(H2740="",P2740=""),"",INDEX('Students'!$B$2:$B$701,P2740))</f>
        <v/>
      </c>
      <c r="E2740">
        <f>IF(OR(H2740="",P2740=""),"",INDEX('Students'!$C$2:$C$701,P2740))</f>
        <v/>
      </c>
      <c r="F2740" s="48">
        <f>IF(H2740="","",IF(ISNUMBER(O2740),O2740,J2740))</f>
        <v/>
      </c>
      <c r="G2740">
        <f>IF(H2740="","","OneCause")</f>
        <v/>
      </c>
      <c r="H2740">
        <f>IF(AND(I2740="",J2740="",K2740=""),"",IF(NOT(ISNUMBER(O2740)),"Bad amount",IF(O2740&lt;0,"Refund (not counted)",IF(O2740=0,"Zero amount",IF(NOT(ISNUMBER(N2740)),"Bad date",IF(P2740="","NAME NOT ON ROSTER",IF(L2740="","OK",IF(MATCH(L2740,$L$2:$L$3001,0)&lt;ROW()-1,"Duplicate (ignored)","OK"))))))))</f>
        <v/>
      </c>
      <c r="I2740">
        <f>IF(OC_Date=0,"",IF(INDEX('OneCause_Paste'!$A$2740:$AZ$2740,1,OC_Date)="","",INDEX('OneCause_Paste'!$A$2740:$AZ$2740,1,OC_Date)))</f>
        <v/>
      </c>
      <c r="J2740">
        <f>IF(OC_Amt=0,"",IF(INDEX('OneCause_Paste'!$A$2740:$AZ$2740,1,OC_Amt)="","",INDEX('OneCause_Paste'!$A$2740:$AZ$2740,1,OC_Amt)))</f>
        <v/>
      </c>
      <c r="K2740">
        <f>IF(OC_Name=0,"",IF(INDEX('OneCause_Paste'!$A$2740:$AZ$2740,1,OC_Name)="","",INDEX('OneCause_Paste'!$A$2740:$AZ$2740,1,OC_Name)))</f>
        <v/>
      </c>
      <c r="L2740">
        <f>IF(OC_Txn=0,"",IF(INDEX('OneCause_Paste'!$A$2740:$AZ$2740,1,OC_Txn)="","",INDEX('OneCause_Paste'!$A$2740:$AZ$2740,1,OC_Txn)))</f>
        <v/>
      </c>
      <c r="M2740">
        <f>IF(OC_Pay=0,"",IF(INDEX('OneCause_Paste'!$A$2740:$AZ$2740,1,OC_Pay)="","",INDEX('OneCause_Paste'!$A$2740:$AZ$2740,1,OC_Pay)))</f>
        <v/>
      </c>
      <c r="N2740">
        <f>IF(I2740="","",IF(ISNUMBER(I2740),INT(I2740),IFERROR(INT(DATEVALUE(I2740)),IFERROR(INT(VALUE(I2740)),"bad"))))</f>
        <v/>
      </c>
      <c r="O2740">
        <f>IF(J2740="","",IF(ISNUMBER(J2740),ROUND(J2740,2),IFERROR(ROUND(VALUE(SUBSTITUTE(SUBSTITUTE(SUBSTITUTE(J2740,"$",""),",","")," ","")),2),"bad")))</f>
        <v/>
      </c>
      <c r="P2740">
        <f>IF(TRIM(K2740)="","",IFERROR(MATCH(LOWER(TRIM(K2740)),'Students'!$AH$2:$AH$701,0),IFERROR(MATCH(LOWER(TRIM(K2740)),'Students'!$AF$2:$AF$701,0),IFERROR(MATCH(LOWER(TRIM(K2740)),'Students'!$AG$2:$AG$701,0),""))))</f>
        <v/>
      </c>
      <c r="R2740">
        <f>IF(P2740="","",INDEX('Students'!$AD$2:$AD$701,P2740))</f>
        <v/>
      </c>
      <c r="S2740">
        <f>IF(H2740="OK",O2740,0)</f>
        <v/>
      </c>
      <c r="T2740">
        <f>IF(H2740="OK",N2740,"")</f>
        <v/>
      </c>
      <c r="U2740">
        <f>IF(OC_Donor=0,"",IF(INDEX('OneCause_Paste'!$A$2740:$AZ$2740,1,OC_Donor)="","",INDEX('OneCause_Paste'!$A$2740:$AZ$2740,1,OC_Donor)))</f>
        <v/>
      </c>
    </row>
    <row r="2741">
      <c r="A2741" s="62">
        <f>IF(H2741="","",IF(ISNUMBER(N2741),N2741,I2741))</f>
        <v/>
      </c>
      <c r="B2741">
        <f>IF(H2741="","",U2741)</f>
        <v/>
      </c>
      <c r="C2741">
        <f>IF(H2741="","",IF(P2741="",K2741,INDEX('Students'!$A$2:$A$701,P2741)))</f>
        <v/>
      </c>
      <c r="D2741">
        <f>IF(OR(H2741="",P2741=""),"",INDEX('Students'!$B$2:$B$701,P2741))</f>
        <v/>
      </c>
      <c r="E2741">
        <f>IF(OR(H2741="",P2741=""),"",INDEX('Students'!$C$2:$C$701,P2741))</f>
        <v/>
      </c>
      <c r="F2741" s="48">
        <f>IF(H2741="","",IF(ISNUMBER(O2741),O2741,J2741))</f>
        <v/>
      </c>
      <c r="G2741">
        <f>IF(H2741="","","OneCause")</f>
        <v/>
      </c>
      <c r="H2741">
        <f>IF(AND(I2741="",J2741="",K2741=""),"",IF(NOT(ISNUMBER(O2741)),"Bad amount",IF(O2741&lt;0,"Refund (not counted)",IF(O2741=0,"Zero amount",IF(NOT(ISNUMBER(N2741)),"Bad date",IF(P2741="","NAME NOT ON ROSTER",IF(L2741="","OK",IF(MATCH(L2741,$L$2:$L$3001,0)&lt;ROW()-1,"Duplicate (ignored)","OK"))))))))</f>
        <v/>
      </c>
      <c r="I2741">
        <f>IF(OC_Date=0,"",IF(INDEX('OneCause_Paste'!$A$2741:$AZ$2741,1,OC_Date)="","",INDEX('OneCause_Paste'!$A$2741:$AZ$2741,1,OC_Date)))</f>
        <v/>
      </c>
      <c r="J2741">
        <f>IF(OC_Amt=0,"",IF(INDEX('OneCause_Paste'!$A$2741:$AZ$2741,1,OC_Amt)="","",INDEX('OneCause_Paste'!$A$2741:$AZ$2741,1,OC_Amt)))</f>
        <v/>
      </c>
      <c r="K2741">
        <f>IF(OC_Name=0,"",IF(INDEX('OneCause_Paste'!$A$2741:$AZ$2741,1,OC_Name)="","",INDEX('OneCause_Paste'!$A$2741:$AZ$2741,1,OC_Name)))</f>
        <v/>
      </c>
      <c r="L2741">
        <f>IF(OC_Txn=0,"",IF(INDEX('OneCause_Paste'!$A$2741:$AZ$2741,1,OC_Txn)="","",INDEX('OneCause_Paste'!$A$2741:$AZ$2741,1,OC_Txn)))</f>
        <v/>
      </c>
      <c r="M2741">
        <f>IF(OC_Pay=0,"",IF(INDEX('OneCause_Paste'!$A$2741:$AZ$2741,1,OC_Pay)="","",INDEX('OneCause_Paste'!$A$2741:$AZ$2741,1,OC_Pay)))</f>
        <v/>
      </c>
      <c r="N2741">
        <f>IF(I2741="","",IF(ISNUMBER(I2741),INT(I2741),IFERROR(INT(DATEVALUE(I2741)),IFERROR(INT(VALUE(I2741)),"bad"))))</f>
        <v/>
      </c>
      <c r="O2741">
        <f>IF(J2741="","",IF(ISNUMBER(J2741),ROUND(J2741,2),IFERROR(ROUND(VALUE(SUBSTITUTE(SUBSTITUTE(SUBSTITUTE(J2741,"$",""),",","")," ","")),2),"bad")))</f>
        <v/>
      </c>
      <c r="P2741">
        <f>IF(TRIM(K2741)="","",IFERROR(MATCH(LOWER(TRIM(K2741)),'Students'!$AH$2:$AH$701,0),IFERROR(MATCH(LOWER(TRIM(K2741)),'Students'!$AF$2:$AF$701,0),IFERROR(MATCH(LOWER(TRIM(K2741)),'Students'!$AG$2:$AG$701,0),""))))</f>
        <v/>
      </c>
      <c r="R2741">
        <f>IF(P2741="","",INDEX('Students'!$AD$2:$AD$701,P2741))</f>
        <v/>
      </c>
      <c r="S2741">
        <f>IF(H2741="OK",O2741,0)</f>
        <v/>
      </c>
      <c r="T2741">
        <f>IF(H2741="OK",N2741,"")</f>
        <v/>
      </c>
      <c r="U2741">
        <f>IF(OC_Donor=0,"",IF(INDEX('OneCause_Paste'!$A$2741:$AZ$2741,1,OC_Donor)="","",INDEX('OneCause_Paste'!$A$2741:$AZ$2741,1,OC_Donor)))</f>
        <v/>
      </c>
    </row>
    <row r="2742">
      <c r="A2742" s="62">
        <f>IF(H2742="","",IF(ISNUMBER(N2742),N2742,I2742))</f>
        <v/>
      </c>
      <c r="B2742">
        <f>IF(H2742="","",U2742)</f>
        <v/>
      </c>
      <c r="C2742">
        <f>IF(H2742="","",IF(P2742="",K2742,INDEX('Students'!$A$2:$A$701,P2742)))</f>
        <v/>
      </c>
      <c r="D2742">
        <f>IF(OR(H2742="",P2742=""),"",INDEX('Students'!$B$2:$B$701,P2742))</f>
        <v/>
      </c>
      <c r="E2742">
        <f>IF(OR(H2742="",P2742=""),"",INDEX('Students'!$C$2:$C$701,P2742))</f>
        <v/>
      </c>
      <c r="F2742" s="48">
        <f>IF(H2742="","",IF(ISNUMBER(O2742),O2742,J2742))</f>
        <v/>
      </c>
      <c r="G2742">
        <f>IF(H2742="","","OneCause")</f>
        <v/>
      </c>
      <c r="H2742">
        <f>IF(AND(I2742="",J2742="",K2742=""),"",IF(NOT(ISNUMBER(O2742)),"Bad amount",IF(O2742&lt;0,"Refund (not counted)",IF(O2742=0,"Zero amount",IF(NOT(ISNUMBER(N2742)),"Bad date",IF(P2742="","NAME NOT ON ROSTER",IF(L2742="","OK",IF(MATCH(L2742,$L$2:$L$3001,0)&lt;ROW()-1,"Duplicate (ignored)","OK"))))))))</f>
        <v/>
      </c>
      <c r="I2742">
        <f>IF(OC_Date=0,"",IF(INDEX('OneCause_Paste'!$A$2742:$AZ$2742,1,OC_Date)="","",INDEX('OneCause_Paste'!$A$2742:$AZ$2742,1,OC_Date)))</f>
        <v/>
      </c>
      <c r="J2742">
        <f>IF(OC_Amt=0,"",IF(INDEX('OneCause_Paste'!$A$2742:$AZ$2742,1,OC_Amt)="","",INDEX('OneCause_Paste'!$A$2742:$AZ$2742,1,OC_Amt)))</f>
        <v/>
      </c>
      <c r="K2742">
        <f>IF(OC_Name=0,"",IF(INDEX('OneCause_Paste'!$A$2742:$AZ$2742,1,OC_Name)="","",INDEX('OneCause_Paste'!$A$2742:$AZ$2742,1,OC_Name)))</f>
        <v/>
      </c>
      <c r="L2742">
        <f>IF(OC_Txn=0,"",IF(INDEX('OneCause_Paste'!$A$2742:$AZ$2742,1,OC_Txn)="","",INDEX('OneCause_Paste'!$A$2742:$AZ$2742,1,OC_Txn)))</f>
        <v/>
      </c>
      <c r="M2742">
        <f>IF(OC_Pay=0,"",IF(INDEX('OneCause_Paste'!$A$2742:$AZ$2742,1,OC_Pay)="","",INDEX('OneCause_Paste'!$A$2742:$AZ$2742,1,OC_Pay)))</f>
        <v/>
      </c>
      <c r="N2742">
        <f>IF(I2742="","",IF(ISNUMBER(I2742),INT(I2742),IFERROR(INT(DATEVALUE(I2742)),IFERROR(INT(VALUE(I2742)),"bad"))))</f>
        <v/>
      </c>
      <c r="O2742">
        <f>IF(J2742="","",IF(ISNUMBER(J2742),ROUND(J2742,2),IFERROR(ROUND(VALUE(SUBSTITUTE(SUBSTITUTE(SUBSTITUTE(J2742,"$",""),",","")," ","")),2),"bad")))</f>
        <v/>
      </c>
      <c r="P2742">
        <f>IF(TRIM(K2742)="","",IFERROR(MATCH(LOWER(TRIM(K2742)),'Students'!$AH$2:$AH$701,0),IFERROR(MATCH(LOWER(TRIM(K2742)),'Students'!$AF$2:$AF$701,0),IFERROR(MATCH(LOWER(TRIM(K2742)),'Students'!$AG$2:$AG$701,0),""))))</f>
        <v/>
      </c>
      <c r="R2742">
        <f>IF(P2742="","",INDEX('Students'!$AD$2:$AD$701,P2742))</f>
        <v/>
      </c>
      <c r="S2742">
        <f>IF(H2742="OK",O2742,0)</f>
        <v/>
      </c>
      <c r="T2742">
        <f>IF(H2742="OK",N2742,"")</f>
        <v/>
      </c>
      <c r="U2742">
        <f>IF(OC_Donor=0,"",IF(INDEX('OneCause_Paste'!$A$2742:$AZ$2742,1,OC_Donor)="","",INDEX('OneCause_Paste'!$A$2742:$AZ$2742,1,OC_Donor)))</f>
        <v/>
      </c>
    </row>
    <row r="2743">
      <c r="A2743" s="62">
        <f>IF(H2743="","",IF(ISNUMBER(N2743),N2743,I2743))</f>
        <v/>
      </c>
      <c r="B2743">
        <f>IF(H2743="","",U2743)</f>
        <v/>
      </c>
      <c r="C2743">
        <f>IF(H2743="","",IF(P2743="",K2743,INDEX('Students'!$A$2:$A$701,P2743)))</f>
        <v/>
      </c>
      <c r="D2743">
        <f>IF(OR(H2743="",P2743=""),"",INDEX('Students'!$B$2:$B$701,P2743))</f>
        <v/>
      </c>
      <c r="E2743">
        <f>IF(OR(H2743="",P2743=""),"",INDEX('Students'!$C$2:$C$701,P2743))</f>
        <v/>
      </c>
      <c r="F2743" s="48">
        <f>IF(H2743="","",IF(ISNUMBER(O2743),O2743,J2743))</f>
        <v/>
      </c>
      <c r="G2743">
        <f>IF(H2743="","","OneCause")</f>
        <v/>
      </c>
      <c r="H2743">
        <f>IF(AND(I2743="",J2743="",K2743=""),"",IF(NOT(ISNUMBER(O2743)),"Bad amount",IF(O2743&lt;0,"Refund (not counted)",IF(O2743=0,"Zero amount",IF(NOT(ISNUMBER(N2743)),"Bad date",IF(P2743="","NAME NOT ON ROSTER",IF(L2743="","OK",IF(MATCH(L2743,$L$2:$L$3001,0)&lt;ROW()-1,"Duplicate (ignored)","OK"))))))))</f>
        <v/>
      </c>
      <c r="I2743">
        <f>IF(OC_Date=0,"",IF(INDEX('OneCause_Paste'!$A$2743:$AZ$2743,1,OC_Date)="","",INDEX('OneCause_Paste'!$A$2743:$AZ$2743,1,OC_Date)))</f>
        <v/>
      </c>
      <c r="J2743">
        <f>IF(OC_Amt=0,"",IF(INDEX('OneCause_Paste'!$A$2743:$AZ$2743,1,OC_Amt)="","",INDEX('OneCause_Paste'!$A$2743:$AZ$2743,1,OC_Amt)))</f>
        <v/>
      </c>
      <c r="K2743">
        <f>IF(OC_Name=0,"",IF(INDEX('OneCause_Paste'!$A$2743:$AZ$2743,1,OC_Name)="","",INDEX('OneCause_Paste'!$A$2743:$AZ$2743,1,OC_Name)))</f>
        <v/>
      </c>
      <c r="L2743">
        <f>IF(OC_Txn=0,"",IF(INDEX('OneCause_Paste'!$A$2743:$AZ$2743,1,OC_Txn)="","",INDEX('OneCause_Paste'!$A$2743:$AZ$2743,1,OC_Txn)))</f>
        <v/>
      </c>
      <c r="M2743">
        <f>IF(OC_Pay=0,"",IF(INDEX('OneCause_Paste'!$A$2743:$AZ$2743,1,OC_Pay)="","",INDEX('OneCause_Paste'!$A$2743:$AZ$2743,1,OC_Pay)))</f>
        <v/>
      </c>
      <c r="N2743">
        <f>IF(I2743="","",IF(ISNUMBER(I2743),INT(I2743),IFERROR(INT(DATEVALUE(I2743)),IFERROR(INT(VALUE(I2743)),"bad"))))</f>
        <v/>
      </c>
      <c r="O2743">
        <f>IF(J2743="","",IF(ISNUMBER(J2743),ROUND(J2743,2),IFERROR(ROUND(VALUE(SUBSTITUTE(SUBSTITUTE(SUBSTITUTE(J2743,"$",""),",","")," ","")),2),"bad")))</f>
        <v/>
      </c>
      <c r="P2743">
        <f>IF(TRIM(K2743)="","",IFERROR(MATCH(LOWER(TRIM(K2743)),'Students'!$AH$2:$AH$701,0),IFERROR(MATCH(LOWER(TRIM(K2743)),'Students'!$AF$2:$AF$701,0),IFERROR(MATCH(LOWER(TRIM(K2743)),'Students'!$AG$2:$AG$701,0),""))))</f>
        <v/>
      </c>
      <c r="R2743">
        <f>IF(P2743="","",INDEX('Students'!$AD$2:$AD$701,P2743))</f>
        <v/>
      </c>
      <c r="S2743">
        <f>IF(H2743="OK",O2743,0)</f>
        <v/>
      </c>
      <c r="T2743">
        <f>IF(H2743="OK",N2743,"")</f>
        <v/>
      </c>
      <c r="U2743">
        <f>IF(OC_Donor=0,"",IF(INDEX('OneCause_Paste'!$A$2743:$AZ$2743,1,OC_Donor)="","",INDEX('OneCause_Paste'!$A$2743:$AZ$2743,1,OC_Donor)))</f>
        <v/>
      </c>
    </row>
    <row r="2744">
      <c r="A2744" s="62">
        <f>IF(H2744="","",IF(ISNUMBER(N2744),N2744,I2744))</f>
        <v/>
      </c>
      <c r="B2744">
        <f>IF(H2744="","",U2744)</f>
        <v/>
      </c>
      <c r="C2744">
        <f>IF(H2744="","",IF(P2744="",K2744,INDEX('Students'!$A$2:$A$701,P2744)))</f>
        <v/>
      </c>
      <c r="D2744">
        <f>IF(OR(H2744="",P2744=""),"",INDEX('Students'!$B$2:$B$701,P2744))</f>
        <v/>
      </c>
      <c r="E2744">
        <f>IF(OR(H2744="",P2744=""),"",INDEX('Students'!$C$2:$C$701,P2744))</f>
        <v/>
      </c>
      <c r="F2744" s="48">
        <f>IF(H2744="","",IF(ISNUMBER(O2744),O2744,J2744))</f>
        <v/>
      </c>
      <c r="G2744">
        <f>IF(H2744="","","OneCause")</f>
        <v/>
      </c>
      <c r="H2744">
        <f>IF(AND(I2744="",J2744="",K2744=""),"",IF(NOT(ISNUMBER(O2744)),"Bad amount",IF(O2744&lt;0,"Refund (not counted)",IF(O2744=0,"Zero amount",IF(NOT(ISNUMBER(N2744)),"Bad date",IF(P2744="","NAME NOT ON ROSTER",IF(L2744="","OK",IF(MATCH(L2744,$L$2:$L$3001,0)&lt;ROW()-1,"Duplicate (ignored)","OK"))))))))</f>
        <v/>
      </c>
      <c r="I2744">
        <f>IF(OC_Date=0,"",IF(INDEX('OneCause_Paste'!$A$2744:$AZ$2744,1,OC_Date)="","",INDEX('OneCause_Paste'!$A$2744:$AZ$2744,1,OC_Date)))</f>
        <v/>
      </c>
      <c r="J2744">
        <f>IF(OC_Amt=0,"",IF(INDEX('OneCause_Paste'!$A$2744:$AZ$2744,1,OC_Amt)="","",INDEX('OneCause_Paste'!$A$2744:$AZ$2744,1,OC_Amt)))</f>
        <v/>
      </c>
      <c r="K2744">
        <f>IF(OC_Name=0,"",IF(INDEX('OneCause_Paste'!$A$2744:$AZ$2744,1,OC_Name)="","",INDEX('OneCause_Paste'!$A$2744:$AZ$2744,1,OC_Name)))</f>
        <v/>
      </c>
      <c r="L2744">
        <f>IF(OC_Txn=0,"",IF(INDEX('OneCause_Paste'!$A$2744:$AZ$2744,1,OC_Txn)="","",INDEX('OneCause_Paste'!$A$2744:$AZ$2744,1,OC_Txn)))</f>
        <v/>
      </c>
      <c r="M2744">
        <f>IF(OC_Pay=0,"",IF(INDEX('OneCause_Paste'!$A$2744:$AZ$2744,1,OC_Pay)="","",INDEX('OneCause_Paste'!$A$2744:$AZ$2744,1,OC_Pay)))</f>
        <v/>
      </c>
      <c r="N2744">
        <f>IF(I2744="","",IF(ISNUMBER(I2744),INT(I2744),IFERROR(INT(DATEVALUE(I2744)),IFERROR(INT(VALUE(I2744)),"bad"))))</f>
        <v/>
      </c>
      <c r="O2744">
        <f>IF(J2744="","",IF(ISNUMBER(J2744),ROUND(J2744,2),IFERROR(ROUND(VALUE(SUBSTITUTE(SUBSTITUTE(SUBSTITUTE(J2744,"$",""),",","")," ","")),2),"bad")))</f>
        <v/>
      </c>
      <c r="P2744">
        <f>IF(TRIM(K2744)="","",IFERROR(MATCH(LOWER(TRIM(K2744)),'Students'!$AH$2:$AH$701,0),IFERROR(MATCH(LOWER(TRIM(K2744)),'Students'!$AF$2:$AF$701,0),IFERROR(MATCH(LOWER(TRIM(K2744)),'Students'!$AG$2:$AG$701,0),""))))</f>
        <v/>
      </c>
      <c r="R2744">
        <f>IF(P2744="","",INDEX('Students'!$AD$2:$AD$701,P2744))</f>
        <v/>
      </c>
      <c r="S2744">
        <f>IF(H2744="OK",O2744,0)</f>
        <v/>
      </c>
      <c r="T2744">
        <f>IF(H2744="OK",N2744,"")</f>
        <v/>
      </c>
      <c r="U2744">
        <f>IF(OC_Donor=0,"",IF(INDEX('OneCause_Paste'!$A$2744:$AZ$2744,1,OC_Donor)="","",INDEX('OneCause_Paste'!$A$2744:$AZ$2744,1,OC_Donor)))</f>
        <v/>
      </c>
    </row>
    <row r="2745">
      <c r="A2745" s="62">
        <f>IF(H2745="","",IF(ISNUMBER(N2745),N2745,I2745))</f>
        <v/>
      </c>
      <c r="B2745">
        <f>IF(H2745="","",U2745)</f>
        <v/>
      </c>
      <c r="C2745">
        <f>IF(H2745="","",IF(P2745="",K2745,INDEX('Students'!$A$2:$A$701,P2745)))</f>
        <v/>
      </c>
      <c r="D2745">
        <f>IF(OR(H2745="",P2745=""),"",INDEX('Students'!$B$2:$B$701,P2745))</f>
        <v/>
      </c>
      <c r="E2745">
        <f>IF(OR(H2745="",P2745=""),"",INDEX('Students'!$C$2:$C$701,P2745))</f>
        <v/>
      </c>
      <c r="F2745" s="48">
        <f>IF(H2745="","",IF(ISNUMBER(O2745),O2745,J2745))</f>
        <v/>
      </c>
      <c r="G2745">
        <f>IF(H2745="","","OneCause")</f>
        <v/>
      </c>
      <c r="H2745">
        <f>IF(AND(I2745="",J2745="",K2745=""),"",IF(NOT(ISNUMBER(O2745)),"Bad amount",IF(O2745&lt;0,"Refund (not counted)",IF(O2745=0,"Zero amount",IF(NOT(ISNUMBER(N2745)),"Bad date",IF(P2745="","NAME NOT ON ROSTER",IF(L2745="","OK",IF(MATCH(L2745,$L$2:$L$3001,0)&lt;ROW()-1,"Duplicate (ignored)","OK"))))))))</f>
        <v/>
      </c>
      <c r="I2745">
        <f>IF(OC_Date=0,"",IF(INDEX('OneCause_Paste'!$A$2745:$AZ$2745,1,OC_Date)="","",INDEX('OneCause_Paste'!$A$2745:$AZ$2745,1,OC_Date)))</f>
        <v/>
      </c>
      <c r="J2745">
        <f>IF(OC_Amt=0,"",IF(INDEX('OneCause_Paste'!$A$2745:$AZ$2745,1,OC_Amt)="","",INDEX('OneCause_Paste'!$A$2745:$AZ$2745,1,OC_Amt)))</f>
        <v/>
      </c>
      <c r="K2745">
        <f>IF(OC_Name=0,"",IF(INDEX('OneCause_Paste'!$A$2745:$AZ$2745,1,OC_Name)="","",INDEX('OneCause_Paste'!$A$2745:$AZ$2745,1,OC_Name)))</f>
        <v/>
      </c>
      <c r="L2745">
        <f>IF(OC_Txn=0,"",IF(INDEX('OneCause_Paste'!$A$2745:$AZ$2745,1,OC_Txn)="","",INDEX('OneCause_Paste'!$A$2745:$AZ$2745,1,OC_Txn)))</f>
        <v/>
      </c>
      <c r="M2745">
        <f>IF(OC_Pay=0,"",IF(INDEX('OneCause_Paste'!$A$2745:$AZ$2745,1,OC_Pay)="","",INDEX('OneCause_Paste'!$A$2745:$AZ$2745,1,OC_Pay)))</f>
        <v/>
      </c>
      <c r="N2745">
        <f>IF(I2745="","",IF(ISNUMBER(I2745),INT(I2745),IFERROR(INT(DATEVALUE(I2745)),IFERROR(INT(VALUE(I2745)),"bad"))))</f>
        <v/>
      </c>
      <c r="O2745">
        <f>IF(J2745="","",IF(ISNUMBER(J2745),ROUND(J2745,2),IFERROR(ROUND(VALUE(SUBSTITUTE(SUBSTITUTE(SUBSTITUTE(J2745,"$",""),",","")," ","")),2),"bad")))</f>
        <v/>
      </c>
      <c r="P2745">
        <f>IF(TRIM(K2745)="","",IFERROR(MATCH(LOWER(TRIM(K2745)),'Students'!$AH$2:$AH$701,0),IFERROR(MATCH(LOWER(TRIM(K2745)),'Students'!$AF$2:$AF$701,0),IFERROR(MATCH(LOWER(TRIM(K2745)),'Students'!$AG$2:$AG$701,0),""))))</f>
        <v/>
      </c>
      <c r="R2745">
        <f>IF(P2745="","",INDEX('Students'!$AD$2:$AD$701,P2745))</f>
        <v/>
      </c>
      <c r="S2745">
        <f>IF(H2745="OK",O2745,0)</f>
        <v/>
      </c>
      <c r="T2745">
        <f>IF(H2745="OK",N2745,"")</f>
        <v/>
      </c>
      <c r="U2745">
        <f>IF(OC_Donor=0,"",IF(INDEX('OneCause_Paste'!$A$2745:$AZ$2745,1,OC_Donor)="","",INDEX('OneCause_Paste'!$A$2745:$AZ$2745,1,OC_Donor)))</f>
        <v/>
      </c>
    </row>
    <row r="2746">
      <c r="A2746" s="62">
        <f>IF(H2746="","",IF(ISNUMBER(N2746),N2746,I2746))</f>
        <v/>
      </c>
      <c r="B2746">
        <f>IF(H2746="","",U2746)</f>
        <v/>
      </c>
      <c r="C2746">
        <f>IF(H2746="","",IF(P2746="",K2746,INDEX('Students'!$A$2:$A$701,P2746)))</f>
        <v/>
      </c>
      <c r="D2746">
        <f>IF(OR(H2746="",P2746=""),"",INDEX('Students'!$B$2:$B$701,P2746))</f>
        <v/>
      </c>
      <c r="E2746">
        <f>IF(OR(H2746="",P2746=""),"",INDEX('Students'!$C$2:$C$701,P2746))</f>
        <v/>
      </c>
      <c r="F2746" s="48">
        <f>IF(H2746="","",IF(ISNUMBER(O2746),O2746,J2746))</f>
        <v/>
      </c>
      <c r="G2746">
        <f>IF(H2746="","","OneCause")</f>
        <v/>
      </c>
      <c r="H2746">
        <f>IF(AND(I2746="",J2746="",K2746=""),"",IF(NOT(ISNUMBER(O2746)),"Bad amount",IF(O2746&lt;0,"Refund (not counted)",IF(O2746=0,"Zero amount",IF(NOT(ISNUMBER(N2746)),"Bad date",IF(P2746="","NAME NOT ON ROSTER",IF(L2746="","OK",IF(MATCH(L2746,$L$2:$L$3001,0)&lt;ROW()-1,"Duplicate (ignored)","OK"))))))))</f>
        <v/>
      </c>
      <c r="I2746">
        <f>IF(OC_Date=0,"",IF(INDEX('OneCause_Paste'!$A$2746:$AZ$2746,1,OC_Date)="","",INDEX('OneCause_Paste'!$A$2746:$AZ$2746,1,OC_Date)))</f>
        <v/>
      </c>
      <c r="J2746">
        <f>IF(OC_Amt=0,"",IF(INDEX('OneCause_Paste'!$A$2746:$AZ$2746,1,OC_Amt)="","",INDEX('OneCause_Paste'!$A$2746:$AZ$2746,1,OC_Amt)))</f>
        <v/>
      </c>
      <c r="K2746">
        <f>IF(OC_Name=0,"",IF(INDEX('OneCause_Paste'!$A$2746:$AZ$2746,1,OC_Name)="","",INDEX('OneCause_Paste'!$A$2746:$AZ$2746,1,OC_Name)))</f>
        <v/>
      </c>
      <c r="L2746">
        <f>IF(OC_Txn=0,"",IF(INDEX('OneCause_Paste'!$A$2746:$AZ$2746,1,OC_Txn)="","",INDEX('OneCause_Paste'!$A$2746:$AZ$2746,1,OC_Txn)))</f>
        <v/>
      </c>
      <c r="M2746">
        <f>IF(OC_Pay=0,"",IF(INDEX('OneCause_Paste'!$A$2746:$AZ$2746,1,OC_Pay)="","",INDEX('OneCause_Paste'!$A$2746:$AZ$2746,1,OC_Pay)))</f>
        <v/>
      </c>
      <c r="N2746">
        <f>IF(I2746="","",IF(ISNUMBER(I2746),INT(I2746),IFERROR(INT(DATEVALUE(I2746)),IFERROR(INT(VALUE(I2746)),"bad"))))</f>
        <v/>
      </c>
      <c r="O2746">
        <f>IF(J2746="","",IF(ISNUMBER(J2746),ROUND(J2746,2),IFERROR(ROUND(VALUE(SUBSTITUTE(SUBSTITUTE(SUBSTITUTE(J2746,"$",""),",","")," ","")),2),"bad")))</f>
        <v/>
      </c>
      <c r="P2746">
        <f>IF(TRIM(K2746)="","",IFERROR(MATCH(LOWER(TRIM(K2746)),'Students'!$AH$2:$AH$701,0),IFERROR(MATCH(LOWER(TRIM(K2746)),'Students'!$AF$2:$AF$701,0),IFERROR(MATCH(LOWER(TRIM(K2746)),'Students'!$AG$2:$AG$701,0),""))))</f>
        <v/>
      </c>
      <c r="R2746">
        <f>IF(P2746="","",INDEX('Students'!$AD$2:$AD$701,P2746))</f>
        <v/>
      </c>
      <c r="S2746">
        <f>IF(H2746="OK",O2746,0)</f>
        <v/>
      </c>
      <c r="T2746">
        <f>IF(H2746="OK",N2746,"")</f>
        <v/>
      </c>
      <c r="U2746">
        <f>IF(OC_Donor=0,"",IF(INDEX('OneCause_Paste'!$A$2746:$AZ$2746,1,OC_Donor)="","",INDEX('OneCause_Paste'!$A$2746:$AZ$2746,1,OC_Donor)))</f>
        <v/>
      </c>
    </row>
    <row r="2747">
      <c r="A2747" s="62">
        <f>IF(H2747="","",IF(ISNUMBER(N2747),N2747,I2747))</f>
        <v/>
      </c>
      <c r="B2747">
        <f>IF(H2747="","",U2747)</f>
        <v/>
      </c>
      <c r="C2747">
        <f>IF(H2747="","",IF(P2747="",K2747,INDEX('Students'!$A$2:$A$701,P2747)))</f>
        <v/>
      </c>
      <c r="D2747">
        <f>IF(OR(H2747="",P2747=""),"",INDEX('Students'!$B$2:$B$701,P2747))</f>
        <v/>
      </c>
      <c r="E2747">
        <f>IF(OR(H2747="",P2747=""),"",INDEX('Students'!$C$2:$C$701,P2747))</f>
        <v/>
      </c>
      <c r="F2747" s="48">
        <f>IF(H2747="","",IF(ISNUMBER(O2747),O2747,J2747))</f>
        <v/>
      </c>
      <c r="G2747">
        <f>IF(H2747="","","OneCause")</f>
        <v/>
      </c>
      <c r="H2747">
        <f>IF(AND(I2747="",J2747="",K2747=""),"",IF(NOT(ISNUMBER(O2747)),"Bad amount",IF(O2747&lt;0,"Refund (not counted)",IF(O2747=0,"Zero amount",IF(NOT(ISNUMBER(N2747)),"Bad date",IF(P2747="","NAME NOT ON ROSTER",IF(L2747="","OK",IF(MATCH(L2747,$L$2:$L$3001,0)&lt;ROW()-1,"Duplicate (ignored)","OK"))))))))</f>
        <v/>
      </c>
      <c r="I2747">
        <f>IF(OC_Date=0,"",IF(INDEX('OneCause_Paste'!$A$2747:$AZ$2747,1,OC_Date)="","",INDEX('OneCause_Paste'!$A$2747:$AZ$2747,1,OC_Date)))</f>
        <v/>
      </c>
      <c r="J2747">
        <f>IF(OC_Amt=0,"",IF(INDEX('OneCause_Paste'!$A$2747:$AZ$2747,1,OC_Amt)="","",INDEX('OneCause_Paste'!$A$2747:$AZ$2747,1,OC_Amt)))</f>
        <v/>
      </c>
      <c r="K2747">
        <f>IF(OC_Name=0,"",IF(INDEX('OneCause_Paste'!$A$2747:$AZ$2747,1,OC_Name)="","",INDEX('OneCause_Paste'!$A$2747:$AZ$2747,1,OC_Name)))</f>
        <v/>
      </c>
      <c r="L2747">
        <f>IF(OC_Txn=0,"",IF(INDEX('OneCause_Paste'!$A$2747:$AZ$2747,1,OC_Txn)="","",INDEX('OneCause_Paste'!$A$2747:$AZ$2747,1,OC_Txn)))</f>
        <v/>
      </c>
      <c r="M2747">
        <f>IF(OC_Pay=0,"",IF(INDEX('OneCause_Paste'!$A$2747:$AZ$2747,1,OC_Pay)="","",INDEX('OneCause_Paste'!$A$2747:$AZ$2747,1,OC_Pay)))</f>
        <v/>
      </c>
      <c r="N2747">
        <f>IF(I2747="","",IF(ISNUMBER(I2747),INT(I2747),IFERROR(INT(DATEVALUE(I2747)),IFERROR(INT(VALUE(I2747)),"bad"))))</f>
        <v/>
      </c>
      <c r="O2747">
        <f>IF(J2747="","",IF(ISNUMBER(J2747),ROUND(J2747,2),IFERROR(ROUND(VALUE(SUBSTITUTE(SUBSTITUTE(SUBSTITUTE(J2747,"$",""),",","")," ","")),2),"bad")))</f>
        <v/>
      </c>
      <c r="P2747">
        <f>IF(TRIM(K2747)="","",IFERROR(MATCH(LOWER(TRIM(K2747)),'Students'!$AH$2:$AH$701,0),IFERROR(MATCH(LOWER(TRIM(K2747)),'Students'!$AF$2:$AF$701,0),IFERROR(MATCH(LOWER(TRIM(K2747)),'Students'!$AG$2:$AG$701,0),""))))</f>
        <v/>
      </c>
      <c r="R2747">
        <f>IF(P2747="","",INDEX('Students'!$AD$2:$AD$701,P2747))</f>
        <v/>
      </c>
      <c r="S2747">
        <f>IF(H2747="OK",O2747,0)</f>
        <v/>
      </c>
      <c r="T2747">
        <f>IF(H2747="OK",N2747,"")</f>
        <v/>
      </c>
      <c r="U2747">
        <f>IF(OC_Donor=0,"",IF(INDEX('OneCause_Paste'!$A$2747:$AZ$2747,1,OC_Donor)="","",INDEX('OneCause_Paste'!$A$2747:$AZ$2747,1,OC_Donor)))</f>
        <v/>
      </c>
    </row>
    <row r="2748">
      <c r="A2748" s="62">
        <f>IF(H2748="","",IF(ISNUMBER(N2748),N2748,I2748))</f>
        <v/>
      </c>
      <c r="B2748">
        <f>IF(H2748="","",U2748)</f>
        <v/>
      </c>
      <c r="C2748">
        <f>IF(H2748="","",IF(P2748="",K2748,INDEX('Students'!$A$2:$A$701,P2748)))</f>
        <v/>
      </c>
      <c r="D2748">
        <f>IF(OR(H2748="",P2748=""),"",INDEX('Students'!$B$2:$B$701,P2748))</f>
        <v/>
      </c>
      <c r="E2748">
        <f>IF(OR(H2748="",P2748=""),"",INDEX('Students'!$C$2:$C$701,P2748))</f>
        <v/>
      </c>
      <c r="F2748" s="48">
        <f>IF(H2748="","",IF(ISNUMBER(O2748),O2748,J2748))</f>
        <v/>
      </c>
      <c r="G2748">
        <f>IF(H2748="","","OneCause")</f>
        <v/>
      </c>
      <c r="H2748">
        <f>IF(AND(I2748="",J2748="",K2748=""),"",IF(NOT(ISNUMBER(O2748)),"Bad amount",IF(O2748&lt;0,"Refund (not counted)",IF(O2748=0,"Zero amount",IF(NOT(ISNUMBER(N2748)),"Bad date",IF(P2748="","NAME NOT ON ROSTER",IF(L2748="","OK",IF(MATCH(L2748,$L$2:$L$3001,0)&lt;ROW()-1,"Duplicate (ignored)","OK"))))))))</f>
        <v/>
      </c>
      <c r="I2748">
        <f>IF(OC_Date=0,"",IF(INDEX('OneCause_Paste'!$A$2748:$AZ$2748,1,OC_Date)="","",INDEX('OneCause_Paste'!$A$2748:$AZ$2748,1,OC_Date)))</f>
        <v/>
      </c>
      <c r="J2748">
        <f>IF(OC_Amt=0,"",IF(INDEX('OneCause_Paste'!$A$2748:$AZ$2748,1,OC_Amt)="","",INDEX('OneCause_Paste'!$A$2748:$AZ$2748,1,OC_Amt)))</f>
        <v/>
      </c>
      <c r="K2748">
        <f>IF(OC_Name=0,"",IF(INDEX('OneCause_Paste'!$A$2748:$AZ$2748,1,OC_Name)="","",INDEX('OneCause_Paste'!$A$2748:$AZ$2748,1,OC_Name)))</f>
        <v/>
      </c>
      <c r="L2748">
        <f>IF(OC_Txn=0,"",IF(INDEX('OneCause_Paste'!$A$2748:$AZ$2748,1,OC_Txn)="","",INDEX('OneCause_Paste'!$A$2748:$AZ$2748,1,OC_Txn)))</f>
        <v/>
      </c>
      <c r="M2748">
        <f>IF(OC_Pay=0,"",IF(INDEX('OneCause_Paste'!$A$2748:$AZ$2748,1,OC_Pay)="","",INDEX('OneCause_Paste'!$A$2748:$AZ$2748,1,OC_Pay)))</f>
        <v/>
      </c>
      <c r="N2748">
        <f>IF(I2748="","",IF(ISNUMBER(I2748),INT(I2748),IFERROR(INT(DATEVALUE(I2748)),IFERROR(INT(VALUE(I2748)),"bad"))))</f>
        <v/>
      </c>
      <c r="O2748">
        <f>IF(J2748="","",IF(ISNUMBER(J2748),ROUND(J2748,2),IFERROR(ROUND(VALUE(SUBSTITUTE(SUBSTITUTE(SUBSTITUTE(J2748,"$",""),",","")," ","")),2),"bad")))</f>
        <v/>
      </c>
      <c r="P2748">
        <f>IF(TRIM(K2748)="","",IFERROR(MATCH(LOWER(TRIM(K2748)),'Students'!$AH$2:$AH$701,0),IFERROR(MATCH(LOWER(TRIM(K2748)),'Students'!$AF$2:$AF$701,0),IFERROR(MATCH(LOWER(TRIM(K2748)),'Students'!$AG$2:$AG$701,0),""))))</f>
        <v/>
      </c>
      <c r="R2748">
        <f>IF(P2748="","",INDEX('Students'!$AD$2:$AD$701,P2748))</f>
        <v/>
      </c>
      <c r="S2748">
        <f>IF(H2748="OK",O2748,0)</f>
        <v/>
      </c>
      <c r="T2748">
        <f>IF(H2748="OK",N2748,"")</f>
        <v/>
      </c>
      <c r="U2748">
        <f>IF(OC_Donor=0,"",IF(INDEX('OneCause_Paste'!$A$2748:$AZ$2748,1,OC_Donor)="","",INDEX('OneCause_Paste'!$A$2748:$AZ$2748,1,OC_Donor)))</f>
        <v/>
      </c>
    </row>
    <row r="2749">
      <c r="A2749" s="62">
        <f>IF(H2749="","",IF(ISNUMBER(N2749),N2749,I2749))</f>
        <v/>
      </c>
      <c r="B2749">
        <f>IF(H2749="","",U2749)</f>
        <v/>
      </c>
      <c r="C2749">
        <f>IF(H2749="","",IF(P2749="",K2749,INDEX('Students'!$A$2:$A$701,P2749)))</f>
        <v/>
      </c>
      <c r="D2749">
        <f>IF(OR(H2749="",P2749=""),"",INDEX('Students'!$B$2:$B$701,P2749))</f>
        <v/>
      </c>
      <c r="E2749">
        <f>IF(OR(H2749="",P2749=""),"",INDEX('Students'!$C$2:$C$701,P2749))</f>
        <v/>
      </c>
      <c r="F2749" s="48">
        <f>IF(H2749="","",IF(ISNUMBER(O2749),O2749,J2749))</f>
        <v/>
      </c>
      <c r="G2749">
        <f>IF(H2749="","","OneCause")</f>
        <v/>
      </c>
      <c r="H2749">
        <f>IF(AND(I2749="",J2749="",K2749=""),"",IF(NOT(ISNUMBER(O2749)),"Bad amount",IF(O2749&lt;0,"Refund (not counted)",IF(O2749=0,"Zero amount",IF(NOT(ISNUMBER(N2749)),"Bad date",IF(P2749="","NAME NOT ON ROSTER",IF(L2749="","OK",IF(MATCH(L2749,$L$2:$L$3001,0)&lt;ROW()-1,"Duplicate (ignored)","OK"))))))))</f>
        <v/>
      </c>
      <c r="I2749">
        <f>IF(OC_Date=0,"",IF(INDEX('OneCause_Paste'!$A$2749:$AZ$2749,1,OC_Date)="","",INDEX('OneCause_Paste'!$A$2749:$AZ$2749,1,OC_Date)))</f>
        <v/>
      </c>
      <c r="J2749">
        <f>IF(OC_Amt=0,"",IF(INDEX('OneCause_Paste'!$A$2749:$AZ$2749,1,OC_Amt)="","",INDEX('OneCause_Paste'!$A$2749:$AZ$2749,1,OC_Amt)))</f>
        <v/>
      </c>
      <c r="K2749">
        <f>IF(OC_Name=0,"",IF(INDEX('OneCause_Paste'!$A$2749:$AZ$2749,1,OC_Name)="","",INDEX('OneCause_Paste'!$A$2749:$AZ$2749,1,OC_Name)))</f>
        <v/>
      </c>
      <c r="L2749">
        <f>IF(OC_Txn=0,"",IF(INDEX('OneCause_Paste'!$A$2749:$AZ$2749,1,OC_Txn)="","",INDEX('OneCause_Paste'!$A$2749:$AZ$2749,1,OC_Txn)))</f>
        <v/>
      </c>
      <c r="M2749">
        <f>IF(OC_Pay=0,"",IF(INDEX('OneCause_Paste'!$A$2749:$AZ$2749,1,OC_Pay)="","",INDEX('OneCause_Paste'!$A$2749:$AZ$2749,1,OC_Pay)))</f>
        <v/>
      </c>
      <c r="N2749">
        <f>IF(I2749="","",IF(ISNUMBER(I2749),INT(I2749),IFERROR(INT(DATEVALUE(I2749)),IFERROR(INT(VALUE(I2749)),"bad"))))</f>
        <v/>
      </c>
      <c r="O2749">
        <f>IF(J2749="","",IF(ISNUMBER(J2749),ROUND(J2749,2),IFERROR(ROUND(VALUE(SUBSTITUTE(SUBSTITUTE(SUBSTITUTE(J2749,"$",""),",","")," ","")),2),"bad")))</f>
        <v/>
      </c>
      <c r="P2749">
        <f>IF(TRIM(K2749)="","",IFERROR(MATCH(LOWER(TRIM(K2749)),'Students'!$AH$2:$AH$701,0),IFERROR(MATCH(LOWER(TRIM(K2749)),'Students'!$AF$2:$AF$701,0),IFERROR(MATCH(LOWER(TRIM(K2749)),'Students'!$AG$2:$AG$701,0),""))))</f>
        <v/>
      </c>
      <c r="R2749">
        <f>IF(P2749="","",INDEX('Students'!$AD$2:$AD$701,P2749))</f>
        <v/>
      </c>
      <c r="S2749">
        <f>IF(H2749="OK",O2749,0)</f>
        <v/>
      </c>
      <c r="T2749">
        <f>IF(H2749="OK",N2749,"")</f>
        <v/>
      </c>
      <c r="U2749">
        <f>IF(OC_Donor=0,"",IF(INDEX('OneCause_Paste'!$A$2749:$AZ$2749,1,OC_Donor)="","",INDEX('OneCause_Paste'!$A$2749:$AZ$2749,1,OC_Donor)))</f>
        <v/>
      </c>
    </row>
    <row r="2750">
      <c r="A2750" s="62">
        <f>IF(H2750="","",IF(ISNUMBER(N2750),N2750,I2750))</f>
        <v/>
      </c>
      <c r="B2750">
        <f>IF(H2750="","",U2750)</f>
        <v/>
      </c>
      <c r="C2750">
        <f>IF(H2750="","",IF(P2750="",K2750,INDEX('Students'!$A$2:$A$701,P2750)))</f>
        <v/>
      </c>
      <c r="D2750">
        <f>IF(OR(H2750="",P2750=""),"",INDEX('Students'!$B$2:$B$701,P2750))</f>
        <v/>
      </c>
      <c r="E2750">
        <f>IF(OR(H2750="",P2750=""),"",INDEX('Students'!$C$2:$C$701,P2750))</f>
        <v/>
      </c>
      <c r="F2750" s="48">
        <f>IF(H2750="","",IF(ISNUMBER(O2750),O2750,J2750))</f>
        <v/>
      </c>
      <c r="G2750">
        <f>IF(H2750="","","OneCause")</f>
        <v/>
      </c>
      <c r="H2750">
        <f>IF(AND(I2750="",J2750="",K2750=""),"",IF(NOT(ISNUMBER(O2750)),"Bad amount",IF(O2750&lt;0,"Refund (not counted)",IF(O2750=0,"Zero amount",IF(NOT(ISNUMBER(N2750)),"Bad date",IF(P2750="","NAME NOT ON ROSTER",IF(L2750="","OK",IF(MATCH(L2750,$L$2:$L$3001,0)&lt;ROW()-1,"Duplicate (ignored)","OK"))))))))</f>
        <v/>
      </c>
      <c r="I2750">
        <f>IF(OC_Date=0,"",IF(INDEX('OneCause_Paste'!$A$2750:$AZ$2750,1,OC_Date)="","",INDEX('OneCause_Paste'!$A$2750:$AZ$2750,1,OC_Date)))</f>
        <v/>
      </c>
      <c r="J2750">
        <f>IF(OC_Amt=0,"",IF(INDEX('OneCause_Paste'!$A$2750:$AZ$2750,1,OC_Amt)="","",INDEX('OneCause_Paste'!$A$2750:$AZ$2750,1,OC_Amt)))</f>
        <v/>
      </c>
      <c r="K2750">
        <f>IF(OC_Name=0,"",IF(INDEX('OneCause_Paste'!$A$2750:$AZ$2750,1,OC_Name)="","",INDEX('OneCause_Paste'!$A$2750:$AZ$2750,1,OC_Name)))</f>
        <v/>
      </c>
      <c r="L2750">
        <f>IF(OC_Txn=0,"",IF(INDEX('OneCause_Paste'!$A$2750:$AZ$2750,1,OC_Txn)="","",INDEX('OneCause_Paste'!$A$2750:$AZ$2750,1,OC_Txn)))</f>
        <v/>
      </c>
      <c r="M2750">
        <f>IF(OC_Pay=0,"",IF(INDEX('OneCause_Paste'!$A$2750:$AZ$2750,1,OC_Pay)="","",INDEX('OneCause_Paste'!$A$2750:$AZ$2750,1,OC_Pay)))</f>
        <v/>
      </c>
      <c r="N2750">
        <f>IF(I2750="","",IF(ISNUMBER(I2750),INT(I2750),IFERROR(INT(DATEVALUE(I2750)),IFERROR(INT(VALUE(I2750)),"bad"))))</f>
        <v/>
      </c>
      <c r="O2750">
        <f>IF(J2750="","",IF(ISNUMBER(J2750),ROUND(J2750,2),IFERROR(ROUND(VALUE(SUBSTITUTE(SUBSTITUTE(SUBSTITUTE(J2750,"$",""),",","")," ","")),2),"bad")))</f>
        <v/>
      </c>
      <c r="P2750">
        <f>IF(TRIM(K2750)="","",IFERROR(MATCH(LOWER(TRIM(K2750)),'Students'!$AH$2:$AH$701,0),IFERROR(MATCH(LOWER(TRIM(K2750)),'Students'!$AF$2:$AF$701,0),IFERROR(MATCH(LOWER(TRIM(K2750)),'Students'!$AG$2:$AG$701,0),""))))</f>
        <v/>
      </c>
      <c r="R2750">
        <f>IF(P2750="","",INDEX('Students'!$AD$2:$AD$701,P2750))</f>
        <v/>
      </c>
      <c r="S2750">
        <f>IF(H2750="OK",O2750,0)</f>
        <v/>
      </c>
      <c r="T2750">
        <f>IF(H2750="OK",N2750,"")</f>
        <v/>
      </c>
      <c r="U2750">
        <f>IF(OC_Donor=0,"",IF(INDEX('OneCause_Paste'!$A$2750:$AZ$2750,1,OC_Donor)="","",INDEX('OneCause_Paste'!$A$2750:$AZ$2750,1,OC_Donor)))</f>
        <v/>
      </c>
    </row>
    <row r="2751">
      <c r="A2751" s="62">
        <f>IF(H2751="","",IF(ISNUMBER(N2751),N2751,I2751))</f>
        <v/>
      </c>
      <c r="B2751">
        <f>IF(H2751="","",U2751)</f>
        <v/>
      </c>
      <c r="C2751">
        <f>IF(H2751="","",IF(P2751="",K2751,INDEX('Students'!$A$2:$A$701,P2751)))</f>
        <v/>
      </c>
      <c r="D2751">
        <f>IF(OR(H2751="",P2751=""),"",INDEX('Students'!$B$2:$B$701,P2751))</f>
        <v/>
      </c>
      <c r="E2751">
        <f>IF(OR(H2751="",P2751=""),"",INDEX('Students'!$C$2:$C$701,P2751))</f>
        <v/>
      </c>
      <c r="F2751" s="48">
        <f>IF(H2751="","",IF(ISNUMBER(O2751),O2751,J2751))</f>
        <v/>
      </c>
      <c r="G2751">
        <f>IF(H2751="","","OneCause")</f>
        <v/>
      </c>
      <c r="H2751">
        <f>IF(AND(I2751="",J2751="",K2751=""),"",IF(NOT(ISNUMBER(O2751)),"Bad amount",IF(O2751&lt;0,"Refund (not counted)",IF(O2751=0,"Zero amount",IF(NOT(ISNUMBER(N2751)),"Bad date",IF(P2751="","NAME NOT ON ROSTER",IF(L2751="","OK",IF(MATCH(L2751,$L$2:$L$3001,0)&lt;ROW()-1,"Duplicate (ignored)","OK"))))))))</f>
        <v/>
      </c>
      <c r="I2751">
        <f>IF(OC_Date=0,"",IF(INDEX('OneCause_Paste'!$A$2751:$AZ$2751,1,OC_Date)="","",INDEX('OneCause_Paste'!$A$2751:$AZ$2751,1,OC_Date)))</f>
        <v/>
      </c>
      <c r="J2751">
        <f>IF(OC_Amt=0,"",IF(INDEX('OneCause_Paste'!$A$2751:$AZ$2751,1,OC_Amt)="","",INDEX('OneCause_Paste'!$A$2751:$AZ$2751,1,OC_Amt)))</f>
        <v/>
      </c>
      <c r="K2751">
        <f>IF(OC_Name=0,"",IF(INDEX('OneCause_Paste'!$A$2751:$AZ$2751,1,OC_Name)="","",INDEX('OneCause_Paste'!$A$2751:$AZ$2751,1,OC_Name)))</f>
        <v/>
      </c>
      <c r="L2751">
        <f>IF(OC_Txn=0,"",IF(INDEX('OneCause_Paste'!$A$2751:$AZ$2751,1,OC_Txn)="","",INDEX('OneCause_Paste'!$A$2751:$AZ$2751,1,OC_Txn)))</f>
        <v/>
      </c>
      <c r="M2751">
        <f>IF(OC_Pay=0,"",IF(INDEX('OneCause_Paste'!$A$2751:$AZ$2751,1,OC_Pay)="","",INDEX('OneCause_Paste'!$A$2751:$AZ$2751,1,OC_Pay)))</f>
        <v/>
      </c>
      <c r="N2751">
        <f>IF(I2751="","",IF(ISNUMBER(I2751),INT(I2751),IFERROR(INT(DATEVALUE(I2751)),IFERROR(INT(VALUE(I2751)),"bad"))))</f>
        <v/>
      </c>
      <c r="O2751">
        <f>IF(J2751="","",IF(ISNUMBER(J2751),ROUND(J2751,2),IFERROR(ROUND(VALUE(SUBSTITUTE(SUBSTITUTE(SUBSTITUTE(J2751,"$",""),",","")," ","")),2),"bad")))</f>
        <v/>
      </c>
      <c r="P2751">
        <f>IF(TRIM(K2751)="","",IFERROR(MATCH(LOWER(TRIM(K2751)),'Students'!$AH$2:$AH$701,0),IFERROR(MATCH(LOWER(TRIM(K2751)),'Students'!$AF$2:$AF$701,0),IFERROR(MATCH(LOWER(TRIM(K2751)),'Students'!$AG$2:$AG$701,0),""))))</f>
        <v/>
      </c>
      <c r="R2751">
        <f>IF(P2751="","",INDEX('Students'!$AD$2:$AD$701,P2751))</f>
        <v/>
      </c>
      <c r="S2751">
        <f>IF(H2751="OK",O2751,0)</f>
        <v/>
      </c>
      <c r="T2751">
        <f>IF(H2751="OK",N2751,"")</f>
        <v/>
      </c>
      <c r="U2751">
        <f>IF(OC_Donor=0,"",IF(INDEX('OneCause_Paste'!$A$2751:$AZ$2751,1,OC_Donor)="","",INDEX('OneCause_Paste'!$A$2751:$AZ$2751,1,OC_Donor)))</f>
        <v/>
      </c>
    </row>
    <row r="2752">
      <c r="A2752" s="62">
        <f>IF(H2752="","",IF(ISNUMBER(N2752),N2752,I2752))</f>
        <v/>
      </c>
      <c r="B2752">
        <f>IF(H2752="","",U2752)</f>
        <v/>
      </c>
      <c r="C2752">
        <f>IF(H2752="","",IF(P2752="",K2752,INDEX('Students'!$A$2:$A$701,P2752)))</f>
        <v/>
      </c>
      <c r="D2752">
        <f>IF(OR(H2752="",P2752=""),"",INDEX('Students'!$B$2:$B$701,P2752))</f>
        <v/>
      </c>
      <c r="E2752">
        <f>IF(OR(H2752="",P2752=""),"",INDEX('Students'!$C$2:$C$701,P2752))</f>
        <v/>
      </c>
      <c r="F2752" s="48">
        <f>IF(H2752="","",IF(ISNUMBER(O2752),O2752,J2752))</f>
        <v/>
      </c>
      <c r="G2752">
        <f>IF(H2752="","","OneCause")</f>
        <v/>
      </c>
      <c r="H2752">
        <f>IF(AND(I2752="",J2752="",K2752=""),"",IF(NOT(ISNUMBER(O2752)),"Bad amount",IF(O2752&lt;0,"Refund (not counted)",IF(O2752=0,"Zero amount",IF(NOT(ISNUMBER(N2752)),"Bad date",IF(P2752="","NAME NOT ON ROSTER",IF(L2752="","OK",IF(MATCH(L2752,$L$2:$L$3001,0)&lt;ROW()-1,"Duplicate (ignored)","OK"))))))))</f>
        <v/>
      </c>
      <c r="I2752">
        <f>IF(OC_Date=0,"",IF(INDEX('OneCause_Paste'!$A$2752:$AZ$2752,1,OC_Date)="","",INDEX('OneCause_Paste'!$A$2752:$AZ$2752,1,OC_Date)))</f>
        <v/>
      </c>
      <c r="J2752">
        <f>IF(OC_Amt=0,"",IF(INDEX('OneCause_Paste'!$A$2752:$AZ$2752,1,OC_Amt)="","",INDEX('OneCause_Paste'!$A$2752:$AZ$2752,1,OC_Amt)))</f>
        <v/>
      </c>
      <c r="K2752">
        <f>IF(OC_Name=0,"",IF(INDEX('OneCause_Paste'!$A$2752:$AZ$2752,1,OC_Name)="","",INDEX('OneCause_Paste'!$A$2752:$AZ$2752,1,OC_Name)))</f>
        <v/>
      </c>
      <c r="L2752">
        <f>IF(OC_Txn=0,"",IF(INDEX('OneCause_Paste'!$A$2752:$AZ$2752,1,OC_Txn)="","",INDEX('OneCause_Paste'!$A$2752:$AZ$2752,1,OC_Txn)))</f>
        <v/>
      </c>
      <c r="M2752">
        <f>IF(OC_Pay=0,"",IF(INDEX('OneCause_Paste'!$A$2752:$AZ$2752,1,OC_Pay)="","",INDEX('OneCause_Paste'!$A$2752:$AZ$2752,1,OC_Pay)))</f>
        <v/>
      </c>
      <c r="N2752">
        <f>IF(I2752="","",IF(ISNUMBER(I2752),INT(I2752),IFERROR(INT(DATEVALUE(I2752)),IFERROR(INT(VALUE(I2752)),"bad"))))</f>
        <v/>
      </c>
      <c r="O2752">
        <f>IF(J2752="","",IF(ISNUMBER(J2752),ROUND(J2752,2),IFERROR(ROUND(VALUE(SUBSTITUTE(SUBSTITUTE(SUBSTITUTE(J2752,"$",""),",","")," ","")),2),"bad")))</f>
        <v/>
      </c>
      <c r="P2752">
        <f>IF(TRIM(K2752)="","",IFERROR(MATCH(LOWER(TRIM(K2752)),'Students'!$AH$2:$AH$701,0),IFERROR(MATCH(LOWER(TRIM(K2752)),'Students'!$AF$2:$AF$701,0),IFERROR(MATCH(LOWER(TRIM(K2752)),'Students'!$AG$2:$AG$701,0),""))))</f>
        <v/>
      </c>
      <c r="R2752">
        <f>IF(P2752="","",INDEX('Students'!$AD$2:$AD$701,P2752))</f>
        <v/>
      </c>
      <c r="S2752">
        <f>IF(H2752="OK",O2752,0)</f>
        <v/>
      </c>
      <c r="T2752">
        <f>IF(H2752="OK",N2752,"")</f>
        <v/>
      </c>
      <c r="U2752">
        <f>IF(OC_Donor=0,"",IF(INDEX('OneCause_Paste'!$A$2752:$AZ$2752,1,OC_Donor)="","",INDEX('OneCause_Paste'!$A$2752:$AZ$2752,1,OC_Donor)))</f>
        <v/>
      </c>
    </row>
    <row r="2753">
      <c r="A2753" s="62">
        <f>IF(H2753="","",IF(ISNUMBER(N2753),N2753,I2753))</f>
        <v/>
      </c>
      <c r="B2753">
        <f>IF(H2753="","",U2753)</f>
        <v/>
      </c>
      <c r="C2753">
        <f>IF(H2753="","",IF(P2753="",K2753,INDEX('Students'!$A$2:$A$701,P2753)))</f>
        <v/>
      </c>
      <c r="D2753">
        <f>IF(OR(H2753="",P2753=""),"",INDEX('Students'!$B$2:$B$701,P2753))</f>
        <v/>
      </c>
      <c r="E2753">
        <f>IF(OR(H2753="",P2753=""),"",INDEX('Students'!$C$2:$C$701,P2753))</f>
        <v/>
      </c>
      <c r="F2753" s="48">
        <f>IF(H2753="","",IF(ISNUMBER(O2753),O2753,J2753))</f>
        <v/>
      </c>
      <c r="G2753">
        <f>IF(H2753="","","OneCause")</f>
        <v/>
      </c>
      <c r="H2753">
        <f>IF(AND(I2753="",J2753="",K2753=""),"",IF(NOT(ISNUMBER(O2753)),"Bad amount",IF(O2753&lt;0,"Refund (not counted)",IF(O2753=0,"Zero amount",IF(NOT(ISNUMBER(N2753)),"Bad date",IF(P2753="","NAME NOT ON ROSTER",IF(L2753="","OK",IF(MATCH(L2753,$L$2:$L$3001,0)&lt;ROW()-1,"Duplicate (ignored)","OK"))))))))</f>
        <v/>
      </c>
      <c r="I2753">
        <f>IF(OC_Date=0,"",IF(INDEX('OneCause_Paste'!$A$2753:$AZ$2753,1,OC_Date)="","",INDEX('OneCause_Paste'!$A$2753:$AZ$2753,1,OC_Date)))</f>
        <v/>
      </c>
      <c r="J2753">
        <f>IF(OC_Amt=0,"",IF(INDEX('OneCause_Paste'!$A$2753:$AZ$2753,1,OC_Amt)="","",INDEX('OneCause_Paste'!$A$2753:$AZ$2753,1,OC_Amt)))</f>
        <v/>
      </c>
      <c r="K2753">
        <f>IF(OC_Name=0,"",IF(INDEX('OneCause_Paste'!$A$2753:$AZ$2753,1,OC_Name)="","",INDEX('OneCause_Paste'!$A$2753:$AZ$2753,1,OC_Name)))</f>
        <v/>
      </c>
      <c r="L2753">
        <f>IF(OC_Txn=0,"",IF(INDEX('OneCause_Paste'!$A$2753:$AZ$2753,1,OC_Txn)="","",INDEX('OneCause_Paste'!$A$2753:$AZ$2753,1,OC_Txn)))</f>
        <v/>
      </c>
      <c r="M2753">
        <f>IF(OC_Pay=0,"",IF(INDEX('OneCause_Paste'!$A$2753:$AZ$2753,1,OC_Pay)="","",INDEX('OneCause_Paste'!$A$2753:$AZ$2753,1,OC_Pay)))</f>
        <v/>
      </c>
      <c r="N2753">
        <f>IF(I2753="","",IF(ISNUMBER(I2753),INT(I2753),IFERROR(INT(DATEVALUE(I2753)),IFERROR(INT(VALUE(I2753)),"bad"))))</f>
        <v/>
      </c>
      <c r="O2753">
        <f>IF(J2753="","",IF(ISNUMBER(J2753),ROUND(J2753,2),IFERROR(ROUND(VALUE(SUBSTITUTE(SUBSTITUTE(SUBSTITUTE(J2753,"$",""),",","")," ","")),2),"bad")))</f>
        <v/>
      </c>
      <c r="P2753">
        <f>IF(TRIM(K2753)="","",IFERROR(MATCH(LOWER(TRIM(K2753)),'Students'!$AH$2:$AH$701,0),IFERROR(MATCH(LOWER(TRIM(K2753)),'Students'!$AF$2:$AF$701,0),IFERROR(MATCH(LOWER(TRIM(K2753)),'Students'!$AG$2:$AG$701,0),""))))</f>
        <v/>
      </c>
      <c r="R2753">
        <f>IF(P2753="","",INDEX('Students'!$AD$2:$AD$701,P2753))</f>
        <v/>
      </c>
      <c r="S2753">
        <f>IF(H2753="OK",O2753,0)</f>
        <v/>
      </c>
      <c r="T2753">
        <f>IF(H2753="OK",N2753,"")</f>
        <v/>
      </c>
      <c r="U2753">
        <f>IF(OC_Donor=0,"",IF(INDEX('OneCause_Paste'!$A$2753:$AZ$2753,1,OC_Donor)="","",INDEX('OneCause_Paste'!$A$2753:$AZ$2753,1,OC_Donor)))</f>
        <v/>
      </c>
    </row>
    <row r="2754">
      <c r="A2754" s="62">
        <f>IF(H2754="","",IF(ISNUMBER(N2754),N2754,I2754))</f>
        <v/>
      </c>
      <c r="B2754">
        <f>IF(H2754="","",U2754)</f>
        <v/>
      </c>
      <c r="C2754">
        <f>IF(H2754="","",IF(P2754="",K2754,INDEX('Students'!$A$2:$A$701,P2754)))</f>
        <v/>
      </c>
      <c r="D2754">
        <f>IF(OR(H2754="",P2754=""),"",INDEX('Students'!$B$2:$B$701,P2754))</f>
        <v/>
      </c>
      <c r="E2754">
        <f>IF(OR(H2754="",P2754=""),"",INDEX('Students'!$C$2:$C$701,P2754))</f>
        <v/>
      </c>
      <c r="F2754" s="48">
        <f>IF(H2754="","",IF(ISNUMBER(O2754),O2754,J2754))</f>
        <v/>
      </c>
      <c r="G2754">
        <f>IF(H2754="","","OneCause")</f>
        <v/>
      </c>
      <c r="H2754">
        <f>IF(AND(I2754="",J2754="",K2754=""),"",IF(NOT(ISNUMBER(O2754)),"Bad amount",IF(O2754&lt;0,"Refund (not counted)",IF(O2754=0,"Zero amount",IF(NOT(ISNUMBER(N2754)),"Bad date",IF(P2754="","NAME NOT ON ROSTER",IF(L2754="","OK",IF(MATCH(L2754,$L$2:$L$3001,0)&lt;ROW()-1,"Duplicate (ignored)","OK"))))))))</f>
        <v/>
      </c>
      <c r="I2754">
        <f>IF(OC_Date=0,"",IF(INDEX('OneCause_Paste'!$A$2754:$AZ$2754,1,OC_Date)="","",INDEX('OneCause_Paste'!$A$2754:$AZ$2754,1,OC_Date)))</f>
        <v/>
      </c>
      <c r="J2754">
        <f>IF(OC_Amt=0,"",IF(INDEX('OneCause_Paste'!$A$2754:$AZ$2754,1,OC_Amt)="","",INDEX('OneCause_Paste'!$A$2754:$AZ$2754,1,OC_Amt)))</f>
        <v/>
      </c>
      <c r="K2754">
        <f>IF(OC_Name=0,"",IF(INDEX('OneCause_Paste'!$A$2754:$AZ$2754,1,OC_Name)="","",INDEX('OneCause_Paste'!$A$2754:$AZ$2754,1,OC_Name)))</f>
        <v/>
      </c>
      <c r="L2754">
        <f>IF(OC_Txn=0,"",IF(INDEX('OneCause_Paste'!$A$2754:$AZ$2754,1,OC_Txn)="","",INDEX('OneCause_Paste'!$A$2754:$AZ$2754,1,OC_Txn)))</f>
        <v/>
      </c>
      <c r="M2754">
        <f>IF(OC_Pay=0,"",IF(INDEX('OneCause_Paste'!$A$2754:$AZ$2754,1,OC_Pay)="","",INDEX('OneCause_Paste'!$A$2754:$AZ$2754,1,OC_Pay)))</f>
        <v/>
      </c>
      <c r="N2754">
        <f>IF(I2754="","",IF(ISNUMBER(I2754),INT(I2754),IFERROR(INT(DATEVALUE(I2754)),IFERROR(INT(VALUE(I2754)),"bad"))))</f>
        <v/>
      </c>
      <c r="O2754">
        <f>IF(J2754="","",IF(ISNUMBER(J2754),ROUND(J2754,2),IFERROR(ROUND(VALUE(SUBSTITUTE(SUBSTITUTE(SUBSTITUTE(J2754,"$",""),",","")," ","")),2),"bad")))</f>
        <v/>
      </c>
      <c r="P2754">
        <f>IF(TRIM(K2754)="","",IFERROR(MATCH(LOWER(TRIM(K2754)),'Students'!$AH$2:$AH$701,0),IFERROR(MATCH(LOWER(TRIM(K2754)),'Students'!$AF$2:$AF$701,0),IFERROR(MATCH(LOWER(TRIM(K2754)),'Students'!$AG$2:$AG$701,0),""))))</f>
        <v/>
      </c>
      <c r="R2754">
        <f>IF(P2754="","",INDEX('Students'!$AD$2:$AD$701,P2754))</f>
        <v/>
      </c>
      <c r="S2754">
        <f>IF(H2754="OK",O2754,0)</f>
        <v/>
      </c>
      <c r="T2754">
        <f>IF(H2754="OK",N2754,"")</f>
        <v/>
      </c>
      <c r="U2754">
        <f>IF(OC_Donor=0,"",IF(INDEX('OneCause_Paste'!$A$2754:$AZ$2754,1,OC_Donor)="","",INDEX('OneCause_Paste'!$A$2754:$AZ$2754,1,OC_Donor)))</f>
        <v/>
      </c>
    </row>
    <row r="2755">
      <c r="A2755" s="62">
        <f>IF(H2755="","",IF(ISNUMBER(N2755),N2755,I2755))</f>
        <v/>
      </c>
      <c r="B2755">
        <f>IF(H2755="","",U2755)</f>
        <v/>
      </c>
      <c r="C2755">
        <f>IF(H2755="","",IF(P2755="",K2755,INDEX('Students'!$A$2:$A$701,P2755)))</f>
        <v/>
      </c>
      <c r="D2755">
        <f>IF(OR(H2755="",P2755=""),"",INDEX('Students'!$B$2:$B$701,P2755))</f>
        <v/>
      </c>
      <c r="E2755">
        <f>IF(OR(H2755="",P2755=""),"",INDEX('Students'!$C$2:$C$701,P2755))</f>
        <v/>
      </c>
      <c r="F2755" s="48">
        <f>IF(H2755="","",IF(ISNUMBER(O2755),O2755,J2755))</f>
        <v/>
      </c>
      <c r="G2755">
        <f>IF(H2755="","","OneCause")</f>
        <v/>
      </c>
      <c r="H2755">
        <f>IF(AND(I2755="",J2755="",K2755=""),"",IF(NOT(ISNUMBER(O2755)),"Bad amount",IF(O2755&lt;0,"Refund (not counted)",IF(O2755=0,"Zero amount",IF(NOT(ISNUMBER(N2755)),"Bad date",IF(P2755="","NAME NOT ON ROSTER",IF(L2755="","OK",IF(MATCH(L2755,$L$2:$L$3001,0)&lt;ROW()-1,"Duplicate (ignored)","OK"))))))))</f>
        <v/>
      </c>
      <c r="I2755">
        <f>IF(OC_Date=0,"",IF(INDEX('OneCause_Paste'!$A$2755:$AZ$2755,1,OC_Date)="","",INDEX('OneCause_Paste'!$A$2755:$AZ$2755,1,OC_Date)))</f>
        <v/>
      </c>
      <c r="J2755">
        <f>IF(OC_Amt=0,"",IF(INDEX('OneCause_Paste'!$A$2755:$AZ$2755,1,OC_Amt)="","",INDEX('OneCause_Paste'!$A$2755:$AZ$2755,1,OC_Amt)))</f>
        <v/>
      </c>
      <c r="K2755">
        <f>IF(OC_Name=0,"",IF(INDEX('OneCause_Paste'!$A$2755:$AZ$2755,1,OC_Name)="","",INDEX('OneCause_Paste'!$A$2755:$AZ$2755,1,OC_Name)))</f>
        <v/>
      </c>
      <c r="L2755">
        <f>IF(OC_Txn=0,"",IF(INDEX('OneCause_Paste'!$A$2755:$AZ$2755,1,OC_Txn)="","",INDEX('OneCause_Paste'!$A$2755:$AZ$2755,1,OC_Txn)))</f>
        <v/>
      </c>
      <c r="M2755">
        <f>IF(OC_Pay=0,"",IF(INDEX('OneCause_Paste'!$A$2755:$AZ$2755,1,OC_Pay)="","",INDEX('OneCause_Paste'!$A$2755:$AZ$2755,1,OC_Pay)))</f>
        <v/>
      </c>
      <c r="N2755">
        <f>IF(I2755="","",IF(ISNUMBER(I2755),INT(I2755),IFERROR(INT(DATEVALUE(I2755)),IFERROR(INT(VALUE(I2755)),"bad"))))</f>
        <v/>
      </c>
      <c r="O2755">
        <f>IF(J2755="","",IF(ISNUMBER(J2755),ROUND(J2755,2),IFERROR(ROUND(VALUE(SUBSTITUTE(SUBSTITUTE(SUBSTITUTE(J2755,"$",""),",","")," ","")),2),"bad")))</f>
        <v/>
      </c>
      <c r="P2755">
        <f>IF(TRIM(K2755)="","",IFERROR(MATCH(LOWER(TRIM(K2755)),'Students'!$AH$2:$AH$701,0),IFERROR(MATCH(LOWER(TRIM(K2755)),'Students'!$AF$2:$AF$701,0),IFERROR(MATCH(LOWER(TRIM(K2755)),'Students'!$AG$2:$AG$701,0),""))))</f>
        <v/>
      </c>
      <c r="R2755">
        <f>IF(P2755="","",INDEX('Students'!$AD$2:$AD$701,P2755))</f>
        <v/>
      </c>
      <c r="S2755">
        <f>IF(H2755="OK",O2755,0)</f>
        <v/>
      </c>
      <c r="T2755">
        <f>IF(H2755="OK",N2755,"")</f>
        <v/>
      </c>
      <c r="U2755">
        <f>IF(OC_Donor=0,"",IF(INDEX('OneCause_Paste'!$A$2755:$AZ$2755,1,OC_Donor)="","",INDEX('OneCause_Paste'!$A$2755:$AZ$2755,1,OC_Donor)))</f>
        <v/>
      </c>
    </row>
    <row r="2756">
      <c r="A2756" s="62">
        <f>IF(H2756="","",IF(ISNUMBER(N2756),N2756,I2756))</f>
        <v/>
      </c>
      <c r="B2756">
        <f>IF(H2756="","",U2756)</f>
        <v/>
      </c>
      <c r="C2756">
        <f>IF(H2756="","",IF(P2756="",K2756,INDEX('Students'!$A$2:$A$701,P2756)))</f>
        <v/>
      </c>
      <c r="D2756">
        <f>IF(OR(H2756="",P2756=""),"",INDEX('Students'!$B$2:$B$701,P2756))</f>
        <v/>
      </c>
      <c r="E2756">
        <f>IF(OR(H2756="",P2756=""),"",INDEX('Students'!$C$2:$C$701,P2756))</f>
        <v/>
      </c>
      <c r="F2756" s="48">
        <f>IF(H2756="","",IF(ISNUMBER(O2756),O2756,J2756))</f>
        <v/>
      </c>
      <c r="G2756">
        <f>IF(H2756="","","OneCause")</f>
        <v/>
      </c>
      <c r="H2756">
        <f>IF(AND(I2756="",J2756="",K2756=""),"",IF(NOT(ISNUMBER(O2756)),"Bad amount",IF(O2756&lt;0,"Refund (not counted)",IF(O2756=0,"Zero amount",IF(NOT(ISNUMBER(N2756)),"Bad date",IF(P2756="","NAME NOT ON ROSTER",IF(L2756="","OK",IF(MATCH(L2756,$L$2:$L$3001,0)&lt;ROW()-1,"Duplicate (ignored)","OK"))))))))</f>
        <v/>
      </c>
      <c r="I2756">
        <f>IF(OC_Date=0,"",IF(INDEX('OneCause_Paste'!$A$2756:$AZ$2756,1,OC_Date)="","",INDEX('OneCause_Paste'!$A$2756:$AZ$2756,1,OC_Date)))</f>
        <v/>
      </c>
      <c r="J2756">
        <f>IF(OC_Amt=0,"",IF(INDEX('OneCause_Paste'!$A$2756:$AZ$2756,1,OC_Amt)="","",INDEX('OneCause_Paste'!$A$2756:$AZ$2756,1,OC_Amt)))</f>
        <v/>
      </c>
      <c r="K2756">
        <f>IF(OC_Name=0,"",IF(INDEX('OneCause_Paste'!$A$2756:$AZ$2756,1,OC_Name)="","",INDEX('OneCause_Paste'!$A$2756:$AZ$2756,1,OC_Name)))</f>
        <v/>
      </c>
      <c r="L2756">
        <f>IF(OC_Txn=0,"",IF(INDEX('OneCause_Paste'!$A$2756:$AZ$2756,1,OC_Txn)="","",INDEX('OneCause_Paste'!$A$2756:$AZ$2756,1,OC_Txn)))</f>
        <v/>
      </c>
      <c r="M2756">
        <f>IF(OC_Pay=0,"",IF(INDEX('OneCause_Paste'!$A$2756:$AZ$2756,1,OC_Pay)="","",INDEX('OneCause_Paste'!$A$2756:$AZ$2756,1,OC_Pay)))</f>
        <v/>
      </c>
      <c r="N2756">
        <f>IF(I2756="","",IF(ISNUMBER(I2756),INT(I2756),IFERROR(INT(DATEVALUE(I2756)),IFERROR(INT(VALUE(I2756)),"bad"))))</f>
        <v/>
      </c>
      <c r="O2756">
        <f>IF(J2756="","",IF(ISNUMBER(J2756),ROUND(J2756,2),IFERROR(ROUND(VALUE(SUBSTITUTE(SUBSTITUTE(SUBSTITUTE(J2756,"$",""),",","")," ","")),2),"bad")))</f>
        <v/>
      </c>
      <c r="P2756">
        <f>IF(TRIM(K2756)="","",IFERROR(MATCH(LOWER(TRIM(K2756)),'Students'!$AH$2:$AH$701,0),IFERROR(MATCH(LOWER(TRIM(K2756)),'Students'!$AF$2:$AF$701,0),IFERROR(MATCH(LOWER(TRIM(K2756)),'Students'!$AG$2:$AG$701,0),""))))</f>
        <v/>
      </c>
      <c r="R2756">
        <f>IF(P2756="","",INDEX('Students'!$AD$2:$AD$701,P2756))</f>
        <v/>
      </c>
      <c r="S2756">
        <f>IF(H2756="OK",O2756,0)</f>
        <v/>
      </c>
      <c r="T2756">
        <f>IF(H2756="OK",N2756,"")</f>
        <v/>
      </c>
      <c r="U2756">
        <f>IF(OC_Donor=0,"",IF(INDEX('OneCause_Paste'!$A$2756:$AZ$2756,1,OC_Donor)="","",INDEX('OneCause_Paste'!$A$2756:$AZ$2756,1,OC_Donor)))</f>
        <v/>
      </c>
    </row>
    <row r="2757">
      <c r="A2757" s="62">
        <f>IF(H2757="","",IF(ISNUMBER(N2757),N2757,I2757))</f>
        <v/>
      </c>
      <c r="B2757">
        <f>IF(H2757="","",U2757)</f>
        <v/>
      </c>
      <c r="C2757">
        <f>IF(H2757="","",IF(P2757="",K2757,INDEX('Students'!$A$2:$A$701,P2757)))</f>
        <v/>
      </c>
      <c r="D2757">
        <f>IF(OR(H2757="",P2757=""),"",INDEX('Students'!$B$2:$B$701,P2757))</f>
        <v/>
      </c>
      <c r="E2757">
        <f>IF(OR(H2757="",P2757=""),"",INDEX('Students'!$C$2:$C$701,P2757))</f>
        <v/>
      </c>
      <c r="F2757" s="48">
        <f>IF(H2757="","",IF(ISNUMBER(O2757),O2757,J2757))</f>
        <v/>
      </c>
      <c r="G2757">
        <f>IF(H2757="","","OneCause")</f>
        <v/>
      </c>
      <c r="H2757">
        <f>IF(AND(I2757="",J2757="",K2757=""),"",IF(NOT(ISNUMBER(O2757)),"Bad amount",IF(O2757&lt;0,"Refund (not counted)",IF(O2757=0,"Zero amount",IF(NOT(ISNUMBER(N2757)),"Bad date",IF(P2757="","NAME NOT ON ROSTER",IF(L2757="","OK",IF(MATCH(L2757,$L$2:$L$3001,0)&lt;ROW()-1,"Duplicate (ignored)","OK"))))))))</f>
        <v/>
      </c>
      <c r="I2757">
        <f>IF(OC_Date=0,"",IF(INDEX('OneCause_Paste'!$A$2757:$AZ$2757,1,OC_Date)="","",INDEX('OneCause_Paste'!$A$2757:$AZ$2757,1,OC_Date)))</f>
        <v/>
      </c>
      <c r="J2757">
        <f>IF(OC_Amt=0,"",IF(INDEX('OneCause_Paste'!$A$2757:$AZ$2757,1,OC_Amt)="","",INDEX('OneCause_Paste'!$A$2757:$AZ$2757,1,OC_Amt)))</f>
        <v/>
      </c>
      <c r="K2757">
        <f>IF(OC_Name=0,"",IF(INDEX('OneCause_Paste'!$A$2757:$AZ$2757,1,OC_Name)="","",INDEX('OneCause_Paste'!$A$2757:$AZ$2757,1,OC_Name)))</f>
        <v/>
      </c>
      <c r="L2757">
        <f>IF(OC_Txn=0,"",IF(INDEX('OneCause_Paste'!$A$2757:$AZ$2757,1,OC_Txn)="","",INDEX('OneCause_Paste'!$A$2757:$AZ$2757,1,OC_Txn)))</f>
        <v/>
      </c>
      <c r="M2757">
        <f>IF(OC_Pay=0,"",IF(INDEX('OneCause_Paste'!$A$2757:$AZ$2757,1,OC_Pay)="","",INDEX('OneCause_Paste'!$A$2757:$AZ$2757,1,OC_Pay)))</f>
        <v/>
      </c>
      <c r="N2757">
        <f>IF(I2757="","",IF(ISNUMBER(I2757),INT(I2757),IFERROR(INT(DATEVALUE(I2757)),IFERROR(INT(VALUE(I2757)),"bad"))))</f>
        <v/>
      </c>
      <c r="O2757">
        <f>IF(J2757="","",IF(ISNUMBER(J2757),ROUND(J2757,2),IFERROR(ROUND(VALUE(SUBSTITUTE(SUBSTITUTE(SUBSTITUTE(J2757,"$",""),",","")," ","")),2),"bad")))</f>
        <v/>
      </c>
      <c r="P2757">
        <f>IF(TRIM(K2757)="","",IFERROR(MATCH(LOWER(TRIM(K2757)),'Students'!$AH$2:$AH$701,0),IFERROR(MATCH(LOWER(TRIM(K2757)),'Students'!$AF$2:$AF$701,0),IFERROR(MATCH(LOWER(TRIM(K2757)),'Students'!$AG$2:$AG$701,0),""))))</f>
        <v/>
      </c>
      <c r="R2757">
        <f>IF(P2757="","",INDEX('Students'!$AD$2:$AD$701,P2757))</f>
        <v/>
      </c>
      <c r="S2757">
        <f>IF(H2757="OK",O2757,0)</f>
        <v/>
      </c>
      <c r="T2757">
        <f>IF(H2757="OK",N2757,"")</f>
        <v/>
      </c>
      <c r="U2757">
        <f>IF(OC_Donor=0,"",IF(INDEX('OneCause_Paste'!$A$2757:$AZ$2757,1,OC_Donor)="","",INDEX('OneCause_Paste'!$A$2757:$AZ$2757,1,OC_Donor)))</f>
        <v/>
      </c>
    </row>
    <row r="2758">
      <c r="A2758" s="62">
        <f>IF(H2758="","",IF(ISNUMBER(N2758),N2758,I2758))</f>
        <v/>
      </c>
      <c r="B2758">
        <f>IF(H2758="","",U2758)</f>
        <v/>
      </c>
      <c r="C2758">
        <f>IF(H2758="","",IF(P2758="",K2758,INDEX('Students'!$A$2:$A$701,P2758)))</f>
        <v/>
      </c>
      <c r="D2758">
        <f>IF(OR(H2758="",P2758=""),"",INDEX('Students'!$B$2:$B$701,P2758))</f>
        <v/>
      </c>
      <c r="E2758">
        <f>IF(OR(H2758="",P2758=""),"",INDEX('Students'!$C$2:$C$701,P2758))</f>
        <v/>
      </c>
      <c r="F2758" s="48">
        <f>IF(H2758="","",IF(ISNUMBER(O2758),O2758,J2758))</f>
        <v/>
      </c>
      <c r="G2758">
        <f>IF(H2758="","","OneCause")</f>
        <v/>
      </c>
      <c r="H2758">
        <f>IF(AND(I2758="",J2758="",K2758=""),"",IF(NOT(ISNUMBER(O2758)),"Bad amount",IF(O2758&lt;0,"Refund (not counted)",IF(O2758=0,"Zero amount",IF(NOT(ISNUMBER(N2758)),"Bad date",IF(P2758="","NAME NOT ON ROSTER",IF(L2758="","OK",IF(MATCH(L2758,$L$2:$L$3001,0)&lt;ROW()-1,"Duplicate (ignored)","OK"))))))))</f>
        <v/>
      </c>
      <c r="I2758">
        <f>IF(OC_Date=0,"",IF(INDEX('OneCause_Paste'!$A$2758:$AZ$2758,1,OC_Date)="","",INDEX('OneCause_Paste'!$A$2758:$AZ$2758,1,OC_Date)))</f>
        <v/>
      </c>
      <c r="J2758">
        <f>IF(OC_Amt=0,"",IF(INDEX('OneCause_Paste'!$A$2758:$AZ$2758,1,OC_Amt)="","",INDEX('OneCause_Paste'!$A$2758:$AZ$2758,1,OC_Amt)))</f>
        <v/>
      </c>
      <c r="K2758">
        <f>IF(OC_Name=0,"",IF(INDEX('OneCause_Paste'!$A$2758:$AZ$2758,1,OC_Name)="","",INDEX('OneCause_Paste'!$A$2758:$AZ$2758,1,OC_Name)))</f>
        <v/>
      </c>
      <c r="L2758">
        <f>IF(OC_Txn=0,"",IF(INDEX('OneCause_Paste'!$A$2758:$AZ$2758,1,OC_Txn)="","",INDEX('OneCause_Paste'!$A$2758:$AZ$2758,1,OC_Txn)))</f>
        <v/>
      </c>
      <c r="M2758">
        <f>IF(OC_Pay=0,"",IF(INDEX('OneCause_Paste'!$A$2758:$AZ$2758,1,OC_Pay)="","",INDEX('OneCause_Paste'!$A$2758:$AZ$2758,1,OC_Pay)))</f>
        <v/>
      </c>
      <c r="N2758">
        <f>IF(I2758="","",IF(ISNUMBER(I2758),INT(I2758),IFERROR(INT(DATEVALUE(I2758)),IFERROR(INT(VALUE(I2758)),"bad"))))</f>
        <v/>
      </c>
      <c r="O2758">
        <f>IF(J2758="","",IF(ISNUMBER(J2758),ROUND(J2758,2),IFERROR(ROUND(VALUE(SUBSTITUTE(SUBSTITUTE(SUBSTITUTE(J2758,"$",""),",","")," ","")),2),"bad")))</f>
        <v/>
      </c>
      <c r="P2758">
        <f>IF(TRIM(K2758)="","",IFERROR(MATCH(LOWER(TRIM(K2758)),'Students'!$AH$2:$AH$701,0),IFERROR(MATCH(LOWER(TRIM(K2758)),'Students'!$AF$2:$AF$701,0),IFERROR(MATCH(LOWER(TRIM(K2758)),'Students'!$AG$2:$AG$701,0),""))))</f>
        <v/>
      </c>
      <c r="R2758">
        <f>IF(P2758="","",INDEX('Students'!$AD$2:$AD$701,P2758))</f>
        <v/>
      </c>
      <c r="S2758">
        <f>IF(H2758="OK",O2758,0)</f>
        <v/>
      </c>
      <c r="T2758">
        <f>IF(H2758="OK",N2758,"")</f>
        <v/>
      </c>
      <c r="U2758">
        <f>IF(OC_Donor=0,"",IF(INDEX('OneCause_Paste'!$A$2758:$AZ$2758,1,OC_Donor)="","",INDEX('OneCause_Paste'!$A$2758:$AZ$2758,1,OC_Donor)))</f>
        <v/>
      </c>
    </row>
    <row r="2759">
      <c r="A2759" s="62">
        <f>IF(H2759="","",IF(ISNUMBER(N2759),N2759,I2759))</f>
        <v/>
      </c>
      <c r="B2759">
        <f>IF(H2759="","",U2759)</f>
        <v/>
      </c>
      <c r="C2759">
        <f>IF(H2759="","",IF(P2759="",K2759,INDEX('Students'!$A$2:$A$701,P2759)))</f>
        <v/>
      </c>
      <c r="D2759">
        <f>IF(OR(H2759="",P2759=""),"",INDEX('Students'!$B$2:$B$701,P2759))</f>
        <v/>
      </c>
      <c r="E2759">
        <f>IF(OR(H2759="",P2759=""),"",INDEX('Students'!$C$2:$C$701,P2759))</f>
        <v/>
      </c>
      <c r="F2759" s="48">
        <f>IF(H2759="","",IF(ISNUMBER(O2759),O2759,J2759))</f>
        <v/>
      </c>
      <c r="G2759">
        <f>IF(H2759="","","OneCause")</f>
        <v/>
      </c>
      <c r="H2759">
        <f>IF(AND(I2759="",J2759="",K2759=""),"",IF(NOT(ISNUMBER(O2759)),"Bad amount",IF(O2759&lt;0,"Refund (not counted)",IF(O2759=0,"Zero amount",IF(NOT(ISNUMBER(N2759)),"Bad date",IF(P2759="","NAME NOT ON ROSTER",IF(L2759="","OK",IF(MATCH(L2759,$L$2:$L$3001,0)&lt;ROW()-1,"Duplicate (ignored)","OK"))))))))</f>
        <v/>
      </c>
      <c r="I2759">
        <f>IF(OC_Date=0,"",IF(INDEX('OneCause_Paste'!$A$2759:$AZ$2759,1,OC_Date)="","",INDEX('OneCause_Paste'!$A$2759:$AZ$2759,1,OC_Date)))</f>
        <v/>
      </c>
      <c r="J2759">
        <f>IF(OC_Amt=0,"",IF(INDEX('OneCause_Paste'!$A$2759:$AZ$2759,1,OC_Amt)="","",INDEX('OneCause_Paste'!$A$2759:$AZ$2759,1,OC_Amt)))</f>
        <v/>
      </c>
      <c r="K2759">
        <f>IF(OC_Name=0,"",IF(INDEX('OneCause_Paste'!$A$2759:$AZ$2759,1,OC_Name)="","",INDEX('OneCause_Paste'!$A$2759:$AZ$2759,1,OC_Name)))</f>
        <v/>
      </c>
      <c r="L2759">
        <f>IF(OC_Txn=0,"",IF(INDEX('OneCause_Paste'!$A$2759:$AZ$2759,1,OC_Txn)="","",INDEX('OneCause_Paste'!$A$2759:$AZ$2759,1,OC_Txn)))</f>
        <v/>
      </c>
      <c r="M2759">
        <f>IF(OC_Pay=0,"",IF(INDEX('OneCause_Paste'!$A$2759:$AZ$2759,1,OC_Pay)="","",INDEX('OneCause_Paste'!$A$2759:$AZ$2759,1,OC_Pay)))</f>
        <v/>
      </c>
      <c r="N2759">
        <f>IF(I2759="","",IF(ISNUMBER(I2759),INT(I2759),IFERROR(INT(DATEVALUE(I2759)),IFERROR(INT(VALUE(I2759)),"bad"))))</f>
        <v/>
      </c>
      <c r="O2759">
        <f>IF(J2759="","",IF(ISNUMBER(J2759),ROUND(J2759,2),IFERROR(ROUND(VALUE(SUBSTITUTE(SUBSTITUTE(SUBSTITUTE(J2759,"$",""),",","")," ","")),2),"bad")))</f>
        <v/>
      </c>
      <c r="P2759">
        <f>IF(TRIM(K2759)="","",IFERROR(MATCH(LOWER(TRIM(K2759)),'Students'!$AH$2:$AH$701,0),IFERROR(MATCH(LOWER(TRIM(K2759)),'Students'!$AF$2:$AF$701,0),IFERROR(MATCH(LOWER(TRIM(K2759)),'Students'!$AG$2:$AG$701,0),""))))</f>
        <v/>
      </c>
      <c r="R2759">
        <f>IF(P2759="","",INDEX('Students'!$AD$2:$AD$701,P2759))</f>
        <v/>
      </c>
      <c r="S2759">
        <f>IF(H2759="OK",O2759,0)</f>
        <v/>
      </c>
      <c r="T2759">
        <f>IF(H2759="OK",N2759,"")</f>
        <v/>
      </c>
      <c r="U2759">
        <f>IF(OC_Donor=0,"",IF(INDEX('OneCause_Paste'!$A$2759:$AZ$2759,1,OC_Donor)="","",INDEX('OneCause_Paste'!$A$2759:$AZ$2759,1,OC_Donor)))</f>
        <v/>
      </c>
    </row>
    <row r="2760">
      <c r="A2760" s="62">
        <f>IF(H2760="","",IF(ISNUMBER(N2760),N2760,I2760))</f>
        <v/>
      </c>
      <c r="B2760">
        <f>IF(H2760="","",U2760)</f>
        <v/>
      </c>
      <c r="C2760">
        <f>IF(H2760="","",IF(P2760="",K2760,INDEX('Students'!$A$2:$A$701,P2760)))</f>
        <v/>
      </c>
      <c r="D2760">
        <f>IF(OR(H2760="",P2760=""),"",INDEX('Students'!$B$2:$B$701,P2760))</f>
        <v/>
      </c>
      <c r="E2760">
        <f>IF(OR(H2760="",P2760=""),"",INDEX('Students'!$C$2:$C$701,P2760))</f>
        <v/>
      </c>
      <c r="F2760" s="48">
        <f>IF(H2760="","",IF(ISNUMBER(O2760),O2760,J2760))</f>
        <v/>
      </c>
      <c r="G2760">
        <f>IF(H2760="","","OneCause")</f>
        <v/>
      </c>
      <c r="H2760">
        <f>IF(AND(I2760="",J2760="",K2760=""),"",IF(NOT(ISNUMBER(O2760)),"Bad amount",IF(O2760&lt;0,"Refund (not counted)",IF(O2760=0,"Zero amount",IF(NOT(ISNUMBER(N2760)),"Bad date",IF(P2760="","NAME NOT ON ROSTER",IF(L2760="","OK",IF(MATCH(L2760,$L$2:$L$3001,0)&lt;ROW()-1,"Duplicate (ignored)","OK"))))))))</f>
        <v/>
      </c>
      <c r="I2760">
        <f>IF(OC_Date=0,"",IF(INDEX('OneCause_Paste'!$A$2760:$AZ$2760,1,OC_Date)="","",INDEX('OneCause_Paste'!$A$2760:$AZ$2760,1,OC_Date)))</f>
        <v/>
      </c>
      <c r="J2760">
        <f>IF(OC_Amt=0,"",IF(INDEX('OneCause_Paste'!$A$2760:$AZ$2760,1,OC_Amt)="","",INDEX('OneCause_Paste'!$A$2760:$AZ$2760,1,OC_Amt)))</f>
        <v/>
      </c>
      <c r="K2760">
        <f>IF(OC_Name=0,"",IF(INDEX('OneCause_Paste'!$A$2760:$AZ$2760,1,OC_Name)="","",INDEX('OneCause_Paste'!$A$2760:$AZ$2760,1,OC_Name)))</f>
        <v/>
      </c>
      <c r="L2760">
        <f>IF(OC_Txn=0,"",IF(INDEX('OneCause_Paste'!$A$2760:$AZ$2760,1,OC_Txn)="","",INDEX('OneCause_Paste'!$A$2760:$AZ$2760,1,OC_Txn)))</f>
        <v/>
      </c>
      <c r="M2760">
        <f>IF(OC_Pay=0,"",IF(INDEX('OneCause_Paste'!$A$2760:$AZ$2760,1,OC_Pay)="","",INDEX('OneCause_Paste'!$A$2760:$AZ$2760,1,OC_Pay)))</f>
        <v/>
      </c>
      <c r="N2760">
        <f>IF(I2760="","",IF(ISNUMBER(I2760),INT(I2760),IFERROR(INT(DATEVALUE(I2760)),IFERROR(INT(VALUE(I2760)),"bad"))))</f>
        <v/>
      </c>
      <c r="O2760">
        <f>IF(J2760="","",IF(ISNUMBER(J2760),ROUND(J2760,2),IFERROR(ROUND(VALUE(SUBSTITUTE(SUBSTITUTE(SUBSTITUTE(J2760,"$",""),",","")," ","")),2),"bad")))</f>
        <v/>
      </c>
      <c r="P2760">
        <f>IF(TRIM(K2760)="","",IFERROR(MATCH(LOWER(TRIM(K2760)),'Students'!$AH$2:$AH$701,0),IFERROR(MATCH(LOWER(TRIM(K2760)),'Students'!$AF$2:$AF$701,0),IFERROR(MATCH(LOWER(TRIM(K2760)),'Students'!$AG$2:$AG$701,0),""))))</f>
        <v/>
      </c>
      <c r="R2760">
        <f>IF(P2760="","",INDEX('Students'!$AD$2:$AD$701,P2760))</f>
        <v/>
      </c>
      <c r="S2760">
        <f>IF(H2760="OK",O2760,0)</f>
        <v/>
      </c>
      <c r="T2760">
        <f>IF(H2760="OK",N2760,"")</f>
        <v/>
      </c>
      <c r="U2760">
        <f>IF(OC_Donor=0,"",IF(INDEX('OneCause_Paste'!$A$2760:$AZ$2760,1,OC_Donor)="","",INDEX('OneCause_Paste'!$A$2760:$AZ$2760,1,OC_Donor)))</f>
        <v/>
      </c>
    </row>
    <row r="2761">
      <c r="A2761" s="62">
        <f>IF(H2761="","",IF(ISNUMBER(N2761),N2761,I2761))</f>
        <v/>
      </c>
      <c r="B2761">
        <f>IF(H2761="","",U2761)</f>
        <v/>
      </c>
      <c r="C2761">
        <f>IF(H2761="","",IF(P2761="",K2761,INDEX('Students'!$A$2:$A$701,P2761)))</f>
        <v/>
      </c>
      <c r="D2761">
        <f>IF(OR(H2761="",P2761=""),"",INDEX('Students'!$B$2:$B$701,P2761))</f>
        <v/>
      </c>
      <c r="E2761">
        <f>IF(OR(H2761="",P2761=""),"",INDEX('Students'!$C$2:$C$701,P2761))</f>
        <v/>
      </c>
      <c r="F2761" s="48">
        <f>IF(H2761="","",IF(ISNUMBER(O2761),O2761,J2761))</f>
        <v/>
      </c>
      <c r="G2761">
        <f>IF(H2761="","","OneCause")</f>
        <v/>
      </c>
      <c r="H2761">
        <f>IF(AND(I2761="",J2761="",K2761=""),"",IF(NOT(ISNUMBER(O2761)),"Bad amount",IF(O2761&lt;0,"Refund (not counted)",IF(O2761=0,"Zero amount",IF(NOT(ISNUMBER(N2761)),"Bad date",IF(P2761="","NAME NOT ON ROSTER",IF(L2761="","OK",IF(MATCH(L2761,$L$2:$L$3001,0)&lt;ROW()-1,"Duplicate (ignored)","OK"))))))))</f>
        <v/>
      </c>
      <c r="I2761">
        <f>IF(OC_Date=0,"",IF(INDEX('OneCause_Paste'!$A$2761:$AZ$2761,1,OC_Date)="","",INDEX('OneCause_Paste'!$A$2761:$AZ$2761,1,OC_Date)))</f>
        <v/>
      </c>
      <c r="J2761">
        <f>IF(OC_Amt=0,"",IF(INDEX('OneCause_Paste'!$A$2761:$AZ$2761,1,OC_Amt)="","",INDEX('OneCause_Paste'!$A$2761:$AZ$2761,1,OC_Amt)))</f>
        <v/>
      </c>
      <c r="K2761">
        <f>IF(OC_Name=0,"",IF(INDEX('OneCause_Paste'!$A$2761:$AZ$2761,1,OC_Name)="","",INDEX('OneCause_Paste'!$A$2761:$AZ$2761,1,OC_Name)))</f>
        <v/>
      </c>
      <c r="L2761">
        <f>IF(OC_Txn=0,"",IF(INDEX('OneCause_Paste'!$A$2761:$AZ$2761,1,OC_Txn)="","",INDEX('OneCause_Paste'!$A$2761:$AZ$2761,1,OC_Txn)))</f>
        <v/>
      </c>
      <c r="M2761">
        <f>IF(OC_Pay=0,"",IF(INDEX('OneCause_Paste'!$A$2761:$AZ$2761,1,OC_Pay)="","",INDEX('OneCause_Paste'!$A$2761:$AZ$2761,1,OC_Pay)))</f>
        <v/>
      </c>
      <c r="N2761">
        <f>IF(I2761="","",IF(ISNUMBER(I2761),INT(I2761),IFERROR(INT(DATEVALUE(I2761)),IFERROR(INT(VALUE(I2761)),"bad"))))</f>
        <v/>
      </c>
      <c r="O2761">
        <f>IF(J2761="","",IF(ISNUMBER(J2761),ROUND(J2761,2),IFERROR(ROUND(VALUE(SUBSTITUTE(SUBSTITUTE(SUBSTITUTE(J2761,"$",""),",","")," ","")),2),"bad")))</f>
        <v/>
      </c>
      <c r="P2761">
        <f>IF(TRIM(K2761)="","",IFERROR(MATCH(LOWER(TRIM(K2761)),'Students'!$AH$2:$AH$701,0),IFERROR(MATCH(LOWER(TRIM(K2761)),'Students'!$AF$2:$AF$701,0),IFERROR(MATCH(LOWER(TRIM(K2761)),'Students'!$AG$2:$AG$701,0),""))))</f>
        <v/>
      </c>
      <c r="R2761">
        <f>IF(P2761="","",INDEX('Students'!$AD$2:$AD$701,P2761))</f>
        <v/>
      </c>
      <c r="S2761">
        <f>IF(H2761="OK",O2761,0)</f>
        <v/>
      </c>
      <c r="T2761">
        <f>IF(H2761="OK",N2761,"")</f>
        <v/>
      </c>
      <c r="U2761">
        <f>IF(OC_Donor=0,"",IF(INDEX('OneCause_Paste'!$A$2761:$AZ$2761,1,OC_Donor)="","",INDEX('OneCause_Paste'!$A$2761:$AZ$2761,1,OC_Donor)))</f>
        <v/>
      </c>
    </row>
    <row r="2762">
      <c r="A2762" s="62">
        <f>IF(H2762="","",IF(ISNUMBER(N2762),N2762,I2762))</f>
        <v/>
      </c>
      <c r="B2762">
        <f>IF(H2762="","",U2762)</f>
        <v/>
      </c>
      <c r="C2762">
        <f>IF(H2762="","",IF(P2762="",K2762,INDEX('Students'!$A$2:$A$701,P2762)))</f>
        <v/>
      </c>
      <c r="D2762">
        <f>IF(OR(H2762="",P2762=""),"",INDEX('Students'!$B$2:$B$701,P2762))</f>
        <v/>
      </c>
      <c r="E2762">
        <f>IF(OR(H2762="",P2762=""),"",INDEX('Students'!$C$2:$C$701,P2762))</f>
        <v/>
      </c>
      <c r="F2762" s="48">
        <f>IF(H2762="","",IF(ISNUMBER(O2762),O2762,J2762))</f>
        <v/>
      </c>
      <c r="G2762">
        <f>IF(H2762="","","OneCause")</f>
        <v/>
      </c>
      <c r="H2762">
        <f>IF(AND(I2762="",J2762="",K2762=""),"",IF(NOT(ISNUMBER(O2762)),"Bad amount",IF(O2762&lt;0,"Refund (not counted)",IF(O2762=0,"Zero amount",IF(NOT(ISNUMBER(N2762)),"Bad date",IF(P2762="","NAME NOT ON ROSTER",IF(L2762="","OK",IF(MATCH(L2762,$L$2:$L$3001,0)&lt;ROW()-1,"Duplicate (ignored)","OK"))))))))</f>
        <v/>
      </c>
      <c r="I2762">
        <f>IF(OC_Date=0,"",IF(INDEX('OneCause_Paste'!$A$2762:$AZ$2762,1,OC_Date)="","",INDEX('OneCause_Paste'!$A$2762:$AZ$2762,1,OC_Date)))</f>
        <v/>
      </c>
      <c r="J2762">
        <f>IF(OC_Amt=0,"",IF(INDEX('OneCause_Paste'!$A$2762:$AZ$2762,1,OC_Amt)="","",INDEX('OneCause_Paste'!$A$2762:$AZ$2762,1,OC_Amt)))</f>
        <v/>
      </c>
      <c r="K2762">
        <f>IF(OC_Name=0,"",IF(INDEX('OneCause_Paste'!$A$2762:$AZ$2762,1,OC_Name)="","",INDEX('OneCause_Paste'!$A$2762:$AZ$2762,1,OC_Name)))</f>
        <v/>
      </c>
      <c r="L2762">
        <f>IF(OC_Txn=0,"",IF(INDEX('OneCause_Paste'!$A$2762:$AZ$2762,1,OC_Txn)="","",INDEX('OneCause_Paste'!$A$2762:$AZ$2762,1,OC_Txn)))</f>
        <v/>
      </c>
      <c r="M2762">
        <f>IF(OC_Pay=0,"",IF(INDEX('OneCause_Paste'!$A$2762:$AZ$2762,1,OC_Pay)="","",INDEX('OneCause_Paste'!$A$2762:$AZ$2762,1,OC_Pay)))</f>
        <v/>
      </c>
      <c r="N2762">
        <f>IF(I2762="","",IF(ISNUMBER(I2762),INT(I2762),IFERROR(INT(DATEVALUE(I2762)),IFERROR(INT(VALUE(I2762)),"bad"))))</f>
        <v/>
      </c>
      <c r="O2762">
        <f>IF(J2762="","",IF(ISNUMBER(J2762),ROUND(J2762,2),IFERROR(ROUND(VALUE(SUBSTITUTE(SUBSTITUTE(SUBSTITUTE(J2762,"$",""),",","")," ","")),2),"bad")))</f>
        <v/>
      </c>
      <c r="P2762">
        <f>IF(TRIM(K2762)="","",IFERROR(MATCH(LOWER(TRIM(K2762)),'Students'!$AH$2:$AH$701,0),IFERROR(MATCH(LOWER(TRIM(K2762)),'Students'!$AF$2:$AF$701,0),IFERROR(MATCH(LOWER(TRIM(K2762)),'Students'!$AG$2:$AG$701,0),""))))</f>
        <v/>
      </c>
      <c r="R2762">
        <f>IF(P2762="","",INDEX('Students'!$AD$2:$AD$701,P2762))</f>
        <v/>
      </c>
      <c r="S2762">
        <f>IF(H2762="OK",O2762,0)</f>
        <v/>
      </c>
      <c r="T2762">
        <f>IF(H2762="OK",N2762,"")</f>
        <v/>
      </c>
      <c r="U2762">
        <f>IF(OC_Donor=0,"",IF(INDEX('OneCause_Paste'!$A$2762:$AZ$2762,1,OC_Donor)="","",INDEX('OneCause_Paste'!$A$2762:$AZ$2762,1,OC_Donor)))</f>
        <v/>
      </c>
    </row>
    <row r="2763">
      <c r="A2763" s="62">
        <f>IF(H2763="","",IF(ISNUMBER(N2763),N2763,I2763))</f>
        <v/>
      </c>
      <c r="B2763">
        <f>IF(H2763="","",U2763)</f>
        <v/>
      </c>
      <c r="C2763">
        <f>IF(H2763="","",IF(P2763="",K2763,INDEX('Students'!$A$2:$A$701,P2763)))</f>
        <v/>
      </c>
      <c r="D2763">
        <f>IF(OR(H2763="",P2763=""),"",INDEX('Students'!$B$2:$B$701,P2763))</f>
        <v/>
      </c>
      <c r="E2763">
        <f>IF(OR(H2763="",P2763=""),"",INDEX('Students'!$C$2:$C$701,P2763))</f>
        <v/>
      </c>
      <c r="F2763" s="48">
        <f>IF(H2763="","",IF(ISNUMBER(O2763),O2763,J2763))</f>
        <v/>
      </c>
      <c r="G2763">
        <f>IF(H2763="","","OneCause")</f>
        <v/>
      </c>
      <c r="H2763">
        <f>IF(AND(I2763="",J2763="",K2763=""),"",IF(NOT(ISNUMBER(O2763)),"Bad amount",IF(O2763&lt;0,"Refund (not counted)",IF(O2763=0,"Zero amount",IF(NOT(ISNUMBER(N2763)),"Bad date",IF(P2763="","NAME NOT ON ROSTER",IF(L2763="","OK",IF(MATCH(L2763,$L$2:$L$3001,0)&lt;ROW()-1,"Duplicate (ignored)","OK"))))))))</f>
        <v/>
      </c>
      <c r="I2763">
        <f>IF(OC_Date=0,"",IF(INDEX('OneCause_Paste'!$A$2763:$AZ$2763,1,OC_Date)="","",INDEX('OneCause_Paste'!$A$2763:$AZ$2763,1,OC_Date)))</f>
        <v/>
      </c>
      <c r="J2763">
        <f>IF(OC_Amt=0,"",IF(INDEX('OneCause_Paste'!$A$2763:$AZ$2763,1,OC_Amt)="","",INDEX('OneCause_Paste'!$A$2763:$AZ$2763,1,OC_Amt)))</f>
        <v/>
      </c>
      <c r="K2763">
        <f>IF(OC_Name=0,"",IF(INDEX('OneCause_Paste'!$A$2763:$AZ$2763,1,OC_Name)="","",INDEX('OneCause_Paste'!$A$2763:$AZ$2763,1,OC_Name)))</f>
        <v/>
      </c>
      <c r="L2763">
        <f>IF(OC_Txn=0,"",IF(INDEX('OneCause_Paste'!$A$2763:$AZ$2763,1,OC_Txn)="","",INDEX('OneCause_Paste'!$A$2763:$AZ$2763,1,OC_Txn)))</f>
        <v/>
      </c>
      <c r="M2763">
        <f>IF(OC_Pay=0,"",IF(INDEX('OneCause_Paste'!$A$2763:$AZ$2763,1,OC_Pay)="","",INDEX('OneCause_Paste'!$A$2763:$AZ$2763,1,OC_Pay)))</f>
        <v/>
      </c>
      <c r="N2763">
        <f>IF(I2763="","",IF(ISNUMBER(I2763),INT(I2763),IFERROR(INT(DATEVALUE(I2763)),IFERROR(INT(VALUE(I2763)),"bad"))))</f>
        <v/>
      </c>
      <c r="O2763">
        <f>IF(J2763="","",IF(ISNUMBER(J2763),ROUND(J2763,2),IFERROR(ROUND(VALUE(SUBSTITUTE(SUBSTITUTE(SUBSTITUTE(J2763,"$",""),",","")," ","")),2),"bad")))</f>
        <v/>
      </c>
      <c r="P2763">
        <f>IF(TRIM(K2763)="","",IFERROR(MATCH(LOWER(TRIM(K2763)),'Students'!$AH$2:$AH$701,0),IFERROR(MATCH(LOWER(TRIM(K2763)),'Students'!$AF$2:$AF$701,0),IFERROR(MATCH(LOWER(TRIM(K2763)),'Students'!$AG$2:$AG$701,0),""))))</f>
        <v/>
      </c>
      <c r="R2763">
        <f>IF(P2763="","",INDEX('Students'!$AD$2:$AD$701,P2763))</f>
        <v/>
      </c>
      <c r="S2763">
        <f>IF(H2763="OK",O2763,0)</f>
        <v/>
      </c>
      <c r="T2763">
        <f>IF(H2763="OK",N2763,"")</f>
        <v/>
      </c>
      <c r="U2763">
        <f>IF(OC_Donor=0,"",IF(INDEX('OneCause_Paste'!$A$2763:$AZ$2763,1,OC_Donor)="","",INDEX('OneCause_Paste'!$A$2763:$AZ$2763,1,OC_Donor)))</f>
        <v/>
      </c>
    </row>
    <row r="2764">
      <c r="A2764" s="62">
        <f>IF(H2764="","",IF(ISNUMBER(N2764),N2764,I2764))</f>
        <v/>
      </c>
      <c r="B2764">
        <f>IF(H2764="","",U2764)</f>
        <v/>
      </c>
      <c r="C2764">
        <f>IF(H2764="","",IF(P2764="",K2764,INDEX('Students'!$A$2:$A$701,P2764)))</f>
        <v/>
      </c>
      <c r="D2764">
        <f>IF(OR(H2764="",P2764=""),"",INDEX('Students'!$B$2:$B$701,P2764))</f>
        <v/>
      </c>
      <c r="E2764">
        <f>IF(OR(H2764="",P2764=""),"",INDEX('Students'!$C$2:$C$701,P2764))</f>
        <v/>
      </c>
      <c r="F2764" s="48">
        <f>IF(H2764="","",IF(ISNUMBER(O2764),O2764,J2764))</f>
        <v/>
      </c>
      <c r="G2764">
        <f>IF(H2764="","","OneCause")</f>
        <v/>
      </c>
      <c r="H2764">
        <f>IF(AND(I2764="",J2764="",K2764=""),"",IF(NOT(ISNUMBER(O2764)),"Bad amount",IF(O2764&lt;0,"Refund (not counted)",IF(O2764=0,"Zero amount",IF(NOT(ISNUMBER(N2764)),"Bad date",IF(P2764="","NAME NOT ON ROSTER",IF(L2764="","OK",IF(MATCH(L2764,$L$2:$L$3001,0)&lt;ROW()-1,"Duplicate (ignored)","OK"))))))))</f>
        <v/>
      </c>
      <c r="I2764">
        <f>IF(OC_Date=0,"",IF(INDEX('OneCause_Paste'!$A$2764:$AZ$2764,1,OC_Date)="","",INDEX('OneCause_Paste'!$A$2764:$AZ$2764,1,OC_Date)))</f>
        <v/>
      </c>
      <c r="J2764">
        <f>IF(OC_Amt=0,"",IF(INDEX('OneCause_Paste'!$A$2764:$AZ$2764,1,OC_Amt)="","",INDEX('OneCause_Paste'!$A$2764:$AZ$2764,1,OC_Amt)))</f>
        <v/>
      </c>
      <c r="K2764">
        <f>IF(OC_Name=0,"",IF(INDEX('OneCause_Paste'!$A$2764:$AZ$2764,1,OC_Name)="","",INDEX('OneCause_Paste'!$A$2764:$AZ$2764,1,OC_Name)))</f>
        <v/>
      </c>
      <c r="L2764">
        <f>IF(OC_Txn=0,"",IF(INDEX('OneCause_Paste'!$A$2764:$AZ$2764,1,OC_Txn)="","",INDEX('OneCause_Paste'!$A$2764:$AZ$2764,1,OC_Txn)))</f>
        <v/>
      </c>
      <c r="M2764">
        <f>IF(OC_Pay=0,"",IF(INDEX('OneCause_Paste'!$A$2764:$AZ$2764,1,OC_Pay)="","",INDEX('OneCause_Paste'!$A$2764:$AZ$2764,1,OC_Pay)))</f>
        <v/>
      </c>
      <c r="N2764">
        <f>IF(I2764="","",IF(ISNUMBER(I2764),INT(I2764),IFERROR(INT(DATEVALUE(I2764)),IFERROR(INT(VALUE(I2764)),"bad"))))</f>
        <v/>
      </c>
      <c r="O2764">
        <f>IF(J2764="","",IF(ISNUMBER(J2764),ROUND(J2764,2),IFERROR(ROUND(VALUE(SUBSTITUTE(SUBSTITUTE(SUBSTITUTE(J2764,"$",""),",","")," ","")),2),"bad")))</f>
        <v/>
      </c>
      <c r="P2764">
        <f>IF(TRIM(K2764)="","",IFERROR(MATCH(LOWER(TRIM(K2764)),'Students'!$AH$2:$AH$701,0),IFERROR(MATCH(LOWER(TRIM(K2764)),'Students'!$AF$2:$AF$701,0),IFERROR(MATCH(LOWER(TRIM(K2764)),'Students'!$AG$2:$AG$701,0),""))))</f>
        <v/>
      </c>
      <c r="R2764">
        <f>IF(P2764="","",INDEX('Students'!$AD$2:$AD$701,P2764))</f>
        <v/>
      </c>
      <c r="S2764">
        <f>IF(H2764="OK",O2764,0)</f>
        <v/>
      </c>
      <c r="T2764">
        <f>IF(H2764="OK",N2764,"")</f>
        <v/>
      </c>
      <c r="U2764">
        <f>IF(OC_Donor=0,"",IF(INDEX('OneCause_Paste'!$A$2764:$AZ$2764,1,OC_Donor)="","",INDEX('OneCause_Paste'!$A$2764:$AZ$2764,1,OC_Donor)))</f>
        <v/>
      </c>
    </row>
    <row r="2765">
      <c r="A2765" s="62">
        <f>IF(H2765="","",IF(ISNUMBER(N2765),N2765,I2765))</f>
        <v/>
      </c>
      <c r="B2765">
        <f>IF(H2765="","",U2765)</f>
        <v/>
      </c>
      <c r="C2765">
        <f>IF(H2765="","",IF(P2765="",K2765,INDEX('Students'!$A$2:$A$701,P2765)))</f>
        <v/>
      </c>
      <c r="D2765">
        <f>IF(OR(H2765="",P2765=""),"",INDEX('Students'!$B$2:$B$701,P2765))</f>
        <v/>
      </c>
      <c r="E2765">
        <f>IF(OR(H2765="",P2765=""),"",INDEX('Students'!$C$2:$C$701,P2765))</f>
        <v/>
      </c>
      <c r="F2765" s="48">
        <f>IF(H2765="","",IF(ISNUMBER(O2765),O2765,J2765))</f>
        <v/>
      </c>
      <c r="G2765">
        <f>IF(H2765="","","OneCause")</f>
        <v/>
      </c>
      <c r="H2765">
        <f>IF(AND(I2765="",J2765="",K2765=""),"",IF(NOT(ISNUMBER(O2765)),"Bad amount",IF(O2765&lt;0,"Refund (not counted)",IF(O2765=0,"Zero amount",IF(NOT(ISNUMBER(N2765)),"Bad date",IF(P2765="","NAME NOT ON ROSTER",IF(L2765="","OK",IF(MATCH(L2765,$L$2:$L$3001,0)&lt;ROW()-1,"Duplicate (ignored)","OK"))))))))</f>
        <v/>
      </c>
      <c r="I2765">
        <f>IF(OC_Date=0,"",IF(INDEX('OneCause_Paste'!$A$2765:$AZ$2765,1,OC_Date)="","",INDEX('OneCause_Paste'!$A$2765:$AZ$2765,1,OC_Date)))</f>
        <v/>
      </c>
      <c r="J2765">
        <f>IF(OC_Amt=0,"",IF(INDEX('OneCause_Paste'!$A$2765:$AZ$2765,1,OC_Amt)="","",INDEX('OneCause_Paste'!$A$2765:$AZ$2765,1,OC_Amt)))</f>
        <v/>
      </c>
      <c r="K2765">
        <f>IF(OC_Name=0,"",IF(INDEX('OneCause_Paste'!$A$2765:$AZ$2765,1,OC_Name)="","",INDEX('OneCause_Paste'!$A$2765:$AZ$2765,1,OC_Name)))</f>
        <v/>
      </c>
      <c r="L2765">
        <f>IF(OC_Txn=0,"",IF(INDEX('OneCause_Paste'!$A$2765:$AZ$2765,1,OC_Txn)="","",INDEX('OneCause_Paste'!$A$2765:$AZ$2765,1,OC_Txn)))</f>
        <v/>
      </c>
      <c r="M2765">
        <f>IF(OC_Pay=0,"",IF(INDEX('OneCause_Paste'!$A$2765:$AZ$2765,1,OC_Pay)="","",INDEX('OneCause_Paste'!$A$2765:$AZ$2765,1,OC_Pay)))</f>
        <v/>
      </c>
      <c r="N2765">
        <f>IF(I2765="","",IF(ISNUMBER(I2765),INT(I2765),IFERROR(INT(DATEVALUE(I2765)),IFERROR(INT(VALUE(I2765)),"bad"))))</f>
        <v/>
      </c>
      <c r="O2765">
        <f>IF(J2765="","",IF(ISNUMBER(J2765),ROUND(J2765,2),IFERROR(ROUND(VALUE(SUBSTITUTE(SUBSTITUTE(SUBSTITUTE(J2765,"$",""),",","")," ","")),2),"bad")))</f>
        <v/>
      </c>
      <c r="P2765">
        <f>IF(TRIM(K2765)="","",IFERROR(MATCH(LOWER(TRIM(K2765)),'Students'!$AH$2:$AH$701,0),IFERROR(MATCH(LOWER(TRIM(K2765)),'Students'!$AF$2:$AF$701,0),IFERROR(MATCH(LOWER(TRIM(K2765)),'Students'!$AG$2:$AG$701,0),""))))</f>
        <v/>
      </c>
      <c r="R2765">
        <f>IF(P2765="","",INDEX('Students'!$AD$2:$AD$701,P2765))</f>
        <v/>
      </c>
      <c r="S2765">
        <f>IF(H2765="OK",O2765,0)</f>
        <v/>
      </c>
      <c r="T2765">
        <f>IF(H2765="OK",N2765,"")</f>
        <v/>
      </c>
      <c r="U2765">
        <f>IF(OC_Donor=0,"",IF(INDEX('OneCause_Paste'!$A$2765:$AZ$2765,1,OC_Donor)="","",INDEX('OneCause_Paste'!$A$2765:$AZ$2765,1,OC_Donor)))</f>
        <v/>
      </c>
    </row>
    <row r="2766">
      <c r="A2766" s="62">
        <f>IF(H2766="","",IF(ISNUMBER(N2766),N2766,I2766))</f>
        <v/>
      </c>
      <c r="B2766">
        <f>IF(H2766="","",U2766)</f>
        <v/>
      </c>
      <c r="C2766">
        <f>IF(H2766="","",IF(P2766="",K2766,INDEX('Students'!$A$2:$A$701,P2766)))</f>
        <v/>
      </c>
      <c r="D2766">
        <f>IF(OR(H2766="",P2766=""),"",INDEX('Students'!$B$2:$B$701,P2766))</f>
        <v/>
      </c>
      <c r="E2766">
        <f>IF(OR(H2766="",P2766=""),"",INDEX('Students'!$C$2:$C$701,P2766))</f>
        <v/>
      </c>
      <c r="F2766" s="48">
        <f>IF(H2766="","",IF(ISNUMBER(O2766),O2766,J2766))</f>
        <v/>
      </c>
      <c r="G2766">
        <f>IF(H2766="","","OneCause")</f>
        <v/>
      </c>
      <c r="H2766">
        <f>IF(AND(I2766="",J2766="",K2766=""),"",IF(NOT(ISNUMBER(O2766)),"Bad amount",IF(O2766&lt;0,"Refund (not counted)",IF(O2766=0,"Zero amount",IF(NOT(ISNUMBER(N2766)),"Bad date",IF(P2766="","NAME NOT ON ROSTER",IF(L2766="","OK",IF(MATCH(L2766,$L$2:$L$3001,0)&lt;ROW()-1,"Duplicate (ignored)","OK"))))))))</f>
        <v/>
      </c>
      <c r="I2766">
        <f>IF(OC_Date=0,"",IF(INDEX('OneCause_Paste'!$A$2766:$AZ$2766,1,OC_Date)="","",INDEX('OneCause_Paste'!$A$2766:$AZ$2766,1,OC_Date)))</f>
        <v/>
      </c>
      <c r="J2766">
        <f>IF(OC_Amt=0,"",IF(INDEX('OneCause_Paste'!$A$2766:$AZ$2766,1,OC_Amt)="","",INDEX('OneCause_Paste'!$A$2766:$AZ$2766,1,OC_Amt)))</f>
        <v/>
      </c>
      <c r="K2766">
        <f>IF(OC_Name=0,"",IF(INDEX('OneCause_Paste'!$A$2766:$AZ$2766,1,OC_Name)="","",INDEX('OneCause_Paste'!$A$2766:$AZ$2766,1,OC_Name)))</f>
        <v/>
      </c>
      <c r="L2766">
        <f>IF(OC_Txn=0,"",IF(INDEX('OneCause_Paste'!$A$2766:$AZ$2766,1,OC_Txn)="","",INDEX('OneCause_Paste'!$A$2766:$AZ$2766,1,OC_Txn)))</f>
        <v/>
      </c>
      <c r="M2766">
        <f>IF(OC_Pay=0,"",IF(INDEX('OneCause_Paste'!$A$2766:$AZ$2766,1,OC_Pay)="","",INDEX('OneCause_Paste'!$A$2766:$AZ$2766,1,OC_Pay)))</f>
        <v/>
      </c>
      <c r="N2766">
        <f>IF(I2766="","",IF(ISNUMBER(I2766),INT(I2766),IFERROR(INT(DATEVALUE(I2766)),IFERROR(INT(VALUE(I2766)),"bad"))))</f>
        <v/>
      </c>
      <c r="O2766">
        <f>IF(J2766="","",IF(ISNUMBER(J2766),ROUND(J2766,2),IFERROR(ROUND(VALUE(SUBSTITUTE(SUBSTITUTE(SUBSTITUTE(J2766,"$",""),",","")," ","")),2),"bad")))</f>
        <v/>
      </c>
      <c r="P2766">
        <f>IF(TRIM(K2766)="","",IFERROR(MATCH(LOWER(TRIM(K2766)),'Students'!$AH$2:$AH$701,0),IFERROR(MATCH(LOWER(TRIM(K2766)),'Students'!$AF$2:$AF$701,0),IFERROR(MATCH(LOWER(TRIM(K2766)),'Students'!$AG$2:$AG$701,0),""))))</f>
        <v/>
      </c>
      <c r="R2766">
        <f>IF(P2766="","",INDEX('Students'!$AD$2:$AD$701,P2766))</f>
        <v/>
      </c>
      <c r="S2766">
        <f>IF(H2766="OK",O2766,0)</f>
        <v/>
      </c>
      <c r="T2766">
        <f>IF(H2766="OK",N2766,"")</f>
        <v/>
      </c>
      <c r="U2766">
        <f>IF(OC_Donor=0,"",IF(INDEX('OneCause_Paste'!$A$2766:$AZ$2766,1,OC_Donor)="","",INDEX('OneCause_Paste'!$A$2766:$AZ$2766,1,OC_Donor)))</f>
        <v/>
      </c>
    </row>
    <row r="2767">
      <c r="A2767" s="62">
        <f>IF(H2767="","",IF(ISNUMBER(N2767),N2767,I2767))</f>
        <v/>
      </c>
      <c r="B2767">
        <f>IF(H2767="","",U2767)</f>
        <v/>
      </c>
      <c r="C2767">
        <f>IF(H2767="","",IF(P2767="",K2767,INDEX('Students'!$A$2:$A$701,P2767)))</f>
        <v/>
      </c>
      <c r="D2767">
        <f>IF(OR(H2767="",P2767=""),"",INDEX('Students'!$B$2:$B$701,P2767))</f>
        <v/>
      </c>
      <c r="E2767">
        <f>IF(OR(H2767="",P2767=""),"",INDEX('Students'!$C$2:$C$701,P2767))</f>
        <v/>
      </c>
      <c r="F2767" s="48">
        <f>IF(H2767="","",IF(ISNUMBER(O2767),O2767,J2767))</f>
        <v/>
      </c>
      <c r="G2767">
        <f>IF(H2767="","","OneCause")</f>
        <v/>
      </c>
      <c r="H2767">
        <f>IF(AND(I2767="",J2767="",K2767=""),"",IF(NOT(ISNUMBER(O2767)),"Bad amount",IF(O2767&lt;0,"Refund (not counted)",IF(O2767=0,"Zero amount",IF(NOT(ISNUMBER(N2767)),"Bad date",IF(P2767="","NAME NOT ON ROSTER",IF(L2767="","OK",IF(MATCH(L2767,$L$2:$L$3001,0)&lt;ROW()-1,"Duplicate (ignored)","OK"))))))))</f>
        <v/>
      </c>
      <c r="I2767">
        <f>IF(OC_Date=0,"",IF(INDEX('OneCause_Paste'!$A$2767:$AZ$2767,1,OC_Date)="","",INDEX('OneCause_Paste'!$A$2767:$AZ$2767,1,OC_Date)))</f>
        <v/>
      </c>
      <c r="J2767">
        <f>IF(OC_Amt=0,"",IF(INDEX('OneCause_Paste'!$A$2767:$AZ$2767,1,OC_Amt)="","",INDEX('OneCause_Paste'!$A$2767:$AZ$2767,1,OC_Amt)))</f>
        <v/>
      </c>
      <c r="K2767">
        <f>IF(OC_Name=0,"",IF(INDEX('OneCause_Paste'!$A$2767:$AZ$2767,1,OC_Name)="","",INDEX('OneCause_Paste'!$A$2767:$AZ$2767,1,OC_Name)))</f>
        <v/>
      </c>
      <c r="L2767">
        <f>IF(OC_Txn=0,"",IF(INDEX('OneCause_Paste'!$A$2767:$AZ$2767,1,OC_Txn)="","",INDEX('OneCause_Paste'!$A$2767:$AZ$2767,1,OC_Txn)))</f>
        <v/>
      </c>
      <c r="M2767">
        <f>IF(OC_Pay=0,"",IF(INDEX('OneCause_Paste'!$A$2767:$AZ$2767,1,OC_Pay)="","",INDEX('OneCause_Paste'!$A$2767:$AZ$2767,1,OC_Pay)))</f>
        <v/>
      </c>
      <c r="N2767">
        <f>IF(I2767="","",IF(ISNUMBER(I2767),INT(I2767),IFERROR(INT(DATEVALUE(I2767)),IFERROR(INT(VALUE(I2767)),"bad"))))</f>
        <v/>
      </c>
      <c r="O2767">
        <f>IF(J2767="","",IF(ISNUMBER(J2767),ROUND(J2767,2),IFERROR(ROUND(VALUE(SUBSTITUTE(SUBSTITUTE(SUBSTITUTE(J2767,"$",""),",","")," ","")),2),"bad")))</f>
        <v/>
      </c>
      <c r="P2767">
        <f>IF(TRIM(K2767)="","",IFERROR(MATCH(LOWER(TRIM(K2767)),'Students'!$AH$2:$AH$701,0),IFERROR(MATCH(LOWER(TRIM(K2767)),'Students'!$AF$2:$AF$701,0),IFERROR(MATCH(LOWER(TRIM(K2767)),'Students'!$AG$2:$AG$701,0),""))))</f>
        <v/>
      </c>
      <c r="R2767">
        <f>IF(P2767="","",INDEX('Students'!$AD$2:$AD$701,P2767))</f>
        <v/>
      </c>
      <c r="S2767">
        <f>IF(H2767="OK",O2767,0)</f>
        <v/>
      </c>
      <c r="T2767">
        <f>IF(H2767="OK",N2767,"")</f>
        <v/>
      </c>
      <c r="U2767">
        <f>IF(OC_Donor=0,"",IF(INDEX('OneCause_Paste'!$A$2767:$AZ$2767,1,OC_Donor)="","",INDEX('OneCause_Paste'!$A$2767:$AZ$2767,1,OC_Donor)))</f>
        <v/>
      </c>
    </row>
    <row r="2768">
      <c r="A2768" s="62">
        <f>IF(H2768="","",IF(ISNUMBER(N2768),N2768,I2768))</f>
        <v/>
      </c>
      <c r="B2768">
        <f>IF(H2768="","",U2768)</f>
        <v/>
      </c>
      <c r="C2768">
        <f>IF(H2768="","",IF(P2768="",K2768,INDEX('Students'!$A$2:$A$701,P2768)))</f>
        <v/>
      </c>
      <c r="D2768">
        <f>IF(OR(H2768="",P2768=""),"",INDEX('Students'!$B$2:$B$701,P2768))</f>
        <v/>
      </c>
      <c r="E2768">
        <f>IF(OR(H2768="",P2768=""),"",INDEX('Students'!$C$2:$C$701,P2768))</f>
        <v/>
      </c>
      <c r="F2768" s="48">
        <f>IF(H2768="","",IF(ISNUMBER(O2768),O2768,J2768))</f>
        <v/>
      </c>
      <c r="G2768">
        <f>IF(H2768="","","OneCause")</f>
        <v/>
      </c>
      <c r="H2768">
        <f>IF(AND(I2768="",J2768="",K2768=""),"",IF(NOT(ISNUMBER(O2768)),"Bad amount",IF(O2768&lt;0,"Refund (not counted)",IF(O2768=0,"Zero amount",IF(NOT(ISNUMBER(N2768)),"Bad date",IF(P2768="","NAME NOT ON ROSTER",IF(L2768="","OK",IF(MATCH(L2768,$L$2:$L$3001,0)&lt;ROW()-1,"Duplicate (ignored)","OK"))))))))</f>
        <v/>
      </c>
      <c r="I2768">
        <f>IF(OC_Date=0,"",IF(INDEX('OneCause_Paste'!$A$2768:$AZ$2768,1,OC_Date)="","",INDEX('OneCause_Paste'!$A$2768:$AZ$2768,1,OC_Date)))</f>
        <v/>
      </c>
      <c r="J2768">
        <f>IF(OC_Amt=0,"",IF(INDEX('OneCause_Paste'!$A$2768:$AZ$2768,1,OC_Amt)="","",INDEX('OneCause_Paste'!$A$2768:$AZ$2768,1,OC_Amt)))</f>
        <v/>
      </c>
      <c r="K2768">
        <f>IF(OC_Name=0,"",IF(INDEX('OneCause_Paste'!$A$2768:$AZ$2768,1,OC_Name)="","",INDEX('OneCause_Paste'!$A$2768:$AZ$2768,1,OC_Name)))</f>
        <v/>
      </c>
      <c r="L2768">
        <f>IF(OC_Txn=0,"",IF(INDEX('OneCause_Paste'!$A$2768:$AZ$2768,1,OC_Txn)="","",INDEX('OneCause_Paste'!$A$2768:$AZ$2768,1,OC_Txn)))</f>
        <v/>
      </c>
      <c r="M2768">
        <f>IF(OC_Pay=0,"",IF(INDEX('OneCause_Paste'!$A$2768:$AZ$2768,1,OC_Pay)="","",INDEX('OneCause_Paste'!$A$2768:$AZ$2768,1,OC_Pay)))</f>
        <v/>
      </c>
      <c r="N2768">
        <f>IF(I2768="","",IF(ISNUMBER(I2768),INT(I2768),IFERROR(INT(DATEVALUE(I2768)),IFERROR(INT(VALUE(I2768)),"bad"))))</f>
        <v/>
      </c>
      <c r="O2768">
        <f>IF(J2768="","",IF(ISNUMBER(J2768),ROUND(J2768,2),IFERROR(ROUND(VALUE(SUBSTITUTE(SUBSTITUTE(SUBSTITUTE(J2768,"$",""),",","")," ","")),2),"bad")))</f>
        <v/>
      </c>
      <c r="P2768">
        <f>IF(TRIM(K2768)="","",IFERROR(MATCH(LOWER(TRIM(K2768)),'Students'!$AH$2:$AH$701,0),IFERROR(MATCH(LOWER(TRIM(K2768)),'Students'!$AF$2:$AF$701,0),IFERROR(MATCH(LOWER(TRIM(K2768)),'Students'!$AG$2:$AG$701,0),""))))</f>
        <v/>
      </c>
      <c r="R2768">
        <f>IF(P2768="","",INDEX('Students'!$AD$2:$AD$701,P2768))</f>
        <v/>
      </c>
      <c r="S2768">
        <f>IF(H2768="OK",O2768,0)</f>
        <v/>
      </c>
      <c r="T2768">
        <f>IF(H2768="OK",N2768,"")</f>
        <v/>
      </c>
      <c r="U2768">
        <f>IF(OC_Donor=0,"",IF(INDEX('OneCause_Paste'!$A$2768:$AZ$2768,1,OC_Donor)="","",INDEX('OneCause_Paste'!$A$2768:$AZ$2768,1,OC_Donor)))</f>
        <v/>
      </c>
    </row>
    <row r="2769">
      <c r="A2769" s="62">
        <f>IF(H2769="","",IF(ISNUMBER(N2769),N2769,I2769))</f>
        <v/>
      </c>
      <c r="B2769">
        <f>IF(H2769="","",U2769)</f>
        <v/>
      </c>
      <c r="C2769">
        <f>IF(H2769="","",IF(P2769="",K2769,INDEX('Students'!$A$2:$A$701,P2769)))</f>
        <v/>
      </c>
      <c r="D2769">
        <f>IF(OR(H2769="",P2769=""),"",INDEX('Students'!$B$2:$B$701,P2769))</f>
        <v/>
      </c>
      <c r="E2769">
        <f>IF(OR(H2769="",P2769=""),"",INDEX('Students'!$C$2:$C$701,P2769))</f>
        <v/>
      </c>
      <c r="F2769" s="48">
        <f>IF(H2769="","",IF(ISNUMBER(O2769),O2769,J2769))</f>
        <v/>
      </c>
      <c r="G2769">
        <f>IF(H2769="","","OneCause")</f>
        <v/>
      </c>
      <c r="H2769">
        <f>IF(AND(I2769="",J2769="",K2769=""),"",IF(NOT(ISNUMBER(O2769)),"Bad amount",IF(O2769&lt;0,"Refund (not counted)",IF(O2769=0,"Zero amount",IF(NOT(ISNUMBER(N2769)),"Bad date",IF(P2769="","NAME NOT ON ROSTER",IF(L2769="","OK",IF(MATCH(L2769,$L$2:$L$3001,0)&lt;ROW()-1,"Duplicate (ignored)","OK"))))))))</f>
        <v/>
      </c>
      <c r="I2769">
        <f>IF(OC_Date=0,"",IF(INDEX('OneCause_Paste'!$A$2769:$AZ$2769,1,OC_Date)="","",INDEX('OneCause_Paste'!$A$2769:$AZ$2769,1,OC_Date)))</f>
        <v/>
      </c>
      <c r="J2769">
        <f>IF(OC_Amt=0,"",IF(INDEX('OneCause_Paste'!$A$2769:$AZ$2769,1,OC_Amt)="","",INDEX('OneCause_Paste'!$A$2769:$AZ$2769,1,OC_Amt)))</f>
        <v/>
      </c>
      <c r="K2769">
        <f>IF(OC_Name=0,"",IF(INDEX('OneCause_Paste'!$A$2769:$AZ$2769,1,OC_Name)="","",INDEX('OneCause_Paste'!$A$2769:$AZ$2769,1,OC_Name)))</f>
        <v/>
      </c>
      <c r="L2769">
        <f>IF(OC_Txn=0,"",IF(INDEX('OneCause_Paste'!$A$2769:$AZ$2769,1,OC_Txn)="","",INDEX('OneCause_Paste'!$A$2769:$AZ$2769,1,OC_Txn)))</f>
        <v/>
      </c>
      <c r="M2769">
        <f>IF(OC_Pay=0,"",IF(INDEX('OneCause_Paste'!$A$2769:$AZ$2769,1,OC_Pay)="","",INDEX('OneCause_Paste'!$A$2769:$AZ$2769,1,OC_Pay)))</f>
        <v/>
      </c>
      <c r="N2769">
        <f>IF(I2769="","",IF(ISNUMBER(I2769),INT(I2769),IFERROR(INT(DATEVALUE(I2769)),IFERROR(INT(VALUE(I2769)),"bad"))))</f>
        <v/>
      </c>
      <c r="O2769">
        <f>IF(J2769="","",IF(ISNUMBER(J2769),ROUND(J2769,2),IFERROR(ROUND(VALUE(SUBSTITUTE(SUBSTITUTE(SUBSTITUTE(J2769,"$",""),",","")," ","")),2),"bad")))</f>
        <v/>
      </c>
      <c r="P2769">
        <f>IF(TRIM(K2769)="","",IFERROR(MATCH(LOWER(TRIM(K2769)),'Students'!$AH$2:$AH$701,0),IFERROR(MATCH(LOWER(TRIM(K2769)),'Students'!$AF$2:$AF$701,0),IFERROR(MATCH(LOWER(TRIM(K2769)),'Students'!$AG$2:$AG$701,0),""))))</f>
        <v/>
      </c>
      <c r="R2769">
        <f>IF(P2769="","",INDEX('Students'!$AD$2:$AD$701,P2769))</f>
        <v/>
      </c>
      <c r="S2769">
        <f>IF(H2769="OK",O2769,0)</f>
        <v/>
      </c>
      <c r="T2769">
        <f>IF(H2769="OK",N2769,"")</f>
        <v/>
      </c>
      <c r="U2769">
        <f>IF(OC_Donor=0,"",IF(INDEX('OneCause_Paste'!$A$2769:$AZ$2769,1,OC_Donor)="","",INDEX('OneCause_Paste'!$A$2769:$AZ$2769,1,OC_Donor)))</f>
        <v/>
      </c>
    </row>
    <row r="2770">
      <c r="A2770" s="62">
        <f>IF(H2770="","",IF(ISNUMBER(N2770),N2770,I2770))</f>
        <v/>
      </c>
      <c r="B2770">
        <f>IF(H2770="","",U2770)</f>
        <v/>
      </c>
      <c r="C2770">
        <f>IF(H2770="","",IF(P2770="",K2770,INDEX('Students'!$A$2:$A$701,P2770)))</f>
        <v/>
      </c>
      <c r="D2770">
        <f>IF(OR(H2770="",P2770=""),"",INDEX('Students'!$B$2:$B$701,P2770))</f>
        <v/>
      </c>
      <c r="E2770">
        <f>IF(OR(H2770="",P2770=""),"",INDEX('Students'!$C$2:$C$701,P2770))</f>
        <v/>
      </c>
      <c r="F2770" s="48">
        <f>IF(H2770="","",IF(ISNUMBER(O2770),O2770,J2770))</f>
        <v/>
      </c>
      <c r="G2770">
        <f>IF(H2770="","","OneCause")</f>
        <v/>
      </c>
      <c r="H2770">
        <f>IF(AND(I2770="",J2770="",K2770=""),"",IF(NOT(ISNUMBER(O2770)),"Bad amount",IF(O2770&lt;0,"Refund (not counted)",IF(O2770=0,"Zero amount",IF(NOT(ISNUMBER(N2770)),"Bad date",IF(P2770="","NAME NOT ON ROSTER",IF(L2770="","OK",IF(MATCH(L2770,$L$2:$L$3001,0)&lt;ROW()-1,"Duplicate (ignored)","OK"))))))))</f>
        <v/>
      </c>
      <c r="I2770">
        <f>IF(OC_Date=0,"",IF(INDEX('OneCause_Paste'!$A$2770:$AZ$2770,1,OC_Date)="","",INDEX('OneCause_Paste'!$A$2770:$AZ$2770,1,OC_Date)))</f>
        <v/>
      </c>
      <c r="J2770">
        <f>IF(OC_Amt=0,"",IF(INDEX('OneCause_Paste'!$A$2770:$AZ$2770,1,OC_Amt)="","",INDEX('OneCause_Paste'!$A$2770:$AZ$2770,1,OC_Amt)))</f>
        <v/>
      </c>
      <c r="K2770">
        <f>IF(OC_Name=0,"",IF(INDEX('OneCause_Paste'!$A$2770:$AZ$2770,1,OC_Name)="","",INDEX('OneCause_Paste'!$A$2770:$AZ$2770,1,OC_Name)))</f>
        <v/>
      </c>
      <c r="L2770">
        <f>IF(OC_Txn=0,"",IF(INDEX('OneCause_Paste'!$A$2770:$AZ$2770,1,OC_Txn)="","",INDEX('OneCause_Paste'!$A$2770:$AZ$2770,1,OC_Txn)))</f>
        <v/>
      </c>
      <c r="M2770">
        <f>IF(OC_Pay=0,"",IF(INDEX('OneCause_Paste'!$A$2770:$AZ$2770,1,OC_Pay)="","",INDEX('OneCause_Paste'!$A$2770:$AZ$2770,1,OC_Pay)))</f>
        <v/>
      </c>
      <c r="N2770">
        <f>IF(I2770="","",IF(ISNUMBER(I2770),INT(I2770),IFERROR(INT(DATEVALUE(I2770)),IFERROR(INT(VALUE(I2770)),"bad"))))</f>
        <v/>
      </c>
      <c r="O2770">
        <f>IF(J2770="","",IF(ISNUMBER(J2770),ROUND(J2770,2),IFERROR(ROUND(VALUE(SUBSTITUTE(SUBSTITUTE(SUBSTITUTE(J2770,"$",""),",","")," ","")),2),"bad")))</f>
        <v/>
      </c>
      <c r="P2770">
        <f>IF(TRIM(K2770)="","",IFERROR(MATCH(LOWER(TRIM(K2770)),'Students'!$AH$2:$AH$701,0),IFERROR(MATCH(LOWER(TRIM(K2770)),'Students'!$AF$2:$AF$701,0),IFERROR(MATCH(LOWER(TRIM(K2770)),'Students'!$AG$2:$AG$701,0),""))))</f>
        <v/>
      </c>
      <c r="R2770">
        <f>IF(P2770="","",INDEX('Students'!$AD$2:$AD$701,P2770))</f>
        <v/>
      </c>
      <c r="S2770">
        <f>IF(H2770="OK",O2770,0)</f>
        <v/>
      </c>
      <c r="T2770">
        <f>IF(H2770="OK",N2770,"")</f>
        <v/>
      </c>
      <c r="U2770">
        <f>IF(OC_Donor=0,"",IF(INDEX('OneCause_Paste'!$A$2770:$AZ$2770,1,OC_Donor)="","",INDEX('OneCause_Paste'!$A$2770:$AZ$2770,1,OC_Donor)))</f>
        <v/>
      </c>
    </row>
    <row r="2771">
      <c r="A2771" s="62">
        <f>IF(H2771="","",IF(ISNUMBER(N2771),N2771,I2771))</f>
        <v/>
      </c>
      <c r="B2771">
        <f>IF(H2771="","",U2771)</f>
        <v/>
      </c>
      <c r="C2771">
        <f>IF(H2771="","",IF(P2771="",K2771,INDEX('Students'!$A$2:$A$701,P2771)))</f>
        <v/>
      </c>
      <c r="D2771">
        <f>IF(OR(H2771="",P2771=""),"",INDEX('Students'!$B$2:$B$701,P2771))</f>
        <v/>
      </c>
      <c r="E2771">
        <f>IF(OR(H2771="",P2771=""),"",INDEX('Students'!$C$2:$C$701,P2771))</f>
        <v/>
      </c>
      <c r="F2771" s="48">
        <f>IF(H2771="","",IF(ISNUMBER(O2771),O2771,J2771))</f>
        <v/>
      </c>
      <c r="G2771">
        <f>IF(H2771="","","OneCause")</f>
        <v/>
      </c>
      <c r="H2771">
        <f>IF(AND(I2771="",J2771="",K2771=""),"",IF(NOT(ISNUMBER(O2771)),"Bad amount",IF(O2771&lt;0,"Refund (not counted)",IF(O2771=0,"Zero amount",IF(NOT(ISNUMBER(N2771)),"Bad date",IF(P2771="","NAME NOT ON ROSTER",IF(L2771="","OK",IF(MATCH(L2771,$L$2:$L$3001,0)&lt;ROW()-1,"Duplicate (ignored)","OK"))))))))</f>
        <v/>
      </c>
      <c r="I2771">
        <f>IF(OC_Date=0,"",IF(INDEX('OneCause_Paste'!$A$2771:$AZ$2771,1,OC_Date)="","",INDEX('OneCause_Paste'!$A$2771:$AZ$2771,1,OC_Date)))</f>
        <v/>
      </c>
      <c r="J2771">
        <f>IF(OC_Amt=0,"",IF(INDEX('OneCause_Paste'!$A$2771:$AZ$2771,1,OC_Amt)="","",INDEX('OneCause_Paste'!$A$2771:$AZ$2771,1,OC_Amt)))</f>
        <v/>
      </c>
      <c r="K2771">
        <f>IF(OC_Name=0,"",IF(INDEX('OneCause_Paste'!$A$2771:$AZ$2771,1,OC_Name)="","",INDEX('OneCause_Paste'!$A$2771:$AZ$2771,1,OC_Name)))</f>
        <v/>
      </c>
      <c r="L2771">
        <f>IF(OC_Txn=0,"",IF(INDEX('OneCause_Paste'!$A$2771:$AZ$2771,1,OC_Txn)="","",INDEX('OneCause_Paste'!$A$2771:$AZ$2771,1,OC_Txn)))</f>
        <v/>
      </c>
      <c r="M2771">
        <f>IF(OC_Pay=0,"",IF(INDEX('OneCause_Paste'!$A$2771:$AZ$2771,1,OC_Pay)="","",INDEX('OneCause_Paste'!$A$2771:$AZ$2771,1,OC_Pay)))</f>
        <v/>
      </c>
      <c r="N2771">
        <f>IF(I2771="","",IF(ISNUMBER(I2771),INT(I2771),IFERROR(INT(DATEVALUE(I2771)),IFERROR(INT(VALUE(I2771)),"bad"))))</f>
        <v/>
      </c>
      <c r="O2771">
        <f>IF(J2771="","",IF(ISNUMBER(J2771),ROUND(J2771,2),IFERROR(ROUND(VALUE(SUBSTITUTE(SUBSTITUTE(SUBSTITUTE(J2771,"$",""),",","")," ","")),2),"bad")))</f>
        <v/>
      </c>
      <c r="P2771">
        <f>IF(TRIM(K2771)="","",IFERROR(MATCH(LOWER(TRIM(K2771)),'Students'!$AH$2:$AH$701,0),IFERROR(MATCH(LOWER(TRIM(K2771)),'Students'!$AF$2:$AF$701,0),IFERROR(MATCH(LOWER(TRIM(K2771)),'Students'!$AG$2:$AG$701,0),""))))</f>
        <v/>
      </c>
      <c r="R2771">
        <f>IF(P2771="","",INDEX('Students'!$AD$2:$AD$701,P2771))</f>
        <v/>
      </c>
      <c r="S2771">
        <f>IF(H2771="OK",O2771,0)</f>
        <v/>
      </c>
      <c r="T2771">
        <f>IF(H2771="OK",N2771,"")</f>
        <v/>
      </c>
      <c r="U2771">
        <f>IF(OC_Donor=0,"",IF(INDEX('OneCause_Paste'!$A$2771:$AZ$2771,1,OC_Donor)="","",INDEX('OneCause_Paste'!$A$2771:$AZ$2771,1,OC_Donor)))</f>
        <v/>
      </c>
    </row>
    <row r="2772">
      <c r="A2772" s="62">
        <f>IF(H2772="","",IF(ISNUMBER(N2772),N2772,I2772))</f>
        <v/>
      </c>
      <c r="B2772">
        <f>IF(H2772="","",U2772)</f>
        <v/>
      </c>
      <c r="C2772">
        <f>IF(H2772="","",IF(P2772="",K2772,INDEX('Students'!$A$2:$A$701,P2772)))</f>
        <v/>
      </c>
      <c r="D2772">
        <f>IF(OR(H2772="",P2772=""),"",INDEX('Students'!$B$2:$B$701,P2772))</f>
        <v/>
      </c>
      <c r="E2772">
        <f>IF(OR(H2772="",P2772=""),"",INDEX('Students'!$C$2:$C$701,P2772))</f>
        <v/>
      </c>
      <c r="F2772" s="48">
        <f>IF(H2772="","",IF(ISNUMBER(O2772),O2772,J2772))</f>
        <v/>
      </c>
      <c r="G2772">
        <f>IF(H2772="","","OneCause")</f>
        <v/>
      </c>
      <c r="H2772">
        <f>IF(AND(I2772="",J2772="",K2772=""),"",IF(NOT(ISNUMBER(O2772)),"Bad amount",IF(O2772&lt;0,"Refund (not counted)",IF(O2772=0,"Zero amount",IF(NOT(ISNUMBER(N2772)),"Bad date",IF(P2772="","NAME NOT ON ROSTER",IF(L2772="","OK",IF(MATCH(L2772,$L$2:$L$3001,0)&lt;ROW()-1,"Duplicate (ignored)","OK"))))))))</f>
        <v/>
      </c>
      <c r="I2772">
        <f>IF(OC_Date=0,"",IF(INDEX('OneCause_Paste'!$A$2772:$AZ$2772,1,OC_Date)="","",INDEX('OneCause_Paste'!$A$2772:$AZ$2772,1,OC_Date)))</f>
        <v/>
      </c>
      <c r="J2772">
        <f>IF(OC_Amt=0,"",IF(INDEX('OneCause_Paste'!$A$2772:$AZ$2772,1,OC_Amt)="","",INDEX('OneCause_Paste'!$A$2772:$AZ$2772,1,OC_Amt)))</f>
        <v/>
      </c>
      <c r="K2772">
        <f>IF(OC_Name=0,"",IF(INDEX('OneCause_Paste'!$A$2772:$AZ$2772,1,OC_Name)="","",INDEX('OneCause_Paste'!$A$2772:$AZ$2772,1,OC_Name)))</f>
        <v/>
      </c>
      <c r="L2772">
        <f>IF(OC_Txn=0,"",IF(INDEX('OneCause_Paste'!$A$2772:$AZ$2772,1,OC_Txn)="","",INDEX('OneCause_Paste'!$A$2772:$AZ$2772,1,OC_Txn)))</f>
        <v/>
      </c>
      <c r="M2772">
        <f>IF(OC_Pay=0,"",IF(INDEX('OneCause_Paste'!$A$2772:$AZ$2772,1,OC_Pay)="","",INDEX('OneCause_Paste'!$A$2772:$AZ$2772,1,OC_Pay)))</f>
        <v/>
      </c>
      <c r="N2772">
        <f>IF(I2772="","",IF(ISNUMBER(I2772),INT(I2772),IFERROR(INT(DATEVALUE(I2772)),IFERROR(INT(VALUE(I2772)),"bad"))))</f>
        <v/>
      </c>
      <c r="O2772">
        <f>IF(J2772="","",IF(ISNUMBER(J2772),ROUND(J2772,2),IFERROR(ROUND(VALUE(SUBSTITUTE(SUBSTITUTE(SUBSTITUTE(J2772,"$",""),",","")," ","")),2),"bad")))</f>
        <v/>
      </c>
      <c r="P2772">
        <f>IF(TRIM(K2772)="","",IFERROR(MATCH(LOWER(TRIM(K2772)),'Students'!$AH$2:$AH$701,0),IFERROR(MATCH(LOWER(TRIM(K2772)),'Students'!$AF$2:$AF$701,0),IFERROR(MATCH(LOWER(TRIM(K2772)),'Students'!$AG$2:$AG$701,0),""))))</f>
        <v/>
      </c>
      <c r="R2772">
        <f>IF(P2772="","",INDEX('Students'!$AD$2:$AD$701,P2772))</f>
        <v/>
      </c>
      <c r="S2772">
        <f>IF(H2772="OK",O2772,0)</f>
        <v/>
      </c>
      <c r="T2772">
        <f>IF(H2772="OK",N2772,"")</f>
        <v/>
      </c>
      <c r="U2772">
        <f>IF(OC_Donor=0,"",IF(INDEX('OneCause_Paste'!$A$2772:$AZ$2772,1,OC_Donor)="","",INDEX('OneCause_Paste'!$A$2772:$AZ$2772,1,OC_Donor)))</f>
        <v/>
      </c>
    </row>
    <row r="2773">
      <c r="A2773" s="62">
        <f>IF(H2773="","",IF(ISNUMBER(N2773),N2773,I2773))</f>
        <v/>
      </c>
      <c r="B2773">
        <f>IF(H2773="","",U2773)</f>
        <v/>
      </c>
      <c r="C2773">
        <f>IF(H2773="","",IF(P2773="",K2773,INDEX('Students'!$A$2:$A$701,P2773)))</f>
        <v/>
      </c>
      <c r="D2773">
        <f>IF(OR(H2773="",P2773=""),"",INDEX('Students'!$B$2:$B$701,P2773))</f>
        <v/>
      </c>
      <c r="E2773">
        <f>IF(OR(H2773="",P2773=""),"",INDEX('Students'!$C$2:$C$701,P2773))</f>
        <v/>
      </c>
      <c r="F2773" s="48">
        <f>IF(H2773="","",IF(ISNUMBER(O2773),O2773,J2773))</f>
        <v/>
      </c>
      <c r="G2773">
        <f>IF(H2773="","","OneCause")</f>
        <v/>
      </c>
      <c r="H2773">
        <f>IF(AND(I2773="",J2773="",K2773=""),"",IF(NOT(ISNUMBER(O2773)),"Bad amount",IF(O2773&lt;0,"Refund (not counted)",IF(O2773=0,"Zero amount",IF(NOT(ISNUMBER(N2773)),"Bad date",IF(P2773="","NAME NOT ON ROSTER",IF(L2773="","OK",IF(MATCH(L2773,$L$2:$L$3001,0)&lt;ROW()-1,"Duplicate (ignored)","OK"))))))))</f>
        <v/>
      </c>
      <c r="I2773">
        <f>IF(OC_Date=0,"",IF(INDEX('OneCause_Paste'!$A$2773:$AZ$2773,1,OC_Date)="","",INDEX('OneCause_Paste'!$A$2773:$AZ$2773,1,OC_Date)))</f>
        <v/>
      </c>
      <c r="J2773">
        <f>IF(OC_Amt=0,"",IF(INDEX('OneCause_Paste'!$A$2773:$AZ$2773,1,OC_Amt)="","",INDEX('OneCause_Paste'!$A$2773:$AZ$2773,1,OC_Amt)))</f>
        <v/>
      </c>
      <c r="K2773">
        <f>IF(OC_Name=0,"",IF(INDEX('OneCause_Paste'!$A$2773:$AZ$2773,1,OC_Name)="","",INDEX('OneCause_Paste'!$A$2773:$AZ$2773,1,OC_Name)))</f>
        <v/>
      </c>
      <c r="L2773">
        <f>IF(OC_Txn=0,"",IF(INDEX('OneCause_Paste'!$A$2773:$AZ$2773,1,OC_Txn)="","",INDEX('OneCause_Paste'!$A$2773:$AZ$2773,1,OC_Txn)))</f>
        <v/>
      </c>
      <c r="M2773">
        <f>IF(OC_Pay=0,"",IF(INDEX('OneCause_Paste'!$A$2773:$AZ$2773,1,OC_Pay)="","",INDEX('OneCause_Paste'!$A$2773:$AZ$2773,1,OC_Pay)))</f>
        <v/>
      </c>
      <c r="N2773">
        <f>IF(I2773="","",IF(ISNUMBER(I2773),INT(I2773),IFERROR(INT(DATEVALUE(I2773)),IFERROR(INT(VALUE(I2773)),"bad"))))</f>
        <v/>
      </c>
      <c r="O2773">
        <f>IF(J2773="","",IF(ISNUMBER(J2773),ROUND(J2773,2),IFERROR(ROUND(VALUE(SUBSTITUTE(SUBSTITUTE(SUBSTITUTE(J2773,"$",""),",","")," ","")),2),"bad")))</f>
        <v/>
      </c>
      <c r="P2773">
        <f>IF(TRIM(K2773)="","",IFERROR(MATCH(LOWER(TRIM(K2773)),'Students'!$AH$2:$AH$701,0),IFERROR(MATCH(LOWER(TRIM(K2773)),'Students'!$AF$2:$AF$701,0),IFERROR(MATCH(LOWER(TRIM(K2773)),'Students'!$AG$2:$AG$701,0),""))))</f>
        <v/>
      </c>
      <c r="R2773">
        <f>IF(P2773="","",INDEX('Students'!$AD$2:$AD$701,P2773))</f>
        <v/>
      </c>
      <c r="S2773">
        <f>IF(H2773="OK",O2773,0)</f>
        <v/>
      </c>
      <c r="T2773">
        <f>IF(H2773="OK",N2773,"")</f>
        <v/>
      </c>
      <c r="U2773">
        <f>IF(OC_Donor=0,"",IF(INDEX('OneCause_Paste'!$A$2773:$AZ$2773,1,OC_Donor)="","",INDEX('OneCause_Paste'!$A$2773:$AZ$2773,1,OC_Donor)))</f>
        <v/>
      </c>
    </row>
    <row r="2774">
      <c r="A2774" s="62">
        <f>IF(H2774="","",IF(ISNUMBER(N2774),N2774,I2774))</f>
        <v/>
      </c>
      <c r="B2774">
        <f>IF(H2774="","",U2774)</f>
        <v/>
      </c>
      <c r="C2774">
        <f>IF(H2774="","",IF(P2774="",K2774,INDEX('Students'!$A$2:$A$701,P2774)))</f>
        <v/>
      </c>
      <c r="D2774">
        <f>IF(OR(H2774="",P2774=""),"",INDEX('Students'!$B$2:$B$701,P2774))</f>
        <v/>
      </c>
      <c r="E2774">
        <f>IF(OR(H2774="",P2774=""),"",INDEX('Students'!$C$2:$C$701,P2774))</f>
        <v/>
      </c>
      <c r="F2774" s="48">
        <f>IF(H2774="","",IF(ISNUMBER(O2774),O2774,J2774))</f>
        <v/>
      </c>
      <c r="G2774">
        <f>IF(H2774="","","OneCause")</f>
        <v/>
      </c>
      <c r="H2774">
        <f>IF(AND(I2774="",J2774="",K2774=""),"",IF(NOT(ISNUMBER(O2774)),"Bad amount",IF(O2774&lt;0,"Refund (not counted)",IF(O2774=0,"Zero amount",IF(NOT(ISNUMBER(N2774)),"Bad date",IF(P2774="","NAME NOT ON ROSTER",IF(L2774="","OK",IF(MATCH(L2774,$L$2:$L$3001,0)&lt;ROW()-1,"Duplicate (ignored)","OK"))))))))</f>
        <v/>
      </c>
      <c r="I2774">
        <f>IF(OC_Date=0,"",IF(INDEX('OneCause_Paste'!$A$2774:$AZ$2774,1,OC_Date)="","",INDEX('OneCause_Paste'!$A$2774:$AZ$2774,1,OC_Date)))</f>
        <v/>
      </c>
      <c r="J2774">
        <f>IF(OC_Amt=0,"",IF(INDEX('OneCause_Paste'!$A$2774:$AZ$2774,1,OC_Amt)="","",INDEX('OneCause_Paste'!$A$2774:$AZ$2774,1,OC_Amt)))</f>
        <v/>
      </c>
      <c r="K2774">
        <f>IF(OC_Name=0,"",IF(INDEX('OneCause_Paste'!$A$2774:$AZ$2774,1,OC_Name)="","",INDEX('OneCause_Paste'!$A$2774:$AZ$2774,1,OC_Name)))</f>
        <v/>
      </c>
      <c r="L2774">
        <f>IF(OC_Txn=0,"",IF(INDEX('OneCause_Paste'!$A$2774:$AZ$2774,1,OC_Txn)="","",INDEX('OneCause_Paste'!$A$2774:$AZ$2774,1,OC_Txn)))</f>
        <v/>
      </c>
      <c r="M2774">
        <f>IF(OC_Pay=0,"",IF(INDEX('OneCause_Paste'!$A$2774:$AZ$2774,1,OC_Pay)="","",INDEX('OneCause_Paste'!$A$2774:$AZ$2774,1,OC_Pay)))</f>
        <v/>
      </c>
      <c r="N2774">
        <f>IF(I2774="","",IF(ISNUMBER(I2774),INT(I2774),IFERROR(INT(DATEVALUE(I2774)),IFERROR(INT(VALUE(I2774)),"bad"))))</f>
        <v/>
      </c>
      <c r="O2774">
        <f>IF(J2774="","",IF(ISNUMBER(J2774),ROUND(J2774,2),IFERROR(ROUND(VALUE(SUBSTITUTE(SUBSTITUTE(SUBSTITUTE(J2774,"$",""),",","")," ","")),2),"bad")))</f>
        <v/>
      </c>
      <c r="P2774">
        <f>IF(TRIM(K2774)="","",IFERROR(MATCH(LOWER(TRIM(K2774)),'Students'!$AH$2:$AH$701,0),IFERROR(MATCH(LOWER(TRIM(K2774)),'Students'!$AF$2:$AF$701,0),IFERROR(MATCH(LOWER(TRIM(K2774)),'Students'!$AG$2:$AG$701,0),""))))</f>
        <v/>
      </c>
      <c r="R2774">
        <f>IF(P2774="","",INDEX('Students'!$AD$2:$AD$701,P2774))</f>
        <v/>
      </c>
      <c r="S2774">
        <f>IF(H2774="OK",O2774,0)</f>
        <v/>
      </c>
      <c r="T2774">
        <f>IF(H2774="OK",N2774,"")</f>
        <v/>
      </c>
      <c r="U2774">
        <f>IF(OC_Donor=0,"",IF(INDEX('OneCause_Paste'!$A$2774:$AZ$2774,1,OC_Donor)="","",INDEX('OneCause_Paste'!$A$2774:$AZ$2774,1,OC_Donor)))</f>
        <v/>
      </c>
    </row>
    <row r="2775">
      <c r="A2775" s="62">
        <f>IF(H2775="","",IF(ISNUMBER(N2775),N2775,I2775))</f>
        <v/>
      </c>
      <c r="B2775">
        <f>IF(H2775="","",U2775)</f>
        <v/>
      </c>
      <c r="C2775">
        <f>IF(H2775="","",IF(P2775="",K2775,INDEX('Students'!$A$2:$A$701,P2775)))</f>
        <v/>
      </c>
      <c r="D2775">
        <f>IF(OR(H2775="",P2775=""),"",INDEX('Students'!$B$2:$B$701,P2775))</f>
        <v/>
      </c>
      <c r="E2775">
        <f>IF(OR(H2775="",P2775=""),"",INDEX('Students'!$C$2:$C$701,P2775))</f>
        <v/>
      </c>
      <c r="F2775" s="48">
        <f>IF(H2775="","",IF(ISNUMBER(O2775),O2775,J2775))</f>
        <v/>
      </c>
      <c r="G2775">
        <f>IF(H2775="","","OneCause")</f>
        <v/>
      </c>
      <c r="H2775">
        <f>IF(AND(I2775="",J2775="",K2775=""),"",IF(NOT(ISNUMBER(O2775)),"Bad amount",IF(O2775&lt;0,"Refund (not counted)",IF(O2775=0,"Zero amount",IF(NOT(ISNUMBER(N2775)),"Bad date",IF(P2775="","NAME NOT ON ROSTER",IF(L2775="","OK",IF(MATCH(L2775,$L$2:$L$3001,0)&lt;ROW()-1,"Duplicate (ignored)","OK"))))))))</f>
        <v/>
      </c>
      <c r="I2775">
        <f>IF(OC_Date=0,"",IF(INDEX('OneCause_Paste'!$A$2775:$AZ$2775,1,OC_Date)="","",INDEX('OneCause_Paste'!$A$2775:$AZ$2775,1,OC_Date)))</f>
        <v/>
      </c>
      <c r="J2775">
        <f>IF(OC_Amt=0,"",IF(INDEX('OneCause_Paste'!$A$2775:$AZ$2775,1,OC_Amt)="","",INDEX('OneCause_Paste'!$A$2775:$AZ$2775,1,OC_Amt)))</f>
        <v/>
      </c>
      <c r="K2775">
        <f>IF(OC_Name=0,"",IF(INDEX('OneCause_Paste'!$A$2775:$AZ$2775,1,OC_Name)="","",INDEX('OneCause_Paste'!$A$2775:$AZ$2775,1,OC_Name)))</f>
        <v/>
      </c>
      <c r="L2775">
        <f>IF(OC_Txn=0,"",IF(INDEX('OneCause_Paste'!$A$2775:$AZ$2775,1,OC_Txn)="","",INDEX('OneCause_Paste'!$A$2775:$AZ$2775,1,OC_Txn)))</f>
        <v/>
      </c>
      <c r="M2775">
        <f>IF(OC_Pay=0,"",IF(INDEX('OneCause_Paste'!$A$2775:$AZ$2775,1,OC_Pay)="","",INDEX('OneCause_Paste'!$A$2775:$AZ$2775,1,OC_Pay)))</f>
        <v/>
      </c>
      <c r="N2775">
        <f>IF(I2775="","",IF(ISNUMBER(I2775),INT(I2775),IFERROR(INT(DATEVALUE(I2775)),IFERROR(INT(VALUE(I2775)),"bad"))))</f>
        <v/>
      </c>
      <c r="O2775">
        <f>IF(J2775="","",IF(ISNUMBER(J2775),ROUND(J2775,2),IFERROR(ROUND(VALUE(SUBSTITUTE(SUBSTITUTE(SUBSTITUTE(J2775,"$",""),",","")," ","")),2),"bad")))</f>
        <v/>
      </c>
      <c r="P2775">
        <f>IF(TRIM(K2775)="","",IFERROR(MATCH(LOWER(TRIM(K2775)),'Students'!$AH$2:$AH$701,0),IFERROR(MATCH(LOWER(TRIM(K2775)),'Students'!$AF$2:$AF$701,0),IFERROR(MATCH(LOWER(TRIM(K2775)),'Students'!$AG$2:$AG$701,0),""))))</f>
        <v/>
      </c>
      <c r="R2775">
        <f>IF(P2775="","",INDEX('Students'!$AD$2:$AD$701,P2775))</f>
        <v/>
      </c>
      <c r="S2775">
        <f>IF(H2775="OK",O2775,0)</f>
        <v/>
      </c>
      <c r="T2775">
        <f>IF(H2775="OK",N2775,"")</f>
        <v/>
      </c>
      <c r="U2775">
        <f>IF(OC_Donor=0,"",IF(INDEX('OneCause_Paste'!$A$2775:$AZ$2775,1,OC_Donor)="","",INDEX('OneCause_Paste'!$A$2775:$AZ$2775,1,OC_Donor)))</f>
        <v/>
      </c>
    </row>
    <row r="2776">
      <c r="A2776" s="62">
        <f>IF(H2776="","",IF(ISNUMBER(N2776),N2776,I2776))</f>
        <v/>
      </c>
      <c r="B2776">
        <f>IF(H2776="","",U2776)</f>
        <v/>
      </c>
      <c r="C2776">
        <f>IF(H2776="","",IF(P2776="",K2776,INDEX('Students'!$A$2:$A$701,P2776)))</f>
        <v/>
      </c>
      <c r="D2776">
        <f>IF(OR(H2776="",P2776=""),"",INDEX('Students'!$B$2:$B$701,P2776))</f>
        <v/>
      </c>
      <c r="E2776">
        <f>IF(OR(H2776="",P2776=""),"",INDEX('Students'!$C$2:$C$701,P2776))</f>
        <v/>
      </c>
      <c r="F2776" s="48">
        <f>IF(H2776="","",IF(ISNUMBER(O2776),O2776,J2776))</f>
        <v/>
      </c>
      <c r="G2776">
        <f>IF(H2776="","","OneCause")</f>
        <v/>
      </c>
      <c r="H2776">
        <f>IF(AND(I2776="",J2776="",K2776=""),"",IF(NOT(ISNUMBER(O2776)),"Bad amount",IF(O2776&lt;0,"Refund (not counted)",IF(O2776=0,"Zero amount",IF(NOT(ISNUMBER(N2776)),"Bad date",IF(P2776="","NAME NOT ON ROSTER",IF(L2776="","OK",IF(MATCH(L2776,$L$2:$L$3001,0)&lt;ROW()-1,"Duplicate (ignored)","OK"))))))))</f>
        <v/>
      </c>
      <c r="I2776">
        <f>IF(OC_Date=0,"",IF(INDEX('OneCause_Paste'!$A$2776:$AZ$2776,1,OC_Date)="","",INDEX('OneCause_Paste'!$A$2776:$AZ$2776,1,OC_Date)))</f>
        <v/>
      </c>
      <c r="J2776">
        <f>IF(OC_Amt=0,"",IF(INDEX('OneCause_Paste'!$A$2776:$AZ$2776,1,OC_Amt)="","",INDEX('OneCause_Paste'!$A$2776:$AZ$2776,1,OC_Amt)))</f>
        <v/>
      </c>
      <c r="K2776">
        <f>IF(OC_Name=0,"",IF(INDEX('OneCause_Paste'!$A$2776:$AZ$2776,1,OC_Name)="","",INDEX('OneCause_Paste'!$A$2776:$AZ$2776,1,OC_Name)))</f>
        <v/>
      </c>
      <c r="L2776">
        <f>IF(OC_Txn=0,"",IF(INDEX('OneCause_Paste'!$A$2776:$AZ$2776,1,OC_Txn)="","",INDEX('OneCause_Paste'!$A$2776:$AZ$2776,1,OC_Txn)))</f>
        <v/>
      </c>
      <c r="M2776">
        <f>IF(OC_Pay=0,"",IF(INDEX('OneCause_Paste'!$A$2776:$AZ$2776,1,OC_Pay)="","",INDEX('OneCause_Paste'!$A$2776:$AZ$2776,1,OC_Pay)))</f>
        <v/>
      </c>
      <c r="N2776">
        <f>IF(I2776="","",IF(ISNUMBER(I2776),INT(I2776),IFERROR(INT(DATEVALUE(I2776)),IFERROR(INT(VALUE(I2776)),"bad"))))</f>
        <v/>
      </c>
      <c r="O2776">
        <f>IF(J2776="","",IF(ISNUMBER(J2776),ROUND(J2776,2),IFERROR(ROUND(VALUE(SUBSTITUTE(SUBSTITUTE(SUBSTITUTE(J2776,"$",""),",","")," ","")),2),"bad")))</f>
        <v/>
      </c>
      <c r="P2776">
        <f>IF(TRIM(K2776)="","",IFERROR(MATCH(LOWER(TRIM(K2776)),'Students'!$AH$2:$AH$701,0),IFERROR(MATCH(LOWER(TRIM(K2776)),'Students'!$AF$2:$AF$701,0),IFERROR(MATCH(LOWER(TRIM(K2776)),'Students'!$AG$2:$AG$701,0),""))))</f>
        <v/>
      </c>
      <c r="R2776">
        <f>IF(P2776="","",INDEX('Students'!$AD$2:$AD$701,P2776))</f>
        <v/>
      </c>
      <c r="S2776">
        <f>IF(H2776="OK",O2776,0)</f>
        <v/>
      </c>
      <c r="T2776">
        <f>IF(H2776="OK",N2776,"")</f>
        <v/>
      </c>
      <c r="U2776">
        <f>IF(OC_Donor=0,"",IF(INDEX('OneCause_Paste'!$A$2776:$AZ$2776,1,OC_Donor)="","",INDEX('OneCause_Paste'!$A$2776:$AZ$2776,1,OC_Donor)))</f>
        <v/>
      </c>
    </row>
    <row r="2777">
      <c r="A2777" s="62">
        <f>IF(H2777="","",IF(ISNUMBER(N2777),N2777,I2777))</f>
        <v/>
      </c>
      <c r="B2777">
        <f>IF(H2777="","",U2777)</f>
        <v/>
      </c>
      <c r="C2777">
        <f>IF(H2777="","",IF(P2777="",K2777,INDEX('Students'!$A$2:$A$701,P2777)))</f>
        <v/>
      </c>
      <c r="D2777">
        <f>IF(OR(H2777="",P2777=""),"",INDEX('Students'!$B$2:$B$701,P2777))</f>
        <v/>
      </c>
      <c r="E2777">
        <f>IF(OR(H2777="",P2777=""),"",INDEX('Students'!$C$2:$C$701,P2777))</f>
        <v/>
      </c>
      <c r="F2777" s="48">
        <f>IF(H2777="","",IF(ISNUMBER(O2777),O2777,J2777))</f>
        <v/>
      </c>
      <c r="G2777">
        <f>IF(H2777="","","OneCause")</f>
        <v/>
      </c>
      <c r="H2777">
        <f>IF(AND(I2777="",J2777="",K2777=""),"",IF(NOT(ISNUMBER(O2777)),"Bad amount",IF(O2777&lt;0,"Refund (not counted)",IF(O2777=0,"Zero amount",IF(NOT(ISNUMBER(N2777)),"Bad date",IF(P2777="","NAME NOT ON ROSTER",IF(L2777="","OK",IF(MATCH(L2777,$L$2:$L$3001,0)&lt;ROW()-1,"Duplicate (ignored)","OK"))))))))</f>
        <v/>
      </c>
      <c r="I2777">
        <f>IF(OC_Date=0,"",IF(INDEX('OneCause_Paste'!$A$2777:$AZ$2777,1,OC_Date)="","",INDEX('OneCause_Paste'!$A$2777:$AZ$2777,1,OC_Date)))</f>
        <v/>
      </c>
      <c r="J2777">
        <f>IF(OC_Amt=0,"",IF(INDEX('OneCause_Paste'!$A$2777:$AZ$2777,1,OC_Amt)="","",INDEX('OneCause_Paste'!$A$2777:$AZ$2777,1,OC_Amt)))</f>
        <v/>
      </c>
      <c r="K2777">
        <f>IF(OC_Name=0,"",IF(INDEX('OneCause_Paste'!$A$2777:$AZ$2777,1,OC_Name)="","",INDEX('OneCause_Paste'!$A$2777:$AZ$2777,1,OC_Name)))</f>
        <v/>
      </c>
      <c r="L2777">
        <f>IF(OC_Txn=0,"",IF(INDEX('OneCause_Paste'!$A$2777:$AZ$2777,1,OC_Txn)="","",INDEX('OneCause_Paste'!$A$2777:$AZ$2777,1,OC_Txn)))</f>
        <v/>
      </c>
      <c r="M2777">
        <f>IF(OC_Pay=0,"",IF(INDEX('OneCause_Paste'!$A$2777:$AZ$2777,1,OC_Pay)="","",INDEX('OneCause_Paste'!$A$2777:$AZ$2777,1,OC_Pay)))</f>
        <v/>
      </c>
      <c r="N2777">
        <f>IF(I2777="","",IF(ISNUMBER(I2777),INT(I2777),IFERROR(INT(DATEVALUE(I2777)),IFERROR(INT(VALUE(I2777)),"bad"))))</f>
        <v/>
      </c>
      <c r="O2777">
        <f>IF(J2777="","",IF(ISNUMBER(J2777),ROUND(J2777,2),IFERROR(ROUND(VALUE(SUBSTITUTE(SUBSTITUTE(SUBSTITUTE(J2777,"$",""),",","")," ","")),2),"bad")))</f>
        <v/>
      </c>
      <c r="P2777">
        <f>IF(TRIM(K2777)="","",IFERROR(MATCH(LOWER(TRIM(K2777)),'Students'!$AH$2:$AH$701,0),IFERROR(MATCH(LOWER(TRIM(K2777)),'Students'!$AF$2:$AF$701,0),IFERROR(MATCH(LOWER(TRIM(K2777)),'Students'!$AG$2:$AG$701,0),""))))</f>
        <v/>
      </c>
      <c r="R2777">
        <f>IF(P2777="","",INDEX('Students'!$AD$2:$AD$701,P2777))</f>
        <v/>
      </c>
      <c r="S2777">
        <f>IF(H2777="OK",O2777,0)</f>
        <v/>
      </c>
      <c r="T2777">
        <f>IF(H2777="OK",N2777,"")</f>
        <v/>
      </c>
      <c r="U2777">
        <f>IF(OC_Donor=0,"",IF(INDEX('OneCause_Paste'!$A$2777:$AZ$2777,1,OC_Donor)="","",INDEX('OneCause_Paste'!$A$2777:$AZ$2777,1,OC_Donor)))</f>
        <v/>
      </c>
    </row>
    <row r="2778">
      <c r="A2778" s="62">
        <f>IF(H2778="","",IF(ISNUMBER(N2778),N2778,I2778))</f>
        <v/>
      </c>
      <c r="B2778">
        <f>IF(H2778="","",U2778)</f>
        <v/>
      </c>
      <c r="C2778">
        <f>IF(H2778="","",IF(P2778="",K2778,INDEX('Students'!$A$2:$A$701,P2778)))</f>
        <v/>
      </c>
      <c r="D2778">
        <f>IF(OR(H2778="",P2778=""),"",INDEX('Students'!$B$2:$B$701,P2778))</f>
        <v/>
      </c>
      <c r="E2778">
        <f>IF(OR(H2778="",P2778=""),"",INDEX('Students'!$C$2:$C$701,P2778))</f>
        <v/>
      </c>
      <c r="F2778" s="48">
        <f>IF(H2778="","",IF(ISNUMBER(O2778),O2778,J2778))</f>
        <v/>
      </c>
      <c r="G2778">
        <f>IF(H2778="","","OneCause")</f>
        <v/>
      </c>
      <c r="H2778">
        <f>IF(AND(I2778="",J2778="",K2778=""),"",IF(NOT(ISNUMBER(O2778)),"Bad amount",IF(O2778&lt;0,"Refund (not counted)",IF(O2778=0,"Zero amount",IF(NOT(ISNUMBER(N2778)),"Bad date",IF(P2778="","NAME NOT ON ROSTER",IF(L2778="","OK",IF(MATCH(L2778,$L$2:$L$3001,0)&lt;ROW()-1,"Duplicate (ignored)","OK"))))))))</f>
        <v/>
      </c>
      <c r="I2778">
        <f>IF(OC_Date=0,"",IF(INDEX('OneCause_Paste'!$A$2778:$AZ$2778,1,OC_Date)="","",INDEX('OneCause_Paste'!$A$2778:$AZ$2778,1,OC_Date)))</f>
        <v/>
      </c>
      <c r="J2778">
        <f>IF(OC_Amt=0,"",IF(INDEX('OneCause_Paste'!$A$2778:$AZ$2778,1,OC_Amt)="","",INDEX('OneCause_Paste'!$A$2778:$AZ$2778,1,OC_Amt)))</f>
        <v/>
      </c>
      <c r="K2778">
        <f>IF(OC_Name=0,"",IF(INDEX('OneCause_Paste'!$A$2778:$AZ$2778,1,OC_Name)="","",INDEX('OneCause_Paste'!$A$2778:$AZ$2778,1,OC_Name)))</f>
        <v/>
      </c>
      <c r="L2778">
        <f>IF(OC_Txn=0,"",IF(INDEX('OneCause_Paste'!$A$2778:$AZ$2778,1,OC_Txn)="","",INDEX('OneCause_Paste'!$A$2778:$AZ$2778,1,OC_Txn)))</f>
        <v/>
      </c>
      <c r="M2778">
        <f>IF(OC_Pay=0,"",IF(INDEX('OneCause_Paste'!$A$2778:$AZ$2778,1,OC_Pay)="","",INDEX('OneCause_Paste'!$A$2778:$AZ$2778,1,OC_Pay)))</f>
        <v/>
      </c>
      <c r="N2778">
        <f>IF(I2778="","",IF(ISNUMBER(I2778),INT(I2778),IFERROR(INT(DATEVALUE(I2778)),IFERROR(INT(VALUE(I2778)),"bad"))))</f>
        <v/>
      </c>
      <c r="O2778">
        <f>IF(J2778="","",IF(ISNUMBER(J2778),ROUND(J2778,2),IFERROR(ROUND(VALUE(SUBSTITUTE(SUBSTITUTE(SUBSTITUTE(J2778,"$",""),",","")," ","")),2),"bad")))</f>
        <v/>
      </c>
      <c r="P2778">
        <f>IF(TRIM(K2778)="","",IFERROR(MATCH(LOWER(TRIM(K2778)),'Students'!$AH$2:$AH$701,0),IFERROR(MATCH(LOWER(TRIM(K2778)),'Students'!$AF$2:$AF$701,0),IFERROR(MATCH(LOWER(TRIM(K2778)),'Students'!$AG$2:$AG$701,0),""))))</f>
        <v/>
      </c>
      <c r="R2778">
        <f>IF(P2778="","",INDEX('Students'!$AD$2:$AD$701,P2778))</f>
        <v/>
      </c>
      <c r="S2778">
        <f>IF(H2778="OK",O2778,0)</f>
        <v/>
      </c>
      <c r="T2778">
        <f>IF(H2778="OK",N2778,"")</f>
        <v/>
      </c>
      <c r="U2778">
        <f>IF(OC_Donor=0,"",IF(INDEX('OneCause_Paste'!$A$2778:$AZ$2778,1,OC_Donor)="","",INDEX('OneCause_Paste'!$A$2778:$AZ$2778,1,OC_Donor)))</f>
        <v/>
      </c>
    </row>
    <row r="2779">
      <c r="A2779" s="62">
        <f>IF(H2779="","",IF(ISNUMBER(N2779),N2779,I2779))</f>
        <v/>
      </c>
      <c r="B2779">
        <f>IF(H2779="","",U2779)</f>
        <v/>
      </c>
      <c r="C2779">
        <f>IF(H2779="","",IF(P2779="",K2779,INDEX('Students'!$A$2:$A$701,P2779)))</f>
        <v/>
      </c>
      <c r="D2779">
        <f>IF(OR(H2779="",P2779=""),"",INDEX('Students'!$B$2:$B$701,P2779))</f>
        <v/>
      </c>
      <c r="E2779">
        <f>IF(OR(H2779="",P2779=""),"",INDEX('Students'!$C$2:$C$701,P2779))</f>
        <v/>
      </c>
      <c r="F2779" s="48">
        <f>IF(H2779="","",IF(ISNUMBER(O2779),O2779,J2779))</f>
        <v/>
      </c>
      <c r="G2779">
        <f>IF(H2779="","","OneCause")</f>
        <v/>
      </c>
      <c r="H2779">
        <f>IF(AND(I2779="",J2779="",K2779=""),"",IF(NOT(ISNUMBER(O2779)),"Bad amount",IF(O2779&lt;0,"Refund (not counted)",IF(O2779=0,"Zero amount",IF(NOT(ISNUMBER(N2779)),"Bad date",IF(P2779="","NAME NOT ON ROSTER",IF(L2779="","OK",IF(MATCH(L2779,$L$2:$L$3001,0)&lt;ROW()-1,"Duplicate (ignored)","OK"))))))))</f>
        <v/>
      </c>
      <c r="I2779">
        <f>IF(OC_Date=0,"",IF(INDEX('OneCause_Paste'!$A$2779:$AZ$2779,1,OC_Date)="","",INDEX('OneCause_Paste'!$A$2779:$AZ$2779,1,OC_Date)))</f>
        <v/>
      </c>
      <c r="J2779">
        <f>IF(OC_Amt=0,"",IF(INDEX('OneCause_Paste'!$A$2779:$AZ$2779,1,OC_Amt)="","",INDEX('OneCause_Paste'!$A$2779:$AZ$2779,1,OC_Amt)))</f>
        <v/>
      </c>
      <c r="K2779">
        <f>IF(OC_Name=0,"",IF(INDEX('OneCause_Paste'!$A$2779:$AZ$2779,1,OC_Name)="","",INDEX('OneCause_Paste'!$A$2779:$AZ$2779,1,OC_Name)))</f>
        <v/>
      </c>
      <c r="L2779">
        <f>IF(OC_Txn=0,"",IF(INDEX('OneCause_Paste'!$A$2779:$AZ$2779,1,OC_Txn)="","",INDEX('OneCause_Paste'!$A$2779:$AZ$2779,1,OC_Txn)))</f>
        <v/>
      </c>
      <c r="M2779">
        <f>IF(OC_Pay=0,"",IF(INDEX('OneCause_Paste'!$A$2779:$AZ$2779,1,OC_Pay)="","",INDEX('OneCause_Paste'!$A$2779:$AZ$2779,1,OC_Pay)))</f>
        <v/>
      </c>
      <c r="N2779">
        <f>IF(I2779="","",IF(ISNUMBER(I2779),INT(I2779),IFERROR(INT(DATEVALUE(I2779)),IFERROR(INT(VALUE(I2779)),"bad"))))</f>
        <v/>
      </c>
      <c r="O2779">
        <f>IF(J2779="","",IF(ISNUMBER(J2779),ROUND(J2779,2),IFERROR(ROUND(VALUE(SUBSTITUTE(SUBSTITUTE(SUBSTITUTE(J2779,"$",""),",","")," ","")),2),"bad")))</f>
        <v/>
      </c>
      <c r="P2779">
        <f>IF(TRIM(K2779)="","",IFERROR(MATCH(LOWER(TRIM(K2779)),'Students'!$AH$2:$AH$701,0),IFERROR(MATCH(LOWER(TRIM(K2779)),'Students'!$AF$2:$AF$701,0),IFERROR(MATCH(LOWER(TRIM(K2779)),'Students'!$AG$2:$AG$701,0),""))))</f>
        <v/>
      </c>
      <c r="R2779">
        <f>IF(P2779="","",INDEX('Students'!$AD$2:$AD$701,P2779))</f>
        <v/>
      </c>
      <c r="S2779">
        <f>IF(H2779="OK",O2779,0)</f>
        <v/>
      </c>
      <c r="T2779">
        <f>IF(H2779="OK",N2779,"")</f>
        <v/>
      </c>
      <c r="U2779">
        <f>IF(OC_Donor=0,"",IF(INDEX('OneCause_Paste'!$A$2779:$AZ$2779,1,OC_Donor)="","",INDEX('OneCause_Paste'!$A$2779:$AZ$2779,1,OC_Donor)))</f>
        <v/>
      </c>
    </row>
    <row r="2780">
      <c r="A2780" s="62">
        <f>IF(H2780="","",IF(ISNUMBER(N2780),N2780,I2780))</f>
        <v/>
      </c>
      <c r="B2780">
        <f>IF(H2780="","",U2780)</f>
        <v/>
      </c>
      <c r="C2780">
        <f>IF(H2780="","",IF(P2780="",K2780,INDEX('Students'!$A$2:$A$701,P2780)))</f>
        <v/>
      </c>
      <c r="D2780">
        <f>IF(OR(H2780="",P2780=""),"",INDEX('Students'!$B$2:$B$701,P2780))</f>
        <v/>
      </c>
      <c r="E2780">
        <f>IF(OR(H2780="",P2780=""),"",INDEX('Students'!$C$2:$C$701,P2780))</f>
        <v/>
      </c>
      <c r="F2780" s="48">
        <f>IF(H2780="","",IF(ISNUMBER(O2780),O2780,J2780))</f>
        <v/>
      </c>
      <c r="G2780">
        <f>IF(H2780="","","OneCause")</f>
        <v/>
      </c>
      <c r="H2780">
        <f>IF(AND(I2780="",J2780="",K2780=""),"",IF(NOT(ISNUMBER(O2780)),"Bad amount",IF(O2780&lt;0,"Refund (not counted)",IF(O2780=0,"Zero amount",IF(NOT(ISNUMBER(N2780)),"Bad date",IF(P2780="","NAME NOT ON ROSTER",IF(L2780="","OK",IF(MATCH(L2780,$L$2:$L$3001,0)&lt;ROW()-1,"Duplicate (ignored)","OK"))))))))</f>
        <v/>
      </c>
      <c r="I2780">
        <f>IF(OC_Date=0,"",IF(INDEX('OneCause_Paste'!$A$2780:$AZ$2780,1,OC_Date)="","",INDEX('OneCause_Paste'!$A$2780:$AZ$2780,1,OC_Date)))</f>
        <v/>
      </c>
      <c r="J2780">
        <f>IF(OC_Amt=0,"",IF(INDEX('OneCause_Paste'!$A$2780:$AZ$2780,1,OC_Amt)="","",INDEX('OneCause_Paste'!$A$2780:$AZ$2780,1,OC_Amt)))</f>
        <v/>
      </c>
      <c r="K2780">
        <f>IF(OC_Name=0,"",IF(INDEX('OneCause_Paste'!$A$2780:$AZ$2780,1,OC_Name)="","",INDEX('OneCause_Paste'!$A$2780:$AZ$2780,1,OC_Name)))</f>
        <v/>
      </c>
      <c r="L2780">
        <f>IF(OC_Txn=0,"",IF(INDEX('OneCause_Paste'!$A$2780:$AZ$2780,1,OC_Txn)="","",INDEX('OneCause_Paste'!$A$2780:$AZ$2780,1,OC_Txn)))</f>
        <v/>
      </c>
      <c r="M2780">
        <f>IF(OC_Pay=0,"",IF(INDEX('OneCause_Paste'!$A$2780:$AZ$2780,1,OC_Pay)="","",INDEX('OneCause_Paste'!$A$2780:$AZ$2780,1,OC_Pay)))</f>
        <v/>
      </c>
      <c r="N2780">
        <f>IF(I2780="","",IF(ISNUMBER(I2780),INT(I2780),IFERROR(INT(DATEVALUE(I2780)),IFERROR(INT(VALUE(I2780)),"bad"))))</f>
        <v/>
      </c>
      <c r="O2780">
        <f>IF(J2780="","",IF(ISNUMBER(J2780),ROUND(J2780,2),IFERROR(ROUND(VALUE(SUBSTITUTE(SUBSTITUTE(SUBSTITUTE(J2780,"$",""),",","")," ","")),2),"bad")))</f>
        <v/>
      </c>
      <c r="P2780">
        <f>IF(TRIM(K2780)="","",IFERROR(MATCH(LOWER(TRIM(K2780)),'Students'!$AH$2:$AH$701,0),IFERROR(MATCH(LOWER(TRIM(K2780)),'Students'!$AF$2:$AF$701,0),IFERROR(MATCH(LOWER(TRIM(K2780)),'Students'!$AG$2:$AG$701,0),""))))</f>
        <v/>
      </c>
      <c r="R2780">
        <f>IF(P2780="","",INDEX('Students'!$AD$2:$AD$701,P2780))</f>
        <v/>
      </c>
      <c r="S2780">
        <f>IF(H2780="OK",O2780,0)</f>
        <v/>
      </c>
      <c r="T2780">
        <f>IF(H2780="OK",N2780,"")</f>
        <v/>
      </c>
      <c r="U2780">
        <f>IF(OC_Donor=0,"",IF(INDEX('OneCause_Paste'!$A$2780:$AZ$2780,1,OC_Donor)="","",INDEX('OneCause_Paste'!$A$2780:$AZ$2780,1,OC_Donor)))</f>
        <v/>
      </c>
    </row>
    <row r="2781">
      <c r="A2781" s="62">
        <f>IF(H2781="","",IF(ISNUMBER(N2781),N2781,I2781))</f>
        <v/>
      </c>
      <c r="B2781">
        <f>IF(H2781="","",U2781)</f>
        <v/>
      </c>
      <c r="C2781">
        <f>IF(H2781="","",IF(P2781="",K2781,INDEX('Students'!$A$2:$A$701,P2781)))</f>
        <v/>
      </c>
      <c r="D2781">
        <f>IF(OR(H2781="",P2781=""),"",INDEX('Students'!$B$2:$B$701,P2781))</f>
        <v/>
      </c>
      <c r="E2781">
        <f>IF(OR(H2781="",P2781=""),"",INDEX('Students'!$C$2:$C$701,P2781))</f>
        <v/>
      </c>
      <c r="F2781" s="48">
        <f>IF(H2781="","",IF(ISNUMBER(O2781),O2781,J2781))</f>
        <v/>
      </c>
      <c r="G2781">
        <f>IF(H2781="","","OneCause")</f>
        <v/>
      </c>
      <c r="H2781">
        <f>IF(AND(I2781="",J2781="",K2781=""),"",IF(NOT(ISNUMBER(O2781)),"Bad amount",IF(O2781&lt;0,"Refund (not counted)",IF(O2781=0,"Zero amount",IF(NOT(ISNUMBER(N2781)),"Bad date",IF(P2781="","NAME NOT ON ROSTER",IF(L2781="","OK",IF(MATCH(L2781,$L$2:$L$3001,0)&lt;ROW()-1,"Duplicate (ignored)","OK"))))))))</f>
        <v/>
      </c>
      <c r="I2781">
        <f>IF(OC_Date=0,"",IF(INDEX('OneCause_Paste'!$A$2781:$AZ$2781,1,OC_Date)="","",INDEX('OneCause_Paste'!$A$2781:$AZ$2781,1,OC_Date)))</f>
        <v/>
      </c>
      <c r="J2781">
        <f>IF(OC_Amt=0,"",IF(INDEX('OneCause_Paste'!$A$2781:$AZ$2781,1,OC_Amt)="","",INDEX('OneCause_Paste'!$A$2781:$AZ$2781,1,OC_Amt)))</f>
        <v/>
      </c>
      <c r="K2781">
        <f>IF(OC_Name=0,"",IF(INDEX('OneCause_Paste'!$A$2781:$AZ$2781,1,OC_Name)="","",INDEX('OneCause_Paste'!$A$2781:$AZ$2781,1,OC_Name)))</f>
        <v/>
      </c>
      <c r="L2781">
        <f>IF(OC_Txn=0,"",IF(INDEX('OneCause_Paste'!$A$2781:$AZ$2781,1,OC_Txn)="","",INDEX('OneCause_Paste'!$A$2781:$AZ$2781,1,OC_Txn)))</f>
        <v/>
      </c>
      <c r="M2781">
        <f>IF(OC_Pay=0,"",IF(INDEX('OneCause_Paste'!$A$2781:$AZ$2781,1,OC_Pay)="","",INDEX('OneCause_Paste'!$A$2781:$AZ$2781,1,OC_Pay)))</f>
        <v/>
      </c>
      <c r="N2781">
        <f>IF(I2781="","",IF(ISNUMBER(I2781),INT(I2781),IFERROR(INT(DATEVALUE(I2781)),IFERROR(INT(VALUE(I2781)),"bad"))))</f>
        <v/>
      </c>
      <c r="O2781">
        <f>IF(J2781="","",IF(ISNUMBER(J2781),ROUND(J2781,2),IFERROR(ROUND(VALUE(SUBSTITUTE(SUBSTITUTE(SUBSTITUTE(J2781,"$",""),",","")," ","")),2),"bad")))</f>
        <v/>
      </c>
      <c r="P2781">
        <f>IF(TRIM(K2781)="","",IFERROR(MATCH(LOWER(TRIM(K2781)),'Students'!$AH$2:$AH$701,0),IFERROR(MATCH(LOWER(TRIM(K2781)),'Students'!$AF$2:$AF$701,0),IFERROR(MATCH(LOWER(TRIM(K2781)),'Students'!$AG$2:$AG$701,0),""))))</f>
        <v/>
      </c>
      <c r="R2781">
        <f>IF(P2781="","",INDEX('Students'!$AD$2:$AD$701,P2781))</f>
        <v/>
      </c>
      <c r="S2781">
        <f>IF(H2781="OK",O2781,0)</f>
        <v/>
      </c>
      <c r="T2781">
        <f>IF(H2781="OK",N2781,"")</f>
        <v/>
      </c>
      <c r="U2781">
        <f>IF(OC_Donor=0,"",IF(INDEX('OneCause_Paste'!$A$2781:$AZ$2781,1,OC_Donor)="","",INDEX('OneCause_Paste'!$A$2781:$AZ$2781,1,OC_Donor)))</f>
        <v/>
      </c>
    </row>
    <row r="2782">
      <c r="A2782" s="62">
        <f>IF(H2782="","",IF(ISNUMBER(N2782),N2782,I2782))</f>
        <v/>
      </c>
      <c r="B2782">
        <f>IF(H2782="","",U2782)</f>
        <v/>
      </c>
      <c r="C2782">
        <f>IF(H2782="","",IF(P2782="",K2782,INDEX('Students'!$A$2:$A$701,P2782)))</f>
        <v/>
      </c>
      <c r="D2782">
        <f>IF(OR(H2782="",P2782=""),"",INDEX('Students'!$B$2:$B$701,P2782))</f>
        <v/>
      </c>
      <c r="E2782">
        <f>IF(OR(H2782="",P2782=""),"",INDEX('Students'!$C$2:$C$701,P2782))</f>
        <v/>
      </c>
      <c r="F2782" s="48">
        <f>IF(H2782="","",IF(ISNUMBER(O2782),O2782,J2782))</f>
        <v/>
      </c>
      <c r="G2782">
        <f>IF(H2782="","","OneCause")</f>
        <v/>
      </c>
      <c r="H2782">
        <f>IF(AND(I2782="",J2782="",K2782=""),"",IF(NOT(ISNUMBER(O2782)),"Bad amount",IF(O2782&lt;0,"Refund (not counted)",IF(O2782=0,"Zero amount",IF(NOT(ISNUMBER(N2782)),"Bad date",IF(P2782="","NAME NOT ON ROSTER",IF(L2782="","OK",IF(MATCH(L2782,$L$2:$L$3001,0)&lt;ROW()-1,"Duplicate (ignored)","OK"))))))))</f>
        <v/>
      </c>
      <c r="I2782">
        <f>IF(OC_Date=0,"",IF(INDEX('OneCause_Paste'!$A$2782:$AZ$2782,1,OC_Date)="","",INDEX('OneCause_Paste'!$A$2782:$AZ$2782,1,OC_Date)))</f>
        <v/>
      </c>
      <c r="J2782">
        <f>IF(OC_Amt=0,"",IF(INDEX('OneCause_Paste'!$A$2782:$AZ$2782,1,OC_Amt)="","",INDEX('OneCause_Paste'!$A$2782:$AZ$2782,1,OC_Amt)))</f>
        <v/>
      </c>
      <c r="K2782">
        <f>IF(OC_Name=0,"",IF(INDEX('OneCause_Paste'!$A$2782:$AZ$2782,1,OC_Name)="","",INDEX('OneCause_Paste'!$A$2782:$AZ$2782,1,OC_Name)))</f>
        <v/>
      </c>
      <c r="L2782">
        <f>IF(OC_Txn=0,"",IF(INDEX('OneCause_Paste'!$A$2782:$AZ$2782,1,OC_Txn)="","",INDEX('OneCause_Paste'!$A$2782:$AZ$2782,1,OC_Txn)))</f>
        <v/>
      </c>
      <c r="M2782">
        <f>IF(OC_Pay=0,"",IF(INDEX('OneCause_Paste'!$A$2782:$AZ$2782,1,OC_Pay)="","",INDEX('OneCause_Paste'!$A$2782:$AZ$2782,1,OC_Pay)))</f>
        <v/>
      </c>
      <c r="N2782">
        <f>IF(I2782="","",IF(ISNUMBER(I2782),INT(I2782),IFERROR(INT(DATEVALUE(I2782)),IFERROR(INT(VALUE(I2782)),"bad"))))</f>
        <v/>
      </c>
      <c r="O2782">
        <f>IF(J2782="","",IF(ISNUMBER(J2782),ROUND(J2782,2),IFERROR(ROUND(VALUE(SUBSTITUTE(SUBSTITUTE(SUBSTITUTE(J2782,"$",""),",","")," ","")),2),"bad")))</f>
        <v/>
      </c>
      <c r="P2782">
        <f>IF(TRIM(K2782)="","",IFERROR(MATCH(LOWER(TRIM(K2782)),'Students'!$AH$2:$AH$701,0),IFERROR(MATCH(LOWER(TRIM(K2782)),'Students'!$AF$2:$AF$701,0),IFERROR(MATCH(LOWER(TRIM(K2782)),'Students'!$AG$2:$AG$701,0),""))))</f>
        <v/>
      </c>
      <c r="R2782">
        <f>IF(P2782="","",INDEX('Students'!$AD$2:$AD$701,P2782))</f>
        <v/>
      </c>
      <c r="S2782">
        <f>IF(H2782="OK",O2782,0)</f>
        <v/>
      </c>
      <c r="T2782">
        <f>IF(H2782="OK",N2782,"")</f>
        <v/>
      </c>
      <c r="U2782">
        <f>IF(OC_Donor=0,"",IF(INDEX('OneCause_Paste'!$A$2782:$AZ$2782,1,OC_Donor)="","",INDEX('OneCause_Paste'!$A$2782:$AZ$2782,1,OC_Donor)))</f>
        <v/>
      </c>
    </row>
    <row r="2783">
      <c r="A2783" s="62">
        <f>IF(H2783="","",IF(ISNUMBER(N2783),N2783,I2783))</f>
        <v/>
      </c>
      <c r="B2783">
        <f>IF(H2783="","",U2783)</f>
        <v/>
      </c>
      <c r="C2783">
        <f>IF(H2783="","",IF(P2783="",K2783,INDEX('Students'!$A$2:$A$701,P2783)))</f>
        <v/>
      </c>
      <c r="D2783">
        <f>IF(OR(H2783="",P2783=""),"",INDEX('Students'!$B$2:$B$701,P2783))</f>
        <v/>
      </c>
      <c r="E2783">
        <f>IF(OR(H2783="",P2783=""),"",INDEX('Students'!$C$2:$C$701,P2783))</f>
        <v/>
      </c>
      <c r="F2783" s="48">
        <f>IF(H2783="","",IF(ISNUMBER(O2783),O2783,J2783))</f>
        <v/>
      </c>
      <c r="G2783">
        <f>IF(H2783="","","OneCause")</f>
        <v/>
      </c>
      <c r="H2783">
        <f>IF(AND(I2783="",J2783="",K2783=""),"",IF(NOT(ISNUMBER(O2783)),"Bad amount",IF(O2783&lt;0,"Refund (not counted)",IF(O2783=0,"Zero amount",IF(NOT(ISNUMBER(N2783)),"Bad date",IF(P2783="","NAME NOT ON ROSTER",IF(L2783="","OK",IF(MATCH(L2783,$L$2:$L$3001,0)&lt;ROW()-1,"Duplicate (ignored)","OK"))))))))</f>
        <v/>
      </c>
      <c r="I2783">
        <f>IF(OC_Date=0,"",IF(INDEX('OneCause_Paste'!$A$2783:$AZ$2783,1,OC_Date)="","",INDEX('OneCause_Paste'!$A$2783:$AZ$2783,1,OC_Date)))</f>
        <v/>
      </c>
      <c r="J2783">
        <f>IF(OC_Amt=0,"",IF(INDEX('OneCause_Paste'!$A$2783:$AZ$2783,1,OC_Amt)="","",INDEX('OneCause_Paste'!$A$2783:$AZ$2783,1,OC_Amt)))</f>
        <v/>
      </c>
      <c r="K2783">
        <f>IF(OC_Name=0,"",IF(INDEX('OneCause_Paste'!$A$2783:$AZ$2783,1,OC_Name)="","",INDEX('OneCause_Paste'!$A$2783:$AZ$2783,1,OC_Name)))</f>
        <v/>
      </c>
      <c r="L2783">
        <f>IF(OC_Txn=0,"",IF(INDEX('OneCause_Paste'!$A$2783:$AZ$2783,1,OC_Txn)="","",INDEX('OneCause_Paste'!$A$2783:$AZ$2783,1,OC_Txn)))</f>
        <v/>
      </c>
      <c r="M2783">
        <f>IF(OC_Pay=0,"",IF(INDEX('OneCause_Paste'!$A$2783:$AZ$2783,1,OC_Pay)="","",INDEX('OneCause_Paste'!$A$2783:$AZ$2783,1,OC_Pay)))</f>
        <v/>
      </c>
      <c r="N2783">
        <f>IF(I2783="","",IF(ISNUMBER(I2783),INT(I2783),IFERROR(INT(DATEVALUE(I2783)),IFERROR(INT(VALUE(I2783)),"bad"))))</f>
        <v/>
      </c>
      <c r="O2783">
        <f>IF(J2783="","",IF(ISNUMBER(J2783),ROUND(J2783,2),IFERROR(ROUND(VALUE(SUBSTITUTE(SUBSTITUTE(SUBSTITUTE(J2783,"$",""),",","")," ","")),2),"bad")))</f>
        <v/>
      </c>
      <c r="P2783">
        <f>IF(TRIM(K2783)="","",IFERROR(MATCH(LOWER(TRIM(K2783)),'Students'!$AH$2:$AH$701,0),IFERROR(MATCH(LOWER(TRIM(K2783)),'Students'!$AF$2:$AF$701,0),IFERROR(MATCH(LOWER(TRIM(K2783)),'Students'!$AG$2:$AG$701,0),""))))</f>
        <v/>
      </c>
      <c r="R2783">
        <f>IF(P2783="","",INDEX('Students'!$AD$2:$AD$701,P2783))</f>
        <v/>
      </c>
      <c r="S2783">
        <f>IF(H2783="OK",O2783,0)</f>
        <v/>
      </c>
      <c r="T2783">
        <f>IF(H2783="OK",N2783,"")</f>
        <v/>
      </c>
      <c r="U2783">
        <f>IF(OC_Donor=0,"",IF(INDEX('OneCause_Paste'!$A$2783:$AZ$2783,1,OC_Donor)="","",INDEX('OneCause_Paste'!$A$2783:$AZ$2783,1,OC_Donor)))</f>
        <v/>
      </c>
    </row>
    <row r="2784">
      <c r="A2784" s="62">
        <f>IF(H2784="","",IF(ISNUMBER(N2784),N2784,I2784))</f>
        <v/>
      </c>
      <c r="B2784">
        <f>IF(H2784="","",U2784)</f>
        <v/>
      </c>
      <c r="C2784">
        <f>IF(H2784="","",IF(P2784="",K2784,INDEX('Students'!$A$2:$A$701,P2784)))</f>
        <v/>
      </c>
      <c r="D2784">
        <f>IF(OR(H2784="",P2784=""),"",INDEX('Students'!$B$2:$B$701,P2784))</f>
        <v/>
      </c>
      <c r="E2784">
        <f>IF(OR(H2784="",P2784=""),"",INDEX('Students'!$C$2:$C$701,P2784))</f>
        <v/>
      </c>
      <c r="F2784" s="48">
        <f>IF(H2784="","",IF(ISNUMBER(O2784),O2784,J2784))</f>
        <v/>
      </c>
      <c r="G2784">
        <f>IF(H2784="","","OneCause")</f>
        <v/>
      </c>
      <c r="H2784">
        <f>IF(AND(I2784="",J2784="",K2784=""),"",IF(NOT(ISNUMBER(O2784)),"Bad amount",IF(O2784&lt;0,"Refund (not counted)",IF(O2784=0,"Zero amount",IF(NOT(ISNUMBER(N2784)),"Bad date",IF(P2784="","NAME NOT ON ROSTER",IF(L2784="","OK",IF(MATCH(L2784,$L$2:$L$3001,0)&lt;ROW()-1,"Duplicate (ignored)","OK"))))))))</f>
        <v/>
      </c>
      <c r="I2784">
        <f>IF(OC_Date=0,"",IF(INDEX('OneCause_Paste'!$A$2784:$AZ$2784,1,OC_Date)="","",INDEX('OneCause_Paste'!$A$2784:$AZ$2784,1,OC_Date)))</f>
        <v/>
      </c>
      <c r="J2784">
        <f>IF(OC_Amt=0,"",IF(INDEX('OneCause_Paste'!$A$2784:$AZ$2784,1,OC_Amt)="","",INDEX('OneCause_Paste'!$A$2784:$AZ$2784,1,OC_Amt)))</f>
        <v/>
      </c>
      <c r="K2784">
        <f>IF(OC_Name=0,"",IF(INDEX('OneCause_Paste'!$A$2784:$AZ$2784,1,OC_Name)="","",INDEX('OneCause_Paste'!$A$2784:$AZ$2784,1,OC_Name)))</f>
        <v/>
      </c>
      <c r="L2784">
        <f>IF(OC_Txn=0,"",IF(INDEX('OneCause_Paste'!$A$2784:$AZ$2784,1,OC_Txn)="","",INDEX('OneCause_Paste'!$A$2784:$AZ$2784,1,OC_Txn)))</f>
        <v/>
      </c>
      <c r="M2784">
        <f>IF(OC_Pay=0,"",IF(INDEX('OneCause_Paste'!$A$2784:$AZ$2784,1,OC_Pay)="","",INDEX('OneCause_Paste'!$A$2784:$AZ$2784,1,OC_Pay)))</f>
        <v/>
      </c>
      <c r="N2784">
        <f>IF(I2784="","",IF(ISNUMBER(I2784),INT(I2784),IFERROR(INT(DATEVALUE(I2784)),IFERROR(INT(VALUE(I2784)),"bad"))))</f>
        <v/>
      </c>
      <c r="O2784">
        <f>IF(J2784="","",IF(ISNUMBER(J2784),ROUND(J2784,2),IFERROR(ROUND(VALUE(SUBSTITUTE(SUBSTITUTE(SUBSTITUTE(J2784,"$",""),",","")," ","")),2),"bad")))</f>
        <v/>
      </c>
      <c r="P2784">
        <f>IF(TRIM(K2784)="","",IFERROR(MATCH(LOWER(TRIM(K2784)),'Students'!$AH$2:$AH$701,0),IFERROR(MATCH(LOWER(TRIM(K2784)),'Students'!$AF$2:$AF$701,0),IFERROR(MATCH(LOWER(TRIM(K2784)),'Students'!$AG$2:$AG$701,0),""))))</f>
        <v/>
      </c>
      <c r="R2784">
        <f>IF(P2784="","",INDEX('Students'!$AD$2:$AD$701,P2784))</f>
        <v/>
      </c>
      <c r="S2784">
        <f>IF(H2784="OK",O2784,0)</f>
        <v/>
      </c>
      <c r="T2784">
        <f>IF(H2784="OK",N2784,"")</f>
        <v/>
      </c>
      <c r="U2784">
        <f>IF(OC_Donor=0,"",IF(INDEX('OneCause_Paste'!$A$2784:$AZ$2784,1,OC_Donor)="","",INDEX('OneCause_Paste'!$A$2784:$AZ$2784,1,OC_Donor)))</f>
        <v/>
      </c>
    </row>
    <row r="2785">
      <c r="A2785" s="62">
        <f>IF(H2785="","",IF(ISNUMBER(N2785),N2785,I2785))</f>
        <v/>
      </c>
      <c r="B2785">
        <f>IF(H2785="","",U2785)</f>
        <v/>
      </c>
      <c r="C2785">
        <f>IF(H2785="","",IF(P2785="",K2785,INDEX('Students'!$A$2:$A$701,P2785)))</f>
        <v/>
      </c>
      <c r="D2785">
        <f>IF(OR(H2785="",P2785=""),"",INDEX('Students'!$B$2:$B$701,P2785))</f>
        <v/>
      </c>
      <c r="E2785">
        <f>IF(OR(H2785="",P2785=""),"",INDEX('Students'!$C$2:$C$701,P2785))</f>
        <v/>
      </c>
      <c r="F2785" s="48">
        <f>IF(H2785="","",IF(ISNUMBER(O2785),O2785,J2785))</f>
        <v/>
      </c>
      <c r="G2785">
        <f>IF(H2785="","","OneCause")</f>
        <v/>
      </c>
      <c r="H2785">
        <f>IF(AND(I2785="",J2785="",K2785=""),"",IF(NOT(ISNUMBER(O2785)),"Bad amount",IF(O2785&lt;0,"Refund (not counted)",IF(O2785=0,"Zero amount",IF(NOT(ISNUMBER(N2785)),"Bad date",IF(P2785="","NAME NOT ON ROSTER",IF(L2785="","OK",IF(MATCH(L2785,$L$2:$L$3001,0)&lt;ROW()-1,"Duplicate (ignored)","OK"))))))))</f>
        <v/>
      </c>
      <c r="I2785">
        <f>IF(OC_Date=0,"",IF(INDEX('OneCause_Paste'!$A$2785:$AZ$2785,1,OC_Date)="","",INDEX('OneCause_Paste'!$A$2785:$AZ$2785,1,OC_Date)))</f>
        <v/>
      </c>
      <c r="J2785">
        <f>IF(OC_Amt=0,"",IF(INDEX('OneCause_Paste'!$A$2785:$AZ$2785,1,OC_Amt)="","",INDEX('OneCause_Paste'!$A$2785:$AZ$2785,1,OC_Amt)))</f>
        <v/>
      </c>
      <c r="K2785">
        <f>IF(OC_Name=0,"",IF(INDEX('OneCause_Paste'!$A$2785:$AZ$2785,1,OC_Name)="","",INDEX('OneCause_Paste'!$A$2785:$AZ$2785,1,OC_Name)))</f>
        <v/>
      </c>
      <c r="L2785">
        <f>IF(OC_Txn=0,"",IF(INDEX('OneCause_Paste'!$A$2785:$AZ$2785,1,OC_Txn)="","",INDEX('OneCause_Paste'!$A$2785:$AZ$2785,1,OC_Txn)))</f>
        <v/>
      </c>
      <c r="M2785">
        <f>IF(OC_Pay=0,"",IF(INDEX('OneCause_Paste'!$A$2785:$AZ$2785,1,OC_Pay)="","",INDEX('OneCause_Paste'!$A$2785:$AZ$2785,1,OC_Pay)))</f>
        <v/>
      </c>
      <c r="N2785">
        <f>IF(I2785="","",IF(ISNUMBER(I2785),INT(I2785),IFERROR(INT(DATEVALUE(I2785)),IFERROR(INT(VALUE(I2785)),"bad"))))</f>
        <v/>
      </c>
      <c r="O2785">
        <f>IF(J2785="","",IF(ISNUMBER(J2785),ROUND(J2785,2),IFERROR(ROUND(VALUE(SUBSTITUTE(SUBSTITUTE(SUBSTITUTE(J2785,"$",""),",","")," ","")),2),"bad")))</f>
        <v/>
      </c>
      <c r="P2785">
        <f>IF(TRIM(K2785)="","",IFERROR(MATCH(LOWER(TRIM(K2785)),'Students'!$AH$2:$AH$701,0),IFERROR(MATCH(LOWER(TRIM(K2785)),'Students'!$AF$2:$AF$701,0),IFERROR(MATCH(LOWER(TRIM(K2785)),'Students'!$AG$2:$AG$701,0),""))))</f>
        <v/>
      </c>
      <c r="R2785">
        <f>IF(P2785="","",INDEX('Students'!$AD$2:$AD$701,P2785))</f>
        <v/>
      </c>
      <c r="S2785">
        <f>IF(H2785="OK",O2785,0)</f>
        <v/>
      </c>
      <c r="T2785">
        <f>IF(H2785="OK",N2785,"")</f>
        <v/>
      </c>
      <c r="U2785">
        <f>IF(OC_Donor=0,"",IF(INDEX('OneCause_Paste'!$A$2785:$AZ$2785,1,OC_Donor)="","",INDEX('OneCause_Paste'!$A$2785:$AZ$2785,1,OC_Donor)))</f>
        <v/>
      </c>
    </row>
    <row r="2786">
      <c r="A2786" s="62">
        <f>IF(H2786="","",IF(ISNUMBER(N2786),N2786,I2786))</f>
        <v/>
      </c>
      <c r="B2786">
        <f>IF(H2786="","",U2786)</f>
        <v/>
      </c>
      <c r="C2786">
        <f>IF(H2786="","",IF(P2786="",K2786,INDEX('Students'!$A$2:$A$701,P2786)))</f>
        <v/>
      </c>
      <c r="D2786">
        <f>IF(OR(H2786="",P2786=""),"",INDEX('Students'!$B$2:$B$701,P2786))</f>
        <v/>
      </c>
      <c r="E2786">
        <f>IF(OR(H2786="",P2786=""),"",INDEX('Students'!$C$2:$C$701,P2786))</f>
        <v/>
      </c>
      <c r="F2786" s="48">
        <f>IF(H2786="","",IF(ISNUMBER(O2786),O2786,J2786))</f>
        <v/>
      </c>
      <c r="G2786">
        <f>IF(H2786="","","OneCause")</f>
        <v/>
      </c>
      <c r="H2786">
        <f>IF(AND(I2786="",J2786="",K2786=""),"",IF(NOT(ISNUMBER(O2786)),"Bad amount",IF(O2786&lt;0,"Refund (not counted)",IF(O2786=0,"Zero amount",IF(NOT(ISNUMBER(N2786)),"Bad date",IF(P2786="","NAME NOT ON ROSTER",IF(L2786="","OK",IF(MATCH(L2786,$L$2:$L$3001,0)&lt;ROW()-1,"Duplicate (ignored)","OK"))))))))</f>
        <v/>
      </c>
      <c r="I2786">
        <f>IF(OC_Date=0,"",IF(INDEX('OneCause_Paste'!$A$2786:$AZ$2786,1,OC_Date)="","",INDEX('OneCause_Paste'!$A$2786:$AZ$2786,1,OC_Date)))</f>
        <v/>
      </c>
      <c r="J2786">
        <f>IF(OC_Amt=0,"",IF(INDEX('OneCause_Paste'!$A$2786:$AZ$2786,1,OC_Amt)="","",INDEX('OneCause_Paste'!$A$2786:$AZ$2786,1,OC_Amt)))</f>
        <v/>
      </c>
      <c r="K2786">
        <f>IF(OC_Name=0,"",IF(INDEX('OneCause_Paste'!$A$2786:$AZ$2786,1,OC_Name)="","",INDEX('OneCause_Paste'!$A$2786:$AZ$2786,1,OC_Name)))</f>
        <v/>
      </c>
      <c r="L2786">
        <f>IF(OC_Txn=0,"",IF(INDEX('OneCause_Paste'!$A$2786:$AZ$2786,1,OC_Txn)="","",INDEX('OneCause_Paste'!$A$2786:$AZ$2786,1,OC_Txn)))</f>
        <v/>
      </c>
      <c r="M2786">
        <f>IF(OC_Pay=0,"",IF(INDEX('OneCause_Paste'!$A$2786:$AZ$2786,1,OC_Pay)="","",INDEX('OneCause_Paste'!$A$2786:$AZ$2786,1,OC_Pay)))</f>
        <v/>
      </c>
      <c r="N2786">
        <f>IF(I2786="","",IF(ISNUMBER(I2786),INT(I2786),IFERROR(INT(DATEVALUE(I2786)),IFERROR(INT(VALUE(I2786)),"bad"))))</f>
        <v/>
      </c>
      <c r="O2786">
        <f>IF(J2786="","",IF(ISNUMBER(J2786),ROUND(J2786,2),IFERROR(ROUND(VALUE(SUBSTITUTE(SUBSTITUTE(SUBSTITUTE(J2786,"$",""),",","")," ","")),2),"bad")))</f>
        <v/>
      </c>
      <c r="P2786">
        <f>IF(TRIM(K2786)="","",IFERROR(MATCH(LOWER(TRIM(K2786)),'Students'!$AH$2:$AH$701,0),IFERROR(MATCH(LOWER(TRIM(K2786)),'Students'!$AF$2:$AF$701,0),IFERROR(MATCH(LOWER(TRIM(K2786)),'Students'!$AG$2:$AG$701,0),""))))</f>
        <v/>
      </c>
      <c r="R2786">
        <f>IF(P2786="","",INDEX('Students'!$AD$2:$AD$701,P2786))</f>
        <v/>
      </c>
      <c r="S2786">
        <f>IF(H2786="OK",O2786,0)</f>
        <v/>
      </c>
      <c r="T2786">
        <f>IF(H2786="OK",N2786,"")</f>
        <v/>
      </c>
      <c r="U2786">
        <f>IF(OC_Donor=0,"",IF(INDEX('OneCause_Paste'!$A$2786:$AZ$2786,1,OC_Donor)="","",INDEX('OneCause_Paste'!$A$2786:$AZ$2786,1,OC_Donor)))</f>
        <v/>
      </c>
    </row>
    <row r="2787">
      <c r="A2787" s="62">
        <f>IF(H2787="","",IF(ISNUMBER(N2787),N2787,I2787))</f>
        <v/>
      </c>
      <c r="B2787">
        <f>IF(H2787="","",U2787)</f>
        <v/>
      </c>
      <c r="C2787">
        <f>IF(H2787="","",IF(P2787="",K2787,INDEX('Students'!$A$2:$A$701,P2787)))</f>
        <v/>
      </c>
      <c r="D2787">
        <f>IF(OR(H2787="",P2787=""),"",INDEX('Students'!$B$2:$B$701,P2787))</f>
        <v/>
      </c>
      <c r="E2787">
        <f>IF(OR(H2787="",P2787=""),"",INDEX('Students'!$C$2:$C$701,P2787))</f>
        <v/>
      </c>
      <c r="F2787" s="48">
        <f>IF(H2787="","",IF(ISNUMBER(O2787),O2787,J2787))</f>
        <v/>
      </c>
      <c r="G2787">
        <f>IF(H2787="","","OneCause")</f>
        <v/>
      </c>
      <c r="H2787">
        <f>IF(AND(I2787="",J2787="",K2787=""),"",IF(NOT(ISNUMBER(O2787)),"Bad amount",IF(O2787&lt;0,"Refund (not counted)",IF(O2787=0,"Zero amount",IF(NOT(ISNUMBER(N2787)),"Bad date",IF(P2787="","NAME NOT ON ROSTER",IF(L2787="","OK",IF(MATCH(L2787,$L$2:$L$3001,0)&lt;ROW()-1,"Duplicate (ignored)","OK"))))))))</f>
        <v/>
      </c>
      <c r="I2787">
        <f>IF(OC_Date=0,"",IF(INDEX('OneCause_Paste'!$A$2787:$AZ$2787,1,OC_Date)="","",INDEX('OneCause_Paste'!$A$2787:$AZ$2787,1,OC_Date)))</f>
        <v/>
      </c>
      <c r="J2787">
        <f>IF(OC_Amt=0,"",IF(INDEX('OneCause_Paste'!$A$2787:$AZ$2787,1,OC_Amt)="","",INDEX('OneCause_Paste'!$A$2787:$AZ$2787,1,OC_Amt)))</f>
        <v/>
      </c>
      <c r="K2787">
        <f>IF(OC_Name=0,"",IF(INDEX('OneCause_Paste'!$A$2787:$AZ$2787,1,OC_Name)="","",INDEX('OneCause_Paste'!$A$2787:$AZ$2787,1,OC_Name)))</f>
        <v/>
      </c>
      <c r="L2787">
        <f>IF(OC_Txn=0,"",IF(INDEX('OneCause_Paste'!$A$2787:$AZ$2787,1,OC_Txn)="","",INDEX('OneCause_Paste'!$A$2787:$AZ$2787,1,OC_Txn)))</f>
        <v/>
      </c>
      <c r="M2787">
        <f>IF(OC_Pay=0,"",IF(INDEX('OneCause_Paste'!$A$2787:$AZ$2787,1,OC_Pay)="","",INDEX('OneCause_Paste'!$A$2787:$AZ$2787,1,OC_Pay)))</f>
        <v/>
      </c>
      <c r="N2787">
        <f>IF(I2787="","",IF(ISNUMBER(I2787),INT(I2787),IFERROR(INT(DATEVALUE(I2787)),IFERROR(INT(VALUE(I2787)),"bad"))))</f>
        <v/>
      </c>
      <c r="O2787">
        <f>IF(J2787="","",IF(ISNUMBER(J2787),ROUND(J2787,2),IFERROR(ROUND(VALUE(SUBSTITUTE(SUBSTITUTE(SUBSTITUTE(J2787,"$",""),",","")," ","")),2),"bad")))</f>
        <v/>
      </c>
      <c r="P2787">
        <f>IF(TRIM(K2787)="","",IFERROR(MATCH(LOWER(TRIM(K2787)),'Students'!$AH$2:$AH$701,0),IFERROR(MATCH(LOWER(TRIM(K2787)),'Students'!$AF$2:$AF$701,0),IFERROR(MATCH(LOWER(TRIM(K2787)),'Students'!$AG$2:$AG$701,0),""))))</f>
        <v/>
      </c>
      <c r="R2787">
        <f>IF(P2787="","",INDEX('Students'!$AD$2:$AD$701,P2787))</f>
        <v/>
      </c>
      <c r="S2787">
        <f>IF(H2787="OK",O2787,0)</f>
        <v/>
      </c>
      <c r="T2787">
        <f>IF(H2787="OK",N2787,"")</f>
        <v/>
      </c>
      <c r="U2787">
        <f>IF(OC_Donor=0,"",IF(INDEX('OneCause_Paste'!$A$2787:$AZ$2787,1,OC_Donor)="","",INDEX('OneCause_Paste'!$A$2787:$AZ$2787,1,OC_Donor)))</f>
        <v/>
      </c>
    </row>
    <row r="2788">
      <c r="A2788" s="62">
        <f>IF(H2788="","",IF(ISNUMBER(N2788),N2788,I2788))</f>
        <v/>
      </c>
      <c r="B2788">
        <f>IF(H2788="","",U2788)</f>
        <v/>
      </c>
      <c r="C2788">
        <f>IF(H2788="","",IF(P2788="",K2788,INDEX('Students'!$A$2:$A$701,P2788)))</f>
        <v/>
      </c>
      <c r="D2788">
        <f>IF(OR(H2788="",P2788=""),"",INDEX('Students'!$B$2:$B$701,P2788))</f>
        <v/>
      </c>
      <c r="E2788">
        <f>IF(OR(H2788="",P2788=""),"",INDEX('Students'!$C$2:$C$701,P2788))</f>
        <v/>
      </c>
      <c r="F2788" s="48">
        <f>IF(H2788="","",IF(ISNUMBER(O2788),O2788,J2788))</f>
        <v/>
      </c>
      <c r="G2788">
        <f>IF(H2788="","","OneCause")</f>
        <v/>
      </c>
      <c r="H2788">
        <f>IF(AND(I2788="",J2788="",K2788=""),"",IF(NOT(ISNUMBER(O2788)),"Bad amount",IF(O2788&lt;0,"Refund (not counted)",IF(O2788=0,"Zero amount",IF(NOT(ISNUMBER(N2788)),"Bad date",IF(P2788="","NAME NOT ON ROSTER",IF(L2788="","OK",IF(MATCH(L2788,$L$2:$L$3001,0)&lt;ROW()-1,"Duplicate (ignored)","OK"))))))))</f>
        <v/>
      </c>
      <c r="I2788">
        <f>IF(OC_Date=0,"",IF(INDEX('OneCause_Paste'!$A$2788:$AZ$2788,1,OC_Date)="","",INDEX('OneCause_Paste'!$A$2788:$AZ$2788,1,OC_Date)))</f>
        <v/>
      </c>
      <c r="J2788">
        <f>IF(OC_Amt=0,"",IF(INDEX('OneCause_Paste'!$A$2788:$AZ$2788,1,OC_Amt)="","",INDEX('OneCause_Paste'!$A$2788:$AZ$2788,1,OC_Amt)))</f>
        <v/>
      </c>
      <c r="K2788">
        <f>IF(OC_Name=0,"",IF(INDEX('OneCause_Paste'!$A$2788:$AZ$2788,1,OC_Name)="","",INDEX('OneCause_Paste'!$A$2788:$AZ$2788,1,OC_Name)))</f>
        <v/>
      </c>
      <c r="L2788">
        <f>IF(OC_Txn=0,"",IF(INDEX('OneCause_Paste'!$A$2788:$AZ$2788,1,OC_Txn)="","",INDEX('OneCause_Paste'!$A$2788:$AZ$2788,1,OC_Txn)))</f>
        <v/>
      </c>
      <c r="M2788">
        <f>IF(OC_Pay=0,"",IF(INDEX('OneCause_Paste'!$A$2788:$AZ$2788,1,OC_Pay)="","",INDEX('OneCause_Paste'!$A$2788:$AZ$2788,1,OC_Pay)))</f>
        <v/>
      </c>
      <c r="N2788">
        <f>IF(I2788="","",IF(ISNUMBER(I2788),INT(I2788),IFERROR(INT(DATEVALUE(I2788)),IFERROR(INT(VALUE(I2788)),"bad"))))</f>
        <v/>
      </c>
      <c r="O2788">
        <f>IF(J2788="","",IF(ISNUMBER(J2788),ROUND(J2788,2),IFERROR(ROUND(VALUE(SUBSTITUTE(SUBSTITUTE(SUBSTITUTE(J2788,"$",""),",","")," ","")),2),"bad")))</f>
        <v/>
      </c>
      <c r="P2788">
        <f>IF(TRIM(K2788)="","",IFERROR(MATCH(LOWER(TRIM(K2788)),'Students'!$AH$2:$AH$701,0),IFERROR(MATCH(LOWER(TRIM(K2788)),'Students'!$AF$2:$AF$701,0),IFERROR(MATCH(LOWER(TRIM(K2788)),'Students'!$AG$2:$AG$701,0),""))))</f>
        <v/>
      </c>
      <c r="R2788">
        <f>IF(P2788="","",INDEX('Students'!$AD$2:$AD$701,P2788))</f>
        <v/>
      </c>
      <c r="S2788">
        <f>IF(H2788="OK",O2788,0)</f>
        <v/>
      </c>
      <c r="T2788">
        <f>IF(H2788="OK",N2788,"")</f>
        <v/>
      </c>
      <c r="U2788">
        <f>IF(OC_Donor=0,"",IF(INDEX('OneCause_Paste'!$A$2788:$AZ$2788,1,OC_Donor)="","",INDEX('OneCause_Paste'!$A$2788:$AZ$2788,1,OC_Donor)))</f>
        <v/>
      </c>
    </row>
    <row r="2789">
      <c r="A2789" s="62">
        <f>IF(H2789="","",IF(ISNUMBER(N2789),N2789,I2789))</f>
        <v/>
      </c>
      <c r="B2789">
        <f>IF(H2789="","",U2789)</f>
        <v/>
      </c>
      <c r="C2789">
        <f>IF(H2789="","",IF(P2789="",K2789,INDEX('Students'!$A$2:$A$701,P2789)))</f>
        <v/>
      </c>
      <c r="D2789">
        <f>IF(OR(H2789="",P2789=""),"",INDEX('Students'!$B$2:$B$701,P2789))</f>
        <v/>
      </c>
      <c r="E2789">
        <f>IF(OR(H2789="",P2789=""),"",INDEX('Students'!$C$2:$C$701,P2789))</f>
        <v/>
      </c>
      <c r="F2789" s="48">
        <f>IF(H2789="","",IF(ISNUMBER(O2789),O2789,J2789))</f>
        <v/>
      </c>
      <c r="G2789">
        <f>IF(H2789="","","OneCause")</f>
        <v/>
      </c>
      <c r="H2789">
        <f>IF(AND(I2789="",J2789="",K2789=""),"",IF(NOT(ISNUMBER(O2789)),"Bad amount",IF(O2789&lt;0,"Refund (not counted)",IF(O2789=0,"Zero amount",IF(NOT(ISNUMBER(N2789)),"Bad date",IF(P2789="","NAME NOT ON ROSTER",IF(L2789="","OK",IF(MATCH(L2789,$L$2:$L$3001,0)&lt;ROW()-1,"Duplicate (ignored)","OK"))))))))</f>
        <v/>
      </c>
      <c r="I2789">
        <f>IF(OC_Date=0,"",IF(INDEX('OneCause_Paste'!$A$2789:$AZ$2789,1,OC_Date)="","",INDEX('OneCause_Paste'!$A$2789:$AZ$2789,1,OC_Date)))</f>
        <v/>
      </c>
      <c r="J2789">
        <f>IF(OC_Amt=0,"",IF(INDEX('OneCause_Paste'!$A$2789:$AZ$2789,1,OC_Amt)="","",INDEX('OneCause_Paste'!$A$2789:$AZ$2789,1,OC_Amt)))</f>
        <v/>
      </c>
      <c r="K2789">
        <f>IF(OC_Name=0,"",IF(INDEX('OneCause_Paste'!$A$2789:$AZ$2789,1,OC_Name)="","",INDEX('OneCause_Paste'!$A$2789:$AZ$2789,1,OC_Name)))</f>
        <v/>
      </c>
      <c r="L2789">
        <f>IF(OC_Txn=0,"",IF(INDEX('OneCause_Paste'!$A$2789:$AZ$2789,1,OC_Txn)="","",INDEX('OneCause_Paste'!$A$2789:$AZ$2789,1,OC_Txn)))</f>
        <v/>
      </c>
      <c r="M2789">
        <f>IF(OC_Pay=0,"",IF(INDEX('OneCause_Paste'!$A$2789:$AZ$2789,1,OC_Pay)="","",INDEX('OneCause_Paste'!$A$2789:$AZ$2789,1,OC_Pay)))</f>
        <v/>
      </c>
      <c r="N2789">
        <f>IF(I2789="","",IF(ISNUMBER(I2789),INT(I2789),IFERROR(INT(DATEVALUE(I2789)),IFERROR(INT(VALUE(I2789)),"bad"))))</f>
        <v/>
      </c>
      <c r="O2789">
        <f>IF(J2789="","",IF(ISNUMBER(J2789),ROUND(J2789,2),IFERROR(ROUND(VALUE(SUBSTITUTE(SUBSTITUTE(SUBSTITUTE(J2789,"$",""),",","")," ","")),2),"bad")))</f>
        <v/>
      </c>
      <c r="P2789">
        <f>IF(TRIM(K2789)="","",IFERROR(MATCH(LOWER(TRIM(K2789)),'Students'!$AH$2:$AH$701,0),IFERROR(MATCH(LOWER(TRIM(K2789)),'Students'!$AF$2:$AF$701,0),IFERROR(MATCH(LOWER(TRIM(K2789)),'Students'!$AG$2:$AG$701,0),""))))</f>
        <v/>
      </c>
      <c r="R2789">
        <f>IF(P2789="","",INDEX('Students'!$AD$2:$AD$701,P2789))</f>
        <v/>
      </c>
      <c r="S2789">
        <f>IF(H2789="OK",O2789,0)</f>
        <v/>
      </c>
      <c r="T2789">
        <f>IF(H2789="OK",N2789,"")</f>
        <v/>
      </c>
      <c r="U2789">
        <f>IF(OC_Donor=0,"",IF(INDEX('OneCause_Paste'!$A$2789:$AZ$2789,1,OC_Donor)="","",INDEX('OneCause_Paste'!$A$2789:$AZ$2789,1,OC_Donor)))</f>
        <v/>
      </c>
    </row>
    <row r="2790">
      <c r="A2790" s="62">
        <f>IF(H2790="","",IF(ISNUMBER(N2790),N2790,I2790))</f>
        <v/>
      </c>
      <c r="B2790">
        <f>IF(H2790="","",U2790)</f>
        <v/>
      </c>
      <c r="C2790">
        <f>IF(H2790="","",IF(P2790="",K2790,INDEX('Students'!$A$2:$A$701,P2790)))</f>
        <v/>
      </c>
      <c r="D2790">
        <f>IF(OR(H2790="",P2790=""),"",INDEX('Students'!$B$2:$B$701,P2790))</f>
        <v/>
      </c>
      <c r="E2790">
        <f>IF(OR(H2790="",P2790=""),"",INDEX('Students'!$C$2:$C$701,P2790))</f>
        <v/>
      </c>
      <c r="F2790" s="48">
        <f>IF(H2790="","",IF(ISNUMBER(O2790),O2790,J2790))</f>
        <v/>
      </c>
      <c r="G2790">
        <f>IF(H2790="","","OneCause")</f>
        <v/>
      </c>
      <c r="H2790">
        <f>IF(AND(I2790="",J2790="",K2790=""),"",IF(NOT(ISNUMBER(O2790)),"Bad amount",IF(O2790&lt;0,"Refund (not counted)",IF(O2790=0,"Zero amount",IF(NOT(ISNUMBER(N2790)),"Bad date",IF(P2790="","NAME NOT ON ROSTER",IF(L2790="","OK",IF(MATCH(L2790,$L$2:$L$3001,0)&lt;ROW()-1,"Duplicate (ignored)","OK"))))))))</f>
        <v/>
      </c>
      <c r="I2790">
        <f>IF(OC_Date=0,"",IF(INDEX('OneCause_Paste'!$A$2790:$AZ$2790,1,OC_Date)="","",INDEX('OneCause_Paste'!$A$2790:$AZ$2790,1,OC_Date)))</f>
        <v/>
      </c>
      <c r="J2790">
        <f>IF(OC_Amt=0,"",IF(INDEX('OneCause_Paste'!$A$2790:$AZ$2790,1,OC_Amt)="","",INDEX('OneCause_Paste'!$A$2790:$AZ$2790,1,OC_Amt)))</f>
        <v/>
      </c>
      <c r="K2790">
        <f>IF(OC_Name=0,"",IF(INDEX('OneCause_Paste'!$A$2790:$AZ$2790,1,OC_Name)="","",INDEX('OneCause_Paste'!$A$2790:$AZ$2790,1,OC_Name)))</f>
        <v/>
      </c>
      <c r="L2790">
        <f>IF(OC_Txn=0,"",IF(INDEX('OneCause_Paste'!$A$2790:$AZ$2790,1,OC_Txn)="","",INDEX('OneCause_Paste'!$A$2790:$AZ$2790,1,OC_Txn)))</f>
        <v/>
      </c>
      <c r="M2790">
        <f>IF(OC_Pay=0,"",IF(INDEX('OneCause_Paste'!$A$2790:$AZ$2790,1,OC_Pay)="","",INDEX('OneCause_Paste'!$A$2790:$AZ$2790,1,OC_Pay)))</f>
        <v/>
      </c>
      <c r="N2790">
        <f>IF(I2790="","",IF(ISNUMBER(I2790),INT(I2790),IFERROR(INT(DATEVALUE(I2790)),IFERROR(INT(VALUE(I2790)),"bad"))))</f>
        <v/>
      </c>
      <c r="O2790">
        <f>IF(J2790="","",IF(ISNUMBER(J2790),ROUND(J2790,2),IFERROR(ROUND(VALUE(SUBSTITUTE(SUBSTITUTE(SUBSTITUTE(J2790,"$",""),",","")," ","")),2),"bad")))</f>
        <v/>
      </c>
      <c r="P2790">
        <f>IF(TRIM(K2790)="","",IFERROR(MATCH(LOWER(TRIM(K2790)),'Students'!$AH$2:$AH$701,0),IFERROR(MATCH(LOWER(TRIM(K2790)),'Students'!$AF$2:$AF$701,0),IFERROR(MATCH(LOWER(TRIM(K2790)),'Students'!$AG$2:$AG$701,0),""))))</f>
        <v/>
      </c>
      <c r="R2790">
        <f>IF(P2790="","",INDEX('Students'!$AD$2:$AD$701,P2790))</f>
        <v/>
      </c>
      <c r="S2790">
        <f>IF(H2790="OK",O2790,0)</f>
        <v/>
      </c>
      <c r="T2790">
        <f>IF(H2790="OK",N2790,"")</f>
        <v/>
      </c>
      <c r="U2790">
        <f>IF(OC_Donor=0,"",IF(INDEX('OneCause_Paste'!$A$2790:$AZ$2790,1,OC_Donor)="","",INDEX('OneCause_Paste'!$A$2790:$AZ$2790,1,OC_Donor)))</f>
        <v/>
      </c>
    </row>
    <row r="2791">
      <c r="A2791" s="62">
        <f>IF(H2791="","",IF(ISNUMBER(N2791),N2791,I2791))</f>
        <v/>
      </c>
      <c r="B2791">
        <f>IF(H2791="","",U2791)</f>
        <v/>
      </c>
      <c r="C2791">
        <f>IF(H2791="","",IF(P2791="",K2791,INDEX('Students'!$A$2:$A$701,P2791)))</f>
        <v/>
      </c>
      <c r="D2791">
        <f>IF(OR(H2791="",P2791=""),"",INDEX('Students'!$B$2:$B$701,P2791))</f>
        <v/>
      </c>
      <c r="E2791">
        <f>IF(OR(H2791="",P2791=""),"",INDEX('Students'!$C$2:$C$701,P2791))</f>
        <v/>
      </c>
      <c r="F2791" s="48">
        <f>IF(H2791="","",IF(ISNUMBER(O2791),O2791,J2791))</f>
        <v/>
      </c>
      <c r="G2791">
        <f>IF(H2791="","","OneCause")</f>
        <v/>
      </c>
      <c r="H2791">
        <f>IF(AND(I2791="",J2791="",K2791=""),"",IF(NOT(ISNUMBER(O2791)),"Bad amount",IF(O2791&lt;0,"Refund (not counted)",IF(O2791=0,"Zero amount",IF(NOT(ISNUMBER(N2791)),"Bad date",IF(P2791="","NAME NOT ON ROSTER",IF(L2791="","OK",IF(MATCH(L2791,$L$2:$L$3001,0)&lt;ROW()-1,"Duplicate (ignored)","OK"))))))))</f>
        <v/>
      </c>
      <c r="I2791">
        <f>IF(OC_Date=0,"",IF(INDEX('OneCause_Paste'!$A$2791:$AZ$2791,1,OC_Date)="","",INDEX('OneCause_Paste'!$A$2791:$AZ$2791,1,OC_Date)))</f>
        <v/>
      </c>
      <c r="J2791">
        <f>IF(OC_Amt=0,"",IF(INDEX('OneCause_Paste'!$A$2791:$AZ$2791,1,OC_Amt)="","",INDEX('OneCause_Paste'!$A$2791:$AZ$2791,1,OC_Amt)))</f>
        <v/>
      </c>
      <c r="K2791">
        <f>IF(OC_Name=0,"",IF(INDEX('OneCause_Paste'!$A$2791:$AZ$2791,1,OC_Name)="","",INDEX('OneCause_Paste'!$A$2791:$AZ$2791,1,OC_Name)))</f>
        <v/>
      </c>
      <c r="L2791">
        <f>IF(OC_Txn=0,"",IF(INDEX('OneCause_Paste'!$A$2791:$AZ$2791,1,OC_Txn)="","",INDEX('OneCause_Paste'!$A$2791:$AZ$2791,1,OC_Txn)))</f>
        <v/>
      </c>
      <c r="M2791">
        <f>IF(OC_Pay=0,"",IF(INDEX('OneCause_Paste'!$A$2791:$AZ$2791,1,OC_Pay)="","",INDEX('OneCause_Paste'!$A$2791:$AZ$2791,1,OC_Pay)))</f>
        <v/>
      </c>
      <c r="N2791">
        <f>IF(I2791="","",IF(ISNUMBER(I2791),INT(I2791),IFERROR(INT(DATEVALUE(I2791)),IFERROR(INT(VALUE(I2791)),"bad"))))</f>
        <v/>
      </c>
      <c r="O2791">
        <f>IF(J2791="","",IF(ISNUMBER(J2791),ROUND(J2791,2),IFERROR(ROUND(VALUE(SUBSTITUTE(SUBSTITUTE(SUBSTITUTE(J2791,"$",""),",","")," ","")),2),"bad")))</f>
        <v/>
      </c>
      <c r="P2791">
        <f>IF(TRIM(K2791)="","",IFERROR(MATCH(LOWER(TRIM(K2791)),'Students'!$AH$2:$AH$701,0),IFERROR(MATCH(LOWER(TRIM(K2791)),'Students'!$AF$2:$AF$701,0),IFERROR(MATCH(LOWER(TRIM(K2791)),'Students'!$AG$2:$AG$701,0),""))))</f>
        <v/>
      </c>
      <c r="R2791">
        <f>IF(P2791="","",INDEX('Students'!$AD$2:$AD$701,P2791))</f>
        <v/>
      </c>
      <c r="S2791">
        <f>IF(H2791="OK",O2791,0)</f>
        <v/>
      </c>
      <c r="T2791">
        <f>IF(H2791="OK",N2791,"")</f>
        <v/>
      </c>
      <c r="U2791">
        <f>IF(OC_Donor=0,"",IF(INDEX('OneCause_Paste'!$A$2791:$AZ$2791,1,OC_Donor)="","",INDEX('OneCause_Paste'!$A$2791:$AZ$2791,1,OC_Donor)))</f>
        <v/>
      </c>
    </row>
    <row r="2792">
      <c r="A2792" s="62">
        <f>IF(H2792="","",IF(ISNUMBER(N2792),N2792,I2792))</f>
        <v/>
      </c>
      <c r="B2792">
        <f>IF(H2792="","",U2792)</f>
        <v/>
      </c>
      <c r="C2792">
        <f>IF(H2792="","",IF(P2792="",K2792,INDEX('Students'!$A$2:$A$701,P2792)))</f>
        <v/>
      </c>
      <c r="D2792">
        <f>IF(OR(H2792="",P2792=""),"",INDEX('Students'!$B$2:$B$701,P2792))</f>
        <v/>
      </c>
      <c r="E2792">
        <f>IF(OR(H2792="",P2792=""),"",INDEX('Students'!$C$2:$C$701,P2792))</f>
        <v/>
      </c>
      <c r="F2792" s="48">
        <f>IF(H2792="","",IF(ISNUMBER(O2792),O2792,J2792))</f>
        <v/>
      </c>
      <c r="G2792">
        <f>IF(H2792="","","OneCause")</f>
        <v/>
      </c>
      <c r="H2792">
        <f>IF(AND(I2792="",J2792="",K2792=""),"",IF(NOT(ISNUMBER(O2792)),"Bad amount",IF(O2792&lt;0,"Refund (not counted)",IF(O2792=0,"Zero amount",IF(NOT(ISNUMBER(N2792)),"Bad date",IF(P2792="","NAME NOT ON ROSTER",IF(L2792="","OK",IF(MATCH(L2792,$L$2:$L$3001,0)&lt;ROW()-1,"Duplicate (ignored)","OK"))))))))</f>
        <v/>
      </c>
      <c r="I2792">
        <f>IF(OC_Date=0,"",IF(INDEX('OneCause_Paste'!$A$2792:$AZ$2792,1,OC_Date)="","",INDEX('OneCause_Paste'!$A$2792:$AZ$2792,1,OC_Date)))</f>
        <v/>
      </c>
      <c r="J2792">
        <f>IF(OC_Amt=0,"",IF(INDEX('OneCause_Paste'!$A$2792:$AZ$2792,1,OC_Amt)="","",INDEX('OneCause_Paste'!$A$2792:$AZ$2792,1,OC_Amt)))</f>
        <v/>
      </c>
      <c r="K2792">
        <f>IF(OC_Name=0,"",IF(INDEX('OneCause_Paste'!$A$2792:$AZ$2792,1,OC_Name)="","",INDEX('OneCause_Paste'!$A$2792:$AZ$2792,1,OC_Name)))</f>
        <v/>
      </c>
      <c r="L2792">
        <f>IF(OC_Txn=0,"",IF(INDEX('OneCause_Paste'!$A$2792:$AZ$2792,1,OC_Txn)="","",INDEX('OneCause_Paste'!$A$2792:$AZ$2792,1,OC_Txn)))</f>
        <v/>
      </c>
      <c r="M2792">
        <f>IF(OC_Pay=0,"",IF(INDEX('OneCause_Paste'!$A$2792:$AZ$2792,1,OC_Pay)="","",INDEX('OneCause_Paste'!$A$2792:$AZ$2792,1,OC_Pay)))</f>
        <v/>
      </c>
      <c r="N2792">
        <f>IF(I2792="","",IF(ISNUMBER(I2792),INT(I2792),IFERROR(INT(DATEVALUE(I2792)),IFERROR(INT(VALUE(I2792)),"bad"))))</f>
        <v/>
      </c>
      <c r="O2792">
        <f>IF(J2792="","",IF(ISNUMBER(J2792),ROUND(J2792,2),IFERROR(ROUND(VALUE(SUBSTITUTE(SUBSTITUTE(SUBSTITUTE(J2792,"$",""),",","")," ","")),2),"bad")))</f>
        <v/>
      </c>
      <c r="P2792">
        <f>IF(TRIM(K2792)="","",IFERROR(MATCH(LOWER(TRIM(K2792)),'Students'!$AH$2:$AH$701,0),IFERROR(MATCH(LOWER(TRIM(K2792)),'Students'!$AF$2:$AF$701,0),IFERROR(MATCH(LOWER(TRIM(K2792)),'Students'!$AG$2:$AG$701,0),""))))</f>
        <v/>
      </c>
      <c r="R2792">
        <f>IF(P2792="","",INDEX('Students'!$AD$2:$AD$701,P2792))</f>
        <v/>
      </c>
      <c r="S2792">
        <f>IF(H2792="OK",O2792,0)</f>
        <v/>
      </c>
      <c r="T2792">
        <f>IF(H2792="OK",N2792,"")</f>
        <v/>
      </c>
      <c r="U2792">
        <f>IF(OC_Donor=0,"",IF(INDEX('OneCause_Paste'!$A$2792:$AZ$2792,1,OC_Donor)="","",INDEX('OneCause_Paste'!$A$2792:$AZ$2792,1,OC_Donor)))</f>
        <v/>
      </c>
    </row>
    <row r="2793">
      <c r="A2793" s="62">
        <f>IF(H2793="","",IF(ISNUMBER(N2793),N2793,I2793))</f>
        <v/>
      </c>
      <c r="B2793">
        <f>IF(H2793="","",U2793)</f>
        <v/>
      </c>
      <c r="C2793">
        <f>IF(H2793="","",IF(P2793="",K2793,INDEX('Students'!$A$2:$A$701,P2793)))</f>
        <v/>
      </c>
      <c r="D2793">
        <f>IF(OR(H2793="",P2793=""),"",INDEX('Students'!$B$2:$B$701,P2793))</f>
        <v/>
      </c>
      <c r="E2793">
        <f>IF(OR(H2793="",P2793=""),"",INDEX('Students'!$C$2:$C$701,P2793))</f>
        <v/>
      </c>
      <c r="F2793" s="48">
        <f>IF(H2793="","",IF(ISNUMBER(O2793),O2793,J2793))</f>
        <v/>
      </c>
      <c r="G2793">
        <f>IF(H2793="","","OneCause")</f>
        <v/>
      </c>
      <c r="H2793">
        <f>IF(AND(I2793="",J2793="",K2793=""),"",IF(NOT(ISNUMBER(O2793)),"Bad amount",IF(O2793&lt;0,"Refund (not counted)",IF(O2793=0,"Zero amount",IF(NOT(ISNUMBER(N2793)),"Bad date",IF(P2793="","NAME NOT ON ROSTER",IF(L2793="","OK",IF(MATCH(L2793,$L$2:$L$3001,0)&lt;ROW()-1,"Duplicate (ignored)","OK"))))))))</f>
        <v/>
      </c>
      <c r="I2793">
        <f>IF(OC_Date=0,"",IF(INDEX('OneCause_Paste'!$A$2793:$AZ$2793,1,OC_Date)="","",INDEX('OneCause_Paste'!$A$2793:$AZ$2793,1,OC_Date)))</f>
        <v/>
      </c>
      <c r="J2793">
        <f>IF(OC_Amt=0,"",IF(INDEX('OneCause_Paste'!$A$2793:$AZ$2793,1,OC_Amt)="","",INDEX('OneCause_Paste'!$A$2793:$AZ$2793,1,OC_Amt)))</f>
        <v/>
      </c>
      <c r="K2793">
        <f>IF(OC_Name=0,"",IF(INDEX('OneCause_Paste'!$A$2793:$AZ$2793,1,OC_Name)="","",INDEX('OneCause_Paste'!$A$2793:$AZ$2793,1,OC_Name)))</f>
        <v/>
      </c>
      <c r="L2793">
        <f>IF(OC_Txn=0,"",IF(INDEX('OneCause_Paste'!$A$2793:$AZ$2793,1,OC_Txn)="","",INDEX('OneCause_Paste'!$A$2793:$AZ$2793,1,OC_Txn)))</f>
        <v/>
      </c>
      <c r="M2793">
        <f>IF(OC_Pay=0,"",IF(INDEX('OneCause_Paste'!$A$2793:$AZ$2793,1,OC_Pay)="","",INDEX('OneCause_Paste'!$A$2793:$AZ$2793,1,OC_Pay)))</f>
        <v/>
      </c>
      <c r="N2793">
        <f>IF(I2793="","",IF(ISNUMBER(I2793),INT(I2793),IFERROR(INT(DATEVALUE(I2793)),IFERROR(INT(VALUE(I2793)),"bad"))))</f>
        <v/>
      </c>
      <c r="O2793">
        <f>IF(J2793="","",IF(ISNUMBER(J2793),ROUND(J2793,2),IFERROR(ROUND(VALUE(SUBSTITUTE(SUBSTITUTE(SUBSTITUTE(J2793,"$",""),",","")," ","")),2),"bad")))</f>
        <v/>
      </c>
      <c r="P2793">
        <f>IF(TRIM(K2793)="","",IFERROR(MATCH(LOWER(TRIM(K2793)),'Students'!$AH$2:$AH$701,0),IFERROR(MATCH(LOWER(TRIM(K2793)),'Students'!$AF$2:$AF$701,0),IFERROR(MATCH(LOWER(TRIM(K2793)),'Students'!$AG$2:$AG$701,0),""))))</f>
        <v/>
      </c>
      <c r="R2793">
        <f>IF(P2793="","",INDEX('Students'!$AD$2:$AD$701,P2793))</f>
        <v/>
      </c>
      <c r="S2793">
        <f>IF(H2793="OK",O2793,0)</f>
        <v/>
      </c>
      <c r="T2793">
        <f>IF(H2793="OK",N2793,"")</f>
        <v/>
      </c>
      <c r="U2793">
        <f>IF(OC_Donor=0,"",IF(INDEX('OneCause_Paste'!$A$2793:$AZ$2793,1,OC_Donor)="","",INDEX('OneCause_Paste'!$A$2793:$AZ$2793,1,OC_Donor)))</f>
        <v/>
      </c>
    </row>
    <row r="2794">
      <c r="A2794" s="62">
        <f>IF(H2794="","",IF(ISNUMBER(N2794),N2794,I2794))</f>
        <v/>
      </c>
      <c r="B2794">
        <f>IF(H2794="","",U2794)</f>
        <v/>
      </c>
      <c r="C2794">
        <f>IF(H2794="","",IF(P2794="",K2794,INDEX('Students'!$A$2:$A$701,P2794)))</f>
        <v/>
      </c>
      <c r="D2794">
        <f>IF(OR(H2794="",P2794=""),"",INDEX('Students'!$B$2:$B$701,P2794))</f>
        <v/>
      </c>
      <c r="E2794">
        <f>IF(OR(H2794="",P2794=""),"",INDEX('Students'!$C$2:$C$701,P2794))</f>
        <v/>
      </c>
      <c r="F2794" s="48">
        <f>IF(H2794="","",IF(ISNUMBER(O2794),O2794,J2794))</f>
        <v/>
      </c>
      <c r="G2794">
        <f>IF(H2794="","","OneCause")</f>
        <v/>
      </c>
      <c r="H2794">
        <f>IF(AND(I2794="",J2794="",K2794=""),"",IF(NOT(ISNUMBER(O2794)),"Bad amount",IF(O2794&lt;0,"Refund (not counted)",IF(O2794=0,"Zero amount",IF(NOT(ISNUMBER(N2794)),"Bad date",IF(P2794="","NAME NOT ON ROSTER",IF(L2794="","OK",IF(MATCH(L2794,$L$2:$L$3001,0)&lt;ROW()-1,"Duplicate (ignored)","OK"))))))))</f>
        <v/>
      </c>
      <c r="I2794">
        <f>IF(OC_Date=0,"",IF(INDEX('OneCause_Paste'!$A$2794:$AZ$2794,1,OC_Date)="","",INDEX('OneCause_Paste'!$A$2794:$AZ$2794,1,OC_Date)))</f>
        <v/>
      </c>
      <c r="J2794">
        <f>IF(OC_Amt=0,"",IF(INDEX('OneCause_Paste'!$A$2794:$AZ$2794,1,OC_Amt)="","",INDEX('OneCause_Paste'!$A$2794:$AZ$2794,1,OC_Amt)))</f>
        <v/>
      </c>
      <c r="K2794">
        <f>IF(OC_Name=0,"",IF(INDEX('OneCause_Paste'!$A$2794:$AZ$2794,1,OC_Name)="","",INDEX('OneCause_Paste'!$A$2794:$AZ$2794,1,OC_Name)))</f>
        <v/>
      </c>
      <c r="L2794">
        <f>IF(OC_Txn=0,"",IF(INDEX('OneCause_Paste'!$A$2794:$AZ$2794,1,OC_Txn)="","",INDEX('OneCause_Paste'!$A$2794:$AZ$2794,1,OC_Txn)))</f>
        <v/>
      </c>
      <c r="M2794">
        <f>IF(OC_Pay=0,"",IF(INDEX('OneCause_Paste'!$A$2794:$AZ$2794,1,OC_Pay)="","",INDEX('OneCause_Paste'!$A$2794:$AZ$2794,1,OC_Pay)))</f>
        <v/>
      </c>
      <c r="N2794">
        <f>IF(I2794="","",IF(ISNUMBER(I2794),INT(I2794),IFERROR(INT(DATEVALUE(I2794)),IFERROR(INT(VALUE(I2794)),"bad"))))</f>
        <v/>
      </c>
      <c r="O2794">
        <f>IF(J2794="","",IF(ISNUMBER(J2794),ROUND(J2794,2),IFERROR(ROUND(VALUE(SUBSTITUTE(SUBSTITUTE(SUBSTITUTE(J2794,"$",""),",","")," ","")),2),"bad")))</f>
        <v/>
      </c>
      <c r="P2794">
        <f>IF(TRIM(K2794)="","",IFERROR(MATCH(LOWER(TRIM(K2794)),'Students'!$AH$2:$AH$701,0),IFERROR(MATCH(LOWER(TRIM(K2794)),'Students'!$AF$2:$AF$701,0),IFERROR(MATCH(LOWER(TRIM(K2794)),'Students'!$AG$2:$AG$701,0),""))))</f>
        <v/>
      </c>
      <c r="R2794">
        <f>IF(P2794="","",INDEX('Students'!$AD$2:$AD$701,P2794))</f>
        <v/>
      </c>
      <c r="S2794">
        <f>IF(H2794="OK",O2794,0)</f>
        <v/>
      </c>
      <c r="T2794">
        <f>IF(H2794="OK",N2794,"")</f>
        <v/>
      </c>
      <c r="U2794">
        <f>IF(OC_Donor=0,"",IF(INDEX('OneCause_Paste'!$A$2794:$AZ$2794,1,OC_Donor)="","",INDEX('OneCause_Paste'!$A$2794:$AZ$2794,1,OC_Donor)))</f>
        <v/>
      </c>
    </row>
    <row r="2795">
      <c r="A2795" s="62">
        <f>IF(H2795="","",IF(ISNUMBER(N2795),N2795,I2795))</f>
        <v/>
      </c>
      <c r="B2795">
        <f>IF(H2795="","",U2795)</f>
        <v/>
      </c>
      <c r="C2795">
        <f>IF(H2795="","",IF(P2795="",K2795,INDEX('Students'!$A$2:$A$701,P2795)))</f>
        <v/>
      </c>
      <c r="D2795">
        <f>IF(OR(H2795="",P2795=""),"",INDEX('Students'!$B$2:$B$701,P2795))</f>
        <v/>
      </c>
      <c r="E2795">
        <f>IF(OR(H2795="",P2795=""),"",INDEX('Students'!$C$2:$C$701,P2795))</f>
        <v/>
      </c>
      <c r="F2795" s="48">
        <f>IF(H2795="","",IF(ISNUMBER(O2795),O2795,J2795))</f>
        <v/>
      </c>
      <c r="G2795">
        <f>IF(H2795="","","OneCause")</f>
        <v/>
      </c>
      <c r="H2795">
        <f>IF(AND(I2795="",J2795="",K2795=""),"",IF(NOT(ISNUMBER(O2795)),"Bad amount",IF(O2795&lt;0,"Refund (not counted)",IF(O2795=0,"Zero amount",IF(NOT(ISNUMBER(N2795)),"Bad date",IF(P2795="","NAME NOT ON ROSTER",IF(L2795="","OK",IF(MATCH(L2795,$L$2:$L$3001,0)&lt;ROW()-1,"Duplicate (ignored)","OK"))))))))</f>
        <v/>
      </c>
      <c r="I2795">
        <f>IF(OC_Date=0,"",IF(INDEX('OneCause_Paste'!$A$2795:$AZ$2795,1,OC_Date)="","",INDEX('OneCause_Paste'!$A$2795:$AZ$2795,1,OC_Date)))</f>
        <v/>
      </c>
      <c r="J2795">
        <f>IF(OC_Amt=0,"",IF(INDEX('OneCause_Paste'!$A$2795:$AZ$2795,1,OC_Amt)="","",INDEX('OneCause_Paste'!$A$2795:$AZ$2795,1,OC_Amt)))</f>
        <v/>
      </c>
      <c r="K2795">
        <f>IF(OC_Name=0,"",IF(INDEX('OneCause_Paste'!$A$2795:$AZ$2795,1,OC_Name)="","",INDEX('OneCause_Paste'!$A$2795:$AZ$2795,1,OC_Name)))</f>
        <v/>
      </c>
      <c r="L2795">
        <f>IF(OC_Txn=0,"",IF(INDEX('OneCause_Paste'!$A$2795:$AZ$2795,1,OC_Txn)="","",INDEX('OneCause_Paste'!$A$2795:$AZ$2795,1,OC_Txn)))</f>
        <v/>
      </c>
      <c r="M2795">
        <f>IF(OC_Pay=0,"",IF(INDEX('OneCause_Paste'!$A$2795:$AZ$2795,1,OC_Pay)="","",INDEX('OneCause_Paste'!$A$2795:$AZ$2795,1,OC_Pay)))</f>
        <v/>
      </c>
      <c r="N2795">
        <f>IF(I2795="","",IF(ISNUMBER(I2795),INT(I2795),IFERROR(INT(DATEVALUE(I2795)),IFERROR(INT(VALUE(I2795)),"bad"))))</f>
        <v/>
      </c>
      <c r="O2795">
        <f>IF(J2795="","",IF(ISNUMBER(J2795),ROUND(J2795,2),IFERROR(ROUND(VALUE(SUBSTITUTE(SUBSTITUTE(SUBSTITUTE(J2795,"$",""),",","")," ","")),2),"bad")))</f>
        <v/>
      </c>
      <c r="P2795">
        <f>IF(TRIM(K2795)="","",IFERROR(MATCH(LOWER(TRIM(K2795)),'Students'!$AH$2:$AH$701,0),IFERROR(MATCH(LOWER(TRIM(K2795)),'Students'!$AF$2:$AF$701,0),IFERROR(MATCH(LOWER(TRIM(K2795)),'Students'!$AG$2:$AG$701,0),""))))</f>
        <v/>
      </c>
      <c r="R2795">
        <f>IF(P2795="","",INDEX('Students'!$AD$2:$AD$701,P2795))</f>
        <v/>
      </c>
      <c r="S2795">
        <f>IF(H2795="OK",O2795,0)</f>
        <v/>
      </c>
      <c r="T2795">
        <f>IF(H2795="OK",N2795,"")</f>
        <v/>
      </c>
      <c r="U2795">
        <f>IF(OC_Donor=0,"",IF(INDEX('OneCause_Paste'!$A$2795:$AZ$2795,1,OC_Donor)="","",INDEX('OneCause_Paste'!$A$2795:$AZ$2795,1,OC_Donor)))</f>
        <v/>
      </c>
    </row>
    <row r="2796">
      <c r="A2796" s="62">
        <f>IF(H2796="","",IF(ISNUMBER(N2796),N2796,I2796))</f>
        <v/>
      </c>
      <c r="B2796">
        <f>IF(H2796="","",U2796)</f>
        <v/>
      </c>
      <c r="C2796">
        <f>IF(H2796="","",IF(P2796="",K2796,INDEX('Students'!$A$2:$A$701,P2796)))</f>
        <v/>
      </c>
      <c r="D2796">
        <f>IF(OR(H2796="",P2796=""),"",INDEX('Students'!$B$2:$B$701,P2796))</f>
        <v/>
      </c>
      <c r="E2796">
        <f>IF(OR(H2796="",P2796=""),"",INDEX('Students'!$C$2:$C$701,P2796))</f>
        <v/>
      </c>
      <c r="F2796" s="48">
        <f>IF(H2796="","",IF(ISNUMBER(O2796),O2796,J2796))</f>
        <v/>
      </c>
      <c r="G2796">
        <f>IF(H2796="","","OneCause")</f>
        <v/>
      </c>
      <c r="H2796">
        <f>IF(AND(I2796="",J2796="",K2796=""),"",IF(NOT(ISNUMBER(O2796)),"Bad amount",IF(O2796&lt;0,"Refund (not counted)",IF(O2796=0,"Zero amount",IF(NOT(ISNUMBER(N2796)),"Bad date",IF(P2796="","NAME NOT ON ROSTER",IF(L2796="","OK",IF(MATCH(L2796,$L$2:$L$3001,0)&lt;ROW()-1,"Duplicate (ignored)","OK"))))))))</f>
        <v/>
      </c>
      <c r="I2796">
        <f>IF(OC_Date=0,"",IF(INDEX('OneCause_Paste'!$A$2796:$AZ$2796,1,OC_Date)="","",INDEX('OneCause_Paste'!$A$2796:$AZ$2796,1,OC_Date)))</f>
        <v/>
      </c>
      <c r="J2796">
        <f>IF(OC_Amt=0,"",IF(INDEX('OneCause_Paste'!$A$2796:$AZ$2796,1,OC_Amt)="","",INDEX('OneCause_Paste'!$A$2796:$AZ$2796,1,OC_Amt)))</f>
        <v/>
      </c>
      <c r="K2796">
        <f>IF(OC_Name=0,"",IF(INDEX('OneCause_Paste'!$A$2796:$AZ$2796,1,OC_Name)="","",INDEX('OneCause_Paste'!$A$2796:$AZ$2796,1,OC_Name)))</f>
        <v/>
      </c>
      <c r="L2796">
        <f>IF(OC_Txn=0,"",IF(INDEX('OneCause_Paste'!$A$2796:$AZ$2796,1,OC_Txn)="","",INDEX('OneCause_Paste'!$A$2796:$AZ$2796,1,OC_Txn)))</f>
        <v/>
      </c>
      <c r="M2796">
        <f>IF(OC_Pay=0,"",IF(INDEX('OneCause_Paste'!$A$2796:$AZ$2796,1,OC_Pay)="","",INDEX('OneCause_Paste'!$A$2796:$AZ$2796,1,OC_Pay)))</f>
        <v/>
      </c>
      <c r="N2796">
        <f>IF(I2796="","",IF(ISNUMBER(I2796),INT(I2796),IFERROR(INT(DATEVALUE(I2796)),IFERROR(INT(VALUE(I2796)),"bad"))))</f>
        <v/>
      </c>
      <c r="O2796">
        <f>IF(J2796="","",IF(ISNUMBER(J2796),ROUND(J2796,2),IFERROR(ROUND(VALUE(SUBSTITUTE(SUBSTITUTE(SUBSTITUTE(J2796,"$",""),",","")," ","")),2),"bad")))</f>
        <v/>
      </c>
      <c r="P2796">
        <f>IF(TRIM(K2796)="","",IFERROR(MATCH(LOWER(TRIM(K2796)),'Students'!$AH$2:$AH$701,0),IFERROR(MATCH(LOWER(TRIM(K2796)),'Students'!$AF$2:$AF$701,0),IFERROR(MATCH(LOWER(TRIM(K2796)),'Students'!$AG$2:$AG$701,0),""))))</f>
        <v/>
      </c>
      <c r="R2796">
        <f>IF(P2796="","",INDEX('Students'!$AD$2:$AD$701,P2796))</f>
        <v/>
      </c>
      <c r="S2796">
        <f>IF(H2796="OK",O2796,0)</f>
        <v/>
      </c>
      <c r="T2796">
        <f>IF(H2796="OK",N2796,"")</f>
        <v/>
      </c>
      <c r="U2796">
        <f>IF(OC_Donor=0,"",IF(INDEX('OneCause_Paste'!$A$2796:$AZ$2796,1,OC_Donor)="","",INDEX('OneCause_Paste'!$A$2796:$AZ$2796,1,OC_Donor)))</f>
        <v/>
      </c>
    </row>
    <row r="2797">
      <c r="A2797" s="62">
        <f>IF(H2797="","",IF(ISNUMBER(N2797),N2797,I2797))</f>
        <v/>
      </c>
      <c r="B2797">
        <f>IF(H2797="","",U2797)</f>
        <v/>
      </c>
      <c r="C2797">
        <f>IF(H2797="","",IF(P2797="",K2797,INDEX('Students'!$A$2:$A$701,P2797)))</f>
        <v/>
      </c>
      <c r="D2797">
        <f>IF(OR(H2797="",P2797=""),"",INDEX('Students'!$B$2:$B$701,P2797))</f>
        <v/>
      </c>
      <c r="E2797">
        <f>IF(OR(H2797="",P2797=""),"",INDEX('Students'!$C$2:$C$701,P2797))</f>
        <v/>
      </c>
      <c r="F2797" s="48">
        <f>IF(H2797="","",IF(ISNUMBER(O2797),O2797,J2797))</f>
        <v/>
      </c>
      <c r="G2797">
        <f>IF(H2797="","","OneCause")</f>
        <v/>
      </c>
      <c r="H2797">
        <f>IF(AND(I2797="",J2797="",K2797=""),"",IF(NOT(ISNUMBER(O2797)),"Bad amount",IF(O2797&lt;0,"Refund (not counted)",IF(O2797=0,"Zero amount",IF(NOT(ISNUMBER(N2797)),"Bad date",IF(P2797="","NAME NOT ON ROSTER",IF(L2797="","OK",IF(MATCH(L2797,$L$2:$L$3001,0)&lt;ROW()-1,"Duplicate (ignored)","OK"))))))))</f>
        <v/>
      </c>
      <c r="I2797">
        <f>IF(OC_Date=0,"",IF(INDEX('OneCause_Paste'!$A$2797:$AZ$2797,1,OC_Date)="","",INDEX('OneCause_Paste'!$A$2797:$AZ$2797,1,OC_Date)))</f>
        <v/>
      </c>
      <c r="J2797">
        <f>IF(OC_Amt=0,"",IF(INDEX('OneCause_Paste'!$A$2797:$AZ$2797,1,OC_Amt)="","",INDEX('OneCause_Paste'!$A$2797:$AZ$2797,1,OC_Amt)))</f>
        <v/>
      </c>
      <c r="K2797">
        <f>IF(OC_Name=0,"",IF(INDEX('OneCause_Paste'!$A$2797:$AZ$2797,1,OC_Name)="","",INDEX('OneCause_Paste'!$A$2797:$AZ$2797,1,OC_Name)))</f>
        <v/>
      </c>
      <c r="L2797">
        <f>IF(OC_Txn=0,"",IF(INDEX('OneCause_Paste'!$A$2797:$AZ$2797,1,OC_Txn)="","",INDEX('OneCause_Paste'!$A$2797:$AZ$2797,1,OC_Txn)))</f>
        <v/>
      </c>
      <c r="M2797">
        <f>IF(OC_Pay=0,"",IF(INDEX('OneCause_Paste'!$A$2797:$AZ$2797,1,OC_Pay)="","",INDEX('OneCause_Paste'!$A$2797:$AZ$2797,1,OC_Pay)))</f>
        <v/>
      </c>
      <c r="N2797">
        <f>IF(I2797="","",IF(ISNUMBER(I2797),INT(I2797),IFERROR(INT(DATEVALUE(I2797)),IFERROR(INT(VALUE(I2797)),"bad"))))</f>
        <v/>
      </c>
      <c r="O2797">
        <f>IF(J2797="","",IF(ISNUMBER(J2797),ROUND(J2797,2),IFERROR(ROUND(VALUE(SUBSTITUTE(SUBSTITUTE(SUBSTITUTE(J2797,"$",""),",","")," ","")),2),"bad")))</f>
        <v/>
      </c>
      <c r="P2797">
        <f>IF(TRIM(K2797)="","",IFERROR(MATCH(LOWER(TRIM(K2797)),'Students'!$AH$2:$AH$701,0),IFERROR(MATCH(LOWER(TRIM(K2797)),'Students'!$AF$2:$AF$701,0),IFERROR(MATCH(LOWER(TRIM(K2797)),'Students'!$AG$2:$AG$701,0),""))))</f>
        <v/>
      </c>
      <c r="R2797">
        <f>IF(P2797="","",INDEX('Students'!$AD$2:$AD$701,P2797))</f>
        <v/>
      </c>
      <c r="S2797">
        <f>IF(H2797="OK",O2797,0)</f>
        <v/>
      </c>
      <c r="T2797">
        <f>IF(H2797="OK",N2797,"")</f>
        <v/>
      </c>
      <c r="U2797">
        <f>IF(OC_Donor=0,"",IF(INDEX('OneCause_Paste'!$A$2797:$AZ$2797,1,OC_Donor)="","",INDEX('OneCause_Paste'!$A$2797:$AZ$2797,1,OC_Donor)))</f>
        <v/>
      </c>
    </row>
    <row r="2798">
      <c r="A2798" s="62">
        <f>IF(H2798="","",IF(ISNUMBER(N2798),N2798,I2798))</f>
        <v/>
      </c>
      <c r="B2798">
        <f>IF(H2798="","",U2798)</f>
        <v/>
      </c>
      <c r="C2798">
        <f>IF(H2798="","",IF(P2798="",K2798,INDEX('Students'!$A$2:$A$701,P2798)))</f>
        <v/>
      </c>
      <c r="D2798">
        <f>IF(OR(H2798="",P2798=""),"",INDEX('Students'!$B$2:$B$701,P2798))</f>
        <v/>
      </c>
      <c r="E2798">
        <f>IF(OR(H2798="",P2798=""),"",INDEX('Students'!$C$2:$C$701,P2798))</f>
        <v/>
      </c>
      <c r="F2798" s="48">
        <f>IF(H2798="","",IF(ISNUMBER(O2798),O2798,J2798))</f>
        <v/>
      </c>
      <c r="G2798">
        <f>IF(H2798="","","OneCause")</f>
        <v/>
      </c>
      <c r="H2798">
        <f>IF(AND(I2798="",J2798="",K2798=""),"",IF(NOT(ISNUMBER(O2798)),"Bad amount",IF(O2798&lt;0,"Refund (not counted)",IF(O2798=0,"Zero amount",IF(NOT(ISNUMBER(N2798)),"Bad date",IF(P2798="","NAME NOT ON ROSTER",IF(L2798="","OK",IF(MATCH(L2798,$L$2:$L$3001,0)&lt;ROW()-1,"Duplicate (ignored)","OK"))))))))</f>
        <v/>
      </c>
      <c r="I2798">
        <f>IF(OC_Date=0,"",IF(INDEX('OneCause_Paste'!$A$2798:$AZ$2798,1,OC_Date)="","",INDEX('OneCause_Paste'!$A$2798:$AZ$2798,1,OC_Date)))</f>
        <v/>
      </c>
      <c r="J2798">
        <f>IF(OC_Amt=0,"",IF(INDEX('OneCause_Paste'!$A$2798:$AZ$2798,1,OC_Amt)="","",INDEX('OneCause_Paste'!$A$2798:$AZ$2798,1,OC_Amt)))</f>
        <v/>
      </c>
      <c r="K2798">
        <f>IF(OC_Name=0,"",IF(INDEX('OneCause_Paste'!$A$2798:$AZ$2798,1,OC_Name)="","",INDEX('OneCause_Paste'!$A$2798:$AZ$2798,1,OC_Name)))</f>
        <v/>
      </c>
      <c r="L2798">
        <f>IF(OC_Txn=0,"",IF(INDEX('OneCause_Paste'!$A$2798:$AZ$2798,1,OC_Txn)="","",INDEX('OneCause_Paste'!$A$2798:$AZ$2798,1,OC_Txn)))</f>
        <v/>
      </c>
      <c r="M2798">
        <f>IF(OC_Pay=0,"",IF(INDEX('OneCause_Paste'!$A$2798:$AZ$2798,1,OC_Pay)="","",INDEX('OneCause_Paste'!$A$2798:$AZ$2798,1,OC_Pay)))</f>
        <v/>
      </c>
      <c r="N2798">
        <f>IF(I2798="","",IF(ISNUMBER(I2798),INT(I2798),IFERROR(INT(DATEVALUE(I2798)),IFERROR(INT(VALUE(I2798)),"bad"))))</f>
        <v/>
      </c>
      <c r="O2798">
        <f>IF(J2798="","",IF(ISNUMBER(J2798),ROUND(J2798,2),IFERROR(ROUND(VALUE(SUBSTITUTE(SUBSTITUTE(SUBSTITUTE(J2798,"$",""),",","")," ","")),2),"bad")))</f>
        <v/>
      </c>
      <c r="P2798">
        <f>IF(TRIM(K2798)="","",IFERROR(MATCH(LOWER(TRIM(K2798)),'Students'!$AH$2:$AH$701,0),IFERROR(MATCH(LOWER(TRIM(K2798)),'Students'!$AF$2:$AF$701,0),IFERROR(MATCH(LOWER(TRIM(K2798)),'Students'!$AG$2:$AG$701,0),""))))</f>
        <v/>
      </c>
      <c r="R2798">
        <f>IF(P2798="","",INDEX('Students'!$AD$2:$AD$701,P2798))</f>
        <v/>
      </c>
      <c r="S2798">
        <f>IF(H2798="OK",O2798,0)</f>
        <v/>
      </c>
      <c r="T2798">
        <f>IF(H2798="OK",N2798,"")</f>
        <v/>
      </c>
      <c r="U2798">
        <f>IF(OC_Donor=0,"",IF(INDEX('OneCause_Paste'!$A$2798:$AZ$2798,1,OC_Donor)="","",INDEX('OneCause_Paste'!$A$2798:$AZ$2798,1,OC_Donor)))</f>
        <v/>
      </c>
    </row>
    <row r="2799">
      <c r="A2799" s="62">
        <f>IF(H2799="","",IF(ISNUMBER(N2799),N2799,I2799))</f>
        <v/>
      </c>
      <c r="B2799">
        <f>IF(H2799="","",U2799)</f>
        <v/>
      </c>
      <c r="C2799">
        <f>IF(H2799="","",IF(P2799="",K2799,INDEX('Students'!$A$2:$A$701,P2799)))</f>
        <v/>
      </c>
      <c r="D2799">
        <f>IF(OR(H2799="",P2799=""),"",INDEX('Students'!$B$2:$B$701,P2799))</f>
        <v/>
      </c>
      <c r="E2799">
        <f>IF(OR(H2799="",P2799=""),"",INDEX('Students'!$C$2:$C$701,P2799))</f>
        <v/>
      </c>
      <c r="F2799" s="48">
        <f>IF(H2799="","",IF(ISNUMBER(O2799),O2799,J2799))</f>
        <v/>
      </c>
      <c r="G2799">
        <f>IF(H2799="","","OneCause")</f>
        <v/>
      </c>
      <c r="H2799">
        <f>IF(AND(I2799="",J2799="",K2799=""),"",IF(NOT(ISNUMBER(O2799)),"Bad amount",IF(O2799&lt;0,"Refund (not counted)",IF(O2799=0,"Zero amount",IF(NOT(ISNUMBER(N2799)),"Bad date",IF(P2799="","NAME NOT ON ROSTER",IF(L2799="","OK",IF(MATCH(L2799,$L$2:$L$3001,0)&lt;ROW()-1,"Duplicate (ignored)","OK"))))))))</f>
        <v/>
      </c>
      <c r="I2799">
        <f>IF(OC_Date=0,"",IF(INDEX('OneCause_Paste'!$A$2799:$AZ$2799,1,OC_Date)="","",INDEX('OneCause_Paste'!$A$2799:$AZ$2799,1,OC_Date)))</f>
        <v/>
      </c>
      <c r="J2799">
        <f>IF(OC_Amt=0,"",IF(INDEX('OneCause_Paste'!$A$2799:$AZ$2799,1,OC_Amt)="","",INDEX('OneCause_Paste'!$A$2799:$AZ$2799,1,OC_Amt)))</f>
        <v/>
      </c>
      <c r="K2799">
        <f>IF(OC_Name=0,"",IF(INDEX('OneCause_Paste'!$A$2799:$AZ$2799,1,OC_Name)="","",INDEX('OneCause_Paste'!$A$2799:$AZ$2799,1,OC_Name)))</f>
        <v/>
      </c>
      <c r="L2799">
        <f>IF(OC_Txn=0,"",IF(INDEX('OneCause_Paste'!$A$2799:$AZ$2799,1,OC_Txn)="","",INDEX('OneCause_Paste'!$A$2799:$AZ$2799,1,OC_Txn)))</f>
        <v/>
      </c>
      <c r="M2799">
        <f>IF(OC_Pay=0,"",IF(INDEX('OneCause_Paste'!$A$2799:$AZ$2799,1,OC_Pay)="","",INDEX('OneCause_Paste'!$A$2799:$AZ$2799,1,OC_Pay)))</f>
        <v/>
      </c>
      <c r="N2799">
        <f>IF(I2799="","",IF(ISNUMBER(I2799),INT(I2799),IFERROR(INT(DATEVALUE(I2799)),IFERROR(INT(VALUE(I2799)),"bad"))))</f>
        <v/>
      </c>
      <c r="O2799">
        <f>IF(J2799="","",IF(ISNUMBER(J2799),ROUND(J2799,2),IFERROR(ROUND(VALUE(SUBSTITUTE(SUBSTITUTE(SUBSTITUTE(J2799,"$",""),",","")," ","")),2),"bad")))</f>
        <v/>
      </c>
      <c r="P2799">
        <f>IF(TRIM(K2799)="","",IFERROR(MATCH(LOWER(TRIM(K2799)),'Students'!$AH$2:$AH$701,0),IFERROR(MATCH(LOWER(TRIM(K2799)),'Students'!$AF$2:$AF$701,0),IFERROR(MATCH(LOWER(TRIM(K2799)),'Students'!$AG$2:$AG$701,0),""))))</f>
        <v/>
      </c>
      <c r="R2799">
        <f>IF(P2799="","",INDEX('Students'!$AD$2:$AD$701,P2799))</f>
        <v/>
      </c>
      <c r="S2799">
        <f>IF(H2799="OK",O2799,0)</f>
        <v/>
      </c>
      <c r="T2799">
        <f>IF(H2799="OK",N2799,"")</f>
        <v/>
      </c>
      <c r="U2799">
        <f>IF(OC_Donor=0,"",IF(INDEX('OneCause_Paste'!$A$2799:$AZ$2799,1,OC_Donor)="","",INDEX('OneCause_Paste'!$A$2799:$AZ$2799,1,OC_Donor)))</f>
        <v/>
      </c>
    </row>
    <row r="2800">
      <c r="A2800" s="62">
        <f>IF(H2800="","",IF(ISNUMBER(N2800),N2800,I2800))</f>
        <v/>
      </c>
      <c r="B2800">
        <f>IF(H2800="","",U2800)</f>
        <v/>
      </c>
      <c r="C2800">
        <f>IF(H2800="","",IF(P2800="",K2800,INDEX('Students'!$A$2:$A$701,P2800)))</f>
        <v/>
      </c>
      <c r="D2800">
        <f>IF(OR(H2800="",P2800=""),"",INDEX('Students'!$B$2:$B$701,P2800))</f>
        <v/>
      </c>
      <c r="E2800">
        <f>IF(OR(H2800="",P2800=""),"",INDEX('Students'!$C$2:$C$701,P2800))</f>
        <v/>
      </c>
      <c r="F2800" s="48">
        <f>IF(H2800="","",IF(ISNUMBER(O2800),O2800,J2800))</f>
        <v/>
      </c>
      <c r="G2800">
        <f>IF(H2800="","","OneCause")</f>
        <v/>
      </c>
      <c r="H2800">
        <f>IF(AND(I2800="",J2800="",K2800=""),"",IF(NOT(ISNUMBER(O2800)),"Bad amount",IF(O2800&lt;0,"Refund (not counted)",IF(O2800=0,"Zero amount",IF(NOT(ISNUMBER(N2800)),"Bad date",IF(P2800="","NAME NOT ON ROSTER",IF(L2800="","OK",IF(MATCH(L2800,$L$2:$L$3001,0)&lt;ROW()-1,"Duplicate (ignored)","OK"))))))))</f>
        <v/>
      </c>
      <c r="I2800">
        <f>IF(OC_Date=0,"",IF(INDEX('OneCause_Paste'!$A$2800:$AZ$2800,1,OC_Date)="","",INDEX('OneCause_Paste'!$A$2800:$AZ$2800,1,OC_Date)))</f>
        <v/>
      </c>
      <c r="J2800">
        <f>IF(OC_Amt=0,"",IF(INDEX('OneCause_Paste'!$A$2800:$AZ$2800,1,OC_Amt)="","",INDEX('OneCause_Paste'!$A$2800:$AZ$2800,1,OC_Amt)))</f>
        <v/>
      </c>
      <c r="K2800">
        <f>IF(OC_Name=0,"",IF(INDEX('OneCause_Paste'!$A$2800:$AZ$2800,1,OC_Name)="","",INDEX('OneCause_Paste'!$A$2800:$AZ$2800,1,OC_Name)))</f>
        <v/>
      </c>
      <c r="L2800">
        <f>IF(OC_Txn=0,"",IF(INDEX('OneCause_Paste'!$A$2800:$AZ$2800,1,OC_Txn)="","",INDEX('OneCause_Paste'!$A$2800:$AZ$2800,1,OC_Txn)))</f>
        <v/>
      </c>
      <c r="M2800">
        <f>IF(OC_Pay=0,"",IF(INDEX('OneCause_Paste'!$A$2800:$AZ$2800,1,OC_Pay)="","",INDEX('OneCause_Paste'!$A$2800:$AZ$2800,1,OC_Pay)))</f>
        <v/>
      </c>
      <c r="N2800">
        <f>IF(I2800="","",IF(ISNUMBER(I2800),INT(I2800),IFERROR(INT(DATEVALUE(I2800)),IFERROR(INT(VALUE(I2800)),"bad"))))</f>
        <v/>
      </c>
      <c r="O2800">
        <f>IF(J2800="","",IF(ISNUMBER(J2800),ROUND(J2800,2),IFERROR(ROUND(VALUE(SUBSTITUTE(SUBSTITUTE(SUBSTITUTE(J2800,"$",""),",","")," ","")),2),"bad")))</f>
        <v/>
      </c>
      <c r="P2800">
        <f>IF(TRIM(K2800)="","",IFERROR(MATCH(LOWER(TRIM(K2800)),'Students'!$AH$2:$AH$701,0),IFERROR(MATCH(LOWER(TRIM(K2800)),'Students'!$AF$2:$AF$701,0),IFERROR(MATCH(LOWER(TRIM(K2800)),'Students'!$AG$2:$AG$701,0),""))))</f>
        <v/>
      </c>
      <c r="R2800">
        <f>IF(P2800="","",INDEX('Students'!$AD$2:$AD$701,P2800))</f>
        <v/>
      </c>
      <c r="S2800">
        <f>IF(H2800="OK",O2800,0)</f>
        <v/>
      </c>
      <c r="T2800">
        <f>IF(H2800="OK",N2800,"")</f>
        <v/>
      </c>
      <c r="U2800">
        <f>IF(OC_Donor=0,"",IF(INDEX('OneCause_Paste'!$A$2800:$AZ$2800,1,OC_Donor)="","",INDEX('OneCause_Paste'!$A$2800:$AZ$2800,1,OC_Donor)))</f>
        <v/>
      </c>
    </row>
    <row r="2801">
      <c r="A2801" s="62">
        <f>IF(H2801="","",IF(ISNUMBER(N2801),N2801,I2801))</f>
        <v/>
      </c>
      <c r="B2801">
        <f>IF(H2801="","",U2801)</f>
        <v/>
      </c>
      <c r="C2801">
        <f>IF(H2801="","",IF(P2801="",K2801,INDEX('Students'!$A$2:$A$701,P2801)))</f>
        <v/>
      </c>
      <c r="D2801">
        <f>IF(OR(H2801="",P2801=""),"",INDEX('Students'!$B$2:$B$701,P2801))</f>
        <v/>
      </c>
      <c r="E2801">
        <f>IF(OR(H2801="",P2801=""),"",INDEX('Students'!$C$2:$C$701,P2801))</f>
        <v/>
      </c>
      <c r="F2801" s="48">
        <f>IF(H2801="","",IF(ISNUMBER(O2801),O2801,J2801))</f>
        <v/>
      </c>
      <c r="G2801">
        <f>IF(H2801="","","OneCause")</f>
        <v/>
      </c>
      <c r="H2801">
        <f>IF(AND(I2801="",J2801="",K2801=""),"",IF(NOT(ISNUMBER(O2801)),"Bad amount",IF(O2801&lt;0,"Refund (not counted)",IF(O2801=0,"Zero amount",IF(NOT(ISNUMBER(N2801)),"Bad date",IF(P2801="","NAME NOT ON ROSTER",IF(L2801="","OK",IF(MATCH(L2801,$L$2:$L$3001,0)&lt;ROW()-1,"Duplicate (ignored)","OK"))))))))</f>
        <v/>
      </c>
      <c r="I2801">
        <f>IF(OC_Date=0,"",IF(INDEX('OneCause_Paste'!$A$2801:$AZ$2801,1,OC_Date)="","",INDEX('OneCause_Paste'!$A$2801:$AZ$2801,1,OC_Date)))</f>
        <v/>
      </c>
      <c r="J2801">
        <f>IF(OC_Amt=0,"",IF(INDEX('OneCause_Paste'!$A$2801:$AZ$2801,1,OC_Amt)="","",INDEX('OneCause_Paste'!$A$2801:$AZ$2801,1,OC_Amt)))</f>
        <v/>
      </c>
      <c r="K2801">
        <f>IF(OC_Name=0,"",IF(INDEX('OneCause_Paste'!$A$2801:$AZ$2801,1,OC_Name)="","",INDEX('OneCause_Paste'!$A$2801:$AZ$2801,1,OC_Name)))</f>
        <v/>
      </c>
      <c r="L2801">
        <f>IF(OC_Txn=0,"",IF(INDEX('OneCause_Paste'!$A$2801:$AZ$2801,1,OC_Txn)="","",INDEX('OneCause_Paste'!$A$2801:$AZ$2801,1,OC_Txn)))</f>
        <v/>
      </c>
      <c r="M2801">
        <f>IF(OC_Pay=0,"",IF(INDEX('OneCause_Paste'!$A$2801:$AZ$2801,1,OC_Pay)="","",INDEX('OneCause_Paste'!$A$2801:$AZ$2801,1,OC_Pay)))</f>
        <v/>
      </c>
      <c r="N2801">
        <f>IF(I2801="","",IF(ISNUMBER(I2801),INT(I2801),IFERROR(INT(DATEVALUE(I2801)),IFERROR(INT(VALUE(I2801)),"bad"))))</f>
        <v/>
      </c>
      <c r="O2801">
        <f>IF(J2801="","",IF(ISNUMBER(J2801),ROUND(J2801,2),IFERROR(ROUND(VALUE(SUBSTITUTE(SUBSTITUTE(SUBSTITUTE(J2801,"$",""),",","")," ","")),2),"bad")))</f>
        <v/>
      </c>
      <c r="P2801">
        <f>IF(TRIM(K2801)="","",IFERROR(MATCH(LOWER(TRIM(K2801)),'Students'!$AH$2:$AH$701,0),IFERROR(MATCH(LOWER(TRIM(K2801)),'Students'!$AF$2:$AF$701,0),IFERROR(MATCH(LOWER(TRIM(K2801)),'Students'!$AG$2:$AG$701,0),""))))</f>
        <v/>
      </c>
      <c r="R2801">
        <f>IF(P2801="","",INDEX('Students'!$AD$2:$AD$701,P2801))</f>
        <v/>
      </c>
      <c r="S2801">
        <f>IF(H2801="OK",O2801,0)</f>
        <v/>
      </c>
      <c r="T2801">
        <f>IF(H2801="OK",N2801,"")</f>
        <v/>
      </c>
      <c r="U2801">
        <f>IF(OC_Donor=0,"",IF(INDEX('OneCause_Paste'!$A$2801:$AZ$2801,1,OC_Donor)="","",INDEX('OneCause_Paste'!$A$2801:$AZ$2801,1,OC_Donor)))</f>
        <v/>
      </c>
    </row>
    <row r="2802">
      <c r="A2802" s="62">
        <f>IF(H2802="","",IF(ISNUMBER(N2802),N2802,I2802))</f>
        <v/>
      </c>
      <c r="B2802">
        <f>IF(H2802="","",U2802)</f>
        <v/>
      </c>
      <c r="C2802">
        <f>IF(H2802="","",IF(P2802="",K2802,INDEX('Students'!$A$2:$A$701,P2802)))</f>
        <v/>
      </c>
      <c r="D2802">
        <f>IF(OR(H2802="",P2802=""),"",INDEX('Students'!$B$2:$B$701,P2802))</f>
        <v/>
      </c>
      <c r="E2802">
        <f>IF(OR(H2802="",P2802=""),"",INDEX('Students'!$C$2:$C$701,P2802))</f>
        <v/>
      </c>
      <c r="F2802" s="48">
        <f>IF(H2802="","",IF(ISNUMBER(O2802),O2802,J2802))</f>
        <v/>
      </c>
      <c r="G2802">
        <f>IF(H2802="","","OneCause")</f>
        <v/>
      </c>
      <c r="H2802">
        <f>IF(AND(I2802="",J2802="",K2802=""),"",IF(NOT(ISNUMBER(O2802)),"Bad amount",IF(O2802&lt;0,"Refund (not counted)",IF(O2802=0,"Zero amount",IF(NOT(ISNUMBER(N2802)),"Bad date",IF(P2802="","NAME NOT ON ROSTER",IF(L2802="","OK",IF(MATCH(L2802,$L$2:$L$3001,0)&lt;ROW()-1,"Duplicate (ignored)","OK"))))))))</f>
        <v/>
      </c>
      <c r="I2802">
        <f>IF(OC_Date=0,"",IF(INDEX('OneCause_Paste'!$A$2802:$AZ$2802,1,OC_Date)="","",INDEX('OneCause_Paste'!$A$2802:$AZ$2802,1,OC_Date)))</f>
        <v/>
      </c>
      <c r="J2802">
        <f>IF(OC_Amt=0,"",IF(INDEX('OneCause_Paste'!$A$2802:$AZ$2802,1,OC_Amt)="","",INDEX('OneCause_Paste'!$A$2802:$AZ$2802,1,OC_Amt)))</f>
        <v/>
      </c>
      <c r="K2802">
        <f>IF(OC_Name=0,"",IF(INDEX('OneCause_Paste'!$A$2802:$AZ$2802,1,OC_Name)="","",INDEX('OneCause_Paste'!$A$2802:$AZ$2802,1,OC_Name)))</f>
        <v/>
      </c>
      <c r="L2802">
        <f>IF(OC_Txn=0,"",IF(INDEX('OneCause_Paste'!$A$2802:$AZ$2802,1,OC_Txn)="","",INDEX('OneCause_Paste'!$A$2802:$AZ$2802,1,OC_Txn)))</f>
        <v/>
      </c>
      <c r="M2802">
        <f>IF(OC_Pay=0,"",IF(INDEX('OneCause_Paste'!$A$2802:$AZ$2802,1,OC_Pay)="","",INDEX('OneCause_Paste'!$A$2802:$AZ$2802,1,OC_Pay)))</f>
        <v/>
      </c>
      <c r="N2802">
        <f>IF(I2802="","",IF(ISNUMBER(I2802),INT(I2802),IFERROR(INT(DATEVALUE(I2802)),IFERROR(INT(VALUE(I2802)),"bad"))))</f>
        <v/>
      </c>
      <c r="O2802">
        <f>IF(J2802="","",IF(ISNUMBER(J2802),ROUND(J2802,2),IFERROR(ROUND(VALUE(SUBSTITUTE(SUBSTITUTE(SUBSTITUTE(J2802,"$",""),",","")," ","")),2),"bad")))</f>
        <v/>
      </c>
      <c r="P2802">
        <f>IF(TRIM(K2802)="","",IFERROR(MATCH(LOWER(TRIM(K2802)),'Students'!$AH$2:$AH$701,0),IFERROR(MATCH(LOWER(TRIM(K2802)),'Students'!$AF$2:$AF$701,0),IFERROR(MATCH(LOWER(TRIM(K2802)),'Students'!$AG$2:$AG$701,0),""))))</f>
        <v/>
      </c>
      <c r="R2802">
        <f>IF(P2802="","",INDEX('Students'!$AD$2:$AD$701,P2802))</f>
        <v/>
      </c>
      <c r="S2802">
        <f>IF(H2802="OK",O2802,0)</f>
        <v/>
      </c>
      <c r="T2802">
        <f>IF(H2802="OK",N2802,"")</f>
        <v/>
      </c>
      <c r="U2802">
        <f>IF(OC_Donor=0,"",IF(INDEX('OneCause_Paste'!$A$2802:$AZ$2802,1,OC_Donor)="","",INDEX('OneCause_Paste'!$A$2802:$AZ$2802,1,OC_Donor)))</f>
        <v/>
      </c>
    </row>
    <row r="2803">
      <c r="A2803" s="62">
        <f>IF(H2803="","",IF(ISNUMBER(N2803),N2803,I2803))</f>
        <v/>
      </c>
      <c r="B2803">
        <f>IF(H2803="","",U2803)</f>
        <v/>
      </c>
      <c r="C2803">
        <f>IF(H2803="","",IF(P2803="",K2803,INDEX('Students'!$A$2:$A$701,P2803)))</f>
        <v/>
      </c>
      <c r="D2803">
        <f>IF(OR(H2803="",P2803=""),"",INDEX('Students'!$B$2:$B$701,P2803))</f>
        <v/>
      </c>
      <c r="E2803">
        <f>IF(OR(H2803="",P2803=""),"",INDEX('Students'!$C$2:$C$701,P2803))</f>
        <v/>
      </c>
      <c r="F2803" s="48">
        <f>IF(H2803="","",IF(ISNUMBER(O2803),O2803,J2803))</f>
        <v/>
      </c>
      <c r="G2803">
        <f>IF(H2803="","","OneCause")</f>
        <v/>
      </c>
      <c r="H2803">
        <f>IF(AND(I2803="",J2803="",K2803=""),"",IF(NOT(ISNUMBER(O2803)),"Bad amount",IF(O2803&lt;0,"Refund (not counted)",IF(O2803=0,"Zero amount",IF(NOT(ISNUMBER(N2803)),"Bad date",IF(P2803="","NAME NOT ON ROSTER",IF(L2803="","OK",IF(MATCH(L2803,$L$2:$L$3001,0)&lt;ROW()-1,"Duplicate (ignored)","OK"))))))))</f>
        <v/>
      </c>
      <c r="I2803">
        <f>IF(OC_Date=0,"",IF(INDEX('OneCause_Paste'!$A$2803:$AZ$2803,1,OC_Date)="","",INDEX('OneCause_Paste'!$A$2803:$AZ$2803,1,OC_Date)))</f>
        <v/>
      </c>
      <c r="J2803">
        <f>IF(OC_Amt=0,"",IF(INDEX('OneCause_Paste'!$A$2803:$AZ$2803,1,OC_Amt)="","",INDEX('OneCause_Paste'!$A$2803:$AZ$2803,1,OC_Amt)))</f>
        <v/>
      </c>
      <c r="K2803">
        <f>IF(OC_Name=0,"",IF(INDEX('OneCause_Paste'!$A$2803:$AZ$2803,1,OC_Name)="","",INDEX('OneCause_Paste'!$A$2803:$AZ$2803,1,OC_Name)))</f>
        <v/>
      </c>
      <c r="L2803">
        <f>IF(OC_Txn=0,"",IF(INDEX('OneCause_Paste'!$A$2803:$AZ$2803,1,OC_Txn)="","",INDEX('OneCause_Paste'!$A$2803:$AZ$2803,1,OC_Txn)))</f>
        <v/>
      </c>
      <c r="M2803">
        <f>IF(OC_Pay=0,"",IF(INDEX('OneCause_Paste'!$A$2803:$AZ$2803,1,OC_Pay)="","",INDEX('OneCause_Paste'!$A$2803:$AZ$2803,1,OC_Pay)))</f>
        <v/>
      </c>
      <c r="N2803">
        <f>IF(I2803="","",IF(ISNUMBER(I2803),INT(I2803),IFERROR(INT(DATEVALUE(I2803)),IFERROR(INT(VALUE(I2803)),"bad"))))</f>
        <v/>
      </c>
      <c r="O2803">
        <f>IF(J2803="","",IF(ISNUMBER(J2803),ROUND(J2803,2),IFERROR(ROUND(VALUE(SUBSTITUTE(SUBSTITUTE(SUBSTITUTE(J2803,"$",""),",","")," ","")),2),"bad")))</f>
        <v/>
      </c>
      <c r="P2803">
        <f>IF(TRIM(K2803)="","",IFERROR(MATCH(LOWER(TRIM(K2803)),'Students'!$AH$2:$AH$701,0),IFERROR(MATCH(LOWER(TRIM(K2803)),'Students'!$AF$2:$AF$701,0),IFERROR(MATCH(LOWER(TRIM(K2803)),'Students'!$AG$2:$AG$701,0),""))))</f>
        <v/>
      </c>
      <c r="R2803">
        <f>IF(P2803="","",INDEX('Students'!$AD$2:$AD$701,P2803))</f>
        <v/>
      </c>
      <c r="S2803">
        <f>IF(H2803="OK",O2803,0)</f>
        <v/>
      </c>
      <c r="T2803">
        <f>IF(H2803="OK",N2803,"")</f>
        <v/>
      </c>
      <c r="U2803">
        <f>IF(OC_Donor=0,"",IF(INDEX('OneCause_Paste'!$A$2803:$AZ$2803,1,OC_Donor)="","",INDEX('OneCause_Paste'!$A$2803:$AZ$2803,1,OC_Donor)))</f>
        <v/>
      </c>
    </row>
    <row r="2804">
      <c r="A2804" s="62">
        <f>IF(H2804="","",IF(ISNUMBER(N2804),N2804,I2804))</f>
        <v/>
      </c>
      <c r="B2804">
        <f>IF(H2804="","",U2804)</f>
        <v/>
      </c>
      <c r="C2804">
        <f>IF(H2804="","",IF(P2804="",K2804,INDEX('Students'!$A$2:$A$701,P2804)))</f>
        <v/>
      </c>
      <c r="D2804">
        <f>IF(OR(H2804="",P2804=""),"",INDEX('Students'!$B$2:$B$701,P2804))</f>
        <v/>
      </c>
      <c r="E2804">
        <f>IF(OR(H2804="",P2804=""),"",INDEX('Students'!$C$2:$C$701,P2804))</f>
        <v/>
      </c>
      <c r="F2804" s="48">
        <f>IF(H2804="","",IF(ISNUMBER(O2804),O2804,J2804))</f>
        <v/>
      </c>
      <c r="G2804">
        <f>IF(H2804="","","OneCause")</f>
        <v/>
      </c>
      <c r="H2804">
        <f>IF(AND(I2804="",J2804="",K2804=""),"",IF(NOT(ISNUMBER(O2804)),"Bad amount",IF(O2804&lt;0,"Refund (not counted)",IF(O2804=0,"Zero amount",IF(NOT(ISNUMBER(N2804)),"Bad date",IF(P2804="","NAME NOT ON ROSTER",IF(L2804="","OK",IF(MATCH(L2804,$L$2:$L$3001,0)&lt;ROW()-1,"Duplicate (ignored)","OK"))))))))</f>
        <v/>
      </c>
      <c r="I2804">
        <f>IF(OC_Date=0,"",IF(INDEX('OneCause_Paste'!$A$2804:$AZ$2804,1,OC_Date)="","",INDEX('OneCause_Paste'!$A$2804:$AZ$2804,1,OC_Date)))</f>
        <v/>
      </c>
      <c r="J2804">
        <f>IF(OC_Amt=0,"",IF(INDEX('OneCause_Paste'!$A$2804:$AZ$2804,1,OC_Amt)="","",INDEX('OneCause_Paste'!$A$2804:$AZ$2804,1,OC_Amt)))</f>
        <v/>
      </c>
      <c r="K2804">
        <f>IF(OC_Name=0,"",IF(INDEX('OneCause_Paste'!$A$2804:$AZ$2804,1,OC_Name)="","",INDEX('OneCause_Paste'!$A$2804:$AZ$2804,1,OC_Name)))</f>
        <v/>
      </c>
      <c r="L2804">
        <f>IF(OC_Txn=0,"",IF(INDEX('OneCause_Paste'!$A$2804:$AZ$2804,1,OC_Txn)="","",INDEX('OneCause_Paste'!$A$2804:$AZ$2804,1,OC_Txn)))</f>
        <v/>
      </c>
      <c r="M2804">
        <f>IF(OC_Pay=0,"",IF(INDEX('OneCause_Paste'!$A$2804:$AZ$2804,1,OC_Pay)="","",INDEX('OneCause_Paste'!$A$2804:$AZ$2804,1,OC_Pay)))</f>
        <v/>
      </c>
      <c r="N2804">
        <f>IF(I2804="","",IF(ISNUMBER(I2804),INT(I2804),IFERROR(INT(DATEVALUE(I2804)),IFERROR(INT(VALUE(I2804)),"bad"))))</f>
        <v/>
      </c>
      <c r="O2804">
        <f>IF(J2804="","",IF(ISNUMBER(J2804),ROUND(J2804,2),IFERROR(ROUND(VALUE(SUBSTITUTE(SUBSTITUTE(SUBSTITUTE(J2804,"$",""),",","")," ","")),2),"bad")))</f>
        <v/>
      </c>
      <c r="P2804">
        <f>IF(TRIM(K2804)="","",IFERROR(MATCH(LOWER(TRIM(K2804)),'Students'!$AH$2:$AH$701,0),IFERROR(MATCH(LOWER(TRIM(K2804)),'Students'!$AF$2:$AF$701,0),IFERROR(MATCH(LOWER(TRIM(K2804)),'Students'!$AG$2:$AG$701,0),""))))</f>
        <v/>
      </c>
      <c r="R2804">
        <f>IF(P2804="","",INDEX('Students'!$AD$2:$AD$701,P2804))</f>
        <v/>
      </c>
      <c r="S2804">
        <f>IF(H2804="OK",O2804,0)</f>
        <v/>
      </c>
      <c r="T2804">
        <f>IF(H2804="OK",N2804,"")</f>
        <v/>
      </c>
      <c r="U2804">
        <f>IF(OC_Donor=0,"",IF(INDEX('OneCause_Paste'!$A$2804:$AZ$2804,1,OC_Donor)="","",INDEX('OneCause_Paste'!$A$2804:$AZ$2804,1,OC_Donor)))</f>
        <v/>
      </c>
    </row>
    <row r="2805">
      <c r="A2805" s="62">
        <f>IF(H2805="","",IF(ISNUMBER(N2805),N2805,I2805))</f>
        <v/>
      </c>
      <c r="B2805">
        <f>IF(H2805="","",U2805)</f>
        <v/>
      </c>
      <c r="C2805">
        <f>IF(H2805="","",IF(P2805="",K2805,INDEX('Students'!$A$2:$A$701,P2805)))</f>
        <v/>
      </c>
      <c r="D2805">
        <f>IF(OR(H2805="",P2805=""),"",INDEX('Students'!$B$2:$B$701,P2805))</f>
        <v/>
      </c>
      <c r="E2805">
        <f>IF(OR(H2805="",P2805=""),"",INDEX('Students'!$C$2:$C$701,P2805))</f>
        <v/>
      </c>
      <c r="F2805" s="48">
        <f>IF(H2805="","",IF(ISNUMBER(O2805),O2805,J2805))</f>
        <v/>
      </c>
      <c r="G2805">
        <f>IF(H2805="","","OneCause")</f>
        <v/>
      </c>
      <c r="H2805">
        <f>IF(AND(I2805="",J2805="",K2805=""),"",IF(NOT(ISNUMBER(O2805)),"Bad amount",IF(O2805&lt;0,"Refund (not counted)",IF(O2805=0,"Zero amount",IF(NOT(ISNUMBER(N2805)),"Bad date",IF(P2805="","NAME NOT ON ROSTER",IF(L2805="","OK",IF(MATCH(L2805,$L$2:$L$3001,0)&lt;ROW()-1,"Duplicate (ignored)","OK"))))))))</f>
        <v/>
      </c>
      <c r="I2805">
        <f>IF(OC_Date=0,"",IF(INDEX('OneCause_Paste'!$A$2805:$AZ$2805,1,OC_Date)="","",INDEX('OneCause_Paste'!$A$2805:$AZ$2805,1,OC_Date)))</f>
        <v/>
      </c>
      <c r="J2805">
        <f>IF(OC_Amt=0,"",IF(INDEX('OneCause_Paste'!$A$2805:$AZ$2805,1,OC_Amt)="","",INDEX('OneCause_Paste'!$A$2805:$AZ$2805,1,OC_Amt)))</f>
        <v/>
      </c>
      <c r="K2805">
        <f>IF(OC_Name=0,"",IF(INDEX('OneCause_Paste'!$A$2805:$AZ$2805,1,OC_Name)="","",INDEX('OneCause_Paste'!$A$2805:$AZ$2805,1,OC_Name)))</f>
        <v/>
      </c>
      <c r="L2805">
        <f>IF(OC_Txn=0,"",IF(INDEX('OneCause_Paste'!$A$2805:$AZ$2805,1,OC_Txn)="","",INDEX('OneCause_Paste'!$A$2805:$AZ$2805,1,OC_Txn)))</f>
        <v/>
      </c>
      <c r="M2805">
        <f>IF(OC_Pay=0,"",IF(INDEX('OneCause_Paste'!$A$2805:$AZ$2805,1,OC_Pay)="","",INDEX('OneCause_Paste'!$A$2805:$AZ$2805,1,OC_Pay)))</f>
        <v/>
      </c>
      <c r="N2805">
        <f>IF(I2805="","",IF(ISNUMBER(I2805),INT(I2805),IFERROR(INT(DATEVALUE(I2805)),IFERROR(INT(VALUE(I2805)),"bad"))))</f>
        <v/>
      </c>
      <c r="O2805">
        <f>IF(J2805="","",IF(ISNUMBER(J2805),ROUND(J2805,2),IFERROR(ROUND(VALUE(SUBSTITUTE(SUBSTITUTE(SUBSTITUTE(J2805,"$",""),",","")," ","")),2),"bad")))</f>
        <v/>
      </c>
      <c r="P2805">
        <f>IF(TRIM(K2805)="","",IFERROR(MATCH(LOWER(TRIM(K2805)),'Students'!$AH$2:$AH$701,0),IFERROR(MATCH(LOWER(TRIM(K2805)),'Students'!$AF$2:$AF$701,0),IFERROR(MATCH(LOWER(TRIM(K2805)),'Students'!$AG$2:$AG$701,0),""))))</f>
        <v/>
      </c>
      <c r="R2805">
        <f>IF(P2805="","",INDEX('Students'!$AD$2:$AD$701,P2805))</f>
        <v/>
      </c>
      <c r="S2805">
        <f>IF(H2805="OK",O2805,0)</f>
        <v/>
      </c>
      <c r="T2805">
        <f>IF(H2805="OK",N2805,"")</f>
        <v/>
      </c>
      <c r="U2805">
        <f>IF(OC_Donor=0,"",IF(INDEX('OneCause_Paste'!$A$2805:$AZ$2805,1,OC_Donor)="","",INDEX('OneCause_Paste'!$A$2805:$AZ$2805,1,OC_Donor)))</f>
        <v/>
      </c>
    </row>
    <row r="2806">
      <c r="A2806" s="62">
        <f>IF(H2806="","",IF(ISNUMBER(N2806),N2806,I2806))</f>
        <v/>
      </c>
      <c r="B2806">
        <f>IF(H2806="","",U2806)</f>
        <v/>
      </c>
      <c r="C2806">
        <f>IF(H2806="","",IF(P2806="",K2806,INDEX('Students'!$A$2:$A$701,P2806)))</f>
        <v/>
      </c>
      <c r="D2806">
        <f>IF(OR(H2806="",P2806=""),"",INDEX('Students'!$B$2:$B$701,P2806))</f>
        <v/>
      </c>
      <c r="E2806">
        <f>IF(OR(H2806="",P2806=""),"",INDEX('Students'!$C$2:$C$701,P2806))</f>
        <v/>
      </c>
      <c r="F2806" s="48">
        <f>IF(H2806="","",IF(ISNUMBER(O2806),O2806,J2806))</f>
        <v/>
      </c>
      <c r="G2806">
        <f>IF(H2806="","","OneCause")</f>
        <v/>
      </c>
      <c r="H2806">
        <f>IF(AND(I2806="",J2806="",K2806=""),"",IF(NOT(ISNUMBER(O2806)),"Bad amount",IF(O2806&lt;0,"Refund (not counted)",IF(O2806=0,"Zero amount",IF(NOT(ISNUMBER(N2806)),"Bad date",IF(P2806="","NAME NOT ON ROSTER",IF(L2806="","OK",IF(MATCH(L2806,$L$2:$L$3001,0)&lt;ROW()-1,"Duplicate (ignored)","OK"))))))))</f>
        <v/>
      </c>
      <c r="I2806">
        <f>IF(OC_Date=0,"",IF(INDEX('OneCause_Paste'!$A$2806:$AZ$2806,1,OC_Date)="","",INDEX('OneCause_Paste'!$A$2806:$AZ$2806,1,OC_Date)))</f>
        <v/>
      </c>
      <c r="J2806">
        <f>IF(OC_Amt=0,"",IF(INDEX('OneCause_Paste'!$A$2806:$AZ$2806,1,OC_Amt)="","",INDEX('OneCause_Paste'!$A$2806:$AZ$2806,1,OC_Amt)))</f>
        <v/>
      </c>
      <c r="K2806">
        <f>IF(OC_Name=0,"",IF(INDEX('OneCause_Paste'!$A$2806:$AZ$2806,1,OC_Name)="","",INDEX('OneCause_Paste'!$A$2806:$AZ$2806,1,OC_Name)))</f>
        <v/>
      </c>
      <c r="L2806">
        <f>IF(OC_Txn=0,"",IF(INDEX('OneCause_Paste'!$A$2806:$AZ$2806,1,OC_Txn)="","",INDEX('OneCause_Paste'!$A$2806:$AZ$2806,1,OC_Txn)))</f>
        <v/>
      </c>
      <c r="M2806">
        <f>IF(OC_Pay=0,"",IF(INDEX('OneCause_Paste'!$A$2806:$AZ$2806,1,OC_Pay)="","",INDEX('OneCause_Paste'!$A$2806:$AZ$2806,1,OC_Pay)))</f>
        <v/>
      </c>
      <c r="N2806">
        <f>IF(I2806="","",IF(ISNUMBER(I2806),INT(I2806),IFERROR(INT(DATEVALUE(I2806)),IFERROR(INT(VALUE(I2806)),"bad"))))</f>
        <v/>
      </c>
      <c r="O2806">
        <f>IF(J2806="","",IF(ISNUMBER(J2806),ROUND(J2806,2),IFERROR(ROUND(VALUE(SUBSTITUTE(SUBSTITUTE(SUBSTITUTE(J2806,"$",""),",","")," ","")),2),"bad")))</f>
        <v/>
      </c>
      <c r="P2806">
        <f>IF(TRIM(K2806)="","",IFERROR(MATCH(LOWER(TRIM(K2806)),'Students'!$AH$2:$AH$701,0),IFERROR(MATCH(LOWER(TRIM(K2806)),'Students'!$AF$2:$AF$701,0),IFERROR(MATCH(LOWER(TRIM(K2806)),'Students'!$AG$2:$AG$701,0),""))))</f>
        <v/>
      </c>
      <c r="R2806">
        <f>IF(P2806="","",INDEX('Students'!$AD$2:$AD$701,P2806))</f>
        <v/>
      </c>
      <c r="S2806">
        <f>IF(H2806="OK",O2806,0)</f>
        <v/>
      </c>
      <c r="T2806">
        <f>IF(H2806="OK",N2806,"")</f>
        <v/>
      </c>
      <c r="U2806">
        <f>IF(OC_Donor=0,"",IF(INDEX('OneCause_Paste'!$A$2806:$AZ$2806,1,OC_Donor)="","",INDEX('OneCause_Paste'!$A$2806:$AZ$2806,1,OC_Donor)))</f>
        <v/>
      </c>
    </row>
    <row r="2807">
      <c r="A2807" s="62">
        <f>IF(H2807="","",IF(ISNUMBER(N2807),N2807,I2807))</f>
        <v/>
      </c>
      <c r="B2807">
        <f>IF(H2807="","",U2807)</f>
        <v/>
      </c>
      <c r="C2807">
        <f>IF(H2807="","",IF(P2807="",K2807,INDEX('Students'!$A$2:$A$701,P2807)))</f>
        <v/>
      </c>
      <c r="D2807">
        <f>IF(OR(H2807="",P2807=""),"",INDEX('Students'!$B$2:$B$701,P2807))</f>
        <v/>
      </c>
      <c r="E2807">
        <f>IF(OR(H2807="",P2807=""),"",INDEX('Students'!$C$2:$C$701,P2807))</f>
        <v/>
      </c>
      <c r="F2807" s="48">
        <f>IF(H2807="","",IF(ISNUMBER(O2807),O2807,J2807))</f>
        <v/>
      </c>
      <c r="G2807">
        <f>IF(H2807="","","OneCause")</f>
        <v/>
      </c>
      <c r="H2807">
        <f>IF(AND(I2807="",J2807="",K2807=""),"",IF(NOT(ISNUMBER(O2807)),"Bad amount",IF(O2807&lt;0,"Refund (not counted)",IF(O2807=0,"Zero amount",IF(NOT(ISNUMBER(N2807)),"Bad date",IF(P2807="","NAME NOT ON ROSTER",IF(L2807="","OK",IF(MATCH(L2807,$L$2:$L$3001,0)&lt;ROW()-1,"Duplicate (ignored)","OK"))))))))</f>
        <v/>
      </c>
      <c r="I2807">
        <f>IF(OC_Date=0,"",IF(INDEX('OneCause_Paste'!$A$2807:$AZ$2807,1,OC_Date)="","",INDEX('OneCause_Paste'!$A$2807:$AZ$2807,1,OC_Date)))</f>
        <v/>
      </c>
      <c r="J2807">
        <f>IF(OC_Amt=0,"",IF(INDEX('OneCause_Paste'!$A$2807:$AZ$2807,1,OC_Amt)="","",INDEX('OneCause_Paste'!$A$2807:$AZ$2807,1,OC_Amt)))</f>
        <v/>
      </c>
      <c r="K2807">
        <f>IF(OC_Name=0,"",IF(INDEX('OneCause_Paste'!$A$2807:$AZ$2807,1,OC_Name)="","",INDEX('OneCause_Paste'!$A$2807:$AZ$2807,1,OC_Name)))</f>
        <v/>
      </c>
      <c r="L2807">
        <f>IF(OC_Txn=0,"",IF(INDEX('OneCause_Paste'!$A$2807:$AZ$2807,1,OC_Txn)="","",INDEX('OneCause_Paste'!$A$2807:$AZ$2807,1,OC_Txn)))</f>
        <v/>
      </c>
      <c r="M2807">
        <f>IF(OC_Pay=0,"",IF(INDEX('OneCause_Paste'!$A$2807:$AZ$2807,1,OC_Pay)="","",INDEX('OneCause_Paste'!$A$2807:$AZ$2807,1,OC_Pay)))</f>
        <v/>
      </c>
      <c r="N2807">
        <f>IF(I2807="","",IF(ISNUMBER(I2807),INT(I2807),IFERROR(INT(DATEVALUE(I2807)),IFERROR(INT(VALUE(I2807)),"bad"))))</f>
        <v/>
      </c>
      <c r="O2807">
        <f>IF(J2807="","",IF(ISNUMBER(J2807),ROUND(J2807,2),IFERROR(ROUND(VALUE(SUBSTITUTE(SUBSTITUTE(SUBSTITUTE(J2807,"$",""),",","")," ","")),2),"bad")))</f>
        <v/>
      </c>
      <c r="P2807">
        <f>IF(TRIM(K2807)="","",IFERROR(MATCH(LOWER(TRIM(K2807)),'Students'!$AH$2:$AH$701,0),IFERROR(MATCH(LOWER(TRIM(K2807)),'Students'!$AF$2:$AF$701,0),IFERROR(MATCH(LOWER(TRIM(K2807)),'Students'!$AG$2:$AG$701,0),""))))</f>
        <v/>
      </c>
      <c r="R2807">
        <f>IF(P2807="","",INDEX('Students'!$AD$2:$AD$701,P2807))</f>
        <v/>
      </c>
      <c r="S2807">
        <f>IF(H2807="OK",O2807,0)</f>
        <v/>
      </c>
      <c r="T2807">
        <f>IF(H2807="OK",N2807,"")</f>
        <v/>
      </c>
      <c r="U2807">
        <f>IF(OC_Donor=0,"",IF(INDEX('OneCause_Paste'!$A$2807:$AZ$2807,1,OC_Donor)="","",INDEX('OneCause_Paste'!$A$2807:$AZ$2807,1,OC_Donor)))</f>
        <v/>
      </c>
    </row>
    <row r="2808">
      <c r="A2808" s="62">
        <f>IF(H2808="","",IF(ISNUMBER(N2808),N2808,I2808))</f>
        <v/>
      </c>
      <c r="B2808">
        <f>IF(H2808="","",U2808)</f>
        <v/>
      </c>
      <c r="C2808">
        <f>IF(H2808="","",IF(P2808="",K2808,INDEX('Students'!$A$2:$A$701,P2808)))</f>
        <v/>
      </c>
      <c r="D2808">
        <f>IF(OR(H2808="",P2808=""),"",INDEX('Students'!$B$2:$B$701,P2808))</f>
        <v/>
      </c>
      <c r="E2808">
        <f>IF(OR(H2808="",P2808=""),"",INDEX('Students'!$C$2:$C$701,P2808))</f>
        <v/>
      </c>
      <c r="F2808" s="48">
        <f>IF(H2808="","",IF(ISNUMBER(O2808),O2808,J2808))</f>
        <v/>
      </c>
      <c r="G2808">
        <f>IF(H2808="","","OneCause")</f>
        <v/>
      </c>
      <c r="H2808">
        <f>IF(AND(I2808="",J2808="",K2808=""),"",IF(NOT(ISNUMBER(O2808)),"Bad amount",IF(O2808&lt;0,"Refund (not counted)",IF(O2808=0,"Zero amount",IF(NOT(ISNUMBER(N2808)),"Bad date",IF(P2808="","NAME NOT ON ROSTER",IF(L2808="","OK",IF(MATCH(L2808,$L$2:$L$3001,0)&lt;ROW()-1,"Duplicate (ignored)","OK"))))))))</f>
        <v/>
      </c>
      <c r="I2808">
        <f>IF(OC_Date=0,"",IF(INDEX('OneCause_Paste'!$A$2808:$AZ$2808,1,OC_Date)="","",INDEX('OneCause_Paste'!$A$2808:$AZ$2808,1,OC_Date)))</f>
        <v/>
      </c>
      <c r="J2808">
        <f>IF(OC_Amt=0,"",IF(INDEX('OneCause_Paste'!$A$2808:$AZ$2808,1,OC_Amt)="","",INDEX('OneCause_Paste'!$A$2808:$AZ$2808,1,OC_Amt)))</f>
        <v/>
      </c>
      <c r="K2808">
        <f>IF(OC_Name=0,"",IF(INDEX('OneCause_Paste'!$A$2808:$AZ$2808,1,OC_Name)="","",INDEX('OneCause_Paste'!$A$2808:$AZ$2808,1,OC_Name)))</f>
        <v/>
      </c>
      <c r="L2808">
        <f>IF(OC_Txn=0,"",IF(INDEX('OneCause_Paste'!$A$2808:$AZ$2808,1,OC_Txn)="","",INDEX('OneCause_Paste'!$A$2808:$AZ$2808,1,OC_Txn)))</f>
        <v/>
      </c>
      <c r="M2808">
        <f>IF(OC_Pay=0,"",IF(INDEX('OneCause_Paste'!$A$2808:$AZ$2808,1,OC_Pay)="","",INDEX('OneCause_Paste'!$A$2808:$AZ$2808,1,OC_Pay)))</f>
        <v/>
      </c>
      <c r="N2808">
        <f>IF(I2808="","",IF(ISNUMBER(I2808),INT(I2808),IFERROR(INT(DATEVALUE(I2808)),IFERROR(INT(VALUE(I2808)),"bad"))))</f>
        <v/>
      </c>
      <c r="O2808">
        <f>IF(J2808="","",IF(ISNUMBER(J2808),ROUND(J2808,2),IFERROR(ROUND(VALUE(SUBSTITUTE(SUBSTITUTE(SUBSTITUTE(J2808,"$",""),",","")," ","")),2),"bad")))</f>
        <v/>
      </c>
      <c r="P2808">
        <f>IF(TRIM(K2808)="","",IFERROR(MATCH(LOWER(TRIM(K2808)),'Students'!$AH$2:$AH$701,0),IFERROR(MATCH(LOWER(TRIM(K2808)),'Students'!$AF$2:$AF$701,0),IFERROR(MATCH(LOWER(TRIM(K2808)),'Students'!$AG$2:$AG$701,0),""))))</f>
        <v/>
      </c>
      <c r="R2808">
        <f>IF(P2808="","",INDEX('Students'!$AD$2:$AD$701,P2808))</f>
        <v/>
      </c>
      <c r="S2808">
        <f>IF(H2808="OK",O2808,0)</f>
        <v/>
      </c>
      <c r="T2808">
        <f>IF(H2808="OK",N2808,"")</f>
        <v/>
      </c>
      <c r="U2808">
        <f>IF(OC_Donor=0,"",IF(INDEX('OneCause_Paste'!$A$2808:$AZ$2808,1,OC_Donor)="","",INDEX('OneCause_Paste'!$A$2808:$AZ$2808,1,OC_Donor)))</f>
        <v/>
      </c>
    </row>
    <row r="2809">
      <c r="A2809" s="62">
        <f>IF(H2809="","",IF(ISNUMBER(N2809),N2809,I2809))</f>
        <v/>
      </c>
      <c r="B2809">
        <f>IF(H2809="","",U2809)</f>
        <v/>
      </c>
      <c r="C2809">
        <f>IF(H2809="","",IF(P2809="",K2809,INDEX('Students'!$A$2:$A$701,P2809)))</f>
        <v/>
      </c>
      <c r="D2809">
        <f>IF(OR(H2809="",P2809=""),"",INDEX('Students'!$B$2:$B$701,P2809))</f>
        <v/>
      </c>
      <c r="E2809">
        <f>IF(OR(H2809="",P2809=""),"",INDEX('Students'!$C$2:$C$701,P2809))</f>
        <v/>
      </c>
      <c r="F2809" s="48">
        <f>IF(H2809="","",IF(ISNUMBER(O2809),O2809,J2809))</f>
        <v/>
      </c>
      <c r="G2809">
        <f>IF(H2809="","","OneCause")</f>
        <v/>
      </c>
      <c r="H2809">
        <f>IF(AND(I2809="",J2809="",K2809=""),"",IF(NOT(ISNUMBER(O2809)),"Bad amount",IF(O2809&lt;0,"Refund (not counted)",IF(O2809=0,"Zero amount",IF(NOT(ISNUMBER(N2809)),"Bad date",IF(P2809="","NAME NOT ON ROSTER",IF(L2809="","OK",IF(MATCH(L2809,$L$2:$L$3001,0)&lt;ROW()-1,"Duplicate (ignored)","OK"))))))))</f>
        <v/>
      </c>
      <c r="I2809">
        <f>IF(OC_Date=0,"",IF(INDEX('OneCause_Paste'!$A$2809:$AZ$2809,1,OC_Date)="","",INDEX('OneCause_Paste'!$A$2809:$AZ$2809,1,OC_Date)))</f>
        <v/>
      </c>
      <c r="J2809">
        <f>IF(OC_Amt=0,"",IF(INDEX('OneCause_Paste'!$A$2809:$AZ$2809,1,OC_Amt)="","",INDEX('OneCause_Paste'!$A$2809:$AZ$2809,1,OC_Amt)))</f>
        <v/>
      </c>
      <c r="K2809">
        <f>IF(OC_Name=0,"",IF(INDEX('OneCause_Paste'!$A$2809:$AZ$2809,1,OC_Name)="","",INDEX('OneCause_Paste'!$A$2809:$AZ$2809,1,OC_Name)))</f>
        <v/>
      </c>
      <c r="L2809">
        <f>IF(OC_Txn=0,"",IF(INDEX('OneCause_Paste'!$A$2809:$AZ$2809,1,OC_Txn)="","",INDEX('OneCause_Paste'!$A$2809:$AZ$2809,1,OC_Txn)))</f>
        <v/>
      </c>
      <c r="M2809">
        <f>IF(OC_Pay=0,"",IF(INDEX('OneCause_Paste'!$A$2809:$AZ$2809,1,OC_Pay)="","",INDEX('OneCause_Paste'!$A$2809:$AZ$2809,1,OC_Pay)))</f>
        <v/>
      </c>
      <c r="N2809">
        <f>IF(I2809="","",IF(ISNUMBER(I2809),INT(I2809),IFERROR(INT(DATEVALUE(I2809)),IFERROR(INT(VALUE(I2809)),"bad"))))</f>
        <v/>
      </c>
      <c r="O2809">
        <f>IF(J2809="","",IF(ISNUMBER(J2809),ROUND(J2809,2),IFERROR(ROUND(VALUE(SUBSTITUTE(SUBSTITUTE(SUBSTITUTE(J2809,"$",""),",","")," ","")),2),"bad")))</f>
        <v/>
      </c>
      <c r="P2809">
        <f>IF(TRIM(K2809)="","",IFERROR(MATCH(LOWER(TRIM(K2809)),'Students'!$AH$2:$AH$701,0),IFERROR(MATCH(LOWER(TRIM(K2809)),'Students'!$AF$2:$AF$701,0),IFERROR(MATCH(LOWER(TRIM(K2809)),'Students'!$AG$2:$AG$701,0),""))))</f>
        <v/>
      </c>
      <c r="R2809">
        <f>IF(P2809="","",INDEX('Students'!$AD$2:$AD$701,P2809))</f>
        <v/>
      </c>
      <c r="S2809">
        <f>IF(H2809="OK",O2809,0)</f>
        <v/>
      </c>
      <c r="T2809">
        <f>IF(H2809="OK",N2809,"")</f>
        <v/>
      </c>
      <c r="U2809">
        <f>IF(OC_Donor=0,"",IF(INDEX('OneCause_Paste'!$A$2809:$AZ$2809,1,OC_Donor)="","",INDEX('OneCause_Paste'!$A$2809:$AZ$2809,1,OC_Donor)))</f>
        <v/>
      </c>
    </row>
    <row r="2810">
      <c r="A2810" s="62">
        <f>IF(H2810="","",IF(ISNUMBER(N2810),N2810,I2810))</f>
        <v/>
      </c>
      <c r="B2810">
        <f>IF(H2810="","",U2810)</f>
        <v/>
      </c>
      <c r="C2810">
        <f>IF(H2810="","",IF(P2810="",K2810,INDEX('Students'!$A$2:$A$701,P2810)))</f>
        <v/>
      </c>
      <c r="D2810">
        <f>IF(OR(H2810="",P2810=""),"",INDEX('Students'!$B$2:$B$701,P2810))</f>
        <v/>
      </c>
      <c r="E2810">
        <f>IF(OR(H2810="",P2810=""),"",INDEX('Students'!$C$2:$C$701,P2810))</f>
        <v/>
      </c>
      <c r="F2810" s="48">
        <f>IF(H2810="","",IF(ISNUMBER(O2810),O2810,J2810))</f>
        <v/>
      </c>
      <c r="G2810">
        <f>IF(H2810="","","OneCause")</f>
        <v/>
      </c>
      <c r="H2810">
        <f>IF(AND(I2810="",J2810="",K2810=""),"",IF(NOT(ISNUMBER(O2810)),"Bad amount",IF(O2810&lt;0,"Refund (not counted)",IF(O2810=0,"Zero amount",IF(NOT(ISNUMBER(N2810)),"Bad date",IF(P2810="","NAME NOT ON ROSTER",IF(L2810="","OK",IF(MATCH(L2810,$L$2:$L$3001,0)&lt;ROW()-1,"Duplicate (ignored)","OK"))))))))</f>
        <v/>
      </c>
      <c r="I2810">
        <f>IF(OC_Date=0,"",IF(INDEX('OneCause_Paste'!$A$2810:$AZ$2810,1,OC_Date)="","",INDEX('OneCause_Paste'!$A$2810:$AZ$2810,1,OC_Date)))</f>
        <v/>
      </c>
      <c r="J2810">
        <f>IF(OC_Amt=0,"",IF(INDEX('OneCause_Paste'!$A$2810:$AZ$2810,1,OC_Amt)="","",INDEX('OneCause_Paste'!$A$2810:$AZ$2810,1,OC_Amt)))</f>
        <v/>
      </c>
      <c r="K2810">
        <f>IF(OC_Name=0,"",IF(INDEX('OneCause_Paste'!$A$2810:$AZ$2810,1,OC_Name)="","",INDEX('OneCause_Paste'!$A$2810:$AZ$2810,1,OC_Name)))</f>
        <v/>
      </c>
      <c r="L2810">
        <f>IF(OC_Txn=0,"",IF(INDEX('OneCause_Paste'!$A$2810:$AZ$2810,1,OC_Txn)="","",INDEX('OneCause_Paste'!$A$2810:$AZ$2810,1,OC_Txn)))</f>
        <v/>
      </c>
      <c r="M2810">
        <f>IF(OC_Pay=0,"",IF(INDEX('OneCause_Paste'!$A$2810:$AZ$2810,1,OC_Pay)="","",INDEX('OneCause_Paste'!$A$2810:$AZ$2810,1,OC_Pay)))</f>
        <v/>
      </c>
      <c r="N2810">
        <f>IF(I2810="","",IF(ISNUMBER(I2810),INT(I2810),IFERROR(INT(DATEVALUE(I2810)),IFERROR(INT(VALUE(I2810)),"bad"))))</f>
        <v/>
      </c>
      <c r="O2810">
        <f>IF(J2810="","",IF(ISNUMBER(J2810),ROUND(J2810,2),IFERROR(ROUND(VALUE(SUBSTITUTE(SUBSTITUTE(SUBSTITUTE(J2810,"$",""),",","")," ","")),2),"bad")))</f>
        <v/>
      </c>
      <c r="P2810">
        <f>IF(TRIM(K2810)="","",IFERROR(MATCH(LOWER(TRIM(K2810)),'Students'!$AH$2:$AH$701,0),IFERROR(MATCH(LOWER(TRIM(K2810)),'Students'!$AF$2:$AF$701,0),IFERROR(MATCH(LOWER(TRIM(K2810)),'Students'!$AG$2:$AG$701,0),""))))</f>
        <v/>
      </c>
      <c r="R2810">
        <f>IF(P2810="","",INDEX('Students'!$AD$2:$AD$701,P2810))</f>
        <v/>
      </c>
      <c r="S2810">
        <f>IF(H2810="OK",O2810,0)</f>
        <v/>
      </c>
      <c r="T2810">
        <f>IF(H2810="OK",N2810,"")</f>
        <v/>
      </c>
      <c r="U2810">
        <f>IF(OC_Donor=0,"",IF(INDEX('OneCause_Paste'!$A$2810:$AZ$2810,1,OC_Donor)="","",INDEX('OneCause_Paste'!$A$2810:$AZ$2810,1,OC_Donor)))</f>
        <v/>
      </c>
    </row>
    <row r="2811">
      <c r="A2811" s="62">
        <f>IF(H2811="","",IF(ISNUMBER(N2811),N2811,I2811))</f>
        <v/>
      </c>
      <c r="B2811">
        <f>IF(H2811="","",U2811)</f>
        <v/>
      </c>
      <c r="C2811">
        <f>IF(H2811="","",IF(P2811="",K2811,INDEX('Students'!$A$2:$A$701,P2811)))</f>
        <v/>
      </c>
      <c r="D2811">
        <f>IF(OR(H2811="",P2811=""),"",INDEX('Students'!$B$2:$B$701,P2811))</f>
        <v/>
      </c>
      <c r="E2811">
        <f>IF(OR(H2811="",P2811=""),"",INDEX('Students'!$C$2:$C$701,P2811))</f>
        <v/>
      </c>
      <c r="F2811" s="48">
        <f>IF(H2811="","",IF(ISNUMBER(O2811),O2811,J2811))</f>
        <v/>
      </c>
      <c r="G2811">
        <f>IF(H2811="","","OneCause")</f>
        <v/>
      </c>
      <c r="H2811">
        <f>IF(AND(I2811="",J2811="",K2811=""),"",IF(NOT(ISNUMBER(O2811)),"Bad amount",IF(O2811&lt;0,"Refund (not counted)",IF(O2811=0,"Zero amount",IF(NOT(ISNUMBER(N2811)),"Bad date",IF(P2811="","NAME NOT ON ROSTER",IF(L2811="","OK",IF(MATCH(L2811,$L$2:$L$3001,0)&lt;ROW()-1,"Duplicate (ignored)","OK"))))))))</f>
        <v/>
      </c>
      <c r="I2811">
        <f>IF(OC_Date=0,"",IF(INDEX('OneCause_Paste'!$A$2811:$AZ$2811,1,OC_Date)="","",INDEX('OneCause_Paste'!$A$2811:$AZ$2811,1,OC_Date)))</f>
        <v/>
      </c>
      <c r="J2811">
        <f>IF(OC_Amt=0,"",IF(INDEX('OneCause_Paste'!$A$2811:$AZ$2811,1,OC_Amt)="","",INDEX('OneCause_Paste'!$A$2811:$AZ$2811,1,OC_Amt)))</f>
        <v/>
      </c>
      <c r="K2811">
        <f>IF(OC_Name=0,"",IF(INDEX('OneCause_Paste'!$A$2811:$AZ$2811,1,OC_Name)="","",INDEX('OneCause_Paste'!$A$2811:$AZ$2811,1,OC_Name)))</f>
        <v/>
      </c>
      <c r="L2811">
        <f>IF(OC_Txn=0,"",IF(INDEX('OneCause_Paste'!$A$2811:$AZ$2811,1,OC_Txn)="","",INDEX('OneCause_Paste'!$A$2811:$AZ$2811,1,OC_Txn)))</f>
        <v/>
      </c>
      <c r="M2811">
        <f>IF(OC_Pay=0,"",IF(INDEX('OneCause_Paste'!$A$2811:$AZ$2811,1,OC_Pay)="","",INDEX('OneCause_Paste'!$A$2811:$AZ$2811,1,OC_Pay)))</f>
        <v/>
      </c>
      <c r="N2811">
        <f>IF(I2811="","",IF(ISNUMBER(I2811),INT(I2811),IFERROR(INT(DATEVALUE(I2811)),IFERROR(INT(VALUE(I2811)),"bad"))))</f>
        <v/>
      </c>
      <c r="O2811">
        <f>IF(J2811="","",IF(ISNUMBER(J2811),ROUND(J2811,2),IFERROR(ROUND(VALUE(SUBSTITUTE(SUBSTITUTE(SUBSTITUTE(J2811,"$",""),",","")," ","")),2),"bad")))</f>
        <v/>
      </c>
      <c r="P2811">
        <f>IF(TRIM(K2811)="","",IFERROR(MATCH(LOWER(TRIM(K2811)),'Students'!$AH$2:$AH$701,0),IFERROR(MATCH(LOWER(TRIM(K2811)),'Students'!$AF$2:$AF$701,0),IFERROR(MATCH(LOWER(TRIM(K2811)),'Students'!$AG$2:$AG$701,0),""))))</f>
        <v/>
      </c>
      <c r="R2811">
        <f>IF(P2811="","",INDEX('Students'!$AD$2:$AD$701,P2811))</f>
        <v/>
      </c>
      <c r="S2811">
        <f>IF(H2811="OK",O2811,0)</f>
        <v/>
      </c>
      <c r="T2811">
        <f>IF(H2811="OK",N2811,"")</f>
        <v/>
      </c>
      <c r="U2811">
        <f>IF(OC_Donor=0,"",IF(INDEX('OneCause_Paste'!$A$2811:$AZ$2811,1,OC_Donor)="","",INDEX('OneCause_Paste'!$A$2811:$AZ$2811,1,OC_Donor)))</f>
        <v/>
      </c>
    </row>
    <row r="2812">
      <c r="A2812" s="62">
        <f>IF(H2812="","",IF(ISNUMBER(N2812),N2812,I2812))</f>
        <v/>
      </c>
      <c r="B2812">
        <f>IF(H2812="","",U2812)</f>
        <v/>
      </c>
      <c r="C2812">
        <f>IF(H2812="","",IF(P2812="",K2812,INDEX('Students'!$A$2:$A$701,P2812)))</f>
        <v/>
      </c>
      <c r="D2812">
        <f>IF(OR(H2812="",P2812=""),"",INDEX('Students'!$B$2:$B$701,P2812))</f>
        <v/>
      </c>
      <c r="E2812">
        <f>IF(OR(H2812="",P2812=""),"",INDEX('Students'!$C$2:$C$701,P2812))</f>
        <v/>
      </c>
      <c r="F2812" s="48">
        <f>IF(H2812="","",IF(ISNUMBER(O2812),O2812,J2812))</f>
        <v/>
      </c>
      <c r="G2812">
        <f>IF(H2812="","","OneCause")</f>
        <v/>
      </c>
      <c r="H2812">
        <f>IF(AND(I2812="",J2812="",K2812=""),"",IF(NOT(ISNUMBER(O2812)),"Bad amount",IF(O2812&lt;0,"Refund (not counted)",IF(O2812=0,"Zero amount",IF(NOT(ISNUMBER(N2812)),"Bad date",IF(P2812="","NAME NOT ON ROSTER",IF(L2812="","OK",IF(MATCH(L2812,$L$2:$L$3001,0)&lt;ROW()-1,"Duplicate (ignored)","OK"))))))))</f>
        <v/>
      </c>
      <c r="I2812">
        <f>IF(OC_Date=0,"",IF(INDEX('OneCause_Paste'!$A$2812:$AZ$2812,1,OC_Date)="","",INDEX('OneCause_Paste'!$A$2812:$AZ$2812,1,OC_Date)))</f>
        <v/>
      </c>
      <c r="J2812">
        <f>IF(OC_Amt=0,"",IF(INDEX('OneCause_Paste'!$A$2812:$AZ$2812,1,OC_Amt)="","",INDEX('OneCause_Paste'!$A$2812:$AZ$2812,1,OC_Amt)))</f>
        <v/>
      </c>
      <c r="K2812">
        <f>IF(OC_Name=0,"",IF(INDEX('OneCause_Paste'!$A$2812:$AZ$2812,1,OC_Name)="","",INDEX('OneCause_Paste'!$A$2812:$AZ$2812,1,OC_Name)))</f>
        <v/>
      </c>
      <c r="L2812">
        <f>IF(OC_Txn=0,"",IF(INDEX('OneCause_Paste'!$A$2812:$AZ$2812,1,OC_Txn)="","",INDEX('OneCause_Paste'!$A$2812:$AZ$2812,1,OC_Txn)))</f>
        <v/>
      </c>
      <c r="M2812">
        <f>IF(OC_Pay=0,"",IF(INDEX('OneCause_Paste'!$A$2812:$AZ$2812,1,OC_Pay)="","",INDEX('OneCause_Paste'!$A$2812:$AZ$2812,1,OC_Pay)))</f>
        <v/>
      </c>
      <c r="N2812">
        <f>IF(I2812="","",IF(ISNUMBER(I2812),INT(I2812),IFERROR(INT(DATEVALUE(I2812)),IFERROR(INT(VALUE(I2812)),"bad"))))</f>
        <v/>
      </c>
      <c r="O2812">
        <f>IF(J2812="","",IF(ISNUMBER(J2812),ROUND(J2812,2),IFERROR(ROUND(VALUE(SUBSTITUTE(SUBSTITUTE(SUBSTITUTE(J2812,"$",""),",","")," ","")),2),"bad")))</f>
        <v/>
      </c>
      <c r="P2812">
        <f>IF(TRIM(K2812)="","",IFERROR(MATCH(LOWER(TRIM(K2812)),'Students'!$AH$2:$AH$701,0),IFERROR(MATCH(LOWER(TRIM(K2812)),'Students'!$AF$2:$AF$701,0),IFERROR(MATCH(LOWER(TRIM(K2812)),'Students'!$AG$2:$AG$701,0),""))))</f>
        <v/>
      </c>
      <c r="R2812">
        <f>IF(P2812="","",INDEX('Students'!$AD$2:$AD$701,P2812))</f>
        <v/>
      </c>
      <c r="S2812">
        <f>IF(H2812="OK",O2812,0)</f>
        <v/>
      </c>
      <c r="T2812">
        <f>IF(H2812="OK",N2812,"")</f>
        <v/>
      </c>
      <c r="U2812">
        <f>IF(OC_Donor=0,"",IF(INDEX('OneCause_Paste'!$A$2812:$AZ$2812,1,OC_Donor)="","",INDEX('OneCause_Paste'!$A$2812:$AZ$2812,1,OC_Donor)))</f>
        <v/>
      </c>
    </row>
    <row r="2813">
      <c r="A2813" s="62">
        <f>IF(H2813="","",IF(ISNUMBER(N2813),N2813,I2813))</f>
        <v/>
      </c>
      <c r="B2813">
        <f>IF(H2813="","",U2813)</f>
        <v/>
      </c>
      <c r="C2813">
        <f>IF(H2813="","",IF(P2813="",K2813,INDEX('Students'!$A$2:$A$701,P2813)))</f>
        <v/>
      </c>
      <c r="D2813">
        <f>IF(OR(H2813="",P2813=""),"",INDEX('Students'!$B$2:$B$701,P2813))</f>
        <v/>
      </c>
      <c r="E2813">
        <f>IF(OR(H2813="",P2813=""),"",INDEX('Students'!$C$2:$C$701,P2813))</f>
        <v/>
      </c>
      <c r="F2813" s="48">
        <f>IF(H2813="","",IF(ISNUMBER(O2813),O2813,J2813))</f>
        <v/>
      </c>
      <c r="G2813">
        <f>IF(H2813="","","OneCause")</f>
        <v/>
      </c>
      <c r="H2813">
        <f>IF(AND(I2813="",J2813="",K2813=""),"",IF(NOT(ISNUMBER(O2813)),"Bad amount",IF(O2813&lt;0,"Refund (not counted)",IF(O2813=0,"Zero amount",IF(NOT(ISNUMBER(N2813)),"Bad date",IF(P2813="","NAME NOT ON ROSTER",IF(L2813="","OK",IF(MATCH(L2813,$L$2:$L$3001,0)&lt;ROW()-1,"Duplicate (ignored)","OK"))))))))</f>
        <v/>
      </c>
      <c r="I2813">
        <f>IF(OC_Date=0,"",IF(INDEX('OneCause_Paste'!$A$2813:$AZ$2813,1,OC_Date)="","",INDEX('OneCause_Paste'!$A$2813:$AZ$2813,1,OC_Date)))</f>
        <v/>
      </c>
      <c r="J2813">
        <f>IF(OC_Amt=0,"",IF(INDEX('OneCause_Paste'!$A$2813:$AZ$2813,1,OC_Amt)="","",INDEX('OneCause_Paste'!$A$2813:$AZ$2813,1,OC_Amt)))</f>
        <v/>
      </c>
      <c r="K2813">
        <f>IF(OC_Name=0,"",IF(INDEX('OneCause_Paste'!$A$2813:$AZ$2813,1,OC_Name)="","",INDEX('OneCause_Paste'!$A$2813:$AZ$2813,1,OC_Name)))</f>
        <v/>
      </c>
      <c r="L2813">
        <f>IF(OC_Txn=0,"",IF(INDEX('OneCause_Paste'!$A$2813:$AZ$2813,1,OC_Txn)="","",INDEX('OneCause_Paste'!$A$2813:$AZ$2813,1,OC_Txn)))</f>
        <v/>
      </c>
      <c r="M2813">
        <f>IF(OC_Pay=0,"",IF(INDEX('OneCause_Paste'!$A$2813:$AZ$2813,1,OC_Pay)="","",INDEX('OneCause_Paste'!$A$2813:$AZ$2813,1,OC_Pay)))</f>
        <v/>
      </c>
      <c r="N2813">
        <f>IF(I2813="","",IF(ISNUMBER(I2813),INT(I2813),IFERROR(INT(DATEVALUE(I2813)),IFERROR(INT(VALUE(I2813)),"bad"))))</f>
        <v/>
      </c>
      <c r="O2813">
        <f>IF(J2813="","",IF(ISNUMBER(J2813),ROUND(J2813,2),IFERROR(ROUND(VALUE(SUBSTITUTE(SUBSTITUTE(SUBSTITUTE(J2813,"$",""),",","")," ","")),2),"bad")))</f>
        <v/>
      </c>
      <c r="P2813">
        <f>IF(TRIM(K2813)="","",IFERROR(MATCH(LOWER(TRIM(K2813)),'Students'!$AH$2:$AH$701,0),IFERROR(MATCH(LOWER(TRIM(K2813)),'Students'!$AF$2:$AF$701,0),IFERROR(MATCH(LOWER(TRIM(K2813)),'Students'!$AG$2:$AG$701,0),""))))</f>
        <v/>
      </c>
      <c r="R2813">
        <f>IF(P2813="","",INDEX('Students'!$AD$2:$AD$701,P2813))</f>
        <v/>
      </c>
      <c r="S2813">
        <f>IF(H2813="OK",O2813,0)</f>
        <v/>
      </c>
      <c r="T2813">
        <f>IF(H2813="OK",N2813,"")</f>
        <v/>
      </c>
      <c r="U2813">
        <f>IF(OC_Donor=0,"",IF(INDEX('OneCause_Paste'!$A$2813:$AZ$2813,1,OC_Donor)="","",INDEX('OneCause_Paste'!$A$2813:$AZ$2813,1,OC_Donor)))</f>
        <v/>
      </c>
    </row>
    <row r="2814">
      <c r="A2814" s="62">
        <f>IF(H2814="","",IF(ISNUMBER(N2814),N2814,I2814))</f>
        <v/>
      </c>
      <c r="B2814">
        <f>IF(H2814="","",U2814)</f>
        <v/>
      </c>
      <c r="C2814">
        <f>IF(H2814="","",IF(P2814="",K2814,INDEX('Students'!$A$2:$A$701,P2814)))</f>
        <v/>
      </c>
      <c r="D2814">
        <f>IF(OR(H2814="",P2814=""),"",INDEX('Students'!$B$2:$B$701,P2814))</f>
        <v/>
      </c>
      <c r="E2814">
        <f>IF(OR(H2814="",P2814=""),"",INDEX('Students'!$C$2:$C$701,P2814))</f>
        <v/>
      </c>
      <c r="F2814" s="48">
        <f>IF(H2814="","",IF(ISNUMBER(O2814),O2814,J2814))</f>
        <v/>
      </c>
      <c r="G2814">
        <f>IF(H2814="","","OneCause")</f>
        <v/>
      </c>
      <c r="H2814">
        <f>IF(AND(I2814="",J2814="",K2814=""),"",IF(NOT(ISNUMBER(O2814)),"Bad amount",IF(O2814&lt;0,"Refund (not counted)",IF(O2814=0,"Zero amount",IF(NOT(ISNUMBER(N2814)),"Bad date",IF(P2814="","NAME NOT ON ROSTER",IF(L2814="","OK",IF(MATCH(L2814,$L$2:$L$3001,0)&lt;ROW()-1,"Duplicate (ignored)","OK"))))))))</f>
        <v/>
      </c>
      <c r="I2814">
        <f>IF(OC_Date=0,"",IF(INDEX('OneCause_Paste'!$A$2814:$AZ$2814,1,OC_Date)="","",INDEX('OneCause_Paste'!$A$2814:$AZ$2814,1,OC_Date)))</f>
        <v/>
      </c>
      <c r="J2814">
        <f>IF(OC_Amt=0,"",IF(INDEX('OneCause_Paste'!$A$2814:$AZ$2814,1,OC_Amt)="","",INDEX('OneCause_Paste'!$A$2814:$AZ$2814,1,OC_Amt)))</f>
        <v/>
      </c>
      <c r="K2814">
        <f>IF(OC_Name=0,"",IF(INDEX('OneCause_Paste'!$A$2814:$AZ$2814,1,OC_Name)="","",INDEX('OneCause_Paste'!$A$2814:$AZ$2814,1,OC_Name)))</f>
        <v/>
      </c>
      <c r="L2814">
        <f>IF(OC_Txn=0,"",IF(INDEX('OneCause_Paste'!$A$2814:$AZ$2814,1,OC_Txn)="","",INDEX('OneCause_Paste'!$A$2814:$AZ$2814,1,OC_Txn)))</f>
        <v/>
      </c>
      <c r="M2814">
        <f>IF(OC_Pay=0,"",IF(INDEX('OneCause_Paste'!$A$2814:$AZ$2814,1,OC_Pay)="","",INDEX('OneCause_Paste'!$A$2814:$AZ$2814,1,OC_Pay)))</f>
        <v/>
      </c>
      <c r="N2814">
        <f>IF(I2814="","",IF(ISNUMBER(I2814),INT(I2814),IFERROR(INT(DATEVALUE(I2814)),IFERROR(INT(VALUE(I2814)),"bad"))))</f>
        <v/>
      </c>
      <c r="O2814">
        <f>IF(J2814="","",IF(ISNUMBER(J2814),ROUND(J2814,2),IFERROR(ROUND(VALUE(SUBSTITUTE(SUBSTITUTE(SUBSTITUTE(J2814,"$",""),",","")," ","")),2),"bad")))</f>
        <v/>
      </c>
      <c r="P2814">
        <f>IF(TRIM(K2814)="","",IFERROR(MATCH(LOWER(TRIM(K2814)),'Students'!$AH$2:$AH$701,0),IFERROR(MATCH(LOWER(TRIM(K2814)),'Students'!$AF$2:$AF$701,0),IFERROR(MATCH(LOWER(TRIM(K2814)),'Students'!$AG$2:$AG$701,0),""))))</f>
        <v/>
      </c>
      <c r="R2814">
        <f>IF(P2814="","",INDEX('Students'!$AD$2:$AD$701,P2814))</f>
        <v/>
      </c>
      <c r="S2814">
        <f>IF(H2814="OK",O2814,0)</f>
        <v/>
      </c>
      <c r="T2814">
        <f>IF(H2814="OK",N2814,"")</f>
        <v/>
      </c>
      <c r="U2814">
        <f>IF(OC_Donor=0,"",IF(INDEX('OneCause_Paste'!$A$2814:$AZ$2814,1,OC_Donor)="","",INDEX('OneCause_Paste'!$A$2814:$AZ$2814,1,OC_Donor)))</f>
        <v/>
      </c>
    </row>
    <row r="2815">
      <c r="A2815" s="62">
        <f>IF(H2815="","",IF(ISNUMBER(N2815),N2815,I2815))</f>
        <v/>
      </c>
      <c r="B2815">
        <f>IF(H2815="","",U2815)</f>
        <v/>
      </c>
      <c r="C2815">
        <f>IF(H2815="","",IF(P2815="",K2815,INDEX('Students'!$A$2:$A$701,P2815)))</f>
        <v/>
      </c>
      <c r="D2815">
        <f>IF(OR(H2815="",P2815=""),"",INDEX('Students'!$B$2:$B$701,P2815))</f>
        <v/>
      </c>
      <c r="E2815">
        <f>IF(OR(H2815="",P2815=""),"",INDEX('Students'!$C$2:$C$701,P2815))</f>
        <v/>
      </c>
      <c r="F2815" s="48">
        <f>IF(H2815="","",IF(ISNUMBER(O2815),O2815,J2815))</f>
        <v/>
      </c>
      <c r="G2815">
        <f>IF(H2815="","","OneCause")</f>
        <v/>
      </c>
      <c r="H2815">
        <f>IF(AND(I2815="",J2815="",K2815=""),"",IF(NOT(ISNUMBER(O2815)),"Bad amount",IF(O2815&lt;0,"Refund (not counted)",IF(O2815=0,"Zero amount",IF(NOT(ISNUMBER(N2815)),"Bad date",IF(P2815="","NAME NOT ON ROSTER",IF(L2815="","OK",IF(MATCH(L2815,$L$2:$L$3001,0)&lt;ROW()-1,"Duplicate (ignored)","OK"))))))))</f>
        <v/>
      </c>
      <c r="I2815">
        <f>IF(OC_Date=0,"",IF(INDEX('OneCause_Paste'!$A$2815:$AZ$2815,1,OC_Date)="","",INDEX('OneCause_Paste'!$A$2815:$AZ$2815,1,OC_Date)))</f>
        <v/>
      </c>
      <c r="J2815">
        <f>IF(OC_Amt=0,"",IF(INDEX('OneCause_Paste'!$A$2815:$AZ$2815,1,OC_Amt)="","",INDEX('OneCause_Paste'!$A$2815:$AZ$2815,1,OC_Amt)))</f>
        <v/>
      </c>
      <c r="K2815">
        <f>IF(OC_Name=0,"",IF(INDEX('OneCause_Paste'!$A$2815:$AZ$2815,1,OC_Name)="","",INDEX('OneCause_Paste'!$A$2815:$AZ$2815,1,OC_Name)))</f>
        <v/>
      </c>
      <c r="L2815">
        <f>IF(OC_Txn=0,"",IF(INDEX('OneCause_Paste'!$A$2815:$AZ$2815,1,OC_Txn)="","",INDEX('OneCause_Paste'!$A$2815:$AZ$2815,1,OC_Txn)))</f>
        <v/>
      </c>
      <c r="M2815">
        <f>IF(OC_Pay=0,"",IF(INDEX('OneCause_Paste'!$A$2815:$AZ$2815,1,OC_Pay)="","",INDEX('OneCause_Paste'!$A$2815:$AZ$2815,1,OC_Pay)))</f>
        <v/>
      </c>
      <c r="N2815">
        <f>IF(I2815="","",IF(ISNUMBER(I2815),INT(I2815),IFERROR(INT(DATEVALUE(I2815)),IFERROR(INT(VALUE(I2815)),"bad"))))</f>
        <v/>
      </c>
      <c r="O2815">
        <f>IF(J2815="","",IF(ISNUMBER(J2815),ROUND(J2815,2),IFERROR(ROUND(VALUE(SUBSTITUTE(SUBSTITUTE(SUBSTITUTE(J2815,"$",""),",","")," ","")),2),"bad")))</f>
        <v/>
      </c>
      <c r="P2815">
        <f>IF(TRIM(K2815)="","",IFERROR(MATCH(LOWER(TRIM(K2815)),'Students'!$AH$2:$AH$701,0),IFERROR(MATCH(LOWER(TRIM(K2815)),'Students'!$AF$2:$AF$701,0),IFERROR(MATCH(LOWER(TRIM(K2815)),'Students'!$AG$2:$AG$701,0),""))))</f>
        <v/>
      </c>
      <c r="R2815">
        <f>IF(P2815="","",INDEX('Students'!$AD$2:$AD$701,P2815))</f>
        <v/>
      </c>
      <c r="S2815">
        <f>IF(H2815="OK",O2815,0)</f>
        <v/>
      </c>
      <c r="T2815">
        <f>IF(H2815="OK",N2815,"")</f>
        <v/>
      </c>
      <c r="U2815">
        <f>IF(OC_Donor=0,"",IF(INDEX('OneCause_Paste'!$A$2815:$AZ$2815,1,OC_Donor)="","",INDEX('OneCause_Paste'!$A$2815:$AZ$2815,1,OC_Donor)))</f>
        <v/>
      </c>
    </row>
    <row r="2816">
      <c r="A2816" s="62">
        <f>IF(H2816="","",IF(ISNUMBER(N2816),N2816,I2816))</f>
        <v/>
      </c>
      <c r="B2816">
        <f>IF(H2816="","",U2816)</f>
        <v/>
      </c>
      <c r="C2816">
        <f>IF(H2816="","",IF(P2816="",K2816,INDEX('Students'!$A$2:$A$701,P2816)))</f>
        <v/>
      </c>
      <c r="D2816">
        <f>IF(OR(H2816="",P2816=""),"",INDEX('Students'!$B$2:$B$701,P2816))</f>
        <v/>
      </c>
      <c r="E2816">
        <f>IF(OR(H2816="",P2816=""),"",INDEX('Students'!$C$2:$C$701,P2816))</f>
        <v/>
      </c>
      <c r="F2816" s="48">
        <f>IF(H2816="","",IF(ISNUMBER(O2816),O2816,J2816))</f>
        <v/>
      </c>
      <c r="G2816">
        <f>IF(H2816="","","OneCause")</f>
        <v/>
      </c>
      <c r="H2816">
        <f>IF(AND(I2816="",J2816="",K2816=""),"",IF(NOT(ISNUMBER(O2816)),"Bad amount",IF(O2816&lt;0,"Refund (not counted)",IF(O2816=0,"Zero amount",IF(NOT(ISNUMBER(N2816)),"Bad date",IF(P2816="","NAME NOT ON ROSTER",IF(L2816="","OK",IF(MATCH(L2816,$L$2:$L$3001,0)&lt;ROW()-1,"Duplicate (ignored)","OK"))))))))</f>
        <v/>
      </c>
      <c r="I2816">
        <f>IF(OC_Date=0,"",IF(INDEX('OneCause_Paste'!$A$2816:$AZ$2816,1,OC_Date)="","",INDEX('OneCause_Paste'!$A$2816:$AZ$2816,1,OC_Date)))</f>
        <v/>
      </c>
      <c r="J2816">
        <f>IF(OC_Amt=0,"",IF(INDEX('OneCause_Paste'!$A$2816:$AZ$2816,1,OC_Amt)="","",INDEX('OneCause_Paste'!$A$2816:$AZ$2816,1,OC_Amt)))</f>
        <v/>
      </c>
      <c r="K2816">
        <f>IF(OC_Name=0,"",IF(INDEX('OneCause_Paste'!$A$2816:$AZ$2816,1,OC_Name)="","",INDEX('OneCause_Paste'!$A$2816:$AZ$2816,1,OC_Name)))</f>
        <v/>
      </c>
      <c r="L2816">
        <f>IF(OC_Txn=0,"",IF(INDEX('OneCause_Paste'!$A$2816:$AZ$2816,1,OC_Txn)="","",INDEX('OneCause_Paste'!$A$2816:$AZ$2816,1,OC_Txn)))</f>
        <v/>
      </c>
      <c r="M2816">
        <f>IF(OC_Pay=0,"",IF(INDEX('OneCause_Paste'!$A$2816:$AZ$2816,1,OC_Pay)="","",INDEX('OneCause_Paste'!$A$2816:$AZ$2816,1,OC_Pay)))</f>
        <v/>
      </c>
      <c r="N2816">
        <f>IF(I2816="","",IF(ISNUMBER(I2816),INT(I2816),IFERROR(INT(DATEVALUE(I2816)),IFERROR(INT(VALUE(I2816)),"bad"))))</f>
        <v/>
      </c>
      <c r="O2816">
        <f>IF(J2816="","",IF(ISNUMBER(J2816),ROUND(J2816,2),IFERROR(ROUND(VALUE(SUBSTITUTE(SUBSTITUTE(SUBSTITUTE(J2816,"$",""),",","")," ","")),2),"bad")))</f>
        <v/>
      </c>
      <c r="P2816">
        <f>IF(TRIM(K2816)="","",IFERROR(MATCH(LOWER(TRIM(K2816)),'Students'!$AH$2:$AH$701,0),IFERROR(MATCH(LOWER(TRIM(K2816)),'Students'!$AF$2:$AF$701,0),IFERROR(MATCH(LOWER(TRIM(K2816)),'Students'!$AG$2:$AG$701,0),""))))</f>
        <v/>
      </c>
      <c r="R2816">
        <f>IF(P2816="","",INDEX('Students'!$AD$2:$AD$701,P2816))</f>
        <v/>
      </c>
      <c r="S2816">
        <f>IF(H2816="OK",O2816,0)</f>
        <v/>
      </c>
      <c r="T2816">
        <f>IF(H2816="OK",N2816,"")</f>
        <v/>
      </c>
      <c r="U2816">
        <f>IF(OC_Donor=0,"",IF(INDEX('OneCause_Paste'!$A$2816:$AZ$2816,1,OC_Donor)="","",INDEX('OneCause_Paste'!$A$2816:$AZ$2816,1,OC_Donor)))</f>
        <v/>
      </c>
    </row>
    <row r="2817">
      <c r="A2817" s="62">
        <f>IF(H2817="","",IF(ISNUMBER(N2817),N2817,I2817))</f>
        <v/>
      </c>
      <c r="B2817">
        <f>IF(H2817="","",U2817)</f>
        <v/>
      </c>
      <c r="C2817">
        <f>IF(H2817="","",IF(P2817="",K2817,INDEX('Students'!$A$2:$A$701,P2817)))</f>
        <v/>
      </c>
      <c r="D2817">
        <f>IF(OR(H2817="",P2817=""),"",INDEX('Students'!$B$2:$B$701,P2817))</f>
        <v/>
      </c>
      <c r="E2817">
        <f>IF(OR(H2817="",P2817=""),"",INDEX('Students'!$C$2:$C$701,P2817))</f>
        <v/>
      </c>
      <c r="F2817" s="48">
        <f>IF(H2817="","",IF(ISNUMBER(O2817),O2817,J2817))</f>
        <v/>
      </c>
      <c r="G2817">
        <f>IF(H2817="","","OneCause")</f>
        <v/>
      </c>
      <c r="H2817">
        <f>IF(AND(I2817="",J2817="",K2817=""),"",IF(NOT(ISNUMBER(O2817)),"Bad amount",IF(O2817&lt;0,"Refund (not counted)",IF(O2817=0,"Zero amount",IF(NOT(ISNUMBER(N2817)),"Bad date",IF(P2817="","NAME NOT ON ROSTER",IF(L2817="","OK",IF(MATCH(L2817,$L$2:$L$3001,0)&lt;ROW()-1,"Duplicate (ignored)","OK"))))))))</f>
        <v/>
      </c>
      <c r="I2817">
        <f>IF(OC_Date=0,"",IF(INDEX('OneCause_Paste'!$A$2817:$AZ$2817,1,OC_Date)="","",INDEX('OneCause_Paste'!$A$2817:$AZ$2817,1,OC_Date)))</f>
        <v/>
      </c>
      <c r="J2817">
        <f>IF(OC_Amt=0,"",IF(INDEX('OneCause_Paste'!$A$2817:$AZ$2817,1,OC_Amt)="","",INDEX('OneCause_Paste'!$A$2817:$AZ$2817,1,OC_Amt)))</f>
        <v/>
      </c>
      <c r="K2817">
        <f>IF(OC_Name=0,"",IF(INDEX('OneCause_Paste'!$A$2817:$AZ$2817,1,OC_Name)="","",INDEX('OneCause_Paste'!$A$2817:$AZ$2817,1,OC_Name)))</f>
        <v/>
      </c>
      <c r="L2817">
        <f>IF(OC_Txn=0,"",IF(INDEX('OneCause_Paste'!$A$2817:$AZ$2817,1,OC_Txn)="","",INDEX('OneCause_Paste'!$A$2817:$AZ$2817,1,OC_Txn)))</f>
        <v/>
      </c>
      <c r="M2817">
        <f>IF(OC_Pay=0,"",IF(INDEX('OneCause_Paste'!$A$2817:$AZ$2817,1,OC_Pay)="","",INDEX('OneCause_Paste'!$A$2817:$AZ$2817,1,OC_Pay)))</f>
        <v/>
      </c>
      <c r="N2817">
        <f>IF(I2817="","",IF(ISNUMBER(I2817),INT(I2817),IFERROR(INT(DATEVALUE(I2817)),IFERROR(INT(VALUE(I2817)),"bad"))))</f>
        <v/>
      </c>
      <c r="O2817">
        <f>IF(J2817="","",IF(ISNUMBER(J2817),ROUND(J2817,2),IFERROR(ROUND(VALUE(SUBSTITUTE(SUBSTITUTE(SUBSTITUTE(J2817,"$",""),",","")," ","")),2),"bad")))</f>
        <v/>
      </c>
      <c r="P2817">
        <f>IF(TRIM(K2817)="","",IFERROR(MATCH(LOWER(TRIM(K2817)),'Students'!$AH$2:$AH$701,0),IFERROR(MATCH(LOWER(TRIM(K2817)),'Students'!$AF$2:$AF$701,0),IFERROR(MATCH(LOWER(TRIM(K2817)),'Students'!$AG$2:$AG$701,0),""))))</f>
        <v/>
      </c>
      <c r="R2817">
        <f>IF(P2817="","",INDEX('Students'!$AD$2:$AD$701,P2817))</f>
        <v/>
      </c>
      <c r="S2817">
        <f>IF(H2817="OK",O2817,0)</f>
        <v/>
      </c>
      <c r="T2817">
        <f>IF(H2817="OK",N2817,"")</f>
        <v/>
      </c>
      <c r="U2817">
        <f>IF(OC_Donor=0,"",IF(INDEX('OneCause_Paste'!$A$2817:$AZ$2817,1,OC_Donor)="","",INDEX('OneCause_Paste'!$A$2817:$AZ$2817,1,OC_Donor)))</f>
        <v/>
      </c>
    </row>
    <row r="2818">
      <c r="A2818" s="62">
        <f>IF(H2818="","",IF(ISNUMBER(N2818),N2818,I2818))</f>
        <v/>
      </c>
      <c r="B2818">
        <f>IF(H2818="","",U2818)</f>
        <v/>
      </c>
      <c r="C2818">
        <f>IF(H2818="","",IF(P2818="",K2818,INDEX('Students'!$A$2:$A$701,P2818)))</f>
        <v/>
      </c>
      <c r="D2818">
        <f>IF(OR(H2818="",P2818=""),"",INDEX('Students'!$B$2:$B$701,P2818))</f>
        <v/>
      </c>
      <c r="E2818">
        <f>IF(OR(H2818="",P2818=""),"",INDEX('Students'!$C$2:$C$701,P2818))</f>
        <v/>
      </c>
      <c r="F2818" s="48">
        <f>IF(H2818="","",IF(ISNUMBER(O2818),O2818,J2818))</f>
        <v/>
      </c>
      <c r="G2818">
        <f>IF(H2818="","","OneCause")</f>
        <v/>
      </c>
      <c r="H2818">
        <f>IF(AND(I2818="",J2818="",K2818=""),"",IF(NOT(ISNUMBER(O2818)),"Bad amount",IF(O2818&lt;0,"Refund (not counted)",IF(O2818=0,"Zero amount",IF(NOT(ISNUMBER(N2818)),"Bad date",IF(P2818="","NAME NOT ON ROSTER",IF(L2818="","OK",IF(MATCH(L2818,$L$2:$L$3001,0)&lt;ROW()-1,"Duplicate (ignored)","OK"))))))))</f>
        <v/>
      </c>
      <c r="I2818">
        <f>IF(OC_Date=0,"",IF(INDEX('OneCause_Paste'!$A$2818:$AZ$2818,1,OC_Date)="","",INDEX('OneCause_Paste'!$A$2818:$AZ$2818,1,OC_Date)))</f>
        <v/>
      </c>
      <c r="J2818">
        <f>IF(OC_Amt=0,"",IF(INDEX('OneCause_Paste'!$A$2818:$AZ$2818,1,OC_Amt)="","",INDEX('OneCause_Paste'!$A$2818:$AZ$2818,1,OC_Amt)))</f>
        <v/>
      </c>
      <c r="K2818">
        <f>IF(OC_Name=0,"",IF(INDEX('OneCause_Paste'!$A$2818:$AZ$2818,1,OC_Name)="","",INDEX('OneCause_Paste'!$A$2818:$AZ$2818,1,OC_Name)))</f>
        <v/>
      </c>
      <c r="L2818">
        <f>IF(OC_Txn=0,"",IF(INDEX('OneCause_Paste'!$A$2818:$AZ$2818,1,OC_Txn)="","",INDEX('OneCause_Paste'!$A$2818:$AZ$2818,1,OC_Txn)))</f>
        <v/>
      </c>
      <c r="M2818">
        <f>IF(OC_Pay=0,"",IF(INDEX('OneCause_Paste'!$A$2818:$AZ$2818,1,OC_Pay)="","",INDEX('OneCause_Paste'!$A$2818:$AZ$2818,1,OC_Pay)))</f>
        <v/>
      </c>
      <c r="N2818">
        <f>IF(I2818="","",IF(ISNUMBER(I2818),INT(I2818),IFERROR(INT(DATEVALUE(I2818)),IFERROR(INT(VALUE(I2818)),"bad"))))</f>
        <v/>
      </c>
      <c r="O2818">
        <f>IF(J2818="","",IF(ISNUMBER(J2818),ROUND(J2818,2),IFERROR(ROUND(VALUE(SUBSTITUTE(SUBSTITUTE(SUBSTITUTE(J2818,"$",""),",","")," ","")),2),"bad")))</f>
        <v/>
      </c>
      <c r="P2818">
        <f>IF(TRIM(K2818)="","",IFERROR(MATCH(LOWER(TRIM(K2818)),'Students'!$AH$2:$AH$701,0),IFERROR(MATCH(LOWER(TRIM(K2818)),'Students'!$AF$2:$AF$701,0),IFERROR(MATCH(LOWER(TRIM(K2818)),'Students'!$AG$2:$AG$701,0),""))))</f>
        <v/>
      </c>
      <c r="R2818">
        <f>IF(P2818="","",INDEX('Students'!$AD$2:$AD$701,P2818))</f>
        <v/>
      </c>
      <c r="S2818">
        <f>IF(H2818="OK",O2818,0)</f>
        <v/>
      </c>
      <c r="T2818">
        <f>IF(H2818="OK",N2818,"")</f>
        <v/>
      </c>
      <c r="U2818">
        <f>IF(OC_Donor=0,"",IF(INDEX('OneCause_Paste'!$A$2818:$AZ$2818,1,OC_Donor)="","",INDEX('OneCause_Paste'!$A$2818:$AZ$2818,1,OC_Donor)))</f>
        <v/>
      </c>
    </row>
    <row r="2819">
      <c r="A2819" s="62">
        <f>IF(H2819="","",IF(ISNUMBER(N2819),N2819,I2819))</f>
        <v/>
      </c>
      <c r="B2819">
        <f>IF(H2819="","",U2819)</f>
        <v/>
      </c>
      <c r="C2819">
        <f>IF(H2819="","",IF(P2819="",K2819,INDEX('Students'!$A$2:$A$701,P2819)))</f>
        <v/>
      </c>
      <c r="D2819">
        <f>IF(OR(H2819="",P2819=""),"",INDEX('Students'!$B$2:$B$701,P2819))</f>
        <v/>
      </c>
      <c r="E2819">
        <f>IF(OR(H2819="",P2819=""),"",INDEX('Students'!$C$2:$C$701,P2819))</f>
        <v/>
      </c>
      <c r="F2819" s="48">
        <f>IF(H2819="","",IF(ISNUMBER(O2819),O2819,J2819))</f>
        <v/>
      </c>
      <c r="G2819">
        <f>IF(H2819="","","OneCause")</f>
        <v/>
      </c>
      <c r="H2819">
        <f>IF(AND(I2819="",J2819="",K2819=""),"",IF(NOT(ISNUMBER(O2819)),"Bad amount",IF(O2819&lt;0,"Refund (not counted)",IF(O2819=0,"Zero amount",IF(NOT(ISNUMBER(N2819)),"Bad date",IF(P2819="","NAME NOT ON ROSTER",IF(L2819="","OK",IF(MATCH(L2819,$L$2:$L$3001,0)&lt;ROW()-1,"Duplicate (ignored)","OK"))))))))</f>
        <v/>
      </c>
      <c r="I2819">
        <f>IF(OC_Date=0,"",IF(INDEX('OneCause_Paste'!$A$2819:$AZ$2819,1,OC_Date)="","",INDEX('OneCause_Paste'!$A$2819:$AZ$2819,1,OC_Date)))</f>
        <v/>
      </c>
      <c r="J2819">
        <f>IF(OC_Amt=0,"",IF(INDEX('OneCause_Paste'!$A$2819:$AZ$2819,1,OC_Amt)="","",INDEX('OneCause_Paste'!$A$2819:$AZ$2819,1,OC_Amt)))</f>
        <v/>
      </c>
      <c r="K2819">
        <f>IF(OC_Name=0,"",IF(INDEX('OneCause_Paste'!$A$2819:$AZ$2819,1,OC_Name)="","",INDEX('OneCause_Paste'!$A$2819:$AZ$2819,1,OC_Name)))</f>
        <v/>
      </c>
      <c r="L2819">
        <f>IF(OC_Txn=0,"",IF(INDEX('OneCause_Paste'!$A$2819:$AZ$2819,1,OC_Txn)="","",INDEX('OneCause_Paste'!$A$2819:$AZ$2819,1,OC_Txn)))</f>
        <v/>
      </c>
      <c r="M2819">
        <f>IF(OC_Pay=0,"",IF(INDEX('OneCause_Paste'!$A$2819:$AZ$2819,1,OC_Pay)="","",INDEX('OneCause_Paste'!$A$2819:$AZ$2819,1,OC_Pay)))</f>
        <v/>
      </c>
      <c r="N2819">
        <f>IF(I2819="","",IF(ISNUMBER(I2819),INT(I2819),IFERROR(INT(DATEVALUE(I2819)),IFERROR(INT(VALUE(I2819)),"bad"))))</f>
        <v/>
      </c>
      <c r="O2819">
        <f>IF(J2819="","",IF(ISNUMBER(J2819),ROUND(J2819,2),IFERROR(ROUND(VALUE(SUBSTITUTE(SUBSTITUTE(SUBSTITUTE(J2819,"$",""),",","")," ","")),2),"bad")))</f>
        <v/>
      </c>
      <c r="P2819">
        <f>IF(TRIM(K2819)="","",IFERROR(MATCH(LOWER(TRIM(K2819)),'Students'!$AH$2:$AH$701,0),IFERROR(MATCH(LOWER(TRIM(K2819)),'Students'!$AF$2:$AF$701,0),IFERROR(MATCH(LOWER(TRIM(K2819)),'Students'!$AG$2:$AG$701,0),""))))</f>
        <v/>
      </c>
      <c r="R2819">
        <f>IF(P2819="","",INDEX('Students'!$AD$2:$AD$701,P2819))</f>
        <v/>
      </c>
      <c r="S2819">
        <f>IF(H2819="OK",O2819,0)</f>
        <v/>
      </c>
      <c r="T2819">
        <f>IF(H2819="OK",N2819,"")</f>
        <v/>
      </c>
      <c r="U2819">
        <f>IF(OC_Donor=0,"",IF(INDEX('OneCause_Paste'!$A$2819:$AZ$2819,1,OC_Donor)="","",INDEX('OneCause_Paste'!$A$2819:$AZ$2819,1,OC_Donor)))</f>
        <v/>
      </c>
    </row>
    <row r="2820">
      <c r="A2820" s="62">
        <f>IF(H2820="","",IF(ISNUMBER(N2820),N2820,I2820))</f>
        <v/>
      </c>
      <c r="B2820">
        <f>IF(H2820="","",U2820)</f>
        <v/>
      </c>
      <c r="C2820">
        <f>IF(H2820="","",IF(P2820="",K2820,INDEX('Students'!$A$2:$A$701,P2820)))</f>
        <v/>
      </c>
      <c r="D2820">
        <f>IF(OR(H2820="",P2820=""),"",INDEX('Students'!$B$2:$B$701,P2820))</f>
        <v/>
      </c>
      <c r="E2820">
        <f>IF(OR(H2820="",P2820=""),"",INDEX('Students'!$C$2:$C$701,P2820))</f>
        <v/>
      </c>
      <c r="F2820" s="48">
        <f>IF(H2820="","",IF(ISNUMBER(O2820),O2820,J2820))</f>
        <v/>
      </c>
      <c r="G2820">
        <f>IF(H2820="","","OneCause")</f>
        <v/>
      </c>
      <c r="H2820">
        <f>IF(AND(I2820="",J2820="",K2820=""),"",IF(NOT(ISNUMBER(O2820)),"Bad amount",IF(O2820&lt;0,"Refund (not counted)",IF(O2820=0,"Zero amount",IF(NOT(ISNUMBER(N2820)),"Bad date",IF(P2820="","NAME NOT ON ROSTER",IF(L2820="","OK",IF(MATCH(L2820,$L$2:$L$3001,0)&lt;ROW()-1,"Duplicate (ignored)","OK"))))))))</f>
        <v/>
      </c>
      <c r="I2820">
        <f>IF(OC_Date=0,"",IF(INDEX('OneCause_Paste'!$A$2820:$AZ$2820,1,OC_Date)="","",INDEX('OneCause_Paste'!$A$2820:$AZ$2820,1,OC_Date)))</f>
        <v/>
      </c>
      <c r="J2820">
        <f>IF(OC_Amt=0,"",IF(INDEX('OneCause_Paste'!$A$2820:$AZ$2820,1,OC_Amt)="","",INDEX('OneCause_Paste'!$A$2820:$AZ$2820,1,OC_Amt)))</f>
        <v/>
      </c>
      <c r="K2820">
        <f>IF(OC_Name=0,"",IF(INDEX('OneCause_Paste'!$A$2820:$AZ$2820,1,OC_Name)="","",INDEX('OneCause_Paste'!$A$2820:$AZ$2820,1,OC_Name)))</f>
        <v/>
      </c>
      <c r="L2820">
        <f>IF(OC_Txn=0,"",IF(INDEX('OneCause_Paste'!$A$2820:$AZ$2820,1,OC_Txn)="","",INDEX('OneCause_Paste'!$A$2820:$AZ$2820,1,OC_Txn)))</f>
        <v/>
      </c>
      <c r="M2820">
        <f>IF(OC_Pay=0,"",IF(INDEX('OneCause_Paste'!$A$2820:$AZ$2820,1,OC_Pay)="","",INDEX('OneCause_Paste'!$A$2820:$AZ$2820,1,OC_Pay)))</f>
        <v/>
      </c>
      <c r="N2820">
        <f>IF(I2820="","",IF(ISNUMBER(I2820),INT(I2820),IFERROR(INT(DATEVALUE(I2820)),IFERROR(INT(VALUE(I2820)),"bad"))))</f>
        <v/>
      </c>
      <c r="O2820">
        <f>IF(J2820="","",IF(ISNUMBER(J2820),ROUND(J2820,2),IFERROR(ROUND(VALUE(SUBSTITUTE(SUBSTITUTE(SUBSTITUTE(J2820,"$",""),",","")," ","")),2),"bad")))</f>
        <v/>
      </c>
      <c r="P2820">
        <f>IF(TRIM(K2820)="","",IFERROR(MATCH(LOWER(TRIM(K2820)),'Students'!$AH$2:$AH$701,0),IFERROR(MATCH(LOWER(TRIM(K2820)),'Students'!$AF$2:$AF$701,0),IFERROR(MATCH(LOWER(TRIM(K2820)),'Students'!$AG$2:$AG$701,0),""))))</f>
        <v/>
      </c>
      <c r="R2820">
        <f>IF(P2820="","",INDEX('Students'!$AD$2:$AD$701,P2820))</f>
        <v/>
      </c>
      <c r="S2820">
        <f>IF(H2820="OK",O2820,0)</f>
        <v/>
      </c>
      <c r="T2820">
        <f>IF(H2820="OK",N2820,"")</f>
        <v/>
      </c>
      <c r="U2820">
        <f>IF(OC_Donor=0,"",IF(INDEX('OneCause_Paste'!$A$2820:$AZ$2820,1,OC_Donor)="","",INDEX('OneCause_Paste'!$A$2820:$AZ$2820,1,OC_Donor)))</f>
        <v/>
      </c>
    </row>
    <row r="2821">
      <c r="A2821" s="62">
        <f>IF(H2821="","",IF(ISNUMBER(N2821),N2821,I2821))</f>
        <v/>
      </c>
      <c r="B2821">
        <f>IF(H2821="","",U2821)</f>
        <v/>
      </c>
      <c r="C2821">
        <f>IF(H2821="","",IF(P2821="",K2821,INDEX('Students'!$A$2:$A$701,P2821)))</f>
        <v/>
      </c>
      <c r="D2821">
        <f>IF(OR(H2821="",P2821=""),"",INDEX('Students'!$B$2:$B$701,P2821))</f>
        <v/>
      </c>
      <c r="E2821">
        <f>IF(OR(H2821="",P2821=""),"",INDEX('Students'!$C$2:$C$701,P2821))</f>
        <v/>
      </c>
      <c r="F2821" s="48">
        <f>IF(H2821="","",IF(ISNUMBER(O2821),O2821,J2821))</f>
        <v/>
      </c>
      <c r="G2821">
        <f>IF(H2821="","","OneCause")</f>
        <v/>
      </c>
      <c r="H2821">
        <f>IF(AND(I2821="",J2821="",K2821=""),"",IF(NOT(ISNUMBER(O2821)),"Bad amount",IF(O2821&lt;0,"Refund (not counted)",IF(O2821=0,"Zero amount",IF(NOT(ISNUMBER(N2821)),"Bad date",IF(P2821="","NAME NOT ON ROSTER",IF(L2821="","OK",IF(MATCH(L2821,$L$2:$L$3001,0)&lt;ROW()-1,"Duplicate (ignored)","OK"))))))))</f>
        <v/>
      </c>
      <c r="I2821">
        <f>IF(OC_Date=0,"",IF(INDEX('OneCause_Paste'!$A$2821:$AZ$2821,1,OC_Date)="","",INDEX('OneCause_Paste'!$A$2821:$AZ$2821,1,OC_Date)))</f>
        <v/>
      </c>
      <c r="J2821">
        <f>IF(OC_Amt=0,"",IF(INDEX('OneCause_Paste'!$A$2821:$AZ$2821,1,OC_Amt)="","",INDEX('OneCause_Paste'!$A$2821:$AZ$2821,1,OC_Amt)))</f>
        <v/>
      </c>
      <c r="K2821">
        <f>IF(OC_Name=0,"",IF(INDEX('OneCause_Paste'!$A$2821:$AZ$2821,1,OC_Name)="","",INDEX('OneCause_Paste'!$A$2821:$AZ$2821,1,OC_Name)))</f>
        <v/>
      </c>
      <c r="L2821">
        <f>IF(OC_Txn=0,"",IF(INDEX('OneCause_Paste'!$A$2821:$AZ$2821,1,OC_Txn)="","",INDEX('OneCause_Paste'!$A$2821:$AZ$2821,1,OC_Txn)))</f>
        <v/>
      </c>
      <c r="M2821">
        <f>IF(OC_Pay=0,"",IF(INDEX('OneCause_Paste'!$A$2821:$AZ$2821,1,OC_Pay)="","",INDEX('OneCause_Paste'!$A$2821:$AZ$2821,1,OC_Pay)))</f>
        <v/>
      </c>
      <c r="N2821">
        <f>IF(I2821="","",IF(ISNUMBER(I2821),INT(I2821),IFERROR(INT(DATEVALUE(I2821)),IFERROR(INT(VALUE(I2821)),"bad"))))</f>
        <v/>
      </c>
      <c r="O2821">
        <f>IF(J2821="","",IF(ISNUMBER(J2821),ROUND(J2821,2),IFERROR(ROUND(VALUE(SUBSTITUTE(SUBSTITUTE(SUBSTITUTE(J2821,"$",""),",","")," ","")),2),"bad")))</f>
        <v/>
      </c>
      <c r="P2821">
        <f>IF(TRIM(K2821)="","",IFERROR(MATCH(LOWER(TRIM(K2821)),'Students'!$AH$2:$AH$701,0),IFERROR(MATCH(LOWER(TRIM(K2821)),'Students'!$AF$2:$AF$701,0),IFERROR(MATCH(LOWER(TRIM(K2821)),'Students'!$AG$2:$AG$701,0),""))))</f>
        <v/>
      </c>
      <c r="R2821">
        <f>IF(P2821="","",INDEX('Students'!$AD$2:$AD$701,P2821))</f>
        <v/>
      </c>
      <c r="S2821">
        <f>IF(H2821="OK",O2821,0)</f>
        <v/>
      </c>
      <c r="T2821">
        <f>IF(H2821="OK",N2821,"")</f>
        <v/>
      </c>
      <c r="U2821">
        <f>IF(OC_Donor=0,"",IF(INDEX('OneCause_Paste'!$A$2821:$AZ$2821,1,OC_Donor)="","",INDEX('OneCause_Paste'!$A$2821:$AZ$2821,1,OC_Donor)))</f>
        <v/>
      </c>
    </row>
    <row r="2822">
      <c r="A2822" s="62">
        <f>IF(H2822="","",IF(ISNUMBER(N2822),N2822,I2822))</f>
        <v/>
      </c>
      <c r="B2822">
        <f>IF(H2822="","",U2822)</f>
        <v/>
      </c>
      <c r="C2822">
        <f>IF(H2822="","",IF(P2822="",K2822,INDEX('Students'!$A$2:$A$701,P2822)))</f>
        <v/>
      </c>
      <c r="D2822">
        <f>IF(OR(H2822="",P2822=""),"",INDEX('Students'!$B$2:$B$701,P2822))</f>
        <v/>
      </c>
      <c r="E2822">
        <f>IF(OR(H2822="",P2822=""),"",INDEX('Students'!$C$2:$C$701,P2822))</f>
        <v/>
      </c>
      <c r="F2822" s="48">
        <f>IF(H2822="","",IF(ISNUMBER(O2822),O2822,J2822))</f>
        <v/>
      </c>
      <c r="G2822">
        <f>IF(H2822="","","OneCause")</f>
        <v/>
      </c>
      <c r="H2822">
        <f>IF(AND(I2822="",J2822="",K2822=""),"",IF(NOT(ISNUMBER(O2822)),"Bad amount",IF(O2822&lt;0,"Refund (not counted)",IF(O2822=0,"Zero amount",IF(NOT(ISNUMBER(N2822)),"Bad date",IF(P2822="","NAME NOT ON ROSTER",IF(L2822="","OK",IF(MATCH(L2822,$L$2:$L$3001,0)&lt;ROW()-1,"Duplicate (ignored)","OK"))))))))</f>
        <v/>
      </c>
      <c r="I2822">
        <f>IF(OC_Date=0,"",IF(INDEX('OneCause_Paste'!$A$2822:$AZ$2822,1,OC_Date)="","",INDEX('OneCause_Paste'!$A$2822:$AZ$2822,1,OC_Date)))</f>
        <v/>
      </c>
      <c r="J2822">
        <f>IF(OC_Amt=0,"",IF(INDEX('OneCause_Paste'!$A$2822:$AZ$2822,1,OC_Amt)="","",INDEX('OneCause_Paste'!$A$2822:$AZ$2822,1,OC_Amt)))</f>
        <v/>
      </c>
      <c r="K2822">
        <f>IF(OC_Name=0,"",IF(INDEX('OneCause_Paste'!$A$2822:$AZ$2822,1,OC_Name)="","",INDEX('OneCause_Paste'!$A$2822:$AZ$2822,1,OC_Name)))</f>
        <v/>
      </c>
      <c r="L2822">
        <f>IF(OC_Txn=0,"",IF(INDEX('OneCause_Paste'!$A$2822:$AZ$2822,1,OC_Txn)="","",INDEX('OneCause_Paste'!$A$2822:$AZ$2822,1,OC_Txn)))</f>
        <v/>
      </c>
      <c r="M2822">
        <f>IF(OC_Pay=0,"",IF(INDEX('OneCause_Paste'!$A$2822:$AZ$2822,1,OC_Pay)="","",INDEX('OneCause_Paste'!$A$2822:$AZ$2822,1,OC_Pay)))</f>
        <v/>
      </c>
      <c r="N2822">
        <f>IF(I2822="","",IF(ISNUMBER(I2822),INT(I2822),IFERROR(INT(DATEVALUE(I2822)),IFERROR(INT(VALUE(I2822)),"bad"))))</f>
        <v/>
      </c>
      <c r="O2822">
        <f>IF(J2822="","",IF(ISNUMBER(J2822),ROUND(J2822,2),IFERROR(ROUND(VALUE(SUBSTITUTE(SUBSTITUTE(SUBSTITUTE(J2822,"$",""),",","")," ","")),2),"bad")))</f>
        <v/>
      </c>
      <c r="P2822">
        <f>IF(TRIM(K2822)="","",IFERROR(MATCH(LOWER(TRIM(K2822)),'Students'!$AH$2:$AH$701,0),IFERROR(MATCH(LOWER(TRIM(K2822)),'Students'!$AF$2:$AF$701,0),IFERROR(MATCH(LOWER(TRIM(K2822)),'Students'!$AG$2:$AG$701,0),""))))</f>
        <v/>
      </c>
      <c r="R2822">
        <f>IF(P2822="","",INDEX('Students'!$AD$2:$AD$701,P2822))</f>
        <v/>
      </c>
      <c r="S2822">
        <f>IF(H2822="OK",O2822,0)</f>
        <v/>
      </c>
      <c r="T2822">
        <f>IF(H2822="OK",N2822,"")</f>
        <v/>
      </c>
      <c r="U2822">
        <f>IF(OC_Donor=0,"",IF(INDEX('OneCause_Paste'!$A$2822:$AZ$2822,1,OC_Donor)="","",INDEX('OneCause_Paste'!$A$2822:$AZ$2822,1,OC_Donor)))</f>
        <v/>
      </c>
    </row>
    <row r="2823">
      <c r="A2823" s="62">
        <f>IF(H2823="","",IF(ISNUMBER(N2823),N2823,I2823))</f>
        <v/>
      </c>
      <c r="B2823">
        <f>IF(H2823="","",U2823)</f>
        <v/>
      </c>
      <c r="C2823">
        <f>IF(H2823="","",IF(P2823="",K2823,INDEX('Students'!$A$2:$A$701,P2823)))</f>
        <v/>
      </c>
      <c r="D2823">
        <f>IF(OR(H2823="",P2823=""),"",INDEX('Students'!$B$2:$B$701,P2823))</f>
        <v/>
      </c>
      <c r="E2823">
        <f>IF(OR(H2823="",P2823=""),"",INDEX('Students'!$C$2:$C$701,P2823))</f>
        <v/>
      </c>
      <c r="F2823" s="48">
        <f>IF(H2823="","",IF(ISNUMBER(O2823),O2823,J2823))</f>
        <v/>
      </c>
      <c r="G2823">
        <f>IF(H2823="","","OneCause")</f>
        <v/>
      </c>
      <c r="H2823">
        <f>IF(AND(I2823="",J2823="",K2823=""),"",IF(NOT(ISNUMBER(O2823)),"Bad amount",IF(O2823&lt;0,"Refund (not counted)",IF(O2823=0,"Zero amount",IF(NOT(ISNUMBER(N2823)),"Bad date",IF(P2823="","NAME NOT ON ROSTER",IF(L2823="","OK",IF(MATCH(L2823,$L$2:$L$3001,0)&lt;ROW()-1,"Duplicate (ignored)","OK"))))))))</f>
        <v/>
      </c>
      <c r="I2823">
        <f>IF(OC_Date=0,"",IF(INDEX('OneCause_Paste'!$A$2823:$AZ$2823,1,OC_Date)="","",INDEX('OneCause_Paste'!$A$2823:$AZ$2823,1,OC_Date)))</f>
        <v/>
      </c>
      <c r="J2823">
        <f>IF(OC_Amt=0,"",IF(INDEX('OneCause_Paste'!$A$2823:$AZ$2823,1,OC_Amt)="","",INDEX('OneCause_Paste'!$A$2823:$AZ$2823,1,OC_Amt)))</f>
        <v/>
      </c>
      <c r="K2823">
        <f>IF(OC_Name=0,"",IF(INDEX('OneCause_Paste'!$A$2823:$AZ$2823,1,OC_Name)="","",INDEX('OneCause_Paste'!$A$2823:$AZ$2823,1,OC_Name)))</f>
        <v/>
      </c>
      <c r="L2823">
        <f>IF(OC_Txn=0,"",IF(INDEX('OneCause_Paste'!$A$2823:$AZ$2823,1,OC_Txn)="","",INDEX('OneCause_Paste'!$A$2823:$AZ$2823,1,OC_Txn)))</f>
        <v/>
      </c>
      <c r="M2823">
        <f>IF(OC_Pay=0,"",IF(INDEX('OneCause_Paste'!$A$2823:$AZ$2823,1,OC_Pay)="","",INDEX('OneCause_Paste'!$A$2823:$AZ$2823,1,OC_Pay)))</f>
        <v/>
      </c>
      <c r="N2823">
        <f>IF(I2823="","",IF(ISNUMBER(I2823),INT(I2823),IFERROR(INT(DATEVALUE(I2823)),IFERROR(INT(VALUE(I2823)),"bad"))))</f>
        <v/>
      </c>
      <c r="O2823">
        <f>IF(J2823="","",IF(ISNUMBER(J2823),ROUND(J2823,2),IFERROR(ROUND(VALUE(SUBSTITUTE(SUBSTITUTE(SUBSTITUTE(J2823,"$",""),",","")," ","")),2),"bad")))</f>
        <v/>
      </c>
      <c r="P2823">
        <f>IF(TRIM(K2823)="","",IFERROR(MATCH(LOWER(TRIM(K2823)),'Students'!$AH$2:$AH$701,0),IFERROR(MATCH(LOWER(TRIM(K2823)),'Students'!$AF$2:$AF$701,0),IFERROR(MATCH(LOWER(TRIM(K2823)),'Students'!$AG$2:$AG$701,0),""))))</f>
        <v/>
      </c>
      <c r="R2823">
        <f>IF(P2823="","",INDEX('Students'!$AD$2:$AD$701,P2823))</f>
        <v/>
      </c>
      <c r="S2823">
        <f>IF(H2823="OK",O2823,0)</f>
        <v/>
      </c>
      <c r="T2823">
        <f>IF(H2823="OK",N2823,"")</f>
        <v/>
      </c>
      <c r="U2823">
        <f>IF(OC_Donor=0,"",IF(INDEX('OneCause_Paste'!$A$2823:$AZ$2823,1,OC_Donor)="","",INDEX('OneCause_Paste'!$A$2823:$AZ$2823,1,OC_Donor)))</f>
        <v/>
      </c>
    </row>
    <row r="2824">
      <c r="A2824" s="62">
        <f>IF(H2824="","",IF(ISNUMBER(N2824),N2824,I2824))</f>
        <v/>
      </c>
      <c r="B2824">
        <f>IF(H2824="","",U2824)</f>
        <v/>
      </c>
      <c r="C2824">
        <f>IF(H2824="","",IF(P2824="",K2824,INDEX('Students'!$A$2:$A$701,P2824)))</f>
        <v/>
      </c>
      <c r="D2824">
        <f>IF(OR(H2824="",P2824=""),"",INDEX('Students'!$B$2:$B$701,P2824))</f>
        <v/>
      </c>
      <c r="E2824">
        <f>IF(OR(H2824="",P2824=""),"",INDEX('Students'!$C$2:$C$701,P2824))</f>
        <v/>
      </c>
      <c r="F2824" s="48">
        <f>IF(H2824="","",IF(ISNUMBER(O2824),O2824,J2824))</f>
        <v/>
      </c>
      <c r="G2824">
        <f>IF(H2824="","","OneCause")</f>
        <v/>
      </c>
      <c r="H2824">
        <f>IF(AND(I2824="",J2824="",K2824=""),"",IF(NOT(ISNUMBER(O2824)),"Bad amount",IF(O2824&lt;0,"Refund (not counted)",IF(O2824=0,"Zero amount",IF(NOT(ISNUMBER(N2824)),"Bad date",IF(P2824="","NAME NOT ON ROSTER",IF(L2824="","OK",IF(MATCH(L2824,$L$2:$L$3001,0)&lt;ROW()-1,"Duplicate (ignored)","OK"))))))))</f>
        <v/>
      </c>
      <c r="I2824">
        <f>IF(OC_Date=0,"",IF(INDEX('OneCause_Paste'!$A$2824:$AZ$2824,1,OC_Date)="","",INDEX('OneCause_Paste'!$A$2824:$AZ$2824,1,OC_Date)))</f>
        <v/>
      </c>
      <c r="J2824">
        <f>IF(OC_Amt=0,"",IF(INDEX('OneCause_Paste'!$A$2824:$AZ$2824,1,OC_Amt)="","",INDEX('OneCause_Paste'!$A$2824:$AZ$2824,1,OC_Amt)))</f>
        <v/>
      </c>
      <c r="K2824">
        <f>IF(OC_Name=0,"",IF(INDEX('OneCause_Paste'!$A$2824:$AZ$2824,1,OC_Name)="","",INDEX('OneCause_Paste'!$A$2824:$AZ$2824,1,OC_Name)))</f>
        <v/>
      </c>
      <c r="L2824">
        <f>IF(OC_Txn=0,"",IF(INDEX('OneCause_Paste'!$A$2824:$AZ$2824,1,OC_Txn)="","",INDEX('OneCause_Paste'!$A$2824:$AZ$2824,1,OC_Txn)))</f>
        <v/>
      </c>
      <c r="M2824">
        <f>IF(OC_Pay=0,"",IF(INDEX('OneCause_Paste'!$A$2824:$AZ$2824,1,OC_Pay)="","",INDEX('OneCause_Paste'!$A$2824:$AZ$2824,1,OC_Pay)))</f>
        <v/>
      </c>
      <c r="N2824">
        <f>IF(I2824="","",IF(ISNUMBER(I2824),INT(I2824),IFERROR(INT(DATEVALUE(I2824)),IFERROR(INT(VALUE(I2824)),"bad"))))</f>
        <v/>
      </c>
      <c r="O2824">
        <f>IF(J2824="","",IF(ISNUMBER(J2824),ROUND(J2824,2),IFERROR(ROUND(VALUE(SUBSTITUTE(SUBSTITUTE(SUBSTITUTE(J2824,"$",""),",","")," ","")),2),"bad")))</f>
        <v/>
      </c>
      <c r="P2824">
        <f>IF(TRIM(K2824)="","",IFERROR(MATCH(LOWER(TRIM(K2824)),'Students'!$AH$2:$AH$701,0),IFERROR(MATCH(LOWER(TRIM(K2824)),'Students'!$AF$2:$AF$701,0),IFERROR(MATCH(LOWER(TRIM(K2824)),'Students'!$AG$2:$AG$701,0),""))))</f>
        <v/>
      </c>
      <c r="R2824">
        <f>IF(P2824="","",INDEX('Students'!$AD$2:$AD$701,P2824))</f>
        <v/>
      </c>
      <c r="S2824">
        <f>IF(H2824="OK",O2824,0)</f>
        <v/>
      </c>
      <c r="T2824">
        <f>IF(H2824="OK",N2824,"")</f>
        <v/>
      </c>
      <c r="U2824">
        <f>IF(OC_Donor=0,"",IF(INDEX('OneCause_Paste'!$A$2824:$AZ$2824,1,OC_Donor)="","",INDEX('OneCause_Paste'!$A$2824:$AZ$2824,1,OC_Donor)))</f>
        <v/>
      </c>
    </row>
    <row r="2825">
      <c r="A2825" s="62">
        <f>IF(H2825="","",IF(ISNUMBER(N2825),N2825,I2825))</f>
        <v/>
      </c>
      <c r="B2825">
        <f>IF(H2825="","",U2825)</f>
        <v/>
      </c>
      <c r="C2825">
        <f>IF(H2825="","",IF(P2825="",K2825,INDEX('Students'!$A$2:$A$701,P2825)))</f>
        <v/>
      </c>
      <c r="D2825">
        <f>IF(OR(H2825="",P2825=""),"",INDEX('Students'!$B$2:$B$701,P2825))</f>
        <v/>
      </c>
      <c r="E2825">
        <f>IF(OR(H2825="",P2825=""),"",INDEX('Students'!$C$2:$C$701,P2825))</f>
        <v/>
      </c>
      <c r="F2825" s="48">
        <f>IF(H2825="","",IF(ISNUMBER(O2825),O2825,J2825))</f>
        <v/>
      </c>
      <c r="G2825">
        <f>IF(H2825="","","OneCause")</f>
        <v/>
      </c>
      <c r="H2825">
        <f>IF(AND(I2825="",J2825="",K2825=""),"",IF(NOT(ISNUMBER(O2825)),"Bad amount",IF(O2825&lt;0,"Refund (not counted)",IF(O2825=0,"Zero amount",IF(NOT(ISNUMBER(N2825)),"Bad date",IF(P2825="","NAME NOT ON ROSTER",IF(L2825="","OK",IF(MATCH(L2825,$L$2:$L$3001,0)&lt;ROW()-1,"Duplicate (ignored)","OK"))))))))</f>
        <v/>
      </c>
      <c r="I2825">
        <f>IF(OC_Date=0,"",IF(INDEX('OneCause_Paste'!$A$2825:$AZ$2825,1,OC_Date)="","",INDEX('OneCause_Paste'!$A$2825:$AZ$2825,1,OC_Date)))</f>
        <v/>
      </c>
      <c r="J2825">
        <f>IF(OC_Amt=0,"",IF(INDEX('OneCause_Paste'!$A$2825:$AZ$2825,1,OC_Amt)="","",INDEX('OneCause_Paste'!$A$2825:$AZ$2825,1,OC_Amt)))</f>
        <v/>
      </c>
      <c r="K2825">
        <f>IF(OC_Name=0,"",IF(INDEX('OneCause_Paste'!$A$2825:$AZ$2825,1,OC_Name)="","",INDEX('OneCause_Paste'!$A$2825:$AZ$2825,1,OC_Name)))</f>
        <v/>
      </c>
      <c r="L2825">
        <f>IF(OC_Txn=0,"",IF(INDEX('OneCause_Paste'!$A$2825:$AZ$2825,1,OC_Txn)="","",INDEX('OneCause_Paste'!$A$2825:$AZ$2825,1,OC_Txn)))</f>
        <v/>
      </c>
      <c r="M2825">
        <f>IF(OC_Pay=0,"",IF(INDEX('OneCause_Paste'!$A$2825:$AZ$2825,1,OC_Pay)="","",INDEX('OneCause_Paste'!$A$2825:$AZ$2825,1,OC_Pay)))</f>
        <v/>
      </c>
      <c r="N2825">
        <f>IF(I2825="","",IF(ISNUMBER(I2825),INT(I2825),IFERROR(INT(DATEVALUE(I2825)),IFERROR(INT(VALUE(I2825)),"bad"))))</f>
        <v/>
      </c>
      <c r="O2825">
        <f>IF(J2825="","",IF(ISNUMBER(J2825),ROUND(J2825,2),IFERROR(ROUND(VALUE(SUBSTITUTE(SUBSTITUTE(SUBSTITUTE(J2825,"$",""),",","")," ","")),2),"bad")))</f>
        <v/>
      </c>
      <c r="P2825">
        <f>IF(TRIM(K2825)="","",IFERROR(MATCH(LOWER(TRIM(K2825)),'Students'!$AH$2:$AH$701,0),IFERROR(MATCH(LOWER(TRIM(K2825)),'Students'!$AF$2:$AF$701,0),IFERROR(MATCH(LOWER(TRIM(K2825)),'Students'!$AG$2:$AG$701,0),""))))</f>
        <v/>
      </c>
      <c r="R2825">
        <f>IF(P2825="","",INDEX('Students'!$AD$2:$AD$701,P2825))</f>
        <v/>
      </c>
      <c r="S2825">
        <f>IF(H2825="OK",O2825,0)</f>
        <v/>
      </c>
      <c r="T2825">
        <f>IF(H2825="OK",N2825,"")</f>
        <v/>
      </c>
      <c r="U2825">
        <f>IF(OC_Donor=0,"",IF(INDEX('OneCause_Paste'!$A$2825:$AZ$2825,1,OC_Donor)="","",INDEX('OneCause_Paste'!$A$2825:$AZ$2825,1,OC_Donor)))</f>
        <v/>
      </c>
    </row>
    <row r="2826">
      <c r="A2826" s="62">
        <f>IF(H2826="","",IF(ISNUMBER(N2826),N2826,I2826))</f>
        <v/>
      </c>
      <c r="B2826">
        <f>IF(H2826="","",U2826)</f>
        <v/>
      </c>
      <c r="C2826">
        <f>IF(H2826="","",IF(P2826="",K2826,INDEX('Students'!$A$2:$A$701,P2826)))</f>
        <v/>
      </c>
      <c r="D2826">
        <f>IF(OR(H2826="",P2826=""),"",INDEX('Students'!$B$2:$B$701,P2826))</f>
        <v/>
      </c>
      <c r="E2826">
        <f>IF(OR(H2826="",P2826=""),"",INDEX('Students'!$C$2:$C$701,P2826))</f>
        <v/>
      </c>
      <c r="F2826" s="48">
        <f>IF(H2826="","",IF(ISNUMBER(O2826),O2826,J2826))</f>
        <v/>
      </c>
      <c r="G2826">
        <f>IF(H2826="","","OneCause")</f>
        <v/>
      </c>
      <c r="H2826">
        <f>IF(AND(I2826="",J2826="",K2826=""),"",IF(NOT(ISNUMBER(O2826)),"Bad amount",IF(O2826&lt;0,"Refund (not counted)",IF(O2826=0,"Zero amount",IF(NOT(ISNUMBER(N2826)),"Bad date",IF(P2826="","NAME NOT ON ROSTER",IF(L2826="","OK",IF(MATCH(L2826,$L$2:$L$3001,0)&lt;ROW()-1,"Duplicate (ignored)","OK"))))))))</f>
        <v/>
      </c>
      <c r="I2826">
        <f>IF(OC_Date=0,"",IF(INDEX('OneCause_Paste'!$A$2826:$AZ$2826,1,OC_Date)="","",INDEX('OneCause_Paste'!$A$2826:$AZ$2826,1,OC_Date)))</f>
        <v/>
      </c>
      <c r="J2826">
        <f>IF(OC_Amt=0,"",IF(INDEX('OneCause_Paste'!$A$2826:$AZ$2826,1,OC_Amt)="","",INDEX('OneCause_Paste'!$A$2826:$AZ$2826,1,OC_Amt)))</f>
        <v/>
      </c>
      <c r="K2826">
        <f>IF(OC_Name=0,"",IF(INDEX('OneCause_Paste'!$A$2826:$AZ$2826,1,OC_Name)="","",INDEX('OneCause_Paste'!$A$2826:$AZ$2826,1,OC_Name)))</f>
        <v/>
      </c>
      <c r="L2826">
        <f>IF(OC_Txn=0,"",IF(INDEX('OneCause_Paste'!$A$2826:$AZ$2826,1,OC_Txn)="","",INDEX('OneCause_Paste'!$A$2826:$AZ$2826,1,OC_Txn)))</f>
        <v/>
      </c>
      <c r="M2826">
        <f>IF(OC_Pay=0,"",IF(INDEX('OneCause_Paste'!$A$2826:$AZ$2826,1,OC_Pay)="","",INDEX('OneCause_Paste'!$A$2826:$AZ$2826,1,OC_Pay)))</f>
        <v/>
      </c>
      <c r="N2826">
        <f>IF(I2826="","",IF(ISNUMBER(I2826),INT(I2826),IFERROR(INT(DATEVALUE(I2826)),IFERROR(INT(VALUE(I2826)),"bad"))))</f>
        <v/>
      </c>
      <c r="O2826">
        <f>IF(J2826="","",IF(ISNUMBER(J2826),ROUND(J2826,2),IFERROR(ROUND(VALUE(SUBSTITUTE(SUBSTITUTE(SUBSTITUTE(J2826,"$",""),",","")," ","")),2),"bad")))</f>
        <v/>
      </c>
      <c r="P2826">
        <f>IF(TRIM(K2826)="","",IFERROR(MATCH(LOWER(TRIM(K2826)),'Students'!$AH$2:$AH$701,0),IFERROR(MATCH(LOWER(TRIM(K2826)),'Students'!$AF$2:$AF$701,0),IFERROR(MATCH(LOWER(TRIM(K2826)),'Students'!$AG$2:$AG$701,0),""))))</f>
        <v/>
      </c>
      <c r="R2826">
        <f>IF(P2826="","",INDEX('Students'!$AD$2:$AD$701,P2826))</f>
        <v/>
      </c>
      <c r="S2826">
        <f>IF(H2826="OK",O2826,0)</f>
        <v/>
      </c>
      <c r="T2826">
        <f>IF(H2826="OK",N2826,"")</f>
        <v/>
      </c>
      <c r="U2826">
        <f>IF(OC_Donor=0,"",IF(INDEX('OneCause_Paste'!$A$2826:$AZ$2826,1,OC_Donor)="","",INDEX('OneCause_Paste'!$A$2826:$AZ$2826,1,OC_Donor)))</f>
        <v/>
      </c>
    </row>
    <row r="2827">
      <c r="A2827" s="62">
        <f>IF(H2827="","",IF(ISNUMBER(N2827),N2827,I2827))</f>
        <v/>
      </c>
      <c r="B2827">
        <f>IF(H2827="","",U2827)</f>
        <v/>
      </c>
      <c r="C2827">
        <f>IF(H2827="","",IF(P2827="",K2827,INDEX('Students'!$A$2:$A$701,P2827)))</f>
        <v/>
      </c>
      <c r="D2827">
        <f>IF(OR(H2827="",P2827=""),"",INDEX('Students'!$B$2:$B$701,P2827))</f>
        <v/>
      </c>
      <c r="E2827">
        <f>IF(OR(H2827="",P2827=""),"",INDEX('Students'!$C$2:$C$701,P2827))</f>
        <v/>
      </c>
      <c r="F2827" s="48">
        <f>IF(H2827="","",IF(ISNUMBER(O2827),O2827,J2827))</f>
        <v/>
      </c>
      <c r="G2827">
        <f>IF(H2827="","","OneCause")</f>
        <v/>
      </c>
      <c r="H2827">
        <f>IF(AND(I2827="",J2827="",K2827=""),"",IF(NOT(ISNUMBER(O2827)),"Bad amount",IF(O2827&lt;0,"Refund (not counted)",IF(O2827=0,"Zero amount",IF(NOT(ISNUMBER(N2827)),"Bad date",IF(P2827="","NAME NOT ON ROSTER",IF(L2827="","OK",IF(MATCH(L2827,$L$2:$L$3001,0)&lt;ROW()-1,"Duplicate (ignored)","OK"))))))))</f>
        <v/>
      </c>
      <c r="I2827">
        <f>IF(OC_Date=0,"",IF(INDEX('OneCause_Paste'!$A$2827:$AZ$2827,1,OC_Date)="","",INDEX('OneCause_Paste'!$A$2827:$AZ$2827,1,OC_Date)))</f>
        <v/>
      </c>
      <c r="J2827">
        <f>IF(OC_Amt=0,"",IF(INDEX('OneCause_Paste'!$A$2827:$AZ$2827,1,OC_Amt)="","",INDEX('OneCause_Paste'!$A$2827:$AZ$2827,1,OC_Amt)))</f>
        <v/>
      </c>
      <c r="K2827">
        <f>IF(OC_Name=0,"",IF(INDEX('OneCause_Paste'!$A$2827:$AZ$2827,1,OC_Name)="","",INDEX('OneCause_Paste'!$A$2827:$AZ$2827,1,OC_Name)))</f>
        <v/>
      </c>
      <c r="L2827">
        <f>IF(OC_Txn=0,"",IF(INDEX('OneCause_Paste'!$A$2827:$AZ$2827,1,OC_Txn)="","",INDEX('OneCause_Paste'!$A$2827:$AZ$2827,1,OC_Txn)))</f>
        <v/>
      </c>
      <c r="M2827">
        <f>IF(OC_Pay=0,"",IF(INDEX('OneCause_Paste'!$A$2827:$AZ$2827,1,OC_Pay)="","",INDEX('OneCause_Paste'!$A$2827:$AZ$2827,1,OC_Pay)))</f>
        <v/>
      </c>
      <c r="N2827">
        <f>IF(I2827="","",IF(ISNUMBER(I2827),INT(I2827),IFERROR(INT(DATEVALUE(I2827)),IFERROR(INT(VALUE(I2827)),"bad"))))</f>
        <v/>
      </c>
      <c r="O2827">
        <f>IF(J2827="","",IF(ISNUMBER(J2827),ROUND(J2827,2),IFERROR(ROUND(VALUE(SUBSTITUTE(SUBSTITUTE(SUBSTITUTE(J2827,"$",""),",","")," ","")),2),"bad")))</f>
        <v/>
      </c>
      <c r="P2827">
        <f>IF(TRIM(K2827)="","",IFERROR(MATCH(LOWER(TRIM(K2827)),'Students'!$AH$2:$AH$701,0),IFERROR(MATCH(LOWER(TRIM(K2827)),'Students'!$AF$2:$AF$701,0),IFERROR(MATCH(LOWER(TRIM(K2827)),'Students'!$AG$2:$AG$701,0),""))))</f>
        <v/>
      </c>
      <c r="R2827">
        <f>IF(P2827="","",INDEX('Students'!$AD$2:$AD$701,P2827))</f>
        <v/>
      </c>
      <c r="S2827">
        <f>IF(H2827="OK",O2827,0)</f>
        <v/>
      </c>
      <c r="T2827">
        <f>IF(H2827="OK",N2827,"")</f>
        <v/>
      </c>
      <c r="U2827">
        <f>IF(OC_Donor=0,"",IF(INDEX('OneCause_Paste'!$A$2827:$AZ$2827,1,OC_Donor)="","",INDEX('OneCause_Paste'!$A$2827:$AZ$2827,1,OC_Donor)))</f>
        <v/>
      </c>
    </row>
    <row r="2828">
      <c r="A2828" s="62">
        <f>IF(H2828="","",IF(ISNUMBER(N2828),N2828,I2828))</f>
        <v/>
      </c>
      <c r="B2828">
        <f>IF(H2828="","",U2828)</f>
        <v/>
      </c>
      <c r="C2828">
        <f>IF(H2828="","",IF(P2828="",K2828,INDEX('Students'!$A$2:$A$701,P2828)))</f>
        <v/>
      </c>
      <c r="D2828">
        <f>IF(OR(H2828="",P2828=""),"",INDEX('Students'!$B$2:$B$701,P2828))</f>
        <v/>
      </c>
      <c r="E2828">
        <f>IF(OR(H2828="",P2828=""),"",INDEX('Students'!$C$2:$C$701,P2828))</f>
        <v/>
      </c>
      <c r="F2828" s="48">
        <f>IF(H2828="","",IF(ISNUMBER(O2828),O2828,J2828))</f>
        <v/>
      </c>
      <c r="G2828">
        <f>IF(H2828="","","OneCause")</f>
        <v/>
      </c>
      <c r="H2828">
        <f>IF(AND(I2828="",J2828="",K2828=""),"",IF(NOT(ISNUMBER(O2828)),"Bad amount",IF(O2828&lt;0,"Refund (not counted)",IF(O2828=0,"Zero amount",IF(NOT(ISNUMBER(N2828)),"Bad date",IF(P2828="","NAME NOT ON ROSTER",IF(L2828="","OK",IF(MATCH(L2828,$L$2:$L$3001,0)&lt;ROW()-1,"Duplicate (ignored)","OK"))))))))</f>
        <v/>
      </c>
      <c r="I2828">
        <f>IF(OC_Date=0,"",IF(INDEX('OneCause_Paste'!$A$2828:$AZ$2828,1,OC_Date)="","",INDEX('OneCause_Paste'!$A$2828:$AZ$2828,1,OC_Date)))</f>
        <v/>
      </c>
      <c r="J2828">
        <f>IF(OC_Amt=0,"",IF(INDEX('OneCause_Paste'!$A$2828:$AZ$2828,1,OC_Amt)="","",INDEX('OneCause_Paste'!$A$2828:$AZ$2828,1,OC_Amt)))</f>
        <v/>
      </c>
      <c r="K2828">
        <f>IF(OC_Name=0,"",IF(INDEX('OneCause_Paste'!$A$2828:$AZ$2828,1,OC_Name)="","",INDEX('OneCause_Paste'!$A$2828:$AZ$2828,1,OC_Name)))</f>
        <v/>
      </c>
      <c r="L2828">
        <f>IF(OC_Txn=0,"",IF(INDEX('OneCause_Paste'!$A$2828:$AZ$2828,1,OC_Txn)="","",INDEX('OneCause_Paste'!$A$2828:$AZ$2828,1,OC_Txn)))</f>
        <v/>
      </c>
      <c r="M2828">
        <f>IF(OC_Pay=0,"",IF(INDEX('OneCause_Paste'!$A$2828:$AZ$2828,1,OC_Pay)="","",INDEX('OneCause_Paste'!$A$2828:$AZ$2828,1,OC_Pay)))</f>
        <v/>
      </c>
      <c r="N2828">
        <f>IF(I2828="","",IF(ISNUMBER(I2828),INT(I2828),IFERROR(INT(DATEVALUE(I2828)),IFERROR(INT(VALUE(I2828)),"bad"))))</f>
        <v/>
      </c>
      <c r="O2828">
        <f>IF(J2828="","",IF(ISNUMBER(J2828),ROUND(J2828,2),IFERROR(ROUND(VALUE(SUBSTITUTE(SUBSTITUTE(SUBSTITUTE(J2828,"$",""),",","")," ","")),2),"bad")))</f>
        <v/>
      </c>
      <c r="P2828">
        <f>IF(TRIM(K2828)="","",IFERROR(MATCH(LOWER(TRIM(K2828)),'Students'!$AH$2:$AH$701,0),IFERROR(MATCH(LOWER(TRIM(K2828)),'Students'!$AF$2:$AF$701,0),IFERROR(MATCH(LOWER(TRIM(K2828)),'Students'!$AG$2:$AG$701,0),""))))</f>
        <v/>
      </c>
      <c r="R2828">
        <f>IF(P2828="","",INDEX('Students'!$AD$2:$AD$701,P2828))</f>
        <v/>
      </c>
      <c r="S2828">
        <f>IF(H2828="OK",O2828,0)</f>
        <v/>
      </c>
      <c r="T2828">
        <f>IF(H2828="OK",N2828,"")</f>
        <v/>
      </c>
      <c r="U2828">
        <f>IF(OC_Donor=0,"",IF(INDEX('OneCause_Paste'!$A$2828:$AZ$2828,1,OC_Donor)="","",INDEX('OneCause_Paste'!$A$2828:$AZ$2828,1,OC_Donor)))</f>
        <v/>
      </c>
    </row>
    <row r="2829">
      <c r="A2829" s="62">
        <f>IF(H2829="","",IF(ISNUMBER(N2829),N2829,I2829))</f>
        <v/>
      </c>
      <c r="B2829">
        <f>IF(H2829="","",U2829)</f>
        <v/>
      </c>
      <c r="C2829">
        <f>IF(H2829="","",IF(P2829="",K2829,INDEX('Students'!$A$2:$A$701,P2829)))</f>
        <v/>
      </c>
      <c r="D2829">
        <f>IF(OR(H2829="",P2829=""),"",INDEX('Students'!$B$2:$B$701,P2829))</f>
        <v/>
      </c>
      <c r="E2829">
        <f>IF(OR(H2829="",P2829=""),"",INDEX('Students'!$C$2:$C$701,P2829))</f>
        <v/>
      </c>
      <c r="F2829" s="48">
        <f>IF(H2829="","",IF(ISNUMBER(O2829),O2829,J2829))</f>
        <v/>
      </c>
      <c r="G2829">
        <f>IF(H2829="","","OneCause")</f>
        <v/>
      </c>
      <c r="H2829">
        <f>IF(AND(I2829="",J2829="",K2829=""),"",IF(NOT(ISNUMBER(O2829)),"Bad amount",IF(O2829&lt;0,"Refund (not counted)",IF(O2829=0,"Zero amount",IF(NOT(ISNUMBER(N2829)),"Bad date",IF(P2829="","NAME NOT ON ROSTER",IF(L2829="","OK",IF(MATCH(L2829,$L$2:$L$3001,0)&lt;ROW()-1,"Duplicate (ignored)","OK"))))))))</f>
        <v/>
      </c>
      <c r="I2829">
        <f>IF(OC_Date=0,"",IF(INDEX('OneCause_Paste'!$A$2829:$AZ$2829,1,OC_Date)="","",INDEX('OneCause_Paste'!$A$2829:$AZ$2829,1,OC_Date)))</f>
        <v/>
      </c>
      <c r="J2829">
        <f>IF(OC_Amt=0,"",IF(INDEX('OneCause_Paste'!$A$2829:$AZ$2829,1,OC_Amt)="","",INDEX('OneCause_Paste'!$A$2829:$AZ$2829,1,OC_Amt)))</f>
        <v/>
      </c>
      <c r="K2829">
        <f>IF(OC_Name=0,"",IF(INDEX('OneCause_Paste'!$A$2829:$AZ$2829,1,OC_Name)="","",INDEX('OneCause_Paste'!$A$2829:$AZ$2829,1,OC_Name)))</f>
        <v/>
      </c>
      <c r="L2829">
        <f>IF(OC_Txn=0,"",IF(INDEX('OneCause_Paste'!$A$2829:$AZ$2829,1,OC_Txn)="","",INDEX('OneCause_Paste'!$A$2829:$AZ$2829,1,OC_Txn)))</f>
        <v/>
      </c>
      <c r="M2829">
        <f>IF(OC_Pay=0,"",IF(INDEX('OneCause_Paste'!$A$2829:$AZ$2829,1,OC_Pay)="","",INDEX('OneCause_Paste'!$A$2829:$AZ$2829,1,OC_Pay)))</f>
        <v/>
      </c>
      <c r="N2829">
        <f>IF(I2829="","",IF(ISNUMBER(I2829),INT(I2829),IFERROR(INT(DATEVALUE(I2829)),IFERROR(INT(VALUE(I2829)),"bad"))))</f>
        <v/>
      </c>
      <c r="O2829">
        <f>IF(J2829="","",IF(ISNUMBER(J2829),ROUND(J2829,2),IFERROR(ROUND(VALUE(SUBSTITUTE(SUBSTITUTE(SUBSTITUTE(J2829,"$",""),",","")," ","")),2),"bad")))</f>
        <v/>
      </c>
      <c r="P2829">
        <f>IF(TRIM(K2829)="","",IFERROR(MATCH(LOWER(TRIM(K2829)),'Students'!$AH$2:$AH$701,0),IFERROR(MATCH(LOWER(TRIM(K2829)),'Students'!$AF$2:$AF$701,0),IFERROR(MATCH(LOWER(TRIM(K2829)),'Students'!$AG$2:$AG$701,0),""))))</f>
        <v/>
      </c>
      <c r="R2829">
        <f>IF(P2829="","",INDEX('Students'!$AD$2:$AD$701,P2829))</f>
        <v/>
      </c>
      <c r="S2829">
        <f>IF(H2829="OK",O2829,0)</f>
        <v/>
      </c>
      <c r="T2829">
        <f>IF(H2829="OK",N2829,"")</f>
        <v/>
      </c>
      <c r="U2829">
        <f>IF(OC_Donor=0,"",IF(INDEX('OneCause_Paste'!$A$2829:$AZ$2829,1,OC_Donor)="","",INDEX('OneCause_Paste'!$A$2829:$AZ$2829,1,OC_Donor)))</f>
        <v/>
      </c>
    </row>
    <row r="2830">
      <c r="A2830" s="62">
        <f>IF(H2830="","",IF(ISNUMBER(N2830),N2830,I2830))</f>
        <v/>
      </c>
      <c r="B2830">
        <f>IF(H2830="","",U2830)</f>
        <v/>
      </c>
      <c r="C2830">
        <f>IF(H2830="","",IF(P2830="",K2830,INDEX('Students'!$A$2:$A$701,P2830)))</f>
        <v/>
      </c>
      <c r="D2830">
        <f>IF(OR(H2830="",P2830=""),"",INDEX('Students'!$B$2:$B$701,P2830))</f>
        <v/>
      </c>
      <c r="E2830">
        <f>IF(OR(H2830="",P2830=""),"",INDEX('Students'!$C$2:$C$701,P2830))</f>
        <v/>
      </c>
      <c r="F2830" s="48">
        <f>IF(H2830="","",IF(ISNUMBER(O2830),O2830,J2830))</f>
        <v/>
      </c>
      <c r="G2830">
        <f>IF(H2830="","","OneCause")</f>
        <v/>
      </c>
      <c r="H2830">
        <f>IF(AND(I2830="",J2830="",K2830=""),"",IF(NOT(ISNUMBER(O2830)),"Bad amount",IF(O2830&lt;0,"Refund (not counted)",IF(O2830=0,"Zero amount",IF(NOT(ISNUMBER(N2830)),"Bad date",IF(P2830="","NAME NOT ON ROSTER",IF(L2830="","OK",IF(MATCH(L2830,$L$2:$L$3001,0)&lt;ROW()-1,"Duplicate (ignored)","OK"))))))))</f>
        <v/>
      </c>
      <c r="I2830">
        <f>IF(OC_Date=0,"",IF(INDEX('OneCause_Paste'!$A$2830:$AZ$2830,1,OC_Date)="","",INDEX('OneCause_Paste'!$A$2830:$AZ$2830,1,OC_Date)))</f>
        <v/>
      </c>
      <c r="J2830">
        <f>IF(OC_Amt=0,"",IF(INDEX('OneCause_Paste'!$A$2830:$AZ$2830,1,OC_Amt)="","",INDEX('OneCause_Paste'!$A$2830:$AZ$2830,1,OC_Amt)))</f>
        <v/>
      </c>
      <c r="K2830">
        <f>IF(OC_Name=0,"",IF(INDEX('OneCause_Paste'!$A$2830:$AZ$2830,1,OC_Name)="","",INDEX('OneCause_Paste'!$A$2830:$AZ$2830,1,OC_Name)))</f>
        <v/>
      </c>
      <c r="L2830">
        <f>IF(OC_Txn=0,"",IF(INDEX('OneCause_Paste'!$A$2830:$AZ$2830,1,OC_Txn)="","",INDEX('OneCause_Paste'!$A$2830:$AZ$2830,1,OC_Txn)))</f>
        <v/>
      </c>
      <c r="M2830">
        <f>IF(OC_Pay=0,"",IF(INDEX('OneCause_Paste'!$A$2830:$AZ$2830,1,OC_Pay)="","",INDEX('OneCause_Paste'!$A$2830:$AZ$2830,1,OC_Pay)))</f>
        <v/>
      </c>
      <c r="N2830">
        <f>IF(I2830="","",IF(ISNUMBER(I2830),INT(I2830),IFERROR(INT(DATEVALUE(I2830)),IFERROR(INT(VALUE(I2830)),"bad"))))</f>
        <v/>
      </c>
      <c r="O2830">
        <f>IF(J2830="","",IF(ISNUMBER(J2830),ROUND(J2830,2),IFERROR(ROUND(VALUE(SUBSTITUTE(SUBSTITUTE(SUBSTITUTE(J2830,"$",""),",","")," ","")),2),"bad")))</f>
        <v/>
      </c>
      <c r="P2830">
        <f>IF(TRIM(K2830)="","",IFERROR(MATCH(LOWER(TRIM(K2830)),'Students'!$AH$2:$AH$701,0),IFERROR(MATCH(LOWER(TRIM(K2830)),'Students'!$AF$2:$AF$701,0),IFERROR(MATCH(LOWER(TRIM(K2830)),'Students'!$AG$2:$AG$701,0),""))))</f>
        <v/>
      </c>
      <c r="R2830">
        <f>IF(P2830="","",INDEX('Students'!$AD$2:$AD$701,P2830))</f>
        <v/>
      </c>
      <c r="S2830">
        <f>IF(H2830="OK",O2830,0)</f>
        <v/>
      </c>
      <c r="T2830">
        <f>IF(H2830="OK",N2830,"")</f>
        <v/>
      </c>
      <c r="U2830">
        <f>IF(OC_Donor=0,"",IF(INDEX('OneCause_Paste'!$A$2830:$AZ$2830,1,OC_Donor)="","",INDEX('OneCause_Paste'!$A$2830:$AZ$2830,1,OC_Donor)))</f>
        <v/>
      </c>
    </row>
    <row r="2831">
      <c r="A2831" s="62">
        <f>IF(H2831="","",IF(ISNUMBER(N2831),N2831,I2831))</f>
        <v/>
      </c>
      <c r="B2831">
        <f>IF(H2831="","",U2831)</f>
        <v/>
      </c>
      <c r="C2831">
        <f>IF(H2831="","",IF(P2831="",K2831,INDEX('Students'!$A$2:$A$701,P2831)))</f>
        <v/>
      </c>
      <c r="D2831">
        <f>IF(OR(H2831="",P2831=""),"",INDEX('Students'!$B$2:$B$701,P2831))</f>
        <v/>
      </c>
      <c r="E2831">
        <f>IF(OR(H2831="",P2831=""),"",INDEX('Students'!$C$2:$C$701,P2831))</f>
        <v/>
      </c>
      <c r="F2831" s="48">
        <f>IF(H2831="","",IF(ISNUMBER(O2831),O2831,J2831))</f>
        <v/>
      </c>
      <c r="G2831">
        <f>IF(H2831="","","OneCause")</f>
        <v/>
      </c>
      <c r="H2831">
        <f>IF(AND(I2831="",J2831="",K2831=""),"",IF(NOT(ISNUMBER(O2831)),"Bad amount",IF(O2831&lt;0,"Refund (not counted)",IF(O2831=0,"Zero amount",IF(NOT(ISNUMBER(N2831)),"Bad date",IF(P2831="","NAME NOT ON ROSTER",IF(L2831="","OK",IF(MATCH(L2831,$L$2:$L$3001,0)&lt;ROW()-1,"Duplicate (ignored)","OK"))))))))</f>
        <v/>
      </c>
      <c r="I2831">
        <f>IF(OC_Date=0,"",IF(INDEX('OneCause_Paste'!$A$2831:$AZ$2831,1,OC_Date)="","",INDEX('OneCause_Paste'!$A$2831:$AZ$2831,1,OC_Date)))</f>
        <v/>
      </c>
      <c r="J2831">
        <f>IF(OC_Amt=0,"",IF(INDEX('OneCause_Paste'!$A$2831:$AZ$2831,1,OC_Amt)="","",INDEX('OneCause_Paste'!$A$2831:$AZ$2831,1,OC_Amt)))</f>
        <v/>
      </c>
      <c r="K2831">
        <f>IF(OC_Name=0,"",IF(INDEX('OneCause_Paste'!$A$2831:$AZ$2831,1,OC_Name)="","",INDEX('OneCause_Paste'!$A$2831:$AZ$2831,1,OC_Name)))</f>
        <v/>
      </c>
      <c r="L2831">
        <f>IF(OC_Txn=0,"",IF(INDEX('OneCause_Paste'!$A$2831:$AZ$2831,1,OC_Txn)="","",INDEX('OneCause_Paste'!$A$2831:$AZ$2831,1,OC_Txn)))</f>
        <v/>
      </c>
      <c r="M2831">
        <f>IF(OC_Pay=0,"",IF(INDEX('OneCause_Paste'!$A$2831:$AZ$2831,1,OC_Pay)="","",INDEX('OneCause_Paste'!$A$2831:$AZ$2831,1,OC_Pay)))</f>
        <v/>
      </c>
      <c r="N2831">
        <f>IF(I2831="","",IF(ISNUMBER(I2831),INT(I2831),IFERROR(INT(DATEVALUE(I2831)),IFERROR(INT(VALUE(I2831)),"bad"))))</f>
        <v/>
      </c>
      <c r="O2831">
        <f>IF(J2831="","",IF(ISNUMBER(J2831),ROUND(J2831,2),IFERROR(ROUND(VALUE(SUBSTITUTE(SUBSTITUTE(SUBSTITUTE(J2831,"$",""),",","")," ","")),2),"bad")))</f>
        <v/>
      </c>
      <c r="P2831">
        <f>IF(TRIM(K2831)="","",IFERROR(MATCH(LOWER(TRIM(K2831)),'Students'!$AH$2:$AH$701,0),IFERROR(MATCH(LOWER(TRIM(K2831)),'Students'!$AF$2:$AF$701,0),IFERROR(MATCH(LOWER(TRIM(K2831)),'Students'!$AG$2:$AG$701,0),""))))</f>
        <v/>
      </c>
      <c r="R2831">
        <f>IF(P2831="","",INDEX('Students'!$AD$2:$AD$701,P2831))</f>
        <v/>
      </c>
      <c r="S2831">
        <f>IF(H2831="OK",O2831,0)</f>
        <v/>
      </c>
      <c r="T2831">
        <f>IF(H2831="OK",N2831,"")</f>
        <v/>
      </c>
      <c r="U2831">
        <f>IF(OC_Donor=0,"",IF(INDEX('OneCause_Paste'!$A$2831:$AZ$2831,1,OC_Donor)="","",INDEX('OneCause_Paste'!$A$2831:$AZ$2831,1,OC_Donor)))</f>
        <v/>
      </c>
    </row>
    <row r="2832">
      <c r="A2832" s="62">
        <f>IF(H2832="","",IF(ISNUMBER(N2832),N2832,I2832))</f>
        <v/>
      </c>
      <c r="B2832">
        <f>IF(H2832="","",U2832)</f>
        <v/>
      </c>
      <c r="C2832">
        <f>IF(H2832="","",IF(P2832="",K2832,INDEX('Students'!$A$2:$A$701,P2832)))</f>
        <v/>
      </c>
      <c r="D2832">
        <f>IF(OR(H2832="",P2832=""),"",INDEX('Students'!$B$2:$B$701,P2832))</f>
        <v/>
      </c>
      <c r="E2832">
        <f>IF(OR(H2832="",P2832=""),"",INDEX('Students'!$C$2:$C$701,P2832))</f>
        <v/>
      </c>
      <c r="F2832" s="48">
        <f>IF(H2832="","",IF(ISNUMBER(O2832),O2832,J2832))</f>
        <v/>
      </c>
      <c r="G2832">
        <f>IF(H2832="","","OneCause")</f>
        <v/>
      </c>
      <c r="H2832">
        <f>IF(AND(I2832="",J2832="",K2832=""),"",IF(NOT(ISNUMBER(O2832)),"Bad amount",IF(O2832&lt;0,"Refund (not counted)",IF(O2832=0,"Zero amount",IF(NOT(ISNUMBER(N2832)),"Bad date",IF(P2832="","NAME NOT ON ROSTER",IF(L2832="","OK",IF(MATCH(L2832,$L$2:$L$3001,0)&lt;ROW()-1,"Duplicate (ignored)","OK"))))))))</f>
        <v/>
      </c>
      <c r="I2832">
        <f>IF(OC_Date=0,"",IF(INDEX('OneCause_Paste'!$A$2832:$AZ$2832,1,OC_Date)="","",INDEX('OneCause_Paste'!$A$2832:$AZ$2832,1,OC_Date)))</f>
        <v/>
      </c>
      <c r="J2832">
        <f>IF(OC_Amt=0,"",IF(INDEX('OneCause_Paste'!$A$2832:$AZ$2832,1,OC_Amt)="","",INDEX('OneCause_Paste'!$A$2832:$AZ$2832,1,OC_Amt)))</f>
        <v/>
      </c>
      <c r="K2832">
        <f>IF(OC_Name=0,"",IF(INDEX('OneCause_Paste'!$A$2832:$AZ$2832,1,OC_Name)="","",INDEX('OneCause_Paste'!$A$2832:$AZ$2832,1,OC_Name)))</f>
        <v/>
      </c>
      <c r="L2832">
        <f>IF(OC_Txn=0,"",IF(INDEX('OneCause_Paste'!$A$2832:$AZ$2832,1,OC_Txn)="","",INDEX('OneCause_Paste'!$A$2832:$AZ$2832,1,OC_Txn)))</f>
        <v/>
      </c>
      <c r="M2832">
        <f>IF(OC_Pay=0,"",IF(INDEX('OneCause_Paste'!$A$2832:$AZ$2832,1,OC_Pay)="","",INDEX('OneCause_Paste'!$A$2832:$AZ$2832,1,OC_Pay)))</f>
        <v/>
      </c>
      <c r="N2832">
        <f>IF(I2832="","",IF(ISNUMBER(I2832),INT(I2832),IFERROR(INT(DATEVALUE(I2832)),IFERROR(INT(VALUE(I2832)),"bad"))))</f>
        <v/>
      </c>
      <c r="O2832">
        <f>IF(J2832="","",IF(ISNUMBER(J2832),ROUND(J2832,2),IFERROR(ROUND(VALUE(SUBSTITUTE(SUBSTITUTE(SUBSTITUTE(J2832,"$",""),",","")," ","")),2),"bad")))</f>
        <v/>
      </c>
      <c r="P2832">
        <f>IF(TRIM(K2832)="","",IFERROR(MATCH(LOWER(TRIM(K2832)),'Students'!$AH$2:$AH$701,0),IFERROR(MATCH(LOWER(TRIM(K2832)),'Students'!$AF$2:$AF$701,0),IFERROR(MATCH(LOWER(TRIM(K2832)),'Students'!$AG$2:$AG$701,0),""))))</f>
        <v/>
      </c>
      <c r="R2832">
        <f>IF(P2832="","",INDEX('Students'!$AD$2:$AD$701,P2832))</f>
        <v/>
      </c>
      <c r="S2832">
        <f>IF(H2832="OK",O2832,0)</f>
        <v/>
      </c>
      <c r="T2832">
        <f>IF(H2832="OK",N2832,"")</f>
        <v/>
      </c>
      <c r="U2832">
        <f>IF(OC_Donor=0,"",IF(INDEX('OneCause_Paste'!$A$2832:$AZ$2832,1,OC_Donor)="","",INDEX('OneCause_Paste'!$A$2832:$AZ$2832,1,OC_Donor)))</f>
        <v/>
      </c>
    </row>
    <row r="2833">
      <c r="A2833" s="62">
        <f>IF(H2833="","",IF(ISNUMBER(N2833),N2833,I2833))</f>
        <v/>
      </c>
      <c r="B2833">
        <f>IF(H2833="","",U2833)</f>
        <v/>
      </c>
      <c r="C2833">
        <f>IF(H2833="","",IF(P2833="",K2833,INDEX('Students'!$A$2:$A$701,P2833)))</f>
        <v/>
      </c>
      <c r="D2833">
        <f>IF(OR(H2833="",P2833=""),"",INDEX('Students'!$B$2:$B$701,P2833))</f>
        <v/>
      </c>
      <c r="E2833">
        <f>IF(OR(H2833="",P2833=""),"",INDEX('Students'!$C$2:$C$701,P2833))</f>
        <v/>
      </c>
      <c r="F2833" s="48">
        <f>IF(H2833="","",IF(ISNUMBER(O2833),O2833,J2833))</f>
        <v/>
      </c>
      <c r="G2833">
        <f>IF(H2833="","","OneCause")</f>
        <v/>
      </c>
      <c r="H2833">
        <f>IF(AND(I2833="",J2833="",K2833=""),"",IF(NOT(ISNUMBER(O2833)),"Bad amount",IF(O2833&lt;0,"Refund (not counted)",IF(O2833=0,"Zero amount",IF(NOT(ISNUMBER(N2833)),"Bad date",IF(P2833="","NAME NOT ON ROSTER",IF(L2833="","OK",IF(MATCH(L2833,$L$2:$L$3001,0)&lt;ROW()-1,"Duplicate (ignored)","OK"))))))))</f>
        <v/>
      </c>
      <c r="I2833">
        <f>IF(OC_Date=0,"",IF(INDEX('OneCause_Paste'!$A$2833:$AZ$2833,1,OC_Date)="","",INDEX('OneCause_Paste'!$A$2833:$AZ$2833,1,OC_Date)))</f>
        <v/>
      </c>
      <c r="J2833">
        <f>IF(OC_Amt=0,"",IF(INDEX('OneCause_Paste'!$A$2833:$AZ$2833,1,OC_Amt)="","",INDEX('OneCause_Paste'!$A$2833:$AZ$2833,1,OC_Amt)))</f>
        <v/>
      </c>
      <c r="K2833">
        <f>IF(OC_Name=0,"",IF(INDEX('OneCause_Paste'!$A$2833:$AZ$2833,1,OC_Name)="","",INDEX('OneCause_Paste'!$A$2833:$AZ$2833,1,OC_Name)))</f>
        <v/>
      </c>
      <c r="L2833">
        <f>IF(OC_Txn=0,"",IF(INDEX('OneCause_Paste'!$A$2833:$AZ$2833,1,OC_Txn)="","",INDEX('OneCause_Paste'!$A$2833:$AZ$2833,1,OC_Txn)))</f>
        <v/>
      </c>
      <c r="M2833">
        <f>IF(OC_Pay=0,"",IF(INDEX('OneCause_Paste'!$A$2833:$AZ$2833,1,OC_Pay)="","",INDEX('OneCause_Paste'!$A$2833:$AZ$2833,1,OC_Pay)))</f>
        <v/>
      </c>
      <c r="N2833">
        <f>IF(I2833="","",IF(ISNUMBER(I2833),INT(I2833),IFERROR(INT(DATEVALUE(I2833)),IFERROR(INT(VALUE(I2833)),"bad"))))</f>
        <v/>
      </c>
      <c r="O2833">
        <f>IF(J2833="","",IF(ISNUMBER(J2833),ROUND(J2833,2),IFERROR(ROUND(VALUE(SUBSTITUTE(SUBSTITUTE(SUBSTITUTE(J2833,"$",""),",","")," ","")),2),"bad")))</f>
        <v/>
      </c>
      <c r="P2833">
        <f>IF(TRIM(K2833)="","",IFERROR(MATCH(LOWER(TRIM(K2833)),'Students'!$AH$2:$AH$701,0),IFERROR(MATCH(LOWER(TRIM(K2833)),'Students'!$AF$2:$AF$701,0),IFERROR(MATCH(LOWER(TRIM(K2833)),'Students'!$AG$2:$AG$701,0),""))))</f>
        <v/>
      </c>
      <c r="R2833">
        <f>IF(P2833="","",INDEX('Students'!$AD$2:$AD$701,P2833))</f>
        <v/>
      </c>
      <c r="S2833">
        <f>IF(H2833="OK",O2833,0)</f>
        <v/>
      </c>
      <c r="T2833">
        <f>IF(H2833="OK",N2833,"")</f>
        <v/>
      </c>
      <c r="U2833">
        <f>IF(OC_Donor=0,"",IF(INDEX('OneCause_Paste'!$A$2833:$AZ$2833,1,OC_Donor)="","",INDEX('OneCause_Paste'!$A$2833:$AZ$2833,1,OC_Donor)))</f>
        <v/>
      </c>
    </row>
    <row r="2834">
      <c r="A2834" s="62">
        <f>IF(H2834="","",IF(ISNUMBER(N2834),N2834,I2834))</f>
        <v/>
      </c>
      <c r="B2834">
        <f>IF(H2834="","",U2834)</f>
        <v/>
      </c>
      <c r="C2834">
        <f>IF(H2834="","",IF(P2834="",K2834,INDEX('Students'!$A$2:$A$701,P2834)))</f>
        <v/>
      </c>
      <c r="D2834">
        <f>IF(OR(H2834="",P2834=""),"",INDEX('Students'!$B$2:$B$701,P2834))</f>
        <v/>
      </c>
      <c r="E2834">
        <f>IF(OR(H2834="",P2834=""),"",INDEX('Students'!$C$2:$C$701,P2834))</f>
        <v/>
      </c>
      <c r="F2834" s="48">
        <f>IF(H2834="","",IF(ISNUMBER(O2834),O2834,J2834))</f>
        <v/>
      </c>
      <c r="G2834">
        <f>IF(H2834="","","OneCause")</f>
        <v/>
      </c>
      <c r="H2834">
        <f>IF(AND(I2834="",J2834="",K2834=""),"",IF(NOT(ISNUMBER(O2834)),"Bad amount",IF(O2834&lt;0,"Refund (not counted)",IF(O2834=0,"Zero amount",IF(NOT(ISNUMBER(N2834)),"Bad date",IF(P2834="","NAME NOT ON ROSTER",IF(L2834="","OK",IF(MATCH(L2834,$L$2:$L$3001,0)&lt;ROW()-1,"Duplicate (ignored)","OK"))))))))</f>
        <v/>
      </c>
      <c r="I2834">
        <f>IF(OC_Date=0,"",IF(INDEX('OneCause_Paste'!$A$2834:$AZ$2834,1,OC_Date)="","",INDEX('OneCause_Paste'!$A$2834:$AZ$2834,1,OC_Date)))</f>
        <v/>
      </c>
      <c r="J2834">
        <f>IF(OC_Amt=0,"",IF(INDEX('OneCause_Paste'!$A$2834:$AZ$2834,1,OC_Amt)="","",INDEX('OneCause_Paste'!$A$2834:$AZ$2834,1,OC_Amt)))</f>
        <v/>
      </c>
      <c r="K2834">
        <f>IF(OC_Name=0,"",IF(INDEX('OneCause_Paste'!$A$2834:$AZ$2834,1,OC_Name)="","",INDEX('OneCause_Paste'!$A$2834:$AZ$2834,1,OC_Name)))</f>
        <v/>
      </c>
      <c r="L2834">
        <f>IF(OC_Txn=0,"",IF(INDEX('OneCause_Paste'!$A$2834:$AZ$2834,1,OC_Txn)="","",INDEX('OneCause_Paste'!$A$2834:$AZ$2834,1,OC_Txn)))</f>
        <v/>
      </c>
      <c r="M2834">
        <f>IF(OC_Pay=0,"",IF(INDEX('OneCause_Paste'!$A$2834:$AZ$2834,1,OC_Pay)="","",INDEX('OneCause_Paste'!$A$2834:$AZ$2834,1,OC_Pay)))</f>
        <v/>
      </c>
      <c r="N2834">
        <f>IF(I2834="","",IF(ISNUMBER(I2834),INT(I2834),IFERROR(INT(DATEVALUE(I2834)),IFERROR(INT(VALUE(I2834)),"bad"))))</f>
        <v/>
      </c>
      <c r="O2834">
        <f>IF(J2834="","",IF(ISNUMBER(J2834),ROUND(J2834,2),IFERROR(ROUND(VALUE(SUBSTITUTE(SUBSTITUTE(SUBSTITUTE(J2834,"$",""),",","")," ","")),2),"bad")))</f>
        <v/>
      </c>
      <c r="P2834">
        <f>IF(TRIM(K2834)="","",IFERROR(MATCH(LOWER(TRIM(K2834)),'Students'!$AH$2:$AH$701,0),IFERROR(MATCH(LOWER(TRIM(K2834)),'Students'!$AF$2:$AF$701,0),IFERROR(MATCH(LOWER(TRIM(K2834)),'Students'!$AG$2:$AG$701,0),""))))</f>
        <v/>
      </c>
      <c r="R2834">
        <f>IF(P2834="","",INDEX('Students'!$AD$2:$AD$701,P2834))</f>
        <v/>
      </c>
      <c r="S2834">
        <f>IF(H2834="OK",O2834,0)</f>
        <v/>
      </c>
      <c r="T2834">
        <f>IF(H2834="OK",N2834,"")</f>
        <v/>
      </c>
      <c r="U2834">
        <f>IF(OC_Donor=0,"",IF(INDEX('OneCause_Paste'!$A$2834:$AZ$2834,1,OC_Donor)="","",INDEX('OneCause_Paste'!$A$2834:$AZ$2834,1,OC_Donor)))</f>
        <v/>
      </c>
    </row>
    <row r="2835">
      <c r="A2835" s="62">
        <f>IF(H2835="","",IF(ISNUMBER(N2835),N2835,I2835))</f>
        <v/>
      </c>
      <c r="B2835">
        <f>IF(H2835="","",U2835)</f>
        <v/>
      </c>
      <c r="C2835">
        <f>IF(H2835="","",IF(P2835="",K2835,INDEX('Students'!$A$2:$A$701,P2835)))</f>
        <v/>
      </c>
      <c r="D2835">
        <f>IF(OR(H2835="",P2835=""),"",INDEX('Students'!$B$2:$B$701,P2835))</f>
        <v/>
      </c>
      <c r="E2835">
        <f>IF(OR(H2835="",P2835=""),"",INDEX('Students'!$C$2:$C$701,P2835))</f>
        <v/>
      </c>
      <c r="F2835" s="48">
        <f>IF(H2835="","",IF(ISNUMBER(O2835),O2835,J2835))</f>
        <v/>
      </c>
      <c r="G2835">
        <f>IF(H2835="","","OneCause")</f>
        <v/>
      </c>
      <c r="H2835">
        <f>IF(AND(I2835="",J2835="",K2835=""),"",IF(NOT(ISNUMBER(O2835)),"Bad amount",IF(O2835&lt;0,"Refund (not counted)",IF(O2835=0,"Zero amount",IF(NOT(ISNUMBER(N2835)),"Bad date",IF(P2835="","NAME NOT ON ROSTER",IF(L2835="","OK",IF(MATCH(L2835,$L$2:$L$3001,0)&lt;ROW()-1,"Duplicate (ignored)","OK"))))))))</f>
        <v/>
      </c>
      <c r="I2835">
        <f>IF(OC_Date=0,"",IF(INDEX('OneCause_Paste'!$A$2835:$AZ$2835,1,OC_Date)="","",INDEX('OneCause_Paste'!$A$2835:$AZ$2835,1,OC_Date)))</f>
        <v/>
      </c>
      <c r="J2835">
        <f>IF(OC_Amt=0,"",IF(INDEX('OneCause_Paste'!$A$2835:$AZ$2835,1,OC_Amt)="","",INDEX('OneCause_Paste'!$A$2835:$AZ$2835,1,OC_Amt)))</f>
        <v/>
      </c>
      <c r="K2835">
        <f>IF(OC_Name=0,"",IF(INDEX('OneCause_Paste'!$A$2835:$AZ$2835,1,OC_Name)="","",INDEX('OneCause_Paste'!$A$2835:$AZ$2835,1,OC_Name)))</f>
        <v/>
      </c>
      <c r="L2835">
        <f>IF(OC_Txn=0,"",IF(INDEX('OneCause_Paste'!$A$2835:$AZ$2835,1,OC_Txn)="","",INDEX('OneCause_Paste'!$A$2835:$AZ$2835,1,OC_Txn)))</f>
        <v/>
      </c>
      <c r="M2835">
        <f>IF(OC_Pay=0,"",IF(INDEX('OneCause_Paste'!$A$2835:$AZ$2835,1,OC_Pay)="","",INDEX('OneCause_Paste'!$A$2835:$AZ$2835,1,OC_Pay)))</f>
        <v/>
      </c>
      <c r="N2835">
        <f>IF(I2835="","",IF(ISNUMBER(I2835),INT(I2835),IFERROR(INT(DATEVALUE(I2835)),IFERROR(INT(VALUE(I2835)),"bad"))))</f>
        <v/>
      </c>
      <c r="O2835">
        <f>IF(J2835="","",IF(ISNUMBER(J2835),ROUND(J2835,2),IFERROR(ROUND(VALUE(SUBSTITUTE(SUBSTITUTE(SUBSTITUTE(J2835,"$",""),",","")," ","")),2),"bad")))</f>
        <v/>
      </c>
      <c r="P2835">
        <f>IF(TRIM(K2835)="","",IFERROR(MATCH(LOWER(TRIM(K2835)),'Students'!$AH$2:$AH$701,0),IFERROR(MATCH(LOWER(TRIM(K2835)),'Students'!$AF$2:$AF$701,0),IFERROR(MATCH(LOWER(TRIM(K2835)),'Students'!$AG$2:$AG$701,0),""))))</f>
        <v/>
      </c>
      <c r="R2835">
        <f>IF(P2835="","",INDEX('Students'!$AD$2:$AD$701,P2835))</f>
        <v/>
      </c>
      <c r="S2835">
        <f>IF(H2835="OK",O2835,0)</f>
        <v/>
      </c>
      <c r="T2835">
        <f>IF(H2835="OK",N2835,"")</f>
        <v/>
      </c>
      <c r="U2835">
        <f>IF(OC_Donor=0,"",IF(INDEX('OneCause_Paste'!$A$2835:$AZ$2835,1,OC_Donor)="","",INDEX('OneCause_Paste'!$A$2835:$AZ$2835,1,OC_Donor)))</f>
        <v/>
      </c>
    </row>
    <row r="2836">
      <c r="A2836" s="62">
        <f>IF(H2836="","",IF(ISNUMBER(N2836),N2836,I2836))</f>
        <v/>
      </c>
      <c r="B2836">
        <f>IF(H2836="","",U2836)</f>
        <v/>
      </c>
      <c r="C2836">
        <f>IF(H2836="","",IF(P2836="",K2836,INDEX('Students'!$A$2:$A$701,P2836)))</f>
        <v/>
      </c>
      <c r="D2836">
        <f>IF(OR(H2836="",P2836=""),"",INDEX('Students'!$B$2:$B$701,P2836))</f>
        <v/>
      </c>
      <c r="E2836">
        <f>IF(OR(H2836="",P2836=""),"",INDEX('Students'!$C$2:$C$701,P2836))</f>
        <v/>
      </c>
      <c r="F2836" s="48">
        <f>IF(H2836="","",IF(ISNUMBER(O2836),O2836,J2836))</f>
        <v/>
      </c>
      <c r="G2836">
        <f>IF(H2836="","","OneCause")</f>
        <v/>
      </c>
      <c r="H2836">
        <f>IF(AND(I2836="",J2836="",K2836=""),"",IF(NOT(ISNUMBER(O2836)),"Bad amount",IF(O2836&lt;0,"Refund (not counted)",IF(O2836=0,"Zero amount",IF(NOT(ISNUMBER(N2836)),"Bad date",IF(P2836="","NAME NOT ON ROSTER",IF(L2836="","OK",IF(MATCH(L2836,$L$2:$L$3001,0)&lt;ROW()-1,"Duplicate (ignored)","OK"))))))))</f>
        <v/>
      </c>
      <c r="I2836">
        <f>IF(OC_Date=0,"",IF(INDEX('OneCause_Paste'!$A$2836:$AZ$2836,1,OC_Date)="","",INDEX('OneCause_Paste'!$A$2836:$AZ$2836,1,OC_Date)))</f>
        <v/>
      </c>
      <c r="J2836">
        <f>IF(OC_Amt=0,"",IF(INDEX('OneCause_Paste'!$A$2836:$AZ$2836,1,OC_Amt)="","",INDEX('OneCause_Paste'!$A$2836:$AZ$2836,1,OC_Amt)))</f>
        <v/>
      </c>
      <c r="K2836">
        <f>IF(OC_Name=0,"",IF(INDEX('OneCause_Paste'!$A$2836:$AZ$2836,1,OC_Name)="","",INDEX('OneCause_Paste'!$A$2836:$AZ$2836,1,OC_Name)))</f>
        <v/>
      </c>
      <c r="L2836">
        <f>IF(OC_Txn=0,"",IF(INDEX('OneCause_Paste'!$A$2836:$AZ$2836,1,OC_Txn)="","",INDEX('OneCause_Paste'!$A$2836:$AZ$2836,1,OC_Txn)))</f>
        <v/>
      </c>
      <c r="M2836">
        <f>IF(OC_Pay=0,"",IF(INDEX('OneCause_Paste'!$A$2836:$AZ$2836,1,OC_Pay)="","",INDEX('OneCause_Paste'!$A$2836:$AZ$2836,1,OC_Pay)))</f>
        <v/>
      </c>
      <c r="N2836">
        <f>IF(I2836="","",IF(ISNUMBER(I2836),INT(I2836),IFERROR(INT(DATEVALUE(I2836)),IFERROR(INT(VALUE(I2836)),"bad"))))</f>
        <v/>
      </c>
      <c r="O2836">
        <f>IF(J2836="","",IF(ISNUMBER(J2836),ROUND(J2836,2),IFERROR(ROUND(VALUE(SUBSTITUTE(SUBSTITUTE(SUBSTITUTE(J2836,"$",""),",","")," ","")),2),"bad")))</f>
        <v/>
      </c>
      <c r="P2836">
        <f>IF(TRIM(K2836)="","",IFERROR(MATCH(LOWER(TRIM(K2836)),'Students'!$AH$2:$AH$701,0),IFERROR(MATCH(LOWER(TRIM(K2836)),'Students'!$AF$2:$AF$701,0),IFERROR(MATCH(LOWER(TRIM(K2836)),'Students'!$AG$2:$AG$701,0),""))))</f>
        <v/>
      </c>
      <c r="R2836">
        <f>IF(P2836="","",INDEX('Students'!$AD$2:$AD$701,P2836))</f>
        <v/>
      </c>
      <c r="S2836">
        <f>IF(H2836="OK",O2836,0)</f>
        <v/>
      </c>
      <c r="T2836">
        <f>IF(H2836="OK",N2836,"")</f>
        <v/>
      </c>
      <c r="U2836">
        <f>IF(OC_Donor=0,"",IF(INDEX('OneCause_Paste'!$A$2836:$AZ$2836,1,OC_Donor)="","",INDEX('OneCause_Paste'!$A$2836:$AZ$2836,1,OC_Donor)))</f>
        <v/>
      </c>
    </row>
    <row r="2837">
      <c r="A2837" s="62">
        <f>IF(H2837="","",IF(ISNUMBER(N2837),N2837,I2837))</f>
        <v/>
      </c>
      <c r="B2837">
        <f>IF(H2837="","",U2837)</f>
        <v/>
      </c>
      <c r="C2837">
        <f>IF(H2837="","",IF(P2837="",K2837,INDEX('Students'!$A$2:$A$701,P2837)))</f>
        <v/>
      </c>
      <c r="D2837">
        <f>IF(OR(H2837="",P2837=""),"",INDEX('Students'!$B$2:$B$701,P2837))</f>
        <v/>
      </c>
      <c r="E2837">
        <f>IF(OR(H2837="",P2837=""),"",INDEX('Students'!$C$2:$C$701,P2837))</f>
        <v/>
      </c>
      <c r="F2837" s="48">
        <f>IF(H2837="","",IF(ISNUMBER(O2837),O2837,J2837))</f>
        <v/>
      </c>
      <c r="G2837">
        <f>IF(H2837="","","OneCause")</f>
        <v/>
      </c>
      <c r="H2837">
        <f>IF(AND(I2837="",J2837="",K2837=""),"",IF(NOT(ISNUMBER(O2837)),"Bad amount",IF(O2837&lt;0,"Refund (not counted)",IF(O2837=0,"Zero amount",IF(NOT(ISNUMBER(N2837)),"Bad date",IF(P2837="","NAME NOT ON ROSTER",IF(L2837="","OK",IF(MATCH(L2837,$L$2:$L$3001,0)&lt;ROW()-1,"Duplicate (ignored)","OK"))))))))</f>
        <v/>
      </c>
      <c r="I2837">
        <f>IF(OC_Date=0,"",IF(INDEX('OneCause_Paste'!$A$2837:$AZ$2837,1,OC_Date)="","",INDEX('OneCause_Paste'!$A$2837:$AZ$2837,1,OC_Date)))</f>
        <v/>
      </c>
      <c r="J2837">
        <f>IF(OC_Amt=0,"",IF(INDEX('OneCause_Paste'!$A$2837:$AZ$2837,1,OC_Amt)="","",INDEX('OneCause_Paste'!$A$2837:$AZ$2837,1,OC_Amt)))</f>
        <v/>
      </c>
      <c r="K2837">
        <f>IF(OC_Name=0,"",IF(INDEX('OneCause_Paste'!$A$2837:$AZ$2837,1,OC_Name)="","",INDEX('OneCause_Paste'!$A$2837:$AZ$2837,1,OC_Name)))</f>
        <v/>
      </c>
      <c r="L2837">
        <f>IF(OC_Txn=0,"",IF(INDEX('OneCause_Paste'!$A$2837:$AZ$2837,1,OC_Txn)="","",INDEX('OneCause_Paste'!$A$2837:$AZ$2837,1,OC_Txn)))</f>
        <v/>
      </c>
      <c r="M2837">
        <f>IF(OC_Pay=0,"",IF(INDEX('OneCause_Paste'!$A$2837:$AZ$2837,1,OC_Pay)="","",INDEX('OneCause_Paste'!$A$2837:$AZ$2837,1,OC_Pay)))</f>
        <v/>
      </c>
      <c r="N2837">
        <f>IF(I2837="","",IF(ISNUMBER(I2837),INT(I2837),IFERROR(INT(DATEVALUE(I2837)),IFERROR(INT(VALUE(I2837)),"bad"))))</f>
        <v/>
      </c>
      <c r="O2837">
        <f>IF(J2837="","",IF(ISNUMBER(J2837),ROUND(J2837,2),IFERROR(ROUND(VALUE(SUBSTITUTE(SUBSTITUTE(SUBSTITUTE(J2837,"$",""),",","")," ","")),2),"bad")))</f>
        <v/>
      </c>
      <c r="P2837">
        <f>IF(TRIM(K2837)="","",IFERROR(MATCH(LOWER(TRIM(K2837)),'Students'!$AH$2:$AH$701,0),IFERROR(MATCH(LOWER(TRIM(K2837)),'Students'!$AF$2:$AF$701,0),IFERROR(MATCH(LOWER(TRIM(K2837)),'Students'!$AG$2:$AG$701,0),""))))</f>
        <v/>
      </c>
      <c r="R2837">
        <f>IF(P2837="","",INDEX('Students'!$AD$2:$AD$701,P2837))</f>
        <v/>
      </c>
      <c r="S2837">
        <f>IF(H2837="OK",O2837,0)</f>
        <v/>
      </c>
      <c r="T2837">
        <f>IF(H2837="OK",N2837,"")</f>
        <v/>
      </c>
      <c r="U2837">
        <f>IF(OC_Donor=0,"",IF(INDEX('OneCause_Paste'!$A$2837:$AZ$2837,1,OC_Donor)="","",INDEX('OneCause_Paste'!$A$2837:$AZ$2837,1,OC_Donor)))</f>
        <v/>
      </c>
    </row>
    <row r="2838">
      <c r="A2838" s="62">
        <f>IF(H2838="","",IF(ISNUMBER(N2838),N2838,I2838))</f>
        <v/>
      </c>
      <c r="B2838">
        <f>IF(H2838="","",U2838)</f>
        <v/>
      </c>
      <c r="C2838">
        <f>IF(H2838="","",IF(P2838="",K2838,INDEX('Students'!$A$2:$A$701,P2838)))</f>
        <v/>
      </c>
      <c r="D2838">
        <f>IF(OR(H2838="",P2838=""),"",INDEX('Students'!$B$2:$B$701,P2838))</f>
        <v/>
      </c>
      <c r="E2838">
        <f>IF(OR(H2838="",P2838=""),"",INDEX('Students'!$C$2:$C$701,P2838))</f>
        <v/>
      </c>
      <c r="F2838" s="48">
        <f>IF(H2838="","",IF(ISNUMBER(O2838),O2838,J2838))</f>
        <v/>
      </c>
      <c r="G2838">
        <f>IF(H2838="","","OneCause")</f>
        <v/>
      </c>
      <c r="H2838">
        <f>IF(AND(I2838="",J2838="",K2838=""),"",IF(NOT(ISNUMBER(O2838)),"Bad amount",IF(O2838&lt;0,"Refund (not counted)",IF(O2838=0,"Zero amount",IF(NOT(ISNUMBER(N2838)),"Bad date",IF(P2838="","NAME NOT ON ROSTER",IF(L2838="","OK",IF(MATCH(L2838,$L$2:$L$3001,0)&lt;ROW()-1,"Duplicate (ignored)","OK"))))))))</f>
        <v/>
      </c>
      <c r="I2838">
        <f>IF(OC_Date=0,"",IF(INDEX('OneCause_Paste'!$A$2838:$AZ$2838,1,OC_Date)="","",INDEX('OneCause_Paste'!$A$2838:$AZ$2838,1,OC_Date)))</f>
        <v/>
      </c>
      <c r="J2838">
        <f>IF(OC_Amt=0,"",IF(INDEX('OneCause_Paste'!$A$2838:$AZ$2838,1,OC_Amt)="","",INDEX('OneCause_Paste'!$A$2838:$AZ$2838,1,OC_Amt)))</f>
        <v/>
      </c>
      <c r="K2838">
        <f>IF(OC_Name=0,"",IF(INDEX('OneCause_Paste'!$A$2838:$AZ$2838,1,OC_Name)="","",INDEX('OneCause_Paste'!$A$2838:$AZ$2838,1,OC_Name)))</f>
        <v/>
      </c>
      <c r="L2838">
        <f>IF(OC_Txn=0,"",IF(INDEX('OneCause_Paste'!$A$2838:$AZ$2838,1,OC_Txn)="","",INDEX('OneCause_Paste'!$A$2838:$AZ$2838,1,OC_Txn)))</f>
        <v/>
      </c>
      <c r="M2838">
        <f>IF(OC_Pay=0,"",IF(INDEX('OneCause_Paste'!$A$2838:$AZ$2838,1,OC_Pay)="","",INDEX('OneCause_Paste'!$A$2838:$AZ$2838,1,OC_Pay)))</f>
        <v/>
      </c>
      <c r="N2838">
        <f>IF(I2838="","",IF(ISNUMBER(I2838),INT(I2838),IFERROR(INT(DATEVALUE(I2838)),IFERROR(INT(VALUE(I2838)),"bad"))))</f>
        <v/>
      </c>
      <c r="O2838">
        <f>IF(J2838="","",IF(ISNUMBER(J2838),ROUND(J2838,2),IFERROR(ROUND(VALUE(SUBSTITUTE(SUBSTITUTE(SUBSTITUTE(J2838,"$",""),",","")," ","")),2),"bad")))</f>
        <v/>
      </c>
      <c r="P2838">
        <f>IF(TRIM(K2838)="","",IFERROR(MATCH(LOWER(TRIM(K2838)),'Students'!$AH$2:$AH$701,0),IFERROR(MATCH(LOWER(TRIM(K2838)),'Students'!$AF$2:$AF$701,0),IFERROR(MATCH(LOWER(TRIM(K2838)),'Students'!$AG$2:$AG$701,0),""))))</f>
        <v/>
      </c>
      <c r="R2838">
        <f>IF(P2838="","",INDEX('Students'!$AD$2:$AD$701,P2838))</f>
        <v/>
      </c>
      <c r="S2838">
        <f>IF(H2838="OK",O2838,0)</f>
        <v/>
      </c>
      <c r="T2838">
        <f>IF(H2838="OK",N2838,"")</f>
        <v/>
      </c>
      <c r="U2838">
        <f>IF(OC_Donor=0,"",IF(INDEX('OneCause_Paste'!$A$2838:$AZ$2838,1,OC_Donor)="","",INDEX('OneCause_Paste'!$A$2838:$AZ$2838,1,OC_Donor)))</f>
        <v/>
      </c>
    </row>
    <row r="2839">
      <c r="A2839" s="62">
        <f>IF(H2839="","",IF(ISNUMBER(N2839),N2839,I2839))</f>
        <v/>
      </c>
      <c r="B2839">
        <f>IF(H2839="","",U2839)</f>
        <v/>
      </c>
      <c r="C2839">
        <f>IF(H2839="","",IF(P2839="",K2839,INDEX('Students'!$A$2:$A$701,P2839)))</f>
        <v/>
      </c>
      <c r="D2839">
        <f>IF(OR(H2839="",P2839=""),"",INDEX('Students'!$B$2:$B$701,P2839))</f>
        <v/>
      </c>
      <c r="E2839">
        <f>IF(OR(H2839="",P2839=""),"",INDEX('Students'!$C$2:$C$701,P2839))</f>
        <v/>
      </c>
      <c r="F2839" s="48">
        <f>IF(H2839="","",IF(ISNUMBER(O2839),O2839,J2839))</f>
        <v/>
      </c>
      <c r="G2839">
        <f>IF(H2839="","","OneCause")</f>
        <v/>
      </c>
      <c r="H2839">
        <f>IF(AND(I2839="",J2839="",K2839=""),"",IF(NOT(ISNUMBER(O2839)),"Bad amount",IF(O2839&lt;0,"Refund (not counted)",IF(O2839=0,"Zero amount",IF(NOT(ISNUMBER(N2839)),"Bad date",IF(P2839="","NAME NOT ON ROSTER",IF(L2839="","OK",IF(MATCH(L2839,$L$2:$L$3001,0)&lt;ROW()-1,"Duplicate (ignored)","OK"))))))))</f>
        <v/>
      </c>
      <c r="I2839">
        <f>IF(OC_Date=0,"",IF(INDEX('OneCause_Paste'!$A$2839:$AZ$2839,1,OC_Date)="","",INDEX('OneCause_Paste'!$A$2839:$AZ$2839,1,OC_Date)))</f>
        <v/>
      </c>
      <c r="J2839">
        <f>IF(OC_Amt=0,"",IF(INDEX('OneCause_Paste'!$A$2839:$AZ$2839,1,OC_Amt)="","",INDEX('OneCause_Paste'!$A$2839:$AZ$2839,1,OC_Amt)))</f>
        <v/>
      </c>
      <c r="K2839">
        <f>IF(OC_Name=0,"",IF(INDEX('OneCause_Paste'!$A$2839:$AZ$2839,1,OC_Name)="","",INDEX('OneCause_Paste'!$A$2839:$AZ$2839,1,OC_Name)))</f>
        <v/>
      </c>
      <c r="L2839">
        <f>IF(OC_Txn=0,"",IF(INDEX('OneCause_Paste'!$A$2839:$AZ$2839,1,OC_Txn)="","",INDEX('OneCause_Paste'!$A$2839:$AZ$2839,1,OC_Txn)))</f>
        <v/>
      </c>
      <c r="M2839">
        <f>IF(OC_Pay=0,"",IF(INDEX('OneCause_Paste'!$A$2839:$AZ$2839,1,OC_Pay)="","",INDEX('OneCause_Paste'!$A$2839:$AZ$2839,1,OC_Pay)))</f>
        <v/>
      </c>
      <c r="N2839">
        <f>IF(I2839="","",IF(ISNUMBER(I2839),INT(I2839),IFERROR(INT(DATEVALUE(I2839)),IFERROR(INT(VALUE(I2839)),"bad"))))</f>
        <v/>
      </c>
      <c r="O2839">
        <f>IF(J2839="","",IF(ISNUMBER(J2839),ROUND(J2839,2),IFERROR(ROUND(VALUE(SUBSTITUTE(SUBSTITUTE(SUBSTITUTE(J2839,"$",""),",","")," ","")),2),"bad")))</f>
        <v/>
      </c>
      <c r="P2839">
        <f>IF(TRIM(K2839)="","",IFERROR(MATCH(LOWER(TRIM(K2839)),'Students'!$AH$2:$AH$701,0),IFERROR(MATCH(LOWER(TRIM(K2839)),'Students'!$AF$2:$AF$701,0),IFERROR(MATCH(LOWER(TRIM(K2839)),'Students'!$AG$2:$AG$701,0),""))))</f>
        <v/>
      </c>
      <c r="R2839">
        <f>IF(P2839="","",INDEX('Students'!$AD$2:$AD$701,P2839))</f>
        <v/>
      </c>
      <c r="S2839">
        <f>IF(H2839="OK",O2839,0)</f>
        <v/>
      </c>
      <c r="T2839">
        <f>IF(H2839="OK",N2839,"")</f>
        <v/>
      </c>
      <c r="U2839">
        <f>IF(OC_Donor=0,"",IF(INDEX('OneCause_Paste'!$A$2839:$AZ$2839,1,OC_Donor)="","",INDEX('OneCause_Paste'!$A$2839:$AZ$2839,1,OC_Donor)))</f>
        <v/>
      </c>
    </row>
    <row r="2840">
      <c r="A2840" s="62">
        <f>IF(H2840="","",IF(ISNUMBER(N2840),N2840,I2840))</f>
        <v/>
      </c>
      <c r="B2840">
        <f>IF(H2840="","",U2840)</f>
        <v/>
      </c>
      <c r="C2840">
        <f>IF(H2840="","",IF(P2840="",K2840,INDEX('Students'!$A$2:$A$701,P2840)))</f>
        <v/>
      </c>
      <c r="D2840">
        <f>IF(OR(H2840="",P2840=""),"",INDEX('Students'!$B$2:$B$701,P2840))</f>
        <v/>
      </c>
      <c r="E2840">
        <f>IF(OR(H2840="",P2840=""),"",INDEX('Students'!$C$2:$C$701,P2840))</f>
        <v/>
      </c>
      <c r="F2840" s="48">
        <f>IF(H2840="","",IF(ISNUMBER(O2840),O2840,J2840))</f>
        <v/>
      </c>
      <c r="G2840">
        <f>IF(H2840="","","OneCause")</f>
        <v/>
      </c>
      <c r="H2840">
        <f>IF(AND(I2840="",J2840="",K2840=""),"",IF(NOT(ISNUMBER(O2840)),"Bad amount",IF(O2840&lt;0,"Refund (not counted)",IF(O2840=0,"Zero amount",IF(NOT(ISNUMBER(N2840)),"Bad date",IF(P2840="","NAME NOT ON ROSTER",IF(L2840="","OK",IF(MATCH(L2840,$L$2:$L$3001,0)&lt;ROW()-1,"Duplicate (ignored)","OK"))))))))</f>
        <v/>
      </c>
      <c r="I2840">
        <f>IF(OC_Date=0,"",IF(INDEX('OneCause_Paste'!$A$2840:$AZ$2840,1,OC_Date)="","",INDEX('OneCause_Paste'!$A$2840:$AZ$2840,1,OC_Date)))</f>
        <v/>
      </c>
      <c r="J2840">
        <f>IF(OC_Amt=0,"",IF(INDEX('OneCause_Paste'!$A$2840:$AZ$2840,1,OC_Amt)="","",INDEX('OneCause_Paste'!$A$2840:$AZ$2840,1,OC_Amt)))</f>
        <v/>
      </c>
      <c r="K2840">
        <f>IF(OC_Name=0,"",IF(INDEX('OneCause_Paste'!$A$2840:$AZ$2840,1,OC_Name)="","",INDEX('OneCause_Paste'!$A$2840:$AZ$2840,1,OC_Name)))</f>
        <v/>
      </c>
      <c r="L2840">
        <f>IF(OC_Txn=0,"",IF(INDEX('OneCause_Paste'!$A$2840:$AZ$2840,1,OC_Txn)="","",INDEX('OneCause_Paste'!$A$2840:$AZ$2840,1,OC_Txn)))</f>
        <v/>
      </c>
      <c r="M2840">
        <f>IF(OC_Pay=0,"",IF(INDEX('OneCause_Paste'!$A$2840:$AZ$2840,1,OC_Pay)="","",INDEX('OneCause_Paste'!$A$2840:$AZ$2840,1,OC_Pay)))</f>
        <v/>
      </c>
      <c r="N2840">
        <f>IF(I2840="","",IF(ISNUMBER(I2840),INT(I2840),IFERROR(INT(DATEVALUE(I2840)),IFERROR(INT(VALUE(I2840)),"bad"))))</f>
        <v/>
      </c>
      <c r="O2840">
        <f>IF(J2840="","",IF(ISNUMBER(J2840),ROUND(J2840,2),IFERROR(ROUND(VALUE(SUBSTITUTE(SUBSTITUTE(SUBSTITUTE(J2840,"$",""),",","")," ","")),2),"bad")))</f>
        <v/>
      </c>
      <c r="P2840">
        <f>IF(TRIM(K2840)="","",IFERROR(MATCH(LOWER(TRIM(K2840)),'Students'!$AH$2:$AH$701,0),IFERROR(MATCH(LOWER(TRIM(K2840)),'Students'!$AF$2:$AF$701,0),IFERROR(MATCH(LOWER(TRIM(K2840)),'Students'!$AG$2:$AG$701,0),""))))</f>
        <v/>
      </c>
      <c r="R2840">
        <f>IF(P2840="","",INDEX('Students'!$AD$2:$AD$701,P2840))</f>
        <v/>
      </c>
      <c r="S2840">
        <f>IF(H2840="OK",O2840,0)</f>
        <v/>
      </c>
      <c r="T2840">
        <f>IF(H2840="OK",N2840,"")</f>
        <v/>
      </c>
      <c r="U2840">
        <f>IF(OC_Donor=0,"",IF(INDEX('OneCause_Paste'!$A$2840:$AZ$2840,1,OC_Donor)="","",INDEX('OneCause_Paste'!$A$2840:$AZ$2840,1,OC_Donor)))</f>
        <v/>
      </c>
    </row>
    <row r="2841">
      <c r="A2841" s="62">
        <f>IF(H2841="","",IF(ISNUMBER(N2841),N2841,I2841))</f>
        <v/>
      </c>
      <c r="B2841">
        <f>IF(H2841="","",U2841)</f>
        <v/>
      </c>
      <c r="C2841">
        <f>IF(H2841="","",IF(P2841="",K2841,INDEX('Students'!$A$2:$A$701,P2841)))</f>
        <v/>
      </c>
      <c r="D2841">
        <f>IF(OR(H2841="",P2841=""),"",INDEX('Students'!$B$2:$B$701,P2841))</f>
        <v/>
      </c>
      <c r="E2841">
        <f>IF(OR(H2841="",P2841=""),"",INDEX('Students'!$C$2:$C$701,P2841))</f>
        <v/>
      </c>
      <c r="F2841" s="48">
        <f>IF(H2841="","",IF(ISNUMBER(O2841),O2841,J2841))</f>
        <v/>
      </c>
      <c r="G2841">
        <f>IF(H2841="","","OneCause")</f>
        <v/>
      </c>
      <c r="H2841">
        <f>IF(AND(I2841="",J2841="",K2841=""),"",IF(NOT(ISNUMBER(O2841)),"Bad amount",IF(O2841&lt;0,"Refund (not counted)",IF(O2841=0,"Zero amount",IF(NOT(ISNUMBER(N2841)),"Bad date",IF(P2841="","NAME NOT ON ROSTER",IF(L2841="","OK",IF(MATCH(L2841,$L$2:$L$3001,0)&lt;ROW()-1,"Duplicate (ignored)","OK"))))))))</f>
        <v/>
      </c>
      <c r="I2841">
        <f>IF(OC_Date=0,"",IF(INDEX('OneCause_Paste'!$A$2841:$AZ$2841,1,OC_Date)="","",INDEX('OneCause_Paste'!$A$2841:$AZ$2841,1,OC_Date)))</f>
        <v/>
      </c>
      <c r="J2841">
        <f>IF(OC_Amt=0,"",IF(INDEX('OneCause_Paste'!$A$2841:$AZ$2841,1,OC_Amt)="","",INDEX('OneCause_Paste'!$A$2841:$AZ$2841,1,OC_Amt)))</f>
        <v/>
      </c>
      <c r="K2841">
        <f>IF(OC_Name=0,"",IF(INDEX('OneCause_Paste'!$A$2841:$AZ$2841,1,OC_Name)="","",INDEX('OneCause_Paste'!$A$2841:$AZ$2841,1,OC_Name)))</f>
        <v/>
      </c>
      <c r="L2841">
        <f>IF(OC_Txn=0,"",IF(INDEX('OneCause_Paste'!$A$2841:$AZ$2841,1,OC_Txn)="","",INDEX('OneCause_Paste'!$A$2841:$AZ$2841,1,OC_Txn)))</f>
        <v/>
      </c>
      <c r="M2841">
        <f>IF(OC_Pay=0,"",IF(INDEX('OneCause_Paste'!$A$2841:$AZ$2841,1,OC_Pay)="","",INDEX('OneCause_Paste'!$A$2841:$AZ$2841,1,OC_Pay)))</f>
        <v/>
      </c>
      <c r="N2841">
        <f>IF(I2841="","",IF(ISNUMBER(I2841),INT(I2841),IFERROR(INT(DATEVALUE(I2841)),IFERROR(INT(VALUE(I2841)),"bad"))))</f>
        <v/>
      </c>
      <c r="O2841">
        <f>IF(J2841="","",IF(ISNUMBER(J2841),ROUND(J2841,2),IFERROR(ROUND(VALUE(SUBSTITUTE(SUBSTITUTE(SUBSTITUTE(J2841,"$",""),",","")," ","")),2),"bad")))</f>
        <v/>
      </c>
      <c r="P2841">
        <f>IF(TRIM(K2841)="","",IFERROR(MATCH(LOWER(TRIM(K2841)),'Students'!$AH$2:$AH$701,0),IFERROR(MATCH(LOWER(TRIM(K2841)),'Students'!$AF$2:$AF$701,0),IFERROR(MATCH(LOWER(TRIM(K2841)),'Students'!$AG$2:$AG$701,0),""))))</f>
        <v/>
      </c>
      <c r="R2841">
        <f>IF(P2841="","",INDEX('Students'!$AD$2:$AD$701,P2841))</f>
        <v/>
      </c>
      <c r="S2841">
        <f>IF(H2841="OK",O2841,0)</f>
        <v/>
      </c>
      <c r="T2841">
        <f>IF(H2841="OK",N2841,"")</f>
        <v/>
      </c>
      <c r="U2841">
        <f>IF(OC_Donor=0,"",IF(INDEX('OneCause_Paste'!$A$2841:$AZ$2841,1,OC_Donor)="","",INDEX('OneCause_Paste'!$A$2841:$AZ$2841,1,OC_Donor)))</f>
        <v/>
      </c>
    </row>
    <row r="2842">
      <c r="A2842" s="62">
        <f>IF(H2842="","",IF(ISNUMBER(N2842),N2842,I2842))</f>
        <v/>
      </c>
      <c r="B2842">
        <f>IF(H2842="","",U2842)</f>
        <v/>
      </c>
      <c r="C2842">
        <f>IF(H2842="","",IF(P2842="",K2842,INDEX('Students'!$A$2:$A$701,P2842)))</f>
        <v/>
      </c>
      <c r="D2842">
        <f>IF(OR(H2842="",P2842=""),"",INDEX('Students'!$B$2:$B$701,P2842))</f>
        <v/>
      </c>
      <c r="E2842">
        <f>IF(OR(H2842="",P2842=""),"",INDEX('Students'!$C$2:$C$701,P2842))</f>
        <v/>
      </c>
      <c r="F2842" s="48">
        <f>IF(H2842="","",IF(ISNUMBER(O2842),O2842,J2842))</f>
        <v/>
      </c>
      <c r="G2842">
        <f>IF(H2842="","","OneCause")</f>
        <v/>
      </c>
      <c r="H2842">
        <f>IF(AND(I2842="",J2842="",K2842=""),"",IF(NOT(ISNUMBER(O2842)),"Bad amount",IF(O2842&lt;0,"Refund (not counted)",IF(O2842=0,"Zero amount",IF(NOT(ISNUMBER(N2842)),"Bad date",IF(P2842="","NAME NOT ON ROSTER",IF(L2842="","OK",IF(MATCH(L2842,$L$2:$L$3001,0)&lt;ROW()-1,"Duplicate (ignored)","OK"))))))))</f>
        <v/>
      </c>
      <c r="I2842">
        <f>IF(OC_Date=0,"",IF(INDEX('OneCause_Paste'!$A$2842:$AZ$2842,1,OC_Date)="","",INDEX('OneCause_Paste'!$A$2842:$AZ$2842,1,OC_Date)))</f>
        <v/>
      </c>
      <c r="J2842">
        <f>IF(OC_Amt=0,"",IF(INDEX('OneCause_Paste'!$A$2842:$AZ$2842,1,OC_Amt)="","",INDEX('OneCause_Paste'!$A$2842:$AZ$2842,1,OC_Amt)))</f>
        <v/>
      </c>
      <c r="K2842">
        <f>IF(OC_Name=0,"",IF(INDEX('OneCause_Paste'!$A$2842:$AZ$2842,1,OC_Name)="","",INDEX('OneCause_Paste'!$A$2842:$AZ$2842,1,OC_Name)))</f>
        <v/>
      </c>
      <c r="L2842">
        <f>IF(OC_Txn=0,"",IF(INDEX('OneCause_Paste'!$A$2842:$AZ$2842,1,OC_Txn)="","",INDEX('OneCause_Paste'!$A$2842:$AZ$2842,1,OC_Txn)))</f>
        <v/>
      </c>
      <c r="M2842">
        <f>IF(OC_Pay=0,"",IF(INDEX('OneCause_Paste'!$A$2842:$AZ$2842,1,OC_Pay)="","",INDEX('OneCause_Paste'!$A$2842:$AZ$2842,1,OC_Pay)))</f>
        <v/>
      </c>
      <c r="N2842">
        <f>IF(I2842="","",IF(ISNUMBER(I2842),INT(I2842),IFERROR(INT(DATEVALUE(I2842)),IFERROR(INT(VALUE(I2842)),"bad"))))</f>
        <v/>
      </c>
      <c r="O2842">
        <f>IF(J2842="","",IF(ISNUMBER(J2842),ROUND(J2842,2),IFERROR(ROUND(VALUE(SUBSTITUTE(SUBSTITUTE(SUBSTITUTE(J2842,"$",""),",","")," ","")),2),"bad")))</f>
        <v/>
      </c>
      <c r="P2842">
        <f>IF(TRIM(K2842)="","",IFERROR(MATCH(LOWER(TRIM(K2842)),'Students'!$AH$2:$AH$701,0),IFERROR(MATCH(LOWER(TRIM(K2842)),'Students'!$AF$2:$AF$701,0),IFERROR(MATCH(LOWER(TRIM(K2842)),'Students'!$AG$2:$AG$701,0),""))))</f>
        <v/>
      </c>
      <c r="R2842">
        <f>IF(P2842="","",INDEX('Students'!$AD$2:$AD$701,P2842))</f>
        <v/>
      </c>
      <c r="S2842">
        <f>IF(H2842="OK",O2842,0)</f>
        <v/>
      </c>
      <c r="T2842">
        <f>IF(H2842="OK",N2842,"")</f>
        <v/>
      </c>
      <c r="U2842">
        <f>IF(OC_Donor=0,"",IF(INDEX('OneCause_Paste'!$A$2842:$AZ$2842,1,OC_Donor)="","",INDEX('OneCause_Paste'!$A$2842:$AZ$2842,1,OC_Donor)))</f>
        <v/>
      </c>
    </row>
    <row r="2843">
      <c r="A2843" s="62">
        <f>IF(H2843="","",IF(ISNUMBER(N2843),N2843,I2843))</f>
        <v/>
      </c>
      <c r="B2843">
        <f>IF(H2843="","",U2843)</f>
        <v/>
      </c>
      <c r="C2843">
        <f>IF(H2843="","",IF(P2843="",K2843,INDEX('Students'!$A$2:$A$701,P2843)))</f>
        <v/>
      </c>
      <c r="D2843">
        <f>IF(OR(H2843="",P2843=""),"",INDEX('Students'!$B$2:$B$701,P2843))</f>
        <v/>
      </c>
      <c r="E2843">
        <f>IF(OR(H2843="",P2843=""),"",INDEX('Students'!$C$2:$C$701,P2843))</f>
        <v/>
      </c>
      <c r="F2843" s="48">
        <f>IF(H2843="","",IF(ISNUMBER(O2843),O2843,J2843))</f>
        <v/>
      </c>
      <c r="G2843">
        <f>IF(H2843="","","OneCause")</f>
        <v/>
      </c>
      <c r="H2843">
        <f>IF(AND(I2843="",J2843="",K2843=""),"",IF(NOT(ISNUMBER(O2843)),"Bad amount",IF(O2843&lt;0,"Refund (not counted)",IF(O2843=0,"Zero amount",IF(NOT(ISNUMBER(N2843)),"Bad date",IF(P2843="","NAME NOT ON ROSTER",IF(L2843="","OK",IF(MATCH(L2843,$L$2:$L$3001,0)&lt;ROW()-1,"Duplicate (ignored)","OK"))))))))</f>
        <v/>
      </c>
      <c r="I2843">
        <f>IF(OC_Date=0,"",IF(INDEX('OneCause_Paste'!$A$2843:$AZ$2843,1,OC_Date)="","",INDEX('OneCause_Paste'!$A$2843:$AZ$2843,1,OC_Date)))</f>
        <v/>
      </c>
      <c r="J2843">
        <f>IF(OC_Amt=0,"",IF(INDEX('OneCause_Paste'!$A$2843:$AZ$2843,1,OC_Amt)="","",INDEX('OneCause_Paste'!$A$2843:$AZ$2843,1,OC_Amt)))</f>
        <v/>
      </c>
      <c r="K2843">
        <f>IF(OC_Name=0,"",IF(INDEX('OneCause_Paste'!$A$2843:$AZ$2843,1,OC_Name)="","",INDEX('OneCause_Paste'!$A$2843:$AZ$2843,1,OC_Name)))</f>
        <v/>
      </c>
      <c r="L2843">
        <f>IF(OC_Txn=0,"",IF(INDEX('OneCause_Paste'!$A$2843:$AZ$2843,1,OC_Txn)="","",INDEX('OneCause_Paste'!$A$2843:$AZ$2843,1,OC_Txn)))</f>
        <v/>
      </c>
      <c r="M2843">
        <f>IF(OC_Pay=0,"",IF(INDEX('OneCause_Paste'!$A$2843:$AZ$2843,1,OC_Pay)="","",INDEX('OneCause_Paste'!$A$2843:$AZ$2843,1,OC_Pay)))</f>
        <v/>
      </c>
      <c r="N2843">
        <f>IF(I2843="","",IF(ISNUMBER(I2843),INT(I2843),IFERROR(INT(DATEVALUE(I2843)),IFERROR(INT(VALUE(I2843)),"bad"))))</f>
        <v/>
      </c>
      <c r="O2843">
        <f>IF(J2843="","",IF(ISNUMBER(J2843),ROUND(J2843,2),IFERROR(ROUND(VALUE(SUBSTITUTE(SUBSTITUTE(SUBSTITUTE(J2843,"$",""),",","")," ","")),2),"bad")))</f>
        <v/>
      </c>
      <c r="P2843">
        <f>IF(TRIM(K2843)="","",IFERROR(MATCH(LOWER(TRIM(K2843)),'Students'!$AH$2:$AH$701,0),IFERROR(MATCH(LOWER(TRIM(K2843)),'Students'!$AF$2:$AF$701,0),IFERROR(MATCH(LOWER(TRIM(K2843)),'Students'!$AG$2:$AG$701,0),""))))</f>
        <v/>
      </c>
      <c r="R2843">
        <f>IF(P2843="","",INDEX('Students'!$AD$2:$AD$701,P2843))</f>
        <v/>
      </c>
      <c r="S2843">
        <f>IF(H2843="OK",O2843,0)</f>
        <v/>
      </c>
      <c r="T2843">
        <f>IF(H2843="OK",N2843,"")</f>
        <v/>
      </c>
      <c r="U2843">
        <f>IF(OC_Donor=0,"",IF(INDEX('OneCause_Paste'!$A$2843:$AZ$2843,1,OC_Donor)="","",INDEX('OneCause_Paste'!$A$2843:$AZ$2843,1,OC_Donor)))</f>
        <v/>
      </c>
    </row>
    <row r="2844">
      <c r="A2844" s="62">
        <f>IF(H2844="","",IF(ISNUMBER(N2844),N2844,I2844))</f>
        <v/>
      </c>
      <c r="B2844">
        <f>IF(H2844="","",U2844)</f>
        <v/>
      </c>
      <c r="C2844">
        <f>IF(H2844="","",IF(P2844="",K2844,INDEX('Students'!$A$2:$A$701,P2844)))</f>
        <v/>
      </c>
      <c r="D2844">
        <f>IF(OR(H2844="",P2844=""),"",INDEX('Students'!$B$2:$B$701,P2844))</f>
        <v/>
      </c>
      <c r="E2844">
        <f>IF(OR(H2844="",P2844=""),"",INDEX('Students'!$C$2:$C$701,P2844))</f>
        <v/>
      </c>
      <c r="F2844" s="48">
        <f>IF(H2844="","",IF(ISNUMBER(O2844),O2844,J2844))</f>
        <v/>
      </c>
      <c r="G2844">
        <f>IF(H2844="","","OneCause")</f>
        <v/>
      </c>
      <c r="H2844">
        <f>IF(AND(I2844="",J2844="",K2844=""),"",IF(NOT(ISNUMBER(O2844)),"Bad amount",IF(O2844&lt;0,"Refund (not counted)",IF(O2844=0,"Zero amount",IF(NOT(ISNUMBER(N2844)),"Bad date",IF(P2844="","NAME NOT ON ROSTER",IF(L2844="","OK",IF(MATCH(L2844,$L$2:$L$3001,0)&lt;ROW()-1,"Duplicate (ignored)","OK"))))))))</f>
        <v/>
      </c>
      <c r="I2844">
        <f>IF(OC_Date=0,"",IF(INDEX('OneCause_Paste'!$A$2844:$AZ$2844,1,OC_Date)="","",INDEX('OneCause_Paste'!$A$2844:$AZ$2844,1,OC_Date)))</f>
        <v/>
      </c>
      <c r="J2844">
        <f>IF(OC_Amt=0,"",IF(INDEX('OneCause_Paste'!$A$2844:$AZ$2844,1,OC_Amt)="","",INDEX('OneCause_Paste'!$A$2844:$AZ$2844,1,OC_Amt)))</f>
        <v/>
      </c>
      <c r="K2844">
        <f>IF(OC_Name=0,"",IF(INDEX('OneCause_Paste'!$A$2844:$AZ$2844,1,OC_Name)="","",INDEX('OneCause_Paste'!$A$2844:$AZ$2844,1,OC_Name)))</f>
        <v/>
      </c>
      <c r="L2844">
        <f>IF(OC_Txn=0,"",IF(INDEX('OneCause_Paste'!$A$2844:$AZ$2844,1,OC_Txn)="","",INDEX('OneCause_Paste'!$A$2844:$AZ$2844,1,OC_Txn)))</f>
        <v/>
      </c>
      <c r="M2844">
        <f>IF(OC_Pay=0,"",IF(INDEX('OneCause_Paste'!$A$2844:$AZ$2844,1,OC_Pay)="","",INDEX('OneCause_Paste'!$A$2844:$AZ$2844,1,OC_Pay)))</f>
        <v/>
      </c>
      <c r="N2844">
        <f>IF(I2844="","",IF(ISNUMBER(I2844),INT(I2844),IFERROR(INT(DATEVALUE(I2844)),IFERROR(INT(VALUE(I2844)),"bad"))))</f>
        <v/>
      </c>
      <c r="O2844">
        <f>IF(J2844="","",IF(ISNUMBER(J2844),ROUND(J2844,2),IFERROR(ROUND(VALUE(SUBSTITUTE(SUBSTITUTE(SUBSTITUTE(J2844,"$",""),",","")," ","")),2),"bad")))</f>
        <v/>
      </c>
      <c r="P2844">
        <f>IF(TRIM(K2844)="","",IFERROR(MATCH(LOWER(TRIM(K2844)),'Students'!$AH$2:$AH$701,0),IFERROR(MATCH(LOWER(TRIM(K2844)),'Students'!$AF$2:$AF$701,0),IFERROR(MATCH(LOWER(TRIM(K2844)),'Students'!$AG$2:$AG$701,0),""))))</f>
        <v/>
      </c>
      <c r="R2844">
        <f>IF(P2844="","",INDEX('Students'!$AD$2:$AD$701,P2844))</f>
        <v/>
      </c>
      <c r="S2844">
        <f>IF(H2844="OK",O2844,0)</f>
        <v/>
      </c>
      <c r="T2844">
        <f>IF(H2844="OK",N2844,"")</f>
        <v/>
      </c>
      <c r="U2844">
        <f>IF(OC_Donor=0,"",IF(INDEX('OneCause_Paste'!$A$2844:$AZ$2844,1,OC_Donor)="","",INDEX('OneCause_Paste'!$A$2844:$AZ$2844,1,OC_Donor)))</f>
        <v/>
      </c>
    </row>
    <row r="2845">
      <c r="A2845" s="62">
        <f>IF(H2845="","",IF(ISNUMBER(N2845),N2845,I2845))</f>
        <v/>
      </c>
      <c r="B2845">
        <f>IF(H2845="","",U2845)</f>
        <v/>
      </c>
      <c r="C2845">
        <f>IF(H2845="","",IF(P2845="",K2845,INDEX('Students'!$A$2:$A$701,P2845)))</f>
        <v/>
      </c>
      <c r="D2845">
        <f>IF(OR(H2845="",P2845=""),"",INDEX('Students'!$B$2:$B$701,P2845))</f>
        <v/>
      </c>
      <c r="E2845">
        <f>IF(OR(H2845="",P2845=""),"",INDEX('Students'!$C$2:$C$701,P2845))</f>
        <v/>
      </c>
      <c r="F2845" s="48">
        <f>IF(H2845="","",IF(ISNUMBER(O2845),O2845,J2845))</f>
        <v/>
      </c>
      <c r="G2845">
        <f>IF(H2845="","","OneCause")</f>
        <v/>
      </c>
      <c r="H2845">
        <f>IF(AND(I2845="",J2845="",K2845=""),"",IF(NOT(ISNUMBER(O2845)),"Bad amount",IF(O2845&lt;0,"Refund (not counted)",IF(O2845=0,"Zero amount",IF(NOT(ISNUMBER(N2845)),"Bad date",IF(P2845="","NAME NOT ON ROSTER",IF(L2845="","OK",IF(MATCH(L2845,$L$2:$L$3001,0)&lt;ROW()-1,"Duplicate (ignored)","OK"))))))))</f>
        <v/>
      </c>
      <c r="I2845">
        <f>IF(OC_Date=0,"",IF(INDEX('OneCause_Paste'!$A$2845:$AZ$2845,1,OC_Date)="","",INDEX('OneCause_Paste'!$A$2845:$AZ$2845,1,OC_Date)))</f>
        <v/>
      </c>
      <c r="J2845">
        <f>IF(OC_Amt=0,"",IF(INDEX('OneCause_Paste'!$A$2845:$AZ$2845,1,OC_Amt)="","",INDEX('OneCause_Paste'!$A$2845:$AZ$2845,1,OC_Amt)))</f>
        <v/>
      </c>
      <c r="K2845">
        <f>IF(OC_Name=0,"",IF(INDEX('OneCause_Paste'!$A$2845:$AZ$2845,1,OC_Name)="","",INDEX('OneCause_Paste'!$A$2845:$AZ$2845,1,OC_Name)))</f>
        <v/>
      </c>
      <c r="L2845">
        <f>IF(OC_Txn=0,"",IF(INDEX('OneCause_Paste'!$A$2845:$AZ$2845,1,OC_Txn)="","",INDEX('OneCause_Paste'!$A$2845:$AZ$2845,1,OC_Txn)))</f>
        <v/>
      </c>
      <c r="M2845">
        <f>IF(OC_Pay=0,"",IF(INDEX('OneCause_Paste'!$A$2845:$AZ$2845,1,OC_Pay)="","",INDEX('OneCause_Paste'!$A$2845:$AZ$2845,1,OC_Pay)))</f>
        <v/>
      </c>
      <c r="N2845">
        <f>IF(I2845="","",IF(ISNUMBER(I2845),INT(I2845),IFERROR(INT(DATEVALUE(I2845)),IFERROR(INT(VALUE(I2845)),"bad"))))</f>
        <v/>
      </c>
      <c r="O2845">
        <f>IF(J2845="","",IF(ISNUMBER(J2845),ROUND(J2845,2),IFERROR(ROUND(VALUE(SUBSTITUTE(SUBSTITUTE(SUBSTITUTE(J2845,"$",""),",","")," ","")),2),"bad")))</f>
        <v/>
      </c>
      <c r="P2845">
        <f>IF(TRIM(K2845)="","",IFERROR(MATCH(LOWER(TRIM(K2845)),'Students'!$AH$2:$AH$701,0),IFERROR(MATCH(LOWER(TRIM(K2845)),'Students'!$AF$2:$AF$701,0),IFERROR(MATCH(LOWER(TRIM(K2845)),'Students'!$AG$2:$AG$701,0),""))))</f>
        <v/>
      </c>
      <c r="R2845">
        <f>IF(P2845="","",INDEX('Students'!$AD$2:$AD$701,P2845))</f>
        <v/>
      </c>
      <c r="S2845">
        <f>IF(H2845="OK",O2845,0)</f>
        <v/>
      </c>
      <c r="T2845">
        <f>IF(H2845="OK",N2845,"")</f>
        <v/>
      </c>
      <c r="U2845">
        <f>IF(OC_Donor=0,"",IF(INDEX('OneCause_Paste'!$A$2845:$AZ$2845,1,OC_Donor)="","",INDEX('OneCause_Paste'!$A$2845:$AZ$2845,1,OC_Donor)))</f>
        <v/>
      </c>
    </row>
    <row r="2846">
      <c r="A2846" s="62">
        <f>IF(H2846="","",IF(ISNUMBER(N2846),N2846,I2846))</f>
        <v/>
      </c>
      <c r="B2846">
        <f>IF(H2846="","",U2846)</f>
        <v/>
      </c>
      <c r="C2846">
        <f>IF(H2846="","",IF(P2846="",K2846,INDEX('Students'!$A$2:$A$701,P2846)))</f>
        <v/>
      </c>
      <c r="D2846">
        <f>IF(OR(H2846="",P2846=""),"",INDEX('Students'!$B$2:$B$701,P2846))</f>
        <v/>
      </c>
      <c r="E2846">
        <f>IF(OR(H2846="",P2846=""),"",INDEX('Students'!$C$2:$C$701,P2846))</f>
        <v/>
      </c>
      <c r="F2846" s="48">
        <f>IF(H2846="","",IF(ISNUMBER(O2846),O2846,J2846))</f>
        <v/>
      </c>
      <c r="G2846">
        <f>IF(H2846="","","OneCause")</f>
        <v/>
      </c>
      <c r="H2846">
        <f>IF(AND(I2846="",J2846="",K2846=""),"",IF(NOT(ISNUMBER(O2846)),"Bad amount",IF(O2846&lt;0,"Refund (not counted)",IF(O2846=0,"Zero amount",IF(NOT(ISNUMBER(N2846)),"Bad date",IF(P2846="","NAME NOT ON ROSTER",IF(L2846="","OK",IF(MATCH(L2846,$L$2:$L$3001,0)&lt;ROW()-1,"Duplicate (ignored)","OK"))))))))</f>
        <v/>
      </c>
      <c r="I2846">
        <f>IF(OC_Date=0,"",IF(INDEX('OneCause_Paste'!$A$2846:$AZ$2846,1,OC_Date)="","",INDEX('OneCause_Paste'!$A$2846:$AZ$2846,1,OC_Date)))</f>
        <v/>
      </c>
      <c r="J2846">
        <f>IF(OC_Amt=0,"",IF(INDEX('OneCause_Paste'!$A$2846:$AZ$2846,1,OC_Amt)="","",INDEX('OneCause_Paste'!$A$2846:$AZ$2846,1,OC_Amt)))</f>
        <v/>
      </c>
      <c r="K2846">
        <f>IF(OC_Name=0,"",IF(INDEX('OneCause_Paste'!$A$2846:$AZ$2846,1,OC_Name)="","",INDEX('OneCause_Paste'!$A$2846:$AZ$2846,1,OC_Name)))</f>
        <v/>
      </c>
      <c r="L2846">
        <f>IF(OC_Txn=0,"",IF(INDEX('OneCause_Paste'!$A$2846:$AZ$2846,1,OC_Txn)="","",INDEX('OneCause_Paste'!$A$2846:$AZ$2846,1,OC_Txn)))</f>
        <v/>
      </c>
      <c r="M2846">
        <f>IF(OC_Pay=0,"",IF(INDEX('OneCause_Paste'!$A$2846:$AZ$2846,1,OC_Pay)="","",INDEX('OneCause_Paste'!$A$2846:$AZ$2846,1,OC_Pay)))</f>
        <v/>
      </c>
      <c r="N2846">
        <f>IF(I2846="","",IF(ISNUMBER(I2846),INT(I2846),IFERROR(INT(DATEVALUE(I2846)),IFERROR(INT(VALUE(I2846)),"bad"))))</f>
        <v/>
      </c>
      <c r="O2846">
        <f>IF(J2846="","",IF(ISNUMBER(J2846),ROUND(J2846,2),IFERROR(ROUND(VALUE(SUBSTITUTE(SUBSTITUTE(SUBSTITUTE(J2846,"$",""),",","")," ","")),2),"bad")))</f>
        <v/>
      </c>
      <c r="P2846">
        <f>IF(TRIM(K2846)="","",IFERROR(MATCH(LOWER(TRIM(K2846)),'Students'!$AH$2:$AH$701,0),IFERROR(MATCH(LOWER(TRIM(K2846)),'Students'!$AF$2:$AF$701,0),IFERROR(MATCH(LOWER(TRIM(K2846)),'Students'!$AG$2:$AG$701,0),""))))</f>
        <v/>
      </c>
      <c r="R2846">
        <f>IF(P2846="","",INDEX('Students'!$AD$2:$AD$701,P2846))</f>
        <v/>
      </c>
      <c r="S2846">
        <f>IF(H2846="OK",O2846,0)</f>
        <v/>
      </c>
      <c r="T2846">
        <f>IF(H2846="OK",N2846,"")</f>
        <v/>
      </c>
      <c r="U2846">
        <f>IF(OC_Donor=0,"",IF(INDEX('OneCause_Paste'!$A$2846:$AZ$2846,1,OC_Donor)="","",INDEX('OneCause_Paste'!$A$2846:$AZ$2846,1,OC_Donor)))</f>
        <v/>
      </c>
    </row>
    <row r="2847">
      <c r="A2847" s="62">
        <f>IF(H2847="","",IF(ISNUMBER(N2847),N2847,I2847))</f>
        <v/>
      </c>
      <c r="B2847">
        <f>IF(H2847="","",U2847)</f>
        <v/>
      </c>
      <c r="C2847">
        <f>IF(H2847="","",IF(P2847="",K2847,INDEX('Students'!$A$2:$A$701,P2847)))</f>
        <v/>
      </c>
      <c r="D2847">
        <f>IF(OR(H2847="",P2847=""),"",INDEX('Students'!$B$2:$B$701,P2847))</f>
        <v/>
      </c>
      <c r="E2847">
        <f>IF(OR(H2847="",P2847=""),"",INDEX('Students'!$C$2:$C$701,P2847))</f>
        <v/>
      </c>
      <c r="F2847" s="48">
        <f>IF(H2847="","",IF(ISNUMBER(O2847),O2847,J2847))</f>
        <v/>
      </c>
      <c r="G2847">
        <f>IF(H2847="","","OneCause")</f>
        <v/>
      </c>
      <c r="H2847">
        <f>IF(AND(I2847="",J2847="",K2847=""),"",IF(NOT(ISNUMBER(O2847)),"Bad amount",IF(O2847&lt;0,"Refund (not counted)",IF(O2847=0,"Zero amount",IF(NOT(ISNUMBER(N2847)),"Bad date",IF(P2847="","NAME NOT ON ROSTER",IF(L2847="","OK",IF(MATCH(L2847,$L$2:$L$3001,0)&lt;ROW()-1,"Duplicate (ignored)","OK"))))))))</f>
        <v/>
      </c>
      <c r="I2847">
        <f>IF(OC_Date=0,"",IF(INDEX('OneCause_Paste'!$A$2847:$AZ$2847,1,OC_Date)="","",INDEX('OneCause_Paste'!$A$2847:$AZ$2847,1,OC_Date)))</f>
        <v/>
      </c>
      <c r="J2847">
        <f>IF(OC_Amt=0,"",IF(INDEX('OneCause_Paste'!$A$2847:$AZ$2847,1,OC_Amt)="","",INDEX('OneCause_Paste'!$A$2847:$AZ$2847,1,OC_Amt)))</f>
        <v/>
      </c>
      <c r="K2847">
        <f>IF(OC_Name=0,"",IF(INDEX('OneCause_Paste'!$A$2847:$AZ$2847,1,OC_Name)="","",INDEX('OneCause_Paste'!$A$2847:$AZ$2847,1,OC_Name)))</f>
        <v/>
      </c>
      <c r="L2847">
        <f>IF(OC_Txn=0,"",IF(INDEX('OneCause_Paste'!$A$2847:$AZ$2847,1,OC_Txn)="","",INDEX('OneCause_Paste'!$A$2847:$AZ$2847,1,OC_Txn)))</f>
        <v/>
      </c>
      <c r="M2847">
        <f>IF(OC_Pay=0,"",IF(INDEX('OneCause_Paste'!$A$2847:$AZ$2847,1,OC_Pay)="","",INDEX('OneCause_Paste'!$A$2847:$AZ$2847,1,OC_Pay)))</f>
        <v/>
      </c>
      <c r="N2847">
        <f>IF(I2847="","",IF(ISNUMBER(I2847),INT(I2847),IFERROR(INT(DATEVALUE(I2847)),IFERROR(INT(VALUE(I2847)),"bad"))))</f>
        <v/>
      </c>
      <c r="O2847">
        <f>IF(J2847="","",IF(ISNUMBER(J2847),ROUND(J2847,2),IFERROR(ROUND(VALUE(SUBSTITUTE(SUBSTITUTE(SUBSTITUTE(J2847,"$",""),",","")," ","")),2),"bad")))</f>
        <v/>
      </c>
      <c r="P2847">
        <f>IF(TRIM(K2847)="","",IFERROR(MATCH(LOWER(TRIM(K2847)),'Students'!$AH$2:$AH$701,0),IFERROR(MATCH(LOWER(TRIM(K2847)),'Students'!$AF$2:$AF$701,0),IFERROR(MATCH(LOWER(TRIM(K2847)),'Students'!$AG$2:$AG$701,0),""))))</f>
        <v/>
      </c>
      <c r="R2847">
        <f>IF(P2847="","",INDEX('Students'!$AD$2:$AD$701,P2847))</f>
        <v/>
      </c>
      <c r="S2847">
        <f>IF(H2847="OK",O2847,0)</f>
        <v/>
      </c>
      <c r="T2847">
        <f>IF(H2847="OK",N2847,"")</f>
        <v/>
      </c>
      <c r="U2847">
        <f>IF(OC_Donor=0,"",IF(INDEX('OneCause_Paste'!$A$2847:$AZ$2847,1,OC_Donor)="","",INDEX('OneCause_Paste'!$A$2847:$AZ$2847,1,OC_Donor)))</f>
        <v/>
      </c>
    </row>
    <row r="2848">
      <c r="A2848" s="62">
        <f>IF(H2848="","",IF(ISNUMBER(N2848),N2848,I2848))</f>
        <v/>
      </c>
      <c r="B2848">
        <f>IF(H2848="","",U2848)</f>
        <v/>
      </c>
      <c r="C2848">
        <f>IF(H2848="","",IF(P2848="",K2848,INDEX('Students'!$A$2:$A$701,P2848)))</f>
        <v/>
      </c>
      <c r="D2848">
        <f>IF(OR(H2848="",P2848=""),"",INDEX('Students'!$B$2:$B$701,P2848))</f>
        <v/>
      </c>
      <c r="E2848">
        <f>IF(OR(H2848="",P2848=""),"",INDEX('Students'!$C$2:$C$701,P2848))</f>
        <v/>
      </c>
      <c r="F2848" s="48">
        <f>IF(H2848="","",IF(ISNUMBER(O2848),O2848,J2848))</f>
        <v/>
      </c>
      <c r="G2848">
        <f>IF(H2848="","","OneCause")</f>
        <v/>
      </c>
      <c r="H2848">
        <f>IF(AND(I2848="",J2848="",K2848=""),"",IF(NOT(ISNUMBER(O2848)),"Bad amount",IF(O2848&lt;0,"Refund (not counted)",IF(O2848=0,"Zero amount",IF(NOT(ISNUMBER(N2848)),"Bad date",IF(P2848="","NAME NOT ON ROSTER",IF(L2848="","OK",IF(MATCH(L2848,$L$2:$L$3001,0)&lt;ROW()-1,"Duplicate (ignored)","OK"))))))))</f>
        <v/>
      </c>
      <c r="I2848">
        <f>IF(OC_Date=0,"",IF(INDEX('OneCause_Paste'!$A$2848:$AZ$2848,1,OC_Date)="","",INDEX('OneCause_Paste'!$A$2848:$AZ$2848,1,OC_Date)))</f>
        <v/>
      </c>
      <c r="J2848">
        <f>IF(OC_Amt=0,"",IF(INDEX('OneCause_Paste'!$A$2848:$AZ$2848,1,OC_Amt)="","",INDEX('OneCause_Paste'!$A$2848:$AZ$2848,1,OC_Amt)))</f>
        <v/>
      </c>
      <c r="K2848">
        <f>IF(OC_Name=0,"",IF(INDEX('OneCause_Paste'!$A$2848:$AZ$2848,1,OC_Name)="","",INDEX('OneCause_Paste'!$A$2848:$AZ$2848,1,OC_Name)))</f>
        <v/>
      </c>
      <c r="L2848">
        <f>IF(OC_Txn=0,"",IF(INDEX('OneCause_Paste'!$A$2848:$AZ$2848,1,OC_Txn)="","",INDEX('OneCause_Paste'!$A$2848:$AZ$2848,1,OC_Txn)))</f>
        <v/>
      </c>
      <c r="M2848">
        <f>IF(OC_Pay=0,"",IF(INDEX('OneCause_Paste'!$A$2848:$AZ$2848,1,OC_Pay)="","",INDEX('OneCause_Paste'!$A$2848:$AZ$2848,1,OC_Pay)))</f>
        <v/>
      </c>
      <c r="N2848">
        <f>IF(I2848="","",IF(ISNUMBER(I2848),INT(I2848),IFERROR(INT(DATEVALUE(I2848)),IFERROR(INT(VALUE(I2848)),"bad"))))</f>
        <v/>
      </c>
      <c r="O2848">
        <f>IF(J2848="","",IF(ISNUMBER(J2848),ROUND(J2848,2),IFERROR(ROUND(VALUE(SUBSTITUTE(SUBSTITUTE(SUBSTITUTE(J2848,"$",""),",","")," ","")),2),"bad")))</f>
        <v/>
      </c>
      <c r="P2848">
        <f>IF(TRIM(K2848)="","",IFERROR(MATCH(LOWER(TRIM(K2848)),'Students'!$AH$2:$AH$701,0),IFERROR(MATCH(LOWER(TRIM(K2848)),'Students'!$AF$2:$AF$701,0),IFERROR(MATCH(LOWER(TRIM(K2848)),'Students'!$AG$2:$AG$701,0),""))))</f>
        <v/>
      </c>
      <c r="R2848">
        <f>IF(P2848="","",INDEX('Students'!$AD$2:$AD$701,P2848))</f>
        <v/>
      </c>
      <c r="S2848">
        <f>IF(H2848="OK",O2848,0)</f>
        <v/>
      </c>
      <c r="T2848">
        <f>IF(H2848="OK",N2848,"")</f>
        <v/>
      </c>
      <c r="U2848">
        <f>IF(OC_Donor=0,"",IF(INDEX('OneCause_Paste'!$A$2848:$AZ$2848,1,OC_Donor)="","",INDEX('OneCause_Paste'!$A$2848:$AZ$2848,1,OC_Donor)))</f>
        <v/>
      </c>
    </row>
    <row r="2849">
      <c r="A2849" s="62">
        <f>IF(H2849="","",IF(ISNUMBER(N2849),N2849,I2849))</f>
        <v/>
      </c>
      <c r="B2849">
        <f>IF(H2849="","",U2849)</f>
        <v/>
      </c>
      <c r="C2849">
        <f>IF(H2849="","",IF(P2849="",K2849,INDEX('Students'!$A$2:$A$701,P2849)))</f>
        <v/>
      </c>
      <c r="D2849">
        <f>IF(OR(H2849="",P2849=""),"",INDEX('Students'!$B$2:$B$701,P2849))</f>
        <v/>
      </c>
      <c r="E2849">
        <f>IF(OR(H2849="",P2849=""),"",INDEX('Students'!$C$2:$C$701,P2849))</f>
        <v/>
      </c>
      <c r="F2849" s="48">
        <f>IF(H2849="","",IF(ISNUMBER(O2849),O2849,J2849))</f>
        <v/>
      </c>
      <c r="G2849">
        <f>IF(H2849="","","OneCause")</f>
        <v/>
      </c>
      <c r="H2849">
        <f>IF(AND(I2849="",J2849="",K2849=""),"",IF(NOT(ISNUMBER(O2849)),"Bad amount",IF(O2849&lt;0,"Refund (not counted)",IF(O2849=0,"Zero amount",IF(NOT(ISNUMBER(N2849)),"Bad date",IF(P2849="","NAME NOT ON ROSTER",IF(L2849="","OK",IF(MATCH(L2849,$L$2:$L$3001,0)&lt;ROW()-1,"Duplicate (ignored)","OK"))))))))</f>
        <v/>
      </c>
      <c r="I2849">
        <f>IF(OC_Date=0,"",IF(INDEX('OneCause_Paste'!$A$2849:$AZ$2849,1,OC_Date)="","",INDEX('OneCause_Paste'!$A$2849:$AZ$2849,1,OC_Date)))</f>
        <v/>
      </c>
      <c r="J2849">
        <f>IF(OC_Amt=0,"",IF(INDEX('OneCause_Paste'!$A$2849:$AZ$2849,1,OC_Amt)="","",INDEX('OneCause_Paste'!$A$2849:$AZ$2849,1,OC_Amt)))</f>
        <v/>
      </c>
      <c r="K2849">
        <f>IF(OC_Name=0,"",IF(INDEX('OneCause_Paste'!$A$2849:$AZ$2849,1,OC_Name)="","",INDEX('OneCause_Paste'!$A$2849:$AZ$2849,1,OC_Name)))</f>
        <v/>
      </c>
      <c r="L2849">
        <f>IF(OC_Txn=0,"",IF(INDEX('OneCause_Paste'!$A$2849:$AZ$2849,1,OC_Txn)="","",INDEX('OneCause_Paste'!$A$2849:$AZ$2849,1,OC_Txn)))</f>
        <v/>
      </c>
      <c r="M2849">
        <f>IF(OC_Pay=0,"",IF(INDEX('OneCause_Paste'!$A$2849:$AZ$2849,1,OC_Pay)="","",INDEX('OneCause_Paste'!$A$2849:$AZ$2849,1,OC_Pay)))</f>
        <v/>
      </c>
      <c r="N2849">
        <f>IF(I2849="","",IF(ISNUMBER(I2849),INT(I2849),IFERROR(INT(DATEVALUE(I2849)),IFERROR(INT(VALUE(I2849)),"bad"))))</f>
        <v/>
      </c>
      <c r="O2849">
        <f>IF(J2849="","",IF(ISNUMBER(J2849),ROUND(J2849,2),IFERROR(ROUND(VALUE(SUBSTITUTE(SUBSTITUTE(SUBSTITUTE(J2849,"$",""),",","")," ","")),2),"bad")))</f>
        <v/>
      </c>
      <c r="P2849">
        <f>IF(TRIM(K2849)="","",IFERROR(MATCH(LOWER(TRIM(K2849)),'Students'!$AH$2:$AH$701,0),IFERROR(MATCH(LOWER(TRIM(K2849)),'Students'!$AF$2:$AF$701,0),IFERROR(MATCH(LOWER(TRIM(K2849)),'Students'!$AG$2:$AG$701,0),""))))</f>
        <v/>
      </c>
      <c r="R2849">
        <f>IF(P2849="","",INDEX('Students'!$AD$2:$AD$701,P2849))</f>
        <v/>
      </c>
      <c r="S2849">
        <f>IF(H2849="OK",O2849,0)</f>
        <v/>
      </c>
      <c r="T2849">
        <f>IF(H2849="OK",N2849,"")</f>
        <v/>
      </c>
      <c r="U2849">
        <f>IF(OC_Donor=0,"",IF(INDEX('OneCause_Paste'!$A$2849:$AZ$2849,1,OC_Donor)="","",INDEX('OneCause_Paste'!$A$2849:$AZ$2849,1,OC_Donor)))</f>
        <v/>
      </c>
    </row>
    <row r="2850">
      <c r="A2850" s="62">
        <f>IF(H2850="","",IF(ISNUMBER(N2850),N2850,I2850))</f>
        <v/>
      </c>
      <c r="B2850">
        <f>IF(H2850="","",U2850)</f>
        <v/>
      </c>
      <c r="C2850">
        <f>IF(H2850="","",IF(P2850="",K2850,INDEX('Students'!$A$2:$A$701,P2850)))</f>
        <v/>
      </c>
      <c r="D2850">
        <f>IF(OR(H2850="",P2850=""),"",INDEX('Students'!$B$2:$B$701,P2850))</f>
        <v/>
      </c>
      <c r="E2850">
        <f>IF(OR(H2850="",P2850=""),"",INDEX('Students'!$C$2:$C$701,P2850))</f>
        <v/>
      </c>
      <c r="F2850" s="48">
        <f>IF(H2850="","",IF(ISNUMBER(O2850),O2850,J2850))</f>
        <v/>
      </c>
      <c r="G2850">
        <f>IF(H2850="","","OneCause")</f>
        <v/>
      </c>
      <c r="H2850">
        <f>IF(AND(I2850="",J2850="",K2850=""),"",IF(NOT(ISNUMBER(O2850)),"Bad amount",IF(O2850&lt;0,"Refund (not counted)",IF(O2850=0,"Zero amount",IF(NOT(ISNUMBER(N2850)),"Bad date",IF(P2850="","NAME NOT ON ROSTER",IF(L2850="","OK",IF(MATCH(L2850,$L$2:$L$3001,0)&lt;ROW()-1,"Duplicate (ignored)","OK"))))))))</f>
        <v/>
      </c>
      <c r="I2850">
        <f>IF(OC_Date=0,"",IF(INDEX('OneCause_Paste'!$A$2850:$AZ$2850,1,OC_Date)="","",INDEX('OneCause_Paste'!$A$2850:$AZ$2850,1,OC_Date)))</f>
        <v/>
      </c>
      <c r="J2850">
        <f>IF(OC_Amt=0,"",IF(INDEX('OneCause_Paste'!$A$2850:$AZ$2850,1,OC_Amt)="","",INDEX('OneCause_Paste'!$A$2850:$AZ$2850,1,OC_Amt)))</f>
        <v/>
      </c>
      <c r="K2850">
        <f>IF(OC_Name=0,"",IF(INDEX('OneCause_Paste'!$A$2850:$AZ$2850,1,OC_Name)="","",INDEX('OneCause_Paste'!$A$2850:$AZ$2850,1,OC_Name)))</f>
        <v/>
      </c>
      <c r="L2850">
        <f>IF(OC_Txn=0,"",IF(INDEX('OneCause_Paste'!$A$2850:$AZ$2850,1,OC_Txn)="","",INDEX('OneCause_Paste'!$A$2850:$AZ$2850,1,OC_Txn)))</f>
        <v/>
      </c>
      <c r="M2850">
        <f>IF(OC_Pay=0,"",IF(INDEX('OneCause_Paste'!$A$2850:$AZ$2850,1,OC_Pay)="","",INDEX('OneCause_Paste'!$A$2850:$AZ$2850,1,OC_Pay)))</f>
        <v/>
      </c>
      <c r="N2850">
        <f>IF(I2850="","",IF(ISNUMBER(I2850),INT(I2850),IFERROR(INT(DATEVALUE(I2850)),IFERROR(INT(VALUE(I2850)),"bad"))))</f>
        <v/>
      </c>
      <c r="O2850">
        <f>IF(J2850="","",IF(ISNUMBER(J2850),ROUND(J2850,2),IFERROR(ROUND(VALUE(SUBSTITUTE(SUBSTITUTE(SUBSTITUTE(J2850,"$",""),",","")," ","")),2),"bad")))</f>
        <v/>
      </c>
      <c r="P2850">
        <f>IF(TRIM(K2850)="","",IFERROR(MATCH(LOWER(TRIM(K2850)),'Students'!$AH$2:$AH$701,0),IFERROR(MATCH(LOWER(TRIM(K2850)),'Students'!$AF$2:$AF$701,0),IFERROR(MATCH(LOWER(TRIM(K2850)),'Students'!$AG$2:$AG$701,0),""))))</f>
        <v/>
      </c>
      <c r="R2850">
        <f>IF(P2850="","",INDEX('Students'!$AD$2:$AD$701,P2850))</f>
        <v/>
      </c>
      <c r="S2850">
        <f>IF(H2850="OK",O2850,0)</f>
        <v/>
      </c>
      <c r="T2850">
        <f>IF(H2850="OK",N2850,"")</f>
        <v/>
      </c>
      <c r="U2850">
        <f>IF(OC_Donor=0,"",IF(INDEX('OneCause_Paste'!$A$2850:$AZ$2850,1,OC_Donor)="","",INDEX('OneCause_Paste'!$A$2850:$AZ$2850,1,OC_Donor)))</f>
        <v/>
      </c>
    </row>
    <row r="2851">
      <c r="A2851" s="62">
        <f>IF(H2851="","",IF(ISNUMBER(N2851),N2851,I2851))</f>
        <v/>
      </c>
      <c r="B2851">
        <f>IF(H2851="","",U2851)</f>
        <v/>
      </c>
      <c r="C2851">
        <f>IF(H2851="","",IF(P2851="",K2851,INDEX('Students'!$A$2:$A$701,P2851)))</f>
        <v/>
      </c>
      <c r="D2851">
        <f>IF(OR(H2851="",P2851=""),"",INDEX('Students'!$B$2:$B$701,P2851))</f>
        <v/>
      </c>
      <c r="E2851">
        <f>IF(OR(H2851="",P2851=""),"",INDEX('Students'!$C$2:$C$701,P2851))</f>
        <v/>
      </c>
      <c r="F2851" s="48">
        <f>IF(H2851="","",IF(ISNUMBER(O2851),O2851,J2851))</f>
        <v/>
      </c>
      <c r="G2851">
        <f>IF(H2851="","","OneCause")</f>
        <v/>
      </c>
      <c r="H2851">
        <f>IF(AND(I2851="",J2851="",K2851=""),"",IF(NOT(ISNUMBER(O2851)),"Bad amount",IF(O2851&lt;0,"Refund (not counted)",IF(O2851=0,"Zero amount",IF(NOT(ISNUMBER(N2851)),"Bad date",IF(P2851="","NAME NOT ON ROSTER",IF(L2851="","OK",IF(MATCH(L2851,$L$2:$L$3001,0)&lt;ROW()-1,"Duplicate (ignored)","OK"))))))))</f>
        <v/>
      </c>
      <c r="I2851">
        <f>IF(OC_Date=0,"",IF(INDEX('OneCause_Paste'!$A$2851:$AZ$2851,1,OC_Date)="","",INDEX('OneCause_Paste'!$A$2851:$AZ$2851,1,OC_Date)))</f>
        <v/>
      </c>
      <c r="J2851">
        <f>IF(OC_Amt=0,"",IF(INDEX('OneCause_Paste'!$A$2851:$AZ$2851,1,OC_Amt)="","",INDEX('OneCause_Paste'!$A$2851:$AZ$2851,1,OC_Amt)))</f>
        <v/>
      </c>
      <c r="K2851">
        <f>IF(OC_Name=0,"",IF(INDEX('OneCause_Paste'!$A$2851:$AZ$2851,1,OC_Name)="","",INDEX('OneCause_Paste'!$A$2851:$AZ$2851,1,OC_Name)))</f>
        <v/>
      </c>
      <c r="L2851">
        <f>IF(OC_Txn=0,"",IF(INDEX('OneCause_Paste'!$A$2851:$AZ$2851,1,OC_Txn)="","",INDEX('OneCause_Paste'!$A$2851:$AZ$2851,1,OC_Txn)))</f>
        <v/>
      </c>
      <c r="M2851">
        <f>IF(OC_Pay=0,"",IF(INDEX('OneCause_Paste'!$A$2851:$AZ$2851,1,OC_Pay)="","",INDEX('OneCause_Paste'!$A$2851:$AZ$2851,1,OC_Pay)))</f>
        <v/>
      </c>
      <c r="N2851">
        <f>IF(I2851="","",IF(ISNUMBER(I2851),INT(I2851),IFERROR(INT(DATEVALUE(I2851)),IFERROR(INT(VALUE(I2851)),"bad"))))</f>
        <v/>
      </c>
      <c r="O2851">
        <f>IF(J2851="","",IF(ISNUMBER(J2851),ROUND(J2851,2),IFERROR(ROUND(VALUE(SUBSTITUTE(SUBSTITUTE(SUBSTITUTE(J2851,"$",""),",","")," ","")),2),"bad")))</f>
        <v/>
      </c>
      <c r="P2851">
        <f>IF(TRIM(K2851)="","",IFERROR(MATCH(LOWER(TRIM(K2851)),'Students'!$AH$2:$AH$701,0),IFERROR(MATCH(LOWER(TRIM(K2851)),'Students'!$AF$2:$AF$701,0),IFERROR(MATCH(LOWER(TRIM(K2851)),'Students'!$AG$2:$AG$701,0),""))))</f>
        <v/>
      </c>
      <c r="R2851">
        <f>IF(P2851="","",INDEX('Students'!$AD$2:$AD$701,P2851))</f>
        <v/>
      </c>
      <c r="S2851">
        <f>IF(H2851="OK",O2851,0)</f>
        <v/>
      </c>
      <c r="T2851">
        <f>IF(H2851="OK",N2851,"")</f>
        <v/>
      </c>
      <c r="U2851">
        <f>IF(OC_Donor=0,"",IF(INDEX('OneCause_Paste'!$A$2851:$AZ$2851,1,OC_Donor)="","",INDEX('OneCause_Paste'!$A$2851:$AZ$2851,1,OC_Donor)))</f>
        <v/>
      </c>
    </row>
    <row r="2852">
      <c r="A2852" s="62">
        <f>IF(H2852="","",IF(ISNUMBER(N2852),N2852,I2852))</f>
        <v/>
      </c>
      <c r="B2852">
        <f>IF(H2852="","",U2852)</f>
        <v/>
      </c>
      <c r="C2852">
        <f>IF(H2852="","",IF(P2852="",K2852,INDEX('Students'!$A$2:$A$701,P2852)))</f>
        <v/>
      </c>
      <c r="D2852">
        <f>IF(OR(H2852="",P2852=""),"",INDEX('Students'!$B$2:$B$701,P2852))</f>
        <v/>
      </c>
      <c r="E2852">
        <f>IF(OR(H2852="",P2852=""),"",INDEX('Students'!$C$2:$C$701,P2852))</f>
        <v/>
      </c>
      <c r="F2852" s="48">
        <f>IF(H2852="","",IF(ISNUMBER(O2852),O2852,J2852))</f>
        <v/>
      </c>
      <c r="G2852">
        <f>IF(H2852="","","OneCause")</f>
        <v/>
      </c>
      <c r="H2852">
        <f>IF(AND(I2852="",J2852="",K2852=""),"",IF(NOT(ISNUMBER(O2852)),"Bad amount",IF(O2852&lt;0,"Refund (not counted)",IF(O2852=0,"Zero amount",IF(NOT(ISNUMBER(N2852)),"Bad date",IF(P2852="","NAME NOT ON ROSTER",IF(L2852="","OK",IF(MATCH(L2852,$L$2:$L$3001,0)&lt;ROW()-1,"Duplicate (ignored)","OK"))))))))</f>
        <v/>
      </c>
      <c r="I2852">
        <f>IF(OC_Date=0,"",IF(INDEX('OneCause_Paste'!$A$2852:$AZ$2852,1,OC_Date)="","",INDEX('OneCause_Paste'!$A$2852:$AZ$2852,1,OC_Date)))</f>
        <v/>
      </c>
      <c r="J2852">
        <f>IF(OC_Amt=0,"",IF(INDEX('OneCause_Paste'!$A$2852:$AZ$2852,1,OC_Amt)="","",INDEX('OneCause_Paste'!$A$2852:$AZ$2852,1,OC_Amt)))</f>
        <v/>
      </c>
      <c r="K2852">
        <f>IF(OC_Name=0,"",IF(INDEX('OneCause_Paste'!$A$2852:$AZ$2852,1,OC_Name)="","",INDEX('OneCause_Paste'!$A$2852:$AZ$2852,1,OC_Name)))</f>
        <v/>
      </c>
      <c r="L2852">
        <f>IF(OC_Txn=0,"",IF(INDEX('OneCause_Paste'!$A$2852:$AZ$2852,1,OC_Txn)="","",INDEX('OneCause_Paste'!$A$2852:$AZ$2852,1,OC_Txn)))</f>
        <v/>
      </c>
      <c r="M2852">
        <f>IF(OC_Pay=0,"",IF(INDEX('OneCause_Paste'!$A$2852:$AZ$2852,1,OC_Pay)="","",INDEX('OneCause_Paste'!$A$2852:$AZ$2852,1,OC_Pay)))</f>
        <v/>
      </c>
      <c r="N2852">
        <f>IF(I2852="","",IF(ISNUMBER(I2852),INT(I2852),IFERROR(INT(DATEVALUE(I2852)),IFERROR(INT(VALUE(I2852)),"bad"))))</f>
        <v/>
      </c>
      <c r="O2852">
        <f>IF(J2852="","",IF(ISNUMBER(J2852),ROUND(J2852,2),IFERROR(ROUND(VALUE(SUBSTITUTE(SUBSTITUTE(SUBSTITUTE(J2852,"$",""),",","")," ","")),2),"bad")))</f>
        <v/>
      </c>
      <c r="P2852">
        <f>IF(TRIM(K2852)="","",IFERROR(MATCH(LOWER(TRIM(K2852)),'Students'!$AH$2:$AH$701,0),IFERROR(MATCH(LOWER(TRIM(K2852)),'Students'!$AF$2:$AF$701,0),IFERROR(MATCH(LOWER(TRIM(K2852)),'Students'!$AG$2:$AG$701,0),""))))</f>
        <v/>
      </c>
      <c r="R2852">
        <f>IF(P2852="","",INDEX('Students'!$AD$2:$AD$701,P2852))</f>
        <v/>
      </c>
      <c r="S2852">
        <f>IF(H2852="OK",O2852,0)</f>
        <v/>
      </c>
      <c r="T2852">
        <f>IF(H2852="OK",N2852,"")</f>
        <v/>
      </c>
      <c r="U2852">
        <f>IF(OC_Donor=0,"",IF(INDEX('OneCause_Paste'!$A$2852:$AZ$2852,1,OC_Donor)="","",INDEX('OneCause_Paste'!$A$2852:$AZ$2852,1,OC_Donor)))</f>
        <v/>
      </c>
    </row>
    <row r="2853">
      <c r="A2853" s="62">
        <f>IF(H2853="","",IF(ISNUMBER(N2853),N2853,I2853))</f>
        <v/>
      </c>
      <c r="B2853">
        <f>IF(H2853="","",U2853)</f>
        <v/>
      </c>
      <c r="C2853">
        <f>IF(H2853="","",IF(P2853="",K2853,INDEX('Students'!$A$2:$A$701,P2853)))</f>
        <v/>
      </c>
      <c r="D2853">
        <f>IF(OR(H2853="",P2853=""),"",INDEX('Students'!$B$2:$B$701,P2853))</f>
        <v/>
      </c>
      <c r="E2853">
        <f>IF(OR(H2853="",P2853=""),"",INDEX('Students'!$C$2:$C$701,P2853))</f>
        <v/>
      </c>
      <c r="F2853" s="48">
        <f>IF(H2853="","",IF(ISNUMBER(O2853),O2853,J2853))</f>
        <v/>
      </c>
      <c r="G2853">
        <f>IF(H2853="","","OneCause")</f>
        <v/>
      </c>
      <c r="H2853">
        <f>IF(AND(I2853="",J2853="",K2853=""),"",IF(NOT(ISNUMBER(O2853)),"Bad amount",IF(O2853&lt;0,"Refund (not counted)",IF(O2853=0,"Zero amount",IF(NOT(ISNUMBER(N2853)),"Bad date",IF(P2853="","NAME NOT ON ROSTER",IF(L2853="","OK",IF(MATCH(L2853,$L$2:$L$3001,0)&lt;ROW()-1,"Duplicate (ignored)","OK"))))))))</f>
        <v/>
      </c>
      <c r="I2853">
        <f>IF(OC_Date=0,"",IF(INDEX('OneCause_Paste'!$A$2853:$AZ$2853,1,OC_Date)="","",INDEX('OneCause_Paste'!$A$2853:$AZ$2853,1,OC_Date)))</f>
        <v/>
      </c>
      <c r="J2853">
        <f>IF(OC_Amt=0,"",IF(INDEX('OneCause_Paste'!$A$2853:$AZ$2853,1,OC_Amt)="","",INDEX('OneCause_Paste'!$A$2853:$AZ$2853,1,OC_Amt)))</f>
        <v/>
      </c>
      <c r="K2853">
        <f>IF(OC_Name=0,"",IF(INDEX('OneCause_Paste'!$A$2853:$AZ$2853,1,OC_Name)="","",INDEX('OneCause_Paste'!$A$2853:$AZ$2853,1,OC_Name)))</f>
        <v/>
      </c>
      <c r="L2853">
        <f>IF(OC_Txn=0,"",IF(INDEX('OneCause_Paste'!$A$2853:$AZ$2853,1,OC_Txn)="","",INDEX('OneCause_Paste'!$A$2853:$AZ$2853,1,OC_Txn)))</f>
        <v/>
      </c>
      <c r="M2853">
        <f>IF(OC_Pay=0,"",IF(INDEX('OneCause_Paste'!$A$2853:$AZ$2853,1,OC_Pay)="","",INDEX('OneCause_Paste'!$A$2853:$AZ$2853,1,OC_Pay)))</f>
        <v/>
      </c>
      <c r="N2853">
        <f>IF(I2853="","",IF(ISNUMBER(I2853),INT(I2853),IFERROR(INT(DATEVALUE(I2853)),IFERROR(INT(VALUE(I2853)),"bad"))))</f>
        <v/>
      </c>
      <c r="O2853">
        <f>IF(J2853="","",IF(ISNUMBER(J2853),ROUND(J2853,2),IFERROR(ROUND(VALUE(SUBSTITUTE(SUBSTITUTE(SUBSTITUTE(J2853,"$",""),",","")," ","")),2),"bad")))</f>
        <v/>
      </c>
      <c r="P2853">
        <f>IF(TRIM(K2853)="","",IFERROR(MATCH(LOWER(TRIM(K2853)),'Students'!$AH$2:$AH$701,0),IFERROR(MATCH(LOWER(TRIM(K2853)),'Students'!$AF$2:$AF$701,0),IFERROR(MATCH(LOWER(TRIM(K2853)),'Students'!$AG$2:$AG$701,0),""))))</f>
        <v/>
      </c>
      <c r="R2853">
        <f>IF(P2853="","",INDEX('Students'!$AD$2:$AD$701,P2853))</f>
        <v/>
      </c>
      <c r="S2853">
        <f>IF(H2853="OK",O2853,0)</f>
        <v/>
      </c>
      <c r="T2853">
        <f>IF(H2853="OK",N2853,"")</f>
        <v/>
      </c>
      <c r="U2853">
        <f>IF(OC_Donor=0,"",IF(INDEX('OneCause_Paste'!$A$2853:$AZ$2853,1,OC_Donor)="","",INDEX('OneCause_Paste'!$A$2853:$AZ$2853,1,OC_Donor)))</f>
        <v/>
      </c>
    </row>
    <row r="2854">
      <c r="A2854" s="62">
        <f>IF(H2854="","",IF(ISNUMBER(N2854),N2854,I2854))</f>
        <v/>
      </c>
      <c r="B2854">
        <f>IF(H2854="","",U2854)</f>
        <v/>
      </c>
      <c r="C2854">
        <f>IF(H2854="","",IF(P2854="",K2854,INDEX('Students'!$A$2:$A$701,P2854)))</f>
        <v/>
      </c>
      <c r="D2854">
        <f>IF(OR(H2854="",P2854=""),"",INDEX('Students'!$B$2:$B$701,P2854))</f>
        <v/>
      </c>
      <c r="E2854">
        <f>IF(OR(H2854="",P2854=""),"",INDEX('Students'!$C$2:$C$701,P2854))</f>
        <v/>
      </c>
      <c r="F2854" s="48">
        <f>IF(H2854="","",IF(ISNUMBER(O2854),O2854,J2854))</f>
        <v/>
      </c>
      <c r="G2854">
        <f>IF(H2854="","","OneCause")</f>
        <v/>
      </c>
      <c r="H2854">
        <f>IF(AND(I2854="",J2854="",K2854=""),"",IF(NOT(ISNUMBER(O2854)),"Bad amount",IF(O2854&lt;0,"Refund (not counted)",IF(O2854=0,"Zero amount",IF(NOT(ISNUMBER(N2854)),"Bad date",IF(P2854="","NAME NOT ON ROSTER",IF(L2854="","OK",IF(MATCH(L2854,$L$2:$L$3001,0)&lt;ROW()-1,"Duplicate (ignored)","OK"))))))))</f>
        <v/>
      </c>
      <c r="I2854">
        <f>IF(OC_Date=0,"",IF(INDEX('OneCause_Paste'!$A$2854:$AZ$2854,1,OC_Date)="","",INDEX('OneCause_Paste'!$A$2854:$AZ$2854,1,OC_Date)))</f>
        <v/>
      </c>
      <c r="J2854">
        <f>IF(OC_Amt=0,"",IF(INDEX('OneCause_Paste'!$A$2854:$AZ$2854,1,OC_Amt)="","",INDEX('OneCause_Paste'!$A$2854:$AZ$2854,1,OC_Amt)))</f>
        <v/>
      </c>
      <c r="K2854">
        <f>IF(OC_Name=0,"",IF(INDEX('OneCause_Paste'!$A$2854:$AZ$2854,1,OC_Name)="","",INDEX('OneCause_Paste'!$A$2854:$AZ$2854,1,OC_Name)))</f>
        <v/>
      </c>
      <c r="L2854">
        <f>IF(OC_Txn=0,"",IF(INDEX('OneCause_Paste'!$A$2854:$AZ$2854,1,OC_Txn)="","",INDEX('OneCause_Paste'!$A$2854:$AZ$2854,1,OC_Txn)))</f>
        <v/>
      </c>
      <c r="M2854">
        <f>IF(OC_Pay=0,"",IF(INDEX('OneCause_Paste'!$A$2854:$AZ$2854,1,OC_Pay)="","",INDEX('OneCause_Paste'!$A$2854:$AZ$2854,1,OC_Pay)))</f>
        <v/>
      </c>
      <c r="N2854">
        <f>IF(I2854="","",IF(ISNUMBER(I2854),INT(I2854),IFERROR(INT(DATEVALUE(I2854)),IFERROR(INT(VALUE(I2854)),"bad"))))</f>
        <v/>
      </c>
      <c r="O2854">
        <f>IF(J2854="","",IF(ISNUMBER(J2854),ROUND(J2854,2),IFERROR(ROUND(VALUE(SUBSTITUTE(SUBSTITUTE(SUBSTITUTE(J2854,"$",""),",","")," ","")),2),"bad")))</f>
        <v/>
      </c>
      <c r="P2854">
        <f>IF(TRIM(K2854)="","",IFERROR(MATCH(LOWER(TRIM(K2854)),'Students'!$AH$2:$AH$701,0),IFERROR(MATCH(LOWER(TRIM(K2854)),'Students'!$AF$2:$AF$701,0),IFERROR(MATCH(LOWER(TRIM(K2854)),'Students'!$AG$2:$AG$701,0),""))))</f>
        <v/>
      </c>
      <c r="R2854">
        <f>IF(P2854="","",INDEX('Students'!$AD$2:$AD$701,P2854))</f>
        <v/>
      </c>
      <c r="S2854">
        <f>IF(H2854="OK",O2854,0)</f>
        <v/>
      </c>
      <c r="T2854">
        <f>IF(H2854="OK",N2854,"")</f>
        <v/>
      </c>
      <c r="U2854">
        <f>IF(OC_Donor=0,"",IF(INDEX('OneCause_Paste'!$A$2854:$AZ$2854,1,OC_Donor)="","",INDEX('OneCause_Paste'!$A$2854:$AZ$2854,1,OC_Donor)))</f>
        <v/>
      </c>
    </row>
    <row r="2855">
      <c r="A2855" s="62">
        <f>IF(H2855="","",IF(ISNUMBER(N2855),N2855,I2855))</f>
        <v/>
      </c>
      <c r="B2855">
        <f>IF(H2855="","",U2855)</f>
        <v/>
      </c>
      <c r="C2855">
        <f>IF(H2855="","",IF(P2855="",K2855,INDEX('Students'!$A$2:$A$701,P2855)))</f>
        <v/>
      </c>
      <c r="D2855">
        <f>IF(OR(H2855="",P2855=""),"",INDEX('Students'!$B$2:$B$701,P2855))</f>
        <v/>
      </c>
      <c r="E2855">
        <f>IF(OR(H2855="",P2855=""),"",INDEX('Students'!$C$2:$C$701,P2855))</f>
        <v/>
      </c>
      <c r="F2855" s="48">
        <f>IF(H2855="","",IF(ISNUMBER(O2855),O2855,J2855))</f>
        <v/>
      </c>
      <c r="G2855">
        <f>IF(H2855="","","OneCause")</f>
        <v/>
      </c>
      <c r="H2855">
        <f>IF(AND(I2855="",J2855="",K2855=""),"",IF(NOT(ISNUMBER(O2855)),"Bad amount",IF(O2855&lt;0,"Refund (not counted)",IF(O2855=0,"Zero amount",IF(NOT(ISNUMBER(N2855)),"Bad date",IF(P2855="","NAME NOT ON ROSTER",IF(L2855="","OK",IF(MATCH(L2855,$L$2:$L$3001,0)&lt;ROW()-1,"Duplicate (ignored)","OK"))))))))</f>
        <v/>
      </c>
      <c r="I2855">
        <f>IF(OC_Date=0,"",IF(INDEX('OneCause_Paste'!$A$2855:$AZ$2855,1,OC_Date)="","",INDEX('OneCause_Paste'!$A$2855:$AZ$2855,1,OC_Date)))</f>
        <v/>
      </c>
      <c r="J2855">
        <f>IF(OC_Amt=0,"",IF(INDEX('OneCause_Paste'!$A$2855:$AZ$2855,1,OC_Amt)="","",INDEX('OneCause_Paste'!$A$2855:$AZ$2855,1,OC_Amt)))</f>
        <v/>
      </c>
      <c r="K2855">
        <f>IF(OC_Name=0,"",IF(INDEX('OneCause_Paste'!$A$2855:$AZ$2855,1,OC_Name)="","",INDEX('OneCause_Paste'!$A$2855:$AZ$2855,1,OC_Name)))</f>
        <v/>
      </c>
      <c r="L2855">
        <f>IF(OC_Txn=0,"",IF(INDEX('OneCause_Paste'!$A$2855:$AZ$2855,1,OC_Txn)="","",INDEX('OneCause_Paste'!$A$2855:$AZ$2855,1,OC_Txn)))</f>
        <v/>
      </c>
      <c r="M2855">
        <f>IF(OC_Pay=0,"",IF(INDEX('OneCause_Paste'!$A$2855:$AZ$2855,1,OC_Pay)="","",INDEX('OneCause_Paste'!$A$2855:$AZ$2855,1,OC_Pay)))</f>
        <v/>
      </c>
      <c r="N2855">
        <f>IF(I2855="","",IF(ISNUMBER(I2855),INT(I2855),IFERROR(INT(DATEVALUE(I2855)),IFERROR(INT(VALUE(I2855)),"bad"))))</f>
        <v/>
      </c>
      <c r="O2855">
        <f>IF(J2855="","",IF(ISNUMBER(J2855),ROUND(J2855,2),IFERROR(ROUND(VALUE(SUBSTITUTE(SUBSTITUTE(SUBSTITUTE(J2855,"$",""),",","")," ","")),2),"bad")))</f>
        <v/>
      </c>
      <c r="P2855">
        <f>IF(TRIM(K2855)="","",IFERROR(MATCH(LOWER(TRIM(K2855)),'Students'!$AH$2:$AH$701,0),IFERROR(MATCH(LOWER(TRIM(K2855)),'Students'!$AF$2:$AF$701,0),IFERROR(MATCH(LOWER(TRIM(K2855)),'Students'!$AG$2:$AG$701,0),""))))</f>
        <v/>
      </c>
      <c r="R2855">
        <f>IF(P2855="","",INDEX('Students'!$AD$2:$AD$701,P2855))</f>
        <v/>
      </c>
      <c r="S2855">
        <f>IF(H2855="OK",O2855,0)</f>
        <v/>
      </c>
      <c r="T2855">
        <f>IF(H2855="OK",N2855,"")</f>
        <v/>
      </c>
      <c r="U2855">
        <f>IF(OC_Donor=0,"",IF(INDEX('OneCause_Paste'!$A$2855:$AZ$2855,1,OC_Donor)="","",INDEX('OneCause_Paste'!$A$2855:$AZ$2855,1,OC_Donor)))</f>
        <v/>
      </c>
    </row>
    <row r="2856">
      <c r="A2856" s="62">
        <f>IF(H2856="","",IF(ISNUMBER(N2856),N2856,I2856))</f>
        <v/>
      </c>
      <c r="B2856">
        <f>IF(H2856="","",U2856)</f>
        <v/>
      </c>
      <c r="C2856">
        <f>IF(H2856="","",IF(P2856="",K2856,INDEX('Students'!$A$2:$A$701,P2856)))</f>
        <v/>
      </c>
      <c r="D2856">
        <f>IF(OR(H2856="",P2856=""),"",INDEX('Students'!$B$2:$B$701,P2856))</f>
        <v/>
      </c>
      <c r="E2856">
        <f>IF(OR(H2856="",P2856=""),"",INDEX('Students'!$C$2:$C$701,P2856))</f>
        <v/>
      </c>
      <c r="F2856" s="48">
        <f>IF(H2856="","",IF(ISNUMBER(O2856),O2856,J2856))</f>
        <v/>
      </c>
      <c r="G2856">
        <f>IF(H2856="","","OneCause")</f>
        <v/>
      </c>
      <c r="H2856">
        <f>IF(AND(I2856="",J2856="",K2856=""),"",IF(NOT(ISNUMBER(O2856)),"Bad amount",IF(O2856&lt;0,"Refund (not counted)",IF(O2856=0,"Zero amount",IF(NOT(ISNUMBER(N2856)),"Bad date",IF(P2856="","NAME NOT ON ROSTER",IF(L2856="","OK",IF(MATCH(L2856,$L$2:$L$3001,0)&lt;ROW()-1,"Duplicate (ignored)","OK"))))))))</f>
        <v/>
      </c>
      <c r="I2856">
        <f>IF(OC_Date=0,"",IF(INDEX('OneCause_Paste'!$A$2856:$AZ$2856,1,OC_Date)="","",INDEX('OneCause_Paste'!$A$2856:$AZ$2856,1,OC_Date)))</f>
        <v/>
      </c>
      <c r="J2856">
        <f>IF(OC_Amt=0,"",IF(INDEX('OneCause_Paste'!$A$2856:$AZ$2856,1,OC_Amt)="","",INDEX('OneCause_Paste'!$A$2856:$AZ$2856,1,OC_Amt)))</f>
        <v/>
      </c>
      <c r="K2856">
        <f>IF(OC_Name=0,"",IF(INDEX('OneCause_Paste'!$A$2856:$AZ$2856,1,OC_Name)="","",INDEX('OneCause_Paste'!$A$2856:$AZ$2856,1,OC_Name)))</f>
        <v/>
      </c>
      <c r="L2856">
        <f>IF(OC_Txn=0,"",IF(INDEX('OneCause_Paste'!$A$2856:$AZ$2856,1,OC_Txn)="","",INDEX('OneCause_Paste'!$A$2856:$AZ$2856,1,OC_Txn)))</f>
        <v/>
      </c>
      <c r="M2856">
        <f>IF(OC_Pay=0,"",IF(INDEX('OneCause_Paste'!$A$2856:$AZ$2856,1,OC_Pay)="","",INDEX('OneCause_Paste'!$A$2856:$AZ$2856,1,OC_Pay)))</f>
        <v/>
      </c>
      <c r="N2856">
        <f>IF(I2856="","",IF(ISNUMBER(I2856),INT(I2856),IFERROR(INT(DATEVALUE(I2856)),IFERROR(INT(VALUE(I2856)),"bad"))))</f>
        <v/>
      </c>
      <c r="O2856">
        <f>IF(J2856="","",IF(ISNUMBER(J2856),ROUND(J2856,2),IFERROR(ROUND(VALUE(SUBSTITUTE(SUBSTITUTE(SUBSTITUTE(J2856,"$",""),",","")," ","")),2),"bad")))</f>
        <v/>
      </c>
      <c r="P2856">
        <f>IF(TRIM(K2856)="","",IFERROR(MATCH(LOWER(TRIM(K2856)),'Students'!$AH$2:$AH$701,0),IFERROR(MATCH(LOWER(TRIM(K2856)),'Students'!$AF$2:$AF$701,0),IFERROR(MATCH(LOWER(TRIM(K2856)),'Students'!$AG$2:$AG$701,0),""))))</f>
        <v/>
      </c>
      <c r="R2856">
        <f>IF(P2856="","",INDEX('Students'!$AD$2:$AD$701,P2856))</f>
        <v/>
      </c>
      <c r="S2856">
        <f>IF(H2856="OK",O2856,0)</f>
        <v/>
      </c>
      <c r="T2856">
        <f>IF(H2856="OK",N2856,"")</f>
        <v/>
      </c>
      <c r="U2856">
        <f>IF(OC_Donor=0,"",IF(INDEX('OneCause_Paste'!$A$2856:$AZ$2856,1,OC_Donor)="","",INDEX('OneCause_Paste'!$A$2856:$AZ$2856,1,OC_Donor)))</f>
        <v/>
      </c>
    </row>
    <row r="2857">
      <c r="A2857" s="62">
        <f>IF(H2857="","",IF(ISNUMBER(N2857),N2857,I2857))</f>
        <v/>
      </c>
      <c r="B2857">
        <f>IF(H2857="","",U2857)</f>
        <v/>
      </c>
      <c r="C2857">
        <f>IF(H2857="","",IF(P2857="",K2857,INDEX('Students'!$A$2:$A$701,P2857)))</f>
        <v/>
      </c>
      <c r="D2857">
        <f>IF(OR(H2857="",P2857=""),"",INDEX('Students'!$B$2:$B$701,P2857))</f>
        <v/>
      </c>
      <c r="E2857">
        <f>IF(OR(H2857="",P2857=""),"",INDEX('Students'!$C$2:$C$701,P2857))</f>
        <v/>
      </c>
      <c r="F2857" s="48">
        <f>IF(H2857="","",IF(ISNUMBER(O2857),O2857,J2857))</f>
        <v/>
      </c>
      <c r="G2857">
        <f>IF(H2857="","","OneCause")</f>
        <v/>
      </c>
      <c r="H2857">
        <f>IF(AND(I2857="",J2857="",K2857=""),"",IF(NOT(ISNUMBER(O2857)),"Bad amount",IF(O2857&lt;0,"Refund (not counted)",IF(O2857=0,"Zero amount",IF(NOT(ISNUMBER(N2857)),"Bad date",IF(P2857="","NAME NOT ON ROSTER",IF(L2857="","OK",IF(MATCH(L2857,$L$2:$L$3001,0)&lt;ROW()-1,"Duplicate (ignored)","OK"))))))))</f>
        <v/>
      </c>
      <c r="I2857">
        <f>IF(OC_Date=0,"",IF(INDEX('OneCause_Paste'!$A$2857:$AZ$2857,1,OC_Date)="","",INDEX('OneCause_Paste'!$A$2857:$AZ$2857,1,OC_Date)))</f>
        <v/>
      </c>
      <c r="J2857">
        <f>IF(OC_Amt=0,"",IF(INDEX('OneCause_Paste'!$A$2857:$AZ$2857,1,OC_Amt)="","",INDEX('OneCause_Paste'!$A$2857:$AZ$2857,1,OC_Amt)))</f>
        <v/>
      </c>
      <c r="K2857">
        <f>IF(OC_Name=0,"",IF(INDEX('OneCause_Paste'!$A$2857:$AZ$2857,1,OC_Name)="","",INDEX('OneCause_Paste'!$A$2857:$AZ$2857,1,OC_Name)))</f>
        <v/>
      </c>
      <c r="L2857">
        <f>IF(OC_Txn=0,"",IF(INDEX('OneCause_Paste'!$A$2857:$AZ$2857,1,OC_Txn)="","",INDEX('OneCause_Paste'!$A$2857:$AZ$2857,1,OC_Txn)))</f>
        <v/>
      </c>
      <c r="M2857">
        <f>IF(OC_Pay=0,"",IF(INDEX('OneCause_Paste'!$A$2857:$AZ$2857,1,OC_Pay)="","",INDEX('OneCause_Paste'!$A$2857:$AZ$2857,1,OC_Pay)))</f>
        <v/>
      </c>
      <c r="N2857">
        <f>IF(I2857="","",IF(ISNUMBER(I2857),INT(I2857),IFERROR(INT(DATEVALUE(I2857)),IFERROR(INT(VALUE(I2857)),"bad"))))</f>
        <v/>
      </c>
      <c r="O2857">
        <f>IF(J2857="","",IF(ISNUMBER(J2857),ROUND(J2857,2),IFERROR(ROUND(VALUE(SUBSTITUTE(SUBSTITUTE(SUBSTITUTE(J2857,"$",""),",","")," ","")),2),"bad")))</f>
        <v/>
      </c>
      <c r="P2857">
        <f>IF(TRIM(K2857)="","",IFERROR(MATCH(LOWER(TRIM(K2857)),'Students'!$AH$2:$AH$701,0),IFERROR(MATCH(LOWER(TRIM(K2857)),'Students'!$AF$2:$AF$701,0),IFERROR(MATCH(LOWER(TRIM(K2857)),'Students'!$AG$2:$AG$701,0),""))))</f>
        <v/>
      </c>
      <c r="R2857">
        <f>IF(P2857="","",INDEX('Students'!$AD$2:$AD$701,P2857))</f>
        <v/>
      </c>
      <c r="S2857">
        <f>IF(H2857="OK",O2857,0)</f>
        <v/>
      </c>
      <c r="T2857">
        <f>IF(H2857="OK",N2857,"")</f>
        <v/>
      </c>
      <c r="U2857">
        <f>IF(OC_Donor=0,"",IF(INDEX('OneCause_Paste'!$A$2857:$AZ$2857,1,OC_Donor)="","",INDEX('OneCause_Paste'!$A$2857:$AZ$2857,1,OC_Donor)))</f>
        <v/>
      </c>
    </row>
    <row r="2858">
      <c r="A2858" s="62">
        <f>IF(H2858="","",IF(ISNUMBER(N2858),N2858,I2858))</f>
        <v/>
      </c>
      <c r="B2858">
        <f>IF(H2858="","",U2858)</f>
        <v/>
      </c>
      <c r="C2858">
        <f>IF(H2858="","",IF(P2858="",K2858,INDEX('Students'!$A$2:$A$701,P2858)))</f>
        <v/>
      </c>
      <c r="D2858">
        <f>IF(OR(H2858="",P2858=""),"",INDEX('Students'!$B$2:$B$701,P2858))</f>
        <v/>
      </c>
      <c r="E2858">
        <f>IF(OR(H2858="",P2858=""),"",INDEX('Students'!$C$2:$C$701,P2858))</f>
        <v/>
      </c>
      <c r="F2858" s="48">
        <f>IF(H2858="","",IF(ISNUMBER(O2858),O2858,J2858))</f>
        <v/>
      </c>
      <c r="G2858">
        <f>IF(H2858="","","OneCause")</f>
        <v/>
      </c>
      <c r="H2858">
        <f>IF(AND(I2858="",J2858="",K2858=""),"",IF(NOT(ISNUMBER(O2858)),"Bad amount",IF(O2858&lt;0,"Refund (not counted)",IF(O2858=0,"Zero amount",IF(NOT(ISNUMBER(N2858)),"Bad date",IF(P2858="","NAME NOT ON ROSTER",IF(L2858="","OK",IF(MATCH(L2858,$L$2:$L$3001,0)&lt;ROW()-1,"Duplicate (ignored)","OK"))))))))</f>
        <v/>
      </c>
      <c r="I2858">
        <f>IF(OC_Date=0,"",IF(INDEX('OneCause_Paste'!$A$2858:$AZ$2858,1,OC_Date)="","",INDEX('OneCause_Paste'!$A$2858:$AZ$2858,1,OC_Date)))</f>
        <v/>
      </c>
      <c r="J2858">
        <f>IF(OC_Amt=0,"",IF(INDEX('OneCause_Paste'!$A$2858:$AZ$2858,1,OC_Amt)="","",INDEX('OneCause_Paste'!$A$2858:$AZ$2858,1,OC_Amt)))</f>
        <v/>
      </c>
      <c r="K2858">
        <f>IF(OC_Name=0,"",IF(INDEX('OneCause_Paste'!$A$2858:$AZ$2858,1,OC_Name)="","",INDEX('OneCause_Paste'!$A$2858:$AZ$2858,1,OC_Name)))</f>
        <v/>
      </c>
      <c r="L2858">
        <f>IF(OC_Txn=0,"",IF(INDEX('OneCause_Paste'!$A$2858:$AZ$2858,1,OC_Txn)="","",INDEX('OneCause_Paste'!$A$2858:$AZ$2858,1,OC_Txn)))</f>
        <v/>
      </c>
      <c r="M2858">
        <f>IF(OC_Pay=0,"",IF(INDEX('OneCause_Paste'!$A$2858:$AZ$2858,1,OC_Pay)="","",INDEX('OneCause_Paste'!$A$2858:$AZ$2858,1,OC_Pay)))</f>
        <v/>
      </c>
      <c r="N2858">
        <f>IF(I2858="","",IF(ISNUMBER(I2858),INT(I2858),IFERROR(INT(DATEVALUE(I2858)),IFERROR(INT(VALUE(I2858)),"bad"))))</f>
        <v/>
      </c>
      <c r="O2858">
        <f>IF(J2858="","",IF(ISNUMBER(J2858),ROUND(J2858,2),IFERROR(ROUND(VALUE(SUBSTITUTE(SUBSTITUTE(SUBSTITUTE(J2858,"$",""),",","")," ","")),2),"bad")))</f>
        <v/>
      </c>
      <c r="P2858">
        <f>IF(TRIM(K2858)="","",IFERROR(MATCH(LOWER(TRIM(K2858)),'Students'!$AH$2:$AH$701,0),IFERROR(MATCH(LOWER(TRIM(K2858)),'Students'!$AF$2:$AF$701,0),IFERROR(MATCH(LOWER(TRIM(K2858)),'Students'!$AG$2:$AG$701,0),""))))</f>
        <v/>
      </c>
      <c r="R2858">
        <f>IF(P2858="","",INDEX('Students'!$AD$2:$AD$701,P2858))</f>
        <v/>
      </c>
      <c r="S2858">
        <f>IF(H2858="OK",O2858,0)</f>
        <v/>
      </c>
      <c r="T2858">
        <f>IF(H2858="OK",N2858,"")</f>
        <v/>
      </c>
      <c r="U2858">
        <f>IF(OC_Donor=0,"",IF(INDEX('OneCause_Paste'!$A$2858:$AZ$2858,1,OC_Donor)="","",INDEX('OneCause_Paste'!$A$2858:$AZ$2858,1,OC_Donor)))</f>
        <v/>
      </c>
    </row>
    <row r="2859">
      <c r="A2859" s="62">
        <f>IF(H2859="","",IF(ISNUMBER(N2859),N2859,I2859))</f>
        <v/>
      </c>
      <c r="B2859">
        <f>IF(H2859="","",U2859)</f>
        <v/>
      </c>
      <c r="C2859">
        <f>IF(H2859="","",IF(P2859="",K2859,INDEX('Students'!$A$2:$A$701,P2859)))</f>
        <v/>
      </c>
      <c r="D2859">
        <f>IF(OR(H2859="",P2859=""),"",INDEX('Students'!$B$2:$B$701,P2859))</f>
        <v/>
      </c>
      <c r="E2859">
        <f>IF(OR(H2859="",P2859=""),"",INDEX('Students'!$C$2:$C$701,P2859))</f>
        <v/>
      </c>
      <c r="F2859" s="48">
        <f>IF(H2859="","",IF(ISNUMBER(O2859),O2859,J2859))</f>
        <v/>
      </c>
      <c r="G2859">
        <f>IF(H2859="","","OneCause")</f>
        <v/>
      </c>
      <c r="H2859">
        <f>IF(AND(I2859="",J2859="",K2859=""),"",IF(NOT(ISNUMBER(O2859)),"Bad amount",IF(O2859&lt;0,"Refund (not counted)",IF(O2859=0,"Zero amount",IF(NOT(ISNUMBER(N2859)),"Bad date",IF(P2859="","NAME NOT ON ROSTER",IF(L2859="","OK",IF(MATCH(L2859,$L$2:$L$3001,0)&lt;ROW()-1,"Duplicate (ignored)","OK"))))))))</f>
        <v/>
      </c>
      <c r="I2859">
        <f>IF(OC_Date=0,"",IF(INDEX('OneCause_Paste'!$A$2859:$AZ$2859,1,OC_Date)="","",INDEX('OneCause_Paste'!$A$2859:$AZ$2859,1,OC_Date)))</f>
        <v/>
      </c>
      <c r="J2859">
        <f>IF(OC_Amt=0,"",IF(INDEX('OneCause_Paste'!$A$2859:$AZ$2859,1,OC_Amt)="","",INDEX('OneCause_Paste'!$A$2859:$AZ$2859,1,OC_Amt)))</f>
        <v/>
      </c>
      <c r="K2859">
        <f>IF(OC_Name=0,"",IF(INDEX('OneCause_Paste'!$A$2859:$AZ$2859,1,OC_Name)="","",INDEX('OneCause_Paste'!$A$2859:$AZ$2859,1,OC_Name)))</f>
        <v/>
      </c>
      <c r="L2859">
        <f>IF(OC_Txn=0,"",IF(INDEX('OneCause_Paste'!$A$2859:$AZ$2859,1,OC_Txn)="","",INDEX('OneCause_Paste'!$A$2859:$AZ$2859,1,OC_Txn)))</f>
        <v/>
      </c>
      <c r="M2859">
        <f>IF(OC_Pay=0,"",IF(INDEX('OneCause_Paste'!$A$2859:$AZ$2859,1,OC_Pay)="","",INDEX('OneCause_Paste'!$A$2859:$AZ$2859,1,OC_Pay)))</f>
        <v/>
      </c>
      <c r="N2859">
        <f>IF(I2859="","",IF(ISNUMBER(I2859),INT(I2859),IFERROR(INT(DATEVALUE(I2859)),IFERROR(INT(VALUE(I2859)),"bad"))))</f>
        <v/>
      </c>
      <c r="O2859">
        <f>IF(J2859="","",IF(ISNUMBER(J2859),ROUND(J2859,2),IFERROR(ROUND(VALUE(SUBSTITUTE(SUBSTITUTE(SUBSTITUTE(J2859,"$",""),",","")," ","")),2),"bad")))</f>
        <v/>
      </c>
      <c r="P2859">
        <f>IF(TRIM(K2859)="","",IFERROR(MATCH(LOWER(TRIM(K2859)),'Students'!$AH$2:$AH$701,0),IFERROR(MATCH(LOWER(TRIM(K2859)),'Students'!$AF$2:$AF$701,0),IFERROR(MATCH(LOWER(TRIM(K2859)),'Students'!$AG$2:$AG$701,0),""))))</f>
        <v/>
      </c>
      <c r="R2859">
        <f>IF(P2859="","",INDEX('Students'!$AD$2:$AD$701,P2859))</f>
        <v/>
      </c>
      <c r="S2859">
        <f>IF(H2859="OK",O2859,0)</f>
        <v/>
      </c>
      <c r="T2859">
        <f>IF(H2859="OK",N2859,"")</f>
        <v/>
      </c>
      <c r="U2859">
        <f>IF(OC_Donor=0,"",IF(INDEX('OneCause_Paste'!$A$2859:$AZ$2859,1,OC_Donor)="","",INDEX('OneCause_Paste'!$A$2859:$AZ$2859,1,OC_Donor)))</f>
        <v/>
      </c>
    </row>
    <row r="2860">
      <c r="A2860" s="62">
        <f>IF(H2860="","",IF(ISNUMBER(N2860),N2860,I2860))</f>
        <v/>
      </c>
      <c r="B2860">
        <f>IF(H2860="","",U2860)</f>
        <v/>
      </c>
      <c r="C2860">
        <f>IF(H2860="","",IF(P2860="",K2860,INDEX('Students'!$A$2:$A$701,P2860)))</f>
        <v/>
      </c>
      <c r="D2860">
        <f>IF(OR(H2860="",P2860=""),"",INDEX('Students'!$B$2:$B$701,P2860))</f>
        <v/>
      </c>
      <c r="E2860">
        <f>IF(OR(H2860="",P2860=""),"",INDEX('Students'!$C$2:$C$701,P2860))</f>
        <v/>
      </c>
      <c r="F2860" s="48">
        <f>IF(H2860="","",IF(ISNUMBER(O2860),O2860,J2860))</f>
        <v/>
      </c>
      <c r="G2860">
        <f>IF(H2860="","","OneCause")</f>
        <v/>
      </c>
      <c r="H2860">
        <f>IF(AND(I2860="",J2860="",K2860=""),"",IF(NOT(ISNUMBER(O2860)),"Bad amount",IF(O2860&lt;0,"Refund (not counted)",IF(O2860=0,"Zero amount",IF(NOT(ISNUMBER(N2860)),"Bad date",IF(P2860="","NAME NOT ON ROSTER",IF(L2860="","OK",IF(MATCH(L2860,$L$2:$L$3001,0)&lt;ROW()-1,"Duplicate (ignored)","OK"))))))))</f>
        <v/>
      </c>
      <c r="I2860">
        <f>IF(OC_Date=0,"",IF(INDEX('OneCause_Paste'!$A$2860:$AZ$2860,1,OC_Date)="","",INDEX('OneCause_Paste'!$A$2860:$AZ$2860,1,OC_Date)))</f>
        <v/>
      </c>
      <c r="J2860">
        <f>IF(OC_Amt=0,"",IF(INDEX('OneCause_Paste'!$A$2860:$AZ$2860,1,OC_Amt)="","",INDEX('OneCause_Paste'!$A$2860:$AZ$2860,1,OC_Amt)))</f>
        <v/>
      </c>
      <c r="K2860">
        <f>IF(OC_Name=0,"",IF(INDEX('OneCause_Paste'!$A$2860:$AZ$2860,1,OC_Name)="","",INDEX('OneCause_Paste'!$A$2860:$AZ$2860,1,OC_Name)))</f>
        <v/>
      </c>
      <c r="L2860">
        <f>IF(OC_Txn=0,"",IF(INDEX('OneCause_Paste'!$A$2860:$AZ$2860,1,OC_Txn)="","",INDEX('OneCause_Paste'!$A$2860:$AZ$2860,1,OC_Txn)))</f>
        <v/>
      </c>
      <c r="M2860">
        <f>IF(OC_Pay=0,"",IF(INDEX('OneCause_Paste'!$A$2860:$AZ$2860,1,OC_Pay)="","",INDEX('OneCause_Paste'!$A$2860:$AZ$2860,1,OC_Pay)))</f>
        <v/>
      </c>
      <c r="N2860">
        <f>IF(I2860="","",IF(ISNUMBER(I2860),INT(I2860),IFERROR(INT(DATEVALUE(I2860)),IFERROR(INT(VALUE(I2860)),"bad"))))</f>
        <v/>
      </c>
      <c r="O2860">
        <f>IF(J2860="","",IF(ISNUMBER(J2860),ROUND(J2860,2),IFERROR(ROUND(VALUE(SUBSTITUTE(SUBSTITUTE(SUBSTITUTE(J2860,"$",""),",","")," ","")),2),"bad")))</f>
        <v/>
      </c>
      <c r="P2860">
        <f>IF(TRIM(K2860)="","",IFERROR(MATCH(LOWER(TRIM(K2860)),'Students'!$AH$2:$AH$701,0),IFERROR(MATCH(LOWER(TRIM(K2860)),'Students'!$AF$2:$AF$701,0),IFERROR(MATCH(LOWER(TRIM(K2860)),'Students'!$AG$2:$AG$701,0),""))))</f>
        <v/>
      </c>
      <c r="R2860">
        <f>IF(P2860="","",INDEX('Students'!$AD$2:$AD$701,P2860))</f>
        <v/>
      </c>
      <c r="S2860">
        <f>IF(H2860="OK",O2860,0)</f>
        <v/>
      </c>
      <c r="T2860">
        <f>IF(H2860="OK",N2860,"")</f>
        <v/>
      </c>
      <c r="U2860">
        <f>IF(OC_Donor=0,"",IF(INDEX('OneCause_Paste'!$A$2860:$AZ$2860,1,OC_Donor)="","",INDEX('OneCause_Paste'!$A$2860:$AZ$2860,1,OC_Donor)))</f>
        <v/>
      </c>
    </row>
    <row r="2861">
      <c r="A2861" s="62">
        <f>IF(H2861="","",IF(ISNUMBER(N2861),N2861,I2861))</f>
        <v/>
      </c>
      <c r="B2861">
        <f>IF(H2861="","",U2861)</f>
        <v/>
      </c>
      <c r="C2861">
        <f>IF(H2861="","",IF(P2861="",K2861,INDEX('Students'!$A$2:$A$701,P2861)))</f>
        <v/>
      </c>
      <c r="D2861">
        <f>IF(OR(H2861="",P2861=""),"",INDEX('Students'!$B$2:$B$701,P2861))</f>
        <v/>
      </c>
      <c r="E2861">
        <f>IF(OR(H2861="",P2861=""),"",INDEX('Students'!$C$2:$C$701,P2861))</f>
        <v/>
      </c>
      <c r="F2861" s="48">
        <f>IF(H2861="","",IF(ISNUMBER(O2861),O2861,J2861))</f>
        <v/>
      </c>
      <c r="G2861">
        <f>IF(H2861="","","OneCause")</f>
        <v/>
      </c>
      <c r="H2861">
        <f>IF(AND(I2861="",J2861="",K2861=""),"",IF(NOT(ISNUMBER(O2861)),"Bad amount",IF(O2861&lt;0,"Refund (not counted)",IF(O2861=0,"Zero amount",IF(NOT(ISNUMBER(N2861)),"Bad date",IF(P2861="","NAME NOT ON ROSTER",IF(L2861="","OK",IF(MATCH(L2861,$L$2:$L$3001,0)&lt;ROW()-1,"Duplicate (ignored)","OK"))))))))</f>
        <v/>
      </c>
      <c r="I2861">
        <f>IF(OC_Date=0,"",IF(INDEX('OneCause_Paste'!$A$2861:$AZ$2861,1,OC_Date)="","",INDEX('OneCause_Paste'!$A$2861:$AZ$2861,1,OC_Date)))</f>
        <v/>
      </c>
      <c r="J2861">
        <f>IF(OC_Amt=0,"",IF(INDEX('OneCause_Paste'!$A$2861:$AZ$2861,1,OC_Amt)="","",INDEX('OneCause_Paste'!$A$2861:$AZ$2861,1,OC_Amt)))</f>
        <v/>
      </c>
      <c r="K2861">
        <f>IF(OC_Name=0,"",IF(INDEX('OneCause_Paste'!$A$2861:$AZ$2861,1,OC_Name)="","",INDEX('OneCause_Paste'!$A$2861:$AZ$2861,1,OC_Name)))</f>
        <v/>
      </c>
      <c r="L2861">
        <f>IF(OC_Txn=0,"",IF(INDEX('OneCause_Paste'!$A$2861:$AZ$2861,1,OC_Txn)="","",INDEX('OneCause_Paste'!$A$2861:$AZ$2861,1,OC_Txn)))</f>
        <v/>
      </c>
      <c r="M2861">
        <f>IF(OC_Pay=0,"",IF(INDEX('OneCause_Paste'!$A$2861:$AZ$2861,1,OC_Pay)="","",INDEX('OneCause_Paste'!$A$2861:$AZ$2861,1,OC_Pay)))</f>
        <v/>
      </c>
      <c r="N2861">
        <f>IF(I2861="","",IF(ISNUMBER(I2861),INT(I2861),IFERROR(INT(DATEVALUE(I2861)),IFERROR(INT(VALUE(I2861)),"bad"))))</f>
        <v/>
      </c>
      <c r="O2861">
        <f>IF(J2861="","",IF(ISNUMBER(J2861),ROUND(J2861,2),IFERROR(ROUND(VALUE(SUBSTITUTE(SUBSTITUTE(SUBSTITUTE(J2861,"$",""),",","")," ","")),2),"bad")))</f>
        <v/>
      </c>
      <c r="P2861">
        <f>IF(TRIM(K2861)="","",IFERROR(MATCH(LOWER(TRIM(K2861)),'Students'!$AH$2:$AH$701,0),IFERROR(MATCH(LOWER(TRIM(K2861)),'Students'!$AF$2:$AF$701,0),IFERROR(MATCH(LOWER(TRIM(K2861)),'Students'!$AG$2:$AG$701,0),""))))</f>
        <v/>
      </c>
      <c r="R2861">
        <f>IF(P2861="","",INDEX('Students'!$AD$2:$AD$701,P2861))</f>
        <v/>
      </c>
      <c r="S2861">
        <f>IF(H2861="OK",O2861,0)</f>
        <v/>
      </c>
      <c r="T2861">
        <f>IF(H2861="OK",N2861,"")</f>
        <v/>
      </c>
      <c r="U2861">
        <f>IF(OC_Donor=0,"",IF(INDEX('OneCause_Paste'!$A$2861:$AZ$2861,1,OC_Donor)="","",INDEX('OneCause_Paste'!$A$2861:$AZ$2861,1,OC_Donor)))</f>
        <v/>
      </c>
    </row>
    <row r="2862">
      <c r="A2862" s="62">
        <f>IF(H2862="","",IF(ISNUMBER(N2862),N2862,I2862))</f>
        <v/>
      </c>
      <c r="B2862">
        <f>IF(H2862="","",U2862)</f>
        <v/>
      </c>
      <c r="C2862">
        <f>IF(H2862="","",IF(P2862="",K2862,INDEX('Students'!$A$2:$A$701,P2862)))</f>
        <v/>
      </c>
      <c r="D2862">
        <f>IF(OR(H2862="",P2862=""),"",INDEX('Students'!$B$2:$B$701,P2862))</f>
        <v/>
      </c>
      <c r="E2862">
        <f>IF(OR(H2862="",P2862=""),"",INDEX('Students'!$C$2:$C$701,P2862))</f>
        <v/>
      </c>
      <c r="F2862" s="48">
        <f>IF(H2862="","",IF(ISNUMBER(O2862),O2862,J2862))</f>
        <v/>
      </c>
      <c r="G2862">
        <f>IF(H2862="","","OneCause")</f>
        <v/>
      </c>
      <c r="H2862">
        <f>IF(AND(I2862="",J2862="",K2862=""),"",IF(NOT(ISNUMBER(O2862)),"Bad amount",IF(O2862&lt;0,"Refund (not counted)",IF(O2862=0,"Zero amount",IF(NOT(ISNUMBER(N2862)),"Bad date",IF(P2862="","NAME NOT ON ROSTER",IF(L2862="","OK",IF(MATCH(L2862,$L$2:$L$3001,0)&lt;ROW()-1,"Duplicate (ignored)","OK"))))))))</f>
        <v/>
      </c>
      <c r="I2862">
        <f>IF(OC_Date=0,"",IF(INDEX('OneCause_Paste'!$A$2862:$AZ$2862,1,OC_Date)="","",INDEX('OneCause_Paste'!$A$2862:$AZ$2862,1,OC_Date)))</f>
        <v/>
      </c>
      <c r="J2862">
        <f>IF(OC_Amt=0,"",IF(INDEX('OneCause_Paste'!$A$2862:$AZ$2862,1,OC_Amt)="","",INDEX('OneCause_Paste'!$A$2862:$AZ$2862,1,OC_Amt)))</f>
        <v/>
      </c>
      <c r="K2862">
        <f>IF(OC_Name=0,"",IF(INDEX('OneCause_Paste'!$A$2862:$AZ$2862,1,OC_Name)="","",INDEX('OneCause_Paste'!$A$2862:$AZ$2862,1,OC_Name)))</f>
        <v/>
      </c>
      <c r="L2862">
        <f>IF(OC_Txn=0,"",IF(INDEX('OneCause_Paste'!$A$2862:$AZ$2862,1,OC_Txn)="","",INDEX('OneCause_Paste'!$A$2862:$AZ$2862,1,OC_Txn)))</f>
        <v/>
      </c>
      <c r="M2862">
        <f>IF(OC_Pay=0,"",IF(INDEX('OneCause_Paste'!$A$2862:$AZ$2862,1,OC_Pay)="","",INDEX('OneCause_Paste'!$A$2862:$AZ$2862,1,OC_Pay)))</f>
        <v/>
      </c>
      <c r="N2862">
        <f>IF(I2862="","",IF(ISNUMBER(I2862),INT(I2862),IFERROR(INT(DATEVALUE(I2862)),IFERROR(INT(VALUE(I2862)),"bad"))))</f>
        <v/>
      </c>
      <c r="O2862">
        <f>IF(J2862="","",IF(ISNUMBER(J2862),ROUND(J2862,2),IFERROR(ROUND(VALUE(SUBSTITUTE(SUBSTITUTE(SUBSTITUTE(J2862,"$",""),",","")," ","")),2),"bad")))</f>
        <v/>
      </c>
      <c r="P2862">
        <f>IF(TRIM(K2862)="","",IFERROR(MATCH(LOWER(TRIM(K2862)),'Students'!$AH$2:$AH$701,0),IFERROR(MATCH(LOWER(TRIM(K2862)),'Students'!$AF$2:$AF$701,0),IFERROR(MATCH(LOWER(TRIM(K2862)),'Students'!$AG$2:$AG$701,0),""))))</f>
        <v/>
      </c>
      <c r="R2862">
        <f>IF(P2862="","",INDEX('Students'!$AD$2:$AD$701,P2862))</f>
        <v/>
      </c>
      <c r="S2862">
        <f>IF(H2862="OK",O2862,0)</f>
        <v/>
      </c>
      <c r="T2862">
        <f>IF(H2862="OK",N2862,"")</f>
        <v/>
      </c>
      <c r="U2862">
        <f>IF(OC_Donor=0,"",IF(INDEX('OneCause_Paste'!$A$2862:$AZ$2862,1,OC_Donor)="","",INDEX('OneCause_Paste'!$A$2862:$AZ$2862,1,OC_Donor)))</f>
        <v/>
      </c>
    </row>
    <row r="2863">
      <c r="A2863" s="62">
        <f>IF(H2863="","",IF(ISNUMBER(N2863),N2863,I2863))</f>
        <v/>
      </c>
      <c r="B2863">
        <f>IF(H2863="","",U2863)</f>
        <v/>
      </c>
      <c r="C2863">
        <f>IF(H2863="","",IF(P2863="",K2863,INDEX('Students'!$A$2:$A$701,P2863)))</f>
        <v/>
      </c>
      <c r="D2863">
        <f>IF(OR(H2863="",P2863=""),"",INDEX('Students'!$B$2:$B$701,P2863))</f>
        <v/>
      </c>
      <c r="E2863">
        <f>IF(OR(H2863="",P2863=""),"",INDEX('Students'!$C$2:$C$701,P2863))</f>
        <v/>
      </c>
      <c r="F2863" s="48">
        <f>IF(H2863="","",IF(ISNUMBER(O2863),O2863,J2863))</f>
        <v/>
      </c>
      <c r="G2863">
        <f>IF(H2863="","","OneCause")</f>
        <v/>
      </c>
      <c r="H2863">
        <f>IF(AND(I2863="",J2863="",K2863=""),"",IF(NOT(ISNUMBER(O2863)),"Bad amount",IF(O2863&lt;0,"Refund (not counted)",IF(O2863=0,"Zero amount",IF(NOT(ISNUMBER(N2863)),"Bad date",IF(P2863="","NAME NOT ON ROSTER",IF(L2863="","OK",IF(MATCH(L2863,$L$2:$L$3001,0)&lt;ROW()-1,"Duplicate (ignored)","OK"))))))))</f>
        <v/>
      </c>
      <c r="I2863">
        <f>IF(OC_Date=0,"",IF(INDEX('OneCause_Paste'!$A$2863:$AZ$2863,1,OC_Date)="","",INDEX('OneCause_Paste'!$A$2863:$AZ$2863,1,OC_Date)))</f>
        <v/>
      </c>
      <c r="J2863">
        <f>IF(OC_Amt=0,"",IF(INDEX('OneCause_Paste'!$A$2863:$AZ$2863,1,OC_Amt)="","",INDEX('OneCause_Paste'!$A$2863:$AZ$2863,1,OC_Amt)))</f>
        <v/>
      </c>
      <c r="K2863">
        <f>IF(OC_Name=0,"",IF(INDEX('OneCause_Paste'!$A$2863:$AZ$2863,1,OC_Name)="","",INDEX('OneCause_Paste'!$A$2863:$AZ$2863,1,OC_Name)))</f>
        <v/>
      </c>
      <c r="L2863">
        <f>IF(OC_Txn=0,"",IF(INDEX('OneCause_Paste'!$A$2863:$AZ$2863,1,OC_Txn)="","",INDEX('OneCause_Paste'!$A$2863:$AZ$2863,1,OC_Txn)))</f>
        <v/>
      </c>
      <c r="M2863">
        <f>IF(OC_Pay=0,"",IF(INDEX('OneCause_Paste'!$A$2863:$AZ$2863,1,OC_Pay)="","",INDEX('OneCause_Paste'!$A$2863:$AZ$2863,1,OC_Pay)))</f>
        <v/>
      </c>
      <c r="N2863">
        <f>IF(I2863="","",IF(ISNUMBER(I2863),INT(I2863),IFERROR(INT(DATEVALUE(I2863)),IFERROR(INT(VALUE(I2863)),"bad"))))</f>
        <v/>
      </c>
      <c r="O2863">
        <f>IF(J2863="","",IF(ISNUMBER(J2863),ROUND(J2863,2),IFERROR(ROUND(VALUE(SUBSTITUTE(SUBSTITUTE(SUBSTITUTE(J2863,"$",""),",","")," ","")),2),"bad")))</f>
        <v/>
      </c>
      <c r="P2863">
        <f>IF(TRIM(K2863)="","",IFERROR(MATCH(LOWER(TRIM(K2863)),'Students'!$AH$2:$AH$701,0),IFERROR(MATCH(LOWER(TRIM(K2863)),'Students'!$AF$2:$AF$701,0),IFERROR(MATCH(LOWER(TRIM(K2863)),'Students'!$AG$2:$AG$701,0),""))))</f>
        <v/>
      </c>
      <c r="R2863">
        <f>IF(P2863="","",INDEX('Students'!$AD$2:$AD$701,P2863))</f>
        <v/>
      </c>
      <c r="S2863">
        <f>IF(H2863="OK",O2863,0)</f>
        <v/>
      </c>
      <c r="T2863">
        <f>IF(H2863="OK",N2863,"")</f>
        <v/>
      </c>
      <c r="U2863">
        <f>IF(OC_Donor=0,"",IF(INDEX('OneCause_Paste'!$A$2863:$AZ$2863,1,OC_Donor)="","",INDEX('OneCause_Paste'!$A$2863:$AZ$2863,1,OC_Donor)))</f>
        <v/>
      </c>
    </row>
    <row r="2864">
      <c r="A2864" s="62">
        <f>IF(H2864="","",IF(ISNUMBER(N2864),N2864,I2864))</f>
        <v/>
      </c>
      <c r="B2864">
        <f>IF(H2864="","",U2864)</f>
        <v/>
      </c>
      <c r="C2864">
        <f>IF(H2864="","",IF(P2864="",K2864,INDEX('Students'!$A$2:$A$701,P2864)))</f>
        <v/>
      </c>
      <c r="D2864">
        <f>IF(OR(H2864="",P2864=""),"",INDEX('Students'!$B$2:$B$701,P2864))</f>
        <v/>
      </c>
      <c r="E2864">
        <f>IF(OR(H2864="",P2864=""),"",INDEX('Students'!$C$2:$C$701,P2864))</f>
        <v/>
      </c>
      <c r="F2864" s="48">
        <f>IF(H2864="","",IF(ISNUMBER(O2864),O2864,J2864))</f>
        <v/>
      </c>
      <c r="G2864">
        <f>IF(H2864="","","OneCause")</f>
        <v/>
      </c>
      <c r="H2864">
        <f>IF(AND(I2864="",J2864="",K2864=""),"",IF(NOT(ISNUMBER(O2864)),"Bad amount",IF(O2864&lt;0,"Refund (not counted)",IF(O2864=0,"Zero amount",IF(NOT(ISNUMBER(N2864)),"Bad date",IF(P2864="","NAME NOT ON ROSTER",IF(L2864="","OK",IF(MATCH(L2864,$L$2:$L$3001,0)&lt;ROW()-1,"Duplicate (ignored)","OK"))))))))</f>
        <v/>
      </c>
      <c r="I2864">
        <f>IF(OC_Date=0,"",IF(INDEX('OneCause_Paste'!$A$2864:$AZ$2864,1,OC_Date)="","",INDEX('OneCause_Paste'!$A$2864:$AZ$2864,1,OC_Date)))</f>
        <v/>
      </c>
      <c r="J2864">
        <f>IF(OC_Amt=0,"",IF(INDEX('OneCause_Paste'!$A$2864:$AZ$2864,1,OC_Amt)="","",INDEX('OneCause_Paste'!$A$2864:$AZ$2864,1,OC_Amt)))</f>
        <v/>
      </c>
      <c r="K2864">
        <f>IF(OC_Name=0,"",IF(INDEX('OneCause_Paste'!$A$2864:$AZ$2864,1,OC_Name)="","",INDEX('OneCause_Paste'!$A$2864:$AZ$2864,1,OC_Name)))</f>
        <v/>
      </c>
      <c r="L2864">
        <f>IF(OC_Txn=0,"",IF(INDEX('OneCause_Paste'!$A$2864:$AZ$2864,1,OC_Txn)="","",INDEX('OneCause_Paste'!$A$2864:$AZ$2864,1,OC_Txn)))</f>
        <v/>
      </c>
      <c r="M2864">
        <f>IF(OC_Pay=0,"",IF(INDEX('OneCause_Paste'!$A$2864:$AZ$2864,1,OC_Pay)="","",INDEX('OneCause_Paste'!$A$2864:$AZ$2864,1,OC_Pay)))</f>
        <v/>
      </c>
      <c r="N2864">
        <f>IF(I2864="","",IF(ISNUMBER(I2864),INT(I2864),IFERROR(INT(DATEVALUE(I2864)),IFERROR(INT(VALUE(I2864)),"bad"))))</f>
        <v/>
      </c>
      <c r="O2864">
        <f>IF(J2864="","",IF(ISNUMBER(J2864),ROUND(J2864,2),IFERROR(ROUND(VALUE(SUBSTITUTE(SUBSTITUTE(SUBSTITUTE(J2864,"$",""),",","")," ","")),2),"bad")))</f>
        <v/>
      </c>
      <c r="P2864">
        <f>IF(TRIM(K2864)="","",IFERROR(MATCH(LOWER(TRIM(K2864)),'Students'!$AH$2:$AH$701,0),IFERROR(MATCH(LOWER(TRIM(K2864)),'Students'!$AF$2:$AF$701,0),IFERROR(MATCH(LOWER(TRIM(K2864)),'Students'!$AG$2:$AG$701,0),""))))</f>
        <v/>
      </c>
      <c r="R2864">
        <f>IF(P2864="","",INDEX('Students'!$AD$2:$AD$701,P2864))</f>
        <v/>
      </c>
      <c r="S2864">
        <f>IF(H2864="OK",O2864,0)</f>
        <v/>
      </c>
      <c r="T2864">
        <f>IF(H2864="OK",N2864,"")</f>
        <v/>
      </c>
      <c r="U2864">
        <f>IF(OC_Donor=0,"",IF(INDEX('OneCause_Paste'!$A$2864:$AZ$2864,1,OC_Donor)="","",INDEX('OneCause_Paste'!$A$2864:$AZ$2864,1,OC_Donor)))</f>
        <v/>
      </c>
    </row>
    <row r="2865">
      <c r="A2865" s="62">
        <f>IF(H2865="","",IF(ISNUMBER(N2865),N2865,I2865))</f>
        <v/>
      </c>
      <c r="B2865">
        <f>IF(H2865="","",U2865)</f>
        <v/>
      </c>
      <c r="C2865">
        <f>IF(H2865="","",IF(P2865="",K2865,INDEX('Students'!$A$2:$A$701,P2865)))</f>
        <v/>
      </c>
      <c r="D2865">
        <f>IF(OR(H2865="",P2865=""),"",INDEX('Students'!$B$2:$B$701,P2865))</f>
        <v/>
      </c>
      <c r="E2865">
        <f>IF(OR(H2865="",P2865=""),"",INDEX('Students'!$C$2:$C$701,P2865))</f>
        <v/>
      </c>
      <c r="F2865" s="48">
        <f>IF(H2865="","",IF(ISNUMBER(O2865),O2865,J2865))</f>
        <v/>
      </c>
      <c r="G2865">
        <f>IF(H2865="","","OneCause")</f>
        <v/>
      </c>
      <c r="H2865">
        <f>IF(AND(I2865="",J2865="",K2865=""),"",IF(NOT(ISNUMBER(O2865)),"Bad amount",IF(O2865&lt;0,"Refund (not counted)",IF(O2865=0,"Zero amount",IF(NOT(ISNUMBER(N2865)),"Bad date",IF(P2865="","NAME NOT ON ROSTER",IF(L2865="","OK",IF(MATCH(L2865,$L$2:$L$3001,0)&lt;ROW()-1,"Duplicate (ignored)","OK"))))))))</f>
        <v/>
      </c>
      <c r="I2865">
        <f>IF(OC_Date=0,"",IF(INDEX('OneCause_Paste'!$A$2865:$AZ$2865,1,OC_Date)="","",INDEX('OneCause_Paste'!$A$2865:$AZ$2865,1,OC_Date)))</f>
        <v/>
      </c>
      <c r="J2865">
        <f>IF(OC_Amt=0,"",IF(INDEX('OneCause_Paste'!$A$2865:$AZ$2865,1,OC_Amt)="","",INDEX('OneCause_Paste'!$A$2865:$AZ$2865,1,OC_Amt)))</f>
        <v/>
      </c>
      <c r="K2865">
        <f>IF(OC_Name=0,"",IF(INDEX('OneCause_Paste'!$A$2865:$AZ$2865,1,OC_Name)="","",INDEX('OneCause_Paste'!$A$2865:$AZ$2865,1,OC_Name)))</f>
        <v/>
      </c>
      <c r="L2865">
        <f>IF(OC_Txn=0,"",IF(INDEX('OneCause_Paste'!$A$2865:$AZ$2865,1,OC_Txn)="","",INDEX('OneCause_Paste'!$A$2865:$AZ$2865,1,OC_Txn)))</f>
        <v/>
      </c>
      <c r="M2865">
        <f>IF(OC_Pay=0,"",IF(INDEX('OneCause_Paste'!$A$2865:$AZ$2865,1,OC_Pay)="","",INDEX('OneCause_Paste'!$A$2865:$AZ$2865,1,OC_Pay)))</f>
        <v/>
      </c>
      <c r="N2865">
        <f>IF(I2865="","",IF(ISNUMBER(I2865),INT(I2865),IFERROR(INT(DATEVALUE(I2865)),IFERROR(INT(VALUE(I2865)),"bad"))))</f>
        <v/>
      </c>
      <c r="O2865">
        <f>IF(J2865="","",IF(ISNUMBER(J2865),ROUND(J2865,2),IFERROR(ROUND(VALUE(SUBSTITUTE(SUBSTITUTE(SUBSTITUTE(J2865,"$",""),",","")," ","")),2),"bad")))</f>
        <v/>
      </c>
      <c r="P2865">
        <f>IF(TRIM(K2865)="","",IFERROR(MATCH(LOWER(TRIM(K2865)),'Students'!$AH$2:$AH$701,0),IFERROR(MATCH(LOWER(TRIM(K2865)),'Students'!$AF$2:$AF$701,0),IFERROR(MATCH(LOWER(TRIM(K2865)),'Students'!$AG$2:$AG$701,0),""))))</f>
        <v/>
      </c>
      <c r="R2865">
        <f>IF(P2865="","",INDEX('Students'!$AD$2:$AD$701,P2865))</f>
        <v/>
      </c>
      <c r="S2865">
        <f>IF(H2865="OK",O2865,0)</f>
        <v/>
      </c>
      <c r="T2865">
        <f>IF(H2865="OK",N2865,"")</f>
        <v/>
      </c>
      <c r="U2865">
        <f>IF(OC_Donor=0,"",IF(INDEX('OneCause_Paste'!$A$2865:$AZ$2865,1,OC_Donor)="","",INDEX('OneCause_Paste'!$A$2865:$AZ$2865,1,OC_Donor)))</f>
        <v/>
      </c>
    </row>
    <row r="2866">
      <c r="A2866" s="62">
        <f>IF(H2866="","",IF(ISNUMBER(N2866),N2866,I2866))</f>
        <v/>
      </c>
      <c r="B2866">
        <f>IF(H2866="","",U2866)</f>
        <v/>
      </c>
      <c r="C2866">
        <f>IF(H2866="","",IF(P2866="",K2866,INDEX('Students'!$A$2:$A$701,P2866)))</f>
        <v/>
      </c>
      <c r="D2866">
        <f>IF(OR(H2866="",P2866=""),"",INDEX('Students'!$B$2:$B$701,P2866))</f>
        <v/>
      </c>
      <c r="E2866">
        <f>IF(OR(H2866="",P2866=""),"",INDEX('Students'!$C$2:$C$701,P2866))</f>
        <v/>
      </c>
      <c r="F2866" s="48">
        <f>IF(H2866="","",IF(ISNUMBER(O2866),O2866,J2866))</f>
        <v/>
      </c>
      <c r="G2866">
        <f>IF(H2866="","","OneCause")</f>
        <v/>
      </c>
      <c r="H2866">
        <f>IF(AND(I2866="",J2866="",K2866=""),"",IF(NOT(ISNUMBER(O2866)),"Bad amount",IF(O2866&lt;0,"Refund (not counted)",IF(O2866=0,"Zero amount",IF(NOT(ISNUMBER(N2866)),"Bad date",IF(P2866="","NAME NOT ON ROSTER",IF(L2866="","OK",IF(MATCH(L2866,$L$2:$L$3001,0)&lt;ROW()-1,"Duplicate (ignored)","OK"))))))))</f>
        <v/>
      </c>
      <c r="I2866">
        <f>IF(OC_Date=0,"",IF(INDEX('OneCause_Paste'!$A$2866:$AZ$2866,1,OC_Date)="","",INDEX('OneCause_Paste'!$A$2866:$AZ$2866,1,OC_Date)))</f>
        <v/>
      </c>
      <c r="J2866">
        <f>IF(OC_Amt=0,"",IF(INDEX('OneCause_Paste'!$A$2866:$AZ$2866,1,OC_Amt)="","",INDEX('OneCause_Paste'!$A$2866:$AZ$2866,1,OC_Amt)))</f>
        <v/>
      </c>
      <c r="K2866">
        <f>IF(OC_Name=0,"",IF(INDEX('OneCause_Paste'!$A$2866:$AZ$2866,1,OC_Name)="","",INDEX('OneCause_Paste'!$A$2866:$AZ$2866,1,OC_Name)))</f>
        <v/>
      </c>
      <c r="L2866">
        <f>IF(OC_Txn=0,"",IF(INDEX('OneCause_Paste'!$A$2866:$AZ$2866,1,OC_Txn)="","",INDEX('OneCause_Paste'!$A$2866:$AZ$2866,1,OC_Txn)))</f>
        <v/>
      </c>
      <c r="M2866">
        <f>IF(OC_Pay=0,"",IF(INDEX('OneCause_Paste'!$A$2866:$AZ$2866,1,OC_Pay)="","",INDEX('OneCause_Paste'!$A$2866:$AZ$2866,1,OC_Pay)))</f>
        <v/>
      </c>
      <c r="N2866">
        <f>IF(I2866="","",IF(ISNUMBER(I2866),INT(I2866),IFERROR(INT(DATEVALUE(I2866)),IFERROR(INT(VALUE(I2866)),"bad"))))</f>
        <v/>
      </c>
      <c r="O2866">
        <f>IF(J2866="","",IF(ISNUMBER(J2866),ROUND(J2866,2),IFERROR(ROUND(VALUE(SUBSTITUTE(SUBSTITUTE(SUBSTITUTE(J2866,"$",""),",","")," ","")),2),"bad")))</f>
        <v/>
      </c>
      <c r="P2866">
        <f>IF(TRIM(K2866)="","",IFERROR(MATCH(LOWER(TRIM(K2866)),'Students'!$AH$2:$AH$701,0),IFERROR(MATCH(LOWER(TRIM(K2866)),'Students'!$AF$2:$AF$701,0),IFERROR(MATCH(LOWER(TRIM(K2866)),'Students'!$AG$2:$AG$701,0),""))))</f>
        <v/>
      </c>
      <c r="R2866">
        <f>IF(P2866="","",INDEX('Students'!$AD$2:$AD$701,P2866))</f>
        <v/>
      </c>
      <c r="S2866">
        <f>IF(H2866="OK",O2866,0)</f>
        <v/>
      </c>
      <c r="T2866">
        <f>IF(H2866="OK",N2866,"")</f>
        <v/>
      </c>
      <c r="U2866">
        <f>IF(OC_Donor=0,"",IF(INDEX('OneCause_Paste'!$A$2866:$AZ$2866,1,OC_Donor)="","",INDEX('OneCause_Paste'!$A$2866:$AZ$2866,1,OC_Donor)))</f>
        <v/>
      </c>
    </row>
    <row r="2867">
      <c r="A2867" s="62">
        <f>IF(H2867="","",IF(ISNUMBER(N2867),N2867,I2867))</f>
        <v/>
      </c>
      <c r="B2867">
        <f>IF(H2867="","",U2867)</f>
        <v/>
      </c>
      <c r="C2867">
        <f>IF(H2867="","",IF(P2867="",K2867,INDEX('Students'!$A$2:$A$701,P2867)))</f>
        <v/>
      </c>
      <c r="D2867">
        <f>IF(OR(H2867="",P2867=""),"",INDEX('Students'!$B$2:$B$701,P2867))</f>
        <v/>
      </c>
      <c r="E2867">
        <f>IF(OR(H2867="",P2867=""),"",INDEX('Students'!$C$2:$C$701,P2867))</f>
        <v/>
      </c>
      <c r="F2867" s="48">
        <f>IF(H2867="","",IF(ISNUMBER(O2867),O2867,J2867))</f>
        <v/>
      </c>
      <c r="G2867">
        <f>IF(H2867="","","OneCause")</f>
        <v/>
      </c>
      <c r="H2867">
        <f>IF(AND(I2867="",J2867="",K2867=""),"",IF(NOT(ISNUMBER(O2867)),"Bad amount",IF(O2867&lt;0,"Refund (not counted)",IF(O2867=0,"Zero amount",IF(NOT(ISNUMBER(N2867)),"Bad date",IF(P2867="","NAME NOT ON ROSTER",IF(L2867="","OK",IF(MATCH(L2867,$L$2:$L$3001,0)&lt;ROW()-1,"Duplicate (ignored)","OK"))))))))</f>
        <v/>
      </c>
      <c r="I2867">
        <f>IF(OC_Date=0,"",IF(INDEX('OneCause_Paste'!$A$2867:$AZ$2867,1,OC_Date)="","",INDEX('OneCause_Paste'!$A$2867:$AZ$2867,1,OC_Date)))</f>
        <v/>
      </c>
      <c r="J2867">
        <f>IF(OC_Amt=0,"",IF(INDEX('OneCause_Paste'!$A$2867:$AZ$2867,1,OC_Amt)="","",INDEX('OneCause_Paste'!$A$2867:$AZ$2867,1,OC_Amt)))</f>
        <v/>
      </c>
      <c r="K2867">
        <f>IF(OC_Name=0,"",IF(INDEX('OneCause_Paste'!$A$2867:$AZ$2867,1,OC_Name)="","",INDEX('OneCause_Paste'!$A$2867:$AZ$2867,1,OC_Name)))</f>
        <v/>
      </c>
      <c r="L2867">
        <f>IF(OC_Txn=0,"",IF(INDEX('OneCause_Paste'!$A$2867:$AZ$2867,1,OC_Txn)="","",INDEX('OneCause_Paste'!$A$2867:$AZ$2867,1,OC_Txn)))</f>
        <v/>
      </c>
      <c r="M2867">
        <f>IF(OC_Pay=0,"",IF(INDEX('OneCause_Paste'!$A$2867:$AZ$2867,1,OC_Pay)="","",INDEX('OneCause_Paste'!$A$2867:$AZ$2867,1,OC_Pay)))</f>
        <v/>
      </c>
      <c r="N2867">
        <f>IF(I2867="","",IF(ISNUMBER(I2867),INT(I2867),IFERROR(INT(DATEVALUE(I2867)),IFERROR(INT(VALUE(I2867)),"bad"))))</f>
        <v/>
      </c>
      <c r="O2867">
        <f>IF(J2867="","",IF(ISNUMBER(J2867),ROUND(J2867,2),IFERROR(ROUND(VALUE(SUBSTITUTE(SUBSTITUTE(SUBSTITUTE(J2867,"$",""),",","")," ","")),2),"bad")))</f>
        <v/>
      </c>
      <c r="P2867">
        <f>IF(TRIM(K2867)="","",IFERROR(MATCH(LOWER(TRIM(K2867)),'Students'!$AH$2:$AH$701,0),IFERROR(MATCH(LOWER(TRIM(K2867)),'Students'!$AF$2:$AF$701,0),IFERROR(MATCH(LOWER(TRIM(K2867)),'Students'!$AG$2:$AG$701,0),""))))</f>
        <v/>
      </c>
      <c r="R2867">
        <f>IF(P2867="","",INDEX('Students'!$AD$2:$AD$701,P2867))</f>
        <v/>
      </c>
      <c r="S2867">
        <f>IF(H2867="OK",O2867,0)</f>
        <v/>
      </c>
      <c r="T2867">
        <f>IF(H2867="OK",N2867,"")</f>
        <v/>
      </c>
      <c r="U2867">
        <f>IF(OC_Donor=0,"",IF(INDEX('OneCause_Paste'!$A$2867:$AZ$2867,1,OC_Donor)="","",INDEX('OneCause_Paste'!$A$2867:$AZ$2867,1,OC_Donor)))</f>
        <v/>
      </c>
    </row>
    <row r="2868">
      <c r="A2868" s="62">
        <f>IF(H2868="","",IF(ISNUMBER(N2868),N2868,I2868))</f>
        <v/>
      </c>
      <c r="B2868">
        <f>IF(H2868="","",U2868)</f>
        <v/>
      </c>
      <c r="C2868">
        <f>IF(H2868="","",IF(P2868="",K2868,INDEX('Students'!$A$2:$A$701,P2868)))</f>
        <v/>
      </c>
      <c r="D2868">
        <f>IF(OR(H2868="",P2868=""),"",INDEX('Students'!$B$2:$B$701,P2868))</f>
        <v/>
      </c>
      <c r="E2868">
        <f>IF(OR(H2868="",P2868=""),"",INDEX('Students'!$C$2:$C$701,P2868))</f>
        <v/>
      </c>
      <c r="F2868" s="48">
        <f>IF(H2868="","",IF(ISNUMBER(O2868),O2868,J2868))</f>
        <v/>
      </c>
      <c r="G2868">
        <f>IF(H2868="","","OneCause")</f>
        <v/>
      </c>
      <c r="H2868">
        <f>IF(AND(I2868="",J2868="",K2868=""),"",IF(NOT(ISNUMBER(O2868)),"Bad amount",IF(O2868&lt;0,"Refund (not counted)",IF(O2868=0,"Zero amount",IF(NOT(ISNUMBER(N2868)),"Bad date",IF(P2868="","NAME NOT ON ROSTER",IF(L2868="","OK",IF(MATCH(L2868,$L$2:$L$3001,0)&lt;ROW()-1,"Duplicate (ignored)","OK"))))))))</f>
        <v/>
      </c>
      <c r="I2868">
        <f>IF(OC_Date=0,"",IF(INDEX('OneCause_Paste'!$A$2868:$AZ$2868,1,OC_Date)="","",INDEX('OneCause_Paste'!$A$2868:$AZ$2868,1,OC_Date)))</f>
        <v/>
      </c>
      <c r="J2868">
        <f>IF(OC_Amt=0,"",IF(INDEX('OneCause_Paste'!$A$2868:$AZ$2868,1,OC_Amt)="","",INDEX('OneCause_Paste'!$A$2868:$AZ$2868,1,OC_Amt)))</f>
        <v/>
      </c>
      <c r="K2868">
        <f>IF(OC_Name=0,"",IF(INDEX('OneCause_Paste'!$A$2868:$AZ$2868,1,OC_Name)="","",INDEX('OneCause_Paste'!$A$2868:$AZ$2868,1,OC_Name)))</f>
        <v/>
      </c>
      <c r="L2868">
        <f>IF(OC_Txn=0,"",IF(INDEX('OneCause_Paste'!$A$2868:$AZ$2868,1,OC_Txn)="","",INDEX('OneCause_Paste'!$A$2868:$AZ$2868,1,OC_Txn)))</f>
        <v/>
      </c>
      <c r="M2868">
        <f>IF(OC_Pay=0,"",IF(INDEX('OneCause_Paste'!$A$2868:$AZ$2868,1,OC_Pay)="","",INDEX('OneCause_Paste'!$A$2868:$AZ$2868,1,OC_Pay)))</f>
        <v/>
      </c>
      <c r="N2868">
        <f>IF(I2868="","",IF(ISNUMBER(I2868),INT(I2868),IFERROR(INT(DATEVALUE(I2868)),IFERROR(INT(VALUE(I2868)),"bad"))))</f>
        <v/>
      </c>
      <c r="O2868">
        <f>IF(J2868="","",IF(ISNUMBER(J2868),ROUND(J2868,2),IFERROR(ROUND(VALUE(SUBSTITUTE(SUBSTITUTE(SUBSTITUTE(J2868,"$",""),",","")," ","")),2),"bad")))</f>
        <v/>
      </c>
      <c r="P2868">
        <f>IF(TRIM(K2868)="","",IFERROR(MATCH(LOWER(TRIM(K2868)),'Students'!$AH$2:$AH$701,0),IFERROR(MATCH(LOWER(TRIM(K2868)),'Students'!$AF$2:$AF$701,0),IFERROR(MATCH(LOWER(TRIM(K2868)),'Students'!$AG$2:$AG$701,0),""))))</f>
        <v/>
      </c>
      <c r="R2868">
        <f>IF(P2868="","",INDEX('Students'!$AD$2:$AD$701,P2868))</f>
        <v/>
      </c>
      <c r="S2868">
        <f>IF(H2868="OK",O2868,0)</f>
        <v/>
      </c>
      <c r="T2868">
        <f>IF(H2868="OK",N2868,"")</f>
        <v/>
      </c>
      <c r="U2868">
        <f>IF(OC_Donor=0,"",IF(INDEX('OneCause_Paste'!$A$2868:$AZ$2868,1,OC_Donor)="","",INDEX('OneCause_Paste'!$A$2868:$AZ$2868,1,OC_Donor)))</f>
        <v/>
      </c>
    </row>
    <row r="2869">
      <c r="A2869" s="62">
        <f>IF(H2869="","",IF(ISNUMBER(N2869),N2869,I2869))</f>
        <v/>
      </c>
      <c r="B2869">
        <f>IF(H2869="","",U2869)</f>
        <v/>
      </c>
      <c r="C2869">
        <f>IF(H2869="","",IF(P2869="",K2869,INDEX('Students'!$A$2:$A$701,P2869)))</f>
        <v/>
      </c>
      <c r="D2869">
        <f>IF(OR(H2869="",P2869=""),"",INDEX('Students'!$B$2:$B$701,P2869))</f>
        <v/>
      </c>
      <c r="E2869">
        <f>IF(OR(H2869="",P2869=""),"",INDEX('Students'!$C$2:$C$701,P2869))</f>
        <v/>
      </c>
      <c r="F2869" s="48">
        <f>IF(H2869="","",IF(ISNUMBER(O2869),O2869,J2869))</f>
        <v/>
      </c>
      <c r="G2869">
        <f>IF(H2869="","","OneCause")</f>
        <v/>
      </c>
      <c r="H2869">
        <f>IF(AND(I2869="",J2869="",K2869=""),"",IF(NOT(ISNUMBER(O2869)),"Bad amount",IF(O2869&lt;0,"Refund (not counted)",IF(O2869=0,"Zero amount",IF(NOT(ISNUMBER(N2869)),"Bad date",IF(P2869="","NAME NOT ON ROSTER",IF(L2869="","OK",IF(MATCH(L2869,$L$2:$L$3001,0)&lt;ROW()-1,"Duplicate (ignored)","OK"))))))))</f>
        <v/>
      </c>
      <c r="I2869">
        <f>IF(OC_Date=0,"",IF(INDEX('OneCause_Paste'!$A$2869:$AZ$2869,1,OC_Date)="","",INDEX('OneCause_Paste'!$A$2869:$AZ$2869,1,OC_Date)))</f>
        <v/>
      </c>
      <c r="J2869">
        <f>IF(OC_Amt=0,"",IF(INDEX('OneCause_Paste'!$A$2869:$AZ$2869,1,OC_Amt)="","",INDEX('OneCause_Paste'!$A$2869:$AZ$2869,1,OC_Amt)))</f>
        <v/>
      </c>
      <c r="K2869">
        <f>IF(OC_Name=0,"",IF(INDEX('OneCause_Paste'!$A$2869:$AZ$2869,1,OC_Name)="","",INDEX('OneCause_Paste'!$A$2869:$AZ$2869,1,OC_Name)))</f>
        <v/>
      </c>
      <c r="L2869">
        <f>IF(OC_Txn=0,"",IF(INDEX('OneCause_Paste'!$A$2869:$AZ$2869,1,OC_Txn)="","",INDEX('OneCause_Paste'!$A$2869:$AZ$2869,1,OC_Txn)))</f>
        <v/>
      </c>
      <c r="M2869">
        <f>IF(OC_Pay=0,"",IF(INDEX('OneCause_Paste'!$A$2869:$AZ$2869,1,OC_Pay)="","",INDEX('OneCause_Paste'!$A$2869:$AZ$2869,1,OC_Pay)))</f>
        <v/>
      </c>
      <c r="N2869">
        <f>IF(I2869="","",IF(ISNUMBER(I2869),INT(I2869),IFERROR(INT(DATEVALUE(I2869)),IFERROR(INT(VALUE(I2869)),"bad"))))</f>
        <v/>
      </c>
      <c r="O2869">
        <f>IF(J2869="","",IF(ISNUMBER(J2869),ROUND(J2869,2),IFERROR(ROUND(VALUE(SUBSTITUTE(SUBSTITUTE(SUBSTITUTE(J2869,"$",""),",","")," ","")),2),"bad")))</f>
        <v/>
      </c>
      <c r="P2869">
        <f>IF(TRIM(K2869)="","",IFERROR(MATCH(LOWER(TRIM(K2869)),'Students'!$AH$2:$AH$701,0),IFERROR(MATCH(LOWER(TRIM(K2869)),'Students'!$AF$2:$AF$701,0),IFERROR(MATCH(LOWER(TRIM(K2869)),'Students'!$AG$2:$AG$701,0),""))))</f>
        <v/>
      </c>
      <c r="R2869">
        <f>IF(P2869="","",INDEX('Students'!$AD$2:$AD$701,P2869))</f>
        <v/>
      </c>
      <c r="S2869">
        <f>IF(H2869="OK",O2869,0)</f>
        <v/>
      </c>
      <c r="T2869">
        <f>IF(H2869="OK",N2869,"")</f>
        <v/>
      </c>
      <c r="U2869">
        <f>IF(OC_Donor=0,"",IF(INDEX('OneCause_Paste'!$A$2869:$AZ$2869,1,OC_Donor)="","",INDEX('OneCause_Paste'!$A$2869:$AZ$2869,1,OC_Donor)))</f>
        <v/>
      </c>
    </row>
    <row r="2870">
      <c r="A2870" s="62">
        <f>IF(H2870="","",IF(ISNUMBER(N2870),N2870,I2870))</f>
        <v/>
      </c>
      <c r="B2870">
        <f>IF(H2870="","",U2870)</f>
        <v/>
      </c>
      <c r="C2870">
        <f>IF(H2870="","",IF(P2870="",K2870,INDEX('Students'!$A$2:$A$701,P2870)))</f>
        <v/>
      </c>
      <c r="D2870">
        <f>IF(OR(H2870="",P2870=""),"",INDEX('Students'!$B$2:$B$701,P2870))</f>
        <v/>
      </c>
      <c r="E2870">
        <f>IF(OR(H2870="",P2870=""),"",INDEX('Students'!$C$2:$C$701,P2870))</f>
        <v/>
      </c>
      <c r="F2870" s="48">
        <f>IF(H2870="","",IF(ISNUMBER(O2870),O2870,J2870))</f>
        <v/>
      </c>
      <c r="G2870">
        <f>IF(H2870="","","OneCause")</f>
        <v/>
      </c>
      <c r="H2870">
        <f>IF(AND(I2870="",J2870="",K2870=""),"",IF(NOT(ISNUMBER(O2870)),"Bad amount",IF(O2870&lt;0,"Refund (not counted)",IF(O2870=0,"Zero amount",IF(NOT(ISNUMBER(N2870)),"Bad date",IF(P2870="","NAME NOT ON ROSTER",IF(L2870="","OK",IF(MATCH(L2870,$L$2:$L$3001,0)&lt;ROW()-1,"Duplicate (ignored)","OK"))))))))</f>
        <v/>
      </c>
      <c r="I2870">
        <f>IF(OC_Date=0,"",IF(INDEX('OneCause_Paste'!$A$2870:$AZ$2870,1,OC_Date)="","",INDEX('OneCause_Paste'!$A$2870:$AZ$2870,1,OC_Date)))</f>
        <v/>
      </c>
      <c r="J2870">
        <f>IF(OC_Amt=0,"",IF(INDEX('OneCause_Paste'!$A$2870:$AZ$2870,1,OC_Amt)="","",INDEX('OneCause_Paste'!$A$2870:$AZ$2870,1,OC_Amt)))</f>
        <v/>
      </c>
      <c r="K2870">
        <f>IF(OC_Name=0,"",IF(INDEX('OneCause_Paste'!$A$2870:$AZ$2870,1,OC_Name)="","",INDEX('OneCause_Paste'!$A$2870:$AZ$2870,1,OC_Name)))</f>
        <v/>
      </c>
      <c r="L2870">
        <f>IF(OC_Txn=0,"",IF(INDEX('OneCause_Paste'!$A$2870:$AZ$2870,1,OC_Txn)="","",INDEX('OneCause_Paste'!$A$2870:$AZ$2870,1,OC_Txn)))</f>
        <v/>
      </c>
      <c r="M2870">
        <f>IF(OC_Pay=0,"",IF(INDEX('OneCause_Paste'!$A$2870:$AZ$2870,1,OC_Pay)="","",INDEX('OneCause_Paste'!$A$2870:$AZ$2870,1,OC_Pay)))</f>
        <v/>
      </c>
      <c r="N2870">
        <f>IF(I2870="","",IF(ISNUMBER(I2870),INT(I2870),IFERROR(INT(DATEVALUE(I2870)),IFERROR(INT(VALUE(I2870)),"bad"))))</f>
        <v/>
      </c>
      <c r="O2870">
        <f>IF(J2870="","",IF(ISNUMBER(J2870),ROUND(J2870,2),IFERROR(ROUND(VALUE(SUBSTITUTE(SUBSTITUTE(SUBSTITUTE(J2870,"$",""),",","")," ","")),2),"bad")))</f>
        <v/>
      </c>
      <c r="P2870">
        <f>IF(TRIM(K2870)="","",IFERROR(MATCH(LOWER(TRIM(K2870)),'Students'!$AH$2:$AH$701,0),IFERROR(MATCH(LOWER(TRIM(K2870)),'Students'!$AF$2:$AF$701,0),IFERROR(MATCH(LOWER(TRIM(K2870)),'Students'!$AG$2:$AG$701,0),""))))</f>
        <v/>
      </c>
      <c r="R2870">
        <f>IF(P2870="","",INDEX('Students'!$AD$2:$AD$701,P2870))</f>
        <v/>
      </c>
      <c r="S2870">
        <f>IF(H2870="OK",O2870,0)</f>
        <v/>
      </c>
      <c r="T2870">
        <f>IF(H2870="OK",N2870,"")</f>
        <v/>
      </c>
      <c r="U2870">
        <f>IF(OC_Donor=0,"",IF(INDEX('OneCause_Paste'!$A$2870:$AZ$2870,1,OC_Donor)="","",INDEX('OneCause_Paste'!$A$2870:$AZ$2870,1,OC_Donor)))</f>
        <v/>
      </c>
    </row>
    <row r="2871">
      <c r="A2871" s="62">
        <f>IF(H2871="","",IF(ISNUMBER(N2871),N2871,I2871))</f>
        <v/>
      </c>
      <c r="B2871">
        <f>IF(H2871="","",U2871)</f>
        <v/>
      </c>
      <c r="C2871">
        <f>IF(H2871="","",IF(P2871="",K2871,INDEX('Students'!$A$2:$A$701,P2871)))</f>
        <v/>
      </c>
      <c r="D2871">
        <f>IF(OR(H2871="",P2871=""),"",INDEX('Students'!$B$2:$B$701,P2871))</f>
        <v/>
      </c>
      <c r="E2871">
        <f>IF(OR(H2871="",P2871=""),"",INDEX('Students'!$C$2:$C$701,P2871))</f>
        <v/>
      </c>
      <c r="F2871" s="48">
        <f>IF(H2871="","",IF(ISNUMBER(O2871),O2871,J2871))</f>
        <v/>
      </c>
      <c r="G2871">
        <f>IF(H2871="","","OneCause")</f>
        <v/>
      </c>
      <c r="H2871">
        <f>IF(AND(I2871="",J2871="",K2871=""),"",IF(NOT(ISNUMBER(O2871)),"Bad amount",IF(O2871&lt;0,"Refund (not counted)",IF(O2871=0,"Zero amount",IF(NOT(ISNUMBER(N2871)),"Bad date",IF(P2871="","NAME NOT ON ROSTER",IF(L2871="","OK",IF(MATCH(L2871,$L$2:$L$3001,0)&lt;ROW()-1,"Duplicate (ignored)","OK"))))))))</f>
        <v/>
      </c>
      <c r="I2871">
        <f>IF(OC_Date=0,"",IF(INDEX('OneCause_Paste'!$A$2871:$AZ$2871,1,OC_Date)="","",INDEX('OneCause_Paste'!$A$2871:$AZ$2871,1,OC_Date)))</f>
        <v/>
      </c>
      <c r="J2871">
        <f>IF(OC_Amt=0,"",IF(INDEX('OneCause_Paste'!$A$2871:$AZ$2871,1,OC_Amt)="","",INDEX('OneCause_Paste'!$A$2871:$AZ$2871,1,OC_Amt)))</f>
        <v/>
      </c>
      <c r="K2871">
        <f>IF(OC_Name=0,"",IF(INDEX('OneCause_Paste'!$A$2871:$AZ$2871,1,OC_Name)="","",INDEX('OneCause_Paste'!$A$2871:$AZ$2871,1,OC_Name)))</f>
        <v/>
      </c>
      <c r="L2871">
        <f>IF(OC_Txn=0,"",IF(INDEX('OneCause_Paste'!$A$2871:$AZ$2871,1,OC_Txn)="","",INDEX('OneCause_Paste'!$A$2871:$AZ$2871,1,OC_Txn)))</f>
        <v/>
      </c>
      <c r="M2871">
        <f>IF(OC_Pay=0,"",IF(INDEX('OneCause_Paste'!$A$2871:$AZ$2871,1,OC_Pay)="","",INDEX('OneCause_Paste'!$A$2871:$AZ$2871,1,OC_Pay)))</f>
        <v/>
      </c>
      <c r="N2871">
        <f>IF(I2871="","",IF(ISNUMBER(I2871),INT(I2871),IFERROR(INT(DATEVALUE(I2871)),IFERROR(INT(VALUE(I2871)),"bad"))))</f>
        <v/>
      </c>
      <c r="O2871">
        <f>IF(J2871="","",IF(ISNUMBER(J2871),ROUND(J2871,2),IFERROR(ROUND(VALUE(SUBSTITUTE(SUBSTITUTE(SUBSTITUTE(J2871,"$",""),",","")," ","")),2),"bad")))</f>
        <v/>
      </c>
      <c r="P2871">
        <f>IF(TRIM(K2871)="","",IFERROR(MATCH(LOWER(TRIM(K2871)),'Students'!$AH$2:$AH$701,0),IFERROR(MATCH(LOWER(TRIM(K2871)),'Students'!$AF$2:$AF$701,0),IFERROR(MATCH(LOWER(TRIM(K2871)),'Students'!$AG$2:$AG$701,0),""))))</f>
        <v/>
      </c>
      <c r="R2871">
        <f>IF(P2871="","",INDEX('Students'!$AD$2:$AD$701,P2871))</f>
        <v/>
      </c>
      <c r="S2871">
        <f>IF(H2871="OK",O2871,0)</f>
        <v/>
      </c>
      <c r="T2871">
        <f>IF(H2871="OK",N2871,"")</f>
        <v/>
      </c>
      <c r="U2871">
        <f>IF(OC_Donor=0,"",IF(INDEX('OneCause_Paste'!$A$2871:$AZ$2871,1,OC_Donor)="","",INDEX('OneCause_Paste'!$A$2871:$AZ$2871,1,OC_Donor)))</f>
        <v/>
      </c>
    </row>
    <row r="2872">
      <c r="A2872" s="62">
        <f>IF(H2872="","",IF(ISNUMBER(N2872),N2872,I2872))</f>
        <v/>
      </c>
      <c r="B2872">
        <f>IF(H2872="","",U2872)</f>
        <v/>
      </c>
      <c r="C2872">
        <f>IF(H2872="","",IF(P2872="",K2872,INDEX('Students'!$A$2:$A$701,P2872)))</f>
        <v/>
      </c>
      <c r="D2872">
        <f>IF(OR(H2872="",P2872=""),"",INDEX('Students'!$B$2:$B$701,P2872))</f>
        <v/>
      </c>
      <c r="E2872">
        <f>IF(OR(H2872="",P2872=""),"",INDEX('Students'!$C$2:$C$701,P2872))</f>
        <v/>
      </c>
      <c r="F2872" s="48">
        <f>IF(H2872="","",IF(ISNUMBER(O2872),O2872,J2872))</f>
        <v/>
      </c>
      <c r="G2872">
        <f>IF(H2872="","","OneCause")</f>
        <v/>
      </c>
      <c r="H2872">
        <f>IF(AND(I2872="",J2872="",K2872=""),"",IF(NOT(ISNUMBER(O2872)),"Bad amount",IF(O2872&lt;0,"Refund (not counted)",IF(O2872=0,"Zero amount",IF(NOT(ISNUMBER(N2872)),"Bad date",IF(P2872="","NAME NOT ON ROSTER",IF(L2872="","OK",IF(MATCH(L2872,$L$2:$L$3001,0)&lt;ROW()-1,"Duplicate (ignored)","OK"))))))))</f>
        <v/>
      </c>
      <c r="I2872">
        <f>IF(OC_Date=0,"",IF(INDEX('OneCause_Paste'!$A$2872:$AZ$2872,1,OC_Date)="","",INDEX('OneCause_Paste'!$A$2872:$AZ$2872,1,OC_Date)))</f>
        <v/>
      </c>
      <c r="J2872">
        <f>IF(OC_Amt=0,"",IF(INDEX('OneCause_Paste'!$A$2872:$AZ$2872,1,OC_Amt)="","",INDEX('OneCause_Paste'!$A$2872:$AZ$2872,1,OC_Amt)))</f>
        <v/>
      </c>
      <c r="K2872">
        <f>IF(OC_Name=0,"",IF(INDEX('OneCause_Paste'!$A$2872:$AZ$2872,1,OC_Name)="","",INDEX('OneCause_Paste'!$A$2872:$AZ$2872,1,OC_Name)))</f>
        <v/>
      </c>
      <c r="L2872">
        <f>IF(OC_Txn=0,"",IF(INDEX('OneCause_Paste'!$A$2872:$AZ$2872,1,OC_Txn)="","",INDEX('OneCause_Paste'!$A$2872:$AZ$2872,1,OC_Txn)))</f>
        <v/>
      </c>
      <c r="M2872">
        <f>IF(OC_Pay=0,"",IF(INDEX('OneCause_Paste'!$A$2872:$AZ$2872,1,OC_Pay)="","",INDEX('OneCause_Paste'!$A$2872:$AZ$2872,1,OC_Pay)))</f>
        <v/>
      </c>
      <c r="N2872">
        <f>IF(I2872="","",IF(ISNUMBER(I2872),INT(I2872),IFERROR(INT(DATEVALUE(I2872)),IFERROR(INT(VALUE(I2872)),"bad"))))</f>
        <v/>
      </c>
      <c r="O2872">
        <f>IF(J2872="","",IF(ISNUMBER(J2872),ROUND(J2872,2),IFERROR(ROUND(VALUE(SUBSTITUTE(SUBSTITUTE(SUBSTITUTE(J2872,"$",""),",","")," ","")),2),"bad")))</f>
        <v/>
      </c>
      <c r="P2872">
        <f>IF(TRIM(K2872)="","",IFERROR(MATCH(LOWER(TRIM(K2872)),'Students'!$AH$2:$AH$701,0),IFERROR(MATCH(LOWER(TRIM(K2872)),'Students'!$AF$2:$AF$701,0),IFERROR(MATCH(LOWER(TRIM(K2872)),'Students'!$AG$2:$AG$701,0),""))))</f>
        <v/>
      </c>
      <c r="R2872">
        <f>IF(P2872="","",INDEX('Students'!$AD$2:$AD$701,P2872))</f>
        <v/>
      </c>
      <c r="S2872">
        <f>IF(H2872="OK",O2872,0)</f>
        <v/>
      </c>
      <c r="T2872">
        <f>IF(H2872="OK",N2872,"")</f>
        <v/>
      </c>
      <c r="U2872">
        <f>IF(OC_Donor=0,"",IF(INDEX('OneCause_Paste'!$A$2872:$AZ$2872,1,OC_Donor)="","",INDEX('OneCause_Paste'!$A$2872:$AZ$2872,1,OC_Donor)))</f>
        <v/>
      </c>
    </row>
    <row r="2873">
      <c r="A2873" s="62">
        <f>IF(H2873="","",IF(ISNUMBER(N2873),N2873,I2873))</f>
        <v/>
      </c>
      <c r="B2873">
        <f>IF(H2873="","",U2873)</f>
        <v/>
      </c>
      <c r="C2873">
        <f>IF(H2873="","",IF(P2873="",K2873,INDEX('Students'!$A$2:$A$701,P2873)))</f>
        <v/>
      </c>
      <c r="D2873">
        <f>IF(OR(H2873="",P2873=""),"",INDEX('Students'!$B$2:$B$701,P2873))</f>
        <v/>
      </c>
      <c r="E2873">
        <f>IF(OR(H2873="",P2873=""),"",INDEX('Students'!$C$2:$C$701,P2873))</f>
        <v/>
      </c>
      <c r="F2873" s="48">
        <f>IF(H2873="","",IF(ISNUMBER(O2873),O2873,J2873))</f>
        <v/>
      </c>
      <c r="G2873">
        <f>IF(H2873="","","OneCause")</f>
        <v/>
      </c>
      <c r="H2873">
        <f>IF(AND(I2873="",J2873="",K2873=""),"",IF(NOT(ISNUMBER(O2873)),"Bad amount",IF(O2873&lt;0,"Refund (not counted)",IF(O2873=0,"Zero amount",IF(NOT(ISNUMBER(N2873)),"Bad date",IF(P2873="","NAME NOT ON ROSTER",IF(L2873="","OK",IF(MATCH(L2873,$L$2:$L$3001,0)&lt;ROW()-1,"Duplicate (ignored)","OK"))))))))</f>
        <v/>
      </c>
      <c r="I2873">
        <f>IF(OC_Date=0,"",IF(INDEX('OneCause_Paste'!$A$2873:$AZ$2873,1,OC_Date)="","",INDEX('OneCause_Paste'!$A$2873:$AZ$2873,1,OC_Date)))</f>
        <v/>
      </c>
      <c r="J2873">
        <f>IF(OC_Amt=0,"",IF(INDEX('OneCause_Paste'!$A$2873:$AZ$2873,1,OC_Amt)="","",INDEX('OneCause_Paste'!$A$2873:$AZ$2873,1,OC_Amt)))</f>
        <v/>
      </c>
      <c r="K2873">
        <f>IF(OC_Name=0,"",IF(INDEX('OneCause_Paste'!$A$2873:$AZ$2873,1,OC_Name)="","",INDEX('OneCause_Paste'!$A$2873:$AZ$2873,1,OC_Name)))</f>
        <v/>
      </c>
      <c r="L2873">
        <f>IF(OC_Txn=0,"",IF(INDEX('OneCause_Paste'!$A$2873:$AZ$2873,1,OC_Txn)="","",INDEX('OneCause_Paste'!$A$2873:$AZ$2873,1,OC_Txn)))</f>
        <v/>
      </c>
      <c r="M2873">
        <f>IF(OC_Pay=0,"",IF(INDEX('OneCause_Paste'!$A$2873:$AZ$2873,1,OC_Pay)="","",INDEX('OneCause_Paste'!$A$2873:$AZ$2873,1,OC_Pay)))</f>
        <v/>
      </c>
      <c r="N2873">
        <f>IF(I2873="","",IF(ISNUMBER(I2873),INT(I2873),IFERROR(INT(DATEVALUE(I2873)),IFERROR(INT(VALUE(I2873)),"bad"))))</f>
        <v/>
      </c>
      <c r="O2873">
        <f>IF(J2873="","",IF(ISNUMBER(J2873),ROUND(J2873,2),IFERROR(ROUND(VALUE(SUBSTITUTE(SUBSTITUTE(SUBSTITUTE(J2873,"$",""),",","")," ","")),2),"bad")))</f>
        <v/>
      </c>
      <c r="P2873">
        <f>IF(TRIM(K2873)="","",IFERROR(MATCH(LOWER(TRIM(K2873)),'Students'!$AH$2:$AH$701,0),IFERROR(MATCH(LOWER(TRIM(K2873)),'Students'!$AF$2:$AF$701,0),IFERROR(MATCH(LOWER(TRIM(K2873)),'Students'!$AG$2:$AG$701,0),""))))</f>
        <v/>
      </c>
      <c r="R2873">
        <f>IF(P2873="","",INDEX('Students'!$AD$2:$AD$701,P2873))</f>
        <v/>
      </c>
      <c r="S2873">
        <f>IF(H2873="OK",O2873,0)</f>
        <v/>
      </c>
      <c r="T2873">
        <f>IF(H2873="OK",N2873,"")</f>
        <v/>
      </c>
      <c r="U2873">
        <f>IF(OC_Donor=0,"",IF(INDEX('OneCause_Paste'!$A$2873:$AZ$2873,1,OC_Donor)="","",INDEX('OneCause_Paste'!$A$2873:$AZ$2873,1,OC_Donor)))</f>
        <v/>
      </c>
    </row>
    <row r="2874">
      <c r="A2874" s="62">
        <f>IF(H2874="","",IF(ISNUMBER(N2874),N2874,I2874))</f>
        <v/>
      </c>
      <c r="B2874">
        <f>IF(H2874="","",U2874)</f>
        <v/>
      </c>
      <c r="C2874">
        <f>IF(H2874="","",IF(P2874="",K2874,INDEX('Students'!$A$2:$A$701,P2874)))</f>
        <v/>
      </c>
      <c r="D2874">
        <f>IF(OR(H2874="",P2874=""),"",INDEX('Students'!$B$2:$B$701,P2874))</f>
        <v/>
      </c>
      <c r="E2874">
        <f>IF(OR(H2874="",P2874=""),"",INDEX('Students'!$C$2:$C$701,P2874))</f>
        <v/>
      </c>
      <c r="F2874" s="48">
        <f>IF(H2874="","",IF(ISNUMBER(O2874),O2874,J2874))</f>
        <v/>
      </c>
      <c r="G2874">
        <f>IF(H2874="","","OneCause")</f>
        <v/>
      </c>
      <c r="H2874">
        <f>IF(AND(I2874="",J2874="",K2874=""),"",IF(NOT(ISNUMBER(O2874)),"Bad amount",IF(O2874&lt;0,"Refund (not counted)",IF(O2874=0,"Zero amount",IF(NOT(ISNUMBER(N2874)),"Bad date",IF(P2874="","NAME NOT ON ROSTER",IF(L2874="","OK",IF(MATCH(L2874,$L$2:$L$3001,0)&lt;ROW()-1,"Duplicate (ignored)","OK"))))))))</f>
        <v/>
      </c>
      <c r="I2874">
        <f>IF(OC_Date=0,"",IF(INDEX('OneCause_Paste'!$A$2874:$AZ$2874,1,OC_Date)="","",INDEX('OneCause_Paste'!$A$2874:$AZ$2874,1,OC_Date)))</f>
        <v/>
      </c>
      <c r="J2874">
        <f>IF(OC_Amt=0,"",IF(INDEX('OneCause_Paste'!$A$2874:$AZ$2874,1,OC_Amt)="","",INDEX('OneCause_Paste'!$A$2874:$AZ$2874,1,OC_Amt)))</f>
        <v/>
      </c>
      <c r="K2874">
        <f>IF(OC_Name=0,"",IF(INDEX('OneCause_Paste'!$A$2874:$AZ$2874,1,OC_Name)="","",INDEX('OneCause_Paste'!$A$2874:$AZ$2874,1,OC_Name)))</f>
        <v/>
      </c>
      <c r="L2874">
        <f>IF(OC_Txn=0,"",IF(INDEX('OneCause_Paste'!$A$2874:$AZ$2874,1,OC_Txn)="","",INDEX('OneCause_Paste'!$A$2874:$AZ$2874,1,OC_Txn)))</f>
        <v/>
      </c>
      <c r="M2874">
        <f>IF(OC_Pay=0,"",IF(INDEX('OneCause_Paste'!$A$2874:$AZ$2874,1,OC_Pay)="","",INDEX('OneCause_Paste'!$A$2874:$AZ$2874,1,OC_Pay)))</f>
        <v/>
      </c>
      <c r="N2874">
        <f>IF(I2874="","",IF(ISNUMBER(I2874),INT(I2874),IFERROR(INT(DATEVALUE(I2874)),IFERROR(INT(VALUE(I2874)),"bad"))))</f>
        <v/>
      </c>
      <c r="O2874">
        <f>IF(J2874="","",IF(ISNUMBER(J2874),ROUND(J2874,2),IFERROR(ROUND(VALUE(SUBSTITUTE(SUBSTITUTE(SUBSTITUTE(J2874,"$",""),",","")," ","")),2),"bad")))</f>
        <v/>
      </c>
      <c r="P2874">
        <f>IF(TRIM(K2874)="","",IFERROR(MATCH(LOWER(TRIM(K2874)),'Students'!$AH$2:$AH$701,0),IFERROR(MATCH(LOWER(TRIM(K2874)),'Students'!$AF$2:$AF$701,0),IFERROR(MATCH(LOWER(TRIM(K2874)),'Students'!$AG$2:$AG$701,0),""))))</f>
        <v/>
      </c>
      <c r="R2874">
        <f>IF(P2874="","",INDEX('Students'!$AD$2:$AD$701,P2874))</f>
        <v/>
      </c>
      <c r="S2874">
        <f>IF(H2874="OK",O2874,0)</f>
        <v/>
      </c>
      <c r="T2874">
        <f>IF(H2874="OK",N2874,"")</f>
        <v/>
      </c>
      <c r="U2874">
        <f>IF(OC_Donor=0,"",IF(INDEX('OneCause_Paste'!$A$2874:$AZ$2874,1,OC_Donor)="","",INDEX('OneCause_Paste'!$A$2874:$AZ$2874,1,OC_Donor)))</f>
        <v/>
      </c>
    </row>
    <row r="2875">
      <c r="A2875" s="62">
        <f>IF(H2875="","",IF(ISNUMBER(N2875),N2875,I2875))</f>
        <v/>
      </c>
      <c r="B2875">
        <f>IF(H2875="","",U2875)</f>
        <v/>
      </c>
      <c r="C2875">
        <f>IF(H2875="","",IF(P2875="",K2875,INDEX('Students'!$A$2:$A$701,P2875)))</f>
        <v/>
      </c>
      <c r="D2875">
        <f>IF(OR(H2875="",P2875=""),"",INDEX('Students'!$B$2:$B$701,P2875))</f>
        <v/>
      </c>
      <c r="E2875">
        <f>IF(OR(H2875="",P2875=""),"",INDEX('Students'!$C$2:$C$701,P2875))</f>
        <v/>
      </c>
      <c r="F2875" s="48">
        <f>IF(H2875="","",IF(ISNUMBER(O2875),O2875,J2875))</f>
        <v/>
      </c>
      <c r="G2875">
        <f>IF(H2875="","","OneCause")</f>
        <v/>
      </c>
      <c r="H2875">
        <f>IF(AND(I2875="",J2875="",K2875=""),"",IF(NOT(ISNUMBER(O2875)),"Bad amount",IF(O2875&lt;0,"Refund (not counted)",IF(O2875=0,"Zero amount",IF(NOT(ISNUMBER(N2875)),"Bad date",IF(P2875="","NAME NOT ON ROSTER",IF(L2875="","OK",IF(MATCH(L2875,$L$2:$L$3001,0)&lt;ROW()-1,"Duplicate (ignored)","OK"))))))))</f>
        <v/>
      </c>
      <c r="I2875">
        <f>IF(OC_Date=0,"",IF(INDEX('OneCause_Paste'!$A$2875:$AZ$2875,1,OC_Date)="","",INDEX('OneCause_Paste'!$A$2875:$AZ$2875,1,OC_Date)))</f>
        <v/>
      </c>
      <c r="J2875">
        <f>IF(OC_Amt=0,"",IF(INDEX('OneCause_Paste'!$A$2875:$AZ$2875,1,OC_Amt)="","",INDEX('OneCause_Paste'!$A$2875:$AZ$2875,1,OC_Amt)))</f>
        <v/>
      </c>
      <c r="K2875">
        <f>IF(OC_Name=0,"",IF(INDEX('OneCause_Paste'!$A$2875:$AZ$2875,1,OC_Name)="","",INDEX('OneCause_Paste'!$A$2875:$AZ$2875,1,OC_Name)))</f>
        <v/>
      </c>
      <c r="L2875">
        <f>IF(OC_Txn=0,"",IF(INDEX('OneCause_Paste'!$A$2875:$AZ$2875,1,OC_Txn)="","",INDEX('OneCause_Paste'!$A$2875:$AZ$2875,1,OC_Txn)))</f>
        <v/>
      </c>
      <c r="M2875">
        <f>IF(OC_Pay=0,"",IF(INDEX('OneCause_Paste'!$A$2875:$AZ$2875,1,OC_Pay)="","",INDEX('OneCause_Paste'!$A$2875:$AZ$2875,1,OC_Pay)))</f>
        <v/>
      </c>
      <c r="N2875">
        <f>IF(I2875="","",IF(ISNUMBER(I2875),INT(I2875),IFERROR(INT(DATEVALUE(I2875)),IFERROR(INT(VALUE(I2875)),"bad"))))</f>
        <v/>
      </c>
      <c r="O2875">
        <f>IF(J2875="","",IF(ISNUMBER(J2875),ROUND(J2875,2),IFERROR(ROUND(VALUE(SUBSTITUTE(SUBSTITUTE(SUBSTITUTE(J2875,"$",""),",","")," ","")),2),"bad")))</f>
        <v/>
      </c>
      <c r="P2875">
        <f>IF(TRIM(K2875)="","",IFERROR(MATCH(LOWER(TRIM(K2875)),'Students'!$AH$2:$AH$701,0),IFERROR(MATCH(LOWER(TRIM(K2875)),'Students'!$AF$2:$AF$701,0),IFERROR(MATCH(LOWER(TRIM(K2875)),'Students'!$AG$2:$AG$701,0),""))))</f>
        <v/>
      </c>
      <c r="R2875">
        <f>IF(P2875="","",INDEX('Students'!$AD$2:$AD$701,P2875))</f>
        <v/>
      </c>
      <c r="S2875">
        <f>IF(H2875="OK",O2875,0)</f>
        <v/>
      </c>
      <c r="T2875">
        <f>IF(H2875="OK",N2875,"")</f>
        <v/>
      </c>
      <c r="U2875">
        <f>IF(OC_Donor=0,"",IF(INDEX('OneCause_Paste'!$A$2875:$AZ$2875,1,OC_Donor)="","",INDEX('OneCause_Paste'!$A$2875:$AZ$2875,1,OC_Donor)))</f>
        <v/>
      </c>
    </row>
    <row r="2876">
      <c r="A2876" s="62">
        <f>IF(H2876="","",IF(ISNUMBER(N2876),N2876,I2876))</f>
        <v/>
      </c>
      <c r="B2876">
        <f>IF(H2876="","",U2876)</f>
        <v/>
      </c>
      <c r="C2876">
        <f>IF(H2876="","",IF(P2876="",K2876,INDEX('Students'!$A$2:$A$701,P2876)))</f>
        <v/>
      </c>
      <c r="D2876">
        <f>IF(OR(H2876="",P2876=""),"",INDEX('Students'!$B$2:$B$701,P2876))</f>
        <v/>
      </c>
      <c r="E2876">
        <f>IF(OR(H2876="",P2876=""),"",INDEX('Students'!$C$2:$C$701,P2876))</f>
        <v/>
      </c>
      <c r="F2876" s="48">
        <f>IF(H2876="","",IF(ISNUMBER(O2876),O2876,J2876))</f>
        <v/>
      </c>
      <c r="G2876">
        <f>IF(H2876="","","OneCause")</f>
        <v/>
      </c>
      <c r="H2876">
        <f>IF(AND(I2876="",J2876="",K2876=""),"",IF(NOT(ISNUMBER(O2876)),"Bad amount",IF(O2876&lt;0,"Refund (not counted)",IF(O2876=0,"Zero amount",IF(NOT(ISNUMBER(N2876)),"Bad date",IF(P2876="","NAME NOT ON ROSTER",IF(L2876="","OK",IF(MATCH(L2876,$L$2:$L$3001,0)&lt;ROW()-1,"Duplicate (ignored)","OK"))))))))</f>
        <v/>
      </c>
      <c r="I2876">
        <f>IF(OC_Date=0,"",IF(INDEX('OneCause_Paste'!$A$2876:$AZ$2876,1,OC_Date)="","",INDEX('OneCause_Paste'!$A$2876:$AZ$2876,1,OC_Date)))</f>
        <v/>
      </c>
      <c r="J2876">
        <f>IF(OC_Amt=0,"",IF(INDEX('OneCause_Paste'!$A$2876:$AZ$2876,1,OC_Amt)="","",INDEX('OneCause_Paste'!$A$2876:$AZ$2876,1,OC_Amt)))</f>
        <v/>
      </c>
      <c r="K2876">
        <f>IF(OC_Name=0,"",IF(INDEX('OneCause_Paste'!$A$2876:$AZ$2876,1,OC_Name)="","",INDEX('OneCause_Paste'!$A$2876:$AZ$2876,1,OC_Name)))</f>
        <v/>
      </c>
      <c r="L2876">
        <f>IF(OC_Txn=0,"",IF(INDEX('OneCause_Paste'!$A$2876:$AZ$2876,1,OC_Txn)="","",INDEX('OneCause_Paste'!$A$2876:$AZ$2876,1,OC_Txn)))</f>
        <v/>
      </c>
      <c r="M2876">
        <f>IF(OC_Pay=0,"",IF(INDEX('OneCause_Paste'!$A$2876:$AZ$2876,1,OC_Pay)="","",INDEX('OneCause_Paste'!$A$2876:$AZ$2876,1,OC_Pay)))</f>
        <v/>
      </c>
      <c r="N2876">
        <f>IF(I2876="","",IF(ISNUMBER(I2876),INT(I2876),IFERROR(INT(DATEVALUE(I2876)),IFERROR(INT(VALUE(I2876)),"bad"))))</f>
        <v/>
      </c>
      <c r="O2876">
        <f>IF(J2876="","",IF(ISNUMBER(J2876),ROUND(J2876,2),IFERROR(ROUND(VALUE(SUBSTITUTE(SUBSTITUTE(SUBSTITUTE(J2876,"$",""),",","")," ","")),2),"bad")))</f>
        <v/>
      </c>
      <c r="P2876">
        <f>IF(TRIM(K2876)="","",IFERROR(MATCH(LOWER(TRIM(K2876)),'Students'!$AH$2:$AH$701,0),IFERROR(MATCH(LOWER(TRIM(K2876)),'Students'!$AF$2:$AF$701,0),IFERROR(MATCH(LOWER(TRIM(K2876)),'Students'!$AG$2:$AG$701,0),""))))</f>
        <v/>
      </c>
      <c r="R2876">
        <f>IF(P2876="","",INDEX('Students'!$AD$2:$AD$701,P2876))</f>
        <v/>
      </c>
      <c r="S2876">
        <f>IF(H2876="OK",O2876,0)</f>
        <v/>
      </c>
      <c r="T2876">
        <f>IF(H2876="OK",N2876,"")</f>
        <v/>
      </c>
      <c r="U2876">
        <f>IF(OC_Donor=0,"",IF(INDEX('OneCause_Paste'!$A$2876:$AZ$2876,1,OC_Donor)="","",INDEX('OneCause_Paste'!$A$2876:$AZ$2876,1,OC_Donor)))</f>
        <v/>
      </c>
    </row>
    <row r="2877">
      <c r="A2877" s="62">
        <f>IF(H2877="","",IF(ISNUMBER(N2877),N2877,I2877))</f>
        <v/>
      </c>
      <c r="B2877">
        <f>IF(H2877="","",U2877)</f>
        <v/>
      </c>
      <c r="C2877">
        <f>IF(H2877="","",IF(P2877="",K2877,INDEX('Students'!$A$2:$A$701,P2877)))</f>
        <v/>
      </c>
      <c r="D2877">
        <f>IF(OR(H2877="",P2877=""),"",INDEX('Students'!$B$2:$B$701,P2877))</f>
        <v/>
      </c>
      <c r="E2877">
        <f>IF(OR(H2877="",P2877=""),"",INDEX('Students'!$C$2:$C$701,P2877))</f>
        <v/>
      </c>
      <c r="F2877" s="48">
        <f>IF(H2877="","",IF(ISNUMBER(O2877),O2877,J2877))</f>
        <v/>
      </c>
      <c r="G2877">
        <f>IF(H2877="","","OneCause")</f>
        <v/>
      </c>
      <c r="H2877">
        <f>IF(AND(I2877="",J2877="",K2877=""),"",IF(NOT(ISNUMBER(O2877)),"Bad amount",IF(O2877&lt;0,"Refund (not counted)",IF(O2877=0,"Zero amount",IF(NOT(ISNUMBER(N2877)),"Bad date",IF(P2877="","NAME NOT ON ROSTER",IF(L2877="","OK",IF(MATCH(L2877,$L$2:$L$3001,0)&lt;ROW()-1,"Duplicate (ignored)","OK"))))))))</f>
        <v/>
      </c>
      <c r="I2877">
        <f>IF(OC_Date=0,"",IF(INDEX('OneCause_Paste'!$A$2877:$AZ$2877,1,OC_Date)="","",INDEX('OneCause_Paste'!$A$2877:$AZ$2877,1,OC_Date)))</f>
        <v/>
      </c>
      <c r="J2877">
        <f>IF(OC_Amt=0,"",IF(INDEX('OneCause_Paste'!$A$2877:$AZ$2877,1,OC_Amt)="","",INDEX('OneCause_Paste'!$A$2877:$AZ$2877,1,OC_Amt)))</f>
        <v/>
      </c>
      <c r="K2877">
        <f>IF(OC_Name=0,"",IF(INDEX('OneCause_Paste'!$A$2877:$AZ$2877,1,OC_Name)="","",INDEX('OneCause_Paste'!$A$2877:$AZ$2877,1,OC_Name)))</f>
        <v/>
      </c>
      <c r="L2877">
        <f>IF(OC_Txn=0,"",IF(INDEX('OneCause_Paste'!$A$2877:$AZ$2877,1,OC_Txn)="","",INDEX('OneCause_Paste'!$A$2877:$AZ$2877,1,OC_Txn)))</f>
        <v/>
      </c>
      <c r="M2877">
        <f>IF(OC_Pay=0,"",IF(INDEX('OneCause_Paste'!$A$2877:$AZ$2877,1,OC_Pay)="","",INDEX('OneCause_Paste'!$A$2877:$AZ$2877,1,OC_Pay)))</f>
        <v/>
      </c>
      <c r="N2877">
        <f>IF(I2877="","",IF(ISNUMBER(I2877),INT(I2877),IFERROR(INT(DATEVALUE(I2877)),IFERROR(INT(VALUE(I2877)),"bad"))))</f>
        <v/>
      </c>
      <c r="O2877">
        <f>IF(J2877="","",IF(ISNUMBER(J2877),ROUND(J2877,2),IFERROR(ROUND(VALUE(SUBSTITUTE(SUBSTITUTE(SUBSTITUTE(J2877,"$",""),",","")," ","")),2),"bad")))</f>
        <v/>
      </c>
      <c r="P2877">
        <f>IF(TRIM(K2877)="","",IFERROR(MATCH(LOWER(TRIM(K2877)),'Students'!$AH$2:$AH$701,0),IFERROR(MATCH(LOWER(TRIM(K2877)),'Students'!$AF$2:$AF$701,0),IFERROR(MATCH(LOWER(TRIM(K2877)),'Students'!$AG$2:$AG$701,0),""))))</f>
        <v/>
      </c>
      <c r="R2877">
        <f>IF(P2877="","",INDEX('Students'!$AD$2:$AD$701,P2877))</f>
        <v/>
      </c>
      <c r="S2877">
        <f>IF(H2877="OK",O2877,0)</f>
        <v/>
      </c>
      <c r="T2877">
        <f>IF(H2877="OK",N2877,"")</f>
        <v/>
      </c>
      <c r="U2877">
        <f>IF(OC_Donor=0,"",IF(INDEX('OneCause_Paste'!$A$2877:$AZ$2877,1,OC_Donor)="","",INDEX('OneCause_Paste'!$A$2877:$AZ$2877,1,OC_Donor)))</f>
        <v/>
      </c>
    </row>
    <row r="2878">
      <c r="A2878" s="62">
        <f>IF(H2878="","",IF(ISNUMBER(N2878),N2878,I2878))</f>
        <v/>
      </c>
      <c r="B2878">
        <f>IF(H2878="","",U2878)</f>
        <v/>
      </c>
      <c r="C2878">
        <f>IF(H2878="","",IF(P2878="",K2878,INDEX('Students'!$A$2:$A$701,P2878)))</f>
        <v/>
      </c>
      <c r="D2878">
        <f>IF(OR(H2878="",P2878=""),"",INDEX('Students'!$B$2:$B$701,P2878))</f>
        <v/>
      </c>
      <c r="E2878">
        <f>IF(OR(H2878="",P2878=""),"",INDEX('Students'!$C$2:$C$701,P2878))</f>
        <v/>
      </c>
      <c r="F2878" s="48">
        <f>IF(H2878="","",IF(ISNUMBER(O2878),O2878,J2878))</f>
        <v/>
      </c>
      <c r="G2878">
        <f>IF(H2878="","","OneCause")</f>
        <v/>
      </c>
      <c r="H2878">
        <f>IF(AND(I2878="",J2878="",K2878=""),"",IF(NOT(ISNUMBER(O2878)),"Bad amount",IF(O2878&lt;0,"Refund (not counted)",IF(O2878=0,"Zero amount",IF(NOT(ISNUMBER(N2878)),"Bad date",IF(P2878="","NAME NOT ON ROSTER",IF(L2878="","OK",IF(MATCH(L2878,$L$2:$L$3001,0)&lt;ROW()-1,"Duplicate (ignored)","OK"))))))))</f>
        <v/>
      </c>
      <c r="I2878">
        <f>IF(OC_Date=0,"",IF(INDEX('OneCause_Paste'!$A$2878:$AZ$2878,1,OC_Date)="","",INDEX('OneCause_Paste'!$A$2878:$AZ$2878,1,OC_Date)))</f>
        <v/>
      </c>
      <c r="J2878">
        <f>IF(OC_Amt=0,"",IF(INDEX('OneCause_Paste'!$A$2878:$AZ$2878,1,OC_Amt)="","",INDEX('OneCause_Paste'!$A$2878:$AZ$2878,1,OC_Amt)))</f>
        <v/>
      </c>
      <c r="K2878">
        <f>IF(OC_Name=0,"",IF(INDEX('OneCause_Paste'!$A$2878:$AZ$2878,1,OC_Name)="","",INDEX('OneCause_Paste'!$A$2878:$AZ$2878,1,OC_Name)))</f>
        <v/>
      </c>
      <c r="L2878">
        <f>IF(OC_Txn=0,"",IF(INDEX('OneCause_Paste'!$A$2878:$AZ$2878,1,OC_Txn)="","",INDEX('OneCause_Paste'!$A$2878:$AZ$2878,1,OC_Txn)))</f>
        <v/>
      </c>
      <c r="M2878">
        <f>IF(OC_Pay=0,"",IF(INDEX('OneCause_Paste'!$A$2878:$AZ$2878,1,OC_Pay)="","",INDEX('OneCause_Paste'!$A$2878:$AZ$2878,1,OC_Pay)))</f>
        <v/>
      </c>
      <c r="N2878">
        <f>IF(I2878="","",IF(ISNUMBER(I2878),INT(I2878),IFERROR(INT(DATEVALUE(I2878)),IFERROR(INT(VALUE(I2878)),"bad"))))</f>
        <v/>
      </c>
      <c r="O2878">
        <f>IF(J2878="","",IF(ISNUMBER(J2878),ROUND(J2878,2),IFERROR(ROUND(VALUE(SUBSTITUTE(SUBSTITUTE(SUBSTITUTE(J2878,"$",""),",","")," ","")),2),"bad")))</f>
        <v/>
      </c>
      <c r="P2878">
        <f>IF(TRIM(K2878)="","",IFERROR(MATCH(LOWER(TRIM(K2878)),'Students'!$AH$2:$AH$701,0),IFERROR(MATCH(LOWER(TRIM(K2878)),'Students'!$AF$2:$AF$701,0),IFERROR(MATCH(LOWER(TRIM(K2878)),'Students'!$AG$2:$AG$701,0),""))))</f>
        <v/>
      </c>
      <c r="R2878">
        <f>IF(P2878="","",INDEX('Students'!$AD$2:$AD$701,P2878))</f>
        <v/>
      </c>
      <c r="S2878">
        <f>IF(H2878="OK",O2878,0)</f>
        <v/>
      </c>
      <c r="T2878">
        <f>IF(H2878="OK",N2878,"")</f>
        <v/>
      </c>
      <c r="U2878">
        <f>IF(OC_Donor=0,"",IF(INDEX('OneCause_Paste'!$A$2878:$AZ$2878,1,OC_Donor)="","",INDEX('OneCause_Paste'!$A$2878:$AZ$2878,1,OC_Donor)))</f>
        <v/>
      </c>
    </row>
    <row r="2879">
      <c r="A2879" s="62">
        <f>IF(H2879="","",IF(ISNUMBER(N2879),N2879,I2879))</f>
        <v/>
      </c>
      <c r="B2879">
        <f>IF(H2879="","",U2879)</f>
        <v/>
      </c>
      <c r="C2879">
        <f>IF(H2879="","",IF(P2879="",K2879,INDEX('Students'!$A$2:$A$701,P2879)))</f>
        <v/>
      </c>
      <c r="D2879">
        <f>IF(OR(H2879="",P2879=""),"",INDEX('Students'!$B$2:$B$701,P2879))</f>
        <v/>
      </c>
      <c r="E2879">
        <f>IF(OR(H2879="",P2879=""),"",INDEX('Students'!$C$2:$C$701,P2879))</f>
        <v/>
      </c>
      <c r="F2879" s="48">
        <f>IF(H2879="","",IF(ISNUMBER(O2879),O2879,J2879))</f>
        <v/>
      </c>
      <c r="G2879">
        <f>IF(H2879="","","OneCause")</f>
        <v/>
      </c>
      <c r="H2879">
        <f>IF(AND(I2879="",J2879="",K2879=""),"",IF(NOT(ISNUMBER(O2879)),"Bad amount",IF(O2879&lt;0,"Refund (not counted)",IF(O2879=0,"Zero amount",IF(NOT(ISNUMBER(N2879)),"Bad date",IF(P2879="","NAME NOT ON ROSTER",IF(L2879="","OK",IF(MATCH(L2879,$L$2:$L$3001,0)&lt;ROW()-1,"Duplicate (ignored)","OK"))))))))</f>
        <v/>
      </c>
      <c r="I2879">
        <f>IF(OC_Date=0,"",IF(INDEX('OneCause_Paste'!$A$2879:$AZ$2879,1,OC_Date)="","",INDEX('OneCause_Paste'!$A$2879:$AZ$2879,1,OC_Date)))</f>
        <v/>
      </c>
      <c r="J2879">
        <f>IF(OC_Amt=0,"",IF(INDEX('OneCause_Paste'!$A$2879:$AZ$2879,1,OC_Amt)="","",INDEX('OneCause_Paste'!$A$2879:$AZ$2879,1,OC_Amt)))</f>
        <v/>
      </c>
      <c r="K2879">
        <f>IF(OC_Name=0,"",IF(INDEX('OneCause_Paste'!$A$2879:$AZ$2879,1,OC_Name)="","",INDEX('OneCause_Paste'!$A$2879:$AZ$2879,1,OC_Name)))</f>
        <v/>
      </c>
      <c r="L2879">
        <f>IF(OC_Txn=0,"",IF(INDEX('OneCause_Paste'!$A$2879:$AZ$2879,1,OC_Txn)="","",INDEX('OneCause_Paste'!$A$2879:$AZ$2879,1,OC_Txn)))</f>
        <v/>
      </c>
      <c r="M2879">
        <f>IF(OC_Pay=0,"",IF(INDEX('OneCause_Paste'!$A$2879:$AZ$2879,1,OC_Pay)="","",INDEX('OneCause_Paste'!$A$2879:$AZ$2879,1,OC_Pay)))</f>
        <v/>
      </c>
      <c r="N2879">
        <f>IF(I2879="","",IF(ISNUMBER(I2879),INT(I2879),IFERROR(INT(DATEVALUE(I2879)),IFERROR(INT(VALUE(I2879)),"bad"))))</f>
        <v/>
      </c>
      <c r="O2879">
        <f>IF(J2879="","",IF(ISNUMBER(J2879),ROUND(J2879,2),IFERROR(ROUND(VALUE(SUBSTITUTE(SUBSTITUTE(SUBSTITUTE(J2879,"$",""),",","")," ","")),2),"bad")))</f>
        <v/>
      </c>
      <c r="P2879">
        <f>IF(TRIM(K2879)="","",IFERROR(MATCH(LOWER(TRIM(K2879)),'Students'!$AH$2:$AH$701,0),IFERROR(MATCH(LOWER(TRIM(K2879)),'Students'!$AF$2:$AF$701,0),IFERROR(MATCH(LOWER(TRIM(K2879)),'Students'!$AG$2:$AG$701,0),""))))</f>
        <v/>
      </c>
      <c r="R2879">
        <f>IF(P2879="","",INDEX('Students'!$AD$2:$AD$701,P2879))</f>
        <v/>
      </c>
      <c r="S2879">
        <f>IF(H2879="OK",O2879,0)</f>
        <v/>
      </c>
      <c r="T2879">
        <f>IF(H2879="OK",N2879,"")</f>
        <v/>
      </c>
      <c r="U2879">
        <f>IF(OC_Donor=0,"",IF(INDEX('OneCause_Paste'!$A$2879:$AZ$2879,1,OC_Donor)="","",INDEX('OneCause_Paste'!$A$2879:$AZ$2879,1,OC_Donor)))</f>
        <v/>
      </c>
    </row>
    <row r="2880">
      <c r="A2880" s="62">
        <f>IF(H2880="","",IF(ISNUMBER(N2880),N2880,I2880))</f>
        <v/>
      </c>
      <c r="B2880">
        <f>IF(H2880="","",U2880)</f>
        <v/>
      </c>
      <c r="C2880">
        <f>IF(H2880="","",IF(P2880="",K2880,INDEX('Students'!$A$2:$A$701,P2880)))</f>
        <v/>
      </c>
      <c r="D2880">
        <f>IF(OR(H2880="",P2880=""),"",INDEX('Students'!$B$2:$B$701,P2880))</f>
        <v/>
      </c>
      <c r="E2880">
        <f>IF(OR(H2880="",P2880=""),"",INDEX('Students'!$C$2:$C$701,P2880))</f>
        <v/>
      </c>
      <c r="F2880" s="48">
        <f>IF(H2880="","",IF(ISNUMBER(O2880),O2880,J2880))</f>
        <v/>
      </c>
      <c r="G2880">
        <f>IF(H2880="","","OneCause")</f>
        <v/>
      </c>
      <c r="H2880">
        <f>IF(AND(I2880="",J2880="",K2880=""),"",IF(NOT(ISNUMBER(O2880)),"Bad amount",IF(O2880&lt;0,"Refund (not counted)",IF(O2880=0,"Zero amount",IF(NOT(ISNUMBER(N2880)),"Bad date",IF(P2880="","NAME NOT ON ROSTER",IF(L2880="","OK",IF(MATCH(L2880,$L$2:$L$3001,0)&lt;ROW()-1,"Duplicate (ignored)","OK"))))))))</f>
        <v/>
      </c>
      <c r="I2880">
        <f>IF(OC_Date=0,"",IF(INDEX('OneCause_Paste'!$A$2880:$AZ$2880,1,OC_Date)="","",INDEX('OneCause_Paste'!$A$2880:$AZ$2880,1,OC_Date)))</f>
        <v/>
      </c>
      <c r="J2880">
        <f>IF(OC_Amt=0,"",IF(INDEX('OneCause_Paste'!$A$2880:$AZ$2880,1,OC_Amt)="","",INDEX('OneCause_Paste'!$A$2880:$AZ$2880,1,OC_Amt)))</f>
        <v/>
      </c>
      <c r="K2880">
        <f>IF(OC_Name=0,"",IF(INDEX('OneCause_Paste'!$A$2880:$AZ$2880,1,OC_Name)="","",INDEX('OneCause_Paste'!$A$2880:$AZ$2880,1,OC_Name)))</f>
        <v/>
      </c>
      <c r="L2880">
        <f>IF(OC_Txn=0,"",IF(INDEX('OneCause_Paste'!$A$2880:$AZ$2880,1,OC_Txn)="","",INDEX('OneCause_Paste'!$A$2880:$AZ$2880,1,OC_Txn)))</f>
        <v/>
      </c>
      <c r="M2880">
        <f>IF(OC_Pay=0,"",IF(INDEX('OneCause_Paste'!$A$2880:$AZ$2880,1,OC_Pay)="","",INDEX('OneCause_Paste'!$A$2880:$AZ$2880,1,OC_Pay)))</f>
        <v/>
      </c>
      <c r="N2880">
        <f>IF(I2880="","",IF(ISNUMBER(I2880),INT(I2880),IFERROR(INT(DATEVALUE(I2880)),IFERROR(INT(VALUE(I2880)),"bad"))))</f>
        <v/>
      </c>
      <c r="O2880">
        <f>IF(J2880="","",IF(ISNUMBER(J2880),ROUND(J2880,2),IFERROR(ROUND(VALUE(SUBSTITUTE(SUBSTITUTE(SUBSTITUTE(J2880,"$",""),",","")," ","")),2),"bad")))</f>
        <v/>
      </c>
      <c r="P2880">
        <f>IF(TRIM(K2880)="","",IFERROR(MATCH(LOWER(TRIM(K2880)),'Students'!$AH$2:$AH$701,0),IFERROR(MATCH(LOWER(TRIM(K2880)),'Students'!$AF$2:$AF$701,0),IFERROR(MATCH(LOWER(TRIM(K2880)),'Students'!$AG$2:$AG$701,0),""))))</f>
        <v/>
      </c>
      <c r="R2880">
        <f>IF(P2880="","",INDEX('Students'!$AD$2:$AD$701,P2880))</f>
        <v/>
      </c>
      <c r="S2880">
        <f>IF(H2880="OK",O2880,0)</f>
        <v/>
      </c>
      <c r="T2880">
        <f>IF(H2880="OK",N2880,"")</f>
        <v/>
      </c>
      <c r="U2880">
        <f>IF(OC_Donor=0,"",IF(INDEX('OneCause_Paste'!$A$2880:$AZ$2880,1,OC_Donor)="","",INDEX('OneCause_Paste'!$A$2880:$AZ$2880,1,OC_Donor)))</f>
        <v/>
      </c>
    </row>
    <row r="2881">
      <c r="A2881" s="62">
        <f>IF(H2881="","",IF(ISNUMBER(N2881),N2881,I2881))</f>
        <v/>
      </c>
      <c r="B2881">
        <f>IF(H2881="","",U2881)</f>
        <v/>
      </c>
      <c r="C2881">
        <f>IF(H2881="","",IF(P2881="",K2881,INDEX('Students'!$A$2:$A$701,P2881)))</f>
        <v/>
      </c>
      <c r="D2881">
        <f>IF(OR(H2881="",P2881=""),"",INDEX('Students'!$B$2:$B$701,P2881))</f>
        <v/>
      </c>
      <c r="E2881">
        <f>IF(OR(H2881="",P2881=""),"",INDEX('Students'!$C$2:$C$701,P2881))</f>
        <v/>
      </c>
      <c r="F2881" s="48">
        <f>IF(H2881="","",IF(ISNUMBER(O2881),O2881,J2881))</f>
        <v/>
      </c>
      <c r="G2881">
        <f>IF(H2881="","","OneCause")</f>
        <v/>
      </c>
      <c r="H2881">
        <f>IF(AND(I2881="",J2881="",K2881=""),"",IF(NOT(ISNUMBER(O2881)),"Bad amount",IF(O2881&lt;0,"Refund (not counted)",IF(O2881=0,"Zero amount",IF(NOT(ISNUMBER(N2881)),"Bad date",IF(P2881="","NAME NOT ON ROSTER",IF(L2881="","OK",IF(MATCH(L2881,$L$2:$L$3001,0)&lt;ROW()-1,"Duplicate (ignored)","OK"))))))))</f>
        <v/>
      </c>
      <c r="I2881">
        <f>IF(OC_Date=0,"",IF(INDEX('OneCause_Paste'!$A$2881:$AZ$2881,1,OC_Date)="","",INDEX('OneCause_Paste'!$A$2881:$AZ$2881,1,OC_Date)))</f>
        <v/>
      </c>
      <c r="J2881">
        <f>IF(OC_Amt=0,"",IF(INDEX('OneCause_Paste'!$A$2881:$AZ$2881,1,OC_Amt)="","",INDEX('OneCause_Paste'!$A$2881:$AZ$2881,1,OC_Amt)))</f>
        <v/>
      </c>
      <c r="K2881">
        <f>IF(OC_Name=0,"",IF(INDEX('OneCause_Paste'!$A$2881:$AZ$2881,1,OC_Name)="","",INDEX('OneCause_Paste'!$A$2881:$AZ$2881,1,OC_Name)))</f>
        <v/>
      </c>
      <c r="L2881">
        <f>IF(OC_Txn=0,"",IF(INDEX('OneCause_Paste'!$A$2881:$AZ$2881,1,OC_Txn)="","",INDEX('OneCause_Paste'!$A$2881:$AZ$2881,1,OC_Txn)))</f>
        <v/>
      </c>
      <c r="M2881">
        <f>IF(OC_Pay=0,"",IF(INDEX('OneCause_Paste'!$A$2881:$AZ$2881,1,OC_Pay)="","",INDEX('OneCause_Paste'!$A$2881:$AZ$2881,1,OC_Pay)))</f>
        <v/>
      </c>
      <c r="N2881">
        <f>IF(I2881="","",IF(ISNUMBER(I2881),INT(I2881),IFERROR(INT(DATEVALUE(I2881)),IFERROR(INT(VALUE(I2881)),"bad"))))</f>
        <v/>
      </c>
      <c r="O2881">
        <f>IF(J2881="","",IF(ISNUMBER(J2881),ROUND(J2881,2),IFERROR(ROUND(VALUE(SUBSTITUTE(SUBSTITUTE(SUBSTITUTE(J2881,"$",""),",","")," ","")),2),"bad")))</f>
        <v/>
      </c>
      <c r="P2881">
        <f>IF(TRIM(K2881)="","",IFERROR(MATCH(LOWER(TRIM(K2881)),'Students'!$AH$2:$AH$701,0),IFERROR(MATCH(LOWER(TRIM(K2881)),'Students'!$AF$2:$AF$701,0),IFERROR(MATCH(LOWER(TRIM(K2881)),'Students'!$AG$2:$AG$701,0),""))))</f>
        <v/>
      </c>
      <c r="R2881">
        <f>IF(P2881="","",INDEX('Students'!$AD$2:$AD$701,P2881))</f>
        <v/>
      </c>
      <c r="S2881">
        <f>IF(H2881="OK",O2881,0)</f>
        <v/>
      </c>
      <c r="T2881">
        <f>IF(H2881="OK",N2881,"")</f>
        <v/>
      </c>
      <c r="U2881">
        <f>IF(OC_Donor=0,"",IF(INDEX('OneCause_Paste'!$A$2881:$AZ$2881,1,OC_Donor)="","",INDEX('OneCause_Paste'!$A$2881:$AZ$2881,1,OC_Donor)))</f>
        <v/>
      </c>
    </row>
    <row r="2882">
      <c r="A2882" s="62">
        <f>IF(H2882="","",IF(ISNUMBER(N2882),N2882,I2882))</f>
        <v/>
      </c>
      <c r="B2882">
        <f>IF(H2882="","",U2882)</f>
        <v/>
      </c>
      <c r="C2882">
        <f>IF(H2882="","",IF(P2882="",K2882,INDEX('Students'!$A$2:$A$701,P2882)))</f>
        <v/>
      </c>
      <c r="D2882">
        <f>IF(OR(H2882="",P2882=""),"",INDEX('Students'!$B$2:$B$701,P2882))</f>
        <v/>
      </c>
      <c r="E2882">
        <f>IF(OR(H2882="",P2882=""),"",INDEX('Students'!$C$2:$C$701,P2882))</f>
        <v/>
      </c>
      <c r="F2882" s="48">
        <f>IF(H2882="","",IF(ISNUMBER(O2882),O2882,J2882))</f>
        <v/>
      </c>
      <c r="G2882">
        <f>IF(H2882="","","OneCause")</f>
        <v/>
      </c>
      <c r="H2882">
        <f>IF(AND(I2882="",J2882="",K2882=""),"",IF(NOT(ISNUMBER(O2882)),"Bad amount",IF(O2882&lt;0,"Refund (not counted)",IF(O2882=0,"Zero amount",IF(NOT(ISNUMBER(N2882)),"Bad date",IF(P2882="","NAME NOT ON ROSTER",IF(L2882="","OK",IF(MATCH(L2882,$L$2:$L$3001,0)&lt;ROW()-1,"Duplicate (ignored)","OK"))))))))</f>
        <v/>
      </c>
      <c r="I2882">
        <f>IF(OC_Date=0,"",IF(INDEX('OneCause_Paste'!$A$2882:$AZ$2882,1,OC_Date)="","",INDEX('OneCause_Paste'!$A$2882:$AZ$2882,1,OC_Date)))</f>
        <v/>
      </c>
      <c r="J2882">
        <f>IF(OC_Amt=0,"",IF(INDEX('OneCause_Paste'!$A$2882:$AZ$2882,1,OC_Amt)="","",INDEX('OneCause_Paste'!$A$2882:$AZ$2882,1,OC_Amt)))</f>
        <v/>
      </c>
      <c r="K2882">
        <f>IF(OC_Name=0,"",IF(INDEX('OneCause_Paste'!$A$2882:$AZ$2882,1,OC_Name)="","",INDEX('OneCause_Paste'!$A$2882:$AZ$2882,1,OC_Name)))</f>
        <v/>
      </c>
      <c r="L2882">
        <f>IF(OC_Txn=0,"",IF(INDEX('OneCause_Paste'!$A$2882:$AZ$2882,1,OC_Txn)="","",INDEX('OneCause_Paste'!$A$2882:$AZ$2882,1,OC_Txn)))</f>
        <v/>
      </c>
      <c r="M2882">
        <f>IF(OC_Pay=0,"",IF(INDEX('OneCause_Paste'!$A$2882:$AZ$2882,1,OC_Pay)="","",INDEX('OneCause_Paste'!$A$2882:$AZ$2882,1,OC_Pay)))</f>
        <v/>
      </c>
      <c r="N2882">
        <f>IF(I2882="","",IF(ISNUMBER(I2882),INT(I2882),IFERROR(INT(DATEVALUE(I2882)),IFERROR(INT(VALUE(I2882)),"bad"))))</f>
        <v/>
      </c>
      <c r="O2882">
        <f>IF(J2882="","",IF(ISNUMBER(J2882),ROUND(J2882,2),IFERROR(ROUND(VALUE(SUBSTITUTE(SUBSTITUTE(SUBSTITUTE(J2882,"$",""),",","")," ","")),2),"bad")))</f>
        <v/>
      </c>
      <c r="P2882">
        <f>IF(TRIM(K2882)="","",IFERROR(MATCH(LOWER(TRIM(K2882)),'Students'!$AH$2:$AH$701,0),IFERROR(MATCH(LOWER(TRIM(K2882)),'Students'!$AF$2:$AF$701,0),IFERROR(MATCH(LOWER(TRIM(K2882)),'Students'!$AG$2:$AG$701,0),""))))</f>
        <v/>
      </c>
      <c r="R2882">
        <f>IF(P2882="","",INDEX('Students'!$AD$2:$AD$701,P2882))</f>
        <v/>
      </c>
      <c r="S2882">
        <f>IF(H2882="OK",O2882,0)</f>
        <v/>
      </c>
      <c r="T2882">
        <f>IF(H2882="OK",N2882,"")</f>
        <v/>
      </c>
      <c r="U2882">
        <f>IF(OC_Donor=0,"",IF(INDEX('OneCause_Paste'!$A$2882:$AZ$2882,1,OC_Donor)="","",INDEX('OneCause_Paste'!$A$2882:$AZ$2882,1,OC_Donor)))</f>
        <v/>
      </c>
    </row>
    <row r="2883">
      <c r="A2883" s="62">
        <f>IF(H2883="","",IF(ISNUMBER(N2883),N2883,I2883))</f>
        <v/>
      </c>
      <c r="B2883">
        <f>IF(H2883="","",U2883)</f>
        <v/>
      </c>
      <c r="C2883">
        <f>IF(H2883="","",IF(P2883="",K2883,INDEX('Students'!$A$2:$A$701,P2883)))</f>
        <v/>
      </c>
      <c r="D2883">
        <f>IF(OR(H2883="",P2883=""),"",INDEX('Students'!$B$2:$B$701,P2883))</f>
        <v/>
      </c>
      <c r="E2883">
        <f>IF(OR(H2883="",P2883=""),"",INDEX('Students'!$C$2:$C$701,P2883))</f>
        <v/>
      </c>
      <c r="F2883" s="48">
        <f>IF(H2883="","",IF(ISNUMBER(O2883),O2883,J2883))</f>
        <v/>
      </c>
      <c r="G2883">
        <f>IF(H2883="","","OneCause")</f>
        <v/>
      </c>
      <c r="H2883">
        <f>IF(AND(I2883="",J2883="",K2883=""),"",IF(NOT(ISNUMBER(O2883)),"Bad amount",IF(O2883&lt;0,"Refund (not counted)",IF(O2883=0,"Zero amount",IF(NOT(ISNUMBER(N2883)),"Bad date",IF(P2883="","NAME NOT ON ROSTER",IF(L2883="","OK",IF(MATCH(L2883,$L$2:$L$3001,0)&lt;ROW()-1,"Duplicate (ignored)","OK"))))))))</f>
        <v/>
      </c>
      <c r="I2883">
        <f>IF(OC_Date=0,"",IF(INDEX('OneCause_Paste'!$A$2883:$AZ$2883,1,OC_Date)="","",INDEX('OneCause_Paste'!$A$2883:$AZ$2883,1,OC_Date)))</f>
        <v/>
      </c>
      <c r="J2883">
        <f>IF(OC_Amt=0,"",IF(INDEX('OneCause_Paste'!$A$2883:$AZ$2883,1,OC_Amt)="","",INDEX('OneCause_Paste'!$A$2883:$AZ$2883,1,OC_Amt)))</f>
        <v/>
      </c>
      <c r="K2883">
        <f>IF(OC_Name=0,"",IF(INDEX('OneCause_Paste'!$A$2883:$AZ$2883,1,OC_Name)="","",INDEX('OneCause_Paste'!$A$2883:$AZ$2883,1,OC_Name)))</f>
        <v/>
      </c>
      <c r="L2883">
        <f>IF(OC_Txn=0,"",IF(INDEX('OneCause_Paste'!$A$2883:$AZ$2883,1,OC_Txn)="","",INDEX('OneCause_Paste'!$A$2883:$AZ$2883,1,OC_Txn)))</f>
        <v/>
      </c>
      <c r="M2883">
        <f>IF(OC_Pay=0,"",IF(INDEX('OneCause_Paste'!$A$2883:$AZ$2883,1,OC_Pay)="","",INDEX('OneCause_Paste'!$A$2883:$AZ$2883,1,OC_Pay)))</f>
        <v/>
      </c>
      <c r="N2883">
        <f>IF(I2883="","",IF(ISNUMBER(I2883),INT(I2883),IFERROR(INT(DATEVALUE(I2883)),IFERROR(INT(VALUE(I2883)),"bad"))))</f>
        <v/>
      </c>
      <c r="O2883">
        <f>IF(J2883="","",IF(ISNUMBER(J2883),ROUND(J2883,2),IFERROR(ROUND(VALUE(SUBSTITUTE(SUBSTITUTE(SUBSTITUTE(J2883,"$",""),",","")," ","")),2),"bad")))</f>
        <v/>
      </c>
      <c r="P2883">
        <f>IF(TRIM(K2883)="","",IFERROR(MATCH(LOWER(TRIM(K2883)),'Students'!$AH$2:$AH$701,0),IFERROR(MATCH(LOWER(TRIM(K2883)),'Students'!$AF$2:$AF$701,0),IFERROR(MATCH(LOWER(TRIM(K2883)),'Students'!$AG$2:$AG$701,0),""))))</f>
        <v/>
      </c>
      <c r="R2883">
        <f>IF(P2883="","",INDEX('Students'!$AD$2:$AD$701,P2883))</f>
        <v/>
      </c>
      <c r="S2883">
        <f>IF(H2883="OK",O2883,0)</f>
        <v/>
      </c>
      <c r="T2883">
        <f>IF(H2883="OK",N2883,"")</f>
        <v/>
      </c>
      <c r="U2883">
        <f>IF(OC_Donor=0,"",IF(INDEX('OneCause_Paste'!$A$2883:$AZ$2883,1,OC_Donor)="","",INDEX('OneCause_Paste'!$A$2883:$AZ$2883,1,OC_Donor)))</f>
        <v/>
      </c>
    </row>
    <row r="2884">
      <c r="A2884" s="62">
        <f>IF(H2884="","",IF(ISNUMBER(N2884),N2884,I2884))</f>
        <v/>
      </c>
      <c r="B2884">
        <f>IF(H2884="","",U2884)</f>
        <v/>
      </c>
      <c r="C2884">
        <f>IF(H2884="","",IF(P2884="",K2884,INDEX('Students'!$A$2:$A$701,P2884)))</f>
        <v/>
      </c>
      <c r="D2884">
        <f>IF(OR(H2884="",P2884=""),"",INDEX('Students'!$B$2:$B$701,P2884))</f>
        <v/>
      </c>
      <c r="E2884">
        <f>IF(OR(H2884="",P2884=""),"",INDEX('Students'!$C$2:$C$701,P2884))</f>
        <v/>
      </c>
      <c r="F2884" s="48">
        <f>IF(H2884="","",IF(ISNUMBER(O2884),O2884,J2884))</f>
        <v/>
      </c>
      <c r="G2884">
        <f>IF(H2884="","","OneCause")</f>
        <v/>
      </c>
      <c r="H2884">
        <f>IF(AND(I2884="",J2884="",K2884=""),"",IF(NOT(ISNUMBER(O2884)),"Bad amount",IF(O2884&lt;0,"Refund (not counted)",IF(O2884=0,"Zero amount",IF(NOT(ISNUMBER(N2884)),"Bad date",IF(P2884="","NAME NOT ON ROSTER",IF(L2884="","OK",IF(MATCH(L2884,$L$2:$L$3001,0)&lt;ROW()-1,"Duplicate (ignored)","OK"))))))))</f>
        <v/>
      </c>
      <c r="I2884">
        <f>IF(OC_Date=0,"",IF(INDEX('OneCause_Paste'!$A$2884:$AZ$2884,1,OC_Date)="","",INDEX('OneCause_Paste'!$A$2884:$AZ$2884,1,OC_Date)))</f>
        <v/>
      </c>
      <c r="J2884">
        <f>IF(OC_Amt=0,"",IF(INDEX('OneCause_Paste'!$A$2884:$AZ$2884,1,OC_Amt)="","",INDEX('OneCause_Paste'!$A$2884:$AZ$2884,1,OC_Amt)))</f>
        <v/>
      </c>
      <c r="K2884">
        <f>IF(OC_Name=0,"",IF(INDEX('OneCause_Paste'!$A$2884:$AZ$2884,1,OC_Name)="","",INDEX('OneCause_Paste'!$A$2884:$AZ$2884,1,OC_Name)))</f>
        <v/>
      </c>
      <c r="L2884">
        <f>IF(OC_Txn=0,"",IF(INDEX('OneCause_Paste'!$A$2884:$AZ$2884,1,OC_Txn)="","",INDEX('OneCause_Paste'!$A$2884:$AZ$2884,1,OC_Txn)))</f>
        <v/>
      </c>
      <c r="M2884">
        <f>IF(OC_Pay=0,"",IF(INDEX('OneCause_Paste'!$A$2884:$AZ$2884,1,OC_Pay)="","",INDEX('OneCause_Paste'!$A$2884:$AZ$2884,1,OC_Pay)))</f>
        <v/>
      </c>
      <c r="N2884">
        <f>IF(I2884="","",IF(ISNUMBER(I2884),INT(I2884),IFERROR(INT(DATEVALUE(I2884)),IFERROR(INT(VALUE(I2884)),"bad"))))</f>
        <v/>
      </c>
      <c r="O2884">
        <f>IF(J2884="","",IF(ISNUMBER(J2884),ROUND(J2884,2),IFERROR(ROUND(VALUE(SUBSTITUTE(SUBSTITUTE(SUBSTITUTE(J2884,"$",""),",","")," ","")),2),"bad")))</f>
        <v/>
      </c>
      <c r="P2884">
        <f>IF(TRIM(K2884)="","",IFERROR(MATCH(LOWER(TRIM(K2884)),'Students'!$AH$2:$AH$701,0),IFERROR(MATCH(LOWER(TRIM(K2884)),'Students'!$AF$2:$AF$701,0),IFERROR(MATCH(LOWER(TRIM(K2884)),'Students'!$AG$2:$AG$701,0),""))))</f>
        <v/>
      </c>
      <c r="R2884">
        <f>IF(P2884="","",INDEX('Students'!$AD$2:$AD$701,P2884))</f>
        <v/>
      </c>
      <c r="S2884">
        <f>IF(H2884="OK",O2884,0)</f>
        <v/>
      </c>
      <c r="T2884">
        <f>IF(H2884="OK",N2884,"")</f>
        <v/>
      </c>
      <c r="U2884">
        <f>IF(OC_Donor=0,"",IF(INDEX('OneCause_Paste'!$A$2884:$AZ$2884,1,OC_Donor)="","",INDEX('OneCause_Paste'!$A$2884:$AZ$2884,1,OC_Donor)))</f>
        <v/>
      </c>
    </row>
    <row r="2885">
      <c r="A2885" s="62">
        <f>IF(H2885="","",IF(ISNUMBER(N2885),N2885,I2885))</f>
        <v/>
      </c>
      <c r="B2885">
        <f>IF(H2885="","",U2885)</f>
        <v/>
      </c>
      <c r="C2885">
        <f>IF(H2885="","",IF(P2885="",K2885,INDEX('Students'!$A$2:$A$701,P2885)))</f>
        <v/>
      </c>
      <c r="D2885">
        <f>IF(OR(H2885="",P2885=""),"",INDEX('Students'!$B$2:$B$701,P2885))</f>
        <v/>
      </c>
      <c r="E2885">
        <f>IF(OR(H2885="",P2885=""),"",INDEX('Students'!$C$2:$C$701,P2885))</f>
        <v/>
      </c>
      <c r="F2885" s="48">
        <f>IF(H2885="","",IF(ISNUMBER(O2885),O2885,J2885))</f>
        <v/>
      </c>
      <c r="G2885">
        <f>IF(H2885="","","OneCause")</f>
        <v/>
      </c>
      <c r="H2885">
        <f>IF(AND(I2885="",J2885="",K2885=""),"",IF(NOT(ISNUMBER(O2885)),"Bad amount",IF(O2885&lt;0,"Refund (not counted)",IF(O2885=0,"Zero amount",IF(NOT(ISNUMBER(N2885)),"Bad date",IF(P2885="","NAME NOT ON ROSTER",IF(L2885="","OK",IF(MATCH(L2885,$L$2:$L$3001,0)&lt;ROW()-1,"Duplicate (ignored)","OK"))))))))</f>
        <v/>
      </c>
      <c r="I2885">
        <f>IF(OC_Date=0,"",IF(INDEX('OneCause_Paste'!$A$2885:$AZ$2885,1,OC_Date)="","",INDEX('OneCause_Paste'!$A$2885:$AZ$2885,1,OC_Date)))</f>
        <v/>
      </c>
      <c r="J2885">
        <f>IF(OC_Amt=0,"",IF(INDEX('OneCause_Paste'!$A$2885:$AZ$2885,1,OC_Amt)="","",INDEX('OneCause_Paste'!$A$2885:$AZ$2885,1,OC_Amt)))</f>
        <v/>
      </c>
      <c r="K2885">
        <f>IF(OC_Name=0,"",IF(INDEX('OneCause_Paste'!$A$2885:$AZ$2885,1,OC_Name)="","",INDEX('OneCause_Paste'!$A$2885:$AZ$2885,1,OC_Name)))</f>
        <v/>
      </c>
      <c r="L2885">
        <f>IF(OC_Txn=0,"",IF(INDEX('OneCause_Paste'!$A$2885:$AZ$2885,1,OC_Txn)="","",INDEX('OneCause_Paste'!$A$2885:$AZ$2885,1,OC_Txn)))</f>
        <v/>
      </c>
      <c r="M2885">
        <f>IF(OC_Pay=0,"",IF(INDEX('OneCause_Paste'!$A$2885:$AZ$2885,1,OC_Pay)="","",INDEX('OneCause_Paste'!$A$2885:$AZ$2885,1,OC_Pay)))</f>
        <v/>
      </c>
      <c r="N2885">
        <f>IF(I2885="","",IF(ISNUMBER(I2885),INT(I2885),IFERROR(INT(DATEVALUE(I2885)),IFERROR(INT(VALUE(I2885)),"bad"))))</f>
        <v/>
      </c>
      <c r="O2885">
        <f>IF(J2885="","",IF(ISNUMBER(J2885),ROUND(J2885,2),IFERROR(ROUND(VALUE(SUBSTITUTE(SUBSTITUTE(SUBSTITUTE(J2885,"$",""),",","")," ","")),2),"bad")))</f>
        <v/>
      </c>
      <c r="P2885">
        <f>IF(TRIM(K2885)="","",IFERROR(MATCH(LOWER(TRIM(K2885)),'Students'!$AH$2:$AH$701,0),IFERROR(MATCH(LOWER(TRIM(K2885)),'Students'!$AF$2:$AF$701,0),IFERROR(MATCH(LOWER(TRIM(K2885)),'Students'!$AG$2:$AG$701,0),""))))</f>
        <v/>
      </c>
      <c r="R2885">
        <f>IF(P2885="","",INDEX('Students'!$AD$2:$AD$701,P2885))</f>
        <v/>
      </c>
      <c r="S2885">
        <f>IF(H2885="OK",O2885,0)</f>
        <v/>
      </c>
      <c r="T2885">
        <f>IF(H2885="OK",N2885,"")</f>
        <v/>
      </c>
      <c r="U2885">
        <f>IF(OC_Donor=0,"",IF(INDEX('OneCause_Paste'!$A$2885:$AZ$2885,1,OC_Donor)="","",INDEX('OneCause_Paste'!$A$2885:$AZ$2885,1,OC_Donor)))</f>
        <v/>
      </c>
    </row>
    <row r="2886">
      <c r="A2886" s="62">
        <f>IF(H2886="","",IF(ISNUMBER(N2886),N2886,I2886))</f>
        <v/>
      </c>
      <c r="B2886">
        <f>IF(H2886="","",U2886)</f>
        <v/>
      </c>
      <c r="C2886">
        <f>IF(H2886="","",IF(P2886="",K2886,INDEX('Students'!$A$2:$A$701,P2886)))</f>
        <v/>
      </c>
      <c r="D2886">
        <f>IF(OR(H2886="",P2886=""),"",INDEX('Students'!$B$2:$B$701,P2886))</f>
        <v/>
      </c>
      <c r="E2886">
        <f>IF(OR(H2886="",P2886=""),"",INDEX('Students'!$C$2:$C$701,P2886))</f>
        <v/>
      </c>
      <c r="F2886" s="48">
        <f>IF(H2886="","",IF(ISNUMBER(O2886),O2886,J2886))</f>
        <v/>
      </c>
      <c r="G2886">
        <f>IF(H2886="","","OneCause")</f>
        <v/>
      </c>
      <c r="H2886">
        <f>IF(AND(I2886="",J2886="",K2886=""),"",IF(NOT(ISNUMBER(O2886)),"Bad amount",IF(O2886&lt;0,"Refund (not counted)",IF(O2886=0,"Zero amount",IF(NOT(ISNUMBER(N2886)),"Bad date",IF(P2886="","NAME NOT ON ROSTER",IF(L2886="","OK",IF(MATCH(L2886,$L$2:$L$3001,0)&lt;ROW()-1,"Duplicate (ignored)","OK"))))))))</f>
        <v/>
      </c>
      <c r="I2886">
        <f>IF(OC_Date=0,"",IF(INDEX('OneCause_Paste'!$A$2886:$AZ$2886,1,OC_Date)="","",INDEX('OneCause_Paste'!$A$2886:$AZ$2886,1,OC_Date)))</f>
        <v/>
      </c>
      <c r="J2886">
        <f>IF(OC_Amt=0,"",IF(INDEX('OneCause_Paste'!$A$2886:$AZ$2886,1,OC_Amt)="","",INDEX('OneCause_Paste'!$A$2886:$AZ$2886,1,OC_Amt)))</f>
        <v/>
      </c>
      <c r="K2886">
        <f>IF(OC_Name=0,"",IF(INDEX('OneCause_Paste'!$A$2886:$AZ$2886,1,OC_Name)="","",INDEX('OneCause_Paste'!$A$2886:$AZ$2886,1,OC_Name)))</f>
        <v/>
      </c>
      <c r="L2886">
        <f>IF(OC_Txn=0,"",IF(INDEX('OneCause_Paste'!$A$2886:$AZ$2886,1,OC_Txn)="","",INDEX('OneCause_Paste'!$A$2886:$AZ$2886,1,OC_Txn)))</f>
        <v/>
      </c>
      <c r="M2886">
        <f>IF(OC_Pay=0,"",IF(INDEX('OneCause_Paste'!$A$2886:$AZ$2886,1,OC_Pay)="","",INDEX('OneCause_Paste'!$A$2886:$AZ$2886,1,OC_Pay)))</f>
        <v/>
      </c>
      <c r="N2886">
        <f>IF(I2886="","",IF(ISNUMBER(I2886),INT(I2886),IFERROR(INT(DATEVALUE(I2886)),IFERROR(INT(VALUE(I2886)),"bad"))))</f>
        <v/>
      </c>
      <c r="O2886">
        <f>IF(J2886="","",IF(ISNUMBER(J2886),ROUND(J2886,2),IFERROR(ROUND(VALUE(SUBSTITUTE(SUBSTITUTE(SUBSTITUTE(J2886,"$",""),",","")," ","")),2),"bad")))</f>
        <v/>
      </c>
      <c r="P2886">
        <f>IF(TRIM(K2886)="","",IFERROR(MATCH(LOWER(TRIM(K2886)),'Students'!$AH$2:$AH$701,0),IFERROR(MATCH(LOWER(TRIM(K2886)),'Students'!$AF$2:$AF$701,0),IFERROR(MATCH(LOWER(TRIM(K2886)),'Students'!$AG$2:$AG$701,0),""))))</f>
        <v/>
      </c>
      <c r="R2886">
        <f>IF(P2886="","",INDEX('Students'!$AD$2:$AD$701,P2886))</f>
        <v/>
      </c>
      <c r="S2886">
        <f>IF(H2886="OK",O2886,0)</f>
        <v/>
      </c>
      <c r="T2886">
        <f>IF(H2886="OK",N2886,"")</f>
        <v/>
      </c>
      <c r="U2886">
        <f>IF(OC_Donor=0,"",IF(INDEX('OneCause_Paste'!$A$2886:$AZ$2886,1,OC_Donor)="","",INDEX('OneCause_Paste'!$A$2886:$AZ$2886,1,OC_Donor)))</f>
        <v/>
      </c>
    </row>
    <row r="2887">
      <c r="A2887" s="62">
        <f>IF(H2887="","",IF(ISNUMBER(N2887),N2887,I2887))</f>
        <v/>
      </c>
      <c r="B2887">
        <f>IF(H2887="","",U2887)</f>
        <v/>
      </c>
      <c r="C2887">
        <f>IF(H2887="","",IF(P2887="",K2887,INDEX('Students'!$A$2:$A$701,P2887)))</f>
        <v/>
      </c>
      <c r="D2887">
        <f>IF(OR(H2887="",P2887=""),"",INDEX('Students'!$B$2:$B$701,P2887))</f>
        <v/>
      </c>
      <c r="E2887">
        <f>IF(OR(H2887="",P2887=""),"",INDEX('Students'!$C$2:$C$701,P2887))</f>
        <v/>
      </c>
      <c r="F2887" s="48">
        <f>IF(H2887="","",IF(ISNUMBER(O2887),O2887,J2887))</f>
        <v/>
      </c>
      <c r="G2887">
        <f>IF(H2887="","","OneCause")</f>
        <v/>
      </c>
      <c r="H2887">
        <f>IF(AND(I2887="",J2887="",K2887=""),"",IF(NOT(ISNUMBER(O2887)),"Bad amount",IF(O2887&lt;0,"Refund (not counted)",IF(O2887=0,"Zero amount",IF(NOT(ISNUMBER(N2887)),"Bad date",IF(P2887="","NAME NOT ON ROSTER",IF(L2887="","OK",IF(MATCH(L2887,$L$2:$L$3001,0)&lt;ROW()-1,"Duplicate (ignored)","OK"))))))))</f>
        <v/>
      </c>
      <c r="I2887">
        <f>IF(OC_Date=0,"",IF(INDEX('OneCause_Paste'!$A$2887:$AZ$2887,1,OC_Date)="","",INDEX('OneCause_Paste'!$A$2887:$AZ$2887,1,OC_Date)))</f>
        <v/>
      </c>
      <c r="J2887">
        <f>IF(OC_Amt=0,"",IF(INDEX('OneCause_Paste'!$A$2887:$AZ$2887,1,OC_Amt)="","",INDEX('OneCause_Paste'!$A$2887:$AZ$2887,1,OC_Amt)))</f>
        <v/>
      </c>
      <c r="K2887">
        <f>IF(OC_Name=0,"",IF(INDEX('OneCause_Paste'!$A$2887:$AZ$2887,1,OC_Name)="","",INDEX('OneCause_Paste'!$A$2887:$AZ$2887,1,OC_Name)))</f>
        <v/>
      </c>
      <c r="L2887">
        <f>IF(OC_Txn=0,"",IF(INDEX('OneCause_Paste'!$A$2887:$AZ$2887,1,OC_Txn)="","",INDEX('OneCause_Paste'!$A$2887:$AZ$2887,1,OC_Txn)))</f>
        <v/>
      </c>
      <c r="M2887">
        <f>IF(OC_Pay=0,"",IF(INDEX('OneCause_Paste'!$A$2887:$AZ$2887,1,OC_Pay)="","",INDEX('OneCause_Paste'!$A$2887:$AZ$2887,1,OC_Pay)))</f>
        <v/>
      </c>
      <c r="N2887">
        <f>IF(I2887="","",IF(ISNUMBER(I2887),INT(I2887),IFERROR(INT(DATEVALUE(I2887)),IFERROR(INT(VALUE(I2887)),"bad"))))</f>
        <v/>
      </c>
      <c r="O2887">
        <f>IF(J2887="","",IF(ISNUMBER(J2887),ROUND(J2887,2),IFERROR(ROUND(VALUE(SUBSTITUTE(SUBSTITUTE(SUBSTITUTE(J2887,"$",""),",","")," ","")),2),"bad")))</f>
        <v/>
      </c>
      <c r="P2887">
        <f>IF(TRIM(K2887)="","",IFERROR(MATCH(LOWER(TRIM(K2887)),'Students'!$AH$2:$AH$701,0),IFERROR(MATCH(LOWER(TRIM(K2887)),'Students'!$AF$2:$AF$701,0),IFERROR(MATCH(LOWER(TRIM(K2887)),'Students'!$AG$2:$AG$701,0),""))))</f>
        <v/>
      </c>
      <c r="R2887">
        <f>IF(P2887="","",INDEX('Students'!$AD$2:$AD$701,P2887))</f>
        <v/>
      </c>
      <c r="S2887">
        <f>IF(H2887="OK",O2887,0)</f>
        <v/>
      </c>
      <c r="T2887">
        <f>IF(H2887="OK",N2887,"")</f>
        <v/>
      </c>
      <c r="U2887">
        <f>IF(OC_Donor=0,"",IF(INDEX('OneCause_Paste'!$A$2887:$AZ$2887,1,OC_Donor)="","",INDEX('OneCause_Paste'!$A$2887:$AZ$2887,1,OC_Donor)))</f>
        <v/>
      </c>
    </row>
    <row r="2888">
      <c r="A2888" s="62">
        <f>IF(H2888="","",IF(ISNUMBER(N2888),N2888,I2888))</f>
        <v/>
      </c>
      <c r="B2888">
        <f>IF(H2888="","",U2888)</f>
        <v/>
      </c>
      <c r="C2888">
        <f>IF(H2888="","",IF(P2888="",K2888,INDEX('Students'!$A$2:$A$701,P2888)))</f>
        <v/>
      </c>
      <c r="D2888">
        <f>IF(OR(H2888="",P2888=""),"",INDEX('Students'!$B$2:$B$701,P2888))</f>
        <v/>
      </c>
      <c r="E2888">
        <f>IF(OR(H2888="",P2888=""),"",INDEX('Students'!$C$2:$C$701,P2888))</f>
        <v/>
      </c>
      <c r="F2888" s="48">
        <f>IF(H2888="","",IF(ISNUMBER(O2888),O2888,J2888))</f>
        <v/>
      </c>
      <c r="G2888">
        <f>IF(H2888="","","OneCause")</f>
        <v/>
      </c>
      <c r="H2888">
        <f>IF(AND(I2888="",J2888="",K2888=""),"",IF(NOT(ISNUMBER(O2888)),"Bad amount",IF(O2888&lt;0,"Refund (not counted)",IF(O2888=0,"Zero amount",IF(NOT(ISNUMBER(N2888)),"Bad date",IF(P2888="","NAME NOT ON ROSTER",IF(L2888="","OK",IF(MATCH(L2888,$L$2:$L$3001,0)&lt;ROW()-1,"Duplicate (ignored)","OK"))))))))</f>
        <v/>
      </c>
      <c r="I2888">
        <f>IF(OC_Date=0,"",IF(INDEX('OneCause_Paste'!$A$2888:$AZ$2888,1,OC_Date)="","",INDEX('OneCause_Paste'!$A$2888:$AZ$2888,1,OC_Date)))</f>
        <v/>
      </c>
      <c r="J2888">
        <f>IF(OC_Amt=0,"",IF(INDEX('OneCause_Paste'!$A$2888:$AZ$2888,1,OC_Amt)="","",INDEX('OneCause_Paste'!$A$2888:$AZ$2888,1,OC_Amt)))</f>
        <v/>
      </c>
      <c r="K2888">
        <f>IF(OC_Name=0,"",IF(INDEX('OneCause_Paste'!$A$2888:$AZ$2888,1,OC_Name)="","",INDEX('OneCause_Paste'!$A$2888:$AZ$2888,1,OC_Name)))</f>
        <v/>
      </c>
      <c r="L2888">
        <f>IF(OC_Txn=0,"",IF(INDEX('OneCause_Paste'!$A$2888:$AZ$2888,1,OC_Txn)="","",INDEX('OneCause_Paste'!$A$2888:$AZ$2888,1,OC_Txn)))</f>
        <v/>
      </c>
      <c r="M2888">
        <f>IF(OC_Pay=0,"",IF(INDEX('OneCause_Paste'!$A$2888:$AZ$2888,1,OC_Pay)="","",INDEX('OneCause_Paste'!$A$2888:$AZ$2888,1,OC_Pay)))</f>
        <v/>
      </c>
      <c r="N2888">
        <f>IF(I2888="","",IF(ISNUMBER(I2888),INT(I2888),IFERROR(INT(DATEVALUE(I2888)),IFERROR(INT(VALUE(I2888)),"bad"))))</f>
        <v/>
      </c>
      <c r="O2888">
        <f>IF(J2888="","",IF(ISNUMBER(J2888),ROUND(J2888,2),IFERROR(ROUND(VALUE(SUBSTITUTE(SUBSTITUTE(SUBSTITUTE(J2888,"$",""),",","")," ","")),2),"bad")))</f>
        <v/>
      </c>
      <c r="P2888">
        <f>IF(TRIM(K2888)="","",IFERROR(MATCH(LOWER(TRIM(K2888)),'Students'!$AH$2:$AH$701,0),IFERROR(MATCH(LOWER(TRIM(K2888)),'Students'!$AF$2:$AF$701,0),IFERROR(MATCH(LOWER(TRIM(K2888)),'Students'!$AG$2:$AG$701,0),""))))</f>
        <v/>
      </c>
      <c r="R2888">
        <f>IF(P2888="","",INDEX('Students'!$AD$2:$AD$701,P2888))</f>
        <v/>
      </c>
      <c r="S2888">
        <f>IF(H2888="OK",O2888,0)</f>
        <v/>
      </c>
      <c r="T2888">
        <f>IF(H2888="OK",N2888,"")</f>
        <v/>
      </c>
      <c r="U2888">
        <f>IF(OC_Donor=0,"",IF(INDEX('OneCause_Paste'!$A$2888:$AZ$2888,1,OC_Donor)="","",INDEX('OneCause_Paste'!$A$2888:$AZ$2888,1,OC_Donor)))</f>
        <v/>
      </c>
    </row>
    <row r="2889">
      <c r="A2889" s="62">
        <f>IF(H2889="","",IF(ISNUMBER(N2889),N2889,I2889))</f>
        <v/>
      </c>
      <c r="B2889">
        <f>IF(H2889="","",U2889)</f>
        <v/>
      </c>
      <c r="C2889">
        <f>IF(H2889="","",IF(P2889="",K2889,INDEX('Students'!$A$2:$A$701,P2889)))</f>
        <v/>
      </c>
      <c r="D2889">
        <f>IF(OR(H2889="",P2889=""),"",INDEX('Students'!$B$2:$B$701,P2889))</f>
        <v/>
      </c>
      <c r="E2889">
        <f>IF(OR(H2889="",P2889=""),"",INDEX('Students'!$C$2:$C$701,P2889))</f>
        <v/>
      </c>
      <c r="F2889" s="48">
        <f>IF(H2889="","",IF(ISNUMBER(O2889),O2889,J2889))</f>
        <v/>
      </c>
      <c r="G2889">
        <f>IF(H2889="","","OneCause")</f>
        <v/>
      </c>
      <c r="H2889">
        <f>IF(AND(I2889="",J2889="",K2889=""),"",IF(NOT(ISNUMBER(O2889)),"Bad amount",IF(O2889&lt;0,"Refund (not counted)",IF(O2889=0,"Zero amount",IF(NOT(ISNUMBER(N2889)),"Bad date",IF(P2889="","NAME NOT ON ROSTER",IF(L2889="","OK",IF(MATCH(L2889,$L$2:$L$3001,0)&lt;ROW()-1,"Duplicate (ignored)","OK"))))))))</f>
        <v/>
      </c>
      <c r="I2889">
        <f>IF(OC_Date=0,"",IF(INDEX('OneCause_Paste'!$A$2889:$AZ$2889,1,OC_Date)="","",INDEX('OneCause_Paste'!$A$2889:$AZ$2889,1,OC_Date)))</f>
        <v/>
      </c>
      <c r="J2889">
        <f>IF(OC_Amt=0,"",IF(INDEX('OneCause_Paste'!$A$2889:$AZ$2889,1,OC_Amt)="","",INDEX('OneCause_Paste'!$A$2889:$AZ$2889,1,OC_Amt)))</f>
        <v/>
      </c>
      <c r="K2889">
        <f>IF(OC_Name=0,"",IF(INDEX('OneCause_Paste'!$A$2889:$AZ$2889,1,OC_Name)="","",INDEX('OneCause_Paste'!$A$2889:$AZ$2889,1,OC_Name)))</f>
        <v/>
      </c>
      <c r="L2889">
        <f>IF(OC_Txn=0,"",IF(INDEX('OneCause_Paste'!$A$2889:$AZ$2889,1,OC_Txn)="","",INDEX('OneCause_Paste'!$A$2889:$AZ$2889,1,OC_Txn)))</f>
        <v/>
      </c>
      <c r="M2889">
        <f>IF(OC_Pay=0,"",IF(INDEX('OneCause_Paste'!$A$2889:$AZ$2889,1,OC_Pay)="","",INDEX('OneCause_Paste'!$A$2889:$AZ$2889,1,OC_Pay)))</f>
        <v/>
      </c>
      <c r="N2889">
        <f>IF(I2889="","",IF(ISNUMBER(I2889),INT(I2889),IFERROR(INT(DATEVALUE(I2889)),IFERROR(INT(VALUE(I2889)),"bad"))))</f>
        <v/>
      </c>
      <c r="O2889">
        <f>IF(J2889="","",IF(ISNUMBER(J2889),ROUND(J2889,2),IFERROR(ROUND(VALUE(SUBSTITUTE(SUBSTITUTE(SUBSTITUTE(J2889,"$",""),",","")," ","")),2),"bad")))</f>
        <v/>
      </c>
      <c r="P2889">
        <f>IF(TRIM(K2889)="","",IFERROR(MATCH(LOWER(TRIM(K2889)),'Students'!$AH$2:$AH$701,0),IFERROR(MATCH(LOWER(TRIM(K2889)),'Students'!$AF$2:$AF$701,0),IFERROR(MATCH(LOWER(TRIM(K2889)),'Students'!$AG$2:$AG$701,0),""))))</f>
        <v/>
      </c>
      <c r="R2889">
        <f>IF(P2889="","",INDEX('Students'!$AD$2:$AD$701,P2889))</f>
        <v/>
      </c>
      <c r="S2889">
        <f>IF(H2889="OK",O2889,0)</f>
        <v/>
      </c>
      <c r="T2889">
        <f>IF(H2889="OK",N2889,"")</f>
        <v/>
      </c>
      <c r="U2889">
        <f>IF(OC_Donor=0,"",IF(INDEX('OneCause_Paste'!$A$2889:$AZ$2889,1,OC_Donor)="","",INDEX('OneCause_Paste'!$A$2889:$AZ$2889,1,OC_Donor)))</f>
        <v/>
      </c>
    </row>
    <row r="2890">
      <c r="A2890" s="62">
        <f>IF(H2890="","",IF(ISNUMBER(N2890),N2890,I2890))</f>
        <v/>
      </c>
      <c r="B2890">
        <f>IF(H2890="","",U2890)</f>
        <v/>
      </c>
      <c r="C2890">
        <f>IF(H2890="","",IF(P2890="",K2890,INDEX('Students'!$A$2:$A$701,P2890)))</f>
        <v/>
      </c>
      <c r="D2890">
        <f>IF(OR(H2890="",P2890=""),"",INDEX('Students'!$B$2:$B$701,P2890))</f>
        <v/>
      </c>
      <c r="E2890">
        <f>IF(OR(H2890="",P2890=""),"",INDEX('Students'!$C$2:$C$701,P2890))</f>
        <v/>
      </c>
      <c r="F2890" s="48">
        <f>IF(H2890="","",IF(ISNUMBER(O2890),O2890,J2890))</f>
        <v/>
      </c>
      <c r="G2890">
        <f>IF(H2890="","","OneCause")</f>
        <v/>
      </c>
      <c r="H2890">
        <f>IF(AND(I2890="",J2890="",K2890=""),"",IF(NOT(ISNUMBER(O2890)),"Bad amount",IF(O2890&lt;0,"Refund (not counted)",IF(O2890=0,"Zero amount",IF(NOT(ISNUMBER(N2890)),"Bad date",IF(P2890="","NAME NOT ON ROSTER",IF(L2890="","OK",IF(MATCH(L2890,$L$2:$L$3001,0)&lt;ROW()-1,"Duplicate (ignored)","OK"))))))))</f>
        <v/>
      </c>
      <c r="I2890">
        <f>IF(OC_Date=0,"",IF(INDEX('OneCause_Paste'!$A$2890:$AZ$2890,1,OC_Date)="","",INDEX('OneCause_Paste'!$A$2890:$AZ$2890,1,OC_Date)))</f>
        <v/>
      </c>
      <c r="J2890">
        <f>IF(OC_Amt=0,"",IF(INDEX('OneCause_Paste'!$A$2890:$AZ$2890,1,OC_Amt)="","",INDEX('OneCause_Paste'!$A$2890:$AZ$2890,1,OC_Amt)))</f>
        <v/>
      </c>
      <c r="K2890">
        <f>IF(OC_Name=0,"",IF(INDEX('OneCause_Paste'!$A$2890:$AZ$2890,1,OC_Name)="","",INDEX('OneCause_Paste'!$A$2890:$AZ$2890,1,OC_Name)))</f>
        <v/>
      </c>
      <c r="L2890">
        <f>IF(OC_Txn=0,"",IF(INDEX('OneCause_Paste'!$A$2890:$AZ$2890,1,OC_Txn)="","",INDEX('OneCause_Paste'!$A$2890:$AZ$2890,1,OC_Txn)))</f>
        <v/>
      </c>
      <c r="M2890">
        <f>IF(OC_Pay=0,"",IF(INDEX('OneCause_Paste'!$A$2890:$AZ$2890,1,OC_Pay)="","",INDEX('OneCause_Paste'!$A$2890:$AZ$2890,1,OC_Pay)))</f>
        <v/>
      </c>
      <c r="N2890">
        <f>IF(I2890="","",IF(ISNUMBER(I2890),INT(I2890),IFERROR(INT(DATEVALUE(I2890)),IFERROR(INT(VALUE(I2890)),"bad"))))</f>
        <v/>
      </c>
      <c r="O2890">
        <f>IF(J2890="","",IF(ISNUMBER(J2890),ROUND(J2890,2),IFERROR(ROUND(VALUE(SUBSTITUTE(SUBSTITUTE(SUBSTITUTE(J2890,"$",""),",","")," ","")),2),"bad")))</f>
        <v/>
      </c>
      <c r="P2890">
        <f>IF(TRIM(K2890)="","",IFERROR(MATCH(LOWER(TRIM(K2890)),'Students'!$AH$2:$AH$701,0),IFERROR(MATCH(LOWER(TRIM(K2890)),'Students'!$AF$2:$AF$701,0),IFERROR(MATCH(LOWER(TRIM(K2890)),'Students'!$AG$2:$AG$701,0),""))))</f>
        <v/>
      </c>
      <c r="R2890">
        <f>IF(P2890="","",INDEX('Students'!$AD$2:$AD$701,P2890))</f>
        <v/>
      </c>
      <c r="S2890">
        <f>IF(H2890="OK",O2890,0)</f>
        <v/>
      </c>
      <c r="T2890">
        <f>IF(H2890="OK",N2890,"")</f>
        <v/>
      </c>
      <c r="U2890">
        <f>IF(OC_Donor=0,"",IF(INDEX('OneCause_Paste'!$A$2890:$AZ$2890,1,OC_Donor)="","",INDEX('OneCause_Paste'!$A$2890:$AZ$2890,1,OC_Donor)))</f>
        <v/>
      </c>
    </row>
    <row r="2891">
      <c r="A2891" s="62">
        <f>IF(H2891="","",IF(ISNUMBER(N2891),N2891,I2891))</f>
        <v/>
      </c>
      <c r="B2891">
        <f>IF(H2891="","",U2891)</f>
        <v/>
      </c>
      <c r="C2891">
        <f>IF(H2891="","",IF(P2891="",K2891,INDEX('Students'!$A$2:$A$701,P2891)))</f>
        <v/>
      </c>
      <c r="D2891">
        <f>IF(OR(H2891="",P2891=""),"",INDEX('Students'!$B$2:$B$701,P2891))</f>
        <v/>
      </c>
      <c r="E2891">
        <f>IF(OR(H2891="",P2891=""),"",INDEX('Students'!$C$2:$C$701,P2891))</f>
        <v/>
      </c>
      <c r="F2891" s="48">
        <f>IF(H2891="","",IF(ISNUMBER(O2891),O2891,J2891))</f>
        <v/>
      </c>
      <c r="G2891">
        <f>IF(H2891="","","OneCause")</f>
        <v/>
      </c>
      <c r="H2891">
        <f>IF(AND(I2891="",J2891="",K2891=""),"",IF(NOT(ISNUMBER(O2891)),"Bad amount",IF(O2891&lt;0,"Refund (not counted)",IF(O2891=0,"Zero amount",IF(NOT(ISNUMBER(N2891)),"Bad date",IF(P2891="","NAME NOT ON ROSTER",IF(L2891="","OK",IF(MATCH(L2891,$L$2:$L$3001,0)&lt;ROW()-1,"Duplicate (ignored)","OK"))))))))</f>
        <v/>
      </c>
      <c r="I2891">
        <f>IF(OC_Date=0,"",IF(INDEX('OneCause_Paste'!$A$2891:$AZ$2891,1,OC_Date)="","",INDEX('OneCause_Paste'!$A$2891:$AZ$2891,1,OC_Date)))</f>
        <v/>
      </c>
      <c r="J2891">
        <f>IF(OC_Amt=0,"",IF(INDEX('OneCause_Paste'!$A$2891:$AZ$2891,1,OC_Amt)="","",INDEX('OneCause_Paste'!$A$2891:$AZ$2891,1,OC_Amt)))</f>
        <v/>
      </c>
      <c r="K2891">
        <f>IF(OC_Name=0,"",IF(INDEX('OneCause_Paste'!$A$2891:$AZ$2891,1,OC_Name)="","",INDEX('OneCause_Paste'!$A$2891:$AZ$2891,1,OC_Name)))</f>
        <v/>
      </c>
      <c r="L2891">
        <f>IF(OC_Txn=0,"",IF(INDEX('OneCause_Paste'!$A$2891:$AZ$2891,1,OC_Txn)="","",INDEX('OneCause_Paste'!$A$2891:$AZ$2891,1,OC_Txn)))</f>
        <v/>
      </c>
      <c r="M2891">
        <f>IF(OC_Pay=0,"",IF(INDEX('OneCause_Paste'!$A$2891:$AZ$2891,1,OC_Pay)="","",INDEX('OneCause_Paste'!$A$2891:$AZ$2891,1,OC_Pay)))</f>
        <v/>
      </c>
      <c r="N2891">
        <f>IF(I2891="","",IF(ISNUMBER(I2891),INT(I2891),IFERROR(INT(DATEVALUE(I2891)),IFERROR(INT(VALUE(I2891)),"bad"))))</f>
        <v/>
      </c>
      <c r="O2891">
        <f>IF(J2891="","",IF(ISNUMBER(J2891),ROUND(J2891,2),IFERROR(ROUND(VALUE(SUBSTITUTE(SUBSTITUTE(SUBSTITUTE(J2891,"$",""),",","")," ","")),2),"bad")))</f>
        <v/>
      </c>
      <c r="P2891">
        <f>IF(TRIM(K2891)="","",IFERROR(MATCH(LOWER(TRIM(K2891)),'Students'!$AH$2:$AH$701,0),IFERROR(MATCH(LOWER(TRIM(K2891)),'Students'!$AF$2:$AF$701,0),IFERROR(MATCH(LOWER(TRIM(K2891)),'Students'!$AG$2:$AG$701,0),""))))</f>
        <v/>
      </c>
      <c r="R2891">
        <f>IF(P2891="","",INDEX('Students'!$AD$2:$AD$701,P2891))</f>
        <v/>
      </c>
      <c r="S2891">
        <f>IF(H2891="OK",O2891,0)</f>
        <v/>
      </c>
      <c r="T2891">
        <f>IF(H2891="OK",N2891,"")</f>
        <v/>
      </c>
      <c r="U2891">
        <f>IF(OC_Donor=0,"",IF(INDEX('OneCause_Paste'!$A$2891:$AZ$2891,1,OC_Donor)="","",INDEX('OneCause_Paste'!$A$2891:$AZ$2891,1,OC_Donor)))</f>
        <v/>
      </c>
    </row>
    <row r="2892">
      <c r="A2892" s="62">
        <f>IF(H2892="","",IF(ISNUMBER(N2892),N2892,I2892))</f>
        <v/>
      </c>
      <c r="B2892">
        <f>IF(H2892="","",U2892)</f>
        <v/>
      </c>
      <c r="C2892">
        <f>IF(H2892="","",IF(P2892="",K2892,INDEX('Students'!$A$2:$A$701,P2892)))</f>
        <v/>
      </c>
      <c r="D2892">
        <f>IF(OR(H2892="",P2892=""),"",INDEX('Students'!$B$2:$B$701,P2892))</f>
        <v/>
      </c>
      <c r="E2892">
        <f>IF(OR(H2892="",P2892=""),"",INDEX('Students'!$C$2:$C$701,P2892))</f>
        <v/>
      </c>
      <c r="F2892" s="48">
        <f>IF(H2892="","",IF(ISNUMBER(O2892),O2892,J2892))</f>
        <v/>
      </c>
      <c r="G2892">
        <f>IF(H2892="","","OneCause")</f>
        <v/>
      </c>
      <c r="H2892">
        <f>IF(AND(I2892="",J2892="",K2892=""),"",IF(NOT(ISNUMBER(O2892)),"Bad amount",IF(O2892&lt;0,"Refund (not counted)",IF(O2892=0,"Zero amount",IF(NOT(ISNUMBER(N2892)),"Bad date",IF(P2892="","NAME NOT ON ROSTER",IF(L2892="","OK",IF(MATCH(L2892,$L$2:$L$3001,0)&lt;ROW()-1,"Duplicate (ignored)","OK"))))))))</f>
        <v/>
      </c>
      <c r="I2892">
        <f>IF(OC_Date=0,"",IF(INDEX('OneCause_Paste'!$A$2892:$AZ$2892,1,OC_Date)="","",INDEX('OneCause_Paste'!$A$2892:$AZ$2892,1,OC_Date)))</f>
        <v/>
      </c>
      <c r="J2892">
        <f>IF(OC_Amt=0,"",IF(INDEX('OneCause_Paste'!$A$2892:$AZ$2892,1,OC_Amt)="","",INDEX('OneCause_Paste'!$A$2892:$AZ$2892,1,OC_Amt)))</f>
        <v/>
      </c>
      <c r="K2892">
        <f>IF(OC_Name=0,"",IF(INDEX('OneCause_Paste'!$A$2892:$AZ$2892,1,OC_Name)="","",INDEX('OneCause_Paste'!$A$2892:$AZ$2892,1,OC_Name)))</f>
        <v/>
      </c>
      <c r="L2892">
        <f>IF(OC_Txn=0,"",IF(INDEX('OneCause_Paste'!$A$2892:$AZ$2892,1,OC_Txn)="","",INDEX('OneCause_Paste'!$A$2892:$AZ$2892,1,OC_Txn)))</f>
        <v/>
      </c>
      <c r="M2892">
        <f>IF(OC_Pay=0,"",IF(INDEX('OneCause_Paste'!$A$2892:$AZ$2892,1,OC_Pay)="","",INDEX('OneCause_Paste'!$A$2892:$AZ$2892,1,OC_Pay)))</f>
        <v/>
      </c>
      <c r="N2892">
        <f>IF(I2892="","",IF(ISNUMBER(I2892),INT(I2892),IFERROR(INT(DATEVALUE(I2892)),IFERROR(INT(VALUE(I2892)),"bad"))))</f>
        <v/>
      </c>
      <c r="O2892">
        <f>IF(J2892="","",IF(ISNUMBER(J2892),ROUND(J2892,2),IFERROR(ROUND(VALUE(SUBSTITUTE(SUBSTITUTE(SUBSTITUTE(J2892,"$",""),",","")," ","")),2),"bad")))</f>
        <v/>
      </c>
      <c r="P2892">
        <f>IF(TRIM(K2892)="","",IFERROR(MATCH(LOWER(TRIM(K2892)),'Students'!$AH$2:$AH$701,0),IFERROR(MATCH(LOWER(TRIM(K2892)),'Students'!$AF$2:$AF$701,0),IFERROR(MATCH(LOWER(TRIM(K2892)),'Students'!$AG$2:$AG$701,0),""))))</f>
        <v/>
      </c>
      <c r="R2892">
        <f>IF(P2892="","",INDEX('Students'!$AD$2:$AD$701,P2892))</f>
        <v/>
      </c>
      <c r="S2892">
        <f>IF(H2892="OK",O2892,0)</f>
        <v/>
      </c>
      <c r="T2892">
        <f>IF(H2892="OK",N2892,"")</f>
        <v/>
      </c>
      <c r="U2892">
        <f>IF(OC_Donor=0,"",IF(INDEX('OneCause_Paste'!$A$2892:$AZ$2892,1,OC_Donor)="","",INDEX('OneCause_Paste'!$A$2892:$AZ$2892,1,OC_Donor)))</f>
        <v/>
      </c>
    </row>
    <row r="2893">
      <c r="A2893" s="62">
        <f>IF(H2893="","",IF(ISNUMBER(N2893),N2893,I2893))</f>
        <v/>
      </c>
      <c r="B2893">
        <f>IF(H2893="","",U2893)</f>
        <v/>
      </c>
      <c r="C2893">
        <f>IF(H2893="","",IF(P2893="",K2893,INDEX('Students'!$A$2:$A$701,P2893)))</f>
        <v/>
      </c>
      <c r="D2893">
        <f>IF(OR(H2893="",P2893=""),"",INDEX('Students'!$B$2:$B$701,P2893))</f>
        <v/>
      </c>
      <c r="E2893">
        <f>IF(OR(H2893="",P2893=""),"",INDEX('Students'!$C$2:$C$701,P2893))</f>
        <v/>
      </c>
      <c r="F2893" s="48">
        <f>IF(H2893="","",IF(ISNUMBER(O2893),O2893,J2893))</f>
        <v/>
      </c>
      <c r="G2893">
        <f>IF(H2893="","","OneCause")</f>
        <v/>
      </c>
      <c r="H2893">
        <f>IF(AND(I2893="",J2893="",K2893=""),"",IF(NOT(ISNUMBER(O2893)),"Bad amount",IF(O2893&lt;0,"Refund (not counted)",IF(O2893=0,"Zero amount",IF(NOT(ISNUMBER(N2893)),"Bad date",IF(P2893="","NAME NOT ON ROSTER",IF(L2893="","OK",IF(MATCH(L2893,$L$2:$L$3001,0)&lt;ROW()-1,"Duplicate (ignored)","OK"))))))))</f>
        <v/>
      </c>
      <c r="I2893">
        <f>IF(OC_Date=0,"",IF(INDEX('OneCause_Paste'!$A$2893:$AZ$2893,1,OC_Date)="","",INDEX('OneCause_Paste'!$A$2893:$AZ$2893,1,OC_Date)))</f>
        <v/>
      </c>
      <c r="J2893">
        <f>IF(OC_Amt=0,"",IF(INDEX('OneCause_Paste'!$A$2893:$AZ$2893,1,OC_Amt)="","",INDEX('OneCause_Paste'!$A$2893:$AZ$2893,1,OC_Amt)))</f>
        <v/>
      </c>
      <c r="K2893">
        <f>IF(OC_Name=0,"",IF(INDEX('OneCause_Paste'!$A$2893:$AZ$2893,1,OC_Name)="","",INDEX('OneCause_Paste'!$A$2893:$AZ$2893,1,OC_Name)))</f>
        <v/>
      </c>
      <c r="L2893">
        <f>IF(OC_Txn=0,"",IF(INDEX('OneCause_Paste'!$A$2893:$AZ$2893,1,OC_Txn)="","",INDEX('OneCause_Paste'!$A$2893:$AZ$2893,1,OC_Txn)))</f>
        <v/>
      </c>
      <c r="M2893">
        <f>IF(OC_Pay=0,"",IF(INDEX('OneCause_Paste'!$A$2893:$AZ$2893,1,OC_Pay)="","",INDEX('OneCause_Paste'!$A$2893:$AZ$2893,1,OC_Pay)))</f>
        <v/>
      </c>
      <c r="N2893">
        <f>IF(I2893="","",IF(ISNUMBER(I2893),INT(I2893),IFERROR(INT(DATEVALUE(I2893)),IFERROR(INT(VALUE(I2893)),"bad"))))</f>
        <v/>
      </c>
      <c r="O2893">
        <f>IF(J2893="","",IF(ISNUMBER(J2893),ROUND(J2893,2),IFERROR(ROUND(VALUE(SUBSTITUTE(SUBSTITUTE(SUBSTITUTE(J2893,"$",""),",","")," ","")),2),"bad")))</f>
        <v/>
      </c>
      <c r="P2893">
        <f>IF(TRIM(K2893)="","",IFERROR(MATCH(LOWER(TRIM(K2893)),'Students'!$AH$2:$AH$701,0),IFERROR(MATCH(LOWER(TRIM(K2893)),'Students'!$AF$2:$AF$701,0),IFERROR(MATCH(LOWER(TRIM(K2893)),'Students'!$AG$2:$AG$701,0),""))))</f>
        <v/>
      </c>
      <c r="R2893">
        <f>IF(P2893="","",INDEX('Students'!$AD$2:$AD$701,P2893))</f>
        <v/>
      </c>
      <c r="S2893">
        <f>IF(H2893="OK",O2893,0)</f>
        <v/>
      </c>
      <c r="T2893">
        <f>IF(H2893="OK",N2893,"")</f>
        <v/>
      </c>
      <c r="U2893">
        <f>IF(OC_Donor=0,"",IF(INDEX('OneCause_Paste'!$A$2893:$AZ$2893,1,OC_Donor)="","",INDEX('OneCause_Paste'!$A$2893:$AZ$2893,1,OC_Donor)))</f>
        <v/>
      </c>
    </row>
    <row r="2894">
      <c r="A2894" s="62">
        <f>IF(H2894="","",IF(ISNUMBER(N2894),N2894,I2894))</f>
        <v/>
      </c>
      <c r="B2894">
        <f>IF(H2894="","",U2894)</f>
        <v/>
      </c>
      <c r="C2894">
        <f>IF(H2894="","",IF(P2894="",K2894,INDEX('Students'!$A$2:$A$701,P2894)))</f>
        <v/>
      </c>
      <c r="D2894">
        <f>IF(OR(H2894="",P2894=""),"",INDEX('Students'!$B$2:$B$701,P2894))</f>
        <v/>
      </c>
      <c r="E2894">
        <f>IF(OR(H2894="",P2894=""),"",INDEX('Students'!$C$2:$C$701,P2894))</f>
        <v/>
      </c>
      <c r="F2894" s="48">
        <f>IF(H2894="","",IF(ISNUMBER(O2894),O2894,J2894))</f>
        <v/>
      </c>
      <c r="G2894">
        <f>IF(H2894="","","OneCause")</f>
        <v/>
      </c>
      <c r="H2894">
        <f>IF(AND(I2894="",J2894="",K2894=""),"",IF(NOT(ISNUMBER(O2894)),"Bad amount",IF(O2894&lt;0,"Refund (not counted)",IF(O2894=0,"Zero amount",IF(NOT(ISNUMBER(N2894)),"Bad date",IF(P2894="","NAME NOT ON ROSTER",IF(L2894="","OK",IF(MATCH(L2894,$L$2:$L$3001,0)&lt;ROW()-1,"Duplicate (ignored)","OK"))))))))</f>
        <v/>
      </c>
      <c r="I2894">
        <f>IF(OC_Date=0,"",IF(INDEX('OneCause_Paste'!$A$2894:$AZ$2894,1,OC_Date)="","",INDEX('OneCause_Paste'!$A$2894:$AZ$2894,1,OC_Date)))</f>
        <v/>
      </c>
      <c r="J2894">
        <f>IF(OC_Amt=0,"",IF(INDEX('OneCause_Paste'!$A$2894:$AZ$2894,1,OC_Amt)="","",INDEX('OneCause_Paste'!$A$2894:$AZ$2894,1,OC_Amt)))</f>
        <v/>
      </c>
      <c r="K2894">
        <f>IF(OC_Name=0,"",IF(INDEX('OneCause_Paste'!$A$2894:$AZ$2894,1,OC_Name)="","",INDEX('OneCause_Paste'!$A$2894:$AZ$2894,1,OC_Name)))</f>
        <v/>
      </c>
      <c r="L2894">
        <f>IF(OC_Txn=0,"",IF(INDEX('OneCause_Paste'!$A$2894:$AZ$2894,1,OC_Txn)="","",INDEX('OneCause_Paste'!$A$2894:$AZ$2894,1,OC_Txn)))</f>
        <v/>
      </c>
      <c r="M2894">
        <f>IF(OC_Pay=0,"",IF(INDEX('OneCause_Paste'!$A$2894:$AZ$2894,1,OC_Pay)="","",INDEX('OneCause_Paste'!$A$2894:$AZ$2894,1,OC_Pay)))</f>
        <v/>
      </c>
      <c r="N2894">
        <f>IF(I2894="","",IF(ISNUMBER(I2894),INT(I2894),IFERROR(INT(DATEVALUE(I2894)),IFERROR(INT(VALUE(I2894)),"bad"))))</f>
        <v/>
      </c>
      <c r="O2894">
        <f>IF(J2894="","",IF(ISNUMBER(J2894),ROUND(J2894,2),IFERROR(ROUND(VALUE(SUBSTITUTE(SUBSTITUTE(SUBSTITUTE(J2894,"$",""),",","")," ","")),2),"bad")))</f>
        <v/>
      </c>
      <c r="P2894">
        <f>IF(TRIM(K2894)="","",IFERROR(MATCH(LOWER(TRIM(K2894)),'Students'!$AH$2:$AH$701,0),IFERROR(MATCH(LOWER(TRIM(K2894)),'Students'!$AF$2:$AF$701,0),IFERROR(MATCH(LOWER(TRIM(K2894)),'Students'!$AG$2:$AG$701,0),""))))</f>
        <v/>
      </c>
      <c r="R2894">
        <f>IF(P2894="","",INDEX('Students'!$AD$2:$AD$701,P2894))</f>
        <v/>
      </c>
      <c r="S2894">
        <f>IF(H2894="OK",O2894,0)</f>
        <v/>
      </c>
      <c r="T2894">
        <f>IF(H2894="OK",N2894,"")</f>
        <v/>
      </c>
      <c r="U2894">
        <f>IF(OC_Donor=0,"",IF(INDEX('OneCause_Paste'!$A$2894:$AZ$2894,1,OC_Donor)="","",INDEX('OneCause_Paste'!$A$2894:$AZ$2894,1,OC_Donor)))</f>
        <v/>
      </c>
    </row>
    <row r="2895">
      <c r="A2895" s="62">
        <f>IF(H2895="","",IF(ISNUMBER(N2895),N2895,I2895))</f>
        <v/>
      </c>
      <c r="B2895">
        <f>IF(H2895="","",U2895)</f>
        <v/>
      </c>
      <c r="C2895">
        <f>IF(H2895="","",IF(P2895="",K2895,INDEX('Students'!$A$2:$A$701,P2895)))</f>
        <v/>
      </c>
      <c r="D2895">
        <f>IF(OR(H2895="",P2895=""),"",INDEX('Students'!$B$2:$B$701,P2895))</f>
        <v/>
      </c>
      <c r="E2895">
        <f>IF(OR(H2895="",P2895=""),"",INDEX('Students'!$C$2:$C$701,P2895))</f>
        <v/>
      </c>
      <c r="F2895" s="48">
        <f>IF(H2895="","",IF(ISNUMBER(O2895),O2895,J2895))</f>
        <v/>
      </c>
      <c r="G2895">
        <f>IF(H2895="","","OneCause")</f>
        <v/>
      </c>
      <c r="H2895">
        <f>IF(AND(I2895="",J2895="",K2895=""),"",IF(NOT(ISNUMBER(O2895)),"Bad amount",IF(O2895&lt;0,"Refund (not counted)",IF(O2895=0,"Zero amount",IF(NOT(ISNUMBER(N2895)),"Bad date",IF(P2895="","NAME NOT ON ROSTER",IF(L2895="","OK",IF(MATCH(L2895,$L$2:$L$3001,0)&lt;ROW()-1,"Duplicate (ignored)","OK"))))))))</f>
        <v/>
      </c>
      <c r="I2895">
        <f>IF(OC_Date=0,"",IF(INDEX('OneCause_Paste'!$A$2895:$AZ$2895,1,OC_Date)="","",INDEX('OneCause_Paste'!$A$2895:$AZ$2895,1,OC_Date)))</f>
        <v/>
      </c>
      <c r="J2895">
        <f>IF(OC_Amt=0,"",IF(INDEX('OneCause_Paste'!$A$2895:$AZ$2895,1,OC_Amt)="","",INDEX('OneCause_Paste'!$A$2895:$AZ$2895,1,OC_Amt)))</f>
        <v/>
      </c>
      <c r="K2895">
        <f>IF(OC_Name=0,"",IF(INDEX('OneCause_Paste'!$A$2895:$AZ$2895,1,OC_Name)="","",INDEX('OneCause_Paste'!$A$2895:$AZ$2895,1,OC_Name)))</f>
        <v/>
      </c>
      <c r="L2895">
        <f>IF(OC_Txn=0,"",IF(INDEX('OneCause_Paste'!$A$2895:$AZ$2895,1,OC_Txn)="","",INDEX('OneCause_Paste'!$A$2895:$AZ$2895,1,OC_Txn)))</f>
        <v/>
      </c>
      <c r="M2895">
        <f>IF(OC_Pay=0,"",IF(INDEX('OneCause_Paste'!$A$2895:$AZ$2895,1,OC_Pay)="","",INDEX('OneCause_Paste'!$A$2895:$AZ$2895,1,OC_Pay)))</f>
        <v/>
      </c>
      <c r="N2895">
        <f>IF(I2895="","",IF(ISNUMBER(I2895),INT(I2895),IFERROR(INT(DATEVALUE(I2895)),IFERROR(INT(VALUE(I2895)),"bad"))))</f>
        <v/>
      </c>
      <c r="O2895">
        <f>IF(J2895="","",IF(ISNUMBER(J2895),ROUND(J2895,2),IFERROR(ROUND(VALUE(SUBSTITUTE(SUBSTITUTE(SUBSTITUTE(J2895,"$",""),",","")," ","")),2),"bad")))</f>
        <v/>
      </c>
      <c r="P2895">
        <f>IF(TRIM(K2895)="","",IFERROR(MATCH(LOWER(TRIM(K2895)),'Students'!$AH$2:$AH$701,0),IFERROR(MATCH(LOWER(TRIM(K2895)),'Students'!$AF$2:$AF$701,0),IFERROR(MATCH(LOWER(TRIM(K2895)),'Students'!$AG$2:$AG$701,0),""))))</f>
        <v/>
      </c>
      <c r="R2895">
        <f>IF(P2895="","",INDEX('Students'!$AD$2:$AD$701,P2895))</f>
        <v/>
      </c>
      <c r="S2895">
        <f>IF(H2895="OK",O2895,0)</f>
        <v/>
      </c>
      <c r="T2895">
        <f>IF(H2895="OK",N2895,"")</f>
        <v/>
      </c>
      <c r="U2895">
        <f>IF(OC_Donor=0,"",IF(INDEX('OneCause_Paste'!$A$2895:$AZ$2895,1,OC_Donor)="","",INDEX('OneCause_Paste'!$A$2895:$AZ$2895,1,OC_Donor)))</f>
        <v/>
      </c>
    </row>
    <row r="2896">
      <c r="A2896" s="62">
        <f>IF(H2896="","",IF(ISNUMBER(N2896),N2896,I2896))</f>
        <v/>
      </c>
      <c r="B2896">
        <f>IF(H2896="","",U2896)</f>
        <v/>
      </c>
      <c r="C2896">
        <f>IF(H2896="","",IF(P2896="",K2896,INDEX('Students'!$A$2:$A$701,P2896)))</f>
        <v/>
      </c>
      <c r="D2896">
        <f>IF(OR(H2896="",P2896=""),"",INDEX('Students'!$B$2:$B$701,P2896))</f>
        <v/>
      </c>
      <c r="E2896">
        <f>IF(OR(H2896="",P2896=""),"",INDEX('Students'!$C$2:$C$701,P2896))</f>
        <v/>
      </c>
      <c r="F2896" s="48">
        <f>IF(H2896="","",IF(ISNUMBER(O2896),O2896,J2896))</f>
        <v/>
      </c>
      <c r="G2896">
        <f>IF(H2896="","","OneCause")</f>
        <v/>
      </c>
      <c r="H2896">
        <f>IF(AND(I2896="",J2896="",K2896=""),"",IF(NOT(ISNUMBER(O2896)),"Bad amount",IF(O2896&lt;0,"Refund (not counted)",IF(O2896=0,"Zero amount",IF(NOT(ISNUMBER(N2896)),"Bad date",IF(P2896="","NAME NOT ON ROSTER",IF(L2896="","OK",IF(MATCH(L2896,$L$2:$L$3001,0)&lt;ROW()-1,"Duplicate (ignored)","OK"))))))))</f>
        <v/>
      </c>
      <c r="I2896">
        <f>IF(OC_Date=0,"",IF(INDEX('OneCause_Paste'!$A$2896:$AZ$2896,1,OC_Date)="","",INDEX('OneCause_Paste'!$A$2896:$AZ$2896,1,OC_Date)))</f>
        <v/>
      </c>
      <c r="J2896">
        <f>IF(OC_Amt=0,"",IF(INDEX('OneCause_Paste'!$A$2896:$AZ$2896,1,OC_Amt)="","",INDEX('OneCause_Paste'!$A$2896:$AZ$2896,1,OC_Amt)))</f>
        <v/>
      </c>
      <c r="K2896">
        <f>IF(OC_Name=0,"",IF(INDEX('OneCause_Paste'!$A$2896:$AZ$2896,1,OC_Name)="","",INDEX('OneCause_Paste'!$A$2896:$AZ$2896,1,OC_Name)))</f>
        <v/>
      </c>
      <c r="L2896">
        <f>IF(OC_Txn=0,"",IF(INDEX('OneCause_Paste'!$A$2896:$AZ$2896,1,OC_Txn)="","",INDEX('OneCause_Paste'!$A$2896:$AZ$2896,1,OC_Txn)))</f>
        <v/>
      </c>
      <c r="M2896">
        <f>IF(OC_Pay=0,"",IF(INDEX('OneCause_Paste'!$A$2896:$AZ$2896,1,OC_Pay)="","",INDEX('OneCause_Paste'!$A$2896:$AZ$2896,1,OC_Pay)))</f>
        <v/>
      </c>
      <c r="N2896">
        <f>IF(I2896="","",IF(ISNUMBER(I2896),INT(I2896),IFERROR(INT(DATEVALUE(I2896)),IFERROR(INT(VALUE(I2896)),"bad"))))</f>
        <v/>
      </c>
      <c r="O2896">
        <f>IF(J2896="","",IF(ISNUMBER(J2896),ROUND(J2896,2),IFERROR(ROUND(VALUE(SUBSTITUTE(SUBSTITUTE(SUBSTITUTE(J2896,"$",""),",","")," ","")),2),"bad")))</f>
        <v/>
      </c>
      <c r="P2896">
        <f>IF(TRIM(K2896)="","",IFERROR(MATCH(LOWER(TRIM(K2896)),'Students'!$AH$2:$AH$701,0),IFERROR(MATCH(LOWER(TRIM(K2896)),'Students'!$AF$2:$AF$701,0),IFERROR(MATCH(LOWER(TRIM(K2896)),'Students'!$AG$2:$AG$701,0),""))))</f>
        <v/>
      </c>
      <c r="R2896">
        <f>IF(P2896="","",INDEX('Students'!$AD$2:$AD$701,P2896))</f>
        <v/>
      </c>
      <c r="S2896">
        <f>IF(H2896="OK",O2896,0)</f>
        <v/>
      </c>
      <c r="T2896">
        <f>IF(H2896="OK",N2896,"")</f>
        <v/>
      </c>
      <c r="U2896">
        <f>IF(OC_Donor=0,"",IF(INDEX('OneCause_Paste'!$A$2896:$AZ$2896,1,OC_Donor)="","",INDEX('OneCause_Paste'!$A$2896:$AZ$2896,1,OC_Donor)))</f>
        <v/>
      </c>
    </row>
    <row r="2897">
      <c r="A2897" s="62">
        <f>IF(H2897="","",IF(ISNUMBER(N2897),N2897,I2897))</f>
        <v/>
      </c>
      <c r="B2897">
        <f>IF(H2897="","",U2897)</f>
        <v/>
      </c>
      <c r="C2897">
        <f>IF(H2897="","",IF(P2897="",K2897,INDEX('Students'!$A$2:$A$701,P2897)))</f>
        <v/>
      </c>
      <c r="D2897">
        <f>IF(OR(H2897="",P2897=""),"",INDEX('Students'!$B$2:$B$701,P2897))</f>
        <v/>
      </c>
      <c r="E2897">
        <f>IF(OR(H2897="",P2897=""),"",INDEX('Students'!$C$2:$C$701,P2897))</f>
        <v/>
      </c>
      <c r="F2897" s="48">
        <f>IF(H2897="","",IF(ISNUMBER(O2897),O2897,J2897))</f>
        <v/>
      </c>
      <c r="G2897">
        <f>IF(H2897="","","OneCause")</f>
        <v/>
      </c>
      <c r="H2897">
        <f>IF(AND(I2897="",J2897="",K2897=""),"",IF(NOT(ISNUMBER(O2897)),"Bad amount",IF(O2897&lt;0,"Refund (not counted)",IF(O2897=0,"Zero amount",IF(NOT(ISNUMBER(N2897)),"Bad date",IF(P2897="","NAME NOT ON ROSTER",IF(L2897="","OK",IF(MATCH(L2897,$L$2:$L$3001,0)&lt;ROW()-1,"Duplicate (ignored)","OK"))))))))</f>
        <v/>
      </c>
      <c r="I2897">
        <f>IF(OC_Date=0,"",IF(INDEX('OneCause_Paste'!$A$2897:$AZ$2897,1,OC_Date)="","",INDEX('OneCause_Paste'!$A$2897:$AZ$2897,1,OC_Date)))</f>
        <v/>
      </c>
      <c r="J2897">
        <f>IF(OC_Amt=0,"",IF(INDEX('OneCause_Paste'!$A$2897:$AZ$2897,1,OC_Amt)="","",INDEX('OneCause_Paste'!$A$2897:$AZ$2897,1,OC_Amt)))</f>
        <v/>
      </c>
      <c r="K2897">
        <f>IF(OC_Name=0,"",IF(INDEX('OneCause_Paste'!$A$2897:$AZ$2897,1,OC_Name)="","",INDEX('OneCause_Paste'!$A$2897:$AZ$2897,1,OC_Name)))</f>
        <v/>
      </c>
      <c r="L2897">
        <f>IF(OC_Txn=0,"",IF(INDEX('OneCause_Paste'!$A$2897:$AZ$2897,1,OC_Txn)="","",INDEX('OneCause_Paste'!$A$2897:$AZ$2897,1,OC_Txn)))</f>
        <v/>
      </c>
      <c r="M2897">
        <f>IF(OC_Pay=0,"",IF(INDEX('OneCause_Paste'!$A$2897:$AZ$2897,1,OC_Pay)="","",INDEX('OneCause_Paste'!$A$2897:$AZ$2897,1,OC_Pay)))</f>
        <v/>
      </c>
      <c r="N2897">
        <f>IF(I2897="","",IF(ISNUMBER(I2897),INT(I2897),IFERROR(INT(DATEVALUE(I2897)),IFERROR(INT(VALUE(I2897)),"bad"))))</f>
        <v/>
      </c>
      <c r="O2897">
        <f>IF(J2897="","",IF(ISNUMBER(J2897),ROUND(J2897,2),IFERROR(ROUND(VALUE(SUBSTITUTE(SUBSTITUTE(SUBSTITUTE(J2897,"$",""),",","")," ","")),2),"bad")))</f>
        <v/>
      </c>
      <c r="P2897">
        <f>IF(TRIM(K2897)="","",IFERROR(MATCH(LOWER(TRIM(K2897)),'Students'!$AH$2:$AH$701,0),IFERROR(MATCH(LOWER(TRIM(K2897)),'Students'!$AF$2:$AF$701,0),IFERROR(MATCH(LOWER(TRIM(K2897)),'Students'!$AG$2:$AG$701,0),""))))</f>
        <v/>
      </c>
      <c r="R2897">
        <f>IF(P2897="","",INDEX('Students'!$AD$2:$AD$701,P2897))</f>
        <v/>
      </c>
      <c r="S2897">
        <f>IF(H2897="OK",O2897,0)</f>
        <v/>
      </c>
      <c r="T2897">
        <f>IF(H2897="OK",N2897,"")</f>
        <v/>
      </c>
      <c r="U2897">
        <f>IF(OC_Donor=0,"",IF(INDEX('OneCause_Paste'!$A$2897:$AZ$2897,1,OC_Donor)="","",INDEX('OneCause_Paste'!$A$2897:$AZ$2897,1,OC_Donor)))</f>
        <v/>
      </c>
    </row>
    <row r="2898">
      <c r="A2898" s="62">
        <f>IF(H2898="","",IF(ISNUMBER(N2898),N2898,I2898))</f>
        <v/>
      </c>
      <c r="B2898">
        <f>IF(H2898="","",U2898)</f>
        <v/>
      </c>
      <c r="C2898">
        <f>IF(H2898="","",IF(P2898="",K2898,INDEX('Students'!$A$2:$A$701,P2898)))</f>
        <v/>
      </c>
      <c r="D2898">
        <f>IF(OR(H2898="",P2898=""),"",INDEX('Students'!$B$2:$B$701,P2898))</f>
        <v/>
      </c>
      <c r="E2898">
        <f>IF(OR(H2898="",P2898=""),"",INDEX('Students'!$C$2:$C$701,P2898))</f>
        <v/>
      </c>
      <c r="F2898" s="48">
        <f>IF(H2898="","",IF(ISNUMBER(O2898),O2898,J2898))</f>
        <v/>
      </c>
      <c r="G2898">
        <f>IF(H2898="","","OneCause")</f>
        <v/>
      </c>
      <c r="H2898">
        <f>IF(AND(I2898="",J2898="",K2898=""),"",IF(NOT(ISNUMBER(O2898)),"Bad amount",IF(O2898&lt;0,"Refund (not counted)",IF(O2898=0,"Zero amount",IF(NOT(ISNUMBER(N2898)),"Bad date",IF(P2898="","NAME NOT ON ROSTER",IF(L2898="","OK",IF(MATCH(L2898,$L$2:$L$3001,0)&lt;ROW()-1,"Duplicate (ignored)","OK"))))))))</f>
        <v/>
      </c>
      <c r="I2898">
        <f>IF(OC_Date=0,"",IF(INDEX('OneCause_Paste'!$A$2898:$AZ$2898,1,OC_Date)="","",INDEX('OneCause_Paste'!$A$2898:$AZ$2898,1,OC_Date)))</f>
        <v/>
      </c>
      <c r="J2898">
        <f>IF(OC_Amt=0,"",IF(INDEX('OneCause_Paste'!$A$2898:$AZ$2898,1,OC_Amt)="","",INDEX('OneCause_Paste'!$A$2898:$AZ$2898,1,OC_Amt)))</f>
        <v/>
      </c>
      <c r="K2898">
        <f>IF(OC_Name=0,"",IF(INDEX('OneCause_Paste'!$A$2898:$AZ$2898,1,OC_Name)="","",INDEX('OneCause_Paste'!$A$2898:$AZ$2898,1,OC_Name)))</f>
        <v/>
      </c>
      <c r="L2898">
        <f>IF(OC_Txn=0,"",IF(INDEX('OneCause_Paste'!$A$2898:$AZ$2898,1,OC_Txn)="","",INDEX('OneCause_Paste'!$A$2898:$AZ$2898,1,OC_Txn)))</f>
        <v/>
      </c>
      <c r="M2898">
        <f>IF(OC_Pay=0,"",IF(INDEX('OneCause_Paste'!$A$2898:$AZ$2898,1,OC_Pay)="","",INDEX('OneCause_Paste'!$A$2898:$AZ$2898,1,OC_Pay)))</f>
        <v/>
      </c>
      <c r="N2898">
        <f>IF(I2898="","",IF(ISNUMBER(I2898),INT(I2898),IFERROR(INT(DATEVALUE(I2898)),IFERROR(INT(VALUE(I2898)),"bad"))))</f>
        <v/>
      </c>
      <c r="O2898">
        <f>IF(J2898="","",IF(ISNUMBER(J2898),ROUND(J2898,2),IFERROR(ROUND(VALUE(SUBSTITUTE(SUBSTITUTE(SUBSTITUTE(J2898,"$",""),",","")," ","")),2),"bad")))</f>
        <v/>
      </c>
      <c r="P2898">
        <f>IF(TRIM(K2898)="","",IFERROR(MATCH(LOWER(TRIM(K2898)),'Students'!$AH$2:$AH$701,0),IFERROR(MATCH(LOWER(TRIM(K2898)),'Students'!$AF$2:$AF$701,0),IFERROR(MATCH(LOWER(TRIM(K2898)),'Students'!$AG$2:$AG$701,0),""))))</f>
        <v/>
      </c>
      <c r="R2898">
        <f>IF(P2898="","",INDEX('Students'!$AD$2:$AD$701,P2898))</f>
        <v/>
      </c>
      <c r="S2898">
        <f>IF(H2898="OK",O2898,0)</f>
        <v/>
      </c>
      <c r="T2898">
        <f>IF(H2898="OK",N2898,"")</f>
        <v/>
      </c>
      <c r="U2898">
        <f>IF(OC_Donor=0,"",IF(INDEX('OneCause_Paste'!$A$2898:$AZ$2898,1,OC_Donor)="","",INDEX('OneCause_Paste'!$A$2898:$AZ$2898,1,OC_Donor)))</f>
        <v/>
      </c>
    </row>
    <row r="2899">
      <c r="A2899" s="62">
        <f>IF(H2899="","",IF(ISNUMBER(N2899),N2899,I2899))</f>
        <v/>
      </c>
      <c r="B2899">
        <f>IF(H2899="","",U2899)</f>
        <v/>
      </c>
      <c r="C2899">
        <f>IF(H2899="","",IF(P2899="",K2899,INDEX('Students'!$A$2:$A$701,P2899)))</f>
        <v/>
      </c>
      <c r="D2899">
        <f>IF(OR(H2899="",P2899=""),"",INDEX('Students'!$B$2:$B$701,P2899))</f>
        <v/>
      </c>
      <c r="E2899">
        <f>IF(OR(H2899="",P2899=""),"",INDEX('Students'!$C$2:$C$701,P2899))</f>
        <v/>
      </c>
      <c r="F2899" s="48">
        <f>IF(H2899="","",IF(ISNUMBER(O2899),O2899,J2899))</f>
        <v/>
      </c>
      <c r="G2899">
        <f>IF(H2899="","","OneCause")</f>
        <v/>
      </c>
      <c r="H2899">
        <f>IF(AND(I2899="",J2899="",K2899=""),"",IF(NOT(ISNUMBER(O2899)),"Bad amount",IF(O2899&lt;0,"Refund (not counted)",IF(O2899=0,"Zero amount",IF(NOT(ISNUMBER(N2899)),"Bad date",IF(P2899="","NAME NOT ON ROSTER",IF(L2899="","OK",IF(MATCH(L2899,$L$2:$L$3001,0)&lt;ROW()-1,"Duplicate (ignored)","OK"))))))))</f>
        <v/>
      </c>
      <c r="I2899">
        <f>IF(OC_Date=0,"",IF(INDEX('OneCause_Paste'!$A$2899:$AZ$2899,1,OC_Date)="","",INDEX('OneCause_Paste'!$A$2899:$AZ$2899,1,OC_Date)))</f>
        <v/>
      </c>
      <c r="J2899">
        <f>IF(OC_Amt=0,"",IF(INDEX('OneCause_Paste'!$A$2899:$AZ$2899,1,OC_Amt)="","",INDEX('OneCause_Paste'!$A$2899:$AZ$2899,1,OC_Amt)))</f>
        <v/>
      </c>
      <c r="K2899">
        <f>IF(OC_Name=0,"",IF(INDEX('OneCause_Paste'!$A$2899:$AZ$2899,1,OC_Name)="","",INDEX('OneCause_Paste'!$A$2899:$AZ$2899,1,OC_Name)))</f>
        <v/>
      </c>
      <c r="L2899">
        <f>IF(OC_Txn=0,"",IF(INDEX('OneCause_Paste'!$A$2899:$AZ$2899,1,OC_Txn)="","",INDEX('OneCause_Paste'!$A$2899:$AZ$2899,1,OC_Txn)))</f>
        <v/>
      </c>
      <c r="M2899">
        <f>IF(OC_Pay=0,"",IF(INDEX('OneCause_Paste'!$A$2899:$AZ$2899,1,OC_Pay)="","",INDEX('OneCause_Paste'!$A$2899:$AZ$2899,1,OC_Pay)))</f>
        <v/>
      </c>
      <c r="N2899">
        <f>IF(I2899="","",IF(ISNUMBER(I2899),INT(I2899),IFERROR(INT(DATEVALUE(I2899)),IFERROR(INT(VALUE(I2899)),"bad"))))</f>
        <v/>
      </c>
      <c r="O2899">
        <f>IF(J2899="","",IF(ISNUMBER(J2899),ROUND(J2899,2),IFERROR(ROUND(VALUE(SUBSTITUTE(SUBSTITUTE(SUBSTITUTE(J2899,"$",""),",","")," ","")),2),"bad")))</f>
        <v/>
      </c>
      <c r="P2899">
        <f>IF(TRIM(K2899)="","",IFERROR(MATCH(LOWER(TRIM(K2899)),'Students'!$AH$2:$AH$701,0),IFERROR(MATCH(LOWER(TRIM(K2899)),'Students'!$AF$2:$AF$701,0),IFERROR(MATCH(LOWER(TRIM(K2899)),'Students'!$AG$2:$AG$701,0),""))))</f>
        <v/>
      </c>
      <c r="R2899">
        <f>IF(P2899="","",INDEX('Students'!$AD$2:$AD$701,P2899))</f>
        <v/>
      </c>
      <c r="S2899">
        <f>IF(H2899="OK",O2899,0)</f>
        <v/>
      </c>
      <c r="T2899">
        <f>IF(H2899="OK",N2899,"")</f>
        <v/>
      </c>
      <c r="U2899">
        <f>IF(OC_Donor=0,"",IF(INDEX('OneCause_Paste'!$A$2899:$AZ$2899,1,OC_Donor)="","",INDEX('OneCause_Paste'!$A$2899:$AZ$2899,1,OC_Donor)))</f>
        <v/>
      </c>
    </row>
    <row r="2900">
      <c r="A2900" s="62">
        <f>IF(H2900="","",IF(ISNUMBER(N2900),N2900,I2900))</f>
        <v/>
      </c>
      <c r="B2900">
        <f>IF(H2900="","",U2900)</f>
        <v/>
      </c>
      <c r="C2900">
        <f>IF(H2900="","",IF(P2900="",K2900,INDEX('Students'!$A$2:$A$701,P2900)))</f>
        <v/>
      </c>
      <c r="D2900">
        <f>IF(OR(H2900="",P2900=""),"",INDEX('Students'!$B$2:$B$701,P2900))</f>
        <v/>
      </c>
      <c r="E2900">
        <f>IF(OR(H2900="",P2900=""),"",INDEX('Students'!$C$2:$C$701,P2900))</f>
        <v/>
      </c>
      <c r="F2900" s="48">
        <f>IF(H2900="","",IF(ISNUMBER(O2900),O2900,J2900))</f>
        <v/>
      </c>
      <c r="G2900">
        <f>IF(H2900="","","OneCause")</f>
        <v/>
      </c>
      <c r="H2900">
        <f>IF(AND(I2900="",J2900="",K2900=""),"",IF(NOT(ISNUMBER(O2900)),"Bad amount",IF(O2900&lt;0,"Refund (not counted)",IF(O2900=0,"Zero amount",IF(NOT(ISNUMBER(N2900)),"Bad date",IF(P2900="","NAME NOT ON ROSTER",IF(L2900="","OK",IF(MATCH(L2900,$L$2:$L$3001,0)&lt;ROW()-1,"Duplicate (ignored)","OK"))))))))</f>
        <v/>
      </c>
      <c r="I2900">
        <f>IF(OC_Date=0,"",IF(INDEX('OneCause_Paste'!$A$2900:$AZ$2900,1,OC_Date)="","",INDEX('OneCause_Paste'!$A$2900:$AZ$2900,1,OC_Date)))</f>
        <v/>
      </c>
      <c r="J2900">
        <f>IF(OC_Amt=0,"",IF(INDEX('OneCause_Paste'!$A$2900:$AZ$2900,1,OC_Amt)="","",INDEX('OneCause_Paste'!$A$2900:$AZ$2900,1,OC_Amt)))</f>
        <v/>
      </c>
      <c r="K2900">
        <f>IF(OC_Name=0,"",IF(INDEX('OneCause_Paste'!$A$2900:$AZ$2900,1,OC_Name)="","",INDEX('OneCause_Paste'!$A$2900:$AZ$2900,1,OC_Name)))</f>
        <v/>
      </c>
      <c r="L2900">
        <f>IF(OC_Txn=0,"",IF(INDEX('OneCause_Paste'!$A$2900:$AZ$2900,1,OC_Txn)="","",INDEX('OneCause_Paste'!$A$2900:$AZ$2900,1,OC_Txn)))</f>
        <v/>
      </c>
      <c r="M2900">
        <f>IF(OC_Pay=0,"",IF(INDEX('OneCause_Paste'!$A$2900:$AZ$2900,1,OC_Pay)="","",INDEX('OneCause_Paste'!$A$2900:$AZ$2900,1,OC_Pay)))</f>
        <v/>
      </c>
      <c r="N2900">
        <f>IF(I2900="","",IF(ISNUMBER(I2900),INT(I2900),IFERROR(INT(DATEVALUE(I2900)),IFERROR(INT(VALUE(I2900)),"bad"))))</f>
        <v/>
      </c>
      <c r="O2900">
        <f>IF(J2900="","",IF(ISNUMBER(J2900),ROUND(J2900,2),IFERROR(ROUND(VALUE(SUBSTITUTE(SUBSTITUTE(SUBSTITUTE(J2900,"$",""),",","")," ","")),2),"bad")))</f>
        <v/>
      </c>
      <c r="P2900">
        <f>IF(TRIM(K2900)="","",IFERROR(MATCH(LOWER(TRIM(K2900)),'Students'!$AH$2:$AH$701,0),IFERROR(MATCH(LOWER(TRIM(K2900)),'Students'!$AF$2:$AF$701,0),IFERROR(MATCH(LOWER(TRIM(K2900)),'Students'!$AG$2:$AG$701,0),""))))</f>
        <v/>
      </c>
      <c r="R2900">
        <f>IF(P2900="","",INDEX('Students'!$AD$2:$AD$701,P2900))</f>
        <v/>
      </c>
      <c r="S2900">
        <f>IF(H2900="OK",O2900,0)</f>
        <v/>
      </c>
      <c r="T2900">
        <f>IF(H2900="OK",N2900,"")</f>
        <v/>
      </c>
      <c r="U2900">
        <f>IF(OC_Donor=0,"",IF(INDEX('OneCause_Paste'!$A$2900:$AZ$2900,1,OC_Donor)="","",INDEX('OneCause_Paste'!$A$2900:$AZ$2900,1,OC_Donor)))</f>
        <v/>
      </c>
    </row>
    <row r="2901">
      <c r="A2901" s="62">
        <f>IF(H2901="","",IF(ISNUMBER(N2901),N2901,I2901))</f>
        <v/>
      </c>
      <c r="B2901">
        <f>IF(H2901="","",U2901)</f>
        <v/>
      </c>
      <c r="C2901">
        <f>IF(H2901="","",IF(P2901="",K2901,INDEX('Students'!$A$2:$A$701,P2901)))</f>
        <v/>
      </c>
      <c r="D2901">
        <f>IF(OR(H2901="",P2901=""),"",INDEX('Students'!$B$2:$B$701,P2901))</f>
        <v/>
      </c>
      <c r="E2901">
        <f>IF(OR(H2901="",P2901=""),"",INDEX('Students'!$C$2:$C$701,P2901))</f>
        <v/>
      </c>
      <c r="F2901" s="48">
        <f>IF(H2901="","",IF(ISNUMBER(O2901),O2901,J2901))</f>
        <v/>
      </c>
      <c r="G2901">
        <f>IF(H2901="","","OneCause")</f>
        <v/>
      </c>
      <c r="H2901">
        <f>IF(AND(I2901="",J2901="",K2901=""),"",IF(NOT(ISNUMBER(O2901)),"Bad amount",IF(O2901&lt;0,"Refund (not counted)",IF(O2901=0,"Zero amount",IF(NOT(ISNUMBER(N2901)),"Bad date",IF(P2901="","NAME NOT ON ROSTER",IF(L2901="","OK",IF(MATCH(L2901,$L$2:$L$3001,0)&lt;ROW()-1,"Duplicate (ignored)","OK"))))))))</f>
        <v/>
      </c>
      <c r="I2901">
        <f>IF(OC_Date=0,"",IF(INDEX('OneCause_Paste'!$A$2901:$AZ$2901,1,OC_Date)="","",INDEX('OneCause_Paste'!$A$2901:$AZ$2901,1,OC_Date)))</f>
        <v/>
      </c>
      <c r="J2901">
        <f>IF(OC_Amt=0,"",IF(INDEX('OneCause_Paste'!$A$2901:$AZ$2901,1,OC_Amt)="","",INDEX('OneCause_Paste'!$A$2901:$AZ$2901,1,OC_Amt)))</f>
        <v/>
      </c>
      <c r="K2901">
        <f>IF(OC_Name=0,"",IF(INDEX('OneCause_Paste'!$A$2901:$AZ$2901,1,OC_Name)="","",INDEX('OneCause_Paste'!$A$2901:$AZ$2901,1,OC_Name)))</f>
        <v/>
      </c>
      <c r="L2901">
        <f>IF(OC_Txn=0,"",IF(INDEX('OneCause_Paste'!$A$2901:$AZ$2901,1,OC_Txn)="","",INDEX('OneCause_Paste'!$A$2901:$AZ$2901,1,OC_Txn)))</f>
        <v/>
      </c>
      <c r="M2901">
        <f>IF(OC_Pay=0,"",IF(INDEX('OneCause_Paste'!$A$2901:$AZ$2901,1,OC_Pay)="","",INDEX('OneCause_Paste'!$A$2901:$AZ$2901,1,OC_Pay)))</f>
        <v/>
      </c>
      <c r="N2901">
        <f>IF(I2901="","",IF(ISNUMBER(I2901),INT(I2901),IFERROR(INT(DATEVALUE(I2901)),IFERROR(INT(VALUE(I2901)),"bad"))))</f>
        <v/>
      </c>
      <c r="O2901">
        <f>IF(J2901="","",IF(ISNUMBER(J2901),ROUND(J2901,2),IFERROR(ROUND(VALUE(SUBSTITUTE(SUBSTITUTE(SUBSTITUTE(J2901,"$",""),",","")," ","")),2),"bad")))</f>
        <v/>
      </c>
      <c r="P2901">
        <f>IF(TRIM(K2901)="","",IFERROR(MATCH(LOWER(TRIM(K2901)),'Students'!$AH$2:$AH$701,0),IFERROR(MATCH(LOWER(TRIM(K2901)),'Students'!$AF$2:$AF$701,0),IFERROR(MATCH(LOWER(TRIM(K2901)),'Students'!$AG$2:$AG$701,0),""))))</f>
        <v/>
      </c>
      <c r="R2901">
        <f>IF(P2901="","",INDEX('Students'!$AD$2:$AD$701,P2901))</f>
        <v/>
      </c>
      <c r="S2901">
        <f>IF(H2901="OK",O2901,0)</f>
        <v/>
      </c>
      <c r="T2901">
        <f>IF(H2901="OK",N2901,"")</f>
        <v/>
      </c>
      <c r="U2901">
        <f>IF(OC_Donor=0,"",IF(INDEX('OneCause_Paste'!$A$2901:$AZ$2901,1,OC_Donor)="","",INDEX('OneCause_Paste'!$A$2901:$AZ$2901,1,OC_Donor)))</f>
        <v/>
      </c>
    </row>
    <row r="2902">
      <c r="A2902" s="62">
        <f>IF(H2902="","",IF(ISNUMBER(N2902),N2902,I2902))</f>
        <v/>
      </c>
      <c r="B2902">
        <f>IF(H2902="","",U2902)</f>
        <v/>
      </c>
      <c r="C2902">
        <f>IF(H2902="","",IF(P2902="",K2902,INDEX('Students'!$A$2:$A$701,P2902)))</f>
        <v/>
      </c>
      <c r="D2902">
        <f>IF(OR(H2902="",P2902=""),"",INDEX('Students'!$B$2:$B$701,P2902))</f>
        <v/>
      </c>
      <c r="E2902">
        <f>IF(OR(H2902="",P2902=""),"",INDEX('Students'!$C$2:$C$701,P2902))</f>
        <v/>
      </c>
      <c r="F2902" s="48">
        <f>IF(H2902="","",IF(ISNUMBER(O2902),O2902,J2902))</f>
        <v/>
      </c>
      <c r="G2902">
        <f>IF(H2902="","","OneCause")</f>
        <v/>
      </c>
      <c r="H2902">
        <f>IF(AND(I2902="",J2902="",K2902=""),"",IF(NOT(ISNUMBER(O2902)),"Bad amount",IF(O2902&lt;0,"Refund (not counted)",IF(O2902=0,"Zero amount",IF(NOT(ISNUMBER(N2902)),"Bad date",IF(P2902="","NAME NOT ON ROSTER",IF(L2902="","OK",IF(MATCH(L2902,$L$2:$L$3001,0)&lt;ROW()-1,"Duplicate (ignored)","OK"))))))))</f>
        <v/>
      </c>
      <c r="I2902">
        <f>IF(OC_Date=0,"",IF(INDEX('OneCause_Paste'!$A$2902:$AZ$2902,1,OC_Date)="","",INDEX('OneCause_Paste'!$A$2902:$AZ$2902,1,OC_Date)))</f>
        <v/>
      </c>
      <c r="J2902">
        <f>IF(OC_Amt=0,"",IF(INDEX('OneCause_Paste'!$A$2902:$AZ$2902,1,OC_Amt)="","",INDEX('OneCause_Paste'!$A$2902:$AZ$2902,1,OC_Amt)))</f>
        <v/>
      </c>
      <c r="K2902">
        <f>IF(OC_Name=0,"",IF(INDEX('OneCause_Paste'!$A$2902:$AZ$2902,1,OC_Name)="","",INDEX('OneCause_Paste'!$A$2902:$AZ$2902,1,OC_Name)))</f>
        <v/>
      </c>
      <c r="L2902">
        <f>IF(OC_Txn=0,"",IF(INDEX('OneCause_Paste'!$A$2902:$AZ$2902,1,OC_Txn)="","",INDEX('OneCause_Paste'!$A$2902:$AZ$2902,1,OC_Txn)))</f>
        <v/>
      </c>
      <c r="M2902">
        <f>IF(OC_Pay=0,"",IF(INDEX('OneCause_Paste'!$A$2902:$AZ$2902,1,OC_Pay)="","",INDEX('OneCause_Paste'!$A$2902:$AZ$2902,1,OC_Pay)))</f>
        <v/>
      </c>
      <c r="N2902">
        <f>IF(I2902="","",IF(ISNUMBER(I2902),INT(I2902),IFERROR(INT(DATEVALUE(I2902)),IFERROR(INT(VALUE(I2902)),"bad"))))</f>
        <v/>
      </c>
      <c r="O2902">
        <f>IF(J2902="","",IF(ISNUMBER(J2902),ROUND(J2902,2),IFERROR(ROUND(VALUE(SUBSTITUTE(SUBSTITUTE(SUBSTITUTE(J2902,"$",""),",","")," ","")),2),"bad")))</f>
        <v/>
      </c>
      <c r="P2902">
        <f>IF(TRIM(K2902)="","",IFERROR(MATCH(LOWER(TRIM(K2902)),'Students'!$AH$2:$AH$701,0),IFERROR(MATCH(LOWER(TRIM(K2902)),'Students'!$AF$2:$AF$701,0),IFERROR(MATCH(LOWER(TRIM(K2902)),'Students'!$AG$2:$AG$701,0),""))))</f>
        <v/>
      </c>
      <c r="R2902">
        <f>IF(P2902="","",INDEX('Students'!$AD$2:$AD$701,P2902))</f>
        <v/>
      </c>
      <c r="S2902">
        <f>IF(H2902="OK",O2902,0)</f>
        <v/>
      </c>
      <c r="T2902">
        <f>IF(H2902="OK",N2902,"")</f>
        <v/>
      </c>
      <c r="U2902">
        <f>IF(OC_Donor=0,"",IF(INDEX('OneCause_Paste'!$A$2902:$AZ$2902,1,OC_Donor)="","",INDEX('OneCause_Paste'!$A$2902:$AZ$2902,1,OC_Donor)))</f>
        <v/>
      </c>
    </row>
    <row r="2903">
      <c r="A2903" s="62">
        <f>IF(H2903="","",IF(ISNUMBER(N2903),N2903,I2903))</f>
        <v/>
      </c>
      <c r="B2903">
        <f>IF(H2903="","",U2903)</f>
        <v/>
      </c>
      <c r="C2903">
        <f>IF(H2903="","",IF(P2903="",K2903,INDEX('Students'!$A$2:$A$701,P2903)))</f>
        <v/>
      </c>
      <c r="D2903">
        <f>IF(OR(H2903="",P2903=""),"",INDEX('Students'!$B$2:$B$701,P2903))</f>
        <v/>
      </c>
      <c r="E2903">
        <f>IF(OR(H2903="",P2903=""),"",INDEX('Students'!$C$2:$C$701,P2903))</f>
        <v/>
      </c>
      <c r="F2903" s="48">
        <f>IF(H2903="","",IF(ISNUMBER(O2903),O2903,J2903))</f>
        <v/>
      </c>
      <c r="G2903">
        <f>IF(H2903="","","OneCause")</f>
        <v/>
      </c>
      <c r="H2903">
        <f>IF(AND(I2903="",J2903="",K2903=""),"",IF(NOT(ISNUMBER(O2903)),"Bad amount",IF(O2903&lt;0,"Refund (not counted)",IF(O2903=0,"Zero amount",IF(NOT(ISNUMBER(N2903)),"Bad date",IF(P2903="","NAME NOT ON ROSTER",IF(L2903="","OK",IF(MATCH(L2903,$L$2:$L$3001,0)&lt;ROW()-1,"Duplicate (ignored)","OK"))))))))</f>
        <v/>
      </c>
      <c r="I2903">
        <f>IF(OC_Date=0,"",IF(INDEX('OneCause_Paste'!$A$2903:$AZ$2903,1,OC_Date)="","",INDEX('OneCause_Paste'!$A$2903:$AZ$2903,1,OC_Date)))</f>
        <v/>
      </c>
      <c r="J2903">
        <f>IF(OC_Amt=0,"",IF(INDEX('OneCause_Paste'!$A$2903:$AZ$2903,1,OC_Amt)="","",INDEX('OneCause_Paste'!$A$2903:$AZ$2903,1,OC_Amt)))</f>
        <v/>
      </c>
      <c r="K2903">
        <f>IF(OC_Name=0,"",IF(INDEX('OneCause_Paste'!$A$2903:$AZ$2903,1,OC_Name)="","",INDEX('OneCause_Paste'!$A$2903:$AZ$2903,1,OC_Name)))</f>
        <v/>
      </c>
      <c r="L2903">
        <f>IF(OC_Txn=0,"",IF(INDEX('OneCause_Paste'!$A$2903:$AZ$2903,1,OC_Txn)="","",INDEX('OneCause_Paste'!$A$2903:$AZ$2903,1,OC_Txn)))</f>
        <v/>
      </c>
      <c r="M2903">
        <f>IF(OC_Pay=0,"",IF(INDEX('OneCause_Paste'!$A$2903:$AZ$2903,1,OC_Pay)="","",INDEX('OneCause_Paste'!$A$2903:$AZ$2903,1,OC_Pay)))</f>
        <v/>
      </c>
      <c r="N2903">
        <f>IF(I2903="","",IF(ISNUMBER(I2903),INT(I2903),IFERROR(INT(DATEVALUE(I2903)),IFERROR(INT(VALUE(I2903)),"bad"))))</f>
        <v/>
      </c>
      <c r="O2903">
        <f>IF(J2903="","",IF(ISNUMBER(J2903),ROUND(J2903,2),IFERROR(ROUND(VALUE(SUBSTITUTE(SUBSTITUTE(SUBSTITUTE(J2903,"$",""),",","")," ","")),2),"bad")))</f>
        <v/>
      </c>
      <c r="P2903">
        <f>IF(TRIM(K2903)="","",IFERROR(MATCH(LOWER(TRIM(K2903)),'Students'!$AH$2:$AH$701,0),IFERROR(MATCH(LOWER(TRIM(K2903)),'Students'!$AF$2:$AF$701,0),IFERROR(MATCH(LOWER(TRIM(K2903)),'Students'!$AG$2:$AG$701,0),""))))</f>
        <v/>
      </c>
      <c r="R2903">
        <f>IF(P2903="","",INDEX('Students'!$AD$2:$AD$701,P2903))</f>
        <v/>
      </c>
      <c r="S2903">
        <f>IF(H2903="OK",O2903,0)</f>
        <v/>
      </c>
      <c r="T2903">
        <f>IF(H2903="OK",N2903,"")</f>
        <v/>
      </c>
      <c r="U2903">
        <f>IF(OC_Donor=0,"",IF(INDEX('OneCause_Paste'!$A$2903:$AZ$2903,1,OC_Donor)="","",INDEX('OneCause_Paste'!$A$2903:$AZ$2903,1,OC_Donor)))</f>
        <v/>
      </c>
    </row>
    <row r="2904">
      <c r="A2904" s="62">
        <f>IF(H2904="","",IF(ISNUMBER(N2904),N2904,I2904))</f>
        <v/>
      </c>
      <c r="B2904">
        <f>IF(H2904="","",U2904)</f>
        <v/>
      </c>
      <c r="C2904">
        <f>IF(H2904="","",IF(P2904="",K2904,INDEX('Students'!$A$2:$A$701,P2904)))</f>
        <v/>
      </c>
      <c r="D2904">
        <f>IF(OR(H2904="",P2904=""),"",INDEX('Students'!$B$2:$B$701,P2904))</f>
        <v/>
      </c>
      <c r="E2904">
        <f>IF(OR(H2904="",P2904=""),"",INDEX('Students'!$C$2:$C$701,P2904))</f>
        <v/>
      </c>
      <c r="F2904" s="48">
        <f>IF(H2904="","",IF(ISNUMBER(O2904),O2904,J2904))</f>
        <v/>
      </c>
      <c r="G2904">
        <f>IF(H2904="","","OneCause")</f>
        <v/>
      </c>
      <c r="H2904">
        <f>IF(AND(I2904="",J2904="",K2904=""),"",IF(NOT(ISNUMBER(O2904)),"Bad amount",IF(O2904&lt;0,"Refund (not counted)",IF(O2904=0,"Zero amount",IF(NOT(ISNUMBER(N2904)),"Bad date",IF(P2904="","NAME NOT ON ROSTER",IF(L2904="","OK",IF(MATCH(L2904,$L$2:$L$3001,0)&lt;ROW()-1,"Duplicate (ignored)","OK"))))))))</f>
        <v/>
      </c>
      <c r="I2904">
        <f>IF(OC_Date=0,"",IF(INDEX('OneCause_Paste'!$A$2904:$AZ$2904,1,OC_Date)="","",INDEX('OneCause_Paste'!$A$2904:$AZ$2904,1,OC_Date)))</f>
        <v/>
      </c>
      <c r="J2904">
        <f>IF(OC_Amt=0,"",IF(INDEX('OneCause_Paste'!$A$2904:$AZ$2904,1,OC_Amt)="","",INDEX('OneCause_Paste'!$A$2904:$AZ$2904,1,OC_Amt)))</f>
        <v/>
      </c>
      <c r="K2904">
        <f>IF(OC_Name=0,"",IF(INDEX('OneCause_Paste'!$A$2904:$AZ$2904,1,OC_Name)="","",INDEX('OneCause_Paste'!$A$2904:$AZ$2904,1,OC_Name)))</f>
        <v/>
      </c>
      <c r="L2904">
        <f>IF(OC_Txn=0,"",IF(INDEX('OneCause_Paste'!$A$2904:$AZ$2904,1,OC_Txn)="","",INDEX('OneCause_Paste'!$A$2904:$AZ$2904,1,OC_Txn)))</f>
        <v/>
      </c>
      <c r="M2904">
        <f>IF(OC_Pay=0,"",IF(INDEX('OneCause_Paste'!$A$2904:$AZ$2904,1,OC_Pay)="","",INDEX('OneCause_Paste'!$A$2904:$AZ$2904,1,OC_Pay)))</f>
        <v/>
      </c>
      <c r="N2904">
        <f>IF(I2904="","",IF(ISNUMBER(I2904),INT(I2904),IFERROR(INT(DATEVALUE(I2904)),IFERROR(INT(VALUE(I2904)),"bad"))))</f>
        <v/>
      </c>
      <c r="O2904">
        <f>IF(J2904="","",IF(ISNUMBER(J2904),ROUND(J2904,2),IFERROR(ROUND(VALUE(SUBSTITUTE(SUBSTITUTE(SUBSTITUTE(J2904,"$",""),",","")," ","")),2),"bad")))</f>
        <v/>
      </c>
      <c r="P2904">
        <f>IF(TRIM(K2904)="","",IFERROR(MATCH(LOWER(TRIM(K2904)),'Students'!$AH$2:$AH$701,0),IFERROR(MATCH(LOWER(TRIM(K2904)),'Students'!$AF$2:$AF$701,0),IFERROR(MATCH(LOWER(TRIM(K2904)),'Students'!$AG$2:$AG$701,0),""))))</f>
        <v/>
      </c>
      <c r="R2904">
        <f>IF(P2904="","",INDEX('Students'!$AD$2:$AD$701,P2904))</f>
        <v/>
      </c>
      <c r="S2904">
        <f>IF(H2904="OK",O2904,0)</f>
        <v/>
      </c>
      <c r="T2904">
        <f>IF(H2904="OK",N2904,"")</f>
        <v/>
      </c>
      <c r="U2904">
        <f>IF(OC_Donor=0,"",IF(INDEX('OneCause_Paste'!$A$2904:$AZ$2904,1,OC_Donor)="","",INDEX('OneCause_Paste'!$A$2904:$AZ$2904,1,OC_Donor)))</f>
        <v/>
      </c>
    </row>
    <row r="2905">
      <c r="A2905" s="62">
        <f>IF(H2905="","",IF(ISNUMBER(N2905),N2905,I2905))</f>
        <v/>
      </c>
      <c r="B2905">
        <f>IF(H2905="","",U2905)</f>
        <v/>
      </c>
      <c r="C2905">
        <f>IF(H2905="","",IF(P2905="",K2905,INDEX('Students'!$A$2:$A$701,P2905)))</f>
        <v/>
      </c>
      <c r="D2905">
        <f>IF(OR(H2905="",P2905=""),"",INDEX('Students'!$B$2:$B$701,P2905))</f>
        <v/>
      </c>
      <c r="E2905">
        <f>IF(OR(H2905="",P2905=""),"",INDEX('Students'!$C$2:$C$701,P2905))</f>
        <v/>
      </c>
      <c r="F2905" s="48">
        <f>IF(H2905="","",IF(ISNUMBER(O2905),O2905,J2905))</f>
        <v/>
      </c>
      <c r="G2905">
        <f>IF(H2905="","","OneCause")</f>
        <v/>
      </c>
      <c r="H2905">
        <f>IF(AND(I2905="",J2905="",K2905=""),"",IF(NOT(ISNUMBER(O2905)),"Bad amount",IF(O2905&lt;0,"Refund (not counted)",IF(O2905=0,"Zero amount",IF(NOT(ISNUMBER(N2905)),"Bad date",IF(P2905="","NAME NOT ON ROSTER",IF(L2905="","OK",IF(MATCH(L2905,$L$2:$L$3001,0)&lt;ROW()-1,"Duplicate (ignored)","OK"))))))))</f>
        <v/>
      </c>
      <c r="I2905">
        <f>IF(OC_Date=0,"",IF(INDEX('OneCause_Paste'!$A$2905:$AZ$2905,1,OC_Date)="","",INDEX('OneCause_Paste'!$A$2905:$AZ$2905,1,OC_Date)))</f>
        <v/>
      </c>
      <c r="J2905">
        <f>IF(OC_Amt=0,"",IF(INDEX('OneCause_Paste'!$A$2905:$AZ$2905,1,OC_Amt)="","",INDEX('OneCause_Paste'!$A$2905:$AZ$2905,1,OC_Amt)))</f>
        <v/>
      </c>
      <c r="K2905">
        <f>IF(OC_Name=0,"",IF(INDEX('OneCause_Paste'!$A$2905:$AZ$2905,1,OC_Name)="","",INDEX('OneCause_Paste'!$A$2905:$AZ$2905,1,OC_Name)))</f>
        <v/>
      </c>
      <c r="L2905">
        <f>IF(OC_Txn=0,"",IF(INDEX('OneCause_Paste'!$A$2905:$AZ$2905,1,OC_Txn)="","",INDEX('OneCause_Paste'!$A$2905:$AZ$2905,1,OC_Txn)))</f>
        <v/>
      </c>
      <c r="M2905">
        <f>IF(OC_Pay=0,"",IF(INDEX('OneCause_Paste'!$A$2905:$AZ$2905,1,OC_Pay)="","",INDEX('OneCause_Paste'!$A$2905:$AZ$2905,1,OC_Pay)))</f>
        <v/>
      </c>
      <c r="N2905">
        <f>IF(I2905="","",IF(ISNUMBER(I2905),INT(I2905),IFERROR(INT(DATEVALUE(I2905)),IFERROR(INT(VALUE(I2905)),"bad"))))</f>
        <v/>
      </c>
      <c r="O2905">
        <f>IF(J2905="","",IF(ISNUMBER(J2905),ROUND(J2905,2),IFERROR(ROUND(VALUE(SUBSTITUTE(SUBSTITUTE(SUBSTITUTE(J2905,"$",""),",","")," ","")),2),"bad")))</f>
        <v/>
      </c>
      <c r="P2905">
        <f>IF(TRIM(K2905)="","",IFERROR(MATCH(LOWER(TRIM(K2905)),'Students'!$AH$2:$AH$701,0),IFERROR(MATCH(LOWER(TRIM(K2905)),'Students'!$AF$2:$AF$701,0),IFERROR(MATCH(LOWER(TRIM(K2905)),'Students'!$AG$2:$AG$701,0),""))))</f>
        <v/>
      </c>
      <c r="R2905">
        <f>IF(P2905="","",INDEX('Students'!$AD$2:$AD$701,P2905))</f>
        <v/>
      </c>
      <c r="S2905">
        <f>IF(H2905="OK",O2905,0)</f>
        <v/>
      </c>
      <c r="T2905">
        <f>IF(H2905="OK",N2905,"")</f>
        <v/>
      </c>
      <c r="U2905">
        <f>IF(OC_Donor=0,"",IF(INDEX('OneCause_Paste'!$A$2905:$AZ$2905,1,OC_Donor)="","",INDEX('OneCause_Paste'!$A$2905:$AZ$2905,1,OC_Donor)))</f>
        <v/>
      </c>
    </row>
    <row r="2906">
      <c r="A2906" s="62">
        <f>IF(H2906="","",IF(ISNUMBER(N2906),N2906,I2906))</f>
        <v/>
      </c>
      <c r="B2906">
        <f>IF(H2906="","",U2906)</f>
        <v/>
      </c>
      <c r="C2906">
        <f>IF(H2906="","",IF(P2906="",K2906,INDEX('Students'!$A$2:$A$701,P2906)))</f>
        <v/>
      </c>
      <c r="D2906">
        <f>IF(OR(H2906="",P2906=""),"",INDEX('Students'!$B$2:$B$701,P2906))</f>
        <v/>
      </c>
      <c r="E2906">
        <f>IF(OR(H2906="",P2906=""),"",INDEX('Students'!$C$2:$C$701,P2906))</f>
        <v/>
      </c>
      <c r="F2906" s="48">
        <f>IF(H2906="","",IF(ISNUMBER(O2906),O2906,J2906))</f>
        <v/>
      </c>
      <c r="G2906">
        <f>IF(H2906="","","OneCause")</f>
        <v/>
      </c>
      <c r="H2906">
        <f>IF(AND(I2906="",J2906="",K2906=""),"",IF(NOT(ISNUMBER(O2906)),"Bad amount",IF(O2906&lt;0,"Refund (not counted)",IF(O2906=0,"Zero amount",IF(NOT(ISNUMBER(N2906)),"Bad date",IF(P2906="","NAME NOT ON ROSTER",IF(L2906="","OK",IF(MATCH(L2906,$L$2:$L$3001,0)&lt;ROW()-1,"Duplicate (ignored)","OK"))))))))</f>
        <v/>
      </c>
      <c r="I2906">
        <f>IF(OC_Date=0,"",IF(INDEX('OneCause_Paste'!$A$2906:$AZ$2906,1,OC_Date)="","",INDEX('OneCause_Paste'!$A$2906:$AZ$2906,1,OC_Date)))</f>
        <v/>
      </c>
      <c r="J2906">
        <f>IF(OC_Amt=0,"",IF(INDEX('OneCause_Paste'!$A$2906:$AZ$2906,1,OC_Amt)="","",INDEX('OneCause_Paste'!$A$2906:$AZ$2906,1,OC_Amt)))</f>
        <v/>
      </c>
      <c r="K2906">
        <f>IF(OC_Name=0,"",IF(INDEX('OneCause_Paste'!$A$2906:$AZ$2906,1,OC_Name)="","",INDEX('OneCause_Paste'!$A$2906:$AZ$2906,1,OC_Name)))</f>
        <v/>
      </c>
      <c r="L2906">
        <f>IF(OC_Txn=0,"",IF(INDEX('OneCause_Paste'!$A$2906:$AZ$2906,1,OC_Txn)="","",INDEX('OneCause_Paste'!$A$2906:$AZ$2906,1,OC_Txn)))</f>
        <v/>
      </c>
      <c r="M2906">
        <f>IF(OC_Pay=0,"",IF(INDEX('OneCause_Paste'!$A$2906:$AZ$2906,1,OC_Pay)="","",INDEX('OneCause_Paste'!$A$2906:$AZ$2906,1,OC_Pay)))</f>
        <v/>
      </c>
      <c r="N2906">
        <f>IF(I2906="","",IF(ISNUMBER(I2906),INT(I2906),IFERROR(INT(DATEVALUE(I2906)),IFERROR(INT(VALUE(I2906)),"bad"))))</f>
        <v/>
      </c>
      <c r="O2906">
        <f>IF(J2906="","",IF(ISNUMBER(J2906),ROUND(J2906,2),IFERROR(ROUND(VALUE(SUBSTITUTE(SUBSTITUTE(SUBSTITUTE(J2906,"$",""),",","")," ","")),2),"bad")))</f>
        <v/>
      </c>
      <c r="P2906">
        <f>IF(TRIM(K2906)="","",IFERROR(MATCH(LOWER(TRIM(K2906)),'Students'!$AH$2:$AH$701,0),IFERROR(MATCH(LOWER(TRIM(K2906)),'Students'!$AF$2:$AF$701,0),IFERROR(MATCH(LOWER(TRIM(K2906)),'Students'!$AG$2:$AG$701,0),""))))</f>
        <v/>
      </c>
      <c r="R2906">
        <f>IF(P2906="","",INDEX('Students'!$AD$2:$AD$701,P2906))</f>
        <v/>
      </c>
      <c r="S2906">
        <f>IF(H2906="OK",O2906,0)</f>
        <v/>
      </c>
      <c r="T2906">
        <f>IF(H2906="OK",N2906,"")</f>
        <v/>
      </c>
      <c r="U2906">
        <f>IF(OC_Donor=0,"",IF(INDEX('OneCause_Paste'!$A$2906:$AZ$2906,1,OC_Donor)="","",INDEX('OneCause_Paste'!$A$2906:$AZ$2906,1,OC_Donor)))</f>
        <v/>
      </c>
    </row>
    <row r="2907">
      <c r="A2907" s="62">
        <f>IF(H2907="","",IF(ISNUMBER(N2907),N2907,I2907))</f>
        <v/>
      </c>
      <c r="B2907">
        <f>IF(H2907="","",U2907)</f>
        <v/>
      </c>
      <c r="C2907">
        <f>IF(H2907="","",IF(P2907="",K2907,INDEX('Students'!$A$2:$A$701,P2907)))</f>
        <v/>
      </c>
      <c r="D2907">
        <f>IF(OR(H2907="",P2907=""),"",INDEX('Students'!$B$2:$B$701,P2907))</f>
        <v/>
      </c>
      <c r="E2907">
        <f>IF(OR(H2907="",P2907=""),"",INDEX('Students'!$C$2:$C$701,P2907))</f>
        <v/>
      </c>
      <c r="F2907" s="48">
        <f>IF(H2907="","",IF(ISNUMBER(O2907),O2907,J2907))</f>
        <v/>
      </c>
      <c r="G2907">
        <f>IF(H2907="","","OneCause")</f>
        <v/>
      </c>
      <c r="H2907">
        <f>IF(AND(I2907="",J2907="",K2907=""),"",IF(NOT(ISNUMBER(O2907)),"Bad amount",IF(O2907&lt;0,"Refund (not counted)",IF(O2907=0,"Zero amount",IF(NOT(ISNUMBER(N2907)),"Bad date",IF(P2907="","NAME NOT ON ROSTER",IF(L2907="","OK",IF(MATCH(L2907,$L$2:$L$3001,0)&lt;ROW()-1,"Duplicate (ignored)","OK"))))))))</f>
        <v/>
      </c>
      <c r="I2907">
        <f>IF(OC_Date=0,"",IF(INDEX('OneCause_Paste'!$A$2907:$AZ$2907,1,OC_Date)="","",INDEX('OneCause_Paste'!$A$2907:$AZ$2907,1,OC_Date)))</f>
        <v/>
      </c>
      <c r="J2907">
        <f>IF(OC_Amt=0,"",IF(INDEX('OneCause_Paste'!$A$2907:$AZ$2907,1,OC_Amt)="","",INDEX('OneCause_Paste'!$A$2907:$AZ$2907,1,OC_Amt)))</f>
        <v/>
      </c>
      <c r="K2907">
        <f>IF(OC_Name=0,"",IF(INDEX('OneCause_Paste'!$A$2907:$AZ$2907,1,OC_Name)="","",INDEX('OneCause_Paste'!$A$2907:$AZ$2907,1,OC_Name)))</f>
        <v/>
      </c>
      <c r="L2907">
        <f>IF(OC_Txn=0,"",IF(INDEX('OneCause_Paste'!$A$2907:$AZ$2907,1,OC_Txn)="","",INDEX('OneCause_Paste'!$A$2907:$AZ$2907,1,OC_Txn)))</f>
        <v/>
      </c>
      <c r="M2907">
        <f>IF(OC_Pay=0,"",IF(INDEX('OneCause_Paste'!$A$2907:$AZ$2907,1,OC_Pay)="","",INDEX('OneCause_Paste'!$A$2907:$AZ$2907,1,OC_Pay)))</f>
        <v/>
      </c>
      <c r="N2907">
        <f>IF(I2907="","",IF(ISNUMBER(I2907),INT(I2907),IFERROR(INT(DATEVALUE(I2907)),IFERROR(INT(VALUE(I2907)),"bad"))))</f>
        <v/>
      </c>
      <c r="O2907">
        <f>IF(J2907="","",IF(ISNUMBER(J2907),ROUND(J2907,2),IFERROR(ROUND(VALUE(SUBSTITUTE(SUBSTITUTE(SUBSTITUTE(J2907,"$",""),",","")," ","")),2),"bad")))</f>
        <v/>
      </c>
      <c r="P2907">
        <f>IF(TRIM(K2907)="","",IFERROR(MATCH(LOWER(TRIM(K2907)),'Students'!$AH$2:$AH$701,0),IFERROR(MATCH(LOWER(TRIM(K2907)),'Students'!$AF$2:$AF$701,0),IFERROR(MATCH(LOWER(TRIM(K2907)),'Students'!$AG$2:$AG$701,0),""))))</f>
        <v/>
      </c>
      <c r="R2907">
        <f>IF(P2907="","",INDEX('Students'!$AD$2:$AD$701,P2907))</f>
        <v/>
      </c>
      <c r="S2907">
        <f>IF(H2907="OK",O2907,0)</f>
        <v/>
      </c>
      <c r="T2907">
        <f>IF(H2907="OK",N2907,"")</f>
        <v/>
      </c>
      <c r="U2907">
        <f>IF(OC_Donor=0,"",IF(INDEX('OneCause_Paste'!$A$2907:$AZ$2907,1,OC_Donor)="","",INDEX('OneCause_Paste'!$A$2907:$AZ$2907,1,OC_Donor)))</f>
        <v/>
      </c>
    </row>
    <row r="2908">
      <c r="A2908" s="62">
        <f>IF(H2908="","",IF(ISNUMBER(N2908),N2908,I2908))</f>
        <v/>
      </c>
      <c r="B2908">
        <f>IF(H2908="","",U2908)</f>
        <v/>
      </c>
      <c r="C2908">
        <f>IF(H2908="","",IF(P2908="",K2908,INDEX('Students'!$A$2:$A$701,P2908)))</f>
        <v/>
      </c>
      <c r="D2908">
        <f>IF(OR(H2908="",P2908=""),"",INDEX('Students'!$B$2:$B$701,P2908))</f>
        <v/>
      </c>
      <c r="E2908">
        <f>IF(OR(H2908="",P2908=""),"",INDEX('Students'!$C$2:$C$701,P2908))</f>
        <v/>
      </c>
      <c r="F2908" s="48">
        <f>IF(H2908="","",IF(ISNUMBER(O2908),O2908,J2908))</f>
        <v/>
      </c>
      <c r="G2908">
        <f>IF(H2908="","","OneCause")</f>
        <v/>
      </c>
      <c r="H2908">
        <f>IF(AND(I2908="",J2908="",K2908=""),"",IF(NOT(ISNUMBER(O2908)),"Bad amount",IF(O2908&lt;0,"Refund (not counted)",IF(O2908=0,"Zero amount",IF(NOT(ISNUMBER(N2908)),"Bad date",IF(P2908="","NAME NOT ON ROSTER",IF(L2908="","OK",IF(MATCH(L2908,$L$2:$L$3001,0)&lt;ROW()-1,"Duplicate (ignored)","OK"))))))))</f>
        <v/>
      </c>
      <c r="I2908">
        <f>IF(OC_Date=0,"",IF(INDEX('OneCause_Paste'!$A$2908:$AZ$2908,1,OC_Date)="","",INDEX('OneCause_Paste'!$A$2908:$AZ$2908,1,OC_Date)))</f>
        <v/>
      </c>
      <c r="J2908">
        <f>IF(OC_Amt=0,"",IF(INDEX('OneCause_Paste'!$A$2908:$AZ$2908,1,OC_Amt)="","",INDEX('OneCause_Paste'!$A$2908:$AZ$2908,1,OC_Amt)))</f>
        <v/>
      </c>
      <c r="K2908">
        <f>IF(OC_Name=0,"",IF(INDEX('OneCause_Paste'!$A$2908:$AZ$2908,1,OC_Name)="","",INDEX('OneCause_Paste'!$A$2908:$AZ$2908,1,OC_Name)))</f>
        <v/>
      </c>
      <c r="L2908">
        <f>IF(OC_Txn=0,"",IF(INDEX('OneCause_Paste'!$A$2908:$AZ$2908,1,OC_Txn)="","",INDEX('OneCause_Paste'!$A$2908:$AZ$2908,1,OC_Txn)))</f>
        <v/>
      </c>
      <c r="M2908">
        <f>IF(OC_Pay=0,"",IF(INDEX('OneCause_Paste'!$A$2908:$AZ$2908,1,OC_Pay)="","",INDEX('OneCause_Paste'!$A$2908:$AZ$2908,1,OC_Pay)))</f>
        <v/>
      </c>
      <c r="N2908">
        <f>IF(I2908="","",IF(ISNUMBER(I2908),INT(I2908),IFERROR(INT(DATEVALUE(I2908)),IFERROR(INT(VALUE(I2908)),"bad"))))</f>
        <v/>
      </c>
      <c r="O2908">
        <f>IF(J2908="","",IF(ISNUMBER(J2908),ROUND(J2908,2),IFERROR(ROUND(VALUE(SUBSTITUTE(SUBSTITUTE(SUBSTITUTE(J2908,"$",""),",","")," ","")),2),"bad")))</f>
        <v/>
      </c>
      <c r="P2908">
        <f>IF(TRIM(K2908)="","",IFERROR(MATCH(LOWER(TRIM(K2908)),'Students'!$AH$2:$AH$701,0),IFERROR(MATCH(LOWER(TRIM(K2908)),'Students'!$AF$2:$AF$701,0),IFERROR(MATCH(LOWER(TRIM(K2908)),'Students'!$AG$2:$AG$701,0),""))))</f>
        <v/>
      </c>
      <c r="R2908">
        <f>IF(P2908="","",INDEX('Students'!$AD$2:$AD$701,P2908))</f>
        <v/>
      </c>
      <c r="S2908">
        <f>IF(H2908="OK",O2908,0)</f>
        <v/>
      </c>
      <c r="T2908">
        <f>IF(H2908="OK",N2908,"")</f>
        <v/>
      </c>
      <c r="U2908">
        <f>IF(OC_Donor=0,"",IF(INDEX('OneCause_Paste'!$A$2908:$AZ$2908,1,OC_Donor)="","",INDEX('OneCause_Paste'!$A$2908:$AZ$2908,1,OC_Donor)))</f>
        <v/>
      </c>
    </row>
    <row r="2909">
      <c r="A2909" s="62">
        <f>IF(H2909="","",IF(ISNUMBER(N2909),N2909,I2909))</f>
        <v/>
      </c>
      <c r="B2909">
        <f>IF(H2909="","",U2909)</f>
        <v/>
      </c>
      <c r="C2909">
        <f>IF(H2909="","",IF(P2909="",K2909,INDEX('Students'!$A$2:$A$701,P2909)))</f>
        <v/>
      </c>
      <c r="D2909">
        <f>IF(OR(H2909="",P2909=""),"",INDEX('Students'!$B$2:$B$701,P2909))</f>
        <v/>
      </c>
      <c r="E2909">
        <f>IF(OR(H2909="",P2909=""),"",INDEX('Students'!$C$2:$C$701,P2909))</f>
        <v/>
      </c>
      <c r="F2909" s="48">
        <f>IF(H2909="","",IF(ISNUMBER(O2909),O2909,J2909))</f>
        <v/>
      </c>
      <c r="G2909">
        <f>IF(H2909="","","OneCause")</f>
        <v/>
      </c>
      <c r="H2909">
        <f>IF(AND(I2909="",J2909="",K2909=""),"",IF(NOT(ISNUMBER(O2909)),"Bad amount",IF(O2909&lt;0,"Refund (not counted)",IF(O2909=0,"Zero amount",IF(NOT(ISNUMBER(N2909)),"Bad date",IF(P2909="","NAME NOT ON ROSTER",IF(L2909="","OK",IF(MATCH(L2909,$L$2:$L$3001,0)&lt;ROW()-1,"Duplicate (ignored)","OK"))))))))</f>
        <v/>
      </c>
      <c r="I2909">
        <f>IF(OC_Date=0,"",IF(INDEX('OneCause_Paste'!$A$2909:$AZ$2909,1,OC_Date)="","",INDEX('OneCause_Paste'!$A$2909:$AZ$2909,1,OC_Date)))</f>
        <v/>
      </c>
      <c r="J2909">
        <f>IF(OC_Amt=0,"",IF(INDEX('OneCause_Paste'!$A$2909:$AZ$2909,1,OC_Amt)="","",INDEX('OneCause_Paste'!$A$2909:$AZ$2909,1,OC_Amt)))</f>
        <v/>
      </c>
      <c r="K2909">
        <f>IF(OC_Name=0,"",IF(INDEX('OneCause_Paste'!$A$2909:$AZ$2909,1,OC_Name)="","",INDEX('OneCause_Paste'!$A$2909:$AZ$2909,1,OC_Name)))</f>
        <v/>
      </c>
      <c r="L2909">
        <f>IF(OC_Txn=0,"",IF(INDEX('OneCause_Paste'!$A$2909:$AZ$2909,1,OC_Txn)="","",INDEX('OneCause_Paste'!$A$2909:$AZ$2909,1,OC_Txn)))</f>
        <v/>
      </c>
      <c r="M2909">
        <f>IF(OC_Pay=0,"",IF(INDEX('OneCause_Paste'!$A$2909:$AZ$2909,1,OC_Pay)="","",INDEX('OneCause_Paste'!$A$2909:$AZ$2909,1,OC_Pay)))</f>
        <v/>
      </c>
      <c r="N2909">
        <f>IF(I2909="","",IF(ISNUMBER(I2909),INT(I2909),IFERROR(INT(DATEVALUE(I2909)),IFERROR(INT(VALUE(I2909)),"bad"))))</f>
        <v/>
      </c>
      <c r="O2909">
        <f>IF(J2909="","",IF(ISNUMBER(J2909),ROUND(J2909,2),IFERROR(ROUND(VALUE(SUBSTITUTE(SUBSTITUTE(SUBSTITUTE(J2909,"$",""),",","")," ","")),2),"bad")))</f>
        <v/>
      </c>
      <c r="P2909">
        <f>IF(TRIM(K2909)="","",IFERROR(MATCH(LOWER(TRIM(K2909)),'Students'!$AH$2:$AH$701,0),IFERROR(MATCH(LOWER(TRIM(K2909)),'Students'!$AF$2:$AF$701,0),IFERROR(MATCH(LOWER(TRIM(K2909)),'Students'!$AG$2:$AG$701,0),""))))</f>
        <v/>
      </c>
      <c r="R2909">
        <f>IF(P2909="","",INDEX('Students'!$AD$2:$AD$701,P2909))</f>
        <v/>
      </c>
      <c r="S2909">
        <f>IF(H2909="OK",O2909,0)</f>
        <v/>
      </c>
      <c r="T2909">
        <f>IF(H2909="OK",N2909,"")</f>
        <v/>
      </c>
      <c r="U2909">
        <f>IF(OC_Donor=0,"",IF(INDEX('OneCause_Paste'!$A$2909:$AZ$2909,1,OC_Donor)="","",INDEX('OneCause_Paste'!$A$2909:$AZ$2909,1,OC_Donor)))</f>
        <v/>
      </c>
    </row>
    <row r="2910">
      <c r="A2910" s="62">
        <f>IF(H2910="","",IF(ISNUMBER(N2910),N2910,I2910))</f>
        <v/>
      </c>
      <c r="B2910">
        <f>IF(H2910="","",U2910)</f>
        <v/>
      </c>
      <c r="C2910">
        <f>IF(H2910="","",IF(P2910="",K2910,INDEX('Students'!$A$2:$A$701,P2910)))</f>
        <v/>
      </c>
      <c r="D2910">
        <f>IF(OR(H2910="",P2910=""),"",INDEX('Students'!$B$2:$B$701,P2910))</f>
        <v/>
      </c>
      <c r="E2910">
        <f>IF(OR(H2910="",P2910=""),"",INDEX('Students'!$C$2:$C$701,P2910))</f>
        <v/>
      </c>
      <c r="F2910" s="48">
        <f>IF(H2910="","",IF(ISNUMBER(O2910),O2910,J2910))</f>
        <v/>
      </c>
      <c r="G2910">
        <f>IF(H2910="","","OneCause")</f>
        <v/>
      </c>
      <c r="H2910">
        <f>IF(AND(I2910="",J2910="",K2910=""),"",IF(NOT(ISNUMBER(O2910)),"Bad amount",IF(O2910&lt;0,"Refund (not counted)",IF(O2910=0,"Zero amount",IF(NOT(ISNUMBER(N2910)),"Bad date",IF(P2910="","NAME NOT ON ROSTER",IF(L2910="","OK",IF(MATCH(L2910,$L$2:$L$3001,0)&lt;ROW()-1,"Duplicate (ignored)","OK"))))))))</f>
        <v/>
      </c>
      <c r="I2910">
        <f>IF(OC_Date=0,"",IF(INDEX('OneCause_Paste'!$A$2910:$AZ$2910,1,OC_Date)="","",INDEX('OneCause_Paste'!$A$2910:$AZ$2910,1,OC_Date)))</f>
        <v/>
      </c>
      <c r="J2910">
        <f>IF(OC_Amt=0,"",IF(INDEX('OneCause_Paste'!$A$2910:$AZ$2910,1,OC_Amt)="","",INDEX('OneCause_Paste'!$A$2910:$AZ$2910,1,OC_Amt)))</f>
        <v/>
      </c>
      <c r="K2910">
        <f>IF(OC_Name=0,"",IF(INDEX('OneCause_Paste'!$A$2910:$AZ$2910,1,OC_Name)="","",INDEX('OneCause_Paste'!$A$2910:$AZ$2910,1,OC_Name)))</f>
        <v/>
      </c>
      <c r="L2910">
        <f>IF(OC_Txn=0,"",IF(INDEX('OneCause_Paste'!$A$2910:$AZ$2910,1,OC_Txn)="","",INDEX('OneCause_Paste'!$A$2910:$AZ$2910,1,OC_Txn)))</f>
        <v/>
      </c>
      <c r="M2910">
        <f>IF(OC_Pay=0,"",IF(INDEX('OneCause_Paste'!$A$2910:$AZ$2910,1,OC_Pay)="","",INDEX('OneCause_Paste'!$A$2910:$AZ$2910,1,OC_Pay)))</f>
        <v/>
      </c>
      <c r="N2910">
        <f>IF(I2910="","",IF(ISNUMBER(I2910),INT(I2910),IFERROR(INT(DATEVALUE(I2910)),IFERROR(INT(VALUE(I2910)),"bad"))))</f>
        <v/>
      </c>
      <c r="O2910">
        <f>IF(J2910="","",IF(ISNUMBER(J2910),ROUND(J2910,2),IFERROR(ROUND(VALUE(SUBSTITUTE(SUBSTITUTE(SUBSTITUTE(J2910,"$",""),",","")," ","")),2),"bad")))</f>
        <v/>
      </c>
      <c r="P2910">
        <f>IF(TRIM(K2910)="","",IFERROR(MATCH(LOWER(TRIM(K2910)),'Students'!$AH$2:$AH$701,0),IFERROR(MATCH(LOWER(TRIM(K2910)),'Students'!$AF$2:$AF$701,0),IFERROR(MATCH(LOWER(TRIM(K2910)),'Students'!$AG$2:$AG$701,0),""))))</f>
        <v/>
      </c>
      <c r="R2910">
        <f>IF(P2910="","",INDEX('Students'!$AD$2:$AD$701,P2910))</f>
        <v/>
      </c>
      <c r="S2910">
        <f>IF(H2910="OK",O2910,0)</f>
        <v/>
      </c>
      <c r="T2910">
        <f>IF(H2910="OK",N2910,"")</f>
        <v/>
      </c>
      <c r="U2910">
        <f>IF(OC_Donor=0,"",IF(INDEX('OneCause_Paste'!$A$2910:$AZ$2910,1,OC_Donor)="","",INDEX('OneCause_Paste'!$A$2910:$AZ$2910,1,OC_Donor)))</f>
        <v/>
      </c>
    </row>
    <row r="2911">
      <c r="A2911" s="62">
        <f>IF(H2911="","",IF(ISNUMBER(N2911),N2911,I2911))</f>
        <v/>
      </c>
      <c r="B2911">
        <f>IF(H2911="","",U2911)</f>
        <v/>
      </c>
      <c r="C2911">
        <f>IF(H2911="","",IF(P2911="",K2911,INDEX('Students'!$A$2:$A$701,P2911)))</f>
        <v/>
      </c>
      <c r="D2911">
        <f>IF(OR(H2911="",P2911=""),"",INDEX('Students'!$B$2:$B$701,P2911))</f>
        <v/>
      </c>
      <c r="E2911">
        <f>IF(OR(H2911="",P2911=""),"",INDEX('Students'!$C$2:$C$701,P2911))</f>
        <v/>
      </c>
      <c r="F2911" s="48">
        <f>IF(H2911="","",IF(ISNUMBER(O2911),O2911,J2911))</f>
        <v/>
      </c>
      <c r="G2911">
        <f>IF(H2911="","","OneCause")</f>
        <v/>
      </c>
      <c r="H2911">
        <f>IF(AND(I2911="",J2911="",K2911=""),"",IF(NOT(ISNUMBER(O2911)),"Bad amount",IF(O2911&lt;0,"Refund (not counted)",IF(O2911=0,"Zero amount",IF(NOT(ISNUMBER(N2911)),"Bad date",IF(P2911="","NAME NOT ON ROSTER",IF(L2911="","OK",IF(MATCH(L2911,$L$2:$L$3001,0)&lt;ROW()-1,"Duplicate (ignored)","OK"))))))))</f>
        <v/>
      </c>
      <c r="I2911">
        <f>IF(OC_Date=0,"",IF(INDEX('OneCause_Paste'!$A$2911:$AZ$2911,1,OC_Date)="","",INDEX('OneCause_Paste'!$A$2911:$AZ$2911,1,OC_Date)))</f>
        <v/>
      </c>
      <c r="J2911">
        <f>IF(OC_Amt=0,"",IF(INDEX('OneCause_Paste'!$A$2911:$AZ$2911,1,OC_Amt)="","",INDEX('OneCause_Paste'!$A$2911:$AZ$2911,1,OC_Amt)))</f>
        <v/>
      </c>
      <c r="K2911">
        <f>IF(OC_Name=0,"",IF(INDEX('OneCause_Paste'!$A$2911:$AZ$2911,1,OC_Name)="","",INDEX('OneCause_Paste'!$A$2911:$AZ$2911,1,OC_Name)))</f>
        <v/>
      </c>
      <c r="L2911">
        <f>IF(OC_Txn=0,"",IF(INDEX('OneCause_Paste'!$A$2911:$AZ$2911,1,OC_Txn)="","",INDEX('OneCause_Paste'!$A$2911:$AZ$2911,1,OC_Txn)))</f>
        <v/>
      </c>
      <c r="M2911">
        <f>IF(OC_Pay=0,"",IF(INDEX('OneCause_Paste'!$A$2911:$AZ$2911,1,OC_Pay)="","",INDEX('OneCause_Paste'!$A$2911:$AZ$2911,1,OC_Pay)))</f>
        <v/>
      </c>
      <c r="N2911">
        <f>IF(I2911="","",IF(ISNUMBER(I2911),INT(I2911),IFERROR(INT(DATEVALUE(I2911)),IFERROR(INT(VALUE(I2911)),"bad"))))</f>
        <v/>
      </c>
      <c r="O2911">
        <f>IF(J2911="","",IF(ISNUMBER(J2911),ROUND(J2911,2),IFERROR(ROUND(VALUE(SUBSTITUTE(SUBSTITUTE(SUBSTITUTE(J2911,"$",""),",","")," ","")),2),"bad")))</f>
        <v/>
      </c>
      <c r="P2911">
        <f>IF(TRIM(K2911)="","",IFERROR(MATCH(LOWER(TRIM(K2911)),'Students'!$AH$2:$AH$701,0),IFERROR(MATCH(LOWER(TRIM(K2911)),'Students'!$AF$2:$AF$701,0),IFERROR(MATCH(LOWER(TRIM(K2911)),'Students'!$AG$2:$AG$701,0),""))))</f>
        <v/>
      </c>
      <c r="R2911">
        <f>IF(P2911="","",INDEX('Students'!$AD$2:$AD$701,P2911))</f>
        <v/>
      </c>
      <c r="S2911">
        <f>IF(H2911="OK",O2911,0)</f>
        <v/>
      </c>
      <c r="T2911">
        <f>IF(H2911="OK",N2911,"")</f>
        <v/>
      </c>
      <c r="U2911">
        <f>IF(OC_Donor=0,"",IF(INDEX('OneCause_Paste'!$A$2911:$AZ$2911,1,OC_Donor)="","",INDEX('OneCause_Paste'!$A$2911:$AZ$2911,1,OC_Donor)))</f>
        <v/>
      </c>
    </row>
    <row r="2912">
      <c r="A2912" s="62">
        <f>IF(H2912="","",IF(ISNUMBER(N2912),N2912,I2912))</f>
        <v/>
      </c>
      <c r="B2912">
        <f>IF(H2912="","",U2912)</f>
        <v/>
      </c>
      <c r="C2912">
        <f>IF(H2912="","",IF(P2912="",K2912,INDEX('Students'!$A$2:$A$701,P2912)))</f>
        <v/>
      </c>
      <c r="D2912">
        <f>IF(OR(H2912="",P2912=""),"",INDEX('Students'!$B$2:$B$701,P2912))</f>
        <v/>
      </c>
      <c r="E2912">
        <f>IF(OR(H2912="",P2912=""),"",INDEX('Students'!$C$2:$C$701,P2912))</f>
        <v/>
      </c>
      <c r="F2912" s="48">
        <f>IF(H2912="","",IF(ISNUMBER(O2912),O2912,J2912))</f>
        <v/>
      </c>
      <c r="G2912">
        <f>IF(H2912="","","OneCause")</f>
        <v/>
      </c>
      <c r="H2912">
        <f>IF(AND(I2912="",J2912="",K2912=""),"",IF(NOT(ISNUMBER(O2912)),"Bad amount",IF(O2912&lt;0,"Refund (not counted)",IF(O2912=0,"Zero amount",IF(NOT(ISNUMBER(N2912)),"Bad date",IF(P2912="","NAME NOT ON ROSTER",IF(L2912="","OK",IF(MATCH(L2912,$L$2:$L$3001,0)&lt;ROW()-1,"Duplicate (ignored)","OK"))))))))</f>
        <v/>
      </c>
      <c r="I2912">
        <f>IF(OC_Date=0,"",IF(INDEX('OneCause_Paste'!$A$2912:$AZ$2912,1,OC_Date)="","",INDEX('OneCause_Paste'!$A$2912:$AZ$2912,1,OC_Date)))</f>
        <v/>
      </c>
      <c r="J2912">
        <f>IF(OC_Amt=0,"",IF(INDEX('OneCause_Paste'!$A$2912:$AZ$2912,1,OC_Amt)="","",INDEX('OneCause_Paste'!$A$2912:$AZ$2912,1,OC_Amt)))</f>
        <v/>
      </c>
      <c r="K2912">
        <f>IF(OC_Name=0,"",IF(INDEX('OneCause_Paste'!$A$2912:$AZ$2912,1,OC_Name)="","",INDEX('OneCause_Paste'!$A$2912:$AZ$2912,1,OC_Name)))</f>
        <v/>
      </c>
      <c r="L2912">
        <f>IF(OC_Txn=0,"",IF(INDEX('OneCause_Paste'!$A$2912:$AZ$2912,1,OC_Txn)="","",INDEX('OneCause_Paste'!$A$2912:$AZ$2912,1,OC_Txn)))</f>
        <v/>
      </c>
      <c r="M2912">
        <f>IF(OC_Pay=0,"",IF(INDEX('OneCause_Paste'!$A$2912:$AZ$2912,1,OC_Pay)="","",INDEX('OneCause_Paste'!$A$2912:$AZ$2912,1,OC_Pay)))</f>
        <v/>
      </c>
      <c r="N2912">
        <f>IF(I2912="","",IF(ISNUMBER(I2912),INT(I2912),IFERROR(INT(DATEVALUE(I2912)),IFERROR(INT(VALUE(I2912)),"bad"))))</f>
        <v/>
      </c>
      <c r="O2912">
        <f>IF(J2912="","",IF(ISNUMBER(J2912),ROUND(J2912,2),IFERROR(ROUND(VALUE(SUBSTITUTE(SUBSTITUTE(SUBSTITUTE(J2912,"$",""),",","")," ","")),2),"bad")))</f>
        <v/>
      </c>
      <c r="P2912">
        <f>IF(TRIM(K2912)="","",IFERROR(MATCH(LOWER(TRIM(K2912)),'Students'!$AH$2:$AH$701,0),IFERROR(MATCH(LOWER(TRIM(K2912)),'Students'!$AF$2:$AF$701,0),IFERROR(MATCH(LOWER(TRIM(K2912)),'Students'!$AG$2:$AG$701,0),""))))</f>
        <v/>
      </c>
      <c r="R2912">
        <f>IF(P2912="","",INDEX('Students'!$AD$2:$AD$701,P2912))</f>
        <v/>
      </c>
      <c r="S2912">
        <f>IF(H2912="OK",O2912,0)</f>
        <v/>
      </c>
      <c r="T2912">
        <f>IF(H2912="OK",N2912,"")</f>
        <v/>
      </c>
      <c r="U2912">
        <f>IF(OC_Donor=0,"",IF(INDEX('OneCause_Paste'!$A$2912:$AZ$2912,1,OC_Donor)="","",INDEX('OneCause_Paste'!$A$2912:$AZ$2912,1,OC_Donor)))</f>
        <v/>
      </c>
    </row>
    <row r="2913">
      <c r="A2913" s="62">
        <f>IF(H2913="","",IF(ISNUMBER(N2913),N2913,I2913))</f>
        <v/>
      </c>
      <c r="B2913">
        <f>IF(H2913="","",U2913)</f>
        <v/>
      </c>
      <c r="C2913">
        <f>IF(H2913="","",IF(P2913="",K2913,INDEX('Students'!$A$2:$A$701,P2913)))</f>
        <v/>
      </c>
      <c r="D2913">
        <f>IF(OR(H2913="",P2913=""),"",INDEX('Students'!$B$2:$B$701,P2913))</f>
        <v/>
      </c>
      <c r="E2913">
        <f>IF(OR(H2913="",P2913=""),"",INDEX('Students'!$C$2:$C$701,P2913))</f>
        <v/>
      </c>
      <c r="F2913" s="48">
        <f>IF(H2913="","",IF(ISNUMBER(O2913),O2913,J2913))</f>
        <v/>
      </c>
      <c r="G2913">
        <f>IF(H2913="","","OneCause")</f>
        <v/>
      </c>
      <c r="H2913">
        <f>IF(AND(I2913="",J2913="",K2913=""),"",IF(NOT(ISNUMBER(O2913)),"Bad amount",IF(O2913&lt;0,"Refund (not counted)",IF(O2913=0,"Zero amount",IF(NOT(ISNUMBER(N2913)),"Bad date",IF(P2913="","NAME NOT ON ROSTER",IF(L2913="","OK",IF(MATCH(L2913,$L$2:$L$3001,0)&lt;ROW()-1,"Duplicate (ignored)","OK"))))))))</f>
        <v/>
      </c>
      <c r="I2913">
        <f>IF(OC_Date=0,"",IF(INDEX('OneCause_Paste'!$A$2913:$AZ$2913,1,OC_Date)="","",INDEX('OneCause_Paste'!$A$2913:$AZ$2913,1,OC_Date)))</f>
        <v/>
      </c>
      <c r="J2913">
        <f>IF(OC_Amt=0,"",IF(INDEX('OneCause_Paste'!$A$2913:$AZ$2913,1,OC_Amt)="","",INDEX('OneCause_Paste'!$A$2913:$AZ$2913,1,OC_Amt)))</f>
        <v/>
      </c>
      <c r="K2913">
        <f>IF(OC_Name=0,"",IF(INDEX('OneCause_Paste'!$A$2913:$AZ$2913,1,OC_Name)="","",INDEX('OneCause_Paste'!$A$2913:$AZ$2913,1,OC_Name)))</f>
        <v/>
      </c>
      <c r="L2913">
        <f>IF(OC_Txn=0,"",IF(INDEX('OneCause_Paste'!$A$2913:$AZ$2913,1,OC_Txn)="","",INDEX('OneCause_Paste'!$A$2913:$AZ$2913,1,OC_Txn)))</f>
        <v/>
      </c>
      <c r="M2913">
        <f>IF(OC_Pay=0,"",IF(INDEX('OneCause_Paste'!$A$2913:$AZ$2913,1,OC_Pay)="","",INDEX('OneCause_Paste'!$A$2913:$AZ$2913,1,OC_Pay)))</f>
        <v/>
      </c>
      <c r="N2913">
        <f>IF(I2913="","",IF(ISNUMBER(I2913),INT(I2913),IFERROR(INT(DATEVALUE(I2913)),IFERROR(INT(VALUE(I2913)),"bad"))))</f>
        <v/>
      </c>
      <c r="O2913">
        <f>IF(J2913="","",IF(ISNUMBER(J2913),ROUND(J2913,2),IFERROR(ROUND(VALUE(SUBSTITUTE(SUBSTITUTE(SUBSTITUTE(J2913,"$",""),",","")," ","")),2),"bad")))</f>
        <v/>
      </c>
      <c r="P2913">
        <f>IF(TRIM(K2913)="","",IFERROR(MATCH(LOWER(TRIM(K2913)),'Students'!$AH$2:$AH$701,0),IFERROR(MATCH(LOWER(TRIM(K2913)),'Students'!$AF$2:$AF$701,0),IFERROR(MATCH(LOWER(TRIM(K2913)),'Students'!$AG$2:$AG$701,0),""))))</f>
        <v/>
      </c>
      <c r="R2913">
        <f>IF(P2913="","",INDEX('Students'!$AD$2:$AD$701,P2913))</f>
        <v/>
      </c>
      <c r="S2913">
        <f>IF(H2913="OK",O2913,0)</f>
        <v/>
      </c>
      <c r="T2913">
        <f>IF(H2913="OK",N2913,"")</f>
        <v/>
      </c>
      <c r="U2913">
        <f>IF(OC_Donor=0,"",IF(INDEX('OneCause_Paste'!$A$2913:$AZ$2913,1,OC_Donor)="","",INDEX('OneCause_Paste'!$A$2913:$AZ$2913,1,OC_Donor)))</f>
        <v/>
      </c>
    </row>
    <row r="2914">
      <c r="A2914" s="62">
        <f>IF(H2914="","",IF(ISNUMBER(N2914),N2914,I2914))</f>
        <v/>
      </c>
      <c r="B2914">
        <f>IF(H2914="","",U2914)</f>
        <v/>
      </c>
      <c r="C2914">
        <f>IF(H2914="","",IF(P2914="",K2914,INDEX('Students'!$A$2:$A$701,P2914)))</f>
        <v/>
      </c>
      <c r="D2914">
        <f>IF(OR(H2914="",P2914=""),"",INDEX('Students'!$B$2:$B$701,P2914))</f>
        <v/>
      </c>
      <c r="E2914">
        <f>IF(OR(H2914="",P2914=""),"",INDEX('Students'!$C$2:$C$701,P2914))</f>
        <v/>
      </c>
      <c r="F2914" s="48">
        <f>IF(H2914="","",IF(ISNUMBER(O2914),O2914,J2914))</f>
        <v/>
      </c>
      <c r="G2914">
        <f>IF(H2914="","","OneCause")</f>
        <v/>
      </c>
      <c r="H2914">
        <f>IF(AND(I2914="",J2914="",K2914=""),"",IF(NOT(ISNUMBER(O2914)),"Bad amount",IF(O2914&lt;0,"Refund (not counted)",IF(O2914=0,"Zero amount",IF(NOT(ISNUMBER(N2914)),"Bad date",IF(P2914="","NAME NOT ON ROSTER",IF(L2914="","OK",IF(MATCH(L2914,$L$2:$L$3001,0)&lt;ROW()-1,"Duplicate (ignored)","OK"))))))))</f>
        <v/>
      </c>
      <c r="I2914">
        <f>IF(OC_Date=0,"",IF(INDEX('OneCause_Paste'!$A$2914:$AZ$2914,1,OC_Date)="","",INDEX('OneCause_Paste'!$A$2914:$AZ$2914,1,OC_Date)))</f>
        <v/>
      </c>
      <c r="J2914">
        <f>IF(OC_Amt=0,"",IF(INDEX('OneCause_Paste'!$A$2914:$AZ$2914,1,OC_Amt)="","",INDEX('OneCause_Paste'!$A$2914:$AZ$2914,1,OC_Amt)))</f>
        <v/>
      </c>
      <c r="K2914">
        <f>IF(OC_Name=0,"",IF(INDEX('OneCause_Paste'!$A$2914:$AZ$2914,1,OC_Name)="","",INDEX('OneCause_Paste'!$A$2914:$AZ$2914,1,OC_Name)))</f>
        <v/>
      </c>
      <c r="L2914">
        <f>IF(OC_Txn=0,"",IF(INDEX('OneCause_Paste'!$A$2914:$AZ$2914,1,OC_Txn)="","",INDEX('OneCause_Paste'!$A$2914:$AZ$2914,1,OC_Txn)))</f>
        <v/>
      </c>
      <c r="M2914">
        <f>IF(OC_Pay=0,"",IF(INDEX('OneCause_Paste'!$A$2914:$AZ$2914,1,OC_Pay)="","",INDEX('OneCause_Paste'!$A$2914:$AZ$2914,1,OC_Pay)))</f>
        <v/>
      </c>
      <c r="N2914">
        <f>IF(I2914="","",IF(ISNUMBER(I2914),INT(I2914),IFERROR(INT(DATEVALUE(I2914)),IFERROR(INT(VALUE(I2914)),"bad"))))</f>
        <v/>
      </c>
      <c r="O2914">
        <f>IF(J2914="","",IF(ISNUMBER(J2914),ROUND(J2914,2),IFERROR(ROUND(VALUE(SUBSTITUTE(SUBSTITUTE(SUBSTITUTE(J2914,"$",""),",","")," ","")),2),"bad")))</f>
        <v/>
      </c>
      <c r="P2914">
        <f>IF(TRIM(K2914)="","",IFERROR(MATCH(LOWER(TRIM(K2914)),'Students'!$AH$2:$AH$701,0),IFERROR(MATCH(LOWER(TRIM(K2914)),'Students'!$AF$2:$AF$701,0),IFERROR(MATCH(LOWER(TRIM(K2914)),'Students'!$AG$2:$AG$701,0),""))))</f>
        <v/>
      </c>
      <c r="R2914">
        <f>IF(P2914="","",INDEX('Students'!$AD$2:$AD$701,P2914))</f>
        <v/>
      </c>
      <c r="S2914">
        <f>IF(H2914="OK",O2914,0)</f>
        <v/>
      </c>
      <c r="T2914">
        <f>IF(H2914="OK",N2914,"")</f>
        <v/>
      </c>
      <c r="U2914">
        <f>IF(OC_Donor=0,"",IF(INDEX('OneCause_Paste'!$A$2914:$AZ$2914,1,OC_Donor)="","",INDEX('OneCause_Paste'!$A$2914:$AZ$2914,1,OC_Donor)))</f>
        <v/>
      </c>
    </row>
    <row r="2915">
      <c r="A2915" s="62">
        <f>IF(H2915="","",IF(ISNUMBER(N2915),N2915,I2915))</f>
        <v/>
      </c>
      <c r="B2915">
        <f>IF(H2915="","",U2915)</f>
        <v/>
      </c>
      <c r="C2915">
        <f>IF(H2915="","",IF(P2915="",K2915,INDEX('Students'!$A$2:$A$701,P2915)))</f>
        <v/>
      </c>
      <c r="D2915">
        <f>IF(OR(H2915="",P2915=""),"",INDEX('Students'!$B$2:$B$701,P2915))</f>
        <v/>
      </c>
      <c r="E2915">
        <f>IF(OR(H2915="",P2915=""),"",INDEX('Students'!$C$2:$C$701,P2915))</f>
        <v/>
      </c>
      <c r="F2915" s="48">
        <f>IF(H2915="","",IF(ISNUMBER(O2915),O2915,J2915))</f>
        <v/>
      </c>
      <c r="G2915">
        <f>IF(H2915="","","OneCause")</f>
        <v/>
      </c>
      <c r="H2915">
        <f>IF(AND(I2915="",J2915="",K2915=""),"",IF(NOT(ISNUMBER(O2915)),"Bad amount",IF(O2915&lt;0,"Refund (not counted)",IF(O2915=0,"Zero amount",IF(NOT(ISNUMBER(N2915)),"Bad date",IF(P2915="","NAME NOT ON ROSTER",IF(L2915="","OK",IF(MATCH(L2915,$L$2:$L$3001,0)&lt;ROW()-1,"Duplicate (ignored)","OK"))))))))</f>
        <v/>
      </c>
      <c r="I2915">
        <f>IF(OC_Date=0,"",IF(INDEX('OneCause_Paste'!$A$2915:$AZ$2915,1,OC_Date)="","",INDEX('OneCause_Paste'!$A$2915:$AZ$2915,1,OC_Date)))</f>
        <v/>
      </c>
      <c r="J2915">
        <f>IF(OC_Amt=0,"",IF(INDEX('OneCause_Paste'!$A$2915:$AZ$2915,1,OC_Amt)="","",INDEX('OneCause_Paste'!$A$2915:$AZ$2915,1,OC_Amt)))</f>
        <v/>
      </c>
      <c r="K2915">
        <f>IF(OC_Name=0,"",IF(INDEX('OneCause_Paste'!$A$2915:$AZ$2915,1,OC_Name)="","",INDEX('OneCause_Paste'!$A$2915:$AZ$2915,1,OC_Name)))</f>
        <v/>
      </c>
      <c r="L2915">
        <f>IF(OC_Txn=0,"",IF(INDEX('OneCause_Paste'!$A$2915:$AZ$2915,1,OC_Txn)="","",INDEX('OneCause_Paste'!$A$2915:$AZ$2915,1,OC_Txn)))</f>
        <v/>
      </c>
      <c r="M2915">
        <f>IF(OC_Pay=0,"",IF(INDEX('OneCause_Paste'!$A$2915:$AZ$2915,1,OC_Pay)="","",INDEX('OneCause_Paste'!$A$2915:$AZ$2915,1,OC_Pay)))</f>
        <v/>
      </c>
      <c r="N2915">
        <f>IF(I2915="","",IF(ISNUMBER(I2915),INT(I2915),IFERROR(INT(DATEVALUE(I2915)),IFERROR(INT(VALUE(I2915)),"bad"))))</f>
        <v/>
      </c>
      <c r="O2915">
        <f>IF(J2915="","",IF(ISNUMBER(J2915),ROUND(J2915,2),IFERROR(ROUND(VALUE(SUBSTITUTE(SUBSTITUTE(SUBSTITUTE(J2915,"$",""),",","")," ","")),2),"bad")))</f>
        <v/>
      </c>
      <c r="P2915">
        <f>IF(TRIM(K2915)="","",IFERROR(MATCH(LOWER(TRIM(K2915)),'Students'!$AH$2:$AH$701,0),IFERROR(MATCH(LOWER(TRIM(K2915)),'Students'!$AF$2:$AF$701,0),IFERROR(MATCH(LOWER(TRIM(K2915)),'Students'!$AG$2:$AG$701,0),""))))</f>
        <v/>
      </c>
      <c r="R2915">
        <f>IF(P2915="","",INDEX('Students'!$AD$2:$AD$701,P2915))</f>
        <v/>
      </c>
      <c r="S2915">
        <f>IF(H2915="OK",O2915,0)</f>
        <v/>
      </c>
      <c r="T2915">
        <f>IF(H2915="OK",N2915,"")</f>
        <v/>
      </c>
      <c r="U2915">
        <f>IF(OC_Donor=0,"",IF(INDEX('OneCause_Paste'!$A$2915:$AZ$2915,1,OC_Donor)="","",INDEX('OneCause_Paste'!$A$2915:$AZ$2915,1,OC_Donor)))</f>
        <v/>
      </c>
    </row>
    <row r="2916">
      <c r="A2916" s="62">
        <f>IF(H2916="","",IF(ISNUMBER(N2916),N2916,I2916))</f>
        <v/>
      </c>
      <c r="B2916">
        <f>IF(H2916="","",U2916)</f>
        <v/>
      </c>
      <c r="C2916">
        <f>IF(H2916="","",IF(P2916="",K2916,INDEX('Students'!$A$2:$A$701,P2916)))</f>
        <v/>
      </c>
      <c r="D2916">
        <f>IF(OR(H2916="",P2916=""),"",INDEX('Students'!$B$2:$B$701,P2916))</f>
        <v/>
      </c>
      <c r="E2916">
        <f>IF(OR(H2916="",P2916=""),"",INDEX('Students'!$C$2:$C$701,P2916))</f>
        <v/>
      </c>
      <c r="F2916" s="48">
        <f>IF(H2916="","",IF(ISNUMBER(O2916),O2916,J2916))</f>
        <v/>
      </c>
      <c r="G2916">
        <f>IF(H2916="","","OneCause")</f>
        <v/>
      </c>
      <c r="H2916">
        <f>IF(AND(I2916="",J2916="",K2916=""),"",IF(NOT(ISNUMBER(O2916)),"Bad amount",IF(O2916&lt;0,"Refund (not counted)",IF(O2916=0,"Zero amount",IF(NOT(ISNUMBER(N2916)),"Bad date",IF(P2916="","NAME NOT ON ROSTER",IF(L2916="","OK",IF(MATCH(L2916,$L$2:$L$3001,0)&lt;ROW()-1,"Duplicate (ignored)","OK"))))))))</f>
        <v/>
      </c>
      <c r="I2916">
        <f>IF(OC_Date=0,"",IF(INDEX('OneCause_Paste'!$A$2916:$AZ$2916,1,OC_Date)="","",INDEX('OneCause_Paste'!$A$2916:$AZ$2916,1,OC_Date)))</f>
        <v/>
      </c>
      <c r="J2916">
        <f>IF(OC_Amt=0,"",IF(INDEX('OneCause_Paste'!$A$2916:$AZ$2916,1,OC_Amt)="","",INDEX('OneCause_Paste'!$A$2916:$AZ$2916,1,OC_Amt)))</f>
        <v/>
      </c>
      <c r="K2916">
        <f>IF(OC_Name=0,"",IF(INDEX('OneCause_Paste'!$A$2916:$AZ$2916,1,OC_Name)="","",INDEX('OneCause_Paste'!$A$2916:$AZ$2916,1,OC_Name)))</f>
        <v/>
      </c>
      <c r="L2916">
        <f>IF(OC_Txn=0,"",IF(INDEX('OneCause_Paste'!$A$2916:$AZ$2916,1,OC_Txn)="","",INDEX('OneCause_Paste'!$A$2916:$AZ$2916,1,OC_Txn)))</f>
        <v/>
      </c>
      <c r="M2916">
        <f>IF(OC_Pay=0,"",IF(INDEX('OneCause_Paste'!$A$2916:$AZ$2916,1,OC_Pay)="","",INDEX('OneCause_Paste'!$A$2916:$AZ$2916,1,OC_Pay)))</f>
        <v/>
      </c>
      <c r="N2916">
        <f>IF(I2916="","",IF(ISNUMBER(I2916),INT(I2916),IFERROR(INT(DATEVALUE(I2916)),IFERROR(INT(VALUE(I2916)),"bad"))))</f>
        <v/>
      </c>
      <c r="O2916">
        <f>IF(J2916="","",IF(ISNUMBER(J2916),ROUND(J2916,2),IFERROR(ROUND(VALUE(SUBSTITUTE(SUBSTITUTE(SUBSTITUTE(J2916,"$",""),",","")," ","")),2),"bad")))</f>
        <v/>
      </c>
      <c r="P2916">
        <f>IF(TRIM(K2916)="","",IFERROR(MATCH(LOWER(TRIM(K2916)),'Students'!$AH$2:$AH$701,0),IFERROR(MATCH(LOWER(TRIM(K2916)),'Students'!$AF$2:$AF$701,0),IFERROR(MATCH(LOWER(TRIM(K2916)),'Students'!$AG$2:$AG$701,0),""))))</f>
        <v/>
      </c>
      <c r="R2916">
        <f>IF(P2916="","",INDEX('Students'!$AD$2:$AD$701,P2916))</f>
        <v/>
      </c>
      <c r="S2916">
        <f>IF(H2916="OK",O2916,0)</f>
        <v/>
      </c>
      <c r="T2916">
        <f>IF(H2916="OK",N2916,"")</f>
        <v/>
      </c>
      <c r="U2916">
        <f>IF(OC_Donor=0,"",IF(INDEX('OneCause_Paste'!$A$2916:$AZ$2916,1,OC_Donor)="","",INDEX('OneCause_Paste'!$A$2916:$AZ$2916,1,OC_Donor)))</f>
        <v/>
      </c>
    </row>
    <row r="2917">
      <c r="A2917" s="62">
        <f>IF(H2917="","",IF(ISNUMBER(N2917),N2917,I2917))</f>
        <v/>
      </c>
      <c r="B2917">
        <f>IF(H2917="","",U2917)</f>
        <v/>
      </c>
      <c r="C2917">
        <f>IF(H2917="","",IF(P2917="",K2917,INDEX('Students'!$A$2:$A$701,P2917)))</f>
        <v/>
      </c>
      <c r="D2917">
        <f>IF(OR(H2917="",P2917=""),"",INDEX('Students'!$B$2:$B$701,P2917))</f>
        <v/>
      </c>
      <c r="E2917">
        <f>IF(OR(H2917="",P2917=""),"",INDEX('Students'!$C$2:$C$701,P2917))</f>
        <v/>
      </c>
      <c r="F2917" s="48">
        <f>IF(H2917="","",IF(ISNUMBER(O2917),O2917,J2917))</f>
        <v/>
      </c>
      <c r="G2917">
        <f>IF(H2917="","","OneCause")</f>
        <v/>
      </c>
      <c r="H2917">
        <f>IF(AND(I2917="",J2917="",K2917=""),"",IF(NOT(ISNUMBER(O2917)),"Bad amount",IF(O2917&lt;0,"Refund (not counted)",IF(O2917=0,"Zero amount",IF(NOT(ISNUMBER(N2917)),"Bad date",IF(P2917="","NAME NOT ON ROSTER",IF(L2917="","OK",IF(MATCH(L2917,$L$2:$L$3001,0)&lt;ROW()-1,"Duplicate (ignored)","OK"))))))))</f>
        <v/>
      </c>
      <c r="I2917">
        <f>IF(OC_Date=0,"",IF(INDEX('OneCause_Paste'!$A$2917:$AZ$2917,1,OC_Date)="","",INDEX('OneCause_Paste'!$A$2917:$AZ$2917,1,OC_Date)))</f>
        <v/>
      </c>
      <c r="J2917">
        <f>IF(OC_Amt=0,"",IF(INDEX('OneCause_Paste'!$A$2917:$AZ$2917,1,OC_Amt)="","",INDEX('OneCause_Paste'!$A$2917:$AZ$2917,1,OC_Amt)))</f>
        <v/>
      </c>
      <c r="K2917">
        <f>IF(OC_Name=0,"",IF(INDEX('OneCause_Paste'!$A$2917:$AZ$2917,1,OC_Name)="","",INDEX('OneCause_Paste'!$A$2917:$AZ$2917,1,OC_Name)))</f>
        <v/>
      </c>
      <c r="L2917">
        <f>IF(OC_Txn=0,"",IF(INDEX('OneCause_Paste'!$A$2917:$AZ$2917,1,OC_Txn)="","",INDEX('OneCause_Paste'!$A$2917:$AZ$2917,1,OC_Txn)))</f>
        <v/>
      </c>
      <c r="M2917">
        <f>IF(OC_Pay=0,"",IF(INDEX('OneCause_Paste'!$A$2917:$AZ$2917,1,OC_Pay)="","",INDEX('OneCause_Paste'!$A$2917:$AZ$2917,1,OC_Pay)))</f>
        <v/>
      </c>
      <c r="N2917">
        <f>IF(I2917="","",IF(ISNUMBER(I2917),INT(I2917),IFERROR(INT(DATEVALUE(I2917)),IFERROR(INT(VALUE(I2917)),"bad"))))</f>
        <v/>
      </c>
      <c r="O2917">
        <f>IF(J2917="","",IF(ISNUMBER(J2917),ROUND(J2917,2),IFERROR(ROUND(VALUE(SUBSTITUTE(SUBSTITUTE(SUBSTITUTE(J2917,"$",""),",","")," ","")),2),"bad")))</f>
        <v/>
      </c>
      <c r="P2917">
        <f>IF(TRIM(K2917)="","",IFERROR(MATCH(LOWER(TRIM(K2917)),'Students'!$AH$2:$AH$701,0),IFERROR(MATCH(LOWER(TRIM(K2917)),'Students'!$AF$2:$AF$701,0),IFERROR(MATCH(LOWER(TRIM(K2917)),'Students'!$AG$2:$AG$701,0),""))))</f>
        <v/>
      </c>
      <c r="R2917">
        <f>IF(P2917="","",INDEX('Students'!$AD$2:$AD$701,P2917))</f>
        <v/>
      </c>
      <c r="S2917">
        <f>IF(H2917="OK",O2917,0)</f>
        <v/>
      </c>
      <c r="T2917">
        <f>IF(H2917="OK",N2917,"")</f>
        <v/>
      </c>
      <c r="U2917">
        <f>IF(OC_Donor=0,"",IF(INDEX('OneCause_Paste'!$A$2917:$AZ$2917,1,OC_Donor)="","",INDEX('OneCause_Paste'!$A$2917:$AZ$2917,1,OC_Donor)))</f>
        <v/>
      </c>
    </row>
    <row r="2918">
      <c r="A2918" s="62">
        <f>IF(H2918="","",IF(ISNUMBER(N2918),N2918,I2918))</f>
        <v/>
      </c>
      <c r="B2918">
        <f>IF(H2918="","",U2918)</f>
        <v/>
      </c>
      <c r="C2918">
        <f>IF(H2918="","",IF(P2918="",K2918,INDEX('Students'!$A$2:$A$701,P2918)))</f>
        <v/>
      </c>
      <c r="D2918">
        <f>IF(OR(H2918="",P2918=""),"",INDEX('Students'!$B$2:$B$701,P2918))</f>
        <v/>
      </c>
      <c r="E2918">
        <f>IF(OR(H2918="",P2918=""),"",INDEX('Students'!$C$2:$C$701,P2918))</f>
        <v/>
      </c>
      <c r="F2918" s="48">
        <f>IF(H2918="","",IF(ISNUMBER(O2918),O2918,J2918))</f>
        <v/>
      </c>
      <c r="G2918">
        <f>IF(H2918="","","OneCause")</f>
        <v/>
      </c>
      <c r="H2918">
        <f>IF(AND(I2918="",J2918="",K2918=""),"",IF(NOT(ISNUMBER(O2918)),"Bad amount",IF(O2918&lt;0,"Refund (not counted)",IF(O2918=0,"Zero amount",IF(NOT(ISNUMBER(N2918)),"Bad date",IF(P2918="","NAME NOT ON ROSTER",IF(L2918="","OK",IF(MATCH(L2918,$L$2:$L$3001,0)&lt;ROW()-1,"Duplicate (ignored)","OK"))))))))</f>
        <v/>
      </c>
      <c r="I2918">
        <f>IF(OC_Date=0,"",IF(INDEX('OneCause_Paste'!$A$2918:$AZ$2918,1,OC_Date)="","",INDEX('OneCause_Paste'!$A$2918:$AZ$2918,1,OC_Date)))</f>
        <v/>
      </c>
      <c r="J2918">
        <f>IF(OC_Amt=0,"",IF(INDEX('OneCause_Paste'!$A$2918:$AZ$2918,1,OC_Amt)="","",INDEX('OneCause_Paste'!$A$2918:$AZ$2918,1,OC_Amt)))</f>
        <v/>
      </c>
      <c r="K2918">
        <f>IF(OC_Name=0,"",IF(INDEX('OneCause_Paste'!$A$2918:$AZ$2918,1,OC_Name)="","",INDEX('OneCause_Paste'!$A$2918:$AZ$2918,1,OC_Name)))</f>
        <v/>
      </c>
      <c r="L2918">
        <f>IF(OC_Txn=0,"",IF(INDEX('OneCause_Paste'!$A$2918:$AZ$2918,1,OC_Txn)="","",INDEX('OneCause_Paste'!$A$2918:$AZ$2918,1,OC_Txn)))</f>
        <v/>
      </c>
      <c r="M2918">
        <f>IF(OC_Pay=0,"",IF(INDEX('OneCause_Paste'!$A$2918:$AZ$2918,1,OC_Pay)="","",INDEX('OneCause_Paste'!$A$2918:$AZ$2918,1,OC_Pay)))</f>
        <v/>
      </c>
      <c r="N2918">
        <f>IF(I2918="","",IF(ISNUMBER(I2918),INT(I2918),IFERROR(INT(DATEVALUE(I2918)),IFERROR(INT(VALUE(I2918)),"bad"))))</f>
        <v/>
      </c>
      <c r="O2918">
        <f>IF(J2918="","",IF(ISNUMBER(J2918),ROUND(J2918,2),IFERROR(ROUND(VALUE(SUBSTITUTE(SUBSTITUTE(SUBSTITUTE(J2918,"$",""),",","")," ","")),2),"bad")))</f>
        <v/>
      </c>
      <c r="P2918">
        <f>IF(TRIM(K2918)="","",IFERROR(MATCH(LOWER(TRIM(K2918)),'Students'!$AH$2:$AH$701,0),IFERROR(MATCH(LOWER(TRIM(K2918)),'Students'!$AF$2:$AF$701,0),IFERROR(MATCH(LOWER(TRIM(K2918)),'Students'!$AG$2:$AG$701,0),""))))</f>
        <v/>
      </c>
      <c r="R2918">
        <f>IF(P2918="","",INDEX('Students'!$AD$2:$AD$701,P2918))</f>
        <v/>
      </c>
      <c r="S2918">
        <f>IF(H2918="OK",O2918,0)</f>
        <v/>
      </c>
      <c r="T2918">
        <f>IF(H2918="OK",N2918,"")</f>
        <v/>
      </c>
      <c r="U2918">
        <f>IF(OC_Donor=0,"",IF(INDEX('OneCause_Paste'!$A$2918:$AZ$2918,1,OC_Donor)="","",INDEX('OneCause_Paste'!$A$2918:$AZ$2918,1,OC_Donor)))</f>
        <v/>
      </c>
    </row>
    <row r="2919">
      <c r="A2919" s="62">
        <f>IF(H2919="","",IF(ISNUMBER(N2919),N2919,I2919))</f>
        <v/>
      </c>
      <c r="B2919">
        <f>IF(H2919="","",U2919)</f>
        <v/>
      </c>
      <c r="C2919">
        <f>IF(H2919="","",IF(P2919="",K2919,INDEX('Students'!$A$2:$A$701,P2919)))</f>
        <v/>
      </c>
      <c r="D2919">
        <f>IF(OR(H2919="",P2919=""),"",INDEX('Students'!$B$2:$B$701,P2919))</f>
        <v/>
      </c>
      <c r="E2919">
        <f>IF(OR(H2919="",P2919=""),"",INDEX('Students'!$C$2:$C$701,P2919))</f>
        <v/>
      </c>
      <c r="F2919" s="48">
        <f>IF(H2919="","",IF(ISNUMBER(O2919),O2919,J2919))</f>
        <v/>
      </c>
      <c r="G2919">
        <f>IF(H2919="","","OneCause")</f>
        <v/>
      </c>
      <c r="H2919">
        <f>IF(AND(I2919="",J2919="",K2919=""),"",IF(NOT(ISNUMBER(O2919)),"Bad amount",IF(O2919&lt;0,"Refund (not counted)",IF(O2919=0,"Zero amount",IF(NOT(ISNUMBER(N2919)),"Bad date",IF(P2919="","NAME NOT ON ROSTER",IF(L2919="","OK",IF(MATCH(L2919,$L$2:$L$3001,0)&lt;ROW()-1,"Duplicate (ignored)","OK"))))))))</f>
        <v/>
      </c>
      <c r="I2919">
        <f>IF(OC_Date=0,"",IF(INDEX('OneCause_Paste'!$A$2919:$AZ$2919,1,OC_Date)="","",INDEX('OneCause_Paste'!$A$2919:$AZ$2919,1,OC_Date)))</f>
        <v/>
      </c>
      <c r="J2919">
        <f>IF(OC_Amt=0,"",IF(INDEX('OneCause_Paste'!$A$2919:$AZ$2919,1,OC_Amt)="","",INDEX('OneCause_Paste'!$A$2919:$AZ$2919,1,OC_Amt)))</f>
        <v/>
      </c>
      <c r="K2919">
        <f>IF(OC_Name=0,"",IF(INDEX('OneCause_Paste'!$A$2919:$AZ$2919,1,OC_Name)="","",INDEX('OneCause_Paste'!$A$2919:$AZ$2919,1,OC_Name)))</f>
        <v/>
      </c>
      <c r="L2919">
        <f>IF(OC_Txn=0,"",IF(INDEX('OneCause_Paste'!$A$2919:$AZ$2919,1,OC_Txn)="","",INDEX('OneCause_Paste'!$A$2919:$AZ$2919,1,OC_Txn)))</f>
        <v/>
      </c>
      <c r="M2919">
        <f>IF(OC_Pay=0,"",IF(INDEX('OneCause_Paste'!$A$2919:$AZ$2919,1,OC_Pay)="","",INDEX('OneCause_Paste'!$A$2919:$AZ$2919,1,OC_Pay)))</f>
        <v/>
      </c>
      <c r="N2919">
        <f>IF(I2919="","",IF(ISNUMBER(I2919),INT(I2919),IFERROR(INT(DATEVALUE(I2919)),IFERROR(INT(VALUE(I2919)),"bad"))))</f>
        <v/>
      </c>
      <c r="O2919">
        <f>IF(J2919="","",IF(ISNUMBER(J2919),ROUND(J2919,2),IFERROR(ROUND(VALUE(SUBSTITUTE(SUBSTITUTE(SUBSTITUTE(J2919,"$",""),",","")," ","")),2),"bad")))</f>
        <v/>
      </c>
      <c r="P2919">
        <f>IF(TRIM(K2919)="","",IFERROR(MATCH(LOWER(TRIM(K2919)),'Students'!$AH$2:$AH$701,0),IFERROR(MATCH(LOWER(TRIM(K2919)),'Students'!$AF$2:$AF$701,0),IFERROR(MATCH(LOWER(TRIM(K2919)),'Students'!$AG$2:$AG$701,0),""))))</f>
        <v/>
      </c>
      <c r="R2919">
        <f>IF(P2919="","",INDEX('Students'!$AD$2:$AD$701,P2919))</f>
        <v/>
      </c>
      <c r="S2919">
        <f>IF(H2919="OK",O2919,0)</f>
        <v/>
      </c>
      <c r="T2919">
        <f>IF(H2919="OK",N2919,"")</f>
        <v/>
      </c>
      <c r="U2919">
        <f>IF(OC_Donor=0,"",IF(INDEX('OneCause_Paste'!$A$2919:$AZ$2919,1,OC_Donor)="","",INDEX('OneCause_Paste'!$A$2919:$AZ$2919,1,OC_Donor)))</f>
        <v/>
      </c>
    </row>
    <row r="2920">
      <c r="A2920" s="62">
        <f>IF(H2920="","",IF(ISNUMBER(N2920),N2920,I2920))</f>
        <v/>
      </c>
      <c r="B2920">
        <f>IF(H2920="","",U2920)</f>
        <v/>
      </c>
      <c r="C2920">
        <f>IF(H2920="","",IF(P2920="",K2920,INDEX('Students'!$A$2:$A$701,P2920)))</f>
        <v/>
      </c>
      <c r="D2920">
        <f>IF(OR(H2920="",P2920=""),"",INDEX('Students'!$B$2:$B$701,P2920))</f>
        <v/>
      </c>
      <c r="E2920">
        <f>IF(OR(H2920="",P2920=""),"",INDEX('Students'!$C$2:$C$701,P2920))</f>
        <v/>
      </c>
      <c r="F2920" s="48">
        <f>IF(H2920="","",IF(ISNUMBER(O2920),O2920,J2920))</f>
        <v/>
      </c>
      <c r="G2920">
        <f>IF(H2920="","","OneCause")</f>
        <v/>
      </c>
      <c r="H2920">
        <f>IF(AND(I2920="",J2920="",K2920=""),"",IF(NOT(ISNUMBER(O2920)),"Bad amount",IF(O2920&lt;0,"Refund (not counted)",IF(O2920=0,"Zero amount",IF(NOT(ISNUMBER(N2920)),"Bad date",IF(P2920="","NAME NOT ON ROSTER",IF(L2920="","OK",IF(MATCH(L2920,$L$2:$L$3001,0)&lt;ROW()-1,"Duplicate (ignored)","OK"))))))))</f>
        <v/>
      </c>
      <c r="I2920">
        <f>IF(OC_Date=0,"",IF(INDEX('OneCause_Paste'!$A$2920:$AZ$2920,1,OC_Date)="","",INDEX('OneCause_Paste'!$A$2920:$AZ$2920,1,OC_Date)))</f>
        <v/>
      </c>
      <c r="J2920">
        <f>IF(OC_Amt=0,"",IF(INDEX('OneCause_Paste'!$A$2920:$AZ$2920,1,OC_Amt)="","",INDEX('OneCause_Paste'!$A$2920:$AZ$2920,1,OC_Amt)))</f>
        <v/>
      </c>
      <c r="K2920">
        <f>IF(OC_Name=0,"",IF(INDEX('OneCause_Paste'!$A$2920:$AZ$2920,1,OC_Name)="","",INDEX('OneCause_Paste'!$A$2920:$AZ$2920,1,OC_Name)))</f>
        <v/>
      </c>
      <c r="L2920">
        <f>IF(OC_Txn=0,"",IF(INDEX('OneCause_Paste'!$A$2920:$AZ$2920,1,OC_Txn)="","",INDEX('OneCause_Paste'!$A$2920:$AZ$2920,1,OC_Txn)))</f>
        <v/>
      </c>
      <c r="M2920">
        <f>IF(OC_Pay=0,"",IF(INDEX('OneCause_Paste'!$A$2920:$AZ$2920,1,OC_Pay)="","",INDEX('OneCause_Paste'!$A$2920:$AZ$2920,1,OC_Pay)))</f>
        <v/>
      </c>
      <c r="N2920">
        <f>IF(I2920="","",IF(ISNUMBER(I2920),INT(I2920),IFERROR(INT(DATEVALUE(I2920)),IFERROR(INT(VALUE(I2920)),"bad"))))</f>
        <v/>
      </c>
      <c r="O2920">
        <f>IF(J2920="","",IF(ISNUMBER(J2920),ROUND(J2920,2),IFERROR(ROUND(VALUE(SUBSTITUTE(SUBSTITUTE(SUBSTITUTE(J2920,"$",""),",","")," ","")),2),"bad")))</f>
        <v/>
      </c>
      <c r="P2920">
        <f>IF(TRIM(K2920)="","",IFERROR(MATCH(LOWER(TRIM(K2920)),'Students'!$AH$2:$AH$701,0),IFERROR(MATCH(LOWER(TRIM(K2920)),'Students'!$AF$2:$AF$701,0),IFERROR(MATCH(LOWER(TRIM(K2920)),'Students'!$AG$2:$AG$701,0),""))))</f>
        <v/>
      </c>
      <c r="R2920">
        <f>IF(P2920="","",INDEX('Students'!$AD$2:$AD$701,P2920))</f>
        <v/>
      </c>
      <c r="S2920">
        <f>IF(H2920="OK",O2920,0)</f>
        <v/>
      </c>
      <c r="T2920">
        <f>IF(H2920="OK",N2920,"")</f>
        <v/>
      </c>
      <c r="U2920">
        <f>IF(OC_Donor=0,"",IF(INDEX('OneCause_Paste'!$A$2920:$AZ$2920,1,OC_Donor)="","",INDEX('OneCause_Paste'!$A$2920:$AZ$2920,1,OC_Donor)))</f>
        <v/>
      </c>
    </row>
    <row r="2921">
      <c r="A2921" s="62">
        <f>IF(H2921="","",IF(ISNUMBER(N2921),N2921,I2921))</f>
        <v/>
      </c>
      <c r="B2921">
        <f>IF(H2921="","",U2921)</f>
        <v/>
      </c>
      <c r="C2921">
        <f>IF(H2921="","",IF(P2921="",K2921,INDEX('Students'!$A$2:$A$701,P2921)))</f>
        <v/>
      </c>
      <c r="D2921">
        <f>IF(OR(H2921="",P2921=""),"",INDEX('Students'!$B$2:$B$701,P2921))</f>
        <v/>
      </c>
      <c r="E2921">
        <f>IF(OR(H2921="",P2921=""),"",INDEX('Students'!$C$2:$C$701,P2921))</f>
        <v/>
      </c>
      <c r="F2921" s="48">
        <f>IF(H2921="","",IF(ISNUMBER(O2921),O2921,J2921))</f>
        <v/>
      </c>
      <c r="G2921">
        <f>IF(H2921="","","OneCause")</f>
        <v/>
      </c>
      <c r="H2921">
        <f>IF(AND(I2921="",J2921="",K2921=""),"",IF(NOT(ISNUMBER(O2921)),"Bad amount",IF(O2921&lt;0,"Refund (not counted)",IF(O2921=0,"Zero amount",IF(NOT(ISNUMBER(N2921)),"Bad date",IF(P2921="","NAME NOT ON ROSTER",IF(L2921="","OK",IF(MATCH(L2921,$L$2:$L$3001,0)&lt;ROW()-1,"Duplicate (ignored)","OK"))))))))</f>
        <v/>
      </c>
      <c r="I2921">
        <f>IF(OC_Date=0,"",IF(INDEX('OneCause_Paste'!$A$2921:$AZ$2921,1,OC_Date)="","",INDEX('OneCause_Paste'!$A$2921:$AZ$2921,1,OC_Date)))</f>
        <v/>
      </c>
      <c r="J2921">
        <f>IF(OC_Amt=0,"",IF(INDEX('OneCause_Paste'!$A$2921:$AZ$2921,1,OC_Amt)="","",INDEX('OneCause_Paste'!$A$2921:$AZ$2921,1,OC_Amt)))</f>
        <v/>
      </c>
      <c r="K2921">
        <f>IF(OC_Name=0,"",IF(INDEX('OneCause_Paste'!$A$2921:$AZ$2921,1,OC_Name)="","",INDEX('OneCause_Paste'!$A$2921:$AZ$2921,1,OC_Name)))</f>
        <v/>
      </c>
      <c r="L2921">
        <f>IF(OC_Txn=0,"",IF(INDEX('OneCause_Paste'!$A$2921:$AZ$2921,1,OC_Txn)="","",INDEX('OneCause_Paste'!$A$2921:$AZ$2921,1,OC_Txn)))</f>
        <v/>
      </c>
      <c r="M2921">
        <f>IF(OC_Pay=0,"",IF(INDEX('OneCause_Paste'!$A$2921:$AZ$2921,1,OC_Pay)="","",INDEX('OneCause_Paste'!$A$2921:$AZ$2921,1,OC_Pay)))</f>
        <v/>
      </c>
      <c r="N2921">
        <f>IF(I2921="","",IF(ISNUMBER(I2921),INT(I2921),IFERROR(INT(DATEVALUE(I2921)),IFERROR(INT(VALUE(I2921)),"bad"))))</f>
        <v/>
      </c>
      <c r="O2921">
        <f>IF(J2921="","",IF(ISNUMBER(J2921),ROUND(J2921,2),IFERROR(ROUND(VALUE(SUBSTITUTE(SUBSTITUTE(SUBSTITUTE(J2921,"$",""),",","")," ","")),2),"bad")))</f>
        <v/>
      </c>
      <c r="P2921">
        <f>IF(TRIM(K2921)="","",IFERROR(MATCH(LOWER(TRIM(K2921)),'Students'!$AH$2:$AH$701,0),IFERROR(MATCH(LOWER(TRIM(K2921)),'Students'!$AF$2:$AF$701,0),IFERROR(MATCH(LOWER(TRIM(K2921)),'Students'!$AG$2:$AG$701,0),""))))</f>
        <v/>
      </c>
      <c r="R2921">
        <f>IF(P2921="","",INDEX('Students'!$AD$2:$AD$701,P2921))</f>
        <v/>
      </c>
      <c r="S2921">
        <f>IF(H2921="OK",O2921,0)</f>
        <v/>
      </c>
      <c r="T2921">
        <f>IF(H2921="OK",N2921,"")</f>
        <v/>
      </c>
      <c r="U2921">
        <f>IF(OC_Donor=0,"",IF(INDEX('OneCause_Paste'!$A$2921:$AZ$2921,1,OC_Donor)="","",INDEX('OneCause_Paste'!$A$2921:$AZ$2921,1,OC_Donor)))</f>
        <v/>
      </c>
    </row>
    <row r="2922">
      <c r="A2922" s="62">
        <f>IF(H2922="","",IF(ISNUMBER(N2922),N2922,I2922))</f>
        <v/>
      </c>
      <c r="B2922">
        <f>IF(H2922="","",U2922)</f>
        <v/>
      </c>
      <c r="C2922">
        <f>IF(H2922="","",IF(P2922="",K2922,INDEX('Students'!$A$2:$A$701,P2922)))</f>
        <v/>
      </c>
      <c r="D2922">
        <f>IF(OR(H2922="",P2922=""),"",INDEX('Students'!$B$2:$B$701,P2922))</f>
        <v/>
      </c>
      <c r="E2922">
        <f>IF(OR(H2922="",P2922=""),"",INDEX('Students'!$C$2:$C$701,P2922))</f>
        <v/>
      </c>
      <c r="F2922" s="48">
        <f>IF(H2922="","",IF(ISNUMBER(O2922),O2922,J2922))</f>
        <v/>
      </c>
      <c r="G2922">
        <f>IF(H2922="","","OneCause")</f>
        <v/>
      </c>
      <c r="H2922">
        <f>IF(AND(I2922="",J2922="",K2922=""),"",IF(NOT(ISNUMBER(O2922)),"Bad amount",IF(O2922&lt;0,"Refund (not counted)",IF(O2922=0,"Zero amount",IF(NOT(ISNUMBER(N2922)),"Bad date",IF(P2922="","NAME NOT ON ROSTER",IF(L2922="","OK",IF(MATCH(L2922,$L$2:$L$3001,0)&lt;ROW()-1,"Duplicate (ignored)","OK"))))))))</f>
        <v/>
      </c>
      <c r="I2922">
        <f>IF(OC_Date=0,"",IF(INDEX('OneCause_Paste'!$A$2922:$AZ$2922,1,OC_Date)="","",INDEX('OneCause_Paste'!$A$2922:$AZ$2922,1,OC_Date)))</f>
        <v/>
      </c>
      <c r="J2922">
        <f>IF(OC_Amt=0,"",IF(INDEX('OneCause_Paste'!$A$2922:$AZ$2922,1,OC_Amt)="","",INDEX('OneCause_Paste'!$A$2922:$AZ$2922,1,OC_Amt)))</f>
        <v/>
      </c>
      <c r="K2922">
        <f>IF(OC_Name=0,"",IF(INDEX('OneCause_Paste'!$A$2922:$AZ$2922,1,OC_Name)="","",INDEX('OneCause_Paste'!$A$2922:$AZ$2922,1,OC_Name)))</f>
        <v/>
      </c>
      <c r="L2922">
        <f>IF(OC_Txn=0,"",IF(INDEX('OneCause_Paste'!$A$2922:$AZ$2922,1,OC_Txn)="","",INDEX('OneCause_Paste'!$A$2922:$AZ$2922,1,OC_Txn)))</f>
        <v/>
      </c>
      <c r="M2922">
        <f>IF(OC_Pay=0,"",IF(INDEX('OneCause_Paste'!$A$2922:$AZ$2922,1,OC_Pay)="","",INDEX('OneCause_Paste'!$A$2922:$AZ$2922,1,OC_Pay)))</f>
        <v/>
      </c>
      <c r="N2922">
        <f>IF(I2922="","",IF(ISNUMBER(I2922),INT(I2922),IFERROR(INT(DATEVALUE(I2922)),IFERROR(INT(VALUE(I2922)),"bad"))))</f>
        <v/>
      </c>
      <c r="O2922">
        <f>IF(J2922="","",IF(ISNUMBER(J2922),ROUND(J2922,2),IFERROR(ROUND(VALUE(SUBSTITUTE(SUBSTITUTE(SUBSTITUTE(J2922,"$",""),",","")," ","")),2),"bad")))</f>
        <v/>
      </c>
      <c r="P2922">
        <f>IF(TRIM(K2922)="","",IFERROR(MATCH(LOWER(TRIM(K2922)),'Students'!$AH$2:$AH$701,0),IFERROR(MATCH(LOWER(TRIM(K2922)),'Students'!$AF$2:$AF$701,0),IFERROR(MATCH(LOWER(TRIM(K2922)),'Students'!$AG$2:$AG$701,0),""))))</f>
        <v/>
      </c>
      <c r="R2922">
        <f>IF(P2922="","",INDEX('Students'!$AD$2:$AD$701,P2922))</f>
        <v/>
      </c>
      <c r="S2922">
        <f>IF(H2922="OK",O2922,0)</f>
        <v/>
      </c>
      <c r="T2922">
        <f>IF(H2922="OK",N2922,"")</f>
        <v/>
      </c>
      <c r="U2922">
        <f>IF(OC_Donor=0,"",IF(INDEX('OneCause_Paste'!$A$2922:$AZ$2922,1,OC_Donor)="","",INDEX('OneCause_Paste'!$A$2922:$AZ$2922,1,OC_Donor)))</f>
        <v/>
      </c>
    </row>
    <row r="2923">
      <c r="A2923" s="62">
        <f>IF(H2923="","",IF(ISNUMBER(N2923),N2923,I2923))</f>
        <v/>
      </c>
      <c r="B2923">
        <f>IF(H2923="","",U2923)</f>
        <v/>
      </c>
      <c r="C2923">
        <f>IF(H2923="","",IF(P2923="",K2923,INDEX('Students'!$A$2:$A$701,P2923)))</f>
        <v/>
      </c>
      <c r="D2923">
        <f>IF(OR(H2923="",P2923=""),"",INDEX('Students'!$B$2:$B$701,P2923))</f>
        <v/>
      </c>
      <c r="E2923">
        <f>IF(OR(H2923="",P2923=""),"",INDEX('Students'!$C$2:$C$701,P2923))</f>
        <v/>
      </c>
      <c r="F2923" s="48">
        <f>IF(H2923="","",IF(ISNUMBER(O2923),O2923,J2923))</f>
        <v/>
      </c>
      <c r="G2923">
        <f>IF(H2923="","","OneCause")</f>
        <v/>
      </c>
      <c r="H2923">
        <f>IF(AND(I2923="",J2923="",K2923=""),"",IF(NOT(ISNUMBER(O2923)),"Bad amount",IF(O2923&lt;0,"Refund (not counted)",IF(O2923=0,"Zero amount",IF(NOT(ISNUMBER(N2923)),"Bad date",IF(P2923="","NAME NOT ON ROSTER",IF(L2923="","OK",IF(MATCH(L2923,$L$2:$L$3001,0)&lt;ROW()-1,"Duplicate (ignored)","OK"))))))))</f>
        <v/>
      </c>
      <c r="I2923">
        <f>IF(OC_Date=0,"",IF(INDEX('OneCause_Paste'!$A$2923:$AZ$2923,1,OC_Date)="","",INDEX('OneCause_Paste'!$A$2923:$AZ$2923,1,OC_Date)))</f>
        <v/>
      </c>
      <c r="J2923">
        <f>IF(OC_Amt=0,"",IF(INDEX('OneCause_Paste'!$A$2923:$AZ$2923,1,OC_Amt)="","",INDEX('OneCause_Paste'!$A$2923:$AZ$2923,1,OC_Amt)))</f>
        <v/>
      </c>
      <c r="K2923">
        <f>IF(OC_Name=0,"",IF(INDEX('OneCause_Paste'!$A$2923:$AZ$2923,1,OC_Name)="","",INDEX('OneCause_Paste'!$A$2923:$AZ$2923,1,OC_Name)))</f>
        <v/>
      </c>
      <c r="L2923">
        <f>IF(OC_Txn=0,"",IF(INDEX('OneCause_Paste'!$A$2923:$AZ$2923,1,OC_Txn)="","",INDEX('OneCause_Paste'!$A$2923:$AZ$2923,1,OC_Txn)))</f>
        <v/>
      </c>
      <c r="M2923">
        <f>IF(OC_Pay=0,"",IF(INDEX('OneCause_Paste'!$A$2923:$AZ$2923,1,OC_Pay)="","",INDEX('OneCause_Paste'!$A$2923:$AZ$2923,1,OC_Pay)))</f>
        <v/>
      </c>
      <c r="N2923">
        <f>IF(I2923="","",IF(ISNUMBER(I2923),INT(I2923),IFERROR(INT(DATEVALUE(I2923)),IFERROR(INT(VALUE(I2923)),"bad"))))</f>
        <v/>
      </c>
      <c r="O2923">
        <f>IF(J2923="","",IF(ISNUMBER(J2923),ROUND(J2923,2),IFERROR(ROUND(VALUE(SUBSTITUTE(SUBSTITUTE(SUBSTITUTE(J2923,"$",""),",","")," ","")),2),"bad")))</f>
        <v/>
      </c>
      <c r="P2923">
        <f>IF(TRIM(K2923)="","",IFERROR(MATCH(LOWER(TRIM(K2923)),'Students'!$AH$2:$AH$701,0),IFERROR(MATCH(LOWER(TRIM(K2923)),'Students'!$AF$2:$AF$701,0),IFERROR(MATCH(LOWER(TRIM(K2923)),'Students'!$AG$2:$AG$701,0),""))))</f>
        <v/>
      </c>
      <c r="R2923">
        <f>IF(P2923="","",INDEX('Students'!$AD$2:$AD$701,P2923))</f>
        <v/>
      </c>
      <c r="S2923">
        <f>IF(H2923="OK",O2923,0)</f>
        <v/>
      </c>
      <c r="T2923">
        <f>IF(H2923="OK",N2923,"")</f>
        <v/>
      </c>
      <c r="U2923">
        <f>IF(OC_Donor=0,"",IF(INDEX('OneCause_Paste'!$A$2923:$AZ$2923,1,OC_Donor)="","",INDEX('OneCause_Paste'!$A$2923:$AZ$2923,1,OC_Donor)))</f>
        <v/>
      </c>
    </row>
    <row r="2924">
      <c r="A2924" s="62">
        <f>IF(H2924="","",IF(ISNUMBER(N2924),N2924,I2924))</f>
        <v/>
      </c>
      <c r="B2924">
        <f>IF(H2924="","",U2924)</f>
        <v/>
      </c>
      <c r="C2924">
        <f>IF(H2924="","",IF(P2924="",K2924,INDEX('Students'!$A$2:$A$701,P2924)))</f>
        <v/>
      </c>
      <c r="D2924">
        <f>IF(OR(H2924="",P2924=""),"",INDEX('Students'!$B$2:$B$701,P2924))</f>
        <v/>
      </c>
      <c r="E2924">
        <f>IF(OR(H2924="",P2924=""),"",INDEX('Students'!$C$2:$C$701,P2924))</f>
        <v/>
      </c>
      <c r="F2924" s="48">
        <f>IF(H2924="","",IF(ISNUMBER(O2924),O2924,J2924))</f>
        <v/>
      </c>
      <c r="G2924">
        <f>IF(H2924="","","OneCause")</f>
        <v/>
      </c>
      <c r="H2924">
        <f>IF(AND(I2924="",J2924="",K2924=""),"",IF(NOT(ISNUMBER(O2924)),"Bad amount",IF(O2924&lt;0,"Refund (not counted)",IF(O2924=0,"Zero amount",IF(NOT(ISNUMBER(N2924)),"Bad date",IF(P2924="","NAME NOT ON ROSTER",IF(L2924="","OK",IF(MATCH(L2924,$L$2:$L$3001,0)&lt;ROW()-1,"Duplicate (ignored)","OK"))))))))</f>
        <v/>
      </c>
      <c r="I2924">
        <f>IF(OC_Date=0,"",IF(INDEX('OneCause_Paste'!$A$2924:$AZ$2924,1,OC_Date)="","",INDEX('OneCause_Paste'!$A$2924:$AZ$2924,1,OC_Date)))</f>
        <v/>
      </c>
      <c r="J2924">
        <f>IF(OC_Amt=0,"",IF(INDEX('OneCause_Paste'!$A$2924:$AZ$2924,1,OC_Amt)="","",INDEX('OneCause_Paste'!$A$2924:$AZ$2924,1,OC_Amt)))</f>
        <v/>
      </c>
      <c r="K2924">
        <f>IF(OC_Name=0,"",IF(INDEX('OneCause_Paste'!$A$2924:$AZ$2924,1,OC_Name)="","",INDEX('OneCause_Paste'!$A$2924:$AZ$2924,1,OC_Name)))</f>
        <v/>
      </c>
      <c r="L2924">
        <f>IF(OC_Txn=0,"",IF(INDEX('OneCause_Paste'!$A$2924:$AZ$2924,1,OC_Txn)="","",INDEX('OneCause_Paste'!$A$2924:$AZ$2924,1,OC_Txn)))</f>
        <v/>
      </c>
      <c r="M2924">
        <f>IF(OC_Pay=0,"",IF(INDEX('OneCause_Paste'!$A$2924:$AZ$2924,1,OC_Pay)="","",INDEX('OneCause_Paste'!$A$2924:$AZ$2924,1,OC_Pay)))</f>
        <v/>
      </c>
      <c r="N2924">
        <f>IF(I2924="","",IF(ISNUMBER(I2924),INT(I2924),IFERROR(INT(DATEVALUE(I2924)),IFERROR(INT(VALUE(I2924)),"bad"))))</f>
        <v/>
      </c>
      <c r="O2924">
        <f>IF(J2924="","",IF(ISNUMBER(J2924),ROUND(J2924,2),IFERROR(ROUND(VALUE(SUBSTITUTE(SUBSTITUTE(SUBSTITUTE(J2924,"$",""),",","")," ","")),2),"bad")))</f>
        <v/>
      </c>
      <c r="P2924">
        <f>IF(TRIM(K2924)="","",IFERROR(MATCH(LOWER(TRIM(K2924)),'Students'!$AH$2:$AH$701,0),IFERROR(MATCH(LOWER(TRIM(K2924)),'Students'!$AF$2:$AF$701,0),IFERROR(MATCH(LOWER(TRIM(K2924)),'Students'!$AG$2:$AG$701,0),""))))</f>
        <v/>
      </c>
      <c r="R2924">
        <f>IF(P2924="","",INDEX('Students'!$AD$2:$AD$701,P2924))</f>
        <v/>
      </c>
      <c r="S2924">
        <f>IF(H2924="OK",O2924,0)</f>
        <v/>
      </c>
      <c r="T2924">
        <f>IF(H2924="OK",N2924,"")</f>
        <v/>
      </c>
      <c r="U2924">
        <f>IF(OC_Donor=0,"",IF(INDEX('OneCause_Paste'!$A$2924:$AZ$2924,1,OC_Donor)="","",INDEX('OneCause_Paste'!$A$2924:$AZ$2924,1,OC_Donor)))</f>
        <v/>
      </c>
    </row>
    <row r="2925">
      <c r="A2925" s="62">
        <f>IF(H2925="","",IF(ISNUMBER(N2925),N2925,I2925))</f>
        <v/>
      </c>
      <c r="B2925">
        <f>IF(H2925="","",U2925)</f>
        <v/>
      </c>
      <c r="C2925">
        <f>IF(H2925="","",IF(P2925="",K2925,INDEX('Students'!$A$2:$A$701,P2925)))</f>
        <v/>
      </c>
      <c r="D2925">
        <f>IF(OR(H2925="",P2925=""),"",INDEX('Students'!$B$2:$B$701,P2925))</f>
        <v/>
      </c>
      <c r="E2925">
        <f>IF(OR(H2925="",P2925=""),"",INDEX('Students'!$C$2:$C$701,P2925))</f>
        <v/>
      </c>
      <c r="F2925" s="48">
        <f>IF(H2925="","",IF(ISNUMBER(O2925),O2925,J2925))</f>
        <v/>
      </c>
      <c r="G2925">
        <f>IF(H2925="","","OneCause")</f>
        <v/>
      </c>
      <c r="H2925">
        <f>IF(AND(I2925="",J2925="",K2925=""),"",IF(NOT(ISNUMBER(O2925)),"Bad amount",IF(O2925&lt;0,"Refund (not counted)",IF(O2925=0,"Zero amount",IF(NOT(ISNUMBER(N2925)),"Bad date",IF(P2925="","NAME NOT ON ROSTER",IF(L2925="","OK",IF(MATCH(L2925,$L$2:$L$3001,0)&lt;ROW()-1,"Duplicate (ignored)","OK"))))))))</f>
        <v/>
      </c>
      <c r="I2925">
        <f>IF(OC_Date=0,"",IF(INDEX('OneCause_Paste'!$A$2925:$AZ$2925,1,OC_Date)="","",INDEX('OneCause_Paste'!$A$2925:$AZ$2925,1,OC_Date)))</f>
        <v/>
      </c>
      <c r="J2925">
        <f>IF(OC_Amt=0,"",IF(INDEX('OneCause_Paste'!$A$2925:$AZ$2925,1,OC_Amt)="","",INDEX('OneCause_Paste'!$A$2925:$AZ$2925,1,OC_Amt)))</f>
        <v/>
      </c>
      <c r="K2925">
        <f>IF(OC_Name=0,"",IF(INDEX('OneCause_Paste'!$A$2925:$AZ$2925,1,OC_Name)="","",INDEX('OneCause_Paste'!$A$2925:$AZ$2925,1,OC_Name)))</f>
        <v/>
      </c>
      <c r="L2925">
        <f>IF(OC_Txn=0,"",IF(INDEX('OneCause_Paste'!$A$2925:$AZ$2925,1,OC_Txn)="","",INDEX('OneCause_Paste'!$A$2925:$AZ$2925,1,OC_Txn)))</f>
        <v/>
      </c>
      <c r="M2925">
        <f>IF(OC_Pay=0,"",IF(INDEX('OneCause_Paste'!$A$2925:$AZ$2925,1,OC_Pay)="","",INDEX('OneCause_Paste'!$A$2925:$AZ$2925,1,OC_Pay)))</f>
        <v/>
      </c>
      <c r="N2925">
        <f>IF(I2925="","",IF(ISNUMBER(I2925),INT(I2925),IFERROR(INT(DATEVALUE(I2925)),IFERROR(INT(VALUE(I2925)),"bad"))))</f>
        <v/>
      </c>
      <c r="O2925">
        <f>IF(J2925="","",IF(ISNUMBER(J2925),ROUND(J2925,2),IFERROR(ROUND(VALUE(SUBSTITUTE(SUBSTITUTE(SUBSTITUTE(J2925,"$",""),",","")," ","")),2),"bad")))</f>
        <v/>
      </c>
      <c r="P2925">
        <f>IF(TRIM(K2925)="","",IFERROR(MATCH(LOWER(TRIM(K2925)),'Students'!$AH$2:$AH$701,0),IFERROR(MATCH(LOWER(TRIM(K2925)),'Students'!$AF$2:$AF$701,0),IFERROR(MATCH(LOWER(TRIM(K2925)),'Students'!$AG$2:$AG$701,0),""))))</f>
        <v/>
      </c>
      <c r="R2925">
        <f>IF(P2925="","",INDEX('Students'!$AD$2:$AD$701,P2925))</f>
        <v/>
      </c>
      <c r="S2925">
        <f>IF(H2925="OK",O2925,0)</f>
        <v/>
      </c>
      <c r="T2925">
        <f>IF(H2925="OK",N2925,"")</f>
        <v/>
      </c>
      <c r="U2925">
        <f>IF(OC_Donor=0,"",IF(INDEX('OneCause_Paste'!$A$2925:$AZ$2925,1,OC_Donor)="","",INDEX('OneCause_Paste'!$A$2925:$AZ$2925,1,OC_Donor)))</f>
        <v/>
      </c>
    </row>
    <row r="2926">
      <c r="A2926" s="62">
        <f>IF(H2926="","",IF(ISNUMBER(N2926),N2926,I2926))</f>
        <v/>
      </c>
      <c r="B2926">
        <f>IF(H2926="","",U2926)</f>
        <v/>
      </c>
      <c r="C2926">
        <f>IF(H2926="","",IF(P2926="",K2926,INDEX('Students'!$A$2:$A$701,P2926)))</f>
        <v/>
      </c>
      <c r="D2926">
        <f>IF(OR(H2926="",P2926=""),"",INDEX('Students'!$B$2:$B$701,P2926))</f>
        <v/>
      </c>
      <c r="E2926">
        <f>IF(OR(H2926="",P2926=""),"",INDEX('Students'!$C$2:$C$701,P2926))</f>
        <v/>
      </c>
      <c r="F2926" s="48">
        <f>IF(H2926="","",IF(ISNUMBER(O2926),O2926,J2926))</f>
        <v/>
      </c>
      <c r="G2926">
        <f>IF(H2926="","","OneCause")</f>
        <v/>
      </c>
      <c r="H2926">
        <f>IF(AND(I2926="",J2926="",K2926=""),"",IF(NOT(ISNUMBER(O2926)),"Bad amount",IF(O2926&lt;0,"Refund (not counted)",IF(O2926=0,"Zero amount",IF(NOT(ISNUMBER(N2926)),"Bad date",IF(P2926="","NAME NOT ON ROSTER",IF(L2926="","OK",IF(MATCH(L2926,$L$2:$L$3001,0)&lt;ROW()-1,"Duplicate (ignored)","OK"))))))))</f>
        <v/>
      </c>
      <c r="I2926">
        <f>IF(OC_Date=0,"",IF(INDEX('OneCause_Paste'!$A$2926:$AZ$2926,1,OC_Date)="","",INDEX('OneCause_Paste'!$A$2926:$AZ$2926,1,OC_Date)))</f>
        <v/>
      </c>
      <c r="J2926">
        <f>IF(OC_Amt=0,"",IF(INDEX('OneCause_Paste'!$A$2926:$AZ$2926,1,OC_Amt)="","",INDEX('OneCause_Paste'!$A$2926:$AZ$2926,1,OC_Amt)))</f>
        <v/>
      </c>
      <c r="K2926">
        <f>IF(OC_Name=0,"",IF(INDEX('OneCause_Paste'!$A$2926:$AZ$2926,1,OC_Name)="","",INDEX('OneCause_Paste'!$A$2926:$AZ$2926,1,OC_Name)))</f>
        <v/>
      </c>
      <c r="L2926">
        <f>IF(OC_Txn=0,"",IF(INDEX('OneCause_Paste'!$A$2926:$AZ$2926,1,OC_Txn)="","",INDEX('OneCause_Paste'!$A$2926:$AZ$2926,1,OC_Txn)))</f>
        <v/>
      </c>
      <c r="M2926">
        <f>IF(OC_Pay=0,"",IF(INDEX('OneCause_Paste'!$A$2926:$AZ$2926,1,OC_Pay)="","",INDEX('OneCause_Paste'!$A$2926:$AZ$2926,1,OC_Pay)))</f>
        <v/>
      </c>
      <c r="N2926">
        <f>IF(I2926="","",IF(ISNUMBER(I2926),INT(I2926),IFERROR(INT(DATEVALUE(I2926)),IFERROR(INT(VALUE(I2926)),"bad"))))</f>
        <v/>
      </c>
      <c r="O2926">
        <f>IF(J2926="","",IF(ISNUMBER(J2926),ROUND(J2926,2),IFERROR(ROUND(VALUE(SUBSTITUTE(SUBSTITUTE(SUBSTITUTE(J2926,"$",""),",","")," ","")),2),"bad")))</f>
        <v/>
      </c>
      <c r="P2926">
        <f>IF(TRIM(K2926)="","",IFERROR(MATCH(LOWER(TRIM(K2926)),'Students'!$AH$2:$AH$701,0),IFERROR(MATCH(LOWER(TRIM(K2926)),'Students'!$AF$2:$AF$701,0),IFERROR(MATCH(LOWER(TRIM(K2926)),'Students'!$AG$2:$AG$701,0),""))))</f>
        <v/>
      </c>
      <c r="R2926">
        <f>IF(P2926="","",INDEX('Students'!$AD$2:$AD$701,P2926))</f>
        <v/>
      </c>
      <c r="S2926">
        <f>IF(H2926="OK",O2926,0)</f>
        <v/>
      </c>
      <c r="T2926">
        <f>IF(H2926="OK",N2926,"")</f>
        <v/>
      </c>
      <c r="U2926">
        <f>IF(OC_Donor=0,"",IF(INDEX('OneCause_Paste'!$A$2926:$AZ$2926,1,OC_Donor)="","",INDEX('OneCause_Paste'!$A$2926:$AZ$2926,1,OC_Donor)))</f>
        <v/>
      </c>
    </row>
    <row r="2927">
      <c r="A2927" s="62">
        <f>IF(H2927="","",IF(ISNUMBER(N2927),N2927,I2927))</f>
        <v/>
      </c>
      <c r="B2927">
        <f>IF(H2927="","",U2927)</f>
        <v/>
      </c>
      <c r="C2927">
        <f>IF(H2927="","",IF(P2927="",K2927,INDEX('Students'!$A$2:$A$701,P2927)))</f>
        <v/>
      </c>
      <c r="D2927">
        <f>IF(OR(H2927="",P2927=""),"",INDEX('Students'!$B$2:$B$701,P2927))</f>
        <v/>
      </c>
      <c r="E2927">
        <f>IF(OR(H2927="",P2927=""),"",INDEX('Students'!$C$2:$C$701,P2927))</f>
        <v/>
      </c>
      <c r="F2927" s="48">
        <f>IF(H2927="","",IF(ISNUMBER(O2927),O2927,J2927))</f>
        <v/>
      </c>
      <c r="G2927">
        <f>IF(H2927="","","OneCause")</f>
        <v/>
      </c>
      <c r="H2927">
        <f>IF(AND(I2927="",J2927="",K2927=""),"",IF(NOT(ISNUMBER(O2927)),"Bad amount",IF(O2927&lt;0,"Refund (not counted)",IF(O2927=0,"Zero amount",IF(NOT(ISNUMBER(N2927)),"Bad date",IF(P2927="","NAME NOT ON ROSTER",IF(L2927="","OK",IF(MATCH(L2927,$L$2:$L$3001,0)&lt;ROW()-1,"Duplicate (ignored)","OK"))))))))</f>
        <v/>
      </c>
      <c r="I2927">
        <f>IF(OC_Date=0,"",IF(INDEX('OneCause_Paste'!$A$2927:$AZ$2927,1,OC_Date)="","",INDEX('OneCause_Paste'!$A$2927:$AZ$2927,1,OC_Date)))</f>
        <v/>
      </c>
      <c r="J2927">
        <f>IF(OC_Amt=0,"",IF(INDEX('OneCause_Paste'!$A$2927:$AZ$2927,1,OC_Amt)="","",INDEX('OneCause_Paste'!$A$2927:$AZ$2927,1,OC_Amt)))</f>
        <v/>
      </c>
      <c r="K2927">
        <f>IF(OC_Name=0,"",IF(INDEX('OneCause_Paste'!$A$2927:$AZ$2927,1,OC_Name)="","",INDEX('OneCause_Paste'!$A$2927:$AZ$2927,1,OC_Name)))</f>
        <v/>
      </c>
      <c r="L2927">
        <f>IF(OC_Txn=0,"",IF(INDEX('OneCause_Paste'!$A$2927:$AZ$2927,1,OC_Txn)="","",INDEX('OneCause_Paste'!$A$2927:$AZ$2927,1,OC_Txn)))</f>
        <v/>
      </c>
      <c r="M2927">
        <f>IF(OC_Pay=0,"",IF(INDEX('OneCause_Paste'!$A$2927:$AZ$2927,1,OC_Pay)="","",INDEX('OneCause_Paste'!$A$2927:$AZ$2927,1,OC_Pay)))</f>
        <v/>
      </c>
      <c r="N2927">
        <f>IF(I2927="","",IF(ISNUMBER(I2927),INT(I2927),IFERROR(INT(DATEVALUE(I2927)),IFERROR(INT(VALUE(I2927)),"bad"))))</f>
        <v/>
      </c>
      <c r="O2927">
        <f>IF(J2927="","",IF(ISNUMBER(J2927),ROUND(J2927,2),IFERROR(ROUND(VALUE(SUBSTITUTE(SUBSTITUTE(SUBSTITUTE(J2927,"$",""),",","")," ","")),2),"bad")))</f>
        <v/>
      </c>
      <c r="P2927">
        <f>IF(TRIM(K2927)="","",IFERROR(MATCH(LOWER(TRIM(K2927)),'Students'!$AH$2:$AH$701,0),IFERROR(MATCH(LOWER(TRIM(K2927)),'Students'!$AF$2:$AF$701,0),IFERROR(MATCH(LOWER(TRIM(K2927)),'Students'!$AG$2:$AG$701,0),""))))</f>
        <v/>
      </c>
      <c r="R2927">
        <f>IF(P2927="","",INDEX('Students'!$AD$2:$AD$701,P2927))</f>
        <v/>
      </c>
      <c r="S2927">
        <f>IF(H2927="OK",O2927,0)</f>
        <v/>
      </c>
      <c r="T2927">
        <f>IF(H2927="OK",N2927,"")</f>
        <v/>
      </c>
      <c r="U2927">
        <f>IF(OC_Donor=0,"",IF(INDEX('OneCause_Paste'!$A$2927:$AZ$2927,1,OC_Donor)="","",INDEX('OneCause_Paste'!$A$2927:$AZ$2927,1,OC_Donor)))</f>
        <v/>
      </c>
    </row>
    <row r="2928">
      <c r="A2928" s="62">
        <f>IF(H2928="","",IF(ISNUMBER(N2928),N2928,I2928))</f>
        <v/>
      </c>
      <c r="B2928">
        <f>IF(H2928="","",U2928)</f>
        <v/>
      </c>
      <c r="C2928">
        <f>IF(H2928="","",IF(P2928="",K2928,INDEX('Students'!$A$2:$A$701,P2928)))</f>
        <v/>
      </c>
      <c r="D2928">
        <f>IF(OR(H2928="",P2928=""),"",INDEX('Students'!$B$2:$B$701,P2928))</f>
        <v/>
      </c>
      <c r="E2928">
        <f>IF(OR(H2928="",P2928=""),"",INDEX('Students'!$C$2:$C$701,P2928))</f>
        <v/>
      </c>
      <c r="F2928" s="48">
        <f>IF(H2928="","",IF(ISNUMBER(O2928),O2928,J2928))</f>
        <v/>
      </c>
      <c r="G2928">
        <f>IF(H2928="","","OneCause")</f>
        <v/>
      </c>
      <c r="H2928">
        <f>IF(AND(I2928="",J2928="",K2928=""),"",IF(NOT(ISNUMBER(O2928)),"Bad amount",IF(O2928&lt;0,"Refund (not counted)",IF(O2928=0,"Zero amount",IF(NOT(ISNUMBER(N2928)),"Bad date",IF(P2928="","NAME NOT ON ROSTER",IF(L2928="","OK",IF(MATCH(L2928,$L$2:$L$3001,0)&lt;ROW()-1,"Duplicate (ignored)","OK"))))))))</f>
        <v/>
      </c>
      <c r="I2928">
        <f>IF(OC_Date=0,"",IF(INDEX('OneCause_Paste'!$A$2928:$AZ$2928,1,OC_Date)="","",INDEX('OneCause_Paste'!$A$2928:$AZ$2928,1,OC_Date)))</f>
        <v/>
      </c>
      <c r="J2928">
        <f>IF(OC_Amt=0,"",IF(INDEX('OneCause_Paste'!$A$2928:$AZ$2928,1,OC_Amt)="","",INDEX('OneCause_Paste'!$A$2928:$AZ$2928,1,OC_Amt)))</f>
        <v/>
      </c>
      <c r="K2928">
        <f>IF(OC_Name=0,"",IF(INDEX('OneCause_Paste'!$A$2928:$AZ$2928,1,OC_Name)="","",INDEX('OneCause_Paste'!$A$2928:$AZ$2928,1,OC_Name)))</f>
        <v/>
      </c>
      <c r="L2928">
        <f>IF(OC_Txn=0,"",IF(INDEX('OneCause_Paste'!$A$2928:$AZ$2928,1,OC_Txn)="","",INDEX('OneCause_Paste'!$A$2928:$AZ$2928,1,OC_Txn)))</f>
        <v/>
      </c>
      <c r="M2928">
        <f>IF(OC_Pay=0,"",IF(INDEX('OneCause_Paste'!$A$2928:$AZ$2928,1,OC_Pay)="","",INDEX('OneCause_Paste'!$A$2928:$AZ$2928,1,OC_Pay)))</f>
        <v/>
      </c>
      <c r="N2928">
        <f>IF(I2928="","",IF(ISNUMBER(I2928),INT(I2928),IFERROR(INT(DATEVALUE(I2928)),IFERROR(INT(VALUE(I2928)),"bad"))))</f>
        <v/>
      </c>
      <c r="O2928">
        <f>IF(J2928="","",IF(ISNUMBER(J2928),ROUND(J2928,2),IFERROR(ROUND(VALUE(SUBSTITUTE(SUBSTITUTE(SUBSTITUTE(J2928,"$",""),",","")," ","")),2),"bad")))</f>
        <v/>
      </c>
      <c r="P2928">
        <f>IF(TRIM(K2928)="","",IFERROR(MATCH(LOWER(TRIM(K2928)),'Students'!$AH$2:$AH$701,0),IFERROR(MATCH(LOWER(TRIM(K2928)),'Students'!$AF$2:$AF$701,0),IFERROR(MATCH(LOWER(TRIM(K2928)),'Students'!$AG$2:$AG$701,0),""))))</f>
        <v/>
      </c>
      <c r="R2928">
        <f>IF(P2928="","",INDEX('Students'!$AD$2:$AD$701,P2928))</f>
        <v/>
      </c>
      <c r="S2928">
        <f>IF(H2928="OK",O2928,0)</f>
        <v/>
      </c>
      <c r="T2928">
        <f>IF(H2928="OK",N2928,"")</f>
        <v/>
      </c>
      <c r="U2928">
        <f>IF(OC_Donor=0,"",IF(INDEX('OneCause_Paste'!$A$2928:$AZ$2928,1,OC_Donor)="","",INDEX('OneCause_Paste'!$A$2928:$AZ$2928,1,OC_Donor)))</f>
        <v/>
      </c>
    </row>
    <row r="2929">
      <c r="A2929" s="62">
        <f>IF(H2929="","",IF(ISNUMBER(N2929),N2929,I2929))</f>
        <v/>
      </c>
      <c r="B2929">
        <f>IF(H2929="","",U2929)</f>
        <v/>
      </c>
      <c r="C2929">
        <f>IF(H2929="","",IF(P2929="",K2929,INDEX('Students'!$A$2:$A$701,P2929)))</f>
        <v/>
      </c>
      <c r="D2929">
        <f>IF(OR(H2929="",P2929=""),"",INDEX('Students'!$B$2:$B$701,P2929))</f>
        <v/>
      </c>
      <c r="E2929">
        <f>IF(OR(H2929="",P2929=""),"",INDEX('Students'!$C$2:$C$701,P2929))</f>
        <v/>
      </c>
      <c r="F2929" s="48">
        <f>IF(H2929="","",IF(ISNUMBER(O2929),O2929,J2929))</f>
        <v/>
      </c>
      <c r="G2929">
        <f>IF(H2929="","","OneCause")</f>
        <v/>
      </c>
      <c r="H2929">
        <f>IF(AND(I2929="",J2929="",K2929=""),"",IF(NOT(ISNUMBER(O2929)),"Bad amount",IF(O2929&lt;0,"Refund (not counted)",IF(O2929=0,"Zero amount",IF(NOT(ISNUMBER(N2929)),"Bad date",IF(P2929="","NAME NOT ON ROSTER",IF(L2929="","OK",IF(MATCH(L2929,$L$2:$L$3001,0)&lt;ROW()-1,"Duplicate (ignored)","OK"))))))))</f>
        <v/>
      </c>
      <c r="I2929">
        <f>IF(OC_Date=0,"",IF(INDEX('OneCause_Paste'!$A$2929:$AZ$2929,1,OC_Date)="","",INDEX('OneCause_Paste'!$A$2929:$AZ$2929,1,OC_Date)))</f>
        <v/>
      </c>
      <c r="J2929">
        <f>IF(OC_Amt=0,"",IF(INDEX('OneCause_Paste'!$A$2929:$AZ$2929,1,OC_Amt)="","",INDEX('OneCause_Paste'!$A$2929:$AZ$2929,1,OC_Amt)))</f>
        <v/>
      </c>
      <c r="K2929">
        <f>IF(OC_Name=0,"",IF(INDEX('OneCause_Paste'!$A$2929:$AZ$2929,1,OC_Name)="","",INDEX('OneCause_Paste'!$A$2929:$AZ$2929,1,OC_Name)))</f>
        <v/>
      </c>
      <c r="L2929">
        <f>IF(OC_Txn=0,"",IF(INDEX('OneCause_Paste'!$A$2929:$AZ$2929,1,OC_Txn)="","",INDEX('OneCause_Paste'!$A$2929:$AZ$2929,1,OC_Txn)))</f>
        <v/>
      </c>
      <c r="M2929">
        <f>IF(OC_Pay=0,"",IF(INDEX('OneCause_Paste'!$A$2929:$AZ$2929,1,OC_Pay)="","",INDEX('OneCause_Paste'!$A$2929:$AZ$2929,1,OC_Pay)))</f>
        <v/>
      </c>
      <c r="N2929">
        <f>IF(I2929="","",IF(ISNUMBER(I2929),INT(I2929),IFERROR(INT(DATEVALUE(I2929)),IFERROR(INT(VALUE(I2929)),"bad"))))</f>
        <v/>
      </c>
      <c r="O2929">
        <f>IF(J2929="","",IF(ISNUMBER(J2929),ROUND(J2929,2),IFERROR(ROUND(VALUE(SUBSTITUTE(SUBSTITUTE(SUBSTITUTE(J2929,"$",""),",","")," ","")),2),"bad")))</f>
        <v/>
      </c>
      <c r="P2929">
        <f>IF(TRIM(K2929)="","",IFERROR(MATCH(LOWER(TRIM(K2929)),'Students'!$AH$2:$AH$701,0),IFERROR(MATCH(LOWER(TRIM(K2929)),'Students'!$AF$2:$AF$701,0),IFERROR(MATCH(LOWER(TRIM(K2929)),'Students'!$AG$2:$AG$701,0),""))))</f>
        <v/>
      </c>
      <c r="R2929">
        <f>IF(P2929="","",INDEX('Students'!$AD$2:$AD$701,P2929))</f>
        <v/>
      </c>
      <c r="S2929">
        <f>IF(H2929="OK",O2929,0)</f>
        <v/>
      </c>
      <c r="T2929">
        <f>IF(H2929="OK",N2929,"")</f>
        <v/>
      </c>
      <c r="U2929">
        <f>IF(OC_Donor=0,"",IF(INDEX('OneCause_Paste'!$A$2929:$AZ$2929,1,OC_Donor)="","",INDEX('OneCause_Paste'!$A$2929:$AZ$2929,1,OC_Donor)))</f>
        <v/>
      </c>
    </row>
    <row r="2930">
      <c r="A2930" s="62">
        <f>IF(H2930="","",IF(ISNUMBER(N2930),N2930,I2930))</f>
        <v/>
      </c>
      <c r="B2930">
        <f>IF(H2930="","",U2930)</f>
        <v/>
      </c>
      <c r="C2930">
        <f>IF(H2930="","",IF(P2930="",K2930,INDEX('Students'!$A$2:$A$701,P2930)))</f>
        <v/>
      </c>
      <c r="D2930">
        <f>IF(OR(H2930="",P2930=""),"",INDEX('Students'!$B$2:$B$701,P2930))</f>
        <v/>
      </c>
      <c r="E2930">
        <f>IF(OR(H2930="",P2930=""),"",INDEX('Students'!$C$2:$C$701,P2930))</f>
        <v/>
      </c>
      <c r="F2930" s="48">
        <f>IF(H2930="","",IF(ISNUMBER(O2930),O2930,J2930))</f>
        <v/>
      </c>
      <c r="G2930">
        <f>IF(H2930="","","OneCause")</f>
        <v/>
      </c>
      <c r="H2930">
        <f>IF(AND(I2930="",J2930="",K2930=""),"",IF(NOT(ISNUMBER(O2930)),"Bad amount",IF(O2930&lt;0,"Refund (not counted)",IF(O2930=0,"Zero amount",IF(NOT(ISNUMBER(N2930)),"Bad date",IF(P2930="","NAME NOT ON ROSTER",IF(L2930="","OK",IF(MATCH(L2930,$L$2:$L$3001,0)&lt;ROW()-1,"Duplicate (ignored)","OK"))))))))</f>
        <v/>
      </c>
      <c r="I2930">
        <f>IF(OC_Date=0,"",IF(INDEX('OneCause_Paste'!$A$2930:$AZ$2930,1,OC_Date)="","",INDEX('OneCause_Paste'!$A$2930:$AZ$2930,1,OC_Date)))</f>
        <v/>
      </c>
      <c r="J2930">
        <f>IF(OC_Amt=0,"",IF(INDEX('OneCause_Paste'!$A$2930:$AZ$2930,1,OC_Amt)="","",INDEX('OneCause_Paste'!$A$2930:$AZ$2930,1,OC_Amt)))</f>
        <v/>
      </c>
      <c r="K2930">
        <f>IF(OC_Name=0,"",IF(INDEX('OneCause_Paste'!$A$2930:$AZ$2930,1,OC_Name)="","",INDEX('OneCause_Paste'!$A$2930:$AZ$2930,1,OC_Name)))</f>
        <v/>
      </c>
      <c r="L2930">
        <f>IF(OC_Txn=0,"",IF(INDEX('OneCause_Paste'!$A$2930:$AZ$2930,1,OC_Txn)="","",INDEX('OneCause_Paste'!$A$2930:$AZ$2930,1,OC_Txn)))</f>
        <v/>
      </c>
      <c r="M2930">
        <f>IF(OC_Pay=0,"",IF(INDEX('OneCause_Paste'!$A$2930:$AZ$2930,1,OC_Pay)="","",INDEX('OneCause_Paste'!$A$2930:$AZ$2930,1,OC_Pay)))</f>
        <v/>
      </c>
      <c r="N2930">
        <f>IF(I2930="","",IF(ISNUMBER(I2930),INT(I2930),IFERROR(INT(DATEVALUE(I2930)),IFERROR(INT(VALUE(I2930)),"bad"))))</f>
        <v/>
      </c>
      <c r="O2930">
        <f>IF(J2930="","",IF(ISNUMBER(J2930),ROUND(J2930,2),IFERROR(ROUND(VALUE(SUBSTITUTE(SUBSTITUTE(SUBSTITUTE(J2930,"$",""),",","")," ","")),2),"bad")))</f>
        <v/>
      </c>
      <c r="P2930">
        <f>IF(TRIM(K2930)="","",IFERROR(MATCH(LOWER(TRIM(K2930)),'Students'!$AH$2:$AH$701,0),IFERROR(MATCH(LOWER(TRIM(K2930)),'Students'!$AF$2:$AF$701,0),IFERROR(MATCH(LOWER(TRIM(K2930)),'Students'!$AG$2:$AG$701,0),""))))</f>
        <v/>
      </c>
      <c r="R2930">
        <f>IF(P2930="","",INDEX('Students'!$AD$2:$AD$701,P2930))</f>
        <v/>
      </c>
      <c r="S2930">
        <f>IF(H2930="OK",O2930,0)</f>
        <v/>
      </c>
      <c r="T2930">
        <f>IF(H2930="OK",N2930,"")</f>
        <v/>
      </c>
      <c r="U2930">
        <f>IF(OC_Donor=0,"",IF(INDEX('OneCause_Paste'!$A$2930:$AZ$2930,1,OC_Donor)="","",INDEX('OneCause_Paste'!$A$2930:$AZ$2930,1,OC_Donor)))</f>
        <v/>
      </c>
    </row>
    <row r="2931">
      <c r="A2931" s="62">
        <f>IF(H2931="","",IF(ISNUMBER(N2931),N2931,I2931))</f>
        <v/>
      </c>
      <c r="B2931">
        <f>IF(H2931="","",U2931)</f>
        <v/>
      </c>
      <c r="C2931">
        <f>IF(H2931="","",IF(P2931="",K2931,INDEX('Students'!$A$2:$A$701,P2931)))</f>
        <v/>
      </c>
      <c r="D2931">
        <f>IF(OR(H2931="",P2931=""),"",INDEX('Students'!$B$2:$B$701,P2931))</f>
        <v/>
      </c>
      <c r="E2931">
        <f>IF(OR(H2931="",P2931=""),"",INDEX('Students'!$C$2:$C$701,P2931))</f>
        <v/>
      </c>
      <c r="F2931" s="48">
        <f>IF(H2931="","",IF(ISNUMBER(O2931),O2931,J2931))</f>
        <v/>
      </c>
      <c r="G2931">
        <f>IF(H2931="","","OneCause")</f>
        <v/>
      </c>
      <c r="H2931">
        <f>IF(AND(I2931="",J2931="",K2931=""),"",IF(NOT(ISNUMBER(O2931)),"Bad amount",IF(O2931&lt;0,"Refund (not counted)",IF(O2931=0,"Zero amount",IF(NOT(ISNUMBER(N2931)),"Bad date",IF(P2931="","NAME NOT ON ROSTER",IF(L2931="","OK",IF(MATCH(L2931,$L$2:$L$3001,0)&lt;ROW()-1,"Duplicate (ignored)","OK"))))))))</f>
        <v/>
      </c>
      <c r="I2931">
        <f>IF(OC_Date=0,"",IF(INDEX('OneCause_Paste'!$A$2931:$AZ$2931,1,OC_Date)="","",INDEX('OneCause_Paste'!$A$2931:$AZ$2931,1,OC_Date)))</f>
        <v/>
      </c>
      <c r="J2931">
        <f>IF(OC_Amt=0,"",IF(INDEX('OneCause_Paste'!$A$2931:$AZ$2931,1,OC_Amt)="","",INDEX('OneCause_Paste'!$A$2931:$AZ$2931,1,OC_Amt)))</f>
        <v/>
      </c>
      <c r="K2931">
        <f>IF(OC_Name=0,"",IF(INDEX('OneCause_Paste'!$A$2931:$AZ$2931,1,OC_Name)="","",INDEX('OneCause_Paste'!$A$2931:$AZ$2931,1,OC_Name)))</f>
        <v/>
      </c>
      <c r="L2931">
        <f>IF(OC_Txn=0,"",IF(INDEX('OneCause_Paste'!$A$2931:$AZ$2931,1,OC_Txn)="","",INDEX('OneCause_Paste'!$A$2931:$AZ$2931,1,OC_Txn)))</f>
        <v/>
      </c>
      <c r="M2931">
        <f>IF(OC_Pay=0,"",IF(INDEX('OneCause_Paste'!$A$2931:$AZ$2931,1,OC_Pay)="","",INDEX('OneCause_Paste'!$A$2931:$AZ$2931,1,OC_Pay)))</f>
        <v/>
      </c>
      <c r="N2931">
        <f>IF(I2931="","",IF(ISNUMBER(I2931),INT(I2931),IFERROR(INT(DATEVALUE(I2931)),IFERROR(INT(VALUE(I2931)),"bad"))))</f>
        <v/>
      </c>
      <c r="O2931">
        <f>IF(J2931="","",IF(ISNUMBER(J2931),ROUND(J2931,2),IFERROR(ROUND(VALUE(SUBSTITUTE(SUBSTITUTE(SUBSTITUTE(J2931,"$",""),",","")," ","")),2),"bad")))</f>
        <v/>
      </c>
      <c r="P2931">
        <f>IF(TRIM(K2931)="","",IFERROR(MATCH(LOWER(TRIM(K2931)),'Students'!$AH$2:$AH$701,0),IFERROR(MATCH(LOWER(TRIM(K2931)),'Students'!$AF$2:$AF$701,0),IFERROR(MATCH(LOWER(TRIM(K2931)),'Students'!$AG$2:$AG$701,0),""))))</f>
        <v/>
      </c>
      <c r="R2931">
        <f>IF(P2931="","",INDEX('Students'!$AD$2:$AD$701,P2931))</f>
        <v/>
      </c>
      <c r="S2931">
        <f>IF(H2931="OK",O2931,0)</f>
        <v/>
      </c>
      <c r="T2931">
        <f>IF(H2931="OK",N2931,"")</f>
        <v/>
      </c>
      <c r="U2931">
        <f>IF(OC_Donor=0,"",IF(INDEX('OneCause_Paste'!$A$2931:$AZ$2931,1,OC_Donor)="","",INDEX('OneCause_Paste'!$A$2931:$AZ$2931,1,OC_Donor)))</f>
        <v/>
      </c>
    </row>
    <row r="2932">
      <c r="A2932" s="62">
        <f>IF(H2932="","",IF(ISNUMBER(N2932),N2932,I2932))</f>
        <v/>
      </c>
      <c r="B2932">
        <f>IF(H2932="","",U2932)</f>
        <v/>
      </c>
      <c r="C2932">
        <f>IF(H2932="","",IF(P2932="",K2932,INDEX('Students'!$A$2:$A$701,P2932)))</f>
        <v/>
      </c>
      <c r="D2932">
        <f>IF(OR(H2932="",P2932=""),"",INDEX('Students'!$B$2:$B$701,P2932))</f>
        <v/>
      </c>
      <c r="E2932">
        <f>IF(OR(H2932="",P2932=""),"",INDEX('Students'!$C$2:$C$701,P2932))</f>
        <v/>
      </c>
      <c r="F2932" s="48">
        <f>IF(H2932="","",IF(ISNUMBER(O2932),O2932,J2932))</f>
        <v/>
      </c>
      <c r="G2932">
        <f>IF(H2932="","","OneCause")</f>
        <v/>
      </c>
      <c r="H2932">
        <f>IF(AND(I2932="",J2932="",K2932=""),"",IF(NOT(ISNUMBER(O2932)),"Bad amount",IF(O2932&lt;0,"Refund (not counted)",IF(O2932=0,"Zero amount",IF(NOT(ISNUMBER(N2932)),"Bad date",IF(P2932="","NAME NOT ON ROSTER",IF(L2932="","OK",IF(MATCH(L2932,$L$2:$L$3001,0)&lt;ROW()-1,"Duplicate (ignored)","OK"))))))))</f>
        <v/>
      </c>
      <c r="I2932">
        <f>IF(OC_Date=0,"",IF(INDEX('OneCause_Paste'!$A$2932:$AZ$2932,1,OC_Date)="","",INDEX('OneCause_Paste'!$A$2932:$AZ$2932,1,OC_Date)))</f>
        <v/>
      </c>
      <c r="J2932">
        <f>IF(OC_Amt=0,"",IF(INDEX('OneCause_Paste'!$A$2932:$AZ$2932,1,OC_Amt)="","",INDEX('OneCause_Paste'!$A$2932:$AZ$2932,1,OC_Amt)))</f>
        <v/>
      </c>
      <c r="K2932">
        <f>IF(OC_Name=0,"",IF(INDEX('OneCause_Paste'!$A$2932:$AZ$2932,1,OC_Name)="","",INDEX('OneCause_Paste'!$A$2932:$AZ$2932,1,OC_Name)))</f>
        <v/>
      </c>
      <c r="L2932">
        <f>IF(OC_Txn=0,"",IF(INDEX('OneCause_Paste'!$A$2932:$AZ$2932,1,OC_Txn)="","",INDEX('OneCause_Paste'!$A$2932:$AZ$2932,1,OC_Txn)))</f>
        <v/>
      </c>
      <c r="M2932">
        <f>IF(OC_Pay=0,"",IF(INDEX('OneCause_Paste'!$A$2932:$AZ$2932,1,OC_Pay)="","",INDEX('OneCause_Paste'!$A$2932:$AZ$2932,1,OC_Pay)))</f>
        <v/>
      </c>
      <c r="N2932">
        <f>IF(I2932="","",IF(ISNUMBER(I2932),INT(I2932),IFERROR(INT(DATEVALUE(I2932)),IFERROR(INT(VALUE(I2932)),"bad"))))</f>
        <v/>
      </c>
      <c r="O2932">
        <f>IF(J2932="","",IF(ISNUMBER(J2932),ROUND(J2932,2),IFERROR(ROUND(VALUE(SUBSTITUTE(SUBSTITUTE(SUBSTITUTE(J2932,"$",""),",","")," ","")),2),"bad")))</f>
        <v/>
      </c>
      <c r="P2932">
        <f>IF(TRIM(K2932)="","",IFERROR(MATCH(LOWER(TRIM(K2932)),'Students'!$AH$2:$AH$701,0),IFERROR(MATCH(LOWER(TRIM(K2932)),'Students'!$AF$2:$AF$701,0),IFERROR(MATCH(LOWER(TRIM(K2932)),'Students'!$AG$2:$AG$701,0),""))))</f>
        <v/>
      </c>
      <c r="R2932">
        <f>IF(P2932="","",INDEX('Students'!$AD$2:$AD$701,P2932))</f>
        <v/>
      </c>
      <c r="S2932">
        <f>IF(H2932="OK",O2932,0)</f>
        <v/>
      </c>
      <c r="T2932">
        <f>IF(H2932="OK",N2932,"")</f>
        <v/>
      </c>
      <c r="U2932">
        <f>IF(OC_Donor=0,"",IF(INDEX('OneCause_Paste'!$A$2932:$AZ$2932,1,OC_Donor)="","",INDEX('OneCause_Paste'!$A$2932:$AZ$2932,1,OC_Donor)))</f>
        <v/>
      </c>
    </row>
    <row r="2933">
      <c r="A2933" s="62">
        <f>IF(H2933="","",IF(ISNUMBER(N2933),N2933,I2933))</f>
        <v/>
      </c>
      <c r="B2933">
        <f>IF(H2933="","",U2933)</f>
        <v/>
      </c>
      <c r="C2933">
        <f>IF(H2933="","",IF(P2933="",K2933,INDEX('Students'!$A$2:$A$701,P2933)))</f>
        <v/>
      </c>
      <c r="D2933">
        <f>IF(OR(H2933="",P2933=""),"",INDEX('Students'!$B$2:$B$701,P2933))</f>
        <v/>
      </c>
      <c r="E2933">
        <f>IF(OR(H2933="",P2933=""),"",INDEX('Students'!$C$2:$C$701,P2933))</f>
        <v/>
      </c>
      <c r="F2933" s="48">
        <f>IF(H2933="","",IF(ISNUMBER(O2933),O2933,J2933))</f>
        <v/>
      </c>
      <c r="G2933">
        <f>IF(H2933="","","OneCause")</f>
        <v/>
      </c>
      <c r="H2933">
        <f>IF(AND(I2933="",J2933="",K2933=""),"",IF(NOT(ISNUMBER(O2933)),"Bad amount",IF(O2933&lt;0,"Refund (not counted)",IF(O2933=0,"Zero amount",IF(NOT(ISNUMBER(N2933)),"Bad date",IF(P2933="","NAME NOT ON ROSTER",IF(L2933="","OK",IF(MATCH(L2933,$L$2:$L$3001,0)&lt;ROW()-1,"Duplicate (ignored)","OK"))))))))</f>
        <v/>
      </c>
      <c r="I2933">
        <f>IF(OC_Date=0,"",IF(INDEX('OneCause_Paste'!$A$2933:$AZ$2933,1,OC_Date)="","",INDEX('OneCause_Paste'!$A$2933:$AZ$2933,1,OC_Date)))</f>
        <v/>
      </c>
      <c r="J2933">
        <f>IF(OC_Amt=0,"",IF(INDEX('OneCause_Paste'!$A$2933:$AZ$2933,1,OC_Amt)="","",INDEX('OneCause_Paste'!$A$2933:$AZ$2933,1,OC_Amt)))</f>
        <v/>
      </c>
      <c r="K2933">
        <f>IF(OC_Name=0,"",IF(INDEX('OneCause_Paste'!$A$2933:$AZ$2933,1,OC_Name)="","",INDEX('OneCause_Paste'!$A$2933:$AZ$2933,1,OC_Name)))</f>
        <v/>
      </c>
      <c r="L2933">
        <f>IF(OC_Txn=0,"",IF(INDEX('OneCause_Paste'!$A$2933:$AZ$2933,1,OC_Txn)="","",INDEX('OneCause_Paste'!$A$2933:$AZ$2933,1,OC_Txn)))</f>
        <v/>
      </c>
      <c r="M2933">
        <f>IF(OC_Pay=0,"",IF(INDEX('OneCause_Paste'!$A$2933:$AZ$2933,1,OC_Pay)="","",INDEX('OneCause_Paste'!$A$2933:$AZ$2933,1,OC_Pay)))</f>
        <v/>
      </c>
      <c r="N2933">
        <f>IF(I2933="","",IF(ISNUMBER(I2933),INT(I2933),IFERROR(INT(DATEVALUE(I2933)),IFERROR(INT(VALUE(I2933)),"bad"))))</f>
        <v/>
      </c>
      <c r="O2933">
        <f>IF(J2933="","",IF(ISNUMBER(J2933),ROUND(J2933,2),IFERROR(ROUND(VALUE(SUBSTITUTE(SUBSTITUTE(SUBSTITUTE(J2933,"$",""),",","")," ","")),2),"bad")))</f>
        <v/>
      </c>
      <c r="P2933">
        <f>IF(TRIM(K2933)="","",IFERROR(MATCH(LOWER(TRIM(K2933)),'Students'!$AH$2:$AH$701,0),IFERROR(MATCH(LOWER(TRIM(K2933)),'Students'!$AF$2:$AF$701,0),IFERROR(MATCH(LOWER(TRIM(K2933)),'Students'!$AG$2:$AG$701,0),""))))</f>
        <v/>
      </c>
      <c r="R2933">
        <f>IF(P2933="","",INDEX('Students'!$AD$2:$AD$701,P2933))</f>
        <v/>
      </c>
      <c r="S2933">
        <f>IF(H2933="OK",O2933,0)</f>
        <v/>
      </c>
      <c r="T2933">
        <f>IF(H2933="OK",N2933,"")</f>
        <v/>
      </c>
      <c r="U2933">
        <f>IF(OC_Donor=0,"",IF(INDEX('OneCause_Paste'!$A$2933:$AZ$2933,1,OC_Donor)="","",INDEX('OneCause_Paste'!$A$2933:$AZ$2933,1,OC_Donor)))</f>
        <v/>
      </c>
    </row>
    <row r="2934">
      <c r="A2934" s="62">
        <f>IF(H2934="","",IF(ISNUMBER(N2934),N2934,I2934))</f>
        <v/>
      </c>
      <c r="B2934">
        <f>IF(H2934="","",U2934)</f>
        <v/>
      </c>
      <c r="C2934">
        <f>IF(H2934="","",IF(P2934="",K2934,INDEX('Students'!$A$2:$A$701,P2934)))</f>
        <v/>
      </c>
      <c r="D2934">
        <f>IF(OR(H2934="",P2934=""),"",INDEX('Students'!$B$2:$B$701,P2934))</f>
        <v/>
      </c>
      <c r="E2934">
        <f>IF(OR(H2934="",P2934=""),"",INDEX('Students'!$C$2:$C$701,P2934))</f>
        <v/>
      </c>
      <c r="F2934" s="48">
        <f>IF(H2934="","",IF(ISNUMBER(O2934),O2934,J2934))</f>
        <v/>
      </c>
      <c r="G2934">
        <f>IF(H2934="","","OneCause")</f>
        <v/>
      </c>
      <c r="H2934">
        <f>IF(AND(I2934="",J2934="",K2934=""),"",IF(NOT(ISNUMBER(O2934)),"Bad amount",IF(O2934&lt;0,"Refund (not counted)",IF(O2934=0,"Zero amount",IF(NOT(ISNUMBER(N2934)),"Bad date",IF(P2934="","NAME NOT ON ROSTER",IF(L2934="","OK",IF(MATCH(L2934,$L$2:$L$3001,0)&lt;ROW()-1,"Duplicate (ignored)","OK"))))))))</f>
        <v/>
      </c>
      <c r="I2934">
        <f>IF(OC_Date=0,"",IF(INDEX('OneCause_Paste'!$A$2934:$AZ$2934,1,OC_Date)="","",INDEX('OneCause_Paste'!$A$2934:$AZ$2934,1,OC_Date)))</f>
        <v/>
      </c>
      <c r="J2934">
        <f>IF(OC_Amt=0,"",IF(INDEX('OneCause_Paste'!$A$2934:$AZ$2934,1,OC_Amt)="","",INDEX('OneCause_Paste'!$A$2934:$AZ$2934,1,OC_Amt)))</f>
        <v/>
      </c>
      <c r="K2934">
        <f>IF(OC_Name=0,"",IF(INDEX('OneCause_Paste'!$A$2934:$AZ$2934,1,OC_Name)="","",INDEX('OneCause_Paste'!$A$2934:$AZ$2934,1,OC_Name)))</f>
        <v/>
      </c>
      <c r="L2934">
        <f>IF(OC_Txn=0,"",IF(INDEX('OneCause_Paste'!$A$2934:$AZ$2934,1,OC_Txn)="","",INDEX('OneCause_Paste'!$A$2934:$AZ$2934,1,OC_Txn)))</f>
        <v/>
      </c>
      <c r="M2934">
        <f>IF(OC_Pay=0,"",IF(INDEX('OneCause_Paste'!$A$2934:$AZ$2934,1,OC_Pay)="","",INDEX('OneCause_Paste'!$A$2934:$AZ$2934,1,OC_Pay)))</f>
        <v/>
      </c>
      <c r="N2934">
        <f>IF(I2934="","",IF(ISNUMBER(I2934),INT(I2934),IFERROR(INT(DATEVALUE(I2934)),IFERROR(INT(VALUE(I2934)),"bad"))))</f>
        <v/>
      </c>
      <c r="O2934">
        <f>IF(J2934="","",IF(ISNUMBER(J2934),ROUND(J2934,2),IFERROR(ROUND(VALUE(SUBSTITUTE(SUBSTITUTE(SUBSTITUTE(J2934,"$",""),",","")," ","")),2),"bad")))</f>
        <v/>
      </c>
      <c r="P2934">
        <f>IF(TRIM(K2934)="","",IFERROR(MATCH(LOWER(TRIM(K2934)),'Students'!$AH$2:$AH$701,0),IFERROR(MATCH(LOWER(TRIM(K2934)),'Students'!$AF$2:$AF$701,0),IFERROR(MATCH(LOWER(TRIM(K2934)),'Students'!$AG$2:$AG$701,0),""))))</f>
        <v/>
      </c>
      <c r="R2934">
        <f>IF(P2934="","",INDEX('Students'!$AD$2:$AD$701,P2934))</f>
        <v/>
      </c>
      <c r="S2934">
        <f>IF(H2934="OK",O2934,0)</f>
        <v/>
      </c>
      <c r="T2934">
        <f>IF(H2934="OK",N2934,"")</f>
        <v/>
      </c>
      <c r="U2934">
        <f>IF(OC_Donor=0,"",IF(INDEX('OneCause_Paste'!$A$2934:$AZ$2934,1,OC_Donor)="","",INDEX('OneCause_Paste'!$A$2934:$AZ$2934,1,OC_Donor)))</f>
        <v/>
      </c>
    </row>
    <row r="2935">
      <c r="A2935" s="62">
        <f>IF(H2935="","",IF(ISNUMBER(N2935),N2935,I2935))</f>
        <v/>
      </c>
      <c r="B2935">
        <f>IF(H2935="","",U2935)</f>
        <v/>
      </c>
      <c r="C2935">
        <f>IF(H2935="","",IF(P2935="",K2935,INDEX('Students'!$A$2:$A$701,P2935)))</f>
        <v/>
      </c>
      <c r="D2935">
        <f>IF(OR(H2935="",P2935=""),"",INDEX('Students'!$B$2:$B$701,P2935))</f>
        <v/>
      </c>
      <c r="E2935">
        <f>IF(OR(H2935="",P2935=""),"",INDEX('Students'!$C$2:$C$701,P2935))</f>
        <v/>
      </c>
      <c r="F2935" s="48">
        <f>IF(H2935="","",IF(ISNUMBER(O2935),O2935,J2935))</f>
        <v/>
      </c>
      <c r="G2935">
        <f>IF(H2935="","","OneCause")</f>
        <v/>
      </c>
      <c r="H2935">
        <f>IF(AND(I2935="",J2935="",K2935=""),"",IF(NOT(ISNUMBER(O2935)),"Bad amount",IF(O2935&lt;0,"Refund (not counted)",IF(O2935=0,"Zero amount",IF(NOT(ISNUMBER(N2935)),"Bad date",IF(P2935="","NAME NOT ON ROSTER",IF(L2935="","OK",IF(MATCH(L2935,$L$2:$L$3001,0)&lt;ROW()-1,"Duplicate (ignored)","OK"))))))))</f>
        <v/>
      </c>
      <c r="I2935">
        <f>IF(OC_Date=0,"",IF(INDEX('OneCause_Paste'!$A$2935:$AZ$2935,1,OC_Date)="","",INDEX('OneCause_Paste'!$A$2935:$AZ$2935,1,OC_Date)))</f>
        <v/>
      </c>
      <c r="J2935">
        <f>IF(OC_Amt=0,"",IF(INDEX('OneCause_Paste'!$A$2935:$AZ$2935,1,OC_Amt)="","",INDEX('OneCause_Paste'!$A$2935:$AZ$2935,1,OC_Amt)))</f>
        <v/>
      </c>
      <c r="K2935">
        <f>IF(OC_Name=0,"",IF(INDEX('OneCause_Paste'!$A$2935:$AZ$2935,1,OC_Name)="","",INDEX('OneCause_Paste'!$A$2935:$AZ$2935,1,OC_Name)))</f>
        <v/>
      </c>
      <c r="L2935">
        <f>IF(OC_Txn=0,"",IF(INDEX('OneCause_Paste'!$A$2935:$AZ$2935,1,OC_Txn)="","",INDEX('OneCause_Paste'!$A$2935:$AZ$2935,1,OC_Txn)))</f>
        <v/>
      </c>
      <c r="M2935">
        <f>IF(OC_Pay=0,"",IF(INDEX('OneCause_Paste'!$A$2935:$AZ$2935,1,OC_Pay)="","",INDEX('OneCause_Paste'!$A$2935:$AZ$2935,1,OC_Pay)))</f>
        <v/>
      </c>
      <c r="N2935">
        <f>IF(I2935="","",IF(ISNUMBER(I2935),INT(I2935),IFERROR(INT(DATEVALUE(I2935)),IFERROR(INT(VALUE(I2935)),"bad"))))</f>
        <v/>
      </c>
      <c r="O2935">
        <f>IF(J2935="","",IF(ISNUMBER(J2935),ROUND(J2935,2),IFERROR(ROUND(VALUE(SUBSTITUTE(SUBSTITUTE(SUBSTITUTE(J2935,"$",""),",","")," ","")),2),"bad")))</f>
        <v/>
      </c>
      <c r="P2935">
        <f>IF(TRIM(K2935)="","",IFERROR(MATCH(LOWER(TRIM(K2935)),'Students'!$AH$2:$AH$701,0),IFERROR(MATCH(LOWER(TRIM(K2935)),'Students'!$AF$2:$AF$701,0),IFERROR(MATCH(LOWER(TRIM(K2935)),'Students'!$AG$2:$AG$701,0),""))))</f>
        <v/>
      </c>
      <c r="R2935">
        <f>IF(P2935="","",INDEX('Students'!$AD$2:$AD$701,P2935))</f>
        <v/>
      </c>
      <c r="S2935">
        <f>IF(H2935="OK",O2935,0)</f>
        <v/>
      </c>
      <c r="T2935">
        <f>IF(H2935="OK",N2935,"")</f>
        <v/>
      </c>
      <c r="U2935">
        <f>IF(OC_Donor=0,"",IF(INDEX('OneCause_Paste'!$A$2935:$AZ$2935,1,OC_Donor)="","",INDEX('OneCause_Paste'!$A$2935:$AZ$2935,1,OC_Donor)))</f>
        <v/>
      </c>
    </row>
    <row r="2936">
      <c r="A2936" s="62">
        <f>IF(H2936="","",IF(ISNUMBER(N2936),N2936,I2936))</f>
        <v/>
      </c>
      <c r="B2936">
        <f>IF(H2936="","",U2936)</f>
        <v/>
      </c>
      <c r="C2936">
        <f>IF(H2936="","",IF(P2936="",K2936,INDEX('Students'!$A$2:$A$701,P2936)))</f>
        <v/>
      </c>
      <c r="D2936">
        <f>IF(OR(H2936="",P2936=""),"",INDEX('Students'!$B$2:$B$701,P2936))</f>
        <v/>
      </c>
      <c r="E2936">
        <f>IF(OR(H2936="",P2936=""),"",INDEX('Students'!$C$2:$C$701,P2936))</f>
        <v/>
      </c>
      <c r="F2936" s="48">
        <f>IF(H2936="","",IF(ISNUMBER(O2936),O2936,J2936))</f>
        <v/>
      </c>
      <c r="G2936">
        <f>IF(H2936="","","OneCause")</f>
        <v/>
      </c>
      <c r="H2936">
        <f>IF(AND(I2936="",J2936="",K2936=""),"",IF(NOT(ISNUMBER(O2936)),"Bad amount",IF(O2936&lt;0,"Refund (not counted)",IF(O2936=0,"Zero amount",IF(NOT(ISNUMBER(N2936)),"Bad date",IF(P2936="","NAME NOT ON ROSTER",IF(L2936="","OK",IF(MATCH(L2936,$L$2:$L$3001,0)&lt;ROW()-1,"Duplicate (ignored)","OK"))))))))</f>
        <v/>
      </c>
      <c r="I2936">
        <f>IF(OC_Date=0,"",IF(INDEX('OneCause_Paste'!$A$2936:$AZ$2936,1,OC_Date)="","",INDEX('OneCause_Paste'!$A$2936:$AZ$2936,1,OC_Date)))</f>
        <v/>
      </c>
      <c r="J2936">
        <f>IF(OC_Amt=0,"",IF(INDEX('OneCause_Paste'!$A$2936:$AZ$2936,1,OC_Amt)="","",INDEX('OneCause_Paste'!$A$2936:$AZ$2936,1,OC_Amt)))</f>
        <v/>
      </c>
      <c r="K2936">
        <f>IF(OC_Name=0,"",IF(INDEX('OneCause_Paste'!$A$2936:$AZ$2936,1,OC_Name)="","",INDEX('OneCause_Paste'!$A$2936:$AZ$2936,1,OC_Name)))</f>
        <v/>
      </c>
      <c r="L2936">
        <f>IF(OC_Txn=0,"",IF(INDEX('OneCause_Paste'!$A$2936:$AZ$2936,1,OC_Txn)="","",INDEX('OneCause_Paste'!$A$2936:$AZ$2936,1,OC_Txn)))</f>
        <v/>
      </c>
      <c r="M2936">
        <f>IF(OC_Pay=0,"",IF(INDEX('OneCause_Paste'!$A$2936:$AZ$2936,1,OC_Pay)="","",INDEX('OneCause_Paste'!$A$2936:$AZ$2936,1,OC_Pay)))</f>
        <v/>
      </c>
      <c r="N2936">
        <f>IF(I2936="","",IF(ISNUMBER(I2936),INT(I2936),IFERROR(INT(DATEVALUE(I2936)),IFERROR(INT(VALUE(I2936)),"bad"))))</f>
        <v/>
      </c>
      <c r="O2936">
        <f>IF(J2936="","",IF(ISNUMBER(J2936),ROUND(J2936,2),IFERROR(ROUND(VALUE(SUBSTITUTE(SUBSTITUTE(SUBSTITUTE(J2936,"$",""),",","")," ","")),2),"bad")))</f>
        <v/>
      </c>
      <c r="P2936">
        <f>IF(TRIM(K2936)="","",IFERROR(MATCH(LOWER(TRIM(K2936)),'Students'!$AH$2:$AH$701,0),IFERROR(MATCH(LOWER(TRIM(K2936)),'Students'!$AF$2:$AF$701,0),IFERROR(MATCH(LOWER(TRIM(K2936)),'Students'!$AG$2:$AG$701,0),""))))</f>
        <v/>
      </c>
      <c r="R2936">
        <f>IF(P2936="","",INDEX('Students'!$AD$2:$AD$701,P2936))</f>
        <v/>
      </c>
      <c r="S2936">
        <f>IF(H2936="OK",O2936,0)</f>
        <v/>
      </c>
      <c r="T2936">
        <f>IF(H2936="OK",N2936,"")</f>
        <v/>
      </c>
      <c r="U2936">
        <f>IF(OC_Donor=0,"",IF(INDEX('OneCause_Paste'!$A$2936:$AZ$2936,1,OC_Donor)="","",INDEX('OneCause_Paste'!$A$2936:$AZ$2936,1,OC_Donor)))</f>
        <v/>
      </c>
    </row>
    <row r="2937">
      <c r="A2937" s="62">
        <f>IF(H2937="","",IF(ISNUMBER(N2937),N2937,I2937))</f>
        <v/>
      </c>
      <c r="B2937">
        <f>IF(H2937="","",U2937)</f>
        <v/>
      </c>
      <c r="C2937">
        <f>IF(H2937="","",IF(P2937="",K2937,INDEX('Students'!$A$2:$A$701,P2937)))</f>
        <v/>
      </c>
      <c r="D2937">
        <f>IF(OR(H2937="",P2937=""),"",INDEX('Students'!$B$2:$B$701,P2937))</f>
        <v/>
      </c>
      <c r="E2937">
        <f>IF(OR(H2937="",P2937=""),"",INDEX('Students'!$C$2:$C$701,P2937))</f>
        <v/>
      </c>
      <c r="F2937" s="48">
        <f>IF(H2937="","",IF(ISNUMBER(O2937),O2937,J2937))</f>
        <v/>
      </c>
      <c r="G2937">
        <f>IF(H2937="","","OneCause")</f>
        <v/>
      </c>
      <c r="H2937">
        <f>IF(AND(I2937="",J2937="",K2937=""),"",IF(NOT(ISNUMBER(O2937)),"Bad amount",IF(O2937&lt;0,"Refund (not counted)",IF(O2937=0,"Zero amount",IF(NOT(ISNUMBER(N2937)),"Bad date",IF(P2937="","NAME NOT ON ROSTER",IF(L2937="","OK",IF(MATCH(L2937,$L$2:$L$3001,0)&lt;ROW()-1,"Duplicate (ignored)","OK"))))))))</f>
        <v/>
      </c>
      <c r="I2937">
        <f>IF(OC_Date=0,"",IF(INDEX('OneCause_Paste'!$A$2937:$AZ$2937,1,OC_Date)="","",INDEX('OneCause_Paste'!$A$2937:$AZ$2937,1,OC_Date)))</f>
        <v/>
      </c>
      <c r="J2937">
        <f>IF(OC_Amt=0,"",IF(INDEX('OneCause_Paste'!$A$2937:$AZ$2937,1,OC_Amt)="","",INDEX('OneCause_Paste'!$A$2937:$AZ$2937,1,OC_Amt)))</f>
        <v/>
      </c>
      <c r="K2937">
        <f>IF(OC_Name=0,"",IF(INDEX('OneCause_Paste'!$A$2937:$AZ$2937,1,OC_Name)="","",INDEX('OneCause_Paste'!$A$2937:$AZ$2937,1,OC_Name)))</f>
        <v/>
      </c>
      <c r="L2937">
        <f>IF(OC_Txn=0,"",IF(INDEX('OneCause_Paste'!$A$2937:$AZ$2937,1,OC_Txn)="","",INDEX('OneCause_Paste'!$A$2937:$AZ$2937,1,OC_Txn)))</f>
        <v/>
      </c>
      <c r="M2937">
        <f>IF(OC_Pay=0,"",IF(INDEX('OneCause_Paste'!$A$2937:$AZ$2937,1,OC_Pay)="","",INDEX('OneCause_Paste'!$A$2937:$AZ$2937,1,OC_Pay)))</f>
        <v/>
      </c>
      <c r="N2937">
        <f>IF(I2937="","",IF(ISNUMBER(I2937),INT(I2937),IFERROR(INT(DATEVALUE(I2937)),IFERROR(INT(VALUE(I2937)),"bad"))))</f>
        <v/>
      </c>
      <c r="O2937">
        <f>IF(J2937="","",IF(ISNUMBER(J2937),ROUND(J2937,2),IFERROR(ROUND(VALUE(SUBSTITUTE(SUBSTITUTE(SUBSTITUTE(J2937,"$",""),",","")," ","")),2),"bad")))</f>
        <v/>
      </c>
      <c r="P2937">
        <f>IF(TRIM(K2937)="","",IFERROR(MATCH(LOWER(TRIM(K2937)),'Students'!$AH$2:$AH$701,0),IFERROR(MATCH(LOWER(TRIM(K2937)),'Students'!$AF$2:$AF$701,0),IFERROR(MATCH(LOWER(TRIM(K2937)),'Students'!$AG$2:$AG$701,0),""))))</f>
        <v/>
      </c>
      <c r="R2937">
        <f>IF(P2937="","",INDEX('Students'!$AD$2:$AD$701,P2937))</f>
        <v/>
      </c>
      <c r="S2937">
        <f>IF(H2937="OK",O2937,0)</f>
        <v/>
      </c>
      <c r="T2937">
        <f>IF(H2937="OK",N2937,"")</f>
        <v/>
      </c>
      <c r="U2937">
        <f>IF(OC_Donor=0,"",IF(INDEX('OneCause_Paste'!$A$2937:$AZ$2937,1,OC_Donor)="","",INDEX('OneCause_Paste'!$A$2937:$AZ$2937,1,OC_Donor)))</f>
        <v/>
      </c>
    </row>
    <row r="2938">
      <c r="A2938" s="62">
        <f>IF(H2938="","",IF(ISNUMBER(N2938),N2938,I2938))</f>
        <v/>
      </c>
      <c r="B2938">
        <f>IF(H2938="","",U2938)</f>
        <v/>
      </c>
      <c r="C2938">
        <f>IF(H2938="","",IF(P2938="",K2938,INDEX('Students'!$A$2:$A$701,P2938)))</f>
        <v/>
      </c>
      <c r="D2938">
        <f>IF(OR(H2938="",P2938=""),"",INDEX('Students'!$B$2:$B$701,P2938))</f>
        <v/>
      </c>
      <c r="E2938">
        <f>IF(OR(H2938="",P2938=""),"",INDEX('Students'!$C$2:$C$701,P2938))</f>
        <v/>
      </c>
      <c r="F2938" s="48">
        <f>IF(H2938="","",IF(ISNUMBER(O2938),O2938,J2938))</f>
        <v/>
      </c>
      <c r="G2938">
        <f>IF(H2938="","","OneCause")</f>
        <v/>
      </c>
      <c r="H2938">
        <f>IF(AND(I2938="",J2938="",K2938=""),"",IF(NOT(ISNUMBER(O2938)),"Bad amount",IF(O2938&lt;0,"Refund (not counted)",IF(O2938=0,"Zero amount",IF(NOT(ISNUMBER(N2938)),"Bad date",IF(P2938="","NAME NOT ON ROSTER",IF(L2938="","OK",IF(MATCH(L2938,$L$2:$L$3001,0)&lt;ROW()-1,"Duplicate (ignored)","OK"))))))))</f>
        <v/>
      </c>
      <c r="I2938">
        <f>IF(OC_Date=0,"",IF(INDEX('OneCause_Paste'!$A$2938:$AZ$2938,1,OC_Date)="","",INDEX('OneCause_Paste'!$A$2938:$AZ$2938,1,OC_Date)))</f>
        <v/>
      </c>
      <c r="J2938">
        <f>IF(OC_Amt=0,"",IF(INDEX('OneCause_Paste'!$A$2938:$AZ$2938,1,OC_Amt)="","",INDEX('OneCause_Paste'!$A$2938:$AZ$2938,1,OC_Amt)))</f>
        <v/>
      </c>
      <c r="K2938">
        <f>IF(OC_Name=0,"",IF(INDEX('OneCause_Paste'!$A$2938:$AZ$2938,1,OC_Name)="","",INDEX('OneCause_Paste'!$A$2938:$AZ$2938,1,OC_Name)))</f>
        <v/>
      </c>
      <c r="L2938">
        <f>IF(OC_Txn=0,"",IF(INDEX('OneCause_Paste'!$A$2938:$AZ$2938,1,OC_Txn)="","",INDEX('OneCause_Paste'!$A$2938:$AZ$2938,1,OC_Txn)))</f>
        <v/>
      </c>
      <c r="M2938">
        <f>IF(OC_Pay=0,"",IF(INDEX('OneCause_Paste'!$A$2938:$AZ$2938,1,OC_Pay)="","",INDEX('OneCause_Paste'!$A$2938:$AZ$2938,1,OC_Pay)))</f>
        <v/>
      </c>
      <c r="N2938">
        <f>IF(I2938="","",IF(ISNUMBER(I2938),INT(I2938),IFERROR(INT(DATEVALUE(I2938)),IFERROR(INT(VALUE(I2938)),"bad"))))</f>
        <v/>
      </c>
      <c r="O2938">
        <f>IF(J2938="","",IF(ISNUMBER(J2938),ROUND(J2938,2),IFERROR(ROUND(VALUE(SUBSTITUTE(SUBSTITUTE(SUBSTITUTE(J2938,"$",""),",","")," ","")),2),"bad")))</f>
        <v/>
      </c>
      <c r="P2938">
        <f>IF(TRIM(K2938)="","",IFERROR(MATCH(LOWER(TRIM(K2938)),'Students'!$AH$2:$AH$701,0),IFERROR(MATCH(LOWER(TRIM(K2938)),'Students'!$AF$2:$AF$701,0),IFERROR(MATCH(LOWER(TRIM(K2938)),'Students'!$AG$2:$AG$701,0),""))))</f>
        <v/>
      </c>
      <c r="R2938">
        <f>IF(P2938="","",INDEX('Students'!$AD$2:$AD$701,P2938))</f>
        <v/>
      </c>
      <c r="S2938">
        <f>IF(H2938="OK",O2938,0)</f>
        <v/>
      </c>
      <c r="T2938">
        <f>IF(H2938="OK",N2938,"")</f>
        <v/>
      </c>
      <c r="U2938">
        <f>IF(OC_Donor=0,"",IF(INDEX('OneCause_Paste'!$A$2938:$AZ$2938,1,OC_Donor)="","",INDEX('OneCause_Paste'!$A$2938:$AZ$2938,1,OC_Donor)))</f>
        <v/>
      </c>
    </row>
    <row r="2939">
      <c r="A2939" s="62">
        <f>IF(H2939="","",IF(ISNUMBER(N2939),N2939,I2939))</f>
        <v/>
      </c>
      <c r="B2939">
        <f>IF(H2939="","",U2939)</f>
        <v/>
      </c>
      <c r="C2939">
        <f>IF(H2939="","",IF(P2939="",K2939,INDEX('Students'!$A$2:$A$701,P2939)))</f>
        <v/>
      </c>
      <c r="D2939">
        <f>IF(OR(H2939="",P2939=""),"",INDEX('Students'!$B$2:$B$701,P2939))</f>
        <v/>
      </c>
      <c r="E2939">
        <f>IF(OR(H2939="",P2939=""),"",INDEX('Students'!$C$2:$C$701,P2939))</f>
        <v/>
      </c>
      <c r="F2939" s="48">
        <f>IF(H2939="","",IF(ISNUMBER(O2939),O2939,J2939))</f>
        <v/>
      </c>
      <c r="G2939">
        <f>IF(H2939="","","OneCause")</f>
        <v/>
      </c>
      <c r="H2939">
        <f>IF(AND(I2939="",J2939="",K2939=""),"",IF(NOT(ISNUMBER(O2939)),"Bad amount",IF(O2939&lt;0,"Refund (not counted)",IF(O2939=0,"Zero amount",IF(NOT(ISNUMBER(N2939)),"Bad date",IF(P2939="","NAME NOT ON ROSTER",IF(L2939="","OK",IF(MATCH(L2939,$L$2:$L$3001,0)&lt;ROW()-1,"Duplicate (ignored)","OK"))))))))</f>
        <v/>
      </c>
      <c r="I2939">
        <f>IF(OC_Date=0,"",IF(INDEX('OneCause_Paste'!$A$2939:$AZ$2939,1,OC_Date)="","",INDEX('OneCause_Paste'!$A$2939:$AZ$2939,1,OC_Date)))</f>
        <v/>
      </c>
      <c r="J2939">
        <f>IF(OC_Amt=0,"",IF(INDEX('OneCause_Paste'!$A$2939:$AZ$2939,1,OC_Amt)="","",INDEX('OneCause_Paste'!$A$2939:$AZ$2939,1,OC_Amt)))</f>
        <v/>
      </c>
      <c r="K2939">
        <f>IF(OC_Name=0,"",IF(INDEX('OneCause_Paste'!$A$2939:$AZ$2939,1,OC_Name)="","",INDEX('OneCause_Paste'!$A$2939:$AZ$2939,1,OC_Name)))</f>
        <v/>
      </c>
      <c r="L2939">
        <f>IF(OC_Txn=0,"",IF(INDEX('OneCause_Paste'!$A$2939:$AZ$2939,1,OC_Txn)="","",INDEX('OneCause_Paste'!$A$2939:$AZ$2939,1,OC_Txn)))</f>
        <v/>
      </c>
      <c r="M2939">
        <f>IF(OC_Pay=0,"",IF(INDEX('OneCause_Paste'!$A$2939:$AZ$2939,1,OC_Pay)="","",INDEX('OneCause_Paste'!$A$2939:$AZ$2939,1,OC_Pay)))</f>
        <v/>
      </c>
      <c r="N2939">
        <f>IF(I2939="","",IF(ISNUMBER(I2939),INT(I2939),IFERROR(INT(DATEVALUE(I2939)),IFERROR(INT(VALUE(I2939)),"bad"))))</f>
        <v/>
      </c>
      <c r="O2939">
        <f>IF(J2939="","",IF(ISNUMBER(J2939),ROUND(J2939,2),IFERROR(ROUND(VALUE(SUBSTITUTE(SUBSTITUTE(SUBSTITUTE(J2939,"$",""),",","")," ","")),2),"bad")))</f>
        <v/>
      </c>
      <c r="P2939">
        <f>IF(TRIM(K2939)="","",IFERROR(MATCH(LOWER(TRIM(K2939)),'Students'!$AH$2:$AH$701,0),IFERROR(MATCH(LOWER(TRIM(K2939)),'Students'!$AF$2:$AF$701,0),IFERROR(MATCH(LOWER(TRIM(K2939)),'Students'!$AG$2:$AG$701,0),""))))</f>
        <v/>
      </c>
      <c r="R2939">
        <f>IF(P2939="","",INDEX('Students'!$AD$2:$AD$701,P2939))</f>
        <v/>
      </c>
      <c r="S2939">
        <f>IF(H2939="OK",O2939,0)</f>
        <v/>
      </c>
      <c r="T2939">
        <f>IF(H2939="OK",N2939,"")</f>
        <v/>
      </c>
      <c r="U2939">
        <f>IF(OC_Donor=0,"",IF(INDEX('OneCause_Paste'!$A$2939:$AZ$2939,1,OC_Donor)="","",INDEX('OneCause_Paste'!$A$2939:$AZ$2939,1,OC_Donor)))</f>
        <v/>
      </c>
    </row>
    <row r="2940">
      <c r="A2940" s="62">
        <f>IF(H2940="","",IF(ISNUMBER(N2940),N2940,I2940))</f>
        <v/>
      </c>
      <c r="B2940">
        <f>IF(H2940="","",U2940)</f>
        <v/>
      </c>
      <c r="C2940">
        <f>IF(H2940="","",IF(P2940="",K2940,INDEX('Students'!$A$2:$A$701,P2940)))</f>
        <v/>
      </c>
      <c r="D2940">
        <f>IF(OR(H2940="",P2940=""),"",INDEX('Students'!$B$2:$B$701,P2940))</f>
        <v/>
      </c>
      <c r="E2940">
        <f>IF(OR(H2940="",P2940=""),"",INDEX('Students'!$C$2:$C$701,P2940))</f>
        <v/>
      </c>
      <c r="F2940" s="48">
        <f>IF(H2940="","",IF(ISNUMBER(O2940),O2940,J2940))</f>
        <v/>
      </c>
      <c r="G2940">
        <f>IF(H2940="","","OneCause")</f>
        <v/>
      </c>
      <c r="H2940">
        <f>IF(AND(I2940="",J2940="",K2940=""),"",IF(NOT(ISNUMBER(O2940)),"Bad amount",IF(O2940&lt;0,"Refund (not counted)",IF(O2940=0,"Zero amount",IF(NOT(ISNUMBER(N2940)),"Bad date",IF(P2940="","NAME NOT ON ROSTER",IF(L2940="","OK",IF(MATCH(L2940,$L$2:$L$3001,0)&lt;ROW()-1,"Duplicate (ignored)","OK"))))))))</f>
        <v/>
      </c>
      <c r="I2940">
        <f>IF(OC_Date=0,"",IF(INDEX('OneCause_Paste'!$A$2940:$AZ$2940,1,OC_Date)="","",INDEX('OneCause_Paste'!$A$2940:$AZ$2940,1,OC_Date)))</f>
        <v/>
      </c>
      <c r="J2940">
        <f>IF(OC_Amt=0,"",IF(INDEX('OneCause_Paste'!$A$2940:$AZ$2940,1,OC_Amt)="","",INDEX('OneCause_Paste'!$A$2940:$AZ$2940,1,OC_Amt)))</f>
        <v/>
      </c>
      <c r="K2940">
        <f>IF(OC_Name=0,"",IF(INDEX('OneCause_Paste'!$A$2940:$AZ$2940,1,OC_Name)="","",INDEX('OneCause_Paste'!$A$2940:$AZ$2940,1,OC_Name)))</f>
        <v/>
      </c>
      <c r="L2940">
        <f>IF(OC_Txn=0,"",IF(INDEX('OneCause_Paste'!$A$2940:$AZ$2940,1,OC_Txn)="","",INDEX('OneCause_Paste'!$A$2940:$AZ$2940,1,OC_Txn)))</f>
        <v/>
      </c>
      <c r="M2940">
        <f>IF(OC_Pay=0,"",IF(INDEX('OneCause_Paste'!$A$2940:$AZ$2940,1,OC_Pay)="","",INDEX('OneCause_Paste'!$A$2940:$AZ$2940,1,OC_Pay)))</f>
        <v/>
      </c>
      <c r="N2940">
        <f>IF(I2940="","",IF(ISNUMBER(I2940),INT(I2940),IFERROR(INT(DATEVALUE(I2940)),IFERROR(INT(VALUE(I2940)),"bad"))))</f>
        <v/>
      </c>
      <c r="O2940">
        <f>IF(J2940="","",IF(ISNUMBER(J2940),ROUND(J2940,2),IFERROR(ROUND(VALUE(SUBSTITUTE(SUBSTITUTE(SUBSTITUTE(J2940,"$",""),",","")," ","")),2),"bad")))</f>
        <v/>
      </c>
      <c r="P2940">
        <f>IF(TRIM(K2940)="","",IFERROR(MATCH(LOWER(TRIM(K2940)),'Students'!$AH$2:$AH$701,0),IFERROR(MATCH(LOWER(TRIM(K2940)),'Students'!$AF$2:$AF$701,0),IFERROR(MATCH(LOWER(TRIM(K2940)),'Students'!$AG$2:$AG$701,0),""))))</f>
        <v/>
      </c>
      <c r="R2940">
        <f>IF(P2940="","",INDEX('Students'!$AD$2:$AD$701,P2940))</f>
        <v/>
      </c>
      <c r="S2940">
        <f>IF(H2940="OK",O2940,0)</f>
        <v/>
      </c>
      <c r="T2940">
        <f>IF(H2940="OK",N2940,"")</f>
        <v/>
      </c>
      <c r="U2940">
        <f>IF(OC_Donor=0,"",IF(INDEX('OneCause_Paste'!$A$2940:$AZ$2940,1,OC_Donor)="","",INDEX('OneCause_Paste'!$A$2940:$AZ$2940,1,OC_Donor)))</f>
        <v/>
      </c>
    </row>
    <row r="2941">
      <c r="A2941" s="62">
        <f>IF(H2941="","",IF(ISNUMBER(N2941),N2941,I2941))</f>
        <v/>
      </c>
      <c r="B2941">
        <f>IF(H2941="","",U2941)</f>
        <v/>
      </c>
      <c r="C2941">
        <f>IF(H2941="","",IF(P2941="",K2941,INDEX('Students'!$A$2:$A$701,P2941)))</f>
        <v/>
      </c>
      <c r="D2941">
        <f>IF(OR(H2941="",P2941=""),"",INDEX('Students'!$B$2:$B$701,P2941))</f>
        <v/>
      </c>
      <c r="E2941">
        <f>IF(OR(H2941="",P2941=""),"",INDEX('Students'!$C$2:$C$701,P2941))</f>
        <v/>
      </c>
      <c r="F2941" s="48">
        <f>IF(H2941="","",IF(ISNUMBER(O2941),O2941,J2941))</f>
        <v/>
      </c>
      <c r="G2941">
        <f>IF(H2941="","","OneCause")</f>
        <v/>
      </c>
      <c r="H2941">
        <f>IF(AND(I2941="",J2941="",K2941=""),"",IF(NOT(ISNUMBER(O2941)),"Bad amount",IF(O2941&lt;0,"Refund (not counted)",IF(O2941=0,"Zero amount",IF(NOT(ISNUMBER(N2941)),"Bad date",IF(P2941="","NAME NOT ON ROSTER",IF(L2941="","OK",IF(MATCH(L2941,$L$2:$L$3001,0)&lt;ROW()-1,"Duplicate (ignored)","OK"))))))))</f>
        <v/>
      </c>
      <c r="I2941">
        <f>IF(OC_Date=0,"",IF(INDEX('OneCause_Paste'!$A$2941:$AZ$2941,1,OC_Date)="","",INDEX('OneCause_Paste'!$A$2941:$AZ$2941,1,OC_Date)))</f>
        <v/>
      </c>
      <c r="J2941">
        <f>IF(OC_Amt=0,"",IF(INDEX('OneCause_Paste'!$A$2941:$AZ$2941,1,OC_Amt)="","",INDEX('OneCause_Paste'!$A$2941:$AZ$2941,1,OC_Amt)))</f>
        <v/>
      </c>
      <c r="K2941">
        <f>IF(OC_Name=0,"",IF(INDEX('OneCause_Paste'!$A$2941:$AZ$2941,1,OC_Name)="","",INDEX('OneCause_Paste'!$A$2941:$AZ$2941,1,OC_Name)))</f>
        <v/>
      </c>
      <c r="L2941">
        <f>IF(OC_Txn=0,"",IF(INDEX('OneCause_Paste'!$A$2941:$AZ$2941,1,OC_Txn)="","",INDEX('OneCause_Paste'!$A$2941:$AZ$2941,1,OC_Txn)))</f>
        <v/>
      </c>
      <c r="M2941">
        <f>IF(OC_Pay=0,"",IF(INDEX('OneCause_Paste'!$A$2941:$AZ$2941,1,OC_Pay)="","",INDEX('OneCause_Paste'!$A$2941:$AZ$2941,1,OC_Pay)))</f>
        <v/>
      </c>
      <c r="N2941">
        <f>IF(I2941="","",IF(ISNUMBER(I2941),INT(I2941),IFERROR(INT(DATEVALUE(I2941)),IFERROR(INT(VALUE(I2941)),"bad"))))</f>
        <v/>
      </c>
      <c r="O2941">
        <f>IF(J2941="","",IF(ISNUMBER(J2941),ROUND(J2941,2),IFERROR(ROUND(VALUE(SUBSTITUTE(SUBSTITUTE(SUBSTITUTE(J2941,"$",""),",","")," ","")),2),"bad")))</f>
        <v/>
      </c>
      <c r="P2941">
        <f>IF(TRIM(K2941)="","",IFERROR(MATCH(LOWER(TRIM(K2941)),'Students'!$AH$2:$AH$701,0),IFERROR(MATCH(LOWER(TRIM(K2941)),'Students'!$AF$2:$AF$701,0),IFERROR(MATCH(LOWER(TRIM(K2941)),'Students'!$AG$2:$AG$701,0),""))))</f>
        <v/>
      </c>
      <c r="R2941">
        <f>IF(P2941="","",INDEX('Students'!$AD$2:$AD$701,P2941))</f>
        <v/>
      </c>
      <c r="S2941">
        <f>IF(H2941="OK",O2941,0)</f>
        <v/>
      </c>
      <c r="T2941">
        <f>IF(H2941="OK",N2941,"")</f>
        <v/>
      </c>
      <c r="U2941">
        <f>IF(OC_Donor=0,"",IF(INDEX('OneCause_Paste'!$A$2941:$AZ$2941,1,OC_Donor)="","",INDEX('OneCause_Paste'!$A$2941:$AZ$2941,1,OC_Donor)))</f>
        <v/>
      </c>
    </row>
    <row r="2942">
      <c r="A2942" s="62">
        <f>IF(H2942="","",IF(ISNUMBER(N2942),N2942,I2942))</f>
        <v/>
      </c>
      <c r="B2942">
        <f>IF(H2942="","",U2942)</f>
        <v/>
      </c>
      <c r="C2942">
        <f>IF(H2942="","",IF(P2942="",K2942,INDEX('Students'!$A$2:$A$701,P2942)))</f>
        <v/>
      </c>
      <c r="D2942">
        <f>IF(OR(H2942="",P2942=""),"",INDEX('Students'!$B$2:$B$701,P2942))</f>
        <v/>
      </c>
      <c r="E2942">
        <f>IF(OR(H2942="",P2942=""),"",INDEX('Students'!$C$2:$C$701,P2942))</f>
        <v/>
      </c>
      <c r="F2942" s="48">
        <f>IF(H2942="","",IF(ISNUMBER(O2942),O2942,J2942))</f>
        <v/>
      </c>
      <c r="G2942">
        <f>IF(H2942="","","OneCause")</f>
        <v/>
      </c>
      <c r="H2942">
        <f>IF(AND(I2942="",J2942="",K2942=""),"",IF(NOT(ISNUMBER(O2942)),"Bad amount",IF(O2942&lt;0,"Refund (not counted)",IF(O2942=0,"Zero amount",IF(NOT(ISNUMBER(N2942)),"Bad date",IF(P2942="","NAME NOT ON ROSTER",IF(L2942="","OK",IF(MATCH(L2942,$L$2:$L$3001,0)&lt;ROW()-1,"Duplicate (ignored)","OK"))))))))</f>
        <v/>
      </c>
      <c r="I2942">
        <f>IF(OC_Date=0,"",IF(INDEX('OneCause_Paste'!$A$2942:$AZ$2942,1,OC_Date)="","",INDEX('OneCause_Paste'!$A$2942:$AZ$2942,1,OC_Date)))</f>
        <v/>
      </c>
      <c r="J2942">
        <f>IF(OC_Amt=0,"",IF(INDEX('OneCause_Paste'!$A$2942:$AZ$2942,1,OC_Amt)="","",INDEX('OneCause_Paste'!$A$2942:$AZ$2942,1,OC_Amt)))</f>
        <v/>
      </c>
      <c r="K2942">
        <f>IF(OC_Name=0,"",IF(INDEX('OneCause_Paste'!$A$2942:$AZ$2942,1,OC_Name)="","",INDEX('OneCause_Paste'!$A$2942:$AZ$2942,1,OC_Name)))</f>
        <v/>
      </c>
      <c r="L2942">
        <f>IF(OC_Txn=0,"",IF(INDEX('OneCause_Paste'!$A$2942:$AZ$2942,1,OC_Txn)="","",INDEX('OneCause_Paste'!$A$2942:$AZ$2942,1,OC_Txn)))</f>
        <v/>
      </c>
      <c r="M2942">
        <f>IF(OC_Pay=0,"",IF(INDEX('OneCause_Paste'!$A$2942:$AZ$2942,1,OC_Pay)="","",INDEX('OneCause_Paste'!$A$2942:$AZ$2942,1,OC_Pay)))</f>
        <v/>
      </c>
      <c r="N2942">
        <f>IF(I2942="","",IF(ISNUMBER(I2942),INT(I2942),IFERROR(INT(DATEVALUE(I2942)),IFERROR(INT(VALUE(I2942)),"bad"))))</f>
        <v/>
      </c>
      <c r="O2942">
        <f>IF(J2942="","",IF(ISNUMBER(J2942),ROUND(J2942,2),IFERROR(ROUND(VALUE(SUBSTITUTE(SUBSTITUTE(SUBSTITUTE(J2942,"$",""),",","")," ","")),2),"bad")))</f>
        <v/>
      </c>
      <c r="P2942">
        <f>IF(TRIM(K2942)="","",IFERROR(MATCH(LOWER(TRIM(K2942)),'Students'!$AH$2:$AH$701,0),IFERROR(MATCH(LOWER(TRIM(K2942)),'Students'!$AF$2:$AF$701,0),IFERROR(MATCH(LOWER(TRIM(K2942)),'Students'!$AG$2:$AG$701,0),""))))</f>
        <v/>
      </c>
      <c r="R2942">
        <f>IF(P2942="","",INDEX('Students'!$AD$2:$AD$701,P2942))</f>
        <v/>
      </c>
      <c r="S2942">
        <f>IF(H2942="OK",O2942,0)</f>
        <v/>
      </c>
      <c r="T2942">
        <f>IF(H2942="OK",N2942,"")</f>
        <v/>
      </c>
      <c r="U2942">
        <f>IF(OC_Donor=0,"",IF(INDEX('OneCause_Paste'!$A$2942:$AZ$2942,1,OC_Donor)="","",INDEX('OneCause_Paste'!$A$2942:$AZ$2942,1,OC_Donor)))</f>
        <v/>
      </c>
    </row>
    <row r="2943">
      <c r="A2943" s="62">
        <f>IF(H2943="","",IF(ISNUMBER(N2943),N2943,I2943))</f>
        <v/>
      </c>
      <c r="B2943">
        <f>IF(H2943="","",U2943)</f>
        <v/>
      </c>
      <c r="C2943">
        <f>IF(H2943="","",IF(P2943="",K2943,INDEX('Students'!$A$2:$A$701,P2943)))</f>
        <v/>
      </c>
      <c r="D2943">
        <f>IF(OR(H2943="",P2943=""),"",INDEX('Students'!$B$2:$B$701,P2943))</f>
        <v/>
      </c>
      <c r="E2943">
        <f>IF(OR(H2943="",P2943=""),"",INDEX('Students'!$C$2:$C$701,P2943))</f>
        <v/>
      </c>
      <c r="F2943" s="48">
        <f>IF(H2943="","",IF(ISNUMBER(O2943),O2943,J2943))</f>
        <v/>
      </c>
      <c r="G2943">
        <f>IF(H2943="","","OneCause")</f>
        <v/>
      </c>
      <c r="H2943">
        <f>IF(AND(I2943="",J2943="",K2943=""),"",IF(NOT(ISNUMBER(O2943)),"Bad amount",IF(O2943&lt;0,"Refund (not counted)",IF(O2943=0,"Zero amount",IF(NOT(ISNUMBER(N2943)),"Bad date",IF(P2943="","NAME NOT ON ROSTER",IF(L2943="","OK",IF(MATCH(L2943,$L$2:$L$3001,0)&lt;ROW()-1,"Duplicate (ignored)","OK"))))))))</f>
        <v/>
      </c>
      <c r="I2943">
        <f>IF(OC_Date=0,"",IF(INDEX('OneCause_Paste'!$A$2943:$AZ$2943,1,OC_Date)="","",INDEX('OneCause_Paste'!$A$2943:$AZ$2943,1,OC_Date)))</f>
        <v/>
      </c>
      <c r="J2943">
        <f>IF(OC_Amt=0,"",IF(INDEX('OneCause_Paste'!$A$2943:$AZ$2943,1,OC_Amt)="","",INDEX('OneCause_Paste'!$A$2943:$AZ$2943,1,OC_Amt)))</f>
        <v/>
      </c>
      <c r="K2943">
        <f>IF(OC_Name=0,"",IF(INDEX('OneCause_Paste'!$A$2943:$AZ$2943,1,OC_Name)="","",INDEX('OneCause_Paste'!$A$2943:$AZ$2943,1,OC_Name)))</f>
        <v/>
      </c>
      <c r="L2943">
        <f>IF(OC_Txn=0,"",IF(INDEX('OneCause_Paste'!$A$2943:$AZ$2943,1,OC_Txn)="","",INDEX('OneCause_Paste'!$A$2943:$AZ$2943,1,OC_Txn)))</f>
        <v/>
      </c>
      <c r="M2943">
        <f>IF(OC_Pay=0,"",IF(INDEX('OneCause_Paste'!$A$2943:$AZ$2943,1,OC_Pay)="","",INDEX('OneCause_Paste'!$A$2943:$AZ$2943,1,OC_Pay)))</f>
        <v/>
      </c>
      <c r="N2943">
        <f>IF(I2943="","",IF(ISNUMBER(I2943),INT(I2943),IFERROR(INT(DATEVALUE(I2943)),IFERROR(INT(VALUE(I2943)),"bad"))))</f>
        <v/>
      </c>
      <c r="O2943">
        <f>IF(J2943="","",IF(ISNUMBER(J2943),ROUND(J2943,2),IFERROR(ROUND(VALUE(SUBSTITUTE(SUBSTITUTE(SUBSTITUTE(J2943,"$",""),",","")," ","")),2),"bad")))</f>
        <v/>
      </c>
      <c r="P2943">
        <f>IF(TRIM(K2943)="","",IFERROR(MATCH(LOWER(TRIM(K2943)),'Students'!$AH$2:$AH$701,0),IFERROR(MATCH(LOWER(TRIM(K2943)),'Students'!$AF$2:$AF$701,0),IFERROR(MATCH(LOWER(TRIM(K2943)),'Students'!$AG$2:$AG$701,0),""))))</f>
        <v/>
      </c>
      <c r="R2943">
        <f>IF(P2943="","",INDEX('Students'!$AD$2:$AD$701,P2943))</f>
        <v/>
      </c>
      <c r="S2943">
        <f>IF(H2943="OK",O2943,0)</f>
        <v/>
      </c>
      <c r="T2943">
        <f>IF(H2943="OK",N2943,"")</f>
        <v/>
      </c>
      <c r="U2943">
        <f>IF(OC_Donor=0,"",IF(INDEX('OneCause_Paste'!$A$2943:$AZ$2943,1,OC_Donor)="","",INDEX('OneCause_Paste'!$A$2943:$AZ$2943,1,OC_Donor)))</f>
        <v/>
      </c>
    </row>
    <row r="2944">
      <c r="A2944" s="62">
        <f>IF(H2944="","",IF(ISNUMBER(N2944),N2944,I2944))</f>
        <v/>
      </c>
      <c r="B2944">
        <f>IF(H2944="","",U2944)</f>
        <v/>
      </c>
      <c r="C2944">
        <f>IF(H2944="","",IF(P2944="",K2944,INDEX('Students'!$A$2:$A$701,P2944)))</f>
        <v/>
      </c>
      <c r="D2944">
        <f>IF(OR(H2944="",P2944=""),"",INDEX('Students'!$B$2:$B$701,P2944))</f>
        <v/>
      </c>
      <c r="E2944">
        <f>IF(OR(H2944="",P2944=""),"",INDEX('Students'!$C$2:$C$701,P2944))</f>
        <v/>
      </c>
      <c r="F2944" s="48">
        <f>IF(H2944="","",IF(ISNUMBER(O2944),O2944,J2944))</f>
        <v/>
      </c>
      <c r="G2944">
        <f>IF(H2944="","","OneCause")</f>
        <v/>
      </c>
      <c r="H2944">
        <f>IF(AND(I2944="",J2944="",K2944=""),"",IF(NOT(ISNUMBER(O2944)),"Bad amount",IF(O2944&lt;0,"Refund (not counted)",IF(O2944=0,"Zero amount",IF(NOT(ISNUMBER(N2944)),"Bad date",IF(P2944="","NAME NOT ON ROSTER",IF(L2944="","OK",IF(MATCH(L2944,$L$2:$L$3001,0)&lt;ROW()-1,"Duplicate (ignored)","OK"))))))))</f>
        <v/>
      </c>
      <c r="I2944">
        <f>IF(OC_Date=0,"",IF(INDEX('OneCause_Paste'!$A$2944:$AZ$2944,1,OC_Date)="","",INDEX('OneCause_Paste'!$A$2944:$AZ$2944,1,OC_Date)))</f>
        <v/>
      </c>
      <c r="J2944">
        <f>IF(OC_Amt=0,"",IF(INDEX('OneCause_Paste'!$A$2944:$AZ$2944,1,OC_Amt)="","",INDEX('OneCause_Paste'!$A$2944:$AZ$2944,1,OC_Amt)))</f>
        <v/>
      </c>
      <c r="K2944">
        <f>IF(OC_Name=0,"",IF(INDEX('OneCause_Paste'!$A$2944:$AZ$2944,1,OC_Name)="","",INDEX('OneCause_Paste'!$A$2944:$AZ$2944,1,OC_Name)))</f>
        <v/>
      </c>
      <c r="L2944">
        <f>IF(OC_Txn=0,"",IF(INDEX('OneCause_Paste'!$A$2944:$AZ$2944,1,OC_Txn)="","",INDEX('OneCause_Paste'!$A$2944:$AZ$2944,1,OC_Txn)))</f>
        <v/>
      </c>
      <c r="M2944">
        <f>IF(OC_Pay=0,"",IF(INDEX('OneCause_Paste'!$A$2944:$AZ$2944,1,OC_Pay)="","",INDEX('OneCause_Paste'!$A$2944:$AZ$2944,1,OC_Pay)))</f>
        <v/>
      </c>
      <c r="N2944">
        <f>IF(I2944="","",IF(ISNUMBER(I2944),INT(I2944),IFERROR(INT(DATEVALUE(I2944)),IFERROR(INT(VALUE(I2944)),"bad"))))</f>
        <v/>
      </c>
      <c r="O2944">
        <f>IF(J2944="","",IF(ISNUMBER(J2944),ROUND(J2944,2),IFERROR(ROUND(VALUE(SUBSTITUTE(SUBSTITUTE(SUBSTITUTE(J2944,"$",""),",","")," ","")),2),"bad")))</f>
        <v/>
      </c>
      <c r="P2944">
        <f>IF(TRIM(K2944)="","",IFERROR(MATCH(LOWER(TRIM(K2944)),'Students'!$AH$2:$AH$701,0),IFERROR(MATCH(LOWER(TRIM(K2944)),'Students'!$AF$2:$AF$701,0),IFERROR(MATCH(LOWER(TRIM(K2944)),'Students'!$AG$2:$AG$701,0),""))))</f>
        <v/>
      </c>
      <c r="R2944">
        <f>IF(P2944="","",INDEX('Students'!$AD$2:$AD$701,P2944))</f>
        <v/>
      </c>
      <c r="S2944">
        <f>IF(H2944="OK",O2944,0)</f>
        <v/>
      </c>
      <c r="T2944">
        <f>IF(H2944="OK",N2944,"")</f>
        <v/>
      </c>
      <c r="U2944">
        <f>IF(OC_Donor=0,"",IF(INDEX('OneCause_Paste'!$A$2944:$AZ$2944,1,OC_Donor)="","",INDEX('OneCause_Paste'!$A$2944:$AZ$2944,1,OC_Donor)))</f>
        <v/>
      </c>
    </row>
    <row r="2945">
      <c r="A2945" s="62">
        <f>IF(H2945="","",IF(ISNUMBER(N2945),N2945,I2945))</f>
        <v/>
      </c>
      <c r="B2945">
        <f>IF(H2945="","",U2945)</f>
        <v/>
      </c>
      <c r="C2945">
        <f>IF(H2945="","",IF(P2945="",K2945,INDEX('Students'!$A$2:$A$701,P2945)))</f>
        <v/>
      </c>
      <c r="D2945">
        <f>IF(OR(H2945="",P2945=""),"",INDEX('Students'!$B$2:$B$701,P2945))</f>
        <v/>
      </c>
      <c r="E2945">
        <f>IF(OR(H2945="",P2945=""),"",INDEX('Students'!$C$2:$C$701,P2945))</f>
        <v/>
      </c>
      <c r="F2945" s="48">
        <f>IF(H2945="","",IF(ISNUMBER(O2945),O2945,J2945))</f>
        <v/>
      </c>
      <c r="G2945">
        <f>IF(H2945="","","OneCause")</f>
        <v/>
      </c>
      <c r="H2945">
        <f>IF(AND(I2945="",J2945="",K2945=""),"",IF(NOT(ISNUMBER(O2945)),"Bad amount",IF(O2945&lt;0,"Refund (not counted)",IF(O2945=0,"Zero amount",IF(NOT(ISNUMBER(N2945)),"Bad date",IF(P2945="","NAME NOT ON ROSTER",IF(L2945="","OK",IF(MATCH(L2945,$L$2:$L$3001,0)&lt;ROW()-1,"Duplicate (ignored)","OK"))))))))</f>
        <v/>
      </c>
      <c r="I2945">
        <f>IF(OC_Date=0,"",IF(INDEX('OneCause_Paste'!$A$2945:$AZ$2945,1,OC_Date)="","",INDEX('OneCause_Paste'!$A$2945:$AZ$2945,1,OC_Date)))</f>
        <v/>
      </c>
      <c r="J2945">
        <f>IF(OC_Amt=0,"",IF(INDEX('OneCause_Paste'!$A$2945:$AZ$2945,1,OC_Amt)="","",INDEX('OneCause_Paste'!$A$2945:$AZ$2945,1,OC_Amt)))</f>
        <v/>
      </c>
      <c r="K2945">
        <f>IF(OC_Name=0,"",IF(INDEX('OneCause_Paste'!$A$2945:$AZ$2945,1,OC_Name)="","",INDEX('OneCause_Paste'!$A$2945:$AZ$2945,1,OC_Name)))</f>
        <v/>
      </c>
      <c r="L2945">
        <f>IF(OC_Txn=0,"",IF(INDEX('OneCause_Paste'!$A$2945:$AZ$2945,1,OC_Txn)="","",INDEX('OneCause_Paste'!$A$2945:$AZ$2945,1,OC_Txn)))</f>
        <v/>
      </c>
      <c r="M2945">
        <f>IF(OC_Pay=0,"",IF(INDEX('OneCause_Paste'!$A$2945:$AZ$2945,1,OC_Pay)="","",INDEX('OneCause_Paste'!$A$2945:$AZ$2945,1,OC_Pay)))</f>
        <v/>
      </c>
      <c r="N2945">
        <f>IF(I2945="","",IF(ISNUMBER(I2945),INT(I2945),IFERROR(INT(DATEVALUE(I2945)),IFERROR(INT(VALUE(I2945)),"bad"))))</f>
        <v/>
      </c>
      <c r="O2945">
        <f>IF(J2945="","",IF(ISNUMBER(J2945),ROUND(J2945,2),IFERROR(ROUND(VALUE(SUBSTITUTE(SUBSTITUTE(SUBSTITUTE(J2945,"$",""),",","")," ","")),2),"bad")))</f>
        <v/>
      </c>
      <c r="P2945">
        <f>IF(TRIM(K2945)="","",IFERROR(MATCH(LOWER(TRIM(K2945)),'Students'!$AH$2:$AH$701,0),IFERROR(MATCH(LOWER(TRIM(K2945)),'Students'!$AF$2:$AF$701,0),IFERROR(MATCH(LOWER(TRIM(K2945)),'Students'!$AG$2:$AG$701,0),""))))</f>
        <v/>
      </c>
      <c r="R2945">
        <f>IF(P2945="","",INDEX('Students'!$AD$2:$AD$701,P2945))</f>
        <v/>
      </c>
      <c r="S2945">
        <f>IF(H2945="OK",O2945,0)</f>
        <v/>
      </c>
      <c r="T2945">
        <f>IF(H2945="OK",N2945,"")</f>
        <v/>
      </c>
      <c r="U2945">
        <f>IF(OC_Donor=0,"",IF(INDEX('OneCause_Paste'!$A$2945:$AZ$2945,1,OC_Donor)="","",INDEX('OneCause_Paste'!$A$2945:$AZ$2945,1,OC_Donor)))</f>
        <v/>
      </c>
    </row>
    <row r="2946">
      <c r="A2946" s="62">
        <f>IF(H2946="","",IF(ISNUMBER(N2946),N2946,I2946))</f>
        <v/>
      </c>
      <c r="B2946">
        <f>IF(H2946="","",U2946)</f>
        <v/>
      </c>
      <c r="C2946">
        <f>IF(H2946="","",IF(P2946="",K2946,INDEX('Students'!$A$2:$A$701,P2946)))</f>
        <v/>
      </c>
      <c r="D2946">
        <f>IF(OR(H2946="",P2946=""),"",INDEX('Students'!$B$2:$B$701,P2946))</f>
        <v/>
      </c>
      <c r="E2946">
        <f>IF(OR(H2946="",P2946=""),"",INDEX('Students'!$C$2:$C$701,P2946))</f>
        <v/>
      </c>
      <c r="F2946" s="48">
        <f>IF(H2946="","",IF(ISNUMBER(O2946),O2946,J2946))</f>
        <v/>
      </c>
      <c r="G2946">
        <f>IF(H2946="","","OneCause")</f>
        <v/>
      </c>
      <c r="H2946">
        <f>IF(AND(I2946="",J2946="",K2946=""),"",IF(NOT(ISNUMBER(O2946)),"Bad amount",IF(O2946&lt;0,"Refund (not counted)",IF(O2946=0,"Zero amount",IF(NOT(ISNUMBER(N2946)),"Bad date",IF(P2946="","NAME NOT ON ROSTER",IF(L2946="","OK",IF(MATCH(L2946,$L$2:$L$3001,0)&lt;ROW()-1,"Duplicate (ignored)","OK"))))))))</f>
        <v/>
      </c>
      <c r="I2946">
        <f>IF(OC_Date=0,"",IF(INDEX('OneCause_Paste'!$A$2946:$AZ$2946,1,OC_Date)="","",INDEX('OneCause_Paste'!$A$2946:$AZ$2946,1,OC_Date)))</f>
        <v/>
      </c>
      <c r="J2946">
        <f>IF(OC_Amt=0,"",IF(INDEX('OneCause_Paste'!$A$2946:$AZ$2946,1,OC_Amt)="","",INDEX('OneCause_Paste'!$A$2946:$AZ$2946,1,OC_Amt)))</f>
        <v/>
      </c>
      <c r="K2946">
        <f>IF(OC_Name=0,"",IF(INDEX('OneCause_Paste'!$A$2946:$AZ$2946,1,OC_Name)="","",INDEX('OneCause_Paste'!$A$2946:$AZ$2946,1,OC_Name)))</f>
        <v/>
      </c>
      <c r="L2946">
        <f>IF(OC_Txn=0,"",IF(INDEX('OneCause_Paste'!$A$2946:$AZ$2946,1,OC_Txn)="","",INDEX('OneCause_Paste'!$A$2946:$AZ$2946,1,OC_Txn)))</f>
        <v/>
      </c>
      <c r="M2946">
        <f>IF(OC_Pay=0,"",IF(INDEX('OneCause_Paste'!$A$2946:$AZ$2946,1,OC_Pay)="","",INDEX('OneCause_Paste'!$A$2946:$AZ$2946,1,OC_Pay)))</f>
        <v/>
      </c>
      <c r="N2946">
        <f>IF(I2946="","",IF(ISNUMBER(I2946),INT(I2946),IFERROR(INT(DATEVALUE(I2946)),IFERROR(INT(VALUE(I2946)),"bad"))))</f>
        <v/>
      </c>
      <c r="O2946">
        <f>IF(J2946="","",IF(ISNUMBER(J2946),ROUND(J2946,2),IFERROR(ROUND(VALUE(SUBSTITUTE(SUBSTITUTE(SUBSTITUTE(J2946,"$",""),",","")," ","")),2),"bad")))</f>
        <v/>
      </c>
      <c r="P2946">
        <f>IF(TRIM(K2946)="","",IFERROR(MATCH(LOWER(TRIM(K2946)),'Students'!$AH$2:$AH$701,0),IFERROR(MATCH(LOWER(TRIM(K2946)),'Students'!$AF$2:$AF$701,0),IFERROR(MATCH(LOWER(TRIM(K2946)),'Students'!$AG$2:$AG$701,0),""))))</f>
        <v/>
      </c>
      <c r="R2946">
        <f>IF(P2946="","",INDEX('Students'!$AD$2:$AD$701,P2946))</f>
        <v/>
      </c>
      <c r="S2946">
        <f>IF(H2946="OK",O2946,0)</f>
        <v/>
      </c>
      <c r="T2946">
        <f>IF(H2946="OK",N2946,"")</f>
        <v/>
      </c>
      <c r="U2946">
        <f>IF(OC_Donor=0,"",IF(INDEX('OneCause_Paste'!$A$2946:$AZ$2946,1,OC_Donor)="","",INDEX('OneCause_Paste'!$A$2946:$AZ$2946,1,OC_Donor)))</f>
        <v/>
      </c>
    </row>
    <row r="2947">
      <c r="A2947" s="62">
        <f>IF(H2947="","",IF(ISNUMBER(N2947),N2947,I2947))</f>
        <v/>
      </c>
      <c r="B2947">
        <f>IF(H2947="","",U2947)</f>
        <v/>
      </c>
      <c r="C2947">
        <f>IF(H2947="","",IF(P2947="",K2947,INDEX('Students'!$A$2:$A$701,P2947)))</f>
        <v/>
      </c>
      <c r="D2947">
        <f>IF(OR(H2947="",P2947=""),"",INDEX('Students'!$B$2:$B$701,P2947))</f>
        <v/>
      </c>
      <c r="E2947">
        <f>IF(OR(H2947="",P2947=""),"",INDEX('Students'!$C$2:$C$701,P2947))</f>
        <v/>
      </c>
      <c r="F2947" s="48">
        <f>IF(H2947="","",IF(ISNUMBER(O2947),O2947,J2947))</f>
        <v/>
      </c>
      <c r="G2947">
        <f>IF(H2947="","","OneCause")</f>
        <v/>
      </c>
      <c r="H2947">
        <f>IF(AND(I2947="",J2947="",K2947=""),"",IF(NOT(ISNUMBER(O2947)),"Bad amount",IF(O2947&lt;0,"Refund (not counted)",IF(O2947=0,"Zero amount",IF(NOT(ISNUMBER(N2947)),"Bad date",IF(P2947="","NAME NOT ON ROSTER",IF(L2947="","OK",IF(MATCH(L2947,$L$2:$L$3001,0)&lt;ROW()-1,"Duplicate (ignored)","OK"))))))))</f>
        <v/>
      </c>
      <c r="I2947">
        <f>IF(OC_Date=0,"",IF(INDEX('OneCause_Paste'!$A$2947:$AZ$2947,1,OC_Date)="","",INDEX('OneCause_Paste'!$A$2947:$AZ$2947,1,OC_Date)))</f>
        <v/>
      </c>
      <c r="J2947">
        <f>IF(OC_Amt=0,"",IF(INDEX('OneCause_Paste'!$A$2947:$AZ$2947,1,OC_Amt)="","",INDEX('OneCause_Paste'!$A$2947:$AZ$2947,1,OC_Amt)))</f>
        <v/>
      </c>
      <c r="K2947">
        <f>IF(OC_Name=0,"",IF(INDEX('OneCause_Paste'!$A$2947:$AZ$2947,1,OC_Name)="","",INDEX('OneCause_Paste'!$A$2947:$AZ$2947,1,OC_Name)))</f>
        <v/>
      </c>
      <c r="L2947">
        <f>IF(OC_Txn=0,"",IF(INDEX('OneCause_Paste'!$A$2947:$AZ$2947,1,OC_Txn)="","",INDEX('OneCause_Paste'!$A$2947:$AZ$2947,1,OC_Txn)))</f>
        <v/>
      </c>
      <c r="M2947">
        <f>IF(OC_Pay=0,"",IF(INDEX('OneCause_Paste'!$A$2947:$AZ$2947,1,OC_Pay)="","",INDEX('OneCause_Paste'!$A$2947:$AZ$2947,1,OC_Pay)))</f>
        <v/>
      </c>
      <c r="N2947">
        <f>IF(I2947="","",IF(ISNUMBER(I2947),INT(I2947),IFERROR(INT(DATEVALUE(I2947)),IFERROR(INT(VALUE(I2947)),"bad"))))</f>
        <v/>
      </c>
      <c r="O2947">
        <f>IF(J2947="","",IF(ISNUMBER(J2947),ROUND(J2947,2),IFERROR(ROUND(VALUE(SUBSTITUTE(SUBSTITUTE(SUBSTITUTE(J2947,"$",""),",","")," ","")),2),"bad")))</f>
        <v/>
      </c>
      <c r="P2947">
        <f>IF(TRIM(K2947)="","",IFERROR(MATCH(LOWER(TRIM(K2947)),'Students'!$AH$2:$AH$701,0),IFERROR(MATCH(LOWER(TRIM(K2947)),'Students'!$AF$2:$AF$701,0),IFERROR(MATCH(LOWER(TRIM(K2947)),'Students'!$AG$2:$AG$701,0),""))))</f>
        <v/>
      </c>
      <c r="R2947">
        <f>IF(P2947="","",INDEX('Students'!$AD$2:$AD$701,P2947))</f>
        <v/>
      </c>
      <c r="S2947">
        <f>IF(H2947="OK",O2947,0)</f>
        <v/>
      </c>
      <c r="T2947">
        <f>IF(H2947="OK",N2947,"")</f>
        <v/>
      </c>
      <c r="U2947">
        <f>IF(OC_Donor=0,"",IF(INDEX('OneCause_Paste'!$A$2947:$AZ$2947,1,OC_Donor)="","",INDEX('OneCause_Paste'!$A$2947:$AZ$2947,1,OC_Donor)))</f>
        <v/>
      </c>
    </row>
    <row r="2948">
      <c r="A2948" s="62">
        <f>IF(H2948="","",IF(ISNUMBER(N2948),N2948,I2948))</f>
        <v/>
      </c>
      <c r="B2948">
        <f>IF(H2948="","",U2948)</f>
        <v/>
      </c>
      <c r="C2948">
        <f>IF(H2948="","",IF(P2948="",K2948,INDEX('Students'!$A$2:$A$701,P2948)))</f>
        <v/>
      </c>
      <c r="D2948">
        <f>IF(OR(H2948="",P2948=""),"",INDEX('Students'!$B$2:$B$701,P2948))</f>
        <v/>
      </c>
      <c r="E2948">
        <f>IF(OR(H2948="",P2948=""),"",INDEX('Students'!$C$2:$C$701,P2948))</f>
        <v/>
      </c>
      <c r="F2948" s="48">
        <f>IF(H2948="","",IF(ISNUMBER(O2948),O2948,J2948))</f>
        <v/>
      </c>
      <c r="G2948">
        <f>IF(H2948="","","OneCause")</f>
        <v/>
      </c>
      <c r="H2948">
        <f>IF(AND(I2948="",J2948="",K2948=""),"",IF(NOT(ISNUMBER(O2948)),"Bad amount",IF(O2948&lt;0,"Refund (not counted)",IF(O2948=0,"Zero amount",IF(NOT(ISNUMBER(N2948)),"Bad date",IF(P2948="","NAME NOT ON ROSTER",IF(L2948="","OK",IF(MATCH(L2948,$L$2:$L$3001,0)&lt;ROW()-1,"Duplicate (ignored)","OK"))))))))</f>
        <v/>
      </c>
      <c r="I2948">
        <f>IF(OC_Date=0,"",IF(INDEX('OneCause_Paste'!$A$2948:$AZ$2948,1,OC_Date)="","",INDEX('OneCause_Paste'!$A$2948:$AZ$2948,1,OC_Date)))</f>
        <v/>
      </c>
      <c r="J2948">
        <f>IF(OC_Amt=0,"",IF(INDEX('OneCause_Paste'!$A$2948:$AZ$2948,1,OC_Amt)="","",INDEX('OneCause_Paste'!$A$2948:$AZ$2948,1,OC_Amt)))</f>
        <v/>
      </c>
      <c r="K2948">
        <f>IF(OC_Name=0,"",IF(INDEX('OneCause_Paste'!$A$2948:$AZ$2948,1,OC_Name)="","",INDEX('OneCause_Paste'!$A$2948:$AZ$2948,1,OC_Name)))</f>
        <v/>
      </c>
      <c r="L2948">
        <f>IF(OC_Txn=0,"",IF(INDEX('OneCause_Paste'!$A$2948:$AZ$2948,1,OC_Txn)="","",INDEX('OneCause_Paste'!$A$2948:$AZ$2948,1,OC_Txn)))</f>
        <v/>
      </c>
      <c r="M2948">
        <f>IF(OC_Pay=0,"",IF(INDEX('OneCause_Paste'!$A$2948:$AZ$2948,1,OC_Pay)="","",INDEX('OneCause_Paste'!$A$2948:$AZ$2948,1,OC_Pay)))</f>
        <v/>
      </c>
      <c r="N2948">
        <f>IF(I2948="","",IF(ISNUMBER(I2948),INT(I2948),IFERROR(INT(DATEVALUE(I2948)),IFERROR(INT(VALUE(I2948)),"bad"))))</f>
        <v/>
      </c>
      <c r="O2948">
        <f>IF(J2948="","",IF(ISNUMBER(J2948),ROUND(J2948,2),IFERROR(ROUND(VALUE(SUBSTITUTE(SUBSTITUTE(SUBSTITUTE(J2948,"$",""),",","")," ","")),2),"bad")))</f>
        <v/>
      </c>
      <c r="P2948">
        <f>IF(TRIM(K2948)="","",IFERROR(MATCH(LOWER(TRIM(K2948)),'Students'!$AH$2:$AH$701,0),IFERROR(MATCH(LOWER(TRIM(K2948)),'Students'!$AF$2:$AF$701,0),IFERROR(MATCH(LOWER(TRIM(K2948)),'Students'!$AG$2:$AG$701,0),""))))</f>
        <v/>
      </c>
      <c r="R2948">
        <f>IF(P2948="","",INDEX('Students'!$AD$2:$AD$701,P2948))</f>
        <v/>
      </c>
      <c r="S2948">
        <f>IF(H2948="OK",O2948,0)</f>
        <v/>
      </c>
      <c r="T2948">
        <f>IF(H2948="OK",N2948,"")</f>
        <v/>
      </c>
      <c r="U2948">
        <f>IF(OC_Donor=0,"",IF(INDEX('OneCause_Paste'!$A$2948:$AZ$2948,1,OC_Donor)="","",INDEX('OneCause_Paste'!$A$2948:$AZ$2948,1,OC_Donor)))</f>
        <v/>
      </c>
    </row>
    <row r="2949">
      <c r="A2949" s="62">
        <f>IF(H2949="","",IF(ISNUMBER(N2949),N2949,I2949))</f>
        <v/>
      </c>
      <c r="B2949">
        <f>IF(H2949="","",U2949)</f>
        <v/>
      </c>
      <c r="C2949">
        <f>IF(H2949="","",IF(P2949="",K2949,INDEX('Students'!$A$2:$A$701,P2949)))</f>
        <v/>
      </c>
      <c r="D2949">
        <f>IF(OR(H2949="",P2949=""),"",INDEX('Students'!$B$2:$B$701,P2949))</f>
        <v/>
      </c>
      <c r="E2949">
        <f>IF(OR(H2949="",P2949=""),"",INDEX('Students'!$C$2:$C$701,P2949))</f>
        <v/>
      </c>
      <c r="F2949" s="48">
        <f>IF(H2949="","",IF(ISNUMBER(O2949),O2949,J2949))</f>
        <v/>
      </c>
      <c r="G2949">
        <f>IF(H2949="","","OneCause")</f>
        <v/>
      </c>
      <c r="H2949">
        <f>IF(AND(I2949="",J2949="",K2949=""),"",IF(NOT(ISNUMBER(O2949)),"Bad amount",IF(O2949&lt;0,"Refund (not counted)",IF(O2949=0,"Zero amount",IF(NOT(ISNUMBER(N2949)),"Bad date",IF(P2949="","NAME NOT ON ROSTER",IF(L2949="","OK",IF(MATCH(L2949,$L$2:$L$3001,0)&lt;ROW()-1,"Duplicate (ignored)","OK"))))))))</f>
        <v/>
      </c>
      <c r="I2949">
        <f>IF(OC_Date=0,"",IF(INDEX('OneCause_Paste'!$A$2949:$AZ$2949,1,OC_Date)="","",INDEX('OneCause_Paste'!$A$2949:$AZ$2949,1,OC_Date)))</f>
        <v/>
      </c>
      <c r="J2949">
        <f>IF(OC_Amt=0,"",IF(INDEX('OneCause_Paste'!$A$2949:$AZ$2949,1,OC_Amt)="","",INDEX('OneCause_Paste'!$A$2949:$AZ$2949,1,OC_Amt)))</f>
        <v/>
      </c>
      <c r="K2949">
        <f>IF(OC_Name=0,"",IF(INDEX('OneCause_Paste'!$A$2949:$AZ$2949,1,OC_Name)="","",INDEX('OneCause_Paste'!$A$2949:$AZ$2949,1,OC_Name)))</f>
        <v/>
      </c>
      <c r="L2949">
        <f>IF(OC_Txn=0,"",IF(INDEX('OneCause_Paste'!$A$2949:$AZ$2949,1,OC_Txn)="","",INDEX('OneCause_Paste'!$A$2949:$AZ$2949,1,OC_Txn)))</f>
        <v/>
      </c>
      <c r="M2949">
        <f>IF(OC_Pay=0,"",IF(INDEX('OneCause_Paste'!$A$2949:$AZ$2949,1,OC_Pay)="","",INDEX('OneCause_Paste'!$A$2949:$AZ$2949,1,OC_Pay)))</f>
        <v/>
      </c>
      <c r="N2949">
        <f>IF(I2949="","",IF(ISNUMBER(I2949),INT(I2949),IFERROR(INT(DATEVALUE(I2949)),IFERROR(INT(VALUE(I2949)),"bad"))))</f>
        <v/>
      </c>
      <c r="O2949">
        <f>IF(J2949="","",IF(ISNUMBER(J2949),ROUND(J2949,2),IFERROR(ROUND(VALUE(SUBSTITUTE(SUBSTITUTE(SUBSTITUTE(J2949,"$",""),",","")," ","")),2),"bad")))</f>
        <v/>
      </c>
      <c r="P2949">
        <f>IF(TRIM(K2949)="","",IFERROR(MATCH(LOWER(TRIM(K2949)),'Students'!$AH$2:$AH$701,0),IFERROR(MATCH(LOWER(TRIM(K2949)),'Students'!$AF$2:$AF$701,0),IFERROR(MATCH(LOWER(TRIM(K2949)),'Students'!$AG$2:$AG$701,0),""))))</f>
        <v/>
      </c>
      <c r="R2949">
        <f>IF(P2949="","",INDEX('Students'!$AD$2:$AD$701,P2949))</f>
        <v/>
      </c>
      <c r="S2949">
        <f>IF(H2949="OK",O2949,0)</f>
        <v/>
      </c>
      <c r="T2949">
        <f>IF(H2949="OK",N2949,"")</f>
        <v/>
      </c>
      <c r="U2949">
        <f>IF(OC_Donor=0,"",IF(INDEX('OneCause_Paste'!$A$2949:$AZ$2949,1,OC_Donor)="","",INDEX('OneCause_Paste'!$A$2949:$AZ$2949,1,OC_Donor)))</f>
        <v/>
      </c>
    </row>
    <row r="2950">
      <c r="A2950" s="62">
        <f>IF(H2950="","",IF(ISNUMBER(N2950),N2950,I2950))</f>
        <v/>
      </c>
      <c r="B2950">
        <f>IF(H2950="","",U2950)</f>
        <v/>
      </c>
      <c r="C2950">
        <f>IF(H2950="","",IF(P2950="",K2950,INDEX('Students'!$A$2:$A$701,P2950)))</f>
        <v/>
      </c>
      <c r="D2950">
        <f>IF(OR(H2950="",P2950=""),"",INDEX('Students'!$B$2:$B$701,P2950))</f>
        <v/>
      </c>
      <c r="E2950">
        <f>IF(OR(H2950="",P2950=""),"",INDEX('Students'!$C$2:$C$701,P2950))</f>
        <v/>
      </c>
      <c r="F2950" s="48">
        <f>IF(H2950="","",IF(ISNUMBER(O2950),O2950,J2950))</f>
        <v/>
      </c>
      <c r="G2950">
        <f>IF(H2950="","","OneCause")</f>
        <v/>
      </c>
      <c r="H2950">
        <f>IF(AND(I2950="",J2950="",K2950=""),"",IF(NOT(ISNUMBER(O2950)),"Bad amount",IF(O2950&lt;0,"Refund (not counted)",IF(O2950=0,"Zero amount",IF(NOT(ISNUMBER(N2950)),"Bad date",IF(P2950="","NAME NOT ON ROSTER",IF(L2950="","OK",IF(MATCH(L2950,$L$2:$L$3001,0)&lt;ROW()-1,"Duplicate (ignored)","OK"))))))))</f>
        <v/>
      </c>
      <c r="I2950">
        <f>IF(OC_Date=0,"",IF(INDEX('OneCause_Paste'!$A$2950:$AZ$2950,1,OC_Date)="","",INDEX('OneCause_Paste'!$A$2950:$AZ$2950,1,OC_Date)))</f>
        <v/>
      </c>
      <c r="J2950">
        <f>IF(OC_Amt=0,"",IF(INDEX('OneCause_Paste'!$A$2950:$AZ$2950,1,OC_Amt)="","",INDEX('OneCause_Paste'!$A$2950:$AZ$2950,1,OC_Amt)))</f>
        <v/>
      </c>
      <c r="K2950">
        <f>IF(OC_Name=0,"",IF(INDEX('OneCause_Paste'!$A$2950:$AZ$2950,1,OC_Name)="","",INDEX('OneCause_Paste'!$A$2950:$AZ$2950,1,OC_Name)))</f>
        <v/>
      </c>
      <c r="L2950">
        <f>IF(OC_Txn=0,"",IF(INDEX('OneCause_Paste'!$A$2950:$AZ$2950,1,OC_Txn)="","",INDEX('OneCause_Paste'!$A$2950:$AZ$2950,1,OC_Txn)))</f>
        <v/>
      </c>
      <c r="M2950">
        <f>IF(OC_Pay=0,"",IF(INDEX('OneCause_Paste'!$A$2950:$AZ$2950,1,OC_Pay)="","",INDEX('OneCause_Paste'!$A$2950:$AZ$2950,1,OC_Pay)))</f>
        <v/>
      </c>
      <c r="N2950">
        <f>IF(I2950="","",IF(ISNUMBER(I2950),INT(I2950),IFERROR(INT(DATEVALUE(I2950)),IFERROR(INT(VALUE(I2950)),"bad"))))</f>
        <v/>
      </c>
      <c r="O2950">
        <f>IF(J2950="","",IF(ISNUMBER(J2950),ROUND(J2950,2),IFERROR(ROUND(VALUE(SUBSTITUTE(SUBSTITUTE(SUBSTITUTE(J2950,"$",""),",","")," ","")),2),"bad")))</f>
        <v/>
      </c>
      <c r="P2950">
        <f>IF(TRIM(K2950)="","",IFERROR(MATCH(LOWER(TRIM(K2950)),'Students'!$AH$2:$AH$701,0),IFERROR(MATCH(LOWER(TRIM(K2950)),'Students'!$AF$2:$AF$701,0),IFERROR(MATCH(LOWER(TRIM(K2950)),'Students'!$AG$2:$AG$701,0),""))))</f>
        <v/>
      </c>
      <c r="R2950">
        <f>IF(P2950="","",INDEX('Students'!$AD$2:$AD$701,P2950))</f>
        <v/>
      </c>
      <c r="S2950">
        <f>IF(H2950="OK",O2950,0)</f>
        <v/>
      </c>
      <c r="T2950">
        <f>IF(H2950="OK",N2950,"")</f>
        <v/>
      </c>
      <c r="U2950">
        <f>IF(OC_Donor=0,"",IF(INDEX('OneCause_Paste'!$A$2950:$AZ$2950,1,OC_Donor)="","",INDEX('OneCause_Paste'!$A$2950:$AZ$2950,1,OC_Donor)))</f>
        <v/>
      </c>
    </row>
    <row r="2951">
      <c r="A2951" s="62">
        <f>IF(H2951="","",IF(ISNUMBER(N2951),N2951,I2951))</f>
        <v/>
      </c>
      <c r="B2951">
        <f>IF(H2951="","",U2951)</f>
        <v/>
      </c>
      <c r="C2951">
        <f>IF(H2951="","",IF(P2951="",K2951,INDEX('Students'!$A$2:$A$701,P2951)))</f>
        <v/>
      </c>
      <c r="D2951">
        <f>IF(OR(H2951="",P2951=""),"",INDEX('Students'!$B$2:$B$701,P2951))</f>
        <v/>
      </c>
      <c r="E2951">
        <f>IF(OR(H2951="",P2951=""),"",INDEX('Students'!$C$2:$C$701,P2951))</f>
        <v/>
      </c>
      <c r="F2951" s="48">
        <f>IF(H2951="","",IF(ISNUMBER(O2951),O2951,J2951))</f>
        <v/>
      </c>
      <c r="G2951">
        <f>IF(H2951="","","OneCause")</f>
        <v/>
      </c>
      <c r="H2951">
        <f>IF(AND(I2951="",J2951="",K2951=""),"",IF(NOT(ISNUMBER(O2951)),"Bad amount",IF(O2951&lt;0,"Refund (not counted)",IF(O2951=0,"Zero amount",IF(NOT(ISNUMBER(N2951)),"Bad date",IF(P2951="","NAME NOT ON ROSTER",IF(L2951="","OK",IF(MATCH(L2951,$L$2:$L$3001,0)&lt;ROW()-1,"Duplicate (ignored)","OK"))))))))</f>
        <v/>
      </c>
      <c r="I2951">
        <f>IF(OC_Date=0,"",IF(INDEX('OneCause_Paste'!$A$2951:$AZ$2951,1,OC_Date)="","",INDEX('OneCause_Paste'!$A$2951:$AZ$2951,1,OC_Date)))</f>
        <v/>
      </c>
      <c r="J2951">
        <f>IF(OC_Amt=0,"",IF(INDEX('OneCause_Paste'!$A$2951:$AZ$2951,1,OC_Amt)="","",INDEX('OneCause_Paste'!$A$2951:$AZ$2951,1,OC_Amt)))</f>
        <v/>
      </c>
      <c r="K2951">
        <f>IF(OC_Name=0,"",IF(INDEX('OneCause_Paste'!$A$2951:$AZ$2951,1,OC_Name)="","",INDEX('OneCause_Paste'!$A$2951:$AZ$2951,1,OC_Name)))</f>
        <v/>
      </c>
      <c r="L2951">
        <f>IF(OC_Txn=0,"",IF(INDEX('OneCause_Paste'!$A$2951:$AZ$2951,1,OC_Txn)="","",INDEX('OneCause_Paste'!$A$2951:$AZ$2951,1,OC_Txn)))</f>
        <v/>
      </c>
      <c r="M2951">
        <f>IF(OC_Pay=0,"",IF(INDEX('OneCause_Paste'!$A$2951:$AZ$2951,1,OC_Pay)="","",INDEX('OneCause_Paste'!$A$2951:$AZ$2951,1,OC_Pay)))</f>
        <v/>
      </c>
      <c r="N2951">
        <f>IF(I2951="","",IF(ISNUMBER(I2951),INT(I2951),IFERROR(INT(DATEVALUE(I2951)),IFERROR(INT(VALUE(I2951)),"bad"))))</f>
        <v/>
      </c>
      <c r="O2951">
        <f>IF(J2951="","",IF(ISNUMBER(J2951),ROUND(J2951,2),IFERROR(ROUND(VALUE(SUBSTITUTE(SUBSTITUTE(SUBSTITUTE(J2951,"$",""),",","")," ","")),2),"bad")))</f>
        <v/>
      </c>
      <c r="P2951">
        <f>IF(TRIM(K2951)="","",IFERROR(MATCH(LOWER(TRIM(K2951)),'Students'!$AH$2:$AH$701,0),IFERROR(MATCH(LOWER(TRIM(K2951)),'Students'!$AF$2:$AF$701,0),IFERROR(MATCH(LOWER(TRIM(K2951)),'Students'!$AG$2:$AG$701,0),""))))</f>
        <v/>
      </c>
      <c r="R2951">
        <f>IF(P2951="","",INDEX('Students'!$AD$2:$AD$701,P2951))</f>
        <v/>
      </c>
      <c r="S2951">
        <f>IF(H2951="OK",O2951,0)</f>
        <v/>
      </c>
      <c r="T2951">
        <f>IF(H2951="OK",N2951,"")</f>
        <v/>
      </c>
      <c r="U2951">
        <f>IF(OC_Donor=0,"",IF(INDEX('OneCause_Paste'!$A$2951:$AZ$2951,1,OC_Donor)="","",INDEX('OneCause_Paste'!$A$2951:$AZ$2951,1,OC_Donor)))</f>
        <v/>
      </c>
    </row>
    <row r="2952">
      <c r="A2952" s="62">
        <f>IF(H2952="","",IF(ISNUMBER(N2952),N2952,I2952))</f>
        <v/>
      </c>
      <c r="B2952">
        <f>IF(H2952="","",U2952)</f>
        <v/>
      </c>
      <c r="C2952">
        <f>IF(H2952="","",IF(P2952="",K2952,INDEX('Students'!$A$2:$A$701,P2952)))</f>
        <v/>
      </c>
      <c r="D2952">
        <f>IF(OR(H2952="",P2952=""),"",INDEX('Students'!$B$2:$B$701,P2952))</f>
        <v/>
      </c>
      <c r="E2952">
        <f>IF(OR(H2952="",P2952=""),"",INDEX('Students'!$C$2:$C$701,P2952))</f>
        <v/>
      </c>
      <c r="F2952" s="48">
        <f>IF(H2952="","",IF(ISNUMBER(O2952),O2952,J2952))</f>
        <v/>
      </c>
      <c r="G2952">
        <f>IF(H2952="","","OneCause")</f>
        <v/>
      </c>
      <c r="H2952">
        <f>IF(AND(I2952="",J2952="",K2952=""),"",IF(NOT(ISNUMBER(O2952)),"Bad amount",IF(O2952&lt;0,"Refund (not counted)",IF(O2952=0,"Zero amount",IF(NOT(ISNUMBER(N2952)),"Bad date",IF(P2952="","NAME NOT ON ROSTER",IF(L2952="","OK",IF(MATCH(L2952,$L$2:$L$3001,0)&lt;ROW()-1,"Duplicate (ignored)","OK"))))))))</f>
        <v/>
      </c>
      <c r="I2952">
        <f>IF(OC_Date=0,"",IF(INDEX('OneCause_Paste'!$A$2952:$AZ$2952,1,OC_Date)="","",INDEX('OneCause_Paste'!$A$2952:$AZ$2952,1,OC_Date)))</f>
        <v/>
      </c>
      <c r="J2952">
        <f>IF(OC_Amt=0,"",IF(INDEX('OneCause_Paste'!$A$2952:$AZ$2952,1,OC_Amt)="","",INDEX('OneCause_Paste'!$A$2952:$AZ$2952,1,OC_Amt)))</f>
        <v/>
      </c>
      <c r="K2952">
        <f>IF(OC_Name=0,"",IF(INDEX('OneCause_Paste'!$A$2952:$AZ$2952,1,OC_Name)="","",INDEX('OneCause_Paste'!$A$2952:$AZ$2952,1,OC_Name)))</f>
        <v/>
      </c>
      <c r="L2952">
        <f>IF(OC_Txn=0,"",IF(INDEX('OneCause_Paste'!$A$2952:$AZ$2952,1,OC_Txn)="","",INDEX('OneCause_Paste'!$A$2952:$AZ$2952,1,OC_Txn)))</f>
        <v/>
      </c>
      <c r="M2952">
        <f>IF(OC_Pay=0,"",IF(INDEX('OneCause_Paste'!$A$2952:$AZ$2952,1,OC_Pay)="","",INDEX('OneCause_Paste'!$A$2952:$AZ$2952,1,OC_Pay)))</f>
        <v/>
      </c>
      <c r="N2952">
        <f>IF(I2952="","",IF(ISNUMBER(I2952),INT(I2952),IFERROR(INT(DATEVALUE(I2952)),IFERROR(INT(VALUE(I2952)),"bad"))))</f>
        <v/>
      </c>
      <c r="O2952">
        <f>IF(J2952="","",IF(ISNUMBER(J2952),ROUND(J2952,2),IFERROR(ROUND(VALUE(SUBSTITUTE(SUBSTITUTE(SUBSTITUTE(J2952,"$",""),",","")," ","")),2),"bad")))</f>
        <v/>
      </c>
      <c r="P2952">
        <f>IF(TRIM(K2952)="","",IFERROR(MATCH(LOWER(TRIM(K2952)),'Students'!$AH$2:$AH$701,0),IFERROR(MATCH(LOWER(TRIM(K2952)),'Students'!$AF$2:$AF$701,0),IFERROR(MATCH(LOWER(TRIM(K2952)),'Students'!$AG$2:$AG$701,0),""))))</f>
        <v/>
      </c>
      <c r="R2952">
        <f>IF(P2952="","",INDEX('Students'!$AD$2:$AD$701,P2952))</f>
        <v/>
      </c>
      <c r="S2952">
        <f>IF(H2952="OK",O2952,0)</f>
        <v/>
      </c>
      <c r="T2952">
        <f>IF(H2952="OK",N2952,"")</f>
        <v/>
      </c>
      <c r="U2952">
        <f>IF(OC_Donor=0,"",IF(INDEX('OneCause_Paste'!$A$2952:$AZ$2952,1,OC_Donor)="","",INDEX('OneCause_Paste'!$A$2952:$AZ$2952,1,OC_Donor)))</f>
        <v/>
      </c>
    </row>
    <row r="2953">
      <c r="A2953" s="62">
        <f>IF(H2953="","",IF(ISNUMBER(N2953),N2953,I2953))</f>
        <v/>
      </c>
      <c r="B2953">
        <f>IF(H2953="","",U2953)</f>
        <v/>
      </c>
      <c r="C2953">
        <f>IF(H2953="","",IF(P2953="",K2953,INDEX('Students'!$A$2:$A$701,P2953)))</f>
        <v/>
      </c>
      <c r="D2953">
        <f>IF(OR(H2953="",P2953=""),"",INDEX('Students'!$B$2:$B$701,P2953))</f>
        <v/>
      </c>
      <c r="E2953">
        <f>IF(OR(H2953="",P2953=""),"",INDEX('Students'!$C$2:$C$701,P2953))</f>
        <v/>
      </c>
      <c r="F2953" s="48">
        <f>IF(H2953="","",IF(ISNUMBER(O2953),O2953,J2953))</f>
        <v/>
      </c>
      <c r="G2953">
        <f>IF(H2953="","","OneCause")</f>
        <v/>
      </c>
      <c r="H2953">
        <f>IF(AND(I2953="",J2953="",K2953=""),"",IF(NOT(ISNUMBER(O2953)),"Bad amount",IF(O2953&lt;0,"Refund (not counted)",IF(O2953=0,"Zero amount",IF(NOT(ISNUMBER(N2953)),"Bad date",IF(P2953="","NAME NOT ON ROSTER",IF(L2953="","OK",IF(MATCH(L2953,$L$2:$L$3001,0)&lt;ROW()-1,"Duplicate (ignored)","OK"))))))))</f>
        <v/>
      </c>
      <c r="I2953">
        <f>IF(OC_Date=0,"",IF(INDEX('OneCause_Paste'!$A$2953:$AZ$2953,1,OC_Date)="","",INDEX('OneCause_Paste'!$A$2953:$AZ$2953,1,OC_Date)))</f>
        <v/>
      </c>
      <c r="J2953">
        <f>IF(OC_Amt=0,"",IF(INDEX('OneCause_Paste'!$A$2953:$AZ$2953,1,OC_Amt)="","",INDEX('OneCause_Paste'!$A$2953:$AZ$2953,1,OC_Amt)))</f>
        <v/>
      </c>
      <c r="K2953">
        <f>IF(OC_Name=0,"",IF(INDEX('OneCause_Paste'!$A$2953:$AZ$2953,1,OC_Name)="","",INDEX('OneCause_Paste'!$A$2953:$AZ$2953,1,OC_Name)))</f>
        <v/>
      </c>
      <c r="L2953">
        <f>IF(OC_Txn=0,"",IF(INDEX('OneCause_Paste'!$A$2953:$AZ$2953,1,OC_Txn)="","",INDEX('OneCause_Paste'!$A$2953:$AZ$2953,1,OC_Txn)))</f>
        <v/>
      </c>
      <c r="M2953">
        <f>IF(OC_Pay=0,"",IF(INDEX('OneCause_Paste'!$A$2953:$AZ$2953,1,OC_Pay)="","",INDEX('OneCause_Paste'!$A$2953:$AZ$2953,1,OC_Pay)))</f>
        <v/>
      </c>
      <c r="N2953">
        <f>IF(I2953="","",IF(ISNUMBER(I2953),INT(I2953),IFERROR(INT(DATEVALUE(I2953)),IFERROR(INT(VALUE(I2953)),"bad"))))</f>
        <v/>
      </c>
      <c r="O2953">
        <f>IF(J2953="","",IF(ISNUMBER(J2953),ROUND(J2953,2),IFERROR(ROUND(VALUE(SUBSTITUTE(SUBSTITUTE(SUBSTITUTE(J2953,"$",""),",","")," ","")),2),"bad")))</f>
        <v/>
      </c>
      <c r="P2953">
        <f>IF(TRIM(K2953)="","",IFERROR(MATCH(LOWER(TRIM(K2953)),'Students'!$AH$2:$AH$701,0),IFERROR(MATCH(LOWER(TRIM(K2953)),'Students'!$AF$2:$AF$701,0),IFERROR(MATCH(LOWER(TRIM(K2953)),'Students'!$AG$2:$AG$701,0),""))))</f>
        <v/>
      </c>
      <c r="R2953">
        <f>IF(P2953="","",INDEX('Students'!$AD$2:$AD$701,P2953))</f>
        <v/>
      </c>
      <c r="S2953">
        <f>IF(H2953="OK",O2953,0)</f>
        <v/>
      </c>
      <c r="T2953">
        <f>IF(H2953="OK",N2953,"")</f>
        <v/>
      </c>
      <c r="U2953">
        <f>IF(OC_Donor=0,"",IF(INDEX('OneCause_Paste'!$A$2953:$AZ$2953,1,OC_Donor)="","",INDEX('OneCause_Paste'!$A$2953:$AZ$2953,1,OC_Donor)))</f>
        <v/>
      </c>
    </row>
    <row r="2954">
      <c r="A2954" s="62">
        <f>IF(H2954="","",IF(ISNUMBER(N2954),N2954,I2954))</f>
        <v/>
      </c>
      <c r="B2954">
        <f>IF(H2954="","",U2954)</f>
        <v/>
      </c>
      <c r="C2954">
        <f>IF(H2954="","",IF(P2954="",K2954,INDEX('Students'!$A$2:$A$701,P2954)))</f>
        <v/>
      </c>
      <c r="D2954">
        <f>IF(OR(H2954="",P2954=""),"",INDEX('Students'!$B$2:$B$701,P2954))</f>
        <v/>
      </c>
      <c r="E2954">
        <f>IF(OR(H2954="",P2954=""),"",INDEX('Students'!$C$2:$C$701,P2954))</f>
        <v/>
      </c>
      <c r="F2954" s="48">
        <f>IF(H2954="","",IF(ISNUMBER(O2954),O2954,J2954))</f>
        <v/>
      </c>
      <c r="G2954">
        <f>IF(H2954="","","OneCause")</f>
        <v/>
      </c>
      <c r="H2954">
        <f>IF(AND(I2954="",J2954="",K2954=""),"",IF(NOT(ISNUMBER(O2954)),"Bad amount",IF(O2954&lt;0,"Refund (not counted)",IF(O2954=0,"Zero amount",IF(NOT(ISNUMBER(N2954)),"Bad date",IF(P2954="","NAME NOT ON ROSTER",IF(L2954="","OK",IF(MATCH(L2954,$L$2:$L$3001,0)&lt;ROW()-1,"Duplicate (ignored)","OK"))))))))</f>
        <v/>
      </c>
      <c r="I2954">
        <f>IF(OC_Date=0,"",IF(INDEX('OneCause_Paste'!$A$2954:$AZ$2954,1,OC_Date)="","",INDEX('OneCause_Paste'!$A$2954:$AZ$2954,1,OC_Date)))</f>
        <v/>
      </c>
      <c r="J2954">
        <f>IF(OC_Amt=0,"",IF(INDEX('OneCause_Paste'!$A$2954:$AZ$2954,1,OC_Amt)="","",INDEX('OneCause_Paste'!$A$2954:$AZ$2954,1,OC_Amt)))</f>
        <v/>
      </c>
      <c r="K2954">
        <f>IF(OC_Name=0,"",IF(INDEX('OneCause_Paste'!$A$2954:$AZ$2954,1,OC_Name)="","",INDEX('OneCause_Paste'!$A$2954:$AZ$2954,1,OC_Name)))</f>
        <v/>
      </c>
      <c r="L2954">
        <f>IF(OC_Txn=0,"",IF(INDEX('OneCause_Paste'!$A$2954:$AZ$2954,1,OC_Txn)="","",INDEX('OneCause_Paste'!$A$2954:$AZ$2954,1,OC_Txn)))</f>
        <v/>
      </c>
      <c r="M2954">
        <f>IF(OC_Pay=0,"",IF(INDEX('OneCause_Paste'!$A$2954:$AZ$2954,1,OC_Pay)="","",INDEX('OneCause_Paste'!$A$2954:$AZ$2954,1,OC_Pay)))</f>
        <v/>
      </c>
      <c r="N2954">
        <f>IF(I2954="","",IF(ISNUMBER(I2954),INT(I2954),IFERROR(INT(DATEVALUE(I2954)),IFERROR(INT(VALUE(I2954)),"bad"))))</f>
        <v/>
      </c>
      <c r="O2954">
        <f>IF(J2954="","",IF(ISNUMBER(J2954),ROUND(J2954,2),IFERROR(ROUND(VALUE(SUBSTITUTE(SUBSTITUTE(SUBSTITUTE(J2954,"$",""),",","")," ","")),2),"bad")))</f>
        <v/>
      </c>
      <c r="P2954">
        <f>IF(TRIM(K2954)="","",IFERROR(MATCH(LOWER(TRIM(K2954)),'Students'!$AH$2:$AH$701,0),IFERROR(MATCH(LOWER(TRIM(K2954)),'Students'!$AF$2:$AF$701,0),IFERROR(MATCH(LOWER(TRIM(K2954)),'Students'!$AG$2:$AG$701,0),""))))</f>
        <v/>
      </c>
      <c r="R2954">
        <f>IF(P2954="","",INDEX('Students'!$AD$2:$AD$701,P2954))</f>
        <v/>
      </c>
      <c r="S2954">
        <f>IF(H2954="OK",O2954,0)</f>
        <v/>
      </c>
      <c r="T2954">
        <f>IF(H2954="OK",N2954,"")</f>
        <v/>
      </c>
      <c r="U2954">
        <f>IF(OC_Donor=0,"",IF(INDEX('OneCause_Paste'!$A$2954:$AZ$2954,1,OC_Donor)="","",INDEX('OneCause_Paste'!$A$2954:$AZ$2954,1,OC_Donor)))</f>
        <v/>
      </c>
    </row>
    <row r="2955">
      <c r="A2955" s="62">
        <f>IF(H2955="","",IF(ISNUMBER(N2955),N2955,I2955))</f>
        <v/>
      </c>
      <c r="B2955">
        <f>IF(H2955="","",U2955)</f>
        <v/>
      </c>
      <c r="C2955">
        <f>IF(H2955="","",IF(P2955="",K2955,INDEX('Students'!$A$2:$A$701,P2955)))</f>
        <v/>
      </c>
      <c r="D2955">
        <f>IF(OR(H2955="",P2955=""),"",INDEX('Students'!$B$2:$B$701,P2955))</f>
        <v/>
      </c>
      <c r="E2955">
        <f>IF(OR(H2955="",P2955=""),"",INDEX('Students'!$C$2:$C$701,P2955))</f>
        <v/>
      </c>
      <c r="F2955" s="48">
        <f>IF(H2955="","",IF(ISNUMBER(O2955),O2955,J2955))</f>
        <v/>
      </c>
      <c r="G2955">
        <f>IF(H2955="","","OneCause")</f>
        <v/>
      </c>
      <c r="H2955">
        <f>IF(AND(I2955="",J2955="",K2955=""),"",IF(NOT(ISNUMBER(O2955)),"Bad amount",IF(O2955&lt;0,"Refund (not counted)",IF(O2955=0,"Zero amount",IF(NOT(ISNUMBER(N2955)),"Bad date",IF(P2955="","NAME NOT ON ROSTER",IF(L2955="","OK",IF(MATCH(L2955,$L$2:$L$3001,0)&lt;ROW()-1,"Duplicate (ignored)","OK"))))))))</f>
        <v/>
      </c>
      <c r="I2955">
        <f>IF(OC_Date=0,"",IF(INDEX('OneCause_Paste'!$A$2955:$AZ$2955,1,OC_Date)="","",INDEX('OneCause_Paste'!$A$2955:$AZ$2955,1,OC_Date)))</f>
        <v/>
      </c>
      <c r="J2955">
        <f>IF(OC_Amt=0,"",IF(INDEX('OneCause_Paste'!$A$2955:$AZ$2955,1,OC_Amt)="","",INDEX('OneCause_Paste'!$A$2955:$AZ$2955,1,OC_Amt)))</f>
        <v/>
      </c>
      <c r="K2955">
        <f>IF(OC_Name=0,"",IF(INDEX('OneCause_Paste'!$A$2955:$AZ$2955,1,OC_Name)="","",INDEX('OneCause_Paste'!$A$2955:$AZ$2955,1,OC_Name)))</f>
        <v/>
      </c>
      <c r="L2955">
        <f>IF(OC_Txn=0,"",IF(INDEX('OneCause_Paste'!$A$2955:$AZ$2955,1,OC_Txn)="","",INDEX('OneCause_Paste'!$A$2955:$AZ$2955,1,OC_Txn)))</f>
        <v/>
      </c>
      <c r="M2955">
        <f>IF(OC_Pay=0,"",IF(INDEX('OneCause_Paste'!$A$2955:$AZ$2955,1,OC_Pay)="","",INDEX('OneCause_Paste'!$A$2955:$AZ$2955,1,OC_Pay)))</f>
        <v/>
      </c>
      <c r="N2955">
        <f>IF(I2955="","",IF(ISNUMBER(I2955),INT(I2955),IFERROR(INT(DATEVALUE(I2955)),IFERROR(INT(VALUE(I2955)),"bad"))))</f>
        <v/>
      </c>
      <c r="O2955">
        <f>IF(J2955="","",IF(ISNUMBER(J2955),ROUND(J2955,2),IFERROR(ROUND(VALUE(SUBSTITUTE(SUBSTITUTE(SUBSTITUTE(J2955,"$",""),",","")," ","")),2),"bad")))</f>
        <v/>
      </c>
      <c r="P2955">
        <f>IF(TRIM(K2955)="","",IFERROR(MATCH(LOWER(TRIM(K2955)),'Students'!$AH$2:$AH$701,0),IFERROR(MATCH(LOWER(TRIM(K2955)),'Students'!$AF$2:$AF$701,0),IFERROR(MATCH(LOWER(TRIM(K2955)),'Students'!$AG$2:$AG$701,0),""))))</f>
        <v/>
      </c>
      <c r="R2955">
        <f>IF(P2955="","",INDEX('Students'!$AD$2:$AD$701,P2955))</f>
        <v/>
      </c>
      <c r="S2955">
        <f>IF(H2955="OK",O2955,0)</f>
        <v/>
      </c>
      <c r="T2955">
        <f>IF(H2955="OK",N2955,"")</f>
        <v/>
      </c>
      <c r="U2955">
        <f>IF(OC_Donor=0,"",IF(INDEX('OneCause_Paste'!$A$2955:$AZ$2955,1,OC_Donor)="","",INDEX('OneCause_Paste'!$A$2955:$AZ$2955,1,OC_Donor)))</f>
        <v/>
      </c>
    </row>
    <row r="2956">
      <c r="A2956" s="62">
        <f>IF(H2956="","",IF(ISNUMBER(N2956),N2956,I2956))</f>
        <v/>
      </c>
      <c r="B2956">
        <f>IF(H2956="","",U2956)</f>
        <v/>
      </c>
      <c r="C2956">
        <f>IF(H2956="","",IF(P2956="",K2956,INDEX('Students'!$A$2:$A$701,P2956)))</f>
        <v/>
      </c>
      <c r="D2956">
        <f>IF(OR(H2956="",P2956=""),"",INDEX('Students'!$B$2:$B$701,P2956))</f>
        <v/>
      </c>
      <c r="E2956">
        <f>IF(OR(H2956="",P2956=""),"",INDEX('Students'!$C$2:$C$701,P2956))</f>
        <v/>
      </c>
      <c r="F2956" s="48">
        <f>IF(H2956="","",IF(ISNUMBER(O2956),O2956,J2956))</f>
        <v/>
      </c>
      <c r="G2956">
        <f>IF(H2956="","","OneCause")</f>
        <v/>
      </c>
      <c r="H2956">
        <f>IF(AND(I2956="",J2956="",K2956=""),"",IF(NOT(ISNUMBER(O2956)),"Bad amount",IF(O2956&lt;0,"Refund (not counted)",IF(O2956=0,"Zero amount",IF(NOT(ISNUMBER(N2956)),"Bad date",IF(P2956="","NAME NOT ON ROSTER",IF(L2956="","OK",IF(MATCH(L2956,$L$2:$L$3001,0)&lt;ROW()-1,"Duplicate (ignored)","OK"))))))))</f>
        <v/>
      </c>
      <c r="I2956">
        <f>IF(OC_Date=0,"",IF(INDEX('OneCause_Paste'!$A$2956:$AZ$2956,1,OC_Date)="","",INDEX('OneCause_Paste'!$A$2956:$AZ$2956,1,OC_Date)))</f>
        <v/>
      </c>
      <c r="J2956">
        <f>IF(OC_Amt=0,"",IF(INDEX('OneCause_Paste'!$A$2956:$AZ$2956,1,OC_Amt)="","",INDEX('OneCause_Paste'!$A$2956:$AZ$2956,1,OC_Amt)))</f>
        <v/>
      </c>
      <c r="K2956">
        <f>IF(OC_Name=0,"",IF(INDEX('OneCause_Paste'!$A$2956:$AZ$2956,1,OC_Name)="","",INDEX('OneCause_Paste'!$A$2956:$AZ$2956,1,OC_Name)))</f>
        <v/>
      </c>
      <c r="L2956">
        <f>IF(OC_Txn=0,"",IF(INDEX('OneCause_Paste'!$A$2956:$AZ$2956,1,OC_Txn)="","",INDEX('OneCause_Paste'!$A$2956:$AZ$2956,1,OC_Txn)))</f>
        <v/>
      </c>
      <c r="M2956">
        <f>IF(OC_Pay=0,"",IF(INDEX('OneCause_Paste'!$A$2956:$AZ$2956,1,OC_Pay)="","",INDEX('OneCause_Paste'!$A$2956:$AZ$2956,1,OC_Pay)))</f>
        <v/>
      </c>
      <c r="N2956">
        <f>IF(I2956="","",IF(ISNUMBER(I2956),INT(I2956),IFERROR(INT(DATEVALUE(I2956)),IFERROR(INT(VALUE(I2956)),"bad"))))</f>
        <v/>
      </c>
      <c r="O2956">
        <f>IF(J2956="","",IF(ISNUMBER(J2956),ROUND(J2956,2),IFERROR(ROUND(VALUE(SUBSTITUTE(SUBSTITUTE(SUBSTITUTE(J2956,"$",""),",","")," ","")),2),"bad")))</f>
        <v/>
      </c>
      <c r="P2956">
        <f>IF(TRIM(K2956)="","",IFERROR(MATCH(LOWER(TRIM(K2956)),'Students'!$AH$2:$AH$701,0),IFERROR(MATCH(LOWER(TRIM(K2956)),'Students'!$AF$2:$AF$701,0),IFERROR(MATCH(LOWER(TRIM(K2956)),'Students'!$AG$2:$AG$701,0),""))))</f>
        <v/>
      </c>
      <c r="R2956">
        <f>IF(P2956="","",INDEX('Students'!$AD$2:$AD$701,P2956))</f>
        <v/>
      </c>
      <c r="S2956">
        <f>IF(H2956="OK",O2956,0)</f>
        <v/>
      </c>
      <c r="T2956">
        <f>IF(H2956="OK",N2956,"")</f>
        <v/>
      </c>
      <c r="U2956">
        <f>IF(OC_Donor=0,"",IF(INDEX('OneCause_Paste'!$A$2956:$AZ$2956,1,OC_Donor)="","",INDEX('OneCause_Paste'!$A$2956:$AZ$2956,1,OC_Donor)))</f>
        <v/>
      </c>
    </row>
    <row r="2957">
      <c r="A2957" s="62">
        <f>IF(H2957="","",IF(ISNUMBER(N2957),N2957,I2957))</f>
        <v/>
      </c>
      <c r="B2957">
        <f>IF(H2957="","",U2957)</f>
        <v/>
      </c>
      <c r="C2957">
        <f>IF(H2957="","",IF(P2957="",K2957,INDEX('Students'!$A$2:$A$701,P2957)))</f>
        <v/>
      </c>
      <c r="D2957">
        <f>IF(OR(H2957="",P2957=""),"",INDEX('Students'!$B$2:$B$701,P2957))</f>
        <v/>
      </c>
      <c r="E2957">
        <f>IF(OR(H2957="",P2957=""),"",INDEX('Students'!$C$2:$C$701,P2957))</f>
        <v/>
      </c>
      <c r="F2957" s="48">
        <f>IF(H2957="","",IF(ISNUMBER(O2957),O2957,J2957))</f>
        <v/>
      </c>
      <c r="G2957">
        <f>IF(H2957="","","OneCause")</f>
        <v/>
      </c>
      <c r="H2957">
        <f>IF(AND(I2957="",J2957="",K2957=""),"",IF(NOT(ISNUMBER(O2957)),"Bad amount",IF(O2957&lt;0,"Refund (not counted)",IF(O2957=0,"Zero amount",IF(NOT(ISNUMBER(N2957)),"Bad date",IF(P2957="","NAME NOT ON ROSTER",IF(L2957="","OK",IF(MATCH(L2957,$L$2:$L$3001,0)&lt;ROW()-1,"Duplicate (ignored)","OK"))))))))</f>
        <v/>
      </c>
      <c r="I2957">
        <f>IF(OC_Date=0,"",IF(INDEX('OneCause_Paste'!$A$2957:$AZ$2957,1,OC_Date)="","",INDEX('OneCause_Paste'!$A$2957:$AZ$2957,1,OC_Date)))</f>
        <v/>
      </c>
      <c r="J2957">
        <f>IF(OC_Amt=0,"",IF(INDEX('OneCause_Paste'!$A$2957:$AZ$2957,1,OC_Amt)="","",INDEX('OneCause_Paste'!$A$2957:$AZ$2957,1,OC_Amt)))</f>
        <v/>
      </c>
      <c r="K2957">
        <f>IF(OC_Name=0,"",IF(INDEX('OneCause_Paste'!$A$2957:$AZ$2957,1,OC_Name)="","",INDEX('OneCause_Paste'!$A$2957:$AZ$2957,1,OC_Name)))</f>
        <v/>
      </c>
      <c r="L2957">
        <f>IF(OC_Txn=0,"",IF(INDEX('OneCause_Paste'!$A$2957:$AZ$2957,1,OC_Txn)="","",INDEX('OneCause_Paste'!$A$2957:$AZ$2957,1,OC_Txn)))</f>
        <v/>
      </c>
      <c r="M2957">
        <f>IF(OC_Pay=0,"",IF(INDEX('OneCause_Paste'!$A$2957:$AZ$2957,1,OC_Pay)="","",INDEX('OneCause_Paste'!$A$2957:$AZ$2957,1,OC_Pay)))</f>
        <v/>
      </c>
      <c r="N2957">
        <f>IF(I2957="","",IF(ISNUMBER(I2957),INT(I2957),IFERROR(INT(DATEVALUE(I2957)),IFERROR(INT(VALUE(I2957)),"bad"))))</f>
        <v/>
      </c>
      <c r="O2957">
        <f>IF(J2957="","",IF(ISNUMBER(J2957),ROUND(J2957,2),IFERROR(ROUND(VALUE(SUBSTITUTE(SUBSTITUTE(SUBSTITUTE(J2957,"$",""),",","")," ","")),2),"bad")))</f>
        <v/>
      </c>
      <c r="P2957">
        <f>IF(TRIM(K2957)="","",IFERROR(MATCH(LOWER(TRIM(K2957)),'Students'!$AH$2:$AH$701,0),IFERROR(MATCH(LOWER(TRIM(K2957)),'Students'!$AF$2:$AF$701,0),IFERROR(MATCH(LOWER(TRIM(K2957)),'Students'!$AG$2:$AG$701,0),""))))</f>
        <v/>
      </c>
      <c r="R2957">
        <f>IF(P2957="","",INDEX('Students'!$AD$2:$AD$701,P2957))</f>
        <v/>
      </c>
      <c r="S2957">
        <f>IF(H2957="OK",O2957,0)</f>
        <v/>
      </c>
      <c r="T2957">
        <f>IF(H2957="OK",N2957,"")</f>
        <v/>
      </c>
      <c r="U2957">
        <f>IF(OC_Donor=0,"",IF(INDEX('OneCause_Paste'!$A$2957:$AZ$2957,1,OC_Donor)="","",INDEX('OneCause_Paste'!$A$2957:$AZ$2957,1,OC_Donor)))</f>
        <v/>
      </c>
    </row>
    <row r="2958">
      <c r="A2958" s="62">
        <f>IF(H2958="","",IF(ISNUMBER(N2958),N2958,I2958))</f>
        <v/>
      </c>
      <c r="B2958">
        <f>IF(H2958="","",U2958)</f>
        <v/>
      </c>
      <c r="C2958">
        <f>IF(H2958="","",IF(P2958="",K2958,INDEX('Students'!$A$2:$A$701,P2958)))</f>
        <v/>
      </c>
      <c r="D2958">
        <f>IF(OR(H2958="",P2958=""),"",INDEX('Students'!$B$2:$B$701,P2958))</f>
        <v/>
      </c>
      <c r="E2958">
        <f>IF(OR(H2958="",P2958=""),"",INDEX('Students'!$C$2:$C$701,P2958))</f>
        <v/>
      </c>
      <c r="F2958" s="48">
        <f>IF(H2958="","",IF(ISNUMBER(O2958),O2958,J2958))</f>
        <v/>
      </c>
      <c r="G2958">
        <f>IF(H2958="","","OneCause")</f>
        <v/>
      </c>
      <c r="H2958">
        <f>IF(AND(I2958="",J2958="",K2958=""),"",IF(NOT(ISNUMBER(O2958)),"Bad amount",IF(O2958&lt;0,"Refund (not counted)",IF(O2958=0,"Zero amount",IF(NOT(ISNUMBER(N2958)),"Bad date",IF(P2958="","NAME NOT ON ROSTER",IF(L2958="","OK",IF(MATCH(L2958,$L$2:$L$3001,0)&lt;ROW()-1,"Duplicate (ignored)","OK"))))))))</f>
        <v/>
      </c>
      <c r="I2958">
        <f>IF(OC_Date=0,"",IF(INDEX('OneCause_Paste'!$A$2958:$AZ$2958,1,OC_Date)="","",INDEX('OneCause_Paste'!$A$2958:$AZ$2958,1,OC_Date)))</f>
        <v/>
      </c>
      <c r="J2958">
        <f>IF(OC_Amt=0,"",IF(INDEX('OneCause_Paste'!$A$2958:$AZ$2958,1,OC_Amt)="","",INDEX('OneCause_Paste'!$A$2958:$AZ$2958,1,OC_Amt)))</f>
        <v/>
      </c>
      <c r="K2958">
        <f>IF(OC_Name=0,"",IF(INDEX('OneCause_Paste'!$A$2958:$AZ$2958,1,OC_Name)="","",INDEX('OneCause_Paste'!$A$2958:$AZ$2958,1,OC_Name)))</f>
        <v/>
      </c>
      <c r="L2958">
        <f>IF(OC_Txn=0,"",IF(INDEX('OneCause_Paste'!$A$2958:$AZ$2958,1,OC_Txn)="","",INDEX('OneCause_Paste'!$A$2958:$AZ$2958,1,OC_Txn)))</f>
        <v/>
      </c>
      <c r="M2958">
        <f>IF(OC_Pay=0,"",IF(INDEX('OneCause_Paste'!$A$2958:$AZ$2958,1,OC_Pay)="","",INDEX('OneCause_Paste'!$A$2958:$AZ$2958,1,OC_Pay)))</f>
        <v/>
      </c>
      <c r="N2958">
        <f>IF(I2958="","",IF(ISNUMBER(I2958),INT(I2958),IFERROR(INT(DATEVALUE(I2958)),IFERROR(INT(VALUE(I2958)),"bad"))))</f>
        <v/>
      </c>
      <c r="O2958">
        <f>IF(J2958="","",IF(ISNUMBER(J2958),ROUND(J2958,2),IFERROR(ROUND(VALUE(SUBSTITUTE(SUBSTITUTE(SUBSTITUTE(J2958,"$",""),",","")," ","")),2),"bad")))</f>
        <v/>
      </c>
      <c r="P2958">
        <f>IF(TRIM(K2958)="","",IFERROR(MATCH(LOWER(TRIM(K2958)),'Students'!$AH$2:$AH$701,0),IFERROR(MATCH(LOWER(TRIM(K2958)),'Students'!$AF$2:$AF$701,0),IFERROR(MATCH(LOWER(TRIM(K2958)),'Students'!$AG$2:$AG$701,0),""))))</f>
        <v/>
      </c>
      <c r="R2958">
        <f>IF(P2958="","",INDEX('Students'!$AD$2:$AD$701,P2958))</f>
        <v/>
      </c>
      <c r="S2958">
        <f>IF(H2958="OK",O2958,0)</f>
        <v/>
      </c>
      <c r="T2958">
        <f>IF(H2958="OK",N2958,"")</f>
        <v/>
      </c>
      <c r="U2958">
        <f>IF(OC_Donor=0,"",IF(INDEX('OneCause_Paste'!$A$2958:$AZ$2958,1,OC_Donor)="","",INDEX('OneCause_Paste'!$A$2958:$AZ$2958,1,OC_Donor)))</f>
        <v/>
      </c>
    </row>
    <row r="2959">
      <c r="A2959" s="62">
        <f>IF(H2959="","",IF(ISNUMBER(N2959),N2959,I2959))</f>
        <v/>
      </c>
      <c r="B2959">
        <f>IF(H2959="","",U2959)</f>
        <v/>
      </c>
      <c r="C2959">
        <f>IF(H2959="","",IF(P2959="",K2959,INDEX('Students'!$A$2:$A$701,P2959)))</f>
        <v/>
      </c>
      <c r="D2959">
        <f>IF(OR(H2959="",P2959=""),"",INDEX('Students'!$B$2:$B$701,P2959))</f>
        <v/>
      </c>
      <c r="E2959">
        <f>IF(OR(H2959="",P2959=""),"",INDEX('Students'!$C$2:$C$701,P2959))</f>
        <v/>
      </c>
      <c r="F2959" s="48">
        <f>IF(H2959="","",IF(ISNUMBER(O2959),O2959,J2959))</f>
        <v/>
      </c>
      <c r="G2959">
        <f>IF(H2959="","","OneCause")</f>
        <v/>
      </c>
      <c r="H2959">
        <f>IF(AND(I2959="",J2959="",K2959=""),"",IF(NOT(ISNUMBER(O2959)),"Bad amount",IF(O2959&lt;0,"Refund (not counted)",IF(O2959=0,"Zero amount",IF(NOT(ISNUMBER(N2959)),"Bad date",IF(P2959="","NAME NOT ON ROSTER",IF(L2959="","OK",IF(MATCH(L2959,$L$2:$L$3001,0)&lt;ROW()-1,"Duplicate (ignored)","OK"))))))))</f>
        <v/>
      </c>
      <c r="I2959">
        <f>IF(OC_Date=0,"",IF(INDEX('OneCause_Paste'!$A$2959:$AZ$2959,1,OC_Date)="","",INDEX('OneCause_Paste'!$A$2959:$AZ$2959,1,OC_Date)))</f>
        <v/>
      </c>
      <c r="J2959">
        <f>IF(OC_Amt=0,"",IF(INDEX('OneCause_Paste'!$A$2959:$AZ$2959,1,OC_Amt)="","",INDEX('OneCause_Paste'!$A$2959:$AZ$2959,1,OC_Amt)))</f>
        <v/>
      </c>
      <c r="K2959">
        <f>IF(OC_Name=0,"",IF(INDEX('OneCause_Paste'!$A$2959:$AZ$2959,1,OC_Name)="","",INDEX('OneCause_Paste'!$A$2959:$AZ$2959,1,OC_Name)))</f>
        <v/>
      </c>
      <c r="L2959">
        <f>IF(OC_Txn=0,"",IF(INDEX('OneCause_Paste'!$A$2959:$AZ$2959,1,OC_Txn)="","",INDEX('OneCause_Paste'!$A$2959:$AZ$2959,1,OC_Txn)))</f>
        <v/>
      </c>
      <c r="M2959">
        <f>IF(OC_Pay=0,"",IF(INDEX('OneCause_Paste'!$A$2959:$AZ$2959,1,OC_Pay)="","",INDEX('OneCause_Paste'!$A$2959:$AZ$2959,1,OC_Pay)))</f>
        <v/>
      </c>
      <c r="N2959">
        <f>IF(I2959="","",IF(ISNUMBER(I2959),INT(I2959),IFERROR(INT(DATEVALUE(I2959)),IFERROR(INT(VALUE(I2959)),"bad"))))</f>
        <v/>
      </c>
      <c r="O2959">
        <f>IF(J2959="","",IF(ISNUMBER(J2959),ROUND(J2959,2),IFERROR(ROUND(VALUE(SUBSTITUTE(SUBSTITUTE(SUBSTITUTE(J2959,"$",""),",","")," ","")),2),"bad")))</f>
        <v/>
      </c>
      <c r="P2959">
        <f>IF(TRIM(K2959)="","",IFERROR(MATCH(LOWER(TRIM(K2959)),'Students'!$AH$2:$AH$701,0),IFERROR(MATCH(LOWER(TRIM(K2959)),'Students'!$AF$2:$AF$701,0),IFERROR(MATCH(LOWER(TRIM(K2959)),'Students'!$AG$2:$AG$701,0),""))))</f>
        <v/>
      </c>
      <c r="R2959">
        <f>IF(P2959="","",INDEX('Students'!$AD$2:$AD$701,P2959))</f>
        <v/>
      </c>
      <c r="S2959">
        <f>IF(H2959="OK",O2959,0)</f>
        <v/>
      </c>
      <c r="T2959">
        <f>IF(H2959="OK",N2959,"")</f>
        <v/>
      </c>
      <c r="U2959">
        <f>IF(OC_Donor=0,"",IF(INDEX('OneCause_Paste'!$A$2959:$AZ$2959,1,OC_Donor)="","",INDEX('OneCause_Paste'!$A$2959:$AZ$2959,1,OC_Donor)))</f>
        <v/>
      </c>
    </row>
    <row r="2960">
      <c r="A2960" s="62">
        <f>IF(H2960="","",IF(ISNUMBER(N2960),N2960,I2960))</f>
        <v/>
      </c>
      <c r="B2960">
        <f>IF(H2960="","",U2960)</f>
        <v/>
      </c>
      <c r="C2960">
        <f>IF(H2960="","",IF(P2960="",K2960,INDEX('Students'!$A$2:$A$701,P2960)))</f>
        <v/>
      </c>
      <c r="D2960">
        <f>IF(OR(H2960="",P2960=""),"",INDEX('Students'!$B$2:$B$701,P2960))</f>
        <v/>
      </c>
      <c r="E2960">
        <f>IF(OR(H2960="",P2960=""),"",INDEX('Students'!$C$2:$C$701,P2960))</f>
        <v/>
      </c>
      <c r="F2960" s="48">
        <f>IF(H2960="","",IF(ISNUMBER(O2960),O2960,J2960))</f>
        <v/>
      </c>
      <c r="G2960">
        <f>IF(H2960="","","OneCause")</f>
        <v/>
      </c>
      <c r="H2960">
        <f>IF(AND(I2960="",J2960="",K2960=""),"",IF(NOT(ISNUMBER(O2960)),"Bad amount",IF(O2960&lt;0,"Refund (not counted)",IF(O2960=0,"Zero amount",IF(NOT(ISNUMBER(N2960)),"Bad date",IF(P2960="","NAME NOT ON ROSTER",IF(L2960="","OK",IF(MATCH(L2960,$L$2:$L$3001,0)&lt;ROW()-1,"Duplicate (ignored)","OK"))))))))</f>
        <v/>
      </c>
      <c r="I2960">
        <f>IF(OC_Date=0,"",IF(INDEX('OneCause_Paste'!$A$2960:$AZ$2960,1,OC_Date)="","",INDEX('OneCause_Paste'!$A$2960:$AZ$2960,1,OC_Date)))</f>
        <v/>
      </c>
      <c r="J2960">
        <f>IF(OC_Amt=0,"",IF(INDEX('OneCause_Paste'!$A$2960:$AZ$2960,1,OC_Amt)="","",INDEX('OneCause_Paste'!$A$2960:$AZ$2960,1,OC_Amt)))</f>
        <v/>
      </c>
      <c r="K2960">
        <f>IF(OC_Name=0,"",IF(INDEX('OneCause_Paste'!$A$2960:$AZ$2960,1,OC_Name)="","",INDEX('OneCause_Paste'!$A$2960:$AZ$2960,1,OC_Name)))</f>
        <v/>
      </c>
      <c r="L2960">
        <f>IF(OC_Txn=0,"",IF(INDEX('OneCause_Paste'!$A$2960:$AZ$2960,1,OC_Txn)="","",INDEX('OneCause_Paste'!$A$2960:$AZ$2960,1,OC_Txn)))</f>
        <v/>
      </c>
      <c r="M2960">
        <f>IF(OC_Pay=0,"",IF(INDEX('OneCause_Paste'!$A$2960:$AZ$2960,1,OC_Pay)="","",INDEX('OneCause_Paste'!$A$2960:$AZ$2960,1,OC_Pay)))</f>
        <v/>
      </c>
      <c r="N2960">
        <f>IF(I2960="","",IF(ISNUMBER(I2960),INT(I2960),IFERROR(INT(DATEVALUE(I2960)),IFERROR(INT(VALUE(I2960)),"bad"))))</f>
        <v/>
      </c>
      <c r="O2960">
        <f>IF(J2960="","",IF(ISNUMBER(J2960),ROUND(J2960,2),IFERROR(ROUND(VALUE(SUBSTITUTE(SUBSTITUTE(SUBSTITUTE(J2960,"$",""),",","")," ","")),2),"bad")))</f>
        <v/>
      </c>
      <c r="P2960">
        <f>IF(TRIM(K2960)="","",IFERROR(MATCH(LOWER(TRIM(K2960)),'Students'!$AH$2:$AH$701,0),IFERROR(MATCH(LOWER(TRIM(K2960)),'Students'!$AF$2:$AF$701,0),IFERROR(MATCH(LOWER(TRIM(K2960)),'Students'!$AG$2:$AG$701,0),""))))</f>
        <v/>
      </c>
      <c r="R2960">
        <f>IF(P2960="","",INDEX('Students'!$AD$2:$AD$701,P2960))</f>
        <v/>
      </c>
      <c r="S2960">
        <f>IF(H2960="OK",O2960,0)</f>
        <v/>
      </c>
      <c r="T2960">
        <f>IF(H2960="OK",N2960,"")</f>
        <v/>
      </c>
      <c r="U2960">
        <f>IF(OC_Donor=0,"",IF(INDEX('OneCause_Paste'!$A$2960:$AZ$2960,1,OC_Donor)="","",INDEX('OneCause_Paste'!$A$2960:$AZ$2960,1,OC_Donor)))</f>
        <v/>
      </c>
    </row>
    <row r="2961">
      <c r="A2961" s="62">
        <f>IF(H2961="","",IF(ISNUMBER(N2961),N2961,I2961))</f>
        <v/>
      </c>
      <c r="B2961">
        <f>IF(H2961="","",U2961)</f>
        <v/>
      </c>
      <c r="C2961">
        <f>IF(H2961="","",IF(P2961="",K2961,INDEX('Students'!$A$2:$A$701,P2961)))</f>
        <v/>
      </c>
      <c r="D2961">
        <f>IF(OR(H2961="",P2961=""),"",INDEX('Students'!$B$2:$B$701,P2961))</f>
        <v/>
      </c>
      <c r="E2961">
        <f>IF(OR(H2961="",P2961=""),"",INDEX('Students'!$C$2:$C$701,P2961))</f>
        <v/>
      </c>
      <c r="F2961" s="48">
        <f>IF(H2961="","",IF(ISNUMBER(O2961),O2961,J2961))</f>
        <v/>
      </c>
      <c r="G2961">
        <f>IF(H2961="","","OneCause")</f>
        <v/>
      </c>
      <c r="H2961">
        <f>IF(AND(I2961="",J2961="",K2961=""),"",IF(NOT(ISNUMBER(O2961)),"Bad amount",IF(O2961&lt;0,"Refund (not counted)",IF(O2961=0,"Zero amount",IF(NOT(ISNUMBER(N2961)),"Bad date",IF(P2961="","NAME NOT ON ROSTER",IF(L2961="","OK",IF(MATCH(L2961,$L$2:$L$3001,0)&lt;ROW()-1,"Duplicate (ignored)","OK"))))))))</f>
        <v/>
      </c>
      <c r="I2961">
        <f>IF(OC_Date=0,"",IF(INDEX('OneCause_Paste'!$A$2961:$AZ$2961,1,OC_Date)="","",INDEX('OneCause_Paste'!$A$2961:$AZ$2961,1,OC_Date)))</f>
        <v/>
      </c>
      <c r="J2961">
        <f>IF(OC_Amt=0,"",IF(INDEX('OneCause_Paste'!$A$2961:$AZ$2961,1,OC_Amt)="","",INDEX('OneCause_Paste'!$A$2961:$AZ$2961,1,OC_Amt)))</f>
        <v/>
      </c>
      <c r="K2961">
        <f>IF(OC_Name=0,"",IF(INDEX('OneCause_Paste'!$A$2961:$AZ$2961,1,OC_Name)="","",INDEX('OneCause_Paste'!$A$2961:$AZ$2961,1,OC_Name)))</f>
        <v/>
      </c>
      <c r="L2961">
        <f>IF(OC_Txn=0,"",IF(INDEX('OneCause_Paste'!$A$2961:$AZ$2961,1,OC_Txn)="","",INDEX('OneCause_Paste'!$A$2961:$AZ$2961,1,OC_Txn)))</f>
        <v/>
      </c>
      <c r="M2961">
        <f>IF(OC_Pay=0,"",IF(INDEX('OneCause_Paste'!$A$2961:$AZ$2961,1,OC_Pay)="","",INDEX('OneCause_Paste'!$A$2961:$AZ$2961,1,OC_Pay)))</f>
        <v/>
      </c>
      <c r="N2961">
        <f>IF(I2961="","",IF(ISNUMBER(I2961),INT(I2961),IFERROR(INT(DATEVALUE(I2961)),IFERROR(INT(VALUE(I2961)),"bad"))))</f>
        <v/>
      </c>
      <c r="O2961">
        <f>IF(J2961="","",IF(ISNUMBER(J2961),ROUND(J2961,2),IFERROR(ROUND(VALUE(SUBSTITUTE(SUBSTITUTE(SUBSTITUTE(J2961,"$",""),",","")," ","")),2),"bad")))</f>
        <v/>
      </c>
      <c r="P2961">
        <f>IF(TRIM(K2961)="","",IFERROR(MATCH(LOWER(TRIM(K2961)),'Students'!$AH$2:$AH$701,0),IFERROR(MATCH(LOWER(TRIM(K2961)),'Students'!$AF$2:$AF$701,0),IFERROR(MATCH(LOWER(TRIM(K2961)),'Students'!$AG$2:$AG$701,0),""))))</f>
        <v/>
      </c>
      <c r="R2961">
        <f>IF(P2961="","",INDEX('Students'!$AD$2:$AD$701,P2961))</f>
        <v/>
      </c>
      <c r="S2961">
        <f>IF(H2961="OK",O2961,0)</f>
        <v/>
      </c>
      <c r="T2961">
        <f>IF(H2961="OK",N2961,"")</f>
        <v/>
      </c>
      <c r="U2961">
        <f>IF(OC_Donor=0,"",IF(INDEX('OneCause_Paste'!$A$2961:$AZ$2961,1,OC_Donor)="","",INDEX('OneCause_Paste'!$A$2961:$AZ$2961,1,OC_Donor)))</f>
        <v/>
      </c>
    </row>
    <row r="2962">
      <c r="A2962" s="62">
        <f>IF(H2962="","",IF(ISNUMBER(N2962),N2962,I2962))</f>
        <v/>
      </c>
      <c r="B2962">
        <f>IF(H2962="","",U2962)</f>
        <v/>
      </c>
      <c r="C2962">
        <f>IF(H2962="","",IF(P2962="",K2962,INDEX('Students'!$A$2:$A$701,P2962)))</f>
        <v/>
      </c>
      <c r="D2962">
        <f>IF(OR(H2962="",P2962=""),"",INDEX('Students'!$B$2:$B$701,P2962))</f>
        <v/>
      </c>
      <c r="E2962">
        <f>IF(OR(H2962="",P2962=""),"",INDEX('Students'!$C$2:$C$701,P2962))</f>
        <v/>
      </c>
      <c r="F2962" s="48">
        <f>IF(H2962="","",IF(ISNUMBER(O2962),O2962,J2962))</f>
        <v/>
      </c>
      <c r="G2962">
        <f>IF(H2962="","","OneCause")</f>
        <v/>
      </c>
      <c r="H2962">
        <f>IF(AND(I2962="",J2962="",K2962=""),"",IF(NOT(ISNUMBER(O2962)),"Bad amount",IF(O2962&lt;0,"Refund (not counted)",IF(O2962=0,"Zero amount",IF(NOT(ISNUMBER(N2962)),"Bad date",IF(P2962="","NAME NOT ON ROSTER",IF(L2962="","OK",IF(MATCH(L2962,$L$2:$L$3001,0)&lt;ROW()-1,"Duplicate (ignored)","OK"))))))))</f>
        <v/>
      </c>
      <c r="I2962">
        <f>IF(OC_Date=0,"",IF(INDEX('OneCause_Paste'!$A$2962:$AZ$2962,1,OC_Date)="","",INDEX('OneCause_Paste'!$A$2962:$AZ$2962,1,OC_Date)))</f>
        <v/>
      </c>
      <c r="J2962">
        <f>IF(OC_Amt=0,"",IF(INDEX('OneCause_Paste'!$A$2962:$AZ$2962,1,OC_Amt)="","",INDEX('OneCause_Paste'!$A$2962:$AZ$2962,1,OC_Amt)))</f>
        <v/>
      </c>
      <c r="K2962">
        <f>IF(OC_Name=0,"",IF(INDEX('OneCause_Paste'!$A$2962:$AZ$2962,1,OC_Name)="","",INDEX('OneCause_Paste'!$A$2962:$AZ$2962,1,OC_Name)))</f>
        <v/>
      </c>
      <c r="L2962">
        <f>IF(OC_Txn=0,"",IF(INDEX('OneCause_Paste'!$A$2962:$AZ$2962,1,OC_Txn)="","",INDEX('OneCause_Paste'!$A$2962:$AZ$2962,1,OC_Txn)))</f>
        <v/>
      </c>
      <c r="M2962">
        <f>IF(OC_Pay=0,"",IF(INDEX('OneCause_Paste'!$A$2962:$AZ$2962,1,OC_Pay)="","",INDEX('OneCause_Paste'!$A$2962:$AZ$2962,1,OC_Pay)))</f>
        <v/>
      </c>
      <c r="N2962">
        <f>IF(I2962="","",IF(ISNUMBER(I2962),INT(I2962),IFERROR(INT(DATEVALUE(I2962)),IFERROR(INT(VALUE(I2962)),"bad"))))</f>
        <v/>
      </c>
      <c r="O2962">
        <f>IF(J2962="","",IF(ISNUMBER(J2962),ROUND(J2962,2),IFERROR(ROUND(VALUE(SUBSTITUTE(SUBSTITUTE(SUBSTITUTE(J2962,"$",""),",","")," ","")),2),"bad")))</f>
        <v/>
      </c>
      <c r="P2962">
        <f>IF(TRIM(K2962)="","",IFERROR(MATCH(LOWER(TRIM(K2962)),'Students'!$AH$2:$AH$701,0),IFERROR(MATCH(LOWER(TRIM(K2962)),'Students'!$AF$2:$AF$701,0),IFERROR(MATCH(LOWER(TRIM(K2962)),'Students'!$AG$2:$AG$701,0),""))))</f>
        <v/>
      </c>
      <c r="R2962">
        <f>IF(P2962="","",INDEX('Students'!$AD$2:$AD$701,P2962))</f>
        <v/>
      </c>
      <c r="S2962">
        <f>IF(H2962="OK",O2962,0)</f>
        <v/>
      </c>
      <c r="T2962">
        <f>IF(H2962="OK",N2962,"")</f>
        <v/>
      </c>
      <c r="U2962">
        <f>IF(OC_Donor=0,"",IF(INDEX('OneCause_Paste'!$A$2962:$AZ$2962,1,OC_Donor)="","",INDEX('OneCause_Paste'!$A$2962:$AZ$2962,1,OC_Donor)))</f>
        <v/>
      </c>
    </row>
    <row r="2963">
      <c r="A2963" s="62">
        <f>IF(H2963="","",IF(ISNUMBER(N2963),N2963,I2963))</f>
        <v/>
      </c>
      <c r="B2963">
        <f>IF(H2963="","",U2963)</f>
        <v/>
      </c>
      <c r="C2963">
        <f>IF(H2963="","",IF(P2963="",K2963,INDEX('Students'!$A$2:$A$701,P2963)))</f>
        <v/>
      </c>
      <c r="D2963">
        <f>IF(OR(H2963="",P2963=""),"",INDEX('Students'!$B$2:$B$701,P2963))</f>
        <v/>
      </c>
      <c r="E2963">
        <f>IF(OR(H2963="",P2963=""),"",INDEX('Students'!$C$2:$C$701,P2963))</f>
        <v/>
      </c>
      <c r="F2963" s="48">
        <f>IF(H2963="","",IF(ISNUMBER(O2963),O2963,J2963))</f>
        <v/>
      </c>
      <c r="G2963">
        <f>IF(H2963="","","OneCause")</f>
        <v/>
      </c>
      <c r="H2963">
        <f>IF(AND(I2963="",J2963="",K2963=""),"",IF(NOT(ISNUMBER(O2963)),"Bad amount",IF(O2963&lt;0,"Refund (not counted)",IF(O2963=0,"Zero amount",IF(NOT(ISNUMBER(N2963)),"Bad date",IF(P2963="","NAME NOT ON ROSTER",IF(L2963="","OK",IF(MATCH(L2963,$L$2:$L$3001,0)&lt;ROW()-1,"Duplicate (ignored)","OK"))))))))</f>
        <v/>
      </c>
      <c r="I2963">
        <f>IF(OC_Date=0,"",IF(INDEX('OneCause_Paste'!$A$2963:$AZ$2963,1,OC_Date)="","",INDEX('OneCause_Paste'!$A$2963:$AZ$2963,1,OC_Date)))</f>
        <v/>
      </c>
      <c r="J2963">
        <f>IF(OC_Amt=0,"",IF(INDEX('OneCause_Paste'!$A$2963:$AZ$2963,1,OC_Amt)="","",INDEX('OneCause_Paste'!$A$2963:$AZ$2963,1,OC_Amt)))</f>
        <v/>
      </c>
      <c r="K2963">
        <f>IF(OC_Name=0,"",IF(INDEX('OneCause_Paste'!$A$2963:$AZ$2963,1,OC_Name)="","",INDEX('OneCause_Paste'!$A$2963:$AZ$2963,1,OC_Name)))</f>
        <v/>
      </c>
      <c r="L2963">
        <f>IF(OC_Txn=0,"",IF(INDEX('OneCause_Paste'!$A$2963:$AZ$2963,1,OC_Txn)="","",INDEX('OneCause_Paste'!$A$2963:$AZ$2963,1,OC_Txn)))</f>
        <v/>
      </c>
      <c r="M2963">
        <f>IF(OC_Pay=0,"",IF(INDEX('OneCause_Paste'!$A$2963:$AZ$2963,1,OC_Pay)="","",INDEX('OneCause_Paste'!$A$2963:$AZ$2963,1,OC_Pay)))</f>
        <v/>
      </c>
      <c r="N2963">
        <f>IF(I2963="","",IF(ISNUMBER(I2963),INT(I2963),IFERROR(INT(DATEVALUE(I2963)),IFERROR(INT(VALUE(I2963)),"bad"))))</f>
        <v/>
      </c>
      <c r="O2963">
        <f>IF(J2963="","",IF(ISNUMBER(J2963),ROUND(J2963,2),IFERROR(ROUND(VALUE(SUBSTITUTE(SUBSTITUTE(SUBSTITUTE(J2963,"$",""),",","")," ","")),2),"bad")))</f>
        <v/>
      </c>
      <c r="P2963">
        <f>IF(TRIM(K2963)="","",IFERROR(MATCH(LOWER(TRIM(K2963)),'Students'!$AH$2:$AH$701,0),IFERROR(MATCH(LOWER(TRIM(K2963)),'Students'!$AF$2:$AF$701,0),IFERROR(MATCH(LOWER(TRIM(K2963)),'Students'!$AG$2:$AG$701,0),""))))</f>
        <v/>
      </c>
      <c r="R2963">
        <f>IF(P2963="","",INDEX('Students'!$AD$2:$AD$701,P2963))</f>
        <v/>
      </c>
      <c r="S2963">
        <f>IF(H2963="OK",O2963,0)</f>
        <v/>
      </c>
      <c r="T2963">
        <f>IF(H2963="OK",N2963,"")</f>
        <v/>
      </c>
      <c r="U2963">
        <f>IF(OC_Donor=0,"",IF(INDEX('OneCause_Paste'!$A$2963:$AZ$2963,1,OC_Donor)="","",INDEX('OneCause_Paste'!$A$2963:$AZ$2963,1,OC_Donor)))</f>
        <v/>
      </c>
    </row>
    <row r="2964">
      <c r="A2964" s="62">
        <f>IF(H2964="","",IF(ISNUMBER(N2964),N2964,I2964))</f>
        <v/>
      </c>
      <c r="B2964">
        <f>IF(H2964="","",U2964)</f>
        <v/>
      </c>
      <c r="C2964">
        <f>IF(H2964="","",IF(P2964="",K2964,INDEX('Students'!$A$2:$A$701,P2964)))</f>
        <v/>
      </c>
      <c r="D2964">
        <f>IF(OR(H2964="",P2964=""),"",INDEX('Students'!$B$2:$B$701,P2964))</f>
        <v/>
      </c>
      <c r="E2964">
        <f>IF(OR(H2964="",P2964=""),"",INDEX('Students'!$C$2:$C$701,P2964))</f>
        <v/>
      </c>
      <c r="F2964" s="48">
        <f>IF(H2964="","",IF(ISNUMBER(O2964),O2964,J2964))</f>
        <v/>
      </c>
      <c r="G2964">
        <f>IF(H2964="","","OneCause")</f>
        <v/>
      </c>
      <c r="H2964">
        <f>IF(AND(I2964="",J2964="",K2964=""),"",IF(NOT(ISNUMBER(O2964)),"Bad amount",IF(O2964&lt;0,"Refund (not counted)",IF(O2964=0,"Zero amount",IF(NOT(ISNUMBER(N2964)),"Bad date",IF(P2964="","NAME NOT ON ROSTER",IF(L2964="","OK",IF(MATCH(L2964,$L$2:$L$3001,0)&lt;ROW()-1,"Duplicate (ignored)","OK"))))))))</f>
        <v/>
      </c>
      <c r="I2964">
        <f>IF(OC_Date=0,"",IF(INDEX('OneCause_Paste'!$A$2964:$AZ$2964,1,OC_Date)="","",INDEX('OneCause_Paste'!$A$2964:$AZ$2964,1,OC_Date)))</f>
        <v/>
      </c>
      <c r="J2964">
        <f>IF(OC_Amt=0,"",IF(INDEX('OneCause_Paste'!$A$2964:$AZ$2964,1,OC_Amt)="","",INDEX('OneCause_Paste'!$A$2964:$AZ$2964,1,OC_Amt)))</f>
        <v/>
      </c>
      <c r="K2964">
        <f>IF(OC_Name=0,"",IF(INDEX('OneCause_Paste'!$A$2964:$AZ$2964,1,OC_Name)="","",INDEX('OneCause_Paste'!$A$2964:$AZ$2964,1,OC_Name)))</f>
        <v/>
      </c>
      <c r="L2964">
        <f>IF(OC_Txn=0,"",IF(INDEX('OneCause_Paste'!$A$2964:$AZ$2964,1,OC_Txn)="","",INDEX('OneCause_Paste'!$A$2964:$AZ$2964,1,OC_Txn)))</f>
        <v/>
      </c>
      <c r="M2964">
        <f>IF(OC_Pay=0,"",IF(INDEX('OneCause_Paste'!$A$2964:$AZ$2964,1,OC_Pay)="","",INDEX('OneCause_Paste'!$A$2964:$AZ$2964,1,OC_Pay)))</f>
        <v/>
      </c>
      <c r="N2964">
        <f>IF(I2964="","",IF(ISNUMBER(I2964),INT(I2964),IFERROR(INT(DATEVALUE(I2964)),IFERROR(INT(VALUE(I2964)),"bad"))))</f>
        <v/>
      </c>
      <c r="O2964">
        <f>IF(J2964="","",IF(ISNUMBER(J2964),ROUND(J2964,2),IFERROR(ROUND(VALUE(SUBSTITUTE(SUBSTITUTE(SUBSTITUTE(J2964,"$",""),",","")," ","")),2),"bad")))</f>
        <v/>
      </c>
      <c r="P2964">
        <f>IF(TRIM(K2964)="","",IFERROR(MATCH(LOWER(TRIM(K2964)),'Students'!$AH$2:$AH$701,0),IFERROR(MATCH(LOWER(TRIM(K2964)),'Students'!$AF$2:$AF$701,0),IFERROR(MATCH(LOWER(TRIM(K2964)),'Students'!$AG$2:$AG$701,0),""))))</f>
        <v/>
      </c>
      <c r="R2964">
        <f>IF(P2964="","",INDEX('Students'!$AD$2:$AD$701,P2964))</f>
        <v/>
      </c>
      <c r="S2964">
        <f>IF(H2964="OK",O2964,0)</f>
        <v/>
      </c>
      <c r="T2964">
        <f>IF(H2964="OK",N2964,"")</f>
        <v/>
      </c>
      <c r="U2964">
        <f>IF(OC_Donor=0,"",IF(INDEX('OneCause_Paste'!$A$2964:$AZ$2964,1,OC_Donor)="","",INDEX('OneCause_Paste'!$A$2964:$AZ$2964,1,OC_Donor)))</f>
        <v/>
      </c>
    </row>
    <row r="2965">
      <c r="A2965" s="62">
        <f>IF(H2965="","",IF(ISNUMBER(N2965),N2965,I2965))</f>
        <v/>
      </c>
      <c r="B2965">
        <f>IF(H2965="","",U2965)</f>
        <v/>
      </c>
      <c r="C2965">
        <f>IF(H2965="","",IF(P2965="",K2965,INDEX('Students'!$A$2:$A$701,P2965)))</f>
        <v/>
      </c>
      <c r="D2965">
        <f>IF(OR(H2965="",P2965=""),"",INDEX('Students'!$B$2:$B$701,P2965))</f>
        <v/>
      </c>
      <c r="E2965">
        <f>IF(OR(H2965="",P2965=""),"",INDEX('Students'!$C$2:$C$701,P2965))</f>
        <v/>
      </c>
      <c r="F2965" s="48">
        <f>IF(H2965="","",IF(ISNUMBER(O2965),O2965,J2965))</f>
        <v/>
      </c>
      <c r="G2965">
        <f>IF(H2965="","","OneCause")</f>
        <v/>
      </c>
      <c r="H2965">
        <f>IF(AND(I2965="",J2965="",K2965=""),"",IF(NOT(ISNUMBER(O2965)),"Bad amount",IF(O2965&lt;0,"Refund (not counted)",IF(O2965=0,"Zero amount",IF(NOT(ISNUMBER(N2965)),"Bad date",IF(P2965="","NAME NOT ON ROSTER",IF(L2965="","OK",IF(MATCH(L2965,$L$2:$L$3001,0)&lt;ROW()-1,"Duplicate (ignored)","OK"))))))))</f>
        <v/>
      </c>
      <c r="I2965">
        <f>IF(OC_Date=0,"",IF(INDEX('OneCause_Paste'!$A$2965:$AZ$2965,1,OC_Date)="","",INDEX('OneCause_Paste'!$A$2965:$AZ$2965,1,OC_Date)))</f>
        <v/>
      </c>
      <c r="J2965">
        <f>IF(OC_Amt=0,"",IF(INDEX('OneCause_Paste'!$A$2965:$AZ$2965,1,OC_Amt)="","",INDEX('OneCause_Paste'!$A$2965:$AZ$2965,1,OC_Amt)))</f>
        <v/>
      </c>
      <c r="K2965">
        <f>IF(OC_Name=0,"",IF(INDEX('OneCause_Paste'!$A$2965:$AZ$2965,1,OC_Name)="","",INDEX('OneCause_Paste'!$A$2965:$AZ$2965,1,OC_Name)))</f>
        <v/>
      </c>
      <c r="L2965">
        <f>IF(OC_Txn=0,"",IF(INDEX('OneCause_Paste'!$A$2965:$AZ$2965,1,OC_Txn)="","",INDEX('OneCause_Paste'!$A$2965:$AZ$2965,1,OC_Txn)))</f>
        <v/>
      </c>
      <c r="M2965">
        <f>IF(OC_Pay=0,"",IF(INDEX('OneCause_Paste'!$A$2965:$AZ$2965,1,OC_Pay)="","",INDEX('OneCause_Paste'!$A$2965:$AZ$2965,1,OC_Pay)))</f>
        <v/>
      </c>
      <c r="N2965">
        <f>IF(I2965="","",IF(ISNUMBER(I2965),INT(I2965),IFERROR(INT(DATEVALUE(I2965)),IFERROR(INT(VALUE(I2965)),"bad"))))</f>
        <v/>
      </c>
      <c r="O2965">
        <f>IF(J2965="","",IF(ISNUMBER(J2965),ROUND(J2965,2),IFERROR(ROUND(VALUE(SUBSTITUTE(SUBSTITUTE(SUBSTITUTE(J2965,"$",""),",","")," ","")),2),"bad")))</f>
        <v/>
      </c>
      <c r="P2965">
        <f>IF(TRIM(K2965)="","",IFERROR(MATCH(LOWER(TRIM(K2965)),'Students'!$AH$2:$AH$701,0),IFERROR(MATCH(LOWER(TRIM(K2965)),'Students'!$AF$2:$AF$701,0),IFERROR(MATCH(LOWER(TRIM(K2965)),'Students'!$AG$2:$AG$701,0),""))))</f>
        <v/>
      </c>
      <c r="R2965">
        <f>IF(P2965="","",INDEX('Students'!$AD$2:$AD$701,P2965))</f>
        <v/>
      </c>
      <c r="S2965">
        <f>IF(H2965="OK",O2965,0)</f>
        <v/>
      </c>
      <c r="T2965">
        <f>IF(H2965="OK",N2965,"")</f>
        <v/>
      </c>
      <c r="U2965">
        <f>IF(OC_Donor=0,"",IF(INDEX('OneCause_Paste'!$A$2965:$AZ$2965,1,OC_Donor)="","",INDEX('OneCause_Paste'!$A$2965:$AZ$2965,1,OC_Donor)))</f>
        <v/>
      </c>
    </row>
    <row r="2966">
      <c r="A2966" s="62">
        <f>IF(H2966="","",IF(ISNUMBER(N2966),N2966,I2966))</f>
        <v/>
      </c>
      <c r="B2966">
        <f>IF(H2966="","",U2966)</f>
        <v/>
      </c>
      <c r="C2966">
        <f>IF(H2966="","",IF(P2966="",K2966,INDEX('Students'!$A$2:$A$701,P2966)))</f>
        <v/>
      </c>
      <c r="D2966">
        <f>IF(OR(H2966="",P2966=""),"",INDEX('Students'!$B$2:$B$701,P2966))</f>
        <v/>
      </c>
      <c r="E2966">
        <f>IF(OR(H2966="",P2966=""),"",INDEX('Students'!$C$2:$C$701,P2966))</f>
        <v/>
      </c>
      <c r="F2966" s="48">
        <f>IF(H2966="","",IF(ISNUMBER(O2966),O2966,J2966))</f>
        <v/>
      </c>
      <c r="G2966">
        <f>IF(H2966="","","OneCause")</f>
        <v/>
      </c>
      <c r="H2966">
        <f>IF(AND(I2966="",J2966="",K2966=""),"",IF(NOT(ISNUMBER(O2966)),"Bad amount",IF(O2966&lt;0,"Refund (not counted)",IF(O2966=0,"Zero amount",IF(NOT(ISNUMBER(N2966)),"Bad date",IF(P2966="","NAME NOT ON ROSTER",IF(L2966="","OK",IF(MATCH(L2966,$L$2:$L$3001,0)&lt;ROW()-1,"Duplicate (ignored)","OK"))))))))</f>
        <v/>
      </c>
      <c r="I2966">
        <f>IF(OC_Date=0,"",IF(INDEX('OneCause_Paste'!$A$2966:$AZ$2966,1,OC_Date)="","",INDEX('OneCause_Paste'!$A$2966:$AZ$2966,1,OC_Date)))</f>
        <v/>
      </c>
      <c r="J2966">
        <f>IF(OC_Amt=0,"",IF(INDEX('OneCause_Paste'!$A$2966:$AZ$2966,1,OC_Amt)="","",INDEX('OneCause_Paste'!$A$2966:$AZ$2966,1,OC_Amt)))</f>
        <v/>
      </c>
      <c r="K2966">
        <f>IF(OC_Name=0,"",IF(INDEX('OneCause_Paste'!$A$2966:$AZ$2966,1,OC_Name)="","",INDEX('OneCause_Paste'!$A$2966:$AZ$2966,1,OC_Name)))</f>
        <v/>
      </c>
      <c r="L2966">
        <f>IF(OC_Txn=0,"",IF(INDEX('OneCause_Paste'!$A$2966:$AZ$2966,1,OC_Txn)="","",INDEX('OneCause_Paste'!$A$2966:$AZ$2966,1,OC_Txn)))</f>
        <v/>
      </c>
      <c r="M2966">
        <f>IF(OC_Pay=0,"",IF(INDEX('OneCause_Paste'!$A$2966:$AZ$2966,1,OC_Pay)="","",INDEX('OneCause_Paste'!$A$2966:$AZ$2966,1,OC_Pay)))</f>
        <v/>
      </c>
      <c r="N2966">
        <f>IF(I2966="","",IF(ISNUMBER(I2966),INT(I2966),IFERROR(INT(DATEVALUE(I2966)),IFERROR(INT(VALUE(I2966)),"bad"))))</f>
        <v/>
      </c>
      <c r="O2966">
        <f>IF(J2966="","",IF(ISNUMBER(J2966),ROUND(J2966,2),IFERROR(ROUND(VALUE(SUBSTITUTE(SUBSTITUTE(SUBSTITUTE(J2966,"$",""),",","")," ","")),2),"bad")))</f>
        <v/>
      </c>
      <c r="P2966">
        <f>IF(TRIM(K2966)="","",IFERROR(MATCH(LOWER(TRIM(K2966)),'Students'!$AH$2:$AH$701,0),IFERROR(MATCH(LOWER(TRIM(K2966)),'Students'!$AF$2:$AF$701,0),IFERROR(MATCH(LOWER(TRIM(K2966)),'Students'!$AG$2:$AG$701,0),""))))</f>
        <v/>
      </c>
      <c r="R2966">
        <f>IF(P2966="","",INDEX('Students'!$AD$2:$AD$701,P2966))</f>
        <v/>
      </c>
      <c r="S2966">
        <f>IF(H2966="OK",O2966,0)</f>
        <v/>
      </c>
      <c r="T2966">
        <f>IF(H2966="OK",N2966,"")</f>
        <v/>
      </c>
      <c r="U2966">
        <f>IF(OC_Donor=0,"",IF(INDEX('OneCause_Paste'!$A$2966:$AZ$2966,1,OC_Donor)="","",INDEX('OneCause_Paste'!$A$2966:$AZ$2966,1,OC_Donor)))</f>
        <v/>
      </c>
    </row>
    <row r="2967">
      <c r="A2967" s="62">
        <f>IF(H2967="","",IF(ISNUMBER(N2967),N2967,I2967))</f>
        <v/>
      </c>
      <c r="B2967">
        <f>IF(H2967="","",U2967)</f>
        <v/>
      </c>
      <c r="C2967">
        <f>IF(H2967="","",IF(P2967="",K2967,INDEX('Students'!$A$2:$A$701,P2967)))</f>
        <v/>
      </c>
      <c r="D2967">
        <f>IF(OR(H2967="",P2967=""),"",INDEX('Students'!$B$2:$B$701,P2967))</f>
        <v/>
      </c>
      <c r="E2967">
        <f>IF(OR(H2967="",P2967=""),"",INDEX('Students'!$C$2:$C$701,P2967))</f>
        <v/>
      </c>
      <c r="F2967" s="48">
        <f>IF(H2967="","",IF(ISNUMBER(O2967),O2967,J2967))</f>
        <v/>
      </c>
      <c r="G2967">
        <f>IF(H2967="","","OneCause")</f>
        <v/>
      </c>
      <c r="H2967">
        <f>IF(AND(I2967="",J2967="",K2967=""),"",IF(NOT(ISNUMBER(O2967)),"Bad amount",IF(O2967&lt;0,"Refund (not counted)",IF(O2967=0,"Zero amount",IF(NOT(ISNUMBER(N2967)),"Bad date",IF(P2967="","NAME NOT ON ROSTER",IF(L2967="","OK",IF(MATCH(L2967,$L$2:$L$3001,0)&lt;ROW()-1,"Duplicate (ignored)","OK"))))))))</f>
        <v/>
      </c>
      <c r="I2967">
        <f>IF(OC_Date=0,"",IF(INDEX('OneCause_Paste'!$A$2967:$AZ$2967,1,OC_Date)="","",INDEX('OneCause_Paste'!$A$2967:$AZ$2967,1,OC_Date)))</f>
        <v/>
      </c>
      <c r="J2967">
        <f>IF(OC_Amt=0,"",IF(INDEX('OneCause_Paste'!$A$2967:$AZ$2967,1,OC_Amt)="","",INDEX('OneCause_Paste'!$A$2967:$AZ$2967,1,OC_Amt)))</f>
        <v/>
      </c>
      <c r="K2967">
        <f>IF(OC_Name=0,"",IF(INDEX('OneCause_Paste'!$A$2967:$AZ$2967,1,OC_Name)="","",INDEX('OneCause_Paste'!$A$2967:$AZ$2967,1,OC_Name)))</f>
        <v/>
      </c>
      <c r="L2967">
        <f>IF(OC_Txn=0,"",IF(INDEX('OneCause_Paste'!$A$2967:$AZ$2967,1,OC_Txn)="","",INDEX('OneCause_Paste'!$A$2967:$AZ$2967,1,OC_Txn)))</f>
        <v/>
      </c>
      <c r="M2967">
        <f>IF(OC_Pay=0,"",IF(INDEX('OneCause_Paste'!$A$2967:$AZ$2967,1,OC_Pay)="","",INDEX('OneCause_Paste'!$A$2967:$AZ$2967,1,OC_Pay)))</f>
        <v/>
      </c>
      <c r="N2967">
        <f>IF(I2967="","",IF(ISNUMBER(I2967),INT(I2967),IFERROR(INT(DATEVALUE(I2967)),IFERROR(INT(VALUE(I2967)),"bad"))))</f>
        <v/>
      </c>
      <c r="O2967">
        <f>IF(J2967="","",IF(ISNUMBER(J2967),ROUND(J2967,2),IFERROR(ROUND(VALUE(SUBSTITUTE(SUBSTITUTE(SUBSTITUTE(J2967,"$",""),",","")," ","")),2),"bad")))</f>
        <v/>
      </c>
      <c r="P2967">
        <f>IF(TRIM(K2967)="","",IFERROR(MATCH(LOWER(TRIM(K2967)),'Students'!$AH$2:$AH$701,0),IFERROR(MATCH(LOWER(TRIM(K2967)),'Students'!$AF$2:$AF$701,0),IFERROR(MATCH(LOWER(TRIM(K2967)),'Students'!$AG$2:$AG$701,0),""))))</f>
        <v/>
      </c>
      <c r="R2967">
        <f>IF(P2967="","",INDEX('Students'!$AD$2:$AD$701,P2967))</f>
        <v/>
      </c>
      <c r="S2967">
        <f>IF(H2967="OK",O2967,0)</f>
        <v/>
      </c>
      <c r="T2967">
        <f>IF(H2967="OK",N2967,"")</f>
        <v/>
      </c>
      <c r="U2967">
        <f>IF(OC_Donor=0,"",IF(INDEX('OneCause_Paste'!$A$2967:$AZ$2967,1,OC_Donor)="","",INDEX('OneCause_Paste'!$A$2967:$AZ$2967,1,OC_Donor)))</f>
        <v/>
      </c>
    </row>
    <row r="2968">
      <c r="A2968" s="62">
        <f>IF(H2968="","",IF(ISNUMBER(N2968),N2968,I2968))</f>
        <v/>
      </c>
      <c r="B2968">
        <f>IF(H2968="","",U2968)</f>
        <v/>
      </c>
      <c r="C2968">
        <f>IF(H2968="","",IF(P2968="",K2968,INDEX('Students'!$A$2:$A$701,P2968)))</f>
        <v/>
      </c>
      <c r="D2968">
        <f>IF(OR(H2968="",P2968=""),"",INDEX('Students'!$B$2:$B$701,P2968))</f>
        <v/>
      </c>
      <c r="E2968">
        <f>IF(OR(H2968="",P2968=""),"",INDEX('Students'!$C$2:$C$701,P2968))</f>
        <v/>
      </c>
      <c r="F2968" s="48">
        <f>IF(H2968="","",IF(ISNUMBER(O2968),O2968,J2968))</f>
        <v/>
      </c>
      <c r="G2968">
        <f>IF(H2968="","","OneCause")</f>
        <v/>
      </c>
      <c r="H2968">
        <f>IF(AND(I2968="",J2968="",K2968=""),"",IF(NOT(ISNUMBER(O2968)),"Bad amount",IF(O2968&lt;0,"Refund (not counted)",IF(O2968=0,"Zero amount",IF(NOT(ISNUMBER(N2968)),"Bad date",IF(P2968="","NAME NOT ON ROSTER",IF(L2968="","OK",IF(MATCH(L2968,$L$2:$L$3001,0)&lt;ROW()-1,"Duplicate (ignored)","OK"))))))))</f>
        <v/>
      </c>
      <c r="I2968">
        <f>IF(OC_Date=0,"",IF(INDEX('OneCause_Paste'!$A$2968:$AZ$2968,1,OC_Date)="","",INDEX('OneCause_Paste'!$A$2968:$AZ$2968,1,OC_Date)))</f>
        <v/>
      </c>
      <c r="J2968">
        <f>IF(OC_Amt=0,"",IF(INDEX('OneCause_Paste'!$A$2968:$AZ$2968,1,OC_Amt)="","",INDEX('OneCause_Paste'!$A$2968:$AZ$2968,1,OC_Amt)))</f>
        <v/>
      </c>
      <c r="K2968">
        <f>IF(OC_Name=0,"",IF(INDEX('OneCause_Paste'!$A$2968:$AZ$2968,1,OC_Name)="","",INDEX('OneCause_Paste'!$A$2968:$AZ$2968,1,OC_Name)))</f>
        <v/>
      </c>
      <c r="L2968">
        <f>IF(OC_Txn=0,"",IF(INDEX('OneCause_Paste'!$A$2968:$AZ$2968,1,OC_Txn)="","",INDEX('OneCause_Paste'!$A$2968:$AZ$2968,1,OC_Txn)))</f>
        <v/>
      </c>
      <c r="M2968">
        <f>IF(OC_Pay=0,"",IF(INDEX('OneCause_Paste'!$A$2968:$AZ$2968,1,OC_Pay)="","",INDEX('OneCause_Paste'!$A$2968:$AZ$2968,1,OC_Pay)))</f>
        <v/>
      </c>
      <c r="N2968">
        <f>IF(I2968="","",IF(ISNUMBER(I2968),INT(I2968),IFERROR(INT(DATEVALUE(I2968)),IFERROR(INT(VALUE(I2968)),"bad"))))</f>
        <v/>
      </c>
      <c r="O2968">
        <f>IF(J2968="","",IF(ISNUMBER(J2968),ROUND(J2968,2),IFERROR(ROUND(VALUE(SUBSTITUTE(SUBSTITUTE(SUBSTITUTE(J2968,"$",""),",","")," ","")),2),"bad")))</f>
        <v/>
      </c>
      <c r="P2968">
        <f>IF(TRIM(K2968)="","",IFERROR(MATCH(LOWER(TRIM(K2968)),'Students'!$AH$2:$AH$701,0),IFERROR(MATCH(LOWER(TRIM(K2968)),'Students'!$AF$2:$AF$701,0),IFERROR(MATCH(LOWER(TRIM(K2968)),'Students'!$AG$2:$AG$701,0),""))))</f>
        <v/>
      </c>
      <c r="R2968">
        <f>IF(P2968="","",INDEX('Students'!$AD$2:$AD$701,P2968))</f>
        <v/>
      </c>
      <c r="S2968">
        <f>IF(H2968="OK",O2968,0)</f>
        <v/>
      </c>
      <c r="T2968">
        <f>IF(H2968="OK",N2968,"")</f>
        <v/>
      </c>
      <c r="U2968">
        <f>IF(OC_Donor=0,"",IF(INDEX('OneCause_Paste'!$A$2968:$AZ$2968,1,OC_Donor)="","",INDEX('OneCause_Paste'!$A$2968:$AZ$2968,1,OC_Donor)))</f>
        <v/>
      </c>
    </row>
    <row r="2969">
      <c r="A2969" s="62">
        <f>IF(H2969="","",IF(ISNUMBER(N2969),N2969,I2969))</f>
        <v/>
      </c>
      <c r="B2969">
        <f>IF(H2969="","",U2969)</f>
        <v/>
      </c>
      <c r="C2969">
        <f>IF(H2969="","",IF(P2969="",K2969,INDEX('Students'!$A$2:$A$701,P2969)))</f>
        <v/>
      </c>
      <c r="D2969">
        <f>IF(OR(H2969="",P2969=""),"",INDEX('Students'!$B$2:$B$701,P2969))</f>
        <v/>
      </c>
      <c r="E2969">
        <f>IF(OR(H2969="",P2969=""),"",INDEX('Students'!$C$2:$C$701,P2969))</f>
        <v/>
      </c>
      <c r="F2969" s="48">
        <f>IF(H2969="","",IF(ISNUMBER(O2969),O2969,J2969))</f>
        <v/>
      </c>
      <c r="G2969">
        <f>IF(H2969="","","OneCause")</f>
        <v/>
      </c>
      <c r="H2969">
        <f>IF(AND(I2969="",J2969="",K2969=""),"",IF(NOT(ISNUMBER(O2969)),"Bad amount",IF(O2969&lt;0,"Refund (not counted)",IF(O2969=0,"Zero amount",IF(NOT(ISNUMBER(N2969)),"Bad date",IF(P2969="","NAME NOT ON ROSTER",IF(L2969="","OK",IF(MATCH(L2969,$L$2:$L$3001,0)&lt;ROW()-1,"Duplicate (ignored)","OK"))))))))</f>
        <v/>
      </c>
      <c r="I2969">
        <f>IF(OC_Date=0,"",IF(INDEX('OneCause_Paste'!$A$2969:$AZ$2969,1,OC_Date)="","",INDEX('OneCause_Paste'!$A$2969:$AZ$2969,1,OC_Date)))</f>
        <v/>
      </c>
      <c r="J2969">
        <f>IF(OC_Amt=0,"",IF(INDEX('OneCause_Paste'!$A$2969:$AZ$2969,1,OC_Amt)="","",INDEX('OneCause_Paste'!$A$2969:$AZ$2969,1,OC_Amt)))</f>
        <v/>
      </c>
      <c r="K2969">
        <f>IF(OC_Name=0,"",IF(INDEX('OneCause_Paste'!$A$2969:$AZ$2969,1,OC_Name)="","",INDEX('OneCause_Paste'!$A$2969:$AZ$2969,1,OC_Name)))</f>
        <v/>
      </c>
      <c r="L2969">
        <f>IF(OC_Txn=0,"",IF(INDEX('OneCause_Paste'!$A$2969:$AZ$2969,1,OC_Txn)="","",INDEX('OneCause_Paste'!$A$2969:$AZ$2969,1,OC_Txn)))</f>
        <v/>
      </c>
      <c r="M2969">
        <f>IF(OC_Pay=0,"",IF(INDEX('OneCause_Paste'!$A$2969:$AZ$2969,1,OC_Pay)="","",INDEX('OneCause_Paste'!$A$2969:$AZ$2969,1,OC_Pay)))</f>
        <v/>
      </c>
      <c r="N2969">
        <f>IF(I2969="","",IF(ISNUMBER(I2969),INT(I2969),IFERROR(INT(DATEVALUE(I2969)),IFERROR(INT(VALUE(I2969)),"bad"))))</f>
        <v/>
      </c>
      <c r="O2969">
        <f>IF(J2969="","",IF(ISNUMBER(J2969),ROUND(J2969,2),IFERROR(ROUND(VALUE(SUBSTITUTE(SUBSTITUTE(SUBSTITUTE(J2969,"$",""),",","")," ","")),2),"bad")))</f>
        <v/>
      </c>
      <c r="P2969">
        <f>IF(TRIM(K2969)="","",IFERROR(MATCH(LOWER(TRIM(K2969)),'Students'!$AH$2:$AH$701,0),IFERROR(MATCH(LOWER(TRIM(K2969)),'Students'!$AF$2:$AF$701,0),IFERROR(MATCH(LOWER(TRIM(K2969)),'Students'!$AG$2:$AG$701,0),""))))</f>
        <v/>
      </c>
      <c r="R2969">
        <f>IF(P2969="","",INDEX('Students'!$AD$2:$AD$701,P2969))</f>
        <v/>
      </c>
      <c r="S2969">
        <f>IF(H2969="OK",O2969,0)</f>
        <v/>
      </c>
      <c r="T2969">
        <f>IF(H2969="OK",N2969,"")</f>
        <v/>
      </c>
      <c r="U2969">
        <f>IF(OC_Donor=0,"",IF(INDEX('OneCause_Paste'!$A$2969:$AZ$2969,1,OC_Donor)="","",INDEX('OneCause_Paste'!$A$2969:$AZ$2969,1,OC_Donor)))</f>
        <v/>
      </c>
    </row>
    <row r="2970">
      <c r="A2970" s="62">
        <f>IF(H2970="","",IF(ISNUMBER(N2970),N2970,I2970))</f>
        <v/>
      </c>
      <c r="B2970">
        <f>IF(H2970="","",U2970)</f>
        <v/>
      </c>
      <c r="C2970">
        <f>IF(H2970="","",IF(P2970="",K2970,INDEX('Students'!$A$2:$A$701,P2970)))</f>
        <v/>
      </c>
      <c r="D2970">
        <f>IF(OR(H2970="",P2970=""),"",INDEX('Students'!$B$2:$B$701,P2970))</f>
        <v/>
      </c>
      <c r="E2970">
        <f>IF(OR(H2970="",P2970=""),"",INDEX('Students'!$C$2:$C$701,P2970))</f>
        <v/>
      </c>
      <c r="F2970" s="48">
        <f>IF(H2970="","",IF(ISNUMBER(O2970),O2970,J2970))</f>
        <v/>
      </c>
      <c r="G2970">
        <f>IF(H2970="","","OneCause")</f>
        <v/>
      </c>
      <c r="H2970">
        <f>IF(AND(I2970="",J2970="",K2970=""),"",IF(NOT(ISNUMBER(O2970)),"Bad amount",IF(O2970&lt;0,"Refund (not counted)",IF(O2970=0,"Zero amount",IF(NOT(ISNUMBER(N2970)),"Bad date",IF(P2970="","NAME NOT ON ROSTER",IF(L2970="","OK",IF(MATCH(L2970,$L$2:$L$3001,0)&lt;ROW()-1,"Duplicate (ignored)","OK"))))))))</f>
        <v/>
      </c>
      <c r="I2970">
        <f>IF(OC_Date=0,"",IF(INDEX('OneCause_Paste'!$A$2970:$AZ$2970,1,OC_Date)="","",INDEX('OneCause_Paste'!$A$2970:$AZ$2970,1,OC_Date)))</f>
        <v/>
      </c>
      <c r="J2970">
        <f>IF(OC_Amt=0,"",IF(INDEX('OneCause_Paste'!$A$2970:$AZ$2970,1,OC_Amt)="","",INDEX('OneCause_Paste'!$A$2970:$AZ$2970,1,OC_Amt)))</f>
        <v/>
      </c>
      <c r="K2970">
        <f>IF(OC_Name=0,"",IF(INDEX('OneCause_Paste'!$A$2970:$AZ$2970,1,OC_Name)="","",INDEX('OneCause_Paste'!$A$2970:$AZ$2970,1,OC_Name)))</f>
        <v/>
      </c>
      <c r="L2970">
        <f>IF(OC_Txn=0,"",IF(INDEX('OneCause_Paste'!$A$2970:$AZ$2970,1,OC_Txn)="","",INDEX('OneCause_Paste'!$A$2970:$AZ$2970,1,OC_Txn)))</f>
        <v/>
      </c>
      <c r="M2970">
        <f>IF(OC_Pay=0,"",IF(INDEX('OneCause_Paste'!$A$2970:$AZ$2970,1,OC_Pay)="","",INDEX('OneCause_Paste'!$A$2970:$AZ$2970,1,OC_Pay)))</f>
        <v/>
      </c>
      <c r="N2970">
        <f>IF(I2970="","",IF(ISNUMBER(I2970),INT(I2970),IFERROR(INT(DATEVALUE(I2970)),IFERROR(INT(VALUE(I2970)),"bad"))))</f>
        <v/>
      </c>
      <c r="O2970">
        <f>IF(J2970="","",IF(ISNUMBER(J2970),ROUND(J2970,2),IFERROR(ROUND(VALUE(SUBSTITUTE(SUBSTITUTE(SUBSTITUTE(J2970,"$",""),",","")," ","")),2),"bad")))</f>
        <v/>
      </c>
      <c r="P2970">
        <f>IF(TRIM(K2970)="","",IFERROR(MATCH(LOWER(TRIM(K2970)),'Students'!$AH$2:$AH$701,0),IFERROR(MATCH(LOWER(TRIM(K2970)),'Students'!$AF$2:$AF$701,0),IFERROR(MATCH(LOWER(TRIM(K2970)),'Students'!$AG$2:$AG$701,0),""))))</f>
        <v/>
      </c>
      <c r="R2970">
        <f>IF(P2970="","",INDEX('Students'!$AD$2:$AD$701,P2970))</f>
        <v/>
      </c>
      <c r="S2970">
        <f>IF(H2970="OK",O2970,0)</f>
        <v/>
      </c>
      <c r="T2970">
        <f>IF(H2970="OK",N2970,"")</f>
        <v/>
      </c>
      <c r="U2970">
        <f>IF(OC_Donor=0,"",IF(INDEX('OneCause_Paste'!$A$2970:$AZ$2970,1,OC_Donor)="","",INDEX('OneCause_Paste'!$A$2970:$AZ$2970,1,OC_Donor)))</f>
        <v/>
      </c>
    </row>
    <row r="2971">
      <c r="A2971" s="62">
        <f>IF(H2971="","",IF(ISNUMBER(N2971),N2971,I2971))</f>
        <v/>
      </c>
      <c r="B2971">
        <f>IF(H2971="","",U2971)</f>
        <v/>
      </c>
      <c r="C2971">
        <f>IF(H2971="","",IF(P2971="",K2971,INDEX('Students'!$A$2:$A$701,P2971)))</f>
        <v/>
      </c>
      <c r="D2971">
        <f>IF(OR(H2971="",P2971=""),"",INDEX('Students'!$B$2:$B$701,P2971))</f>
        <v/>
      </c>
      <c r="E2971">
        <f>IF(OR(H2971="",P2971=""),"",INDEX('Students'!$C$2:$C$701,P2971))</f>
        <v/>
      </c>
      <c r="F2971" s="48">
        <f>IF(H2971="","",IF(ISNUMBER(O2971),O2971,J2971))</f>
        <v/>
      </c>
      <c r="G2971">
        <f>IF(H2971="","","OneCause")</f>
        <v/>
      </c>
      <c r="H2971">
        <f>IF(AND(I2971="",J2971="",K2971=""),"",IF(NOT(ISNUMBER(O2971)),"Bad amount",IF(O2971&lt;0,"Refund (not counted)",IF(O2971=0,"Zero amount",IF(NOT(ISNUMBER(N2971)),"Bad date",IF(P2971="","NAME NOT ON ROSTER",IF(L2971="","OK",IF(MATCH(L2971,$L$2:$L$3001,0)&lt;ROW()-1,"Duplicate (ignored)","OK"))))))))</f>
        <v/>
      </c>
      <c r="I2971">
        <f>IF(OC_Date=0,"",IF(INDEX('OneCause_Paste'!$A$2971:$AZ$2971,1,OC_Date)="","",INDEX('OneCause_Paste'!$A$2971:$AZ$2971,1,OC_Date)))</f>
        <v/>
      </c>
      <c r="J2971">
        <f>IF(OC_Amt=0,"",IF(INDEX('OneCause_Paste'!$A$2971:$AZ$2971,1,OC_Amt)="","",INDEX('OneCause_Paste'!$A$2971:$AZ$2971,1,OC_Amt)))</f>
        <v/>
      </c>
      <c r="K2971">
        <f>IF(OC_Name=0,"",IF(INDEX('OneCause_Paste'!$A$2971:$AZ$2971,1,OC_Name)="","",INDEX('OneCause_Paste'!$A$2971:$AZ$2971,1,OC_Name)))</f>
        <v/>
      </c>
      <c r="L2971">
        <f>IF(OC_Txn=0,"",IF(INDEX('OneCause_Paste'!$A$2971:$AZ$2971,1,OC_Txn)="","",INDEX('OneCause_Paste'!$A$2971:$AZ$2971,1,OC_Txn)))</f>
        <v/>
      </c>
      <c r="M2971">
        <f>IF(OC_Pay=0,"",IF(INDEX('OneCause_Paste'!$A$2971:$AZ$2971,1,OC_Pay)="","",INDEX('OneCause_Paste'!$A$2971:$AZ$2971,1,OC_Pay)))</f>
        <v/>
      </c>
      <c r="N2971">
        <f>IF(I2971="","",IF(ISNUMBER(I2971),INT(I2971),IFERROR(INT(DATEVALUE(I2971)),IFERROR(INT(VALUE(I2971)),"bad"))))</f>
        <v/>
      </c>
      <c r="O2971">
        <f>IF(J2971="","",IF(ISNUMBER(J2971),ROUND(J2971,2),IFERROR(ROUND(VALUE(SUBSTITUTE(SUBSTITUTE(SUBSTITUTE(J2971,"$",""),",","")," ","")),2),"bad")))</f>
        <v/>
      </c>
      <c r="P2971">
        <f>IF(TRIM(K2971)="","",IFERROR(MATCH(LOWER(TRIM(K2971)),'Students'!$AH$2:$AH$701,0),IFERROR(MATCH(LOWER(TRIM(K2971)),'Students'!$AF$2:$AF$701,0),IFERROR(MATCH(LOWER(TRIM(K2971)),'Students'!$AG$2:$AG$701,0),""))))</f>
        <v/>
      </c>
      <c r="R2971">
        <f>IF(P2971="","",INDEX('Students'!$AD$2:$AD$701,P2971))</f>
        <v/>
      </c>
      <c r="S2971">
        <f>IF(H2971="OK",O2971,0)</f>
        <v/>
      </c>
      <c r="T2971">
        <f>IF(H2971="OK",N2971,"")</f>
        <v/>
      </c>
      <c r="U2971">
        <f>IF(OC_Donor=0,"",IF(INDEX('OneCause_Paste'!$A$2971:$AZ$2971,1,OC_Donor)="","",INDEX('OneCause_Paste'!$A$2971:$AZ$2971,1,OC_Donor)))</f>
        <v/>
      </c>
    </row>
    <row r="2972">
      <c r="A2972" s="62">
        <f>IF(H2972="","",IF(ISNUMBER(N2972),N2972,I2972))</f>
        <v/>
      </c>
      <c r="B2972">
        <f>IF(H2972="","",U2972)</f>
        <v/>
      </c>
      <c r="C2972">
        <f>IF(H2972="","",IF(P2972="",K2972,INDEX('Students'!$A$2:$A$701,P2972)))</f>
        <v/>
      </c>
      <c r="D2972">
        <f>IF(OR(H2972="",P2972=""),"",INDEX('Students'!$B$2:$B$701,P2972))</f>
        <v/>
      </c>
      <c r="E2972">
        <f>IF(OR(H2972="",P2972=""),"",INDEX('Students'!$C$2:$C$701,P2972))</f>
        <v/>
      </c>
      <c r="F2972" s="48">
        <f>IF(H2972="","",IF(ISNUMBER(O2972),O2972,J2972))</f>
        <v/>
      </c>
      <c r="G2972">
        <f>IF(H2972="","","OneCause")</f>
        <v/>
      </c>
      <c r="H2972">
        <f>IF(AND(I2972="",J2972="",K2972=""),"",IF(NOT(ISNUMBER(O2972)),"Bad amount",IF(O2972&lt;0,"Refund (not counted)",IF(O2972=0,"Zero amount",IF(NOT(ISNUMBER(N2972)),"Bad date",IF(P2972="","NAME NOT ON ROSTER",IF(L2972="","OK",IF(MATCH(L2972,$L$2:$L$3001,0)&lt;ROW()-1,"Duplicate (ignored)","OK"))))))))</f>
        <v/>
      </c>
      <c r="I2972">
        <f>IF(OC_Date=0,"",IF(INDEX('OneCause_Paste'!$A$2972:$AZ$2972,1,OC_Date)="","",INDEX('OneCause_Paste'!$A$2972:$AZ$2972,1,OC_Date)))</f>
        <v/>
      </c>
      <c r="J2972">
        <f>IF(OC_Amt=0,"",IF(INDEX('OneCause_Paste'!$A$2972:$AZ$2972,1,OC_Amt)="","",INDEX('OneCause_Paste'!$A$2972:$AZ$2972,1,OC_Amt)))</f>
        <v/>
      </c>
      <c r="K2972">
        <f>IF(OC_Name=0,"",IF(INDEX('OneCause_Paste'!$A$2972:$AZ$2972,1,OC_Name)="","",INDEX('OneCause_Paste'!$A$2972:$AZ$2972,1,OC_Name)))</f>
        <v/>
      </c>
      <c r="L2972">
        <f>IF(OC_Txn=0,"",IF(INDEX('OneCause_Paste'!$A$2972:$AZ$2972,1,OC_Txn)="","",INDEX('OneCause_Paste'!$A$2972:$AZ$2972,1,OC_Txn)))</f>
        <v/>
      </c>
      <c r="M2972">
        <f>IF(OC_Pay=0,"",IF(INDEX('OneCause_Paste'!$A$2972:$AZ$2972,1,OC_Pay)="","",INDEX('OneCause_Paste'!$A$2972:$AZ$2972,1,OC_Pay)))</f>
        <v/>
      </c>
      <c r="N2972">
        <f>IF(I2972="","",IF(ISNUMBER(I2972),INT(I2972),IFERROR(INT(DATEVALUE(I2972)),IFERROR(INT(VALUE(I2972)),"bad"))))</f>
        <v/>
      </c>
      <c r="O2972">
        <f>IF(J2972="","",IF(ISNUMBER(J2972),ROUND(J2972,2),IFERROR(ROUND(VALUE(SUBSTITUTE(SUBSTITUTE(SUBSTITUTE(J2972,"$",""),",","")," ","")),2),"bad")))</f>
        <v/>
      </c>
      <c r="P2972">
        <f>IF(TRIM(K2972)="","",IFERROR(MATCH(LOWER(TRIM(K2972)),'Students'!$AH$2:$AH$701,0),IFERROR(MATCH(LOWER(TRIM(K2972)),'Students'!$AF$2:$AF$701,0),IFERROR(MATCH(LOWER(TRIM(K2972)),'Students'!$AG$2:$AG$701,0),""))))</f>
        <v/>
      </c>
      <c r="R2972">
        <f>IF(P2972="","",INDEX('Students'!$AD$2:$AD$701,P2972))</f>
        <v/>
      </c>
      <c r="S2972">
        <f>IF(H2972="OK",O2972,0)</f>
        <v/>
      </c>
      <c r="T2972">
        <f>IF(H2972="OK",N2972,"")</f>
        <v/>
      </c>
      <c r="U2972">
        <f>IF(OC_Donor=0,"",IF(INDEX('OneCause_Paste'!$A$2972:$AZ$2972,1,OC_Donor)="","",INDEX('OneCause_Paste'!$A$2972:$AZ$2972,1,OC_Donor)))</f>
        <v/>
      </c>
    </row>
    <row r="2973">
      <c r="A2973" s="62">
        <f>IF(H2973="","",IF(ISNUMBER(N2973),N2973,I2973))</f>
        <v/>
      </c>
      <c r="B2973">
        <f>IF(H2973="","",U2973)</f>
        <v/>
      </c>
      <c r="C2973">
        <f>IF(H2973="","",IF(P2973="",K2973,INDEX('Students'!$A$2:$A$701,P2973)))</f>
        <v/>
      </c>
      <c r="D2973">
        <f>IF(OR(H2973="",P2973=""),"",INDEX('Students'!$B$2:$B$701,P2973))</f>
        <v/>
      </c>
      <c r="E2973">
        <f>IF(OR(H2973="",P2973=""),"",INDEX('Students'!$C$2:$C$701,P2973))</f>
        <v/>
      </c>
      <c r="F2973" s="48">
        <f>IF(H2973="","",IF(ISNUMBER(O2973),O2973,J2973))</f>
        <v/>
      </c>
      <c r="G2973">
        <f>IF(H2973="","","OneCause")</f>
        <v/>
      </c>
      <c r="H2973">
        <f>IF(AND(I2973="",J2973="",K2973=""),"",IF(NOT(ISNUMBER(O2973)),"Bad amount",IF(O2973&lt;0,"Refund (not counted)",IF(O2973=0,"Zero amount",IF(NOT(ISNUMBER(N2973)),"Bad date",IF(P2973="","NAME NOT ON ROSTER",IF(L2973="","OK",IF(MATCH(L2973,$L$2:$L$3001,0)&lt;ROW()-1,"Duplicate (ignored)","OK"))))))))</f>
        <v/>
      </c>
      <c r="I2973">
        <f>IF(OC_Date=0,"",IF(INDEX('OneCause_Paste'!$A$2973:$AZ$2973,1,OC_Date)="","",INDEX('OneCause_Paste'!$A$2973:$AZ$2973,1,OC_Date)))</f>
        <v/>
      </c>
      <c r="J2973">
        <f>IF(OC_Amt=0,"",IF(INDEX('OneCause_Paste'!$A$2973:$AZ$2973,1,OC_Amt)="","",INDEX('OneCause_Paste'!$A$2973:$AZ$2973,1,OC_Amt)))</f>
        <v/>
      </c>
      <c r="K2973">
        <f>IF(OC_Name=0,"",IF(INDEX('OneCause_Paste'!$A$2973:$AZ$2973,1,OC_Name)="","",INDEX('OneCause_Paste'!$A$2973:$AZ$2973,1,OC_Name)))</f>
        <v/>
      </c>
      <c r="L2973">
        <f>IF(OC_Txn=0,"",IF(INDEX('OneCause_Paste'!$A$2973:$AZ$2973,1,OC_Txn)="","",INDEX('OneCause_Paste'!$A$2973:$AZ$2973,1,OC_Txn)))</f>
        <v/>
      </c>
      <c r="M2973">
        <f>IF(OC_Pay=0,"",IF(INDEX('OneCause_Paste'!$A$2973:$AZ$2973,1,OC_Pay)="","",INDEX('OneCause_Paste'!$A$2973:$AZ$2973,1,OC_Pay)))</f>
        <v/>
      </c>
      <c r="N2973">
        <f>IF(I2973="","",IF(ISNUMBER(I2973),INT(I2973),IFERROR(INT(DATEVALUE(I2973)),IFERROR(INT(VALUE(I2973)),"bad"))))</f>
        <v/>
      </c>
      <c r="O2973">
        <f>IF(J2973="","",IF(ISNUMBER(J2973),ROUND(J2973,2),IFERROR(ROUND(VALUE(SUBSTITUTE(SUBSTITUTE(SUBSTITUTE(J2973,"$",""),",","")," ","")),2),"bad")))</f>
        <v/>
      </c>
      <c r="P2973">
        <f>IF(TRIM(K2973)="","",IFERROR(MATCH(LOWER(TRIM(K2973)),'Students'!$AH$2:$AH$701,0),IFERROR(MATCH(LOWER(TRIM(K2973)),'Students'!$AF$2:$AF$701,0),IFERROR(MATCH(LOWER(TRIM(K2973)),'Students'!$AG$2:$AG$701,0),""))))</f>
        <v/>
      </c>
      <c r="R2973">
        <f>IF(P2973="","",INDEX('Students'!$AD$2:$AD$701,P2973))</f>
        <v/>
      </c>
      <c r="S2973">
        <f>IF(H2973="OK",O2973,0)</f>
        <v/>
      </c>
      <c r="T2973">
        <f>IF(H2973="OK",N2973,"")</f>
        <v/>
      </c>
      <c r="U2973">
        <f>IF(OC_Donor=0,"",IF(INDEX('OneCause_Paste'!$A$2973:$AZ$2973,1,OC_Donor)="","",INDEX('OneCause_Paste'!$A$2973:$AZ$2973,1,OC_Donor)))</f>
        <v/>
      </c>
    </row>
    <row r="2974">
      <c r="A2974" s="62">
        <f>IF(H2974="","",IF(ISNUMBER(N2974),N2974,I2974))</f>
        <v/>
      </c>
      <c r="B2974">
        <f>IF(H2974="","",U2974)</f>
        <v/>
      </c>
      <c r="C2974">
        <f>IF(H2974="","",IF(P2974="",K2974,INDEX('Students'!$A$2:$A$701,P2974)))</f>
        <v/>
      </c>
      <c r="D2974">
        <f>IF(OR(H2974="",P2974=""),"",INDEX('Students'!$B$2:$B$701,P2974))</f>
        <v/>
      </c>
      <c r="E2974">
        <f>IF(OR(H2974="",P2974=""),"",INDEX('Students'!$C$2:$C$701,P2974))</f>
        <v/>
      </c>
      <c r="F2974" s="48">
        <f>IF(H2974="","",IF(ISNUMBER(O2974),O2974,J2974))</f>
        <v/>
      </c>
      <c r="G2974">
        <f>IF(H2974="","","OneCause")</f>
        <v/>
      </c>
      <c r="H2974">
        <f>IF(AND(I2974="",J2974="",K2974=""),"",IF(NOT(ISNUMBER(O2974)),"Bad amount",IF(O2974&lt;0,"Refund (not counted)",IF(O2974=0,"Zero amount",IF(NOT(ISNUMBER(N2974)),"Bad date",IF(P2974="","NAME NOT ON ROSTER",IF(L2974="","OK",IF(MATCH(L2974,$L$2:$L$3001,0)&lt;ROW()-1,"Duplicate (ignored)","OK"))))))))</f>
        <v/>
      </c>
      <c r="I2974">
        <f>IF(OC_Date=0,"",IF(INDEX('OneCause_Paste'!$A$2974:$AZ$2974,1,OC_Date)="","",INDEX('OneCause_Paste'!$A$2974:$AZ$2974,1,OC_Date)))</f>
        <v/>
      </c>
      <c r="J2974">
        <f>IF(OC_Amt=0,"",IF(INDEX('OneCause_Paste'!$A$2974:$AZ$2974,1,OC_Amt)="","",INDEX('OneCause_Paste'!$A$2974:$AZ$2974,1,OC_Amt)))</f>
        <v/>
      </c>
      <c r="K2974">
        <f>IF(OC_Name=0,"",IF(INDEX('OneCause_Paste'!$A$2974:$AZ$2974,1,OC_Name)="","",INDEX('OneCause_Paste'!$A$2974:$AZ$2974,1,OC_Name)))</f>
        <v/>
      </c>
      <c r="L2974">
        <f>IF(OC_Txn=0,"",IF(INDEX('OneCause_Paste'!$A$2974:$AZ$2974,1,OC_Txn)="","",INDEX('OneCause_Paste'!$A$2974:$AZ$2974,1,OC_Txn)))</f>
        <v/>
      </c>
      <c r="M2974">
        <f>IF(OC_Pay=0,"",IF(INDEX('OneCause_Paste'!$A$2974:$AZ$2974,1,OC_Pay)="","",INDEX('OneCause_Paste'!$A$2974:$AZ$2974,1,OC_Pay)))</f>
        <v/>
      </c>
      <c r="N2974">
        <f>IF(I2974="","",IF(ISNUMBER(I2974),INT(I2974),IFERROR(INT(DATEVALUE(I2974)),IFERROR(INT(VALUE(I2974)),"bad"))))</f>
        <v/>
      </c>
      <c r="O2974">
        <f>IF(J2974="","",IF(ISNUMBER(J2974),ROUND(J2974,2),IFERROR(ROUND(VALUE(SUBSTITUTE(SUBSTITUTE(SUBSTITUTE(J2974,"$",""),",","")," ","")),2),"bad")))</f>
        <v/>
      </c>
      <c r="P2974">
        <f>IF(TRIM(K2974)="","",IFERROR(MATCH(LOWER(TRIM(K2974)),'Students'!$AH$2:$AH$701,0),IFERROR(MATCH(LOWER(TRIM(K2974)),'Students'!$AF$2:$AF$701,0),IFERROR(MATCH(LOWER(TRIM(K2974)),'Students'!$AG$2:$AG$701,0),""))))</f>
        <v/>
      </c>
      <c r="R2974">
        <f>IF(P2974="","",INDEX('Students'!$AD$2:$AD$701,P2974))</f>
        <v/>
      </c>
      <c r="S2974">
        <f>IF(H2974="OK",O2974,0)</f>
        <v/>
      </c>
      <c r="T2974">
        <f>IF(H2974="OK",N2974,"")</f>
        <v/>
      </c>
      <c r="U2974">
        <f>IF(OC_Donor=0,"",IF(INDEX('OneCause_Paste'!$A$2974:$AZ$2974,1,OC_Donor)="","",INDEX('OneCause_Paste'!$A$2974:$AZ$2974,1,OC_Donor)))</f>
        <v/>
      </c>
    </row>
    <row r="2975">
      <c r="A2975" s="62">
        <f>IF(H2975="","",IF(ISNUMBER(N2975),N2975,I2975))</f>
        <v/>
      </c>
      <c r="B2975">
        <f>IF(H2975="","",U2975)</f>
        <v/>
      </c>
      <c r="C2975">
        <f>IF(H2975="","",IF(P2975="",K2975,INDEX('Students'!$A$2:$A$701,P2975)))</f>
        <v/>
      </c>
      <c r="D2975">
        <f>IF(OR(H2975="",P2975=""),"",INDEX('Students'!$B$2:$B$701,P2975))</f>
        <v/>
      </c>
      <c r="E2975">
        <f>IF(OR(H2975="",P2975=""),"",INDEX('Students'!$C$2:$C$701,P2975))</f>
        <v/>
      </c>
      <c r="F2975" s="48">
        <f>IF(H2975="","",IF(ISNUMBER(O2975),O2975,J2975))</f>
        <v/>
      </c>
      <c r="G2975">
        <f>IF(H2975="","","OneCause")</f>
        <v/>
      </c>
      <c r="H2975">
        <f>IF(AND(I2975="",J2975="",K2975=""),"",IF(NOT(ISNUMBER(O2975)),"Bad amount",IF(O2975&lt;0,"Refund (not counted)",IF(O2975=0,"Zero amount",IF(NOT(ISNUMBER(N2975)),"Bad date",IF(P2975="","NAME NOT ON ROSTER",IF(L2975="","OK",IF(MATCH(L2975,$L$2:$L$3001,0)&lt;ROW()-1,"Duplicate (ignored)","OK"))))))))</f>
        <v/>
      </c>
      <c r="I2975">
        <f>IF(OC_Date=0,"",IF(INDEX('OneCause_Paste'!$A$2975:$AZ$2975,1,OC_Date)="","",INDEX('OneCause_Paste'!$A$2975:$AZ$2975,1,OC_Date)))</f>
        <v/>
      </c>
      <c r="J2975">
        <f>IF(OC_Amt=0,"",IF(INDEX('OneCause_Paste'!$A$2975:$AZ$2975,1,OC_Amt)="","",INDEX('OneCause_Paste'!$A$2975:$AZ$2975,1,OC_Amt)))</f>
        <v/>
      </c>
      <c r="K2975">
        <f>IF(OC_Name=0,"",IF(INDEX('OneCause_Paste'!$A$2975:$AZ$2975,1,OC_Name)="","",INDEX('OneCause_Paste'!$A$2975:$AZ$2975,1,OC_Name)))</f>
        <v/>
      </c>
      <c r="L2975">
        <f>IF(OC_Txn=0,"",IF(INDEX('OneCause_Paste'!$A$2975:$AZ$2975,1,OC_Txn)="","",INDEX('OneCause_Paste'!$A$2975:$AZ$2975,1,OC_Txn)))</f>
        <v/>
      </c>
      <c r="M2975">
        <f>IF(OC_Pay=0,"",IF(INDEX('OneCause_Paste'!$A$2975:$AZ$2975,1,OC_Pay)="","",INDEX('OneCause_Paste'!$A$2975:$AZ$2975,1,OC_Pay)))</f>
        <v/>
      </c>
      <c r="N2975">
        <f>IF(I2975="","",IF(ISNUMBER(I2975),INT(I2975),IFERROR(INT(DATEVALUE(I2975)),IFERROR(INT(VALUE(I2975)),"bad"))))</f>
        <v/>
      </c>
      <c r="O2975">
        <f>IF(J2975="","",IF(ISNUMBER(J2975),ROUND(J2975,2),IFERROR(ROUND(VALUE(SUBSTITUTE(SUBSTITUTE(SUBSTITUTE(J2975,"$",""),",","")," ","")),2),"bad")))</f>
        <v/>
      </c>
      <c r="P2975">
        <f>IF(TRIM(K2975)="","",IFERROR(MATCH(LOWER(TRIM(K2975)),'Students'!$AH$2:$AH$701,0),IFERROR(MATCH(LOWER(TRIM(K2975)),'Students'!$AF$2:$AF$701,0),IFERROR(MATCH(LOWER(TRIM(K2975)),'Students'!$AG$2:$AG$701,0),""))))</f>
        <v/>
      </c>
      <c r="R2975">
        <f>IF(P2975="","",INDEX('Students'!$AD$2:$AD$701,P2975))</f>
        <v/>
      </c>
      <c r="S2975">
        <f>IF(H2975="OK",O2975,0)</f>
        <v/>
      </c>
      <c r="T2975">
        <f>IF(H2975="OK",N2975,"")</f>
        <v/>
      </c>
      <c r="U2975">
        <f>IF(OC_Donor=0,"",IF(INDEX('OneCause_Paste'!$A$2975:$AZ$2975,1,OC_Donor)="","",INDEX('OneCause_Paste'!$A$2975:$AZ$2975,1,OC_Donor)))</f>
        <v/>
      </c>
    </row>
    <row r="2976">
      <c r="A2976" s="62">
        <f>IF(H2976="","",IF(ISNUMBER(N2976),N2976,I2976))</f>
        <v/>
      </c>
      <c r="B2976">
        <f>IF(H2976="","",U2976)</f>
        <v/>
      </c>
      <c r="C2976">
        <f>IF(H2976="","",IF(P2976="",K2976,INDEX('Students'!$A$2:$A$701,P2976)))</f>
        <v/>
      </c>
      <c r="D2976">
        <f>IF(OR(H2976="",P2976=""),"",INDEX('Students'!$B$2:$B$701,P2976))</f>
        <v/>
      </c>
      <c r="E2976">
        <f>IF(OR(H2976="",P2976=""),"",INDEX('Students'!$C$2:$C$701,P2976))</f>
        <v/>
      </c>
      <c r="F2976" s="48">
        <f>IF(H2976="","",IF(ISNUMBER(O2976),O2976,J2976))</f>
        <v/>
      </c>
      <c r="G2976">
        <f>IF(H2976="","","OneCause")</f>
        <v/>
      </c>
      <c r="H2976">
        <f>IF(AND(I2976="",J2976="",K2976=""),"",IF(NOT(ISNUMBER(O2976)),"Bad amount",IF(O2976&lt;0,"Refund (not counted)",IF(O2976=0,"Zero amount",IF(NOT(ISNUMBER(N2976)),"Bad date",IF(P2976="","NAME NOT ON ROSTER",IF(L2976="","OK",IF(MATCH(L2976,$L$2:$L$3001,0)&lt;ROW()-1,"Duplicate (ignored)","OK"))))))))</f>
        <v/>
      </c>
      <c r="I2976">
        <f>IF(OC_Date=0,"",IF(INDEX('OneCause_Paste'!$A$2976:$AZ$2976,1,OC_Date)="","",INDEX('OneCause_Paste'!$A$2976:$AZ$2976,1,OC_Date)))</f>
        <v/>
      </c>
      <c r="J2976">
        <f>IF(OC_Amt=0,"",IF(INDEX('OneCause_Paste'!$A$2976:$AZ$2976,1,OC_Amt)="","",INDEX('OneCause_Paste'!$A$2976:$AZ$2976,1,OC_Amt)))</f>
        <v/>
      </c>
      <c r="K2976">
        <f>IF(OC_Name=0,"",IF(INDEX('OneCause_Paste'!$A$2976:$AZ$2976,1,OC_Name)="","",INDEX('OneCause_Paste'!$A$2976:$AZ$2976,1,OC_Name)))</f>
        <v/>
      </c>
      <c r="L2976">
        <f>IF(OC_Txn=0,"",IF(INDEX('OneCause_Paste'!$A$2976:$AZ$2976,1,OC_Txn)="","",INDEX('OneCause_Paste'!$A$2976:$AZ$2976,1,OC_Txn)))</f>
        <v/>
      </c>
      <c r="M2976">
        <f>IF(OC_Pay=0,"",IF(INDEX('OneCause_Paste'!$A$2976:$AZ$2976,1,OC_Pay)="","",INDEX('OneCause_Paste'!$A$2976:$AZ$2976,1,OC_Pay)))</f>
        <v/>
      </c>
      <c r="N2976">
        <f>IF(I2976="","",IF(ISNUMBER(I2976),INT(I2976),IFERROR(INT(DATEVALUE(I2976)),IFERROR(INT(VALUE(I2976)),"bad"))))</f>
        <v/>
      </c>
      <c r="O2976">
        <f>IF(J2976="","",IF(ISNUMBER(J2976),ROUND(J2976,2),IFERROR(ROUND(VALUE(SUBSTITUTE(SUBSTITUTE(SUBSTITUTE(J2976,"$",""),",","")," ","")),2),"bad")))</f>
        <v/>
      </c>
      <c r="P2976">
        <f>IF(TRIM(K2976)="","",IFERROR(MATCH(LOWER(TRIM(K2976)),'Students'!$AH$2:$AH$701,0),IFERROR(MATCH(LOWER(TRIM(K2976)),'Students'!$AF$2:$AF$701,0),IFERROR(MATCH(LOWER(TRIM(K2976)),'Students'!$AG$2:$AG$701,0),""))))</f>
        <v/>
      </c>
      <c r="R2976">
        <f>IF(P2976="","",INDEX('Students'!$AD$2:$AD$701,P2976))</f>
        <v/>
      </c>
      <c r="S2976">
        <f>IF(H2976="OK",O2976,0)</f>
        <v/>
      </c>
      <c r="T2976">
        <f>IF(H2976="OK",N2976,"")</f>
        <v/>
      </c>
      <c r="U2976">
        <f>IF(OC_Donor=0,"",IF(INDEX('OneCause_Paste'!$A$2976:$AZ$2976,1,OC_Donor)="","",INDEX('OneCause_Paste'!$A$2976:$AZ$2976,1,OC_Donor)))</f>
        <v/>
      </c>
    </row>
    <row r="2977">
      <c r="A2977" s="62">
        <f>IF(H2977="","",IF(ISNUMBER(N2977),N2977,I2977))</f>
        <v/>
      </c>
      <c r="B2977">
        <f>IF(H2977="","",U2977)</f>
        <v/>
      </c>
      <c r="C2977">
        <f>IF(H2977="","",IF(P2977="",K2977,INDEX('Students'!$A$2:$A$701,P2977)))</f>
        <v/>
      </c>
      <c r="D2977">
        <f>IF(OR(H2977="",P2977=""),"",INDEX('Students'!$B$2:$B$701,P2977))</f>
        <v/>
      </c>
      <c r="E2977">
        <f>IF(OR(H2977="",P2977=""),"",INDEX('Students'!$C$2:$C$701,P2977))</f>
        <v/>
      </c>
      <c r="F2977" s="48">
        <f>IF(H2977="","",IF(ISNUMBER(O2977),O2977,J2977))</f>
        <v/>
      </c>
      <c r="G2977">
        <f>IF(H2977="","","OneCause")</f>
        <v/>
      </c>
      <c r="H2977">
        <f>IF(AND(I2977="",J2977="",K2977=""),"",IF(NOT(ISNUMBER(O2977)),"Bad amount",IF(O2977&lt;0,"Refund (not counted)",IF(O2977=0,"Zero amount",IF(NOT(ISNUMBER(N2977)),"Bad date",IF(P2977="","NAME NOT ON ROSTER",IF(L2977="","OK",IF(MATCH(L2977,$L$2:$L$3001,0)&lt;ROW()-1,"Duplicate (ignored)","OK"))))))))</f>
        <v/>
      </c>
      <c r="I2977">
        <f>IF(OC_Date=0,"",IF(INDEX('OneCause_Paste'!$A$2977:$AZ$2977,1,OC_Date)="","",INDEX('OneCause_Paste'!$A$2977:$AZ$2977,1,OC_Date)))</f>
        <v/>
      </c>
      <c r="J2977">
        <f>IF(OC_Amt=0,"",IF(INDEX('OneCause_Paste'!$A$2977:$AZ$2977,1,OC_Amt)="","",INDEX('OneCause_Paste'!$A$2977:$AZ$2977,1,OC_Amt)))</f>
        <v/>
      </c>
      <c r="K2977">
        <f>IF(OC_Name=0,"",IF(INDEX('OneCause_Paste'!$A$2977:$AZ$2977,1,OC_Name)="","",INDEX('OneCause_Paste'!$A$2977:$AZ$2977,1,OC_Name)))</f>
        <v/>
      </c>
      <c r="L2977">
        <f>IF(OC_Txn=0,"",IF(INDEX('OneCause_Paste'!$A$2977:$AZ$2977,1,OC_Txn)="","",INDEX('OneCause_Paste'!$A$2977:$AZ$2977,1,OC_Txn)))</f>
        <v/>
      </c>
      <c r="M2977">
        <f>IF(OC_Pay=0,"",IF(INDEX('OneCause_Paste'!$A$2977:$AZ$2977,1,OC_Pay)="","",INDEX('OneCause_Paste'!$A$2977:$AZ$2977,1,OC_Pay)))</f>
        <v/>
      </c>
      <c r="N2977">
        <f>IF(I2977="","",IF(ISNUMBER(I2977),INT(I2977),IFERROR(INT(DATEVALUE(I2977)),IFERROR(INT(VALUE(I2977)),"bad"))))</f>
        <v/>
      </c>
      <c r="O2977">
        <f>IF(J2977="","",IF(ISNUMBER(J2977),ROUND(J2977,2),IFERROR(ROUND(VALUE(SUBSTITUTE(SUBSTITUTE(SUBSTITUTE(J2977,"$",""),",","")," ","")),2),"bad")))</f>
        <v/>
      </c>
      <c r="P2977">
        <f>IF(TRIM(K2977)="","",IFERROR(MATCH(LOWER(TRIM(K2977)),'Students'!$AH$2:$AH$701,0),IFERROR(MATCH(LOWER(TRIM(K2977)),'Students'!$AF$2:$AF$701,0),IFERROR(MATCH(LOWER(TRIM(K2977)),'Students'!$AG$2:$AG$701,0),""))))</f>
        <v/>
      </c>
      <c r="R2977">
        <f>IF(P2977="","",INDEX('Students'!$AD$2:$AD$701,P2977))</f>
        <v/>
      </c>
      <c r="S2977">
        <f>IF(H2977="OK",O2977,0)</f>
        <v/>
      </c>
      <c r="T2977">
        <f>IF(H2977="OK",N2977,"")</f>
        <v/>
      </c>
      <c r="U2977">
        <f>IF(OC_Donor=0,"",IF(INDEX('OneCause_Paste'!$A$2977:$AZ$2977,1,OC_Donor)="","",INDEX('OneCause_Paste'!$A$2977:$AZ$2977,1,OC_Donor)))</f>
        <v/>
      </c>
    </row>
    <row r="2978">
      <c r="A2978" s="62">
        <f>IF(H2978="","",IF(ISNUMBER(N2978),N2978,I2978))</f>
        <v/>
      </c>
      <c r="B2978">
        <f>IF(H2978="","",U2978)</f>
        <v/>
      </c>
      <c r="C2978">
        <f>IF(H2978="","",IF(P2978="",K2978,INDEX('Students'!$A$2:$A$701,P2978)))</f>
        <v/>
      </c>
      <c r="D2978">
        <f>IF(OR(H2978="",P2978=""),"",INDEX('Students'!$B$2:$B$701,P2978))</f>
        <v/>
      </c>
      <c r="E2978">
        <f>IF(OR(H2978="",P2978=""),"",INDEX('Students'!$C$2:$C$701,P2978))</f>
        <v/>
      </c>
      <c r="F2978" s="48">
        <f>IF(H2978="","",IF(ISNUMBER(O2978),O2978,J2978))</f>
        <v/>
      </c>
      <c r="G2978">
        <f>IF(H2978="","","OneCause")</f>
        <v/>
      </c>
      <c r="H2978">
        <f>IF(AND(I2978="",J2978="",K2978=""),"",IF(NOT(ISNUMBER(O2978)),"Bad amount",IF(O2978&lt;0,"Refund (not counted)",IF(O2978=0,"Zero amount",IF(NOT(ISNUMBER(N2978)),"Bad date",IF(P2978="","NAME NOT ON ROSTER",IF(L2978="","OK",IF(MATCH(L2978,$L$2:$L$3001,0)&lt;ROW()-1,"Duplicate (ignored)","OK"))))))))</f>
        <v/>
      </c>
      <c r="I2978">
        <f>IF(OC_Date=0,"",IF(INDEX('OneCause_Paste'!$A$2978:$AZ$2978,1,OC_Date)="","",INDEX('OneCause_Paste'!$A$2978:$AZ$2978,1,OC_Date)))</f>
        <v/>
      </c>
      <c r="J2978">
        <f>IF(OC_Amt=0,"",IF(INDEX('OneCause_Paste'!$A$2978:$AZ$2978,1,OC_Amt)="","",INDEX('OneCause_Paste'!$A$2978:$AZ$2978,1,OC_Amt)))</f>
        <v/>
      </c>
      <c r="K2978">
        <f>IF(OC_Name=0,"",IF(INDEX('OneCause_Paste'!$A$2978:$AZ$2978,1,OC_Name)="","",INDEX('OneCause_Paste'!$A$2978:$AZ$2978,1,OC_Name)))</f>
        <v/>
      </c>
      <c r="L2978">
        <f>IF(OC_Txn=0,"",IF(INDEX('OneCause_Paste'!$A$2978:$AZ$2978,1,OC_Txn)="","",INDEX('OneCause_Paste'!$A$2978:$AZ$2978,1,OC_Txn)))</f>
        <v/>
      </c>
      <c r="M2978">
        <f>IF(OC_Pay=0,"",IF(INDEX('OneCause_Paste'!$A$2978:$AZ$2978,1,OC_Pay)="","",INDEX('OneCause_Paste'!$A$2978:$AZ$2978,1,OC_Pay)))</f>
        <v/>
      </c>
      <c r="N2978">
        <f>IF(I2978="","",IF(ISNUMBER(I2978),INT(I2978),IFERROR(INT(DATEVALUE(I2978)),IFERROR(INT(VALUE(I2978)),"bad"))))</f>
        <v/>
      </c>
      <c r="O2978">
        <f>IF(J2978="","",IF(ISNUMBER(J2978),ROUND(J2978,2),IFERROR(ROUND(VALUE(SUBSTITUTE(SUBSTITUTE(SUBSTITUTE(J2978,"$",""),",","")," ","")),2),"bad")))</f>
        <v/>
      </c>
      <c r="P2978">
        <f>IF(TRIM(K2978)="","",IFERROR(MATCH(LOWER(TRIM(K2978)),'Students'!$AH$2:$AH$701,0),IFERROR(MATCH(LOWER(TRIM(K2978)),'Students'!$AF$2:$AF$701,0),IFERROR(MATCH(LOWER(TRIM(K2978)),'Students'!$AG$2:$AG$701,0),""))))</f>
        <v/>
      </c>
      <c r="R2978">
        <f>IF(P2978="","",INDEX('Students'!$AD$2:$AD$701,P2978))</f>
        <v/>
      </c>
      <c r="S2978">
        <f>IF(H2978="OK",O2978,0)</f>
        <v/>
      </c>
      <c r="T2978">
        <f>IF(H2978="OK",N2978,"")</f>
        <v/>
      </c>
      <c r="U2978">
        <f>IF(OC_Donor=0,"",IF(INDEX('OneCause_Paste'!$A$2978:$AZ$2978,1,OC_Donor)="","",INDEX('OneCause_Paste'!$A$2978:$AZ$2978,1,OC_Donor)))</f>
        <v/>
      </c>
    </row>
    <row r="2979">
      <c r="A2979" s="62">
        <f>IF(H2979="","",IF(ISNUMBER(N2979),N2979,I2979))</f>
        <v/>
      </c>
      <c r="B2979">
        <f>IF(H2979="","",U2979)</f>
        <v/>
      </c>
      <c r="C2979">
        <f>IF(H2979="","",IF(P2979="",K2979,INDEX('Students'!$A$2:$A$701,P2979)))</f>
        <v/>
      </c>
      <c r="D2979">
        <f>IF(OR(H2979="",P2979=""),"",INDEX('Students'!$B$2:$B$701,P2979))</f>
        <v/>
      </c>
      <c r="E2979">
        <f>IF(OR(H2979="",P2979=""),"",INDEX('Students'!$C$2:$C$701,P2979))</f>
        <v/>
      </c>
      <c r="F2979" s="48">
        <f>IF(H2979="","",IF(ISNUMBER(O2979),O2979,J2979))</f>
        <v/>
      </c>
      <c r="G2979">
        <f>IF(H2979="","","OneCause")</f>
        <v/>
      </c>
      <c r="H2979">
        <f>IF(AND(I2979="",J2979="",K2979=""),"",IF(NOT(ISNUMBER(O2979)),"Bad amount",IF(O2979&lt;0,"Refund (not counted)",IF(O2979=0,"Zero amount",IF(NOT(ISNUMBER(N2979)),"Bad date",IF(P2979="","NAME NOT ON ROSTER",IF(L2979="","OK",IF(MATCH(L2979,$L$2:$L$3001,0)&lt;ROW()-1,"Duplicate (ignored)","OK"))))))))</f>
        <v/>
      </c>
      <c r="I2979">
        <f>IF(OC_Date=0,"",IF(INDEX('OneCause_Paste'!$A$2979:$AZ$2979,1,OC_Date)="","",INDEX('OneCause_Paste'!$A$2979:$AZ$2979,1,OC_Date)))</f>
        <v/>
      </c>
      <c r="J2979">
        <f>IF(OC_Amt=0,"",IF(INDEX('OneCause_Paste'!$A$2979:$AZ$2979,1,OC_Amt)="","",INDEX('OneCause_Paste'!$A$2979:$AZ$2979,1,OC_Amt)))</f>
        <v/>
      </c>
      <c r="K2979">
        <f>IF(OC_Name=0,"",IF(INDEX('OneCause_Paste'!$A$2979:$AZ$2979,1,OC_Name)="","",INDEX('OneCause_Paste'!$A$2979:$AZ$2979,1,OC_Name)))</f>
        <v/>
      </c>
      <c r="L2979">
        <f>IF(OC_Txn=0,"",IF(INDEX('OneCause_Paste'!$A$2979:$AZ$2979,1,OC_Txn)="","",INDEX('OneCause_Paste'!$A$2979:$AZ$2979,1,OC_Txn)))</f>
        <v/>
      </c>
      <c r="M2979">
        <f>IF(OC_Pay=0,"",IF(INDEX('OneCause_Paste'!$A$2979:$AZ$2979,1,OC_Pay)="","",INDEX('OneCause_Paste'!$A$2979:$AZ$2979,1,OC_Pay)))</f>
        <v/>
      </c>
      <c r="N2979">
        <f>IF(I2979="","",IF(ISNUMBER(I2979),INT(I2979),IFERROR(INT(DATEVALUE(I2979)),IFERROR(INT(VALUE(I2979)),"bad"))))</f>
        <v/>
      </c>
      <c r="O2979">
        <f>IF(J2979="","",IF(ISNUMBER(J2979),ROUND(J2979,2),IFERROR(ROUND(VALUE(SUBSTITUTE(SUBSTITUTE(SUBSTITUTE(J2979,"$",""),",","")," ","")),2),"bad")))</f>
        <v/>
      </c>
      <c r="P2979">
        <f>IF(TRIM(K2979)="","",IFERROR(MATCH(LOWER(TRIM(K2979)),'Students'!$AH$2:$AH$701,0),IFERROR(MATCH(LOWER(TRIM(K2979)),'Students'!$AF$2:$AF$701,0),IFERROR(MATCH(LOWER(TRIM(K2979)),'Students'!$AG$2:$AG$701,0),""))))</f>
        <v/>
      </c>
      <c r="R2979">
        <f>IF(P2979="","",INDEX('Students'!$AD$2:$AD$701,P2979))</f>
        <v/>
      </c>
      <c r="S2979">
        <f>IF(H2979="OK",O2979,0)</f>
        <v/>
      </c>
      <c r="T2979">
        <f>IF(H2979="OK",N2979,"")</f>
        <v/>
      </c>
      <c r="U2979">
        <f>IF(OC_Donor=0,"",IF(INDEX('OneCause_Paste'!$A$2979:$AZ$2979,1,OC_Donor)="","",INDEX('OneCause_Paste'!$A$2979:$AZ$2979,1,OC_Donor)))</f>
        <v/>
      </c>
    </row>
    <row r="2980">
      <c r="A2980" s="62">
        <f>IF(H2980="","",IF(ISNUMBER(N2980),N2980,I2980))</f>
        <v/>
      </c>
      <c r="B2980">
        <f>IF(H2980="","",U2980)</f>
        <v/>
      </c>
      <c r="C2980">
        <f>IF(H2980="","",IF(P2980="",K2980,INDEX('Students'!$A$2:$A$701,P2980)))</f>
        <v/>
      </c>
      <c r="D2980">
        <f>IF(OR(H2980="",P2980=""),"",INDEX('Students'!$B$2:$B$701,P2980))</f>
        <v/>
      </c>
      <c r="E2980">
        <f>IF(OR(H2980="",P2980=""),"",INDEX('Students'!$C$2:$C$701,P2980))</f>
        <v/>
      </c>
      <c r="F2980" s="48">
        <f>IF(H2980="","",IF(ISNUMBER(O2980),O2980,J2980))</f>
        <v/>
      </c>
      <c r="G2980">
        <f>IF(H2980="","","OneCause")</f>
        <v/>
      </c>
      <c r="H2980">
        <f>IF(AND(I2980="",J2980="",K2980=""),"",IF(NOT(ISNUMBER(O2980)),"Bad amount",IF(O2980&lt;0,"Refund (not counted)",IF(O2980=0,"Zero amount",IF(NOT(ISNUMBER(N2980)),"Bad date",IF(P2980="","NAME NOT ON ROSTER",IF(L2980="","OK",IF(MATCH(L2980,$L$2:$L$3001,0)&lt;ROW()-1,"Duplicate (ignored)","OK"))))))))</f>
        <v/>
      </c>
      <c r="I2980">
        <f>IF(OC_Date=0,"",IF(INDEX('OneCause_Paste'!$A$2980:$AZ$2980,1,OC_Date)="","",INDEX('OneCause_Paste'!$A$2980:$AZ$2980,1,OC_Date)))</f>
        <v/>
      </c>
      <c r="J2980">
        <f>IF(OC_Amt=0,"",IF(INDEX('OneCause_Paste'!$A$2980:$AZ$2980,1,OC_Amt)="","",INDEX('OneCause_Paste'!$A$2980:$AZ$2980,1,OC_Amt)))</f>
        <v/>
      </c>
      <c r="K2980">
        <f>IF(OC_Name=0,"",IF(INDEX('OneCause_Paste'!$A$2980:$AZ$2980,1,OC_Name)="","",INDEX('OneCause_Paste'!$A$2980:$AZ$2980,1,OC_Name)))</f>
        <v/>
      </c>
      <c r="L2980">
        <f>IF(OC_Txn=0,"",IF(INDEX('OneCause_Paste'!$A$2980:$AZ$2980,1,OC_Txn)="","",INDEX('OneCause_Paste'!$A$2980:$AZ$2980,1,OC_Txn)))</f>
        <v/>
      </c>
      <c r="M2980">
        <f>IF(OC_Pay=0,"",IF(INDEX('OneCause_Paste'!$A$2980:$AZ$2980,1,OC_Pay)="","",INDEX('OneCause_Paste'!$A$2980:$AZ$2980,1,OC_Pay)))</f>
        <v/>
      </c>
      <c r="N2980">
        <f>IF(I2980="","",IF(ISNUMBER(I2980),INT(I2980),IFERROR(INT(DATEVALUE(I2980)),IFERROR(INT(VALUE(I2980)),"bad"))))</f>
        <v/>
      </c>
      <c r="O2980">
        <f>IF(J2980="","",IF(ISNUMBER(J2980),ROUND(J2980,2),IFERROR(ROUND(VALUE(SUBSTITUTE(SUBSTITUTE(SUBSTITUTE(J2980,"$",""),",","")," ","")),2),"bad")))</f>
        <v/>
      </c>
      <c r="P2980">
        <f>IF(TRIM(K2980)="","",IFERROR(MATCH(LOWER(TRIM(K2980)),'Students'!$AH$2:$AH$701,0),IFERROR(MATCH(LOWER(TRIM(K2980)),'Students'!$AF$2:$AF$701,0),IFERROR(MATCH(LOWER(TRIM(K2980)),'Students'!$AG$2:$AG$701,0),""))))</f>
        <v/>
      </c>
      <c r="R2980">
        <f>IF(P2980="","",INDEX('Students'!$AD$2:$AD$701,P2980))</f>
        <v/>
      </c>
      <c r="S2980">
        <f>IF(H2980="OK",O2980,0)</f>
        <v/>
      </c>
      <c r="T2980">
        <f>IF(H2980="OK",N2980,"")</f>
        <v/>
      </c>
      <c r="U2980">
        <f>IF(OC_Donor=0,"",IF(INDEX('OneCause_Paste'!$A$2980:$AZ$2980,1,OC_Donor)="","",INDEX('OneCause_Paste'!$A$2980:$AZ$2980,1,OC_Donor)))</f>
        <v/>
      </c>
    </row>
    <row r="2981">
      <c r="A2981" s="62">
        <f>IF(H2981="","",IF(ISNUMBER(N2981),N2981,I2981))</f>
        <v/>
      </c>
      <c r="B2981">
        <f>IF(H2981="","",U2981)</f>
        <v/>
      </c>
      <c r="C2981">
        <f>IF(H2981="","",IF(P2981="",K2981,INDEX('Students'!$A$2:$A$701,P2981)))</f>
        <v/>
      </c>
      <c r="D2981">
        <f>IF(OR(H2981="",P2981=""),"",INDEX('Students'!$B$2:$B$701,P2981))</f>
        <v/>
      </c>
      <c r="E2981">
        <f>IF(OR(H2981="",P2981=""),"",INDEX('Students'!$C$2:$C$701,P2981))</f>
        <v/>
      </c>
      <c r="F2981" s="48">
        <f>IF(H2981="","",IF(ISNUMBER(O2981),O2981,J2981))</f>
        <v/>
      </c>
      <c r="G2981">
        <f>IF(H2981="","","OneCause")</f>
        <v/>
      </c>
      <c r="H2981">
        <f>IF(AND(I2981="",J2981="",K2981=""),"",IF(NOT(ISNUMBER(O2981)),"Bad amount",IF(O2981&lt;0,"Refund (not counted)",IF(O2981=0,"Zero amount",IF(NOT(ISNUMBER(N2981)),"Bad date",IF(P2981="","NAME NOT ON ROSTER",IF(L2981="","OK",IF(MATCH(L2981,$L$2:$L$3001,0)&lt;ROW()-1,"Duplicate (ignored)","OK"))))))))</f>
        <v/>
      </c>
      <c r="I2981">
        <f>IF(OC_Date=0,"",IF(INDEX('OneCause_Paste'!$A$2981:$AZ$2981,1,OC_Date)="","",INDEX('OneCause_Paste'!$A$2981:$AZ$2981,1,OC_Date)))</f>
        <v/>
      </c>
      <c r="J2981">
        <f>IF(OC_Amt=0,"",IF(INDEX('OneCause_Paste'!$A$2981:$AZ$2981,1,OC_Amt)="","",INDEX('OneCause_Paste'!$A$2981:$AZ$2981,1,OC_Amt)))</f>
        <v/>
      </c>
      <c r="K2981">
        <f>IF(OC_Name=0,"",IF(INDEX('OneCause_Paste'!$A$2981:$AZ$2981,1,OC_Name)="","",INDEX('OneCause_Paste'!$A$2981:$AZ$2981,1,OC_Name)))</f>
        <v/>
      </c>
      <c r="L2981">
        <f>IF(OC_Txn=0,"",IF(INDEX('OneCause_Paste'!$A$2981:$AZ$2981,1,OC_Txn)="","",INDEX('OneCause_Paste'!$A$2981:$AZ$2981,1,OC_Txn)))</f>
        <v/>
      </c>
      <c r="M2981">
        <f>IF(OC_Pay=0,"",IF(INDEX('OneCause_Paste'!$A$2981:$AZ$2981,1,OC_Pay)="","",INDEX('OneCause_Paste'!$A$2981:$AZ$2981,1,OC_Pay)))</f>
        <v/>
      </c>
      <c r="N2981">
        <f>IF(I2981="","",IF(ISNUMBER(I2981),INT(I2981),IFERROR(INT(DATEVALUE(I2981)),IFERROR(INT(VALUE(I2981)),"bad"))))</f>
        <v/>
      </c>
      <c r="O2981">
        <f>IF(J2981="","",IF(ISNUMBER(J2981),ROUND(J2981,2),IFERROR(ROUND(VALUE(SUBSTITUTE(SUBSTITUTE(SUBSTITUTE(J2981,"$",""),",","")," ","")),2),"bad")))</f>
        <v/>
      </c>
      <c r="P2981">
        <f>IF(TRIM(K2981)="","",IFERROR(MATCH(LOWER(TRIM(K2981)),'Students'!$AH$2:$AH$701,0),IFERROR(MATCH(LOWER(TRIM(K2981)),'Students'!$AF$2:$AF$701,0),IFERROR(MATCH(LOWER(TRIM(K2981)),'Students'!$AG$2:$AG$701,0),""))))</f>
        <v/>
      </c>
      <c r="R2981">
        <f>IF(P2981="","",INDEX('Students'!$AD$2:$AD$701,P2981))</f>
        <v/>
      </c>
      <c r="S2981">
        <f>IF(H2981="OK",O2981,0)</f>
        <v/>
      </c>
      <c r="T2981">
        <f>IF(H2981="OK",N2981,"")</f>
        <v/>
      </c>
      <c r="U2981">
        <f>IF(OC_Donor=0,"",IF(INDEX('OneCause_Paste'!$A$2981:$AZ$2981,1,OC_Donor)="","",INDEX('OneCause_Paste'!$A$2981:$AZ$2981,1,OC_Donor)))</f>
        <v/>
      </c>
    </row>
    <row r="2982">
      <c r="A2982" s="62">
        <f>IF(H2982="","",IF(ISNUMBER(N2982),N2982,I2982))</f>
        <v/>
      </c>
      <c r="B2982">
        <f>IF(H2982="","",U2982)</f>
        <v/>
      </c>
      <c r="C2982">
        <f>IF(H2982="","",IF(P2982="",K2982,INDEX('Students'!$A$2:$A$701,P2982)))</f>
        <v/>
      </c>
      <c r="D2982">
        <f>IF(OR(H2982="",P2982=""),"",INDEX('Students'!$B$2:$B$701,P2982))</f>
        <v/>
      </c>
      <c r="E2982">
        <f>IF(OR(H2982="",P2982=""),"",INDEX('Students'!$C$2:$C$701,P2982))</f>
        <v/>
      </c>
      <c r="F2982" s="48">
        <f>IF(H2982="","",IF(ISNUMBER(O2982),O2982,J2982))</f>
        <v/>
      </c>
      <c r="G2982">
        <f>IF(H2982="","","OneCause")</f>
        <v/>
      </c>
      <c r="H2982">
        <f>IF(AND(I2982="",J2982="",K2982=""),"",IF(NOT(ISNUMBER(O2982)),"Bad amount",IF(O2982&lt;0,"Refund (not counted)",IF(O2982=0,"Zero amount",IF(NOT(ISNUMBER(N2982)),"Bad date",IF(P2982="","NAME NOT ON ROSTER",IF(L2982="","OK",IF(MATCH(L2982,$L$2:$L$3001,0)&lt;ROW()-1,"Duplicate (ignored)","OK"))))))))</f>
        <v/>
      </c>
      <c r="I2982">
        <f>IF(OC_Date=0,"",IF(INDEX('OneCause_Paste'!$A$2982:$AZ$2982,1,OC_Date)="","",INDEX('OneCause_Paste'!$A$2982:$AZ$2982,1,OC_Date)))</f>
        <v/>
      </c>
      <c r="J2982">
        <f>IF(OC_Amt=0,"",IF(INDEX('OneCause_Paste'!$A$2982:$AZ$2982,1,OC_Amt)="","",INDEX('OneCause_Paste'!$A$2982:$AZ$2982,1,OC_Amt)))</f>
        <v/>
      </c>
      <c r="K2982">
        <f>IF(OC_Name=0,"",IF(INDEX('OneCause_Paste'!$A$2982:$AZ$2982,1,OC_Name)="","",INDEX('OneCause_Paste'!$A$2982:$AZ$2982,1,OC_Name)))</f>
        <v/>
      </c>
      <c r="L2982">
        <f>IF(OC_Txn=0,"",IF(INDEX('OneCause_Paste'!$A$2982:$AZ$2982,1,OC_Txn)="","",INDEX('OneCause_Paste'!$A$2982:$AZ$2982,1,OC_Txn)))</f>
        <v/>
      </c>
      <c r="M2982">
        <f>IF(OC_Pay=0,"",IF(INDEX('OneCause_Paste'!$A$2982:$AZ$2982,1,OC_Pay)="","",INDEX('OneCause_Paste'!$A$2982:$AZ$2982,1,OC_Pay)))</f>
        <v/>
      </c>
      <c r="N2982">
        <f>IF(I2982="","",IF(ISNUMBER(I2982),INT(I2982),IFERROR(INT(DATEVALUE(I2982)),IFERROR(INT(VALUE(I2982)),"bad"))))</f>
        <v/>
      </c>
      <c r="O2982">
        <f>IF(J2982="","",IF(ISNUMBER(J2982),ROUND(J2982,2),IFERROR(ROUND(VALUE(SUBSTITUTE(SUBSTITUTE(SUBSTITUTE(J2982,"$",""),",","")," ","")),2),"bad")))</f>
        <v/>
      </c>
      <c r="P2982">
        <f>IF(TRIM(K2982)="","",IFERROR(MATCH(LOWER(TRIM(K2982)),'Students'!$AH$2:$AH$701,0),IFERROR(MATCH(LOWER(TRIM(K2982)),'Students'!$AF$2:$AF$701,0),IFERROR(MATCH(LOWER(TRIM(K2982)),'Students'!$AG$2:$AG$701,0),""))))</f>
        <v/>
      </c>
      <c r="R2982">
        <f>IF(P2982="","",INDEX('Students'!$AD$2:$AD$701,P2982))</f>
        <v/>
      </c>
      <c r="S2982">
        <f>IF(H2982="OK",O2982,0)</f>
        <v/>
      </c>
      <c r="T2982">
        <f>IF(H2982="OK",N2982,"")</f>
        <v/>
      </c>
      <c r="U2982">
        <f>IF(OC_Donor=0,"",IF(INDEX('OneCause_Paste'!$A$2982:$AZ$2982,1,OC_Donor)="","",INDEX('OneCause_Paste'!$A$2982:$AZ$2982,1,OC_Donor)))</f>
        <v/>
      </c>
    </row>
    <row r="2983">
      <c r="A2983" s="62">
        <f>IF(H2983="","",IF(ISNUMBER(N2983),N2983,I2983))</f>
        <v/>
      </c>
      <c r="B2983">
        <f>IF(H2983="","",U2983)</f>
        <v/>
      </c>
      <c r="C2983">
        <f>IF(H2983="","",IF(P2983="",K2983,INDEX('Students'!$A$2:$A$701,P2983)))</f>
        <v/>
      </c>
      <c r="D2983">
        <f>IF(OR(H2983="",P2983=""),"",INDEX('Students'!$B$2:$B$701,P2983))</f>
        <v/>
      </c>
      <c r="E2983">
        <f>IF(OR(H2983="",P2983=""),"",INDEX('Students'!$C$2:$C$701,P2983))</f>
        <v/>
      </c>
      <c r="F2983" s="48">
        <f>IF(H2983="","",IF(ISNUMBER(O2983),O2983,J2983))</f>
        <v/>
      </c>
      <c r="G2983">
        <f>IF(H2983="","","OneCause")</f>
        <v/>
      </c>
      <c r="H2983">
        <f>IF(AND(I2983="",J2983="",K2983=""),"",IF(NOT(ISNUMBER(O2983)),"Bad amount",IF(O2983&lt;0,"Refund (not counted)",IF(O2983=0,"Zero amount",IF(NOT(ISNUMBER(N2983)),"Bad date",IF(P2983="","NAME NOT ON ROSTER",IF(L2983="","OK",IF(MATCH(L2983,$L$2:$L$3001,0)&lt;ROW()-1,"Duplicate (ignored)","OK"))))))))</f>
        <v/>
      </c>
      <c r="I2983">
        <f>IF(OC_Date=0,"",IF(INDEX('OneCause_Paste'!$A$2983:$AZ$2983,1,OC_Date)="","",INDEX('OneCause_Paste'!$A$2983:$AZ$2983,1,OC_Date)))</f>
        <v/>
      </c>
      <c r="J2983">
        <f>IF(OC_Amt=0,"",IF(INDEX('OneCause_Paste'!$A$2983:$AZ$2983,1,OC_Amt)="","",INDEX('OneCause_Paste'!$A$2983:$AZ$2983,1,OC_Amt)))</f>
        <v/>
      </c>
      <c r="K2983">
        <f>IF(OC_Name=0,"",IF(INDEX('OneCause_Paste'!$A$2983:$AZ$2983,1,OC_Name)="","",INDEX('OneCause_Paste'!$A$2983:$AZ$2983,1,OC_Name)))</f>
        <v/>
      </c>
      <c r="L2983">
        <f>IF(OC_Txn=0,"",IF(INDEX('OneCause_Paste'!$A$2983:$AZ$2983,1,OC_Txn)="","",INDEX('OneCause_Paste'!$A$2983:$AZ$2983,1,OC_Txn)))</f>
        <v/>
      </c>
      <c r="M2983">
        <f>IF(OC_Pay=0,"",IF(INDEX('OneCause_Paste'!$A$2983:$AZ$2983,1,OC_Pay)="","",INDEX('OneCause_Paste'!$A$2983:$AZ$2983,1,OC_Pay)))</f>
        <v/>
      </c>
      <c r="N2983">
        <f>IF(I2983="","",IF(ISNUMBER(I2983),INT(I2983),IFERROR(INT(DATEVALUE(I2983)),IFERROR(INT(VALUE(I2983)),"bad"))))</f>
        <v/>
      </c>
      <c r="O2983">
        <f>IF(J2983="","",IF(ISNUMBER(J2983),ROUND(J2983,2),IFERROR(ROUND(VALUE(SUBSTITUTE(SUBSTITUTE(SUBSTITUTE(J2983,"$",""),",","")," ","")),2),"bad")))</f>
        <v/>
      </c>
      <c r="P2983">
        <f>IF(TRIM(K2983)="","",IFERROR(MATCH(LOWER(TRIM(K2983)),'Students'!$AH$2:$AH$701,0),IFERROR(MATCH(LOWER(TRIM(K2983)),'Students'!$AF$2:$AF$701,0),IFERROR(MATCH(LOWER(TRIM(K2983)),'Students'!$AG$2:$AG$701,0),""))))</f>
        <v/>
      </c>
      <c r="R2983">
        <f>IF(P2983="","",INDEX('Students'!$AD$2:$AD$701,P2983))</f>
        <v/>
      </c>
      <c r="S2983">
        <f>IF(H2983="OK",O2983,0)</f>
        <v/>
      </c>
      <c r="T2983">
        <f>IF(H2983="OK",N2983,"")</f>
        <v/>
      </c>
      <c r="U2983">
        <f>IF(OC_Donor=0,"",IF(INDEX('OneCause_Paste'!$A$2983:$AZ$2983,1,OC_Donor)="","",INDEX('OneCause_Paste'!$A$2983:$AZ$2983,1,OC_Donor)))</f>
        <v/>
      </c>
    </row>
    <row r="2984">
      <c r="A2984" s="62">
        <f>IF(H2984="","",IF(ISNUMBER(N2984),N2984,I2984))</f>
        <v/>
      </c>
      <c r="B2984">
        <f>IF(H2984="","",U2984)</f>
        <v/>
      </c>
      <c r="C2984">
        <f>IF(H2984="","",IF(P2984="",K2984,INDEX('Students'!$A$2:$A$701,P2984)))</f>
        <v/>
      </c>
      <c r="D2984">
        <f>IF(OR(H2984="",P2984=""),"",INDEX('Students'!$B$2:$B$701,P2984))</f>
        <v/>
      </c>
      <c r="E2984">
        <f>IF(OR(H2984="",P2984=""),"",INDEX('Students'!$C$2:$C$701,P2984))</f>
        <v/>
      </c>
      <c r="F2984" s="48">
        <f>IF(H2984="","",IF(ISNUMBER(O2984),O2984,J2984))</f>
        <v/>
      </c>
      <c r="G2984">
        <f>IF(H2984="","","OneCause")</f>
        <v/>
      </c>
      <c r="H2984">
        <f>IF(AND(I2984="",J2984="",K2984=""),"",IF(NOT(ISNUMBER(O2984)),"Bad amount",IF(O2984&lt;0,"Refund (not counted)",IF(O2984=0,"Zero amount",IF(NOT(ISNUMBER(N2984)),"Bad date",IF(P2984="","NAME NOT ON ROSTER",IF(L2984="","OK",IF(MATCH(L2984,$L$2:$L$3001,0)&lt;ROW()-1,"Duplicate (ignored)","OK"))))))))</f>
        <v/>
      </c>
      <c r="I2984">
        <f>IF(OC_Date=0,"",IF(INDEX('OneCause_Paste'!$A$2984:$AZ$2984,1,OC_Date)="","",INDEX('OneCause_Paste'!$A$2984:$AZ$2984,1,OC_Date)))</f>
        <v/>
      </c>
      <c r="J2984">
        <f>IF(OC_Amt=0,"",IF(INDEX('OneCause_Paste'!$A$2984:$AZ$2984,1,OC_Amt)="","",INDEX('OneCause_Paste'!$A$2984:$AZ$2984,1,OC_Amt)))</f>
        <v/>
      </c>
      <c r="K2984">
        <f>IF(OC_Name=0,"",IF(INDEX('OneCause_Paste'!$A$2984:$AZ$2984,1,OC_Name)="","",INDEX('OneCause_Paste'!$A$2984:$AZ$2984,1,OC_Name)))</f>
        <v/>
      </c>
      <c r="L2984">
        <f>IF(OC_Txn=0,"",IF(INDEX('OneCause_Paste'!$A$2984:$AZ$2984,1,OC_Txn)="","",INDEX('OneCause_Paste'!$A$2984:$AZ$2984,1,OC_Txn)))</f>
        <v/>
      </c>
      <c r="M2984">
        <f>IF(OC_Pay=0,"",IF(INDEX('OneCause_Paste'!$A$2984:$AZ$2984,1,OC_Pay)="","",INDEX('OneCause_Paste'!$A$2984:$AZ$2984,1,OC_Pay)))</f>
        <v/>
      </c>
      <c r="N2984">
        <f>IF(I2984="","",IF(ISNUMBER(I2984),INT(I2984),IFERROR(INT(DATEVALUE(I2984)),IFERROR(INT(VALUE(I2984)),"bad"))))</f>
        <v/>
      </c>
      <c r="O2984">
        <f>IF(J2984="","",IF(ISNUMBER(J2984),ROUND(J2984,2),IFERROR(ROUND(VALUE(SUBSTITUTE(SUBSTITUTE(SUBSTITUTE(J2984,"$",""),",","")," ","")),2),"bad")))</f>
        <v/>
      </c>
      <c r="P2984">
        <f>IF(TRIM(K2984)="","",IFERROR(MATCH(LOWER(TRIM(K2984)),'Students'!$AH$2:$AH$701,0),IFERROR(MATCH(LOWER(TRIM(K2984)),'Students'!$AF$2:$AF$701,0),IFERROR(MATCH(LOWER(TRIM(K2984)),'Students'!$AG$2:$AG$701,0),""))))</f>
        <v/>
      </c>
      <c r="R2984">
        <f>IF(P2984="","",INDEX('Students'!$AD$2:$AD$701,P2984))</f>
        <v/>
      </c>
      <c r="S2984">
        <f>IF(H2984="OK",O2984,0)</f>
        <v/>
      </c>
      <c r="T2984">
        <f>IF(H2984="OK",N2984,"")</f>
        <v/>
      </c>
      <c r="U2984">
        <f>IF(OC_Donor=0,"",IF(INDEX('OneCause_Paste'!$A$2984:$AZ$2984,1,OC_Donor)="","",INDEX('OneCause_Paste'!$A$2984:$AZ$2984,1,OC_Donor)))</f>
        <v/>
      </c>
    </row>
    <row r="2985">
      <c r="A2985" s="62">
        <f>IF(H2985="","",IF(ISNUMBER(N2985),N2985,I2985))</f>
        <v/>
      </c>
      <c r="B2985">
        <f>IF(H2985="","",U2985)</f>
        <v/>
      </c>
      <c r="C2985">
        <f>IF(H2985="","",IF(P2985="",K2985,INDEX('Students'!$A$2:$A$701,P2985)))</f>
        <v/>
      </c>
      <c r="D2985">
        <f>IF(OR(H2985="",P2985=""),"",INDEX('Students'!$B$2:$B$701,P2985))</f>
        <v/>
      </c>
      <c r="E2985">
        <f>IF(OR(H2985="",P2985=""),"",INDEX('Students'!$C$2:$C$701,P2985))</f>
        <v/>
      </c>
      <c r="F2985" s="48">
        <f>IF(H2985="","",IF(ISNUMBER(O2985),O2985,J2985))</f>
        <v/>
      </c>
      <c r="G2985">
        <f>IF(H2985="","","OneCause")</f>
        <v/>
      </c>
      <c r="H2985">
        <f>IF(AND(I2985="",J2985="",K2985=""),"",IF(NOT(ISNUMBER(O2985)),"Bad amount",IF(O2985&lt;0,"Refund (not counted)",IF(O2985=0,"Zero amount",IF(NOT(ISNUMBER(N2985)),"Bad date",IF(P2985="","NAME NOT ON ROSTER",IF(L2985="","OK",IF(MATCH(L2985,$L$2:$L$3001,0)&lt;ROW()-1,"Duplicate (ignored)","OK"))))))))</f>
        <v/>
      </c>
      <c r="I2985">
        <f>IF(OC_Date=0,"",IF(INDEX('OneCause_Paste'!$A$2985:$AZ$2985,1,OC_Date)="","",INDEX('OneCause_Paste'!$A$2985:$AZ$2985,1,OC_Date)))</f>
        <v/>
      </c>
      <c r="J2985">
        <f>IF(OC_Amt=0,"",IF(INDEX('OneCause_Paste'!$A$2985:$AZ$2985,1,OC_Amt)="","",INDEX('OneCause_Paste'!$A$2985:$AZ$2985,1,OC_Amt)))</f>
        <v/>
      </c>
      <c r="K2985">
        <f>IF(OC_Name=0,"",IF(INDEX('OneCause_Paste'!$A$2985:$AZ$2985,1,OC_Name)="","",INDEX('OneCause_Paste'!$A$2985:$AZ$2985,1,OC_Name)))</f>
        <v/>
      </c>
      <c r="L2985">
        <f>IF(OC_Txn=0,"",IF(INDEX('OneCause_Paste'!$A$2985:$AZ$2985,1,OC_Txn)="","",INDEX('OneCause_Paste'!$A$2985:$AZ$2985,1,OC_Txn)))</f>
        <v/>
      </c>
      <c r="M2985">
        <f>IF(OC_Pay=0,"",IF(INDEX('OneCause_Paste'!$A$2985:$AZ$2985,1,OC_Pay)="","",INDEX('OneCause_Paste'!$A$2985:$AZ$2985,1,OC_Pay)))</f>
        <v/>
      </c>
      <c r="N2985">
        <f>IF(I2985="","",IF(ISNUMBER(I2985),INT(I2985),IFERROR(INT(DATEVALUE(I2985)),IFERROR(INT(VALUE(I2985)),"bad"))))</f>
        <v/>
      </c>
      <c r="O2985">
        <f>IF(J2985="","",IF(ISNUMBER(J2985),ROUND(J2985,2),IFERROR(ROUND(VALUE(SUBSTITUTE(SUBSTITUTE(SUBSTITUTE(J2985,"$",""),",","")," ","")),2),"bad")))</f>
        <v/>
      </c>
      <c r="P2985">
        <f>IF(TRIM(K2985)="","",IFERROR(MATCH(LOWER(TRIM(K2985)),'Students'!$AH$2:$AH$701,0),IFERROR(MATCH(LOWER(TRIM(K2985)),'Students'!$AF$2:$AF$701,0),IFERROR(MATCH(LOWER(TRIM(K2985)),'Students'!$AG$2:$AG$701,0),""))))</f>
        <v/>
      </c>
      <c r="R2985">
        <f>IF(P2985="","",INDEX('Students'!$AD$2:$AD$701,P2985))</f>
        <v/>
      </c>
      <c r="S2985">
        <f>IF(H2985="OK",O2985,0)</f>
        <v/>
      </c>
      <c r="T2985">
        <f>IF(H2985="OK",N2985,"")</f>
        <v/>
      </c>
      <c r="U2985">
        <f>IF(OC_Donor=0,"",IF(INDEX('OneCause_Paste'!$A$2985:$AZ$2985,1,OC_Donor)="","",INDEX('OneCause_Paste'!$A$2985:$AZ$2985,1,OC_Donor)))</f>
        <v/>
      </c>
    </row>
    <row r="2986">
      <c r="A2986" s="62">
        <f>IF(H2986="","",IF(ISNUMBER(N2986),N2986,I2986))</f>
        <v/>
      </c>
      <c r="B2986">
        <f>IF(H2986="","",U2986)</f>
        <v/>
      </c>
      <c r="C2986">
        <f>IF(H2986="","",IF(P2986="",K2986,INDEX('Students'!$A$2:$A$701,P2986)))</f>
        <v/>
      </c>
      <c r="D2986">
        <f>IF(OR(H2986="",P2986=""),"",INDEX('Students'!$B$2:$B$701,P2986))</f>
        <v/>
      </c>
      <c r="E2986">
        <f>IF(OR(H2986="",P2986=""),"",INDEX('Students'!$C$2:$C$701,P2986))</f>
        <v/>
      </c>
      <c r="F2986" s="48">
        <f>IF(H2986="","",IF(ISNUMBER(O2986),O2986,J2986))</f>
        <v/>
      </c>
      <c r="G2986">
        <f>IF(H2986="","","OneCause")</f>
        <v/>
      </c>
      <c r="H2986">
        <f>IF(AND(I2986="",J2986="",K2986=""),"",IF(NOT(ISNUMBER(O2986)),"Bad amount",IF(O2986&lt;0,"Refund (not counted)",IF(O2986=0,"Zero amount",IF(NOT(ISNUMBER(N2986)),"Bad date",IF(P2986="","NAME NOT ON ROSTER",IF(L2986="","OK",IF(MATCH(L2986,$L$2:$L$3001,0)&lt;ROW()-1,"Duplicate (ignored)","OK"))))))))</f>
        <v/>
      </c>
      <c r="I2986">
        <f>IF(OC_Date=0,"",IF(INDEX('OneCause_Paste'!$A$2986:$AZ$2986,1,OC_Date)="","",INDEX('OneCause_Paste'!$A$2986:$AZ$2986,1,OC_Date)))</f>
        <v/>
      </c>
      <c r="J2986">
        <f>IF(OC_Amt=0,"",IF(INDEX('OneCause_Paste'!$A$2986:$AZ$2986,1,OC_Amt)="","",INDEX('OneCause_Paste'!$A$2986:$AZ$2986,1,OC_Amt)))</f>
        <v/>
      </c>
      <c r="K2986">
        <f>IF(OC_Name=0,"",IF(INDEX('OneCause_Paste'!$A$2986:$AZ$2986,1,OC_Name)="","",INDEX('OneCause_Paste'!$A$2986:$AZ$2986,1,OC_Name)))</f>
        <v/>
      </c>
      <c r="L2986">
        <f>IF(OC_Txn=0,"",IF(INDEX('OneCause_Paste'!$A$2986:$AZ$2986,1,OC_Txn)="","",INDEX('OneCause_Paste'!$A$2986:$AZ$2986,1,OC_Txn)))</f>
        <v/>
      </c>
      <c r="M2986">
        <f>IF(OC_Pay=0,"",IF(INDEX('OneCause_Paste'!$A$2986:$AZ$2986,1,OC_Pay)="","",INDEX('OneCause_Paste'!$A$2986:$AZ$2986,1,OC_Pay)))</f>
        <v/>
      </c>
      <c r="N2986">
        <f>IF(I2986="","",IF(ISNUMBER(I2986),INT(I2986),IFERROR(INT(DATEVALUE(I2986)),IFERROR(INT(VALUE(I2986)),"bad"))))</f>
        <v/>
      </c>
      <c r="O2986">
        <f>IF(J2986="","",IF(ISNUMBER(J2986),ROUND(J2986,2),IFERROR(ROUND(VALUE(SUBSTITUTE(SUBSTITUTE(SUBSTITUTE(J2986,"$",""),",","")," ","")),2),"bad")))</f>
        <v/>
      </c>
      <c r="P2986">
        <f>IF(TRIM(K2986)="","",IFERROR(MATCH(LOWER(TRIM(K2986)),'Students'!$AH$2:$AH$701,0),IFERROR(MATCH(LOWER(TRIM(K2986)),'Students'!$AF$2:$AF$701,0),IFERROR(MATCH(LOWER(TRIM(K2986)),'Students'!$AG$2:$AG$701,0),""))))</f>
        <v/>
      </c>
      <c r="R2986">
        <f>IF(P2986="","",INDEX('Students'!$AD$2:$AD$701,P2986))</f>
        <v/>
      </c>
      <c r="S2986">
        <f>IF(H2986="OK",O2986,0)</f>
        <v/>
      </c>
      <c r="T2986">
        <f>IF(H2986="OK",N2986,"")</f>
        <v/>
      </c>
      <c r="U2986">
        <f>IF(OC_Donor=0,"",IF(INDEX('OneCause_Paste'!$A$2986:$AZ$2986,1,OC_Donor)="","",INDEX('OneCause_Paste'!$A$2986:$AZ$2986,1,OC_Donor)))</f>
        <v/>
      </c>
    </row>
    <row r="2987">
      <c r="A2987" s="62">
        <f>IF(H2987="","",IF(ISNUMBER(N2987),N2987,I2987))</f>
        <v/>
      </c>
      <c r="B2987">
        <f>IF(H2987="","",U2987)</f>
        <v/>
      </c>
      <c r="C2987">
        <f>IF(H2987="","",IF(P2987="",K2987,INDEX('Students'!$A$2:$A$701,P2987)))</f>
        <v/>
      </c>
      <c r="D2987">
        <f>IF(OR(H2987="",P2987=""),"",INDEX('Students'!$B$2:$B$701,P2987))</f>
        <v/>
      </c>
      <c r="E2987">
        <f>IF(OR(H2987="",P2987=""),"",INDEX('Students'!$C$2:$C$701,P2987))</f>
        <v/>
      </c>
      <c r="F2987" s="48">
        <f>IF(H2987="","",IF(ISNUMBER(O2987),O2987,J2987))</f>
        <v/>
      </c>
      <c r="G2987">
        <f>IF(H2987="","","OneCause")</f>
        <v/>
      </c>
      <c r="H2987">
        <f>IF(AND(I2987="",J2987="",K2987=""),"",IF(NOT(ISNUMBER(O2987)),"Bad amount",IF(O2987&lt;0,"Refund (not counted)",IF(O2987=0,"Zero amount",IF(NOT(ISNUMBER(N2987)),"Bad date",IF(P2987="","NAME NOT ON ROSTER",IF(L2987="","OK",IF(MATCH(L2987,$L$2:$L$3001,0)&lt;ROW()-1,"Duplicate (ignored)","OK"))))))))</f>
        <v/>
      </c>
      <c r="I2987">
        <f>IF(OC_Date=0,"",IF(INDEX('OneCause_Paste'!$A$2987:$AZ$2987,1,OC_Date)="","",INDEX('OneCause_Paste'!$A$2987:$AZ$2987,1,OC_Date)))</f>
        <v/>
      </c>
      <c r="J2987">
        <f>IF(OC_Amt=0,"",IF(INDEX('OneCause_Paste'!$A$2987:$AZ$2987,1,OC_Amt)="","",INDEX('OneCause_Paste'!$A$2987:$AZ$2987,1,OC_Amt)))</f>
        <v/>
      </c>
      <c r="K2987">
        <f>IF(OC_Name=0,"",IF(INDEX('OneCause_Paste'!$A$2987:$AZ$2987,1,OC_Name)="","",INDEX('OneCause_Paste'!$A$2987:$AZ$2987,1,OC_Name)))</f>
        <v/>
      </c>
      <c r="L2987">
        <f>IF(OC_Txn=0,"",IF(INDEX('OneCause_Paste'!$A$2987:$AZ$2987,1,OC_Txn)="","",INDEX('OneCause_Paste'!$A$2987:$AZ$2987,1,OC_Txn)))</f>
        <v/>
      </c>
      <c r="M2987">
        <f>IF(OC_Pay=0,"",IF(INDEX('OneCause_Paste'!$A$2987:$AZ$2987,1,OC_Pay)="","",INDEX('OneCause_Paste'!$A$2987:$AZ$2987,1,OC_Pay)))</f>
        <v/>
      </c>
      <c r="N2987">
        <f>IF(I2987="","",IF(ISNUMBER(I2987),INT(I2987),IFERROR(INT(DATEVALUE(I2987)),IFERROR(INT(VALUE(I2987)),"bad"))))</f>
        <v/>
      </c>
      <c r="O2987">
        <f>IF(J2987="","",IF(ISNUMBER(J2987),ROUND(J2987,2),IFERROR(ROUND(VALUE(SUBSTITUTE(SUBSTITUTE(SUBSTITUTE(J2987,"$",""),",","")," ","")),2),"bad")))</f>
        <v/>
      </c>
      <c r="P2987">
        <f>IF(TRIM(K2987)="","",IFERROR(MATCH(LOWER(TRIM(K2987)),'Students'!$AH$2:$AH$701,0),IFERROR(MATCH(LOWER(TRIM(K2987)),'Students'!$AF$2:$AF$701,0),IFERROR(MATCH(LOWER(TRIM(K2987)),'Students'!$AG$2:$AG$701,0),""))))</f>
        <v/>
      </c>
      <c r="R2987">
        <f>IF(P2987="","",INDEX('Students'!$AD$2:$AD$701,P2987))</f>
        <v/>
      </c>
      <c r="S2987">
        <f>IF(H2987="OK",O2987,0)</f>
        <v/>
      </c>
      <c r="T2987">
        <f>IF(H2987="OK",N2987,"")</f>
        <v/>
      </c>
      <c r="U2987">
        <f>IF(OC_Donor=0,"",IF(INDEX('OneCause_Paste'!$A$2987:$AZ$2987,1,OC_Donor)="","",INDEX('OneCause_Paste'!$A$2987:$AZ$2987,1,OC_Donor)))</f>
        <v/>
      </c>
    </row>
    <row r="2988">
      <c r="A2988" s="62">
        <f>IF(H2988="","",IF(ISNUMBER(N2988),N2988,I2988))</f>
        <v/>
      </c>
      <c r="B2988">
        <f>IF(H2988="","",U2988)</f>
        <v/>
      </c>
      <c r="C2988">
        <f>IF(H2988="","",IF(P2988="",K2988,INDEX('Students'!$A$2:$A$701,P2988)))</f>
        <v/>
      </c>
      <c r="D2988">
        <f>IF(OR(H2988="",P2988=""),"",INDEX('Students'!$B$2:$B$701,P2988))</f>
        <v/>
      </c>
      <c r="E2988">
        <f>IF(OR(H2988="",P2988=""),"",INDEX('Students'!$C$2:$C$701,P2988))</f>
        <v/>
      </c>
      <c r="F2988" s="48">
        <f>IF(H2988="","",IF(ISNUMBER(O2988),O2988,J2988))</f>
        <v/>
      </c>
      <c r="G2988">
        <f>IF(H2988="","","OneCause")</f>
        <v/>
      </c>
      <c r="H2988">
        <f>IF(AND(I2988="",J2988="",K2988=""),"",IF(NOT(ISNUMBER(O2988)),"Bad amount",IF(O2988&lt;0,"Refund (not counted)",IF(O2988=0,"Zero amount",IF(NOT(ISNUMBER(N2988)),"Bad date",IF(P2988="","NAME NOT ON ROSTER",IF(L2988="","OK",IF(MATCH(L2988,$L$2:$L$3001,0)&lt;ROW()-1,"Duplicate (ignored)","OK"))))))))</f>
        <v/>
      </c>
      <c r="I2988">
        <f>IF(OC_Date=0,"",IF(INDEX('OneCause_Paste'!$A$2988:$AZ$2988,1,OC_Date)="","",INDEX('OneCause_Paste'!$A$2988:$AZ$2988,1,OC_Date)))</f>
        <v/>
      </c>
      <c r="J2988">
        <f>IF(OC_Amt=0,"",IF(INDEX('OneCause_Paste'!$A$2988:$AZ$2988,1,OC_Amt)="","",INDEX('OneCause_Paste'!$A$2988:$AZ$2988,1,OC_Amt)))</f>
        <v/>
      </c>
      <c r="K2988">
        <f>IF(OC_Name=0,"",IF(INDEX('OneCause_Paste'!$A$2988:$AZ$2988,1,OC_Name)="","",INDEX('OneCause_Paste'!$A$2988:$AZ$2988,1,OC_Name)))</f>
        <v/>
      </c>
      <c r="L2988">
        <f>IF(OC_Txn=0,"",IF(INDEX('OneCause_Paste'!$A$2988:$AZ$2988,1,OC_Txn)="","",INDEX('OneCause_Paste'!$A$2988:$AZ$2988,1,OC_Txn)))</f>
        <v/>
      </c>
      <c r="M2988">
        <f>IF(OC_Pay=0,"",IF(INDEX('OneCause_Paste'!$A$2988:$AZ$2988,1,OC_Pay)="","",INDEX('OneCause_Paste'!$A$2988:$AZ$2988,1,OC_Pay)))</f>
        <v/>
      </c>
      <c r="N2988">
        <f>IF(I2988="","",IF(ISNUMBER(I2988),INT(I2988),IFERROR(INT(DATEVALUE(I2988)),IFERROR(INT(VALUE(I2988)),"bad"))))</f>
        <v/>
      </c>
      <c r="O2988">
        <f>IF(J2988="","",IF(ISNUMBER(J2988),ROUND(J2988,2),IFERROR(ROUND(VALUE(SUBSTITUTE(SUBSTITUTE(SUBSTITUTE(J2988,"$",""),",","")," ","")),2),"bad")))</f>
        <v/>
      </c>
      <c r="P2988">
        <f>IF(TRIM(K2988)="","",IFERROR(MATCH(LOWER(TRIM(K2988)),'Students'!$AH$2:$AH$701,0),IFERROR(MATCH(LOWER(TRIM(K2988)),'Students'!$AF$2:$AF$701,0),IFERROR(MATCH(LOWER(TRIM(K2988)),'Students'!$AG$2:$AG$701,0),""))))</f>
        <v/>
      </c>
      <c r="R2988">
        <f>IF(P2988="","",INDEX('Students'!$AD$2:$AD$701,P2988))</f>
        <v/>
      </c>
      <c r="S2988">
        <f>IF(H2988="OK",O2988,0)</f>
        <v/>
      </c>
      <c r="T2988">
        <f>IF(H2988="OK",N2988,"")</f>
        <v/>
      </c>
      <c r="U2988">
        <f>IF(OC_Donor=0,"",IF(INDEX('OneCause_Paste'!$A$2988:$AZ$2988,1,OC_Donor)="","",INDEX('OneCause_Paste'!$A$2988:$AZ$2988,1,OC_Donor)))</f>
        <v/>
      </c>
    </row>
    <row r="2989">
      <c r="A2989" s="62">
        <f>IF(H2989="","",IF(ISNUMBER(N2989),N2989,I2989))</f>
        <v/>
      </c>
      <c r="B2989">
        <f>IF(H2989="","",U2989)</f>
        <v/>
      </c>
      <c r="C2989">
        <f>IF(H2989="","",IF(P2989="",K2989,INDEX('Students'!$A$2:$A$701,P2989)))</f>
        <v/>
      </c>
      <c r="D2989">
        <f>IF(OR(H2989="",P2989=""),"",INDEX('Students'!$B$2:$B$701,P2989))</f>
        <v/>
      </c>
      <c r="E2989">
        <f>IF(OR(H2989="",P2989=""),"",INDEX('Students'!$C$2:$C$701,P2989))</f>
        <v/>
      </c>
      <c r="F2989" s="48">
        <f>IF(H2989="","",IF(ISNUMBER(O2989),O2989,J2989))</f>
        <v/>
      </c>
      <c r="G2989">
        <f>IF(H2989="","","OneCause")</f>
        <v/>
      </c>
      <c r="H2989">
        <f>IF(AND(I2989="",J2989="",K2989=""),"",IF(NOT(ISNUMBER(O2989)),"Bad amount",IF(O2989&lt;0,"Refund (not counted)",IF(O2989=0,"Zero amount",IF(NOT(ISNUMBER(N2989)),"Bad date",IF(P2989="","NAME NOT ON ROSTER",IF(L2989="","OK",IF(MATCH(L2989,$L$2:$L$3001,0)&lt;ROW()-1,"Duplicate (ignored)","OK"))))))))</f>
        <v/>
      </c>
      <c r="I2989">
        <f>IF(OC_Date=0,"",IF(INDEX('OneCause_Paste'!$A$2989:$AZ$2989,1,OC_Date)="","",INDEX('OneCause_Paste'!$A$2989:$AZ$2989,1,OC_Date)))</f>
        <v/>
      </c>
      <c r="J2989">
        <f>IF(OC_Amt=0,"",IF(INDEX('OneCause_Paste'!$A$2989:$AZ$2989,1,OC_Amt)="","",INDEX('OneCause_Paste'!$A$2989:$AZ$2989,1,OC_Amt)))</f>
        <v/>
      </c>
      <c r="K2989">
        <f>IF(OC_Name=0,"",IF(INDEX('OneCause_Paste'!$A$2989:$AZ$2989,1,OC_Name)="","",INDEX('OneCause_Paste'!$A$2989:$AZ$2989,1,OC_Name)))</f>
        <v/>
      </c>
      <c r="L2989">
        <f>IF(OC_Txn=0,"",IF(INDEX('OneCause_Paste'!$A$2989:$AZ$2989,1,OC_Txn)="","",INDEX('OneCause_Paste'!$A$2989:$AZ$2989,1,OC_Txn)))</f>
        <v/>
      </c>
      <c r="M2989">
        <f>IF(OC_Pay=0,"",IF(INDEX('OneCause_Paste'!$A$2989:$AZ$2989,1,OC_Pay)="","",INDEX('OneCause_Paste'!$A$2989:$AZ$2989,1,OC_Pay)))</f>
        <v/>
      </c>
      <c r="N2989">
        <f>IF(I2989="","",IF(ISNUMBER(I2989),INT(I2989),IFERROR(INT(DATEVALUE(I2989)),IFERROR(INT(VALUE(I2989)),"bad"))))</f>
        <v/>
      </c>
      <c r="O2989">
        <f>IF(J2989="","",IF(ISNUMBER(J2989),ROUND(J2989,2),IFERROR(ROUND(VALUE(SUBSTITUTE(SUBSTITUTE(SUBSTITUTE(J2989,"$",""),",","")," ","")),2),"bad")))</f>
        <v/>
      </c>
      <c r="P2989">
        <f>IF(TRIM(K2989)="","",IFERROR(MATCH(LOWER(TRIM(K2989)),'Students'!$AH$2:$AH$701,0),IFERROR(MATCH(LOWER(TRIM(K2989)),'Students'!$AF$2:$AF$701,0),IFERROR(MATCH(LOWER(TRIM(K2989)),'Students'!$AG$2:$AG$701,0),""))))</f>
        <v/>
      </c>
      <c r="R2989">
        <f>IF(P2989="","",INDEX('Students'!$AD$2:$AD$701,P2989))</f>
        <v/>
      </c>
      <c r="S2989">
        <f>IF(H2989="OK",O2989,0)</f>
        <v/>
      </c>
      <c r="T2989">
        <f>IF(H2989="OK",N2989,"")</f>
        <v/>
      </c>
      <c r="U2989">
        <f>IF(OC_Donor=0,"",IF(INDEX('OneCause_Paste'!$A$2989:$AZ$2989,1,OC_Donor)="","",INDEX('OneCause_Paste'!$A$2989:$AZ$2989,1,OC_Donor)))</f>
        <v/>
      </c>
    </row>
    <row r="2990">
      <c r="A2990" s="62">
        <f>IF(H2990="","",IF(ISNUMBER(N2990),N2990,I2990))</f>
        <v/>
      </c>
      <c r="B2990">
        <f>IF(H2990="","",U2990)</f>
        <v/>
      </c>
      <c r="C2990">
        <f>IF(H2990="","",IF(P2990="",K2990,INDEX('Students'!$A$2:$A$701,P2990)))</f>
        <v/>
      </c>
      <c r="D2990">
        <f>IF(OR(H2990="",P2990=""),"",INDEX('Students'!$B$2:$B$701,P2990))</f>
        <v/>
      </c>
      <c r="E2990">
        <f>IF(OR(H2990="",P2990=""),"",INDEX('Students'!$C$2:$C$701,P2990))</f>
        <v/>
      </c>
      <c r="F2990" s="48">
        <f>IF(H2990="","",IF(ISNUMBER(O2990),O2990,J2990))</f>
        <v/>
      </c>
      <c r="G2990">
        <f>IF(H2990="","","OneCause")</f>
        <v/>
      </c>
      <c r="H2990">
        <f>IF(AND(I2990="",J2990="",K2990=""),"",IF(NOT(ISNUMBER(O2990)),"Bad amount",IF(O2990&lt;0,"Refund (not counted)",IF(O2990=0,"Zero amount",IF(NOT(ISNUMBER(N2990)),"Bad date",IF(P2990="","NAME NOT ON ROSTER",IF(L2990="","OK",IF(MATCH(L2990,$L$2:$L$3001,0)&lt;ROW()-1,"Duplicate (ignored)","OK"))))))))</f>
        <v/>
      </c>
      <c r="I2990">
        <f>IF(OC_Date=0,"",IF(INDEX('OneCause_Paste'!$A$2990:$AZ$2990,1,OC_Date)="","",INDEX('OneCause_Paste'!$A$2990:$AZ$2990,1,OC_Date)))</f>
        <v/>
      </c>
      <c r="J2990">
        <f>IF(OC_Amt=0,"",IF(INDEX('OneCause_Paste'!$A$2990:$AZ$2990,1,OC_Amt)="","",INDEX('OneCause_Paste'!$A$2990:$AZ$2990,1,OC_Amt)))</f>
        <v/>
      </c>
      <c r="K2990">
        <f>IF(OC_Name=0,"",IF(INDEX('OneCause_Paste'!$A$2990:$AZ$2990,1,OC_Name)="","",INDEX('OneCause_Paste'!$A$2990:$AZ$2990,1,OC_Name)))</f>
        <v/>
      </c>
      <c r="L2990">
        <f>IF(OC_Txn=0,"",IF(INDEX('OneCause_Paste'!$A$2990:$AZ$2990,1,OC_Txn)="","",INDEX('OneCause_Paste'!$A$2990:$AZ$2990,1,OC_Txn)))</f>
        <v/>
      </c>
      <c r="M2990">
        <f>IF(OC_Pay=0,"",IF(INDEX('OneCause_Paste'!$A$2990:$AZ$2990,1,OC_Pay)="","",INDEX('OneCause_Paste'!$A$2990:$AZ$2990,1,OC_Pay)))</f>
        <v/>
      </c>
      <c r="N2990">
        <f>IF(I2990="","",IF(ISNUMBER(I2990),INT(I2990),IFERROR(INT(DATEVALUE(I2990)),IFERROR(INT(VALUE(I2990)),"bad"))))</f>
        <v/>
      </c>
      <c r="O2990">
        <f>IF(J2990="","",IF(ISNUMBER(J2990),ROUND(J2990,2),IFERROR(ROUND(VALUE(SUBSTITUTE(SUBSTITUTE(SUBSTITUTE(J2990,"$",""),",","")," ","")),2),"bad")))</f>
        <v/>
      </c>
      <c r="P2990">
        <f>IF(TRIM(K2990)="","",IFERROR(MATCH(LOWER(TRIM(K2990)),'Students'!$AH$2:$AH$701,0),IFERROR(MATCH(LOWER(TRIM(K2990)),'Students'!$AF$2:$AF$701,0),IFERROR(MATCH(LOWER(TRIM(K2990)),'Students'!$AG$2:$AG$701,0),""))))</f>
        <v/>
      </c>
      <c r="R2990">
        <f>IF(P2990="","",INDEX('Students'!$AD$2:$AD$701,P2990))</f>
        <v/>
      </c>
      <c r="S2990">
        <f>IF(H2990="OK",O2990,0)</f>
        <v/>
      </c>
      <c r="T2990">
        <f>IF(H2990="OK",N2990,"")</f>
        <v/>
      </c>
      <c r="U2990">
        <f>IF(OC_Donor=0,"",IF(INDEX('OneCause_Paste'!$A$2990:$AZ$2990,1,OC_Donor)="","",INDEX('OneCause_Paste'!$A$2990:$AZ$2990,1,OC_Donor)))</f>
        <v/>
      </c>
    </row>
    <row r="2991">
      <c r="A2991" s="62">
        <f>IF(H2991="","",IF(ISNUMBER(N2991),N2991,I2991))</f>
        <v/>
      </c>
      <c r="B2991">
        <f>IF(H2991="","",U2991)</f>
        <v/>
      </c>
      <c r="C2991">
        <f>IF(H2991="","",IF(P2991="",K2991,INDEX('Students'!$A$2:$A$701,P2991)))</f>
        <v/>
      </c>
      <c r="D2991">
        <f>IF(OR(H2991="",P2991=""),"",INDEX('Students'!$B$2:$B$701,P2991))</f>
        <v/>
      </c>
      <c r="E2991">
        <f>IF(OR(H2991="",P2991=""),"",INDEX('Students'!$C$2:$C$701,P2991))</f>
        <v/>
      </c>
      <c r="F2991" s="48">
        <f>IF(H2991="","",IF(ISNUMBER(O2991),O2991,J2991))</f>
        <v/>
      </c>
      <c r="G2991">
        <f>IF(H2991="","","OneCause")</f>
        <v/>
      </c>
      <c r="H2991">
        <f>IF(AND(I2991="",J2991="",K2991=""),"",IF(NOT(ISNUMBER(O2991)),"Bad amount",IF(O2991&lt;0,"Refund (not counted)",IF(O2991=0,"Zero amount",IF(NOT(ISNUMBER(N2991)),"Bad date",IF(P2991="","NAME NOT ON ROSTER",IF(L2991="","OK",IF(MATCH(L2991,$L$2:$L$3001,0)&lt;ROW()-1,"Duplicate (ignored)","OK"))))))))</f>
        <v/>
      </c>
      <c r="I2991">
        <f>IF(OC_Date=0,"",IF(INDEX('OneCause_Paste'!$A$2991:$AZ$2991,1,OC_Date)="","",INDEX('OneCause_Paste'!$A$2991:$AZ$2991,1,OC_Date)))</f>
        <v/>
      </c>
      <c r="J2991">
        <f>IF(OC_Amt=0,"",IF(INDEX('OneCause_Paste'!$A$2991:$AZ$2991,1,OC_Amt)="","",INDEX('OneCause_Paste'!$A$2991:$AZ$2991,1,OC_Amt)))</f>
        <v/>
      </c>
      <c r="K2991">
        <f>IF(OC_Name=0,"",IF(INDEX('OneCause_Paste'!$A$2991:$AZ$2991,1,OC_Name)="","",INDEX('OneCause_Paste'!$A$2991:$AZ$2991,1,OC_Name)))</f>
        <v/>
      </c>
      <c r="L2991">
        <f>IF(OC_Txn=0,"",IF(INDEX('OneCause_Paste'!$A$2991:$AZ$2991,1,OC_Txn)="","",INDEX('OneCause_Paste'!$A$2991:$AZ$2991,1,OC_Txn)))</f>
        <v/>
      </c>
      <c r="M2991">
        <f>IF(OC_Pay=0,"",IF(INDEX('OneCause_Paste'!$A$2991:$AZ$2991,1,OC_Pay)="","",INDEX('OneCause_Paste'!$A$2991:$AZ$2991,1,OC_Pay)))</f>
        <v/>
      </c>
      <c r="N2991">
        <f>IF(I2991="","",IF(ISNUMBER(I2991),INT(I2991),IFERROR(INT(DATEVALUE(I2991)),IFERROR(INT(VALUE(I2991)),"bad"))))</f>
        <v/>
      </c>
      <c r="O2991">
        <f>IF(J2991="","",IF(ISNUMBER(J2991),ROUND(J2991,2),IFERROR(ROUND(VALUE(SUBSTITUTE(SUBSTITUTE(SUBSTITUTE(J2991,"$",""),",","")," ","")),2),"bad")))</f>
        <v/>
      </c>
      <c r="P2991">
        <f>IF(TRIM(K2991)="","",IFERROR(MATCH(LOWER(TRIM(K2991)),'Students'!$AH$2:$AH$701,0),IFERROR(MATCH(LOWER(TRIM(K2991)),'Students'!$AF$2:$AF$701,0),IFERROR(MATCH(LOWER(TRIM(K2991)),'Students'!$AG$2:$AG$701,0),""))))</f>
        <v/>
      </c>
      <c r="R2991">
        <f>IF(P2991="","",INDEX('Students'!$AD$2:$AD$701,P2991))</f>
        <v/>
      </c>
      <c r="S2991">
        <f>IF(H2991="OK",O2991,0)</f>
        <v/>
      </c>
      <c r="T2991">
        <f>IF(H2991="OK",N2991,"")</f>
        <v/>
      </c>
      <c r="U2991">
        <f>IF(OC_Donor=0,"",IF(INDEX('OneCause_Paste'!$A$2991:$AZ$2991,1,OC_Donor)="","",INDEX('OneCause_Paste'!$A$2991:$AZ$2991,1,OC_Donor)))</f>
        <v/>
      </c>
    </row>
    <row r="2992">
      <c r="A2992" s="62">
        <f>IF(H2992="","",IF(ISNUMBER(N2992),N2992,I2992))</f>
        <v/>
      </c>
      <c r="B2992">
        <f>IF(H2992="","",U2992)</f>
        <v/>
      </c>
      <c r="C2992">
        <f>IF(H2992="","",IF(P2992="",K2992,INDEX('Students'!$A$2:$A$701,P2992)))</f>
        <v/>
      </c>
      <c r="D2992">
        <f>IF(OR(H2992="",P2992=""),"",INDEX('Students'!$B$2:$B$701,P2992))</f>
        <v/>
      </c>
      <c r="E2992">
        <f>IF(OR(H2992="",P2992=""),"",INDEX('Students'!$C$2:$C$701,P2992))</f>
        <v/>
      </c>
      <c r="F2992" s="48">
        <f>IF(H2992="","",IF(ISNUMBER(O2992),O2992,J2992))</f>
        <v/>
      </c>
      <c r="G2992">
        <f>IF(H2992="","","OneCause")</f>
        <v/>
      </c>
      <c r="H2992">
        <f>IF(AND(I2992="",J2992="",K2992=""),"",IF(NOT(ISNUMBER(O2992)),"Bad amount",IF(O2992&lt;0,"Refund (not counted)",IF(O2992=0,"Zero amount",IF(NOT(ISNUMBER(N2992)),"Bad date",IF(P2992="","NAME NOT ON ROSTER",IF(L2992="","OK",IF(MATCH(L2992,$L$2:$L$3001,0)&lt;ROW()-1,"Duplicate (ignored)","OK"))))))))</f>
        <v/>
      </c>
      <c r="I2992">
        <f>IF(OC_Date=0,"",IF(INDEX('OneCause_Paste'!$A$2992:$AZ$2992,1,OC_Date)="","",INDEX('OneCause_Paste'!$A$2992:$AZ$2992,1,OC_Date)))</f>
        <v/>
      </c>
      <c r="J2992">
        <f>IF(OC_Amt=0,"",IF(INDEX('OneCause_Paste'!$A$2992:$AZ$2992,1,OC_Amt)="","",INDEX('OneCause_Paste'!$A$2992:$AZ$2992,1,OC_Amt)))</f>
        <v/>
      </c>
      <c r="K2992">
        <f>IF(OC_Name=0,"",IF(INDEX('OneCause_Paste'!$A$2992:$AZ$2992,1,OC_Name)="","",INDEX('OneCause_Paste'!$A$2992:$AZ$2992,1,OC_Name)))</f>
        <v/>
      </c>
      <c r="L2992">
        <f>IF(OC_Txn=0,"",IF(INDEX('OneCause_Paste'!$A$2992:$AZ$2992,1,OC_Txn)="","",INDEX('OneCause_Paste'!$A$2992:$AZ$2992,1,OC_Txn)))</f>
        <v/>
      </c>
      <c r="M2992">
        <f>IF(OC_Pay=0,"",IF(INDEX('OneCause_Paste'!$A$2992:$AZ$2992,1,OC_Pay)="","",INDEX('OneCause_Paste'!$A$2992:$AZ$2992,1,OC_Pay)))</f>
        <v/>
      </c>
      <c r="N2992">
        <f>IF(I2992="","",IF(ISNUMBER(I2992),INT(I2992),IFERROR(INT(DATEVALUE(I2992)),IFERROR(INT(VALUE(I2992)),"bad"))))</f>
        <v/>
      </c>
      <c r="O2992">
        <f>IF(J2992="","",IF(ISNUMBER(J2992),ROUND(J2992,2),IFERROR(ROUND(VALUE(SUBSTITUTE(SUBSTITUTE(SUBSTITUTE(J2992,"$",""),",","")," ","")),2),"bad")))</f>
        <v/>
      </c>
      <c r="P2992">
        <f>IF(TRIM(K2992)="","",IFERROR(MATCH(LOWER(TRIM(K2992)),'Students'!$AH$2:$AH$701,0),IFERROR(MATCH(LOWER(TRIM(K2992)),'Students'!$AF$2:$AF$701,0),IFERROR(MATCH(LOWER(TRIM(K2992)),'Students'!$AG$2:$AG$701,0),""))))</f>
        <v/>
      </c>
      <c r="R2992">
        <f>IF(P2992="","",INDEX('Students'!$AD$2:$AD$701,P2992))</f>
        <v/>
      </c>
      <c r="S2992">
        <f>IF(H2992="OK",O2992,0)</f>
        <v/>
      </c>
      <c r="T2992">
        <f>IF(H2992="OK",N2992,"")</f>
        <v/>
      </c>
      <c r="U2992">
        <f>IF(OC_Donor=0,"",IF(INDEX('OneCause_Paste'!$A$2992:$AZ$2992,1,OC_Donor)="","",INDEX('OneCause_Paste'!$A$2992:$AZ$2992,1,OC_Donor)))</f>
        <v/>
      </c>
    </row>
    <row r="2993">
      <c r="A2993" s="62">
        <f>IF(H2993="","",IF(ISNUMBER(N2993),N2993,I2993))</f>
        <v/>
      </c>
      <c r="B2993">
        <f>IF(H2993="","",U2993)</f>
        <v/>
      </c>
      <c r="C2993">
        <f>IF(H2993="","",IF(P2993="",K2993,INDEX('Students'!$A$2:$A$701,P2993)))</f>
        <v/>
      </c>
      <c r="D2993">
        <f>IF(OR(H2993="",P2993=""),"",INDEX('Students'!$B$2:$B$701,P2993))</f>
        <v/>
      </c>
      <c r="E2993">
        <f>IF(OR(H2993="",P2993=""),"",INDEX('Students'!$C$2:$C$701,P2993))</f>
        <v/>
      </c>
      <c r="F2993" s="48">
        <f>IF(H2993="","",IF(ISNUMBER(O2993),O2993,J2993))</f>
        <v/>
      </c>
      <c r="G2993">
        <f>IF(H2993="","","OneCause")</f>
        <v/>
      </c>
      <c r="H2993">
        <f>IF(AND(I2993="",J2993="",K2993=""),"",IF(NOT(ISNUMBER(O2993)),"Bad amount",IF(O2993&lt;0,"Refund (not counted)",IF(O2993=0,"Zero amount",IF(NOT(ISNUMBER(N2993)),"Bad date",IF(P2993="","NAME NOT ON ROSTER",IF(L2993="","OK",IF(MATCH(L2993,$L$2:$L$3001,0)&lt;ROW()-1,"Duplicate (ignored)","OK"))))))))</f>
        <v/>
      </c>
      <c r="I2993">
        <f>IF(OC_Date=0,"",IF(INDEX('OneCause_Paste'!$A$2993:$AZ$2993,1,OC_Date)="","",INDEX('OneCause_Paste'!$A$2993:$AZ$2993,1,OC_Date)))</f>
        <v/>
      </c>
      <c r="J2993">
        <f>IF(OC_Amt=0,"",IF(INDEX('OneCause_Paste'!$A$2993:$AZ$2993,1,OC_Amt)="","",INDEX('OneCause_Paste'!$A$2993:$AZ$2993,1,OC_Amt)))</f>
        <v/>
      </c>
      <c r="K2993">
        <f>IF(OC_Name=0,"",IF(INDEX('OneCause_Paste'!$A$2993:$AZ$2993,1,OC_Name)="","",INDEX('OneCause_Paste'!$A$2993:$AZ$2993,1,OC_Name)))</f>
        <v/>
      </c>
      <c r="L2993">
        <f>IF(OC_Txn=0,"",IF(INDEX('OneCause_Paste'!$A$2993:$AZ$2993,1,OC_Txn)="","",INDEX('OneCause_Paste'!$A$2993:$AZ$2993,1,OC_Txn)))</f>
        <v/>
      </c>
      <c r="M2993">
        <f>IF(OC_Pay=0,"",IF(INDEX('OneCause_Paste'!$A$2993:$AZ$2993,1,OC_Pay)="","",INDEX('OneCause_Paste'!$A$2993:$AZ$2993,1,OC_Pay)))</f>
        <v/>
      </c>
      <c r="N2993">
        <f>IF(I2993="","",IF(ISNUMBER(I2993),INT(I2993),IFERROR(INT(DATEVALUE(I2993)),IFERROR(INT(VALUE(I2993)),"bad"))))</f>
        <v/>
      </c>
      <c r="O2993">
        <f>IF(J2993="","",IF(ISNUMBER(J2993),ROUND(J2993,2),IFERROR(ROUND(VALUE(SUBSTITUTE(SUBSTITUTE(SUBSTITUTE(J2993,"$",""),",","")," ","")),2),"bad")))</f>
        <v/>
      </c>
      <c r="P2993">
        <f>IF(TRIM(K2993)="","",IFERROR(MATCH(LOWER(TRIM(K2993)),'Students'!$AH$2:$AH$701,0),IFERROR(MATCH(LOWER(TRIM(K2993)),'Students'!$AF$2:$AF$701,0),IFERROR(MATCH(LOWER(TRIM(K2993)),'Students'!$AG$2:$AG$701,0),""))))</f>
        <v/>
      </c>
      <c r="R2993">
        <f>IF(P2993="","",INDEX('Students'!$AD$2:$AD$701,P2993))</f>
        <v/>
      </c>
      <c r="S2993">
        <f>IF(H2993="OK",O2993,0)</f>
        <v/>
      </c>
      <c r="T2993">
        <f>IF(H2993="OK",N2993,"")</f>
        <v/>
      </c>
      <c r="U2993">
        <f>IF(OC_Donor=0,"",IF(INDEX('OneCause_Paste'!$A$2993:$AZ$2993,1,OC_Donor)="","",INDEX('OneCause_Paste'!$A$2993:$AZ$2993,1,OC_Donor)))</f>
        <v/>
      </c>
    </row>
    <row r="2994">
      <c r="A2994" s="62">
        <f>IF(H2994="","",IF(ISNUMBER(N2994),N2994,I2994))</f>
        <v/>
      </c>
      <c r="B2994">
        <f>IF(H2994="","",U2994)</f>
        <v/>
      </c>
      <c r="C2994">
        <f>IF(H2994="","",IF(P2994="",K2994,INDEX('Students'!$A$2:$A$701,P2994)))</f>
        <v/>
      </c>
      <c r="D2994">
        <f>IF(OR(H2994="",P2994=""),"",INDEX('Students'!$B$2:$B$701,P2994))</f>
        <v/>
      </c>
      <c r="E2994">
        <f>IF(OR(H2994="",P2994=""),"",INDEX('Students'!$C$2:$C$701,P2994))</f>
        <v/>
      </c>
      <c r="F2994" s="48">
        <f>IF(H2994="","",IF(ISNUMBER(O2994),O2994,J2994))</f>
        <v/>
      </c>
      <c r="G2994">
        <f>IF(H2994="","","OneCause")</f>
        <v/>
      </c>
      <c r="H2994">
        <f>IF(AND(I2994="",J2994="",K2994=""),"",IF(NOT(ISNUMBER(O2994)),"Bad amount",IF(O2994&lt;0,"Refund (not counted)",IF(O2994=0,"Zero amount",IF(NOT(ISNUMBER(N2994)),"Bad date",IF(P2994="","NAME NOT ON ROSTER",IF(L2994="","OK",IF(MATCH(L2994,$L$2:$L$3001,0)&lt;ROW()-1,"Duplicate (ignored)","OK"))))))))</f>
        <v/>
      </c>
      <c r="I2994">
        <f>IF(OC_Date=0,"",IF(INDEX('OneCause_Paste'!$A$2994:$AZ$2994,1,OC_Date)="","",INDEX('OneCause_Paste'!$A$2994:$AZ$2994,1,OC_Date)))</f>
        <v/>
      </c>
      <c r="J2994">
        <f>IF(OC_Amt=0,"",IF(INDEX('OneCause_Paste'!$A$2994:$AZ$2994,1,OC_Amt)="","",INDEX('OneCause_Paste'!$A$2994:$AZ$2994,1,OC_Amt)))</f>
        <v/>
      </c>
      <c r="K2994">
        <f>IF(OC_Name=0,"",IF(INDEX('OneCause_Paste'!$A$2994:$AZ$2994,1,OC_Name)="","",INDEX('OneCause_Paste'!$A$2994:$AZ$2994,1,OC_Name)))</f>
        <v/>
      </c>
      <c r="L2994">
        <f>IF(OC_Txn=0,"",IF(INDEX('OneCause_Paste'!$A$2994:$AZ$2994,1,OC_Txn)="","",INDEX('OneCause_Paste'!$A$2994:$AZ$2994,1,OC_Txn)))</f>
        <v/>
      </c>
      <c r="M2994">
        <f>IF(OC_Pay=0,"",IF(INDEX('OneCause_Paste'!$A$2994:$AZ$2994,1,OC_Pay)="","",INDEX('OneCause_Paste'!$A$2994:$AZ$2994,1,OC_Pay)))</f>
        <v/>
      </c>
      <c r="N2994">
        <f>IF(I2994="","",IF(ISNUMBER(I2994),INT(I2994),IFERROR(INT(DATEVALUE(I2994)),IFERROR(INT(VALUE(I2994)),"bad"))))</f>
        <v/>
      </c>
      <c r="O2994">
        <f>IF(J2994="","",IF(ISNUMBER(J2994),ROUND(J2994,2),IFERROR(ROUND(VALUE(SUBSTITUTE(SUBSTITUTE(SUBSTITUTE(J2994,"$",""),",","")," ","")),2),"bad")))</f>
        <v/>
      </c>
      <c r="P2994">
        <f>IF(TRIM(K2994)="","",IFERROR(MATCH(LOWER(TRIM(K2994)),'Students'!$AH$2:$AH$701,0),IFERROR(MATCH(LOWER(TRIM(K2994)),'Students'!$AF$2:$AF$701,0),IFERROR(MATCH(LOWER(TRIM(K2994)),'Students'!$AG$2:$AG$701,0),""))))</f>
        <v/>
      </c>
      <c r="R2994">
        <f>IF(P2994="","",INDEX('Students'!$AD$2:$AD$701,P2994))</f>
        <v/>
      </c>
      <c r="S2994">
        <f>IF(H2994="OK",O2994,0)</f>
        <v/>
      </c>
      <c r="T2994">
        <f>IF(H2994="OK",N2994,"")</f>
        <v/>
      </c>
      <c r="U2994">
        <f>IF(OC_Donor=0,"",IF(INDEX('OneCause_Paste'!$A$2994:$AZ$2994,1,OC_Donor)="","",INDEX('OneCause_Paste'!$A$2994:$AZ$2994,1,OC_Donor)))</f>
        <v/>
      </c>
    </row>
    <row r="2995">
      <c r="A2995" s="62">
        <f>IF(H2995="","",IF(ISNUMBER(N2995),N2995,I2995))</f>
        <v/>
      </c>
      <c r="B2995">
        <f>IF(H2995="","",U2995)</f>
        <v/>
      </c>
      <c r="C2995">
        <f>IF(H2995="","",IF(P2995="",K2995,INDEX('Students'!$A$2:$A$701,P2995)))</f>
        <v/>
      </c>
      <c r="D2995">
        <f>IF(OR(H2995="",P2995=""),"",INDEX('Students'!$B$2:$B$701,P2995))</f>
        <v/>
      </c>
      <c r="E2995">
        <f>IF(OR(H2995="",P2995=""),"",INDEX('Students'!$C$2:$C$701,P2995))</f>
        <v/>
      </c>
      <c r="F2995" s="48">
        <f>IF(H2995="","",IF(ISNUMBER(O2995),O2995,J2995))</f>
        <v/>
      </c>
      <c r="G2995">
        <f>IF(H2995="","","OneCause")</f>
        <v/>
      </c>
      <c r="H2995">
        <f>IF(AND(I2995="",J2995="",K2995=""),"",IF(NOT(ISNUMBER(O2995)),"Bad amount",IF(O2995&lt;0,"Refund (not counted)",IF(O2995=0,"Zero amount",IF(NOT(ISNUMBER(N2995)),"Bad date",IF(P2995="","NAME NOT ON ROSTER",IF(L2995="","OK",IF(MATCH(L2995,$L$2:$L$3001,0)&lt;ROW()-1,"Duplicate (ignored)","OK"))))))))</f>
        <v/>
      </c>
      <c r="I2995">
        <f>IF(OC_Date=0,"",IF(INDEX('OneCause_Paste'!$A$2995:$AZ$2995,1,OC_Date)="","",INDEX('OneCause_Paste'!$A$2995:$AZ$2995,1,OC_Date)))</f>
        <v/>
      </c>
      <c r="J2995">
        <f>IF(OC_Amt=0,"",IF(INDEX('OneCause_Paste'!$A$2995:$AZ$2995,1,OC_Amt)="","",INDEX('OneCause_Paste'!$A$2995:$AZ$2995,1,OC_Amt)))</f>
        <v/>
      </c>
      <c r="K2995">
        <f>IF(OC_Name=0,"",IF(INDEX('OneCause_Paste'!$A$2995:$AZ$2995,1,OC_Name)="","",INDEX('OneCause_Paste'!$A$2995:$AZ$2995,1,OC_Name)))</f>
        <v/>
      </c>
      <c r="L2995">
        <f>IF(OC_Txn=0,"",IF(INDEX('OneCause_Paste'!$A$2995:$AZ$2995,1,OC_Txn)="","",INDEX('OneCause_Paste'!$A$2995:$AZ$2995,1,OC_Txn)))</f>
        <v/>
      </c>
      <c r="M2995">
        <f>IF(OC_Pay=0,"",IF(INDEX('OneCause_Paste'!$A$2995:$AZ$2995,1,OC_Pay)="","",INDEX('OneCause_Paste'!$A$2995:$AZ$2995,1,OC_Pay)))</f>
        <v/>
      </c>
      <c r="N2995">
        <f>IF(I2995="","",IF(ISNUMBER(I2995),INT(I2995),IFERROR(INT(DATEVALUE(I2995)),IFERROR(INT(VALUE(I2995)),"bad"))))</f>
        <v/>
      </c>
      <c r="O2995">
        <f>IF(J2995="","",IF(ISNUMBER(J2995),ROUND(J2995,2),IFERROR(ROUND(VALUE(SUBSTITUTE(SUBSTITUTE(SUBSTITUTE(J2995,"$",""),",","")," ","")),2),"bad")))</f>
        <v/>
      </c>
      <c r="P2995">
        <f>IF(TRIM(K2995)="","",IFERROR(MATCH(LOWER(TRIM(K2995)),'Students'!$AH$2:$AH$701,0),IFERROR(MATCH(LOWER(TRIM(K2995)),'Students'!$AF$2:$AF$701,0),IFERROR(MATCH(LOWER(TRIM(K2995)),'Students'!$AG$2:$AG$701,0),""))))</f>
        <v/>
      </c>
      <c r="R2995">
        <f>IF(P2995="","",INDEX('Students'!$AD$2:$AD$701,P2995))</f>
        <v/>
      </c>
      <c r="S2995">
        <f>IF(H2995="OK",O2995,0)</f>
        <v/>
      </c>
      <c r="T2995">
        <f>IF(H2995="OK",N2995,"")</f>
        <v/>
      </c>
      <c r="U2995">
        <f>IF(OC_Donor=0,"",IF(INDEX('OneCause_Paste'!$A$2995:$AZ$2995,1,OC_Donor)="","",INDEX('OneCause_Paste'!$A$2995:$AZ$2995,1,OC_Donor)))</f>
        <v/>
      </c>
    </row>
    <row r="2996">
      <c r="A2996" s="62">
        <f>IF(H2996="","",IF(ISNUMBER(N2996),N2996,I2996))</f>
        <v/>
      </c>
      <c r="B2996">
        <f>IF(H2996="","",U2996)</f>
        <v/>
      </c>
      <c r="C2996">
        <f>IF(H2996="","",IF(P2996="",K2996,INDEX('Students'!$A$2:$A$701,P2996)))</f>
        <v/>
      </c>
      <c r="D2996">
        <f>IF(OR(H2996="",P2996=""),"",INDEX('Students'!$B$2:$B$701,P2996))</f>
        <v/>
      </c>
      <c r="E2996">
        <f>IF(OR(H2996="",P2996=""),"",INDEX('Students'!$C$2:$C$701,P2996))</f>
        <v/>
      </c>
      <c r="F2996" s="48">
        <f>IF(H2996="","",IF(ISNUMBER(O2996),O2996,J2996))</f>
        <v/>
      </c>
      <c r="G2996">
        <f>IF(H2996="","","OneCause")</f>
        <v/>
      </c>
      <c r="H2996">
        <f>IF(AND(I2996="",J2996="",K2996=""),"",IF(NOT(ISNUMBER(O2996)),"Bad amount",IF(O2996&lt;0,"Refund (not counted)",IF(O2996=0,"Zero amount",IF(NOT(ISNUMBER(N2996)),"Bad date",IF(P2996="","NAME NOT ON ROSTER",IF(L2996="","OK",IF(MATCH(L2996,$L$2:$L$3001,0)&lt;ROW()-1,"Duplicate (ignored)","OK"))))))))</f>
        <v/>
      </c>
      <c r="I2996">
        <f>IF(OC_Date=0,"",IF(INDEX('OneCause_Paste'!$A$2996:$AZ$2996,1,OC_Date)="","",INDEX('OneCause_Paste'!$A$2996:$AZ$2996,1,OC_Date)))</f>
        <v/>
      </c>
      <c r="J2996">
        <f>IF(OC_Amt=0,"",IF(INDEX('OneCause_Paste'!$A$2996:$AZ$2996,1,OC_Amt)="","",INDEX('OneCause_Paste'!$A$2996:$AZ$2996,1,OC_Amt)))</f>
        <v/>
      </c>
      <c r="K2996">
        <f>IF(OC_Name=0,"",IF(INDEX('OneCause_Paste'!$A$2996:$AZ$2996,1,OC_Name)="","",INDEX('OneCause_Paste'!$A$2996:$AZ$2996,1,OC_Name)))</f>
        <v/>
      </c>
      <c r="L2996">
        <f>IF(OC_Txn=0,"",IF(INDEX('OneCause_Paste'!$A$2996:$AZ$2996,1,OC_Txn)="","",INDEX('OneCause_Paste'!$A$2996:$AZ$2996,1,OC_Txn)))</f>
        <v/>
      </c>
      <c r="M2996">
        <f>IF(OC_Pay=0,"",IF(INDEX('OneCause_Paste'!$A$2996:$AZ$2996,1,OC_Pay)="","",INDEX('OneCause_Paste'!$A$2996:$AZ$2996,1,OC_Pay)))</f>
        <v/>
      </c>
      <c r="N2996">
        <f>IF(I2996="","",IF(ISNUMBER(I2996),INT(I2996),IFERROR(INT(DATEVALUE(I2996)),IFERROR(INT(VALUE(I2996)),"bad"))))</f>
        <v/>
      </c>
      <c r="O2996">
        <f>IF(J2996="","",IF(ISNUMBER(J2996),ROUND(J2996,2),IFERROR(ROUND(VALUE(SUBSTITUTE(SUBSTITUTE(SUBSTITUTE(J2996,"$",""),",","")," ","")),2),"bad")))</f>
        <v/>
      </c>
      <c r="P2996">
        <f>IF(TRIM(K2996)="","",IFERROR(MATCH(LOWER(TRIM(K2996)),'Students'!$AH$2:$AH$701,0),IFERROR(MATCH(LOWER(TRIM(K2996)),'Students'!$AF$2:$AF$701,0),IFERROR(MATCH(LOWER(TRIM(K2996)),'Students'!$AG$2:$AG$701,0),""))))</f>
        <v/>
      </c>
      <c r="R2996">
        <f>IF(P2996="","",INDEX('Students'!$AD$2:$AD$701,P2996))</f>
        <v/>
      </c>
      <c r="S2996">
        <f>IF(H2996="OK",O2996,0)</f>
        <v/>
      </c>
      <c r="T2996">
        <f>IF(H2996="OK",N2996,"")</f>
        <v/>
      </c>
      <c r="U2996">
        <f>IF(OC_Donor=0,"",IF(INDEX('OneCause_Paste'!$A$2996:$AZ$2996,1,OC_Donor)="","",INDEX('OneCause_Paste'!$A$2996:$AZ$2996,1,OC_Donor)))</f>
        <v/>
      </c>
    </row>
    <row r="2997">
      <c r="A2997" s="62">
        <f>IF(H2997="","",IF(ISNUMBER(N2997),N2997,I2997))</f>
        <v/>
      </c>
      <c r="B2997">
        <f>IF(H2997="","",U2997)</f>
        <v/>
      </c>
      <c r="C2997">
        <f>IF(H2997="","",IF(P2997="",K2997,INDEX('Students'!$A$2:$A$701,P2997)))</f>
        <v/>
      </c>
      <c r="D2997">
        <f>IF(OR(H2997="",P2997=""),"",INDEX('Students'!$B$2:$B$701,P2997))</f>
        <v/>
      </c>
      <c r="E2997">
        <f>IF(OR(H2997="",P2997=""),"",INDEX('Students'!$C$2:$C$701,P2997))</f>
        <v/>
      </c>
      <c r="F2997" s="48">
        <f>IF(H2997="","",IF(ISNUMBER(O2997),O2997,J2997))</f>
        <v/>
      </c>
      <c r="G2997">
        <f>IF(H2997="","","OneCause")</f>
        <v/>
      </c>
      <c r="H2997">
        <f>IF(AND(I2997="",J2997="",K2997=""),"",IF(NOT(ISNUMBER(O2997)),"Bad amount",IF(O2997&lt;0,"Refund (not counted)",IF(O2997=0,"Zero amount",IF(NOT(ISNUMBER(N2997)),"Bad date",IF(P2997="","NAME NOT ON ROSTER",IF(L2997="","OK",IF(MATCH(L2997,$L$2:$L$3001,0)&lt;ROW()-1,"Duplicate (ignored)","OK"))))))))</f>
        <v/>
      </c>
      <c r="I2997">
        <f>IF(OC_Date=0,"",IF(INDEX('OneCause_Paste'!$A$2997:$AZ$2997,1,OC_Date)="","",INDEX('OneCause_Paste'!$A$2997:$AZ$2997,1,OC_Date)))</f>
        <v/>
      </c>
      <c r="J2997">
        <f>IF(OC_Amt=0,"",IF(INDEX('OneCause_Paste'!$A$2997:$AZ$2997,1,OC_Amt)="","",INDEX('OneCause_Paste'!$A$2997:$AZ$2997,1,OC_Amt)))</f>
        <v/>
      </c>
      <c r="K2997">
        <f>IF(OC_Name=0,"",IF(INDEX('OneCause_Paste'!$A$2997:$AZ$2997,1,OC_Name)="","",INDEX('OneCause_Paste'!$A$2997:$AZ$2997,1,OC_Name)))</f>
        <v/>
      </c>
      <c r="L2997">
        <f>IF(OC_Txn=0,"",IF(INDEX('OneCause_Paste'!$A$2997:$AZ$2997,1,OC_Txn)="","",INDEX('OneCause_Paste'!$A$2997:$AZ$2997,1,OC_Txn)))</f>
        <v/>
      </c>
      <c r="M2997">
        <f>IF(OC_Pay=0,"",IF(INDEX('OneCause_Paste'!$A$2997:$AZ$2997,1,OC_Pay)="","",INDEX('OneCause_Paste'!$A$2997:$AZ$2997,1,OC_Pay)))</f>
        <v/>
      </c>
      <c r="N2997">
        <f>IF(I2997="","",IF(ISNUMBER(I2997),INT(I2997),IFERROR(INT(DATEVALUE(I2997)),IFERROR(INT(VALUE(I2997)),"bad"))))</f>
        <v/>
      </c>
      <c r="O2997">
        <f>IF(J2997="","",IF(ISNUMBER(J2997),ROUND(J2997,2),IFERROR(ROUND(VALUE(SUBSTITUTE(SUBSTITUTE(SUBSTITUTE(J2997,"$",""),",","")," ","")),2),"bad")))</f>
        <v/>
      </c>
      <c r="P2997">
        <f>IF(TRIM(K2997)="","",IFERROR(MATCH(LOWER(TRIM(K2997)),'Students'!$AH$2:$AH$701,0),IFERROR(MATCH(LOWER(TRIM(K2997)),'Students'!$AF$2:$AF$701,0),IFERROR(MATCH(LOWER(TRIM(K2997)),'Students'!$AG$2:$AG$701,0),""))))</f>
        <v/>
      </c>
      <c r="R2997">
        <f>IF(P2997="","",INDEX('Students'!$AD$2:$AD$701,P2997))</f>
        <v/>
      </c>
      <c r="S2997">
        <f>IF(H2997="OK",O2997,0)</f>
        <v/>
      </c>
      <c r="T2997">
        <f>IF(H2997="OK",N2997,"")</f>
        <v/>
      </c>
      <c r="U2997">
        <f>IF(OC_Donor=0,"",IF(INDEX('OneCause_Paste'!$A$2997:$AZ$2997,1,OC_Donor)="","",INDEX('OneCause_Paste'!$A$2997:$AZ$2997,1,OC_Donor)))</f>
        <v/>
      </c>
    </row>
    <row r="2998">
      <c r="A2998" s="62">
        <f>IF(H2998="","",IF(ISNUMBER(N2998),N2998,I2998))</f>
        <v/>
      </c>
      <c r="B2998">
        <f>IF(H2998="","",U2998)</f>
        <v/>
      </c>
      <c r="C2998">
        <f>IF(H2998="","",IF(P2998="",K2998,INDEX('Students'!$A$2:$A$701,P2998)))</f>
        <v/>
      </c>
      <c r="D2998">
        <f>IF(OR(H2998="",P2998=""),"",INDEX('Students'!$B$2:$B$701,P2998))</f>
        <v/>
      </c>
      <c r="E2998">
        <f>IF(OR(H2998="",P2998=""),"",INDEX('Students'!$C$2:$C$701,P2998))</f>
        <v/>
      </c>
      <c r="F2998" s="48">
        <f>IF(H2998="","",IF(ISNUMBER(O2998),O2998,J2998))</f>
        <v/>
      </c>
      <c r="G2998">
        <f>IF(H2998="","","OneCause")</f>
        <v/>
      </c>
      <c r="H2998">
        <f>IF(AND(I2998="",J2998="",K2998=""),"",IF(NOT(ISNUMBER(O2998)),"Bad amount",IF(O2998&lt;0,"Refund (not counted)",IF(O2998=0,"Zero amount",IF(NOT(ISNUMBER(N2998)),"Bad date",IF(P2998="","NAME NOT ON ROSTER",IF(L2998="","OK",IF(MATCH(L2998,$L$2:$L$3001,0)&lt;ROW()-1,"Duplicate (ignored)","OK"))))))))</f>
        <v/>
      </c>
      <c r="I2998">
        <f>IF(OC_Date=0,"",IF(INDEX('OneCause_Paste'!$A$2998:$AZ$2998,1,OC_Date)="","",INDEX('OneCause_Paste'!$A$2998:$AZ$2998,1,OC_Date)))</f>
        <v/>
      </c>
      <c r="J2998">
        <f>IF(OC_Amt=0,"",IF(INDEX('OneCause_Paste'!$A$2998:$AZ$2998,1,OC_Amt)="","",INDEX('OneCause_Paste'!$A$2998:$AZ$2998,1,OC_Amt)))</f>
        <v/>
      </c>
      <c r="K2998">
        <f>IF(OC_Name=0,"",IF(INDEX('OneCause_Paste'!$A$2998:$AZ$2998,1,OC_Name)="","",INDEX('OneCause_Paste'!$A$2998:$AZ$2998,1,OC_Name)))</f>
        <v/>
      </c>
      <c r="L2998">
        <f>IF(OC_Txn=0,"",IF(INDEX('OneCause_Paste'!$A$2998:$AZ$2998,1,OC_Txn)="","",INDEX('OneCause_Paste'!$A$2998:$AZ$2998,1,OC_Txn)))</f>
        <v/>
      </c>
      <c r="M2998">
        <f>IF(OC_Pay=0,"",IF(INDEX('OneCause_Paste'!$A$2998:$AZ$2998,1,OC_Pay)="","",INDEX('OneCause_Paste'!$A$2998:$AZ$2998,1,OC_Pay)))</f>
        <v/>
      </c>
      <c r="N2998">
        <f>IF(I2998="","",IF(ISNUMBER(I2998),INT(I2998),IFERROR(INT(DATEVALUE(I2998)),IFERROR(INT(VALUE(I2998)),"bad"))))</f>
        <v/>
      </c>
      <c r="O2998">
        <f>IF(J2998="","",IF(ISNUMBER(J2998),ROUND(J2998,2),IFERROR(ROUND(VALUE(SUBSTITUTE(SUBSTITUTE(SUBSTITUTE(J2998,"$",""),",","")," ","")),2),"bad")))</f>
        <v/>
      </c>
      <c r="P2998">
        <f>IF(TRIM(K2998)="","",IFERROR(MATCH(LOWER(TRIM(K2998)),'Students'!$AH$2:$AH$701,0),IFERROR(MATCH(LOWER(TRIM(K2998)),'Students'!$AF$2:$AF$701,0),IFERROR(MATCH(LOWER(TRIM(K2998)),'Students'!$AG$2:$AG$701,0),""))))</f>
        <v/>
      </c>
      <c r="R2998">
        <f>IF(P2998="","",INDEX('Students'!$AD$2:$AD$701,P2998))</f>
        <v/>
      </c>
      <c r="S2998">
        <f>IF(H2998="OK",O2998,0)</f>
        <v/>
      </c>
      <c r="T2998">
        <f>IF(H2998="OK",N2998,"")</f>
        <v/>
      </c>
      <c r="U2998">
        <f>IF(OC_Donor=0,"",IF(INDEX('OneCause_Paste'!$A$2998:$AZ$2998,1,OC_Donor)="","",INDEX('OneCause_Paste'!$A$2998:$AZ$2998,1,OC_Donor)))</f>
        <v/>
      </c>
    </row>
    <row r="2999">
      <c r="A2999" s="62">
        <f>IF(H2999="","",IF(ISNUMBER(N2999),N2999,I2999))</f>
        <v/>
      </c>
      <c r="B2999">
        <f>IF(H2999="","",U2999)</f>
        <v/>
      </c>
      <c r="C2999">
        <f>IF(H2999="","",IF(P2999="",K2999,INDEX('Students'!$A$2:$A$701,P2999)))</f>
        <v/>
      </c>
      <c r="D2999">
        <f>IF(OR(H2999="",P2999=""),"",INDEX('Students'!$B$2:$B$701,P2999))</f>
        <v/>
      </c>
      <c r="E2999">
        <f>IF(OR(H2999="",P2999=""),"",INDEX('Students'!$C$2:$C$701,P2999))</f>
        <v/>
      </c>
      <c r="F2999" s="48">
        <f>IF(H2999="","",IF(ISNUMBER(O2999),O2999,J2999))</f>
        <v/>
      </c>
      <c r="G2999">
        <f>IF(H2999="","","OneCause")</f>
        <v/>
      </c>
      <c r="H2999">
        <f>IF(AND(I2999="",J2999="",K2999=""),"",IF(NOT(ISNUMBER(O2999)),"Bad amount",IF(O2999&lt;0,"Refund (not counted)",IF(O2999=0,"Zero amount",IF(NOT(ISNUMBER(N2999)),"Bad date",IF(P2999="","NAME NOT ON ROSTER",IF(L2999="","OK",IF(MATCH(L2999,$L$2:$L$3001,0)&lt;ROW()-1,"Duplicate (ignored)","OK"))))))))</f>
        <v/>
      </c>
      <c r="I2999">
        <f>IF(OC_Date=0,"",IF(INDEX('OneCause_Paste'!$A$2999:$AZ$2999,1,OC_Date)="","",INDEX('OneCause_Paste'!$A$2999:$AZ$2999,1,OC_Date)))</f>
        <v/>
      </c>
      <c r="J2999">
        <f>IF(OC_Amt=0,"",IF(INDEX('OneCause_Paste'!$A$2999:$AZ$2999,1,OC_Amt)="","",INDEX('OneCause_Paste'!$A$2999:$AZ$2999,1,OC_Amt)))</f>
        <v/>
      </c>
      <c r="K2999">
        <f>IF(OC_Name=0,"",IF(INDEX('OneCause_Paste'!$A$2999:$AZ$2999,1,OC_Name)="","",INDEX('OneCause_Paste'!$A$2999:$AZ$2999,1,OC_Name)))</f>
        <v/>
      </c>
      <c r="L2999">
        <f>IF(OC_Txn=0,"",IF(INDEX('OneCause_Paste'!$A$2999:$AZ$2999,1,OC_Txn)="","",INDEX('OneCause_Paste'!$A$2999:$AZ$2999,1,OC_Txn)))</f>
        <v/>
      </c>
      <c r="M2999">
        <f>IF(OC_Pay=0,"",IF(INDEX('OneCause_Paste'!$A$2999:$AZ$2999,1,OC_Pay)="","",INDEX('OneCause_Paste'!$A$2999:$AZ$2999,1,OC_Pay)))</f>
        <v/>
      </c>
      <c r="N2999">
        <f>IF(I2999="","",IF(ISNUMBER(I2999),INT(I2999),IFERROR(INT(DATEVALUE(I2999)),IFERROR(INT(VALUE(I2999)),"bad"))))</f>
        <v/>
      </c>
      <c r="O2999">
        <f>IF(J2999="","",IF(ISNUMBER(J2999),ROUND(J2999,2),IFERROR(ROUND(VALUE(SUBSTITUTE(SUBSTITUTE(SUBSTITUTE(J2999,"$",""),",","")," ","")),2),"bad")))</f>
        <v/>
      </c>
      <c r="P2999">
        <f>IF(TRIM(K2999)="","",IFERROR(MATCH(LOWER(TRIM(K2999)),'Students'!$AH$2:$AH$701,0),IFERROR(MATCH(LOWER(TRIM(K2999)),'Students'!$AF$2:$AF$701,0),IFERROR(MATCH(LOWER(TRIM(K2999)),'Students'!$AG$2:$AG$701,0),""))))</f>
        <v/>
      </c>
      <c r="R2999">
        <f>IF(P2999="","",INDEX('Students'!$AD$2:$AD$701,P2999))</f>
        <v/>
      </c>
      <c r="S2999">
        <f>IF(H2999="OK",O2999,0)</f>
        <v/>
      </c>
      <c r="T2999">
        <f>IF(H2999="OK",N2999,"")</f>
        <v/>
      </c>
      <c r="U2999">
        <f>IF(OC_Donor=0,"",IF(INDEX('OneCause_Paste'!$A$2999:$AZ$2999,1,OC_Donor)="","",INDEX('OneCause_Paste'!$A$2999:$AZ$2999,1,OC_Donor)))</f>
        <v/>
      </c>
    </row>
    <row r="3000">
      <c r="A3000" s="62">
        <f>IF(H3000="","",IF(ISNUMBER(N3000),N3000,I3000))</f>
        <v/>
      </c>
      <c r="B3000">
        <f>IF(H3000="","",U3000)</f>
        <v/>
      </c>
      <c r="C3000">
        <f>IF(H3000="","",IF(P3000="",K3000,INDEX('Students'!$A$2:$A$701,P3000)))</f>
        <v/>
      </c>
      <c r="D3000">
        <f>IF(OR(H3000="",P3000=""),"",INDEX('Students'!$B$2:$B$701,P3000))</f>
        <v/>
      </c>
      <c r="E3000">
        <f>IF(OR(H3000="",P3000=""),"",INDEX('Students'!$C$2:$C$701,P3000))</f>
        <v/>
      </c>
      <c r="F3000" s="48">
        <f>IF(H3000="","",IF(ISNUMBER(O3000),O3000,J3000))</f>
        <v/>
      </c>
      <c r="G3000">
        <f>IF(H3000="","","OneCause")</f>
        <v/>
      </c>
      <c r="H3000">
        <f>IF(AND(I3000="",J3000="",K3000=""),"",IF(NOT(ISNUMBER(O3000)),"Bad amount",IF(O3000&lt;0,"Refund (not counted)",IF(O3000=0,"Zero amount",IF(NOT(ISNUMBER(N3000)),"Bad date",IF(P3000="","NAME NOT ON ROSTER",IF(L3000="","OK",IF(MATCH(L3000,$L$2:$L$3001,0)&lt;ROW()-1,"Duplicate (ignored)","OK"))))))))</f>
        <v/>
      </c>
      <c r="I3000">
        <f>IF(OC_Date=0,"",IF(INDEX('OneCause_Paste'!$A$3000:$AZ$3000,1,OC_Date)="","",INDEX('OneCause_Paste'!$A$3000:$AZ$3000,1,OC_Date)))</f>
        <v/>
      </c>
      <c r="J3000">
        <f>IF(OC_Amt=0,"",IF(INDEX('OneCause_Paste'!$A$3000:$AZ$3000,1,OC_Amt)="","",INDEX('OneCause_Paste'!$A$3000:$AZ$3000,1,OC_Amt)))</f>
        <v/>
      </c>
      <c r="K3000">
        <f>IF(OC_Name=0,"",IF(INDEX('OneCause_Paste'!$A$3000:$AZ$3000,1,OC_Name)="","",INDEX('OneCause_Paste'!$A$3000:$AZ$3000,1,OC_Name)))</f>
        <v/>
      </c>
      <c r="L3000">
        <f>IF(OC_Txn=0,"",IF(INDEX('OneCause_Paste'!$A$3000:$AZ$3000,1,OC_Txn)="","",INDEX('OneCause_Paste'!$A$3000:$AZ$3000,1,OC_Txn)))</f>
        <v/>
      </c>
      <c r="M3000">
        <f>IF(OC_Pay=0,"",IF(INDEX('OneCause_Paste'!$A$3000:$AZ$3000,1,OC_Pay)="","",INDEX('OneCause_Paste'!$A$3000:$AZ$3000,1,OC_Pay)))</f>
        <v/>
      </c>
      <c r="N3000">
        <f>IF(I3000="","",IF(ISNUMBER(I3000),INT(I3000),IFERROR(INT(DATEVALUE(I3000)),IFERROR(INT(VALUE(I3000)),"bad"))))</f>
        <v/>
      </c>
      <c r="O3000">
        <f>IF(J3000="","",IF(ISNUMBER(J3000),ROUND(J3000,2),IFERROR(ROUND(VALUE(SUBSTITUTE(SUBSTITUTE(SUBSTITUTE(J3000,"$",""),",","")," ","")),2),"bad")))</f>
        <v/>
      </c>
      <c r="P3000">
        <f>IF(TRIM(K3000)="","",IFERROR(MATCH(LOWER(TRIM(K3000)),'Students'!$AH$2:$AH$701,0),IFERROR(MATCH(LOWER(TRIM(K3000)),'Students'!$AF$2:$AF$701,0),IFERROR(MATCH(LOWER(TRIM(K3000)),'Students'!$AG$2:$AG$701,0),""))))</f>
        <v/>
      </c>
      <c r="R3000">
        <f>IF(P3000="","",INDEX('Students'!$AD$2:$AD$701,P3000))</f>
        <v/>
      </c>
      <c r="S3000">
        <f>IF(H3000="OK",O3000,0)</f>
        <v/>
      </c>
      <c r="T3000">
        <f>IF(H3000="OK",N3000,"")</f>
        <v/>
      </c>
      <c r="U3000">
        <f>IF(OC_Donor=0,"",IF(INDEX('OneCause_Paste'!$A$3000:$AZ$3000,1,OC_Donor)="","",INDEX('OneCause_Paste'!$A$3000:$AZ$3000,1,OC_Donor)))</f>
        <v/>
      </c>
    </row>
    <row r="3001">
      <c r="A3001" s="62">
        <f>IF(H3001="","",IF(ISNUMBER(N3001),N3001,I3001))</f>
        <v/>
      </c>
      <c r="B3001">
        <f>IF(H3001="","",U3001)</f>
        <v/>
      </c>
      <c r="C3001">
        <f>IF(H3001="","",IF(P3001="",K3001,INDEX('Students'!$A$2:$A$701,P3001)))</f>
        <v/>
      </c>
      <c r="D3001">
        <f>IF(OR(H3001="",P3001=""),"",INDEX('Students'!$B$2:$B$701,P3001))</f>
        <v/>
      </c>
      <c r="E3001">
        <f>IF(OR(H3001="",P3001=""),"",INDEX('Students'!$C$2:$C$701,P3001))</f>
        <v/>
      </c>
      <c r="F3001" s="48">
        <f>IF(H3001="","",IF(ISNUMBER(O3001),O3001,J3001))</f>
        <v/>
      </c>
      <c r="G3001">
        <f>IF(H3001="","","OneCause")</f>
        <v/>
      </c>
      <c r="H3001">
        <f>IF(AND(I3001="",J3001="",K3001=""),"",IF(NOT(ISNUMBER(O3001)),"Bad amount",IF(O3001&lt;0,"Refund (not counted)",IF(O3001=0,"Zero amount",IF(NOT(ISNUMBER(N3001)),"Bad date",IF(P3001="","NAME NOT ON ROSTER",IF(L3001="","OK",IF(MATCH(L3001,$L$2:$L$3001,0)&lt;ROW()-1,"Duplicate (ignored)","OK"))))))))</f>
        <v/>
      </c>
      <c r="I3001">
        <f>IF(OC_Date=0,"",IF(INDEX('OneCause_Paste'!$A$3001:$AZ$3001,1,OC_Date)="","",INDEX('OneCause_Paste'!$A$3001:$AZ$3001,1,OC_Date)))</f>
        <v/>
      </c>
      <c r="J3001">
        <f>IF(OC_Amt=0,"",IF(INDEX('OneCause_Paste'!$A$3001:$AZ$3001,1,OC_Amt)="","",INDEX('OneCause_Paste'!$A$3001:$AZ$3001,1,OC_Amt)))</f>
        <v/>
      </c>
      <c r="K3001">
        <f>IF(OC_Name=0,"",IF(INDEX('OneCause_Paste'!$A$3001:$AZ$3001,1,OC_Name)="","",INDEX('OneCause_Paste'!$A$3001:$AZ$3001,1,OC_Name)))</f>
        <v/>
      </c>
      <c r="L3001">
        <f>IF(OC_Txn=0,"",IF(INDEX('OneCause_Paste'!$A$3001:$AZ$3001,1,OC_Txn)="","",INDEX('OneCause_Paste'!$A$3001:$AZ$3001,1,OC_Txn)))</f>
        <v/>
      </c>
      <c r="M3001">
        <f>IF(OC_Pay=0,"",IF(INDEX('OneCause_Paste'!$A$3001:$AZ$3001,1,OC_Pay)="","",INDEX('OneCause_Paste'!$A$3001:$AZ$3001,1,OC_Pay)))</f>
        <v/>
      </c>
      <c r="N3001">
        <f>IF(I3001="","",IF(ISNUMBER(I3001),INT(I3001),IFERROR(INT(DATEVALUE(I3001)),IFERROR(INT(VALUE(I3001)),"bad"))))</f>
        <v/>
      </c>
      <c r="O3001">
        <f>IF(J3001="","",IF(ISNUMBER(J3001),ROUND(J3001,2),IFERROR(ROUND(VALUE(SUBSTITUTE(SUBSTITUTE(SUBSTITUTE(J3001,"$",""),",","")," ","")),2),"bad")))</f>
        <v/>
      </c>
      <c r="P3001">
        <f>IF(TRIM(K3001)="","",IFERROR(MATCH(LOWER(TRIM(K3001)),'Students'!$AH$2:$AH$701,0),IFERROR(MATCH(LOWER(TRIM(K3001)),'Students'!$AF$2:$AF$701,0),IFERROR(MATCH(LOWER(TRIM(K3001)),'Students'!$AG$2:$AG$701,0),""))))</f>
        <v/>
      </c>
      <c r="R3001">
        <f>IF(P3001="","",INDEX('Students'!$AD$2:$AD$701,P3001))</f>
        <v/>
      </c>
      <c r="S3001">
        <f>IF(H3001="OK",O3001,0)</f>
        <v/>
      </c>
      <c r="T3001">
        <f>IF(H3001="OK",N3001,"")</f>
        <v/>
      </c>
      <c r="U3001">
        <f>IF(OC_Donor=0,"",IF(INDEX('OneCause_Paste'!$A$3001:$AZ$3001,1,OC_Donor)="","",INDEX('OneCause_Paste'!$A$3001:$AZ$3001,1,OC_Donor)))</f>
        <v/>
      </c>
    </row>
    <row r="3002">
      <c r="A3002" s="62">
        <f>IF(H3002="","",IF(ISNUMBER(N3002),N3002,I3002))</f>
        <v/>
      </c>
      <c r="B3002">
        <f>IF(H3002="","",U3002)</f>
        <v/>
      </c>
      <c r="C3002">
        <f>IF(H3002="","",IF(P3002="",K3002,INDEX('Students'!$A$2:$A$701,P3002)))</f>
        <v/>
      </c>
      <c r="D3002">
        <f>IF(OR(H3002="",P3002=""),"",INDEX('Students'!$B$2:$B$701,P3002))</f>
        <v/>
      </c>
      <c r="E3002">
        <f>IF(OR(H3002="",P3002=""),"",INDEX('Students'!$C$2:$C$701,P3002))</f>
        <v/>
      </c>
      <c r="F3002" s="48">
        <f>IF(H3002="","",IF(ISNUMBER(O3002),O3002,J3002))</f>
        <v/>
      </c>
      <c r="G3002">
        <f>IF(H3002="","",M3002)</f>
        <v/>
      </c>
      <c r="H3002">
        <f>IF(AND(I3002="",J3002="",K3002=""),"",IF(OR(NOT(ISNUMBER(O3002)),N(O3002)&lt;=0),"Bad amount",IF(NOT(ISNUMBER(N3002)),"Bad date",IF(P3002="","NAME NOT ON ROSTER","OK"))))</f>
        <v/>
      </c>
      <c r="I3002">
        <f>IF('Cash_Check'!A2="","",'Cash_Check'!A2)</f>
        <v/>
      </c>
      <c r="J3002">
        <f>IF('Cash_Check'!D2="","",'Cash_Check'!D2)</f>
        <v/>
      </c>
      <c r="K3002">
        <f>TRIM('Cash_Check'!B2)</f>
        <v/>
      </c>
      <c r="M3002">
        <f>IF(TRIM('Cash_Check'!E2)="","Cash/check",TRIM('Cash_Check'!E2))</f>
        <v/>
      </c>
      <c r="N3002">
        <f>IF(I3002="","",IF(ISNUMBER(I3002),INT(I3002),IFERROR(INT(DATEVALUE(I3002)),IFERROR(INT(VALUE(I3002)),"bad"))))</f>
        <v/>
      </c>
      <c r="O3002">
        <f>IF(J3002="","",IF(ISNUMBER(J3002),ROUND(J3002,2),IFERROR(ROUND(VALUE(SUBSTITUTE(SUBSTITUTE(SUBSTITUTE(J3002,"$",""),",","")," ","")),2),"bad")))</f>
        <v/>
      </c>
      <c r="P3002">
        <f>IF(K3002="","",IFERROR(MATCH(IF(ISNUMBER(FIND("#",K3002)),TRIM(MID(K3002,FIND("#",K3002)+1,20)),UPPER(K3002)),'Students'!$AD$2:$AD$701,0),""))</f>
        <v/>
      </c>
      <c r="R3002">
        <f>IF(P3002="","",INDEX('Students'!$AD$2:$AD$701,P3002))</f>
        <v/>
      </c>
      <c r="S3002">
        <f>IF(H3002="OK",O3002,0)</f>
        <v/>
      </c>
      <c r="T3002">
        <f>IF(H3002="OK",N3002,"")</f>
        <v/>
      </c>
      <c r="U3002">
        <f>TRIM('Cash_Check'!C2)</f>
        <v/>
      </c>
    </row>
    <row r="3003">
      <c r="A3003" s="62">
        <f>IF(H3003="","",IF(ISNUMBER(N3003),N3003,I3003))</f>
        <v/>
      </c>
      <c r="B3003">
        <f>IF(H3003="","",U3003)</f>
        <v/>
      </c>
      <c r="C3003">
        <f>IF(H3003="","",IF(P3003="",K3003,INDEX('Students'!$A$2:$A$701,P3003)))</f>
        <v/>
      </c>
      <c r="D3003">
        <f>IF(OR(H3003="",P3003=""),"",INDEX('Students'!$B$2:$B$701,P3003))</f>
        <v/>
      </c>
      <c r="E3003">
        <f>IF(OR(H3003="",P3003=""),"",INDEX('Students'!$C$2:$C$701,P3003))</f>
        <v/>
      </c>
      <c r="F3003" s="48">
        <f>IF(H3003="","",IF(ISNUMBER(O3003),O3003,J3003))</f>
        <v/>
      </c>
      <c r="G3003">
        <f>IF(H3003="","",M3003)</f>
        <v/>
      </c>
      <c r="H3003">
        <f>IF(AND(I3003="",J3003="",K3003=""),"",IF(OR(NOT(ISNUMBER(O3003)),N(O3003)&lt;=0),"Bad amount",IF(NOT(ISNUMBER(N3003)),"Bad date",IF(P3003="","NAME NOT ON ROSTER","OK"))))</f>
        <v/>
      </c>
      <c r="I3003">
        <f>IF('Cash_Check'!A3="","",'Cash_Check'!A3)</f>
        <v/>
      </c>
      <c r="J3003">
        <f>IF('Cash_Check'!D3="","",'Cash_Check'!D3)</f>
        <v/>
      </c>
      <c r="K3003">
        <f>TRIM('Cash_Check'!B3)</f>
        <v/>
      </c>
      <c r="M3003">
        <f>IF(TRIM('Cash_Check'!E3)="","Cash/check",TRIM('Cash_Check'!E3))</f>
        <v/>
      </c>
      <c r="N3003">
        <f>IF(I3003="","",IF(ISNUMBER(I3003),INT(I3003),IFERROR(INT(DATEVALUE(I3003)),IFERROR(INT(VALUE(I3003)),"bad"))))</f>
        <v/>
      </c>
      <c r="O3003">
        <f>IF(J3003="","",IF(ISNUMBER(J3003),ROUND(J3003,2),IFERROR(ROUND(VALUE(SUBSTITUTE(SUBSTITUTE(SUBSTITUTE(J3003,"$",""),",","")," ","")),2),"bad")))</f>
        <v/>
      </c>
      <c r="P3003">
        <f>IF(K3003="","",IFERROR(MATCH(IF(ISNUMBER(FIND("#",K3003)),TRIM(MID(K3003,FIND("#",K3003)+1,20)),UPPER(K3003)),'Students'!$AD$2:$AD$701,0),""))</f>
        <v/>
      </c>
      <c r="R3003">
        <f>IF(P3003="","",INDEX('Students'!$AD$2:$AD$701,P3003))</f>
        <v/>
      </c>
      <c r="S3003">
        <f>IF(H3003="OK",O3003,0)</f>
        <v/>
      </c>
      <c r="T3003">
        <f>IF(H3003="OK",N3003,"")</f>
        <v/>
      </c>
      <c r="U3003">
        <f>TRIM('Cash_Check'!C3)</f>
        <v/>
      </c>
    </row>
    <row r="3004">
      <c r="A3004" s="62">
        <f>IF(H3004="","",IF(ISNUMBER(N3004),N3004,I3004))</f>
        <v/>
      </c>
      <c r="B3004">
        <f>IF(H3004="","",U3004)</f>
        <v/>
      </c>
      <c r="C3004">
        <f>IF(H3004="","",IF(P3004="",K3004,INDEX('Students'!$A$2:$A$701,P3004)))</f>
        <v/>
      </c>
      <c r="D3004">
        <f>IF(OR(H3004="",P3004=""),"",INDEX('Students'!$B$2:$B$701,P3004))</f>
        <v/>
      </c>
      <c r="E3004">
        <f>IF(OR(H3004="",P3004=""),"",INDEX('Students'!$C$2:$C$701,P3004))</f>
        <v/>
      </c>
      <c r="F3004" s="48">
        <f>IF(H3004="","",IF(ISNUMBER(O3004),O3004,J3004))</f>
        <v/>
      </c>
      <c r="G3004">
        <f>IF(H3004="","",M3004)</f>
        <v/>
      </c>
      <c r="H3004">
        <f>IF(AND(I3004="",J3004="",K3004=""),"",IF(OR(NOT(ISNUMBER(O3004)),N(O3004)&lt;=0),"Bad amount",IF(NOT(ISNUMBER(N3004)),"Bad date",IF(P3004="","NAME NOT ON ROSTER","OK"))))</f>
        <v/>
      </c>
      <c r="I3004">
        <f>IF('Cash_Check'!A4="","",'Cash_Check'!A4)</f>
        <v/>
      </c>
      <c r="J3004">
        <f>IF('Cash_Check'!D4="","",'Cash_Check'!D4)</f>
        <v/>
      </c>
      <c r="K3004">
        <f>TRIM('Cash_Check'!B4)</f>
        <v/>
      </c>
      <c r="M3004">
        <f>IF(TRIM('Cash_Check'!E4)="","Cash/check",TRIM('Cash_Check'!E4))</f>
        <v/>
      </c>
      <c r="N3004">
        <f>IF(I3004="","",IF(ISNUMBER(I3004),INT(I3004),IFERROR(INT(DATEVALUE(I3004)),IFERROR(INT(VALUE(I3004)),"bad"))))</f>
        <v/>
      </c>
      <c r="O3004">
        <f>IF(J3004="","",IF(ISNUMBER(J3004),ROUND(J3004,2),IFERROR(ROUND(VALUE(SUBSTITUTE(SUBSTITUTE(SUBSTITUTE(J3004,"$",""),",","")," ","")),2),"bad")))</f>
        <v/>
      </c>
      <c r="P3004">
        <f>IF(K3004="","",IFERROR(MATCH(IF(ISNUMBER(FIND("#",K3004)),TRIM(MID(K3004,FIND("#",K3004)+1,20)),UPPER(K3004)),'Students'!$AD$2:$AD$701,0),""))</f>
        <v/>
      </c>
      <c r="R3004">
        <f>IF(P3004="","",INDEX('Students'!$AD$2:$AD$701,P3004))</f>
        <v/>
      </c>
      <c r="S3004">
        <f>IF(H3004="OK",O3004,0)</f>
        <v/>
      </c>
      <c r="T3004">
        <f>IF(H3004="OK",N3004,"")</f>
        <v/>
      </c>
      <c r="U3004">
        <f>TRIM('Cash_Check'!C4)</f>
        <v/>
      </c>
    </row>
    <row r="3005">
      <c r="A3005" s="62">
        <f>IF(H3005="","",IF(ISNUMBER(N3005),N3005,I3005))</f>
        <v/>
      </c>
      <c r="B3005">
        <f>IF(H3005="","",U3005)</f>
        <v/>
      </c>
      <c r="C3005">
        <f>IF(H3005="","",IF(P3005="",K3005,INDEX('Students'!$A$2:$A$701,P3005)))</f>
        <v/>
      </c>
      <c r="D3005">
        <f>IF(OR(H3005="",P3005=""),"",INDEX('Students'!$B$2:$B$701,P3005))</f>
        <v/>
      </c>
      <c r="E3005">
        <f>IF(OR(H3005="",P3005=""),"",INDEX('Students'!$C$2:$C$701,P3005))</f>
        <v/>
      </c>
      <c r="F3005" s="48">
        <f>IF(H3005="","",IF(ISNUMBER(O3005),O3005,J3005))</f>
        <v/>
      </c>
      <c r="G3005">
        <f>IF(H3005="","",M3005)</f>
        <v/>
      </c>
      <c r="H3005">
        <f>IF(AND(I3005="",J3005="",K3005=""),"",IF(OR(NOT(ISNUMBER(O3005)),N(O3005)&lt;=0),"Bad amount",IF(NOT(ISNUMBER(N3005)),"Bad date",IF(P3005="","NAME NOT ON ROSTER","OK"))))</f>
        <v/>
      </c>
      <c r="I3005">
        <f>IF('Cash_Check'!A5="","",'Cash_Check'!A5)</f>
        <v/>
      </c>
      <c r="J3005">
        <f>IF('Cash_Check'!D5="","",'Cash_Check'!D5)</f>
        <v/>
      </c>
      <c r="K3005">
        <f>TRIM('Cash_Check'!B5)</f>
        <v/>
      </c>
      <c r="M3005">
        <f>IF(TRIM('Cash_Check'!E5)="","Cash/check",TRIM('Cash_Check'!E5))</f>
        <v/>
      </c>
      <c r="N3005">
        <f>IF(I3005="","",IF(ISNUMBER(I3005),INT(I3005),IFERROR(INT(DATEVALUE(I3005)),IFERROR(INT(VALUE(I3005)),"bad"))))</f>
        <v/>
      </c>
      <c r="O3005">
        <f>IF(J3005="","",IF(ISNUMBER(J3005),ROUND(J3005,2),IFERROR(ROUND(VALUE(SUBSTITUTE(SUBSTITUTE(SUBSTITUTE(J3005,"$",""),",","")," ","")),2),"bad")))</f>
        <v/>
      </c>
      <c r="P3005">
        <f>IF(K3005="","",IFERROR(MATCH(IF(ISNUMBER(FIND("#",K3005)),TRIM(MID(K3005,FIND("#",K3005)+1,20)),UPPER(K3005)),'Students'!$AD$2:$AD$701,0),""))</f>
        <v/>
      </c>
      <c r="R3005">
        <f>IF(P3005="","",INDEX('Students'!$AD$2:$AD$701,P3005))</f>
        <v/>
      </c>
      <c r="S3005">
        <f>IF(H3005="OK",O3005,0)</f>
        <v/>
      </c>
      <c r="T3005">
        <f>IF(H3005="OK",N3005,"")</f>
        <v/>
      </c>
      <c r="U3005">
        <f>TRIM('Cash_Check'!C5)</f>
        <v/>
      </c>
    </row>
    <row r="3006">
      <c r="A3006" s="62">
        <f>IF(H3006="","",IF(ISNUMBER(N3006),N3006,I3006))</f>
        <v/>
      </c>
      <c r="B3006">
        <f>IF(H3006="","",U3006)</f>
        <v/>
      </c>
      <c r="C3006">
        <f>IF(H3006="","",IF(P3006="",K3006,INDEX('Students'!$A$2:$A$701,P3006)))</f>
        <v/>
      </c>
      <c r="D3006">
        <f>IF(OR(H3006="",P3006=""),"",INDEX('Students'!$B$2:$B$701,P3006))</f>
        <v/>
      </c>
      <c r="E3006">
        <f>IF(OR(H3006="",P3006=""),"",INDEX('Students'!$C$2:$C$701,P3006))</f>
        <v/>
      </c>
      <c r="F3006" s="48">
        <f>IF(H3006="","",IF(ISNUMBER(O3006),O3006,J3006))</f>
        <v/>
      </c>
      <c r="G3006">
        <f>IF(H3006="","",M3006)</f>
        <v/>
      </c>
      <c r="H3006">
        <f>IF(AND(I3006="",J3006="",K3006=""),"",IF(OR(NOT(ISNUMBER(O3006)),N(O3006)&lt;=0),"Bad amount",IF(NOT(ISNUMBER(N3006)),"Bad date",IF(P3006="","NAME NOT ON ROSTER","OK"))))</f>
        <v/>
      </c>
      <c r="I3006">
        <f>IF('Cash_Check'!A6="","",'Cash_Check'!A6)</f>
        <v/>
      </c>
      <c r="J3006">
        <f>IF('Cash_Check'!D6="","",'Cash_Check'!D6)</f>
        <v/>
      </c>
      <c r="K3006">
        <f>TRIM('Cash_Check'!B6)</f>
        <v/>
      </c>
      <c r="M3006">
        <f>IF(TRIM('Cash_Check'!E6)="","Cash/check",TRIM('Cash_Check'!E6))</f>
        <v/>
      </c>
      <c r="N3006">
        <f>IF(I3006="","",IF(ISNUMBER(I3006),INT(I3006),IFERROR(INT(DATEVALUE(I3006)),IFERROR(INT(VALUE(I3006)),"bad"))))</f>
        <v/>
      </c>
      <c r="O3006">
        <f>IF(J3006="","",IF(ISNUMBER(J3006),ROUND(J3006,2),IFERROR(ROUND(VALUE(SUBSTITUTE(SUBSTITUTE(SUBSTITUTE(J3006,"$",""),",","")," ","")),2),"bad")))</f>
        <v/>
      </c>
      <c r="P3006">
        <f>IF(K3006="","",IFERROR(MATCH(IF(ISNUMBER(FIND("#",K3006)),TRIM(MID(K3006,FIND("#",K3006)+1,20)),UPPER(K3006)),'Students'!$AD$2:$AD$701,0),""))</f>
        <v/>
      </c>
      <c r="R3006">
        <f>IF(P3006="","",INDEX('Students'!$AD$2:$AD$701,P3006))</f>
        <v/>
      </c>
      <c r="S3006">
        <f>IF(H3006="OK",O3006,0)</f>
        <v/>
      </c>
      <c r="T3006">
        <f>IF(H3006="OK",N3006,"")</f>
        <v/>
      </c>
      <c r="U3006">
        <f>TRIM('Cash_Check'!C6)</f>
        <v/>
      </c>
    </row>
    <row r="3007">
      <c r="A3007" s="62">
        <f>IF(H3007="","",IF(ISNUMBER(N3007),N3007,I3007))</f>
        <v/>
      </c>
      <c r="B3007">
        <f>IF(H3007="","",U3007)</f>
        <v/>
      </c>
      <c r="C3007">
        <f>IF(H3007="","",IF(P3007="",K3007,INDEX('Students'!$A$2:$A$701,P3007)))</f>
        <v/>
      </c>
      <c r="D3007">
        <f>IF(OR(H3007="",P3007=""),"",INDEX('Students'!$B$2:$B$701,P3007))</f>
        <v/>
      </c>
      <c r="E3007">
        <f>IF(OR(H3007="",P3007=""),"",INDEX('Students'!$C$2:$C$701,P3007))</f>
        <v/>
      </c>
      <c r="F3007" s="48">
        <f>IF(H3007="","",IF(ISNUMBER(O3007),O3007,J3007))</f>
        <v/>
      </c>
      <c r="G3007">
        <f>IF(H3007="","",M3007)</f>
        <v/>
      </c>
      <c r="H3007">
        <f>IF(AND(I3007="",J3007="",K3007=""),"",IF(OR(NOT(ISNUMBER(O3007)),N(O3007)&lt;=0),"Bad amount",IF(NOT(ISNUMBER(N3007)),"Bad date",IF(P3007="","NAME NOT ON ROSTER","OK"))))</f>
        <v/>
      </c>
      <c r="I3007">
        <f>IF('Cash_Check'!A7="","",'Cash_Check'!A7)</f>
        <v/>
      </c>
      <c r="J3007">
        <f>IF('Cash_Check'!D7="","",'Cash_Check'!D7)</f>
        <v/>
      </c>
      <c r="K3007">
        <f>TRIM('Cash_Check'!B7)</f>
        <v/>
      </c>
      <c r="M3007">
        <f>IF(TRIM('Cash_Check'!E7)="","Cash/check",TRIM('Cash_Check'!E7))</f>
        <v/>
      </c>
      <c r="N3007">
        <f>IF(I3007="","",IF(ISNUMBER(I3007),INT(I3007),IFERROR(INT(DATEVALUE(I3007)),IFERROR(INT(VALUE(I3007)),"bad"))))</f>
        <v/>
      </c>
      <c r="O3007">
        <f>IF(J3007="","",IF(ISNUMBER(J3007),ROUND(J3007,2),IFERROR(ROUND(VALUE(SUBSTITUTE(SUBSTITUTE(SUBSTITUTE(J3007,"$",""),",","")," ","")),2),"bad")))</f>
        <v/>
      </c>
      <c r="P3007">
        <f>IF(K3007="","",IFERROR(MATCH(IF(ISNUMBER(FIND("#",K3007)),TRIM(MID(K3007,FIND("#",K3007)+1,20)),UPPER(K3007)),'Students'!$AD$2:$AD$701,0),""))</f>
        <v/>
      </c>
      <c r="R3007">
        <f>IF(P3007="","",INDEX('Students'!$AD$2:$AD$701,P3007))</f>
        <v/>
      </c>
      <c r="S3007">
        <f>IF(H3007="OK",O3007,0)</f>
        <v/>
      </c>
      <c r="T3007">
        <f>IF(H3007="OK",N3007,"")</f>
        <v/>
      </c>
      <c r="U3007">
        <f>TRIM('Cash_Check'!C7)</f>
        <v/>
      </c>
    </row>
    <row r="3008">
      <c r="A3008" s="62">
        <f>IF(H3008="","",IF(ISNUMBER(N3008),N3008,I3008))</f>
        <v/>
      </c>
      <c r="B3008">
        <f>IF(H3008="","",U3008)</f>
        <v/>
      </c>
      <c r="C3008">
        <f>IF(H3008="","",IF(P3008="",K3008,INDEX('Students'!$A$2:$A$701,P3008)))</f>
        <v/>
      </c>
      <c r="D3008">
        <f>IF(OR(H3008="",P3008=""),"",INDEX('Students'!$B$2:$B$701,P3008))</f>
        <v/>
      </c>
      <c r="E3008">
        <f>IF(OR(H3008="",P3008=""),"",INDEX('Students'!$C$2:$C$701,P3008))</f>
        <v/>
      </c>
      <c r="F3008" s="48">
        <f>IF(H3008="","",IF(ISNUMBER(O3008),O3008,J3008))</f>
        <v/>
      </c>
      <c r="G3008">
        <f>IF(H3008="","",M3008)</f>
        <v/>
      </c>
      <c r="H3008">
        <f>IF(AND(I3008="",J3008="",K3008=""),"",IF(OR(NOT(ISNUMBER(O3008)),N(O3008)&lt;=0),"Bad amount",IF(NOT(ISNUMBER(N3008)),"Bad date",IF(P3008="","NAME NOT ON ROSTER","OK"))))</f>
        <v/>
      </c>
      <c r="I3008">
        <f>IF('Cash_Check'!A8="","",'Cash_Check'!A8)</f>
        <v/>
      </c>
      <c r="J3008">
        <f>IF('Cash_Check'!D8="","",'Cash_Check'!D8)</f>
        <v/>
      </c>
      <c r="K3008">
        <f>TRIM('Cash_Check'!B8)</f>
        <v/>
      </c>
      <c r="M3008">
        <f>IF(TRIM('Cash_Check'!E8)="","Cash/check",TRIM('Cash_Check'!E8))</f>
        <v/>
      </c>
      <c r="N3008">
        <f>IF(I3008="","",IF(ISNUMBER(I3008),INT(I3008),IFERROR(INT(DATEVALUE(I3008)),IFERROR(INT(VALUE(I3008)),"bad"))))</f>
        <v/>
      </c>
      <c r="O3008">
        <f>IF(J3008="","",IF(ISNUMBER(J3008),ROUND(J3008,2),IFERROR(ROUND(VALUE(SUBSTITUTE(SUBSTITUTE(SUBSTITUTE(J3008,"$",""),",","")," ","")),2),"bad")))</f>
        <v/>
      </c>
      <c r="P3008">
        <f>IF(K3008="","",IFERROR(MATCH(IF(ISNUMBER(FIND("#",K3008)),TRIM(MID(K3008,FIND("#",K3008)+1,20)),UPPER(K3008)),'Students'!$AD$2:$AD$701,0),""))</f>
        <v/>
      </c>
      <c r="R3008">
        <f>IF(P3008="","",INDEX('Students'!$AD$2:$AD$701,P3008))</f>
        <v/>
      </c>
      <c r="S3008">
        <f>IF(H3008="OK",O3008,0)</f>
        <v/>
      </c>
      <c r="T3008">
        <f>IF(H3008="OK",N3008,"")</f>
        <v/>
      </c>
      <c r="U3008">
        <f>TRIM('Cash_Check'!C8)</f>
        <v/>
      </c>
    </row>
    <row r="3009">
      <c r="A3009" s="62">
        <f>IF(H3009="","",IF(ISNUMBER(N3009),N3009,I3009))</f>
        <v/>
      </c>
      <c r="B3009">
        <f>IF(H3009="","",U3009)</f>
        <v/>
      </c>
      <c r="C3009">
        <f>IF(H3009="","",IF(P3009="",K3009,INDEX('Students'!$A$2:$A$701,P3009)))</f>
        <v/>
      </c>
      <c r="D3009">
        <f>IF(OR(H3009="",P3009=""),"",INDEX('Students'!$B$2:$B$701,P3009))</f>
        <v/>
      </c>
      <c r="E3009">
        <f>IF(OR(H3009="",P3009=""),"",INDEX('Students'!$C$2:$C$701,P3009))</f>
        <v/>
      </c>
      <c r="F3009" s="48">
        <f>IF(H3009="","",IF(ISNUMBER(O3009),O3009,J3009))</f>
        <v/>
      </c>
      <c r="G3009">
        <f>IF(H3009="","",M3009)</f>
        <v/>
      </c>
      <c r="H3009">
        <f>IF(AND(I3009="",J3009="",K3009=""),"",IF(OR(NOT(ISNUMBER(O3009)),N(O3009)&lt;=0),"Bad amount",IF(NOT(ISNUMBER(N3009)),"Bad date",IF(P3009="","NAME NOT ON ROSTER","OK"))))</f>
        <v/>
      </c>
      <c r="I3009">
        <f>IF('Cash_Check'!A9="","",'Cash_Check'!A9)</f>
        <v/>
      </c>
      <c r="J3009">
        <f>IF('Cash_Check'!D9="","",'Cash_Check'!D9)</f>
        <v/>
      </c>
      <c r="K3009">
        <f>TRIM('Cash_Check'!B9)</f>
        <v/>
      </c>
      <c r="M3009">
        <f>IF(TRIM('Cash_Check'!E9)="","Cash/check",TRIM('Cash_Check'!E9))</f>
        <v/>
      </c>
      <c r="N3009">
        <f>IF(I3009="","",IF(ISNUMBER(I3009),INT(I3009),IFERROR(INT(DATEVALUE(I3009)),IFERROR(INT(VALUE(I3009)),"bad"))))</f>
        <v/>
      </c>
      <c r="O3009">
        <f>IF(J3009="","",IF(ISNUMBER(J3009),ROUND(J3009,2),IFERROR(ROUND(VALUE(SUBSTITUTE(SUBSTITUTE(SUBSTITUTE(J3009,"$",""),",","")," ","")),2),"bad")))</f>
        <v/>
      </c>
      <c r="P3009">
        <f>IF(K3009="","",IFERROR(MATCH(IF(ISNUMBER(FIND("#",K3009)),TRIM(MID(K3009,FIND("#",K3009)+1,20)),UPPER(K3009)),'Students'!$AD$2:$AD$701,0),""))</f>
        <v/>
      </c>
      <c r="R3009">
        <f>IF(P3009="","",INDEX('Students'!$AD$2:$AD$701,P3009))</f>
        <v/>
      </c>
      <c r="S3009">
        <f>IF(H3009="OK",O3009,0)</f>
        <v/>
      </c>
      <c r="T3009">
        <f>IF(H3009="OK",N3009,"")</f>
        <v/>
      </c>
      <c r="U3009">
        <f>TRIM('Cash_Check'!C9)</f>
        <v/>
      </c>
    </row>
    <row r="3010">
      <c r="A3010" s="62">
        <f>IF(H3010="","",IF(ISNUMBER(N3010),N3010,I3010))</f>
        <v/>
      </c>
      <c r="B3010">
        <f>IF(H3010="","",U3010)</f>
        <v/>
      </c>
      <c r="C3010">
        <f>IF(H3010="","",IF(P3010="",K3010,INDEX('Students'!$A$2:$A$701,P3010)))</f>
        <v/>
      </c>
      <c r="D3010">
        <f>IF(OR(H3010="",P3010=""),"",INDEX('Students'!$B$2:$B$701,P3010))</f>
        <v/>
      </c>
      <c r="E3010">
        <f>IF(OR(H3010="",P3010=""),"",INDEX('Students'!$C$2:$C$701,P3010))</f>
        <v/>
      </c>
      <c r="F3010" s="48">
        <f>IF(H3010="","",IF(ISNUMBER(O3010),O3010,J3010))</f>
        <v/>
      </c>
      <c r="G3010">
        <f>IF(H3010="","",M3010)</f>
        <v/>
      </c>
      <c r="H3010">
        <f>IF(AND(I3010="",J3010="",K3010=""),"",IF(OR(NOT(ISNUMBER(O3010)),N(O3010)&lt;=0),"Bad amount",IF(NOT(ISNUMBER(N3010)),"Bad date",IF(P3010="","NAME NOT ON ROSTER","OK"))))</f>
        <v/>
      </c>
      <c r="I3010">
        <f>IF('Cash_Check'!A10="","",'Cash_Check'!A10)</f>
        <v/>
      </c>
      <c r="J3010">
        <f>IF('Cash_Check'!D10="","",'Cash_Check'!D10)</f>
        <v/>
      </c>
      <c r="K3010">
        <f>TRIM('Cash_Check'!B10)</f>
        <v/>
      </c>
      <c r="M3010">
        <f>IF(TRIM('Cash_Check'!E10)="","Cash/check",TRIM('Cash_Check'!E10))</f>
        <v/>
      </c>
      <c r="N3010">
        <f>IF(I3010="","",IF(ISNUMBER(I3010),INT(I3010),IFERROR(INT(DATEVALUE(I3010)),IFERROR(INT(VALUE(I3010)),"bad"))))</f>
        <v/>
      </c>
      <c r="O3010">
        <f>IF(J3010="","",IF(ISNUMBER(J3010),ROUND(J3010,2),IFERROR(ROUND(VALUE(SUBSTITUTE(SUBSTITUTE(SUBSTITUTE(J3010,"$",""),",","")," ","")),2),"bad")))</f>
        <v/>
      </c>
      <c r="P3010">
        <f>IF(K3010="","",IFERROR(MATCH(IF(ISNUMBER(FIND("#",K3010)),TRIM(MID(K3010,FIND("#",K3010)+1,20)),UPPER(K3010)),'Students'!$AD$2:$AD$701,0),""))</f>
        <v/>
      </c>
      <c r="R3010">
        <f>IF(P3010="","",INDEX('Students'!$AD$2:$AD$701,P3010))</f>
        <v/>
      </c>
      <c r="S3010">
        <f>IF(H3010="OK",O3010,0)</f>
        <v/>
      </c>
      <c r="T3010">
        <f>IF(H3010="OK",N3010,"")</f>
        <v/>
      </c>
      <c r="U3010">
        <f>TRIM('Cash_Check'!C10)</f>
        <v/>
      </c>
    </row>
    <row r="3011">
      <c r="A3011" s="62">
        <f>IF(H3011="","",IF(ISNUMBER(N3011),N3011,I3011))</f>
        <v/>
      </c>
      <c r="B3011">
        <f>IF(H3011="","",U3011)</f>
        <v/>
      </c>
      <c r="C3011">
        <f>IF(H3011="","",IF(P3011="",K3011,INDEX('Students'!$A$2:$A$701,P3011)))</f>
        <v/>
      </c>
      <c r="D3011">
        <f>IF(OR(H3011="",P3011=""),"",INDEX('Students'!$B$2:$B$701,P3011))</f>
        <v/>
      </c>
      <c r="E3011">
        <f>IF(OR(H3011="",P3011=""),"",INDEX('Students'!$C$2:$C$701,P3011))</f>
        <v/>
      </c>
      <c r="F3011" s="48">
        <f>IF(H3011="","",IF(ISNUMBER(O3011),O3011,J3011))</f>
        <v/>
      </c>
      <c r="G3011">
        <f>IF(H3011="","",M3011)</f>
        <v/>
      </c>
      <c r="H3011">
        <f>IF(AND(I3011="",J3011="",K3011=""),"",IF(OR(NOT(ISNUMBER(O3011)),N(O3011)&lt;=0),"Bad amount",IF(NOT(ISNUMBER(N3011)),"Bad date",IF(P3011="","NAME NOT ON ROSTER","OK"))))</f>
        <v/>
      </c>
      <c r="I3011">
        <f>IF('Cash_Check'!A11="","",'Cash_Check'!A11)</f>
        <v/>
      </c>
      <c r="J3011">
        <f>IF('Cash_Check'!D11="","",'Cash_Check'!D11)</f>
        <v/>
      </c>
      <c r="K3011">
        <f>TRIM('Cash_Check'!B11)</f>
        <v/>
      </c>
      <c r="M3011">
        <f>IF(TRIM('Cash_Check'!E11)="","Cash/check",TRIM('Cash_Check'!E11))</f>
        <v/>
      </c>
      <c r="N3011">
        <f>IF(I3011="","",IF(ISNUMBER(I3011),INT(I3011),IFERROR(INT(DATEVALUE(I3011)),IFERROR(INT(VALUE(I3011)),"bad"))))</f>
        <v/>
      </c>
      <c r="O3011">
        <f>IF(J3011="","",IF(ISNUMBER(J3011),ROUND(J3011,2),IFERROR(ROUND(VALUE(SUBSTITUTE(SUBSTITUTE(SUBSTITUTE(J3011,"$",""),",","")," ","")),2),"bad")))</f>
        <v/>
      </c>
      <c r="P3011">
        <f>IF(K3011="","",IFERROR(MATCH(IF(ISNUMBER(FIND("#",K3011)),TRIM(MID(K3011,FIND("#",K3011)+1,20)),UPPER(K3011)),'Students'!$AD$2:$AD$701,0),""))</f>
        <v/>
      </c>
      <c r="R3011">
        <f>IF(P3011="","",INDEX('Students'!$AD$2:$AD$701,P3011))</f>
        <v/>
      </c>
      <c r="S3011">
        <f>IF(H3011="OK",O3011,0)</f>
        <v/>
      </c>
      <c r="T3011">
        <f>IF(H3011="OK",N3011,"")</f>
        <v/>
      </c>
      <c r="U3011">
        <f>TRIM('Cash_Check'!C11)</f>
        <v/>
      </c>
    </row>
    <row r="3012">
      <c r="A3012" s="62">
        <f>IF(H3012="","",IF(ISNUMBER(N3012),N3012,I3012))</f>
        <v/>
      </c>
      <c r="B3012">
        <f>IF(H3012="","",U3012)</f>
        <v/>
      </c>
      <c r="C3012">
        <f>IF(H3012="","",IF(P3012="",K3012,INDEX('Students'!$A$2:$A$701,P3012)))</f>
        <v/>
      </c>
      <c r="D3012">
        <f>IF(OR(H3012="",P3012=""),"",INDEX('Students'!$B$2:$B$701,P3012))</f>
        <v/>
      </c>
      <c r="E3012">
        <f>IF(OR(H3012="",P3012=""),"",INDEX('Students'!$C$2:$C$701,P3012))</f>
        <v/>
      </c>
      <c r="F3012" s="48">
        <f>IF(H3012="","",IF(ISNUMBER(O3012),O3012,J3012))</f>
        <v/>
      </c>
      <c r="G3012">
        <f>IF(H3012="","",M3012)</f>
        <v/>
      </c>
      <c r="H3012">
        <f>IF(AND(I3012="",J3012="",K3012=""),"",IF(OR(NOT(ISNUMBER(O3012)),N(O3012)&lt;=0),"Bad amount",IF(NOT(ISNUMBER(N3012)),"Bad date",IF(P3012="","NAME NOT ON ROSTER","OK"))))</f>
        <v/>
      </c>
      <c r="I3012">
        <f>IF('Cash_Check'!A12="","",'Cash_Check'!A12)</f>
        <v/>
      </c>
      <c r="J3012">
        <f>IF('Cash_Check'!D12="","",'Cash_Check'!D12)</f>
        <v/>
      </c>
      <c r="K3012">
        <f>TRIM('Cash_Check'!B12)</f>
        <v/>
      </c>
      <c r="M3012">
        <f>IF(TRIM('Cash_Check'!E12)="","Cash/check",TRIM('Cash_Check'!E12))</f>
        <v/>
      </c>
      <c r="N3012">
        <f>IF(I3012="","",IF(ISNUMBER(I3012),INT(I3012),IFERROR(INT(DATEVALUE(I3012)),IFERROR(INT(VALUE(I3012)),"bad"))))</f>
        <v/>
      </c>
      <c r="O3012">
        <f>IF(J3012="","",IF(ISNUMBER(J3012),ROUND(J3012,2),IFERROR(ROUND(VALUE(SUBSTITUTE(SUBSTITUTE(SUBSTITUTE(J3012,"$",""),",","")," ","")),2),"bad")))</f>
        <v/>
      </c>
      <c r="P3012">
        <f>IF(K3012="","",IFERROR(MATCH(IF(ISNUMBER(FIND("#",K3012)),TRIM(MID(K3012,FIND("#",K3012)+1,20)),UPPER(K3012)),'Students'!$AD$2:$AD$701,0),""))</f>
        <v/>
      </c>
      <c r="R3012">
        <f>IF(P3012="","",INDEX('Students'!$AD$2:$AD$701,P3012))</f>
        <v/>
      </c>
      <c r="S3012">
        <f>IF(H3012="OK",O3012,0)</f>
        <v/>
      </c>
      <c r="T3012">
        <f>IF(H3012="OK",N3012,"")</f>
        <v/>
      </c>
      <c r="U3012">
        <f>TRIM('Cash_Check'!C12)</f>
        <v/>
      </c>
    </row>
    <row r="3013">
      <c r="A3013" s="62">
        <f>IF(H3013="","",IF(ISNUMBER(N3013),N3013,I3013))</f>
        <v/>
      </c>
      <c r="B3013">
        <f>IF(H3013="","",U3013)</f>
        <v/>
      </c>
      <c r="C3013">
        <f>IF(H3013="","",IF(P3013="",K3013,INDEX('Students'!$A$2:$A$701,P3013)))</f>
        <v/>
      </c>
      <c r="D3013">
        <f>IF(OR(H3013="",P3013=""),"",INDEX('Students'!$B$2:$B$701,P3013))</f>
        <v/>
      </c>
      <c r="E3013">
        <f>IF(OR(H3013="",P3013=""),"",INDEX('Students'!$C$2:$C$701,P3013))</f>
        <v/>
      </c>
      <c r="F3013" s="48">
        <f>IF(H3013="","",IF(ISNUMBER(O3013),O3013,J3013))</f>
        <v/>
      </c>
      <c r="G3013">
        <f>IF(H3013="","",M3013)</f>
        <v/>
      </c>
      <c r="H3013">
        <f>IF(AND(I3013="",J3013="",K3013=""),"",IF(OR(NOT(ISNUMBER(O3013)),N(O3013)&lt;=0),"Bad amount",IF(NOT(ISNUMBER(N3013)),"Bad date",IF(P3013="","NAME NOT ON ROSTER","OK"))))</f>
        <v/>
      </c>
      <c r="I3013">
        <f>IF('Cash_Check'!A13="","",'Cash_Check'!A13)</f>
        <v/>
      </c>
      <c r="J3013">
        <f>IF('Cash_Check'!D13="","",'Cash_Check'!D13)</f>
        <v/>
      </c>
      <c r="K3013">
        <f>TRIM('Cash_Check'!B13)</f>
        <v/>
      </c>
      <c r="M3013">
        <f>IF(TRIM('Cash_Check'!E13)="","Cash/check",TRIM('Cash_Check'!E13))</f>
        <v/>
      </c>
      <c r="N3013">
        <f>IF(I3013="","",IF(ISNUMBER(I3013),INT(I3013),IFERROR(INT(DATEVALUE(I3013)),IFERROR(INT(VALUE(I3013)),"bad"))))</f>
        <v/>
      </c>
      <c r="O3013">
        <f>IF(J3013="","",IF(ISNUMBER(J3013),ROUND(J3013,2),IFERROR(ROUND(VALUE(SUBSTITUTE(SUBSTITUTE(SUBSTITUTE(J3013,"$",""),",","")," ","")),2),"bad")))</f>
        <v/>
      </c>
      <c r="P3013">
        <f>IF(K3013="","",IFERROR(MATCH(IF(ISNUMBER(FIND("#",K3013)),TRIM(MID(K3013,FIND("#",K3013)+1,20)),UPPER(K3013)),'Students'!$AD$2:$AD$701,0),""))</f>
        <v/>
      </c>
      <c r="R3013">
        <f>IF(P3013="","",INDEX('Students'!$AD$2:$AD$701,P3013))</f>
        <v/>
      </c>
      <c r="S3013">
        <f>IF(H3013="OK",O3013,0)</f>
        <v/>
      </c>
      <c r="T3013">
        <f>IF(H3013="OK",N3013,"")</f>
        <v/>
      </c>
      <c r="U3013">
        <f>TRIM('Cash_Check'!C13)</f>
        <v/>
      </c>
    </row>
    <row r="3014">
      <c r="A3014" s="62">
        <f>IF(H3014="","",IF(ISNUMBER(N3014),N3014,I3014))</f>
        <v/>
      </c>
      <c r="B3014">
        <f>IF(H3014="","",U3014)</f>
        <v/>
      </c>
      <c r="C3014">
        <f>IF(H3014="","",IF(P3014="",K3014,INDEX('Students'!$A$2:$A$701,P3014)))</f>
        <v/>
      </c>
      <c r="D3014">
        <f>IF(OR(H3014="",P3014=""),"",INDEX('Students'!$B$2:$B$701,P3014))</f>
        <v/>
      </c>
      <c r="E3014">
        <f>IF(OR(H3014="",P3014=""),"",INDEX('Students'!$C$2:$C$701,P3014))</f>
        <v/>
      </c>
      <c r="F3014" s="48">
        <f>IF(H3014="","",IF(ISNUMBER(O3014),O3014,J3014))</f>
        <v/>
      </c>
      <c r="G3014">
        <f>IF(H3014="","",M3014)</f>
        <v/>
      </c>
      <c r="H3014">
        <f>IF(AND(I3014="",J3014="",K3014=""),"",IF(OR(NOT(ISNUMBER(O3014)),N(O3014)&lt;=0),"Bad amount",IF(NOT(ISNUMBER(N3014)),"Bad date",IF(P3014="","NAME NOT ON ROSTER","OK"))))</f>
        <v/>
      </c>
      <c r="I3014">
        <f>IF('Cash_Check'!A14="","",'Cash_Check'!A14)</f>
        <v/>
      </c>
      <c r="J3014">
        <f>IF('Cash_Check'!D14="","",'Cash_Check'!D14)</f>
        <v/>
      </c>
      <c r="K3014">
        <f>TRIM('Cash_Check'!B14)</f>
        <v/>
      </c>
      <c r="M3014">
        <f>IF(TRIM('Cash_Check'!E14)="","Cash/check",TRIM('Cash_Check'!E14))</f>
        <v/>
      </c>
      <c r="N3014">
        <f>IF(I3014="","",IF(ISNUMBER(I3014),INT(I3014),IFERROR(INT(DATEVALUE(I3014)),IFERROR(INT(VALUE(I3014)),"bad"))))</f>
        <v/>
      </c>
      <c r="O3014">
        <f>IF(J3014="","",IF(ISNUMBER(J3014),ROUND(J3014,2),IFERROR(ROUND(VALUE(SUBSTITUTE(SUBSTITUTE(SUBSTITUTE(J3014,"$",""),",","")," ","")),2),"bad")))</f>
        <v/>
      </c>
      <c r="P3014">
        <f>IF(K3014="","",IFERROR(MATCH(IF(ISNUMBER(FIND("#",K3014)),TRIM(MID(K3014,FIND("#",K3014)+1,20)),UPPER(K3014)),'Students'!$AD$2:$AD$701,0),""))</f>
        <v/>
      </c>
      <c r="R3014">
        <f>IF(P3014="","",INDEX('Students'!$AD$2:$AD$701,P3014))</f>
        <v/>
      </c>
      <c r="S3014">
        <f>IF(H3014="OK",O3014,0)</f>
        <v/>
      </c>
      <c r="T3014">
        <f>IF(H3014="OK",N3014,"")</f>
        <v/>
      </c>
      <c r="U3014">
        <f>TRIM('Cash_Check'!C14)</f>
        <v/>
      </c>
    </row>
    <row r="3015">
      <c r="A3015" s="62">
        <f>IF(H3015="","",IF(ISNUMBER(N3015),N3015,I3015))</f>
        <v/>
      </c>
      <c r="B3015">
        <f>IF(H3015="","",U3015)</f>
        <v/>
      </c>
      <c r="C3015">
        <f>IF(H3015="","",IF(P3015="",K3015,INDEX('Students'!$A$2:$A$701,P3015)))</f>
        <v/>
      </c>
      <c r="D3015">
        <f>IF(OR(H3015="",P3015=""),"",INDEX('Students'!$B$2:$B$701,P3015))</f>
        <v/>
      </c>
      <c r="E3015">
        <f>IF(OR(H3015="",P3015=""),"",INDEX('Students'!$C$2:$C$701,P3015))</f>
        <v/>
      </c>
      <c r="F3015" s="48">
        <f>IF(H3015="","",IF(ISNUMBER(O3015),O3015,J3015))</f>
        <v/>
      </c>
      <c r="G3015">
        <f>IF(H3015="","",M3015)</f>
        <v/>
      </c>
      <c r="H3015">
        <f>IF(AND(I3015="",J3015="",K3015=""),"",IF(OR(NOT(ISNUMBER(O3015)),N(O3015)&lt;=0),"Bad amount",IF(NOT(ISNUMBER(N3015)),"Bad date",IF(P3015="","NAME NOT ON ROSTER","OK"))))</f>
        <v/>
      </c>
      <c r="I3015">
        <f>IF('Cash_Check'!A15="","",'Cash_Check'!A15)</f>
        <v/>
      </c>
      <c r="J3015">
        <f>IF('Cash_Check'!D15="","",'Cash_Check'!D15)</f>
        <v/>
      </c>
      <c r="K3015">
        <f>TRIM('Cash_Check'!B15)</f>
        <v/>
      </c>
      <c r="M3015">
        <f>IF(TRIM('Cash_Check'!E15)="","Cash/check",TRIM('Cash_Check'!E15))</f>
        <v/>
      </c>
      <c r="N3015">
        <f>IF(I3015="","",IF(ISNUMBER(I3015),INT(I3015),IFERROR(INT(DATEVALUE(I3015)),IFERROR(INT(VALUE(I3015)),"bad"))))</f>
        <v/>
      </c>
      <c r="O3015">
        <f>IF(J3015="","",IF(ISNUMBER(J3015),ROUND(J3015,2),IFERROR(ROUND(VALUE(SUBSTITUTE(SUBSTITUTE(SUBSTITUTE(J3015,"$",""),",","")," ","")),2),"bad")))</f>
        <v/>
      </c>
      <c r="P3015">
        <f>IF(K3015="","",IFERROR(MATCH(IF(ISNUMBER(FIND("#",K3015)),TRIM(MID(K3015,FIND("#",K3015)+1,20)),UPPER(K3015)),'Students'!$AD$2:$AD$701,0),""))</f>
        <v/>
      </c>
      <c r="R3015">
        <f>IF(P3015="","",INDEX('Students'!$AD$2:$AD$701,P3015))</f>
        <v/>
      </c>
      <c r="S3015">
        <f>IF(H3015="OK",O3015,0)</f>
        <v/>
      </c>
      <c r="T3015">
        <f>IF(H3015="OK",N3015,"")</f>
        <v/>
      </c>
      <c r="U3015">
        <f>TRIM('Cash_Check'!C15)</f>
        <v/>
      </c>
    </row>
    <row r="3016">
      <c r="A3016" s="62">
        <f>IF(H3016="","",IF(ISNUMBER(N3016),N3016,I3016))</f>
        <v/>
      </c>
      <c r="B3016">
        <f>IF(H3016="","",U3016)</f>
        <v/>
      </c>
      <c r="C3016">
        <f>IF(H3016="","",IF(P3016="",K3016,INDEX('Students'!$A$2:$A$701,P3016)))</f>
        <v/>
      </c>
      <c r="D3016">
        <f>IF(OR(H3016="",P3016=""),"",INDEX('Students'!$B$2:$B$701,P3016))</f>
        <v/>
      </c>
      <c r="E3016">
        <f>IF(OR(H3016="",P3016=""),"",INDEX('Students'!$C$2:$C$701,P3016))</f>
        <v/>
      </c>
      <c r="F3016" s="48">
        <f>IF(H3016="","",IF(ISNUMBER(O3016),O3016,J3016))</f>
        <v/>
      </c>
      <c r="G3016">
        <f>IF(H3016="","",M3016)</f>
        <v/>
      </c>
      <c r="H3016">
        <f>IF(AND(I3016="",J3016="",K3016=""),"",IF(OR(NOT(ISNUMBER(O3016)),N(O3016)&lt;=0),"Bad amount",IF(NOT(ISNUMBER(N3016)),"Bad date",IF(P3016="","NAME NOT ON ROSTER","OK"))))</f>
        <v/>
      </c>
      <c r="I3016">
        <f>IF('Cash_Check'!A16="","",'Cash_Check'!A16)</f>
        <v/>
      </c>
      <c r="J3016">
        <f>IF('Cash_Check'!D16="","",'Cash_Check'!D16)</f>
        <v/>
      </c>
      <c r="K3016">
        <f>TRIM('Cash_Check'!B16)</f>
        <v/>
      </c>
      <c r="M3016">
        <f>IF(TRIM('Cash_Check'!E16)="","Cash/check",TRIM('Cash_Check'!E16))</f>
        <v/>
      </c>
      <c r="N3016">
        <f>IF(I3016="","",IF(ISNUMBER(I3016),INT(I3016),IFERROR(INT(DATEVALUE(I3016)),IFERROR(INT(VALUE(I3016)),"bad"))))</f>
        <v/>
      </c>
      <c r="O3016">
        <f>IF(J3016="","",IF(ISNUMBER(J3016),ROUND(J3016,2),IFERROR(ROUND(VALUE(SUBSTITUTE(SUBSTITUTE(SUBSTITUTE(J3016,"$",""),",","")," ","")),2),"bad")))</f>
        <v/>
      </c>
      <c r="P3016">
        <f>IF(K3016="","",IFERROR(MATCH(IF(ISNUMBER(FIND("#",K3016)),TRIM(MID(K3016,FIND("#",K3016)+1,20)),UPPER(K3016)),'Students'!$AD$2:$AD$701,0),""))</f>
        <v/>
      </c>
      <c r="R3016">
        <f>IF(P3016="","",INDEX('Students'!$AD$2:$AD$701,P3016))</f>
        <v/>
      </c>
      <c r="S3016">
        <f>IF(H3016="OK",O3016,0)</f>
        <v/>
      </c>
      <c r="T3016">
        <f>IF(H3016="OK",N3016,"")</f>
        <v/>
      </c>
      <c r="U3016">
        <f>TRIM('Cash_Check'!C16)</f>
        <v/>
      </c>
    </row>
    <row r="3017">
      <c r="A3017" s="62">
        <f>IF(H3017="","",IF(ISNUMBER(N3017),N3017,I3017))</f>
        <v/>
      </c>
      <c r="B3017">
        <f>IF(H3017="","",U3017)</f>
        <v/>
      </c>
      <c r="C3017">
        <f>IF(H3017="","",IF(P3017="",K3017,INDEX('Students'!$A$2:$A$701,P3017)))</f>
        <v/>
      </c>
      <c r="D3017">
        <f>IF(OR(H3017="",P3017=""),"",INDEX('Students'!$B$2:$B$701,P3017))</f>
        <v/>
      </c>
      <c r="E3017">
        <f>IF(OR(H3017="",P3017=""),"",INDEX('Students'!$C$2:$C$701,P3017))</f>
        <v/>
      </c>
      <c r="F3017" s="48">
        <f>IF(H3017="","",IF(ISNUMBER(O3017),O3017,J3017))</f>
        <v/>
      </c>
      <c r="G3017">
        <f>IF(H3017="","",M3017)</f>
        <v/>
      </c>
      <c r="H3017">
        <f>IF(AND(I3017="",J3017="",K3017=""),"",IF(OR(NOT(ISNUMBER(O3017)),N(O3017)&lt;=0),"Bad amount",IF(NOT(ISNUMBER(N3017)),"Bad date",IF(P3017="","NAME NOT ON ROSTER","OK"))))</f>
        <v/>
      </c>
      <c r="I3017">
        <f>IF('Cash_Check'!A17="","",'Cash_Check'!A17)</f>
        <v/>
      </c>
      <c r="J3017">
        <f>IF('Cash_Check'!D17="","",'Cash_Check'!D17)</f>
        <v/>
      </c>
      <c r="K3017">
        <f>TRIM('Cash_Check'!B17)</f>
        <v/>
      </c>
      <c r="M3017">
        <f>IF(TRIM('Cash_Check'!E17)="","Cash/check",TRIM('Cash_Check'!E17))</f>
        <v/>
      </c>
      <c r="N3017">
        <f>IF(I3017="","",IF(ISNUMBER(I3017),INT(I3017),IFERROR(INT(DATEVALUE(I3017)),IFERROR(INT(VALUE(I3017)),"bad"))))</f>
        <v/>
      </c>
      <c r="O3017">
        <f>IF(J3017="","",IF(ISNUMBER(J3017),ROUND(J3017,2),IFERROR(ROUND(VALUE(SUBSTITUTE(SUBSTITUTE(SUBSTITUTE(J3017,"$",""),",","")," ","")),2),"bad")))</f>
        <v/>
      </c>
      <c r="P3017">
        <f>IF(K3017="","",IFERROR(MATCH(IF(ISNUMBER(FIND("#",K3017)),TRIM(MID(K3017,FIND("#",K3017)+1,20)),UPPER(K3017)),'Students'!$AD$2:$AD$701,0),""))</f>
        <v/>
      </c>
      <c r="R3017">
        <f>IF(P3017="","",INDEX('Students'!$AD$2:$AD$701,P3017))</f>
        <v/>
      </c>
      <c r="S3017">
        <f>IF(H3017="OK",O3017,0)</f>
        <v/>
      </c>
      <c r="T3017">
        <f>IF(H3017="OK",N3017,"")</f>
        <v/>
      </c>
      <c r="U3017">
        <f>TRIM('Cash_Check'!C17)</f>
        <v/>
      </c>
    </row>
    <row r="3018">
      <c r="A3018" s="62">
        <f>IF(H3018="","",IF(ISNUMBER(N3018),N3018,I3018))</f>
        <v/>
      </c>
      <c r="B3018">
        <f>IF(H3018="","",U3018)</f>
        <v/>
      </c>
      <c r="C3018">
        <f>IF(H3018="","",IF(P3018="",K3018,INDEX('Students'!$A$2:$A$701,P3018)))</f>
        <v/>
      </c>
      <c r="D3018">
        <f>IF(OR(H3018="",P3018=""),"",INDEX('Students'!$B$2:$B$701,P3018))</f>
        <v/>
      </c>
      <c r="E3018">
        <f>IF(OR(H3018="",P3018=""),"",INDEX('Students'!$C$2:$C$701,P3018))</f>
        <v/>
      </c>
      <c r="F3018" s="48">
        <f>IF(H3018="","",IF(ISNUMBER(O3018),O3018,J3018))</f>
        <v/>
      </c>
      <c r="G3018">
        <f>IF(H3018="","",M3018)</f>
        <v/>
      </c>
      <c r="H3018">
        <f>IF(AND(I3018="",J3018="",K3018=""),"",IF(OR(NOT(ISNUMBER(O3018)),N(O3018)&lt;=0),"Bad amount",IF(NOT(ISNUMBER(N3018)),"Bad date",IF(P3018="","NAME NOT ON ROSTER","OK"))))</f>
        <v/>
      </c>
      <c r="I3018">
        <f>IF('Cash_Check'!A18="","",'Cash_Check'!A18)</f>
        <v/>
      </c>
      <c r="J3018">
        <f>IF('Cash_Check'!D18="","",'Cash_Check'!D18)</f>
        <v/>
      </c>
      <c r="K3018">
        <f>TRIM('Cash_Check'!B18)</f>
        <v/>
      </c>
      <c r="M3018">
        <f>IF(TRIM('Cash_Check'!E18)="","Cash/check",TRIM('Cash_Check'!E18))</f>
        <v/>
      </c>
      <c r="N3018">
        <f>IF(I3018="","",IF(ISNUMBER(I3018),INT(I3018),IFERROR(INT(DATEVALUE(I3018)),IFERROR(INT(VALUE(I3018)),"bad"))))</f>
        <v/>
      </c>
      <c r="O3018">
        <f>IF(J3018="","",IF(ISNUMBER(J3018),ROUND(J3018,2),IFERROR(ROUND(VALUE(SUBSTITUTE(SUBSTITUTE(SUBSTITUTE(J3018,"$",""),",","")," ","")),2),"bad")))</f>
        <v/>
      </c>
      <c r="P3018">
        <f>IF(K3018="","",IFERROR(MATCH(IF(ISNUMBER(FIND("#",K3018)),TRIM(MID(K3018,FIND("#",K3018)+1,20)),UPPER(K3018)),'Students'!$AD$2:$AD$701,0),""))</f>
        <v/>
      </c>
      <c r="R3018">
        <f>IF(P3018="","",INDEX('Students'!$AD$2:$AD$701,P3018))</f>
        <v/>
      </c>
      <c r="S3018">
        <f>IF(H3018="OK",O3018,0)</f>
        <v/>
      </c>
      <c r="T3018">
        <f>IF(H3018="OK",N3018,"")</f>
        <v/>
      </c>
      <c r="U3018">
        <f>TRIM('Cash_Check'!C18)</f>
        <v/>
      </c>
    </row>
    <row r="3019">
      <c r="A3019" s="62">
        <f>IF(H3019="","",IF(ISNUMBER(N3019),N3019,I3019))</f>
        <v/>
      </c>
      <c r="B3019">
        <f>IF(H3019="","",U3019)</f>
        <v/>
      </c>
      <c r="C3019">
        <f>IF(H3019="","",IF(P3019="",K3019,INDEX('Students'!$A$2:$A$701,P3019)))</f>
        <v/>
      </c>
      <c r="D3019">
        <f>IF(OR(H3019="",P3019=""),"",INDEX('Students'!$B$2:$B$701,P3019))</f>
        <v/>
      </c>
      <c r="E3019">
        <f>IF(OR(H3019="",P3019=""),"",INDEX('Students'!$C$2:$C$701,P3019))</f>
        <v/>
      </c>
      <c r="F3019" s="48">
        <f>IF(H3019="","",IF(ISNUMBER(O3019),O3019,J3019))</f>
        <v/>
      </c>
      <c r="G3019">
        <f>IF(H3019="","",M3019)</f>
        <v/>
      </c>
      <c r="H3019">
        <f>IF(AND(I3019="",J3019="",K3019=""),"",IF(OR(NOT(ISNUMBER(O3019)),N(O3019)&lt;=0),"Bad amount",IF(NOT(ISNUMBER(N3019)),"Bad date",IF(P3019="","NAME NOT ON ROSTER","OK"))))</f>
        <v/>
      </c>
      <c r="I3019">
        <f>IF('Cash_Check'!A19="","",'Cash_Check'!A19)</f>
        <v/>
      </c>
      <c r="J3019">
        <f>IF('Cash_Check'!D19="","",'Cash_Check'!D19)</f>
        <v/>
      </c>
      <c r="K3019">
        <f>TRIM('Cash_Check'!B19)</f>
        <v/>
      </c>
      <c r="M3019">
        <f>IF(TRIM('Cash_Check'!E19)="","Cash/check",TRIM('Cash_Check'!E19))</f>
        <v/>
      </c>
      <c r="N3019">
        <f>IF(I3019="","",IF(ISNUMBER(I3019),INT(I3019),IFERROR(INT(DATEVALUE(I3019)),IFERROR(INT(VALUE(I3019)),"bad"))))</f>
        <v/>
      </c>
      <c r="O3019">
        <f>IF(J3019="","",IF(ISNUMBER(J3019),ROUND(J3019,2),IFERROR(ROUND(VALUE(SUBSTITUTE(SUBSTITUTE(SUBSTITUTE(J3019,"$",""),",","")," ","")),2),"bad")))</f>
        <v/>
      </c>
      <c r="P3019">
        <f>IF(K3019="","",IFERROR(MATCH(IF(ISNUMBER(FIND("#",K3019)),TRIM(MID(K3019,FIND("#",K3019)+1,20)),UPPER(K3019)),'Students'!$AD$2:$AD$701,0),""))</f>
        <v/>
      </c>
      <c r="R3019">
        <f>IF(P3019="","",INDEX('Students'!$AD$2:$AD$701,P3019))</f>
        <v/>
      </c>
      <c r="S3019">
        <f>IF(H3019="OK",O3019,0)</f>
        <v/>
      </c>
      <c r="T3019">
        <f>IF(H3019="OK",N3019,"")</f>
        <v/>
      </c>
      <c r="U3019">
        <f>TRIM('Cash_Check'!C19)</f>
        <v/>
      </c>
    </row>
    <row r="3020">
      <c r="A3020" s="62">
        <f>IF(H3020="","",IF(ISNUMBER(N3020),N3020,I3020))</f>
        <v/>
      </c>
      <c r="B3020">
        <f>IF(H3020="","",U3020)</f>
        <v/>
      </c>
      <c r="C3020">
        <f>IF(H3020="","",IF(P3020="",K3020,INDEX('Students'!$A$2:$A$701,P3020)))</f>
        <v/>
      </c>
      <c r="D3020">
        <f>IF(OR(H3020="",P3020=""),"",INDEX('Students'!$B$2:$B$701,P3020))</f>
        <v/>
      </c>
      <c r="E3020">
        <f>IF(OR(H3020="",P3020=""),"",INDEX('Students'!$C$2:$C$701,P3020))</f>
        <v/>
      </c>
      <c r="F3020" s="48">
        <f>IF(H3020="","",IF(ISNUMBER(O3020),O3020,J3020))</f>
        <v/>
      </c>
      <c r="G3020">
        <f>IF(H3020="","",M3020)</f>
        <v/>
      </c>
      <c r="H3020">
        <f>IF(AND(I3020="",J3020="",K3020=""),"",IF(OR(NOT(ISNUMBER(O3020)),N(O3020)&lt;=0),"Bad amount",IF(NOT(ISNUMBER(N3020)),"Bad date",IF(P3020="","NAME NOT ON ROSTER","OK"))))</f>
        <v/>
      </c>
      <c r="I3020">
        <f>IF('Cash_Check'!A20="","",'Cash_Check'!A20)</f>
        <v/>
      </c>
      <c r="J3020">
        <f>IF('Cash_Check'!D20="","",'Cash_Check'!D20)</f>
        <v/>
      </c>
      <c r="K3020">
        <f>TRIM('Cash_Check'!B20)</f>
        <v/>
      </c>
      <c r="M3020">
        <f>IF(TRIM('Cash_Check'!E20)="","Cash/check",TRIM('Cash_Check'!E20))</f>
        <v/>
      </c>
      <c r="N3020">
        <f>IF(I3020="","",IF(ISNUMBER(I3020),INT(I3020),IFERROR(INT(DATEVALUE(I3020)),IFERROR(INT(VALUE(I3020)),"bad"))))</f>
        <v/>
      </c>
      <c r="O3020">
        <f>IF(J3020="","",IF(ISNUMBER(J3020),ROUND(J3020,2),IFERROR(ROUND(VALUE(SUBSTITUTE(SUBSTITUTE(SUBSTITUTE(J3020,"$",""),",","")," ","")),2),"bad")))</f>
        <v/>
      </c>
      <c r="P3020">
        <f>IF(K3020="","",IFERROR(MATCH(IF(ISNUMBER(FIND("#",K3020)),TRIM(MID(K3020,FIND("#",K3020)+1,20)),UPPER(K3020)),'Students'!$AD$2:$AD$701,0),""))</f>
        <v/>
      </c>
      <c r="R3020">
        <f>IF(P3020="","",INDEX('Students'!$AD$2:$AD$701,P3020))</f>
        <v/>
      </c>
      <c r="S3020">
        <f>IF(H3020="OK",O3020,0)</f>
        <v/>
      </c>
      <c r="T3020">
        <f>IF(H3020="OK",N3020,"")</f>
        <v/>
      </c>
      <c r="U3020">
        <f>TRIM('Cash_Check'!C20)</f>
        <v/>
      </c>
    </row>
    <row r="3021">
      <c r="A3021" s="62">
        <f>IF(H3021="","",IF(ISNUMBER(N3021),N3021,I3021))</f>
        <v/>
      </c>
      <c r="B3021">
        <f>IF(H3021="","",U3021)</f>
        <v/>
      </c>
      <c r="C3021">
        <f>IF(H3021="","",IF(P3021="",K3021,INDEX('Students'!$A$2:$A$701,P3021)))</f>
        <v/>
      </c>
      <c r="D3021">
        <f>IF(OR(H3021="",P3021=""),"",INDEX('Students'!$B$2:$B$701,P3021))</f>
        <v/>
      </c>
      <c r="E3021">
        <f>IF(OR(H3021="",P3021=""),"",INDEX('Students'!$C$2:$C$701,P3021))</f>
        <v/>
      </c>
      <c r="F3021" s="48">
        <f>IF(H3021="","",IF(ISNUMBER(O3021),O3021,J3021))</f>
        <v/>
      </c>
      <c r="G3021">
        <f>IF(H3021="","",M3021)</f>
        <v/>
      </c>
      <c r="H3021">
        <f>IF(AND(I3021="",J3021="",K3021=""),"",IF(OR(NOT(ISNUMBER(O3021)),N(O3021)&lt;=0),"Bad amount",IF(NOT(ISNUMBER(N3021)),"Bad date",IF(P3021="","NAME NOT ON ROSTER","OK"))))</f>
        <v/>
      </c>
      <c r="I3021">
        <f>IF('Cash_Check'!A21="","",'Cash_Check'!A21)</f>
        <v/>
      </c>
      <c r="J3021">
        <f>IF('Cash_Check'!D21="","",'Cash_Check'!D21)</f>
        <v/>
      </c>
      <c r="K3021">
        <f>TRIM('Cash_Check'!B21)</f>
        <v/>
      </c>
      <c r="M3021">
        <f>IF(TRIM('Cash_Check'!E21)="","Cash/check",TRIM('Cash_Check'!E21))</f>
        <v/>
      </c>
      <c r="N3021">
        <f>IF(I3021="","",IF(ISNUMBER(I3021),INT(I3021),IFERROR(INT(DATEVALUE(I3021)),IFERROR(INT(VALUE(I3021)),"bad"))))</f>
        <v/>
      </c>
      <c r="O3021">
        <f>IF(J3021="","",IF(ISNUMBER(J3021),ROUND(J3021,2),IFERROR(ROUND(VALUE(SUBSTITUTE(SUBSTITUTE(SUBSTITUTE(J3021,"$",""),",","")," ","")),2),"bad")))</f>
        <v/>
      </c>
      <c r="P3021">
        <f>IF(K3021="","",IFERROR(MATCH(IF(ISNUMBER(FIND("#",K3021)),TRIM(MID(K3021,FIND("#",K3021)+1,20)),UPPER(K3021)),'Students'!$AD$2:$AD$701,0),""))</f>
        <v/>
      </c>
      <c r="R3021">
        <f>IF(P3021="","",INDEX('Students'!$AD$2:$AD$701,P3021))</f>
        <v/>
      </c>
      <c r="S3021">
        <f>IF(H3021="OK",O3021,0)</f>
        <v/>
      </c>
      <c r="T3021">
        <f>IF(H3021="OK",N3021,"")</f>
        <v/>
      </c>
      <c r="U3021">
        <f>TRIM('Cash_Check'!C21)</f>
        <v/>
      </c>
    </row>
    <row r="3022">
      <c r="A3022" s="62">
        <f>IF(H3022="","",IF(ISNUMBER(N3022),N3022,I3022))</f>
        <v/>
      </c>
      <c r="B3022">
        <f>IF(H3022="","",U3022)</f>
        <v/>
      </c>
      <c r="C3022">
        <f>IF(H3022="","",IF(P3022="",K3022,INDEX('Students'!$A$2:$A$701,P3022)))</f>
        <v/>
      </c>
      <c r="D3022">
        <f>IF(OR(H3022="",P3022=""),"",INDEX('Students'!$B$2:$B$701,P3022))</f>
        <v/>
      </c>
      <c r="E3022">
        <f>IF(OR(H3022="",P3022=""),"",INDEX('Students'!$C$2:$C$701,P3022))</f>
        <v/>
      </c>
      <c r="F3022" s="48">
        <f>IF(H3022="","",IF(ISNUMBER(O3022),O3022,J3022))</f>
        <v/>
      </c>
      <c r="G3022">
        <f>IF(H3022="","",M3022)</f>
        <v/>
      </c>
      <c r="H3022">
        <f>IF(AND(I3022="",J3022="",K3022=""),"",IF(OR(NOT(ISNUMBER(O3022)),N(O3022)&lt;=0),"Bad amount",IF(NOT(ISNUMBER(N3022)),"Bad date",IF(P3022="","NAME NOT ON ROSTER","OK"))))</f>
        <v/>
      </c>
      <c r="I3022">
        <f>IF('Cash_Check'!A22="","",'Cash_Check'!A22)</f>
        <v/>
      </c>
      <c r="J3022">
        <f>IF('Cash_Check'!D22="","",'Cash_Check'!D22)</f>
        <v/>
      </c>
      <c r="K3022">
        <f>TRIM('Cash_Check'!B22)</f>
        <v/>
      </c>
      <c r="M3022">
        <f>IF(TRIM('Cash_Check'!E22)="","Cash/check",TRIM('Cash_Check'!E22))</f>
        <v/>
      </c>
      <c r="N3022">
        <f>IF(I3022="","",IF(ISNUMBER(I3022),INT(I3022),IFERROR(INT(DATEVALUE(I3022)),IFERROR(INT(VALUE(I3022)),"bad"))))</f>
        <v/>
      </c>
      <c r="O3022">
        <f>IF(J3022="","",IF(ISNUMBER(J3022),ROUND(J3022,2),IFERROR(ROUND(VALUE(SUBSTITUTE(SUBSTITUTE(SUBSTITUTE(J3022,"$",""),",","")," ","")),2),"bad")))</f>
        <v/>
      </c>
      <c r="P3022">
        <f>IF(K3022="","",IFERROR(MATCH(IF(ISNUMBER(FIND("#",K3022)),TRIM(MID(K3022,FIND("#",K3022)+1,20)),UPPER(K3022)),'Students'!$AD$2:$AD$701,0),""))</f>
        <v/>
      </c>
      <c r="R3022">
        <f>IF(P3022="","",INDEX('Students'!$AD$2:$AD$701,P3022))</f>
        <v/>
      </c>
      <c r="S3022">
        <f>IF(H3022="OK",O3022,0)</f>
        <v/>
      </c>
      <c r="T3022">
        <f>IF(H3022="OK",N3022,"")</f>
        <v/>
      </c>
      <c r="U3022">
        <f>TRIM('Cash_Check'!C22)</f>
        <v/>
      </c>
    </row>
    <row r="3023">
      <c r="A3023" s="62">
        <f>IF(H3023="","",IF(ISNUMBER(N3023),N3023,I3023))</f>
        <v/>
      </c>
      <c r="B3023">
        <f>IF(H3023="","",U3023)</f>
        <v/>
      </c>
      <c r="C3023">
        <f>IF(H3023="","",IF(P3023="",K3023,INDEX('Students'!$A$2:$A$701,P3023)))</f>
        <v/>
      </c>
      <c r="D3023">
        <f>IF(OR(H3023="",P3023=""),"",INDEX('Students'!$B$2:$B$701,P3023))</f>
        <v/>
      </c>
      <c r="E3023">
        <f>IF(OR(H3023="",P3023=""),"",INDEX('Students'!$C$2:$C$701,P3023))</f>
        <v/>
      </c>
      <c r="F3023" s="48">
        <f>IF(H3023="","",IF(ISNUMBER(O3023),O3023,J3023))</f>
        <v/>
      </c>
      <c r="G3023">
        <f>IF(H3023="","",M3023)</f>
        <v/>
      </c>
      <c r="H3023">
        <f>IF(AND(I3023="",J3023="",K3023=""),"",IF(OR(NOT(ISNUMBER(O3023)),N(O3023)&lt;=0),"Bad amount",IF(NOT(ISNUMBER(N3023)),"Bad date",IF(P3023="","NAME NOT ON ROSTER","OK"))))</f>
        <v/>
      </c>
      <c r="I3023">
        <f>IF('Cash_Check'!A23="","",'Cash_Check'!A23)</f>
        <v/>
      </c>
      <c r="J3023">
        <f>IF('Cash_Check'!D23="","",'Cash_Check'!D23)</f>
        <v/>
      </c>
      <c r="K3023">
        <f>TRIM('Cash_Check'!B23)</f>
        <v/>
      </c>
      <c r="M3023">
        <f>IF(TRIM('Cash_Check'!E23)="","Cash/check",TRIM('Cash_Check'!E23))</f>
        <v/>
      </c>
      <c r="N3023">
        <f>IF(I3023="","",IF(ISNUMBER(I3023),INT(I3023),IFERROR(INT(DATEVALUE(I3023)),IFERROR(INT(VALUE(I3023)),"bad"))))</f>
        <v/>
      </c>
      <c r="O3023">
        <f>IF(J3023="","",IF(ISNUMBER(J3023),ROUND(J3023,2),IFERROR(ROUND(VALUE(SUBSTITUTE(SUBSTITUTE(SUBSTITUTE(J3023,"$",""),",","")," ","")),2),"bad")))</f>
        <v/>
      </c>
      <c r="P3023">
        <f>IF(K3023="","",IFERROR(MATCH(IF(ISNUMBER(FIND("#",K3023)),TRIM(MID(K3023,FIND("#",K3023)+1,20)),UPPER(K3023)),'Students'!$AD$2:$AD$701,0),""))</f>
        <v/>
      </c>
      <c r="R3023">
        <f>IF(P3023="","",INDEX('Students'!$AD$2:$AD$701,P3023))</f>
        <v/>
      </c>
      <c r="S3023">
        <f>IF(H3023="OK",O3023,0)</f>
        <v/>
      </c>
      <c r="T3023">
        <f>IF(H3023="OK",N3023,"")</f>
        <v/>
      </c>
      <c r="U3023">
        <f>TRIM('Cash_Check'!C23)</f>
        <v/>
      </c>
    </row>
    <row r="3024">
      <c r="A3024" s="62">
        <f>IF(H3024="","",IF(ISNUMBER(N3024),N3024,I3024))</f>
        <v/>
      </c>
      <c r="B3024">
        <f>IF(H3024="","",U3024)</f>
        <v/>
      </c>
      <c r="C3024">
        <f>IF(H3024="","",IF(P3024="",K3024,INDEX('Students'!$A$2:$A$701,P3024)))</f>
        <v/>
      </c>
      <c r="D3024">
        <f>IF(OR(H3024="",P3024=""),"",INDEX('Students'!$B$2:$B$701,P3024))</f>
        <v/>
      </c>
      <c r="E3024">
        <f>IF(OR(H3024="",P3024=""),"",INDEX('Students'!$C$2:$C$701,P3024))</f>
        <v/>
      </c>
      <c r="F3024" s="48">
        <f>IF(H3024="","",IF(ISNUMBER(O3024),O3024,J3024))</f>
        <v/>
      </c>
      <c r="G3024">
        <f>IF(H3024="","",M3024)</f>
        <v/>
      </c>
      <c r="H3024">
        <f>IF(AND(I3024="",J3024="",K3024=""),"",IF(OR(NOT(ISNUMBER(O3024)),N(O3024)&lt;=0),"Bad amount",IF(NOT(ISNUMBER(N3024)),"Bad date",IF(P3024="","NAME NOT ON ROSTER","OK"))))</f>
        <v/>
      </c>
      <c r="I3024">
        <f>IF('Cash_Check'!A24="","",'Cash_Check'!A24)</f>
        <v/>
      </c>
      <c r="J3024">
        <f>IF('Cash_Check'!D24="","",'Cash_Check'!D24)</f>
        <v/>
      </c>
      <c r="K3024">
        <f>TRIM('Cash_Check'!B24)</f>
        <v/>
      </c>
      <c r="M3024">
        <f>IF(TRIM('Cash_Check'!E24)="","Cash/check",TRIM('Cash_Check'!E24))</f>
        <v/>
      </c>
      <c r="N3024">
        <f>IF(I3024="","",IF(ISNUMBER(I3024),INT(I3024),IFERROR(INT(DATEVALUE(I3024)),IFERROR(INT(VALUE(I3024)),"bad"))))</f>
        <v/>
      </c>
      <c r="O3024">
        <f>IF(J3024="","",IF(ISNUMBER(J3024),ROUND(J3024,2),IFERROR(ROUND(VALUE(SUBSTITUTE(SUBSTITUTE(SUBSTITUTE(J3024,"$",""),",","")," ","")),2),"bad")))</f>
        <v/>
      </c>
      <c r="P3024">
        <f>IF(K3024="","",IFERROR(MATCH(IF(ISNUMBER(FIND("#",K3024)),TRIM(MID(K3024,FIND("#",K3024)+1,20)),UPPER(K3024)),'Students'!$AD$2:$AD$701,0),""))</f>
        <v/>
      </c>
      <c r="R3024">
        <f>IF(P3024="","",INDEX('Students'!$AD$2:$AD$701,P3024))</f>
        <v/>
      </c>
      <c r="S3024">
        <f>IF(H3024="OK",O3024,0)</f>
        <v/>
      </c>
      <c r="T3024">
        <f>IF(H3024="OK",N3024,"")</f>
        <v/>
      </c>
      <c r="U3024">
        <f>TRIM('Cash_Check'!C24)</f>
        <v/>
      </c>
    </row>
    <row r="3025">
      <c r="A3025" s="62">
        <f>IF(H3025="","",IF(ISNUMBER(N3025),N3025,I3025))</f>
        <v/>
      </c>
      <c r="B3025">
        <f>IF(H3025="","",U3025)</f>
        <v/>
      </c>
      <c r="C3025">
        <f>IF(H3025="","",IF(P3025="",K3025,INDEX('Students'!$A$2:$A$701,P3025)))</f>
        <v/>
      </c>
      <c r="D3025">
        <f>IF(OR(H3025="",P3025=""),"",INDEX('Students'!$B$2:$B$701,P3025))</f>
        <v/>
      </c>
      <c r="E3025">
        <f>IF(OR(H3025="",P3025=""),"",INDEX('Students'!$C$2:$C$701,P3025))</f>
        <v/>
      </c>
      <c r="F3025" s="48">
        <f>IF(H3025="","",IF(ISNUMBER(O3025),O3025,J3025))</f>
        <v/>
      </c>
      <c r="G3025">
        <f>IF(H3025="","",M3025)</f>
        <v/>
      </c>
      <c r="H3025">
        <f>IF(AND(I3025="",J3025="",K3025=""),"",IF(OR(NOT(ISNUMBER(O3025)),N(O3025)&lt;=0),"Bad amount",IF(NOT(ISNUMBER(N3025)),"Bad date",IF(P3025="","NAME NOT ON ROSTER","OK"))))</f>
        <v/>
      </c>
      <c r="I3025">
        <f>IF('Cash_Check'!A25="","",'Cash_Check'!A25)</f>
        <v/>
      </c>
      <c r="J3025">
        <f>IF('Cash_Check'!D25="","",'Cash_Check'!D25)</f>
        <v/>
      </c>
      <c r="K3025">
        <f>TRIM('Cash_Check'!B25)</f>
        <v/>
      </c>
      <c r="M3025">
        <f>IF(TRIM('Cash_Check'!E25)="","Cash/check",TRIM('Cash_Check'!E25))</f>
        <v/>
      </c>
      <c r="N3025">
        <f>IF(I3025="","",IF(ISNUMBER(I3025),INT(I3025),IFERROR(INT(DATEVALUE(I3025)),IFERROR(INT(VALUE(I3025)),"bad"))))</f>
        <v/>
      </c>
      <c r="O3025">
        <f>IF(J3025="","",IF(ISNUMBER(J3025),ROUND(J3025,2),IFERROR(ROUND(VALUE(SUBSTITUTE(SUBSTITUTE(SUBSTITUTE(J3025,"$",""),",","")," ","")),2),"bad")))</f>
        <v/>
      </c>
      <c r="P3025">
        <f>IF(K3025="","",IFERROR(MATCH(IF(ISNUMBER(FIND("#",K3025)),TRIM(MID(K3025,FIND("#",K3025)+1,20)),UPPER(K3025)),'Students'!$AD$2:$AD$701,0),""))</f>
        <v/>
      </c>
      <c r="R3025">
        <f>IF(P3025="","",INDEX('Students'!$AD$2:$AD$701,P3025))</f>
        <v/>
      </c>
      <c r="S3025">
        <f>IF(H3025="OK",O3025,0)</f>
        <v/>
      </c>
      <c r="T3025">
        <f>IF(H3025="OK",N3025,"")</f>
        <v/>
      </c>
      <c r="U3025">
        <f>TRIM('Cash_Check'!C25)</f>
        <v/>
      </c>
    </row>
    <row r="3026">
      <c r="A3026" s="62">
        <f>IF(H3026="","",IF(ISNUMBER(N3026),N3026,I3026))</f>
        <v/>
      </c>
      <c r="B3026">
        <f>IF(H3026="","",U3026)</f>
        <v/>
      </c>
      <c r="C3026">
        <f>IF(H3026="","",IF(P3026="",K3026,INDEX('Students'!$A$2:$A$701,P3026)))</f>
        <v/>
      </c>
      <c r="D3026">
        <f>IF(OR(H3026="",P3026=""),"",INDEX('Students'!$B$2:$B$701,P3026))</f>
        <v/>
      </c>
      <c r="E3026">
        <f>IF(OR(H3026="",P3026=""),"",INDEX('Students'!$C$2:$C$701,P3026))</f>
        <v/>
      </c>
      <c r="F3026" s="48">
        <f>IF(H3026="","",IF(ISNUMBER(O3026),O3026,J3026))</f>
        <v/>
      </c>
      <c r="G3026">
        <f>IF(H3026="","",M3026)</f>
        <v/>
      </c>
      <c r="H3026">
        <f>IF(AND(I3026="",J3026="",K3026=""),"",IF(OR(NOT(ISNUMBER(O3026)),N(O3026)&lt;=0),"Bad amount",IF(NOT(ISNUMBER(N3026)),"Bad date",IF(P3026="","NAME NOT ON ROSTER","OK"))))</f>
        <v/>
      </c>
      <c r="I3026">
        <f>IF('Cash_Check'!A26="","",'Cash_Check'!A26)</f>
        <v/>
      </c>
      <c r="J3026">
        <f>IF('Cash_Check'!D26="","",'Cash_Check'!D26)</f>
        <v/>
      </c>
      <c r="K3026">
        <f>TRIM('Cash_Check'!B26)</f>
        <v/>
      </c>
      <c r="M3026">
        <f>IF(TRIM('Cash_Check'!E26)="","Cash/check",TRIM('Cash_Check'!E26))</f>
        <v/>
      </c>
      <c r="N3026">
        <f>IF(I3026="","",IF(ISNUMBER(I3026),INT(I3026),IFERROR(INT(DATEVALUE(I3026)),IFERROR(INT(VALUE(I3026)),"bad"))))</f>
        <v/>
      </c>
      <c r="O3026">
        <f>IF(J3026="","",IF(ISNUMBER(J3026),ROUND(J3026,2),IFERROR(ROUND(VALUE(SUBSTITUTE(SUBSTITUTE(SUBSTITUTE(J3026,"$",""),",","")," ","")),2),"bad")))</f>
        <v/>
      </c>
      <c r="P3026">
        <f>IF(K3026="","",IFERROR(MATCH(IF(ISNUMBER(FIND("#",K3026)),TRIM(MID(K3026,FIND("#",K3026)+1,20)),UPPER(K3026)),'Students'!$AD$2:$AD$701,0),""))</f>
        <v/>
      </c>
      <c r="R3026">
        <f>IF(P3026="","",INDEX('Students'!$AD$2:$AD$701,P3026))</f>
        <v/>
      </c>
      <c r="S3026">
        <f>IF(H3026="OK",O3026,0)</f>
        <v/>
      </c>
      <c r="T3026">
        <f>IF(H3026="OK",N3026,"")</f>
        <v/>
      </c>
      <c r="U3026">
        <f>TRIM('Cash_Check'!C26)</f>
        <v/>
      </c>
    </row>
    <row r="3027">
      <c r="A3027" s="62">
        <f>IF(H3027="","",IF(ISNUMBER(N3027),N3027,I3027))</f>
        <v/>
      </c>
      <c r="B3027">
        <f>IF(H3027="","",U3027)</f>
        <v/>
      </c>
      <c r="C3027">
        <f>IF(H3027="","",IF(P3027="",K3027,INDEX('Students'!$A$2:$A$701,P3027)))</f>
        <v/>
      </c>
      <c r="D3027">
        <f>IF(OR(H3027="",P3027=""),"",INDEX('Students'!$B$2:$B$701,P3027))</f>
        <v/>
      </c>
      <c r="E3027">
        <f>IF(OR(H3027="",P3027=""),"",INDEX('Students'!$C$2:$C$701,P3027))</f>
        <v/>
      </c>
      <c r="F3027" s="48">
        <f>IF(H3027="","",IF(ISNUMBER(O3027),O3027,J3027))</f>
        <v/>
      </c>
      <c r="G3027">
        <f>IF(H3027="","",M3027)</f>
        <v/>
      </c>
      <c r="H3027">
        <f>IF(AND(I3027="",J3027="",K3027=""),"",IF(OR(NOT(ISNUMBER(O3027)),N(O3027)&lt;=0),"Bad amount",IF(NOT(ISNUMBER(N3027)),"Bad date",IF(P3027="","NAME NOT ON ROSTER","OK"))))</f>
        <v/>
      </c>
      <c r="I3027">
        <f>IF('Cash_Check'!A27="","",'Cash_Check'!A27)</f>
        <v/>
      </c>
      <c r="J3027">
        <f>IF('Cash_Check'!D27="","",'Cash_Check'!D27)</f>
        <v/>
      </c>
      <c r="K3027">
        <f>TRIM('Cash_Check'!B27)</f>
        <v/>
      </c>
      <c r="M3027">
        <f>IF(TRIM('Cash_Check'!E27)="","Cash/check",TRIM('Cash_Check'!E27))</f>
        <v/>
      </c>
      <c r="N3027">
        <f>IF(I3027="","",IF(ISNUMBER(I3027),INT(I3027),IFERROR(INT(DATEVALUE(I3027)),IFERROR(INT(VALUE(I3027)),"bad"))))</f>
        <v/>
      </c>
      <c r="O3027">
        <f>IF(J3027="","",IF(ISNUMBER(J3027),ROUND(J3027,2),IFERROR(ROUND(VALUE(SUBSTITUTE(SUBSTITUTE(SUBSTITUTE(J3027,"$",""),",","")," ","")),2),"bad")))</f>
        <v/>
      </c>
      <c r="P3027">
        <f>IF(K3027="","",IFERROR(MATCH(IF(ISNUMBER(FIND("#",K3027)),TRIM(MID(K3027,FIND("#",K3027)+1,20)),UPPER(K3027)),'Students'!$AD$2:$AD$701,0),""))</f>
        <v/>
      </c>
      <c r="R3027">
        <f>IF(P3027="","",INDEX('Students'!$AD$2:$AD$701,P3027))</f>
        <v/>
      </c>
      <c r="S3027">
        <f>IF(H3027="OK",O3027,0)</f>
        <v/>
      </c>
      <c r="T3027">
        <f>IF(H3027="OK",N3027,"")</f>
        <v/>
      </c>
      <c r="U3027">
        <f>TRIM('Cash_Check'!C27)</f>
        <v/>
      </c>
    </row>
    <row r="3028">
      <c r="A3028" s="62">
        <f>IF(H3028="","",IF(ISNUMBER(N3028),N3028,I3028))</f>
        <v/>
      </c>
      <c r="B3028">
        <f>IF(H3028="","",U3028)</f>
        <v/>
      </c>
      <c r="C3028">
        <f>IF(H3028="","",IF(P3028="",K3028,INDEX('Students'!$A$2:$A$701,P3028)))</f>
        <v/>
      </c>
      <c r="D3028">
        <f>IF(OR(H3028="",P3028=""),"",INDEX('Students'!$B$2:$B$701,P3028))</f>
        <v/>
      </c>
      <c r="E3028">
        <f>IF(OR(H3028="",P3028=""),"",INDEX('Students'!$C$2:$C$701,P3028))</f>
        <v/>
      </c>
      <c r="F3028" s="48">
        <f>IF(H3028="","",IF(ISNUMBER(O3028),O3028,J3028))</f>
        <v/>
      </c>
      <c r="G3028">
        <f>IF(H3028="","",M3028)</f>
        <v/>
      </c>
      <c r="H3028">
        <f>IF(AND(I3028="",J3028="",K3028=""),"",IF(OR(NOT(ISNUMBER(O3028)),N(O3028)&lt;=0),"Bad amount",IF(NOT(ISNUMBER(N3028)),"Bad date",IF(P3028="","NAME NOT ON ROSTER","OK"))))</f>
        <v/>
      </c>
      <c r="I3028">
        <f>IF('Cash_Check'!A28="","",'Cash_Check'!A28)</f>
        <v/>
      </c>
      <c r="J3028">
        <f>IF('Cash_Check'!D28="","",'Cash_Check'!D28)</f>
        <v/>
      </c>
      <c r="K3028">
        <f>TRIM('Cash_Check'!B28)</f>
        <v/>
      </c>
      <c r="M3028">
        <f>IF(TRIM('Cash_Check'!E28)="","Cash/check",TRIM('Cash_Check'!E28))</f>
        <v/>
      </c>
      <c r="N3028">
        <f>IF(I3028="","",IF(ISNUMBER(I3028),INT(I3028),IFERROR(INT(DATEVALUE(I3028)),IFERROR(INT(VALUE(I3028)),"bad"))))</f>
        <v/>
      </c>
      <c r="O3028">
        <f>IF(J3028="","",IF(ISNUMBER(J3028),ROUND(J3028,2),IFERROR(ROUND(VALUE(SUBSTITUTE(SUBSTITUTE(SUBSTITUTE(J3028,"$",""),",","")," ","")),2),"bad")))</f>
        <v/>
      </c>
      <c r="P3028">
        <f>IF(K3028="","",IFERROR(MATCH(IF(ISNUMBER(FIND("#",K3028)),TRIM(MID(K3028,FIND("#",K3028)+1,20)),UPPER(K3028)),'Students'!$AD$2:$AD$701,0),""))</f>
        <v/>
      </c>
      <c r="R3028">
        <f>IF(P3028="","",INDEX('Students'!$AD$2:$AD$701,P3028))</f>
        <v/>
      </c>
      <c r="S3028">
        <f>IF(H3028="OK",O3028,0)</f>
        <v/>
      </c>
      <c r="T3028">
        <f>IF(H3028="OK",N3028,"")</f>
        <v/>
      </c>
      <c r="U3028">
        <f>TRIM('Cash_Check'!C28)</f>
        <v/>
      </c>
    </row>
    <row r="3029">
      <c r="A3029" s="62">
        <f>IF(H3029="","",IF(ISNUMBER(N3029),N3029,I3029))</f>
        <v/>
      </c>
      <c r="B3029">
        <f>IF(H3029="","",U3029)</f>
        <v/>
      </c>
      <c r="C3029">
        <f>IF(H3029="","",IF(P3029="",K3029,INDEX('Students'!$A$2:$A$701,P3029)))</f>
        <v/>
      </c>
      <c r="D3029">
        <f>IF(OR(H3029="",P3029=""),"",INDEX('Students'!$B$2:$B$701,P3029))</f>
        <v/>
      </c>
      <c r="E3029">
        <f>IF(OR(H3029="",P3029=""),"",INDEX('Students'!$C$2:$C$701,P3029))</f>
        <v/>
      </c>
      <c r="F3029" s="48">
        <f>IF(H3029="","",IF(ISNUMBER(O3029),O3029,J3029))</f>
        <v/>
      </c>
      <c r="G3029">
        <f>IF(H3029="","",M3029)</f>
        <v/>
      </c>
      <c r="H3029">
        <f>IF(AND(I3029="",J3029="",K3029=""),"",IF(OR(NOT(ISNUMBER(O3029)),N(O3029)&lt;=0),"Bad amount",IF(NOT(ISNUMBER(N3029)),"Bad date",IF(P3029="","NAME NOT ON ROSTER","OK"))))</f>
        <v/>
      </c>
      <c r="I3029">
        <f>IF('Cash_Check'!A29="","",'Cash_Check'!A29)</f>
        <v/>
      </c>
      <c r="J3029">
        <f>IF('Cash_Check'!D29="","",'Cash_Check'!D29)</f>
        <v/>
      </c>
      <c r="K3029">
        <f>TRIM('Cash_Check'!B29)</f>
        <v/>
      </c>
      <c r="M3029">
        <f>IF(TRIM('Cash_Check'!E29)="","Cash/check",TRIM('Cash_Check'!E29))</f>
        <v/>
      </c>
      <c r="N3029">
        <f>IF(I3029="","",IF(ISNUMBER(I3029),INT(I3029),IFERROR(INT(DATEVALUE(I3029)),IFERROR(INT(VALUE(I3029)),"bad"))))</f>
        <v/>
      </c>
      <c r="O3029">
        <f>IF(J3029="","",IF(ISNUMBER(J3029),ROUND(J3029,2),IFERROR(ROUND(VALUE(SUBSTITUTE(SUBSTITUTE(SUBSTITUTE(J3029,"$",""),",","")," ","")),2),"bad")))</f>
        <v/>
      </c>
      <c r="P3029">
        <f>IF(K3029="","",IFERROR(MATCH(IF(ISNUMBER(FIND("#",K3029)),TRIM(MID(K3029,FIND("#",K3029)+1,20)),UPPER(K3029)),'Students'!$AD$2:$AD$701,0),""))</f>
        <v/>
      </c>
      <c r="R3029">
        <f>IF(P3029="","",INDEX('Students'!$AD$2:$AD$701,P3029))</f>
        <v/>
      </c>
      <c r="S3029">
        <f>IF(H3029="OK",O3029,0)</f>
        <v/>
      </c>
      <c r="T3029">
        <f>IF(H3029="OK",N3029,"")</f>
        <v/>
      </c>
      <c r="U3029">
        <f>TRIM('Cash_Check'!C29)</f>
        <v/>
      </c>
    </row>
    <row r="3030">
      <c r="A3030" s="62">
        <f>IF(H3030="","",IF(ISNUMBER(N3030),N3030,I3030))</f>
        <v/>
      </c>
      <c r="B3030">
        <f>IF(H3030="","",U3030)</f>
        <v/>
      </c>
      <c r="C3030">
        <f>IF(H3030="","",IF(P3030="",K3030,INDEX('Students'!$A$2:$A$701,P3030)))</f>
        <v/>
      </c>
      <c r="D3030">
        <f>IF(OR(H3030="",P3030=""),"",INDEX('Students'!$B$2:$B$701,P3030))</f>
        <v/>
      </c>
      <c r="E3030">
        <f>IF(OR(H3030="",P3030=""),"",INDEX('Students'!$C$2:$C$701,P3030))</f>
        <v/>
      </c>
      <c r="F3030" s="48">
        <f>IF(H3030="","",IF(ISNUMBER(O3030),O3030,J3030))</f>
        <v/>
      </c>
      <c r="G3030">
        <f>IF(H3030="","",M3030)</f>
        <v/>
      </c>
      <c r="H3030">
        <f>IF(AND(I3030="",J3030="",K3030=""),"",IF(OR(NOT(ISNUMBER(O3030)),N(O3030)&lt;=0),"Bad amount",IF(NOT(ISNUMBER(N3030)),"Bad date",IF(P3030="","NAME NOT ON ROSTER","OK"))))</f>
        <v/>
      </c>
      <c r="I3030">
        <f>IF('Cash_Check'!A30="","",'Cash_Check'!A30)</f>
        <v/>
      </c>
      <c r="J3030">
        <f>IF('Cash_Check'!D30="","",'Cash_Check'!D30)</f>
        <v/>
      </c>
      <c r="K3030">
        <f>TRIM('Cash_Check'!B30)</f>
        <v/>
      </c>
      <c r="M3030">
        <f>IF(TRIM('Cash_Check'!E30)="","Cash/check",TRIM('Cash_Check'!E30))</f>
        <v/>
      </c>
      <c r="N3030">
        <f>IF(I3030="","",IF(ISNUMBER(I3030),INT(I3030),IFERROR(INT(DATEVALUE(I3030)),IFERROR(INT(VALUE(I3030)),"bad"))))</f>
        <v/>
      </c>
      <c r="O3030">
        <f>IF(J3030="","",IF(ISNUMBER(J3030),ROUND(J3030,2),IFERROR(ROUND(VALUE(SUBSTITUTE(SUBSTITUTE(SUBSTITUTE(J3030,"$",""),",","")," ","")),2),"bad")))</f>
        <v/>
      </c>
      <c r="P3030">
        <f>IF(K3030="","",IFERROR(MATCH(IF(ISNUMBER(FIND("#",K3030)),TRIM(MID(K3030,FIND("#",K3030)+1,20)),UPPER(K3030)),'Students'!$AD$2:$AD$701,0),""))</f>
        <v/>
      </c>
      <c r="R3030">
        <f>IF(P3030="","",INDEX('Students'!$AD$2:$AD$701,P3030))</f>
        <v/>
      </c>
      <c r="S3030">
        <f>IF(H3030="OK",O3030,0)</f>
        <v/>
      </c>
      <c r="T3030">
        <f>IF(H3030="OK",N3030,"")</f>
        <v/>
      </c>
      <c r="U3030">
        <f>TRIM('Cash_Check'!C30)</f>
        <v/>
      </c>
    </row>
    <row r="3031">
      <c r="A3031" s="62">
        <f>IF(H3031="","",IF(ISNUMBER(N3031),N3031,I3031))</f>
        <v/>
      </c>
      <c r="B3031">
        <f>IF(H3031="","",U3031)</f>
        <v/>
      </c>
      <c r="C3031">
        <f>IF(H3031="","",IF(P3031="",K3031,INDEX('Students'!$A$2:$A$701,P3031)))</f>
        <v/>
      </c>
      <c r="D3031">
        <f>IF(OR(H3031="",P3031=""),"",INDEX('Students'!$B$2:$B$701,P3031))</f>
        <v/>
      </c>
      <c r="E3031">
        <f>IF(OR(H3031="",P3031=""),"",INDEX('Students'!$C$2:$C$701,P3031))</f>
        <v/>
      </c>
      <c r="F3031" s="48">
        <f>IF(H3031="","",IF(ISNUMBER(O3031),O3031,J3031))</f>
        <v/>
      </c>
      <c r="G3031">
        <f>IF(H3031="","",M3031)</f>
        <v/>
      </c>
      <c r="H3031">
        <f>IF(AND(I3031="",J3031="",K3031=""),"",IF(OR(NOT(ISNUMBER(O3031)),N(O3031)&lt;=0),"Bad amount",IF(NOT(ISNUMBER(N3031)),"Bad date",IF(P3031="","NAME NOT ON ROSTER","OK"))))</f>
        <v/>
      </c>
      <c r="I3031">
        <f>IF('Cash_Check'!A31="","",'Cash_Check'!A31)</f>
        <v/>
      </c>
      <c r="J3031">
        <f>IF('Cash_Check'!D31="","",'Cash_Check'!D31)</f>
        <v/>
      </c>
      <c r="K3031">
        <f>TRIM('Cash_Check'!B31)</f>
        <v/>
      </c>
      <c r="M3031">
        <f>IF(TRIM('Cash_Check'!E31)="","Cash/check",TRIM('Cash_Check'!E31))</f>
        <v/>
      </c>
      <c r="N3031">
        <f>IF(I3031="","",IF(ISNUMBER(I3031),INT(I3031),IFERROR(INT(DATEVALUE(I3031)),IFERROR(INT(VALUE(I3031)),"bad"))))</f>
        <v/>
      </c>
      <c r="O3031">
        <f>IF(J3031="","",IF(ISNUMBER(J3031),ROUND(J3031,2),IFERROR(ROUND(VALUE(SUBSTITUTE(SUBSTITUTE(SUBSTITUTE(J3031,"$",""),",","")," ","")),2),"bad")))</f>
        <v/>
      </c>
      <c r="P3031">
        <f>IF(K3031="","",IFERROR(MATCH(IF(ISNUMBER(FIND("#",K3031)),TRIM(MID(K3031,FIND("#",K3031)+1,20)),UPPER(K3031)),'Students'!$AD$2:$AD$701,0),""))</f>
        <v/>
      </c>
      <c r="R3031">
        <f>IF(P3031="","",INDEX('Students'!$AD$2:$AD$701,P3031))</f>
        <v/>
      </c>
      <c r="S3031">
        <f>IF(H3031="OK",O3031,0)</f>
        <v/>
      </c>
      <c r="T3031">
        <f>IF(H3031="OK",N3031,"")</f>
        <v/>
      </c>
      <c r="U3031">
        <f>TRIM('Cash_Check'!C31)</f>
        <v/>
      </c>
    </row>
    <row r="3032">
      <c r="A3032" s="62">
        <f>IF(H3032="","",IF(ISNUMBER(N3032),N3032,I3032))</f>
        <v/>
      </c>
      <c r="B3032">
        <f>IF(H3032="","",U3032)</f>
        <v/>
      </c>
      <c r="C3032">
        <f>IF(H3032="","",IF(P3032="",K3032,INDEX('Students'!$A$2:$A$701,P3032)))</f>
        <v/>
      </c>
      <c r="D3032">
        <f>IF(OR(H3032="",P3032=""),"",INDEX('Students'!$B$2:$B$701,P3032))</f>
        <v/>
      </c>
      <c r="E3032">
        <f>IF(OR(H3032="",P3032=""),"",INDEX('Students'!$C$2:$C$701,P3032))</f>
        <v/>
      </c>
      <c r="F3032" s="48">
        <f>IF(H3032="","",IF(ISNUMBER(O3032),O3032,J3032))</f>
        <v/>
      </c>
      <c r="G3032">
        <f>IF(H3032="","",M3032)</f>
        <v/>
      </c>
      <c r="H3032">
        <f>IF(AND(I3032="",J3032="",K3032=""),"",IF(OR(NOT(ISNUMBER(O3032)),N(O3032)&lt;=0),"Bad amount",IF(NOT(ISNUMBER(N3032)),"Bad date",IF(P3032="","NAME NOT ON ROSTER","OK"))))</f>
        <v/>
      </c>
      <c r="I3032">
        <f>IF('Cash_Check'!A32="","",'Cash_Check'!A32)</f>
        <v/>
      </c>
      <c r="J3032">
        <f>IF('Cash_Check'!D32="","",'Cash_Check'!D32)</f>
        <v/>
      </c>
      <c r="K3032">
        <f>TRIM('Cash_Check'!B32)</f>
        <v/>
      </c>
      <c r="M3032">
        <f>IF(TRIM('Cash_Check'!E32)="","Cash/check",TRIM('Cash_Check'!E32))</f>
        <v/>
      </c>
      <c r="N3032">
        <f>IF(I3032="","",IF(ISNUMBER(I3032),INT(I3032),IFERROR(INT(DATEVALUE(I3032)),IFERROR(INT(VALUE(I3032)),"bad"))))</f>
        <v/>
      </c>
      <c r="O3032">
        <f>IF(J3032="","",IF(ISNUMBER(J3032),ROUND(J3032,2),IFERROR(ROUND(VALUE(SUBSTITUTE(SUBSTITUTE(SUBSTITUTE(J3032,"$",""),",","")," ","")),2),"bad")))</f>
        <v/>
      </c>
      <c r="P3032">
        <f>IF(K3032="","",IFERROR(MATCH(IF(ISNUMBER(FIND("#",K3032)),TRIM(MID(K3032,FIND("#",K3032)+1,20)),UPPER(K3032)),'Students'!$AD$2:$AD$701,0),""))</f>
        <v/>
      </c>
      <c r="R3032">
        <f>IF(P3032="","",INDEX('Students'!$AD$2:$AD$701,P3032))</f>
        <v/>
      </c>
      <c r="S3032">
        <f>IF(H3032="OK",O3032,0)</f>
        <v/>
      </c>
      <c r="T3032">
        <f>IF(H3032="OK",N3032,"")</f>
        <v/>
      </c>
      <c r="U3032">
        <f>TRIM('Cash_Check'!C32)</f>
        <v/>
      </c>
    </row>
    <row r="3033">
      <c r="A3033" s="62">
        <f>IF(H3033="","",IF(ISNUMBER(N3033),N3033,I3033))</f>
        <v/>
      </c>
      <c r="B3033">
        <f>IF(H3033="","",U3033)</f>
        <v/>
      </c>
      <c r="C3033">
        <f>IF(H3033="","",IF(P3033="",K3033,INDEX('Students'!$A$2:$A$701,P3033)))</f>
        <v/>
      </c>
      <c r="D3033">
        <f>IF(OR(H3033="",P3033=""),"",INDEX('Students'!$B$2:$B$701,P3033))</f>
        <v/>
      </c>
      <c r="E3033">
        <f>IF(OR(H3033="",P3033=""),"",INDEX('Students'!$C$2:$C$701,P3033))</f>
        <v/>
      </c>
      <c r="F3033" s="48">
        <f>IF(H3033="","",IF(ISNUMBER(O3033),O3033,J3033))</f>
        <v/>
      </c>
      <c r="G3033">
        <f>IF(H3033="","",M3033)</f>
        <v/>
      </c>
      <c r="H3033">
        <f>IF(AND(I3033="",J3033="",K3033=""),"",IF(OR(NOT(ISNUMBER(O3033)),N(O3033)&lt;=0),"Bad amount",IF(NOT(ISNUMBER(N3033)),"Bad date",IF(P3033="","NAME NOT ON ROSTER","OK"))))</f>
        <v/>
      </c>
      <c r="I3033">
        <f>IF('Cash_Check'!A33="","",'Cash_Check'!A33)</f>
        <v/>
      </c>
      <c r="J3033">
        <f>IF('Cash_Check'!D33="","",'Cash_Check'!D33)</f>
        <v/>
      </c>
      <c r="K3033">
        <f>TRIM('Cash_Check'!B33)</f>
        <v/>
      </c>
      <c r="M3033">
        <f>IF(TRIM('Cash_Check'!E33)="","Cash/check",TRIM('Cash_Check'!E33))</f>
        <v/>
      </c>
      <c r="N3033">
        <f>IF(I3033="","",IF(ISNUMBER(I3033),INT(I3033),IFERROR(INT(DATEVALUE(I3033)),IFERROR(INT(VALUE(I3033)),"bad"))))</f>
        <v/>
      </c>
      <c r="O3033">
        <f>IF(J3033="","",IF(ISNUMBER(J3033),ROUND(J3033,2),IFERROR(ROUND(VALUE(SUBSTITUTE(SUBSTITUTE(SUBSTITUTE(J3033,"$",""),",","")," ","")),2),"bad")))</f>
        <v/>
      </c>
      <c r="P3033">
        <f>IF(K3033="","",IFERROR(MATCH(IF(ISNUMBER(FIND("#",K3033)),TRIM(MID(K3033,FIND("#",K3033)+1,20)),UPPER(K3033)),'Students'!$AD$2:$AD$701,0),""))</f>
        <v/>
      </c>
      <c r="R3033">
        <f>IF(P3033="","",INDEX('Students'!$AD$2:$AD$701,P3033))</f>
        <v/>
      </c>
      <c r="S3033">
        <f>IF(H3033="OK",O3033,0)</f>
        <v/>
      </c>
      <c r="T3033">
        <f>IF(H3033="OK",N3033,"")</f>
        <v/>
      </c>
      <c r="U3033">
        <f>TRIM('Cash_Check'!C33)</f>
        <v/>
      </c>
    </row>
    <row r="3034">
      <c r="A3034" s="62">
        <f>IF(H3034="","",IF(ISNUMBER(N3034),N3034,I3034))</f>
        <v/>
      </c>
      <c r="B3034">
        <f>IF(H3034="","",U3034)</f>
        <v/>
      </c>
      <c r="C3034">
        <f>IF(H3034="","",IF(P3034="",K3034,INDEX('Students'!$A$2:$A$701,P3034)))</f>
        <v/>
      </c>
      <c r="D3034">
        <f>IF(OR(H3034="",P3034=""),"",INDEX('Students'!$B$2:$B$701,P3034))</f>
        <v/>
      </c>
      <c r="E3034">
        <f>IF(OR(H3034="",P3034=""),"",INDEX('Students'!$C$2:$C$701,P3034))</f>
        <v/>
      </c>
      <c r="F3034" s="48">
        <f>IF(H3034="","",IF(ISNUMBER(O3034),O3034,J3034))</f>
        <v/>
      </c>
      <c r="G3034">
        <f>IF(H3034="","",M3034)</f>
        <v/>
      </c>
      <c r="H3034">
        <f>IF(AND(I3034="",J3034="",K3034=""),"",IF(OR(NOT(ISNUMBER(O3034)),N(O3034)&lt;=0),"Bad amount",IF(NOT(ISNUMBER(N3034)),"Bad date",IF(P3034="","NAME NOT ON ROSTER","OK"))))</f>
        <v/>
      </c>
      <c r="I3034">
        <f>IF('Cash_Check'!A34="","",'Cash_Check'!A34)</f>
        <v/>
      </c>
      <c r="J3034">
        <f>IF('Cash_Check'!D34="","",'Cash_Check'!D34)</f>
        <v/>
      </c>
      <c r="K3034">
        <f>TRIM('Cash_Check'!B34)</f>
        <v/>
      </c>
      <c r="M3034">
        <f>IF(TRIM('Cash_Check'!E34)="","Cash/check",TRIM('Cash_Check'!E34))</f>
        <v/>
      </c>
      <c r="N3034">
        <f>IF(I3034="","",IF(ISNUMBER(I3034),INT(I3034),IFERROR(INT(DATEVALUE(I3034)),IFERROR(INT(VALUE(I3034)),"bad"))))</f>
        <v/>
      </c>
      <c r="O3034">
        <f>IF(J3034="","",IF(ISNUMBER(J3034),ROUND(J3034,2),IFERROR(ROUND(VALUE(SUBSTITUTE(SUBSTITUTE(SUBSTITUTE(J3034,"$",""),",","")," ","")),2),"bad")))</f>
        <v/>
      </c>
      <c r="P3034">
        <f>IF(K3034="","",IFERROR(MATCH(IF(ISNUMBER(FIND("#",K3034)),TRIM(MID(K3034,FIND("#",K3034)+1,20)),UPPER(K3034)),'Students'!$AD$2:$AD$701,0),""))</f>
        <v/>
      </c>
      <c r="R3034">
        <f>IF(P3034="","",INDEX('Students'!$AD$2:$AD$701,P3034))</f>
        <v/>
      </c>
      <c r="S3034">
        <f>IF(H3034="OK",O3034,0)</f>
        <v/>
      </c>
      <c r="T3034">
        <f>IF(H3034="OK",N3034,"")</f>
        <v/>
      </c>
      <c r="U3034">
        <f>TRIM('Cash_Check'!C34)</f>
        <v/>
      </c>
    </row>
    <row r="3035">
      <c r="A3035" s="62">
        <f>IF(H3035="","",IF(ISNUMBER(N3035),N3035,I3035))</f>
        <v/>
      </c>
      <c r="B3035">
        <f>IF(H3035="","",U3035)</f>
        <v/>
      </c>
      <c r="C3035">
        <f>IF(H3035="","",IF(P3035="",K3035,INDEX('Students'!$A$2:$A$701,P3035)))</f>
        <v/>
      </c>
      <c r="D3035">
        <f>IF(OR(H3035="",P3035=""),"",INDEX('Students'!$B$2:$B$701,P3035))</f>
        <v/>
      </c>
      <c r="E3035">
        <f>IF(OR(H3035="",P3035=""),"",INDEX('Students'!$C$2:$C$701,P3035))</f>
        <v/>
      </c>
      <c r="F3035" s="48">
        <f>IF(H3035="","",IF(ISNUMBER(O3035),O3035,J3035))</f>
        <v/>
      </c>
      <c r="G3035">
        <f>IF(H3035="","",M3035)</f>
        <v/>
      </c>
      <c r="H3035">
        <f>IF(AND(I3035="",J3035="",K3035=""),"",IF(OR(NOT(ISNUMBER(O3035)),N(O3035)&lt;=0),"Bad amount",IF(NOT(ISNUMBER(N3035)),"Bad date",IF(P3035="","NAME NOT ON ROSTER","OK"))))</f>
        <v/>
      </c>
      <c r="I3035">
        <f>IF('Cash_Check'!A35="","",'Cash_Check'!A35)</f>
        <v/>
      </c>
      <c r="J3035">
        <f>IF('Cash_Check'!D35="","",'Cash_Check'!D35)</f>
        <v/>
      </c>
      <c r="K3035">
        <f>TRIM('Cash_Check'!B35)</f>
        <v/>
      </c>
      <c r="M3035">
        <f>IF(TRIM('Cash_Check'!E35)="","Cash/check",TRIM('Cash_Check'!E35))</f>
        <v/>
      </c>
      <c r="N3035">
        <f>IF(I3035="","",IF(ISNUMBER(I3035),INT(I3035),IFERROR(INT(DATEVALUE(I3035)),IFERROR(INT(VALUE(I3035)),"bad"))))</f>
        <v/>
      </c>
      <c r="O3035">
        <f>IF(J3035="","",IF(ISNUMBER(J3035),ROUND(J3035,2),IFERROR(ROUND(VALUE(SUBSTITUTE(SUBSTITUTE(SUBSTITUTE(J3035,"$",""),",","")," ","")),2),"bad")))</f>
        <v/>
      </c>
      <c r="P3035">
        <f>IF(K3035="","",IFERROR(MATCH(IF(ISNUMBER(FIND("#",K3035)),TRIM(MID(K3035,FIND("#",K3035)+1,20)),UPPER(K3035)),'Students'!$AD$2:$AD$701,0),""))</f>
        <v/>
      </c>
      <c r="R3035">
        <f>IF(P3035="","",INDEX('Students'!$AD$2:$AD$701,P3035))</f>
        <v/>
      </c>
      <c r="S3035">
        <f>IF(H3035="OK",O3035,0)</f>
        <v/>
      </c>
      <c r="T3035">
        <f>IF(H3035="OK",N3035,"")</f>
        <v/>
      </c>
      <c r="U3035">
        <f>TRIM('Cash_Check'!C35)</f>
        <v/>
      </c>
    </row>
    <row r="3036">
      <c r="A3036" s="62">
        <f>IF(H3036="","",IF(ISNUMBER(N3036),N3036,I3036))</f>
        <v/>
      </c>
      <c r="B3036">
        <f>IF(H3036="","",U3036)</f>
        <v/>
      </c>
      <c r="C3036">
        <f>IF(H3036="","",IF(P3036="",K3036,INDEX('Students'!$A$2:$A$701,P3036)))</f>
        <v/>
      </c>
      <c r="D3036">
        <f>IF(OR(H3036="",P3036=""),"",INDEX('Students'!$B$2:$B$701,P3036))</f>
        <v/>
      </c>
      <c r="E3036">
        <f>IF(OR(H3036="",P3036=""),"",INDEX('Students'!$C$2:$C$701,P3036))</f>
        <v/>
      </c>
      <c r="F3036" s="48">
        <f>IF(H3036="","",IF(ISNUMBER(O3036),O3036,J3036))</f>
        <v/>
      </c>
      <c r="G3036">
        <f>IF(H3036="","",M3036)</f>
        <v/>
      </c>
      <c r="H3036">
        <f>IF(AND(I3036="",J3036="",K3036=""),"",IF(OR(NOT(ISNUMBER(O3036)),N(O3036)&lt;=0),"Bad amount",IF(NOT(ISNUMBER(N3036)),"Bad date",IF(P3036="","NAME NOT ON ROSTER","OK"))))</f>
        <v/>
      </c>
      <c r="I3036">
        <f>IF('Cash_Check'!A36="","",'Cash_Check'!A36)</f>
        <v/>
      </c>
      <c r="J3036">
        <f>IF('Cash_Check'!D36="","",'Cash_Check'!D36)</f>
        <v/>
      </c>
      <c r="K3036">
        <f>TRIM('Cash_Check'!B36)</f>
        <v/>
      </c>
      <c r="M3036">
        <f>IF(TRIM('Cash_Check'!E36)="","Cash/check",TRIM('Cash_Check'!E36))</f>
        <v/>
      </c>
      <c r="N3036">
        <f>IF(I3036="","",IF(ISNUMBER(I3036),INT(I3036),IFERROR(INT(DATEVALUE(I3036)),IFERROR(INT(VALUE(I3036)),"bad"))))</f>
        <v/>
      </c>
      <c r="O3036">
        <f>IF(J3036="","",IF(ISNUMBER(J3036),ROUND(J3036,2),IFERROR(ROUND(VALUE(SUBSTITUTE(SUBSTITUTE(SUBSTITUTE(J3036,"$",""),",","")," ","")),2),"bad")))</f>
        <v/>
      </c>
      <c r="P3036">
        <f>IF(K3036="","",IFERROR(MATCH(IF(ISNUMBER(FIND("#",K3036)),TRIM(MID(K3036,FIND("#",K3036)+1,20)),UPPER(K3036)),'Students'!$AD$2:$AD$701,0),""))</f>
        <v/>
      </c>
      <c r="R3036">
        <f>IF(P3036="","",INDEX('Students'!$AD$2:$AD$701,P3036))</f>
        <v/>
      </c>
      <c r="S3036">
        <f>IF(H3036="OK",O3036,0)</f>
        <v/>
      </c>
      <c r="T3036">
        <f>IF(H3036="OK",N3036,"")</f>
        <v/>
      </c>
      <c r="U3036">
        <f>TRIM('Cash_Check'!C36)</f>
        <v/>
      </c>
    </row>
    <row r="3037">
      <c r="A3037" s="62">
        <f>IF(H3037="","",IF(ISNUMBER(N3037),N3037,I3037))</f>
        <v/>
      </c>
      <c r="B3037">
        <f>IF(H3037="","",U3037)</f>
        <v/>
      </c>
      <c r="C3037">
        <f>IF(H3037="","",IF(P3037="",K3037,INDEX('Students'!$A$2:$A$701,P3037)))</f>
        <v/>
      </c>
      <c r="D3037">
        <f>IF(OR(H3037="",P3037=""),"",INDEX('Students'!$B$2:$B$701,P3037))</f>
        <v/>
      </c>
      <c r="E3037">
        <f>IF(OR(H3037="",P3037=""),"",INDEX('Students'!$C$2:$C$701,P3037))</f>
        <v/>
      </c>
      <c r="F3037" s="48">
        <f>IF(H3037="","",IF(ISNUMBER(O3037),O3037,J3037))</f>
        <v/>
      </c>
      <c r="G3037">
        <f>IF(H3037="","",M3037)</f>
        <v/>
      </c>
      <c r="H3037">
        <f>IF(AND(I3037="",J3037="",K3037=""),"",IF(OR(NOT(ISNUMBER(O3037)),N(O3037)&lt;=0),"Bad amount",IF(NOT(ISNUMBER(N3037)),"Bad date",IF(P3037="","NAME NOT ON ROSTER","OK"))))</f>
        <v/>
      </c>
      <c r="I3037">
        <f>IF('Cash_Check'!A37="","",'Cash_Check'!A37)</f>
        <v/>
      </c>
      <c r="J3037">
        <f>IF('Cash_Check'!D37="","",'Cash_Check'!D37)</f>
        <v/>
      </c>
      <c r="K3037">
        <f>TRIM('Cash_Check'!B37)</f>
        <v/>
      </c>
      <c r="M3037">
        <f>IF(TRIM('Cash_Check'!E37)="","Cash/check",TRIM('Cash_Check'!E37))</f>
        <v/>
      </c>
      <c r="N3037">
        <f>IF(I3037="","",IF(ISNUMBER(I3037),INT(I3037),IFERROR(INT(DATEVALUE(I3037)),IFERROR(INT(VALUE(I3037)),"bad"))))</f>
        <v/>
      </c>
      <c r="O3037">
        <f>IF(J3037="","",IF(ISNUMBER(J3037),ROUND(J3037,2),IFERROR(ROUND(VALUE(SUBSTITUTE(SUBSTITUTE(SUBSTITUTE(J3037,"$",""),",","")," ","")),2),"bad")))</f>
        <v/>
      </c>
      <c r="P3037">
        <f>IF(K3037="","",IFERROR(MATCH(IF(ISNUMBER(FIND("#",K3037)),TRIM(MID(K3037,FIND("#",K3037)+1,20)),UPPER(K3037)),'Students'!$AD$2:$AD$701,0),""))</f>
        <v/>
      </c>
      <c r="R3037">
        <f>IF(P3037="","",INDEX('Students'!$AD$2:$AD$701,P3037))</f>
        <v/>
      </c>
      <c r="S3037">
        <f>IF(H3037="OK",O3037,0)</f>
        <v/>
      </c>
      <c r="T3037">
        <f>IF(H3037="OK",N3037,"")</f>
        <v/>
      </c>
      <c r="U3037">
        <f>TRIM('Cash_Check'!C37)</f>
        <v/>
      </c>
    </row>
    <row r="3038">
      <c r="A3038" s="62">
        <f>IF(H3038="","",IF(ISNUMBER(N3038),N3038,I3038))</f>
        <v/>
      </c>
      <c r="B3038">
        <f>IF(H3038="","",U3038)</f>
        <v/>
      </c>
      <c r="C3038">
        <f>IF(H3038="","",IF(P3038="",K3038,INDEX('Students'!$A$2:$A$701,P3038)))</f>
        <v/>
      </c>
      <c r="D3038">
        <f>IF(OR(H3038="",P3038=""),"",INDEX('Students'!$B$2:$B$701,P3038))</f>
        <v/>
      </c>
      <c r="E3038">
        <f>IF(OR(H3038="",P3038=""),"",INDEX('Students'!$C$2:$C$701,P3038))</f>
        <v/>
      </c>
      <c r="F3038" s="48">
        <f>IF(H3038="","",IF(ISNUMBER(O3038),O3038,J3038))</f>
        <v/>
      </c>
      <c r="G3038">
        <f>IF(H3038="","",M3038)</f>
        <v/>
      </c>
      <c r="H3038">
        <f>IF(AND(I3038="",J3038="",K3038=""),"",IF(OR(NOT(ISNUMBER(O3038)),N(O3038)&lt;=0),"Bad amount",IF(NOT(ISNUMBER(N3038)),"Bad date",IF(P3038="","NAME NOT ON ROSTER","OK"))))</f>
        <v/>
      </c>
      <c r="I3038">
        <f>IF('Cash_Check'!A38="","",'Cash_Check'!A38)</f>
        <v/>
      </c>
      <c r="J3038">
        <f>IF('Cash_Check'!D38="","",'Cash_Check'!D38)</f>
        <v/>
      </c>
      <c r="K3038">
        <f>TRIM('Cash_Check'!B38)</f>
        <v/>
      </c>
      <c r="M3038">
        <f>IF(TRIM('Cash_Check'!E38)="","Cash/check",TRIM('Cash_Check'!E38))</f>
        <v/>
      </c>
      <c r="N3038">
        <f>IF(I3038="","",IF(ISNUMBER(I3038),INT(I3038),IFERROR(INT(DATEVALUE(I3038)),IFERROR(INT(VALUE(I3038)),"bad"))))</f>
        <v/>
      </c>
      <c r="O3038">
        <f>IF(J3038="","",IF(ISNUMBER(J3038),ROUND(J3038,2),IFERROR(ROUND(VALUE(SUBSTITUTE(SUBSTITUTE(SUBSTITUTE(J3038,"$",""),",","")," ","")),2),"bad")))</f>
        <v/>
      </c>
      <c r="P3038">
        <f>IF(K3038="","",IFERROR(MATCH(IF(ISNUMBER(FIND("#",K3038)),TRIM(MID(K3038,FIND("#",K3038)+1,20)),UPPER(K3038)),'Students'!$AD$2:$AD$701,0),""))</f>
        <v/>
      </c>
      <c r="R3038">
        <f>IF(P3038="","",INDEX('Students'!$AD$2:$AD$701,P3038))</f>
        <v/>
      </c>
      <c r="S3038">
        <f>IF(H3038="OK",O3038,0)</f>
        <v/>
      </c>
      <c r="T3038">
        <f>IF(H3038="OK",N3038,"")</f>
        <v/>
      </c>
      <c r="U3038">
        <f>TRIM('Cash_Check'!C38)</f>
        <v/>
      </c>
    </row>
    <row r="3039">
      <c r="A3039" s="62">
        <f>IF(H3039="","",IF(ISNUMBER(N3039),N3039,I3039))</f>
        <v/>
      </c>
      <c r="B3039">
        <f>IF(H3039="","",U3039)</f>
        <v/>
      </c>
      <c r="C3039">
        <f>IF(H3039="","",IF(P3039="",K3039,INDEX('Students'!$A$2:$A$701,P3039)))</f>
        <v/>
      </c>
      <c r="D3039">
        <f>IF(OR(H3039="",P3039=""),"",INDEX('Students'!$B$2:$B$701,P3039))</f>
        <v/>
      </c>
      <c r="E3039">
        <f>IF(OR(H3039="",P3039=""),"",INDEX('Students'!$C$2:$C$701,P3039))</f>
        <v/>
      </c>
      <c r="F3039" s="48">
        <f>IF(H3039="","",IF(ISNUMBER(O3039),O3039,J3039))</f>
        <v/>
      </c>
      <c r="G3039">
        <f>IF(H3039="","",M3039)</f>
        <v/>
      </c>
      <c r="H3039">
        <f>IF(AND(I3039="",J3039="",K3039=""),"",IF(OR(NOT(ISNUMBER(O3039)),N(O3039)&lt;=0),"Bad amount",IF(NOT(ISNUMBER(N3039)),"Bad date",IF(P3039="","NAME NOT ON ROSTER","OK"))))</f>
        <v/>
      </c>
      <c r="I3039">
        <f>IF('Cash_Check'!A39="","",'Cash_Check'!A39)</f>
        <v/>
      </c>
      <c r="J3039">
        <f>IF('Cash_Check'!D39="","",'Cash_Check'!D39)</f>
        <v/>
      </c>
      <c r="K3039">
        <f>TRIM('Cash_Check'!B39)</f>
        <v/>
      </c>
      <c r="M3039">
        <f>IF(TRIM('Cash_Check'!E39)="","Cash/check",TRIM('Cash_Check'!E39))</f>
        <v/>
      </c>
      <c r="N3039">
        <f>IF(I3039="","",IF(ISNUMBER(I3039),INT(I3039),IFERROR(INT(DATEVALUE(I3039)),IFERROR(INT(VALUE(I3039)),"bad"))))</f>
        <v/>
      </c>
      <c r="O3039">
        <f>IF(J3039="","",IF(ISNUMBER(J3039),ROUND(J3039,2),IFERROR(ROUND(VALUE(SUBSTITUTE(SUBSTITUTE(SUBSTITUTE(J3039,"$",""),",","")," ","")),2),"bad")))</f>
        <v/>
      </c>
      <c r="P3039">
        <f>IF(K3039="","",IFERROR(MATCH(IF(ISNUMBER(FIND("#",K3039)),TRIM(MID(K3039,FIND("#",K3039)+1,20)),UPPER(K3039)),'Students'!$AD$2:$AD$701,0),""))</f>
        <v/>
      </c>
      <c r="R3039">
        <f>IF(P3039="","",INDEX('Students'!$AD$2:$AD$701,P3039))</f>
        <v/>
      </c>
      <c r="S3039">
        <f>IF(H3039="OK",O3039,0)</f>
        <v/>
      </c>
      <c r="T3039">
        <f>IF(H3039="OK",N3039,"")</f>
        <v/>
      </c>
      <c r="U3039">
        <f>TRIM('Cash_Check'!C39)</f>
        <v/>
      </c>
    </row>
    <row r="3040">
      <c r="A3040" s="62">
        <f>IF(H3040="","",IF(ISNUMBER(N3040),N3040,I3040))</f>
        <v/>
      </c>
      <c r="B3040">
        <f>IF(H3040="","",U3040)</f>
        <v/>
      </c>
      <c r="C3040">
        <f>IF(H3040="","",IF(P3040="",K3040,INDEX('Students'!$A$2:$A$701,P3040)))</f>
        <v/>
      </c>
      <c r="D3040">
        <f>IF(OR(H3040="",P3040=""),"",INDEX('Students'!$B$2:$B$701,P3040))</f>
        <v/>
      </c>
      <c r="E3040">
        <f>IF(OR(H3040="",P3040=""),"",INDEX('Students'!$C$2:$C$701,P3040))</f>
        <v/>
      </c>
      <c r="F3040" s="48">
        <f>IF(H3040="","",IF(ISNUMBER(O3040),O3040,J3040))</f>
        <v/>
      </c>
      <c r="G3040">
        <f>IF(H3040="","",M3040)</f>
        <v/>
      </c>
      <c r="H3040">
        <f>IF(AND(I3040="",J3040="",K3040=""),"",IF(OR(NOT(ISNUMBER(O3040)),N(O3040)&lt;=0),"Bad amount",IF(NOT(ISNUMBER(N3040)),"Bad date",IF(P3040="","NAME NOT ON ROSTER","OK"))))</f>
        <v/>
      </c>
      <c r="I3040">
        <f>IF('Cash_Check'!A40="","",'Cash_Check'!A40)</f>
        <v/>
      </c>
      <c r="J3040">
        <f>IF('Cash_Check'!D40="","",'Cash_Check'!D40)</f>
        <v/>
      </c>
      <c r="K3040">
        <f>TRIM('Cash_Check'!B40)</f>
        <v/>
      </c>
      <c r="M3040">
        <f>IF(TRIM('Cash_Check'!E40)="","Cash/check",TRIM('Cash_Check'!E40))</f>
        <v/>
      </c>
      <c r="N3040">
        <f>IF(I3040="","",IF(ISNUMBER(I3040),INT(I3040),IFERROR(INT(DATEVALUE(I3040)),IFERROR(INT(VALUE(I3040)),"bad"))))</f>
        <v/>
      </c>
      <c r="O3040">
        <f>IF(J3040="","",IF(ISNUMBER(J3040),ROUND(J3040,2),IFERROR(ROUND(VALUE(SUBSTITUTE(SUBSTITUTE(SUBSTITUTE(J3040,"$",""),",","")," ","")),2),"bad")))</f>
        <v/>
      </c>
      <c r="P3040">
        <f>IF(K3040="","",IFERROR(MATCH(IF(ISNUMBER(FIND("#",K3040)),TRIM(MID(K3040,FIND("#",K3040)+1,20)),UPPER(K3040)),'Students'!$AD$2:$AD$701,0),""))</f>
        <v/>
      </c>
      <c r="R3040">
        <f>IF(P3040="","",INDEX('Students'!$AD$2:$AD$701,P3040))</f>
        <v/>
      </c>
      <c r="S3040">
        <f>IF(H3040="OK",O3040,0)</f>
        <v/>
      </c>
      <c r="T3040">
        <f>IF(H3040="OK",N3040,"")</f>
        <v/>
      </c>
      <c r="U3040">
        <f>TRIM('Cash_Check'!C40)</f>
        <v/>
      </c>
    </row>
    <row r="3041">
      <c r="A3041" s="62">
        <f>IF(H3041="","",IF(ISNUMBER(N3041),N3041,I3041))</f>
        <v/>
      </c>
      <c r="B3041">
        <f>IF(H3041="","",U3041)</f>
        <v/>
      </c>
      <c r="C3041">
        <f>IF(H3041="","",IF(P3041="",K3041,INDEX('Students'!$A$2:$A$701,P3041)))</f>
        <v/>
      </c>
      <c r="D3041">
        <f>IF(OR(H3041="",P3041=""),"",INDEX('Students'!$B$2:$B$701,P3041))</f>
        <v/>
      </c>
      <c r="E3041">
        <f>IF(OR(H3041="",P3041=""),"",INDEX('Students'!$C$2:$C$701,P3041))</f>
        <v/>
      </c>
      <c r="F3041" s="48">
        <f>IF(H3041="","",IF(ISNUMBER(O3041),O3041,J3041))</f>
        <v/>
      </c>
      <c r="G3041">
        <f>IF(H3041="","",M3041)</f>
        <v/>
      </c>
      <c r="H3041">
        <f>IF(AND(I3041="",J3041="",K3041=""),"",IF(OR(NOT(ISNUMBER(O3041)),N(O3041)&lt;=0),"Bad amount",IF(NOT(ISNUMBER(N3041)),"Bad date",IF(P3041="","NAME NOT ON ROSTER","OK"))))</f>
        <v/>
      </c>
      <c r="I3041">
        <f>IF('Cash_Check'!A41="","",'Cash_Check'!A41)</f>
        <v/>
      </c>
      <c r="J3041">
        <f>IF('Cash_Check'!D41="","",'Cash_Check'!D41)</f>
        <v/>
      </c>
      <c r="K3041">
        <f>TRIM('Cash_Check'!B41)</f>
        <v/>
      </c>
      <c r="M3041">
        <f>IF(TRIM('Cash_Check'!E41)="","Cash/check",TRIM('Cash_Check'!E41))</f>
        <v/>
      </c>
      <c r="N3041">
        <f>IF(I3041="","",IF(ISNUMBER(I3041),INT(I3041),IFERROR(INT(DATEVALUE(I3041)),IFERROR(INT(VALUE(I3041)),"bad"))))</f>
        <v/>
      </c>
      <c r="O3041">
        <f>IF(J3041="","",IF(ISNUMBER(J3041),ROUND(J3041,2),IFERROR(ROUND(VALUE(SUBSTITUTE(SUBSTITUTE(SUBSTITUTE(J3041,"$",""),",","")," ","")),2),"bad")))</f>
        <v/>
      </c>
      <c r="P3041">
        <f>IF(K3041="","",IFERROR(MATCH(IF(ISNUMBER(FIND("#",K3041)),TRIM(MID(K3041,FIND("#",K3041)+1,20)),UPPER(K3041)),'Students'!$AD$2:$AD$701,0),""))</f>
        <v/>
      </c>
      <c r="R3041">
        <f>IF(P3041="","",INDEX('Students'!$AD$2:$AD$701,P3041))</f>
        <v/>
      </c>
      <c r="S3041">
        <f>IF(H3041="OK",O3041,0)</f>
        <v/>
      </c>
      <c r="T3041">
        <f>IF(H3041="OK",N3041,"")</f>
        <v/>
      </c>
      <c r="U3041">
        <f>TRIM('Cash_Check'!C41)</f>
        <v/>
      </c>
    </row>
    <row r="3042">
      <c r="A3042" s="62">
        <f>IF(H3042="","",IF(ISNUMBER(N3042),N3042,I3042))</f>
        <v/>
      </c>
      <c r="B3042">
        <f>IF(H3042="","",U3042)</f>
        <v/>
      </c>
      <c r="C3042">
        <f>IF(H3042="","",IF(P3042="",K3042,INDEX('Students'!$A$2:$A$701,P3042)))</f>
        <v/>
      </c>
      <c r="D3042">
        <f>IF(OR(H3042="",P3042=""),"",INDEX('Students'!$B$2:$B$701,P3042))</f>
        <v/>
      </c>
      <c r="E3042">
        <f>IF(OR(H3042="",P3042=""),"",INDEX('Students'!$C$2:$C$701,P3042))</f>
        <v/>
      </c>
      <c r="F3042" s="48">
        <f>IF(H3042="","",IF(ISNUMBER(O3042),O3042,J3042))</f>
        <v/>
      </c>
      <c r="G3042">
        <f>IF(H3042="","",M3042)</f>
        <v/>
      </c>
      <c r="H3042">
        <f>IF(AND(I3042="",J3042="",K3042=""),"",IF(OR(NOT(ISNUMBER(O3042)),N(O3042)&lt;=0),"Bad amount",IF(NOT(ISNUMBER(N3042)),"Bad date",IF(P3042="","NAME NOT ON ROSTER","OK"))))</f>
        <v/>
      </c>
      <c r="I3042">
        <f>IF('Cash_Check'!A42="","",'Cash_Check'!A42)</f>
        <v/>
      </c>
      <c r="J3042">
        <f>IF('Cash_Check'!D42="","",'Cash_Check'!D42)</f>
        <v/>
      </c>
      <c r="K3042">
        <f>TRIM('Cash_Check'!B42)</f>
        <v/>
      </c>
      <c r="M3042">
        <f>IF(TRIM('Cash_Check'!E42)="","Cash/check",TRIM('Cash_Check'!E42))</f>
        <v/>
      </c>
      <c r="N3042">
        <f>IF(I3042="","",IF(ISNUMBER(I3042),INT(I3042),IFERROR(INT(DATEVALUE(I3042)),IFERROR(INT(VALUE(I3042)),"bad"))))</f>
        <v/>
      </c>
      <c r="O3042">
        <f>IF(J3042="","",IF(ISNUMBER(J3042),ROUND(J3042,2),IFERROR(ROUND(VALUE(SUBSTITUTE(SUBSTITUTE(SUBSTITUTE(J3042,"$",""),",","")," ","")),2),"bad")))</f>
        <v/>
      </c>
      <c r="P3042">
        <f>IF(K3042="","",IFERROR(MATCH(IF(ISNUMBER(FIND("#",K3042)),TRIM(MID(K3042,FIND("#",K3042)+1,20)),UPPER(K3042)),'Students'!$AD$2:$AD$701,0),""))</f>
        <v/>
      </c>
      <c r="R3042">
        <f>IF(P3042="","",INDEX('Students'!$AD$2:$AD$701,P3042))</f>
        <v/>
      </c>
      <c r="S3042">
        <f>IF(H3042="OK",O3042,0)</f>
        <v/>
      </c>
      <c r="T3042">
        <f>IF(H3042="OK",N3042,"")</f>
        <v/>
      </c>
      <c r="U3042">
        <f>TRIM('Cash_Check'!C42)</f>
        <v/>
      </c>
    </row>
    <row r="3043">
      <c r="A3043" s="62">
        <f>IF(H3043="","",IF(ISNUMBER(N3043),N3043,I3043))</f>
        <v/>
      </c>
      <c r="B3043">
        <f>IF(H3043="","",U3043)</f>
        <v/>
      </c>
      <c r="C3043">
        <f>IF(H3043="","",IF(P3043="",K3043,INDEX('Students'!$A$2:$A$701,P3043)))</f>
        <v/>
      </c>
      <c r="D3043">
        <f>IF(OR(H3043="",P3043=""),"",INDEX('Students'!$B$2:$B$701,P3043))</f>
        <v/>
      </c>
      <c r="E3043">
        <f>IF(OR(H3043="",P3043=""),"",INDEX('Students'!$C$2:$C$701,P3043))</f>
        <v/>
      </c>
      <c r="F3043" s="48">
        <f>IF(H3043="","",IF(ISNUMBER(O3043),O3043,J3043))</f>
        <v/>
      </c>
      <c r="G3043">
        <f>IF(H3043="","",M3043)</f>
        <v/>
      </c>
      <c r="H3043">
        <f>IF(AND(I3043="",J3043="",K3043=""),"",IF(OR(NOT(ISNUMBER(O3043)),N(O3043)&lt;=0),"Bad amount",IF(NOT(ISNUMBER(N3043)),"Bad date",IF(P3043="","NAME NOT ON ROSTER","OK"))))</f>
        <v/>
      </c>
      <c r="I3043">
        <f>IF('Cash_Check'!A43="","",'Cash_Check'!A43)</f>
        <v/>
      </c>
      <c r="J3043">
        <f>IF('Cash_Check'!D43="","",'Cash_Check'!D43)</f>
        <v/>
      </c>
      <c r="K3043">
        <f>TRIM('Cash_Check'!B43)</f>
        <v/>
      </c>
      <c r="M3043">
        <f>IF(TRIM('Cash_Check'!E43)="","Cash/check",TRIM('Cash_Check'!E43))</f>
        <v/>
      </c>
      <c r="N3043">
        <f>IF(I3043="","",IF(ISNUMBER(I3043),INT(I3043),IFERROR(INT(DATEVALUE(I3043)),IFERROR(INT(VALUE(I3043)),"bad"))))</f>
        <v/>
      </c>
      <c r="O3043">
        <f>IF(J3043="","",IF(ISNUMBER(J3043),ROUND(J3043,2),IFERROR(ROUND(VALUE(SUBSTITUTE(SUBSTITUTE(SUBSTITUTE(J3043,"$",""),",","")," ","")),2),"bad")))</f>
        <v/>
      </c>
      <c r="P3043">
        <f>IF(K3043="","",IFERROR(MATCH(IF(ISNUMBER(FIND("#",K3043)),TRIM(MID(K3043,FIND("#",K3043)+1,20)),UPPER(K3043)),'Students'!$AD$2:$AD$701,0),""))</f>
        <v/>
      </c>
      <c r="R3043">
        <f>IF(P3043="","",INDEX('Students'!$AD$2:$AD$701,P3043))</f>
        <v/>
      </c>
      <c r="S3043">
        <f>IF(H3043="OK",O3043,0)</f>
        <v/>
      </c>
      <c r="T3043">
        <f>IF(H3043="OK",N3043,"")</f>
        <v/>
      </c>
      <c r="U3043">
        <f>TRIM('Cash_Check'!C43)</f>
        <v/>
      </c>
    </row>
    <row r="3044">
      <c r="A3044" s="62">
        <f>IF(H3044="","",IF(ISNUMBER(N3044),N3044,I3044))</f>
        <v/>
      </c>
      <c r="B3044">
        <f>IF(H3044="","",U3044)</f>
        <v/>
      </c>
      <c r="C3044">
        <f>IF(H3044="","",IF(P3044="",K3044,INDEX('Students'!$A$2:$A$701,P3044)))</f>
        <v/>
      </c>
      <c r="D3044">
        <f>IF(OR(H3044="",P3044=""),"",INDEX('Students'!$B$2:$B$701,P3044))</f>
        <v/>
      </c>
      <c r="E3044">
        <f>IF(OR(H3044="",P3044=""),"",INDEX('Students'!$C$2:$C$701,P3044))</f>
        <v/>
      </c>
      <c r="F3044" s="48">
        <f>IF(H3044="","",IF(ISNUMBER(O3044),O3044,J3044))</f>
        <v/>
      </c>
      <c r="G3044">
        <f>IF(H3044="","",M3044)</f>
        <v/>
      </c>
      <c r="H3044">
        <f>IF(AND(I3044="",J3044="",K3044=""),"",IF(OR(NOT(ISNUMBER(O3044)),N(O3044)&lt;=0),"Bad amount",IF(NOT(ISNUMBER(N3044)),"Bad date",IF(P3044="","NAME NOT ON ROSTER","OK"))))</f>
        <v/>
      </c>
      <c r="I3044">
        <f>IF('Cash_Check'!A44="","",'Cash_Check'!A44)</f>
        <v/>
      </c>
      <c r="J3044">
        <f>IF('Cash_Check'!D44="","",'Cash_Check'!D44)</f>
        <v/>
      </c>
      <c r="K3044">
        <f>TRIM('Cash_Check'!B44)</f>
        <v/>
      </c>
      <c r="M3044">
        <f>IF(TRIM('Cash_Check'!E44)="","Cash/check",TRIM('Cash_Check'!E44))</f>
        <v/>
      </c>
      <c r="N3044">
        <f>IF(I3044="","",IF(ISNUMBER(I3044),INT(I3044),IFERROR(INT(DATEVALUE(I3044)),IFERROR(INT(VALUE(I3044)),"bad"))))</f>
        <v/>
      </c>
      <c r="O3044">
        <f>IF(J3044="","",IF(ISNUMBER(J3044),ROUND(J3044,2),IFERROR(ROUND(VALUE(SUBSTITUTE(SUBSTITUTE(SUBSTITUTE(J3044,"$",""),",","")," ","")),2),"bad")))</f>
        <v/>
      </c>
      <c r="P3044">
        <f>IF(K3044="","",IFERROR(MATCH(IF(ISNUMBER(FIND("#",K3044)),TRIM(MID(K3044,FIND("#",K3044)+1,20)),UPPER(K3044)),'Students'!$AD$2:$AD$701,0),""))</f>
        <v/>
      </c>
      <c r="R3044">
        <f>IF(P3044="","",INDEX('Students'!$AD$2:$AD$701,P3044))</f>
        <v/>
      </c>
      <c r="S3044">
        <f>IF(H3044="OK",O3044,0)</f>
        <v/>
      </c>
      <c r="T3044">
        <f>IF(H3044="OK",N3044,"")</f>
        <v/>
      </c>
      <c r="U3044">
        <f>TRIM('Cash_Check'!C44)</f>
        <v/>
      </c>
    </row>
    <row r="3045">
      <c r="A3045" s="62">
        <f>IF(H3045="","",IF(ISNUMBER(N3045),N3045,I3045))</f>
        <v/>
      </c>
      <c r="B3045">
        <f>IF(H3045="","",U3045)</f>
        <v/>
      </c>
      <c r="C3045">
        <f>IF(H3045="","",IF(P3045="",K3045,INDEX('Students'!$A$2:$A$701,P3045)))</f>
        <v/>
      </c>
      <c r="D3045">
        <f>IF(OR(H3045="",P3045=""),"",INDEX('Students'!$B$2:$B$701,P3045))</f>
        <v/>
      </c>
      <c r="E3045">
        <f>IF(OR(H3045="",P3045=""),"",INDEX('Students'!$C$2:$C$701,P3045))</f>
        <v/>
      </c>
      <c r="F3045" s="48">
        <f>IF(H3045="","",IF(ISNUMBER(O3045),O3045,J3045))</f>
        <v/>
      </c>
      <c r="G3045">
        <f>IF(H3045="","",M3045)</f>
        <v/>
      </c>
      <c r="H3045">
        <f>IF(AND(I3045="",J3045="",K3045=""),"",IF(OR(NOT(ISNUMBER(O3045)),N(O3045)&lt;=0),"Bad amount",IF(NOT(ISNUMBER(N3045)),"Bad date",IF(P3045="","NAME NOT ON ROSTER","OK"))))</f>
        <v/>
      </c>
      <c r="I3045">
        <f>IF('Cash_Check'!A45="","",'Cash_Check'!A45)</f>
        <v/>
      </c>
      <c r="J3045">
        <f>IF('Cash_Check'!D45="","",'Cash_Check'!D45)</f>
        <v/>
      </c>
      <c r="K3045">
        <f>TRIM('Cash_Check'!B45)</f>
        <v/>
      </c>
      <c r="M3045">
        <f>IF(TRIM('Cash_Check'!E45)="","Cash/check",TRIM('Cash_Check'!E45))</f>
        <v/>
      </c>
      <c r="N3045">
        <f>IF(I3045="","",IF(ISNUMBER(I3045),INT(I3045),IFERROR(INT(DATEVALUE(I3045)),IFERROR(INT(VALUE(I3045)),"bad"))))</f>
        <v/>
      </c>
      <c r="O3045">
        <f>IF(J3045="","",IF(ISNUMBER(J3045),ROUND(J3045,2),IFERROR(ROUND(VALUE(SUBSTITUTE(SUBSTITUTE(SUBSTITUTE(J3045,"$",""),",","")," ","")),2),"bad")))</f>
        <v/>
      </c>
      <c r="P3045">
        <f>IF(K3045="","",IFERROR(MATCH(IF(ISNUMBER(FIND("#",K3045)),TRIM(MID(K3045,FIND("#",K3045)+1,20)),UPPER(K3045)),'Students'!$AD$2:$AD$701,0),""))</f>
        <v/>
      </c>
      <c r="R3045">
        <f>IF(P3045="","",INDEX('Students'!$AD$2:$AD$701,P3045))</f>
        <v/>
      </c>
      <c r="S3045">
        <f>IF(H3045="OK",O3045,0)</f>
        <v/>
      </c>
      <c r="T3045">
        <f>IF(H3045="OK",N3045,"")</f>
        <v/>
      </c>
      <c r="U3045">
        <f>TRIM('Cash_Check'!C45)</f>
        <v/>
      </c>
    </row>
    <row r="3046">
      <c r="A3046" s="62">
        <f>IF(H3046="","",IF(ISNUMBER(N3046),N3046,I3046))</f>
        <v/>
      </c>
      <c r="B3046">
        <f>IF(H3046="","",U3046)</f>
        <v/>
      </c>
      <c r="C3046">
        <f>IF(H3046="","",IF(P3046="",K3046,INDEX('Students'!$A$2:$A$701,P3046)))</f>
        <v/>
      </c>
      <c r="D3046">
        <f>IF(OR(H3046="",P3046=""),"",INDEX('Students'!$B$2:$B$701,P3046))</f>
        <v/>
      </c>
      <c r="E3046">
        <f>IF(OR(H3046="",P3046=""),"",INDEX('Students'!$C$2:$C$701,P3046))</f>
        <v/>
      </c>
      <c r="F3046" s="48">
        <f>IF(H3046="","",IF(ISNUMBER(O3046),O3046,J3046))</f>
        <v/>
      </c>
      <c r="G3046">
        <f>IF(H3046="","",M3046)</f>
        <v/>
      </c>
      <c r="H3046">
        <f>IF(AND(I3046="",J3046="",K3046=""),"",IF(OR(NOT(ISNUMBER(O3046)),N(O3046)&lt;=0),"Bad amount",IF(NOT(ISNUMBER(N3046)),"Bad date",IF(P3046="","NAME NOT ON ROSTER","OK"))))</f>
        <v/>
      </c>
      <c r="I3046">
        <f>IF('Cash_Check'!A46="","",'Cash_Check'!A46)</f>
        <v/>
      </c>
      <c r="J3046">
        <f>IF('Cash_Check'!D46="","",'Cash_Check'!D46)</f>
        <v/>
      </c>
      <c r="K3046">
        <f>TRIM('Cash_Check'!B46)</f>
        <v/>
      </c>
      <c r="M3046">
        <f>IF(TRIM('Cash_Check'!E46)="","Cash/check",TRIM('Cash_Check'!E46))</f>
        <v/>
      </c>
      <c r="N3046">
        <f>IF(I3046="","",IF(ISNUMBER(I3046),INT(I3046),IFERROR(INT(DATEVALUE(I3046)),IFERROR(INT(VALUE(I3046)),"bad"))))</f>
        <v/>
      </c>
      <c r="O3046">
        <f>IF(J3046="","",IF(ISNUMBER(J3046),ROUND(J3046,2),IFERROR(ROUND(VALUE(SUBSTITUTE(SUBSTITUTE(SUBSTITUTE(J3046,"$",""),",","")," ","")),2),"bad")))</f>
        <v/>
      </c>
      <c r="P3046">
        <f>IF(K3046="","",IFERROR(MATCH(IF(ISNUMBER(FIND("#",K3046)),TRIM(MID(K3046,FIND("#",K3046)+1,20)),UPPER(K3046)),'Students'!$AD$2:$AD$701,0),""))</f>
        <v/>
      </c>
      <c r="R3046">
        <f>IF(P3046="","",INDEX('Students'!$AD$2:$AD$701,P3046))</f>
        <v/>
      </c>
      <c r="S3046">
        <f>IF(H3046="OK",O3046,0)</f>
        <v/>
      </c>
      <c r="T3046">
        <f>IF(H3046="OK",N3046,"")</f>
        <v/>
      </c>
      <c r="U3046">
        <f>TRIM('Cash_Check'!C46)</f>
        <v/>
      </c>
    </row>
    <row r="3047">
      <c r="A3047" s="62">
        <f>IF(H3047="","",IF(ISNUMBER(N3047),N3047,I3047))</f>
        <v/>
      </c>
      <c r="B3047">
        <f>IF(H3047="","",U3047)</f>
        <v/>
      </c>
      <c r="C3047">
        <f>IF(H3047="","",IF(P3047="",K3047,INDEX('Students'!$A$2:$A$701,P3047)))</f>
        <v/>
      </c>
      <c r="D3047">
        <f>IF(OR(H3047="",P3047=""),"",INDEX('Students'!$B$2:$B$701,P3047))</f>
        <v/>
      </c>
      <c r="E3047">
        <f>IF(OR(H3047="",P3047=""),"",INDEX('Students'!$C$2:$C$701,P3047))</f>
        <v/>
      </c>
      <c r="F3047" s="48">
        <f>IF(H3047="","",IF(ISNUMBER(O3047),O3047,J3047))</f>
        <v/>
      </c>
      <c r="G3047">
        <f>IF(H3047="","",M3047)</f>
        <v/>
      </c>
      <c r="H3047">
        <f>IF(AND(I3047="",J3047="",K3047=""),"",IF(OR(NOT(ISNUMBER(O3047)),N(O3047)&lt;=0),"Bad amount",IF(NOT(ISNUMBER(N3047)),"Bad date",IF(P3047="","NAME NOT ON ROSTER","OK"))))</f>
        <v/>
      </c>
      <c r="I3047">
        <f>IF('Cash_Check'!A47="","",'Cash_Check'!A47)</f>
        <v/>
      </c>
      <c r="J3047">
        <f>IF('Cash_Check'!D47="","",'Cash_Check'!D47)</f>
        <v/>
      </c>
      <c r="K3047">
        <f>TRIM('Cash_Check'!B47)</f>
        <v/>
      </c>
      <c r="M3047">
        <f>IF(TRIM('Cash_Check'!E47)="","Cash/check",TRIM('Cash_Check'!E47))</f>
        <v/>
      </c>
      <c r="N3047">
        <f>IF(I3047="","",IF(ISNUMBER(I3047),INT(I3047),IFERROR(INT(DATEVALUE(I3047)),IFERROR(INT(VALUE(I3047)),"bad"))))</f>
        <v/>
      </c>
      <c r="O3047">
        <f>IF(J3047="","",IF(ISNUMBER(J3047),ROUND(J3047,2),IFERROR(ROUND(VALUE(SUBSTITUTE(SUBSTITUTE(SUBSTITUTE(J3047,"$",""),",","")," ","")),2),"bad")))</f>
        <v/>
      </c>
      <c r="P3047">
        <f>IF(K3047="","",IFERROR(MATCH(IF(ISNUMBER(FIND("#",K3047)),TRIM(MID(K3047,FIND("#",K3047)+1,20)),UPPER(K3047)),'Students'!$AD$2:$AD$701,0),""))</f>
        <v/>
      </c>
      <c r="R3047">
        <f>IF(P3047="","",INDEX('Students'!$AD$2:$AD$701,P3047))</f>
        <v/>
      </c>
      <c r="S3047">
        <f>IF(H3047="OK",O3047,0)</f>
        <v/>
      </c>
      <c r="T3047">
        <f>IF(H3047="OK",N3047,"")</f>
        <v/>
      </c>
      <c r="U3047">
        <f>TRIM('Cash_Check'!C47)</f>
        <v/>
      </c>
    </row>
    <row r="3048">
      <c r="A3048" s="62">
        <f>IF(H3048="","",IF(ISNUMBER(N3048),N3048,I3048))</f>
        <v/>
      </c>
      <c r="B3048">
        <f>IF(H3048="","",U3048)</f>
        <v/>
      </c>
      <c r="C3048">
        <f>IF(H3048="","",IF(P3048="",K3048,INDEX('Students'!$A$2:$A$701,P3048)))</f>
        <v/>
      </c>
      <c r="D3048">
        <f>IF(OR(H3048="",P3048=""),"",INDEX('Students'!$B$2:$B$701,P3048))</f>
        <v/>
      </c>
      <c r="E3048">
        <f>IF(OR(H3048="",P3048=""),"",INDEX('Students'!$C$2:$C$701,P3048))</f>
        <v/>
      </c>
      <c r="F3048" s="48">
        <f>IF(H3048="","",IF(ISNUMBER(O3048),O3048,J3048))</f>
        <v/>
      </c>
      <c r="G3048">
        <f>IF(H3048="","",M3048)</f>
        <v/>
      </c>
      <c r="H3048">
        <f>IF(AND(I3048="",J3048="",K3048=""),"",IF(OR(NOT(ISNUMBER(O3048)),N(O3048)&lt;=0),"Bad amount",IF(NOT(ISNUMBER(N3048)),"Bad date",IF(P3048="","NAME NOT ON ROSTER","OK"))))</f>
        <v/>
      </c>
      <c r="I3048">
        <f>IF('Cash_Check'!A48="","",'Cash_Check'!A48)</f>
        <v/>
      </c>
      <c r="J3048">
        <f>IF('Cash_Check'!D48="","",'Cash_Check'!D48)</f>
        <v/>
      </c>
      <c r="K3048">
        <f>TRIM('Cash_Check'!B48)</f>
        <v/>
      </c>
      <c r="M3048">
        <f>IF(TRIM('Cash_Check'!E48)="","Cash/check",TRIM('Cash_Check'!E48))</f>
        <v/>
      </c>
      <c r="N3048">
        <f>IF(I3048="","",IF(ISNUMBER(I3048),INT(I3048),IFERROR(INT(DATEVALUE(I3048)),IFERROR(INT(VALUE(I3048)),"bad"))))</f>
        <v/>
      </c>
      <c r="O3048">
        <f>IF(J3048="","",IF(ISNUMBER(J3048),ROUND(J3048,2),IFERROR(ROUND(VALUE(SUBSTITUTE(SUBSTITUTE(SUBSTITUTE(J3048,"$",""),",","")," ","")),2),"bad")))</f>
        <v/>
      </c>
      <c r="P3048">
        <f>IF(K3048="","",IFERROR(MATCH(IF(ISNUMBER(FIND("#",K3048)),TRIM(MID(K3048,FIND("#",K3048)+1,20)),UPPER(K3048)),'Students'!$AD$2:$AD$701,0),""))</f>
        <v/>
      </c>
      <c r="R3048">
        <f>IF(P3048="","",INDEX('Students'!$AD$2:$AD$701,P3048))</f>
        <v/>
      </c>
      <c r="S3048">
        <f>IF(H3048="OK",O3048,0)</f>
        <v/>
      </c>
      <c r="T3048">
        <f>IF(H3048="OK",N3048,"")</f>
        <v/>
      </c>
      <c r="U3048">
        <f>TRIM('Cash_Check'!C48)</f>
        <v/>
      </c>
    </row>
    <row r="3049">
      <c r="A3049" s="62">
        <f>IF(H3049="","",IF(ISNUMBER(N3049),N3049,I3049))</f>
        <v/>
      </c>
      <c r="B3049">
        <f>IF(H3049="","",U3049)</f>
        <v/>
      </c>
      <c r="C3049">
        <f>IF(H3049="","",IF(P3049="",K3049,INDEX('Students'!$A$2:$A$701,P3049)))</f>
        <v/>
      </c>
      <c r="D3049">
        <f>IF(OR(H3049="",P3049=""),"",INDEX('Students'!$B$2:$B$701,P3049))</f>
        <v/>
      </c>
      <c r="E3049">
        <f>IF(OR(H3049="",P3049=""),"",INDEX('Students'!$C$2:$C$701,P3049))</f>
        <v/>
      </c>
      <c r="F3049" s="48">
        <f>IF(H3049="","",IF(ISNUMBER(O3049),O3049,J3049))</f>
        <v/>
      </c>
      <c r="G3049">
        <f>IF(H3049="","",M3049)</f>
        <v/>
      </c>
      <c r="H3049">
        <f>IF(AND(I3049="",J3049="",K3049=""),"",IF(OR(NOT(ISNUMBER(O3049)),N(O3049)&lt;=0),"Bad amount",IF(NOT(ISNUMBER(N3049)),"Bad date",IF(P3049="","NAME NOT ON ROSTER","OK"))))</f>
        <v/>
      </c>
      <c r="I3049">
        <f>IF('Cash_Check'!A49="","",'Cash_Check'!A49)</f>
        <v/>
      </c>
      <c r="J3049">
        <f>IF('Cash_Check'!D49="","",'Cash_Check'!D49)</f>
        <v/>
      </c>
      <c r="K3049">
        <f>TRIM('Cash_Check'!B49)</f>
        <v/>
      </c>
      <c r="M3049">
        <f>IF(TRIM('Cash_Check'!E49)="","Cash/check",TRIM('Cash_Check'!E49))</f>
        <v/>
      </c>
      <c r="N3049">
        <f>IF(I3049="","",IF(ISNUMBER(I3049),INT(I3049),IFERROR(INT(DATEVALUE(I3049)),IFERROR(INT(VALUE(I3049)),"bad"))))</f>
        <v/>
      </c>
      <c r="O3049">
        <f>IF(J3049="","",IF(ISNUMBER(J3049),ROUND(J3049,2),IFERROR(ROUND(VALUE(SUBSTITUTE(SUBSTITUTE(SUBSTITUTE(J3049,"$",""),",","")," ","")),2),"bad")))</f>
        <v/>
      </c>
      <c r="P3049">
        <f>IF(K3049="","",IFERROR(MATCH(IF(ISNUMBER(FIND("#",K3049)),TRIM(MID(K3049,FIND("#",K3049)+1,20)),UPPER(K3049)),'Students'!$AD$2:$AD$701,0),""))</f>
        <v/>
      </c>
      <c r="R3049">
        <f>IF(P3049="","",INDEX('Students'!$AD$2:$AD$701,P3049))</f>
        <v/>
      </c>
      <c r="S3049">
        <f>IF(H3049="OK",O3049,0)</f>
        <v/>
      </c>
      <c r="T3049">
        <f>IF(H3049="OK",N3049,"")</f>
        <v/>
      </c>
      <c r="U3049">
        <f>TRIM('Cash_Check'!C49)</f>
        <v/>
      </c>
    </row>
    <row r="3050">
      <c r="A3050" s="62">
        <f>IF(H3050="","",IF(ISNUMBER(N3050),N3050,I3050))</f>
        <v/>
      </c>
      <c r="B3050">
        <f>IF(H3050="","",U3050)</f>
        <v/>
      </c>
      <c r="C3050">
        <f>IF(H3050="","",IF(P3050="",K3050,INDEX('Students'!$A$2:$A$701,P3050)))</f>
        <v/>
      </c>
      <c r="D3050">
        <f>IF(OR(H3050="",P3050=""),"",INDEX('Students'!$B$2:$B$701,P3050))</f>
        <v/>
      </c>
      <c r="E3050">
        <f>IF(OR(H3050="",P3050=""),"",INDEX('Students'!$C$2:$C$701,P3050))</f>
        <v/>
      </c>
      <c r="F3050" s="48">
        <f>IF(H3050="","",IF(ISNUMBER(O3050),O3050,J3050))</f>
        <v/>
      </c>
      <c r="G3050">
        <f>IF(H3050="","",M3050)</f>
        <v/>
      </c>
      <c r="H3050">
        <f>IF(AND(I3050="",J3050="",K3050=""),"",IF(OR(NOT(ISNUMBER(O3050)),N(O3050)&lt;=0),"Bad amount",IF(NOT(ISNUMBER(N3050)),"Bad date",IF(P3050="","NAME NOT ON ROSTER","OK"))))</f>
        <v/>
      </c>
      <c r="I3050">
        <f>IF('Cash_Check'!A50="","",'Cash_Check'!A50)</f>
        <v/>
      </c>
      <c r="J3050">
        <f>IF('Cash_Check'!D50="","",'Cash_Check'!D50)</f>
        <v/>
      </c>
      <c r="K3050">
        <f>TRIM('Cash_Check'!B50)</f>
        <v/>
      </c>
      <c r="M3050">
        <f>IF(TRIM('Cash_Check'!E50)="","Cash/check",TRIM('Cash_Check'!E50))</f>
        <v/>
      </c>
      <c r="N3050">
        <f>IF(I3050="","",IF(ISNUMBER(I3050),INT(I3050),IFERROR(INT(DATEVALUE(I3050)),IFERROR(INT(VALUE(I3050)),"bad"))))</f>
        <v/>
      </c>
      <c r="O3050">
        <f>IF(J3050="","",IF(ISNUMBER(J3050),ROUND(J3050,2),IFERROR(ROUND(VALUE(SUBSTITUTE(SUBSTITUTE(SUBSTITUTE(J3050,"$",""),",","")," ","")),2),"bad")))</f>
        <v/>
      </c>
      <c r="P3050">
        <f>IF(K3050="","",IFERROR(MATCH(IF(ISNUMBER(FIND("#",K3050)),TRIM(MID(K3050,FIND("#",K3050)+1,20)),UPPER(K3050)),'Students'!$AD$2:$AD$701,0),""))</f>
        <v/>
      </c>
      <c r="R3050">
        <f>IF(P3050="","",INDEX('Students'!$AD$2:$AD$701,P3050))</f>
        <v/>
      </c>
      <c r="S3050">
        <f>IF(H3050="OK",O3050,0)</f>
        <v/>
      </c>
      <c r="T3050">
        <f>IF(H3050="OK",N3050,"")</f>
        <v/>
      </c>
      <c r="U3050">
        <f>TRIM('Cash_Check'!C50)</f>
        <v/>
      </c>
    </row>
    <row r="3051">
      <c r="A3051" s="62">
        <f>IF(H3051="","",IF(ISNUMBER(N3051),N3051,I3051))</f>
        <v/>
      </c>
      <c r="B3051">
        <f>IF(H3051="","",U3051)</f>
        <v/>
      </c>
      <c r="C3051">
        <f>IF(H3051="","",IF(P3051="",K3051,INDEX('Students'!$A$2:$A$701,P3051)))</f>
        <v/>
      </c>
      <c r="D3051">
        <f>IF(OR(H3051="",P3051=""),"",INDEX('Students'!$B$2:$B$701,P3051))</f>
        <v/>
      </c>
      <c r="E3051">
        <f>IF(OR(H3051="",P3051=""),"",INDEX('Students'!$C$2:$C$701,P3051))</f>
        <v/>
      </c>
      <c r="F3051" s="48">
        <f>IF(H3051="","",IF(ISNUMBER(O3051),O3051,J3051))</f>
        <v/>
      </c>
      <c r="G3051">
        <f>IF(H3051="","",M3051)</f>
        <v/>
      </c>
      <c r="H3051">
        <f>IF(AND(I3051="",J3051="",K3051=""),"",IF(OR(NOT(ISNUMBER(O3051)),N(O3051)&lt;=0),"Bad amount",IF(NOT(ISNUMBER(N3051)),"Bad date",IF(P3051="","NAME NOT ON ROSTER","OK"))))</f>
        <v/>
      </c>
      <c r="I3051">
        <f>IF('Cash_Check'!A51="","",'Cash_Check'!A51)</f>
        <v/>
      </c>
      <c r="J3051">
        <f>IF('Cash_Check'!D51="","",'Cash_Check'!D51)</f>
        <v/>
      </c>
      <c r="K3051">
        <f>TRIM('Cash_Check'!B51)</f>
        <v/>
      </c>
      <c r="M3051">
        <f>IF(TRIM('Cash_Check'!E51)="","Cash/check",TRIM('Cash_Check'!E51))</f>
        <v/>
      </c>
      <c r="N3051">
        <f>IF(I3051="","",IF(ISNUMBER(I3051),INT(I3051),IFERROR(INT(DATEVALUE(I3051)),IFERROR(INT(VALUE(I3051)),"bad"))))</f>
        <v/>
      </c>
      <c r="O3051">
        <f>IF(J3051="","",IF(ISNUMBER(J3051),ROUND(J3051,2),IFERROR(ROUND(VALUE(SUBSTITUTE(SUBSTITUTE(SUBSTITUTE(J3051,"$",""),",","")," ","")),2),"bad")))</f>
        <v/>
      </c>
      <c r="P3051">
        <f>IF(K3051="","",IFERROR(MATCH(IF(ISNUMBER(FIND("#",K3051)),TRIM(MID(K3051,FIND("#",K3051)+1,20)),UPPER(K3051)),'Students'!$AD$2:$AD$701,0),""))</f>
        <v/>
      </c>
      <c r="R3051">
        <f>IF(P3051="","",INDEX('Students'!$AD$2:$AD$701,P3051))</f>
        <v/>
      </c>
      <c r="S3051">
        <f>IF(H3051="OK",O3051,0)</f>
        <v/>
      </c>
      <c r="T3051">
        <f>IF(H3051="OK",N3051,"")</f>
        <v/>
      </c>
      <c r="U3051">
        <f>TRIM('Cash_Check'!C51)</f>
        <v/>
      </c>
    </row>
    <row r="3052">
      <c r="A3052" s="62">
        <f>IF(H3052="","",IF(ISNUMBER(N3052),N3052,I3052))</f>
        <v/>
      </c>
      <c r="B3052">
        <f>IF(H3052="","",U3052)</f>
        <v/>
      </c>
      <c r="C3052">
        <f>IF(H3052="","",IF(P3052="",K3052,INDEX('Students'!$A$2:$A$701,P3052)))</f>
        <v/>
      </c>
      <c r="D3052">
        <f>IF(OR(H3052="",P3052=""),"",INDEX('Students'!$B$2:$B$701,P3052))</f>
        <v/>
      </c>
      <c r="E3052">
        <f>IF(OR(H3052="",P3052=""),"",INDEX('Students'!$C$2:$C$701,P3052))</f>
        <v/>
      </c>
      <c r="F3052" s="48">
        <f>IF(H3052="","",IF(ISNUMBER(O3052),O3052,J3052))</f>
        <v/>
      </c>
      <c r="G3052">
        <f>IF(H3052="","",M3052)</f>
        <v/>
      </c>
      <c r="H3052">
        <f>IF(AND(I3052="",J3052="",K3052=""),"",IF(OR(NOT(ISNUMBER(O3052)),N(O3052)&lt;=0),"Bad amount",IF(NOT(ISNUMBER(N3052)),"Bad date",IF(P3052="","NAME NOT ON ROSTER","OK"))))</f>
        <v/>
      </c>
      <c r="I3052">
        <f>IF('Cash_Check'!A52="","",'Cash_Check'!A52)</f>
        <v/>
      </c>
      <c r="J3052">
        <f>IF('Cash_Check'!D52="","",'Cash_Check'!D52)</f>
        <v/>
      </c>
      <c r="K3052">
        <f>TRIM('Cash_Check'!B52)</f>
        <v/>
      </c>
      <c r="M3052">
        <f>IF(TRIM('Cash_Check'!E52)="","Cash/check",TRIM('Cash_Check'!E52))</f>
        <v/>
      </c>
      <c r="N3052">
        <f>IF(I3052="","",IF(ISNUMBER(I3052),INT(I3052),IFERROR(INT(DATEVALUE(I3052)),IFERROR(INT(VALUE(I3052)),"bad"))))</f>
        <v/>
      </c>
      <c r="O3052">
        <f>IF(J3052="","",IF(ISNUMBER(J3052),ROUND(J3052,2),IFERROR(ROUND(VALUE(SUBSTITUTE(SUBSTITUTE(SUBSTITUTE(J3052,"$",""),",","")," ","")),2),"bad")))</f>
        <v/>
      </c>
      <c r="P3052">
        <f>IF(K3052="","",IFERROR(MATCH(IF(ISNUMBER(FIND("#",K3052)),TRIM(MID(K3052,FIND("#",K3052)+1,20)),UPPER(K3052)),'Students'!$AD$2:$AD$701,0),""))</f>
        <v/>
      </c>
      <c r="R3052">
        <f>IF(P3052="","",INDEX('Students'!$AD$2:$AD$701,P3052))</f>
        <v/>
      </c>
      <c r="S3052">
        <f>IF(H3052="OK",O3052,0)</f>
        <v/>
      </c>
      <c r="T3052">
        <f>IF(H3052="OK",N3052,"")</f>
        <v/>
      </c>
      <c r="U3052">
        <f>TRIM('Cash_Check'!C52)</f>
        <v/>
      </c>
    </row>
    <row r="3053">
      <c r="A3053" s="62">
        <f>IF(H3053="","",IF(ISNUMBER(N3053),N3053,I3053))</f>
        <v/>
      </c>
      <c r="B3053">
        <f>IF(H3053="","",U3053)</f>
        <v/>
      </c>
      <c r="C3053">
        <f>IF(H3053="","",IF(P3053="",K3053,INDEX('Students'!$A$2:$A$701,P3053)))</f>
        <v/>
      </c>
      <c r="D3053">
        <f>IF(OR(H3053="",P3053=""),"",INDEX('Students'!$B$2:$B$701,P3053))</f>
        <v/>
      </c>
      <c r="E3053">
        <f>IF(OR(H3053="",P3053=""),"",INDEX('Students'!$C$2:$C$701,P3053))</f>
        <v/>
      </c>
      <c r="F3053" s="48">
        <f>IF(H3053="","",IF(ISNUMBER(O3053),O3053,J3053))</f>
        <v/>
      </c>
      <c r="G3053">
        <f>IF(H3053="","",M3053)</f>
        <v/>
      </c>
      <c r="H3053">
        <f>IF(AND(I3053="",J3053="",K3053=""),"",IF(OR(NOT(ISNUMBER(O3053)),N(O3053)&lt;=0),"Bad amount",IF(NOT(ISNUMBER(N3053)),"Bad date",IF(P3053="","NAME NOT ON ROSTER","OK"))))</f>
        <v/>
      </c>
      <c r="I3053">
        <f>IF('Cash_Check'!A53="","",'Cash_Check'!A53)</f>
        <v/>
      </c>
      <c r="J3053">
        <f>IF('Cash_Check'!D53="","",'Cash_Check'!D53)</f>
        <v/>
      </c>
      <c r="K3053">
        <f>TRIM('Cash_Check'!B53)</f>
        <v/>
      </c>
      <c r="M3053">
        <f>IF(TRIM('Cash_Check'!E53)="","Cash/check",TRIM('Cash_Check'!E53))</f>
        <v/>
      </c>
      <c r="N3053">
        <f>IF(I3053="","",IF(ISNUMBER(I3053),INT(I3053),IFERROR(INT(DATEVALUE(I3053)),IFERROR(INT(VALUE(I3053)),"bad"))))</f>
        <v/>
      </c>
      <c r="O3053">
        <f>IF(J3053="","",IF(ISNUMBER(J3053),ROUND(J3053,2),IFERROR(ROUND(VALUE(SUBSTITUTE(SUBSTITUTE(SUBSTITUTE(J3053,"$",""),",","")," ","")),2),"bad")))</f>
        <v/>
      </c>
      <c r="P3053">
        <f>IF(K3053="","",IFERROR(MATCH(IF(ISNUMBER(FIND("#",K3053)),TRIM(MID(K3053,FIND("#",K3053)+1,20)),UPPER(K3053)),'Students'!$AD$2:$AD$701,0),""))</f>
        <v/>
      </c>
      <c r="R3053">
        <f>IF(P3053="","",INDEX('Students'!$AD$2:$AD$701,P3053))</f>
        <v/>
      </c>
      <c r="S3053">
        <f>IF(H3053="OK",O3053,0)</f>
        <v/>
      </c>
      <c r="T3053">
        <f>IF(H3053="OK",N3053,"")</f>
        <v/>
      </c>
      <c r="U3053">
        <f>TRIM('Cash_Check'!C53)</f>
        <v/>
      </c>
    </row>
    <row r="3054">
      <c r="A3054" s="62">
        <f>IF(H3054="","",IF(ISNUMBER(N3054),N3054,I3054))</f>
        <v/>
      </c>
      <c r="B3054">
        <f>IF(H3054="","",U3054)</f>
        <v/>
      </c>
      <c r="C3054">
        <f>IF(H3054="","",IF(P3054="",K3054,INDEX('Students'!$A$2:$A$701,P3054)))</f>
        <v/>
      </c>
      <c r="D3054">
        <f>IF(OR(H3054="",P3054=""),"",INDEX('Students'!$B$2:$B$701,P3054))</f>
        <v/>
      </c>
      <c r="E3054">
        <f>IF(OR(H3054="",P3054=""),"",INDEX('Students'!$C$2:$C$701,P3054))</f>
        <v/>
      </c>
      <c r="F3054" s="48">
        <f>IF(H3054="","",IF(ISNUMBER(O3054),O3054,J3054))</f>
        <v/>
      </c>
      <c r="G3054">
        <f>IF(H3054="","",M3054)</f>
        <v/>
      </c>
      <c r="H3054">
        <f>IF(AND(I3054="",J3054="",K3054=""),"",IF(OR(NOT(ISNUMBER(O3054)),N(O3054)&lt;=0),"Bad amount",IF(NOT(ISNUMBER(N3054)),"Bad date",IF(P3054="","NAME NOT ON ROSTER","OK"))))</f>
        <v/>
      </c>
      <c r="I3054">
        <f>IF('Cash_Check'!A54="","",'Cash_Check'!A54)</f>
        <v/>
      </c>
      <c r="J3054">
        <f>IF('Cash_Check'!D54="","",'Cash_Check'!D54)</f>
        <v/>
      </c>
      <c r="K3054">
        <f>TRIM('Cash_Check'!B54)</f>
        <v/>
      </c>
      <c r="M3054">
        <f>IF(TRIM('Cash_Check'!E54)="","Cash/check",TRIM('Cash_Check'!E54))</f>
        <v/>
      </c>
      <c r="N3054">
        <f>IF(I3054="","",IF(ISNUMBER(I3054),INT(I3054),IFERROR(INT(DATEVALUE(I3054)),IFERROR(INT(VALUE(I3054)),"bad"))))</f>
        <v/>
      </c>
      <c r="O3054">
        <f>IF(J3054="","",IF(ISNUMBER(J3054),ROUND(J3054,2),IFERROR(ROUND(VALUE(SUBSTITUTE(SUBSTITUTE(SUBSTITUTE(J3054,"$",""),",","")," ","")),2),"bad")))</f>
        <v/>
      </c>
      <c r="P3054">
        <f>IF(K3054="","",IFERROR(MATCH(IF(ISNUMBER(FIND("#",K3054)),TRIM(MID(K3054,FIND("#",K3054)+1,20)),UPPER(K3054)),'Students'!$AD$2:$AD$701,0),""))</f>
        <v/>
      </c>
      <c r="R3054">
        <f>IF(P3054="","",INDEX('Students'!$AD$2:$AD$701,P3054))</f>
        <v/>
      </c>
      <c r="S3054">
        <f>IF(H3054="OK",O3054,0)</f>
        <v/>
      </c>
      <c r="T3054">
        <f>IF(H3054="OK",N3054,"")</f>
        <v/>
      </c>
      <c r="U3054">
        <f>TRIM('Cash_Check'!C54)</f>
        <v/>
      </c>
    </row>
    <row r="3055">
      <c r="A3055" s="62">
        <f>IF(H3055="","",IF(ISNUMBER(N3055),N3055,I3055))</f>
        <v/>
      </c>
      <c r="B3055">
        <f>IF(H3055="","",U3055)</f>
        <v/>
      </c>
      <c r="C3055">
        <f>IF(H3055="","",IF(P3055="",K3055,INDEX('Students'!$A$2:$A$701,P3055)))</f>
        <v/>
      </c>
      <c r="D3055">
        <f>IF(OR(H3055="",P3055=""),"",INDEX('Students'!$B$2:$B$701,P3055))</f>
        <v/>
      </c>
      <c r="E3055">
        <f>IF(OR(H3055="",P3055=""),"",INDEX('Students'!$C$2:$C$701,P3055))</f>
        <v/>
      </c>
      <c r="F3055" s="48">
        <f>IF(H3055="","",IF(ISNUMBER(O3055),O3055,J3055))</f>
        <v/>
      </c>
      <c r="G3055">
        <f>IF(H3055="","",M3055)</f>
        <v/>
      </c>
      <c r="H3055">
        <f>IF(AND(I3055="",J3055="",K3055=""),"",IF(OR(NOT(ISNUMBER(O3055)),N(O3055)&lt;=0),"Bad amount",IF(NOT(ISNUMBER(N3055)),"Bad date",IF(P3055="","NAME NOT ON ROSTER","OK"))))</f>
        <v/>
      </c>
      <c r="I3055">
        <f>IF('Cash_Check'!A55="","",'Cash_Check'!A55)</f>
        <v/>
      </c>
      <c r="J3055">
        <f>IF('Cash_Check'!D55="","",'Cash_Check'!D55)</f>
        <v/>
      </c>
      <c r="K3055">
        <f>TRIM('Cash_Check'!B55)</f>
        <v/>
      </c>
      <c r="M3055">
        <f>IF(TRIM('Cash_Check'!E55)="","Cash/check",TRIM('Cash_Check'!E55))</f>
        <v/>
      </c>
      <c r="N3055">
        <f>IF(I3055="","",IF(ISNUMBER(I3055),INT(I3055),IFERROR(INT(DATEVALUE(I3055)),IFERROR(INT(VALUE(I3055)),"bad"))))</f>
        <v/>
      </c>
      <c r="O3055">
        <f>IF(J3055="","",IF(ISNUMBER(J3055),ROUND(J3055,2),IFERROR(ROUND(VALUE(SUBSTITUTE(SUBSTITUTE(SUBSTITUTE(J3055,"$",""),",","")," ","")),2),"bad")))</f>
        <v/>
      </c>
      <c r="P3055">
        <f>IF(K3055="","",IFERROR(MATCH(IF(ISNUMBER(FIND("#",K3055)),TRIM(MID(K3055,FIND("#",K3055)+1,20)),UPPER(K3055)),'Students'!$AD$2:$AD$701,0),""))</f>
        <v/>
      </c>
      <c r="R3055">
        <f>IF(P3055="","",INDEX('Students'!$AD$2:$AD$701,P3055))</f>
        <v/>
      </c>
      <c r="S3055">
        <f>IF(H3055="OK",O3055,0)</f>
        <v/>
      </c>
      <c r="T3055">
        <f>IF(H3055="OK",N3055,"")</f>
        <v/>
      </c>
      <c r="U3055">
        <f>TRIM('Cash_Check'!C55)</f>
        <v/>
      </c>
    </row>
    <row r="3056">
      <c r="A3056" s="62">
        <f>IF(H3056="","",IF(ISNUMBER(N3056),N3056,I3056))</f>
        <v/>
      </c>
      <c r="B3056">
        <f>IF(H3056="","",U3056)</f>
        <v/>
      </c>
      <c r="C3056">
        <f>IF(H3056="","",IF(P3056="",K3056,INDEX('Students'!$A$2:$A$701,P3056)))</f>
        <v/>
      </c>
      <c r="D3056">
        <f>IF(OR(H3056="",P3056=""),"",INDEX('Students'!$B$2:$B$701,P3056))</f>
        <v/>
      </c>
      <c r="E3056">
        <f>IF(OR(H3056="",P3056=""),"",INDEX('Students'!$C$2:$C$701,P3056))</f>
        <v/>
      </c>
      <c r="F3056" s="48">
        <f>IF(H3056="","",IF(ISNUMBER(O3056),O3056,J3056))</f>
        <v/>
      </c>
      <c r="G3056">
        <f>IF(H3056="","",M3056)</f>
        <v/>
      </c>
      <c r="H3056">
        <f>IF(AND(I3056="",J3056="",K3056=""),"",IF(OR(NOT(ISNUMBER(O3056)),N(O3056)&lt;=0),"Bad amount",IF(NOT(ISNUMBER(N3056)),"Bad date",IF(P3056="","NAME NOT ON ROSTER","OK"))))</f>
        <v/>
      </c>
      <c r="I3056">
        <f>IF('Cash_Check'!A56="","",'Cash_Check'!A56)</f>
        <v/>
      </c>
      <c r="J3056">
        <f>IF('Cash_Check'!D56="","",'Cash_Check'!D56)</f>
        <v/>
      </c>
      <c r="K3056">
        <f>TRIM('Cash_Check'!B56)</f>
        <v/>
      </c>
      <c r="M3056">
        <f>IF(TRIM('Cash_Check'!E56)="","Cash/check",TRIM('Cash_Check'!E56))</f>
        <v/>
      </c>
      <c r="N3056">
        <f>IF(I3056="","",IF(ISNUMBER(I3056),INT(I3056),IFERROR(INT(DATEVALUE(I3056)),IFERROR(INT(VALUE(I3056)),"bad"))))</f>
        <v/>
      </c>
      <c r="O3056">
        <f>IF(J3056="","",IF(ISNUMBER(J3056),ROUND(J3056,2),IFERROR(ROUND(VALUE(SUBSTITUTE(SUBSTITUTE(SUBSTITUTE(J3056,"$",""),",","")," ","")),2),"bad")))</f>
        <v/>
      </c>
      <c r="P3056">
        <f>IF(K3056="","",IFERROR(MATCH(IF(ISNUMBER(FIND("#",K3056)),TRIM(MID(K3056,FIND("#",K3056)+1,20)),UPPER(K3056)),'Students'!$AD$2:$AD$701,0),""))</f>
        <v/>
      </c>
      <c r="R3056">
        <f>IF(P3056="","",INDEX('Students'!$AD$2:$AD$701,P3056))</f>
        <v/>
      </c>
      <c r="S3056">
        <f>IF(H3056="OK",O3056,0)</f>
        <v/>
      </c>
      <c r="T3056">
        <f>IF(H3056="OK",N3056,"")</f>
        <v/>
      </c>
      <c r="U3056">
        <f>TRIM('Cash_Check'!C56)</f>
        <v/>
      </c>
    </row>
    <row r="3057">
      <c r="A3057" s="62">
        <f>IF(H3057="","",IF(ISNUMBER(N3057),N3057,I3057))</f>
        <v/>
      </c>
      <c r="B3057">
        <f>IF(H3057="","",U3057)</f>
        <v/>
      </c>
      <c r="C3057">
        <f>IF(H3057="","",IF(P3057="",K3057,INDEX('Students'!$A$2:$A$701,P3057)))</f>
        <v/>
      </c>
      <c r="D3057">
        <f>IF(OR(H3057="",P3057=""),"",INDEX('Students'!$B$2:$B$701,P3057))</f>
        <v/>
      </c>
      <c r="E3057">
        <f>IF(OR(H3057="",P3057=""),"",INDEX('Students'!$C$2:$C$701,P3057))</f>
        <v/>
      </c>
      <c r="F3057" s="48">
        <f>IF(H3057="","",IF(ISNUMBER(O3057),O3057,J3057))</f>
        <v/>
      </c>
      <c r="G3057">
        <f>IF(H3057="","",M3057)</f>
        <v/>
      </c>
      <c r="H3057">
        <f>IF(AND(I3057="",J3057="",K3057=""),"",IF(OR(NOT(ISNUMBER(O3057)),N(O3057)&lt;=0),"Bad amount",IF(NOT(ISNUMBER(N3057)),"Bad date",IF(P3057="","NAME NOT ON ROSTER","OK"))))</f>
        <v/>
      </c>
      <c r="I3057">
        <f>IF('Cash_Check'!A57="","",'Cash_Check'!A57)</f>
        <v/>
      </c>
      <c r="J3057">
        <f>IF('Cash_Check'!D57="","",'Cash_Check'!D57)</f>
        <v/>
      </c>
      <c r="K3057">
        <f>TRIM('Cash_Check'!B57)</f>
        <v/>
      </c>
      <c r="M3057">
        <f>IF(TRIM('Cash_Check'!E57)="","Cash/check",TRIM('Cash_Check'!E57))</f>
        <v/>
      </c>
      <c r="N3057">
        <f>IF(I3057="","",IF(ISNUMBER(I3057),INT(I3057),IFERROR(INT(DATEVALUE(I3057)),IFERROR(INT(VALUE(I3057)),"bad"))))</f>
        <v/>
      </c>
      <c r="O3057">
        <f>IF(J3057="","",IF(ISNUMBER(J3057),ROUND(J3057,2),IFERROR(ROUND(VALUE(SUBSTITUTE(SUBSTITUTE(SUBSTITUTE(J3057,"$",""),",","")," ","")),2),"bad")))</f>
        <v/>
      </c>
      <c r="P3057">
        <f>IF(K3057="","",IFERROR(MATCH(IF(ISNUMBER(FIND("#",K3057)),TRIM(MID(K3057,FIND("#",K3057)+1,20)),UPPER(K3057)),'Students'!$AD$2:$AD$701,0),""))</f>
        <v/>
      </c>
      <c r="R3057">
        <f>IF(P3057="","",INDEX('Students'!$AD$2:$AD$701,P3057))</f>
        <v/>
      </c>
      <c r="S3057">
        <f>IF(H3057="OK",O3057,0)</f>
        <v/>
      </c>
      <c r="T3057">
        <f>IF(H3057="OK",N3057,"")</f>
        <v/>
      </c>
      <c r="U3057">
        <f>TRIM('Cash_Check'!C57)</f>
        <v/>
      </c>
    </row>
    <row r="3058">
      <c r="A3058" s="62">
        <f>IF(H3058="","",IF(ISNUMBER(N3058),N3058,I3058))</f>
        <v/>
      </c>
      <c r="B3058">
        <f>IF(H3058="","",U3058)</f>
        <v/>
      </c>
      <c r="C3058">
        <f>IF(H3058="","",IF(P3058="",K3058,INDEX('Students'!$A$2:$A$701,P3058)))</f>
        <v/>
      </c>
      <c r="D3058">
        <f>IF(OR(H3058="",P3058=""),"",INDEX('Students'!$B$2:$B$701,P3058))</f>
        <v/>
      </c>
      <c r="E3058">
        <f>IF(OR(H3058="",P3058=""),"",INDEX('Students'!$C$2:$C$701,P3058))</f>
        <v/>
      </c>
      <c r="F3058" s="48">
        <f>IF(H3058="","",IF(ISNUMBER(O3058),O3058,J3058))</f>
        <v/>
      </c>
      <c r="G3058">
        <f>IF(H3058="","",M3058)</f>
        <v/>
      </c>
      <c r="H3058">
        <f>IF(AND(I3058="",J3058="",K3058=""),"",IF(OR(NOT(ISNUMBER(O3058)),N(O3058)&lt;=0),"Bad amount",IF(NOT(ISNUMBER(N3058)),"Bad date",IF(P3058="","NAME NOT ON ROSTER","OK"))))</f>
        <v/>
      </c>
      <c r="I3058">
        <f>IF('Cash_Check'!A58="","",'Cash_Check'!A58)</f>
        <v/>
      </c>
      <c r="J3058">
        <f>IF('Cash_Check'!D58="","",'Cash_Check'!D58)</f>
        <v/>
      </c>
      <c r="K3058">
        <f>TRIM('Cash_Check'!B58)</f>
        <v/>
      </c>
      <c r="M3058">
        <f>IF(TRIM('Cash_Check'!E58)="","Cash/check",TRIM('Cash_Check'!E58))</f>
        <v/>
      </c>
      <c r="N3058">
        <f>IF(I3058="","",IF(ISNUMBER(I3058),INT(I3058),IFERROR(INT(DATEVALUE(I3058)),IFERROR(INT(VALUE(I3058)),"bad"))))</f>
        <v/>
      </c>
      <c r="O3058">
        <f>IF(J3058="","",IF(ISNUMBER(J3058),ROUND(J3058,2),IFERROR(ROUND(VALUE(SUBSTITUTE(SUBSTITUTE(SUBSTITUTE(J3058,"$",""),",","")," ","")),2),"bad")))</f>
        <v/>
      </c>
      <c r="P3058">
        <f>IF(K3058="","",IFERROR(MATCH(IF(ISNUMBER(FIND("#",K3058)),TRIM(MID(K3058,FIND("#",K3058)+1,20)),UPPER(K3058)),'Students'!$AD$2:$AD$701,0),""))</f>
        <v/>
      </c>
      <c r="R3058">
        <f>IF(P3058="","",INDEX('Students'!$AD$2:$AD$701,P3058))</f>
        <v/>
      </c>
      <c r="S3058">
        <f>IF(H3058="OK",O3058,0)</f>
        <v/>
      </c>
      <c r="T3058">
        <f>IF(H3058="OK",N3058,"")</f>
        <v/>
      </c>
      <c r="U3058">
        <f>TRIM('Cash_Check'!C58)</f>
        <v/>
      </c>
    </row>
    <row r="3059">
      <c r="A3059" s="62">
        <f>IF(H3059="","",IF(ISNUMBER(N3059),N3059,I3059))</f>
        <v/>
      </c>
      <c r="B3059">
        <f>IF(H3059="","",U3059)</f>
        <v/>
      </c>
      <c r="C3059">
        <f>IF(H3059="","",IF(P3059="",K3059,INDEX('Students'!$A$2:$A$701,P3059)))</f>
        <v/>
      </c>
      <c r="D3059">
        <f>IF(OR(H3059="",P3059=""),"",INDEX('Students'!$B$2:$B$701,P3059))</f>
        <v/>
      </c>
      <c r="E3059">
        <f>IF(OR(H3059="",P3059=""),"",INDEX('Students'!$C$2:$C$701,P3059))</f>
        <v/>
      </c>
      <c r="F3059" s="48">
        <f>IF(H3059="","",IF(ISNUMBER(O3059),O3059,J3059))</f>
        <v/>
      </c>
      <c r="G3059">
        <f>IF(H3059="","",M3059)</f>
        <v/>
      </c>
      <c r="H3059">
        <f>IF(AND(I3059="",J3059="",K3059=""),"",IF(OR(NOT(ISNUMBER(O3059)),N(O3059)&lt;=0),"Bad amount",IF(NOT(ISNUMBER(N3059)),"Bad date",IF(P3059="","NAME NOT ON ROSTER","OK"))))</f>
        <v/>
      </c>
      <c r="I3059">
        <f>IF('Cash_Check'!A59="","",'Cash_Check'!A59)</f>
        <v/>
      </c>
      <c r="J3059">
        <f>IF('Cash_Check'!D59="","",'Cash_Check'!D59)</f>
        <v/>
      </c>
      <c r="K3059">
        <f>TRIM('Cash_Check'!B59)</f>
        <v/>
      </c>
      <c r="M3059">
        <f>IF(TRIM('Cash_Check'!E59)="","Cash/check",TRIM('Cash_Check'!E59))</f>
        <v/>
      </c>
      <c r="N3059">
        <f>IF(I3059="","",IF(ISNUMBER(I3059),INT(I3059),IFERROR(INT(DATEVALUE(I3059)),IFERROR(INT(VALUE(I3059)),"bad"))))</f>
        <v/>
      </c>
      <c r="O3059">
        <f>IF(J3059="","",IF(ISNUMBER(J3059),ROUND(J3059,2),IFERROR(ROUND(VALUE(SUBSTITUTE(SUBSTITUTE(SUBSTITUTE(J3059,"$",""),",","")," ","")),2),"bad")))</f>
        <v/>
      </c>
      <c r="P3059">
        <f>IF(K3059="","",IFERROR(MATCH(IF(ISNUMBER(FIND("#",K3059)),TRIM(MID(K3059,FIND("#",K3059)+1,20)),UPPER(K3059)),'Students'!$AD$2:$AD$701,0),""))</f>
        <v/>
      </c>
      <c r="R3059">
        <f>IF(P3059="","",INDEX('Students'!$AD$2:$AD$701,P3059))</f>
        <v/>
      </c>
      <c r="S3059">
        <f>IF(H3059="OK",O3059,0)</f>
        <v/>
      </c>
      <c r="T3059">
        <f>IF(H3059="OK",N3059,"")</f>
        <v/>
      </c>
      <c r="U3059">
        <f>TRIM('Cash_Check'!C59)</f>
        <v/>
      </c>
    </row>
    <row r="3060">
      <c r="A3060" s="62">
        <f>IF(H3060="","",IF(ISNUMBER(N3060),N3060,I3060))</f>
        <v/>
      </c>
      <c r="B3060">
        <f>IF(H3060="","",U3060)</f>
        <v/>
      </c>
      <c r="C3060">
        <f>IF(H3060="","",IF(P3060="",K3060,INDEX('Students'!$A$2:$A$701,P3060)))</f>
        <v/>
      </c>
      <c r="D3060">
        <f>IF(OR(H3060="",P3060=""),"",INDEX('Students'!$B$2:$B$701,P3060))</f>
        <v/>
      </c>
      <c r="E3060">
        <f>IF(OR(H3060="",P3060=""),"",INDEX('Students'!$C$2:$C$701,P3060))</f>
        <v/>
      </c>
      <c r="F3060" s="48">
        <f>IF(H3060="","",IF(ISNUMBER(O3060),O3060,J3060))</f>
        <v/>
      </c>
      <c r="G3060">
        <f>IF(H3060="","",M3060)</f>
        <v/>
      </c>
      <c r="H3060">
        <f>IF(AND(I3060="",J3060="",K3060=""),"",IF(OR(NOT(ISNUMBER(O3060)),N(O3060)&lt;=0),"Bad amount",IF(NOT(ISNUMBER(N3060)),"Bad date",IF(P3060="","NAME NOT ON ROSTER","OK"))))</f>
        <v/>
      </c>
      <c r="I3060">
        <f>IF('Cash_Check'!A60="","",'Cash_Check'!A60)</f>
        <v/>
      </c>
      <c r="J3060">
        <f>IF('Cash_Check'!D60="","",'Cash_Check'!D60)</f>
        <v/>
      </c>
      <c r="K3060">
        <f>TRIM('Cash_Check'!B60)</f>
        <v/>
      </c>
      <c r="M3060">
        <f>IF(TRIM('Cash_Check'!E60)="","Cash/check",TRIM('Cash_Check'!E60))</f>
        <v/>
      </c>
      <c r="N3060">
        <f>IF(I3060="","",IF(ISNUMBER(I3060),INT(I3060),IFERROR(INT(DATEVALUE(I3060)),IFERROR(INT(VALUE(I3060)),"bad"))))</f>
        <v/>
      </c>
      <c r="O3060">
        <f>IF(J3060="","",IF(ISNUMBER(J3060),ROUND(J3060,2),IFERROR(ROUND(VALUE(SUBSTITUTE(SUBSTITUTE(SUBSTITUTE(J3060,"$",""),",","")," ","")),2),"bad")))</f>
        <v/>
      </c>
      <c r="P3060">
        <f>IF(K3060="","",IFERROR(MATCH(IF(ISNUMBER(FIND("#",K3060)),TRIM(MID(K3060,FIND("#",K3060)+1,20)),UPPER(K3060)),'Students'!$AD$2:$AD$701,0),""))</f>
        <v/>
      </c>
      <c r="R3060">
        <f>IF(P3060="","",INDEX('Students'!$AD$2:$AD$701,P3060))</f>
        <v/>
      </c>
      <c r="S3060">
        <f>IF(H3060="OK",O3060,0)</f>
        <v/>
      </c>
      <c r="T3060">
        <f>IF(H3060="OK",N3060,"")</f>
        <v/>
      </c>
      <c r="U3060">
        <f>TRIM('Cash_Check'!C60)</f>
        <v/>
      </c>
    </row>
    <row r="3061">
      <c r="A3061" s="62">
        <f>IF(H3061="","",IF(ISNUMBER(N3061),N3061,I3061))</f>
        <v/>
      </c>
      <c r="B3061">
        <f>IF(H3061="","",U3061)</f>
        <v/>
      </c>
      <c r="C3061">
        <f>IF(H3061="","",IF(P3061="",K3061,INDEX('Students'!$A$2:$A$701,P3061)))</f>
        <v/>
      </c>
      <c r="D3061">
        <f>IF(OR(H3061="",P3061=""),"",INDEX('Students'!$B$2:$B$701,P3061))</f>
        <v/>
      </c>
      <c r="E3061">
        <f>IF(OR(H3061="",P3061=""),"",INDEX('Students'!$C$2:$C$701,P3061))</f>
        <v/>
      </c>
      <c r="F3061" s="48">
        <f>IF(H3061="","",IF(ISNUMBER(O3061),O3061,J3061))</f>
        <v/>
      </c>
      <c r="G3061">
        <f>IF(H3061="","",M3061)</f>
        <v/>
      </c>
      <c r="H3061">
        <f>IF(AND(I3061="",J3061="",K3061=""),"",IF(OR(NOT(ISNUMBER(O3061)),N(O3061)&lt;=0),"Bad amount",IF(NOT(ISNUMBER(N3061)),"Bad date",IF(P3061="","NAME NOT ON ROSTER","OK"))))</f>
        <v/>
      </c>
      <c r="I3061">
        <f>IF('Cash_Check'!A61="","",'Cash_Check'!A61)</f>
        <v/>
      </c>
      <c r="J3061">
        <f>IF('Cash_Check'!D61="","",'Cash_Check'!D61)</f>
        <v/>
      </c>
      <c r="K3061">
        <f>TRIM('Cash_Check'!B61)</f>
        <v/>
      </c>
      <c r="M3061">
        <f>IF(TRIM('Cash_Check'!E61)="","Cash/check",TRIM('Cash_Check'!E61))</f>
        <v/>
      </c>
      <c r="N3061">
        <f>IF(I3061="","",IF(ISNUMBER(I3061),INT(I3061),IFERROR(INT(DATEVALUE(I3061)),IFERROR(INT(VALUE(I3061)),"bad"))))</f>
        <v/>
      </c>
      <c r="O3061">
        <f>IF(J3061="","",IF(ISNUMBER(J3061),ROUND(J3061,2),IFERROR(ROUND(VALUE(SUBSTITUTE(SUBSTITUTE(SUBSTITUTE(J3061,"$",""),",","")," ","")),2),"bad")))</f>
        <v/>
      </c>
      <c r="P3061">
        <f>IF(K3061="","",IFERROR(MATCH(IF(ISNUMBER(FIND("#",K3061)),TRIM(MID(K3061,FIND("#",K3061)+1,20)),UPPER(K3061)),'Students'!$AD$2:$AD$701,0),""))</f>
        <v/>
      </c>
      <c r="R3061">
        <f>IF(P3061="","",INDEX('Students'!$AD$2:$AD$701,P3061))</f>
        <v/>
      </c>
      <c r="S3061">
        <f>IF(H3061="OK",O3061,0)</f>
        <v/>
      </c>
      <c r="T3061">
        <f>IF(H3061="OK",N3061,"")</f>
        <v/>
      </c>
      <c r="U3061">
        <f>TRIM('Cash_Check'!C61)</f>
        <v/>
      </c>
    </row>
    <row r="3062">
      <c r="A3062" s="62">
        <f>IF(H3062="","",IF(ISNUMBER(N3062),N3062,I3062))</f>
        <v/>
      </c>
      <c r="B3062">
        <f>IF(H3062="","",U3062)</f>
        <v/>
      </c>
      <c r="C3062">
        <f>IF(H3062="","",IF(P3062="",K3062,INDEX('Students'!$A$2:$A$701,P3062)))</f>
        <v/>
      </c>
      <c r="D3062">
        <f>IF(OR(H3062="",P3062=""),"",INDEX('Students'!$B$2:$B$701,P3062))</f>
        <v/>
      </c>
      <c r="E3062">
        <f>IF(OR(H3062="",P3062=""),"",INDEX('Students'!$C$2:$C$701,P3062))</f>
        <v/>
      </c>
      <c r="F3062" s="48">
        <f>IF(H3062="","",IF(ISNUMBER(O3062),O3062,J3062))</f>
        <v/>
      </c>
      <c r="G3062">
        <f>IF(H3062="","",M3062)</f>
        <v/>
      </c>
      <c r="H3062">
        <f>IF(AND(I3062="",J3062="",K3062=""),"",IF(OR(NOT(ISNUMBER(O3062)),N(O3062)&lt;=0),"Bad amount",IF(NOT(ISNUMBER(N3062)),"Bad date",IF(P3062="","NAME NOT ON ROSTER","OK"))))</f>
        <v/>
      </c>
      <c r="I3062">
        <f>IF('Cash_Check'!A62="","",'Cash_Check'!A62)</f>
        <v/>
      </c>
      <c r="J3062">
        <f>IF('Cash_Check'!D62="","",'Cash_Check'!D62)</f>
        <v/>
      </c>
      <c r="K3062">
        <f>TRIM('Cash_Check'!B62)</f>
        <v/>
      </c>
      <c r="M3062">
        <f>IF(TRIM('Cash_Check'!E62)="","Cash/check",TRIM('Cash_Check'!E62))</f>
        <v/>
      </c>
      <c r="N3062">
        <f>IF(I3062="","",IF(ISNUMBER(I3062),INT(I3062),IFERROR(INT(DATEVALUE(I3062)),IFERROR(INT(VALUE(I3062)),"bad"))))</f>
        <v/>
      </c>
      <c r="O3062">
        <f>IF(J3062="","",IF(ISNUMBER(J3062),ROUND(J3062,2),IFERROR(ROUND(VALUE(SUBSTITUTE(SUBSTITUTE(SUBSTITUTE(J3062,"$",""),",","")," ","")),2),"bad")))</f>
        <v/>
      </c>
      <c r="P3062">
        <f>IF(K3062="","",IFERROR(MATCH(IF(ISNUMBER(FIND("#",K3062)),TRIM(MID(K3062,FIND("#",K3062)+1,20)),UPPER(K3062)),'Students'!$AD$2:$AD$701,0),""))</f>
        <v/>
      </c>
      <c r="R3062">
        <f>IF(P3062="","",INDEX('Students'!$AD$2:$AD$701,P3062))</f>
        <v/>
      </c>
      <c r="S3062">
        <f>IF(H3062="OK",O3062,0)</f>
        <v/>
      </c>
      <c r="T3062">
        <f>IF(H3062="OK",N3062,"")</f>
        <v/>
      </c>
      <c r="U3062">
        <f>TRIM('Cash_Check'!C62)</f>
        <v/>
      </c>
    </row>
    <row r="3063">
      <c r="A3063" s="62">
        <f>IF(H3063="","",IF(ISNUMBER(N3063),N3063,I3063))</f>
        <v/>
      </c>
      <c r="B3063">
        <f>IF(H3063="","",U3063)</f>
        <v/>
      </c>
      <c r="C3063">
        <f>IF(H3063="","",IF(P3063="",K3063,INDEX('Students'!$A$2:$A$701,P3063)))</f>
        <v/>
      </c>
      <c r="D3063">
        <f>IF(OR(H3063="",P3063=""),"",INDEX('Students'!$B$2:$B$701,P3063))</f>
        <v/>
      </c>
      <c r="E3063">
        <f>IF(OR(H3063="",P3063=""),"",INDEX('Students'!$C$2:$C$701,P3063))</f>
        <v/>
      </c>
      <c r="F3063" s="48">
        <f>IF(H3063="","",IF(ISNUMBER(O3063),O3063,J3063))</f>
        <v/>
      </c>
      <c r="G3063">
        <f>IF(H3063="","",M3063)</f>
        <v/>
      </c>
      <c r="H3063">
        <f>IF(AND(I3063="",J3063="",K3063=""),"",IF(OR(NOT(ISNUMBER(O3063)),N(O3063)&lt;=0),"Bad amount",IF(NOT(ISNUMBER(N3063)),"Bad date",IF(P3063="","NAME NOT ON ROSTER","OK"))))</f>
        <v/>
      </c>
      <c r="I3063">
        <f>IF('Cash_Check'!A63="","",'Cash_Check'!A63)</f>
        <v/>
      </c>
      <c r="J3063">
        <f>IF('Cash_Check'!D63="","",'Cash_Check'!D63)</f>
        <v/>
      </c>
      <c r="K3063">
        <f>TRIM('Cash_Check'!B63)</f>
        <v/>
      </c>
      <c r="M3063">
        <f>IF(TRIM('Cash_Check'!E63)="","Cash/check",TRIM('Cash_Check'!E63))</f>
        <v/>
      </c>
      <c r="N3063">
        <f>IF(I3063="","",IF(ISNUMBER(I3063),INT(I3063),IFERROR(INT(DATEVALUE(I3063)),IFERROR(INT(VALUE(I3063)),"bad"))))</f>
        <v/>
      </c>
      <c r="O3063">
        <f>IF(J3063="","",IF(ISNUMBER(J3063),ROUND(J3063,2),IFERROR(ROUND(VALUE(SUBSTITUTE(SUBSTITUTE(SUBSTITUTE(J3063,"$",""),",","")," ","")),2),"bad")))</f>
        <v/>
      </c>
      <c r="P3063">
        <f>IF(K3063="","",IFERROR(MATCH(IF(ISNUMBER(FIND("#",K3063)),TRIM(MID(K3063,FIND("#",K3063)+1,20)),UPPER(K3063)),'Students'!$AD$2:$AD$701,0),""))</f>
        <v/>
      </c>
      <c r="R3063">
        <f>IF(P3063="","",INDEX('Students'!$AD$2:$AD$701,P3063))</f>
        <v/>
      </c>
      <c r="S3063">
        <f>IF(H3063="OK",O3063,0)</f>
        <v/>
      </c>
      <c r="T3063">
        <f>IF(H3063="OK",N3063,"")</f>
        <v/>
      </c>
      <c r="U3063">
        <f>TRIM('Cash_Check'!C63)</f>
        <v/>
      </c>
    </row>
    <row r="3064">
      <c r="A3064" s="62">
        <f>IF(H3064="","",IF(ISNUMBER(N3064),N3064,I3064))</f>
        <v/>
      </c>
      <c r="B3064">
        <f>IF(H3064="","",U3064)</f>
        <v/>
      </c>
      <c r="C3064">
        <f>IF(H3064="","",IF(P3064="",K3064,INDEX('Students'!$A$2:$A$701,P3064)))</f>
        <v/>
      </c>
      <c r="D3064">
        <f>IF(OR(H3064="",P3064=""),"",INDEX('Students'!$B$2:$B$701,P3064))</f>
        <v/>
      </c>
      <c r="E3064">
        <f>IF(OR(H3064="",P3064=""),"",INDEX('Students'!$C$2:$C$701,P3064))</f>
        <v/>
      </c>
      <c r="F3064" s="48">
        <f>IF(H3064="","",IF(ISNUMBER(O3064),O3064,J3064))</f>
        <v/>
      </c>
      <c r="G3064">
        <f>IF(H3064="","",M3064)</f>
        <v/>
      </c>
      <c r="H3064">
        <f>IF(AND(I3064="",J3064="",K3064=""),"",IF(OR(NOT(ISNUMBER(O3064)),N(O3064)&lt;=0),"Bad amount",IF(NOT(ISNUMBER(N3064)),"Bad date",IF(P3064="","NAME NOT ON ROSTER","OK"))))</f>
        <v/>
      </c>
      <c r="I3064">
        <f>IF('Cash_Check'!A64="","",'Cash_Check'!A64)</f>
        <v/>
      </c>
      <c r="J3064">
        <f>IF('Cash_Check'!D64="","",'Cash_Check'!D64)</f>
        <v/>
      </c>
      <c r="K3064">
        <f>TRIM('Cash_Check'!B64)</f>
        <v/>
      </c>
      <c r="M3064">
        <f>IF(TRIM('Cash_Check'!E64)="","Cash/check",TRIM('Cash_Check'!E64))</f>
        <v/>
      </c>
      <c r="N3064">
        <f>IF(I3064="","",IF(ISNUMBER(I3064),INT(I3064),IFERROR(INT(DATEVALUE(I3064)),IFERROR(INT(VALUE(I3064)),"bad"))))</f>
        <v/>
      </c>
      <c r="O3064">
        <f>IF(J3064="","",IF(ISNUMBER(J3064),ROUND(J3064,2),IFERROR(ROUND(VALUE(SUBSTITUTE(SUBSTITUTE(SUBSTITUTE(J3064,"$",""),",","")," ","")),2),"bad")))</f>
        <v/>
      </c>
      <c r="P3064">
        <f>IF(K3064="","",IFERROR(MATCH(IF(ISNUMBER(FIND("#",K3064)),TRIM(MID(K3064,FIND("#",K3064)+1,20)),UPPER(K3064)),'Students'!$AD$2:$AD$701,0),""))</f>
        <v/>
      </c>
      <c r="R3064">
        <f>IF(P3064="","",INDEX('Students'!$AD$2:$AD$701,P3064))</f>
        <v/>
      </c>
      <c r="S3064">
        <f>IF(H3064="OK",O3064,0)</f>
        <v/>
      </c>
      <c r="T3064">
        <f>IF(H3064="OK",N3064,"")</f>
        <v/>
      </c>
      <c r="U3064">
        <f>TRIM('Cash_Check'!C64)</f>
        <v/>
      </c>
    </row>
    <row r="3065">
      <c r="A3065" s="62">
        <f>IF(H3065="","",IF(ISNUMBER(N3065),N3065,I3065))</f>
        <v/>
      </c>
      <c r="B3065">
        <f>IF(H3065="","",U3065)</f>
        <v/>
      </c>
      <c r="C3065">
        <f>IF(H3065="","",IF(P3065="",K3065,INDEX('Students'!$A$2:$A$701,P3065)))</f>
        <v/>
      </c>
      <c r="D3065">
        <f>IF(OR(H3065="",P3065=""),"",INDEX('Students'!$B$2:$B$701,P3065))</f>
        <v/>
      </c>
      <c r="E3065">
        <f>IF(OR(H3065="",P3065=""),"",INDEX('Students'!$C$2:$C$701,P3065))</f>
        <v/>
      </c>
      <c r="F3065" s="48">
        <f>IF(H3065="","",IF(ISNUMBER(O3065),O3065,J3065))</f>
        <v/>
      </c>
      <c r="G3065">
        <f>IF(H3065="","",M3065)</f>
        <v/>
      </c>
      <c r="H3065">
        <f>IF(AND(I3065="",J3065="",K3065=""),"",IF(OR(NOT(ISNUMBER(O3065)),N(O3065)&lt;=0),"Bad amount",IF(NOT(ISNUMBER(N3065)),"Bad date",IF(P3065="","NAME NOT ON ROSTER","OK"))))</f>
        <v/>
      </c>
      <c r="I3065">
        <f>IF('Cash_Check'!A65="","",'Cash_Check'!A65)</f>
        <v/>
      </c>
      <c r="J3065">
        <f>IF('Cash_Check'!D65="","",'Cash_Check'!D65)</f>
        <v/>
      </c>
      <c r="K3065">
        <f>TRIM('Cash_Check'!B65)</f>
        <v/>
      </c>
      <c r="M3065">
        <f>IF(TRIM('Cash_Check'!E65)="","Cash/check",TRIM('Cash_Check'!E65))</f>
        <v/>
      </c>
      <c r="N3065">
        <f>IF(I3065="","",IF(ISNUMBER(I3065),INT(I3065),IFERROR(INT(DATEVALUE(I3065)),IFERROR(INT(VALUE(I3065)),"bad"))))</f>
        <v/>
      </c>
      <c r="O3065">
        <f>IF(J3065="","",IF(ISNUMBER(J3065),ROUND(J3065,2),IFERROR(ROUND(VALUE(SUBSTITUTE(SUBSTITUTE(SUBSTITUTE(J3065,"$",""),",","")," ","")),2),"bad")))</f>
        <v/>
      </c>
      <c r="P3065">
        <f>IF(K3065="","",IFERROR(MATCH(IF(ISNUMBER(FIND("#",K3065)),TRIM(MID(K3065,FIND("#",K3065)+1,20)),UPPER(K3065)),'Students'!$AD$2:$AD$701,0),""))</f>
        <v/>
      </c>
      <c r="R3065">
        <f>IF(P3065="","",INDEX('Students'!$AD$2:$AD$701,P3065))</f>
        <v/>
      </c>
      <c r="S3065">
        <f>IF(H3065="OK",O3065,0)</f>
        <v/>
      </c>
      <c r="T3065">
        <f>IF(H3065="OK",N3065,"")</f>
        <v/>
      </c>
      <c r="U3065">
        <f>TRIM('Cash_Check'!C65)</f>
        <v/>
      </c>
    </row>
    <row r="3066">
      <c r="A3066" s="62">
        <f>IF(H3066="","",IF(ISNUMBER(N3066),N3066,I3066))</f>
        <v/>
      </c>
      <c r="B3066">
        <f>IF(H3066="","",U3066)</f>
        <v/>
      </c>
      <c r="C3066">
        <f>IF(H3066="","",IF(P3066="",K3066,INDEX('Students'!$A$2:$A$701,P3066)))</f>
        <v/>
      </c>
      <c r="D3066">
        <f>IF(OR(H3066="",P3066=""),"",INDEX('Students'!$B$2:$B$701,P3066))</f>
        <v/>
      </c>
      <c r="E3066">
        <f>IF(OR(H3066="",P3066=""),"",INDEX('Students'!$C$2:$C$701,P3066))</f>
        <v/>
      </c>
      <c r="F3066" s="48">
        <f>IF(H3066="","",IF(ISNUMBER(O3066),O3066,J3066))</f>
        <v/>
      </c>
      <c r="G3066">
        <f>IF(H3066="","",M3066)</f>
        <v/>
      </c>
      <c r="H3066">
        <f>IF(AND(I3066="",J3066="",K3066=""),"",IF(OR(NOT(ISNUMBER(O3066)),N(O3066)&lt;=0),"Bad amount",IF(NOT(ISNUMBER(N3066)),"Bad date",IF(P3066="","NAME NOT ON ROSTER","OK"))))</f>
        <v/>
      </c>
      <c r="I3066">
        <f>IF('Cash_Check'!A66="","",'Cash_Check'!A66)</f>
        <v/>
      </c>
      <c r="J3066">
        <f>IF('Cash_Check'!D66="","",'Cash_Check'!D66)</f>
        <v/>
      </c>
      <c r="K3066">
        <f>TRIM('Cash_Check'!B66)</f>
        <v/>
      </c>
      <c r="M3066">
        <f>IF(TRIM('Cash_Check'!E66)="","Cash/check",TRIM('Cash_Check'!E66))</f>
        <v/>
      </c>
      <c r="N3066">
        <f>IF(I3066="","",IF(ISNUMBER(I3066),INT(I3066),IFERROR(INT(DATEVALUE(I3066)),IFERROR(INT(VALUE(I3066)),"bad"))))</f>
        <v/>
      </c>
      <c r="O3066">
        <f>IF(J3066="","",IF(ISNUMBER(J3066),ROUND(J3066,2),IFERROR(ROUND(VALUE(SUBSTITUTE(SUBSTITUTE(SUBSTITUTE(J3066,"$",""),",","")," ","")),2),"bad")))</f>
        <v/>
      </c>
      <c r="P3066">
        <f>IF(K3066="","",IFERROR(MATCH(IF(ISNUMBER(FIND("#",K3066)),TRIM(MID(K3066,FIND("#",K3066)+1,20)),UPPER(K3066)),'Students'!$AD$2:$AD$701,0),""))</f>
        <v/>
      </c>
      <c r="R3066">
        <f>IF(P3066="","",INDEX('Students'!$AD$2:$AD$701,P3066))</f>
        <v/>
      </c>
      <c r="S3066">
        <f>IF(H3066="OK",O3066,0)</f>
        <v/>
      </c>
      <c r="T3066">
        <f>IF(H3066="OK",N3066,"")</f>
        <v/>
      </c>
      <c r="U3066">
        <f>TRIM('Cash_Check'!C66)</f>
        <v/>
      </c>
    </row>
    <row r="3067">
      <c r="A3067" s="62">
        <f>IF(H3067="","",IF(ISNUMBER(N3067),N3067,I3067))</f>
        <v/>
      </c>
      <c r="B3067">
        <f>IF(H3067="","",U3067)</f>
        <v/>
      </c>
      <c r="C3067">
        <f>IF(H3067="","",IF(P3067="",K3067,INDEX('Students'!$A$2:$A$701,P3067)))</f>
        <v/>
      </c>
      <c r="D3067">
        <f>IF(OR(H3067="",P3067=""),"",INDEX('Students'!$B$2:$B$701,P3067))</f>
        <v/>
      </c>
      <c r="E3067">
        <f>IF(OR(H3067="",P3067=""),"",INDEX('Students'!$C$2:$C$701,P3067))</f>
        <v/>
      </c>
      <c r="F3067" s="48">
        <f>IF(H3067="","",IF(ISNUMBER(O3067),O3067,J3067))</f>
        <v/>
      </c>
      <c r="G3067">
        <f>IF(H3067="","",M3067)</f>
        <v/>
      </c>
      <c r="H3067">
        <f>IF(AND(I3067="",J3067="",K3067=""),"",IF(OR(NOT(ISNUMBER(O3067)),N(O3067)&lt;=0),"Bad amount",IF(NOT(ISNUMBER(N3067)),"Bad date",IF(P3067="","NAME NOT ON ROSTER","OK"))))</f>
        <v/>
      </c>
      <c r="I3067">
        <f>IF('Cash_Check'!A67="","",'Cash_Check'!A67)</f>
        <v/>
      </c>
      <c r="J3067">
        <f>IF('Cash_Check'!D67="","",'Cash_Check'!D67)</f>
        <v/>
      </c>
      <c r="K3067">
        <f>TRIM('Cash_Check'!B67)</f>
        <v/>
      </c>
      <c r="M3067">
        <f>IF(TRIM('Cash_Check'!E67)="","Cash/check",TRIM('Cash_Check'!E67))</f>
        <v/>
      </c>
      <c r="N3067">
        <f>IF(I3067="","",IF(ISNUMBER(I3067),INT(I3067),IFERROR(INT(DATEVALUE(I3067)),IFERROR(INT(VALUE(I3067)),"bad"))))</f>
        <v/>
      </c>
      <c r="O3067">
        <f>IF(J3067="","",IF(ISNUMBER(J3067),ROUND(J3067,2),IFERROR(ROUND(VALUE(SUBSTITUTE(SUBSTITUTE(SUBSTITUTE(J3067,"$",""),",","")," ","")),2),"bad")))</f>
        <v/>
      </c>
      <c r="P3067">
        <f>IF(K3067="","",IFERROR(MATCH(IF(ISNUMBER(FIND("#",K3067)),TRIM(MID(K3067,FIND("#",K3067)+1,20)),UPPER(K3067)),'Students'!$AD$2:$AD$701,0),""))</f>
        <v/>
      </c>
      <c r="R3067">
        <f>IF(P3067="","",INDEX('Students'!$AD$2:$AD$701,P3067))</f>
        <v/>
      </c>
      <c r="S3067">
        <f>IF(H3067="OK",O3067,0)</f>
        <v/>
      </c>
      <c r="T3067">
        <f>IF(H3067="OK",N3067,"")</f>
        <v/>
      </c>
      <c r="U3067">
        <f>TRIM('Cash_Check'!C67)</f>
        <v/>
      </c>
    </row>
    <row r="3068">
      <c r="A3068" s="62">
        <f>IF(H3068="","",IF(ISNUMBER(N3068),N3068,I3068))</f>
        <v/>
      </c>
      <c r="B3068">
        <f>IF(H3068="","",U3068)</f>
        <v/>
      </c>
      <c r="C3068">
        <f>IF(H3068="","",IF(P3068="",K3068,INDEX('Students'!$A$2:$A$701,P3068)))</f>
        <v/>
      </c>
      <c r="D3068">
        <f>IF(OR(H3068="",P3068=""),"",INDEX('Students'!$B$2:$B$701,P3068))</f>
        <v/>
      </c>
      <c r="E3068">
        <f>IF(OR(H3068="",P3068=""),"",INDEX('Students'!$C$2:$C$701,P3068))</f>
        <v/>
      </c>
      <c r="F3068" s="48">
        <f>IF(H3068="","",IF(ISNUMBER(O3068),O3068,J3068))</f>
        <v/>
      </c>
      <c r="G3068">
        <f>IF(H3068="","",M3068)</f>
        <v/>
      </c>
      <c r="H3068">
        <f>IF(AND(I3068="",J3068="",K3068=""),"",IF(OR(NOT(ISNUMBER(O3068)),N(O3068)&lt;=0),"Bad amount",IF(NOT(ISNUMBER(N3068)),"Bad date",IF(P3068="","NAME NOT ON ROSTER","OK"))))</f>
        <v/>
      </c>
      <c r="I3068">
        <f>IF('Cash_Check'!A68="","",'Cash_Check'!A68)</f>
        <v/>
      </c>
      <c r="J3068">
        <f>IF('Cash_Check'!D68="","",'Cash_Check'!D68)</f>
        <v/>
      </c>
      <c r="K3068">
        <f>TRIM('Cash_Check'!B68)</f>
        <v/>
      </c>
      <c r="M3068">
        <f>IF(TRIM('Cash_Check'!E68)="","Cash/check",TRIM('Cash_Check'!E68))</f>
        <v/>
      </c>
      <c r="N3068">
        <f>IF(I3068="","",IF(ISNUMBER(I3068),INT(I3068),IFERROR(INT(DATEVALUE(I3068)),IFERROR(INT(VALUE(I3068)),"bad"))))</f>
        <v/>
      </c>
      <c r="O3068">
        <f>IF(J3068="","",IF(ISNUMBER(J3068),ROUND(J3068,2),IFERROR(ROUND(VALUE(SUBSTITUTE(SUBSTITUTE(SUBSTITUTE(J3068,"$",""),",","")," ","")),2),"bad")))</f>
        <v/>
      </c>
      <c r="P3068">
        <f>IF(K3068="","",IFERROR(MATCH(IF(ISNUMBER(FIND("#",K3068)),TRIM(MID(K3068,FIND("#",K3068)+1,20)),UPPER(K3068)),'Students'!$AD$2:$AD$701,0),""))</f>
        <v/>
      </c>
      <c r="R3068">
        <f>IF(P3068="","",INDEX('Students'!$AD$2:$AD$701,P3068))</f>
        <v/>
      </c>
      <c r="S3068">
        <f>IF(H3068="OK",O3068,0)</f>
        <v/>
      </c>
      <c r="T3068">
        <f>IF(H3068="OK",N3068,"")</f>
        <v/>
      </c>
      <c r="U3068">
        <f>TRIM('Cash_Check'!C68)</f>
        <v/>
      </c>
    </row>
    <row r="3069">
      <c r="A3069" s="62">
        <f>IF(H3069="","",IF(ISNUMBER(N3069),N3069,I3069))</f>
        <v/>
      </c>
      <c r="B3069">
        <f>IF(H3069="","",U3069)</f>
        <v/>
      </c>
      <c r="C3069">
        <f>IF(H3069="","",IF(P3069="",K3069,INDEX('Students'!$A$2:$A$701,P3069)))</f>
        <v/>
      </c>
      <c r="D3069">
        <f>IF(OR(H3069="",P3069=""),"",INDEX('Students'!$B$2:$B$701,P3069))</f>
        <v/>
      </c>
      <c r="E3069">
        <f>IF(OR(H3069="",P3069=""),"",INDEX('Students'!$C$2:$C$701,P3069))</f>
        <v/>
      </c>
      <c r="F3069" s="48">
        <f>IF(H3069="","",IF(ISNUMBER(O3069),O3069,J3069))</f>
        <v/>
      </c>
      <c r="G3069">
        <f>IF(H3069="","",M3069)</f>
        <v/>
      </c>
      <c r="H3069">
        <f>IF(AND(I3069="",J3069="",K3069=""),"",IF(OR(NOT(ISNUMBER(O3069)),N(O3069)&lt;=0),"Bad amount",IF(NOT(ISNUMBER(N3069)),"Bad date",IF(P3069="","NAME NOT ON ROSTER","OK"))))</f>
        <v/>
      </c>
      <c r="I3069">
        <f>IF('Cash_Check'!A69="","",'Cash_Check'!A69)</f>
        <v/>
      </c>
      <c r="J3069">
        <f>IF('Cash_Check'!D69="","",'Cash_Check'!D69)</f>
        <v/>
      </c>
      <c r="K3069">
        <f>TRIM('Cash_Check'!B69)</f>
        <v/>
      </c>
      <c r="M3069">
        <f>IF(TRIM('Cash_Check'!E69)="","Cash/check",TRIM('Cash_Check'!E69))</f>
        <v/>
      </c>
      <c r="N3069">
        <f>IF(I3069="","",IF(ISNUMBER(I3069),INT(I3069),IFERROR(INT(DATEVALUE(I3069)),IFERROR(INT(VALUE(I3069)),"bad"))))</f>
        <v/>
      </c>
      <c r="O3069">
        <f>IF(J3069="","",IF(ISNUMBER(J3069),ROUND(J3069,2),IFERROR(ROUND(VALUE(SUBSTITUTE(SUBSTITUTE(SUBSTITUTE(J3069,"$",""),",","")," ","")),2),"bad")))</f>
        <v/>
      </c>
      <c r="P3069">
        <f>IF(K3069="","",IFERROR(MATCH(IF(ISNUMBER(FIND("#",K3069)),TRIM(MID(K3069,FIND("#",K3069)+1,20)),UPPER(K3069)),'Students'!$AD$2:$AD$701,0),""))</f>
        <v/>
      </c>
      <c r="R3069">
        <f>IF(P3069="","",INDEX('Students'!$AD$2:$AD$701,P3069))</f>
        <v/>
      </c>
      <c r="S3069">
        <f>IF(H3069="OK",O3069,0)</f>
        <v/>
      </c>
      <c r="T3069">
        <f>IF(H3069="OK",N3069,"")</f>
        <v/>
      </c>
      <c r="U3069">
        <f>TRIM('Cash_Check'!C69)</f>
        <v/>
      </c>
    </row>
    <row r="3070">
      <c r="A3070" s="62">
        <f>IF(H3070="","",IF(ISNUMBER(N3070),N3070,I3070))</f>
        <v/>
      </c>
      <c r="B3070">
        <f>IF(H3070="","",U3070)</f>
        <v/>
      </c>
      <c r="C3070">
        <f>IF(H3070="","",IF(P3070="",K3070,INDEX('Students'!$A$2:$A$701,P3070)))</f>
        <v/>
      </c>
      <c r="D3070">
        <f>IF(OR(H3070="",P3070=""),"",INDEX('Students'!$B$2:$B$701,P3070))</f>
        <v/>
      </c>
      <c r="E3070">
        <f>IF(OR(H3070="",P3070=""),"",INDEX('Students'!$C$2:$C$701,P3070))</f>
        <v/>
      </c>
      <c r="F3070" s="48">
        <f>IF(H3070="","",IF(ISNUMBER(O3070),O3070,J3070))</f>
        <v/>
      </c>
      <c r="G3070">
        <f>IF(H3070="","",M3070)</f>
        <v/>
      </c>
      <c r="H3070">
        <f>IF(AND(I3070="",J3070="",K3070=""),"",IF(OR(NOT(ISNUMBER(O3070)),N(O3070)&lt;=0),"Bad amount",IF(NOT(ISNUMBER(N3070)),"Bad date",IF(P3070="","NAME NOT ON ROSTER","OK"))))</f>
        <v/>
      </c>
      <c r="I3070">
        <f>IF('Cash_Check'!A70="","",'Cash_Check'!A70)</f>
        <v/>
      </c>
      <c r="J3070">
        <f>IF('Cash_Check'!D70="","",'Cash_Check'!D70)</f>
        <v/>
      </c>
      <c r="K3070">
        <f>TRIM('Cash_Check'!B70)</f>
        <v/>
      </c>
      <c r="M3070">
        <f>IF(TRIM('Cash_Check'!E70)="","Cash/check",TRIM('Cash_Check'!E70))</f>
        <v/>
      </c>
      <c r="N3070">
        <f>IF(I3070="","",IF(ISNUMBER(I3070),INT(I3070),IFERROR(INT(DATEVALUE(I3070)),IFERROR(INT(VALUE(I3070)),"bad"))))</f>
        <v/>
      </c>
      <c r="O3070">
        <f>IF(J3070="","",IF(ISNUMBER(J3070),ROUND(J3070,2),IFERROR(ROUND(VALUE(SUBSTITUTE(SUBSTITUTE(SUBSTITUTE(J3070,"$",""),",","")," ","")),2),"bad")))</f>
        <v/>
      </c>
      <c r="P3070">
        <f>IF(K3070="","",IFERROR(MATCH(IF(ISNUMBER(FIND("#",K3070)),TRIM(MID(K3070,FIND("#",K3070)+1,20)),UPPER(K3070)),'Students'!$AD$2:$AD$701,0),""))</f>
        <v/>
      </c>
      <c r="R3070">
        <f>IF(P3070="","",INDEX('Students'!$AD$2:$AD$701,P3070))</f>
        <v/>
      </c>
      <c r="S3070">
        <f>IF(H3070="OK",O3070,0)</f>
        <v/>
      </c>
      <c r="T3070">
        <f>IF(H3070="OK",N3070,"")</f>
        <v/>
      </c>
      <c r="U3070">
        <f>TRIM('Cash_Check'!C70)</f>
        <v/>
      </c>
    </row>
    <row r="3071">
      <c r="A3071" s="62">
        <f>IF(H3071="","",IF(ISNUMBER(N3071),N3071,I3071))</f>
        <v/>
      </c>
      <c r="B3071">
        <f>IF(H3071="","",U3071)</f>
        <v/>
      </c>
      <c r="C3071">
        <f>IF(H3071="","",IF(P3071="",K3071,INDEX('Students'!$A$2:$A$701,P3071)))</f>
        <v/>
      </c>
      <c r="D3071">
        <f>IF(OR(H3071="",P3071=""),"",INDEX('Students'!$B$2:$B$701,P3071))</f>
        <v/>
      </c>
      <c r="E3071">
        <f>IF(OR(H3071="",P3071=""),"",INDEX('Students'!$C$2:$C$701,P3071))</f>
        <v/>
      </c>
      <c r="F3071" s="48">
        <f>IF(H3071="","",IF(ISNUMBER(O3071),O3071,J3071))</f>
        <v/>
      </c>
      <c r="G3071">
        <f>IF(H3071="","",M3071)</f>
        <v/>
      </c>
      <c r="H3071">
        <f>IF(AND(I3071="",J3071="",K3071=""),"",IF(OR(NOT(ISNUMBER(O3071)),N(O3071)&lt;=0),"Bad amount",IF(NOT(ISNUMBER(N3071)),"Bad date",IF(P3071="","NAME NOT ON ROSTER","OK"))))</f>
        <v/>
      </c>
      <c r="I3071">
        <f>IF('Cash_Check'!A71="","",'Cash_Check'!A71)</f>
        <v/>
      </c>
      <c r="J3071">
        <f>IF('Cash_Check'!D71="","",'Cash_Check'!D71)</f>
        <v/>
      </c>
      <c r="K3071">
        <f>TRIM('Cash_Check'!B71)</f>
        <v/>
      </c>
      <c r="M3071">
        <f>IF(TRIM('Cash_Check'!E71)="","Cash/check",TRIM('Cash_Check'!E71))</f>
        <v/>
      </c>
      <c r="N3071">
        <f>IF(I3071="","",IF(ISNUMBER(I3071),INT(I3071),IFERROR(INT(DATEVALUE(I3071)),IFERROR(INT(VALUE(I3071)),"bad"))))</f>
        <v/>
      </c>
      <c r="O3071">
        <f>IF(J3071="","",IF(ISNUMBER(J3071),ROUND(J3071,2),IFERROR(ROUND(VALUE(SUBSTITUTE(SUBSTITUTE(SUBSTITUTE(J3071,"$",""),",","")," ","")),2),"bad")))</f>
        <v/>
      </c>
      <c r="P3071">
        <f>IF(K3071="","",IFERROR(MATCH(IF(ISNUMBER(FIND("#",K3071)),TRIM(MID(K3071,FIND("#",K3071)+1,20)),UPPER(K3071)),'Students'!$AD$2:$AD$701,0),""))</f>
        <v/>
      </c>
      <c r="R3071">
        <f>IF(P3071="","",INDEX('Students'!$AD$2:$AD$701,P3071))</f>
        <v/>
      </c>
      <c r="S3071">
        <f>IF(H3071="OK",O3071,0)</f>
        <v/>
      </c>
      <c r="T3071">
        <f>IF(H3071="OK",N3071,"")</f>
        <v/>
      </c>
      <c r="U3071">
        <f>TRIM('Cash_Check'!C71)</f>
        <v/>
      </c>
    </row>
    <row r="3072">
      <c r="A3072" s="62">
        <f>IF(H3072="","",IF(ISNUMBER(N3072),N3072,I3072))</f>
        <v/>
      </c>
      <c r="B3072">
        <f>IF(H3072="","",U3072)</f>
        <v/>
      </c>
      <c r="C3072">
        <f>IF(H3072="","",IF(P3072="",K3072,INDEX('Students'!$A$2:$A$701,P3072)))</f>
        <v/>
      </c>
      <c r="D3072">
        <f>IF(OR(H3072="",P3072=""),"",INDEX('Students'!$B$2:$B$701,P3072))</f>
        <v/>
      </c>
      <c r="E3072">
        <f>IF(OR(H3072="",P3072=""),"",INDEX('Students'!$C$2:$C$701,P3072))</f>
        <v/>
      </c>
      <c r="F3072" s="48">
        <f>IF(H3072="","",IF(ISNUMBER(O3072),O3072,J3072))</f>
        <v/>
      </c>
      <c r="G3072">
        <f>IF(H3072="","",M3072)</f>
        <v/>
      </c>
      <c r="H3072">
        <f>IF(AND(I3072="",J3072="",K3072=""),"",IF(OR(NOT(ISNUMBER(O3072)),N(O3072)&lt;=0),"Bad amount",IF(NOT(ISNUMBER(N3072)),"Bad date",IF(P3072="","NAME NOT ON ROSTER","OK"))))</f>
        <v/>
      </c>
      <c r="I3072">
        <f>IF('Cash_Check'!A72="","",'Cash_Check'!A72)</f>
        <v/>
      </c>
      <c r="J3072">
        <f>IF('Cash_Check'!D72="","",'Cash_Check'!D72)</f>
        <v/>
      </c>
      <c r="K3072">
        <f>TRIM('Cash_Check'!B72)</f>
        <v/>
      </c>
      <c r="M3072">
        <f>IF(TRIM('Cash_Check'!E72)="","Cash/check",TRIM('Cash_Check'!E72))</f>
        <v/>
      </c>
      <c r="N3072">
        <f>IF(I3072="","",IF(ISNUMBER(I3072),INT(I3072),IFERROR(INT(DATEVALUE(I3072)),IFERROR(INT(VALUE(I3072)),"bad"))))</f>
        <v/>
      </c>
      <c r="O3072">
        <f>IF(J3072="","",IF(ISNUMBER(J3072),ROUND(J3072,2),IFERROR(ROUND(VALUE(SUBSTITUTE(SUBSTITUTE(SUBSTITUTE(J3072,"$",""),",","")," ","")),2),"bad")))</f>
        <v/>
      </c>
      <c r="P3072">
        <f>IF(K3072="","",IFERROR(MATCH(IF(ISNUMBER(FIND("#",K3072)),TRIM(MID(K3072,FIND("#",K3072)+1,20)),UPPER(K3072)),'Students'!$AD$2:$AD$701,0),""))</f>
        <v/>
      </c>
      <c r="R3072">
        <f>IF(P3072="","",INDEX('Students'!$AD$2:$AD$701,P3072))</f>
        <v/>
      </c>
      <c r="S3072">
        <f>IF(H3072="OK",O3072,0)</f>
        <v/>
      </c>
      <c r="T3072">
        <f>IF(H3072="OK",N3072,"")</f>
        <v/>
      </c>
      <c r="U3072">
        <f>TRIM('Cash_Check'!C72)</f>
        <v/>
      </c>
    </row>
    <row r="3073">
      <c r="A3073" s="62">
        <f>IF(H3073="","",IF(ISNUMBER(N3073),N3073,I3073))</f>
        <v/>
      </c>
      <c r="B3073">
        <f>IF(H3073="","",U3073)</f>
        <v/>
      </c>
      <c r="C3073">
        <f>IF(H3073="","",IF(P3073="",K3073,INDEX('Students'!$A$2:$A$701,P3073)))</f>
        <v/>
      </c>
      <c r="D3073">
        <f>IF(OR(H3073="",P3073=""),"",INDEX('Students'!$B$2:$B$701,P3073))</f>
        <v/>
      </c>
      <c r="E3073">
        <f>IF(OR(H3073="",P3073=""),"",INDEX('Students'!$C$2:$C$701,P3073))</f>
        <v/>
      </c>
      <c r="F3073" s="48">
        <f>IF(H3073="","",IF(ISNUMBER(O3073),O3073,J3073))</f>
        <v/>
      </c>
      <c r="G3073">
        <f>IF(H3073="","",M3073)</f>
        <v/>
      </c>
      <c r="H3073">
        <f>IF(AND(I3073="",J3073="",K3073=""),"",IF(OR(NOT(ISNUMBER(O3073)),N(O3073)&lt;=0),"Bad amount",IF(NOT(ISNUMBER(N3073)),"Bad date",IF(P3073="","NAME NOT ON ROSTER","OK"))))</f>
        <v/>
      </c>
      <c r="I3073">
        <f>IF('Cash_Check'!A73="","",'Cash_Check'!A73)</f>
        <v/>
      </c>
      <c r="J3073">
        <f>IF('Cash_Check'!D73="","",'Cash_Check'!D73)</f>
        <v/>
      </c>
      <c r="K3073">
        <f>TRIM('Cash_Check'!B73)</f>
        <v/>
      </c>
      <c r="M3073">
        <f>IF(TRIM('Cash_Check'!E73)="","Cash/check",TRIM('Cash_Check'!E73))</f>
        <v/>
      </c>
      <c r="N3073">
        <f>IF(I3073="","",IF(ISNUMBER(I3073),INT(I3073),IFERROR(INT(DATEVALUE(I3073)),IFERROR(INT(VALUE(I3073)),"bad"))))</f>
        <v/>
      </c>
      <c r="O3073">
        <f>IF(J3073="","",IF(ISNUMBER(J3073),ROUND(J3073,2),IFERROR(ROUND(VALUE(SUBSTITUTE(SUBSTITUTE(SUBSTITUTE(J3073,"$",""),",","")," ","")),2),"bad")))</f>
        <v/>
      </c>
      <c r="P3073">
        <f>IF(K3073="","",IFERROR(MATCH(IF(ISNUMBER(FIND("#",K3073)),TRIM(MID(K3073,FIND("#",K3073)+1,20)),UPPER(K3073)),'Students'!$AD$2:$AD$701,0),""))</f>
        <v/>
      </c>
      <c r="R3073">
        <f>IF(P3073="","",INDEX('Students'!$AD$2:$AD$701,P3073))</f>
        <v/>
      </c>
      <c r="S3073">
        <f>IF(H3073="OK",O3073,0)</f>
        <v/>
      </c>
      <c r="T3073">
        <f>IF(H3073="OK",N3073,"")</f>
        <v/>
      </c>
      <c r="U3073">
        <f>TRIM('Cash_Check'!C73)</f>
        <v/>
      </c>
    </row>
    <row r="3074">
      <c r="A3074" s="62">
        <f>IF(H3074="","",IF(ISNUMBER(N3074),N3074,I3074))</f>
        <v/>
      </c>
      <c r="B3074">
        <f>IF(H3074="","",U3074)</f>
        <v/>
      </c>
      <c r="C3074">
        <f>IF(H3074="","",IF(P3074="",K3074,INDEX('Students'!$A$2:$A$701,P3074)))</f>
        <v/>
      </c>
      <c r="D3074">
        <f>IF(OR(H3074="",P3074=""),"",INDEX('Students'!$B$2:$B$701,P3074))</f>
        <v/>
      </c>
      <c r="E3074">
        <f>IF(OR(H3074="",P3074=""),"",INDEX('Students'!$C$2:$C$701,P3074))</f>
        <v/>
      </c>
      <c r="F3074" s="48">
        <f>IF(H3074="","",IF(ISNUMBER(O3074),O3074,J3074))</f>
        <v/>
      </c>
      <c r="G3074">
        <f>IF(H3074="","",M3074)</f>
        <v/>
      </c>
      <c r="H3074">
        <f>IF(AND(I3074="",J3074="",K3074=""),"",IF(OR(NOT(ISNUMBER(O3074)),N(O3074)&lt;=0),"Bad amount",IF(NOT(ISNUMBER(N3074)),"Bad date",IF(P3074="","NAME NOT ON ROSTER","OK"))))</f>
        <v/>
      </c>
      <c r="I3074">
        <f>IF('Cash_Check'!A74="","",'Cash_Check'!A74)</f>
        <v/>
      </c>
      <c r="J3074">
        <f>IF('Cash_Check'!D74="","",'Cash_Check'!D74)</f>
        <v/>
      </c>
      <c r="K3074">
        <f>TRIM('Cash_Check'!B74)</f>
        <v/>
      </c>
      <c r="M3074">
        <f>IF(TRIM('Cash_Check'!E74)="","Cash/check",TRIM('Cash_Check'!E74))</f>
        <v/>
      </c>
      <c r="N3074">
        <f>IF(I3074="","",IF(ISNUMBER(I3074),INT(I3074),IFERROR(INT(DATEVALUE(I3074)),IFERROR(INT(VALUE(I3074)),"bad"))))</f>
        <v/>
      </c>
      <c r="O3074">
        <f>IF(J3074="","",IF(ISNUMBER(J3074),ROUND(J3074,2),IFERROR(ROUND(VALUE(SUBSTITUTE(SUBSTITUTE(SUBSTITUTE(J3074,"$",""),",","")," ","")),2),"bad")))</f>
        <v/>
      </c>
      <c r="P3074">
        <f>IF(K3074="","",IFERROR(MATCH(IF(ISNUMBER(FIND("#",K3074)),TRIM(MID(K3074,FIND("#",K3074)+1,20)),UPPER(K3074)),'Students'!$AD$2:$AD$701,0),""))</f>
        <v/>
      </c>
      <c r="R3074">
        <f>IF(P3074="","",INDEX('Students'!$AD$2:$AD$701,P3074))</f>
        <v/>
      </c>
      <c r="S3074">
        <f>IF(H3074="OK",O3074,0)</f>
        <v/>
      </c>
      <c r="T3074">
        <f>IF(H3074="OK",N3074,"")</f>
        <v/>
      </c>
      <c r="U3074">
        <f>TRIM('Cash_Check'!C74)</f>
        <v/>
      </c>
    </row>
    <row r="3075">
      <c r="A3075" s="62">
        <f>IF(H3075="","",IF(ISNUMBER(N3075),N3075,I3075))</f>
        <v/>
      </c>
      <c r="B3075">
        <f>IF(H3075="","",U3075)</f>
        <v/>
      </c>
      <c r="C3075">
        <f>IF(H3075="","",IF(P3075="",K3075,INDEX('Students'!$A$2:$A$701,P3075)))</f>
        <v/>
      </c>
      <c r="D3075">
        <f>IF(OR(H3075="",P3075=""),"",INDEX('Students'!$B$2:$B$701,P3075))</f>
        <v/>
      </c>
      <c r="E3075">
        <f>IF(OR(H3075="",P3075=""),"",INDEX('Students'!$C$2:$C$701,P3075))</f>
        <v/>
      </c>
      <c r="F3075" s="48">
        <f>IF(H3075="","",IF(ISNUMBER(O3075),O3075,J3075))</f>
        <v/>
      </c>
      <c r="G3075">
        <f>IF(H3075="","",M3075)</f>
        <v/>
      </c>
      <c r="H3075">
        <f>IF(AND(I3075="",J3075="",K3075=""),"",IF(OR(NOT(ISNUMBER(O3075)),N(O3075)&lt;=0),"Bad amount",IF(NOT(ISNUMBER(N3075)),"Bad date",IF(P3075="","NAME NOT ON ROSTER","OK"))))</f>
        <v/>
      </c>
      <c r="I3075">
        <f>IF('Cash_Check'!A75="","",'Cash_Check'!A75)</f>
        <v/>
      </c>
      <c r="J3075">
        <f>IF('Cash_Check'!D75="","",'Cash_Check'!D75)</f>
        <v/>
      </c>
      <c r="K3075">
        <f>TRIM('Cash_Check'!B75)</f>
        <v/>
      </c>
      <c r="M3075">
        <f>IF(TRIM('Cash_Check'!E75)="","Cash/check",TRIM('Cash_Check'!E75))</f>
        <v/>
      </c>
      <c r="N3075">
        <f>IF(I3075="","",IF(ISNUMBER(I3075),INT(I3075),IFERROR(INT(DATEVALUE(I3075)),IFERROR(INT(VALUE(I3075)),"bad"))))</f>
        <v/>
      </c>
      <c r="O3075">
        <f>IF(J3075="","",IF(ISNUMBER(J3075),ROUND(J3075,2),IFERROR(ROUND(VALUE(SUBSTITUTE(SUBSTITUTE(SUBSTITUTE(J3075,"$",""),",","")," ","")),2),"bad")))</f>
        <v/>
      </c>
      <c r="P3075">
        <f>IF(K3075="","",IFERROR(MATCH(IF(ISNUMBER(FIND("#",K3075)),TRIM(MID(K3075,FIND("#",K3075)+1,20)),UPPER(K3075)),'Students'!$AD$2:$AD$701,0),""))</f>
        <v/>
      </c>
      <c r="R3075">
        <f>IF(P3075="","",INDEX('Students'!$AD$2:$AD$701,P3075))</f>
        <v/>
      </c>
      <c r="S3075">
        <f>IF(H3075="OK",O3075,0)</f>
        <v/>
      </c>
      <c r="T3075">
        <f>IF(H3075="OK",N3075,"")</f>
        <v/>
      </c>
      <c r="U3075">
        <f>TRIM('Cash_Check'!C75)</f>
        <v/>
      </c>
    </row>
    <row r="3076">
      <c r="A3076" s="62">
        <f>IF(H3076="","",IF(ISNUMBER(N3076),N3076,I3076))</f>
        <v/>
      </c>
      <c r="B3076">
        <f>IF(H3076="","",U3076)</f>
        <v/>
      </c>
      <c r="C3076">
        <f>IF(H3076="","",IF(P3076="",K3076,INDEX('Students'!$A$2:$A$701,P3076)))</f>
        <v/>
      </c>
      <c r="D3076">
        <f>IF(OR(H3076="",P3076=""),"",INDEX('Students'!$B$2:$B$701,P3076))</f>
        <v/>
      </c>
      <c r="E3076">
        <f>IF(OR(H3076="",P3076=""),"",INDEX('Students'!$C$2:$C$701,P3076))</f>
        <v/>
      </c>
      <c r="F3076" s="48">
        <f>IF(H3076="","",IF(ISNUMBER(O3076),O3076,J3076))</f>
        <v/>
      </c>
      <c r="G3076">
        <f>IF(H3076="","",M3076)</f>
        <v/>
      </c>
      <c r="H3076">
        <f>IF(AND(I3076="",J3076="",K3076=""),"",IF(OR(NOT(ISNUMBER(O3076)),N(O3076)&lt;=0),"Bad amount",IF(NOT(ISNUMBER(N3076)),"Bad date",IF(P3076="","NAME NOT ON ROSTER","OK"))))</f>
        <v/>
      </c>
      <c r="I3076">
        <f>IF('Cash_Check'!A76="","",'Cash_Check'!A76)</f>
        <v/>
      </c>
      <c r="J3076">
        <f>IF('Cash_Check'!D76="","",'Cash_Check'!D76)</f>
        <v/>
      </c>
      <c r="K3076">
        <f>TRIM('Cash_Check'!B76)</f>
        <v/>
      </c>
      <c r="M3076">
        <f>IF(TRIM('Cash_Check'!E76)="","Cash/check",TRIM('Cash_Check'!E76))</f>
        <v/>
      </c>
      <c r="N3076">
        <f>IF(I3076="","",IF(ISNUMBER(I3076),INT(I3076),IFERROR(INT(DATEVALUE(I3076)),IFERROR(INT(VALUE(I3076)),"bad"))))</f>
        <v/>
      </c>
      <c r="O3076">
        <f>IF(J3076="","",IF(ISNUMBER(J3076),ROUND(J3076,2),IFERROR(ROUND(VALUE(SUBSTITUTE(SUBSTITUTE(SUBSTITUTE(J3076,"$",""),",","")," ","")),2),"bad")))</f>
        <v/>
      </c>
      <c r="P3076">
        <f>IF(K3076="","",IFERROR(MATCH(IF(ISNUMBER(FIND("#",K3076)),TRIM(MID(K3076,FIND("#",K3076)+1,20)),UPPER(K3076)),'Students'!$AD$2:$AD$701,0),""))</f>
        <v/>
      </c>
      <c r="R3076">
        <f>IF(P3076="","",INDEX('Students'!$AD$2:$AD$701,P3076))</f>
        <v/>
      </c>
      <c r="S3076">
        <f>IF(H3076="OK",O3076,0)</f>
        <v/>
      </c>
      <c r="T3076">
        <f>IF(H3076="OK",N3076,"")</f>
        <v/>
      </c>
      <c r="U3076">
        <f>TRIM('Cash_Check'!C76)</f>
        <v/>
      </c>
    </row>
    <row r="3077">
      <c r="A3077" s="62">
        <f>IF(H3077="","",IF(ISNUMBER(N3077),N3077,I3077))</f>
        <v/>
      </c>
      <c r="B3077">
        <f>IF(H3077="","",U3077)</f>
        <v/>
      </c>
      <c r="C3077">
        <f>IF(H3077="","",IF(P3077="",K3077,INDEX('Students'!$A$2:$A$701,P3077)))</f>
        <v/>
      </c>
      <c r="D3077">
        <f>IF(OR(H3077="",P3077=""),"",INDEX('Students'!$B$2:$B$701,P3077))</f>
        <v/>
      </c>
      <c r="E3077">
        <f>IF(OR(H3077="",P3077=""),"",INDEX('Students'!$C$2:$C$701,P3077))</f>
        <v/>
      </c>
      <c r="F3077" s="48">
        <f>IF(H3077="","",IF(ISNUMBER(O3077),O3077,J3077))</f>
        <v/>
      </c>
      <c r="G3077">
        <f>IF(H3077="","",M3077)</f>
        <v/>
      </c>
      <c r="H3077">
        <f>IF(AND(I3077="",J3077="",K3077=""),"",IF(OR(NOT(ISNUMBER(O3077)),N(O3077)&lt;=0),"Bad amount",IF(NOT(ISNUMBER(N3077)),"Bad date",IF(P3077="","NAME NOT ON ROSTER","OK"))))</f>
        <v/>
      </c>
      <c r="I3077">
        <f>IF('Cash_Check'!A77="","",'Cash_Check'!A77)</f>
        <v/>
      </c>
      <c r="J3077">
        <f>IF('Cash_Check'!D77="","",'Cash_Check'!D77)</f>
        <v/>
      </c>
      <c r="K3077">
        <f>TRIM('Cash_Check'!B77)</f>
        <v/>
      </c>
      <c r="M3077">
        <f>IF(TRIM('Cash_Check'!E77)="","Cash/check",TRIM('Cash_Check'!E77))</f>
        <v/>
      </c>
      <c r="N3077">
        <f>IF(I3077="","",IF(ISNUMBER(I3077),INT(I3077),IFERROR(INT(DATEVALUE(I3077)),IFERROR(INT(VALUE(I3077)),"bad"))))</f>
        <v/>
      </c>
      <c r="O3077">
        <f>IF(J3077="","",IF(ISNUMBER(J3077),ROUND(J3077,2),IFERROR(ROUND(VALUE(SUBSTITUTE(SUBSTITUTE(SUBSTITUTE(J3077,"$",""),",","")," ","")),2),"bad")))</f>
        <v/>
      </c>
      <c r="P3077">
        <f>IF(K3077="","",IFERROR(MATCH(IF(ISNUMBER(FIND("#",K3077)),TRIM(MID(K3077,FIND("#",K3077)+1,20)),UPPER(K3077)),'Students'!$AD$2:$AD$701,0),""))</f>
        <v/>
      </c>
      <c r="R3077">
        <f>IF(P3077="","",INDEX('Students'!$AD$2:$AD$701,P3077))</f>
        <v/>
      </c>
      <c r="S3077">
        <f>IF(H3077="OK",O3077,0)</f>
        <v/>
      </c>
      <c r="T3077">
        <f>IF(H3077="OK",N3077,"")</f>
        <v/>
      </c>
      <c r="U3077">
        <f>TRIM('Cash_Check'!C77)</f>
        <v/>
      </c>
    </row>
    <row r="3078">
      <c r="A3078" s="62">
        <f>IF(H3078="","",IF(ISNUMBER(N3078),N3078,I3078))</f>
        <v/>
      </c>
      <c r="B3078">
        <f>IF(H3078="","",U3078)</f>
        <v/>
      </c>
      <c r="C3078">
        <f>IF(H3078="","",IF(P3078="",K3078,INDEX('Students'!$A$2:$A$701,P3078)))</f>
        <v/>
      </c>
      <c r="D3078">
        <f>IF(OR(H3078="",P3078=""),"",INDEX('Students'!$B$2:$B$701,P3078))</f>
        <v/>
      </c>
      <c r="E3078">
        <f>IF(OR(H3078="",P3078=""),"",INDEX('Students'!$C$2:$C$701,P3078))</f>
        <v/>
      </c>
      <c r="F3078" s="48">
        <f>IF(H3078="","",IF(ISNUMBER(O3078),O3078,J3078))</f>
        <v/>
      </c>
      <c r="G3078">
        <f>IF(H3078="","",M3078)</f>
        <v/>
      </c>
      <c r="H3078">
        <f>IF(AND(I3078="",J3078="",K3078=""),"",IF(OR(NOT(ISNUMBER(O3078)),N(O3078)&lt;=0),"Bad amount",IF(NOT(ISNUMBER(N3078)),"Bad date",IF(P3078="","NAME NOT ON ROSTER","OK"))))</f>
        <v/>
      </c>
      <c r="I3078">
        <f>IF('Cash_Check'!A78="","",'Cash_Check'!A78)</f>
        <v/>
      </c>
      <c r="J3078">
        <f>IF('Cash_Check'!D78="","",'Cash_Check'!D78)</f>
        <v/>
      </c>
      <c r="K3078">
        <f>TRIM('Cash_Check'!B78)</f>
        <v/>
      </c>
      <c r="M3078">
        <f>IF(TRIM('Cash_Check'!E78)="","Cash/check",TRIM('Cash_Check'!E78))</f>
        <v/>
      </c>
      <c r="N3078">
        <f>IF(I3078="","",IF(ISNUMBER(I3078),INT(I3078),IFERROR(INT(DATEVALUE(I3078)),IFERROR(INT(VALUE(I3078)),"bad"))))</f>
        <v/>
      </c>
      <c r="O3078">
        <f>IF(J3078="","",IF(ISNUMBER(J3078),ROUND(J3078,2),IFERROR(ROUND(VALUE(SUBSTITUTE(SUBSTITUTE(SUBSTITUTE(J3078,"$",""),",","")," ","")),2),"bad")))</f>
        <v/>
      </c>
      <c r="P3078">
        <f>IF(K3078="","",IFERROR(MATCH(IF(ISNUMBER(FIND("#",K3078)),TRIM(MID(K3078,FIND("#",K3078)+1,20)),UPPER(K3078)),'Students'!$AD$2:$AD$701,0),""))</f>
        <v/>
      </c>
      <c r="R3078">
        <f>IF(P3078="","",INDEX('Students'!$AD$2:$AD$701,P3078))</f>
        <v/>
      </c>
      <c r="S3078">
        <f>IF(H3078="OK",O3078,0)</f>
        <v/>
      </c>
      <c r="T3078">
        <f>IF(H3078="OK",N3078,"")</f>
        <v/>
      </c>
      <c r="U3078">
        <f>TRIM('Cash_Check'!C78)</f>
        <v/>
      </c>
    </row>
    <row r="3079">
      <c r="A3079" s="62">
        <f>IF(H3079="","",IF(ISNUMBER(N3079),N3079,I3079))</f>
        <v/>
      </c>
      <c r="B3079">
        <f>IF(H3079="","",U3079)</f>
        <v/>
      </c>
      <c r="C3079">
        <f>IF(H3079="","",IF(P3079="",K3079,INDEX('Students'!$A$2:$A$701,P3079)))</f>
        <v/>
      </c>
      <c r="D3079">
        <f>IF(OR(H3079="",P3079=""),"",INDEX('Students'!$B$2:$B$701,P3079))</f>
        <v/>
      </c>
      <c r="E3079">
        <f>IF(OR(H3079="",P3079=""),"",INDEX('Students'!$C$2:$C$701,P3079))</f>
        <v/>
      </c>
      <c r="F3079" s="48">
        <f>IF(H3079="","",IF(ISNUMBER(O3079),O3079,J3079))</f>
        <v/>
      </c>
      <c r="G3079">
        <f>IF(H3079="","",M3079)</f>
        <v/>
      </c>
      <c r="H3079">
        <f>IF(AND(I3079="",J3079="",K3079=""),"",IF(OR(NOT(ISNUMBER(O3079)),N(O3079)&lt;=0),"Bad amount",IF(NOT(ISNUMBER(N3079)),"Bad date",IF(P3079="","NAME NOT ON ROSTER","OK"))))</f>
        <v/>
      </c>
      <c r="I3079">
        <f>IF('Cash_Check'!A79="","",'Cash_Check'!A79)</f>
        <v/>
      </c>
      <c r="J3079">
        <f>IF('Cash_Check'!D79="","",'Cash_Check'!D79)</f>
        <v/>
      </c>
      <c r="K3079">
        <f>TRIM('Cash_Check'!B79)</f>
        <v/>
      </c>
      <c r="M3079">
        <f>IF(TRIM('Cash_Check'!E79)="","Cash/check",TRIM('Cash_Check'!E79))</f>
        <v/>
      </c>
      <c r="N3079">
        <f>IF(I3079="","",IF(ISNUMBER(I3079),INT(I3079),IFERROR(INT(DATEVALUE(I3079)),IFERROR(INT(VALUE(I3079)),"bad"))))</f>
        <v/>
      </c>
      <c r="O3079">
        <f>IF(J3079="","",IF(ISNUMBER(J3079),ROUND(J3079,2),IFERROR(ROUND(VALUE(SUBSTITUTE(SUBSTITUTE(SUBSTITUTE(J3079,"$",""),",","")," ","")),2),"bad")))</f>
        <v/>
      </c>
      <c r="P3079">
        <f>IF(K3079="","",IFERROR(MATCH(IF(ISNUMBER(FIND("#",K3079)),TRIM(MID(K3079,FIND("#",K3079)+1,20)),UPPER(K3079)),'Students'!$AD$2:$AD$701,0),""))</f>
        <v/>
      </c>
      <c r="R3079">
        <f>IF(P3079="","",INDEX('Students'!$AD$2:$AD$701,P3079))</f>
        <v/>
      </c>
      <c r="S3079">
        <f>IF(H3079="OK",O3079,0)</f>
        <v/>
      </c>
      <c r="T3079">
        <f>IF(H3079="OK",N3079,"")</f>
        <v/>
      </c>
      <c r="U3079">
        <f>TRIM('Cash_Check'!C79)</f>
        <v/>
      </c>
    </row>
    <row r="3080">
      <c r="A3080" s="62">
        <f>IF(H3080="","",IF(ISNUMBER(N3080),N3080,I3080))</f>
        <v/>
      </c>
      <c r="B3080">
        <f>IF(H3080="","",U3080)</f>
        <v/>
      </c>
      <c r="C3080">
        <f>IF(H3080="","",IF(P3080="",K3080,INDEX('Students'!$A$2:$A$701,P3080)))</f>
        <v/>
      </c>
      <c r="D3080">
        <f>IF(OR(H3080="",P3080=""),"",INDEX('Students'!$B$2:$B$701,P3080))</f>
        <v/>
      </c>
      <c r="E3080">
        <f>IF(OR(H3080="",P3080=""),"",INDEX('Students'!$C$2:$C$701,P3080))</f>
        <v/>
      </c>
      <c r="F3080" s="48">
        <f>IF(H3080="","",IF(ISNUMBER(O3080),O3080,J3080))</f>
        <v/>
      </c>
      <c r="G3080">
        <f>IF(H3080="","",M3080)</f>
        <v/>
      </c>
      <c r="H3080">
        <f>IF(AND(I3080="",J3080="",K3080=""),"",IF(OR(NOT(ISNUMBER(O3080)),N(O3080)&lt;=0),"Bad amount",IF(NOT(ISNUMBER(N3080)),"Bad date",IF(P3080="","NAME NOT ON ROSTER","OK"))))</f>
        <v/>
      </c>
      <c r="I3080">
        <f>IF('Cash_Check'!A80="","",'Cash_Check'!A80)</f>
        <v/>
      </c>
      <c r="J3080">
        <f>IF('Cash_Check'!D80="","",'Cash_Check'!D80)</f>
        <v/>
      </c>
      <c r="K3080">
        <f>TRIM('Cash_Check'!B80)</f>
        <v/>
      </c>
      <c r="M3080">
        <f>IF(TRIM('Cash_Check'!E80)="","Cash/check",TRIM('Cash_Check'!E80))</f>
        <v/>
      </c>
      <c r="N3080">
        <f>IF(I3080="","",IF(ISNUMBER(I3080),INT(I3080),IFERROR(INT(DATEVALUE(I3080)),IFERROR(INT(VALUE(I3080)),"bad"))))</f>
        <v/>
      </c>
      <c r="O3080">
        <f>IF(J3080="","",IF(ISNUMBER(J3080),ROUND(J3080,2),IFERROR(ROUND(VALUE(SUBSTITUTE(SUBSTITUTE(SUBSTITUTE(J3080,"$",""),",","")," ","")),2),"bad")))</f>
        <v/>
      </c>
      <c r="P3080">
        <f>IF(K3080="","",IFERROR(MATCH(IF(ISNUMBER(FIND("#",K3080)),TRIM(MID(K3080,FIND("#",K3080)+1,20)),UPPER(K3080)),'Students'!$AD$2:$AD$701,0),""))</f>
        <v/>
      </c>
      <c r="R3080">
        <f>IF(P3080="","",INDEX('Students'!$AD$2:$AD$701,P3080))</f>
        <v/>
      </c>
      <c r="S3080">
        <f>IF(H3080="OK",O3080,0)</f>
        <v/>
      </c>
      <c r="T3080">
        <f>IF(H3080="OK",N3080,"")</f>
        <v/>
      </c>
      <c r="U3080">
        <f>TRIM('Cash_Check'!C80)</f>
        <v/>
      </c>
    </row>
    <row r="3081">
      <c r="A3081" s="62">
        <f>IF(H3081="","",IF(ISNUMBER(N3081),N3081,I3081))</f>
        <v/>
      </c>
      <c r="B3081">
        <f>IF(H3081="","",U3081)</f>
        <v/>
      </c>
      <c r="C3081">
        <f>IF(H3081="","",IF(P3081="",K3081,INDEX('Students'!$A$2:$A$701,P3081)))</f>
        <v/>
      </c>
      <c r="D3081">
        <f>IF(OR(H3081="",P3081=""),"",INDEX('Students'!$B$2:$B$701,P3081))</f>
        <v/>
      </c>
      <c r="E3081">
        <f>IF(OR(H3081="",P3081=""),"",INDEX('Students'!$C$2:$C$701,P3081))</f>
        <v/>
      </c>
      <c r="F3081" s="48">
        <f>IF(H3081="","",IF(ISNUMBER(O3081),O3081,J3081))</f>
        <v/>
      </c>
      <c r="G3081">
        <f>IF(H3081="","",M3081)</f>
        <v/>
      </c>
      <c r="H3081">
        <f>IF(AND(I3081="",J3081="",K3081=""),"",IF(OR(NOT(ISNUMBER(O3081)),N(O3081)&lt;=0),"Bad amount",IF(NOT(ISNUMBER(N3081)),"Bad date",IF(P3081="","NAME NOT ON ROSTER","OK"))))</f>
        <v/>
      </c>
      <c r="I3081">
        <f>IF('Cash_Check'!A81="","",'Cash_Check'!A81)</f>
        <v/>
      </c>
      <c r="J3081">
        <f>IF('Cash_Check'!D81="","",'Cash_Check'!D81)</f>
        <v/>
      </c>
      <c r="K3081">
        <f>TRIM('Cash_Check'!B81)</f>
        <v/>
      </c>
      <c r="M3081">
        <f>IF(TRIM('Cash_Check'!E81)="","Cash/check",TRIM('Cash_Check'!E81))</f>
        <v/>
      </c>
      <c r="N3081">
        <f>IF(I3081="","",IF(ISNUMBER(I3081),INT(I3081),IFERROR(INT(DATEVALUE(I3081)),IFERROR(INT(VALUE(I3081)),"bad"))))</f>
        <v/>
      </c>
      <c r="O3081">
        <f>IF(J3081="","",IF(ISNUMBER(J3081),ROUND(J3081,2),IFERROR(ROUND(VALUE(SUBSTITUTE(SUBSTITUTE(SUBSTITUTE(J3081,"$",""),",","")," ","")),2),"bad")))</f>
        <v/>
      </c>
      <c r="P3081">
        <f>IF(K3081="","",IFERROR(MATCH(IF(ISNUMBER(FIND("#",K3081)),TRIM(MID(K3081,FIND("#",K3081)+1,20)),UPPER(K3081)),'Students'!$AD$2:$AD$701,0),""))</f>
        <v/>
      </c>
      <c r="R3081">
        <f>IF(P3081="","",INDEX('Students'!$AD$2:$AD$701,P3081))</f>
        <v/>
      </c>
      <c r="S3081">
        <f>IF(H3081="OK",O3081,0)</f>
        <v/>
      </c>
      <c r="T3081">
        <f>IF(H3081="OK",N3081,"")</f>
        <v/>
      </c>
      <c r="U3081">
        <f>TRIM('Cash_Check'!C81)</f>
        <v/>
      </c>
    </row>
    <row r="3082">
      <c r="A3082" s="62">
        <f>IF(H3082="","",IF(ISNUMBER(N3082),N3082,I3082))</f>
        <v/>
      </c>
      <c r="B3082">
        <f>IF(H3082="","",U3082)</f>
        <v/>
      </c>
      <c r="C3082">
        <f>IF(H3082="","",IF(P3082="",K3082,INDEX('Students'!$A$2:$A$701,P3082)))</f>
        <v/>
      </c>
      <c r="D3082">
        <f>IF(OR(H3082="",P3082=""),"",INDEX('Students'!$B$2:$B$701,P3082))</f>
        <v/>
      </c>
      <c r="E3082">
        <f>IF(OR(H3082="",P3082=""),"",INDEX('Students'!$C$2:$C$701,P3082))</f>
        <v/>
      </c>
      <c r="F3082" s="48">
        <f>IF(H3082="","",IF(ISNUMBER(O3082),O3082,J3082))</f>
        <v/>
      </c>
      <c r="G3082">
        <f>IF(H3082="","",M3082)</f>
        <v/>
      </c>
      <c r="H3082">
        <f>IF(AND(I3082="",J3082="",K3082=""),"",IF(OR(NOT(ISNUMBER(O3082)),N(O3082)&lt;=0),"Bad amount",IF(NOT(ISNUMBER(N3082)),"Bad date",IF(P3082="","NAME NOT ON ROSTER","OK"))))</f>
        <v/>
      </c>
      <c r="I3082">
        <f>IF('Cash_Check'!A82="","",'Cash_Check'!A82)</f>
        <v/>
      </c>
      <c r="J3082">
        <f>IF('Cash_Check'!D82="","",'Cash_Check'!D82)</f>
        <v/>
      </c>
      <c r="K3082">
        <f>TRIM('Cash_Check'!B82)</f>
        <v/>
      </c>
      <c r="M3082">
        <f>IF(TRIM('Cash_Check'!E82)="","Cash/check",TRIM('Cash_Check'!E82))</f>
        <v/>
      </c>
      <c r="N3082">
        <f>IF(I3082="","",IF(ISNUMBER(I3082),INT(I3082),IFERROR(INT(DATEVALUE(I3082)),IFERROR(INT(VALUE(I3082)),"bad"))))</f>
        <v/>
      </c>
      <c r="O3082">
        <f>IF(J3082="","",IF(ISNUMBER(J3082),ROUND(J3082,2),IFERROR(ROUND(VALUE(SUBSTITUTE(SUBSTITUTE(SUBSTITUTE(J3082,"$",""),",","")," ","")),2),"bad")))</f>
        <v/>
      </c>
      <c r="P3082">
        <f>IF(K3082="","",IFERROR(MATCH(IF(ISNUMBER(FIND("#",K3082)),TRIM(MID(K3082,FIND("#",K3082)+1,20)),UPPER(K3082)),'Students'!$AD$2:$AD$701,0),""))</f>
        <v/>
      </c>
      <c r="R3082">
        <f>IF(P3082="","",INDEX('Students'!$AD$2:$AD$701,P3082))</f>
        <v/>
      </c>
      <c r="S3082">
        <f>IF(H3082="OK",O3082,0)</f>
        <v/>
      </c>
      <c r="T3082">
        <f>IF(H3082="OK",N3082,"")</f>
        <v/>
      </c>
      <c r="U3082">
        <f>TRIM('Cash_Check'!C82)</f>
        <v/>
      </c>
    </row>
    <row r="3083">
      <c r="A3083" s="62">
        <f>IF(H3083="","",IF(ISNUMBER(N3083),N3083,I3083))</f>
        <v/>
      </c>
      <c r="B3083">
        <f>IF(H3083="","",U3083)</f>
        <v/>
      </c>
      <c r="C3083">
        <f>IF(H3083="","",IF(P3083="",K3083,INDEX('Students'!$A$2:$A$701,P3083)))</f>
        <v/>
      </c>
      <c r="D3083">
        <f>IF(OR(H3083="",P3083=""),"",INDEX('Students'!$B$2:$B$701,P3083))</f>
        <v/>
      </c>
      <c r="E3083">
        <f>IF(OR(H3083="",P3083=""),"",INDEX('Students'!$C$2:$C$701,P3083))</f>
        <v/>
      </c>
      <c r="F3083" s="48">
        <f>IF(H3083="","",IF(ISNUMBER(O3083),O3083,J3083))</f>
        <v/>
      </c>
      <c r="G3083">
        <f>IF(H3083="","",M3083)</f>
        <v/>
      </c>
      <c r="H3083">
        <f>IF(AND(I3083="",J3083="",K3083=""),"",IF(OR(NOT(ISNUMBER(O3083)),N(O3083)&lt;=0),"Bad amount",IF(NOT(ISNUMBER(N3083)),"Bad date",IF(P3083="","NAME NOT ON ROSTER","OK"))))</f>
        <v/>
      </c>
      <c r="I3083">
        <f>IF('Cash_Check'!A83="","",'Cash_Check'!A83)</f>
        <v/>
      </c>
      <c r="J3083">
        <f>IF('Cash_Check'!D83="","",'Cash_Check'!D83)</f>
        <v/>
      </c>
      <c r="K3083">
        <f>TRIM('Cash_Check'!B83)</f>
        <v/>
      </c>
      <c r="M3083">
        <f>IF(TRIM('Cash_Check'!E83)="","Cash/check",TRIM('Cash_Check'!E83))</f>
        <v/>
      </c>
      <c r="N3083">
        <f>IF(I3083="","",IF(ISNUMBER(I3083),INT(I3083),IFERROR(INT(DATEVALUE(I3083)),IFERROR(INT(VALUE(I3083)),"bad"))))</f>
        <v/>
      </c>
      <c r="O3083">
        <f>IF(J3083="","",IF(ISNUMBER(J3083),ROUND(J3083,2),IFERROR(ROUND(VALUE(SUBSTITUTE(SUBSTITUTE(SUBSTITUTE(J3083,"$",""),",","")," ","")),2),"bad")))</f>
        <v/>
      </c>
      <c r="P3083">
        <f>IF(K3083="","",IFERROR(MATCH(IF(ISNUMBER(FIND("#",K3083)),TRIM(MID(K3083,FIND("#",K3083)+1,20)),UPPER(K3083)),'Students'!$AD$2:$AD$701,0),""))</f>
        <v/>
      </c>
      <c r="R3083">
        <f>IF(P3083="","",INDEX('Students'!$AD$2:$AD$701,P3083))</f>
        <v/>
      </c>
      <c r="S3083">
        <f>IF(H3083="OK",O3083,0)</f>
        <v/>
      </c>
      <c r="T3083">
        <f>IF(H3083="OK",N3083,"")</f>
        <v/>
      </c>
      <c r="U3083">
        <f>TRIM('Cash_Check'!C83)</f>
        <v/>
      </c>
    </row>
    <row r="3084">
      <c r="A3084" s="62">
        <f>IF(H3084="","",IF(ISNUMBER(N3084),N3084,I3084))</f>
        <v/>
      </c>
      <c r="B3084">
        <f>IF(H3084="","",U3084)</f>
        <v/>
      </c>
      <c r="C3084">
        <f>IF(H3084="","",IF(P3084="",K3084,INDEX('Students'!$A$2:$A$701,P3084)))</f>
        <v/>
      </c>
      <c r="D3084">
        <f>IF(OR(H3084="",P3084=""),"",INDEX('Students'!$B$2:$B$701,P3084))</f>
        <v/>
      </c>
      <c r="E3084">
        <f>IF(OR(H3084="",P3084=""),"",INDEX('Students'!$C$2:$C$701,P3084))</f>
        <v/>
      </c>
      <c r="F3084" s="48">
        <f>IF(H3084="","",IF(ISNUMBER(O3084),O3084,J3084))</f>
        <v/>
      </c>
      <c r="G3084">
        <f>IF(H3084="","",M3084)</f>
        <v/>
      </c>
      <c r="H3084">
        <f>IF(AND(I3084="",J3084="",K3084=""),"",IF(OR(NOT(ISNUMBER(O3084)),N(O3084)&lt;=0),"Bad amount",IF(NOT(ISNUMBER(N3084)),"Bad date",IF(P3084="","NAME NOT ON ROSTER","OK"))))</f>
        <v/>
      </c>
      <c r="I3084">
        <f>IF('Cash_Check'!A84="","",'Cash_Check'!A84)</f>
        <v/>
      </c>
      <c r="J3084">
        <f>IF('Cash_Check'!D84="","",'Cash_Check'!D84)</f>
        <v/>
      </c>
      <c r="K3084">
        <f>TRIM('Cash_Check'!B84)</f>
        <v/>
      </c>
      <c r="M3084">
        <f>IF(TRIM('Cash_Check'!E84)="","Cash/check",TRIM('Cash_Check'!E84))</f>
        <v/>
      </c>
      <c r="N3084">
        <f>IF(I3084="","",IF(ISNUMBER(I3084),INT(I3084),IFERROR(INT(DATEVALUE(I3084)),IFERROR(INT(VALUE(I3084)),"bad"))))</f>
        <v/>
      </c>
      <c r="O3084">
        <f>IF(J3084="","",IF(ISNUMBER(J3084),ROUND(J3084,2),IFERROR(ROUND(VALUE(SUBSTITUTE(SUBSTITUTE(SUBSTITUTE(J3084,"$",""),",","")," ","")),2),"bad")))</f>
        <v/>
      </c>
      <c r="P3084">
        <f>IF(K3084="","",IFERROR(MATCH(IF(ISNUMBER(FIND("#",K3084)),TRIM(MID(K3084,FIND("#",K3084)+1,20)),UPPER(K3084)),'Students'!$AD$2:$AD$701,0),""))</f>
        <v/>
      </c>
      <c r="R3084">
        <f>IF(P3084="","",INDEX('Students'!$AD$2:$AD$701,P3084))</f>
        <v/>
      </c>
      <c r="S3084">
        <f>IF(H3084="OK",O3084,0)</f>
        <v/>
      </c>
      <c r="T3084">
        <f>IF(H3084="OK",N3084,"")</f>
        <v/>
      </c>
      <c r="U3084">
        <f>TRIM('Cash_Check'!C84)</f>
        <v/>
      </c>
    </row>
    <row r="3085">
      <c r="A3085" s="62">
        <f>IF(H3085="","",IF(ISNUMBER(N3085),N3085,I3085))</f>
        <v/>
      </c>
      <c r="B3085">
        <f>IF(H3085="","",U3085)</f>
        <v/>
      </c>
      <c r="C3085">
        <f>IF(H3085="","",IF(P3085="",K3085,INDEX('Students'!$A$2:$A$701,P3085)))</f>
        <v/>
      </c>
      <c r="D3085">
        <f>IF(OR(H3085="",P3085=""),"",INDEX('Students'!$B$2:$B$701,P3085))</f>
        <v/>
      </c>
      <c r="E3085">
        <f>IF(OR(H3085="",P3085=""),"",INDEX('Students'!$C$2:$C$701,P3085))</f>
        <v/>
      </c>
      <c r="F3085" s="48">
        <f>IF(H3085="","",IF(ISNUMBER(O3085),O3085,J3085))</f>
        <v/>
      </c>
      <c r="G3085">
        <f>IF(H3085="","",M3085)</f>
        <v/>
      </c>
      <c r="H3085">
        <f>IF(AND(I3085="",J3085="",K3085=""),"",IF(OR(NOT(ISNUMBER(O3085)),N(O3085)&lt;=0),"Bad amount",IF(NOT(ISNUMBER(N3085)),"Bad date",IF(P3085="","NAME NOT ON ROSTER","OK"))))</f>
        <v/>
      </c>
      <c r="I3085">
        <f>IF('Cash_Check'!A85="","",'Cash_Check'!A85)</f>
        <v/>
      </c>
      <c r="J3085">
        <f>IF('Cash_Check'!D85="","",'Cash_Check'!D85)</f>
        <v/>
      </c>
      <c r="K3085">
        <f>TRIM('Cash_Check'!B85)</f>
        <v/>
      </c>
      <c r="M3085">
        <f>IF(TRIM('Cash_Check'!E85)="","Cash/check",TRIM('Cash_Check'!E85))</f>
        <v/>
      </c>
      <c r="N3085">
        <f>IF(I3085="","",IF(ISNUMBER(I3085),INT(I3085),IFERROR(INT(DATEVALUE(I3085)),IFERROR(INT(VALUE(I3085)),"bad"))))</f>
        <v/>
      </c>
      <c r="O3085">
        <f>IF(J3085="","",IF(ISNUMBER(J3085),ROUND(J3085,2),IFERROR(ROUND(VALUE(SUBSTITUTE(SUBSTITUTE(SUBSTITUTE(J3085,"$",""),",","")," ","")),2),"bad")))</f>
        <v/>
      </c>
      <c r="P3085">
        <f>IF(K3085="","",IFERROR(MATCH(IF(ISNUMBER(FIND("#",K3085)),TRIM(MID(K3085,FIND("#",K3085)+1,20)),UPPER(K3085)),'Students'!$AD$2:$AD$701,0),""))</f>
        <v/>
      </c>
      <c r="R3085">
        <f>IF(P3085="","",INDEX('Students'!$AD$2:$AD$701,P3085))</f>
        <v/>
      </c>
      <c r="S3085">
        <f>IF(H3085="OK",O3085,0)</f>
        <v/>
      </c>
      <c r="T3085">
        <f>IF(H3085="OK",N3085,"")</f>
        <v/>
      </c>
      <c r="U3085">
        <f>TRIM('Cash_Check'!C85)</f>
        <v/>
      </c>
    </row>
    <row r="3086">
      <c r="A3086" s="62">
        <f>IF(H3086="","",IF(ISNUMBER(N3086),N3086,I3086))</f>
        <v/>
      </c>
      <c r="B3086">
        <f>IF(H3086="","",U3086)</f>
        <v/>
      </c>
      <c r="C3086">
        <f>IF(H3086="","",IF(P3086="",K3086,INDEX('Students'!$A$2:$A$701,P3086)))</f>
        <v/>
      </c>
      <c r="D3086">
        <f>IF(OR(H3086="",P3086=""),"",INDEX('Students'!$B$2:$B$701,P3086))</f>
        <v/>
      </c>
      <c r="E3086">
        <f>IF(OR(H3086="",P3086=""),"",INDEX('Students'!$C$2:$C$701,P3086))</f>
        <v/>
      </c>
      <c r="F3086" s="48">
        <f>IF(H3086="","",IF(ISNUMBER(O3086),O3086,J3086))</f>
        <v/>
      </c>
      <c r="G3086">
        <f>IF(H3086="","",M3086)</f>
        <v/>
      </c>
      <c r="H3086">
        <f>IF(AND(I3086="",J3086="",K3086=""),"",IF(OR(NOT(ISNUMBER(O3086)),N(O3086)&lt;=0),"Bad amount",IF(NOT(ISNUMBER(N3086)),"Bad date",IF(P3086="","NAME NOT ON ROSTER","OK"))))</f>
        <v/>
      </c>
      <c r="I3086">
        <f>IF('Cash_Check'!A86="","",'Cash_Check'!A86)</f>
        <v/>
      </c>
      <c r="J3086">
        <f>IF('Cash_Check'!D86="","",'Cash_Check'!D86)</f>
        <v/>
      </c>
      <c r="K3086">
        <f>TRIM('Cash_Check'!B86)</f>
        <v/>
      </c>
      <c r="M3086">
        <f>IF(TRIM('Cash_Check'!E86)="","Cash/check",TRIM('Cash_Check'!E86))</f>
        <v/>
      </c>
      <c r="N3086">
        <f>IF(I3086="","",IF(ISNUMBER(I3086),INT(I3086),IFERROR(INT(DATEVALUE(I3086)),IFERROR(INT(VALUE(I3086)),"bad"))))</f>
        <v/>
      </c>
      <c r="O3086">
        <f>IF(J3086="","",IF(ISNUMBER(J3086),ROUND(J3086,2),IFERROR(ROUND(VALUE(SUBSTITUTE(SUBSTITUTE(SUBSTITUTE(J3086,"$",""),",","")," ","")),2),"bad")))</f>
        <v/>
      </c>
      <c r="P3086">
        <f>IF(K3086="","",IFERROR(MATCH(IF(ISNUMBER(FIND("#",K3086)),TRIM(MID(K3086,FIND("#",K3086)+1,20)),UPPER(K3086)),'Students'!$AD$2:$AD$701,0),""))</f>
        <v/>
      </c>
      <c r="R3086">
        <f>IF(P3086="","",INDEX('Students'!$AD$2:$AD$701,P3086))</f>
        <v/>
      </c>
      <c r="S3086">
        <f>IF(H3086="OK",O3086,0)</f>
        <v/>
      </c>
      <c r="T3086">
        <f>IF(H3086="OK",N3086,"")</f>
        <v/>
      </c>
      <c r="U3086">
        <f>TRIM('Cash_Check'!C86)</f>
        <v/>
      </c>
    </row>
    <row r="3087">
      <c r="A3087" s="62">
        <f>IF(H3087="","",IF(ISNUMBER(N3087),N3087,I3087))</f>
        <v/>
      </c>
      <c r="B3087">
        <f>IF(H3087="","",U3087)</f>
        <v/>
      </c>
      <c r="C3087">
        <f>IF(H3087="","",IF(P3087="",K3087,INDEX('Students'!$A$2:$A$701,P3087)))</f>
        <v/>
      </c>
      <c r="D3087">
        <f>IF(OR(H3087="",P3087=""),"",INDEX('Students'!$B$2:$B$701,P3087))</f>
        <v/>
      </c>
      <c r="E3087">
        <f>IF(OR(H3087="",P3087=""),"",INDEX('Students'!$C$2:$C$701,P3087))</f>
        <v/>
      </c>
      <c r="F3087" s="48">
        <f>IF(H3087="","",IF(ISNUMBER(O3087),O3087,J3087))</f>
        <v/>
      </c>
      <c r="G3087">
        <f>IF(H3087="","",M3087)</f>
        <v/>
      </c>
      <c r="H3087">
        <f>IF(AND(I3087="",J3087="",K3087=""),"",IF(OR(NOT(ISNUMBER(O3087)),N(O3087)&lt;=0),"Bad amount",IF(NOT(ISNUMBER(N3087)),"Bad date",IF(P3087="","NAME NOT ON ROSTER","OK"))))</f>
        <v/>
      </c>
      <c r="I3087">
        <f>IF('Cash_Check'!A87="","",'Cash_Check'!A87)</f>
        <v/>
      </c>
      <c r="J3087">
        <f>IF('Cash_Check'!D87="","",'Cash_Check'!D87)</f>
        <v/>
      </c>
      <c r="K3087">
        <f>TRIM('Cash_Check'!B87)</f>
        <v/>
      </c>
      <c r="M3087">
        <f>IF(TRIM('Cash_Check'!E87)="","Cash/check",TRIM('Cash_Check'!E87))</f>
        <v/>
      </c>
      <c r="N3087">
        <f>IF(I3087="","",IF(ISNUMBER(I3087),INT(I3087),IFERROR(INT(DATEVALUE(I3087)),IFERROR(INT(VALUE(I3087)),"bad"))))</f>
        <v/>
      </c>
      <c r="O3087">
        <f>IF(J3087="","",IF(ISNUMBER(J3087),ROUND(J3087,2),IFERROR(ROUND(VALUE(SUBSTITUTE(SUBSTITUTE(SUBSTITUTE(J3087,"$",""),",","")," ","")),2),"bad")))</f>
        <v/>
      </c>
      <c r="P3087">
        <f>IF(K3087="","",IFERROR(MATCH(IF(ISNUMBER(FIND("#",K3087)),TRIM(MID(K3087,FIND("#",K3087)+1,20)),UPPER(K3087)),'Students'!$AD$2:$AD$701,0),""))</f>
        <v/>
      </c>
      <c r="R3087">
        <f>IF(P3087="","",INDEX('Students'!$AD$2:$AD$701,P3087))</f>
        <v/>
      </c>
      <c r="S3087">
        <f>IF(H3087="OK",O3087,0)</f>
        <v/>
      </c>
      <c r="T3087">
        <f>IF(H3087="OK",N3087,"")</f>
        <v/>
      </c>
      <c r="U3087">
        <f>TRIM('Cash_Check'!C87)</f>
        <v/>
      </c>
    </row>
    <row r="3088">
      <c r="A3088" s="62">
        <f>IF(H3088="","",IF(ISNUMBER(N3088),N3088,I3088))</f>
        <v/>
      </c>
      <c r="B3088">
        <f>IF(H3088="","",U3088)</f>
        <v/>
      </c>
      <c r="C3088">
        <f>IF(H3088="","",IF(P3088="",K3088,INDEX('Students'!$A$2:$A$701,P3088)))</f>
        <v/>
      </c>
      <c r="D3088">
        <f>IF(OR(H3088="",P3088=""),"",INDEX('Students'!$B$2:$B$701,P3088))</f>
        <v/>
      </c>
      <c r="E3088">
        <f>IF(OR(H3088="",P3088=""),"",INDEX('Students'!$C$2:$C$701,P3088))</f>
        <v/>
      </c>
      <c r="F3088" s="48">
        <f>IF(H3088="","",IF(ISNUMBER(O3088),O3088,J3088))</f>
        <v/>
      </c>
      <c r="G3088">
        <f>IF(H3088="","",M3088)</f>
        <v/>
      </c>
      <c r="H3088">
        <f>IF(AND(I3088="",J3088="",K3088=""),"",IF(OR(NOT(ISNUMBER(O3088)),N(O3088)&lt;=0),"Bad amount",IF(NOT(ISNUMBER(N3088)),"Bad date",IF(P3088="","NAME NOT ON ROSTER","OK"))))</f>
        <v/>
      </c>
      <c r="I3088">
        <f>IF('Cash_Check'!A88="","",'Cash_Check'!A88)</f>
        <v/>
      </c>
      <c r="J3088">
        <f>IF('Cash_Check'!D88="","",'Cash_Check'!D88)</f>
        <v/>
      </c>
      <c r="K3088">
        <f>TRIM('Cash_Check'!B88)</f>
        <v/>
      </c>
      <c r="M3088">
        <f>IF(TRIM('Cash_Check'!E88)="","Cash/check",TRIM('Cash_Check'!E88))</f>
        <v/>
      </c>
      <c r="N3088">
        <f>IF(I3088="","",IF(ISNUMBER(I3088),INT(I3088),IFERROR(INT(DATEVALUE(I3088)),IFERROR(INT(VALUE(I3088)),"bad"))))</f>
        <v/>
      </c>
      <c r="O3088">
        <f>IF(J3088="","",IF(ISNUMBER(J3088),ROUND(J3088,2),IFERROR(ROUND(VALUE(SUBSTITUTE(SUBSTITUTE(SUBSTITUTE(J3088,"$",""),",","")," ","")),2),"bad")))</f>
        <v/>
      </c>
      <c r="P3088">
        <f>IF(K3088="","",IFERROR(MATCH(IF(ISNUMBER(FIND("#",K3088)),TRIM(MID(K3088,FIND("#",K3088)+1,20)),UPPER(K3088)),'Students'!$AD$2:$AD$701,0),""))</f>
        <v/>
      </c>
      <c r="R3088">
        <f>IF(P3088="","",INDEX('Students'!$AD$2:$AD$701,P3088))</f>
        <v/>
      </c>
      <c r="S3088">
        <f>IF(H3088="OK",O3088,0)</f>
        <v/>
      </c>
      <c r="T3088">
        <f>IF(H3088="OK",N3088,"")</f>
        <v/>
      </c>
      <c r="U3088">
        <f>TRIM('Cash_Check'!C88)</f>
        <v/>
      </c>
    </row>
    <row r="3089">
      <c r="A3089" s="62">
        <f>IF(H3089="","",IF(ISNUMBER(N3089),N3089,I3089))</f>
        <v/>
      </c>
      <c r="B3089">
        <f>IF(H3089="","",U3089)</f>
        <v/>
      </c>
      <c r="C3089">
        <f>IF(H3089="","",IF(P3089="",K3089,INDEX('Students'!$A$2:$A$701,P3089)))</f>
        <v/>
      </c>
      <c r="D3089">
        <f>IF(OR(H3089="",P3089=""),"",INDEX('Students'!$B$2:$B$701,P3089))</f>
        <v/>
      </c>
      <c r="E3089">
        <f>IF(OR(H3089="",P3089=""),"",INDEX('Students'!$C$2:$C$701,P3089))</f>
        <v/>
      </c>
      <c r="F3089" s="48">
        <f>IF(H3089="","",IF(ISNUMBER(O3089),O3089,J3089))</f>
        <v/>
      </c>
      <c r="G3089">
        <f>IF(H3089="","",M3089)</f>
        <v/>
      </c>
      <c r="H3089">
        <f>IF(AND(I3089="",J3089="",K3089=""),"",IF(OR(NOT(ISNUMBER(O3089)),N(O3089)&lt;=0),"Bad amount",IF(NOT(ISNUMBER(N3089)),"Bad date",IF(P3089="","NAME NOT ON ROSTER","OK"))))</f>
        <v/>
      </c>
      <c r="I3089">
        <f>IF('Cash_Check'!A89="","",'Cash_Check'!A89)</f>
        <v/>
      </c>
      <c r="J3089">
        <f>IF('Cash_Check'!D89="","",'Cash_Check'!D89)</f>
        <v/>
      </c>
      <c r="K3089">
        <f>TRIM('Cash_Check'!B89)</f>
        <v/>
      </c>
      <c r="M3089">
        <f>IF(TRIM('Cash_Check'!E89)="","Cash/check",TRIM('Cash_Check'!E89))</f>
        <v/>
      </c>
      <c r="N3089">
        <f>IF(I3089="","",IF(ISNUMBER(I3089),INT(I3089),IFERROR(INT(DATEVALUE(I3089)),IFERROR(INT(VALUE(I3089)),"bad"))))</f>
        <v/>
      </c>
      <c r="O3089">
        <f>IF(J3089="","",IF(ISNUMBER(J3089),ROUND(J3089,2),IFERROR(ROUND(VALUE(SUBSTITUTE(SUBSTITUTE(SUBSTITUTE(J3089,"$",""),",","")," ","")),2),"bad")))</f>
        <v/>
      </c>
      <c r="P3089">
        <f>IF(K3089="","",IFERROR(MATCH(IF(ISNUMBER(FIND("#",K3089)),TRIM(MID(K3089,FIND("#",K3089)+1,20)),UPPER(K3089)),'Students'!$AD$2:$AD$701,0),""))</f>
        <v/>
      </c>
      <c r="R3089">
        <f>IF(P3089="","",INDEX('Students'!$AD$2:$AD$701,P3089))</f>
        <v/>
      </c>
      <c r="S3089">
        <f>IF(H3089="OK",O3089,0)</f>
        <v/>
      </c>
      <c r="T3089">
        <f>IF(H3089="OK",N3089,"")</f>
        <v/>
      </c>
      <c r="U3089">
        <f>TRIM('Cash_Check'!C89)</f>
        <v/>
      </c>
    </row>
    <row r="3090">
      <c r="A3090" s="62">
        <f>IF(H3090="","",IF(ISNUMBER(N3090),N3090,I3090))</f>
        <v/>
      </c>
      <c r="B3090">
        <f>IF(H3090="","",U3090)</f>
        <v/>
      </c>
      <c r="C3090">
        <f>IF(H3090="","",IF(P3090="",K3090,INDEX('Students'!$A$2:$A$701,P3090)))</f>
        <v/>
      </c>
      <c r="D3090">
        <f>IF(OR(H3090="",P3090=""),"",INDEX('Students'!$B$2:$B$701,P3090))</f>
        <v/>
      </c>
      <c r="E3090">
        <f>IF(OR(H3090="",P3090=""),"",INDEX('Students'!$C$2:$C$701,P3090))</f>
        <v/>
      </c>
      <c r="F3090" s="48">
        <f>IF(H3090="","",IF(ISNUMBER(O3090),O3090,J3090))</f>
        <v/>
      </c>
      <c r="G3090">
        <f>IF(H3090="","",M3090)</f>
        <v/>
      </c>
      <c r="H3090">
        <f>IF(AND(I3090="",J3090="",K3090=""),"",IF(OR(NOT(ISNUMBER(O3090)),N(O3090)&lt;=0),"Bad amount",IF(NOT(ISNUMBER(N3090)),"Bad date",IF(P3090="","NAME NOT ON ROSTER","OK"))))</f>
        <v/>
      </c>
      <c r="I3090">
        <f>IF('Cash_Check'!A90="","",'Cash_Check'!A90)</f>
        <v/>
      </c>
      <c r="J3090">
        <f>IF('Cash_Check'!D90="","",'Cash_Check'!D90)</f>
        <v/>
      </c>
      <c r="K3090">
        <f>TRIM('Cash_Check'!B90)</f>
        <v/>
      </c>
      <c r="M3090">
        <f>IF(TRIM('Cash_Check'!E90)="","Cash/check",TRIM('Cash_Check'!E90))</f>
        <v/>
      </c>
      <c r="N3090">
        <f>IF(I3090="","",IF(ISNUMBER(I3090),INT(I3090),IFERROR(INT(DATEVALUE(I3090)),IFERROR(INT(VALUE(I3090)),"bad"))))</f>
        <v/>
      </c>
      <c r="O3090">
        <f>IF(J3090="","",IF(ISNUMBER(J3090),ROUND(J3090,2),IFERROR(ROUND(VALUE(SUBSTITUTE(SUBSTITUTE(SUBSTITUTE(J3090,"$",""),",","")," ","")),2),"bad")))</f>
        <v/>
      </c>
      <c r="P3090">
        <f>IF(K3090="","",IFERROR(MATCH(IF(ISNUMBER(FIND("#",K3090)),TRIM(MID(K3090,FIND("#",K3090)+1,20)),UPPER(K3090)),'Students'!$AD$2:$AD$701,0),""))</f>
        <v/>
      </c>
      <c r="R3090">
        <f>IF(P3090="","",INDEX('Students'!$AD$2:$AD$701,P3090))</f>
        <v/>
      </c>
      <c r="S3090">
        <f>IF(H3090="OK",O3090,0)</f>
        <v/>
      </c>
      <c r="T3090">
        <f>IF(H3090="OK",N3090,"")</f>
        <v/>
      </c>
      <c r="U3090">
        <f>TRIM('Cash_Check'!C90)</f>
        <v/>
      </c>
    </row>
    <row r="3091">
      <c r="A3091" s="62">
        <f>IF(H3091="","",IF(ISNUMBER(N3091),N3091,I3091))</f>
        <v/>
      </c>
      <c r="B3091">
        <f>IF(H3091="","",U3091)</f>
        <v/>
      </c>
      <c r="C3091">
        <f>IF(H3091="","",IF(P3091="",K3091,INDEX('Students'!$A$2:$A$701,P3091)))</f>
        <v/>
      </c>
      <c r="D3091">
        <f>IF(OR(H3091="",P3091=""),"",INDEX('Students'!$B$2:$B$701,P3091))</f>
        <v/>
      </c>
      <c r="E3091">
        <f>IF(OR(H3091="",P3091=""),"",INDEX('Students'!$C$2:$C$701,P3091))</f>
        <v/>
      </c>
      <c r="F3091" s="48">
        <f>IF(H3091="","",IF(ISNUMBER(O3091),O3091,J3091))</f>
        <v/>
      </c>
      <c r="G3091">
        <f>IF(H3091="","",M3091)</f>
        <v/>
      </c>
      <c r="H3091">
        <f>IF(AND(I3091="",J3091="",K3091=""),"",IF(OR(NOT(ISNUMBER(O3091)),N(O3091)&lt;=0),"Bad amount",IF(NOT(ISNUMBER(N3091)),"Bad date",IF(P3091="","NAME NOT ON ROSTER","OK"))))</f>
        <v/>
      </c>
      <c r="I3091">
        <f>IF('Cash_Check'!A91="","",'Cash_Check'!A91)</f>
        <v/>
      </c>
      <c r="J3091">
        <f>IF('Cash_Check'!D91="","",'Cash_Check'!D91)</f>
        <v/>
      </c>
      <c r="K3091">
        <f>TRIM('Cash_Check'!B91)</f>
        <v/>
      </c>
      <c r="M3091">
        <f>IF(TRIM('Cash_Check'!E91)="","Cash/check",TRIM('Cash_Check'!E91))</f>
        <v/>
      </c>
      <c r="N3091">
        <f>IF(I3091="","",IF(ISNUMBER(I3091),INT(I3091),IFERROR(INT(DATEVALUE(I3091)),IFERROR(INT(VALUE(I3091)),"bad"))))</f>
        <v/>
      </c>
      <c r="O3091">
        <f>IF(J3091="","",IF(ISNUMBER(J3091),ROUND(J3091,2),IFERROR(ROUND(VALUE(SUBSTITUTE(SUBSTITUTE(SUBSTITUTE(J3091,"$",""),",","")," ","")),2),"bad")))</f>
        <v/>
      </c>
      <c r="P3091">
        <f>IF(K3091="","",IFERROR(MATCH(IF(ISNUMBER(FIND("#",K3091)),TRIM(MID(K3091,FIND("#",K3091)+1,20)),UPPER(K3091)),'Students'!$AD$2:$AD$701,0),""))</f>
        <v/>
      </c>
      <c r="R3091">
        <f>IF(P3091="","",INDEX('Students'!$AD$2:$AD$701,P3091))</f>
        <v/>
      </c>
      <c r="S3091">
        <f>IF(H3091="OK",O3091,0)</f>
        <v/>
      </c>
      <c r="T3091">
        <f>IF(H3091="OK",N3091,"")</f>
        <v/>
      </c>
      <c r="U3091">
        <f>TRIM('Cash_Check'!C91)</f>
        <v/>
      </c>
    </row>
    <row r="3092">
      <c r="A3092" s="62">
        <f>IF(H3092="","",IF(ISNUMBER(N3092),N3092,I3092))</f>
        <v/>
      </c>
      <c r="B3092">
        <f>IF(H3092="","",U3092)</f>
        <v/>
      </c>
      <c r="C3092">
        <f>IF(H3092="","",IF(P3092="",K3092,INDEX('Students'!$A$2:$A$701,P3092)))</f>
        <v/>
      </c>
      <c r="D3092">
        <f>IF(OR(H3092="",P3092=""),"",INDEX('Students'!$B$2:$B$701,P3092))</f>
        <v/>
      </c>
      <c r="E3092">
        <f>IF(OR(H3092="",P3092=""),"",INDEX('Students'!$C$2:$C$701,P3092))</f>
        <v/>
      </c>
      <c r="F3092" s="48">
        <f>IF(H3092="","",IF(ISNUMBER(O3092),O3092,J3092))</f>
        <v/>
      </c>
      <c r="G3092">
        <f>IF(H3092="","",M3092)</f>
        <v/>
      </c>
      <c r="H3092">
        <f>IF(AND(I3092="",J3092="",K3092=""),"",IF(OR(NOT(ISNUMBER(O3092)),N(O3092)&lt;=0),"Bad amount",IF(NOT(ISNUMBER(N3092)),"Bad date",IF(P3092="","NAME NOT ON ROSTER","OK"))))</f>
        <v/>
      </c>
      <c r="I3092">
        <f>IF('Cash_Check'!A92="","",'Cash_Check'!A92)</f>
        <v/>
      </c>
      <c r="J3092">
        <f>IF('Cash_Check'!D92="","",'Cash_Check'!D92)</f>
        <v/>
      </c>
      <c r="K3092">
        <f>TRIM('Cash_Check'!B92)</f>
        <v/>
      </c>
      <c r="M3092">
        <f>IF(TRIM('Cash_Check'!E92)="","Cash/check",TRIM('Cash_Check'!E92))</f>
        <v/>
      </c>
      <c r="N3092">
        <f>IF(I3092="","",IF(ISNUMBER(I3092),INT(I3092),IFERROR(INT(DATEVALUE(I3092)),IFERROR(INT(VALUE(I3092)),"bad"))))</f>
        <v/>
      </c>
      <c r="O3092">
        <f>IF(J3092="","",IF(ISNUMBER(J3092),ROUND(J3092,2),IFERROR(ROUND(VALUE(SUBSTITUTE(SUBSTITUTE(SUBSTITUTE(J3092,"$",""),",","")," ","")),2),"bad")))</f>
        <v/>
      </c>
      <c r="P3092">
        <f>IF(K3092="","",IFERROR(MATCH(IF(ISNUMBER(FIND("#",K3092)),TRIM(MID(K3092,FIND("#",K3092)+1,20)),UPPER(K3092)),'Students'!$AD$2:$AD$701,0),""))</f>
        <v/>
      </c>
      <c r="R3092">
        <f>IF(P3092="","",INDEX('Students'!$AD$2:$AD$701,P3092))</f>
        <v/>
      </c>
      <c r="S3092">
        <f>IF(H3092="OK",O3092,0)</f>
        <v/>
      </c>
      <c r="T3092">
        <f>IF(H3092="OK",N3092,"")</f>
        <v/>
      </c>
      <c r="U3092">
        <f>TRIM('Cash_Check'!C92)</f>
        <v/>
      </c>
    </row>
    <row r="3093">
      <c r="A3093" s="62">
        <f>IF(H3093="","",IF(ISNUMBER(N3093),N3093,I3093))</f>
        <v/>
      </c>
      <c r="B3093">
        <f>IF(H3093="","",U3093)</f>
        <v/>
      </c>
      <c r="C3093">
        <f>IF(H3093="","",IF(P3093="",K3093,INDEX('Students'!$A$2:$A$701,P3093)))</f>
        <v/>
      </c>
      <c r="D3093">
        <f>IF(OR(H3093="",P3093=""),"",INDEX('Students'!$B$2:$B$701,P3093))</f>
        <v/>
      </c>
      <c r="E3093">
        <f>IF(OR(H3093="",P3093=""),"",INDEX('Students'!$C$2:$C$701,P3093))</f>
        <v/>
      </c>
      <c r="F3093" s="48">
        <f>IF(H3093="","",IF(ISNUMBER(O3093),O3093,J3093))</f>
        <v/>
      </c>
      <c r="G3093">
        <f>IF(H3093="","",M3093)</f>
        <v/>
      </c>
      <c r="H3093">
        <f>IF(AND(I3093="",J3093="",K3093=""),"",IF(OR(NOT(ISNUMBER(O3093)),N(O3093)&lt;=0),"Bad amount",IF(NOT(ISNUMBER(N3093)),"Bad date",IF(P3093="","NAME NOT ON ROSTER","OK"))))</f>
        <v/>
      </c>
      <c r="I3093">
        <f>IF('Cash_Check'!A93="","",'Cash_Check'!A93)</f>
        <v/>
      </c>
      <c r="J3093">
        <f>IF('Cash_Check'!D93="","",'Cash_Check'!D93)</f>
        <v/>
      </c>
      <c r="K3093">
        <f>TRIM('Cash_Check'!B93)</f>
        <v/>
      </c>
      <c r="M3093">
        <f>IF(TRIM('Cash_Check'!E93)="","Cash/check",TRIM('Cash_Check'!E93))</f>
        <v/>
      </c>
      <c r="N3093">
        <f>IF(I3093="","",IF(ISNUMBER(I3093),INT(I3093),IFERROR(INT(DATEVALUE(I3093)),IFERROR(INT(VALUE(I3093)),"bad"))))</f>
        <v/>
      </c>
      <c r="O3093">
        <f>IF(J3093="","",IF(ISNUMBER(J3093),ROUND(J3093,2),IFERROR(ROUND(VALUE(SUBSTITUTE(SUBSTITUTE(SUBSTITUTE(J3093,"$",""),",","")," ","")),2),"bad")))</f>
        <v/>
      </c>
      <c r="P3093">
        <f>IF(K3093="","",IFERROR(MATCH(IF(ISNUMBER(FIND("#",K3093)),TRIM(MID(K3093,FIND("#",K3093)+1,20)),UPPER(K3093)),'Students'!$AD$2:$AD$701,0),""))</f>
        <v/>
      </c>
      <c r="R3093">
        <f>IF(P3093="","",INDEX('Students'!$AD$2:$AD$701,P3093))</f>
        <v/>
      </c>
      <c r="S3093">
        <f>IF(H3093="OK",O3093,0)</f>
        <v/>
      </c>
      <c r="T3093">
        <f>IF(H3093="OK",N3093,"")</f>
        <v/>
      </c>
      <c r="U3093">
        <f>TRIM('Cash_Check'!C93)</f>
        <v/>
      </c>
    </row>
    <row r="3094">
      <c r="A3094" s="62">
        <f>IF(H3094="","",IF(ISNUMBER(N3094),N3094,I3094))</f>
        <v/>
      </c>
      <c r="B3094">
        <f>IF(H3094="","",U3094)</f>
        <v/>
      </c>
      <c r="C3094">
        <f>IF(H3094="","",IF(P3094="",K3094,INDEX('Students'!$A$2:$A$701,P3094)))</f>
        <v/>
      </c>
      <c r="D3094">
        <f>IF(OR(H3094="",P3094=""),"",INDEX('Students'!$B$2:$B$701,P3094))</f>
        <v/>
      </c>
      <c r="E3094">
        <f>IF(OR(H3094="",P3094=""),"",INDEX('Students'!$C$2:$C$701,P3094))</f>
        <v/>
      </c>
      <c r="F3094" s="48">
        <f>IF(H3094="","",IF(ISNUMBER(O3094),O3094,J3094))</f>
        <v/>
      </c>
      <c r="G3094">
        <f>IF(H3094="","",M3094)</f>
        <v/>
      </c>
      <c r="H3094">
        <f>IF(AND(I3094="",J3094="",K3094=""),"",IF(OR(NOT(ISNUMBER(O3094)),N(O3094)&lt;=0),"Bad amount",IF(NOT(ISNUMBER(N3094)),"Bad date",IF(P3094="","NAME NOT ON ROSTER","OK"))))</f>
        <v/>
      </c>
      <c r="I3094">
        <f>IF('Cash_Check'!A94="","",'Cash_Check'!A94)</f>
        <v/>
      </c>
      <c r="J3094">
        <f>IF('Cash_Check'!D94="","",'Cash_Check'!D94)</f>
        <v/>
      </c>
      <c r="K3094">
        <f>TRIM('Cash_Check'!B94)</f>
        <v/>
      </c>
      <c r="M3094">
        <f>IF(TRIM('Cash_Check'!E94)="","Cash/check",TRIM('Cash_Check'!E94))</f>
        <v/>
      </c>
      <c r="N3094">
        <f>IF(I3094="","",IF(ISNUMBER(I3094),INT(I3094),IFERROR(INT(DATEVALUE(I3094)),IFERROR(INT(VALUE(I3094)),"bad"))))</f>
        <v/>
      </c>
      <c r="O3094">
        <f>IF(J3094="","",IF(ISNUMBER(J3094),ROUND(J3094,2),IFERROR(ROUND(VALUE(SUBSTITUTE(SUBSTITUTE(SUBSTITUTE(J3094,"$",""),",","")," ","")),2),"bad")))</f>
        <v/>
      </c>
      <c r="P3094">
        <f>IF(K3094="","",IFERROR(MATCH(IF(ISNUMBER(FIND("#",K3094)),TRIM(MID(K3094,FIND("#",K3094)+1,20)),UPPER(K3094)),'Students'!$AD$2:$AD$701,0),""))</f>
        <v/>
      </c>
      <c r="R3094">
        <f>IF(P3094="","",INDEX('Students'!$AD$2:$AD$701,P3094))</f>
        <v/>
      </c>
      <c r="S3094">
        <f>IF(H3094="OK",O3094,0)</f>
        <v/>
      </c>
      <c r="T3094">
        <f>IF(H3094="OK",N3094,"")</f>
        <v/>
      </c>
      <c r="U3094">
        <f>TRIM('Cash_Check'!C94)</f>
        <v/>
      </c>
    </row>
    <row r="3095">
      <c r="A3095" s="62">
        <f>IF(H3095="","",IF(ISNUMBER(N3095),N3095,I3095))</f>
        <v/>
      </c>
      <c r="B3095">
        <f>IF(H3095="","",U3095)</f>
        <v/>
      </c>
      <c r="C3095">
        <f>IF(H3095="","",IF(P3095="",K3095,INDEX('Students'!$A$2:$A$701,P3095)))</f>
        <v/>
      </c>
      <c r="D3095">
        <f>IF(OR(H3095="",P3095=""),"",INDEX('Students'!$B$2:$B$701,P3095))</f>
        <v/>
      </c>
      <c r="E3095">
        <f>IF(OR(H3095="",P3095=""),"",INDEX('Students'!$C$2:$C$701,P3095))</f>
        <v/>
      </c>
      <c r="F3095" s="48">
        <f>IF(H3095="","",IF(ISNUMBER(O3095),O3095,J3095))</f>
        <v/>
      </c>
      <c r="G3095">
        <f>IF(H3095="","",M3095)</f>
        <v/>
      </c>
      <c r="H3095">
        <f>IF(AND(I3095="",J3095="",K3095=""),"",IF(OR(NOT(ISNUMBER(O3095)),N(O3095)&lt;=0),"Bad amount",IF(NOT(ISNUMBER(N3095)),"Bad date",IF(P3095="","NAME NOT ON ROSTER","OK"))))</f>
        <v/>
      </c>
      <c r="I3095">
        <f>IF('Cash_Check'!A95="","",'Cash_Check'!A95)</f>
        <v/>
      </c>
      <c r="J3095">
        <f>IF('Cash_Check'!D95="","",'Cash_Check'!D95)</f>
        <v/>
      </c>
      <c r="K3095">
        <f>TRIM('Cash_Check'!B95)</f>
        <v/>
      </c>
      <c r="M3095">
        <f>IF(TRIM('Cash_Check'!E95)="","Cash/check",TRIM('Cash_Check'!E95))</f>
        <v/>
      </c>
      <c r="N3095">
        <f>IF(I3095="","",IF(ISNUMBER(I3095),INT(I3095),IFERROR(INT(DATEVALUE(I3095)),IFERROR(INT(VALUE(I3095)),"bad"))))</f>
        <v/>
      </c>
      <c r="O3095">
        <f>IF(J3095="","",IF(ISNUMBER(J3095),ROUND(J3095,2),IFERROR(ROUND(VALUE(SUBSTITUTE(SUBSTITUTE(SUBSTITUTE(J3095,"$",""),",","")," ","")),2),"bad")))</f>
        <v/>
      </c>
      <c r="P3095">
        <f>IF(K3095="","",IFERROR(MATCH(IF(ISNUMBER(FIND("#",K3095)),TRIM(MID(K3095,FIND("#",K3095)+1,20)),UPPER(K3095)),'Students'!$AD$2:$AD$701,0),""))</f>
        <v/>
      </c>
      <c r="R3095">
        <f>IF(P3095="","",INDEX('Students'!$AD$2:$AD$701,P3095))</f>
        <v/>
      </c>
      <c r="S3095">
        <f>IF(H3095="OK",O3095,0)</f>
        <v/>
      </c>
      <c r="T3095">
        <f>IF(H3095="OK",N3095,"")</f>
        <v/>
      </c>
      <c r="U3095">
        <f>TRIM('Cash_Check'!C95)</f>
        <v/>
      </c>
    </row>
    <row r="3096">
      <c r="A3096" s="62">
        <f>IF(H3096="","",IF(ISNUMBER(N3096),N3096,I3096))</f>
        <v/>
      </c>
      <c r="B3096">
        <f>IF(H3096="","",U3096)</f>
        <v/>
      </c>
      <c r="C3096">
        <f>IF(H3096="","",IF(P3096="",K3096,INDEX('Students'!$A$2:$A$701,P3096)))</f>
        <v/>
      </c>
      <c r="D3096">
        <f>IF(OR(H3096="",P3096=""),"",INDEX('Students'!$B$2:$B$701,P3096))</f>
        <v/>
      </c>
      <c r="E3096">
        <f>IF(OR(H3096="",P3096=""),"",INDEX('Students'!$C$2:$C$701,P3096))</f>
        <v/>
      </c>
      <c r="F3096" s="48">
        <f>IF(H3096="","",IF(ISNUMBER(O3096),O3096,J3096))</f>
        <v/>
      </c>
      <c r="G3096">
        <f>IF(H3096="","",M3096)</f>
        <v/>
      </c>
      <c r="H3096">
        <f>IF(AND(I3096="",J3096="",K3096=""),"",IF(OR(NOT(ISNUMBER(O3096)),N(O3096)&lt;=0),"Bad amount",IF(NOT(ISNUMBER(N3096)),"Bad date",IF(P3096="","NAME NOT ON ROSTER","OK"))))</f>
        <v/>
      </c>
      <c r="I3096">
        <f>IF('Cash_Check'!A96="","",'Cash_Check'!A96)</f>
        <v/>
      </c>
      <c r="J3096">
        <f>IF('Cash_Check'!D96="","",'Cash_Check'!D96)</f>
        <v/>
      </c>
      <c r="K3096">
        <f>TRIM('Cash_Check'!B96)</f>
        <v/>
      </c>
      <c r="M3096">
        <f>IF(TRIM('Cash_Check'!E96)="","Cash/check",TRIM('Cash_Check'!E96))</f>
        <v/>
      </c>
      <c r="N3096">
        <f>IF(I3096="","",IF(ISNUMBER(I3096),INT(I3096),IFERROR(INT(DATEVALUE(I3096)),IFERROR(INT(VALUE(I3096)),"bad"))))</f>
        <v/>
      </c>
      <c r="O3096">
        <f>IF(J3096="","",IF(ISNUMBER(J3096),ROUND(J3096,2),IFERROR(ROUND(VALUE(SUBSTITUTE(SUBSTITUTE(SUBSTITUTE(J3096,"$",""),",","")," ","")),2),"bad")))</f>
        <v/>
      </c>
      <c r="P3096">
        <f>IF(K3096="","",IFERROR(MATCH(IF(ISNUMBER(FIND("#",K3096)),TRIM(MID(K3096,FIND("#",K3096)+1,20)),UPPER(K3096)),'Students'!$AD$2:$AD$701,0),""))</f>
        <v/>
      </c>
      <c r="R3096">
        <f>IF(P3096="","",INDEX('Students'!$AD$2:$AD$701,P3096))</f>
        <v/>
      </c>
      <c r="S3096">
        <f>IF(H3096="OK",O3096,0)</f>
        <v/>
      </c>
      <c r="T3096">
        <f>IF(H3096="OK",N3096,"")</f>
        <v/>
      </c>
      <c r="U3096">
        <f>TRIM('Cash_Check'!C96)</f>
        <v/>
      </c>
    </row>
    <row r="3097">
      <c r="A3097" s="62">
        <f>IF(H3097="","",IF(ISNUMBER(N3097),N3097,I3097))</f>
        <v/>
      </c>
      <c r="B3097">
        <f>IF(H3097="","",U3097)</f>
        <v/>
      </c>
      <c r="C3097">
        <f>IF(H3097="","",IF(P3097="",K3097,INDEX('Students'!$A$2:$A$701,P3097)))</f>
        <v/>
      </c>
      <c r="D3097">
        <f>IF(OR(H3097="",P3097=""),"",INDEX('Students'!$B$2:$B$701,P3097))</f>
        <v/>
      </c>
      <c r="E3097">
        <f>IF(OR(H3097="",P3097=""),"",INDEX('Students'!$C$2:$C$701,P3097))</f>
        <v/>
      </c>
      <c r="F3097" s="48">
        <f>IF(H3097="","",IF(ISNUMBER(O3097),O3097,J3097))</f>
        <v/>
      </c>
      <c r="G3097">
        <f>IF(H3097="","",M3097)</f>
        <v/>
      </c>
      <c r="H3097">
        <f>IF(AND(I3097="",J3097="",K3097=""),"",IF(OR(NOT(ISNUMBER(O3097)),N(O3097)&lt;=0),"Bad amount",IF(NOT(ISNUMBER(N3097)),"Bad date",IF(P3097="","NAME NOT ON ROSTER","OK"))))</f>
        <v/>
      </c>
      <c r="I3097">
        <f>IF('Cash_Check'!A97="","",'Cash_Check'!A97)</f>
        <v/>
      </c>
      <c r="J3097">
        <f>IF('Cash_Check'!D97="","",'Cash_Check'!D97)</f>
        <v/>
      </c>
      <c r="K3097">
        <f>TRIM('Cash_Check'!B97)</f>
        <v/>
      </c>
      <c r="M3097">
        <f>IF(TRIM('Cash_Check'!E97)="","Cash/check",TRIM('Cash_Check'!E97))</f>
        <v/>
      </c>
      <c r="N3097">
        <f>IF(I3097="","",IF(ISNUMBER(I3097),INT(I3097),IFERROR(INT(DATEVALUE(I3097)),IFERROR(INT(VALUE(I3097)),"bad"))))</f>
        <v/>
      </c>
      <c r="O3097">
        <f>IF(J3097="","",IF(ISNUMBER(J3097),ROUND(J3097,2),IFERROR(ROUND(VALUE(SUBSTITUTE(SUBSTITUTE(SUBSTITUTE(J3097,"$",""),",","")," ","")),2),"bad")))</f>
        <v/>
      </c>
      <c r="P3097">
        <f>IF(K3097="","",IFERROR(MATCH(IF(ISNUMBER(FIND("#",K3097)),TRIM(MID(K3097,FIND("#",K3097)+1,20)),UPPER(K3097)),'Students'!$AD$2:$AD$701,0),""))</f>
        <v/>
      </c>
      <c r="R3097">
        <f>IF(P3097="","",INDEX('Students'!$AD$2:$AD$701,P3097))</f>
        <v/>
      </c>
      <c r="S3097">
        <f>IF(H3097="OK",O3097,0)</f>
        <v/>
      </c>
      <c r="T3097">
        <f>IF(H3097="OK",N3097,"")</f>
        <v/>
      </c>
      <c r="U3097">
        <f>TRIM('Cash_Check'!C97)</f>
        <v/>
      </c>
    </row>
    <row r="3098">
      <c r="A3098" s="62">
        <f>IF(H3098="","",IF(ISNUMBER(N3098),N3098,I3098))</f>
        <v/>
      </c>
      <c r="B3098">
        <f>IF(H3098="","",U3098)</f>
        <v/>
      </c>
      <c r="C3098">
        <f>IF(H3098="","",IF(P3098="",K3098,INDEX('Students'!$A$2:$A$701,P3098)))</f>
        <v/>
      </c>
      <c r="D3098">
        <f>IF(OR(H3098="",P3098=""),"",INDEX('Students'!$B$2:$B$701,P3098))</f>
        <v/>
      </c>
      <c r="E3098">
        <f>IF(OR(H3098="",P3098=""),"",INDEX('Students'!$C$2:$C$701,P3098))</f>
        <v/>
      </c>
      <c r="F3098" s="48">
        <f>IF(H3098="","",IF(ISNUMBER(O3098),O3098,J3098))</f>
        <v/>
      </c>
      <c r="G3098">
        <f>IF(H3098="","",M3098)</f>
        <v/>
      </c>
      <c r="H3098">
        <f>IF(AND(I3098="",J3098="",K3098=""),"",IF(OR(NOT(ISNUMBER(O3098)),N(O3098)&lt;=0),"Bad amount",IF(NOT(ISNUMBER(N3098)),"Bad date",IF(P3098="","NAME NOT ON ROSTER","OK"))))</f>
        <v/>
      </c>
      <c r="I3098">
        <f>IF('Cash_Check'!A98="","",'Cash_Check'!A98)</f>
        <v/>
      </c>
      <c r="J3098">
        <f>IF('Cash_Check'!D98="","",'Cash_Check'!D98)</f>
        <v/>
      </c>
      <c r="K3098">
        <f>TRIM('Cash_Check'!B98)</f>
        <v/>
      </c>
      <c r="M3098">
        <f>IF(TRIM('Cash_Check'!E98)="","Cash/check",TRIM('Cash_Check'!E98))</f>
        <v/>
      </c>
      <c r="N3098">
        <f>IF(I3098="","",IF(ISNUMBER(I3098),INT(I3098),IFERROR(INT(DATEVALUE(I3098)),IFERROR(INT(VALUE(I3098)),"bad"))))</f>
        <v/>
      </c>
      <c r="O3098">
        <f>IF(J3098="","",IF(ISNUMBER(J3098),ROUND(J3098,2),IFERROR(ROUND(VALUE(SUBSTITUTE(SUBSTITUTE(SUBSTITUTE(J3098,"$",""),",","")," ","")),2),"bad")))</f>
        <v/>
      </c>
      <c r="P3098">
        <f>IF(K3098="","",IFERROR(MATCH(IF(ISNUMBER(FIND("#",K3098)),TRIM(MID(K3098,FIND("#",K3098)+1,20)),UPPER(K3098)),'Students'!$AD$2:$AD$701,0),""))</f>
        <v/>
      </c>
      <c r="R3098">
        <f>IF(P3098="","",INDEX('Students'!$AD$2:$AD$701,P3098))</f>
        <v/>
      </c>
      <c r="S3098">
        <f>IF(H3098="OK",O3098,0)</f>
        <v/>
      </c>
      <c r="T3098">
        <f>IF(H3098="OK",N3098,"")</f>
        <v/>
      </c>
      <c r="U3098">
        <f>TRIM('Cash_Check'!C98)</f>
        <v/>
      </c>
    </row>
    <row r="3099">
      <c r="A3099" s="62">
        <f>IF(H3099="","",IF(ISNUMBER(N3099),N3099,I3099))</f>
        <v/>
      </c>
      <c r="B3099">
        <f>IF(H3099="","",U3099)</f>
        <v/>
      </c>
      <c r="C3099">
        <f>IF(H3099="","",IF(P3099="",K3099,INDEX('Students'!$A$2:$A$701,P3099)))</f>
        <v/>
      </c>
      <c r="D3099">
        <f>IF(OR(H3099="",P3099=""),"",INDEX('Students'!$B$2:$B$701,P3099))</f>
        <v/>
      </c>
      <c r="E3099">
        <f>IF(OR(H3099="",P3099=""),"",INDEX('Students'!$C$2:$C$701,P3099))</f>
        <v/>
      </c>
      <c r="F3099" s="48">
        <f>IF(H3099="","",IF(ISNUMBER(O3099),O3099,J3099))</f>
        <v/>
      </c>
      <c r="G3099">
        <f>IF(H3099="","",M3099)</f>
        <v/>
      </c>
      <c r="H3099">
        <f>IF(AND(I3099="",J3099="",K3099=""),"",IF(OR(NOT(ISNUMBER(O3099)),N(O3099)&lt;=0),"Bad amount",IF(NOT(ISNUMBER(N3099)),"Bad date",IF(P3099="","NAME NOT ON ROSTER","OK"))))</f>
        <v/>
      </c>
      <c r="I3099">
        <f>IF('Cash_Check'!A99="","",'Cash_Check'!A99)</f>
        <v/>
      </c>
      <c r="J3099">
        <f>IF('Cash_Check'!D99="","",'Cash_Check'!D99)</f>
        <v/>
      </c>
      <c r="K3099">
        <f>TRIM('Cash_Check'!B99)</f>
        <v/>
      </c>
      <c r="M3099">
        <f>IF(TRIM('Cash_Check'!E99)="","Cash/check",TRIM('Cash_Check'!E99))</f>
        <v/>
      </c>
      <c r="N3099">
        <f>IF(I3099="","",IF(ISNUMBER(I3099),INT(I3099),IFERROR(INT(DATEVALUE(I3099)),IFERROR(INT(VALUE(I3099)),"bad"))))</f>
        <v/>
      </c>
      <c r="O3099">
        <f>IF(J3099="","",IF(ISNUMBER(J3099),ROUND(J3099,2),IFERROR(ROUND(VALUE(SUBSTITUTE(SUBSTITUTE(SUBSTITUTE(J3099,"$",""),",","")," ","")),2),"bad")))</f>
        <v/>
      </c>
      <c r="P3099">
        <f>IF(K3099="","",IFERROR(MATCH(IF(ISNUMBER(FIND("#",K3099)),TRIM(MID(K3099,FIND("#",K3099)+1,20)),UPPER(K3099)),'Students'!$AD$2:$AD$701,0),""))</f>
        <v/>
      </c>
      <c r="R3099">
        <f>IF(P3099="","",INDEX('Students'!$AD$2:$AD$701,P3099))</f>
        <v/>
      </c>
      <c r="S3099">
        <f>IF(H3099="OK",O3099,0)</f>
        <v/>
      </c>
      <c r="T3099">
        <f>IF(H3099="OK",N3099,"")</f>
        <v/>
      </c>
      <c r="U3099">
        <f>TRIM('Cash_Check'!C99)</f>
        <v/>
      </c>
    </row>
    <row r="3100">
      <c r="A3100" s="62">
        <f>IF(H3100="","",IF(ISNUMBER(N3100),N3100,I3100))</f>
        <v/>
      </c>
      <c r="B3100">
        <f>IF(H3100="","",U3100)</f>
        <v/>
      </c>
      <c r="C3100">
        <f>IF(H3100="","",IF(P3100="",K3100,INDEX('Students'!$A$2:$A$701,P3100)))</f>
        <v/>
      </c>
      <c r="D3100">
        <f>IF(OR(H3100="",P3100=""),"",INDEX('Students'!$B$2:$B$701,P3100))</f>
        <v/>
      </c>
      <c r="E3100">
        <f>IF(OR(H3100="",P3100=""),"",INDEX('Students'!$C$2:$C$701,P3100))</f>
        <v/>
      </c>
      <c r="F3100" s="48">
        <f>IF(H3100="","",IF(ISNUMBER(O3100),O3100,J3100))</f>
        <v/>
      </c>
      <c r="G3100">
        <f>IF(H3100="","",M3100)</f>
        <v/>
      </c>
      <c r="H3100">
        <f>IF(AND(I3100="",J3100="",K3100=""),"",IF(OR(NOT(ISNUMBER(O3100)),N(O3100)&lt;=0),"Bad amount",IF(NOT(ISNUMBER(N3100)),"Bad date",IF(P3100="","NAME NOT ON ROSTER","OK"))))</f>
        <v/>
      </c>
      <c r="I3100">
        <f>IF('Cash_Check'!A100="","",'Cash_Check'!A100)</f>
        <v/>
      </c>
      <c r="J3100">
        <f>IF('Cash_Check'!D100="","",'Cash_Check'!D100)</f>
        <v/>
      </c>
      <c r="K3100">
        <f>TRIM('Cash_Check'!B100)</f>
        <v/>
      </c>
      <c r="M3100">
        <f>IF(TRIM('Cash_Check'!E100)="","Cash/check",TRIM('Cash_Check'!E100))</f>
        <v/>
      </c>
      <c r="N3100">
        <f>IF(I3100="","",IF(ISNUMBER(I3100),INT(I3100),IFERROR(INT(DATEVALUE(I3100)),IFERROR(INT(VALUE(I3100)),"bad"))))</f>
        <v/>
      </c>
      <c r="O3100">
        <f>IF(J3100="","",IF(ISNUMBER(J3100),ROUND(J3100,2),IFERROR(ROUND(VALUE(SUBSTITUTE(SUBSTITUTE(SUBSTITUTE(J3100,"$",""),",","")," ","")),2),"bad")))</f>
        <v/>
      </c>
      <c r="P3100">
        <f>IF(K3100="","",IFERROR(MATCH(IF(ISNUMBER(FIND("#",K3100)),TRIM(MID(K3100,FIND("#",K3100)+1,20)),UPPER(K3100)),'Students'!$AD$2:$AD$701,0),""))</f>
        <v/>
      </c>
      <c r="R3100">
        <f>IF(P3100="","",INDEX('Students'!$AD$2:$AD$701,P3100))</f>
        <v/>
      </c>
      <c r="S3100">
        <f>IF(H3100="OK",O3100,0)</f>
        <v/>
      </c>
      <c r="T3100">
        <f>IF(H3100="OK",N3100,"")</f>
        <v/>
      </c>
      <c r="U3100">
        <f>TRIM('Cash_Check'!C100)</f>
        <v/>
      </c>
    </row>
    <row r="3101">
      <c r="A3101" s="62">
        <f>IF(H3101="","",IF(ISNUMBER(N3101),N3101,I3101))</f>
        <v/>
      </c>
      <c r="B3101">
        <f>IF(H3101="","",U3101)</f>
        <v/>
      </c>
      <c r="C3101">
        <f>IF(H3101="","",IF(P3101="",K3101,INDEX('Students'!$A$2:$A$701,P3101)))</f>
        <v/>
      </c>
      <c r="D3101">
        <f>IF(OR(H3101="",P3101=""),"",INDEX('Students'!$B$2:$B$701,P3101))</f>
        <v/>
      </c>
      <c r="E3101">
        <f>IF(OR(H3101="",P3101=""),"",INDEX('Students'!$C$2:$C$701,P3101))</f>
        <v/>
      </c>
      <c r="F3101" s="48">
        <f>IF(H3101="","",IF(ISNUMBER(O3101),O3101,J3101))</f>
        <v/>
      </c>
      <c r="G3101">
        <f>IF(H3101="","",M3101)</f>
        <v/>
      </c>
      <c r="H3101">
        <f>IF(AND(I3101="",J3101="",K3101=""),"",IF(OR(NOT(ISNUMBER(O3101)),N(O3101)&lt;=0),"Bad amount",IF(NOT(ISNUMBER(N3101)),"Bad date",IF(P3101="","NAME NOT ON ROSTER","OK"))))</f>
        <v/>
      </c>
      <c r="I3101">
        <f>IF('Cash_Check'!A101="","",'Cash_Check'!A101)</f>
        <v/>
      </c>
      <c r="J3101">
        <f>IF('Cash_Check'!D101="","",'Cash_Check'!D101)</f>
        <v/>
      </c>
      <c r="K3101">
        <f>TRIM('Cash_Check'!B101)</f>
        <v/>
      </c>
      <c r="M3101">
        <f>IF(TRIM('Cash_Check'!E101)="","Cash/check",TRIM('Cash_Check'!E101))</f>
        <v/>
      </c>
      <c r="N3101">
        <f>IF(I3101="","",IF(ISNUMBER(I3101),INT(I3101),IFERROR(INT(DATEVALUE(I3101)),IFERROR(INT(VALUE(I3101)),"bad"))))</f>
        <v/>
      </c>
      <c r="O3101">
        <f>IF(J3101="","",IF(ISNUMBER(J3101),ROUND(J3101,2),IFERROR(ROUND(VALUE(SUBSTITUTE(SUBSTITUTE(SUBSTITUTE(J3101,"$",""),",","")," ","")),2),"bad")))</f>
        <v/>
      </c>
      <c r="P3101">
        <f>IF(K3101="","",IFERROR(MATCH(IF(ISNUMBER(FIND("#",K3101)),TRIM(MID(K3101,FIND("#",K3101)+1,20)),UPPER(K3101)),'Students'!$AD$2:$AD$701,0),""))</f>
        <v/>
      </c>
      <c r="R3101">
        <f>IF(P3101="","",INDEX('Students'!$AD$2:$AD$701,P3101))</f>
        <v/>
      </c>
      <c r="S3101">
        <f>IF(H3101="OK",O3101,0)</f>
        <v/>
      </c>
      <c r="T3101">
        <f>IF(H3101="OK",N3101,"")</f>
        <v/>
      </c>
      <c r="U3101">
        <f>TRIM('Cash_Check'!C101)</f>
        <v/>
      </c>
    </row>
    <row r="3102">
      <c r="A3102" s="62">
        <f>IF(H3102="","",IF(ISNUMBER(N3102),N3102,I3102))</f>
        <v/>
      </c>
      <c r="B3102">
        <f>IF(H3102="","",U3102)</f>
        <v/>
      </c>
      <c r="C3102">
        <f>IF(H3102="","",IF(P3102="",K3102,INDEX('Students'!$A$2:$A$701,P3102)))</f>
        <v/>
      </c>
      <c r="D3102">
        <f>IF(OR(H3102="",P3102=""),"",INDEX('Students'!$B$2:$B$701,P3102))</f>
        <v/>
      </c>
      <c r="E3102">
        <f>IF(OR(H3102="",P3102=""),"",INDEX('Students'!$C$2:$C$701,P3102))</f>
        <v/>
      </c>
      <c r="F3102" s="48">
        <f>IF(H3102="","",IF(ISNUMBER(O3102),O3102,J3102))</f>
        <v/>
      </c>
      <c r="G3102">
        <f>IF(H3102="","",M3102)</f>
        <v/>
      </c>
      <c r="H3102">
        <f>IF(AND(I3102="",J3102="",K3102=""),"",IF(OR(NOT(ISNUMBER(O3102)),N(O3102)&lt;=0),"Bad amount",IF(NOT(ISNUMBER(N3102)),"Bad date",IF(P3102="","NAME NOT ON ROSTER","OK"))))</f>
        <v/>
      </c>
      <c r="I3102">
        <f>IF('Cash_Check'!A102="","",'Cash_Check'!A102)</f>
        <v/>
      </c>
      <c r="J3102">
        <f>IF('Cash_Check'!D102="","",'Cash_Check'!D102)</f>
        <v/>
      </c>
      <c r="K3102">
        <f>TRIM('Cash_Check'!B102)</f>
        <v/>
      </c>
      <c r="M3102">
        <f>IF(TRIM('Cash_Check'!E102)="","Cash/check",TRIM('Cash_Check'!E102))</f>
        <v/>
      </c>
      <c r="N3102">
        <f>IF(I3102="","",IF(ISNUMBER(I3102),INT(I3102),IFERROR(INT(DATEVALUE(I3102)),IFERROR(INT(VALUE(I3102)),"bad"))))</f>
        <v/>
      </c>
      <c r="O3102">
        <f>IF(J3102="","",IF(ISNUMBER(J3102),ROUND(J3102,2),IFERROR(ROUND(VALUE(SUBSTITUTE(SUBSTITUTE(SUBSTITUTE(J3102,"$",""),",","")," ","")),2),"bad")))</f>
        <v/>
      </c>
      <c r="P3102">
        <f>IF(K3102="","",IFERROR(MATCH(IF(ISNUMBER(FIND("#",K3102)),TRIM(MID(K3102,FIND("#",K3102)+1,20)),UPPER(K3102)),'Students'!$AD$2:$AD$701,0),""))</f>
        <v/>
      </c>
      <c r="R3102">
        <f>IF(P3102="","",INDEX('Students'!$AD$2:$AD$701,P3102))</f>
        <v/>
      </c>
      <c r="S3102">
        <f>IF(H3102="OK",O3102,0)</f>
        <v/>
      </c>
      <c r="T3102">
        <f>IF(H3102="OK",N3102,"")</f>
        <v/>
      </c>
      <c r="U3102">
        <f>TRIM('Cash_Check'!C102)</f>
        <v/>
      </c>
    </row>
    <row r="3103">
      <c r="A3103" s="62">
        <f>IF(H3103="","",IF(ISNUMBER(N3103),N3103,I3103))</f>
        <v/>
      </c>
      <c r="B3103">
        <f>IF(H3103="","",U3103)</f>
        <v/>
      </c>
      <c r="C3103">
        <f>IF(H3103="","",IF(P3103="",K3103,INDEX('Students'!$A$2:$A$701,P3103)))</f>
        <v/>
      </c>
      <c r="D3103">
        <f>IF(OR(H3103="",P3103=""),"",INDEX('Students'!$B$2:$B$701,P3103))</f>
        <v/>
      </c>
      <c r="E3103">
        <f>IF(OR(H3103="",P3103=""),"",INDEX('Students'!$C$2:$C$701,P3103))</f>
        <v/>
      </c>
      <c r="F3103" s="48">
        <f>IF(H3103="","",IF(ISNUMBER(O3103),O3103,J3103))</f>
        <v/>
      </c>
      <c r="G3103">
        <f>IF(H3103="","",M3103)</f>
        <v/>
      </c>
      <c r="H3103">
        <f>IF(AND(I3103="",J3103="",K3103=""),"",IF(OR(NOT(ISNUMBER(O3103)),N(O3103)&lt;=0),"Bad amount",IF(NOT(ISNUMBER(N3103)),"Bad date",IF(P3103="","NAME NOT ON ROSTER","OK"))))</f>
        <v/>
      </c>
      <c r="I3103">
        <f>IF('Cash_Check'!A103="","",'Cash_Check'!A103)</f>
        <v/>
      </c>
      <c r="J3103">
        <f>IF('Cash_Check'!D103="","",'Cash_Check'!D103)</f>
        <v/>
      </c>
      <c r="K3103">
        <f>TRIM('Cash_Check'!B103)</f>
        <v/>
      </c>
      <c r="M3103">
        <f>IF(TRIM('Cash_Check'!E103)="","Cash/check",TRIM('Cash_Check'!E103))</f>
        <v/>
      </c>
      <c r="N3103">
        <f>IF(I3103="","",IF(ISNUMBER(I3103),INT(I3103),IFERROR(INT(DATEVALUE(I3103)),IFERROR(INT(VALUE(I3103)),"bad"))))</f>
        <v/>
      </c>
      <c r="O3103">
        <f>IF(J3103="","",IF(ISNUMBER(J3103),ROUND(J3103,2),IFERROR(ROUND(VALUE(SUBSTITUTE(SUBSTITUTE(SUBSTITUTE(J3103,"$",""),",","")," ","")),2),"bad")))</f>
        <v/>
      </c>
      <c r="P3103">
        <f>IF(K3103="","",IFERROR(MATCH(IF(ISNUMBER(FIND("#",K3103)),TRIM(MID(K3103,FIND("#",K3103)+1,20)),UPPER(K3103)),'Students'!$AD$2:$AD$701,0),""))</f>
        <v/>
      </c>
      <c r="R3103">
        <f>IF(P3103="","",INDEX('Students'!$AD$2:$AD$701,P3103))</f>
        <v/>
      </c>
      <c r="S3103">
        <f>IF(H3103="OK",O3103,0)</f>
        <v/>
      </c>
      <c r="T3103">
        <f>IF(H3103="OK",N3103,"")</f>
        <v/>
      </c>
      <c r="U3103">
        <f>TRIM('Cash_Check'!C103)</f>
        <v/>
      </c>
    </row>
    <row r="3104">
      <c r="A3104" s="62">
        <f>IF(H3104="","",IF(ISNUMBER(N3104),N3104,I3104))</f>
        <v/>
      </c>
      <c r="B3104">
        <f>IF(H3104="","",U3104)</f>
        <v/>
      </c>
      <c r="C3104">
        <f>IF(H3104="","",IF(P3104="",K3104,INDEX('Students'!$A$2:$A$701,P3104)))</f>
        <v/>
      </c>
      <c r="D3104">
        <f>IF(OR(H3104="",P3104=""),"",INDEX('Students'!$B$2:$B$701,P3104))</f>
        <v/>
      </c>
      <c r="E3104">
        <f>IF(OR(H3104="",P3104=""),"",INDEX('Students'!$C$2:$C$701,P3104))</f>
        <v/>
      </c>
      <c r="F3104" s="48">
        <f>IF(H3104="","",IF(ISNUMBER(O3104),O3104,J3104))</f>
        <v/>
      </c>
      <c r="G3104">
        <f>IF(H3104="","",M3104)</f>
        <v/>
      </c>
      <c r="H3104">
        <f>IF(AND(I3104="",J3104="",K3104=""),"",IF(OR(NOT(ISNUMBER(O3104)),N(O3104)&lt;=0),"Bad amount",IF(NOT(ISNUMBER(N3104)),"Bad date",IF(P3104="","NAME NOT ON ROSTER","OK"))))</f>
        <v/>
      </c>
      <c r="I3104">
        <f>IF('Cash_Check'!A104="","",'Cash_Check'!A104)</f>
        <v/>
      </c>
      <c r="J3104">
        <f>IF('Cash_Check'!D104="","",'Cash_Check'!D104)</f>
        <v/>
      </c>
      <c r="K3104">
        <f>TRIM('Cash_Check'!B104)</f>
        <v/>
      </c>
      <c r="M3104">
        <f>IF(TRIM('Cash_Check'!E104)="","Cash/check",TRIM('Cash_Check'!E104))</f>
        <v/>
      </c>
      <c r="N3104">
        <f>IF(I3104="","",IF(ISNUMBER(I3104),INT(I3104),IFERROR(INT(DATEVALUE(I3104)),IFERROR(INT(VALUE(I3104)),"bad"))))</f>
        <v/>
      </c>
      <c r="O3104">
        <f>IF(J3104="","",IF(ISNUMBER(J3104),ROUND(J3104,2),IFERROR(ROUND(VALUE(SUBSTITUTE(SUBSTITUTE(SUBSTITUTE(J3104,"$",""),",","")," ","")),2),"bad")))</f>
        <v/>
      </c>
      <c r="P3104">
        <f>IF(K3104="","",IFERROR(MATCH(IF(ISNUMBER(FIND("#",K3104)),TRIM(MID(K3104,FIND("#",K3104)+1,20)),UPPER(K3104)),'Students'!$AD$2:$AD$701,0),""))</f>
        <v/>
      </c>
      <c r="R3104">
        <f>IF(P3104="","",INDEX('Students'!$AD$2:$AD$701,P3104))</f>
        <v/>
      </c>
      <c r="S3104">
        <f>IF(H3104="OK",O3104,0)</f>
        <v/>
      </c>
      <c r="T3104">
        <f>IF(H3104="OK",N3104,"")</f>
        <v/>
      </c>
      <c r="U3104">
        <f>TRIM('Cash_Check'!C104)</f>
        <v/>
      </c>
    </row>
    <row r="3105">
      <c r="A3105" s="62">
        <f>IF(H3105="","",IF(ISNUMBER(N3105),N3105,I3105))</f>
        <v/>
      </c>
      <c r="B3105">
        <f>IF(H3105="","",U3105)</f>
        <v/>
      </c>
      <c r="C3105">
        <f>IF(H3105="","",IF(P3105="",K3105,INDEX('Students'!$A$2:$A$701,P3105)))</f>
        <v/>
      </c>
      <c r="D3105">
        <f>IF(OR(H3105="",P3105=""),"",INDEX('Students'!$B$2:$B$701,P3105))</f>
        <v/>
      </c>
      <c r="E3105">
        <f>IF(OR(H3105="",P3105=""),"",INDEX('Students'!$C$2:$C$701,P3105))</f>
        <v/>
      </c>
      <c r="F3105" s="48">
        <f>IF(H3105="","",IF(ISNUMBER(O3105),O3105,J3105))</f>
        <v/>
      </c>
      <c r="G3105">
        <f>IF(H3105="","",M3105)</f>
        <v/>
      </c>
      <c r="H3105">
        <f>IF(AND(I3105="",J3105="",K3105=""),"",IF(OR(NOT(ISNUMBER(O3105)),N(O3105)&lt;=0),"Bad amount",IF(NOT(ISNUMBER(N3105)),"Bad date",IF(P3105="","NAME NOT ON ROSTER","OK"))))</f>
        <v/>
      </c>
      <c r="I3105">
        <f>IF('Cash_Check'!A105="","",'Cash_Check'!A105)</f>
        <v/>
      </c>
      <c r="J3105">
        <f>IF('Cash_Check'!D105="","",'Cash_Check'!D105)</f>
        <v/>
      </c>
      <c r="K3105">
        <f>TRIM('Cash_Check'!B105)</f>
        <v/>
      </c>
      <c r="M3105">
        <f>IF(TRIM('Cash_Check'!E105)="","Cash/check",TRIM('Cash_Check'!E105))</f>
        <v/>
      </c>
      <c r="N3105">
        <f>IF(I3105="","",IF(ISNUMBER(I3105),INT(I3105),IFERROR(INT(DATEVALUE(I3105)),IFERROR(INT(VALUE(I3105)),"bad"))))</f>
        <v/>
      </c>
      <c r="O3105">
        <f>IF(J3105="","",IF(ISNUMBER(J3105),ROUND(J3105,2),IFERROR(ROUND(VALUE(SUBSTITUTE(SUBSTITUTE(SUBSTITUTE(J3105,"$",""),",","")," ","")),2),"bad")))</f>
        <v/>
      </c>
      <c r="P3105">
        <f>IF(K3105="","",IFERROR(MATCH(IF(ISNUMBER(FIND("#",K3105)),TRIM(MID(K3105,FIND("#",K3105)+1,20)),UPPER(K3105)),'Students'!$AD$2:$AD$701,0),""))</f>
        <v/>
      </c>
      <c r="R3105">
        <f>IF(P3105="","",INDEX('Students'!$AD$2:$AD$701,P3105))</f>
        <v/>
      </c>
      <c r="S3105">
        <f>IF(H3105="OK",O3105,0)</f>
        <v/>
      </c>
      <c r="T3105">
        <f>IF(H3105="OK",N3105,"")</f>
        <v/>
      </c>
      <c r="U3105">
        <f>TRIM('Cash_Check'!C105)</f>
        <v/>
      </c>
    </row>
    <row r="3106">
      <c r="A3106" s="62">
        <f>IF(H3106="","",IF(ISNUMBER(N3106),N3106,I3106))</f>
        <v/>
      </c>
      <c r="B3106">
        <f>IF(H3106="","",U3106)</f>
        <v/>
      </c>
      <c r="C3106">
        <f>IF(H3106="","",IF(P3106="",K3106,INDEX('Students'!$A$2:$A$701,P3106)))</f>
        <v/>
      </c>
      <c r="D3106">
        <f>IF(OR(H3106="",P3106=""),"",INDEX('Students'!$B$2:$B$701,P3106))</f>
        <v/>
      </c>
      <c r="E3106">
        <f>IF(OR(H3106="",P3106=""),"",INDEX('Students'!$C$2:$C$701,P3106))</f>
        <v/>
      </c>
      <c r="F3106" s="48">
        <f>IF(H3106="","",IF(ISNUMBER(O3106),O3106,J3106))</f>
        <v/>
      </c>
      <c r="G3106">
        <f>IF(H3106="","",M3106)</f>
        <v/>
      </c>
      <c r="H3106">
        <f>IF(AND(I3106="",J3106="",K3106=""),"",IF(OR(NOT(ISNUMBER(O3106)),N(O3106)&lt;=0),"Bad amount",IF(NOT(ISNUMBER(N3106)),"Bad date",IF(P3106="","NAME NOT ON ROSTER","OK"))))</f>
        <v/>
      </c>
      <c r="I3106">
        <f>IF('Cash_Check'!A106="","",'Cash_Check'!A106)</f>
        <v/>
      </c>
      <c r="J3106">
        <f>IF('Cash_Check'!D106="","",'Cash_Check'!D106)</f>
        <v/>
      </c>
      <c r="K3106">
        <f>TRIM('Cash_Check'!B106)</f>
        <v/>
      </c>
      <c r="M3106">
        <f>IF(TRIM('Cash_Check'!E106)="","Cash/check",TRIM('Cash_Check'!E106))</f>
        <v/>
      </c>
      <c r="N3106">
        <f>IF(I3106="","",IF(ISNUMBER(I3106),INT(I3106),IFERROR(INT(DATEVALUE(I3106)),IFERROR(INT(VALUE(I3106)),"bad"))))</f>
        <v/>
      </c>
      <c r="O3106">
        <f>IF(J3106="","",IF(ISNUMBER(J3106),ROUND(J3106,2),IFERROR(ROUND(VALUE(SUBSTITUTE(SUBSTITUTE(SUBSTITUTE(J3106,"$",""),",","")," ","")),2),"bad")))</f>
        <v/>
      </c>
      <c r="P3106">
        <f>IF(K3106="","",IFERROR(MATCH(IF(ISNUMBER(FIND("#",K3106)),TRIM(MID(K3106,FIND("#",K3106)+1,20)),UPPER(K3106)),'Students'!$AD$2:$AD$701,0),""))</f>
        <v/>
      </c>
      <c r="R3106">
        <f>IF(P3106="","",INDEX('Students'!$AD$2:$AD$701,P3106))</f>
        <v/>
      </c>
      <c r="S3106">
        <f>IF(H3106="OK",O3106,0)</f>
        <v/>
      </c>
      <c r="T3106">
        <f>IF(H3106="OK",N3106,"")</f>
        <v/>
      </c>
      <c r="U3106">
        <f>TRIM('Cash_Check'!C106)</f>
        <v/>
      </c>
    </row>
    <row r="3107">
      <c r="A3107" s="62">
        <f>IF(H3107="","",IF(ISNUMBER(N3107),N3107,I3107))</f>
        <v/>
      </c>
      <c r="B3107">
        <f>IF(H3107="","",U3107)</f>
        <v/>
      </c>
      <c r="C3107">
        <f>IF(H3107="","",IF(P3107="",K3107,INDEX('Students'!$A$2:$A$701,P3107)))</f>
        <v/>
      </c>
      <c r="D3107">
        <f>IF(OR(H3107="",P3107=""),"",INDEX('Students'!$B$2:$B$701,P3107))</f>
        <v/>
      </c>
      <c r="E3107">
        <f>IF(OR(H3107="",P3107=""),"",INDEX('Students'!$C$2:$C$701,P3107))</f>
        <v/>
      </c>
      <c r="F3107" s="48">
        <f>IF(H3107="","",IF(ISNUMBER(O3107),O3107,J3107))</f>
        <v/>
      </c>
      <c r="G3107">
        <f>IF(H3107="","",M3107)</f>
        <v/>
      </c>
      <c r="H3107">
        <f>IF(AND(I3107="",J3107="",K3107=""),"",IF(OR(NOT(ISNUMBER(O3107)),N(O3107)&lt;=0),"Bad amount",IF(NOT(ISNUMBER(N3107)),"Bad date",IF(P3107="","NAME NOT ON ROSTER","OK"))))</f>
        <v/>
      </c>
      <c r="I3107">
        <f>IF('Cash_Check'!A107="","",'Cash_Check'!A107)</f>
        <v/>
      </c>
      <c r="J3107">
        <f>IF('Cash_Check'!D107="","",'Cash_Check'!D107)</f>
        <v/>
      </c>
      <c r="K3107">
        <f>TRIM('Cash_Check'!B107)</f>
        <v/>
      </c>
      <c r="M3107">
        <f>IF(TRIM('Cash_Check'!E107)="","Cash/check",TRIM('Cash_Check'!E107))</f>
        <v/>
      </c>
      <c r="N3107">
        <f>IF(I3107="","",IF(ISNUMBER(I3107),INT(I3107),IFERROR(INT(DATEVALUE(I3107)),IFERROR(INT(VALUE(I3107)),"bad"))))</f>
        <v/>
      </c>
      <c r="O3107">
        <f>IF(J3107="","",IF(ISNUMBER(J3107),ROUND(J3107,2),IFERROR(ROUND(VALUE(SUBSTITUTE(SUBSTITUTE(SUBSTITUTE(J3107,"$",""),",","")," ","")),2),"bad")))</f>
        <v/>
      </c>
      <c r="P3107">
        <f>IF(K3107="","",IFERROR(MATCH(IF(ISNUMBER(FIND("#",K3107)),TRIM(MID(K3107,FIND("#",K3107)+1,20)),UPPER(K3107)),'Students'!$AD$2:$AD$701,0),""))</f>
        <v/>
      </c>
      <c r="R3107">
        <f>IF(P3107="","",INDEX('Students'!$AD$2:$AD$701,P3107))</f>
        <v/>
      </c>
      <c r="S3107">
        <f>IF(H3107="OK",O3107,0)</f>
        <v/>
      </c>
      <c r="T3107">
        <f>IF(H3107="OK",N3107,"")</f>
        <v/>
      </c>
      <c r="U3107">
        <f>TRIM('Cash_Check'!C107)</f>
        <v/>
      </c>
    </row>
    <row r="3108">
      <c r="A3108" s="62">
        <f>IF(H3108="","",IF(ISNUMBER(N3108),N3108,I3108))</f>
        <v/>
      </c>
      <c r="B3108">
        <f>IF(H3108="","",U3108)</f>
        <v/>
      </c>
      <c r="C3108">
        <f>IF(H3108="","",IF(P3108="",K3108,INDEX('Students'!$A$2:$A$701,P3108)))</f>
        <v/>
      </c>
      <c r="D3108">
        <f>IF(OR(H3108="",P3108=""),"",INDEX('Students'!$B$2:$B$701,P3108))</f>
        <v/>
      </c>
      <c r="E3108">
        <f>IF(OR(H3108="",P3108=""),"",INDEX('Students'!$C$2:$C$701,P3108))</f>
        <v/>
      </c>
      <c r="F3108" s="48">
        <f>IF(H3108="","",IF(ISNUMBER(O3108),O3108,J3108))</f>
        <v/>
      </c>
      <c r="G3108">
        <f>IF(H3108="","",M3108)</f>
        <v/>
      </c>
      <c r="H3108">
        <f>IF(AND(I3108="",J3108="",K3108=""),"",IF(OR(NOT(ISNUMBER(O3108)),N(O3108)&lt;=0),"Bad amount",IF(NOT(ISNUMBER(N3108)),"Bad date",IF(P3108="","NAME NOT ON ROSTER","OK"))))</f>
        <v/>
      </c>
      <c r="I3108">
        <f>IF('Cash_Check'!A108="","",'Cash_Check'!A108)</f>
        <v/>
      </c>
      <c r="J3108">
        <f>IF('Cash_Check'!D108="","",'Cash_Check'!D108)</f>
        <v/>
      </c>
      <c r="K3108">
        <f>TRIM('Cash_Check'!B108)</f>
        <v/>
      </c>
      <c r="M3108">
        <f>IF(TRIM('Cash_Check'!E108)="","Cash/check",TRIM('Cash_Check'!E108))</f>
        <v/>
      </c>
      <c r="N3108">
        <f>IF(I3108="","",IF(ISNUMBER(I3108),INT(I3108),IFERROR(INT(DATEVALUE(I3108)),IFERROR(INT(VALUE(I3108)),"bad"))))</f>
        <v/>
      </c>
      <c r="O3108">
        <f>IF(J3108="","",IF(ISNUMBER(J3108),ROUND(J3108,2),IFERROR(ROUND(VALUE(SUBSTITUTE(SUBSTITUTE(SUBSTITUTE(J3108,"$",""),",","")," ","")),2),"bad")))</f>
        <v/>
      </c>
      <c r="P3108">
        <f>IF(K3108="","",IFERROR(MATCH(IF(ISNUMBER(FIND("#",K3108)),TRIM(MID(K3108,FIND("#",K3108)+1,20)),UPPER(K3108)),'Students'!$AD$2:$AD$701,0),""))</f>
        <v/>
      </c>
      <c r="R3108">
        <f>IF(P3108="","",INDEX('Students'!$AD$2:$AD$701,P3108))</f>
        <v/>
      </c>
      <c r="S3108">
        <f>IF(H3108="OK",O3108,0)</f>
        <v/>
      </c>
      <c r="T3108">
        <f>IF(H3108="OK",N3108,"")</f>
        <v/>
      </c>
      <c r="U3108">
        <f>TRIM('Cash_Check'!C108)</f>
        <v/>
      </c>
    </row>
    <row r="3109">
      <c r="A3109" s="62">
        <f>IF(H3109="","",IF(ISNUMBER(N3109),N3109,I3109))</f>
        <v/>
      </c>
      <c r="B3109">
        <f>IF(H3109="","",U3109)</f>
        <v/>
      </c>
      <c r="C3109">
        <f>IF(H3109="","",IF(P3109="",K3109,INDEX('Students'!$A$2:$A$701,P3109)))</f>
        <v/>
      </c>
      <c r="D3109">
        <f>IF(OR(H3109="",P3109=""),"",INDEX('Students'!$B$2:$B$701,P3109))</f>
        <v/>
      </c>
      <c r="E3109">
        <f>IF(OR(H3109="",P3109=""),"",INDEX('Students'!$C$2:$C$701,P3109))</f>
        <v/>
      </c>
      <c r="F3109" s="48">
        <f>IF(H3109="","",IF(ISNUMBER(O3109),O3109,J3109))</f>
        <v/>
      </c>
      <c r="G3109">
        <f>IF(H3109="","",M3109)</f>
        <v/>
      </c>
      <c r="H3109">
        <f>IF(AND(I3109="",J3109="",K3109=""),"",IF(OR(NOT(ISNUMBER(O3109)),N(O3109)&lt;=0),"Bad amount",IF(NOT(ISNUMBER(N3109)),"Bad date",IF(P3109="","NAME NOT ON ROSTER","OK"))))</f>
        <v/>
      </c>
      <c r="I3109">
        <f>IF('Cash_Check'!A109="","",'Cash_Check'!A109)</f>
        <v/>
      </c>
      <c r="J3109">
        <f>IF('Cash_Check'!D109="","",'Cash_Check'!D109)</f>
        <v/>
      </c>
      <c r="K3109">
        <f>TRIM('Cash_Check'!B109)</f>
        <v/>
      </c>
      <c r="M3109">
        <f>IF(TRIM('Cash_Check'!E109)="","Cash/check",TRIM('Cash_Check'!E109))</f>
        <v/>
      </c>
      <c r="N3109">
        <f>IF(I3109="","",IF(ISNUMBER(I3109),INT(I3109),IFERROR(INT(DATEVALUE(I3109)),IFERROR(INT(VALUE(I3109)),"bad"))))</f>
        <v/>
      </c>
      <c r="O3109">
        <f>IF(J3109="","",IF(ISNUMBER(J3109),ROUND(J3109,2),IFERROR(ROUND(VALUE(SUBSTITUTE(SUBSTITUTE(SUBSTITUTE(J3109,"$",""),",","")," ","")),2),"bad")))</f>
        <v/>
      </c>
      <c r="P3109">
        <f>IF(K3109="","",IFERROR(MATCH(IF(ISNUMBER(FIND("#",K3109)),TRIM(MID(K3109,FIND("#",K3109)+1,20)),UPPER(K3109)),'Students'!$AD$2:$AD$701,0),""))</f>
        <v/>
      </c>
      <c r="R3109">
        <f>IF(P3109="","",INDEX('Students'!$AD$2:$AD$701,P3109))</f>
        <v/>
      </c>
      <c r="S3109">
        <f>IF(H3109="OK",O3109,0)</f>
        <v/>
      </c>
      <c r="T3109">
        <f>IF(H3109="OK",N3109,"")</f>
        <v/>
      </c>
      <c r="U3109">
        <f>TRIM('Cash_Check'!C109)</f>
        <v/>
      </c>
    </row>
    <row r="3110">
      <c r="A3110" s="62">
        <f>IF(H3110="","",IF(ISNUMBER(N3110),N3110,I3110))</f>
        <v/>
      </c>
      <c r="B3110">
        <f>IF(H3110="","",U3110)</f>
        <v/>
      </c>
      <c r="C3110">
        <f>IF(H3110="","",IF(P3110="",K3110,INDEX('Students'!$A$2:$A$701,P3110)))</f>
        <v/>
      </c>
      <c r="D3110">
        <f>IF(OR(H3110="",P3110=""),"",INDEX('Students'!$B$2:$B$701,P3110))</f>
        <v/>
      </c>
      <c r="E3110">
        <f>IF(OR(H3110="",P3110=""),"",INDEX('Students'!$C$2:$C$701,P3110))</f>
        <v/>
      </c>
      <c r="F3110" s="48">
        <f>IF(H3110="","",IF(ISNUMBER(O3110),O3110,J3110))</f>
        <v/>
      </c>
      <c r="G3110">
        <f>IF(H3110="","",M3110)</f>
        <v/>
      </c>
      <c r="H3110">
        <f>IF(AND(I3110="",J3110="",K3110=""),"",IF(OR(NOT(ISNUMBER(O3110)),N(O3110)&lt;=0),"Bad amount",IF(NOT(ISNUMBER(N3110)),"Bad date",IF(P3110="","NAME NOT ON ROSTER","OK"))))</f>
        <v/>
      </c>
      <c r="I3110">
        <f>IF('Cash_Check'!A110="","",'Cash_Check'!A110)</f>
        <v/>
      </c>
      <c r="J3110">
        <f>IF('Cash_Check'!D110="","",'Cash_Check'!D110)</f>
        <v/>
      </c>
      <c r="K3110">
        <f>TRIM('Cash_Check'!B110)</f>
        <v/>
      </c>
      <c r="M3110">
        <f>IF(TRIM('Cash_Check'!E110)="","Cash/check",TRIM('Cash_Check'!E110))</f>
        <v/>
      </c>
      <c r="N3110">
        <f>IF(I3110="","",IF(ISNUMBER(I3110),INT(I3110),IFERROR(INT(DATEVALUE(I3110)),IFERROR(INT(VALUE(I3110)),"bad"))))</f>
        <v/>
      </c>
      <c r="O3110">
        <f>IF(J3110="","",IF(ISNUMBER(J3110),ROUND(J3110,2),IFERROR(ROUND(VALUE(SUBSTITUTE(SUBSTITUTE(SUBSTITUTE(J3110,"$",""),",","")," ","")),2),"bad")))</f>
        <v/>
      </c>
      <c r="P3110">
        <f>IF(K3110="","",IFERROR(MATCH(IF(ISNUMBER(FIND("#",K3110)),TRIM(MID(K3110,FIND("#",K3110)+1,20)),UPPER(K3110)),'Students'!$AD$2:$AD$701,0),""))</f>
        <v/>
      </c>
      <c r="R3110">
        <f>IF(P3110="","",INDEX('Students'!$AD$2:$AD$701,P3110))</f>
        <v/>
      </c>
      <c r="S3110">
        <f>IF(H3110="OK",O3110,0)</f>
        <v/>
      </c>
      <c r="T3110">
        <f>IF(H3110="OK",N3110,"")</f>
        <v/>
      </c>
      <c r="U3110">
        <f>TRIM('Cash_Check'!C110)</f>
        <v/>
      </c>
    </row>
    <row r="3111">
      <c r="A3111" s="62">
        <f>IF(H3111="","",IF(ISNUMBER(N3111),N3111,I3111))</f>
        <v/>
      </c>
      <c r="B3111">
        <f>IF(H3111="","",U3111)</f>
        <v/>
      </c>
      <c r="C3111">
        <f>IF(H3111="","",IF(P3111="",K3111,INDEX('Students'!$A$2:$A$701,P3111)))</f>
        <v/>
      </c>
      <c r="D3111">
        <f>IF(OR(H3111="",P3111=""),"",INDEX('Students'!$B$2:$B$701,P3111))</f>
        <v/>
      </c>
      <c r="E3111">
        <f>IF(OR(H3111="",P3111=""),"",INDEX('Students'!$C$2:$C$701,P3111))</f>
        <v/>
      </c>
      <c r="F3111" s="48">
        <f>IF(H3111="","",IF(ISNUMBER(O3111),O3111,J3111))</f>
        <v/>
      </c>
      <c r="G3111">
        <f>IF(H3111="","",M3111)</f>
        <v/>
      </c>
      <c r="H3111">
        <f>IF(AND(I3111="",J3111="",K3111=""),"",IF(OR(NOT(ISNUMBER(O3111)),N(O3111)&lt;=0),"Bad amount",IF(NOT(ISNUMBER(N3111)),"Bad date",IF(P3111="","NAME NOT ON ROSTER","OK"))))</f>
        <v/>
      </c>
      <c r="I3111">
        <f>IF('Cash_Check'!A111="","",'Cash_Check'!A111)</f>
        <v/>
      </c>
      <c r="J3111">
        <f>IF('Cash_Check'!D111="","",'Cash_Check'!D111)</f>
        <v/>
      </c>
      <c r="K3111">
        <f>TRIM('Cash_Check'!B111)</f>
        <v/>
      </c>
      <c r="M3111">
        <f>IF(TRIM('Cash_Check'!E111)="","Cash/check",TRIM('Cash_Check'!E111))</f>
        <v/>
      </c>
      <c r="N3111">
        <f>IF(I3111="","",IF(ISNUMBER(I3111),INT(I3111),IFERROR(INT(DATEVALUE(I3111)),IFERROR(INT(VALUE(I3111)),"bad"))))</f>
        <v/>
      </c>
      <c r="O3111">
        <f>IF(J3111="","",IF(ISNUMBER(J3111),ROUND(J3111,2),IFERROR(ROUND(VALUE(SUBSTITUTE(SUBSTITUTE(SUBSTITUTE(J3111,"$",""),",","")," ","")),2),"bad")))</f>
        <v/>
      </c>
      <c r="P3111">
        <f>IF(K3111="","",IFERROR(MATCH(IF(ISNUMBER(FIND("#",K3111)),TRIM(MID(K3111,FIND("#",K3111)+1,20)),UPPER(K3111)),'Students'!$AD$2:$AD$701,0),""))</f>
        <v/>
      </c>
      <c r="R3111">
        <f>IF(P3111="","",INDEX('Students'!$AD$2:$AD$701,P3111))</f>
        <v/>
      </c>
      <c r="S3111">
        <f>IF(H3111="OK",O3111,0)</f>
        <v/>
      </c>
      <c r="T3111">
        <f>IF(H3111="OK",N3111,"")</f>
        <v/>
      </c>
      <c r="U3111">
        <f>TRIM('Cash_Check'!C111)</f>
        <v/>
      </c>
    </row>
    <row r="3112">
      <c r="A3112" s="62">
        <f>IF(H3112="","",IF(ISNUMBER(N3112),N3112,I3112))</f>
        <v/>
      </c>
      <c r="B3112">
        <f>IF(H3112="","",U3112)</f>
        <v/>
      </c>
      <c r="C3112">
        <f>IF(H3112="","",IF(P3112="",K3112,INDEX('Students'!$A$2:$A$701,P3112)))</f>
        <v/>
      </c>
      <c r="D3112">
        <f>IF(OR(H3112="",P3112=""),"",INDEX('Students'!$B$2:$B$701,P3112))</f>
        <v/>
      </c>
      <c r="E3112">
        <f>IF(OR(H3112="",P3112=""),"",INDEX('Students'!$C$2:$C$701,P3112))</f>
        <v/>
      </c>
      <c r="F3112" s="48">
        <f>IF(H3112="","",IF(ISNUMBER(O3112),O3112,J3112))</f>
        <v/>
      </c>
      <c r="G3112">
        <f>IF(H3112="","",M3112)</f>
        <v/>
      </c>
      <c r="H3112">
        <f>IF(AND(I3112="",J3112="",K3112=""),"",IF(OR(NOT(ISNUMBER(O3112)),N(O3112)&lt;=0),"Bad amount",IF(NOT(ISNUMBER(N3112)),"Bad date",IF(P3112="","NAME NOT ON ROSTER","OK"))))</f>
        <v/>
      </c>
      <c r="I3112">
        <f>IF('Cash_Check'!A112="","",'Cash_Check'!A112)</f>
        <v/>
      </c>
      <c r="J3112">
        <f>IF('Cash_Check'!D112="","",'Cash_Check'!D112)</f>
        <v/>
      </c>
      <c r="K3112">
        <f>TRIM('Cash_Check'!B112)</f>
        <v/>
      </c>
      <c r="M3112">
        <f>IF(TRIM('Cash_Check'!E112)="","Cash/check",TRIM('Cash_Check'!E112))</f>
        <v/>
      </c>
      <c r="N3112">
        <f>IF(I3112="","",IF(ISNUMBER(I3112),INT(I3112),IFERROR(INT(DATEVALUE(I3112)),IFERROR(INT(VALUE(I3112)),"bad"))))</f>
        <v/>
      </c>
      <c r="O3112">
        <f>IF(J3112="","",IF(ISNUMBER(J3112),ROUND(J3112,2),IFERROR(ROUND(VALUE(SUBSTITUTE(SUBSTITUTE(SUBSTITUTE(J3112,"$",""),",","")," ","")),2),"bad")))</f>
        <v/>
      </c>
      <c r="P3112">
        <f>IF(K3112="","",IFERROR(MATCH(IF(ISNUMBER(FIND("#",K3112)),TRIM(MID(K3112,FIND("#",K3112)+1,20)),UPPER(K3112)),'Students'!$AD$2:$AD$701,0),""))</f>
        <v/>
      </c>
      <c r="R3112">
        <f>IF(P3112="","",INDEX('Students'!$AD$2:$AD$701,P3112))</f>
        <v/>
      </c>
      <c r="S3112">
        <f>IF(H3112="OK",O3112,0)</f>
        <v/>
      </c>
      <c r="T3112">
        <f>IF(H3112="OK",N3112,"")</f>
        <v/>
      </c>
      <c r="U3112">
        <f>TRIM('Cash_Check'!C112)</f>
        <v/>
      </c>
    </row>
    <row r="3113">
      <c r="A3113" s="62">
        <f>IF(H3113="","",IF(ISNUMBER(N3113),N3113,I3113))</f>
        <v/>
      </c>
      <c r="B3113">
        <f>IF(H3113="","",U3113)</f>
        <v/>
      </c>
      <c r="C3113">
        <f>IF(H3113="","",IF(P3113="",K3113,INDEX('Students'!$A$2:$A$701,P3113)))</f>
        <v/>
      </c>
      <c r="D3113">
        <f>IF(OR(H3113="",P3113=""),"",INDEX('Students'!$B$2:$B$701,P3113))</f>
        <v/>
      </c>
      <c r="E3113">
        <f>IF(OR(H3113="",P3113=""),"",INDEX('Students'!$C$2:$C$701,P3113))</f>
        <v/>
      </c>
      <c r="F3113" s="48">
        <f>IF(H3113="","",IF(ISNUMBER(O3113),O3113,J3113))</f>
        <v/>
      </c>
      <c r="G3113">
        <f>IF(H3113="","",M3113)</f>
        <v/>
      </c>
      <c r="H3113">
        <f>IF(AND(I3113="",J3113="",K3113=""),"",IF(OR(NOT(ISNUMBER(O3113)),N(O3113)&lt;=0),"Bad amount",IF(NOT(ISNUMBER(N3113)),"Bad date",IF(P3113="","NAME NOT ON ROSTER","OK"))))</f>
        <v/>
      </c>
      <c r="I3113">
        <f>IF('Cash_Check'!A113="","",'Cash_Check'!A113)</f>
        <v/>
      </c>
      <c r="J3113">
        <f>IF('Cash_Check'!D113="","",'Cash_Check'!D113)</f>
        <v/>
      </c>
      <c r="K3113">
        <f>TRIM('Cash_Check'!B113)</f>
        <v/>
      </c>
      <c r="M3113">
        <f>IF(TRIM('Cash_Check'!E113)="","Cash/check",TRIM('Cash_Check'!E113))</f>
        <v/>
      </c>
      <c r="N3113">
        <f>IF(I3113="","",IF(ISNUMBER(I3113),INT(I3113),IFERROR(INT(DATEVALUE(I3113)),IFERROR(INT(VALUE(I3113)),"bad"))))</f>
        <v/>
      </c>
      <c r="O3113">
        <f>IF(J3113="","",IF(ISNUMBER(J3113),ROUND(J3113,2),IFERROR(ROUND(VALUE(SUBSTITUTE(SUBSTITUTE(SUBSTITUTE(J3113,"$",""),",","")," ","")),2),"bad")))</f>
        <v/>
      </c>
      <c r="P3113">
        <f>IF(K3113="","",IFERROR(MATCH(IF(ISNUMBER(FIND("#",K3113)),TRIM(MID(K3113,FIND("#",K3113)+1,20)),UPPER(K3113)),'Students'!$AD$2:$AD$701,0),""))</f>
        <v/>
      </c>
      <c r="R3113">
        <f>IF(P3113="","",INDEX('Students'!$AD$2:$AD$701,P3113))</f>
        <v/>
      </c>
      <c r="S3113">
        <f>IF(H3113="OK",O3113,0)</f>
        <v/>
      </c>
      <c r="T3113">
        <f>IF(H3113="OK",N3113,"")</f>
        <v/>
      </c>
      <c r="U3113">
        <f>TRIM('Cash_Check'!C113)</f>
        <v/>
      </c>
    </row>
    <row r="3114">
      <c r="A3114" s="62">
        <f>IF(H3114="","",IF(ISNUMBER(N3114),N3114,I3114))</f>
        <v/>
      </c>
      <c r="B3114">
        <f>IF(H3114="","",U3114)</f>
        <v/>
      </c>
      <c r="C3114">
        <f>IF(H3114="","",IF(P3114="",K3114,INDEX('Students'!$A$2:$A$701,P3114)))</f>
        <v/>
      </c>
      <c r="D3114">
        <f>IF(OR(H3114="",P3114=""),"",INDEX('Students'!$B$2:$B$701,P3114))</f>
        <v/>
      </c>
      <c r="E3114">
        <f>IF(OR(H3114="",P3114=""),"",INDEX('Students'!$C$2:$C$701,P3114))</f>
        <v/>
      </c>
      <c r="F3114" s="48">
        <f>IF(H3114="","",IF(ISNUMBER(O3114),O3114,J3114))</f>
        <v/>
      </c>
      <c r="G3114">
        <f>IF(H3114="","",M3114)</f>
        <v/>
      </c>
      <c r="H3114">
        <f>IF(AND(I3114="",J3114="",K3114=""),"",IF(OR(NOT(ISNUMBER(O3114)),N(O3114)&lt;=0),"Bad amount",IF(NOT(ISNUMBER(N3114)),"Bad date",IF(P3114="","NAME NOT ON ROSTER","OK"))))</f>
        <v/>
      </c>
      <c r="I3114">
        <f>IF('Cash_Check'!A114="","",'Cash_Check'!A114)</f>
        <v/>
      </c>
      <c r="J3114">
        <f>IF('Cash_Check'!D114="","",'Cash_Check'!D114)</f>
        <v/>
      </c>
      <c r="K3114">
        <f>TRIM('Cash_Check'!B114)</f>
        <v/>
      </c>
      <c r="M3114">
        <f>IF(TRIM('Cash_Check'!E114)="","Cash/check",TRIM('Cash_Check'!E114))</f>
        <v/>
      </c>
      <c r="N3114">
        <f>IF(I3114="","",IF(ISNUMBER(I3114),INT(I3114),IFERROR(INT(DATEVALUE(I3114)),IFERROR(INT(VALUE(I3114)),"bad"))))</f>
        <v/>
      </c>
      <c r="O3114">
        <f>IF(J3114="","",IF(ISNUMBER(J3114),ROUND(J3114,2),IFERROR(ROUND(VALUE(SUBSTITUTE(SUBSTITUTE(SUBSTITUTE(J3114,"$",""),",","")," ","")),2),"bad")))</f>
        <v/>
      </c>
      <c r="P3114">
        <f>IF(K3114="","",IFERROR(MATCH(IF(ISNUMBER(FIND("#",K3114)),TRIM(MID(K3114,FIND("#",K3114)+1,20)),UPPER(K3114)),'Students'!$AD$2:$AD$701,0),""))</f>
        <v/>
      </c>
      <c r="R3114">
        <f>IF(P3114="","",INDEX('Students'!$AD$2:$AD$701,P3114))</f>
        <v/>
      </c>
      <c r="S3114">
        <f>IF(H3114="OK",O3114,0)</f>
        <v/>
      </c>
      <c r="T3114">
        <f>IF(H3114="OK",N3114,"")</f>
        <v/>
      </c>
      <c r="U3114">
        <f>TRIM('Cash_Check'!C114)</f>
        <v/>
      </c>
    </row>
    <row r="3115">
      <c r="A3115" s="62">
        <f>IF(H3115="","",IF(ISNUMBER(N3115),N3115,I3115))</f>
        <v/>
      </c>
      <c r="B3115">
        <f>IF(H3115="","",U3115)</f>
        <v/>
      </c>
      <c r="C3115">
        <f>IF(H3115="","",IF(P3115="",K3115,INDEX('Students'!$A$2:$A$701,P3115)))</f>
        <v/>
      </c>
      <c r="D3115">
        <f>IF(OR(H3115="",P3115=""),"",INDEX('Students'!$B$2:$B$701,P3115))</f>
        <v/>
      </c>
      <c r="E3115">
        <f>IF(OR(H3115="",P3115=""),"",INDEX('Students'!$C$2:$C$701,P3115))</f>
        <v/>
      </c>
      <c r="F3115" s="48">
        <f>IF(H3115="","",IF(ISNUMBER(O3115),O3115,J3115))</f>
        <v/>
      </c>
      <c r="G3115">
        <f>IF(H3115="","",M3115)</f>
        <v/>
      </c>
      <c r="H3115">
        <f>IF(AND(I3115="",J3115="",K3115=""),"",IF(OR(NOT(ISNUMBER(O3115)),N(O3115)&lt;=0),"Bad amount",IF(NOT(ISNUMBER(N3115)),"Bad date",IF(P3115="","NAME NOT ON ROSTER","OK"))))</f>
        <v/>
      </c>
      <c r="I3115">
        <f>IF('Cash_Check'!A115="","",'Cash_Check'!A115)</f>
        <v/>
      </c>
      <c r="J3115">
        <f>IF('Cash_Check'!D115="","",'Cash_Check'!D115)</f>
        <v/>
      </c>
      <c r="K3115">
        <f>TRIM('Cash_Check'!B115)</f>
        <v/>
      </c>
      <c r="M3115">
        <f>IF(TRIM('Cash_Check'!E115)="","Cash/check",TRIM('Cash_Check'!E115))</f>
        <v/>
      </c>
      <c r="N3115">
        <f>IF(I3115="","",IF(ISNUMBER(I3115),INT(I3115),IFERROR(INT(DATEVALUE(I3115)),IFERROR(INT(VALUE(I3115)),"bad"))))</f>
        <v/>
      </c>
      <c r="O3115">
        <f>IF(J3115="","",IF(ISNUMBER(J3115),ROUND(J3115,2),IFERROR(ROUND(VALUE(SUBSTITUTE(SUBSTITUTE(SUBSTITUTE(J3115,"$",""),",","")," ","")),2),"bad")))</f>
        <v/>
      </c>
      <c r="P3115">
        <f>IF(K3115="","",IFERROR(MATCH(IF(ISNUMBER(FIND("#",K3115)),TRIM(MID(K3115,FIND("#",K3115)+1,20)),UPPER(K3115)),'Students'!$AD$2:$AD$701,0),""))</f>
        <v/>
      </c>
      <c r="R3115">
        <f>IF(P3115="","",INDEX('Students'!$AD$2:$AD$701,P3115))</f>
        <v/>
      </c>
      <c r="S3115">
        <f>IF(H3115="OK",O3115,0)</f>
        <v/>
      </c>
      <c r="T3115">
        <f>IF(H3115="OK",N3115,"")</f>
        <v/>
      </c>
      <c r="U3115">
        <f>TRIM('Cash_Check'!C115)</f>
        <v/>
      </c>
    </row>
    <row r="3116">
      <c r="A3116" s="62">
        <f>IF(H3116="","",IF(ISNUMBER(N3116),N3116,I3116))</f>
        <v/>
      </c>
      <c r="B3116">
        <f>IF(H3116="","",U3116)</f>
        <v/>
      </c>
      <c r="C3116">
        <f>IF(H3116="","",IF(P3116="",K3116,INDEX('Students'!$A$2:$A$701,P3116)))</f>
        <v/>
      </c>
      <c r="D3116">
        <f>IF(OR(H3116="",P3116=""),"",INDEX('Students'!$B$2:$B$701,P3116))</f>
        <v/>
      </c>
      <c r="E3116">
        <f>IF(OR(H3116="",P3116=""),"",INDEX('Students'!$C$2:$C$701,P3116))</f>
        <v/>
      </c>
      <c r="F3116" s="48">
        <f>IF(H3116="","",IF(ISNUMBER(O3116),O3116,J3116))</f>
        <v/>
      </c>
      <c r="G3116">
        <f>IF(H3116="","",M3116)</f>
        <v/>
      </c>
      <c r="H3116">
        <f>IF(AND(I3116="",J3116="",K3116=""),"",IF(OR(NOT(ISNUMBER(O3116)),N(O3116)&lt;=0),"Bad amount",IF(NOT(ISNUMBER(N3116)),"Bad date",IF(P3116="","NAME NOT ON ROSTER","OK"))))</f>
        <v/>
      </c>
      <c r="I3116">
        <f>IF('Cash_Check'!A116="","",'Cash_Check'!A116)</f>
        <v/>
      </c>
      <c r="J3116">
        <f>IF('Cash_Check'!D116="","",'Cash_Check'!D116)</f>
        <v/>
      </c>
      <c r="K3116">
        <f>TRIM('Cash_Check'!B116)</f>
        <v/>
      </c>
      <c r="M3116">
        <f>IF(TRIM('Cash_Check'!E116)="","Cash/check",TRIM('Cash_Check'!E116))</f>
        <v/>
      </c>
      <c r="N3116">
        <f>IF(I3116="","",IF(ISNUMBER(I3116),INT(I3116),IFERROR(INT(DATEVALUE(I3116)),IFERROR(INT(VALUE(I3116)),"bad"))))</f>
        <v/>
      </c>
      <c r="O3116">
        <f>IF(J3116="","",IF(ISNUMBER(J3116),ROUND(J3116,2),IFERROR(ROUND(VALUE(SUBSTITUTE(SUBSTITUTE(SUBSTITUTE(J3116,"$",""),",","")," ","")),2),"bad")))</f>
        <v/>
      </c>
      <c r="P3116">
        <f>IF(K3116="","",IFERROR(MATCH(IF(ISNUMBER(FIND("#",K3116)),TRIM(MID(K3116,FIND("#",K3116)+1,20)),UPPER(K3116)),'Students'!$AD$2:$AD$701,0),""))</f>
        <v/>
      </c>
      <c r="R3116">
        <f>IF(P3116="","",INDEX('Students'!$AD$2:$AD$701,P3116))</f>
        <v/>
      </c>
      <c r="S3116">
        <f>IF(H3116="OK",O3116,0)</f>
        <v/>
      </c>
      <c r="T3116">
        <f>IF(H3116="OK",N3116,"")</f>
        <v/>
      </c>
      <c r="U3116">
        <f>TRIM('Cash_Check'!C116)</f>
        <v/>
      </c>
    </row>
    <row r="3117">
      <c r="A3117" s="62">
        <f>IF(H3117="","",IF(ISNUMBER(N3117),N3117,I3117))</f>
        <v/>
      </c>
      <c r="B3117">
        <f>IF(H3117="","",U3117)</f>
        <v/>
      </c>
      <c r="C3117">
        <f>IF(H3117="","",IF(P3117="",K3117,INDEX('Students'!$A$2:$A$701,P3117)))</f>
        <v/>
      </c>
      <c r="D3117">
        <f>IF(OR(H3117="",P3117=""),"",INDEX('Students'!$B$2:$B$701,P3117))</f>
        <v/>
      </c>
      <c r="E3117">
        <f>IF(OR(H3117="",P3117=""),"",INDEX('Students'!$C$2:$C$701,P3117))</f>
        <v/>
      </c>
      <c r="F3117" s="48">
        <f>IF(H3117="","",IF(ISNUMBER(O3117),O3117,J3117))</f>
        <v/>
      </c>
      <c r="G3117">
        <f>IF(H3117="","",M3117)</f>
        <v/>
      </c>
      <c r="H3117">
        <f>IF(AND(I3117="",J3117="",K3117=""),"",IF(OR(NOT(ISNUMBER(O3117)),N(O3117)&lt;=0),"Bad amount",IF(NOT(ISNUMBER(N3117)),"Bad date",IF(P3117="","NAME NOT ON ROSTER","OK"))))</f>
        <v/>
      </c>
      <c r="I3117">
        <f>IF('Cash_Check'!A117="","",'Cash_Check'!A117)</f>
        <v/>
      </c>
      <c r="J3117">
        <f>IF('Cash_Check'!D117="","",'Cash_Check'!D117)</f>
        <v/>
      </c>
      <c r="K3117">
        <f>TRIM('Cash_Check'!B117)</f>
        <v/>
      </c>
      <c r="M3117">
        <f>IF(TRIM('Cash_Check'!E117)="","Cash/check",TRIM('Cash_Check'!E117))</f>
        <v/>
      </c>
      <c r="N3117">
        <f>IF(I3117="","",IF(ISNUMBER(I3117),INT(I3117),IFERROR(INT(DATEVALUE(I3117)),IFERROR(INT(VALUE(I3117)),"bad"))))</f>
        <v/>
      </c>
      <c r="O3117">
        <f>IF(J3117="","",IF(ISNUMBER(J3117),ROUND(J3117,2),IFERROR(ROUND(VALUE(SUBSTITUTE(SUBSTITUTE(SUBSTITUTE(J3117,"$",""),",","")," ","")),2),"bad")))</f>
        <v/>
      </c>
      <c r="P3117">
        <f>IF(K3117="","",IFERROR(MATCH(IF(ISNUMBER(FIND("#",K3117)),TRIM(MID(K3117,FIND("#",K3117)+1,20)),UPPER(K3117)),'Students'!$AD$2:$AD$701,0),""))</f>
        <v/>
      </c>
      <c r="R3117">
        <f>IF(P3117="","",INDEX('Students'!$AD$2:$AD$701,P3117))</f>
        <v/>
      </c>
      <c r="S3117">
        <f>IF(H3117="OK",O3117,0)</f>
        <v/>
      </c>
      <c r="T3117">
        <f>IF(H3117="OK",N3117,"")</f>
        <v/>
      </c>
      <c r="U3117">
        <f>TRIM('Cash_Check'!C117)</f>
        <v/>
      </c>
    </row>
    <row r="3118">
      <c r="A3118" s="62">
        <f>IF(H3118="","",IF(ISNUMBER(N3118),N3118,I3118))</f>
        <v/>
      </c>
      <c r="B3118">
        <f>IF(H3118="","",U3118)</f>
        <v/>
      </c>
      <c r="C3118">
        <f>IF(H3118="","",IF(P3118="",K3118,INDEX('Students'!$A$2:$A$701,P3118)))</f>
        <v/>
      </c>
      <c r="D3118">
        <f>IF(OR(H3118="",P3118=""),"",INDEX('Students'!$B$2:$B$701,P3118))</f>
        <v/>
      </c>
      <c r="E3118">
        <f>IF(OR(H3118="",P3118=""),"",INDEX('Students'!$C$2:$C$701,P3118))</f>
        <v/>
      </c>
      <c r="F3118" s="48">
        <f>IF(H3118="","",IF(ISNUMBER(O3118),O3118,J3118))</f>
        <v/>
      </c>
      <c r="G3118">
        <f>IF(H3118="","",M3118)</f>
        <v/>
      </c>
      <c r="H3118">
        <f>IF(AND(I3118="",J3118="",K3118=""),"",IF(OR(NOT(ISNUMBER(O3118)),N(O3118)&lt;=0),"Bad amount",IF(NOT(ISNUMBER(N3118)),"Bad date",IF(P3118="","NAME NOT ON ROSTER","OK"))))</f>
        <v/>
      </c>
      <c r="I3118">
        <f>IF('Cash_Check'!A118="","",'Cash_Check'!A118)</f>
        <v/>
      </c>
      <c r="J3118">
        <f>IF('Cash_Check'!D118="","",'Cash_Check'!D118)</f>
        <v/>
      </c>
      <c r="K3118">
        <f>TRIM('Cash_Check'!B118)</f>
        <v/>
      </c>
      <c r="M3118">
        <f>IF(TRIM('Cash_Check'!E118)="","Cash/check",TRIM('Cash_Check'!E118))</f>
        <v/>
      </c>
      <c r="N3118">
        <f>IF(I3118="","",IF(ISNUMBER(I3118),INT(I3118),IFERROR(INT(DATEVALUE(I3118)),IFERROR(INT(VALUE(I3118)),"bad"))))</f>
        <v/>
      </c>
      <c r="O3118">
        <f>IF(J3118="","",IF(ISNUMBER(J3118),ROUND(J3118,2),IFERROR(ROUND(VALUE(SUBSTITUTE(SUBSTITUTE(SUBSTITUTE(J3118,"$",""),",","")," ","")),2),"bad")))</f>
        <v/>
      </c>
      <c r="P3118">
        <f>IF(K3118="","",IFERROR(MATCH(IF(ISNUMBER(FIND("#",K3118)),TRIM(MID(K3118,FIND("#",K3118)+1,20)),UPPER(K3118)),'Students'!$AD$2:$AD$701,0),""))</f>
        <v/>
      </c>
      <c r="R3118">
        <f>IF(P3118="","",INDEX('Students'!$AD$2:$AD$701,P3118))</f>
        <v/>
      </c>
      <c r="S3118">
        <f>IF(H3118="OK",O3118,0)</f>
        <v/>
      </c>
      <c r="T3118">
        <f>IF(H3118="OK",N3118,"")</f>
        <v/>
      </c>
      <c r="U3118">
        <f>TRIM('Cash_Check'!C118)</f>
        <v/>
      </c>
    </row>
    <row r="3119">
      <c r="A3119" s="62">
        <f>IF(H3119="","",IF(ISNUMBER(N3119),N3119,I3119))</f>
        <v/>
      </c>
      <c r="B3119">
        <f>IF(H3119="","",U3119)</f>
        <v/>
      </c>
      <c r="C3119">
        <f>IF(H3119="","",IF(P3119="",K3119,INDEX('Students'!$A$2:$A$701,P3119)))</f>
        <v/>
      </c>
      <c r="D3119">
        <f>IF(OR(H3119="",P3119=""),"",INDEX('Students'!$B$2:$B$701,P3119))</f>
        <v/>
      </c>
      <c r="E3119">
        <f>IF(OR(H3119="",P3119=""),"",INDEX('Students'!$C$2:$C$701,P3119))</f>
        <v/>
      </c>
      <c r="F3119" s="48">
        <f>IF(H3119="","",IF(ISNUMBER(O3119),O3119,J3119))</f>
        <v/>
      </c>
      <c r="G3119">
        <f>IF(H3119="","",M3119)</f>
        <v/>
      </c>
      <c r="H3119">
        <f>IF(AND(I3119="",J3119="",K3119=""),"",IF(OR(NOT(ISNUMBER(O3119)),N(O3119)&lt;=0),"Bad amount",IF(NOT(ISNUMBER(N3119)),"Bad date",IF(P3119="","NAME NOT ON ROSTER","OK"))))</f>
        <v/>
      </c>
      <c r="I3119">
        <f>IF('Cash_Check'!A119="","",'Cash_Check'!A119)</f>
        <v/>
      </c>
      <c r="J3119">
        <f>IF('Cash_Check'!D119="","",'Cash_Check'!D119)</f>
        <v/>
      </c>
      <c r="K3119">
        <f>TRIM('Cash_Check'!B119)</f>
        <v/>
      </c>
      <c r="M3119">
        <f>IF(TRIM('Cash_Check'!E119)="","Cash/check",TRIM('Cash_Check'!E119))</f>
        <v/>
      </c>
      <c r="N3119">
        <f>IF(I3119="","",IF(ISNUMBER(I3119),INT(I3119),IFERROR(INT(DATEVALUE(I3119)),IFERROR(INT(VALUE(I3119)),"bad"))))</f>
        <v/>
      </c>
      <c r="O3119">
        <f>IF(J3119="","",IF(ISNUMBER(J3119),ROUND(J3119,2),IFERROR(ROUND(VALUE(SUBSTITUTE(SUBSTITUTE(SUBSTITUTE(J3119,"$",""),",","")," ","")),2),"bad")))</f>
        <v/>
      </c>
      <c r="P3119">
        <f>IF(K3119="","",IFERROR(MATCH(IF(ISNUMBER(FIND("#",K3119)),TRIM(MID(K3119,FIND("#",K3119)+1,20)),UPPER(K3119)),'Students'!$AD$2:$AD$701,0),""))</f>
        <v/>
      </c>
      <c r="R3119">
        <f>IF(P3119="","",INDEX('Students'!$AD$2:$AD$701,P3119))</f>
        <v/>
      </c>
      <c r="S3119">
        <f>IF(H3119="OK",O3119,0)</f>
        <v/>
      </c>
      <c r="T3119">
        <f>IF(H3119="OK",N3119,"")</f>
        <v/>
      </c>
      <c r="U3119">
        <f>TRIM('Cash_Check'!C119)</f>
        <v/>
      </c>
    </row>
    <row r="3120">
      <c r="A3120" s="62">
        <f>IF(H3120="","",IF(ISNUMBER(N3120),N3120,I3120))</f>
        <v/>
      </c>
      <c r="B3120">
        <f>IF(H3120="","",U3120)</f>
        <v/>
      </c>
      <c r="C3120">
        <f>IF(H3120="","",IF(P3120="",K3120,INDEX('Students'!$A$2:$A$701,P3120)))</f>
        <v/>
      </c>
      <c r="D3120">
        <f>IF(OR(H3120="",P3120=""),"",INDEX('Students'!$B$2:$B$701,P3120))</f>
        <v/>
      </c>
      <c r="E3120">
        <f>IF(OR(H3120="",P3120=""),"",INDEX('Students'!$C$2:$C$701,P3120))</f>
        <v/>
      </c>
      <c r="F3120" s="48">
        <f>IF(H3120="","",IF(ISNUMBER(O3120),O3120,J3120))</f>
        <v/>
      </c>
      <c r="G3120">
        <f>IF(H3120="","",M3120)</f>
        <v/>
      </c>
      <c r="H3120">
        <f>IF(AND(I3120="",J3120="",K3120=""),"",IF(OR(NOT(ISNUMBER(O3120)),N(O3120)&lt;=0),"Bad amount",IF(NOT(ISNUMBER(N3120)),"Bad date",IF(P3120="","NAME NOT ON ROSTER","OK"))))</f>
        <v/>
      </c>
      <c r="I3120">
        <f>IF('Cash_Check'!A120="","",'Cash_Check'!A120)</f>
        <v/>
      </c>
      <c r="J3120">
        <f>IF('Cash_Check'!D120="","",'Cash_Check'!D120)</f>
        <v/>
      </c>
      <c r="K3120">
        <f>TRIM('Cash_Check'!B120)</f>
        <v/>
      </c>
      <c r="M3120">
        <f>IF(TRIM('Cash_Check'!E120)="","Cash/check",TRIM('Cash_Check'!E120))</f>
        <v/>
      </c>
      <c r="N3120">
        <f>IF(I3120="","",IF(ISNUMBER(I3120),INT(I3120),IFERROR(INT(DATEVALUE(I3120)),IFERROR(INT(VALUE(I3120)),"bad"))))</f>
        <v/>
      </c>
      <c r="O3120">
        <f>IF(J3120="","",IF(ISNUMBER(J3120),ROUND(J3120,2),IFERROR(ROUND(VALUE(SUBSTITUTE(SUBSTITUTE(SUBSTITUTE(J3120,"$",""),",","")," ","")),2),"bad")))</f>
        <v/>
      </c>
      <c r="P3120">
        <f>IF(K3120="","",IFERROR(MATCH(IF(ISNUMBER(FIND("#",K3120)),TRIM(MID(K3120,FIND("#",K3120)+1,20)),UPPER(K3120)),'Students'!$AD$2:$AD$701,0),""))</f>
        <v/>
      </c>
      <c r="R3120">
        <f>IF(P3120="","",INDEX('Students'!$AD$2:$AD$701,P3120))</f>
        <v/>
      </c>
      <c r="S3120">
        <f>IF(H3120="OK",O3120,0)</f>
        <v/>
      </c>
      <c r="T3120">
        <f>IF(H3120="OK",N3120,"")</f>
        <v/>
      </c>
      <c r="U3120">
        <f>TRIM('Cash_Check'!C120)</f>
        <v/>
      </c>
    </row>
    <row r="3121">
      <c r="A3121" s="62">
        <f>IF(H3121="","",IF(ISNUMBER(N3121),N3121,I3121))</f>
        <v/>
      </c>
      <c r="B3121">
        <f>IF(H3121="","",U3121)</f>
        <v/>
      </c>
      <c r="C3121">
        <f>IF(H3121="","",IF(P3121="",K3121,INDEX('Students'!$A$2:$A$701,P3121)))</f>
        <v/>
      </c>
      <c r="D3121">
        <f>IF(OR(H3121="",P3121=""),"",INDEX('Students'!$B$2:$B$701,P3121))</f>
        <v/>
      </c>
      <c r="E3121">
        <f>IF(OR(H3121="",P3121=""),"",INDEX('Students'!$C$2:$C$701,P3121))</f>
        <v/>
      </c>
      <c r="F3121" s="48">
        <f>IF(H3121="","",IF(ISNUMBER(O3121),O3121,J3121))</f>
        <v/>
      </c>
      <c r="G3121">
        <f>IF(H3121="","",M3121)</f>
        <v/>
      </c>
      <c r="H3121">
        <f>IF(AND(I3121="",J3121="",K3121=""),"",IF(OR(NOT(ISNUMBER(O3121)),N(O3121)&lt;=0),"Bad amount",IF(NOT(ISNUMBER(N3121)),"Bad date",IF(P3121="","NAME NOT ON ROSTER","OK"))))</f>
        <v/>
      </c>
      <c r="I3121">
        <f>IF('Cash_Check'!A121="","",'Cash_Check'!A121)</f>
        <v/>
      </c>
      <c r="J3121">
        <f>IF('Cash_Check'!D121="","",'Cash_Check'!D121)</f>
        <v/>
      </c>
      <c r="K3121">
        <f>TRIM('Cash_Check'!B121)</f>
        <v/>
      </c>
      <c r="M3121">
        <f>IF(TRIM('Cash_Check'!E121)="","Cash/check",TRIM('Cash_Check'!E121))</f>
        <v/>
      </c>
      <c r="N3121">
        <f>IF(I3121="","",IF(ISNUMBER(I3121),INT(I3121),IFERROR(INT(DATEVALUE(I3121)),IFERROR(INT(VALUE(I3121)),"bad"))))</f>
        <v/>
      </c>
      <c r="O3121">
        <f>IF(J3121="","",IF(ISNUMBER(J3121),ROUND(J3121,2),IFERROR(ROUND(VALUE(SUBSTITUTE(SUBSTITUTE(SUBSTITUTE(J3121,"$",""),",","")," ","")),2),"bad")))</f>
        <v/>
      </c>
      <c r="P3121">
        <f>IF(K3121="","",IFERROR(MATCH(IF(ISNUMBER(FIND("#",K3121)),TRIM(MID(K3121,FIND("#",K3121)+1,20)),UPPER(K3121)),'Students'!$AD$2:$AD$701,0),""))</f>
        <v/>
      </c>
      <c r="R3121">
        <f>IF(P3121="","",INDEX('Students'!$AD$2:$AD$701,P3121))</f>
        <v/>
      </c>
      <c r="S3121">
        <f>IF(H3121="OK",O3121,0)</f>
        <v/>
      </c>
      <c r="T3121">
        <f>IF(H3121="OK",N3121,"")</f>
        <v/>
      </c>
      <c r="U3121">
        <f>TRIM('Cash_Check'!C121)</f>
        <v/>
      </c>
    </row>
    <row r="3122">
      <c r="A3122" s="62">
        <f>IF(H3122="","",IF(ISNUMBER(N3122),N3122,I3122))</f>
        <v/>
      </c>
      <c r="B3122">
        <f>IF(H3122="","",U3122)</f>
        <v/>
      </c>
      <c r="C3122">
        <f>IF(H3122="","",IF(P3122="",K3122,INDEX('Students'!$A$2:$A$701,P3122)))</f>
        <v/>
      </c>
      <c r="D3122">
        <f>IF(OR(H3122="",P3122=""),"",INDEX('Students'!$B$2:$B$701,P3122))</f>
        <v/>
      </c>
      <c r="E3122">
        <f>IF(OR(H3122="",P3122=""),"",INDEX('Students'!$C$2:$C$701,P3122))</f>
        <v/>
      </c>
      <c r="F3122" s="48">
        <f>IF(H3122="","",IF(ISNUMBER(O3122),O3122,J3122))</f>
        <v/>
      </c>
      <c r="G3122">
        <f>IF(H3122="","",M3122)</f>
        <v/>
      </c>
      <c r="H3122">
        <f>IF(AND(I3122="",J3122="",K3122=""),"",IF(OR(NOT(ISNUMBER(O3122)),N(O3122)&lt;=0),"Bad amount",IF(NOT(ISNUMBER(N3122)),"Bad date",IF(P3122="","NAME NOT ON ROSTER","OK"))))</f>
        <v/>
      </c>
      <c r="I3122">
        <f>IF('Cash_Check'!A122="","",'Cash_Check'!A122)</f>
        <v/>
      </c>
      <c r="J3122">
        <f>IF('Cash_Check'!D122="","",'Cash_Check'!D122)</f>
        <v/>
      </c>
      <c r="K3122">
        <f>TRIM('Cash_Check'!B122)</f>
        <v/>
      </c>
      <c r="M3122">
        <f>IF(TRIM('Cash_Check'!E122)="","Cash/check",TRIM('Cash_Check'!E122))</f>
        <v/>
      </c>
      <c r="N3122">
        <f>IF(I3122="","",IF(ISNUMBER(I3122),INT(I3122),IFERROR(INT(DATEVALUE(I3122)),IFERROR(INT(VALUE(I3122)),"bad"))))</f>
        <v/>
      </c>
      <c r="O3122">
        <f>IF(J3122="","",IF(ISNUMBER(J3122),ROUND(J3122,2),IFERROR(ROUND(VALUE(SUBSTITUTE(SUBSTITUTE(SUBSTITUTE(J3122,"$",""),",","")," ","")),2),"bad")))</f>
        <v/>
      </c>
      <c r="P3122">
        <f>IF(K3122="","",IFERROR(MATCH(IF(ISNUMBER(FIND("#",K3122)),TRIM(MID(K3122,FIND("#",K3122)+1,20)),UPPER(K3122)),'Students'!$AD$2:$AD$701,0),""))</f>
        <v/>
      </c>
      <c r="R3122">
        <f>IF(P3122="","",INDEX('Students'!$AD$2:$AD$701,P3122))</f>
        <v/>
      </c>
      <c r="S3122">
        <f>IF(H3122="OK",O3122,0)</f>
        <v/>
      </c>
      <c r="T3122">
        <f>IF(H3122="OK",N3122,"")</f>
        <v/>
      </c>
      <c r="U3122">
        <f>TRIM('Cash_Check'!C122)</f>
        <v/>
      </c>
    </row>
    <row r="3123">
      <c r="A3123" s="62">
        <f>IF(H3123="","",IF(ISNUMBER(N3123),N3123,I3123))</f>
        <v/>
      </c>
      <c r="B3123">
        <f>IF(H3123="","",U3123)</f>
        <v/>
      </c>
      <c r="C3123">
        <f>IF(H3123="","",IF(P3123="",K3123,INDEX('Students'!$A$2:$A$701,P3123)))</f>
        <v/>
      </c>
      <c r="D3123">
        <f>IF(OR(H3123="",P3123=""),"",INDEX('Students'!$B$2:$B$701,P3123))</f>
        <v/>
      </c>
      <c r="E3123">
        <f>IF(OR(H3123="",P3123=""),"",INDEX('Students'!$C$2:$C$701,P3123))</f>
        <v/>
      </c>
      <c r="F3123" s="48">
        <f>IF(H3123="","",IF(ISNUMBER(O3123),O3123,J3123))</f>
        <v/>
      </c>
      <c r="G3123">
        <f>IF(H3123="","",M3123)</f>
        <v/>
      </c>
      <c r="H3123">
        <f>IF(AND(I3123="",J3123="",K3123=""),"",IF(OR(NOT(ISNUMBER(O3123)),N(O3123)&lt;=0),"Bad amount",IF(NOT(ISNUMBER(N3123)),"Bad date",IF(P3123="","NAME NOT ON ROSTER","OK"))))</f>
        <v/>
      </c>
      <c r="I3123">
        <f>IF('Cash_Check'!A123="","",'Cash_Check'!A123)</f>
        <v/>
      </c>
      <c r="J3123">
        <f>IF('Cash_Check'!D123="","",'Cash_Check'!D123)</f>
        <v/>
      </c>
      <c r="K3123">
        <f>TRIM('Cash_Check'!B123)</f>
        <v/>
      </c>
      <c r="M3123">
        <f>IF(TRIM('Cash_Check'!E123)="","Cash/check",TRIM('Cash_Check'!E123))</f>
        <v/>
      </c>
      <c r="N3123">
        <f>IF(I3123="","",IF(ISNUMBER(I3123),INT(I3123),IFERROR(INT(DATEVALUE(I3123)),IFERROR(INT(VALUE(I3123)),"bad"))))</f>
        <v/>
      </c>
      <c r="O3123">
        <f>IF(J3123="","",IF(ISNUMBER(J3123),ROUND(J3123,2),IFERROR(ROUND(VALUE(SUBSTITUTE(SUBSTITUTE(SUBSTITUTE(J3123,"$",""),",","")," ","")),2),"bad")))</f>
        <v/>
      </c>
      <c r="P3123">
        <f>IF(K3123="","",IFERROR(MATCH(IF(ISNUMBER(FIND("#",K3123)),TRIM(MID(K3123,FIND("#",K3123)+1,20)),UPPER(K3123)),'Students'!$AD$2:$AD$701,0),""))</f>
        <v/>
      </c>
      <c r="R3123">
        <f>IF(P3123="","",INDEX('Students'!$AD$2:$AD$701,P3123))</f>
        <v/>
      </c>
      <c r="S3123">
        <f>IF(H3123="OK",O3123,0)</f>
        <v/>
      </c>
      <c r="T3123">
        <f>IF(H3123="OK",N3123,"")</f>
        <v/>
      </c>
      <c r="U3123">
        <f>TRIM('Cash_Check'!C123)</f>
        <v/>
      </c>
    </row>
    <row r="3124">
      <c r="A3124" s="62">
        <f>IF(H3124="","",IF(ISNUMBER(N3124),N3124,I3124))</f>
        <v/>
      </c>
      <c r="B3124">
        <f>IF(H3124="","",U3124)</f>
        <v/>
      </c>
      <c r="C3124">
        <f>IF(H3124="","",IF(P3124="",K3124,INDEX('Students'!$A$2:$A$701,P3124)))</f>
        <v/>
      </c>
      <c r="D3124">
        <f>IF(OR(H3124="",P3124=""),"",INDEX('Students'!$B$2:$B$701,P3124))</f>
        <v/>
      </c>
      <c r="E3124">
        <f>IF(OR(H3124="",P3124=""),"",INDEX('Students'!$C$2:$C$701,P3124))</f>
        <v/>
      </c>
      <c r="F3124" s="48">
        <f>IF(H3124="","",IF(ISNUMBER(O3124),O3124,J3124))</f>
        <v/>
      </c>
      <c r="G3124">
        <f>IF(H3124="","",M3124)</f>
        <v/>
      </c>
      <c r="H3124">
        <f>IF(AND(I3124="",J3124="",K3124=""),"",IF(OR(NOT(ISNUMBER(O3124)),N(O3124)&lt;=0),"Bad amount",IF(NOT(ISNUMBER(N3124)),"Bad date",IF(P3124="","NAME NOT ON ROSTER","OK"))))</f>
        <v/>
      </c>
      <c r="I3124">
        <f>IF('Cash_Check'!A124="","",'Cash_Check'!A124)</f>
        <v/>
      </c>
      <c r="J3124">
        <f>IF('Cash_Check'!D124="","",'Cash_Check'!D124)</f>
        <v/>
      </c>
      <c r="K3124">
        <f>TRIM('Cash_Check'!B124)</f>
        <v/>
      </c>
      <c r="M3124">
        <f>IF(TRIM('Cash_Check'!E124)="","Cash/check",TRIM('Cash_Check'!E124))</f>
        <v/>
      </c>
      <c r="N3124">
        <f>IF(I3124="","",IF(ISNUMBER(I3124),INT(I3124),IFERROR(INT(DATEVALUE(I3124)),IFERROR(INT(VALUE(I3124)),"bad"))))</f>
        <v/>
      </c>
      <c r="O3124">
        <f>IF(J3124="","",IF(ISNUMBER(J3124),ROUND(J3124,2),IFERROR(ROUND(VALUE(SUBSTITUTE(SUBSTITUTE(SUBSTITUTE(J3124,"$",""),",","")," ","")),2),"bad")))</f>
        <v/>
      </c>
      <c r="P3124">
        <f>IF(K3124="","",IFERROR(MATCH(IF(ISNUMBER(FIND("#",K3124)),TRIM(MID(K3124,FIND("#",K3124)+1,20)),UPPER(K3124)),'Students'!$AD$2:$AD$701,0),""))</f>
        <v/>
      </c>
      <c r="R3124">
        <f>IF(P3124="","",INDEX('Students'!$AD$2:$AD$701,P3124))</f>
        <v/>
      </c>
      <c r="S3124">
        <f>IF(H3124="OK",O3124,0)</f>
        <v/>
      </c>
      <c r="T3124">
        <f>IF(H3124="OK",N3124,"")</f>
        <v/>
      </c>
      <c r="U3124">
        <f>TRIM('Cash_Check'!C124)</f>
        <v/>
      </c>
    </row>
    <row r="3125">
      <c r="A3125" s="62">
        <f>IF(H3125="","",IF(ISNUMBER(N3125),N3125,I3125))</f>
        <v/>
      </c>
      <c r="B3125">
        <f>IF(H3125="","",U3125)</f>
        <v/>
      </c>
      <c r="C3125">
        <f>IF(H3125="","",IF(P3125="",K3125,INDEX('Students'!$A$2:$A$701,P3125)))</f>
        <v/>
      </c>
      <c r="D3125">
        <f>IF(OR(H3125="",P3125=""),"",INDEX('Students'!$B$2:$B$701,P3125))</f>
        <v/>
      </c>
      <c r="E3125">
        <f>IF(OR(H3125="",P3125=""),"",INDEX('Students'!$C$2:$C$701,P3125))</f>
        <v/>
      </c>
      <c r="F3125" s="48">
        <f>IF(H3125="","",IF(ISNUMBER(O3125),O3125,J3125))</f>
        <v/>
      </c>
      <c r="G3125">
        <f>IF(H3125="","",M3125)</f>
        <v/>
      </c>
      <c r="H3125">
        <f>IF(AND(I3125="",J3125="",K3125=""),"",IF(OR(NOT(ISNUMBER(O3125)),N(O3125)&lt;=0),"Bad amount",IF(NOT(ISNUMBER(N3125)),"Bad date",IF(P3125="","NAME NOT ON ROSTER","OK"))))</f>
        <v/>
      </c>
      <c r="I3125">
        <f>IF('Cash_Check'!A125="","",'Cash_Check'!A125)</f>
        <v/>
      </c>
      <c r="J3125">
        <f>IF('Cash_Check'!D125="","",'Cash_Check'!D125)</f>
        <v/>
      </c>
      <c r="K3125">
        <f>TRIM('Cash_Check'!B125)</f>
        <v/>
      </c>
      <c r="M3125">
        <f>IF(TRIM('Cash_Check'!E125)="","Cash/check",TRIM('Cash_Check'!E125))</f>
        <v/>
      </c>
      <c r="N3125">
        <f>IF(I3125="","",IF(ISNUMBER(I3125),INT(I3125),IFERROR(INT(DATEVALUE(I3125)),IFERROR(INT(VALUE(I3125)),"bad"))))</f>
        <v/>
      </c>
      <c r="O3125">
        <f>IF(J3125="","",IF(ISNUMBER(J3125),ROUND(J3125,2),IFERROR(ROUND(VALUE(SUBSTITUTE(SUBSTITUTE(SUBSTITUTE(J3125,"$",""),",","")," ","")),2),"bad")))</f>
        <v/>
      </c>
      <c r="P3125">
        <f>IF(K3125="","",IFERROR(MATCH(IF(ISNUMBER(FIND("#",K3125)),TRIM(MID(K3125,FIND("#",K3125)+1,20)),UPPER(K3125)),'Students'!$AD$2:$AD$701,0),""))</f>
        <v/>
      </c>
      <c r="R3125">
        <f>IF(P3125="","",INDEX('Students'!$AD$2:$AD$701,P3125))</f>
        <v/>
      </c>
      <c r="S3125">
        <f>IF(H3125="OK",O3125,0)</f>
        <v/>
      </c>
      <c r="T3125">
        <f>IF(H3125="OK",N3125,"")</f>
        <v/>
      </c>
      <c r="U3125">
        <f>TRIM('Cash_Check'!C125)</f>
        <v/>
      </c>
    </row>
    <row r="3126">
      <c r="A3126" s="62">
        <f>IF(H3126="","",IF(ISNUMBER(N3126),N3126,I3126))</f>
        <v/>
      </c>
      <c r="B3126">
        <f>IF(H3126="","",U3126)</f>
        <v/>
      </c>
      <c r="C3126">
        <f>IF(H3126="","",IF(P3126="",K3126,INDEX('Students'!$A$2:$A$701,P3126)))</f>
        <v/>
      </c>
      <c r="D3126">
        <f>IF(OR(H3126="",P3126=""),"",INDEX('Students'!$B$2:$B$701,P3126))</f>
        <v/>
      </c>
      <c r="E3126">
        <f>IF(OR(H3126="",P3126=""),"",INDEX('Students'!$C$2:$C$701,P3126))</f>
        <v/>
      </c>
      <c r="F3126" s="48">
        <f>IF(H3126="","",IF(ISNUMBER(O3126),O3126,J3126))</f>
        <v/>
      </c>
      <c r="G3126">
        <f>IF(H3126="","",M3126)</f>
        <v/>
      </c>
      <c r="H3126">
        <f>IF(AND(I3126="",J3126="",K3126=""),"",IF(OR(NOT(ISNUMBER(O3126)),N(O3126)&lt;=0),"Bad amount",IF(NOT(ISNUMBER(N3126)),"Bad date",IF(P3126="","NAME NOT ON ROSTER","OK"))))</f>
        <v/>
      </c>
      <c r="I3126">
        <f>IF('Cash_Check'!A126="","",'Cash_Check'!A126)</f>
        <v/>
      </c>
      <c r="J3126">
        <f>IF('Cash_Check'!D126="","",'Cash_Check'!D126)</f>
        <v/>
      </c>
      <c r="K3126">
        <f>TRIM('Cash_Check'!B126)</f>
        <v/>
      </c>
      <c r="M3126">
        <f>IF(TRIM('Cash_Check'!E126)="","Cash/check",TRIM('Cash_Check'!E126))</f>
        <v/>
      </c>
      <c r="N3126">
        <f>IF(I3126="","",IF(ISNUMBER(I3126),INT(I3126),IFERROR(INT(DATEVALUE(I3126)),IFERROR(INT(VALUE(I3126)),"bad"))))</f>
        <v/>
      </c>
      <c r="O3126">
        <f>IF(J3126="","",IF(ISNUMBER(J3126),ROUND(J3126,2),IFERROR(ROUND(VALUE(SUBSTITUTE(SUBSTITUTE(SUBSTITUTE(J3126,"$",""),",","")," ","")),2),"bad")))</f>
        <v/>
      </c>
      <c r="P3126">
        <f>IF(K3126="","",IFERROR(MATCH(IF(ISNUMBER(FIND("#",K3126)),TRIM(MID(K3126,FIND("#",K3126)+1,20)),UPPER(K3126)),'Students'!$AD$2:$AD$701,0),""))</f>
        <v/>
      </c>
      <c r="R3126">
        <f>IF(P3126="","",INDEX('Students'!$AD$2:$AD$701,P3126))</f>
        <v/>
      </c>
      <c r="S3126">
        <f>IF(H3126="OK",O3126,0)</f>
        <v/>
      </c>
      <c r="T3126">
        <f>IF(H3126="OK",N3126,"")</f>
        <v/>
      </c>
      <c r="U3126">
        <f>TRIM('Cash_Check'!C126)</f>
        <v/>
      </c>
    </row>
    <row r="3127">
      <c r="A3127" s="62">
        <f>IF(H3127="","",IF(ISNUMBER(N3127),N3127,I3127))</f>
        <v/>
      </c>
      <c r="B3127">
        <f>IF(H3127="","",U3127)</f>
        <v/>
      </c>
      <c r="C3127">
        <f>IF(H3127="","",IF(P3127="",K3127,INDEX('Students'!$A$2:$A$701,P3127)))</f>
        <v/>
      </c>
      <c r="D3127">
        <f>IF(OR(H3127="",P3127=""),"",INDEX('Students'!$B$2:$B$701,P3127))</f>
        <v/>
      </c>
      <c r="E3127">
        <f>IF(OR(H3127="",P3127=""),"",INDEX('Students'!$C$2:$C$701,P3127))</f>
        <v/>
      </c>
      <c r="F3127" s="48">
        <f>IF(H3127="","",IF(ISNUMBER(O3127),O3127,J3127))</f>
        <v/>
      </c>
      <c r="G3127">
        <f>IF(H3127="","",M3127)</f>
        <v/>
      </c>
      <c r="H3127">
        <f>IF(AND(I3127="",J3127="",K3127=""),"",IF(OR(NOT(ISNUMBER(O3127)),N(O3127)&lt;=0),"Bad amount",IF(NOT(ISNUMBER(N3127)),"Bad date",IF(P3127="","NAME NOT ON ROSTER","OK"))))</f>
        <v/>
      </c>
      <c r="I3127">
        <f>IF('Cash_Check'!A127="","",'Cash_Check'!A127)</f>
        <v/>
      </c>
      <c r="J3127">
        <f>IF('Cash_Check'!D127="","",'Cash_Check'!D127)</f>
        <v/>
      </c>
      <c r="K3127">
        <f>TRIM('Cash_Check'!B127)</f>
        <v/>
      </c>
      <c r="M3127">
        <f>IF(TRIM('Cash_Check'!E127)="","Cash/check",TRIM('Cash_Check'!E127))</f>
        <v/>
      </c>
      <c r="N3127">
        <f>IF(I3127="","",IF(ISNUMBER(I3127),INT(I3127),IFERROR(INT(DATEVALUE(I3127)),IFERROR(INT(VALUE(I3127)),"bad"))))</f>
        <v/>
      </c>
      <c r="O3127">
        <f>IF(J3127="","",IF(ISNUMBER(J3127),ROUND(J3127,2),IFERROR(ROUND(VALUE(SUBSTITUTE(SUBSTITUTE(SUBSTITUTE(J3127,"$",""),",","")," ","")),2),"bad")))</f>
        <v/>
      </c>
      <c r="P3127">
        <f>IF(K3127="","",IFERROR(MATCH(IF(ISNUMBER(FIND("#",K3127)),TRIM(MID(K3127,FIND("#",K3127)+1,20)),UPPER(K3127)),'Students'!$AD$2:$AD$701,0),""))</f>
        <v/>
      </c>
      <c r="R3127">
        <f>IF(P3127="","",INDEX('Students'!$AD$2:$AD$701,P3127))</f>
        <v/>
      </c>
      <c r="S3127">
        <f>IF(H3127="OK",O3127,0)</f>
        <v/>
      </c>
      <c r="T3127">
        <f>IF(H3127="OK",N3127,"")</f>
        <v/>
      </c>
      <c r="U3127">
        <f>TRIM('Cash_Check'!C127)</f>
        <v/>
      </c>
    </row>
    <row r="3128">
      <c r="A3128" s="62">
        <f>IF(H3128="","",IF(ISNUMBER(N3128),N3128,I3128))</f>
        <v/>
      </c>
      <c r="B3128">
        <f>IF(H3128="","",U3128)</f>
        <v/>
      </c>
      <c r="C3128">
        <f>IF(H3128="","",IF(P3128="",K3128,INDEX('Students'!$A$2:$A$701,P3128)))</f>
        <v/>
      </c>
      <c r="D3128">
        <f>IF(OR(H3128="",P3128=""),"",INDEX('Students'!$B$2:$B$701,P3128))</f>
        <v/>
      </c>
      <c r="E3128">
        <f>IF(OR(H3128="",P3128=""),"",INDEX('Students'!$C$2:$C$701,P3128))</f>
        <v/>
      </c>
      <c r="F3128" s="48">
        <f>IF(H3128="","",IF(ISNUMBER(O3128),O3128,J3128))</f>
        <v/>
      </c>
      <c r="G3128">
        <f>IF(H3128="","",M3128)</f>
        <v/>
      </c>
      <c r="H3128">
        <f>IF(AND(I3128="",J3128="",K3128=""),"",IF(OR(NOT(ISNUMBER(O3128)),N(O3128)&lt;=0),"Bad amount",IF(NOT(ISNUMBER(N3128)),"Bad date",IF(P3128="","NAME NOT ON ROSTER","OK"))))</f>
        <v/>
      </c>
      <c r="I3128">
        <f>IF('Cash_Check'!A128="","",'Cash_Check'!A128)</f>
        <v/>
      </c>
      <c r="J3128">
        <f>IF('Cash_Check'!D128="","",'Cash_Check'!D128)</f>
        <v/>
      </c>
      <c r="K3128">
        <f>TRIM('Cash_Check'!B128)</f>
        <v/>
      </c>
      <c r="M3128">
        <f>IF(TRIM('Cash_Check'!E128)="","Cash/check",TRIM('Cash_Check'!E128))</f>
        <v/>
      </c>
      <c r="N3128">
        <f>IF(I3128="","",IF(ISNUMBER(I3128),INT(I3128),IFERROR(INT(DATEVALUE(I3128)),IFERROR(INT(VALUE(I3128)),"bad"))))</f>
        <v/>
      </c>
      <c r="O3128">
        <f>IF(J3128="","",IF(ISNUMBER(J3128),ROUND(J3128,2),IFERROR(ROUND(VALUE(SUBSTITUTE(SUBSTITUTE(SUBSTITUTE(J3128,"$",""),",","")," ","")),2),"bad")))</f>
        <v/>
      </c>
      <c r="P3128">
        <f>IF(K3128="","",IFERROR(MATCH(IF(ISNUMBER(FIND("#",K3128)),TRIM(MID(K3128,FIND("#",K3128)+1,20)),UPPER(K3128)),'Students'!$AD$2:$AD$701,0),""))</f>
        <v/>
      </c>
      <c r="R3128">
        <f>IF(P3128="","",INDEX('Students'!$AD$2:$AD$701,P3128))</f>
        <v/>
      </c>
      <c r="S3128">
        <f>IF(H3128="OK",O3128,0)</f>
        <v/>
      </c>
      <c r="T3128">
        <f>IF(H3128="OK",N3128,"")</f>
        <v/>
      </c>
      <c r="U3128">
        <f>TRIM('Cash_Check'!C128)</f>
        <v/>
      </c>
    </row>
    <row r="3129">
      <c r="A3129" s="62">
        <f>IF(H3129="","",IF(ISNUMBER(N3129),N3129,I3129))</f>
        <v/>
      </c>
      <c r="B3129">
        <f>IF(H3129="","",U3129)</f>
        <v/>
      </c>
      <c r="C3129">
        <f>IF(H3129="","",IF(P3129="",K3129,INDEX('Students'!$A$2:$A$701,P3129)))</f>
        <v/>
      </c>
      <c r="D3129">
        <f>IF(OR(H3129="",P3129=""),"",INDEX('Students'!$B$2:$B$701,P3129))</f>
        <v/>
      </c>
      <c r="E3129">
        <f>IF(OR(H3129="",P3129=""),"",INDEX('Students'!$C$2:$C$701,P3129))</f>
        <v/>
      </c>
      <c r="F3129" s="48">
        <f>IF(H3129="","",IF(ISNUMBER(O3129),O3129,J3129))</f>
        <v/>
      </c>
      <c r="G3129">
        <f>IF(H3129="","",M3129)</f>
        <v/>
      </c>
      <c r="H3129">
        <f>IF(AND(I3129="",J3129="",K3129=""),"",IF(OR(NOT(ISNUMBER(O3129)),N(O3129)&lt;=0),"Bad amount",IF(NOT(ISNUMBER(N3129)),"Bad date",IF(P3129="","NAME NOT ON ROSTER","OK"))))</f>
        <v/>
      </c>
      <c r="I3129">
        <f>IF('Cash_Check'!A129="","",'Cash_Check'!A129)</f>
        <v/>
      </c>
      <c r="J3129">
        <f>IF('Cash_Check'!D129="","",'Cash_Check'!D129)</f>
        <v/>
      </c>
      <c r="K3129">
        <f>TRIM('Cash_Check'!B129)</f>
        <v/>
      </c>
      <c r="M3129">
        <f>IF(TRIM('Cash_Check'!E129)="","Cash/check",TRIM('Cash_Check'!E129))</f>
        <v/>
      </c>
      <c r="N3129">
        <f>IF(I3129="","",IF(ISNUMBER(I3129),INT(I3129),IFERROR(INT(DATEVALUE(I3129)),IFERROR(INT(VALUE(I3129)),"bad"))))</f>
        <v/>
      </c>
      <c r="O3129">
        <f>IF(J3129="","",IF(ISNUMBER(J3129),ROUND(J3129,2),IFERROR(ROUND(VALUE(SUBSTITUTE(SUBSTITUTE(SUBSTITUTE(J3129,"$",""),",","")," ","")),2),"bad")))</f>
        <v/>
      </c>
      <c r="P3129">
        <f>IF(K3129="","",IFERROR(MATCH(IF(ISNUMBER(FIND("#",K3129)),TRIM(MID(K3129,FIND("#",K3129)+1,20)),UPPER(K3129)),'Students'!$AD$2:$AD$701,0),""))</f>
        <v/>
      </c>
      <c r="R3129">
        <f>IF(P3129="","",INDEX('Students'!$AD$2:$AD$701,P3129))</f>
        <v/>
      </c>
      <c r="S3129">
        <f>IF(H3129="OK",O3129,0)</f>
        <v/>
      </c>
      <c r="T3129">
        <f>IF(H3129="OK",N3129,"")</f>
        <v/>
      </c>
      <c r="U3129">
        <f>TRIM('Cash_Check'!C129)</f>
        <v/>
      </c>
    </row>
    <row r="3130">
      <c r="A3130" s="62">
        <f>IF(H3130="","",IF(ISNUMBER(N3130),N3130,I3130))</f>
        <v/>
      </c>
      <c r="B3130">
        <f>IF(H3130="","",U3130)</f>
        <v/>
      </c>
      <c r="C3130">
        <f>IF(H3130="","",IF(P3130="",K3130,INDEX('Students'!$A$2:$A$701,P3130)))</f>
        <v/>
      </c>
      <c r="D3130">
        <f>IF(OR(H3130="",P3130=""),"",INDEX('Students'!$B$2:$B$701,P3130))</f>
        <v/>
      </c>
      <c r="E3130">
        <f>IF(OR(H3130="",P3130=""),"",INDEX('Students'!$C$2:$C$701,P3130))</f>
        <v/>
      </c>
      <c r="F3130" s="48">
        <f>IF(H3130="","",IF(ISNUMBER(O3130),O3130,J3130))</f>
        <v/>
      </c>
      <c r="G3130">
        <f>IF(H3130="","",M3130)</f>
        <v/>
      </c>
      <c r="H3130">
        <f>IF(AND(I3130="",J3130="",K3130=""),"",IF(OR(NOT(ISNUMBER(O3130)),N(O3130)&lt;=0),"Bad amount",IF(NOT(ISNUMBER(N3130)),"Bad date",IF(P3130="","NAME NOT ON ROSTER","OK"))))</f>
        <v/>
      </c>
      <c r="I3130">
        <f>IF('Cash_Check'!A130="","",'Cash_Check'!A130)</f>
        <v/>
      </c>
      <c r="J3130">
        <f>IF('Cash_Check'!D130="","",'Cash_Check'!D130)</f>
        <v/>
      </c>
      <c r="K3130">
        <f>TRIM('Cash_Check'!B130)</f>
        <v/>
      </c>
      <c r="M3130">
        <f>IF(TRIM('Cash_Check'!E130)="","Cash/check",TRIM('Cash_Check'!E130))</f>
        <v/>
      </c>
      <c r="N3130">
        <f>IF(I3130="","",IF(ISNUMBER(I3130),INT(I3130),IFERROR(INT(DATEVALUE(I3130)),IFERROR(INT(VALUE(I3130)),"bad"))))</f>
        <v/>
      </c>
      <c r="O3130">
        <f>IF(J3130="","",IF(ISNUMBER(J3130),ROUND(J3130,2),IFERROR(ROUND(VALUE(SUBSTITUTE(SUBSTITUTE(SUBSTITUTE(J3130,"$",""),",","")," ","")),2),"bad")))</f>
        <v/>
      </c>
      <c r="P3130">
        <f>IF(K3130="","",IFERROR(MATCH(IF(ISNUMBER(FIND("#",K3130)),TRIM(MID(K3130,FIND("#",K3130)+1,20)),UPPER(K3130)),'Students'!$AD$2:$AD$701,0),""))</f>
        <v/>
      </c>
      <c r="R3130">
        <f>IF(P3130="","",INDEX('Students'!$AD$2:$AD$701,P3130))</f>
        <v/>
      </c>
      <c r="S3130">
        <f>IF(H3130="OK",O3130,0)</f>
        <v/>
      </c>
      <c r="T3130">
        <f>IF(H3130="OK",N3130,"")</f>
        <v/>
      </c>
      <c r="U3130">
        <f>TRIM('Cash_Check'!C130)</f>
        <v/>
      </c>
    </row>
    <row r="3131">
      <c r="A3131" s="62">
        <f>IF(H3131="","",IF(ISNUMBER(N3131),N3131,I3131))</f>
        <v/>
      </c>
      <c r="B3131">
        <f>IF(H3131="","",U3131)</f>
        <v/>
      </c>
      <c r="C3131">
        <f>IF(H3131="","",IF(P3131="",K3131,INDEX('Students'!$A$2:$A$701,P3131)))</f>
        <v/>
      </c>
      <c r="D3131">
        <f>IF(OR(H3131="",P3131=""),"",INDEX('Students'!$B$2:$B$701,P3131))</f>
        <v/>
      </c>
      <c r="E3131">
        <f>IF(OR(H3131="",P3131=""),"",INDEX('Students'!$C$2:$C$701,P3131))</f>
        <v/>
      </c>
      <c r="F3131" s="48">
        <f>IF(H3131="","",IF(ISNUMBER(O3131),O3131,J3131))</f>
        <v/>
      </c>
      <c r="G3131">
        <f>IF(H3131="","",M3131)</f>
        <v/>
      </c>
      <c r="H3131">
        <f>IF(AND(I3131="",J3131="",K3131=""),"",IF(OR(NOT(ISNUMBER(O3131)),N(O3131)&lt;=0),"Bad amount",IF(NOT(ISNUMBER(N3131)),"Bad date",IF(P3131="","NAME NOT ON ROSTER","OK"))))</f>
        <v/>
      </c>
      <c r="I3131">
        <f>IF('Cash_Check'!A131="","",'Cash_Check'!A131)</f>
        <v/>
      </c>
      <c r="J3131">
        <f>IF('Cash_Check'!D131="","",'Cash_Check'!D131)</f>
        <v/>
      </c>
      <c r="K3131">
        <f>TRIM('Cash_Check'!B131)</f>
        <v/>
      </c>
      <c r="M3131">
        <f>IF(TRIM('Cash_Check'!E131)="","Cash/check",TRIM('Cash_Check'!E131))</f>
        <v/>
      </c>
      <c r="N3131">
        <f>IF(I3131="","",IF(ISNUMBER(I3131),INT(I3131),IFERROR(INT(DATEVALUE(I3131)),IFERROR(INT(VALUE(I3131)),"bad"))))</f>
        <v/>
      </c>
      <c r="O3131">
        <f>IF(J3131="","",IF(ISNUMBER(J3131),ROUND(J3131,2),IFERROR(ROUND(VALUE(SUBSTITUTE(SUBSTITUTE(SUBSTITUTE(J3131,"$",""),",","")," ","")),2),"bad")))</f>
        <v/>
      </c>
      <c r="P3131">
        <f>IF(K3131="","",IFERROR(MATCH(IF(ISNUMBER(FIND("#",K3131)),TRIM(MID(K3131,FIND("#",K3131)+1,20)),UPPER(K3131)),'Students'!$AD$2:$AD$701,0),""))</f>
        <v/>
      </c>
      <c r="R3131">
        <f>IF(P3131="","",INDEX('Students'!$AD$2:$AD$701,P3131))</f>
        <v/>
      </c>
      <c r="S3131">
        <f>IF(H3131="OK",O3131,0)</f>
        <v/>
      </c>
      <c r="T3131">
        <f>IF(H3131="OK",N3131,"")</f>
        <v/>
      </c>
      <c r="U3131">
        <f>TRIM('Cash_Check'!C131)</f>
        <v/>
      </c>
    </row>
    <row r="3132">
      <c r="A3132" s="62">
        <f>IF(H3132="","",IF(ISNUMBER(N3132),N3132,I3132))</f>
        <v/>
      </c>
      <c r="B3132">
        <f>IF(H3132="","",U3132)</f>
        <v/>
      </c>
      <c r="C3132">
        <f>IF(H3132="","",IF(P3132="",K3132,INDEX('Students'!$A$2:$A$701,P3132)))</f>
        <v/>
      </c>
      <c r="D3132">
        <f>IF(OR(H3132="",P3132=""),"",INDEX('Students'!$B$2:$B$701,P3132))</f>
        <v/>
      </c>
      <c r="E3132">
        <f>IF(OR(H3132="",P3132=""),"",INDEX('Students'!$C$2:$C$701,P3132))</f>
        <v/>
      </c>
      <c r="F3132" s="48">
        <f>IF(H3132="","",IF(ISNUMBER(O3132),O3132,J3132))</f>
        <v/>
      </c>
      <c r="G3132">
        <f>IF(H3132="","",M3132)</f>
        <v/>
      </c>
      <c r="H3132">
        <f>IF(AND(I3132="",J3132="",K3132=""),"",IF(OR(NOT(ISNUMBER(O3132)),N(O3132)&lt;=0),"Bad amount",IF(NOT(ISNUMBER(N3132)),"Bad date",IF(P3132="","NAME NOT ON ROSTER","OK"))))</f>
        <v/>
      </c>
      <c r="I3132">
        <f>IF('Cash_Check'!A132="","",'Cash_Check'!A132)</f>
        <v/>
      </c>
      <c r="J3132">
        <f>IF('Cash_Check'!D132="","",'Cash_Check'!D132)</f>
        <v/>
      </c>
      <c r="K3132">
        <f>TRIM('Cash_Check'!B132)</f>
        <v/>
      </c>
      <c r="M3132">
        <f>IF(TRIM('Cash_Check'!E132)="","Cash/check",TRIM('Cash_Check'!E132))</f>
        <v/>
      </c>
      <c r="N3132">
        <f>IF(I3132="","",IF(ISNUMBER(I3132),INT(I3132),IFERROR(INT(DATEVALUE(I3132)),IFERROR(INT(VALUE(I3132)),"bad"))))</f>
        <v/>
      </c>
      <c r="O3132">
        <f>IF(J3132="","",IF(ISNUMBER(J3132),ROUND(J3132,2),IFERROR(ROUND(VALUE(SUBSTITUTE(SUBSTITUTE(SUBSTITUTE(J3132,"$",""),",","")," ","")),2),"bad")))</f>
        <v/>
      </c>
      <c r="P3132">
        <f>IF(K3132="","",IFERROR(MATCH(IF(ISNUMBER(FIND("#",K3132)),TRIM(MID(K3132,FIND("#",K3132)+1,20)),UPPER(K3132)),'Students'!$AD$2:$AD$701,0),""))</f>
        <v/>
      </c>
      <c r="R3132">
        <f>IF(P3132="","",INDEX('Students'!$AD$2:$AD$701,P3132))</f>
        <v/>
      </c>
      <c r="S3132">
        <f>IF(H3132="OK",O3132,0)</f>
        <v/>
      </c>
      <c r="T3132">
        <f>IF(H3132="OK",N3132,"")</f>
        <v/>
      </c>
      <c r="U3132">
        <f>TRIM('Cash_Check'!C132)</f>
        <v/>
      </c>
    </row>
    <row r="3133">
      <c r="A3133" s="62">
        <f>IF(H3133="","",IF(ISNUMBER(N3133),N3133,I3133))</f>
        <v/>
      </c>
      <c r="B3133">
        <f>IF(H3133="","",U3133)</f>
        <v/>
      </c>
      <c r="C3133">
        <f>IF(H3133="","",IF(P3133="",K3133,INDEX('Students'!$A$2:$A$701,P3133)))</f>
        <v/>
      </c>
      <c r="D3133">
        <f>IF(OR(H3133="",P3133=""),"",INDEX('Students'!$B$2:$B$701,P3133))</f>
        <v/>
      </c>
      <c r="E3133">
        <f>IF(OR(H3133="",P3133=""),"",INDEX('Students'!$C$2:$C$701,P3133))</f>
        <v/>
      </c>
      <c r="F3133" s="48">
        <f>IF(H3133="","",IF(ISNUMBER(O3133),O3133,J3133))</f>
        <v/>
      </c>
      <c r="G3133">
        <f>IF(H3133="","",M3133)</f>
        <v/>
      </c>
      <c r="H3133">
        <f>IF(AND(I3133="",J3133="",K3133=""),"",IF(OR(NOT(ISNUMBER(O3133)),N(O3133)&lt;=0),"Bad amount",IF(NOT(ISNUMBER(N3133)),"Bad date",IF(P3133="","NAME NOT ON ROSTER","OK"))))</f>
        <v/>
      </c>
      <c r="I3133">
        <f>IF('Cash_Check'!A133="","",'Cash_Check'!A133)</f>
        <v/>
      </c>
      <c r="J3133">
        <f>IF('Cash_Check'!D133="","",'Cash_Check'!D133)</f>
        <v/>
      </c>
      <c r="K3133">
        <f>TRIM('Cash_Check'!B133)</f>
        <v/>
      </c>
      <c r="M3133">
        <f>IF(TRIM('Cash_Check'!E133)="","Cash/check",TRIM('Cash_Check'!E133))</f>
        <v/>
      </c>
      <c r="N3133">
        <f>IF(I3133="","",IF(ISNUMBER(I3133),INT(I3133),IFERROR(INT(DATEVALUE(I3133)),IFERROR(INT(VALUE(I3133)),"bad"))))</f>
        <v/>
      </c>
      <c r="O3133">
        <f>IF(J3133="","",IF(ISNUMBER(J3133),ROUND(J3133,2),IFERROR(ROUND(VALUE(SUBSTITUTE(SUBSTITUTE(SUBSTITUTE(J3133,"$",""),",","")," ","")),2),"bad")))</f>
        <v/>
      </c>
      <c r="P3133">
        <f>IF(K3133="","",IFERROR(MATCH(IF(ISNUMBER(FIND("#",K3133)),TRIM(MID(K3133,FIND("#",K3133)+1,20)),UPPER(K3133)),'Students'!$AD$2:$AD$701,0),""))</f>
        <v/>
      </c>
      <c r="R3133">
        <f>IF(P3133="","",INDEX('Students'!$AD$2:$AD$701,P3133))</f>
        <v/>
      </c>
      <c r="S3133">
        <f>IF(H3133="OK",O3133,0)</f>
        <v/>
      </c>
      <c r="T3133">
        <f>IF(H3133="OK",N3133,"")</f>
        <v/>
      </c>
      <c r="U3133">
        <f>TRIM('Cash_Check'!C133)</f>
        <v/>
      </c>
    </row>
    <row r="3134">
      <c r="A3134" s="62">
        <f>IF(H3134="","",IF(ISNUMBER(N3134),N3134,I3134))</f>
        <v/>
      </c>
      <c r="B3134">
        <f>IF(H3134="","",U3134)</f>
        <v/>
      </c>
      <c r="C3134">
        <f>IF(H3134="","",IF(P3134="",K3134,INDEX('Students'!$A$2:$A$701,P3134)))</f>
        <v/>
      </c>
      <c r="D3134">
        <f>IF(OR(H3134="",P3134=""),"",INDEX('Students'!$B$2:$B$701,P3134))</f>
        <v/>
      </c>
      <c r="E3134">
        <f>IF(OR(H3134="",P3134=""),"",INDEX('Students'!$C$2:$C$701,P3134))</f>
        <v/>
      </c>
      <c r="F3134" s="48">
        <f>IF(H3134="","",IF(ISNUMBER(O3134),O3134,J3134))</f>
        <v/>
      </c>
      <c r="G3134">
        <f>IF(H3134="","",M3134)</f>
        <v/>
      </c>
      <c r="H3134">
        <f>IF(AND(I3134="",J3134="",K3134=""),"",IF(OR(NOT(ISNUMBER(O3134)),N(O3134)&lt;=0),"Bad amount",IF(NOT(ISNUMBER(N3134)),"Bad date",IF(P3134="","NAME NOT ON ROSTER","OK"))))</f>
        <v/>
      </c>
      <c r="I3134">
        <f>IF('Cash_Check'!A134="","",'Cash_Check'!A134)</f>
        <v/>
      </c>
      <c r="J3134">
        <f>IF('Cash_Check'!D134="","",'Cash_Check'!D134)</f>
        <v/>
      </c>
      <c r="K3134">
        <f>TRIM('Cash_Check'!B134)</f>
        <v/>
      </c>
      <c r="M3134">
        <f>IF(TRIM('Cash_Check'!E134)="","Cash/check",TRIM('Cash_Check'!E134))</f>
        <v/>
      </c>
      <c r="N3134">
        <f>IF(I3134="","",IF(ISNUMBER(I3134),INT(I3134),IFERROR(INT(DATEVALUE(I3134)),IFERROR(INT(VALUE(I3134)),"bad"))))</f>
        <v/>
      </c>
      <c r="O3134">
        <f>IF(J3134="","",IF(ISNUMBER(J3134),ROUND(J3134,2),IFERROR(ROUND(VALUE(SUBSTITUTE(SUBSTITUTE(SUBSTITUTE(J3134,"$",""),",","")," ","")),2),"bad")))</f>
        <v/>
      </c>
      <c r="P3134">
        <f>IF(K3134="","",IFERROR(MATCH(IF(ISNUMBER(FIND("#",K3134)),TRIM(MID(K3134,FIND("#",K3134)+1,20)),UPPER(K3134)),'Students'!$AD$2:$AD$701,0),""))</f>
        <v/>
      </c>
      <c r="R3134">
        <f>IF(P3134="","",INDEX('Students'!$AD$2:$AD$701,P3134))</f>
        <v/>
      </c>
      <c r="S3134">
        <f>IF(H3134="OK",O3134,0)</f>
        <v/>
      </c>
      <c r="T3134">
        <f>IF(H3134="OK",N3134,"")</f>
        <v/>
      </c>
      <c r="U3134">
        <f>TRIM('Cash_Check'!C134)</f>
        <v/>
      </c>
    </row>
    <row r="3135">
      <c r="A3135" s="62">
        <f>IF(H3135="","",IF(ISNUMBER(N3135),N3135,I3135))</f>
        <v/>
      </c>
      <c r="B3135">
        <f>IF(H3135="","",U3135)</f>
        <v/>
      </c>
      <c r="C3135">
        <f>IF(H3135="","",IF(P3135="",K3135,INDEX('Students'!$A$2:$A$701,P3135)))</f>
        <v/>
      </c>
      <c r="D3135">
        <f>IF(OR(H3135="",P3135=""),"",INDEX('Students'!$B$2:$B$701,P3135))</f>
        <v/>
      </c>
      <c r="E3135">
        <f>IF(OR(H3135="",P3135=""),"",INDEX('Students'!$C$2:$C$701,P3135))</f>
        <v/>
      </c>
      <c r="F3135" s="48">
        <f>IF(H3135="","",IF(ISNUMBER(O3135),O3135,J3135))</f>
        <v/>
      </c>
      <c r="G3135">
        <f>IF(H3135="","",M3135)</f>
        <v/>
      </c>
      <c r="H3135">
        <f>IF(AND(I3135="",J3135="",K3135=""),"",IF(OR(NOT(ISNUMBER(O3135)),N(O3135)&lt;=0),"Bad amount",IF(NOT(ISNUMBER(N3135)),"Bad date",IF(P3135="","NAME NOT ON ROSTER","OK"))))</f>
        <v/>
      </c>
      <c r="I3135">
        <f>IF('Cash_Check'!A135="","",'Cash_Check'!A135)</f>
        <v/>
      </c>
      <c r="J3135">
        <f>IF('Cash_Check'!D135="","",'Cash_Check'!D135)</f>
        <v/>
      </c>
      <c r="K3135">
        <f>TRIM('Cash_Check'!B135)</f>
        <v/>
      </c>
      <c r="M3135">
        <f>IF(TRIM('Cash_Check'!E135)="","Cash/check",TRIM('Cash_Check'!E135))</f>
        <v/>
      </c>
      <c r="N3135">
        <f>IF(I3135="","",IF(ISNUMBER(I3135),INT(I3135),IFERROR(INT(DATEVALUE(I3135)),IFERROR(INT(VALUE(I3135)),"bad"))))</f>
        <v/>
      </c>
      <c r="O3135">
        <f>IF(J3135="","",IF(ISNUMBER(J3135),ROUND(J3135,2),IFERROR(ROUND(VALUE(SUBSTITUTE(SUBSTITUTE(SUBSTITUTE(J3135,"$",""),",","")," ","")),2),"bad")))</f>
        <v/>
      </c>
      <c r="P3135">
        <f>IF(K3135="","",IFERROR(MATCH(IF(ISNUMBER(FIND("#",K3135)),TRIM(MID(K3135,FIND("#",K3135)+1,20)),UPPER(K3135)),'Students'!$AD$2:$AD$701,0),""))</f>
        <v/>
      </c>
      <c r="R3135">
        <f>IF(P3135="","",INDEX('Students'!$AD$2:$AD$701,P3135))</f>
        <v/>
      </c>
      <c r="S3135">
        <f>IF(H3135="OK",O3135,0)</f>
        <v/>
      </c>
      <c r="T3135">
        <f>IF(H3135="OK",N3135,"")</f>
        <v/>
      </c>
      <c r="U3135">
        <f>TRIM('Cash_Check'!C135)</f>
        <v/>
      </c>
    </row>
    <row r="3136">
      <c r="A3136" s="62">
        <f>IF(H3136="","",IF(ISNUMBER(N3136),N3136,I3136))</f>
        <v/>
      </c>
      <c r="B3136">
        <f>IF(H3136="","",U3136)</f>
        <v/>
      </c>
      <c r="C3136">
        <f>IF(H3136="","",IF(P3136="",K3136,INDEX('Students'!$A$2:$A$701,P3136)))</f>
        <v/>
      </c>
      <c r="D3136">
        <f>IF(OR(H3136="",P3136=""),"",INDEX('Students'!$B$2:$B$701,P3136))</f>
        <v/>
      </c>
      <c r="E3136">
        <f>IF(OR(H3136="",P3136=""),"",INDEX('Students'!$C$2:$C$701,P3136))</f>
        <v/>
      </c>
      <c r="F3136" s="48">
        <f>IF(H3136="","",IF(ISNUMBER(O3136),O3136,J3136))</f>
        <v/>
      </c>
      <c r="G3136">
        <f>IF(H3136="","",M3136)</f>
        <v/>
      </c>
      <c r="H3136">
        <f>IF(AND(I3136="",J3136="",K3136=""),"",IF(OR(NOT(ISNUMBER(O3136)),N(O3136)&lt;=0),"Bad amount",IF(NOT(ISNUMBER(N3136)),"Bad date",IF(P3136="","NAME NOT ON ROSTER","OK"))))</f>
        <v/>
      </c>
      <c r="I3136">
        <f>IF('Cash_Check'!A136="","",'Cash_Check'!A136)</f>
        <v/>
      </c>
      <c r="J3136">
        <f>IF('Cash_Check'!D136="","",'Cash_Check'!D136)</f>
        <v/>
      </c>
      <c r="K3136">
        <f>TRIM('Cash_Check'!B136)</f>
        <v/>
      </c>
      <c r="M3136">
        <f>IF(TRIM('Cash_Check'!E136)="","Cash/check",TRIM('Cash_Check'!E136))</f>
        <v/>
      </c>
      <c r="N3136">
        <f>IF(I3136="","",IF(ISNUMBER(I3136),INT(I3136),IFERROR(INT(DATEVALUE(I3136)),IFERROR(INT(VALUE(I3136)),"bad"))))</f>
        <v/>
      </c>
      <c r="O3136">
        <f>IF(J3136="","",IF(ISNUMBER(J3136),ROUND(J3136,2),IFERROR(ROUND(VALUE(SUBSTITUTE(SUBSTITUTE(SUBSTITUTE(J3136,"$",""),",","")," ","")),2),"bad")))</f>
        <v/>
      </c>
      <c r="P3136">
        <f>IF(K3136="","",IFERROR(MATCH(IF(ISNUMBER(FIND("#",K3136)),TRIM(MID(K3136,FIND("#",K3136)+1,20)),UPPER(K3136)),'Students'!$AD$2:$AD$701,0),""))</f>
        <v/>
      </c>
      <c r="R3136">
        <f>IF(P3136="","",INDEX('Students'!$AD$2:$AD$701,P3136))</f>
        <v/>
      </c>
      <c r="S3136">
        <f>IF(H3136="OK",O3136,0)</f>
        <v/>
      </c>
      <c r="T3136">
        <f>IF(H3136="OK",N3136,"")</f>
        <v/>
      </c>
      <c r="U3136">
        <f>TRIM('Cash_Check'!C136)</f>
        <v/>
      </c>
    </row>
    <row r="3137">
      <c r="A3137" s="62">
        <f>IF(H3137="","",IF(ISNUMBER(N3137),N3137,I3137))</f>
        <v/>
      </c>
      <c r="B3137">
        <f>IF(H3137="","",U3137)</f>
        <v/>
      </c>
      <c r="C3137">
        <f>IF(H3137="","",IF(P3137="",K3137,INDEX('Students'!$A$2:$A$701,P3137)))</f>
        <v/>
      </c>
      <c r="D3137">
        <f>IF(OR(H3137="",P3137=""),"",INDEX('Students'!$B$2:$B$701,P3137))</f>
        <v/>
      </c>
      <c r="E3137">
        <f>IF(OR(H3137="",P3137=""),"",INDEX('Students'!$C$2:$C$701,P3137))</f>
        <v/>
      </c>
      <c r="F3137" s="48">
        <f>IF(H3137="","",IF(ISNUMBER(O3137),O3137,J3137))</f>
        <v/>
      </c>
      <c r="G3137">
        <f>IF(H3137="","",M3137)</f>
        <v/>
      </c>
      <c r="H3137">
        <f>IF(AND(I3137="",J3137="",K3137=""),"",IF(OR(NOT(ISNUMBER(O3137)),N(O3137)&lt;=0),"Bad amount",IF(NOT(ISNUMBER(N3137)),"Bad date",IF(P3137="","NAME NOT ON ROSTER","OK"))))</f>
        <v/>
      </c>
      <c r="I3137">
        <f>IF('Cash_Check'!A137="","",'Cash_Check'!A137)</f>
        <v/>
      </c>
      <c r="J3137">
        <f>IF('Cash_Check'!D137="","",'Cash_Check'!D137)</f>
        <v/>
      </c>
      <c r="K3137">
        <f>TRIM('Cash_Check'!B137)</f>
        <v/>
      </c>
      <c r="M3137">
        <f>IF(TRIM('Cash_Check'!E137)="","Cash/check",TRIM('Cash_Check'!E137))</f>
        <v/>
      </c>
      <c r="N3137">
        <f>IF(I3137="","",IF(ISNUMBER(I3137),INT(I3137),IFERROR(INT(DATEVALUE(I3137)),IFERROR(INT(VALUE(I3137)),"bad"))))</f>
        <v/>
      </c>
      <c r="O3137">
        <f>IF(J3137="","",IF(ISNUMBER(J3137),ROUND(J3137,2),IFERROR(ROUND(VALUE(SUBSTITUTE(SUBSTITUTE(SUBSTITUTE(J3137,"$",""),",","")," ","")),2),"bad")))</f>
        <v/>
      </c>
      <c r="P3137">
        <f>IF(K3137="","",IFERROR(MATCH(IF(ISNUMBER(FIND("#",K3137)),TRIM(MID(K3137,FIND("#",K3137)+1,20)),UPPER(K3137)),'Students'!$AD$2:$AD$701,0),""))</f>
        <v/>
      </c>
      <c r="R3137">
        <f>IF(P3137="","",INDEX('Students'!$AD$2:$AD$701,P3137))</f>
        <v/>
      </c>
      <c r="S3137">
        <f>IF(H3137="OK",O3137,0)</f>
        <v/>
      </c>
      <c r="T3137">
        <f>IF(H3137="OK",N3137,"")</f>
        <v/>
      </c>
      <c r="U3137">
        <f>TRIM('Cash_Check'!C137)</f>
        <v/>
      </c>
    </row>
    <row r="3138">
      <c r="A3138" s="62">
        <f>IF(H3138="","",IF(ISNUMBER(N3138),N3138,I3138))</f>
        <v/>
      </c>
      <c r="B3138">
        <f>IF(H3138="","",U3138)</f>
        <v/>
      </c>
      <c r="C3138">
        <f>IF(H3138="","",IF(P3138="",K3138,INDEX('Students'!$A$2:$A$701,P3138)))</f>
        <v/>
      </c>
      <c r="D3138">
        <f>IF(OR(H3138="",P3138=""),"",INDEX('Students'!$B$2:$B$701,P3138))</f>
        <v/>
      </c>
      <c r="E3138">
        <f>IF(OR(H3138="",P3138=""),"",INDEX('Students'!$C$2:$C$701,P3138))</f>
        <v/>
      </c>
      <c r="F3138" s="48">
        <f>IF(H3138="","",IF(ISNUMBER(O3138),O3138,J3138))</f>
        <v/>
      </c>
      <c r="G3138">
        <f>IF(H3138="","",M3138)</f>
        <v/>
      </c>
      <c r="H3138">
        <f>IF(AND(I3138="",J3138="",K3138=""),"",IF(OR(NOT(ISNUMBER(O3138)),N(O3138)&lt;=0),"Bad amount",IF(NOT(ISNUMBER(N3138)),"Bad date",IF(P3138="","NAME NOT ON ROSTER","OK"))))</f>
        <v/>
      </c>
      <c r="I3138">
        <f>IF('Cash_Check'!A138="","",'Cash_Check'!A138)</f>
        <v/>
      </c>
      <c r="J3138">
        <f>IF('Cash_Check'!D138="","",'Cash_Check'!D138)</f>
        <v/>
      </c>
      <c r="K3138">
        <f>TRIM('Cash_Check'!B138)</f>
        <v/>
      </c>
      <c r="M3138">
        <f>IF(TRIM('Cash_Check'!E138)="","Cash/check",TRIM('Cash_Check'!E138))</f>
        <v/>
      </c>
      <c r="N3138">
        <f>IF(I3138="","",IF(ISNUMBER(I3138),INT(I3138),IFERROR(INT(DATEVALUE(I3138)),IFERROR(INT(VALUE(I3138)),"bad"))))</f>
        <v/>
      </c>
      <c r="O3138">
        <f>IF(J3138="","",IF(ISNUMBER(J3138),ROUND(J3138,2),IFERROR(ROUND(VALUE(SUBSTITUTE(SUBSTITUTE(SUBSTITUTE(J3138,"$",""),",","")," ","")),2),"bad")))</f>
        <v/>
      </c>
      <c r="P3138">
        <f>IF(K3138="","",IFERROR(MATCH(IF(ISNUMBER(FIND("#",K3138)),TRIM(MID(K3138,FIND("#",K3138)+1,20)),UPPER(K3138)),'Students'!$AD$2:$AD$701,0),""))</f>
        <v/>
      </c>
      <c r="R3138">
        <f>IF(P3138="","",INDEX('Students'!$AD$2:$AD$701,P3138))</f>
        <v/>
      </c>
      <c r="S3138">
        <f>IF(H3138="OK",O3138,0)</f>
        <v/>
      </c>
      <c r="T3138">
        <f>IF(H3138="OK",N3138,"")</f>
        <v/>
      </c>
      <c r="U3138">
        <f>TRIM('Cash_Check'!C138)</f>
        <v/>
      </c>
    </row>
    <row r="3139">
      <c r="A3139" s="62">
        <f>IF(H3139="","",IF(ISNUMBER(N3139),N3139,I3139))</f>
        <v/>
      </c>
      <c r="B3139">
        <f>IF(H3139="","",U3139)</f>
        <v/>
      </c>
      <c r="C3139">
        <f>IF(H3139="","",IF(P3139="",K3139,INDEX('Students'!$A$2:$A$701,P3139)))</f>
        <v/>
      </c>
      <c r="D3139">
        <f>IF(OR(H3139="",P3139=""),"",INDEX('Students'!$B$2:$B$701,P3139))</f>
        <v/>
      </c>
      <c r="E3139">
        <f>IF(OR(H3139="",P3139=""),"",INDEX('Students'!$C$2:$C$701,P3139))</f>
        <v/>
      </c>
      <c r="F3139" s="48">
        <f>IF(H3139="","",IF(ISNUMBER(O3139),O3139,J3139))</f>
        <v/>
      </c>
      <c r="G3139">
        <f>IF(H3139="","",M3139)</f>
        <v/>
      </c>
      <c r="H3139">
        <f>IF(AND(I3139="",J3139="",K3139=""),"",IF(OR(NOT(ISNUMBER(O3139)),N(O3139)&lt;=0),"Bad amount",IF(NOT(ISNUMBER(N3139)),"Bad date",IF(P3139="","NAME NOT ON ROSTER","OK"))))</f>
        <v/>
      </c>
      <c r="I3139">
        <f>IF('Cash_Check'!A139="","",'Cash_Check'!A139)</f>
        <v/>
      </c>
      <c r="J3139">
        <f>IF('Cash_Check'!D139="","",'Cash_Check'!D139)</f>
        <v/>
      </c>
      <c r="K3139">
        <f>TRIM('Cash_Check'!B139)</f>
        <v/>
      </c>
      <c r="M3139">
        <f>IF(TRIM('Cash_Check'!E139)="","Cash/check",TRIM('Cash_Check'!E139))</f>
        <v/>
      </c>
      <c r="N3139">
        <f>IF(I3139="","",IF(ISNUMBER(I3139),INT(I3139),IFERROR(INT(DATEVALUE(I3139)),IFERROR(INT(VALUE(I3139)),"bad"))))</f>
        <v/>
      </c>
      <c r="O3139">
        <f>IF(J3139="","",IF(ISNUMBER(J3139),ROUND(J3139,2),IFERROR(ROUND(VALUE(SUBSTITUTE(SUBSTITUTE(SUBSTITUTE(J3139,"$",""),",","")," ","")),2),"bad")))</f>
        <v/>
      </c>
      <c r="P3139">
        <f>IF(K3139="","",IFERROR(MATCH(IF(ISNUMBER(FIND("#",K3139)),TRIM(MID(K3139,FIND("#",K3139)+1,20)),UPPER(K3139)),'Students'!$AD$2:$AD$701,0),""))</f>
        <v/>
      </c>
      <c r="R3139">
        <f>IF(P3139="","",INDEX('Students'!$AD$2:$AD$701,P3139))</f>
        <v/>
      </c>
      <c r="S3139">
        <f>IF(H3139="OK",O3139,0)</f>
        <v/>
      </c>
      <c r="T3139">
        <f>IF(H3139="OK",N3139,"")</f>
        <v/>
      </c>
      <c r="U3139">
        <f>TRIM('Cash_Check'!C139)</f>
        <v/>
      </c>
    </row>
    <row r="3140">
      <c r="A3140" s="62">
        <f>IF(H3140="","",IF(ISNUMBER(N3140),N3140,I3140))</f>
        <v/>
      </c>
      <c r="B3140">
        <f>IF(H3140="","",U3140)</f>
        <v/>
      </c>
      <c r="C3140">
        <f>IF(H3140="","",IF(P3140="",K3140,INDEX('Students'!$A$2:$A$701,P3140)))</f>
        <v/>
      </c>
      <c r="D3140">
        <f>IF(OR(H3140="",P3140=""),"",INDEX('Students'!$B$2:$B$701,P3140))</f>
        <v/>
      </c>
      <c r="E3140">
        <f>IF(OR(H3140="",P3140=""),"",INDEX('Students'!$C$2:$C$701,P3140))</f>
        <v/>
      </c>
      <c r="F3140" s="48">
        <f>IF(H3140="","",IF(ISNUMBER(O3140),O3140,J3140))</f>
        <v/>
      </c>
      <c r="G3140">
        <f>IF(H3140="","",M3140)</f>
        <v/>
      </c>
      <c r="H3140">
        <f>IF(AND(I3140="",J3140="",K3140=""),"",IF(OR(NOT(ISNUMBER(O3140)),N(O3140)&lt;=0),"Bad amount",IF(NOT(ISNUMBER(N3140)),"Bad date",IF(P3140="","NAME NOT ON ROSTER","OK"))))</f>
        <v/>
      </c>
      <c r="I3140">
        <f>IF('Cash_Check'!A140="","",'Cash_Check'!A140)</f>
        <v/>
      </c>
      <c r="J3140">
        <f>IF('Cash_Check'!D140="","",'Cash_Check'!D140)</f>
        <v/>
      </c>
      <c r="K3140">
        <f>TRIM('Cash_Check'!B140)</f>
        <v/>
      </c>
      <c r="M3140">
        <f>IF(TRIM('Cash_Check'!E140)="","Cash/check",TRIM('Cash_Check'!E140))</f>
        <v/>
      </c>
      <c r="N3140">
        <f>IF(I3140="","",IF(ISNUMBER(I3140),INT(I3140),IFERROR(INT(DATEVALUE(I3140)),IFERROR(INT(VALUE(I3140)),"bad"))))</f>
        <v/>
      </c>
      <c r="O3140">
        <f>IF(J3140="","",IF(ISNUMBER(J3140),ROUND(J3140,2),IFERROR(ROUND(VALUE(SUBSTITUTE(SUBSTITUTE(SUBSTITUTE(J3140,"$",""),",","")," ","")),2),"bad")))</f>
        <v/>
      </c>
      <c r="P3140">
        <f>IF(K3140="","",IFERROR(MATCH(IF(ISNUMBER(FIND("#",K3140)),TRIM(MID(K3140,FIND("#",K3140)+1,20)),UPPER(K3140)),'Students'!$AD$2:$AD$701,0),""))</f>
        <v/>
      </c>
      <c r="R3140">
        <f>IF(P3140="","",INDEX('Students'!$AD$2:$AD$701,P3140))</f>
        <v/>
      </c>
      <c r="S3140">
        <f>IF(H3140="OK",O3140,0)</f>
        <v/>
      </c>
      <c r="T3140">
        <f>IF(H3140="OK",N3140,"")</f>
        <v/>
      </c>
      <c r="U3140">
        <f>TRIM('Cash_Check'!C140)</f>
        <v/>
      </c>
    </row>
    <row r="3141">
      <c r="A3141" s="62">
        <f>IF(H3141="","",IF(ISNUMBER(N3141),N3141,I3141))</f>
        <v/>
      </c>
      <c r="B3141">
        <f>IF(H3141="","",U3141)</f>
        <v/>
      </c>
      <c r="C3141">
        <f>IF(H3141="","",IF(P3141="",K3141,INDEX('Students'!$A$2:$A$701,P3141)))</f>
        <v/>
      </c>
      <c r="D3141">
        <f>IF(OR(H3141="",P3141=""),"",INDEX('Students'!$B$2:$B$701,P3141))</f>
        <v/>
      </c>
      <c r="E3141">
        <f>IF(OR(H3141="",P3141=""),"",INDEX('Students'!$C$2:$C$701,P3141))</f>
        <v/>
      </c>
      <c r="F3141" s="48">
        <f>IF(H3141="","",IF(ISNUMBER(O3141),O3141,J3141))</f>
        <v/>
      </c>
      <c r="G3141">
        <f>IF(H3141="","",M3141)</f>
        <v/>
      </c>
      <c r="H3141">
        <f>IF(AND(I3141="",J3141="",K3141=""),"",IF(OR(NOT(ISNUMBER(O3141)),N(O3141)&lt;=0),"Bad amount",IF(NOT(ISNUMBER(N3141)),"Bad date",IF(P3141="","NAME NOT ON ROSTER","OK"))))</f>
        <v/>
      </c>
      <c r="I3141">
        <f>IF('Cash_Check'!A141="","",'Cash_Check'!A141)</f>
        <v/>
      </c>
      <c r="J3141">
        <f>IF('Cash_Check'!D141="","",'Cash_Check'!D141)</f>
        <v/>
      </c>
      <c r="K3141">
        <f>TRIM('Cash_Check'!B141)</f>
        <v/>
      </c>
      <c r="M3141">
        <f>IF(TRIM('Cash_Check'!E141)="","Cash/check",TRIM('Cash_Check'!E141))</f>
        <v/>
      </c>
      <c r="N3141">
        <f>IF(I3141="","",IF(ISNUMBER(I3141),INT(I3141),IFERROR(INT(DATEVALUE(I3141)),IFERROR(INT(VALUE(I3141)),"bad"))))</f>
        <v/>
      </c>
      <c r="O3141">
        <f>IF(J3141="","",IF(ISNUMBER(J3141),ROUND(J3141,2),IFERROR(ROUND(VALUE(SUBSTITUTE(SUBSTITUTE(SUBSTITUTE(J3141,"$",""),",","")," ","")),2),"bad")))</f>
        <v/>
      </c>
      <c r="P3141">
        <f>IF(K3141="","",IFERROR(MATCH(IF(ISNUMBER(FIND("#",K3141)),TRIM(MID(K3141,FIND("#",K3141)+1,20)),UPPER(K3141)),'Students'!$AD$2:$AD$701,0),""))</f>
        <v/>
      </c>
      <c r="R3141">
        <f>IF(P3141="","",INDEX('Students'!$AD$2:$AD$701,P3141))</f>
        <v/>
      </c>
      <c r="S3141">
        <f>IF(H3141="OK",O3141,0)</f>
        <v/>
      </c>
      <c r="T3141">
        <f>IF(H3141="OK",N3141,"")</f>
        <v/>
      </c>
      <c r="U3141">
        <f>TRIM('Cash_Check'!C141)</f>
        <v/>
      </c>
    </row>
    <row r="3142">
      <c r="A3142" s="62">
        <f>IF(H3142="","",IF(ISNUMBER(N3142),N3142,I3142))</f>
        <v/>
      </c>
      <c r="B3142">
        <f>IF(H3142="","",U3142)</f>
        <v/>
      </c>
      <c r="C3142">
        <f>IF(H3142="","",IF(P3142="",K3142,INDEX('Students'!$A$2:$A$701,P3142)))</f>
        <v/>
      </c>
      <c r="D3142">
        <f>IF(OR(H3142="",P3142=""),"",INDEX('Students'!$B$2:$B$701,P3142))</f>
        <v/>
      </c>
      <c r="E3142">
        <f>IF(OR(H3142="",P3142=""),"",INDEX('Students'!$C$2:$C$701,P3142))</f>
        <v/>
      </c>
      <c r="F3142" s="48">
        <f>IF(H3142="","",IF(ISNUMBER(O3142),O3142,J3142))</f>
        <v/>
      </c>
      <c r="G3142">
        <f>IF(H3142="","",M3142)</f>
        <v/>
      </c>
      <c r="H3142">
        <f>IF(AND(I3142="",J3142="",K3142=""),"",IF(OR(NOT(ISNUMBER(O3142)),N(O3142)&lt;=0),"Bad amount",IF(NOT(ISNUMBER(N3142)),"Bad date",IF(P3142="","NAME NOT ON ROSTER","OK"))))</f>
        <v/>
      </c>
      <c r="I3142">
        <f>IF('Cash_Check'!A142="","",'Cash_Check'!A142)</f>
        <v/>
      </c>
      <c r="J3142">
        <f>IF('Cash_Check'!D142="","",'Cash_Check'!D142)</f>
        <v/>
      </c>
      <c r="K3142">
        <f>TRIM('Cash_Check'!B142)</f>
        <v/>
      </c>
      <c r="M3142">
        <f>IF(TRIM('Cash_Check'!E142)="","Cash/check",TRIM('Cash_Check'!E142))</f>
        <v/>
      </c>
      <c r="N3142">
        <f>IF(I3142="","",IF(ISNUMBER(I3142),INT(I3142),IFERROR(INT(DATEVALUE(I3142)),IFERROR(INT(VALUE(I3142)),"bad"))))</f>
        <v/>
      </c>
      <c r="O3142">
        <f>IF(J3142="","",IF(ISNUMBER(J3142),ROUND(J3142,2),IFERROR(ROUND(VALUE(SUBSTITUTE(SUBSTITUTE(SUBSTITUTE(J3142,"$",""),",","")," ","")),2),"bad")))</f>
        <v/>
      </c>
      <c r="P3142">
        <f>IF(K3142="","",IFERROR(MATCH(IF(ISNUMBER(FIND("#",K3142)),TRIM(MID(K3142,FIND("#",K3142)+1,20)),UPPER(K3142)),'Students'!$AD$2:$AD$701,0),""))</f>
        <v/>
      </c>
      <c r="R3142">
        <f>IF(P3142="","",INDEX('Students'!$AD$2:$AD$701,P3142))</f>
        <v/>
      </c>
      <c r="S3142">
        <f>IF(H3142="OK",O3142,0)</f>
        <v/>
      </c>
      <c r="T3142">
        <f>IF(H3142="OK",N3142,"")</f>
        <v/>
      </c>
      <c r="U3142">
        <f>TRIM('Cash_Check'!C142)</f>
        <v/>
      </c>
    </row>
    <row r="3143">
      <c r="A3143" s="62">
        <f>IF(H3143="","",IF(ISNUMBER(N3143),N3143,I3143))</f>
        <v/>
      </c>
      <c r="B3143">
        <f>IF(H3143="","",U3143)</f>
        <v/>
      </c>
      <c r="C3143">
        <f>IF(H3143="","",IF(P3143="",K3143,INDEX('Students'!$A$2:$A$701,P3143)))</f>
        <v/>
      </c>
      <c r="D3143">
        <f>IF(OR(H3143="",P3143=""),"",INDEX('Students'!$B$2:$B$701,P3143))</f>
        <v/>
      </c>
      <c r="E3143">
        <f>IF(OR(H3143="",P3143=""),"",INDEX('Students'!$C$2:$C$701,P3143))</f>
        <v/>
      </c>
      <c r="F3143" s="48">
        <f>IF(H3143="","",IF(ISNUMBER(O3143),O3143,J3143))</f>
        <v/>
      </c>
      <c r="G3143">
        <f>IF(H3143="","",M3143)</f>
        <v/>
      </c>
      <c r="H3143">
        <f>IF(AND(I3143="",J3143="",K3143=""),"",IF(OR(NOT(ISNUMBER(O3143)),N(O3143)&lt;=0),"Bad amount",IF(NOT(ISNUMBER(N3143)),"Bad date",IF(P3143="","NAME NOT ON ROSTER","OK"))))</f>
        <v/>
      </c>
      <c r="I3143">
        <f>IF('Cash_Check'!A143="","",'Cash_Check'!A143)</f>
        <v/>
      </c>
      <c r="J3143">
        <f>IF('Cash_Check'!D143="","",'Cash_Check'!D143)</f>
        <v/>
      </c>
      <c r="K3143">
        <f>TRIM('Cash_Check'!B143)</f>
        <v/>
      </c>
      <c r="M3143">
        <f>IF(TRIM('Cash_Check'!E143)="","Cash/check",TRIM('Cash_Check'!E143))</f>
        <v/>
      </c>
      <c r="N3143">
        <f>IF(I3143="","",IF(ISNUMBER(I3143),INT(I3143),IFERROR(INT(DATEVALUE(I3143)),IFERROR(INT(VALUE(I3143)),"bad"))))</f>
        <v/>
      </c>
      <c r="O3143">
        <f>IF(J3143="","",IF(ISNUMBER(J3143),ROUND(J3143,2),IFERROR(ROUND(VALUE(SUBSTITUTE(SUBSTITUTE(SUBSTITUTE(J3143,"$",""),",","")," ","")),2),"bad")))</f>
        <v/>
      </c>
      <c r="P3143">
        <f>IF(K3143="","",IFERROR(MATCH(IF(ISNUMBER(FIND("#",K3143)),TRIM(MID(K3143,FIND("#",K3143)+1,20)),UPPER(K3143)),'Students'!$AD$2:$AD$701,0),""))</f>
        <v/>
      </c>
      <c r="R3143">
        <f>IF(P3143="","",INDEX('Students'!$AD$2:$AD$701,P3143))</f>
        <v/>
      </c>
      <c r="S3143">
        <f>IF(H3143="OK",O3143,0)</f>
        <v/>
      </c>
      <c r="T3143">
        <f>IF(H3143="OK",N3143,"")</f>
        <v/>
      </c>
      <c r="U3143">
        <f>TRIM('Cash_Check'!C143)</f>
        <v/>
      </c>
    </row>
    <row r="3144">
      <c r="A3144" s="62">
        <f>IF(H3144="","",IF(ISNUMBER(N3144),N3144,I3144))</f>
        <v/>
      </c>
      <c r="B3144">
        <f>IF(H3144="","",U3144)</f>
        <v/>
      </c>
      <c r="C3144">
        <f>IF(H3144="","",IF(P3144="",K3144,INDEX('Students'!$A$2:$A$701,P3144)))</f>
        <v/>
      </c>
      <c r="D3144">
        <f>IF(OR(H3144="",P3144=""),"",INDEX('Students'!$B$2:$B$701,P3144))</f>
        <v/>
      </c>
      <c r="E3144">
        <f>IF(OR(H3144="",P3144=""),"",INDEX('Students'!$C$2:$C$701,P3144))</f>
        <v/>
      </c>
      <c r="F3144" s="48">
        <f>IF(H3144="","",IF(ISNUMBER(O3144),O3144,J3144))</f>
        <v/>
      </c>
      <c r="G3144">
        <f>IF(H3144="","",M3144)</f>
        <v/>
      </c>
      <c r="H3144">
        <f>IF(AND(I3144="",J3144="",K3144=""),"",IF(OR(NOT(ISNUMBER(O3144)),N(O3144)&lt;=0),"Bad amount",IF(NOT(ISNUMBER(N3144)),"Bad date",IF(P3144="","NAME NOT ON ROSTER","OK"))))</f>
        <v/>
      </c>
      <c r="I3144">
        <f>IF('Cash_Check'!A144="","",'Cash_Check'!A144)</f>
        <v/>
      </c>
      <c r="J3144">
        <f>IF('Cash_Check'!D144="","",'Cash_Check'!D144)</f>
        <v/>
      </c>
      <c r="K3144">
        <f>TRIM('Cash_Check'!B144)</f>
        <v/>
      </c>
      <c r="M3144">
        <f>IF(TRIM('Cash_Check'!E144)="","Cash/check",TRIM('Cash_Check'!E144))</f>
        <v/>
      </c>
      <c r="N3144">
        <f>IF(I3144="","",IF(ISNUMBER(I3144),INT(I3144),IFERROR(INT(DATEVALUE(I3144)),IFERROR(INT(VALUE(I3144)),"bad"))))</f>
        <v/>
      </c>
      <c r="O3144">
        <f>IF(J3144="","",IF(ISNUMBER(J3144),ROUND(J3144,2),IFERROR(ROUND(VALUE(SUBSTITUTE(SUBSTITUTE(SUBSTITUTE(J3144,"$",""),",","")," ","")),2),"bad")))</f>
        <v/>
      </c>
      <c r="P3144">
        <f>IF(K3144="","",IFERROR(MATCH(IF(ISNUMBER(FIND("#",K3144)),TRIM(MID(K3144,FIND("#",K3144)+1,20)),UPPER(K3144)),'Students'!$AD$2:$AD$701,0),""))</f>
        <v/>
      </c>
      <c r="R3144">
        <f>IF(P3144="","",INDEX('Students'!$AD$2:$AD$701,P3144))</f>
        <v/>
      </c>
      <c r="S3144">
        <f>IF(H3144="OK",O3144,0)</f>
        <v/>
      </c>
      <c r="T3144">
        <f>IF(H3144="OK",N3144,"")</f>
        <v/>
      </c>
      <c r="U3144">
        <f>TRIM('Cash_Check'!C144)</f>
        <v/>
      </c>
    </row>
    <row r="3145">
      <c r="A3145" s="62">
        <f>IF(H3145="","",IF(ISNUMBER(N3145),N3145,I3145))</f>
        <v/>
      </c>
      <c r="B3145">
        <f>IF(H3145="","",U3145)</f>
        <v/>
      </c>
      <c r="C3145">
        <f>IF(H3145="","",IF(P3145="",K3145,INDEX('Students'!$A$2:$A$701,P3145)))</f>
        <v/>
      </c>
      <c r="D3145">
        <f>IF(OR(H3145="",P3145=""),"",INDEX('Students'!$B$2:$B$701,P3145))</f>
        <v/>
      </c>
      <c r="E3145">
        <f>IF(OR(H3145="",P3145=""),"",INDEX('Students'!$C$2:$C$701,P3145))</f>
        <v/>
      </c>
      <c r="F3145" s="48">
        <f>IF(H3145="","",IF(ISNUMBER(O3145),O3145,J3145))</f>
        <v/>
      </c>
      <c r="G3145">
        <f>IF(H3145="","",M3145)</f>
        <v/>
      </c>
      <c r="H3145">
        <f>IF(AND(I3145="",J3145="",K3145=""),"",IF(OR(NOT(ISNUMBER(O3145)),N(O3145)&lt;=0),"Bad amount",IF(NOT(ISNUMBER(N3145)),"Bad date",IF(P3145="","NAME NOT ON ROSTER","OK"))))</f>
        <v/>
      </c>
      <c r="I3145">
        <f>IF('Cash_Check'!A145="","",'Cash_Check'!A145)</f>
        <v/>
      </c>
      <c r="J3145">
        <f>IF('Cash_Check'!D145="","",'Cash_Check'!D145)</f>
        <v/>
      </c>
      <c r="K3145">
        <f>TRIM('Cash_Check'!B145)</f>
        <v/>
      </c>
      <c r="M3145">
        <f>IF(TRIM('Cash_Check'!E145)="","Cash/check",TRIM('Cash_Check'!E145))</f>
        <v/>
      </c>
      <c r="N3145">
        <f>IF(I3145="","",IF(ISNUMBER(I3145),INT(I3145),IFERROR(INT(DATEVALUE(I3145)),IFERROR(INT(VALUE(I3145)),"bad"))))</f>
        <v/>
      </c>
      <c r="O3145">
        <f>IF(J3145="","",IF(ISNUMBER(J3145),ROUND(J3145,2),IFERROR(ROUND(VALUE(SUBSTITUTE(SUBSTITUTE(SUBSTITUTE(J3145,"$",""),",","")," ","")),2),"bad")))</f>
        <v/>
      </c>
      <c r="P3145">
        <f>IF(K3145="","",IFERROR(MATCH(IF(ISNUMBER(FIND("#",K3145)),TRIM(MID(K3145,FIND("#",K3145)+1,20)),UPPER(K3145)),'Students'!$AD$2:$AD$701,0),""))</f>
        <v/>
      </c>
      <c r="R3145">
        <f>IF(P3145="","",INDEX('Students'!$AD$2:$AD$701,P3145))</f>
        <v/>
      </c>
      <c r="S3145">
        <f>IF(H3145="OK",O3145,0)</f>
        <v/>
      </c>
      <c r="T3145">
        <f>IF(H3145="OK",N3145,"")</f>
        <v/>
      </c>
      <c r="U3145">
        <f>TRIM('Cash_Check'!C145)</f>
        <v/>
      </c>
    </row>
    <row r="3146">
      <c r="A3146" s="62">
        <f>IF(H3146="","",IF(ISNUMBER(N3146),N3146,I3146))</f>
        <v/>
      </c>
      <c r="B3146">
        <f>IF(H3146="","",U3146)</f>
        <v/>
      </c>
      <c r="C3146">
        <f>IF(H3146="","",IF(P3146="",K3146,INDEX('Students'!$A$2:$A$701,P3146)))</f>
        <v/>
      </c>
      <c r="D3146">
        <f>IF(OR(H3146="",P3146=""),"",INDEX('Students'!$B$2:$B$701,P3146))</f>
        <v/>
      </c>
      <c r="E3146">
        <f>IF(OR(H3146="",P3146=""),"",INDEX('Students'!$C$2:$C$701,P3146))</f>
        <v/>
      </c>
      <c r="F3146" s="48">
        <f>IF(H3146="","",IF(ISNUMBER(O3146),O3146,J3146))</f>
        <v/>
      </c>
      <c r="G3146">
        <f>IF(H3146="","",M3146)</f>
        <v/>
      </c>
      <c r="H3146">
        <f>IF(AND(I3146="",J3146="",K3146=""),"",IF(OR(NOT(ISNUMBER(O3146)),N(O3146)&lt;=0),"Bad amount",IF(NOT(ISNUMBER(N3146)),"Bad date",IF(P3146="","NAME NOT ON ROSTER","OK"))))</f>
        <v/>
      </c>
      <c r="I3146">
        <f>IF('Cash_Check'!A146="","",'Cash_Check'!A146)</f>
        <v/>
      </c>
      <c r="J3146">
        <f>IF('Cash_Check'!D146="","",'Cash_Check'!D146)</f>
        <v/>
      </c>
      <c r="K3146">
        <f>TRIM('Cash_Check'!B146)</f>
        <v/>
      </c>
      <c r="M3146">
        <f>IF(TRIM('Cash_Check'!E146)="","Cash/check",TRIM('Cash_Check'!E146))</f>
        <v/>
      </c>
      <c r="N3146">
        <f>IF(I3146="","",IF(ISNUMBER(I3146),INT(I3146),IFERROR(INT(DATEVALUE(I3146)),IFERROR(INT(VALUE(I3146)),"bad"))))</f>
        <v/>
      </c>
      <c r="O3146">
        <f>IF(J3146="","",IF(ISNUMBER(J3146),ROUND(J3146,2),IFERROR(ROUND(VALUE(SUBSTITUTE(SUBSTITUTE(SUBSTITUTE(J3146,"$",""),",","")," ","")),2),"bad")))</f>
        <v/>
      </c>
      <c r="P3146">
        <f>IF(K3146="","",IFERROR(MATCH(IF(ISNUMBER(FIND("#",K3146)),TRIM(MID(K3146,FIND("#",K3146)+1,20)),UPPER(K3146)),'Students'!$AD$2:$AD$701,0),""))</f>
        <v/>
      </c>
      <c r="R3146">
        <f>IF(P3146="","",INDEX('Students'!$AD$2:$AD$701,P3146))</f>
        <v/>
      </c>
      <c r="S3146">
        <f>IF(H3146="OK",O3146,0)</f>
        <v/>
      </c>
      <c r="T3146">
        <f>IF(H3146="OK",N3146,"")</f>
        <v/>
      </c>
      <c r="U3146">
        <f>TRIM('Cash_Check'!C146)</f>
        <v/>
      </c>
    </row>
    <row r="3147">
      <c r="A3147" s="62">
        <f>IF(H3147="","",IF(ISNUMBER(N3147),N3147,I3147))</f>
        <v/>
      </c>
      <c r="B3147">
        <f>IF(H3147="","",U3147)</f>
        <v/>
      </c>
      <c r="C3147">
        <f>IF(H3147="","",IF(P3147="",K3147,INDEX('Students'!$A$2:$A$701,P3147)))</f>
        <v/>
      </c>
      <c r="D3147">
        <f>IF(OR(H3147="",P3147=""),"",INDEX('Students'!$B$2:$B$701,P3147))</f>
        <v/>
      </c>
      <c r="E3147">
        <f>IF(OR(H3147="",P3147=""),"",INDEX('Students'!$C$2:$C$701,P3147))</f>
        <v/>
      </c>
      <c r="F3147" s="48">
        <f>IF(H3147="","",IF(ISNUMBER(O3147),O3147,J3147))</f>
        <v/>
      </c>
      <c r="G3147">
        <f>IF(H3147="","",M3147)</f>
        <v/>
      </c>
      <c r="H3147">
        <f>IF(AND(I3147="",J3147="",K3147=""),"",IF(OR(NOT(ISNUMBER(O3147)),N(O3147)&lt;=0),"Bad amount",IF(NOT(ISNUMBER(N3147)),"Bad date",IF(P3147="","NAME NOT ON ROSTER","OK"))))</f>
        <v/>
      </c>
      <c r="I3147">
        <f>IF('Cash_Check'!A147="","",'Cash_Check'!A147)</f>
        <v/>
      </c>
      <c r="J3147">
        <f>IF('Cash_Check'!D147="","",'Cash_Check'!D147)</f>
        <v/>
      </c>
      <c r="K3147">
        <f>TRIM('Cash_Check'!B147)</f>
        <v/>
      </c>
      <c r="M3147">
        <f>IF(TRIM('Cash_Check'!E147)="","Cash/check",TRIM('Cash_Check'!E147))</f>
        <v/>
      </c>
      <c r="N3147">
        <f>IF(I3147="","",IF(ISNUMBER(I3147),INT(I3147),IFERROR(INT(DATEVALUE(I3147)),IFERROR(INT(VALUE(I3147)),"bad"))))</f>
        <v/>
      </c>
      <c r="O3147">
        <f>IF(J3147="","",IF(ISNUMBER(J3147),ROUND(J3147,2),IFERROR(ROUND(VALUE(SUBSTITUTE(SUBSTITUTE(SUBSTITUTE(J3147,"$",""),",","")," ","")),2),"bad")))</f>
        <v/>
      </c>
      <c r="P3147">
        <f>IF(K3147="","",IFERROR(MATCH(IF(ISNUMBER(FIND("#",K3147)),TRIM(MID(K3147,FIND("#",K3147)+1,20)),UPPER(K3147)),'Students'!$AD$2:$AD$701,0),""))</f>
        <v/>
      </c>
      <c r="R3147">
        <f>IF(P3147="","",INDEX('Students'!$AD$2:$AD$701,P3147))</f>
        <v/>
      </c>
      <c r="S3147">
        <f>IF(H3147="OK",O3147,0)</f>
        <v/>
      </c>
      <c r="T3147">
        <f>IF(H3147="OK",N3147,"")</f>
        <v/>
      </c>
      <c r="U3147">
        <f>TRIM('Cash_Check'!C147)</f>
        <v/>
      </c>
    </row>
    <row r="3148">
      <c r="A3148" s="62">
        <f>IF(H3148="","",IF(ISNUMBER(N3148),N3148,I3148))</f>
        <v/>
      </c>
      <c r="B3148">
        <f>IF(H3148="","",U3148)</f>
        <v/>
      </c>
      <c r="C3148">
        <f>IF(H3148="","",IF(P3148="",K3148,INDEX('Students'!$A$2:$A$701,P3148)))</f>
        <v/>
      </c>
      <c r="D3148">
        <f>IF(OR(H3148="",P3148=""),"",INDEX('Students'!$B$2:$B$701,P3148))</f>
        <v/>
      </c>
      <c r="E3148">
        <f>IF(OR(H3148="",P3148=""),"",INDEX('Students'!$C$2:$C$701,P3148))</f>
        <v/>
      </c>
      <c r="F3148" s="48">
        <f>IF(H3148="","",IF(ISNUMBER(O3148),O3148,J3148))</f>
        <v/>
      </c>
      <c r="G3148">
        <f>IF(H3148="","",M3148)</f>
        <v/>
      </c>
      <c r="H3148">
        <f>IF(AND(I3148="",J3148="",K3148=""),"",IF(OR(NOT(ISNUMBER(O3148)),N(O3148)&lt;=0),"Bad amount",IF(NOT(ISNUMBER(N3148)),"Bad date",IF(P3148="","NAME NOT ON ROSTER","OK"))))</f>
        <v/>
      </c>
      <c r="I3148">
        <f>IF('Cash_Check'!A148="","",'Cash_Check'!A148)</f>
        <v/>
      </c>
      <c r="J3148">
        <f>IF('Cash_Check'!D148="","",'Cash_Check'!D148)</f>
        <v/>
      </c>
      <c r="K3148">
        <f>TRIM('Cash_Check'!B148)</f>
        <v/>
      </c>
      <c r="M3148">
        <f>IF(TRIM('Cash_Check'!E148)="","Cash/check",TRIM('Cash_Check'!E148))</f>
        <v/>
      </c>
      <c r="N3148">
        <f>IF(I3148="","",IF(ISNUMBER(I3148),INT(I3148),IFERROR(INT(DATEVALUE(I3148)),IFERROR(INT(VALUE(I3148)),"bad"))))</f>
        <v/>
      </c>
      <c r="O3148">
        <f>IF(J3148="","",IF(ISNUMBER(J3148),ROUND(J3148,2),IFERROR(ROUND(VALUE(SUBSTITUTE(SUBSTITUTE(SUBSTITUTE(J3148,"$",""),",","")," ","")),2),"bad")))</f>
        <v/>
      </c>
      <c r="P3148">
        <f>IF(K3148="","",IFERROR(MATCH(IF(ISNUMBER(FIND("#",K3148)),TRIM(MID(K3148,FIND("#",K3148)+1,20)),UPPER(K3148)),'Students'!$AD$2:$AD$701,0),""))</f>
        <v/>
      </c>
      <c r="R3148">
        <f>IF(P3148="","",INDEX('Students'!$AD$2:$AD$701,P3148))</f>
        <v/>
      </c>
      <c r="S3148">
        <f>IF(H3148="OK",O3148,0)</f>
        <v/>
      </c>
      <c r="T3148">
        <f>IF(H3148="OK",N3148,"")</f>
        <v/>
      </c>
      <c r="U3148">
        <f>TRIM('Cash_Check'!C148)</f>
        <v/>
      </c>
    </row>
    <row r="3149">
      <c r="A3149" s="62">
        <f>IF(H3149="","",IF(ISNUMBER(N3149),N3149,I3149))</f>
        <v/>
      </c>
      <c r="B3149">
        <f>IF(H3149="","",U3149)</f>
        <v/>
      </c>
      <c r="C3149">
        <f>IF(H3149="","",IF(P3149="",K3149,INDEX('Students'!$A$2:$A$701,P3149)))</f>
        <v/>
      </c>
      <c r="D3149">
        <f>IF(OR(H3149="",P3149=""),"",INDEX('Students'!$B$2:$B$701,P3149))</f>
        <v/>
      </c>
      <c r="E3149">
        <f>IF(OR(H3149="",P3149=""),"",INDEX('Students'!$C$2:$C$701,P3149))</f>
        <v/>
      </c>
      <c r="F3149" s="48">
        <f>IF(H3149="","",IF(ISNUMBER(O3149),O3149,J3149))</f>
        <v/>
      </c>
      <c r="G3149">
        <f>IF(H3149="","",M3149)</f>
        <v/>
      </c>
      <c r="H3149">
        <f>IF(AND(I3149="",J3149="",K3149=""),"",IF(OR(NOT(ISNUMBER(O3149)),N(O3149)&lt;=0),"Bad amount",IF(NOT(ISNUMBER(N3149)),"Bad date",IF(P3149="","NAME NOT ON ROSTER","OK"))))</f>
        <v/>
      </c>
      <c r="I3149">
        <f>IF('Cash_Check'!A149="","",'Cash_Check'!A149)</f>
        <v/>
      </c>
      <c r="J3149">
        <f>IF('Cash_Check'!D149="","",'Cash_Check'!D149)</f>
        <v/>
      </c>
      <c r="K3149">
        <f>TRIM('Cash_Check'!B149)</f>
        <v/>
      </c>
      <c r="M3149">
        <f>IF(TRIM('Cash_Check'!E149)="","Cash/check",TRIM('Cash_Check'!E149))</f>
        <v/>
      </c>
      <c r="N3149">
        <f>IF(I3149="","",IF(ISNUMBER(I3149),INT(I3149),IFERROR(INT(DATEVALUE(I3149)),IFERROR(INT(VALUE(I3149)),"bad"))))</f>
        <v/>
      </c>
      <c r="O3149">
        <f>IF(J3149="","",IF(ISNUMBER(J3149),ROUND(J3149,2),IFERROR(ROUND(VALUE(SUBSTITUTE(SUBSTITUTE(SUBSTITUTE(J3149,"$",""),",","")," ","")),2),"bad")))</f>
        <v/>
      </c>
      <c r="P3149">
        <f>IF(K3149="","",IFERROR(MATCH(IF(ISNUMBER(FIND("#",K3149)),TRIM(MID(K3149,FIND("#",K3149)+1,20)),UPPER(K3149)),'Students'!$AD$2:$AD$701,0),""))</f>
        <v/>
      </c>
      <c r="R3149">
        <f>IF(P3149="","",INDEX('Students'!$AD$2:$AD$701,P3149))</f>
        <v/>
      </c>
      <c r="S3149">
        <f>IF(H3149="OK",O3149,0)</f>
        <v/>
      </c>
      <c r="T3149">
        <f>IF(H3149="OK",N3149,"")</f>
        <v/>
      </c>
      <c r="U3149">
        <f>TRIM('Cash_Check'!C149)</f>
        <v/>
      </c>
    </row>
    <row r="3150">
      <c r="A3150" s="62">
        <f>IF(H3150="","",IF(ISNUMBER(N3150),N3150,I3150))</f>
        <v/>
      </c>
      <c r="B3150">
        <f>IF(H3150="","",U3150)</f>
        <v/>
      </c>
      <c r="C3150">
        <f>IF(H3150="","",IF(P3150="",K3150,INDEX('Students'!$A$2:$A$701,P3150)))</f>
        <v/>
      </c>
      <c r="D3150">
        <f>IF(OR(H3150="",P3150=""),"",INDEX('Students'!$B$2:$B$701,P3150))</f>
        <v/>
      </c>
      <c r="E3150">
        <f>IF(OR(H3150="",P3150=""),"",INDEX('Students'!$C$2:$C$701,P3150))</f>
        <v/>
      </c>
      <c r="F3150" s="48">
        <f>IF(H3150="","",IF(ISNUMBER(O3150),O3150,J3150))</f>
        <v/>
      </c>
      <c r="G3150">
        <f>IF(H3150="","",M3150)</f>
        <v/>
      </c>
      <c r="H3150">
        <f>IF(AND(I3150="",J3150="",K3150=""),"",IF(OR(NOT(ISNUMBER(O3150)),N(O3150)&lt;=0),"Bad amount",IF(NOT(ISNUMBER(N3150)),"Bad date",IF(P3150="","NAME NOT ON ROSTER","OK"))))</f>
        <v/>
      </c>
      <c r="I3150">
        <f>IF('Cash_Check'!A150="","",'Cash_Check'!A150)</f>
        <v/>
      </c>
      <c r="J3150">
        <f>IF('Cash_Check'!D150="","",'Cash_Check'!D150)</f>
        <v/>
      </c>
      <c r="K3150">
        <f>TRIM('Cash_Check'!B150)</f>
        <v/>
      </c>
      <c r="M3150">
        <f>IF(TRIM('Cash_Check'!E150)="","Cash/check",TRIM('Cash_Check'!E150))</f>
        <v/>
      </c>
      <c r="N3150">
        <f>IF(I3150="","",IF(ISNUMBER(I3150),INT(I3150),IFERROR(INT(DATEVALUE(I3150)),IFERROR(INT(VALUE(I3150)),"bad"))))</f>
        <v/>
      </c>
      <c r="O3150">
        <f>IF(J3150="","",IF(ISNUMBER(J3150),ROUND(J3150,2),IFERROR(ROUND(VALUE(SUBSTITUTE(SUBSTITUTE(SUBSTITUTE(J3150,"$",""),",","")," ","")),2),"bad")))</f>
        <v/>
      </c>
      <c r="P3150">
        <f>IF(K3150="","",IFERROR(MATCH(IF(ISNUMBER(FIND("#",K3150)),TRIM(MID(K3150,FIND("#",K3150)+1,20)),UPPER(K3150)),'Students'!$AD$2:$AD$701,0),""))</f>
        <v/>
      </c>
      <c r="R3150">
        <f>IF(P3150="","",INDEX('Students'!$AD$2:$AD$701,P3150))</f>
        <v/>
      </c>
      <c r="S3150">
        <f>IF(H3150="OK",O3150,0)</f>
        <v/>
      </c>
      <c r="T3150">
        <f>IF(H3150="OK",N3150,"")</f>
        <v/>
      </c>
      <c r="U3150">
        <f>TRIM('Cash_Check'!C150)</f>
        <v/>
      </c>
    </row>
    <row r="3151">
      <c r="A3151" s="62">
        <f>IF(H3151="","",IF(ISNUMBER(N3151),N3151,I3151))</f>
        <v/>
      </c>
      <c r="B3151">
        <f>IF(H3151="","",U3151)</f>
        <v/>
      </c>
      <c r="C3151">
        <f>IF(H3151="","",IF(P3151="",K3151,INDEX('Students'!$A$2:$A$701,P3151)))</f>
        <v/>
      </c>
      <c r="D3151">
        <f>IF(OR(H3151="",P3151=""),"",INDEX('Students'!$B$2:$B$701,P3151))</f>
        <v/>
      </c>
      <c r="E3151">
        <f>IF(OR(H3151="",P3151=""),"",INDEX('Students'!$C$2:$C$701,P3151))</f>
        <v/>
      </c>
      <c r="F3151" s="48">
        <f>IF(H3151="","",IF(ISNUMBER(O3151),O3151,J3151))</f>
        <v/>
      </c>
      <c r="G3151">
        <f>IF(H3151="","",M3151)</f>
        <v/>
      </c>
      <c r="H3151">
        <f>IF(AND(I3151="",J3151="",K3151=""),"",IF(OR(NOT(ISNUMBER(O3151)),N(O3151)&lt;=0),"Bad amount",IF(NOT(ISNUMBER(N3151)),"Bad date",IF(P3151="","NAME NOT ON ROSTER","OK"))))</f>
        <v/>
      </c>
      <c r="I3151">
        <f>IF('Cash_Check'!A151="","",'Cash_Check'!A151)</f>
        <v/>
      </c>
      <c r="J3151">
        <f>IF('Cash_Check'!D151="","",'Cash_Check'!D151)</f>
        <v/>
      </c>
      <c r="K3151">
        <f>TRIM('Cash_Check'!B151)</f>
        <v/>
      </c>
      <c r="M3151">
        <f>IF(TRIM('Cash_Check'!E151)="","Cash/check",TRIM('Cash_Check'!E151))</f>
        <v/>
      </c>
      <c r="N3151">
        <f>IF(I3151="","",IF(ISNUMBER(I3151),INT(I3151),IFERROR(INT(DATEVALUE(I3151)),IFERROR(INT(VALUE(I3151)),"bad"))))</f>
        <v/>
      </c>
      <c r="O3151">
        <f>IF(J3151="","",IF(ISNUMBER(J3151),ROUND(J3151,2),IFERROR(ROUND(VALUE(SUBSTITUTE(SUBSTITUTE(SUBSTITUTE(J3151,"$",""),",","")," ","")),2),"bad")))</f>
        <v/>
      </c>
      <c r="P3151">
        <f>IF(K3151="","",IFERROR(MATCH(IF(ISNUMBER(FIND("#",K3151)),TRIM(MID(K3151,FIND("#",K3151)+1,20)),UPPER(K3151)),'Students'!$AD$2:$AD$701,0),""))</f>
        <v/>
      </c>
      <c r="R3151">
        <f>IF(P3151="","",INDEX('Students'!$AD$2:$AD$701,P3151))</f>
        <v/>
      </c>
      <c r="S3151">
        <f>IF(H3151="OK",O3151,0)</f>
        <v/>
      </c>
      <c r="T3151">
        <f>IF(H3151="OK",N3151,"")</f>
        <v/>
      </c>
      <c r="U3151">
        <f>TRIM('Cash_Check'!C151)</f>
        <v/>
      </c>
    </row>
    <row r="3152">
      <c r="A3152" s="62">
        <f>IF(H3152="","",IF(ISNUMBER(N3152),N3152,I3152))</f>
        <v/>
      </c>
      <c r="B3152">
        <f>IF(H3152="","",U3152)</f>
        <v/>
      </c>
      <c r="C3152">
        <f>IF(H3152="","",IF(P3152="",K3152,INDEX('Students'!$A$2:$A$701,P3152)))</f>
        <v/>
      </c>
      <c r="D3152">
        <f>IF(OR(H3152="",P3152=""),"",INDEX('Students'!$B$2:$B$701,P3152))</f>
        <v/>
      </c>
      <c r="E3152">
        <f>IF(OR(H3152="",P3152=""),"",INDEX('Students'!$C$2:$C$701,P3152))</f>
        <v/>
      </c>
      <c r="F3152" s="48">
        <f>IF(H3152="","",IF(ISNUMBER(O3152),O3152,J3152))</f>
        <v/>
      </c>
      <c r="G3152">
        <f>IF(H3152="","",M3152)</f>
        <v/>
      </c>
      <c r="H3152">
        <f>IF(AND(I3152="",J3152="",K3152=""),"",IF(OR(NOT(ISNUMBER(O3152)),N(O3152)&lt;=0),"Bad amount",IF(NOT(ISNUMBER(N3152)),"Bad date",IF(P3152="","NAME NOT ON ROSTER","OK"))))</f>
        <v/>
      </c>
      <c r="I3152">
        <f>IF('Cash_Check'!A152="","",'Cash_Check'!A152)</f>
        <v/>
      </c>
      <c r="J3152">
        <f>IF('Cash_Check'!D152="","",'Cash_Check'!D152)</f>
        <v/>
      </c>
      <c r="K3152">
        <f>TRIM('Cash_Check'!B152)</f>
        <v/>
      </c>
      <c r="M3152">
        <f>IF(TRIM('Cash_Check'!E152)="","Cash/check",TRIM('Cash_Check'!E152))</f>
        <v/>
      </c>
      <c r="N3152">
        <f>IF(I3152="","",IF(ISNUMBER(I3152),INT(I3152),IFERROR(INT(DATEVALUE(I3152)),IFERROR(INT(VALUE(I3152)),"bad"))))</f>
        <v/>
      </c>
      <c r="O3152">
        <f>IF(J3152="","",IF(ISNUMBER(J3152),ROUND(J3152,2),IFERROR(ROUND(VALUE(SUBSTITUTE(SUBSTITUTE(SUBSTITUTE(J3152,"$",""),",","")," ","")),2),"bad")))</f>
        <v/>
      </c>
      <c r="P3152">
        <f>IF(K3152="","",IFERROR(MATCH(IF(ISNUMBER(FIND("#",K3152)),TRIM(MID(K3152,FIND("#",K3152)+1,20)),UPPER(K3152)),'Students'!$AD$2:$AD$701,0),""))</f>
        <v/>
      </c>
      <c r="R3152">
        <f>IF(P3152="","",INDEX('Students'!$AD$2:$AD$701,P3152))</f>
        <v/>
      </c>
      <c r="S3152">
        <f>IF(H3152="OK",O3152,0)</f>
        <v/>
      </c>
      <c r="T3152">
        <f>IF(H3152="OK",N3152,"")</f>
        <v/>
      </c>
      <c r="U3152">
        <f>TRIM('Cash_Check'!C152)</f>
        <v/>
      </c>
    </row>
    <row r="3153">
      <c r="A3153" s="62">
        <f>IF(H3153="","",IF(ISNUMBER(N3153),N3153,I3153))</f>
        <v/>
      </c>
      <c r="B3153">
        <f>IF(H3153="","",U3153)</f>
        <v/>
      </c>
      <c r="C3153">
        <f>IF(H3153="","",IF(P3153="",K3153,INDEX('Students'!$A$2:$A$701,P3153)))</f>
        <v/>
      </c>
      <c r="D3153">
        <f>IF(OR(H3153="",P3153=""),"",INDEX('Students'!$B$2:$B$701,P3153))</f>
        <v/>
      </c>
      <c r="E3153">
        <f>IF(OR(H3153="",P3153=""),"",INDEX('Students'!$C$2:$C$701,P3153))</f>
        <v/>
      </c>
      <c r="F3153" s="48">
        <f>IF(H3153="","",IF(ISNUMBER(O3153),O3153,J3153))</f>
        <v/>
      </c>
      <c r="G3153">
        <f>IF(H3153="","",M3153)</f>
        <v/>
      </c>
      <c r="H3153">
        <f>IF(AND(I3153="",J3153="",K3153=""),"",IF(OR(NOT(ISNUMBER(O3153)),N(O3153)&lt;=0),"Bad amount",IF(NOT(ISNUMBER(N3153)),"Bad date",IF(P3153="","NAME NOT ON ROSTER","OK"))))</f>
        <v/>
      </c>
      <c r="I3153">
        <f>IF('Cash_Check'!A153="","",'Cash_Check'!A153)</f>
        <v/>
      </c>
      <c r="J3153">
        <f>IF('Cash_Check'!D153="","",'Cash_Check'!D153)</f>
        <v/>
      </c>
      <c r="K3153">
        <f>TRIM('Cash_Check'!B153)</f>
        <v/>
      </c>
      <c r="M3153">
        <f>IF(TRIM('Cash_Check'!E153)="","Cash/check",TRIM('Cash_Check'!E153))</f>
        <v/>
      </c>
      <c r="N3153">
        <f>IF(I3153="","",IF(ISNUMBER(I3153),INT(I3153),IFERROR(INT(DATEVALUE(I3153)),IFERROR(INT(VALUE(I3153)),"bad"))))</f>
        <v/>
      </c>
      <c r="O3153">
        <f>IF(J3153="","",IF(ISNUMBER(J3153),ROUND(J3153,2),IFERROR(ROUND(VALUE(SUBSTITUTE(SUBSTITUTE(SUBSTITUTE(J3153,"$",""),",","")," ","")),2),"bad")))</f>
        <v/>
      </c>
      <c r="P3153">
        <f>IF(K3153="","",IFERROR(MATCH(IF(ISNUMBER(FIND("#",K3153)),TRIM(MID(K3153,FIND("#",K3153)+1,20)),UPPER(K3153)),'Students'!$AD$2:$AD$701,0),""))</f>
        <v/>
      </c>
      <c r="R3153">
        <f>IF(P3153="","",INDEX('Students'!$AD$2:$AD$701,P3153))</f>
        <v/>
      </c>
      <c r="S3153">
        <f>IF(H3153="OK",O3153,0)</f>
        <v/>
      </c>
      <c r="T3153">
        <f>IF(H3153="OK",N3153,"")</f>
        <v/>
      </c>
      <c r="U3153">
        <f>TRIM('Cash_Check'!C153)</f>
        <v/>
      </c>
    </row>
    <row r="3154">
      <c r="A3154" s="62">
        <f>IF(H3154="","",IF(ISNUMBER(N3154),N3154,I3154))</f>
        <v/>
      </c>
      <c r="B3154">
        <f>IF(H3154="","",U3154)</f>
        <v/>
      </c>
      <c r="C3154">
        <f>IF(H3154="","",IF(P3154="",K3154,INDEX('Students'!$A$2:$A$701,P3154)))</f>
        <v/>
      </c>
      <c r="D3154">
        <f>IF(OR(H3154="",P3154=""),"",INDEX('Students'!$B$2:$B$701,P3154))</f>
        <v/>
      </c>
      <c r="E3154">
        <f>IF(OR(H3154="",P3154=""),"",INDEX('Students'!$C$2:$C$701,P3154))</f>
        <v/>
      </c>
      <c r="F3154" s="48">
        <f>IF(H3154="","",IF(ISNUMBER(O3154),O3154,J3154))</f>
        <v/>
      </c>
      <c r="G3154">
        <f>IF(H3154="","",M3154)</f>
        <v/>
      </c>
      <c r="H3154">
        <f>IF(AND(I3154="",J3154="",K3154=""),"",IF(OR(NOT(ISNUMBER(O3154)),N(O3154)&lt;=0),"Bad amount",IF(NOT(ISNUMBER(N3154)),"Bad date",IF(P3154="","NAME NOT ON ROSTER","OK"))))</f>
        <v/>
      </c>
      <c r="I3154">
        <f>IF('Cash_Check'!A154="","",'Cash_Check'!A154)</f>
        <v/>
      </c>
      <c r="J3154">
        <f>IF('Cash_Check'!D154="","",'Cash_Check'!D154)</f>
        <v/>
      </c>
      <c r="K3154">
        <f>TRIM('Cash_Check'!B154)</f>
        <v/>
      </c>
      <c r="M3154">
        <f>IF(TRIM('Cash_Check'!E154)="","Cash/check",TRIM('Cash_Check'!E154))</f>
        <v/>
      </c>
      <c r="N3154">
        <f>IF(I3154="","",IF(ISNUMBER(I3154),INT(I3154),IFERROR(INT(DATEVALUE(I3154)),IFERROR(INT(VALUE(I3154)),"bad"))))</f>
        <v/>
      </c>
      <c r="O3154">
        <f>IF(J3154="","",IF(ISNUMBER(J3154),ROUND(J3154,2),IFERROR(ROUND(VALUE(SUBSTITUTE(SUBSTITUTE(SUBSTITUTE(J3154,"$",""),",","")," ","")),2),"bad")))</f>
        <v/>
      </c>
      <c r="P3154">
        <f>IF(K3154="","",IFERROR(MATCH(IF(ISNUMBER(FIND("#",K3154)),TRIM(MID(K3154,FIND("#",K3154)+1,20)),UPPER(K3154)),'Students'!$AD$2:$AD$701,0),""))</f>
        <v/>
      </c>
      <c r="R3154">
        <f>IF(P3154="","",INDEX('Students'!$AD$2:$AD$701,P3154))</f>
        <v/>
      </c>
      <c r="S3154">
        <f>IF(H3154="OK",O3154,0)</f>
        <v/>
      </c>
      <c r="T3154">
        <f>IF(H3154="OK",N3154,"")</f>
        <v/>
      </c>
      <c r="U3154">
        <f>TRIM('Cash_Check'!C154)</f>
        <v/>
      </c>
    </row>
    <row r="3155">
      <c r="A3155" s="62">
        <f>IF(H3155="","",IF(ISNUMBER(N3155),N3155,I3155))</f>
        <v/>
      </c>
      <c r="B3155">
        <f>IF(H3155="","",U3155)</f>
        <v/>
      </c>
      <c r="C3155">
        <f>IF(H3155="","",IF(P3155="",K3155,INDEX('Students'!$A$2:$A$701,P3155)))</f>
        <v/>
      </c>
      <c r="D3155">
        <f>IF(OR(H3155="",P3155=""),"",INDEX('Students'!$B$2:$B$701,P3155))</f>
        <v/>
      </c>
      <c r="E3155">
        <f>IF(OR(H3155="",P3155=""),"",INDEX('Students'!$C$2:$C$701,P3155))</f>
        <v/>
      </c>
      <c r="F3155" s="48">
        <f>IF(H3155="","",IF(ISNUMBER(O3155),O3155,J3155))</f>
        <v/>
      </c>
      <c r="G3155">
        <f>IF(H3155="","",M3155)</f>
        <v/>
      </c>
      <c r="H3155">
        <f>IF(AND(I3155="",J3155="",K3155=""),"",IF(OR(NOT(ISNUMBER(O3155)),N(O3155)&lt;=0),"Bad amount",IF(NOT(ISNUMBER(N3155)),"Bad date",IF(P3155="","NAME NOT ON ROSTER","OK"))))</f>
        <v/>
      </c>
      <c r="I3155">
        <f>IF('Cash_Check'!A155="","",'Cash_Check'!A155)</f>
        <v/>
      </c>
      <c r="J3155">
        <f>IF('Cash_Check'!D155="","",'Cash_Check'!D155)</f>
        <v/>
      </c>
      <c r="K3155">
        <f>TRIM('Cash_Check'!B155)</f>
        <v/>
      </c>
      <c r="M3155">
        <f>IF(TRIM('Cash_Check'!E155)="","Cash/check",TRIM('Cash_Check'!E155))</f>
        <v/>
      </c>
      <c r="N3155">
        <f>IF(I3155="","",IF(ISNUMBER(I3155),INT(I3155),IFERROR(INT(DATEVALUE(I3155)),IFERROR(INT(VALUE(I3155)),"bad"))))</f>
        <v/>
      </c>
      <c r="O3155">
        <f>IF(J3155="","",IF(ISNUMBER(J3155),ROUND(J3155,2),IFERROR(ROUND(VALUE(SUBSTITUTE(SUBSTITUTE(SUBSTITUTE(J3155,"$",""),",","")," ","")),2),"bad")))</f>
        <v/>
      </c>
      <c r="P3155">
        <f>IF(K3155="","",IFERROR(MATCH(IF(ISNUMBER(FIND("#",K3155)),TRIM(MID(K3155,FIND("#",K3155)+1,20)),UPPER(K3155)),'Students'!$AD$2:$AD$701,0),""))</f>
        <v/>
      </c>
      <c r="R3155">
        <f>IF(P3155="","",INDEX('Students'!$AD$2:$AD$701,P3155))</f>
        <v/>
      </c>
      <c r="S3155">
        <f>IF(H3155="OK",O3155,0)</f>
        <v/>
      </c>
      <c r="T3155">
        <f>IF(H3155="OK",N3155,"")</f>
        <v/>
      </c>
      <c r="U3155">
        <f>TRIM('Cash_Check'!C155)</f>
        <v/>
      </c>
    </row>
    <row r="3156">
      <c r="A3156" s="62">
        <f>IF(H3156="","",IF(ISNUMBER(N3156),N3156,I3156))</f>
        <v/>
      </c>
      <c r="B3156">
        <f>IF(H3156="","",U3156)</f>
        <v/>
      </c>
      <c r="C3156">
        <f>IF(H3156="","",IF(P3156="",K3156,INDEX('Students'!$A$2:$A$701,P3156)))</f>
        <v/>
      </c>
      <c r="D3156">
        <f>IF(OR(H3156="",P3156=""),"",INDEX('Students'!$B$2:$B$701,P3156))</f>
        <v/>
      </c>
      <c r="E3156">
        <f>IF(OR(H3156="",P3156=""),"",INDEX('Students'!$C$2:$C$701,P3156))</f>
        <v/>
      </c>
      <c r="F3156" s="48">
        <f>IF(H3156="","",IF(ISNUMBER(O3156),O3156,J3156))</f>
        <v/>
      </c>
      <c r="G3156">
        <f>IF(H3156="","",M3156)</f>
        <v/>
      </c>
      <c r="H3156">
        <f>IF(AND(I3156="",J3156="",K3156=""),"",IF(OR(NOT(ISNUMBER(O3156)),N(O3156)&lt;=0),"Bad amount",IF(NOT(ISNUMBER(N3156)),"Bad date",IF(P3156="","NAME NOT ON ROSTER","OK"))))</f>
        <v/>
      </c>
      <c r="I3156">
        <f>IF('Cash_Check'!A156="","",'Cash_Check'!A156)</f>
        <v/>
      </c>
      <c r="J3156">
        <f>IF('Cash_Check'!D156="","",'Cash_Check'!D156)</f>
        <v/>
      </c>
      <c r="K3156">
        <f>TRIM('Cash_Check'!B156)</f>
        <v/>
      </c>
      <c r="M3156">
        <f>IF(TRIM('Cash_Check'!E156)="","Cash/check",TRIM('Cash_Check'!E156))</f>
        <v/>
      </c>
      <c r="N3156">
        <f>IF(I3156="","",IF(ISNUMBER(I3156),INT(I3156),IFERROR(INT(DATEVALUE(I3156)),IFERROR(INT(VALUE(I3156)),"bad"))))</f>
        <v/>
      </c>
      <c r="O3156">
        <f>IF(J3156="","",IF(ISNUMBER(J3156),ROUND(J3156,2),IFERROR(ROUND(VALUE(SUBSTITUTE(SUBSTITUTE(SUBSTITUTE(J3156,"$",""),",","")," ","")),2),"bad")))</f>
        <v/>
      </c>
      <c r="P3156">
        <f>IF(K3156="","",IFERROR(MATCH(IF(ISNUMBER(FIND("#",K3156)),TRIM(MID(K3156,FIND("#",K3156)+1,20)),UPPER(K3156)),'Students'!$AD$2:$AD$701,0),""))</f>
        <v/>
      </c>
      <c r="R3156">
        <f>IF(P3156="","",INDEX('Students'!$AD$2:$AD$701,P3156))</f>
        <v/>
      </c>
      <c r="S3156">
        <f>IF(H3156="OK",O3156,0)</f>
        <v/>
      </c>
      <c r="T3156">
        <f>IF(H3156="OK",N3156,"")</f>
        <v/>
      </c>
      <c r="U3156">
        <f>TRIM('Cash_Check'!C156)</f>
        <v/>
      </c>
    </row>
    <row r="3157">
      <c r="A3157" s="62">
        <f>IF(H3157="","",IF(ISNUMBER(N3157),N3157,I3157))</f>
        <v/>
      </c>
      <c r="B3157">
        <f>IF(H3157="","",U3157)</f>
        <v/>
      </c>
      <c r="C3157">
        <f>IF(H3157="","",IF(P3157="",K3157,INDEX('Students'!$A$2:$A$701,P3157)))</f>
        <v/>
      </c>
      <c r="D3157">
        <f>IF(OR(H3157="",P3157=""),"",INDEX('Students'!$B$2:$B$701,P3157))</f>
        <v/>
      </c>
      <c r="E3157">
        <f>IF(OR(H3157="",P3157=""),"",INDEX('Students'!$C$2:$C$701,P3157))</f>
        <v/>
      </c>
      <c r="F3157" s="48">
        <f>IF(H3157="","",IF(ISNUMBER(O3157),O3157,J3157))</f>
        <v/>
      </c>
      <c r="G3157">
        <f>IF(H3157="","",M3157)</f>
        <v/>
      </c>
      <c r="H3157">
        <f>IF(AND(I3157="",J3157="",K3157=""),"",IF(OR(NOT(ISNUMBER(O3157)),N(O3157)&lt;=0),"Bad amount",IF(NOT(ISNUMBER(N3157)),"Bad date",IF(P3157="","NAME NOT ON ROSTER","OK"))))</f>
        <v/>
      </c>
      <c r="I3157">
        <f>IF('Cash_Check'!A157="","",'Cash_Check'!A157)</f>
        <v/>
      </c>
      <c r="J3157">
        <f>IF('Cash_Check'!D157="","",'Cash_Check'!D157)</f>
        <v/>
      </c>
      <c r="K3157">
        <f>TRIM('Cash_Check'!B157)</f>
        <v/>
      </c>
      <c r="M3157">
        <f>IF(TRIM('Cash_Check'!E157)="","Cash/check",TRIM('Cash_Check'!E157))</f>
        <v/>
      </c>
      <c r="N3157">
        <f>IF(I3157="","",IF(ISNUMBER(I3157),INT(I3157),IFERROR(INT(DATEVALUE(I3157)),IFERROR(INT(VALUE(I3157)),"bad"))))</f>
        <v/>
      </c>
      <c r="O3157">
        <f>IF(J3157="","",IF(ISNUMBER(J3157),ROUND(J3157,2),IFERROR(ROUND(VALUE(SUBSTITUTE(SUBSTITUTE(SUBSTITUTE(J3157,"$",""),",","")," ","")),2),"bad")))</f>
        <v/>
      </c>
      <c r="P3157">
        <f>IF(K3157="","",IFERROR(MATCH(IF(ISNUMBER(FIND("#",K3157)),TRIM(MID(K3157,FIND("#",K3157)+1,20)),UPPER(K3157)),'Students'!$AD$2:$AD$701,0),""))</f>
        <v/>
      </c>
      <c r="R3157">
        <f>IF(P3157="","",INDEX('Students'!$AD$2:$AD$701,P3157))</f>
        <v/>
      </c>
      <c r="S3157">
        <f>IF(H3157="OK",O3157,0)</f>
        <v/>
      </c>
      <c r="T3157">
        <f>IF(H3157="OK",N3157,"")</f>
        <v/>
      </c>
      <c r="U3157">
        <f>TRIM('Cash_Check'!C157)</f>
        <v/>
      </c>
    </row>
    <row r="3158">
      <c r="A3158" s="62">
        <f>IF(H3158="","",IF(ISNUMBER(N3158),N3158,I3158))</f>
        <v/>
      </c>
      <c r="B3158">
        <f>IF(H3158="","",U3158)</f>
        <v/>
      </c>
      <c r="C3158">
        <f>IF(H3158="","",IF(P3158="",K3158,INDEX('Students'!$A$2:$A$701,P3158)))</f>
        <v/>
      </c>
      <c r="D3158">
        <f>IF(OR(H3158="",P3158=""),"",INDEX('Students'!$B$2:$B$701,P3158))</f>
        <v/>
      </c>
      <c r="E3158">
        <f>IF(OR(H3158="",P3158=""),"",INDEX('Students'!$C$2:$C$701,P3158))</f>
        <v/>
      </c>
      <c r="F3158" s="48">
        <f>IF(H3158="","",IF(ISNUMBER(O3158),O3158,J3158))</f>
        <v/>
      </c>
      <c r="G3158">
        <f>IF(H3158="","",M3158)</f>
        <v/>
      </c>
      <c r="H3158">
        <f>IF(AND(I3158="",J3158="",K3158=""),"",IF(OR(NOT(ISNUMBER(O3158)),N(O3158)&lt;=0),"Bad amount",IF(NOT(ISNUMBER(N3158)),"Bad date",IF(P3158="","NAME NOT ON ROSTER","OK"))))</f>
        <v/>
      </c>
      <c r="I3158">
        <f>IF('Cash_Check'!A158="","",'Cash_Check'!A158)</f>
        <v/>
      </c>
      <c r="J3158">
        <f>IF('Cash_Check'!D158="","",'Cash_Check'!D158)</f>
        <v/>
      </c>
      <c r="K3158">
        <f>TRIM('Cash_Check'!B158)</f>
        <v/>
      </c>
      <c r="M3158">
        <f>IF(TRIM('Cash_Check'!E158)="","Cash/check",TRIM('Cash_Check'!E158))</f>
        <v/>
      </c>
      <c r="N3158">
        <f>IF(I3158="","",IF(ISNUMBER(I3158),INT(I3158),IFERROR(INT(DATEVALUE(I3158)),IFERROR(INT(VALUE(I3158)),"bad"))))</f>
        <v/>
      </c>
      <c r="O3158">
        <f>IF(J3158="","",IF(ISNUMBER(J3158),ROUND(J3158,2),IFERROR(ROUND(VALUE(SUBSTITUTE(SUBSTITUTE(SUBSTITUTE(J3158,"$",""),",","")," ","")),2),"bad")))</f>
        <v/>
      </c>
      <c r="P3158">
        <f>IF(K3158="","",IFERROR(MATCH(IF(ISNUMBER(FIND("#",K3158)),TRIM(MID(K3158,FIND("#",K3158)+1,20)),UPPER(K3158)),'Students'!$AD$2:$AD$701,0),""))</f>
        <v/>
      </c>
      <c r="R3158">
        <f>IF(P3158="","",INDEX('Students'!$AD$2:$AD$701,P3158))</f>
        <v/>
      </c>
      <c r="S3158">
        <f>IF(H3158="OK",O3158,0)</f>
        <v/>
      </c>
      <c r="T3158">
        <f>IF(H3158="OK",N3158,"")</f>
        <v/>
      </c>
      <c r="U3158">
        <f>TRIM('Cash_Check'!C158)</f>
        <v/>
      </c>
    </row>
    <row r="3159">
      <c r="A3159" s="62">
        <f>IF(H3159="","",IF(ISNUMBER(N3159),N3159,I3159))</f>
        <v/>
      </c>
      <c r="B3159">
        <f>IF(H3159="","",U3159)</f>
        <v/>
      </c>
      <c r="C3159">
        <f>IF(H3159="","",IF(P3159="",K3159,INDEX('Students'!$A$2:$A$701,P3159)))</f>
        <v/>
      </c>
      <c r="D3159">
        <f>IF(OR(H3159="",P3159=""),"",INDEX('Students'!$B$2:$B$701,P3159))</f>
        <v/>
      </c>
      <c r="E3159">
        <f>IF(OR(H3159="",P3159=""),"",INDEX('Students'!$C$2:$C$701,P3159))</f>
        <v/>
      </c>
      <c r="F3159" s="48">
        <f>IF(H3159="","",IF(ISNUMBER(O3159),O3159,J3159))</f>
        <v/>
      </c>
      <c r="G3159">
        <f>IF(H3159="","",M3159)</f>
        <v/>
      </c>
      <c r="H3159">
        <f>IF(AND(I3159="",J3159="",K3159=""),"",IF(OR(NOT(ISNUMBER(O3159)),N(O3159)&lt;=0),"Bad amount",IF(NOT(ISNUMBER(N3159)),"Bad date",IF(P3159="","NAME NOT ON ROSTER","OK"))))</f>
        <v/>
      </c>
      <c r="I3159">
        <f>IF('Cash_Check'!A159="","",'Cash_Check'!A159)</f>
        <v/>
      </c>
      <c r="J3159">
        <f>IF('Cash_Check'!D159="","",'Cash_Check'!D159)</f>
        <v/>
      </c>
      <c r="K3159">
        <f>TRIM('Cash_Check'!B159)</f>
        <v/>
      </c>
      <c r="M3159">
        <f>IF(TRIM('Cash_Check'!E159)="","Cash/check",TRIM('Cash_Check'!E159))</f>
        <v/>
      </c>
      <c r="N3159">
        <f>IF(I3159="","",IF(ISNUMBER(I3159),INT(I3159),IFERROR(INT(DATEVALUE(I3159)),IFERROR(INT(VALUE(I3159)),"bad"))))</f>
        <v/>
      </c>
      <c r="O3159">
        <f>IF(J3159="","",IF(ISNUMBER(J3159),ROUND(J3159,2),IFERROR(ROUND(VALUE(SUBSTITUTE(SUBSTITUTE(SUBSTITUTE(J3159,"$",""),",","")," ","")),2),"bad")))</f>
        <v/>
      </c>
      <c r="P3159">
        <f>IF(K3159="","",IFERROR(MATCH(IF(ISNUMBER(FIND("#",K3159)),TRIM(MID(K3159,FIND("#",K3159)+1,20)),UPPER(K3159)),'Students'!$AD$2:$AD$701,0),""))</f>
        <v/>
      </c>
      <c r="R3159">
        <f>IF(P3159="","",INDEX('Students'!$AD$2:$AD$701,P3159))</f>
        <v/>
      </c>
      <c r="S3159">
        <f>IF(H3159="OK",O3159,0)</f>
        <v/>
      </c>
      <c r="T3159">
        <f>IF(H3159="OK",N3159,"")</f>
        <v/>
      </c>
      <c r="U3159">
        <f>TRIM('Cash_Check'!C159)</f>
        <v/>
      </c>
    </row>
    <row r="3160">
      <c r="A3160" s="62">
        <f>IF(H3160="","",IF(ISNUMBER(N3160),N3160,I3160))</f>
        <v/>
      </c>
      <c r="B3160">
        <f>IF(H3160="","",U3160)</f>
        <v/>
      </c>
      <c r="C3160">
        <f>IF(H3160="","",IF(P3160="",K3160,INDEX('Students'!$A$2:$A$701,P3160)))</f>
        <v/>
      </c>
      <c r="D3160">
        <f>IF(OR(H3160="",P3160=""),"",INDEX('Students'!$B$2:$B$701,P3160))</f>
        <v/>
      </c>
      <c r="E3160">
        <f>IF(OR(H3160="",P3160=""),"",INDEX('Students'!$C$2:$C$701,P3160))</f>
        <v/>
      </c>
      <c r="F3160" s="48">
        <f>IF(H3160="","",IF(ISNUMBER(O3160),O3160,J3160))</f>
        <v/>
      </c>
      <c r="G3160">
        <f>IF(H3160="","",M3160)</f>
        <v/>
      </c>
      <c r="H3160">
        <f>IF(AND(I3160="",J3160="",K3160=""),"",IF(OR(NOT(ISNUMBER(O3160)),N(O3160)&lt;=0),"Bad amount",IF(NOT(ISNUMBER(N3160)),"Bad date",IF(P3160="","NAME NOT ON ROSTER","OK"))))</f>
        <v/>
      </c>
      <c r="I3160">
        <f>IF('Cash_Check'!A160="","",'Cash_Check'!A160)</f>
        <v/>
      </c>
      <c r="J3160">
        <f>IF('Cash_Check'!D160="","",'Cash_Check'!D160)</f>
        <v/>
      </c>
      <c r="K3160">
        <f>TRIM('Cash_Check'!B160)</f>
        <v/>
      </c>
      <c r="M3160">
        <f>IF(TRIM('Cash_Check'!E160)="","Cash/check",TRIM('Cash_Check'!E160))</f>
        <v/>
      </c>
      <c r="N3160">
        <f>IF(I3160="","",IF(ISNUMBER(I3160),INT(I3160),IFERROR(INT(DATEVALUE(I3160)),IFERROR(INT(VALUE(I3160)),"bad"))))</f>
        <v/>
      </c>
      <c r="O3160">
        <f>IF(J3160="","",IF(ISNUMBER(J3160),ROUND(J3160,2),IFERROR(ROUND(VALUE(SUBSTITUTE(SUBSTITUTE(SUBSTITUTE(J3160,"$",""),",","")," ","")),2),"bad")))</f>
        <v/>
      </c>
      <c r="P3160">
        <f>IF(K3160="","",IFERROR(MATCH(IF(ISNUMBER(FIND("#",K3160)),TRIM(MID(K3160,FIND("#",K3160)+1,20)),UPPER(K3160)),'Students'!$AD$2:$AD$701,0),""))</f>
        <v/>
      </c>
      <c r="R3160">
        <f>IF(P3160="","",INDEX('Students'!$AD$2:$AD$701,P3160))</f>
        <v/>
      </c>
      <c r="S3160">
        <f>IF(H3160="OK",O3160,0)</f>
        <v/>
      </c>
      <c r="T3160">
        <f>IF(H3160="OK",N3160,"")</f>
        <v/>
      </c>
      <c r="U3160">
        <f>TRIM('Cash_Check'!C160)</f>
        <v/>
      </c>
    </row>
    <row r="3161">
      <c r="A3161" s="62">
        <f>IF(H3161="","",IF(ISNUMBER(N3161),N3161,I3161))</f>
        <v/>
      </c>
      <c r="B3161">
        <f>IF(H3161="","",U3161)</f>
        <v/>
      </c>
      <c r="C3161">
        <f>IF(H3161="","",IF(P3161="",K3161,INDEX('Students'!$A$2:$A$701,P3161)))</f>
        <v/>
      </c>
      <c r="D3161">
        <f>IF(OR(H3161="",P3161=""),"",INDEX('Students'!$B$2:$B$701,P3161))</f>
        <v/>
      </c>
      <c r="E3161">
        <f>IF(OR(H3161="",P3161=""),"",INDEX('Students'!$C$2:$C$701,P3161))</f>
        <v/>
      </c>
      <c r="F3161" s="48">
        <f>IF(H3161="","",IF(ISNUMBER(O3161),O3161,J3161))</f>
        <v/>
      </c>
      <c r="G3161">
        <f>IF(H3161="","",M3161)</f>
        <v/>
      </c>
      <c r="H3161">
        <f>IF(AND(I3161="",J3161="",K3161=""),"",IF(OR(NOT(ISNUMBER(O3161)),N(O3161)&lt;=0),"Bad amount",IF(NOT(ISNUMBER(N3161)),"Bad date",IF(P3161="","NAME NOT ON ROSTER","OK"))))</f>
        <v/>
      </c>
      <c r="I3161">
        <f>IF('Cash_Check'!A161="","",'Cash_Check'!A161)</f>
        <v/>
      </c>
      <c r="J3161">
        <f>IF('Cash_Check'!D161="","",'Cash_Check'!D161)</f>
        <v/>
      </c>
      <c r="K3161">
        <f>TRIM('Cash_Check'!B161)</f>
        <v/>
      </c>
      <c r="M3161">
        <f>IF(TRIM('Cash_Check'!E161)="","Cash/check",TRIM('Cash_Check'!E161))</f>
        <v/>
      </c>
      <c r="N3161">
        <f>IF(I3161="","",IF(ISNUMBER(I3161),INT(I3161),IFERROR(INT(DATEVALUE(I3161)),IFERROR(INT(VALUE(I3161)),"bad"))))</f>
        <v/>
      </c>
      <c r="O3161">
        <f>IF(J3161="","",IF(ISNUMBER(J3161),ROUND(J3161,2),IFERROR(ROUND(VALUE(SUBSTITUTE(SUBSTITUTE(SUBSTITUTE(J3161,"$",""),",","")," ","")),2),"bad")))</f>
        <v/>
      </c>
      <c r="P3161">
        <f>IF(K3161="","",IFERROR(MATCH(IF(ISNUMBER(FIND("#",K3161)),TRIM(MID(K3161,FIND("#",K3161)+1,20)),UPPER(K3161)),'Students'!$AD$2:$AD$701,0),""))</f>
        <v/>
      </c>
      <c r="R3161">
        <f>IF(P3161="","",INDEX('Students'!$AD$2:$AD$701,P3161))</f>
        <v/>
      </c>
      <c r="S3161">
        <f>IF(H3161="OK",O3161,0)</f>
        <v/>
      </c>
      <c r="T3161">
        <f>IF(H3161="OK",N3161,"")</f>
        <v/>
      </c>
      <c r="U3161">
        <f>TRIM('Cash_Check'!C161)</f>
        <v/>
      </c>
    </row>
    <row r="3162">
      <c r="A3162" s="62">
        <f>IF(H3162="","",IF(ISNUMBER(N3162),N3162,I3162))</f>
        <v/>
      </c>
      <c r="B3162">
        <f>IF(H3162="","",U3162)</f>
        <v/>
      </c>
      <c r="C3162">
        <f>IF(H3162="","",IF(P3162="",K3162,INDEX('Students'!$A$2:$A$701,P3162)))</f>
        <v/>
      </c>
      <c r="D3162">
        <f>IF(OR(H3162="",P3162=""),"",INDEX('Students'!$B$2:$B$701,P3162))</f>
        <v/>
      </c>
      <c r="E3162">
        <f>IF(OR(H3162="",P3162=""),"",INDEX('Students'!$C$2:$C$701,P3162))</f>
        <v/>
      </c>
      <c r="F3162" s="48">
        <f>IF(H3162="","",IF(ISNUMBER(O3162),O3162,J3162))</f>
        <v/>
      </c>
      <c r="G3162">
        <f>IF(H3162="","",M3162)</f>
        <v/>
      </c>
      <c r="H3162">
        <f>IF(AND(I3162="",J3162="",K3162=""),"",IF(OR(NOT(ISNUMBER(O3162)),N(O3162)&lt;=0),"Bad amount",IF(NOT(ISNUMBER(N3162)),"Bad date",IF(P3162="","NAME NOT ON ROSTER","OK"))))</f>
        <v/>
      </c>
      <c r="I3162">
        <f>IF('Cash_Check'!A162="","",'Cash_Check'!A162)</f>
        <v/>
      </c>
      <c r="J3162">
        <f>IF('Cash_Check'!D162="","",'Cash_Check'!D162)</f>
        <v/>
      </c>
      <c r="K3162">
        <f>TRIM('Cash_Check'!B162)</f>
        <v/>
      </c>
      <c r="M3162">
        <f>IF(TRIM('Cash_Check'!E162)="","Cash/check",TRIM('Cash_Check'!E162))</f>
        <v/>
      </c>
      <c r="N3162">
        <f>IF(I3162="","",IF(ISNUMBER(I3162),INT(I3162),IFERROR(INT(DATEVALUE(I3162)),IFERROR(INT(VALUE(I3162)),"bad"))))</f>
        <v/>
      </c>
      <c r="O3162">
        <f>IF(J3162="","",IF(ISNUMBER(J3162),ROUND(J3162,2),IFERROR(ROUND(VALUE(SUBSTITUTE(SUBSTITUTE(SUBSTITUTE(J3162,"$",""),",","")," ","")),2),"bad")))</f>
        <v/>
      </c>
      <c r="P3162">
        <f>IF(K3162="","",IFERROR(MATCH(IF(ISNUMBER(FIND("#",K3162)),TRIM(MID(K3162,FIND("#",K3162)+1,20)),UPPER(K3162)),'Students'!$AD$2:$AD$701,0),""))</f>
        <v/>
      </c>
      <c r="R3162">
        <f>IF(P3162="","",INDEX('Students'!$AD$2:$AD$701,P3162))</f>
        <v/>
      </c>
      <c r="S3162">
        <f>IF(H3162="OK",O3162,0)</f>
        <v/>
      </c>
      <c r="T3162">
        <f>IF(H3162="OK",N3162,"")</f>
        <v/>
      </c>
      <c r="U3162">
        <f>TRIM('Cash_Check'!C162)</f>
        <v/>
      </c>
    </row>
    <row r="3163">
      <c r="A3163" s="62">
        <f>IF(H3163="","",IF(ISNUMBER(N3163),N3163,I3163))</f>
        <v/>
      </c>
      <c r="B3163">
        <f>IF(H3163="","",U3163)</f>
        <v/>
      </c>
      <c r="C3163">
        <f>IF(H3163="","",IF(P3163="",K3163,INDEX('Students'!$A$2:$A$701,P3163)))</f>
        <v/>
      </c>
      <c r="D3163">
        <f>IF(OR(H3163="",P3163=""),"",INDEX('Students'!$B$2:$B$701,P3163))</f>
        <v/>
      </c>
      <c r="E3163">
        <f>IF(OR(H3163="",P3163=""),"",INDEX('Students'!$C$2:$C$701,P3163))</f>
        <v/>
      </c>
      <c r="F3163" s="48">
        <f>IF(H3163="","",IF(ISNUMBER(O3163),O3163,J3163))</f>
        <v/>
      </c>
      <c r="G3163">
        <f>IF(H3163="","",M3163)</f>
        <v/>
      </c>
      <c r="H3163">
        <f>IF(AND(I3163="",J3163="",K3163=""),"",IF(OR(NOT(ISNUMBER(O3163)),N(O3163)&lt;=0),"Bad amount",IF(NOT(ISNUMBER(N3163)),"Bad date",IF(P3163="","NAME NOT ON ROSTER","OK"))))</f>
        <v/>
      </c>
      <c r="I3163">
        <f>IF('Cash_Check'!A163="","",'Cash_Check'!A163)</f>
        <v/>
      </c>
      <c r="J3163">
        <f>IF('Cash_Check'!D163="","",'Cash_Check'!D163)</f>
        <v/>
      </c>
      <c r="K3163">
        <f>TRIM('Cash_Check'!B163)</f>
        <v/>
      </c>
      <c r="M3163">
        <f>IF(TRIM('Cash_Check'!E163)="","Cash/check",TRIM('Cash_Check'!E163))</f>
        <v/>
      </c>
      <c r="N3163">
        <f>IF(I3163="","",IF(ISNUMBER(I3163),INT(I3163),IFERROR(INT(DATEVALUE(I3163)),IFERROR(INT(VALUE(I3163)),"bad"))))</f>
        <v/>
      </c>
      <c r="O3163">
        <f>IF(J3163="","",IF(ISNUMBER(J3163),ROUND(J3163,2),IFERROR(ROUND(VALUE(SUBSTITUTE(SUBSTITUTE(SUBSTITUTE(J3163,"$",""),",","")," ","")),2),"bad")))</f>
        <v/>
      </c>
      <c r="P3163">
        <f>IF(K3163="","",IFERROR(MATCH(IF(ISNUMBER(FIND("#",K3163)),TRIM(MID(K3163,FIND("#",K3163)+1,20)),UPPER(K3163)),'Students'!$AD$2:$AD$701,0),""))</f>
        <v/>
      </c>
      <c r="R3163">
        <f>IF(P3163="","",INDEX('Students'!$AD$2:$AD$701,P3163))</f>
        <v/>
      </c>
      <c r="S3163">
        <f>IF(H3163="OK",O3163,0)</f>
        <v/>
      </c>
      <c r="T3163">
        <f>IF(H3163="OK",N3163,"")</f>
        <v/>
      </c>
      <c r="U3163">
        <f>TRIM('Cash_Check'!C163)</f>
        <v/>
      </c>
    </row>
    <row r="3164">
      <c r="A3164" s="62">
        <f>IF(H3164="","",IF(ISNUMBER(N3164),N3164,I3164))</f>
        <v/>
      </c>
      <c r="B3164">
        <f>IF(H3164="","",U3164)</f>
        <v/>
      </c>
      <c r="C3164">
        <f>IF(H3164="","",IF(P3164="",K3164,INDEX('Students'!$A$2:$A$701,P3164)))</f>
        <v/>
      </c>
      <c r="D3164">
        <f>IF(OR(H3164="",P3164=""),"",INDEX('Students'!$B$2:$B$701,P3164))</f>
        <v/>
      </c>
      <c r="E3164">
        <f>IF(OR(H3164="",P3164=""),"",INDEX('Students'!$C$2:$C$701,P3164))</f>
        <v/>
      </c>
      <c r="F3164" s="48">
        <f>IF(H3164="","",IF(ISNUMBER(O3164),O3164,J3164))</f>
        <v/>
      </c>
      <c r="G3164">
        <f>IF(H3164="","",M3164)</f>
        <v/>
      </c>
      <c r="H3164">
        <f>IF(AND(I3164="",J3164="",K3164=""),"",IF(OR(NOT(ISNUMBER(O3164)),N(O3164)&lt;=0),"Bad amount",IF(NOT(ISNUMBER(N3164)),"Bad date",IF(P3164="","NAME NOT ON ROSTER","OK"))))</f>
        <v/>
      </c>
      <c r="I3164">
        <f>IF('Cash_Check'!A164="","",'Cash_Check'!A164)</f>
        <v/>
      </c>
      <c r="J3164">
        <f>IF('Cash_Check'!D164="","",'Cash_Check'!D164)</f>
        <v/>
      </c>
      <c r="K3164">
        <f>TRIM('Cash_Check'!B164)</f>
        <v/>
      </c>
      <c r="M3164">
        <f>IF(TRIM('Cash_Check'!E164)="","Cash/check",TRIM('Cash_Check'!E164))</f>
        <v/>
      </c>
      <c r="N3164">
        <f>IF(I3164="","",IF(ISNUMBER(I3164),INT(I3164),IFERROR(INT(DATEVALUE(I3164)),IFERROR(INT(VALUE(I3164)),"bad"))))</f>
        <v/>
      </c>
      <c r="O3164">
        <f>IF(J3164="","",IF(ISNUMBER(J3164),ROUND(J3164,2),IFERROR(ROUND(VALUE(SUBSTITUTE(SUBSTITUTE(SUBSTITUTE(J3164,"$",""),",","")," ","")),2),"bad")))</f>
        <v/>
      </c>
      <c r="P3164">
        <f>IF(K3164="","",IFERROR(MATCH(IF(ISNUMBER(FIND("#",K3164)),TRIM(MID(K3164,FIND("#",K3164)+1,20)),UPPER(K3164)),'Students'!$AD$2:$AD$701,0),""))</f>
        <v/>
      </c>
      <c r="R3164">
        <f>IF(P3164="","",INDEX('Students'!$AD$2:$AD$701,P3164))</f>
        <v/>
      </c>
      <c r="S3164">
        <f>IF(H3164="OK",O3164,0)</f>
        <v/>
      </c>
      <c r="T3164">
        <f>IF(H3164="OK",N3164,"")</f>
        <v/>
      </c>
      <c r="U3164">
        <f>TRIM('Cash_Check'!C164)</f>
        <v/>
      </c>
    </row>
    <row r="3165">
      <c r="A3165" s="62">
        <f>IF(H3165="","",IF(ISNUMBER(N3165),N3165,I3165))</f>
        <v/>
      </c>
      <c r="B3165">
        <f>IF(H3165="","",U3165)</f>
        <v/>
      </c>
      <c r="C3165">
        <f>IF(H3165="","",IF(P3165="",K3165,INDEX('Students'!$A$2:$A$701,P3165)))</f>
        <v/>
      </c>
      <c r="D3165">
        <f>IF(OR(H3165="",P3165=""),"",INDEX('Students'!$B$2:$B$701,P3165))</f>
        <v/>
      </c>
      <c r="E3165">
        <f>IF(OR(H3165="",P3165=""),"",INDEX('Students'!$C$2:$C$701,P3165))</f>
        <v/>
      </c>
      <c r="F3165" s="48">
        <f>IF(H3165="","",IF(ISNUMBER(O3165),O3165,J3165))</f>
        <v/>
      </c>
      <c r="G3165">
        <f>IF(H3165="","",M3165)</f>
        <v/>
      </c>
      <c r="H3165">
        <f>IF(AND(I3165="",J3165="",K3165=""),"",IF(OR(NOT(ISNUMBER(O3165)),N(O3165)&lt;=0),"Bad amount",IF(NOT(ISNUMBER(N3165)),"Bad date",IF(P3165="","NAME NOT ON ROSTER","OK"))))</f>
        <v/>
      </c>
      <c r="I3165">
        <f>IF('Cash_Check'!A165="","",'Cash_Check'!A165)</f>
        <v/>
      </c>
      <c r="J3165">
        <f>IF('Cash_Check'!D165="","",'Cash_Check'!D165)</f>
        <v/>
      </c>
      <c r="K3165">
        <f>TRIM('Cash_Check'!B165)</f>
        <v/>
      </c>
      <c r="M3165">
        <f>IF(TRIM('Cash_Check'!E165)="","Cash/check",TRIM('Cash_Check'!E165))</f>
        <v/>
      </c>
      <c r="N3165">
        <f>IF(I3165="","",IF(ISNUMBER(I3165),INT(I3165),IFERROR(INT(DATEVALUE(I3165)),IFERROR(INT(VALUE(I3165)),"bad"))))</f>
        <v/>
      </c>
      <c r="O3165">
        <f>IF(J3165="","",IF(ISNUMBER(J3165),ROUND(J3165,2),IFERROR(ROUND(VALUE(SUBSTITUTE(SUBSTITUTE(SUBSTITUTE(J3165,"$",""),",","")," ","")),2),"bad")))</f>
        <v/>
      </c>
      <c r="P3165">
        <f>IF(K3165="","",IFERROR(MATCH(IF(ISNUMBER(FIND("#",K3165)),TRIM(MID(K3165,FIND("#",K3165)+1,20)),UPPER(K3165)),'Students'!$AD$2:$AD$701,0),""))</f>
        <v/>
      </c>
      <c r="R3165">
        <f>IF(P3165="","",INDEX('Students'!$AD$2:$AD$701,P3165))</f>
        <v/>
      </c>
      <c r="S3165">
        <f>IF(H3165="OK",O3165,0)</f>
        <v/>
      </c>
      <c r="T3165">
        <f>IF(H3165="OK",N3165,"")</f>
        <v/>
      </c>
      <c r="U3165">
        <f>TRIM('Cash_Check'!C165)</f>
        <v/>
      </c>
    </row>
    <row r="3166">
      <c r="A3166" s="62">
        <f>IF(H3166="","",IF(ISNUMBER(N3166),N3166,I3166))</f>
        <v/>
      </c>
      <c r="B3166">
        <f>IF(H3166="","",U3166)</f>
        <v/>
      </c>
      <c r="C3166">
        <f>IF(H3166="","",IF(P3166="",K3166,INDEX('Students'!$A$2:$A$701,P3166)))</f>
        <v/>
      </c>
      <c r="D3166">
        <f>IF(OR(H3166="",P3166=""),"",INDEX('Students'!$B$2:$B$701,P3166))</f>
        <v/>
      </c>
      <c r="E3166">
        <f>IF(OR(H3166="",P3166=""),"",INDEX('Students'!$C$2:$C$701,P3166))</f>
        <v/>
      </c>
      <c r="F3166" s="48">
        <f>IF(H3166="","",IF(ISNUMBER(O3166),O3166,J3166))</f>
        <v/>
      </c>
      <c r="G3166">
        <f>IF(H3166="","",M3166)</f>
        <v/>
      </c>
      <c r="H3166">
        <f>IF(AND(I3166="",J3166="",K3166=""),"",IF(OR(NOT(ISNUMBER(O3166)),N(O3166)&lt;=0),"Bad amount",IF(NOT(ISNUMBER(N3166)),"Bad date",IF(P3166="","NAME NOT ON ROSTER","OK"))))</f>
        <v/>
      </c>
      <c r="I3166">
        <f>IF('Cash_Check'!A166="","",'Cash_Check'!A166)</f>
        <v/>
      </c>
      <c r="J3166">
        <f>IF('Cash_Check'!D166="","",'Cash_Check'!D166)</f>
        <v/>
      </c>
      <c r="K3166">
        <f>TRIM('Cash_Check'!B166)</f>
        <v/>
      </c>
      <c r="M3166">
        <f>IF(TRIM('Cash_Check'!E166)="","Cash/check",TRIM('Cash_Check'!E166))</f>
        <v/>
      </c>
      <c r="N3166">
        <f>IF(I3166="","",IF(ISNUMBER(I3166),INT(I3166),IFERROR(INT(DATEVALUE(I3166)),IFERROR(INT(VALUE(I3166)),"bad"))))</f>
        <v/>
      </c>
      <c r="O3166">
        <f>IF(J3166="","",IF(ISNUMBER(J3166),ROUND(J3166,2),IFERROR(ROUND(VALUE(SUBSTITUTE(SUBSTITUTE(SUBSTITUTE(J3166,"$",""),",","")," ","")),2),"bad")))</f>
        <v/>
      </c>
      <c r="P3166">
        <f>IF(K3166="","",IFERROR(MATCH(IF(ISNUMBER(FIND("#",K3166)),TRIM(MID(K3166,FIND("#",K3166)+1,20)),UPPER(K3166)),'Students'!$AD$2:$AD$701,0),""))</f>
        <v/>
      </c>
      <c r="R3166">
        <f>IF(P3166="","",INDEX('Students'!$AD$2:$AD$701,P3166))</f>
        <v/>
      </c>
      <c r="S3166">
        <f>IF(H3166="OK",O3166,0)</f>
        <v/>
      </c>
      <c r="T3166">
        <f>IF(H3166="OK",N3166,"")</f>
        <v/>
      </c>
      <c r="U3166">
        <f>TRIM('Cash_Check'!C166)</f>
        <v/>
      </c>
    </row>
    <row r="3167">
      <c r="A3167" s="62">
        <f>IF(H3167="","",IF(ISNUMBER(N3167),N3167,I3167))</f>
        <v/>
      </c>
      <c r="B3167">
        <f>IF(H3167="","",U3167)</f>
        <v/>
      </c>
      <c r="C3167">
        <f>IF(H3167="","",IF(P3167="",K3167,INDEX('Students'!$A$2:$A$701,P3167)))</f>
        <v/>
      </c>
      <c r="D3167">
        <f>IF(OR(H3167="",P3167=""),"",INDEX('Students'!$B$2:$B$701,P3167))</f>
        <v/>
      </c>
      <c r="E3167">
        <f>IF(OR(H3167="",P3167=""),"",INDEX('Students'!$C$2:$C$701,P3167))</f>
        <v/>
      </c>
      <c r="F3167" s="48">
        <f>IF(H3167="","",IF(ISNUMBER(O3167),O3167,J3167))</f>
        <v/>
      </c>
      <c r="G3167">
        <f>IF(H3167="","",M3167)</f>
        <v/>
      </c>
      <c r="H3167">
        <f>IF(AND(I3167="",J3167="",K3167=""),"",IF(OR(NOT(ISNUMBER(O3167)),N(O3167)&lt;=0),"Bad amount",IF(NOT(ISNUMBER(N3167)),"Bad date",IF(P3167="","NAME NOT ON ROSTER","OK"))))</f>
        <v/>
      </c>
      <c r="I3167">
        <f>IF('Cash_Check'!A167="","",'Cash_Check'!A167)</f>
        <v/>
      </c>
      <c r="J3167">
        <f>IF('Cash_Check'!D167="","",'Cash_Check'!D167)</f>
        <v/>
      </c>
      <c r="K3167">
        <f>TRIM('Cash_Check'!B167)</f>
        <v/>
      </c>
      <c r="M3167">
        <f>IF(TRIM('Cash_Check'!E167)="","Cash/check",TRIM('Cash_Check'!E167))</f>
        <v/>
      </c>
      <c r="N3167">
        <f>IF(I3167="","",IF(ISNUMBER(I3167),INT(I3167),IFERROR(INT(DATEVALUE(I3167)),IFERROR(INT(VALUE(I3167)),"bad"))))</f>
        <v/>
      </c>
      <c r="O3167">
        <f>IF(J3167="","",IF(ISNUMBER(J3167),ROUND(J3167,2),IFERROR(ROUND(VALUE(SUBSTITUTE(SUBSTITUTE(SUBSTITUTE(J3167,"$",""),",","")," ","")),2),"bad")))</f>
        <v/>
      </c>
      <c r="P3167">
        <f>IF(K3167="","",IFERROR(MATCH(IF(ISNUMBER(FIND("#",K3167)),TRIM(MID(K3167,FIND("#",K3167)+1,20)),UPPER(K3167)),'Students'!$AD$2:$AD$701,0),""))</f>
        <v/>
      </c>
      <c r="R3167">
        <f>IF(P3167="","",INDEX('Students'!$AD$2:$AD$701,P3167))</f>
        <v/>
      </c>
      <c r="S3167">
        <f>IF(H3167="OK",O3167,0)</f>
        <v/>
      </c>
      <c r="T3167">
        <f>IF(H3167="OK",N3167,"")</f>
        <v/>
      </c>
      <c r="U3167">
        <f>TRIM('Cash_Check'!C167)</f>
        <v/>
      </c>
    </row>
    <row r="3168">
      <c r="A3168" s="62">
        <f>IF(H3168="","",IF(ISNUMBER(N3168),N3168,I3168))</f>
        <v/>
      </c>
      <c r="B3168">
        <f>IF(H3168="","",U3168)</f>
        <v/>
      </c>
      <c r="C3168">
        <f>IF(H3168="","",IF(P3168="",K3168,INDEX('Students'!$A$2:$A$701,P3168)))</f>
        <v/>
      </c>
      <c r="D3168">
        <f>IF(OR(H3168="",P3168=""),"",INDEX('Students'!$B$2:$B$701,P3168))</f>
        <v/>
      </c>
      <c r="E3168">
        <f>IF(OR(H3168="",P3168=""),"",INDEX('Students'!$C$2:$C$701,P3168))</f>
        <v/>
      </c>
      <c r="F3168" s="48">
        <f>IF(H3168="","",IF(ISNUMBER(O3168),O3168,J3168))</f>
        <v/>
      </c>
      <c r="G3168">
        <f>IF(H3168="","",M3168)</f>
        <v/>
      </c>
      <c r="H3168">
        <f>IF(AND(I3168="",J3168="",K3168=""),"",IF(OR(NOT(ISNUMBER(O3168)),N(O3168)&lt;=0),"Bad amount",IF(NOT(ISNUMBER(N3168)),"Bad date",IF(P3168="","NAME NOT ON ROSTER","OK"))))</f>
        <v/>
      </c>
      <c r="I3168">
        <f>IF('Cash_Check'!A168="","",'Cash_Check'!A168)</f>
        <v/>
      </c>
      <c r="J3168">
        <f>IF('Cash_Check'!D168="","",'Cash_Check'!D168)</f>
        <v/>
      </c>
      <c r="K3168">
        <f>TRIM('Cash_Check'!B168)</f>
        <v/>
      </c>
      <c r="M3168">
        <f>IF(TRIM('Cash_Check'!E168)="","Cash/check",TRIM('Cash_Check'!E168))</f>
        <v/>
      </c>
      <c r="N3168">
        <f>IF(I3168="","",IF(ISNUMBER(I3168),INT(I3168),IFERROR(INT(DATEVALUE(I3168)),IFERROR(INT(VALUE(I3168)),"bad"))))</f>
        <v/>
      </c>
      <c r="O3168">
        <f>IF(J3168="","",IF(ISNUMBER(J3168),ROUND(J3168,2),IFERROR(ROUND(VALUE(SUBSTITUTE(SUBSTITUTE(SUBSTITUTE(J3168,"$",""),",","")," ","")),2),"bad")))</f>
        <v/>
      </c>
      <c r="P3168">
        <f>IF(K3168="","",IFERROR(MATCH(IF(ISNUMBER(FIND("#",K3168)),TRIM(MID(K3168,FIND("#",K3168)+1,20)),UPPER(K3168)),'Students'!$AD$2:$AD$701,0),""))</f>
        <v/>
      </c>
      <c r="R3168">
        <f>IF(P3168="","",INDEX('Students'!$AD$2:$AD$701,P3168))</f>
        <v/>
      </c>
      <c r="S3168">
        <f>IF(H3168="OK",O3168,0)</f>
        <v/>
      </c>
      <c r="T3168">
        <f>IF(H3168="OK",N3168,"")</f>
        <v/>
      </c>
      <c r="U3168">
        <f>TRIM('Cash_Check'!C168)</f>
        <v/>
      </c>
    </row>
    <row r="3169">
      <c r="A3169" s="62">
        <f>IF(H3169="","",IF(ISNUMBER(N3169),N3169,I3169))</f>
        <v/>
      </c>
      <c r="B3169">
        <f>IF(H3169="","",U3169)</f>
        <v/>
      </c>
      <c r="C3169">
        <f>IF(H3169="","",IF(P3169="",K3169,INDEX('Students'!$A$2:$A$701,P3169)))</f>
        <v/>
      </c>
      <c r="D3169">
        <f>IF(OR(H3169="",P3169=""),"",INDEX('Students'!$B$2:$B$701,P3169))</f>
        <v/>
      </c>
      <c r="E3169">
        <f>IF(OR(H3169="",P3169=""),"",INDEX('Students'!$C$2:$C$701,P3169))</f>
        <v/>
      </c>
      <c r="F3169" s="48">
        <f>IF(H3169="","",IF(ISNUMBER(O3169),O3169,J3169))</f>
        <v/>
      </c>
      <c r="G3169">
        <f>IF(H3169="","",M3169)</f>
        <v/>
      </c>
      <c r="H3169">
        <f>IF(AND(I3169="",J3169="",K3169=""),"",IF(OR(NOT(ISNUMBER(O3169)),N(O3169)&lt;=0),"Bad amount",IF(NOT(ISNUMBER(N3169)),"Bad date",IF(P3169="","NAME NOT ON ROSTER","OK"))))</f>
        <v/>
      </c>
      <c r="I3169">
        <f>IF('Cash_Check'!A169="","",'Cash_Check'!A169)</f>
        <v/>
      </c>
      <c r="J3169">
        <f>IF('Cash_Check'!D169="","",'Cash_Check'!D169)</f>
        <v/>
      </c>
      <c r="K3169">
        <f>TRIM('Cash_Check'!B169)</f>
        <v/>
      </c>
      <c r="M3169">
        <f>IF(TRIM('Cash_Check'!E169)="","Cash/check",TRIM('Cash_Check'!E169))</f>
        <v/>
      </c>
      <c r="N3169">
        <f>IF(I3169="","",IF(ISNUMBER(I3169),INT(I3169),IFERROR(INT(DATEVALUE(I3169)),IFERROR(INT(VALUE(I3169)),"bad"))))</f>
        <v/>
      </c>
      <c r="O3169">
        <f>IF(J3169="","",IF(ISNUMBER(J3169),ROUND(J3169,2),IFERROR(ROUND(VALUE(SUBSTITUTE(SUBSTITUTE(SUBSTITUTE(J3169,"$",""),",","")," ","")),2),"bad")))</f>
        <v/>
      </c>
      <c r="P3169">
        <f>IF(K3169="","",IFERROR(MATCH(IF(ISNUMBER(FIND("#",K3169)),TRIM(MID(K3169,FIND("#",K3169)+1,20)),UPPER(K3169)),'Students'!$AD$2:$AD$701,0),""))</f>
        <v/>
      </c>
      <c r="R3169">
        <f>IF(P3169="","",INDEX('Students'!$AD$2:$AD$701,P3169))</f>
        <v/>
      </c>
      <c r="S3169">
        <f>IF(H3169="OK",O3169,0)</f>
        <v/>
      </c>
      <c r="T3169">
        <f>IF(H3169="OK",N3169,"")</f>
        <v/>
      </c>
      <c r="U3169">
        <f>TRIM('Cash_Check'!C169)</f>
        <v/>
      </c>
    </row>
    <row r="3170">
      <c r="A3170" s="62">
        <f>IF(H3170="","",IF(ISNUMBER(N3170),N3170,I3170))</f>
        <v/>
      </c>
      <c r="B3170">
        <f>IF(H3170="","",U3170)</f>
        <v/>
      </c>
      <c r="C3170">
        <f>IF(H3170="","",IF(P3170="",K3170,INDEX('Students'!$A$2:$A$701,P3170)))</f>
        <v/>
      </c>
      <c r="D3170">
        <f>IF(OR(H3170="",P3170=""),"",INDEX('Students'!$B$2:$B$701,P3170))</f>
        <v/>
      </c>
      <c r="E3170">
        <f>IF(OR(H3170="",P3170=""),"",INDEX('Students'!$C$2:$C$701,P3170))</f>
        <v/>
      </c>
      <c r="F3170" s="48">
        <f>IF(H3170="","",IF(ISNUMBER(O3170),O3170,J3170))</f>
        <v/>
      </c>
      <c r="G3170">
        <f>IF(H3170="","",M3170)</f>
        <v/>
      </c>
      <c r="H3170">
        <f>IF(AND(I3170="",J3170="",K3170=""),"",IF(OR(NOT(ISNUMBER(O3170)),N(O3170)&lt;=0),"Bad amount",IF(NOT(ISNUMBER(N3170)),"Bad date",IF(P3170="","NAME NOT ON ROSTER","OK"))))</f>
        <v/>
      </c>
      <c r="I3170">
        <f>IF('Cash_Check'!A170="","",'Cash_Check'!A170)</f>
        <v/>
      </c>
      <c r="J3170">
        <f>IF('Cash_Check'!D170="","",'Cash_Check'!D170)</f>
        <v/>
      </c>
      <c r="K3170">
        <f>TRIM('Cash_Check'!B170)</f>
        <v/>
      </c>
      <c r="M3170">
        <f>IF(TRIM('Cash_Check'!E170)="","Cash/check",TRIM('Cash_Check'!E170))</f>
        <v/>
      </c>
      <c r="N3170">
        <f>IF(I3170="","",IF(ISNUMBER(I3170),INT(I3170),IFERROR(INT(DATEVALUE(I3170)),IFERROR(INT(VALUE(I3170)),"bad"))))</f>
        <v/>
      </c>
      <c r="O3170">
        <f>IF(J3170="","",IF(ISNUMBER(J3170),ROUND(J3170,2),IFERROR(ROUND(VALUE(SUBSTITUTE(SUBSTITUTE(SUBSTITUTE(J3170,"$",""),",","")," ","")),2),"bad")))</f>
        <v/>
      </c>
      <c r="P3170">
        <f>IF(K3170="","",IFERROR(MATCH(IF(ISNUMBER(FIND("#",K3170)),TRIM(MID(K3170,FIND("#",K3170)+1,20)),UPPER(K3170)),'Students'!$AD$2:$AD$701,0),""))</f>
        <v/>
      </c>
      <c r="R3170">
        <f>IF(P3170="","",INDEX('Students'!$AD$2:$AD$701,P3170))</f>
        <v/>
      </c>
      <c r="S3170">
        <f>IF(H3170="OK",O3170,0)</f>
        <v/>
      </c>
      <c r="T3170">
        <f>IF(H3170="OK",N3170,"")</f>
        <v/>
      </c>
      <c r="U3170">
        <f>TRIM('Cash_Check'!C170)</f>
        <v/>
      </c>
    </row>
    <row r="3171">
      <c r="A3171" s="62">
        <f>IF(H3171="","",IF(ISNUMBER(N3171),N3171,I3171))</f>
        <v/>
      </c>
      <c r="B3171">
        <f>IF(H3171="","",U3171)</f>
        <v/>
      </c>
      <c r="C3171">
        <f>IF(H3171="","",IF(P3171="",K3171,INDEX('Students'!$A$2:$A$701,P3171)))</f>
        <v/>
      </c>
      <c r="D3171">
        <f>IF(OR(H3171="",P3171=""),"",INDEX('Students'!$B$2:$B$701,P3171))</f>
        <v/>
      </c>
      <c r="E3171">
        <f>IF(OR(H3171="",P3171=""),"",INDEX('Students'!$C$2:$C$701,P3171))</f>
        <v/>
      </c>
      <c r="F3171" s="48">
        <f>IF(H3171="","",IF(ISNUMBER(O3171),O3171,J3171))</f>
        <v/>
      </c>
      <c r="G3171">
        <f>IF(H3171="","",M3171)</f>
        <v/>
      </c>
      <c r="H3171">
        <f>IF(AND(I3171="",J3171="",K3171=""),"",IF(OR(NOT(ISNUMBER(O3171)),N(O3171)&lt;=0),"Bad amount",IF(NOT(ISNUMBER(N3171)),"Bad date",IF(P3171="","NAME NOT ON ROSTER","OK"))))</f>
        <v/>
      </c>
      <c r="I3171">
        <f>IF('Cash_Check'!A171="","",'Cash_Check'!A171)</f>
        <v/>
      </c>
      <c r="J3171">
        <f>IF('Cash_Check'!D171="","",'Cash_Check'!D171)</f>
        <v/>
      </c>
      <c r="K3171">
        <f>TRIM('Cash_Check'!B171)</f>
        <v/>
      </c>
      <c r="M3171">
        <f>IF(TRIM('Cash_Check'!E171)="","Cash/check",TRIM('Cash_Check'!E171))</f>
        <v/>
      </c>
      <c r="N3171">
        <f>IF(I3171="","",IF(ISNUMBER(I3171),INT(I3171),IFERROR(INT(DATEVALUE(I3171)),IFERROR(INT(VALUE(I3171)),"bad"))))</f>
        <v/>
      </c>
      <c r="O3171">
        <f>IF(J3171="","",IF(ISNUMBER(J3171),ROUND(J3171,2),IFERROR(ROUND(VALUE(SUBSTITUTE(SUBSTITUTE(SUBSTITUTE(J3171,"$",""),",","")," ","")),2),"bad")))</f>
        <v/>
      </c>
      <c r="P3171">
        <f>IF(K3171="","",IFERROR(MATCH(IF(ISNUMBER(FIND("#",K3171)),TRIM(MID(K3171,FIND("#",K3171)+1,20)),UPPER(K3171)),'Students'!$AD$2:$AD$701,0),""))</f>
        <v/>
      </c>
      <c r="R3171">
        <f>IF(P3171="","",INDEX('Students'!$AD$2:$AD$701,P3171))</f>
        <v/>
      </c>
      <c r="S3171">
        <f>IF(H3171="OK",O3171,0)</f>
        <v/>
      </c>
      <c r="T3171">
        <f>IF(H3171="OK",N3171,"")</f>
        <v/>
      </c>
      <c r="U3171">
        <f>TRIM('Cash_Check'!C171)</f>
        <v/>
      </c>
    </row>
    <row r="3172">
      <c r="A3172" s="62">
        <f>IF(H3172="","",IF(ISNUMBER(N3172),N3172,I3172))</f>
        <v/>
      </c>
      <c r="B3172">
        <f>IF(H3172="","",U3172)</f>
        <v/>
      </c>
      <c r="C3172">
        <f>IF(H3172="","",IF(P3172="",K3172,INDEX('Students'!$A$2:$A$701,P3172)))</f>
        <v/>
      </c>
      <c r="D3172">
        <f>IF(OR(H3172="",P3172=""),"",INDEX('Students'!$B$2:$B$701,P3172))</f>
        <v/>
      </c>
      <c r="E3172">
        <f>IF(OR(H3172="",P3172=""),"",INDEX('Students'!$C$2:$C$701,P3172))</f>
        <v/>
      </c>
      <c r="F3172" s="48">
        <f>IF(H3172="","",IF(ISNUMBER(O3172),O3172,J3172))</f>
        <v/>
      </c>
      <c r="G3172">
        <f>IF(H3172="","",M3172)</f>
        <v/>
      </c>
      <c r="H3172">
        <f>IF(AND(I3172="",J3172="",K3172=""),"",IF(OR(NOT(ISNUMBER(O3172)),N(O3172)&lt;=0),"Bad amount",IF(NOT(ISNUMBER(N3172)),"Bad date",IF(P3172="","NAME NOT ON ROSTER","OK"))))</f>
        <v/>
      </c>
      <c r="I3172">
        <f>IF('Cash_Check'!A172="","",'Cash_Check'!A172)</f>
        <v/>
      </c>
      <c r="J3172">
        <f>IF('Cash_Check'!D172="","",'Cash_Check'!D172)</f>
        <v/>
      </c>
      <c r="K3172">
        <f>TRIM('Cash_Check'!B172)</f>
        <v/>
      </c>
      <c r="M3172">
        <f>IF(TRIM('Cash_Check'!E172)="","Cash/check",TRIM('Cash_Check'!E172))</f>
        <v/>
      </c>
      <c r="N3172">
        <f>IF(I3172="","",IF(ISNUMBER(I3172),INT(I3172),IFERROR(INT(DATEVALUE(I3172)),IFERROR(INT(VALUE(I3172)),"bad"))))</f>
        <v/>
      </c>
      <c r="O3172">
        <f>IF(J3172="","",IF(ISNUMBER(J3172),ROUND(J3172,2),IFERROR(ROUND(VALUE(SUBSTITUTE(SUBSTITUTE(SUBSTITUTE(J3172,"$",""),",","")," ","")),2),"bad")))</f>
        <v/>
      </c>
      <c r="P3172">
        <f>IF(K3172="","",IFERROR(MATCH(IF(ISNUMBER(FIND("#",K3172)),TRIM(MID(K3172,FIND("#",K3172)+1,20)),UPPER(K3172)),'Students'!$AD$2:$AD$701,0),""))</f>
        <v/>
      </c>
      <c r="R3172">
        <f>IF(P3172="","",INDEX('Students'!$AD$2:$AD$701,P3172))</f>
        <v/>
      </c>
      <c r="S3172">
        <f>IF(H3172="OK",O3172,0)</f>
        <v/>
      </c>
      <c r="T3172">
        <f>IF(H3172="OK",N3172,"")</f>
        <v/>
      </c>
      <c r="U3172">
        <f>TRIM('Cash_Check'!C172)</f>
        <v/>
      </c>
    </row>
    <row r="3173">
      <c r="A3173" s="62">
        <f>IF(H3173="","",IF(ISNUMBER(N3173),N3173,I3173))</f>
        <v/>
      </c>
      <c r="B3173">
        <f>IF(H3173="","",U3173)</f>
        <v/>
      </c>
      <c r="C3173">
        <f>IF(H3173="","",IF(P3173="",K3173,INDEX('Students'!$A$2:$A$701,P3173)))</f>
        <v/>
      </c>
      <c r="D3173">
        <f>IF(OR(H3173="",P3173=""),"",INDEX('Students'!$B$2:$B$701,P3173))</f>
        <v/>
      </c>
      <c r="E3173">
        <f>IF(OR(H3173="",P3173=""),"",INDEX('Students'!$C$2:$C$701,P3173))</f>
        <v/>
      </c>
      <c r="F3173" s="48">
        <f>IF(H3173="","",IF(ISNUMBER(O3173),O3173,J3173))</f>
        <v/>
      </c>
      <c r="G3173">
        <f>IF(H3173="","",M3173)</f>
        <v/>
      </c>
      <c r="H3173">
        <f>IF(AND(I3173="",J3173="",K3173=""),"",IF(OR(NOT(ISNUMBER(O3173)),N(O3173)&lt;=0),"Bad amount",IF(NOT(ISNUMBER(N3173)),"Bad date",IF(P3173="","NAME NOT ON ROSTER","OK"))))</f>
        <v/>
      </c>
      <c r="I3173">
        <f>IF('Cash_Check'!A173="","",'Cash_Check'!A173)</f>
        <v/>
      </c>
      <c r="J3173">
        <f>IF('Cash_Check'!D173="","",'Cash_Check'!D173)</f>
        <v/>
      </c>
      <c r="K3173">
        <f>TRIM('Cash_Check'!B173)</f>
        <v/>
      </c>
      <c r="M3173">
        <f>IF(TRIM('Cash_Check'!E173)="","Cash/check",TRIM('Cash_Check'!E173))</f>
        <v/>
      </c>
      <c r="N3173">
        <f>IF(I3173="","",IF(ISNUMBER(I3173),INT(I3173),IFERROR(INT(DATEVALUE(I3173)),IFERROR(INT(VALUE(I3173)),"bad"))))</f>
        <v/>
      </c>
      <c r="O3173">
        <f>IF(J3173="","",IF(ISNUMBER(J3173),ROUND(J3173,2),IFERROR(ROUND(VALUE(SUBSTITUTE(SUBSTITUTE(SUBSTITUTE(J3173,"$",""),",","")," ","")),2),"bad")))</f>
        <v/>
      </c>
      <c r="P3173">
        <f>IF(K3173="","",IFERROR(MATCH(IF(ISNUMBER(FIND("#",K3173)),TRIM(MID(K3173,FIND("#",K3173)+1,20)),UPPER(K3173)),'Students'!$AD$2:$AD$701,0),""))</f>
        <v/>
      </c>
      <c r="R3173">
        <f>IF(P3173="","",INDEX('Students'!$AD$2:$AD$701,P3173))</f>
        <v/>
      </c>
      <c r="S3173">
        <f>IF(H3173="OK",O3173,0)</f>
        <v/>
      </c>
      <c r="T3173">
        <f>IF(H3173="OK",N3173,"")</f>
        <v/>
      </c>
      <c r="U3173">
        <f>TRIM('Cash_Check'!C173)</f>
        <v/>
      </c>
    </row>
    <row r="3174">
      <c r="A3174" s="62">
        <f>IF(H3174="","",IF(ISNUMBER(N3174),N3174,I3174))</f>
        <v/>
      </c>
      <c r="B3174">
        <f>IF(H3174="","",U3174)</f>
        <v/>
      </c>
      <c r="C3174">
        <f>IF(H3174="","",IF(P3174="",K3174,INDEX('Students'!$A$2:$A$701,P3174)))</f>
        <v/>
      </c>
      <c r="D3174">
        <f>IF(OR(H3174="",P3174=""),"",INDEX('Students'!$B$2:$B$701,P3174))</f>
        <v/>
      </c>
      <c r="E3174">
        <f>IF(OR(H3174="",P3174=""),"",INDEX('Students'!$C$2:$C$701,P3174))</f>
        <v/>
      </c>
      <c r="F3174" s="48">
        <f>IF(H3174="","",IF(ISNUMBER(O3174),O3174,J3174))</f>
        <v/>
      </c>
      <c r="G3174">
        <f>IF(H3174="","",M3174)</f>
        <v/>
      </c>
      <c r="H3174">
        <f>IF(AND(I3174="",J3174="",K3174=""),"",IF(OR(NOT(ISNUMBER(O3174)),N(O3174)&lt;=0),"Bad amount",IF(NOT(ISNUMBER(N3174)),"Bad date",IF(P3174="","NAME NOT ON ROSTER","OK"))))</f>
        <v/>
      </c>
      <c r="I3174">
        <f>IF('Cash_Check'!A174="","",'Cash_Check'!A174)</f>
        <v/>
      </c>
      <c r="J3174">
        <f>IF('Cash_Check'!D174="","",'Cash_Check'!D174)</f>
        <v/>
      </c>
      <c r="K3174">
        <f>TRIM('Cash_Check'!B174)</f>
        <v/>
      </c>
      <c r="M3174">
        <f>IF(TRIM('Cash_Check'!E174)="","Cash/check",TRIM('Cash_Check'!E174))</f>
        <v/>
      </c>
      <c r="N3174">
        <f>IF(I3174="","",IF(ISNUMBER(I3174),INT(I3174),IFERROR(INT(DATEVALUE(I3174)),IFERROR(INT(VALUE(I3174)),"bad"))))</f>
        <v/>
      </c>
      <c r="O3174">
        <f>IF(J3174="","",IF(ISNUMBER(J3174),ROUND(J3174,2),IFERROR(ROUND(VALUE(SUBSTITUTE(SUBSTITUTE(SUBSTITUTE(J3174,"$",""),",","")," ","")),2),"bad")))</f>
        <v/>
      </c>
      <c r="P3174">
        <f>IF(K3174="","",IFERROR(MATCH(IF(ISNUMBER(FIND("#",K3174)),TRIM(MID(K3174,FIND("#",K3174)+1,20)),UPPER(K3174)),'Students'!$AD$2:$AD$701,0),""))</f>
        <v/>
      </c>
      <c r="R3174">
        <f>IF(P3174="","",INDEX('Students'!$AD$2:$AD$701,P3174))</f>
        <v/>
      </c>
      <c r="S3174">
        <f>IF(H3174="OK",O3174,0)</f>
        <v/>
      </c>
      <c r="T3174">
        <f>IF(H3174="OK",N3174,"")</f>
        <v/>
      </c>
      <c r="U3174">
        <f>TRIM('Cash_Check'!C174)</f>
        <v/>
      </c>
    </row>
    <row r="3175">
      <c r="A3175" s="62">
        <f>IF(H3175="","",IF(ISNUMBER(N3175),N3175,I3175))</f>
        <v/>
      </c>
      <c r="B3175">
        <f>IF(H3175="","",U3175)</f>
        <v/>
      </c>
      <c r="C3175">
        <f>IF(H3175="","",IF(P3175="",K3175,INDEX('Students'!$A$2:$A$701,P3175)))</f>
        <v/>
      </c>
      <c r="D3175">
        <f>IF(OR(H3175="",P3175=""),"",INDEX('Students'!$B$2:$B$701,P3175))</f>
        <v/>
      </c>
      <c r="E3175">
        <f>IF(OR(H3175="",P3175=""),"",INDEX('Students'!$C$2:$C$701,P3175))</f>
        <v/>
      </c>
      <c r="F3175" s="48">
        <f>IF(H3175="","",IF(ISNUMBER(O3175),O3175,J3175))</f>
        <v/>
      </c>
      <c r="G3175">
        <f>IF(H3175="","",M3175)</f>
        <v/>
      </c>
      <c r="H3175">
        <f>IF(AND(I3175="",J3175="",K3175=""),"",IF(OR(NOT(ISNUMBER(O3175)),N(O3175)&lt;=0),"Bad amount",IF(NOT(ISNUMBER(N3175)),"Bad date",IF(P3175="","NAME NOT ON ROSTER","OK"))))</f>
        <v/>
      </c>
      <c r="I3175">
        <f>IF('Cash_Check'!A175="","",'Cash_Check'!A175)</f>
        <v/>
      </c>
      <c r="J3175">
        <f>IF('Cash_Check'!D175="","",'Cash_Check'!D175)</f>
        <v/>
      </c>
      <c r="K3175">
        <f>TRIM('Cash_Check'!B175)</f>
        <v/>
      </c>
      <c r="M3175">
        <f>IF(TRIM('Cash_Check'!E175)="","Cash/check",TRIM('Cash_Check'!E175))</f>
        <v/>
      </c>
      <c r="N3175">
        <f>IF(I3175="","",IF(ISNUMBER(I3175),INT(I3175),IFERROR(INT(DATEVALUE(I3175)),IFERROR(INT(VALUE(I3175)),"bad"))))</f>
        <v/>
      </c>
      <c r="O3175">
        <f>IF(J3175="","",IF(ISNUMBER(J3175),ROUND(J3175,2),IFERROR(ROUND(VALUE(SUBSTITUTE(SUBSTITUTE(SUBSTITUTE(J3175,"$",""),",","")," ","")),2),"bad")))</f>
        <v/>
      </c>
      <c r="P3175">
        <f>IF(K3175="","",IFERROR(MATCH(IF(ISNUMBER(FIND("#",K3175)),TRIM(MID(K3175,FIND("#",K3175)+1,20)),UPPER(K3175)),'Students'!$AD$2:$AD$701,0),""))</f>
        <v/>
      </c>
      <c r="R3175">
        <f>IF(P3175="","",INDEX('Students'!$AD$2:$AD$701,P3175))</f>
        <v/>
      </c>
      <c r="S3175">
        <f>IF(H3175="OK",O3175,0)</f>
        <v/>
      </c>
      <c r="T3175">
        <f>IF(H3175="OK",N3175,"")</f>
        <v/>
      </c>
      <c r="U3175">
        <f>TRIM('Cash_Check'!C175)</f>
        <v/>
      </c>
    </row>
    <row r="3176">
      <c r="A3176" s="62">
        <f>IF(H3176="","",IF(ISNUMBER(N3176),N3176,I3176))</f>
        <v/>
      </c>
      <c r="B3176">
        <f>IF(H3176="","",U3176)</f>
        <v/>
      </c>
      <c r="C3176">
        <f>IF(H3176="","",IF(P3176="",K3176,INDEX('Students'!$A$2:$A$701,P3176)))</f>
        <v/>
      </c>
      <c r="D3176">
        <f>IF(OR(H3176="",P3176=""),"",INDEX('Students'!$B$2:$B$701,P3176))</f>
        <v/>
      </c>
      <c r="E3176">
        <f>IF(OR(H3176="",P3176=""),"",INDEX('Students'!$C$2:$C$701,P3176))</f>
        <v/>
      </c>
      <c r="F3176" s="48">
        <f>IF(H3176="","",IF(ISNUMBER(O3176),O3176,J3176))</f>
        <v/>
      </c>
      <c r="G3176">
        <f>IF(H3176="","",M3176)</f>
        <v/>
      </c>
      <c r="H3176">
        <f>IF(AND(I3176="",J3176="",K3176=""),"",IF(OR(NOT(ISNUMBER(O3176)),N(O3176)&lt;=0),"Bad amount",IF(NOT(ISNUMBER(N3176)),"Bad date",IF(P3176="","NAME NOT ON ROSTER","OK"))))</f>
        <v/>
      </c>
      <c r="I3176">
        <f>IF('Cash_Check'!A176="","",'Cash_Check'!A176)</f>
        <v/>
      </c>
      <c r="J3176">
        <f>IF('Cash_Check'!D176="","",'Cash_Check'!D176)</f>
        <v/>
      </c>
      <c r="K3176">
        <f>TRIM('Cash_Check'!B176)</f>
        <v/>
      </c>
      <c r="M3176">
        <f>IF(TRIM('Cash_Check'!E176)="","Cash/check",TRIM('Cash_Check'!E176))</f>
        <v/>
      </c>
      <c r="N3176">
        <f>IF(I3176="","",IF(ISNUMBER(I3176),INT(I3176),IFERROR(INT(DATEVALUE(I3176)),IFERROR(INT(VALUE(I3176)),"bad"))))</f>
        <v/>
      </c>
      <c r="O3176">
        <f>IF(J3176="","",IF(ISNUMBER(J3176),ROUND(J3176,2),IFERROR(ROUND(VALUE(SUBSTITUTE(SUBSTITUTE(SUBSTITUTE(J3176,"$",""),",","")," ","")),2),"bad")))</f>
        <v/>
      </c>
      <c r="P3176">
        <f>IF(K3176="","",IFERROR(MATCH(IF(ISNUMBER(FIND("#",K3176)),TRIM(MID(K3176,FIND("#",K3176)+1,20)),UPPER(K3176)),'Students'!$AD$2:$AD$701,0),""))</f>
        <v/>
      </c>
      <c r="R3176">
        <f>IF(P3176="","",INDEX('Students'!$AD$2:$AD$701,P3176))</f>
        <v/>
      </c>
      <c r="S3176">
        <f>IF(H3176="OK",O3176,0)</f>
        <v/>
      </c>
      <c r="T3176">
        <f>IF(H3176="OK",N3176,"")</f>
        <v/>
      </c>
      <c r="U3176">
        <f>TRIM('Cash_Check'!C176)</f>
        <v/>
      </c>
    </row>
    <row r="3177">
      <c r="A3177" s="62">
        <f>IF(H3177="","",IF(ISNUMBER(N3177),N3177,I3177))</f>
        <v/>
      </c>
      <c r="B3177">
        <f>IF(H3177="","",U3177)</f>
        <v/>
      </c>
      <c r="C3177">
        <f>IF(H3177="","",IF(P3177="",K3177,INDEX('Students'!$A$2:$A$701,P3177)))</f>
        <v/>
      </c>
      <c r="D3177">
        <f>IF(OR(H3177="",P3177=""),"",INDEX('Students'!$B$2:$B$701,P3177))</f>
        <v/>
      </c>
      <c r="E3177">
        <f>IF(OR(H3177="",P3177=""),"",INDEX('Students'!$C$2:$C$701,P3177))</f>
        <v/>
      </c>
      <c r="F3177" s="48">
        <f>IF(H3177="","",IF(ISNUMBER(O3177),O3177,J3177))</f>
        <v/>
      </c>
      <c r="G3177">
        <f>IF(H3177="","",M3177)</f>
        <v/>
      </c>
      <c r="H3177">
        <f>IF(AND(I3177="",J3177="",K3177=""),"",IF(OR(NOT(ISNUMBER(O3177)),N(O3177)&lt;=0),"Bad amount",IF(NOT(ISNUMBER(N3177)),"Bad date",IF(P3177="","NAME NOT ON ROSTER","OK"))))</f>
        <v/>
      </c>
      <c r="I3177">
        <f>IF('Cash_Check'!A177="","",'Cash_Check'!A177)</f>
        <v/>
      </c>
      <c r="J3177">
        <f>IF('Cash_Check'!D177="","",'Cash_Check'!D177)</f>
        <v/>
      </c>
      <c r="K3177">
        <f>TRIM('Cash_Check'!B177)</f>
        <v/>
      </c>
      <c r="M3177">
        <f>IF(TRIM('Cash_Check'!E177)="","Cash/check",TRIM('Cash_Check'!E177))</f>
        <v/>
      </c>
      <c r="N3177">
        <f>IF(I3177="","",IF(ISNUMBER(I3177),INT(I3177),IFERROR(INT(DATEVALUE(I3177)),IFERROR(INT(VALUE(I3177)),"bad"))))</f>
        <v/>
      </c>
      <c r="O3177">
        <f>IF(J3177="","",IF(ISNUMBER(J3177),ROUND(J3177,2),IFERROR(ROUND(VALUE(SUBSTITUTE(SUBSTITUTE(SUBSTITUTE(J3177,"$",""),",","")," ","")),2),"bad")))</f>
        <v/>
      </c>
      <c r="P3177">
        <f>IF(K3177="","",IFERROR(MATCH(IF(ISNUMBER(FIND("#",K3177)),TRIM(MID(K3177,FIND("#",K3177)+1,20)),UPPER(K3177)),'Students'!$AD$2:$AD$701,0),""))</f>
        <v/>
      </c>
      <c r="R3177">
        <f>IF(P3177="","",INDEX('Students'!$AD$2:$AD$701,P3177))</f>
        <v/>
      </c>
      <c r="S3177">
        <f>IF(H3177="OK",O3177,0)</f>
        <v/>
      </c>
      <c r="T3177">
        <f>IF(H3177="OK",N3177,"")</f>
        <v/>
      </c>
      <c r="U3177">
        <f>TRIM('Cash_Check'!C177)</f>
        <v/>
      </c>
    </row>
    <row r="3178">
      <c r="A3178" s="62">
        <f>IF(H3178="","",IF(ISNUMBER(N3178),N3178,I3178))</f>
        <v/>
      </c>
      <c r="B3178">
        <f>IF(H3178="","",U3178)</f>
        <v/>
      </c>
      <c r="C3178">
        <f>IF(H3178="","",IF(P3178="",K3178,INDEX('Students'!$A$2:$A$701,P3178)))</f>
        <v/>
      </c>
      <c r="D3178">
        <f>IF(OR(H3178="",P3178=""),"",INDEX('Students'!$B$2:$B$701,P3178))</f>
        <v/>
      </c>
      <c r="E3178">
        <f>IF(OR(H3178="",P3178=""),"",INDEX('Students'!$C$2:$C$701,P3178))</f>
        <v/>
      </c>
      <c r="F3178" s="48">
        <f>IF(H3178="","",IF(ISNUMBER(O3178),O3178,J3178))</f>
        <v/>
      </c>
      <c r="G3178">
        <f>IF(H3178="","",M3178)</f>
        <v/>
      </c>
      <c r="H3178">
        <f>IF(AND(I3178="",J3178="",K3178=""),"",IF(OR(NOT(ISNUMBER(O3178)),N(O3178)&lt;=0),"Bad amount",IF(NOT(ISNUMBER(N3178)),"Bad date",IF(P3178="","NAME NOT ON ROSTER","OK"))))</f>
        <v/>
      </c>
      <c r="I3178">
        <f>IF('Cash_Check'!A178="","",'Cash_Check'!A178)</f>
        <v/>
      </c>
      <c r="J3178">
        <f>IF('Cash_Check'!D178="","",'Cash_Check'!D178)</f>
        <v/>
      </c>
      <c r="K3178">
        <f>TRIM('Cash_Check'!B178)</f>
        <v/>
      </c>
      <c r="M3178">
        <f>IF(TRIM('Cash_Check'!E178)="","Cash/check",TRIM('Cash_Check'!E178))</f>
        <v/>
      </c>
      <c r="N3178">
        <f>IF(I3178="","",IF(ISNUMBER(I3178),INT(I3178),IFERROR(INT(DATEVALUE(I3178)),IFERROR(INT(VALUE(I3178)),"bad"))))</f>
        <v/>
      </c>
      <c r="O3178">
        <f>IF(J3178="","",IF(ISNUMBER(J3178),ROUND(J3178,2),IFERROR(ROUND(VALUE(SUBSTITUTE(SUBSTITUTE(SUBSTITUTE(J3178,"$",""),",","")," ","")),2),"bad")))</f>
        <v/>
      </c>
      <c r="P3178">
        <f>IF(K3178="","",IFERROR(MATCH(IF(ISNUMBER(FIND("#",K3178)),TRIM(MID(K3178,FIND("#",K3178)+1,20)),UPPER(K3178)),'Students'!$AD$2:$AD$701,0),""))</f>
        <v/>
      </c>
      <c r="R3178">
        <f>IF(P3178="","",INDEX('Students'!$AD$2:$AD$701,P3178))</f>
        <v/>
      </c>
      <c r="S3178">
        <f>IF(H3178="OK",O3178,0)</f>
        <v/>
      </c>
      <c r="T3178">
        <f>IF(H3178="OK",N3178,"")</f>
        <v/>
      </c>
      <c r="U3178">
        <f>TRIM('Cash_Check'!C178)</f>
        <v/>
      </c>
    </row>
    <row r="3179">
      <c r="A3179" s="62">
        <f>IF(H3179="","",IF(ISNUMBER(N3179),N3179,I3179))</f>
        <v/>
      </c>
      <c r="B3179">
        <f>IF(H3179="","",U3179)</f>
        <v/>
      </c>
      <c r="C3179">
        <f>IF(H3179="","",IF(P3179="",K3179,INDEX('Students'!$A$2:$A$701,P3179)))</f>
        <v/>
      </c>
      <c r="D3179">
        <f>IF(OR(H3179="",P3179=""),"",INDEX('Students'!$B$2:$B$701,P3179))</f>
        <v/>
      </c>
      <c r="E3179">
        <f>IF(OR(H3179="",P3179=""),"",INDEX('Students'!$C$2:$C$701,P3179))</f>
        <v/>
      </c>
      <c r="F3179" s="48">
        <f>IF(H3179="","",IF(ISNUMBER(O3179),O3179,J3179))</f>
        <v/>
      </c>
      <c r="G3179">
        <f>IF(H3179="","",M3179)</f>
        <v/>
      </c>
      <c r="H3179">
        <f>IF(AND(I3179="",J3179="",K3179=""),"",IF(OR(NOT(ISNUMBER(O3179)),N(O3179)&lt;=0),"Bad amount",IF(NOT(ISNUMBER(N3179)),"Bad date",IF(P3179="","NAME NOT ON ROSTER","OK"))))</f>
        <v/>
      </c>
      <c r="I3179">
        <f>IF('Cash_Check'!A179="","",'Cash_Check'!A179)</f>
        <v/>
      </c>
      <c r="J3179">
        <f>IF('Cash_Check'!D179="","",'Cash_Check'!D179)</f>
        <v/>
      </c>
      <c r="K3179">
        <f>TRIM('Cash_Check'!B179)</f>
        <v/>
      </c>
      <c r="M3179">
        <f>IF(TRIM('Cash_Check'!E179)="","Cash/check",TRIM('Cash_Check'!E179))</f>
        <v/>
      </c>
      <c r="N3179">
        <f>IF(I3179="","",IF(ISNUMBER(I3179),INT(I3179),IFERROR(INT(DATEVALUE(I3179)),IFERROR(INT(VALUE(I3179)),"bad"))))</f>
        <v/>
      </c>
      <c r="O3179">
        <f>IF(J3179="","",IF(ISNUMBER(J3179),ROUND(J3179,2),IFERROR(ROUND(VALUE(SUBSTITUTE(SUBSTITUTE(SUBSTITUTE(J3179,"$",""),",","")," ","")),2),"bad")))</f>
        <v/>
      </c>
      <c r="P3179">
        <f>IF(K3179="","",IFERROR(MATCH(IF(ISNUMBER(FIND("#",K3179)),TRIM(MID(K3179,FIND("#",K3179)+1,20)),UPPER(K3179)),'Students'!$AD$2:$AD$701,0),""))</f>
        <v/>
      </c>
      <c r="R3179">
        <f>IF(P3179="","",INDEX('Students'!$AD$2:$AD$701,P3179))</f>
        <v/>
      </c>
      <c r="S3179">
        <f>IF(H3179="OK",O3179,0)</f>
        <v/>
      </c>
      <c r="T3179">
        <f>IF(H3179="OK",N3179,"")</f>
        <v/>
      </c>
      <c r="U3179">
        <f>TRIM('Cash_Check'!C179)</f>
        <v/>
      </c>
    </row>
    <row r="3180">
      <c r="A3180" s="62">
        <f>IF(H3180="","",IF(ISNUMBER(N3180),N3180,I3180))</f>
        <v/>
      </c>
      <c r="B3180">
        <f>IF(H3180="","",U3180)</f>
        <v/>
      </c>
      <c r="C3180">
        <f>IF(H3180="","",IF(P3180="",K3180,INDEX('Students'!$A$2:$A$701,P3180)))</f>
        <v/>
      </c>
      <c r="D3180">
        <f>IF(OR(H3180="",P3180=""),"",INDEX('Students'!$B$2:$B$701,P3180))</f>
        <v/>
      </c>
      <c r="E3180">
        <f>IF(OR(H3180="",P3180=""),"",INDEX('Students'!$C$2:$C$701,P3180))</f>
        <v/>
      </c>
      <c r="F3180" s="48">
        <f>IF(H3180="","",IF(ISNUMBER(O3180),O3180,J3180))</f>
        <v/>
      </c>
      <c r="G3180">
        <f>IF(H3180="","",M3180)</f>
        <v/>
      </c>
      <c r="H3180">
        <f>IF(AND(I3180="",J3180="",K3180=""),"",IF(OR(NOT(ISNUMBER(O3180)),N(O3180)&lt;=0),"Bad amount",IF(NOT(ISNUMBER(N3180)),"Bad date",IF(P3180="","NAME NOT ON ROSTER","OK"))))</f>
        <v/>
      </c>
      <c r="I3180">
        <f>IF('Cash_Check'!A180="","",'Cash_Check'!A180)</f>
        <v/>
      </c>
      <c r="J3180">
        <f>IF('Cash_Check'!D180="","",'Cash_Check'!D180)</f>
        <v/>
      </c>
      <c r="K3180">
        <f>TRIM('Cash_Check'!B180)</f>
        <v/>
      </c>
      <c r="M3180">
        <f>IF(TRIM('Cash_Check'!E180)="","Cash/check",TRIM('Cash_Check'!E180))</f>
        <v/>
      </c>
      <c r="N3180">
        <f>IF(I3180="","",IF(ISNUMBER(I3180),INT(I3180),IFERROR(INT(DATEVALUE(I3180)),IFERROR(INT(VALUE(I3180)),"bad"))))</f>
        <v/>
      </c>
      <c r="O3180">
        <f>IF(J3180="","",IF(ISNUMBER(J3180),ROUND(J3180,2),IFERROR(ROUND(VALUE(SUBSTITUTE(SUBSTITUTE(SUBSTITUTE(J3180,"$",""),",","")," ","")),2),"bad")))</f>
        <v/>
      </c>
      <c r="P3180">
        <f>IF(K3180="","",IFERROR(MATCH(IF(ISNUMBER(FIND("#",K3180)),TRIM(MID(K3180,FIND("#",K3180)+1,20)),UPPER(K3180)),'Students'!$AD$2:$AD$701,0),""))</f>
        <v/>
      </c>
      <c r="R3180">
        <f>IF(P3180="","",INDEX('Students'!$AD$2:$AD$701,P3180))</f>
        <v/>
      </c>
      <c r="S3180">
        <f>IF(H3180="OK",O3180,0)</f>
        <v/>
      </c>
      <c r="T3180">
        <f>IF(H3180="OK",N3180,"")</f>
        <v/>
      </c>
      <c r="U3180">
        <f>TRIM('Cash_Check'!C180)</f>
        <v/>
      </c>
    </row>
    <row r="3181">
      <c r="A3181" s="62">
        <f>IF(H3181="","",IF(ISNUMBER(N3181),N3181,I3181))</f>
        <v/>
      </c>
      <c r="B3181">
        <f>IF(H3181="","",U3181)</f>
        <v/>
      </c>
      <c r="C3181">
        <f>IF(H3181="","",IF(P3181="",K3181,INDEX('Students'!$A$2:$A$701,P3181)))</f>
        <v/>
      </c>
      <c r="D3181">
        <f>IF(OR(H3181="",P3181=""),"",INDEX('Students'!$B$2:$B$701,P3181))</f>
        <v/>
      </c>
      <c r="E3181">
        <f>IF(OR(H3181="",P3181=""),"",INDEX('Students'!$C$2:$C$701,P3181))</f>
        <v/>
      </c>
      <c r="F3181" s="48">
        <f>IF(H3181="","",IF(ISNUMBER(O3181),O3181,J3181))</f>
        <v/>
      </c>
      <c r="G3181">
        <f>IF(H3181="","",M3181)</f>
        <v/>
      </c>
      <c r="H3181">
        <f>IF(AND(I3181="",J3181="",K3181=""),"",IF(OR(NOT(ISNUMBER(O3181)),N(O3181)&lt;=0),"Bad amount",IF(NOT(ISNUMBER(N3181)),"Bad date",IF(P3181="","NAME NOT ON ROSTER","OK"))))</f>
        <v/>
      </c>
      <c r="I3181">
        <f>IF('Cash_Check'!A181="","",'Cash_Check'!A181)</f>
        <v/>
      </c>
      <c r="J3181">
        <f>IF('Cash_Check'!D181="","",'Cash_Check'!D181)</f>
        <v/>
      </c>
      <c r="K3181">
        <f>TRIM('Cash_Check'!B181)</f>
        <v/>
      </c>
      <c r="M3181">
        <f>IF(TRIM('Cash_Check'!E181)="","Cash/check",TRIM('Cash_Check'!E181))</f>
        <v/>
      </c>
      <c r="N3181">
        <f>IF(I3181="","",IF(ISNUMBER(I3181),INT(I3181),IFERROR(INT(DATEVALUE(I3181)),IFERROR(INT(VALUE(I3181)),"bad"))))</f>
        <v/>
      </c>
      <c r="O3181">
        <f>IF(J3181="","",IF(ISNUMBER(J3181),ROUND(J3181,2),IFERROR(ROUND(VALUE(SUBSTITUTE(SUBSTITUTE(SUBSTITUTE(J3181,"$",""),",","")," ","")),2),"bad")))</f>
        <v/>
      </c>
      <c r="P3181">
        <f>IF(K3181="","",IFERROR(MATCH(IF(ISNUMBER(FIND("#",K3181)),TRIM(MID(K3181,FIND("#",K3181)+1,20)),UPPER(K3181)),'Students'!$AD$2:$AD$701,0),""))</f>
        <v/>
      </c>
      <c r="R3181">
        <f>IF(P3181="","",INDEX('Students'!$AD$2:$AD$701,P3181))</f>
        <v/>
      </c>
      <c r="S3181">
        <f>IF(H3181="OK",O3181,0)</f>
        <v/>
      </c>
      <c r="T3181">
        <f>IF(H3181="OK",N3181,"")</f>
        <v/>
      </c>
      <c r="U3181">
        <f>TRIM('Cash_Check'!C181)</f>
        <v/>
      </c>
    </row>
    <row r="3182">
      <c r="A3182" s="62">
        <f>IF(H3182="","",IF(ISNUMBER(N3182),N3182,I3182))</f>
        <v/>
      </c>
      <c r="B3182">
        <f>IF(H3182="","",U3182)</f>
        <v/>
      </c>
      <c r="C3182">
        <f>IF(H3182="","",IF(P3182="",K3182,INDEX('Students'!$A$2:$A$701,P3182)))</f>
        <v/>
      </c>
      <c r="D3182">
        <f>IF(OR(H3182="",P3182=""),"",INDEX('Students'!$B$2:$B$701,P3182))</f>
        <v/>
      </c>
      <c r="E3182">
        <f>IF(OR(H3182="",P3182=""),"",INDEX('Students'!$C$2:$C$701,P3182))</f>
        <v/>
      </c>
      <c r="F3182" s="48">
        <f>IF(H3182="","",IF(ISNUMBER(O3182),O3182,J3182))</f>
        <v/>
      </c>
      <c r="G3182">
        <f>IF(H3182="","",M3182)</f>
        <v/>
      </c>
      <c r="H3182">
        <f>IF(AND(I3182="",J3182="",K3182=""),"",IF(OR(NOT(ISNUMBER(O3182)),N(O3182)&lt;=0),"Bad amount",IF(NOT(ISNUMBER(N3182)),"Bad date",IF(P3182="","NAME NOT ON ROSTER","OK"))))</f>
        <v/>
      </c>
      <c r="I3182">
        <f>IF('Cash_Check'!A182="","",'Cash_Check'!A182)</f>
        <v/>
      </c>
      <c r="J3182">
        <f>IF('Cash_Check'!D182="","",'Cash_Check'!D182)</f>
        <v/>
      </c>
      <c r="K3182">
        <f>TRIM('Cash_Check'!B182)</f>
        <v/>
      </c>
      <c r="M3182">
        <f>IF(TRIM('Cash_Check'!E182)="","Cash/check",TRIM('Cash_Check'!E182))</f>
        <v/>
      </c>
      <c r="N3182">
        <f>IF(I3182="","",IF(ISNUMBER(I3182),INT(I3182),IFERROR(INT(DATEVALUE(I3182)),IFERROR(INT(VALUE(I3182)),"bad"))))</f>
        <v/>
      </c>
      <c r="O3182">
        <f>IF(J3182="","",IF(ISNUMBER(J3182),ROUND(J3182,2),IFERROR(ROUND(VALUE(SUBSTITUTE(SUBSTITUTE(SUBSTITUTE(J3182,"$",""),",","")," ","")),2),"bad")))</f>
        <v/>
      </c>
      <c r="P3182">
        <f>IF(K3182="","",IFERROR(MATCH(IF(ISNUMBER(FIND("#",K3182)),TRIM(MID(K3182,FIND("#",K3182)+1,20)),UPPER(K3182)),'Students'!$AD$2:$AD$701,0),""))</f>
        <v/>
      </c>
      <c r="R3182">
        <f>IF(P3182="","",INDEX('Students'!$AD$2:$AD$701,P3182))</f>
        <v/>
      </c>
      <c r="S3182">
        <f>IF(H3182="OK",O3182,0)</f>
        <v/>
      </c>
      <c r="T3182">
        <f>IF(H3182="OK",N3182,"")</f>
        <v/>
      </c>
      <c r="U3182">
        <f>TRIM('Cash_Check'!C182)</f>
        <v/>
      </c>
    </row>
    <row r="3183">
      <c r="A3183" s="62">
        <f>IF(H3183="","",IF(ISNUMBER(N3183),N3183,I3183))</f>
        <v/>
      </c>
      <c r="B3183">
        <f>IF(H3183="","",U3183)</f>
        <v/>
      </c>
      <c r="C3183">
        <f>IF(H3183="","",IF(P3183="",K3183,INDEX('Students'!$A$2:$A$701,P3183)))</f>
        <v/>
      </c>
      <c r="D3183">
        <f>IF(OR(H3183="",P3183=""),"",INDEX('Students'!$B$2:$B$701,P3183))</f>
        <v/>
      </c>
      <c r="E3183">
        <f>IF(OR(H3183="",P3183=""),"",INDEX('Students'!$C$2:$C$701,P3183))</f>
        <v/>
      </c>
      <c r="F3183" s="48">
        <f>IF(H3183="","",IF(ISNUMBER(O3183),O3183,J3183))</f>
        <v/>
      </c>
      <c r="G3183">
        <f>IF(H3183="","",M3183)</f>
        <v/>
      </c>
      <c r="H3183">
        <f>IF(AND(I3183="",J3183="",K3183=""),"",IF(OR(NOT(ISNUMBER(O3183)),N(O3183)&lt;=0),"Bad amount",IF(NOT(ISNUMBER(N3183)),"Bad date",IF(P3183="","NAME NOT ON ROSTER","OK"))))</f>
        <v/>
      </c>
      <c r="I3183">
        <f>IF('Cash_Check'!A183="","",'Cash_Check'!A183)</f>
        <v/>
      </c>
      <c r="J3183">
        <f>IF('Cash_Check'!D183="","",'Cash_Check'!D183)</f>
        <v/>
      </c>
      <c r="K3183">
        <f>TRIM('Cash_Check'!B183)</f>
        <v/>
      </c>
      <c r="M3183">
        <f>IF(TRIM('Cash_Check'!E183)="","Cash/check",TRIM('Cash_Check'!E183))</f>
        <v/>
      </c>
      <c r="N3183">
        <f>IF(I3183="","",IF(ISNUMBER(I3183),INT(I3183),IFERROR(INT(DATEVALUE(I3183)),IFERROR(INT(VALUE(I3183)),"bad"))))</f>
        <v/>
      </c>
      <c r="O3183">
        <f>IF(J3183="","",IF(ISNUMBER(J3183),ROUND(J3183,2),IFERROR(ROUND(VALUE(SUBSTITUTE(SUBSTITUTE(SUBSTITUTE(J3183,"$",""),",","")," ","")),2),"bad")))</f>
        <v/>
      </c>
      <c r="P3183">
        <f>IF(K3183="","",IFERROR(MATCH(IF(ISNUMBER(FIND("#",K3183)),TRIM(MID(K3183,FIND("#",K3183)+1,20)),UPPER(K3183)),'Students'!$AD$2:$AD$701,0),""))</f>
        <v/>
      </c>
      <c r="R3183">
        <f>IF(P3183="","",INDEX('Students'!$AD$2:$AD$701,P3183))</f>
        <v/>
      </c>
      <c r="S3183">
        <f>IF(H3183="OK",O3183,0)</f>
        <v/>
      </c>
      <c r="T3183">
        <f>IF(H3183="OK",N3183,"")</f>
        <v/>
      </c>
      <c r="U3183">
        <f>TRIM('Cash_Check'!C183)</f>
        <v/>
      </c>
    </row>
    <row r="3184">
      <c r="A3184" s="62">
        <f>IF(H3184="","",IF(ISNUMBER(N3184),N3184,I3184))</f>
        <v/>
      </c>
      <c r="B3184">
        <f>IF(H3184="","",U3184)</f>
        <v/>
      </c>
      <c r="C3184">
        <f>IF(H3184="","",IF(P3184="",K3184,INDEX('Students'!$A$2:$A$701,P3184)))</f>
        <v/>
      </c>
      <c r="D3184">
        <f>IF(OR(H3184="",P3184=""),"",INDEX('Students'!$B$2:$B$701,P3184))</f>
        <v/>
      </c>
      <c r="E3184">
        <f>IF(OR(H3184="",P3184=""),"",INDEX('Students'!$C$2:$C$701,P3184))</f>
        <v/>
      </c>
      <c r="F3184" s="48">
        <f>IF(H3184="","",IF(ISNUMBER(O3184),O3184,J3184))</f>
        <v/>
      </c>
      <c r="G3184">
        <f>IF(H3184="","",M3184)</f>
        <v/>
      </c>
      <c r="H3184">
        <f>IF(AND(I3184="",J3184="",K3184=""),"",IF(OR(NOT(ISNUMBER(O3184)),N(O3184)&lt;=0),"Bad amount",IF(NOT(ISNUMBER(N3184)),"Bad date",IF(P3184="","NAME NOT ON ROSTER","OK"))))</f>
        <v/>
      </c>
      <c r="I3184">
        <f>IF('Cash_Check'!A184="","",'Cash_Check'!A184)</f>
        <v/>
      </c>
      <c r="J3184">
        <f>IF('Cash_Check'!D184="","",'Cash_Check'!D184)</f>
        <v/>
      </c>
      <c r="K3184">
        <f>TRIM('Cash_Check'!B184)</f>
        <v/>
      </c>
      <c r="M3184">
        <f>IF(TRIM('Cash_Check'!E184)="","Cash/check",TRIM('Cash_Check'!E184))</f>
        <v/>
      </c>
      <c r="N3184">
        <f>IF(I3184="","",IF(ISNUMBER(I3184),INT(I3184),IFERROR(INT(DATEVALUE(I3184)),IFERROR(INT(VALUE(I3184)),"bad"))))</f>
        <v/>
      </c>
      <c r="O3184">
        <f>IF(J3184="","",IF(ISNUMBER(J3184),ROUND(J3184,2),IFERROR(ROUND(VALUE(SUBSTITUTE(SUBSTITUTE(SUBSTITUTE(J3184,"$",""),",","")," ","")),2),"bad")))</f>
        <v/>
      </c>
      <c r="P3184">
        <f>IF(K3184="","",IFERROR(MATCH(IF(ISNUMBER(FIND("#",K3184)),TRIM(MID(K3184,FIND("#",K3184)+1,20)),UPPER(K3184)),'Students'!$AD$2:$AD$701,0),""))</f>
        <v/>
      </c>
      <c r="R3184">
        <f>IF(P3184="","",INDEX('Students'!$AD$2:$AD$701,P3184))</f>
        <v/>
      </c>
      <c r="S3184">
        <f>IF(H3184="OK",O3184,0)</f>
        <v/>
      </c>
      <c r="T3184">
        <f>IF(H3184="OK",N3184,"")</f>
        <v/>
      </c>
      <c r="U3184">
        <f>TRIM('Cash_Check'!C184)</f>
        <v/>
      </c>
    </row>
    <row r="3185">
      <c r="A3185" s="62">
        <f>IF(H3185="","",IF(ISNUMBER(N3185),N3185,I3185))</f>
        <v/>
      </c>
      <c r="B3185">
        <f>IF(H3185="","",U3185)</f>
        <v/>
      </c>
      <c r="C3185">
        <f>IF(H3185="","",IF(P3185="",K3185,INDEX('Students'!$A$2:$A$701,P3185)))</f>
        <v/>
      </c>
      <c r="D3185">
        <f>IF(OR(H3185="",P3185=""),"",INDEX('Students'!$B$2:$B$701,P3185))</f>
        <v/>
      </c>
      <c r="E3185">
        <f>IF(OR(H3185="",P3185=""),"",INDEX('Students'!$C$2:$C$701,P3185))</f>
        <v/>
      </c>
      <c r="F3185" s="48">
        <f>IF(H3185="","",IF(ISNUMBER(O3185),O3185,J3185))</f>
        <v/>
      </c>
      <c r="G3185">
        <f>IF(H3185="","",M3185)</f>
        <v/>
      </c>
      <c r="H3185">
        <f>IF(AND(I3185="",J3185="",K3185=""),"",IF(OR(NOT(ISNUMBER(O3185)),N(O3185)&lt;=0),"Bad amount",IF(NOT(ISNUMBER(N3185)),"Bad date",IF(P3185="","NAME NOT ON ROSTER","OK"))))</f>
        <v/>
      </c>
      <c r="I3185">
        <f>IF('Cash_Check'!A185="","",'Cash_Check'!A185)</f>
        <v/>
      </c>
      <c r="J3185">
        <f>IF('Cash_Check'!D185="","",'Cash_Check'!D185)</f>
        <v/>
      </c>
      <c r="K3185">
        <f>TRIM('Cash_Check'!B185)</f>
        <v/>
      </c>
      <c r="M3185">
        <f>IF(TRIM('Cash_Check'!E185)="","Cash/check",TRIM('Cash_Check'!E185))</f>
        <v/>
      </c>
      <c r="N3185">
        <f>IF(I3185="","",IF(ISNUMBER(I3185),INT(I3185),IFERROR(INT(DATEVALUE(I3185)),IFERROR(INT(VALUE(I3185)),"bad"))))</f>
        <v/>
      </c>
      <c r="O3185">
        <f>IF(J3185="","",IF(ISNUMBER(J3185),ROUND(J3185,2),IFERROR(ROUND(VALUE(SUBSTITUTE(SUBSTITUTE(SUBSTITUTE(J3185,"$",""),",","")," ","")),2),"bad")))</f>
        <v/>
      </c>
      <c r="P3185">
        <f>IF(K3185="","",IFERROR(MATCH(IF(ISNUMBER(FIND("#",K3185)),TRIM(MID(K3185,FIND("#",K3185)+1,20)),UPPER(K3185)),'Students'!$AD$2:$AD$701,0),""))</f>
        <v/>
      </c>
      <c r="R3185">
        <f>IF(P3185="","",INDEX('Students'!$AD$2:$AD$701,P3185))</f>
        <v/>
      </c>
      <c r="S3185">
        <f>IF(H3185="OK",O3185,0)</f>
        <v/>
      </c>
      <c r="T3185">
        <f>IF(H3185="OK",N3185,"")</f>
        <v/>
      </c>
      <c r="U3185">
        <f>TRIM('Cash_Check'!C185)</f>
        <v/>
      </c>
    </row>
    <row r="3186">
      <c r="A3186" s="62">
        <f>IF(H3186="","",IF(ISNUMBER(N3186),N3186,I3186))</f>
        <v/>
      </c>
      <c r="B3186">
        <f>IF(H3186="","",U3186)</f>
        <v/>
      </c>
      <c r="C3186">
        <f>IF(H3186="","",IF(P3186="",K3186,INDEX('Students'!$A$2:$A$701,P3186)))</f>
        <v/>
      </c>
      <c r="D3186">
        <f>IF(OR(H3186="",P3186=""),"",INDEX('Students'!$B$2:$B$701,P3186))</f>
        <v/>
      </c>
      <c r="E3186">
        <f>IF(OR(H3186="",P3186=""),"",INDEX('Students'!$C$2:$C$701,P3186))</f>
        <v/>
      </c>
      <c r="F3186" s="48">
        <f>IF(H3186="","",IF(ISNUMBER(O3186),O3186,J3186))</f>
        <v/>
      </c>
      <c r="G3186">
        <f>IF(H3186="","",M3186)</f>
        <v/>
      </c>
      <c r="H3186">
        <f>IF(AND(I3186="",J3186="",K3186=""),"",IF(OR(NOT(ISNUMBER(O3186)),N(O3186)&lt;=0),"Bad amount",IF(NOT(ISNUMBER(N3186)),"Bad date",IF(P3186="","NAME NOT ON ROSTER","OK"))))</f>
        <v/>
      </c>
      <c r="I3186">
        <f>IF('Cash_Check'!A186="","",'Cash_Check'!A186)</f>
        <v/>
      </c>
      <c r="J3186">
        <f>IF('Cash_Check'!D186="","",'Cash_Check'!D186)</f>
        <v/>
      </c>
      <c r="K3186">
        <f>TRIM('Cash_Check'!B186)</f>
        <v/>
      </c>
      <c r="M3186">
        <f>IF(TRIM('Cash_Check'!E186)="","Cash/check",TRIM('Cash_Check'!E186))</f>
        <v/>
      </c>
      <c r="N3186">
        <f>IF(I3186="","",IF(ISNUMBER(I3186),INT(I3186),IFERROR(INT(DATEVALUE(I3186)),IFERROR(INT(VALUE(I3186)),"bad"))))</f>
        <v/>
      </c>
      <c r="O3186">
        <f>IF(J3186="","",IF(ISNUMBER(J3186),ROUND(J3186,2),IFERROR(ROUND(VALUE(SUBSTITUTE(SUBSTITUTE(SUBSTITUTE(J3186,"$",""),",","")," ","")),2),"bad")))</f>
        <v/>
      </c>
      <c r="P3186">
        <f>IF(K3186="","",IFERROR(MATCH(IF(ISNUMBER(FIND("#",K3186)),TRIM(MID(K3186,FIND("#",K3186)+1,20)),UPPER(K3186)),'Students'!$AD$2:$AD$701,0),""))</f>
        <v/>
      </c>
      <c r="R3186">
        <f>IF(P3186="","",INDEX('Students'!$AD$2:$AD$701,P3186))</f>
        <v/>
      </c>
      <c r="S3186">
        <f>IF(H3186="OK",O3186,0)</f>
        <v/>
      </c>
      <c r="T3186">
        <f>IF(H3186="OK",N3186,"")</f>
        <v/>
      </c>
      <c r="U3186">
        <f>TRIM('Cash_Check'!C186)</f>
        <v/>
      </c>
    </row>
    <row r="3187">
      <c r="A3187" s="62">
        <f>IF(H3187="","",IF(ISNUMBER(N3187),N3187,I3187))</f>
        <v/>
      </c>
      <c r="B3187">
        <f>IF(H3187="","",U3187)</f>
        <v/>
      </c>
      <c r="C3187">
        <f>IF(H3187="","",IF(P3187="",K3187,INDEX('Students'!$A$2:$A$701,P3187)))</f>
        <v/>
      </c>
      <c r="D3187">
        <f>IF(OR(H3187="",P3187=""),"",INDEX('Students'!$B$2:$B$701,P3187))</f>
        <v/>
      </c>
      <c r="E3187">
        <f>IF(OR(H3187="",P3187=""),"",INDEX('Students'!$C$2:$C$701,P3187))</f>
        <v/>
      </c>
      <c r="F3187" s="48">
        <f>IF(H3187="","",IF(ISNUMBER(O3187),O3187,J3187))</f>
        <v/>
      </c>
      <c r="G3187">
        <f>IF(H3187="","",M3187)</f>
        <v/>
      </c>
      <c r="H3187">
        <f>IF(AND(I3187="",J3187="",K3187=""),"",IF(OR(NOT(ISNUMBER(O3187)),N(O3187)&lt;=0),"Bad amount",IF(NOT(ISNUMBER(N3187)),"Bad date",IF(P3187="","NAME NOT ON ROSTER","OK"))))</f>
        <v/>
      </c>
      <c r="I3187">
        <f>IF('Cash_Check'!A187="","",'Cash_Check'!A187)</f>
        <v/>
      </c>
      <c r="J3187">
        <f>IF('Cash_Check'!D187="","",'Cash_Check'!D187)</f>
        <v/>
      </c>
      <c r="K3187">
        <f>TRIM('Cash_Check'!B187)</f>
        <v/>
      </c>
      <c r="M3187">
        <f>IF(TRIM('Cash_Check'!E187)="","Cash/check",TRIM('Cash_Check'!E187))</f>
        <v/>
      </c>
      <c r="N3187">
        <f>IF(I3187="","",IF(ISNUMBER(I3187),INT(I3187),IFERROR(INT(DATEVALUE(I3187)),IFERROR(INT(VALUE(I3187)),"bad"))))</f>
        <v/>
      </c>
      <c r="O3187">
        <f>IF(J3187="","",IF(ISNUMBER(J3187),ROUND(J3187,2),IFERROR(ROUND(VALUE(SUBSTITUTE(SUBSTITUTE(SUBSTITUTE(J3187,"$",""),",","")," ","")),2),"bad")))</f>
        <v/>
      </c>
      <c r="P3187">
        <f>IF(K3187="","",IFERROR(MATCH(IF(ISNUMBER(FIND("#",K3187)),TRIM(MID(K3187,FIND("#",K3187)+1,20)),UPPER(K3187)),'Students'!$AD$2:$AD$701,0),""))</f>
        <v/>
      </c>
      <c r="R3187">
        <f>IF(P3187="","",INDEX('Students'!$AD$2:$AD$701,P3187))</f>
        <v/>
      </c>
      <c r="S3187">
        <f>IF(H3187="OK",O3187,0)</f>
        <v/>
      </c>
      <c r="T3187">
        <f>IF(H3187="OK",N3187,"")</f>
        <v/>
      </c>
      <c r="U3187">
        <f>TRIM('Cash_Check'!C187)</f>
        <v/>
      </c>
    </row>
    <row r="3188">
      <c r="A3188" s="62">
        <f>IF(H3188="","",IF(ISNUMBER(N3188),N3188,I3188))</f>
        <v/>
      </c>
      <c r="B3188">
        <f>IF(H3188="","",U3188)</f>
        <v/>
      </c>
      <c r="C3188">
        <f>IF(H3188="","",IF(P3188="",K3188,INDEX('Students'!$A$2:$A$701,P3188)))</f>
        <v/>
      </c>
      <c r="D3188">
        <f>IF(OR(H3188="",P3188=""),"",INDEX('Students'!$B$2:$B$701,P3188))</f>
        <v/>
      </c>
      <c r="E3188">
        <f>IF(OR(H3188="",P3188=""),"",INDEX('Students'!$C$2:$C$701,P3188))</f>
        <v/>
      </c>
      <c r="F3188" s="48">
        <f>IF(H3188="","",IF(ISNUMBER(O3188),O3188,J3188))</f>
        <v/>
      </c>
      <c r="G3188">
        <f>IF(H3188="","",M3188)</f>
        <v/>
      </c>
      <c r="H3188">
        <f>IF(AND(I3188="",J3188="",K3188=""),"",IF(OR(NOT(ISNUMBER(O3188)),N(O3188)&lt;=0),"Bad amount",IF(NOT(ISNUMBER(N3188)),"Bad date",IF(P3188="","NAME NOT ON ROSTER","OK"))))</f>
        <v/>
      </c>
      <c r="I3188">
        <f>IF('Cash_Check'!A188="","",'Cash_Check'!A188)</f>
        <v/>
      </c>
      <c r="J3188">
        <f>IF('Cash_Check'!D188="","",'Cash_Check'!D188)</f>
        <v/>
      </c>
      <c r="K3188">
        <f>TRIM('Cash_Check'!B188)</f>
        <v/>
      </c>
      <c r="M3188">
        <f>IF(TRIM('Cash_Check'!E188)="","Cash/check",TRIM('Cash_Check'!E188))</f>
        <v/>
      </c>
      <c r="N3188">
        <f>IF(I3188="","",IF(ISNUMBER(I3188),INT(I3188),IFERROR(INT(DATEVALUE(I3188)),IFERROR(INT(VALUE(I3188)),"bad"))))</f>
        <v/>
      </c>
      <c r="O3188">
        <f>IF(J3188="","",IF(ISNUMBER(J3188),ROUND(J3188,2),IFERROR(ROUND(VALUE(SUBSTITUTE(SUBSTITUTE(SUBSTITUTE(J3188,"$",""),",","")," ","")),2),"bad")))</f>
        <v/>
      </c>
      <c r="P3188">
        <f>IF(K3188="","",IFERROR(MATCH(IF(ISNUMBER(FIND("#",K3188)),TRIM(MID(K3188,FIND("#",K3188)+1,20)),UPPER(K3188)),'Students'!$AD$2:$AD$701,0),""))</f>
        <v/>
      </c>
      <c r="R3188">
        <f>IF(P3188="","",INDEX('Students'!$AD$2:$AD$701,P3188))</f>
        <v/>
      </c>
      <c r="S3188">
        <f>IF(H3188="OK",O3188,0)</f>
        <v/>
      </c>
      <c r="T3188">
        <f>IF(H3188="OK",N3188,"")</f>
        <v/>
      </c>
      <c r="U3188">
        <f>TRIM('Cash_Check'!C188)</f>
        <v/>
      </c>
    </row>
    <row r="3189">
      <c r="A3189" s="62">
        <f>IF(H3189="","",IF(ISNUMBER(N3189),N3189,I3189))</f>
        <v/>
      </c>
      <c r="B3189">
        <f>IF(H3189="","",U3189)</f>
        <v/>
      </c>
      <c r="C3189">
        <f>IF(H3189="","",IF(P3189="",K3189,INDEX('Students'!$A$2:$A$701,P3189)))</f>
        <v/>
      </c>
      <c r="D3189">
        <f>IF(OR(H3189="",P3189=""),"",INDEX('Students'!$B$2:$B$701,P3189))</f>
        <v/>
      </c>
      <c r="E3189">
        <f>IF(OR(H3189="",P3189=""),"",INDEX('Students'!$C$2:$C$701,P3189))</f>
        <v/>
      </c>
      <c r="F3189" s="48">
        <f>IF(H3189="","",IF(ISNUMBER(O3189),O3189,J3189))</f>
        <v/>
      </c>
      <c r="G3189">
        <f>IF(H3189="","",M3189)</f>
        <v/>
      </c>
      <c r="H3189">
        <f>IF(AND(I3189="",J3189="",K3189=""),"",IF(OR(NOT(ISNUMBER(O3189)),N(O3189)&lt;=0),"Bad amount",IF(NOT(ISNUMBER(N3189)),"Bad date",IF(P3189="","NAME NOT ON ROSTER","OK"))))</f>
        <v/>
      </c>
      <c r="I3189">
        <f>IF('Cash_Check'!A189="","",'Cash_Check'!A189)</f>
        <v/>
      </c>
      <c r="J3189">
        <f>IF('Cash_Check'!D189="","",'Cash_Check'!D189)</f>
        <v/>
      </c>
      <c r="K3189">
        <f>TRIM('Cash_Check'!B189)</f>
        <v/>
      </c>
      <c r="M3189">
        <f>IF(TRIM('Cash_Check'!E189)="","Cash/check",TRIM('Cash_Check'!E189))</f>
        <v/>
      </c>
      <c r="N3189">
        <f>IF(I3189="","",IF(ISNUMBER(I3189),INT(I3189),IFERROR(INT(DATEVALUE(I3189)),IFERROR(INT(VALUE(I3189)),"bad"))))</f>
        <v/>
      </c>
      <c r="O3189">
        <f>IF(J3189="","",IF(ISNUMBER(J3189),ROUND(J3189,2),IFERROR(ROUND(VALUE(SUBSTITUTE(SUBSTITUTE(SUBSTITUTE(J3189,"$",""),",","")," ","")),2),"bad")))</f>
        <v/>
      </c>
      <c r="P3189">
        <f>IF(K3189="","",IFERROR(MATCH(IF(ISNUMBER(FIND("#",K3189)),TRIM(MID(K3189,FIND("#",K3189)+1,20)),UPPER(K3189)),'Students'!$AD$2:$AD$701,0),""))</f>
        <v/>
      </c>
      <c r="R3189">
        <f>IF(P3189="","",INDEX('Students'!$AD$2:$AD$701,P3189))</f>
        <v/>
      </c>
      <c r="S3189">
        <f>IF(H3189="OK",O3189,0)</f>
        <v/>
      </c>
      <c r="T3189">
        <f>IF(H3189="OK",N3189,"")</f>
        <v/>
      </c>
      <c r="U3189">
        <f>TRIM('Cash_Check'!C189)</f>
        <v/>
      </c>
    </row>
    <row r="3190">
      <c r="A3190" s="62">
        <f>IF(H3190="","",IF(ISNUMBER(N3190),N3190,I3190))</f>
        <v/>
      </c>
      <c r="B3190">
        <f>IF(H3190="","",U3190)</f>
        <v/>
      </c>
      <c r="C3190">
        <f>IF(H3190="","",IF(P3190="",K3190,INDEX('Students'!$A$2:$A$701,P3190)))</f>
        <v/>
      </c>
      <c r="D3190">
        <f>IF(OR(H3190="",P3190=""),"",INDEX('Students'!$B$2:$B$701,P3190))</f>
        <v/>
      </c>
      <c r="E3190">
        <f>IF(OR(H3190="",P3190=""),"",INDEX('Students'!$C$2:$C$701,P3190))</f>
        <v/>
      </c>
      <c r="F3190" s="48">
        <f>IF(H3190="","",IF(ISNUMBER(O3190),O3190,J3190))</f>
        <v/>
      </c>
      <c r="G3190">
        <f>IF(H3190="","",M3190)</f>
        <v/>
      </c>
      <c r="H3190">
        <f>IF(AND(I3190="",J3190="",K3190=""),"",IF(OR(NOT(ISNUMBER(O3190)),N(O3190)&lt;=0),"Bad amount",IF(NOT(ISNUMBER(N3190)),"Bad date",IF(P3190="","NAME NOT ON ROSTER","OK"))))</f>
        <v/>
      </c>
      <c r="I3190">
        <f>IF('Cash_Check'!A190="","",'Cash_Check'!A190)</f>
        <v/>
      </c>
      <c r="J3190">
        <f>IF('Cash_Check'!D190="","",'Cash_Check'!D190)</f>
        <v/>
      </c>
      <c r="K3190">
        <f>TRIM('Cash_Check'!B190)</f>
        <v/>
      </c>
      <c r="M3190">
        <f>IF(TRIM('Cash_Check'!E190)="","Cash/check",TRIM('Cash_Check'!E190))</f>
        <v/>
      </c>
      <c r="N3190">
        <f>IF(I3190="","",IF(ISNUMBER(I3190),INT(I3190),IFERROR(INT(DATEVALUE(I3190)),IFERROR(INT(VALUE(I3190)),"bad"))))</f>
        <v/>
      </c>
      <c r="O3190">
        <f>IF(J3190="","",IF(ISNUMBER(J3190),ROUND(J3190,2),IFERROR(ROUND(VALUE(SUBSTITUTE(SUBSTITUTE(SUBSTITUTE(J3190,"$",""),",","")," ","")),2),"bad")))</f>
        <v/>
      </c>
      <c r="P3190">
        <f>IF(K3190="","",IFERROR(MATCH(IF(ISNUMBER(FIND("#",K3190)),TRIM(MID(K3190,FIND("#",K3190)+1,20)),UPPER(K3190)),'Students'!$AD$2:$AD$701,0),""))</f>
        <v/>
      </c>
      <c r="R3190">
        <f>IF(P3190="","",INDEX('Students'!$AD$2:$AD$701,P3190))</f>
        <v/>
      </c>
      <c r="S3190">
        <f>IF(H3190="OK",O3190,0)</f>
        <v/>
      </c>
      <c r="T3190">
        <f>IF(H3190="OK",N3190,"")</f>
        <v/>
      </c>
      <c r="U3190">
        <f>TRIM('Cash_Check'!C190)</f>
        <v/>
      </c>
    </row>
    <row r="3191">
      <c r="A3191" s="62">
        <f>IF(H3191="","",IF(ISNUMBER(N3191),N3191,I3191))</f>
        <v/>
      </c>
      <c r="B3191">
        <f>IF(H3191="","",U3191)</f>
        <v/>
      </c>
      <c r="C3191">
        <f>IF(H3191="","",IF(P3191="",K3191,INDEX('Students'!$A$2:$A$701,P3191)))</f>
        <v/>
      </c>
      <c r="D3191">
        <f>IF(OR(H3191="",P3191=""),"",INDEX('Students'!$B$2:$B$701,P3191))</f>
        <v/>
      </c>
      <c r="E3191">
        <f>IF(OR(H3191="",P3191=""),"",INDEX('Students'!$C$2:$C$701,P3191))</f>
        <v/>
      </c>
      <c r="F3191" s="48">
        <f>IF(H3191="","",IF(ISNUMBER(O3191),O3191,J3191))</f>
        <v/>
      </c>
      <c r="G3191">
        <f>IF(H3191="","",M3191)</f>
        <v/>
      </c>
      <c r="H3191">
        <f>IF(AND(I3191="",J3191="",K3191=""),"",IF(OR(NOT(ISNUMBER(O3191)),N(O3191)&lt;=0),"Bad amount",IF(NOT(ISNUMBER(N3191)),"Bad date",IF(P3191="","NAME NOT ON ROSTER","OK"))))</f>
        <v/>
      </c>
      <c r="I3191">
        <f>IF('Cash_Check'!A191="","",'Cash_Check'!A191)</f>
        <v/>
      </c>
      <c r="J3191">
        <f>IF('Cash_Check'!D191="","",'Cash_Check'!D191)</f>
        <v/>
      </c>
      <c r="K3191">
        <f>TRIM('Cash_Check'!B191)</f>
        <v/>
      </c>
      <c r="M3191">
        <f>IF(TRIM('Cash_Check'!E191)="","Cash/check",TRIM('Cash_Check'!E191))</f>
        <v/>
      </c>
      <c r="N3191">
        <f>IF(I3191="","",IF(ISNUMBER(I3191),INT(I3191),IFERROR(INT(DATEVALUE(I3191)),IFERROR(INT(VALUE(I3191)),"bad"))))</f>
        <v/>
      </c>
      <c r="O3191">
        <f>IF(J3191="","",IF(ISNUMBER(J3191),ROUND(J3191,2),IFERROR(ROUND(VALUE(SUBSTITUTE(SUBSTITUTE(SUBSTITUTE(J3191,"$",""),",","")," ","")),2),"bad")))</f>
        <v/>
      </c>
      <c r="P3191">
        <f>IF(K3191="","",IFERROR(MATCH(IF(ISNUMBER(FIND("#",K3191)),TRIM(MID(K3191,FIND("#",K3191)+1,20)),UPPER(K3191)),'Students'!$AD$2:$AD$701,0),""))</f>
        <v/>
      </c>
      <c r="R3191">
        <f>IF(P3191="","",INDEX('Students'!$AD$2:$AD$701,P3191))</f>
        <v/>
      </c>
      <c r="S3191">
        <f>IF(H3191="OK",O3191,0)</f>
        <v/>
      </c>
      <c r="T3191">
        <f>IF(H3191="OK",N3191,"")</f>
        <v/>
      </c>
      <c r="U3191">
        <f>TRIM('Cash_Check'!C191)</f>
        <v/>
      </c>
    </row>
    <row r="3192">
      <c r="A3192" s="62">
        <f>IF(H3192="","",IF(ISNUMBER(N3192),N3192,I3192))</f>
        <v/>
      </c>
      <c r="B3192">
        <f>IF(H3192="","",U3192)</f>
        <v/>
      </c>
      <c r="C3192">
        <f>IF(H3192="","",IF(P3192="",K3192,INDEX('Students'!$A$2:$A$701,P3192)))</f>
        <v/>
      </c>
      <c r="D3192">
        <f>IF(OR(H3192="",P3192=""),"",INDEX('Students'!$B$2:$B$701,P3192))</f>
        <v/>
      </c>
      <c r="E3192">
        <f>IF(OR(H3192="",P3192=""),"",INDEX('Students'!$C$2:$C$701,P3192))</f>
        <v/>
      </c>
      <c r="F3192" s="48">
        <f>IF(H3192="","",IF(ISNUMBER(O3192),O3192,J3192))</f>
        <v/>
      </c>
      <c r="G3192">
        <f>IF(H3192="","",M3192)</f>
        <v/>
      </c>
      <c r="H3192">
        <f>IF(AND(I3192="",J3192="",K3192=""),"",IF(OR(NOT(ISNUMBER(O3192)),N(O3192)&lt;=0),"Bad amount",IF(NOT(ISNUMBER(N3192)),"Bad date",IF(P3192="","NAME NOT ON ROSTER","OK"))))</f>
        <v/>
      </c>
      <c r="I3192">
        <f>IF('Cash_Check'!A192="","",'Cash_Check'!A192)</f>
        <v/>
      </c>
      <c r="J3192">
        <f>IF('Cash_Check'!D192="","",'Cash_Check'!D192)</f>
        <v/>
      </c>
      <c r="K3192">
        <f>TRIM('Cash_Check'!B192)</f>
        <v/>
      </c>
      <c r="M3192">
        <f>IF(TRIM('Cash_Check'!E192)="","Cash/check",TRIM('Cash_Check'!E192))</f>
        <v/>
      </c>
      <c r="N3192">
        <f>IF(I3192="","",IF(ISNUMBER(I3192),INT(I3192),IFERROR(INT(DATEVALUE(I3192)),IFERROR(INT(VALUE(I3192)),"bad"))))</f>
        <v/>
      </c>
      <c r="O3192">
        <f>IF(J3192="","",IF(ISNUMBER(J3192),ROUND(J3192,2),IFERROR(ROUND(VALUE(SUBSTITUTE(SUBSTITUTE(SUBSTITUTE(J3192,"$",""),",","")," ","")),2),"bad")))</f>
        <v/>
      </c>
      <c r="P3192">
        <f>IF(K3192="","",IFERROR(MATCH(IF(ISNUMBER(FIND("#",K3192)),TRIM(MID(K3192,FIND("#",K3192)+1,20)),UPPER(K3192)),'Students'!$AD$2:$AD$701,0),""))</f>
        <v/>
      </c>
      <c r="R3192">
        <f>IF(P3192="","",INDEX('Students'!$AD$2:$AD$701,P3192))</f>
        <v/>
      </c>
      <c r="S3192">
        <f>IF(H3192="OK",O3192,0)</f>
        <v/>
      </c>
      <c r="T3192">
        <f>IF(H3192="OK",N3192,"")</f>
        <v/>
      </c>
      <c r="U3192">
        <f>TRIM('Cash_Check'!C192)</f>
        <v/>
      </c>
    </row>
    <row r="3193">
      <c r="A3193" s="62">
        <f>IF(H3193="","",IF(ISNUMBER(N3193),N3193,I3193))</f>
        <v/>
      </c>
      <c r="B3193">
        <f>IF(H3193="","",U3193)</f>
        <v/>
      </c>
      <c r="C3193">
        <f>IF(H3193="","",IF(P3193="",K3193,INDEX('Students'!$A$2:$A$701,P3193)))</f>
        <v/>
      </c>
      <c r="D3193">
        <f>IF(OR(H3193="",P3193=""),"",INDEX('Students'!$B$2:$B$701,P3193))</f>
        <v/>
      </c>
      <c r="E3193">
        <f>IF(OR(H3193="",P3193=""),"",INDEX('Students'!$C$2:$C$701,P3193))</f>
        <v/>
      </c>
      <c r="F3193" s="48">
        <f>IF(H3193="","",IF(ISNUMBER(O3193),O3193,J3193))</f>
        <v/>
      </c>
      <c r="G3193">
        <f>IF(H3193="","",M3193)</f>
        <v/>
      </c>
      <c r="H3193">
        <f>IF(AND(I3193="",J3193="",K3193=""),"",IF(OR(NOT(ISNUMBER(O3193)),N(O3193)&lt;=0),"Bad amount",IF(NOT(ISNUMBER(N3193)),"Bad date",IF(P3193="","NAME NOT ON ROSTER","OK"))))</f>
        <v/>
      </c>
      <c r="I3193">
        <f>IF('Cash_Check'!A193="","",'Cash_Check'!A193)</f>
        <v/>
      </c>
      <c r="J3193">
        <f>IF('Cash_Check'!D193="","",'Cash_Check'!D193)</f>
        <v/>
      </c>
      <c r="K3193">
        <f>TRIM('Cash_Check'!B193)</f>
        <v/>
      </c>
      <c r="M3193">
        <f>IF(TRIM('Cash_Check'!E193)="","Cash/check",TRIM('Cash_Check'!E193))</f>
        <v/>
      </c>
      <c r="N3193">
        <f>IF(I3193="","",IF(ISNUMBER(I3193),INT(I3193),IFERROR(INT(DATEVALUE(I3193)),IFERROR(INT(VALUE(I3193)),"bad"))))</f>
        <v/>
      </c>
      <c r="O3193">
        <f>IF(J3193="","",IF(ISNUMBER(J3193),ROUND(J3193,2),IFERROR(ROUND(VALUE(SUBSTITUTE(SUBSTITUTE(SUBSTITUTE(J3193,"$",""),",","")," ","")),2),"bad")))</f>
        <v/>
      </c>
      <c r="P3193">
        <f>IF(K3193="","",IFERROR(MATCH(IF(ISNUMBER(FIND("#",K3193)),TRIM(MID(K3193,FIND("#",K3193)+1,20)),UPPER(K3193)),'Students'!$AD$2:$AD$701,0),""))</f>
        <v/>
      </c>
      <c r="R3193">
        <f>IF(P3193="","",INDEX('Students'!$AD$2:$AD$701,P3193))</f>
        <v/>
      </c>
      <c r="S3193">
        <f>IF(H3193="OK",O3193,0)</f>
        <v/>
      </c>
      <c r="T3193">
        <f>IF(H3193="OK",N3193,"")</f>
        <v/>
      </c>
      <c r="U3193">
        <f>TRIM('Cash_Check'!C193)</f>
        <v/>
      </c>
    </row>
    <row r="3194">
      <c r="A3194" s="62">
        <f>IF(H3194="","",IF(ISNUMBER(N3194),N3194,I3194))</f>
        <v/>
      </c>
      <c r="B3194">
        <f>IF(H3194="","",U3194)</f>
        <v/>
      </c>
      <c r="C3194">
        <f>IF(H3194="","",IF(P3194="",K3194,INDEX('Students'!$A$2:$A$701,P3194)))</f>
        <v/>
      </c>
      <c r="D3194">
        <f>IF(OR(H3194="",P3194=""),"",INDEX('Students'!$B$2:$B$701,P3194))</f>
        <v/>
      </c>
      <c r="E3194">
        <f>IF(OR(H3194="",P3194=""),"",INDEX('Students'!$C$2:$C$701,P3194))</f>
        <v/>
      </c>
      <c r="F3194" s="48">
        <f>IF(H3194="","",IF(ISNUMBER(O3194),O3194,J3194))</f>
        <v/>
      </c>
      <c r="G3194">
        <f>IF(H3194="","",M3194)</f>
        <v/>
      </c>
      <c r="H3194">
        <f>IF(AND(I3194="",J3194="",K3194=""),"",IF(OR(NOT(ISNUMBER(O3194)),N(O3194)&lt;=0),"Bad amount",IF(NOT(ISNUMBER(N3194)),"Bad date",IF(P3194="","NAME NOT ON ROSTER","OK"))))</f>
        <v/>
      </c>
      <c r="I3194">
        <f>IF('Cash_Check'!A194="","",'Cash_Check'!A194)</f>
        <v/>
      </c>
      <c r="J3194">
        <f>IF('Cash_Check'!D194="","",'Cash_Check'!D194)</f>
        <v/>
      </c>
      <c r="K3194">
        <f>TRIM('Cash_Check'!B194)</f>
        <v/>
      </c>
      <c r="M3194">
        <f>IF(TRIM('Cash_Check'!E194)="","Cash/check",TRIM('Cash_Check'!E194))</f>
        <v/>
      </c>
      <c r="N3194">
        <f>IF(I3194="","",IF(ISNUMBER(I3194),INT(I3194),IFERROR(INT(DATEVALUE(I3194)),IFERROR(INT(VALUE(I3194)),"bad"))))</f>
        <v/>
      </c>
      <c r="O3194">
        <f>IF(J3194="","",IF(ISNUMBER(J3194),ROUND(J3194,2),IFERROR(ROUND(VALUE(SUBSTITUTE(SUBSTITUTE(SUBSTITUTE(J3194,"$",""),",","")," ","")),2),"bad")))</f>
        <v/>
      </c>
      <c r="P3194">
        <f>IF(K3194="","",IFERROR(MATCH(IF(ISNUMBER(FIND("#",K3194)),TRIM(MID(K3194,FIND("#",K3194)+1,20)),UPPER(K3194)),'Students'!$AD$2:$AD$701,0),""))</f>
        <v/>
      </c>
      <c r="R3194">
        <f>IF(P3194="","",INDEX('Students'!$AD$2:$AD$701,P3194))</f>
        <v/>
      </c>
      <c r="S3194">
        <f>IF(H3194="OK",O3194,0)</f>
        <v/>
      </c>
      <c r="T3194">
        <f>IF(H3194="OK",N3194,"")</f>
        <v/>
      </c>
      <c r="U3194">
        <f>TRIM('Cash_Check'!C194)</f>
        <v/>
      </c>
    </row>
    <row r="3195">
      <c r="A3195" s="62">
        <f>IF(H3195="","",IF(ISNUMBER(N3195),N3195,I3195))</f>
        <v/>
      </c>
      <c r="B3195">
        <f>IF(H3195="","",U3195)</f>
        <v/>
      </c>
      <c r="C3195">
        <f>IF(H3195="","",IF(P3195="",K3195,INDEX('Students'!$A$2:$A$701,P3195)))</f>
        <v/>
      </c>
      <c r="D3195">
        <f>IF(OR(H3195="",P3195=""),"",INDEX('Students'!$B$2:$B$701,P3195))</f>
        <v/>
      </c>
      <c r="E3195">
        <f>IF(OR(H3195="",P3195=""),"",INDEX('Students'!$C$2:$C$701,P3195))</f>
        <v/>
      </c>
      <c r="F3195" s="48">
        <f>IF(H3195="","",IF(ISNUMBER(O3195),O3195,J3195))</f>
        <v/>
      </c>
      <c r="G3195">
        <f>IF(H3195="","",M3195)</f>
        <v/>
      </c>
      <c r="H3195">
        <f>IF(AND(I3195="",J3195="",K3195=""),"",IF(OR(NOT(ISNUMBER(O3195)),N(O3195)&lt;=0),"Bad amount",IF(NOT(ISNUMBER(N3195)),"Bad date",IF(P3195="","NAME NOT ON ROSTER","OK"))))</f>
        <v/>
      </c>
      <c r="I3195">
        <f>IF('Cash_Check'!A195="","",'Cash_Check'!A195)</f>
        <v/>
      </c>
      <c r="J3195">
        <f>IF('Cash_Check'!D195="","",'Cash_Check'!D195)</f>
        <v/>
      </c>
      <c r="K3195">
        <f>TRIM('Cash_Check'!B195)</f>
        <v/>
      </c>
      <c r="M3195">
        <f>IF(TRIM('Cash_Check'!E195)="","Cash/check",TRIM('Cash_Check'!E195))</f>
        <v/>
      </c>
      <c r="N3195">
        <f>IF(I3195="","",IF(ISNUMBER(I3195),INT(I3195),IFERROR(INT(DATEVALUE(I3195)),IFERROR(INT(VALUE(I3195)),"bad"))))</f>
        <v/>
      </c>
      <c r="O3195">
        <f>IF(J3195="","",IF(ISNUMBER(J3195),ROUND(J3195,2),IFERROR(ROUND(VALUE(SUBSTITUTE(SUBSTITUTE(SUBSTITUTE(J3195,"$",""),",","")," ","")),2),"bad")))</f>
        <v/>
      </c>
      <c r="P3195">
        <f>IF(K3195="","",IFERROR(MATCH(IF(ISNUMBER(FIND("#",K3195)),TRIM(MID(K3195,FIND("#",K3195)+1,20)),UPPER(K3195)),'Students'!$AD$2:$AD$701,0),""))</f>
        <v/>
      </c>
      <c r="R3195">
        <f>IF(P3195="","",INDEX('Students'!$AD$2:$AD$701,P3195))</f>
        <v/>
      </c>
      <c r="S3195">
        <f>IF(H3195="OK",O3195,0)</f>
        <v/>
      </c>
      <c r="T3195">
        <f>IF(H3195="OK",N3195,"")</f>
        <v/>
      </c>
      <c r="U3195">
        <f>TRIM('Cash_Check'!C195)</f>
        <v/>
      </c>
    </row>
    <row r="3196">
      <c r="A3196" s="62">
        <f>IF(H3196="","",IF(ISNUMBER(N3196),N3196,I3196))</f>
        <v/>
      </c>
      <c r="B3196">
        <f>IF(H3196="","",U3196)</f>
        <v/>
      </c>
      <c r="C3196">
        <f>IF(H3196="","",IF(P3196="",K3196,INDEX('Students'!$A$2:$A$701,P3196)))</f>
        <v/>
      </c>
      <c r="D3196">
        <f>IF(OR(H3196="",P3196=""),"",INDEX('Students'!$B$2:$B$701,P3196))</f>
        <v/>
      </c>
      <c r="E3196">
        <f>IF(OR(H3196="",P3196=""),"",INDEX('Students'!$C$2:$C$701,P3196))</f>
        <v/>
      </c>
      <c r="F3196" s="48">
        <f>IF(H3196="","",IF(ISNUMBER(O3196),O3196,J3196))</f>
        <v/>
      </c>
      <c r="G3196">
        <f>IF(H3196="","",M3196)</f>
        <v/>
      </c>
      <c r="H3196">
        <f>IF(AND(I3196="",J3196="",K3196=""),"",IF(OR(NOT(ISNUMBER(O3196)),N(O3196)&lt;=0),"Bad amount",IF(NOT(ISNUMBER(N3196)),"Bad date",IF(P3196="","NAME NOT ON ROSTER","OK"))))</f>
        <v/>
      </c>
      <c r="I3196">
        <f>IF('Cash_Check'!A196="","",'Cash_Check'!A196)</f>
        <v/>
      </c>
      <c r="J3196">
        <f>IF('Cash_Check'!D196="","",'Cash_Check'!D196)</f>
        <v/>
      </c>
      <c r="K3196">
        <f>TRIM('Cash_Check'!B196)</f>
        <v/>
      </c>
      <c r="M3196">
        <f>IF(TRIM('Cash_Check'!E196)="","Cash/check",TRIM('Cash_Check'!E196))</f>
        <v/>
      </c>
      <c r="N3196">
        <f>IF(I3196="","",IF(ISNUMBER(I3196),INT(I3196),IFERROR(INT(DATEVALUE(I3196)),IFERROR(INT(VALUE(I3196)),"bad"))))</f>
        <v/>
      </c>
      <c r="O3196">
        <f>IF(J3196="","",IF(ISNUMBER(J3196),ROUND(J3196,2),IFERROR(ROUND(VALUE(SUBSTITUTE(SUBSTITUTE(SUBSTITUTE(J3196,"$",""),",","")," ","")),2),"bad")))</f>
        <v/>
      </c>
      <c r="P3196">
        <f>IF(K3196="","",IFERROR(MATCH(IF(ISNUMBER(FIND("#",K3196)),TRIM(MID(K3196,FIND("#",K3196)+1,20)),UPPER(K3196)),'Students'!$AD$2:$AD$701,0),""))</f>
        <v/>
      </c>
      <c r="R3196">
        <f>IF(P3196="","",INDEX('Students'!$AD$2:$AD$701,P3196))</f>
        <v/>
      </c>
      <c r="S3196">
        <f>IF(H3196="OK",O3196,0)</f>
        <v/>
      </c>
      <c r="T3196">
        <f>IF(H3196="OK",N3196,"")</f>
        <v/>
      </c>
      <c r="U3196">
        <f>TRIM('Cash_Check'!C196)</f>
        <v/>
      </c>
    </row>
    <row r="3197">
      <c r="A3197" s="62">
        <f>IF(H3197="","",IF(ISNUMBER(N3197),N3197,I3197))</f>
        <v/>
      </c>
      <c r="B3197">
        <f>IF(H3197="","",U3197)</f>
        <v/>
      </c>
      <c r="C3197">
        <f>IF(H3197="","",IF(P3197="",K3197,INDEX('Students'!$A$2:$A$701,P3197)))</f>
        <v/>
      </c>
      <c r="D3197">
        <f>IF(OR(H3197="",P3197=""),"",INDEX('Students'!$B$2:$B$701,P3197))</f>
        <v/>
      </c>
      <c r="E3197">
        <f>IF(OR(H3197="",P3197=""),"",INDEX('Students'!$C$2:$C$701,P3197))</f>
        <v/>
      </c>
      <c r="F3197" s="48">
        <f>IF(H3197="","",IF(ISNUMBER(O3197),O3197,J3197))</f>
        <v/>
      </c>
      <c r="G3197">
        <f>IF(H3197="","",M3197)</f>
        <v/>
      </c>
      <c r="H3197">
        <f>IF(AND(I3197="",J3197="",K3197=""),"",IF(OR(NOT(ISNUMBER(O3197)),N(O3197)&lt;=0),"Bad amount",IF(NOT(ISNUMBER(N3197)),"Bad date",IF(P3197="","NAME NOT ON ROSTER","OK"))))</f>
        <v/>
      </c>
      <c r="I3197">
        <f>IF('Cash_Check'!A197="","",'Cash_Check'!A197)</f>
        <v/>
      </c>
      <c r="J3197">
        <f>IF('Cash_Check'!D197="","",'Cash_Check'!D197)</f>
        <v/>
      </c>
      <c r="K3197">
        <f>TRIM('Cash_Check'!B197)</f>
        <v/>
      </c>
      <c r="M3197">
        <f>IF(TRIM('Cash_Check'!E197)="","Cash/check",TRIM('Cash_Check'!E197))</f>
        <v/>
      </c>
      <c r="N3197">
        <f>IF(I3197="","",IF(ISNUMBER(I3197),INT(I3197),IFERROR(INT(DATEVALUE(I3197)),IFERROR(INT(VALUE(I3197)),"bad"))))</f>
        <v/>
      </c>
      <c r="O3197">
        <f>IF(J3197="","",IF(ISNUMBER(J3197),ROUND(J3197,2),IFERROR(ROUND(VALUE(SUBSTITUTE(SUBSTITUTE(SUBSTITUTE(J3197,"$",""),",","")," ","")),2),"bad")))</f>
        <v/>
      </c>
      <c r="P3197">
        <f>IF(K3197="","",IFERROR(MATCH(IF(ISNUMBER(FIND("#",K3197)),TRIM(MID(K3197,FIND("#",K3197)+1,20)),UPPER(K3197)),'Students'!$AD$2:$AD$701,0),""))</f>
        <v/>
      </c>
      <c r="R3197">
        <f>IF(P3197="","",INDEX('Students'!$AD$2:$AD$701,P3197))</f>
        <v/>
      </c>
      <c r="S3197">
        <f>IF(H3197="OK",O3197,0)</f>
        <v/>
      </c>
      <c r="T3197">
        <f>IF(H3197="OK",N3197,"")</f>
        <v/>
      </c>
      <c r="U3197">
        <f>TRIM('Cash_Check'!C197)</f>
        <v/>
      </c>
    </row>
    <row r="3198">
      <c r="A3198" s="62">
        <f>IF(H3198="","",IF(ISNUMBER(N3198),N3198,I3198))</f>
        <v/>
      </c>
      <c r="B3198">
        <f>IF(H3198="","",U3198)</f>
        <v/>
      </c>
      <c r="C3198">
        <f>IF(H3198="","",IF(P3198="",K3198,INDEX('Students'!$A$2:$A$701,P3198)))</f>
        <v/>
      </c>
      <c r="D3198">
        <f>IF(OR(H3198="",P3198=""),"",INDEX('Students'!$B$2:$B$701,P3198))</f>
        <v/>
      </c>
      <c r="E3198">
        <f>IF(OR(H3198="",P3198=""),"",INDEX('Students'!$C$2:$C$701,P3198))</f>
        <v/>
      </c>
      <c r="F3198" s="48">
        <f>IF(H3198="","",IF(ISNUMBER(O3198),O3198,J3198))</f>
        <v/>
      </c>
      <c r="G3198">
        <f>IF(H3198="","",M3198)</f>
        <v/>
      </c>
      <c r="H3198">
        <f>IF(AND(I3198="",J3198="",K3198=""),"",IF(OR(NOT(ISNUMBER(O3198)),N(O3198)&lt;=0),"Bad amount",IF(NOT(ISNUMBER(N3198)),"Bad date",IF(P3198="","NAME NOT ON ROSTER","OK"))))</f>
        <v/>
      </c>
      <c r="I3198">
        <f>IF('Cash_Check'!A198="","",'Cash_Check'!A198)</f>
        <v/>
      </c>
      <c r="J3198">
        <f>IF('Cash_Check'!D198="","",'Cash_Check'!D198)</f>
        <v/>
      </c>
      <c r="K3198">
        <f>TRIM('Cash_Check'!B198)</f>
        <v/>
      </c>
      <c r="M3198">
        <f>IF(TRIM('Cash_Check'!E198)="","Cash/check",TRIM('Cash_Check'!E198))</f>
        <v/>
      </c>
      <c r="N3198">
        <f>IF(I3198="","",IF(ISNUMBER(I3198),INT(I3198),IFERROR(INT(DATEVALUE(I3198)),IFERROR(INT(VALUE(I3198)),"bad"))))</f>
        <v/>
      </c>
      <c r="O3198">
        <f>IF(J3198="","",IF(ISNUMBER(J3198),ROUND(J3198,2),IFERROR(ROUND(VALUE(SUBSTITUTE(SUBSTITUTE(SUBSTITUTE(J3198,"$",""),",","")," ","")),2),"bad")))</f>
        <v/>
      </c>
      <c r="P3198">
        <f>IF(K3198="","",IFERROR(MATCH(IF(ISNUMBER(FIND("#",K3198)),TRIM(MID(K3198,FIND("#",K3198)+1,20)),UPPER(K3198)),'Students'!$AD$2:$AD$701,0),""))</f>
        <v/>
      </c>
      <c r="R3198">
        <f>IF(P3198="","",INDEX('Students'!$AD$2:$AD$701,P3198))</f>
        <v/>
      </c>
      <c r="S3198">
        <f>IF(H3198="OK",O3198,0)</f>
        <v/>
      </c>
      <c r="T3198">
        <f>IF(H3198="OK",N3198,"")</f>
        <v/>
      </c>
      <c r="U3198">
        <f>TRIM('Cash_Check'!C198)</f>
        <v/>
      </c>
    </row>
    <row r="3199">
      <c r="A3199" s="62">
        <f>IF(H3199="","",IF(ISNUMBER(N3199),N3199,I3199))</f>
        <v/>
      </c>
      <c r="B3199">
        <f>IF(H3199="","",U3199)</f>
        <v/>
      </c>
      <c r="C3199">
        <f>IF(H3199="","",IF(P3199="",K3199,INDEX('Students'!$A$2:$A$701,P3199)))</f>
        <v/>
      </c>
      <c r="D3199">
        <f>IF(OR(H3199="",P3199=""),"",INDEX('Students'!$B$2:$B$701,P3199))</f>
        <v/>
      </c>
      <c r="E3199">
        <f>IF(OR(H3199="",P3199=""),"",INDEX('Students'!$C$2:$C$701,P3199))</f>
        <v/>
      </c>
      <c r="F3199" s="48">
        <f>IF(H3199="","",IF(ISNUMBER(O3199),O3199,J3199))</f>
        <v/>
      </c>
      <c r="G3199">
        <f>IF(H3199="","",M3199)</f>
        <v/>
      </c>
      <c r="H3199">
        <f>IF(AND(I3199="",J3199="",K3199=""),"",IF(OR(NOT(ISNUMBER(O3199)),N(O3199)&lt;=0),"Bad amount",IF(NOT(ISNUMBER(N3199)),"Bad date",IF(P3199="","NAME NOT ON ROSTER","OK"))))</f>
        <v/>
      </c>
      <c r="I3199">
        <f>IF('Cash_Check'!A199="","",'Cash_Check'!A199)</f>
        <v/>
      </c>
      <c r="J3199">
        <f>IF('Cash_Check'!D199="","",'Cash_Check'!D199)</f>
        <v/>
      </c>
      <c r="K3199">
        <f>TRIM('Cash_Check'!B199)</f>
        <v/>
      </c>
      <c r="M3199">
        <f>IF(TRIM('Cash_Check'!E199)="","Cash/check",TRIM('Cash_Check'!E199))</f>
        <v/>
      </c>
      <c r="N3199">
        <f>IF(I3199="","",IF(ISNUMBER(I3199),INT(I3199),IFERROR(INT(DATEVALUE(I3199)),IFERROR(INT(VALUE(I3199)),"bad"))))</f>
        <v/>
      </c>
      <c r="O3199">
        <f>IF(J3199="","",IF(ISNUMBER(J3199),ROUND(J3199,2),IFERROR(ROUND(VALUE(SUBSTITUTE(SUBSTITUTE(SUBSTITUTE(J3199,"$",""),",","")," ","")),2),"bad")))</f>
        <v/>
      </c>
      <c r="P3199">
        <f>IF(K3199="","",IFERROR(MATCH(IF(ISNUMBER(FIND("#",K3199)),TRIM(MID(K3199,FIND("#",K3199)+1,20)),UPPER(K3199)),'Students'!$AD$2:$AD$701,0),""))</f>
        <v/>
      </c>
      <c r="R3199">
        <f>IF(P3199="","",INDEX('Students'!$AD$2:$AD$701,P3199))</f>
        <v/>
      </c>
      <c r="S3199">
        <f>IF(H3199="OK",O3199,0)</f>
        <v/>
      </c>
      <c r="T3199">
        <f>IF(H3199="OK",N3199,"")</f>
        <v/>
      </c>
      <c r="U3199">
        <f>TRIM('Cash_Check'!C199)</f>
        <v/>
      </c>
    </row>
    <row r="3200">
      <c r="A3200" s="62">
        <f>IF(H3200="","",IF(ISNUMBER(N3200),N3200,I3200))</f>
        <v/>
      </c>
      <c r="B3200">
        <f>IF(H3200="","",U3200)</f>
        <v/>
      </c>
      <c r="C3200">
        <f>IF(H3200="","",IF(P3200="",K3200,INDEX('Students'!$A$2:$A$701,P3200)))</f>
        <v/>
      </c>
      <c r="D3200">
        <f>IF(OR(H3200="",P3200=""),"",INDEX('Students'!$B$2:$B$701,P3200))</f>
        <v/>
      </c>
      <c r="E3200">
        <f>IF(OR(H3200="",P3200=""),"",INDEX('Students'!$C$2:$C$701,P3200))</f>
        <v/>
      </c>
      <c r="F3200" s="48">
        <f>IF(H3200="","",IF(ISNUMBER(O3200),O3200,J3200))</f>
        <v/>
      </c>
      <c r="G3200">
        <f>IF(H3200="","",M3200)</f>
        <v/>
      </c>
      <c r="H3200">
        <f>IF(AND(I3200="",J3200="",K3200=""),"",IF(OR(NOT(ISNUMBER(O3200)),N(O3200)&lt;=0),"Bad amount",IF(NOT(ISNUMBER(N3200)),"Bad date",IF(P3200="","NAME NOT ON ROSTER","OK"))))</f>
        <v/>
      </c>
      <c r="I3200">
        <f>IF('Cash_Check'!A200="","",'Cash_Check'!A200)</f>
        <v/>
      </c>
      <c r="J3200">
        <f>IF('Cash_Check'!D200="","",'Cash_Check'!D200)</f>
        <v/>
      </c>
      <c r="K3200">
        <f>TRIM('Cash_Check'!B200)</f>
        <v/>
      </c>
      <c r="M3200">
        <f>IF(TRIM('Cash_Check'!E200)="","Cash/check",TRIM('Cash_Check'!E200))</f>
        <v/>
      </c>
      <c r="N3200">
        <f>IF(I3200="","",IF(ISNUMBER(I3200),INT(I3200),IFERROR(INT(DATEVALUE(I3200)),IFERROR(INT(VALUE(I3200)),"bad"))))</f>
        <v/>
      </c>
      <c r="O3200">
        <f>IF(J3200="","",IF(ISNUMBER(J3200),ROUND(J3200,2),IFERROR(ROUND(VALUE(SUBSTITUTE(SUBSTITUTE(SUBSTITUTE(J3200,"$",""),",","")," ","")),2),"bad")))</f>
        <v/>
      </c>
      <c r="P3200">
        <f>IF(K3200="","",IFERROR(MATCH(IF(ISNUMBER(FIND("#",K3200)),TRIM(MID(K3200,FIND("#",K3200)+1,20)),UPPER(K3200)),'Students'!$AD$2:$AD$701,0),""))</f>
        <v/>
      </c>
      <c r="R3200">
        <f>IF(P3200="","",INDEX('Students'!$AD$2:$AD$701,P3200))</f>
        <v/>
      </c>
      <c r="S3200">
        <f>IF(H3200="OK",O3200,0)</f>
        <v/>
      </c>
      <c r="T3200">
        <f>IF(H3200="OK",N3200,"")</f>
        <v/>
      </c>
      <c r="U3200">
        <f>TRIM('Cash_Check'!C200)</f>
        <v/>
      </c>
    </row>
    <row r="3201">
      <c r="A3201" s="62">
        <f>IF(H3201="","",IF(ISNUMBER(N3201),N3201,I3201))</f>
        <v/>
      </c>
      <c r="B3201">
        <f>IF(H3201="","",U3201)</f>
        <v/>
      </c>
      <c r="C3201">
        <f>IF(H3201="","",IF(P3201="",K3201,INDEX('Students'!$A$2:$A$701,P3201)))</f>
        <v/>
      </c>
      <c r="D3201">
        <f>IF(OR(H3201="",P3201=""),"",INDEX('Students'!$B$2:$B$701,P3201))</f>
        <v/>
      </c>
      <c r="E3201">
        <f>IF(OR(H3201="",P3201=""),"",INDEX('Students'!$C$2:$C$701,P3201))</f>
        <v/>
      </c>
      <c r="F3201" s="48">
        <f>IF(H3201="","",IF(ISNUMBER(O3201),O3201,J3201))</f>
        <v/>
      </c>
      <c r="G3201">
        <f>IF(H3201="","",M3201)</f>
        <v/>
      </c>
      <c r="H3201">
        <f>IF(AND(I3201="",J3201="",K3201=""),"",IF(OR(NOT(ISNUMBER(O3201)),N(O3201)&lt;=0),"Bad amount",IF(NOT(ISNUMBER(N3201)),"Bad date",IF(P3201="","NAME NOT ON ROSTER","OK"))))</f>
        <v/>
      </c>
      <c r="I3201">
        <f>IF('Cash_Check'!A201="","",'Cash_Check'!A201)</f>
        <v/>
      </c>
      <c r="J3201">
        <f>IF('Cash_Check'!D201="","",'Cash_Check'!D201)</f>
        <v/>
      </c>
      <c r="K3201">
        <f>TRIM('Cash_Check'!B201)</f>
        <v/>
      </c>
      <c r="M3201">
        <f>IF(TRIM('Cash_Check'!E201)="","Cash/check",TRIM('Cash_Check'!E201))</f>
        <v/>
      </c>
      <c r="N3201">
        <f>IF(I3201="","",IF(ISNUMBER(I3201),INT(I3201),IFERROR(INT(DATEVALUE(I3201)),IFERROR(INT(VALUE(I3201)),"bad"))))</f>
        <v/>
      </c>
      <c r="O3201">
        <f>IF(J3201="","",IF(ISNUMBER(J3201),ROUND(J3201,2),IFERROR(ROUND(VALUE(SUBSTITUTE(SUBSTITUTE(SUBSTITUTE(J3201,"$",""),",","")," ","")),2),"bad")))</f>
        <v/>
      </c>
      <c r="P3201">
        <f>IF(K3201="","",IFERROR(MATCH(IF(ISNUMBER(FIND("#",K3201)),TRIM(MID(K3201,FIND("#",K3201)+1,20)),UPPER(K3201)),'Students'!$AD$2:$AD$701,0),""))</f>
        <v/>
      </c>
      <c r="R3201">
        <f>IF(P3201="","",INDEX('Students'!$AD$2:$AD$701,P3201))</f>
        <v/>
      </c>
      <c r="S3201">
        <f>IF(H3201="OK",O3201,0)</f>
        <v/>
      </c>
      <c r="T3201">
        <f>IF(H3201="OK",N3201,"")</f>
        <v/>
      </c>
      <c r="U3201">
        <f>TRIM('Cash_Check'!C201)</f>
        <v/>
      </c>
    </row>
    <row r="3202">
      <c r="A3202" s="62">
        <f>IF(H3202="","",IF(ISNUMBER(N3202),N3202,I3202))</f>
        <v/>
      </c>
      <c r="B3202">
        <f>IF(H3202="","",U3202)</f>
        <v/>
      </c>
      <c r="C3202">
        <f>IF(H3202="","",IF(P3202="",K3202,INDEX('Students'!$A$2:$A$701,P3202)))</f>
        <v/>
      </c>
      <c r="D3202">
        <f>IF(OR(H3202="",P3202=""),"",INDEX('Students'!$B$2:$B$701,P3202))</f>
        <v/>
      </c>
      <c r="E3202">
        <f>IF(OR(H3202="",P3202=""),"",INDEX('Students'!$C$2:$C$701,P3202))</f>
        <v/>
      </c>
      <c r="F3202" s="48">
        <f>IF(H3202="","",IF(ISNUMBER(O3202),O3202,J3202))</f>
        <v/>
      </c>
      <c r="G3202">
        <f>IF(H3202="","",M3202)</f>
        <v/>
      </c>
      <c r="H3202">
        <f>IF(AND(I3202="",J3202="",K3202=""),"",IF(OR(NOT(ISNUMBER(O3202)),N(O3202)&lt;=0),"Bad amount",IF(NOT(ISNUMBER(N3202)),"Bad date",IF(P3202="","NAME NOT ON ROSTER","OK"))))</f>
        <v/>
      </c>
      <c r="I3202">
        <f>IF('Cash_Check'!A202="","",'Cash_Check'!A202)</f>
        <v/>
      </c>
      <c r="J3202">
        <f>IF('Cash_Check'!D202="","",'Cash_Check'!D202)</f>
        <v/>
      </c>
      <c r="K3202">
        <f>TRIM('Cash_Check'!B202)</f>
        <v/>
      </c>
      <c r="M3202">
        <f>IF(TRIM('Cash_Check'!E202)="","Cash/check",TRIM('Cash_Check'!E202))</f>
        <v/>
      </c>
      <c r="N3202">
        <f>IF(I3202="","",IF(ISNUMBER(I3202),INT(I3202),IFERROR(INT(DATEVALUE(I3202)),IFERROR(INT(VALUE(I3202)),"bad"))))</f>
        <v/>
      </c>
      <c r="O3202">
        <f>IF(J3202="","",IF(ISNUMBER(J3202),ROUND(J3202,2),IFERROR(ROUND(VALUE(SUBSTITUTE(SUBSTITUTE(SUBSTITUTE(J3202,"$",""),",","")," ","")),2),"bad")))</f>
        <v/>
      </c>
      <c r="P3202">
        <f>IF(K3202="","",IFERROR(MATCH(IF(ISNUMBER(FIND("#",K3202)),TRIM(MID(K3202,FIND("#",K3202)+1,20)),UPPER(K3202)),'Students'!$AD$2:$AD$701,0),""))</f>
        <v/>
      </c>
      <c r="R3202">
        <f>IF(P3202="","",INDEX('Students'!$AD$2:$AD$701,P3202))</f>
        <v/>
      </c>
      <c r="S3202">
        <f>IF(H3202="OK",O3202,0)</f>
        <v/>
      </c>
      <c r="T3202">
        <f>IF(H3202="OK",N3202,"")</f>
        <v/>
      </c>
      <c r="U3202">
        <f>TRIM('Cash_Check'!C202)</f>
        <v/>
      </c>
    </row>
    <row r="3203">
      <c r="A3203" s="62">
        <f>IF(H3203="","",IF(ISNUMBER(N3203),N3203,I3203))</f>
        <v/>
      </c>
      <c r="B3203">
        <f>IF(H3203="","",U3203)</f>
        <v/>
      </c>
      <c r="C3203">
        <f>IF(H3203="","",IF(P3203="",K3203,INDEX('Students'!$A$2:$A$701,P3203)))</f>
        <v/>
      </c>
      <c r="D3203">
        <f>IF(OR(H3203="",P3203=""),"",INDEX('Students'!$B$2:$B$701,P3203))</f>
        <v/>
      </c>
      <c r="E3203">
        <f>IF(OR(H3203="",P3203=""),"",INDEX('Students'!$C$2:$C$701,P3203))</f>
        <v/>
      </c>
      <c r="F3203" s="48">
        <f>IF(H3203="","",IF(ISNUMBER(O3203),O3203,J3203))</f>
        <v/>
      </c>
      <c r="G3203">
        <f>IF(H3203="","",M3203)</f>
        <v/>
      </c>
      <c r="H3203">
        <f>IF(AND(I3203="",J3203="",K3203=""),"",IF(OR(NOT(ISNUMBER(O3203)),N(O3203)&lt;=0),"Bad amount",IF(NOT(ISNUMBER(N3203)),"Bad date",IF(P3203="","NAME NOT ON ROSTER","OK"))))</f>
        <v/>
      </c>
      <c r="I3203">
        <f>IF('Cash_Check'!A203="","",'Cash_Check'!A203)</f>
        <v/>
      </c>
      <c r="J3203">
        <f>IF('Cash_Check'!D203="","",'Cash_Check'!D203)</f>
        <v/>
      </c>
      <c r="K3203">
        <f>TRIM('Cash_Check'!B203)</f>
        <v/>
      </c>
      <c r="M3203">
        <f>IF(TRIM('Cash_Check'!E203)="","Cash/check",TRIM('Cash_Check'!E203))</f>
        <v/>
      </c>
      <c r="N3203">
        <f>IF(I3203="","",IF(ISNUMBER(I3203),INT(I3203),IFERROR(INT(DATEVALUE(I3203)),IFERROR(INT(VALUE(I3203)),"bad"))))</f>
        <v/>
      </c>
      <c r="O3203">
        <f>IF(J3203="","",IF(ISNUMBER(J3203),ROUND(J3203,2),IFERROR(ROUND(VALUE(SUBSTITUTE(SUBSTITUTE(SUBSTITUTE(J3203,"$",""),",","")," ","")),2),"bad")))</f>
        <v/>
      </c>
      <c r="P3203">
        <f>IF(K3203="","",IFERROR(MATCH(IF(ISNUMBER(FIND("#",K3203)),TRIM(MID(K3203,FIND("#",K3203)+1,20)),UPPER(K3203)),'Students'!$AD$2:$AD$701,0),""))</f>
        <v/>
      </c>
      <c r="R3203">
        <f>IF(P3203="","",INDEX('Students'!$AD$2:$AD$701,P3203))</f>
        <v/>
      </c>
      <c r="S3203">
        <f>IF(H3203="OK",O3203,0)</f>
        <v/>
      </c>
      <c r="T3203">
        <f>IF(H3203="OK",N3203,"")</f>
        <v/>
      </c>
      <c r="U3203">
        <f>TRIM('Cash_Check'!C203)</f>
        <v/>
      </c>
    </row>
    <row r="3204">
      <c r="A3204" s="62">
        <f>IF(H3204="","",IF(ISNUMBER(N3204),N3204,I3204))</f>
        <v/>
      </c>
      <c r="B3204">
        <f>IF(H3204="","",U3204)</f>
        <v/>
      </c>
      <c r="C3204">
        <f>IF(H3204="","",IF(P3204="",K3204,INDEX('Students'!$A$2:$A$701,P3204)))</f>
        <v/>
      </c>
      <c r="D3204">
        <f>IF(OR(H3204="",P3204=""),"",INDEX('Students'!$B$2:$B$701,P3204))</f>
        <v/>
      </c>
      <c r="E3204">
        <f>IF(OR(H3204="",P3204=""),"",INDEX('Students'!$C$2:$C$701,P3204))</f>
        <v/>
      </c>
      <c r="F3204" s="48">
        <f>IF(H3204="","",IF(ISNUMBER(O3204),O3204,J3204))</f>
        <v/>
      </c>
      <c r="G3204">
        <f>IF(H3204="","",M3204)</f>
        <v/>
      </c>
      <c r="H3204">
        <f>IF(AND(I3204="",J3204="",K3204=""),"",IF(OR(NOT(ISNUMBER(O3204)),N(O3204)&lt;=0),"Bad amount",IF(NOT(ISNUMBER(N3204)),"Bad date",IF(P3204="","NAME NOT ON ROSTER","OK"))))</f>
        <v/>
      </c>
      <c r="I3204">
        <f>IF('Cash_Check'!A204="","",'Cash_Check'!A204)</f>
        <v/>
      </c>
      <c r="J3204">
        <f>IF('Cash_Check'!D204="","",'Cash_Check'!D204)</f>
        <v/>
      </c>
      <c r="K3204">
        <f>TRIM('Cash_Check'!B204)</f>
        <v/>
      </c>
      <c r="M3204">
        <f>IF(TRIM('Cash_Check'!E204)="","Cash/check",TRIM('Cash_Check'!E204))</f>
        <v/>
      </c>
      <c r="N3204">
        <f>IF(I3204="","",IF(ISNUMBER(I3204),INT(I3204),IFERROR(INT(DATEVALUE(I3204)),IFERROR(INT(VALUE(I3204)),"bad"))))</f>
        <v/>
      </c>
      <c r="O3204">
        <f>IF(J3204="","",IF(ISNUMBER(J3204),ROUND(J3204,2),IFERROR(ROUND(VALUE(SUBSTITUTE(SUBSTITUTE(SUBSTITUTE(J3204,"$",""),",","")," ","")),2),"bad")))</f>
        <v/>
      </c>
      <c r="P3204">
        <f>IF(K3204="","",IFERROR(MATCH(IF(ISNUMBER(FIND("#",K3204)),TRIM(MID(K3204,FIND("#",K3204)+1,20)),UPPER(K3204)),'Students'!$AD$2:$AD$701,0),""))</f>
        <v/>
      </c>
      <c r="R3204">
        <f>IF(P3204="","",INDEX('Students'!$AD$2:$AD$701,P3204))</f>
        <v/>
      </c>
      <c r="S3204">
        <f>IF(H3204="OK",O3204,0)</f>
        <v/>
      </c>
      <c r="T3204">
        <f>IF(H3204="OK",N3204,"")</f>
        <v/>
      </c>
      <c r="U3204">
        <f>TRIM('Cash_Check'!C204)</f>
        <v/>
      </c>
    </row>
    <row r="3205">
      <c r="A3205" s="62">
        <f>IF(H3205="","",IF(ISNUMBER(N3205),N3205,I3205))</f>
        <v/>
      </c>
      <c r="B3205">
        <f>IF(H3205="","",U3205)</f>
        <v/>
      </c>
      <c r="C3205">
        <f>IF(H3205="","",IF(P3205="",K3205,INDEX('Students'!$A$2:$A$701,P3205)))</f>
        <v/>
      </c>
      <c r="D3205">
        <f>IF(OR(H3205="",P3205=""),"",INDEX('Students'!$B$2:$B$701,P3205))</f>
        <v/>
      </c>
      <c r="E3205">
        <f>IF(OR(H3205="",P3205=""),"",INDEX('Students'!$C$2:$C$701,P3205))</f>
        <v/>
      </c>
      <c r="F3205" s="48">
        <f>IF(H3205="","",IF(ISNUMBER(O3205),O3205,J3205))</f>
        <v/>
      </c>
      <c r="G3205">
        <f>IF(H3205="","",M3205)</f>
        <v/>
      </c>
      <c r="H3205">
        <f>IF(AND(I3205="",J3205="",K3205=""),"",IF(OR(NOT(ISNUMBER(O3205)),N(O3205)&lt;=0),"Bad amount",IF(NOT(ISNUMBER(N3205)),"Bad date",IF(P3205="","NAME NOT ON ROSTER","OK"))))</f>
        <v/>
      </c>
      <c r="I3205">
        <f>IF('Cash_Check'!A205="","",'Cash_Check'!A205)</f>
        <v/>
      </c>
      <c r="J3205">
        <f>IF('Cash_Check'!D205="","",'Cash_Check'!D205)</f>
        <v/>
      </c>
      <c r="K3205">
        <f>TRIM('Cash_Check'!B205)</f>
        <v/>
      </c>
      <c r="M3205">
        <f>IF(TRIM('Cash_Check'!E205)="","Cash/check",TRIM('Cash_Check'!E205))</f>
        <v/>
      </c>
      <c r="N3205">
        <f>IF(I3205="","",IF(ISNUMBER(I3205),INT(I3205),IFERROR(INT(DATEVALUE(I3205)),IFERROR(INT(VALUE(I3205)),"bad"))))</f>
        <v/>
      </c>
      <c r="O3205">
        <f>IF(J3205="","",IF(ISNUMBER(J3205),ROUND(J3205,2),IFERROR(ROUND(VALUE(SUBSTITUTE(SUBSTITUTE(SUBSTITUTE(J3205,"$",""),",","")," ","")),2),"bad")))</f>
        <v/>
      </c>
      <c r="P3205">
        <f>IF(K3205="","",IFERROR(MATCH(IF(ISNUMBER(FIND("#",K3205)),TRIM(MID(K3205,FIND("#",K3205)+1,20)),UPPER(K3205)),'Students'!$AD$2:$AD$701,0),""))</f>
        <v/>
      </c>
      <c r="R3205">
        <f>IF(P3205="","",INDEX('Students'!$AD$2:$AD$701,P3205))</f>
        <v/>
      </c>
      <c r="S3205">
        <f>IF(H3205="OK",O3205,0)</f>
        <v/>
      </c>
      <c r="T3205">
        <f>IF(H3205="OK",N3205,"")</f>
        <v/>
      </c>
      <c r="U3205">
        <f>TRIM('Cash_Check'!C205)</f>
        <v/>
      </c>
    </row>
    <row r="3206">
      <c r="A3206" s="62">
        <f>IF(H3206="","",IF(ISNUMBER(N3206),N3206,I3206))</f>
        <v/>
      </c>
      <c r="B3206">
        <f>IF(H3206="","",U3206)</f>
        <v/>
      </c>
      <c r="C3206">
        <f>IF(H3206="","",IF(P3206="",K3206,INDEX('Students'!$A$2:$A$701,P3206)))</f>
        <v/>
      </c>
      <c r="D3206">
        <f>IF(OR(H3206="",P3206=""),"",INDEX('Students'!$B$2:$B$701,P3206))</f>
        <v/>
      </c>
      <c r="E3206">
        <f>IF(OR(H3206="",P3206=""),"",INDEX('Students'!$C$2:$C$701,P3206))</f>
        <v/>
      </c>
      <c r="F3206" s="48">
        <f>IF(H3206="","",IF(ISNUMBER(O3206),O3206,J3206))</f>
        <v/>
      </c>
      <c r="G3206">
        <f>IF(H3206="","",M3206)</f>
        <v/>
      </c>
      <c r="H3206">
        <f>IF(AND(I3206="",J3206="",K3206=""),"",IF(OR(NOT(ISNUMBER(O3206)),N(O3206)&lt;=0),"Bad amount",IF(NOT(ISNUMBER(N3206)),"Bad date",IF(P3206="","NAME NOT ON ROSTER","OK"))))</f>
        <v/>
      </c>
      <c r="I3206">
        <f>IF('Cash_Check'!A206="","",'Cash_Check'!A206)</f>
        <v/>
      </c>
      <c r="J3206">
        <f>IF('Cash_Check'!D206="","",'Cash_Check'!D206)</f>
        <v/>
      </c>
      <c r="K3206">
        <f>TRIM('Cash_Check'!B206)</f>
        <v/>
      </c>
      <c r="M3206">
        <f>IF(TRIM('Cash_Check'!E206)="","Cash/check",TRIM('Cash_Check'!E206))</f>
        <v/>
      </c>
      <c r="N3206">
        <f>IF(I3206="","",IF(ISNUMBER(I3206),INT(I3206),IFERROR(INT(DATEVALUE(I3206)),IFERROR(INT(VALUE(I3206)),"bad"))))</f>
        <v/>
      </c>
      <c r="O3206">
        <f>IF(J3206="","",IF(ISNUMBER(J3206),ROUND(J3206,2),IFERROR(ROUND(VALUE(SUBSTITUTE(SUBSTITUTE(SUBSTITUTE(J3206,"$",""),",","")," ","")),2),"bad")))</f>
        <v/>
      </c>
      <c r="P3206">
        <f>IF(K3206="","",IFERROR(MATCH(IF(ISNUMBER(FIND("#",K3206)),TRIM(MID(K3206,FIND("#",K3206)+1,20)),UPPER(K3206)),'Students'!$AD$2:$AD$701,0),""))</f>
        <v/>
      </c>
      <c r="R3206">
        <f>IF(P3206="","",INDEX('Students'!$AD$2:$AD$701,P3206))</f>
        <v/>
      </c>
      <c r="S3206">
        <f>IF(H3206="OK",O3206,0)</f>
        <v/>
      </c>
      <c r="T3206">
        <f>IF(H3206="OK",N3206,"")</f>
        <v/>
      </c>
      <c r="U3206">
        <f>TRIM('Cash_Check'!C206)</f>
        <v/>
      </c>
    </row>
    <row r="3207">
      <c r="A3207" s="62">
        <f>IF(H3207="","",IF(ISNUMBER(N3207),N3207,I3207))</f>
        <v/>
      </c>
      <c r="B3207">
        <f>IF(H3207="","",U3207)</f>
        <v/>
      </c>
      <c r="C3207">
        <f>IF(H3207="","",IF(P3207="",K3207,INDEX('Students'!$A$2:$A$701,P3207)))</f>
        <v/>
      </c>
      <c r="D3207">
        <f>IF(OR(H3207="",P3207=""),"",INDEX('Students'!$B$2:$B$701,P3207))</f>
        <v/>
      </c>
      <c r="E3207">
        <f>IF(OR(H3207="",P3207=""),"",INDEX('Students'!$C$2:$C$701,P3207))</f>
        <v/>
      </c>
      <c r="F3207" s="48">
        <f>IF(H3207="","",IF(ISNUMBER(O3207),O3207,J3207))</f>
        <v/>
      </c>
      <c r="G3207">
        <f>IF(H3207="","",M3207)</f>
        <v/>
      </c>
      <c r="H3207">
        <f>IF(AND(I3207="",J3207="",K3207=""),"",IF(OR(NOT(ISNUMBER(O3207)),N(O3207)&lt;=0),"Bad amount",IF(NOT(ISNUMBER(N3207)),"Bad date",IF(P3207="","NAME NOT ON ROSTER","OK"))))</f>
        <v/>
      </c>
      <c r="I3207">
        <f>IF('Cash_Check'!A207="","",'Cash_Check'!A207)</f>
        <v/>
      </c>
      <c r="J3207">
        <f>IF('Cash_Check'!D207="","",'Cash_Check'!D207)</f>
        <v/>
      </c>
      <c r="K3207">
        <f>TRIM('Cash_Check'!B207)</f>
        <v/>
      </c>
      <c r="M3207">
        <f>IF(TRIM('Cash_Check'!E207)="","Cash/check",TRIM('Cash_Check'!E207))</f>
        <v/>
      </c>
      <c r="N3207">
        <f>IF(I3207="","",IF(ISNUMBER(I3207),INT(I3207),IFERROR(INT(DATEVALUE(I3207)),IFERROR(INT(VALUE(I3207)),"bad"))))</f>
        <v/>
      </c>
      <c r="O3207">
        <f>IF(J3207="","",IF(ISNUMBER(J3207),ROUND(J3207,2),IFERROR(ROUND(VALUE(SUBSTITUTE(SUBSTITUTE(SUBSTITUTE(J3207,"$",""),",","")," ","")),2),"bad")))</f>
        <v/>
      </c>
      <c r="P3207">
        <f>IF(K3207="","",IFERROR(MATCH(IF(ISNUMBER(FIND("#",K3207)),TRIM(MID(K3207,FIND("#",K3207)+1,20)),UPPER(K3207)),'Students'!$AD$2:$AD$701,0),""))</f>
        <v/>
      </c>
      <c r="R3207">
        <f>IF(P3207="","",INDEX('Students'!$AD$2:$AD$701,P3207))</f>
        <v/>
      </c>
      <c r="S3207">
        <f>IF(H3207="OK",O3207,0)</f>
        <v/>
      </c>
      <c r="T3207">
        <f>IF(H3207="OK",N3207,"")</f>
        <v/>
      </c>
      <c r="U3207">
        <f>TRIM('Cash_Check'!C207)</f>
        <v/>
      </c>
    </row>
    <row r="3208">
      <c r="A3208" s="62">
        <f>IF(H3208="","",IF(ISNUMBER(N3208),N3208,I3208))</f>
        <v/>
      </c>
      <c r="B3208">
        <f>IF(H3208="","",U3208)</f>
        <v/>
      </c>
      <c r="C3208">
        <f>IF(H3208="","",IF(P3208="",K3208,INDEX('Students'!$A$2:$A$701,P3208)))</f>
        <v/>
      </c>
      <c r="D3208">
        <f>IF(OR(H3208="",P3208=""),"",INDEX('Students'!$B$2:$B$701,P3208))</f>
        <v/>
      </c>
      <c r="E3208">
        <f>IF(OR(H3208="",P3208=""),"",INDEX('Students'!$C$2:$C$701,P3208))</f>
        <v/>
      </c>
      <c r="F3208" s="48">
        <f>IF(H3208="","",IF(ISNUMBER(O3208),O3208,J3208))</f>
        <v/>
      </c>
      <c r="G3208">
        <f>IF(H3208="","",M3208)</f>
        <v/>
      </c>
      <c r="H3208">
        <f>IF(AND(I3208="",J3208="",K3208=""),"",IF(OR(NOT(ISNUMBER(O3208)),N(O3208)&lt;=0),"Bad amount",IF(NOT(ISNUMBER(N3208)),"Bad date",IF(P3208="","NAME NOT ON ROSTER","OK"))))</f>
        <v/>
      </c>
      <c r="I3208">
        <f>IF('Cash_Check'!A208="","",'Cash_Check'!A208)</f>
        <v/>
      </c>
      <c r="J3208">
        <f>IF('Cash_Check'!D208="","",'Cash_Check'!D208)</f>
        <v/>
      </c>
      <c r="K3208">
        <f>TRIM('Cash_Check'!B208)</f>
        <v/>
      </c>
      <c r="M3208">
        <f>IF(TRIM('Cash_Check'!E208)="","Cash/check",TRIM('Cash_Check'!E208))</f>
        <v/>
      </c>
      <c r="N3208">
        <f>IF(I3208="","",IF(ISNUMBER(I3208),INT(I3208),IFERROR(INT(DATEVALUE(I3208)),IFERROR(INT(VALUE(I3208)),"bad"))))</f>
        <v/>
      </c>
      <c r="O3208">
        <f>IF(J3208="","",IF(ISNUMBER(J3208),ROUND(J3208,2),IFERROR(ROUND(VALUE(SUBSTITUTE(SUBSTITUTE(SUBSTITUTE(J3208,"$",""),",","")," ","")),2),"bad")))</f>
        <v/>
      </c>
      <c r="P3208">
        <f>IF(K3208="","",IFERROR(MATCH(IF(ISNUMBER(FIND("#",K3208)),TRIM(MID(K3208,FIND("#",K3208)+1,20)),UPPER(K3208)),'Students'!$AD$2:$AD$701,0),""))</f>
        <v/>
      </c>
      <c r="R3208">
        <f>IF(P3208="","",INDEX('Students'!$AD$2:$AD$701,P3208))</f>
        <v/>
      </c>
      <c r="S3208">
        <f>IF(H3208="OK",O3208,0)</f>
        <v/>
      </c>
      <c r="T3208">
        <f>IF(H3208="OK",N3208,"")</f>
        <v/>
      </c>
      <c r="U3208">
        <f>TRIM('Cash_Check'!C208)</f>
        <v/>
      </c>
    </row>
    <row r="3209">
      <c r="A3209" s="62">
        <f>IF(H3209="","",IF(ISNUMBER(N3209),N3209,I3209))</f>
        <v/>
      </c>
      <c r="B3209">
        <f>IF(H3209="","",U3209)</f>
        <v/>
      </c>
      <c r="C3209">
        <f>IF(H3209="","",IF(P3209="",K3209,INDEX('Students'!$A$2:$A$701,P3209)))</f>
        <v/>
      </c>
      <c r="D3209">
        <f>IF(OR(H3209="",P3209=""),"",INDEX('Students'!$B$2:$B$701,P3209))</f>
        <v/>
      </c>
      <c r="E3209">
        <f>IF(OR(H3209="",P3209=""),"",INDEX('Students'!$C$2:$C$701,P3209))</f>
        <v/>
      </c>
      <c r="F3209" s="48">
        <f>IF(H3209="","",IF(ISNUMBER(O3209),O3209,J3209))</f>
        <v/>
      </c>
      <c r="G3209">
        <f>IF(H3209="","",M3209)</f>
        <v/>
      </c>
      <c r="H3209">
        <f>IF(AND(I3209="",J3209="",K3209=""),"",IF(OR(NOT(ISNUMBER(O3209)),N(O3209)&lt;=0),"Bad amount",IF(NOT(ISNUMBER(N3209)),"Bad date",IF(P3209="","NAME NOT ON ROSTER","OK"))))</f>
        <v/>
      </c>
      <c r="I3209">
        <f>IF('Cash_Check'!A209="","",'Cash_Check'!A209)</f>
        <v/>
      </c>
      <c r="J3209">
        <f>IF('Cash_Check'!D209="","",'Cash_Check'!D209)</f>
        <v/>
      </c>
      <c r="K3209">
        <f>TRIM('Cash_Check'!B209)</f>
        <v/>
      </c>
      <c r="M3209">
        <f>IF(TRIM('Cash_Check'!E209)="","Cash/check",TRIM('Cash_Check'!E209))</f>
        <v/>
      </c>
      <c r="N3209">
        <f>IF(I3209="","",IF(ISNUMBER(I3209),INT(I3209),IFERROR(INT(DATEVALUE(I3209)),IFERROR(INT(VALUE(I3209)),"bad"))))</f>
        <v/>
      </c>
      <c r="O3209">
        <f>IF(J3209="","",IF(ISNUMBER(J3209),ROUND(J3209,2),IFERROR(ROUND(VALUE(SUBSTITUTE(SUBSTITUTE(SUBSTITUTE(J3209,"$",""),",","")," ","")),2),"bad")))</f>
        <v/>
      </c>
      <c r="P3209">
        <f>IF(K3209="","",IFERROR(MATCH(IF(ISNUMBER(FIND("#",K3209)),TRIM(MID(K3209,FIND("#",K3209)+1,20)),UPPER(K3209)),'Students'!$AD$2:$AD$701,0),""))</f>
        <v/>
      </c>
      <c r="R3209">
        <f>IF(P3209="","",INDEX('Students'!$AD$2:$AD$701,P3209))</f>
        <v/>
      </c>
      <c r="S3209">
        <f>IF(H3209="OK",O3209,0)</f>
        <v/>
      </c>
      <c r="T3209">
        <f>IF(H3209="OK",N3209,"")</f>
        <v/>
      </c>
      <c r="U3209">
        <f>TRIM('Cash_Check'!C209)</f>
        <v/>
      </c>
    </row>
    <row r="3210">
      <c r="A3210" s="62">
        <f>IF(H3210="","",IF(ISNUMBER(N3210),N3210,I3210))</f>
        <v/>
      </c>
      <c r="B3210">
        <f>IF(H3210="","",U3210)</f>
        <v/>
      </c>
      <c r="C3210">
        <f>IF(H3210="","",IF(P3210="",K3210,INDEX('Students'!$A$2:$A$701,P3210)))</f>
        <v/>
      </c>
      <c r="D3210">
        <f>IF(OR(H3210="",P3210=""),"",INDEX('Students'!$B$2:$B$701,P3210))</f>
        <v/>
      </c>
      <c r="E3210">
        <f>IF(OR(H3210="",P3210=""),"",INDEX('Students'!$C$2:$C$701,P3210))</f>
        <v/>
      </c>
      <c r="F3210" s="48">
        <f>IF(H3210="","",IF(ISNUMBER(O3210),O3210,J3210))</f>
        <v/>
      </c>
      <c r="G3210">
        <f>IF(H3210="","",M3210)</f>
        <v/>
      </c>
      <c r="H3210">
        <f>IF(AND(I3210="",J3210="",K3210=""),"",IF(OR(NOT(ISNUMBER(O3210)),N(O3210)&lt;=0),"Bad amount",IF(NOT(ISNUMBER(N3210)),"Bad date",IF(P3210="","NAME NOT ON ROSTER","OK"))))</f>
        <v/>
      </c>
      <c r="I3210">
        <f>IF('Cash_Check'!A210="","",'Cash_Check'!A210)</f>
        <v/>
      </c>
      <c r="J3210">
        <f>IF('Cash_Check'!D210="","",'Cash_Check'!D210)</f>
        <v/>
      </c>
      <c r="K3210">
        <f>TRIM('Cash_Check'!B210)</f>
        <v/>
      </c>
      <c r="M3210">
        <f>IF(TRIM('Cash_Check'!E210)="","Cash/check",TRIM('Cash_Check'!E210))</f>
        <v/>
      </c>
      <c r="N3210">
        <f>IF(I3210="","",IF(ISNUMBER(I3210),INT(I3210),IFERROR(INT(DATEVALUE(I3210)),IFERROR(INT(VALUE(I3210)),"bad"))))</f>
        <v/>
      </c>
      <c r="O3210">
        <f>IF(J3210="","",IF(ISNUMBER(J3210),ROUND(J3210,2),IFERROR(ROUND(VALUE(SUBSTITUTE(SUBSTITUTE(SUBSTITUTE(J3210,"$",""),",","")," ","")),2),"bad")))</f>
        <v/>
      </c>
      <c r="P3210">
        <f>IF(K3210="","",IFERROR(MATCH(IF(ISNUMBER(FIND("#",K3210)),TRIM(MID(K3210,FIND("#",K3210)+1,20)),UPPER(K3210)),'Students'!$AD$2:$AD$701,0),""))</f>
        <v/>
      </c>
      <c r="R3210">
        <f>IF(P3210="","",INDEX('Students'!$AD$2:$AD$701,P3210))</f>
        <v/>
      </c>
      <c r="S3210">
        <f>IF(H3210="OK",O3210,0)</f>
        <v/>
      </c>
      <c r="T3210">
        <f>IF(H3210="OK",N3210,"")</f>
        <v/>
      </c>
      <c r="U3210">
        <f>TRIM('Cash_Check'!C210)</f>
        <v/>
      </c>
    </row>
    <row r="3211">
      <c r="A3211" s="62">
        <f>IF(H3211="","",IF(ISNUMBER(N3211),N3211,I3211))</f>
        <v/>
      </c>
      <c r="B3211">
        <f>IF(H3211="","",U3211)</f>
        <v/>
      </c>
      <c r="C3211">
        <f>IF(H3211="","",IF(P3211="",K3211,INDEX('Students'!$A$2:$A$701,P3211)))</f>
        <v/>
      </c>
      <c r="D3211">
        <f>IF(OR(H3211="",P3211=""),"",INDEX('Students'!$B$2:$B$701,P3211))</f>
        <v/>
      </c>
      <c r="E3211">
        <f>IF(OR(H3211="",P3211=""),"",INDEX('Students'!$C$2:$C$701,P3211))</f>
        <v/>
      </c>
      <c r="F3211" s="48">
        <f>IF(H3211="","",IF(ISNUMBER(O3211),O3211,J3211))</f>
        <v/>
      </c>
      <c r="G3211">
        <f>IF(H3211="","",M3211)</f>
        <v/>
      </c>
      <c r="H3211">
        <f>IF(AND(I3211="",J3211="",K3211=""),"",IF(OR(NOT(ISNUMBER(O3211)),N(O3211)&lt;=0),"Bad amount",IF(NOT(ISNUMBER(N3211)),"Bad date",IF(P3211="","NAME NOT ON ROSTER","OK"))))</f>
        <v/>
      </c>
      <c r="I3211">
        <f>IF('Cash_Check'!A211="","",'Cash_Check'!A211)</f>
        <v/>
      </c>
      <c r="J3211">
        <f>IF('Cash_Check'!D211="","",'Cash_Check'!D211)</f>
        <v/>
      </c>
      <c r="K3211">
        <f>TRIM('Cash_Check'!B211)</f>
        <v/>
      </c>
      <c r="M3211">
        <f>IF(TRIM('Cash_Check'!E211)="","Cash/check",TRIM('Cash_Check'!E211))</f>
        <v/>
      </c>
      <c r="N3211">
        <f>IF(I3211="","",IF(ISNUMBER(I3211),INT(I3211),IFERROR(INT(DATEVALUE(I3211)),IFERROR(INT(VALUE(I3211)),"bad"))))</f>
        <v/>
      </c>
      <c r="O3211">
        <f>IF(J3211="","",IF(ISNUMBER(J3211),ROUND(J3211,2),IFERROR(ROUND(VALUE(SUBSTITUTE(SUBSTITUTE(SUBSTITUTE(J3211,"$",""),",","")," ","")),2),"bad")))</f>
        <v/>
      </c>
      <c r="P3211">
        <f>IF(K3211="","",IFERROR(MATCH(IF(ISNUMBER(FIND("#",K3211)),TRIM(MID(K3211,FIND("#",K3211)+1,20)),UPPER(K3211)),'Students'!$AD$2:$AD$701,0),""))</f>
        <v/>
      </c>
      <c r="R3211">
        <f>IF(P3211="","",INDEX('Students'!$AD$2:$AD$701,P3211))</f>
        <v/>
      </c>
      <c r="S3211">
        <f>IF(H3211="OK",O3211,0)</f>
        <v/>
      </c>
      <c r="T3211">
        <f>IF(H3211="OK",N3211,"")</f>
        <v/>
      </c>
      <c r="U3211">
        <f>TRIM('Cash_Check'!C211)</f>
        <v/>
      </c>
    </row>
    <row r="3212">
      <c r="A3212" s="62">
        <f>IF(H3212="","",IF(ISNUMBER(N3212),N3212,I3212))</f>
        <v/>
      </c>
      <c r="B3212">
        <f>IF(H3212="","",U3212)</f>
        <v/>
      </c>
      <c r="C3212">
        <f>IF(H3212="","",IF(P3212="",K3212,INDEX('Students'!$A$2:$A$701,P3212)))</f>
        <v/>
      </c>
      <c r="D3212">
        <f>IF(OR(H3212="",P3212=""),"",INDEX('Students'!$B$2:$B$701,P3212))</f>
        <v/>
      </c>
      <c r="E3212">
        <f>IF(OR(H3212="",P3212=""),"",INDEX('Students'!$C$2:$C$701,P3212))</f>
        <v/>
      </c>
      <c r="F3212" s="48">
        <f>IF(H3212="","",IF(ISNUMBER(O3212),O3212,J3212))</f>
        <v/>
      </c>
      <c r="G3212">
        <f>IF(H3212="","",M3212)</f>
        <v/>
      </c>
      <c r="H3212">
        <f>IF(AND(I3212="",J3212="",K3212=""),"",IF(OR(NOT(ISNUMBER(O3212)),N(O3212)&lt;=0),"Bad amount",IF(NOT(ISNUMBER(N3212)),"Bad date",IF(P3212="","NAME NOT ON ROSTER","OK"))))</f>
        <v/>
      </c>
      <c r="I3212">
        <f>IF('Cash_Check'!A212="","",'Cash_Check'!A212)</f>
        <v/>
      </c>
      <c r="J3212">
        <f>IF('Cash_Check'!D212="","",'Cash_Check'!D212)</f>
        <v/>
      </c>
      <c r="K3212">
        <f>TRIM('Cash_Check'!B212)</f>
        <v/>
      </c>
      <c r="M3212">
        <f>IF(TRIM('Cash_Check'!E212)="","Cash/check",TRIM('Cash_Check'!E212))</f>
        <v/>
      </c>
      <c r="N3212">
        <f>IF(I3212="","",IF(ISNUMBER(I3212),INT(I3212),IFERROR(INT(DATEVALUE(I3212)),IFERROR(INT(VALUE(I3212)),"bad"))))</f>
        <v/>
      </c>
      <c r="O3212">
        <f>IF(J3212="","",IF(ISNUMBER(J3212),ROUND(J3212,2),IFERROR(ROUND(VALUE(SUBSTITUTE(SUBSTITUTE(SUBSTITUTE(J3212,"$",""),",","")," ","")),2),"bad")))</f>
        <v/>
      </c>
      <c r="P3212">
        <f>IF(K3212="","",IFERROR(MATCH(IF(ISNUMBER(FIND("#",K3212)),TRIM(MID(K3212,FIND("#",K3212)+1,20)),UPPER(K3212)),'Students'!$AD$2:$AD$701,0),""))</f>
        <v/>
      </c>
      <c r="R3212">
        <f>IF(P3212="","",INDEX('Students'!$AD$2:$AD$701,P3212))</f>
        <v/>
      </c>
      <c r="S3212">
        <f>IF(H3212="OK",O3212,0)</f>
        <v/>
      </c>
      <c r="T3212">
        <f>IF(H3212="OK",N3212,"")</f>
        <v/>
      </c>
      <c r="U3212">
        <f>TRIM('Cash_Check'!C212)</f>
        <v/>
      </c>
    </row>
    <row r="3213">
      <c r="A3213" s="62">
        <f>IF(H3213="","",IF(ISNUMBER(N3213),N3213,I3213))</f>
        <v/>
      </c>
      <c r="B3213">
        <f>IF(H3213="","",U3213)</f>
        <v/>
      </c>
      <c r="C3213">
        <f>IF(H3213="","",IF(P3213="",K3213,INDEX('Students'!$A$2:$A$701,P3213)))</f>
        <v/>
      </c>
      <c r="D3213">
        <f>IF(OR(H3213="",P3213=""),"",INDEX('Students'!$B$2:$B$701,P3213))</f>
        <v/>
      </c>
      <c r="E3213">
        <f>IF(OR(H3213="",P3213=""),"",INDEX('Students'!$C$2:$C$701,P3213))</f>
        <v/>
      </c>
      <c r="F3213" s="48">
        <f>IF(H3213="","",IF(ISNUMBER(O3213),O3213,J3213))</f>
        <v/>
      </c>
      <c r="G3213">
        <f>IF(H3213="","",M3213)</f>
        <v/>
      </c>
      <c r="H3213">
        <f>IF(AND(I3213="",J3213="",K3213=""),"",IF(OR(NOT(ISNUMBER(O3213)),N(O3213)&lt;=0),"Bad amount",IF(NOT(ISNUMBER(N3213)),"Bad date",IF(P3213="","NAME NOT ON ROSTER","OK"))))</f>
        <v/>
      </c>
      <c r="I3213">
        <f>IF('Cash_Check'!A213="","",'Cash_Check'!A213)</f>
        <v/>
      </c>
      <c r="J3213">
        <f>IF('Cash_Check'!D213="","",'Cash_Check'!D213)</f>
        <v/>
      </c>
      <c r="K3213">
        <f>TRIM('Cash_Check'!B213)</f>
        <v/>
      </c>
      <c r="M3213">
        <f>IF(TRIM('Cash_Check'!E213)="","Cash/check",TRIM('Cash_Check'!E213))</f>
        <v/>
      </c>
      <c r="N3213">
        <f>IF(I3213="","",IF(ISNUMBER(I3213),INT(I3213),IFERROR(INT(DATEVALUE(I3213)),IFERROR(INT(VALUE(I3213)),"bad"))))</f>
        <v/>
      </c>
      <c r="O3213">
        <f>IF(J3213="","",IF(ISNUMBER(J3213),ROUND(J3213,2),IFERROR(ROUND(VALUE(SUBSTITUTE(SUBSTITUTE(SUBSTITUTE(J3213,"$",""),",","")," ","")),2),"bad")))</f>
        <v/>
      </c>
      <c r="P3213">
        <f>IF(K3213="","",IFERROR(MATCH(IF(ISNUMBER(FIND("#",K3213)),TRIM(MID(K3213,FIND("#",K3213)+1,20)),UPPER(K3213)),'Students'!$AD$2:$AD$701,0),""))</f>
        <v/>
      </c>
      <c r="R3213">
        <f>IF(P3213="","",INDEX('Students'!$AD$2:$AD$701,P3213))</f>
        <v/>
      </c>
      <c r="S3213">
        <f>IF(H3213="OK",O3213,0)</f>
        <v/>
      </c>
      <c r="T3213">
        <f>IF(H3213="OK",N3213,"")</f>
        <v/>
      </c>
      <c r="U3213">
        <f>TRIM('Cash_Check'!C213)</f>
        <v/>
      </c>
    </row>
    <row r="3214">
      <c r="A3214" s="62">
        <f>IF(H3214="","",IF(ISNUMBER(N3214),N3214,I3214))</f>
        <v/>
      </c>
      <c r="B3214">
        <f>IF(H3214="","",U3214)</f>
        <v/>
      </c>
      <c r="C3214">
        <f>IF(H3214="","",IF(P3214="",K3214,INDEX('Students'!$A$2:$A$701,P3214)))</f>
        <v/>
      </c>
      <c r="D3214">
        <f>IF(OR(H3214="",P3214=""),"",INDEX('Students'!$B$2:$B$701,P3214))</f>
        <v/>
      </c>
      <c r="E3214">
        <f>IF(OR(H3214="",P3214=""),"",INDEX('Students'!$C$2:$C$701,P3214))</f>
        <v/>
      </c>
      <c r="F3214" s="48">
        <f>IF(H3214="","",IF(ISNUMBER(O3214),O3214,J3214))</f>
        <v/>
      </c>
      <c r="G3214">
        <f>IF(H3214="","",M3214)</f>
        <v/>
      </c>
      <c r="H3214">
        <f>IF(AND(I3214="",J3214="",K3214=""),"",IF(OR(NOT(ISNUMBER(O3214)),N(O3214)&lt;=0),"Bad amount",IF(NOT(ISNUMBER(N3214)),"Bad date",IF(P3214="","NAME NOT ON ROSTER","OK"))))</f>
        <v/>
      </c>
      <c r="I3214">
        <f>IF('Cash_Check'!A214="","",'Cash_Check'!A214)</f>
        <v/>
      </c>
      <c r="J3214">
        <f>IF('Cash_Check'!D214="","",'Cash_Check'!D214)</f>
        <v/>
      </c>
      <c r="K3214">
        <f>TRIM('Cash_Check'!B214)</f>
        <v/>
      </c>
      <c r="M3214">
        <f>IF(TRIM('Cash_Check'!E214)="","Cash/check",TRIM('Cash_Check'!E214))</f>
        <v/>
      </c>
      <c r="N3214">
        <f>IF(I3214="","",IF(ISNUMBER(I3214),INT(I3214),IFERROR(INT(DATEVALUE(I3214)),IFERROR(INT(VALUE(I3214)),"bad"))))</f>
        <v/>
      </c>
      <c r="O3214">
        <f>IF(J3214="","",IF(ISNUMBER(J3214),ROUND(J3214,2),IFERROR(ROUND(VALUE(SUBSTITUTE(SUBSTITUTE(SUBSTITUTE(J3214,"$",""),",","")," ","")),2),"bad")))</f>
        <v/>
      </c>
      <c r="P3214">
        <f>IF(K3214="","",IFERROR(MATCH(IF(ISNUMBER(FIND("#",K3214)),TRIM(MID(K3214,FIND("#",K3214)+1,20)),UPPER(K3214)),'Students'!$AD$2:$AD$701,0),""))</f>
        <v/>
      </c>
      <c r="R3214">
        <f>IF(P3214="","",INDEX('Students'!$AD$2:$AD$701,P3214))</f>
        <v/>
      </c>
      <c r="S3214">
        <f>IF(H3214="OK",O3214,0)</f>
        <v/>
      </c>
      <c r="T3214">
        <f>IF(H3214="OK",N3214,"")</f>
        <v/>
      </c>
      <c r="U3214">
        <f>TRIM('Cash_Check'!C214)</f>
        <v/>
      </c>
    </row>
    <row r="3215">
      <c r="A3215" s="62">
        <f>IF(H3215="","",IF(ISNUMBER(N3215),N3215,I3215))</f>
        <v/>
      </c>
      <c r="B3215">
        <f>IF(H3215="","",U3215)</f>
        <v/>
      </c>
      <c r="C3215">
        <f>IF(H3215="","",IF(P3215="",K3215,INDEX('Students'!$A$2:$A$701,P3215)))</f>
        <v/>
      </c>
      <c r="D3215">
        <f>IF(OR(H3215="",P3215=""),"",INDEX('Students'!$B$2:$B$701,P3215))</f>
        <v/>
      </c>
      <c r="E3215">
        <f>IF(OR(H3215="",P3215=""),"",INDEX('Students'!$C$2:$C$701,P3215))</f>
        <v/>
      </c>
      <c r="F3215" s="48">
        <f>IF(H3215="","",IF(ISNUMBER(O3215),O3215,J3215))</f>
        <v/>
      </c>
      <c r="G3215">
        <f>IF(H3215="","",M3215)</f>
        <v/>
      </c>
      <c r="H3215">
        <f>IF(AND(I3215="",J3215="",K3215=""),"",IF(OR(NOT(ISNUMBER(O3215)),N(O3215)&lt;=0),"Bad amount",IF(NOT(ISNUMBER(N3215)),"Bad date",IF(P3215="","NAME NOT ON ROSTER","OK"))))</f>
        <v/>
      </c>
      <c r="I3215">
        <f>IF('Cash_Check'!A215="","",'Cash_Check'!A215)</f>
        <v/>
      </c>
      <c r="J3215">
        <f>IF('Cash_Check'!D215="","",'Cash_Check'!D215)</f>
        <v/>
      </c>
      <c r="K3215">
        <f>TRIM('Cash_Check'!B215)</f>
        <v/>
      </c>
      <c r="M3215">
        <f>IF(TRIM('Cash_Check'!E215)="","Cash/check",TRIM('Cash_Check'!E215))</f>
        <v/>
      </c>
      <c r="N3215">
        <f>IF(I3215="","",IF(ISNUMBER(I3215),INT(I3215),IFERROR(INT(DATEVALUE(I3215)),IFERROR(INT(VALUE(I3215)),"bad"))))</f>
        <v/>
      </c>
      <c r="O3215">
        <f>IF(J3215="","",IF(ISNUMBER(J3215),ROUND(J3215,2),IFERROR(ROUND(VALUE(SUBSTITUTE(SUBSTITUTE(SUBSTITUTE(J3215,"$",""),",","")," ","")),2),"bad")))</f>
        <v/>
      </c>
      <c r="P3215">
        <f>IF(K3215="","",IFERROR(MATCH(IF(ISNUMBER(FIND("#",K3215)),TRIM(MID(K3215,FIND("#",K3215)+1,20)),UPPER(K3215)),'Students'!$AD$2:$AD$701,0),""))</f>
        <v/>
      </c>
      <c r="R3215">
        <f>IF(P3215="","",INDEX('Students'!$AD$2:$AD$701,P3215))</f>
        <v/>
      </c>
      <c r="S3215">
        <f>IF(H3215="OK",O3215,0)</f>
        <v/>
      </c>
      <c r="T3215">
        <f>IF(H3215="OK",N3215,"")</f>
        <v/>
      </c>
      <c r="U3215">
        <f>TRIM('Cash_Check'!C215)</f>
        <v/>
      </c>
    </row>
    <row r="3216">
      <c r="A3216" s="62">
        <f>IF(H3216="","",IF(ISNUMBER(N3216),N3216,I3216))</f>
        <v/>
      </c>
      <c r="B3216">
        <f>IF(H3216="","",U3216)</f>
        <v/>
      </c>
      <c r="C3216">
        <f>IF(H3216="","",IF(P3216="",K3216,INDEX('Students'!$A$2:$A$701,P3216)))</f>
        <v/>
      </c>
      <c r="D3216">
        <f>IF(OR(H3216="",P3216=""),"",INDEX('Students'!$B$2:$B$701,P3216))</f>
        <v/>
      </c>
      <c r="E3216">
        <f>IF(OR(H3216="",P3216=""),"",INDEX('Students'!$C$2:$C$701,P3216))</f>
        <v/>
      </c>
      <c r="F3216" s="48">
        <f>IF(H3216="","",IF(ISNUMBER(O3216),O3216,J3216))</f>
        <v/>
      </c>
      <c r="G3216">
        <f>IF(H3216="","",M3216)</f>
        <v/>
      </c>
      <c r="H3216">
        <f>IF(AND(I3216="",J3216="",K3216=""),"",IF(OR(NOT(ISNUMBER(O3216)),N(O3216)&lt;=0),"Bad amount",IF(NOT(ISNUMBER(N3216)),"Bad date",IF(P3216="","NAME NOT ON ROSTER","OK"))))</f>
        <v/>
      </c>
      <c r="I3216">
        <f>IF('Cash_Check'!A216="","",'Cash_Check'!A216)</f>
        <v/>
      </c>
      <c r="J3216">
        <f>IF('Cash_Check'!D216="","",'Cash_Check'!D216)</f>
        <v/>
      </c>
      <c r="K3216">
        <f>TRIM('Cash_Check'!B216)</f>
        <v/>
      </c>
      <c r="M3216">
        <f>IF(TRIM('Cash_Check'!E216)="","Cash/check",TRIM('Cash_Check'!E216))</f>
        <v/>
      </c>
      <c r="N3216">
        <f>IF(I3216="","",IF(ISNUMBER(I3216),INT(I3216),IFERROR(INT(DATEVALUE(I3216)),IFERROR(INT(VALUE(I3216)),"bad"))))</f>
        <v/>
      </c>
      <c r="O3216">
        <f>IF(J3216="","",IF(ISNUMBER(J3216),ROUND(J3216,2),IFERROR(ROUND(VALUE(SUBSTITUTE(SUBSTITUTE(SUBSTITUTE(J3216,"$",""),",","")," ","")),2),"bad")))</f>
        <v/>
      </c>
      <c r="P3216">
        <f>IF(K3216="","",IFERROR(MATCH(IF(ISNUMBER(FIND("#",K3216)),TRIM(MID(K3216,FIND("#",K3216)+1,20)),UPPER(K3216)),'Students'!$AD$2:$AD$701,0),""))</f>
        <v/>
      </c>
      <c r="R3216">
        <f>IF(P3216="","",INDEX('Students'!$AD$2:$AD$701,P3216))</f>
        <v/>
      </c>
      <c r="S3216">
        <f>IF(H3216="OK",O3216,0)</f>
        <v/>
      </c>
      <c r="T3216">
        <f>IF(H3216="OK",N3216,"")</f>
        <v/>
      </c>
      <c r="U3216">
        <f>TRIM('Cash_Check'!C216)</f>
        <v/>
      </c>
    </row>
    <row r="3217">
      <c r="A3217" s="62">
        <f>IF(H3217="","",IF(ISNUMBER(N3217),N3217,I3217))</f>
        <v/>
      </c>
      <c r="B3217">
        <f>IF(H3217="","",U3217)</f>
        <v/>
      </c>
      <c r="C3217">
        <f>IF(H3217="","",IF(P3217="",K3217,INDEX('Students'!$A$2:$A$701,P3217)))</f>
        <v/>
      </c>
      <c r="D3217">
        <f>IF(OR(H3217="",P3217=""),"",INDEX('Students'!$B$2:$B$701,P3217))</f>
        <v/>
      </c>
      <c r="E3217">
        <f>IF(OR(H3217="",P3217=""),"",INDEX('Students'!$C$2:$C$701,P3217))</f>
        <v/>
      </c>
      <c r="F3217" s="48">
        <f>IF(H3217="","",IF(ISNUMBER(O3217),O3217,J3217))</f>
        <v/>
      </c>
      <c r="G3217">
        <f>IF(H3217="","",M3217)</f>
        <v/>
      </c>
      <c r="H3217">
        <f>IF(AND(I3217="",J3217="",K3217=""),"",IF(OR(NOT(ISNUMBER(O3217)),N(O3217)&lt;=0),"Bad amount",IF(NOT(ISNUMBER(N3217)),"Bad date",IF(P3217="","NAME NOT ON ROSTER","OK"))))</f>
        <v/>
      </c>
      <c r="I3217">
        <f>IF('Cash_Check'!A217="","",'Cash_Check'!A217)</f>
        <v/>
      </c>
      <c r="J3217">
        <f>IF('Cash_Check'!D217="","",'Cash_Check'!D217)</f>
        <v/>
      </c>
      <c r="K3217">
        <f>TRIM('Cash_Check'!B217)</f>
        <v/>
      </c>
      <c r="M3217">
        <f>IF(TRIM('Cash_Check'!E217)="","Cash/check",TRIM('Cash_Check'!E217))</f>
        <v/>
      </c>
      <c r="N3217">
        <f>IF(I3217="","",IF(ISNUMBER(I3217),INT(I3217),IFERROR(INT(DATEVALUE(I3217)),IFERROR(INT(VALUE(I3217)),"bad"))))</f>
        <v/>
      </c>
      <c r="O3217">
        <f>IF(J3217="","",IF(ISNUMBER(J3217),ROUND(J3217,2),IFERROR(ROUND(VALUE(SUBSTITUTE(SUBSTITUTE(SUBSTITUTE(J3217,"$",""),",","")," ","")),2),"bad")))</f>
        <v/>
      </c>
      <c r="P3217">
        <f>IF(K3217="","",IFERROR(MATCH(IF(ISNUMBER(FIND("#",K3217)),TRIM(MID(K3217,FIND("#",K3217)+1,20)),UPPER(K3217)),'Students'!$AD$2:$AD$701,0),""))</f>
        <v/>
      </c>
      <c r="R3217">
        <f>IF(P3217="","",INDEX('Students'!$AD$2:$AD$701,P3217))</f>
        <v/>
      </c>
      <c r="S3217">
        <f>IF(H3217="OK",O3217,0)</f>
        <v/>
      </c>
      <c r="T3217">
        <f>IF(H3217="OK",N3217,"")</f>
        <v/>
      </c>
      <c r="U3217">
        <f>TRIM('Cash_Check'!C217)</f>
        <v/>
      </c>
    </row>
    <row r="3218">
      <c r="A3218" s="62">
        <f>IF(H3218="","",IF(ISNUMBER(N3218),N3218,I3218))</f>
        <v/>
      </c>
      <c r="B3218">
        <f>IF(H3218="","",U3218)</f>
        <v/>
      </c>
      <c r="C3218">
        <f>IF(H3218="","",IF(P3218="",K3218,INDEX('Students'!$A$2:$A$701,P3218)))</f>
        <v/>
      </c>
      <c r="D3218">
        <f>IF(OR(H3218="",P3218=""),"",INDEX('Students'!$B$2:$B$701,P3218))</f>
        <v/>
      </c>
      <c r="E3218">
        <f>IF(OR(H3218="",P3218=""),"",INDEX('Students'!$C$2:$C$701,P3218))</f>
        <v/>
      </c>
      <c r="F3218" s="48">
        <f>IF(H3218="","",IF(ISNUMBER(O3218),O3218,J3218))</f>
        <v/>
      </c>
      <c r="G3218">
        <f>IF(H3218="","",M3218)</f>
        <v/>
      </c>
      <c r="H3218">
        <f>IF(AND(I3218="",J3218="",K3218=""),"",IF(OR(NOT(ISNUMBER(O3218)),N(O3218)&lt;=0),"Bad amount",IF(NOT(ISNUMBER(N3218)),"Bad date",IF(P3218="","NAME NOT ON ROSTER","OK"))))</f>
        <v/>
      </c>
      <c r="I3218">
        <f>IF('Cash_Check'!A218="","",'Cash_Check'!A218)</f>
        <v/>
      </c>
      <c r="J3218">
        <f>IF('Cash_Check'!D218="","",'Cash_Check'!D218)</f>
        <v/>
      </c>
      <c r="K3218">
        <f>TRIM('Cash_Check'!B218)</f>
        <v/>
      </c>
      <c r="M3218">
        <f>IF(TRIM('Cash_Check'!E218)="","Cash/check",TRIM('Cash_Check'!E218))</f>
        <v/>
      </c>
      <c r="N3218">
        <f>IF(I3218="","",IF(ISNUMBER(I3218),INT(I3218),IFERROR(INT(DATEVALUE(I3218)),IFERROR(INT(VALUE(I3218)),"bad"))))</f>
        <v/>
      </c>
      <c r="O3218">
        <f>IF(J3218="","",IF(ISNUMBER(J3218),ROUND(J3218,2),IFERROR(ROUND(VALUE(SUBSTITUTE(SUBSTITUTE(SUBSTITUTE(J3218,"$",""),",","")," ","")),2),"bad")))</f>
        <v/>
      </c>
      <c r="P3218">
        <f>IF(K3218="","",IFERROR(MATCH(IF(ISNUMBER(FIND("#",K3218)),TRIM(MID(K3218,FIND("#",K3218)+1,20)),UPPER(K3218)),'Students'!$AD$2:$AD$701,0),""))</f>
        <v/>
      </c>
      <c r="R3218">
        <f>IF(P3218="","",INDEX('Students'!$AD$2:$AD$701,P3218))</f>
        <v/>
      </c>
      <c r="S3218">
        <f>IF(H3218="OK",O3218,0)</f>
        <v/>
      </c>
      <c r="T3218">
        <f>IF(H3218="OK",N3218,"")</f>
        <v/>
      </c>
      <c r="U3218">
        <f>TRIM('Cash_Check'!C218)</f>
        <v/>
      </c>
    </row>
    <row r="3219">
      <c r="A3219" s="62">
        <f>IF(H3219="","",IF(ISNUMBER(N3219),N3219,I3219))</f>
        <v/>
      </c>
      <c r="B3219">
        <f>IF(H3219="","",U3219)</f>
        <v/>
      </c>
      <c r="C3219">
        <f>IF(H3219="","",IF(P3219="",K3219,INDEX('Students'!$A$2:$A$701,P3219)))</f>
        <v/>
      </c>
      <c r="D3219">
        <f>IF(OR(H3219="",P3219=""),"",INDEX('Students'!$B$2:$B$701,P3219))</f>
        <v/>
      </c>
      <c r="E3219">
        <f>IF(OR(H3219="",P3219=""),"",INDEX('Students'!$C$2:$C$701,P3219))</f>
        <v/>
      </c>
      <c r="F3219" s="48">
        <f>IF(H3219="","",IF(ISNUMBER(O3219),O3219,J3219))</f>
        <v/>
      </c>
      <c r="G3219">
        <f>IF(H3219="","",M3219)</f>
        <v/>
      </c>
      <c r="H3219">
        <f>IF(AND(I3219="",J3219="",K3219=""),"",IF(OR(NOT(ISNUMBER(O3219)),N(O3219)&lt;=0),"Bad amount",IF(NOT(ISNUMBER(N3219)),"Bad date",IF(P3219="","NAME NOT ON ROSTER","OK"))))</f>
        <v/>
      </c>
      <c r="I3219">
        <f>IF('Cash_Check'!A219="","",'Cash_Check'!A219)</f>
        <v/>
      </c>
      <c r="J3219">
        <f>IF('Cash_Check'!D219="","",'Cash_Check'!D219)</f>
        <v/>
      </c>
      <c r="K3219">
        <f>TRIM('Cash_Check'!B219)</f>
        <v/>
      </c>
      <c r="M3219">
        <f>IF(TRIM('Cash_Check'!E219)="","Cash/check",TRIM('Cash_Check'!E219))</f>
        <v/>
      </c>
      <c r="N3219">
        <f>IF(I3219="","",IF(ISNUMBER(I3219),INT(I3219),IFERROR(INT(DATEVALUE(I3219)),IFERROR(INT(VALUE(I3219)),"bad"))))</f>
        <v/>
      </c>
      <c r="O3219">
        <f>IF(J3219="","",IF(ISNUMBER(J3219),ROUND(J3219,2),IFERROR(ROUND(VALUE(SUBSTITUTE(SUBSTITUTE(SUBSTITUTE(J3219,"$",""),",","")," ","")),2),"bad")))</f>
        <v/>
      </c>
      <c r="P3219">
        <f>IF(K3219="","",IFERROR(MATCH(IF(ISNUMBER(FIND("#",K3219)),TRIM(MID(K3219,FIND("#",K3219)+1,20)),UPPER(K3219)),'Students'!$AD$2:$AD$701,0),""))</f>
        <v/>
      </c>
      <c r="R3219">
        <f>IF(P3219="","",INDEX('Students'!$AD$2:$AD$701,P3219))</f>
        <v/>
      </c>
      <c r="S3219">
        <f>IF(H3219="OK",O3219,0)</f>
        <v/>
      </c>
      <c r="T3219">
        <f>IF(H3219="OK",N3219,"")</f>
        <v/>
      </c>
      <c r="U3219">
        <f>TRIM('Cash_Check'!C219)</f>
        <v/>
      </c>
    </row>
    <row r="3220">
      <c r="A3220" s="62">
        <f>IF(H3220="","",IF(ISNUMBER(N3220),N3220,I3220))</f>
        <v/>
      </c>
      <c r="B3220">
        <f>IF(H3220="","",U3220)</f>
        <v/>
      </c>
      <c r="C3220">
        <f>IF(H3220="","",IF(P3220="",K3220,INDEX('Students'!$A$2:$A$701,P3220)))</f>
        <v/>
      </c>
      <c r="D3220">
        <f>IF(OR(H3220="",P3220=""),"",INDEX('Students'!$B$2:$B$701,P3220))</f>
        <v/>
      </c>
      <c r="E3220">
        <f>IF(OR(H3220="",P3220=""),"",INDEX('Students'!$C$2:$C$701,P3220))</f>
        <v/>
      </c>
      <c r="F3220" s="48">
        <f>IF(H3220="","",IF(ISNUMBER(O3220),O3220,J3220))</f>
        <v/>
      </c>
      <c r="G3220">
        <f>IF(H3220="","",M3220)</f>
        <v/>
      </c>
      <c r="H3220">
        <f>IF(AND(I3220="",J3220="",K3220=""),"",IF(OR(NOT(ISNUMBER(O3220)),N(O3220)&lt;=0),"Bad amount",IF(NOT(ISNUMBER(N3220)),"Bad date",IF(P3220="","NAME NOT ON ROSTER","OK"))))</f>
        <v/>
      </c>
      <c r="I3220">
        <f>IF('Cash_Check'!A220="","",'Cash_Check'!A220)</f>
        <v/>
      </c>
      <c r="J3220">
        <f>IF('Cash_Check'!D220="","",'Cash_Check'!D220)</f>
        <v/>
      </c>
      <c r="K3220">
        <f>TRIM('Cash_Check'!B220)</f>
        <v/>
      </c>
      <c r="M3220">
        <f>IF(TRIM('Cash_Check'!E220)="","Cash/check",TRIM('Cash_Check'!E220))</f>
        <v/>
      </c>
      <c r="N3220">
        <f>IF(I3220="","",IF(ISNUMBER(I3220),INT(I3220),IFERROR(INT(DATEVALUE(I3220)),IFERROR(INT(VALUE(I3220)),"bad"))))</f>
        <v/>
      </c>
      <c r="O3220">
        <f>IF(J3220="","",IF(ISNUMBER(J3220),ROUND(J3220,2),IFERROR(ROUND(VALUE(SUBSTITUTE(SUBSTITUTE(SUBSTITUTE(J3220,"$",""),",","")," ","")),2),"bad")))</f>
        <v/>
      </c>
      <c r="P3220">
        <f>IF(K3220="","",IFERROR(MATCH(IF(ISNUMBER(FIND("#",K3220)),TRIM(MID(K3220,FIND("#",K3220)+1,20)),UPPER(K3220)),'Students'!$AD$2:$AD$701,0),""))</f>
        <v/>
      </c>
      <c r="R3220">
        <f>IF(P3220="","",INDEX('Students'!$AD$2:$AD$701,P3220))</f>
        <v/>
      </c>
      <c r="S3220">
        <f>IF(H3220="OK",O3220,0)</f>
        <v/>
      </c>
      <c r="T3220">
        <f>IF(H3220="OK",N3220,"")</f>
        <v/>
      </c>
      <c r="U3220">
        <f>TRIM('Cash_Check'!C220)</f>
        <v/>
      </c>
    </row>
    <row r="3221">
      <c r="A3221" s="62">
        <f>IF(H3221="","",IF(ISNUMBER(N3221),N3221,I3221))</f>
        <v/>
      </c>
      <c r="B3221">
        <f>IF(H3221="","",U3221)</f>
        <v/>
      </c>
      <c r="C3221">
        <f>IF(H3221="","",IF(P3221="",K3221,INDEX('Students'!$A$2:$A$701,P3221)))</f>
        <v/>
      </c>
      <c r="D3221">
        <f>IF(OR(H3221="",P3221=""),"",INDEX('Students'!$B$2:$B$701,P3221))</f>
        <v/>
      </c>
      <c r="E3221">
        <f>IF(OR(H3221="",P3221=""),"",INDEX('Students'!$C$2:$C$701,P3221))</f>
        <v/>
      </c>
      <c r="F3221" s="48">
        <f>IF(H3221="","",IF(ISNUMBER(O3221),O3221,J3221))</f>
        <v/>
      </c>
      <c r="G3221">
        <f>IF(H3221="","",M3221)</f>
        <v/>
      </c>
      <c r="H3221">
        <f>IF(AND(I3221="",J3221="",K3221=""),"",IF(OR(NOT(ISNUMBER(O3221)),N(O3221)&lt;=0),"Bad amount",IF(NOT(ISNUMBER(N3221)),"Bad date",IF(P3221="","NAME NOT ON ROSTER","OK"))))</f>
        <v/>
      </c>
      <c r="I3221">
        <f>IF('Cash_Check'!A221="","",'Cash_Check'!A221)</f>
        <v/>
      </c>
      <c r="J3221">
        <f>IF('Cash_Check'!D221="","",'Cash_Check'!D221)</f>
        <v/>
      </c>
      <c r="K3221">
        <f>TRIM('Cash_Check'!B221)</f>
        <v/>
      </c>
      <c r="M3221">
        <f>IF(TRIM('Cash_Check'!E221)="","Cash/check",TRIM('Cash_Check'!E221))</f>
        <v/>
      </c>
      <c r="N3221">
        <f>IF(I3221="","",IF(ISNUMBER(I3221),INT(I3221),IFERROR(INT(DATEVALUE(I3221)),IFERROR(INT(VALUE(I3221)),"bad"))))</f>
        <v/>
      </c>
      <c r="O3221">
        <f>IF(J3221="","",IF(ISNUMBER(J3221),ROUND(J3221,2),IFERROR(ROUND(VALUE(SUBSTITUTE(SUBSTITUTE(SUBSTITUTE(J3221,"$",""),",","")," ","")),2),"bad")))</f>
        <v/>
      </c>
      <c r="P3221">
        <f>IF(K3221="","",IFERROR(MATCH(IF(ISNUMBER(FIND("#",K3221)),TRIM(MID(K3221,FIND("#",K3221)+1,20)),UPPER(K3221)),'Students'!$AD$2:$AD$701,0),""))</f>
        <v/>
      </c>
      <c r="R3221">
        <f>IF(P3221="","",INDEX('Students'!$AD$2:$AD$701,P3221))</f>
        <v/>
      </c>
      <c r="S3221">
        <f>IF(H3221="OK",O3221,0)</f>
        <v/>
      </c>
      <c r="T3221">
        <f>IF(H3221="OK",N3221,"")</f>
        <v/>
      </c>
      <c r="U3221">
        <f>TRIM('Cash_Check'!C221)</f>
        <v/>
      </c>
    </row>
    <row r="3222">
      <c r="A3222" s="62">
        <f>IF(H3222="","",IF(ISNUMBER(N3222),N3222,I3222))</f>
        <v/>
      </c>
      <c r="B3222">
        <f>IF(H3222="","",U3222)</f>
        <v/>
      </c>
      <c r="C3222">
        <f>IF(H3222="","",IF(P3222="",K3222,INDEX('Students'!$A$2:$A$701,P3222)))</f>
        <v/>
      </c>
      <c r="D3222">
        <f>IF(OR(H3222="",P3222=""),"",INDEX('Students'!$B$2:$B$701,P3222))</f>
        <v/>
      </c>
      <c r="E3222">
        <f>IF(OR(H3222="",P3222=""),"",INDEX('Students'!$C$2:$C$701,P3222))</f>
        <v/>
      </c>
      <c r="F3222" s="48">
        <f>IF(H3222="","",IF(ISNUMBER(O3222),O3222,J3222))</f>
        <v/>
      </c>
      <c r="G3222">
        <f>IF(H3222="","",M3222)</f>
        <v/>
      </c>
      <c r="H3222">
        <f>IF(AND(I3222="",J3222="",K3222=""),"",IF(OR(NOT(ISNUMBER(O3222)),N(O3222)&lt;=0),"Bad amount",IF(NOT(ISNUMBER(N3222)),"Bad date",IF(P3222="","NAME NOT ON ROSTER","OK"))))</f>
        <v/>
      </c>
      <c r="I3222">
        <f>IF('Cash_Check'!A222="","",'Cash_Check'!A222)</f>
        <v/>
      </c>
      <c r="J3222">
        <f>IF('Cash_Check'!D222="","",'Cash_Check'!D222)</f>
        <v/>
      </c>
      <c r="K3222">
        <f>TRIM('Cash_Check'!B222)</f>
        <v/>
      </c>
      <c r="M3222">
        <f>IF(TRIM('Cash_Check'!E222)="","Cash/check",TRIM('Cash_Check'!E222))</f>
        <v/>
      </c>
      <c r="N3222">
        <f>IF(I3222="","",IF(ISNUMBER(I3222),INT(I3222),IFERROR(INT(DATEVALUE(I3222)),IFERROR(INT(VALUE(I3222)),"bad"))))</f>
        <v/>
      </c>
      <c r="O3222">
        <f>IF(J3222="","",IF(ISNUMBER(J3222),ROUND(J3222,2),IFERROR(ROUND(VALUE(SUBSTITUTE(SUBSTITUTE(SUBSTITUTE(J3222,"$",""),",","")," ","")),2),"bad")))</f>
        <v/>
      </c>
      <c r="P3222">
        <f>IF(K3222="","",IFERROR(MATCH(IF(ISNUMBER(FIND("#",K3222)),TRIM(MID(K3222,FIND("#",K3222)+1,20)),UPPER(K3222)),'Students'!$AD$2:$AD$701,0),""))</f>
        <v/>
      </c>
      <c r="R3222">
        <f>IF(P3222="","",INDEX('Students'!$AD$2:$AD$701,P3222))</f>
        <v/>
      </c>
      <c r="S3222">
        <f>IF(H3222="OK",O3222,0)</f>
        <v/>
      </c>
      <c r="T3222">
        <f>IF(H3222="OK",N3222,"")</f>
        <v/>
      </c>
      <c r="U3222">
        <f>TRIM('Cash_Check'!C222)</f>
        <v/>
      </c>
    </row>
    <row r="3223">
      <c r="A3223" s="62">
        <f>IF(H3223="","",IF(ISNUMBER(N3223),N3223,I3223))</f>
        <v/>
      </c>
      <c r="B3223">
        <f>IF(H3223="","",U3223)</f>
        <v/>
      </c>
      <c r="C3223">
        <f>IF(H3223="","",IF(P3223="",K3223,INDEX('Students'!$A$2:$A$701,P3223)))</f>
        <v/>
      </c>
      <c r="D3223">
        <f>IF(OR(H3223="",P3223=""),"",INDEX('Students'!$B$2:$B$701,P3223))</f>
        <v/>
      </c>
      <c r="E3223">
        <f>IF(OR(H3223="",P3223=""),"",INDEX('Students'!$C$2:$C$701,P3223))</f>
        <v/>
      </c>
      <c r="F3223" s="48">
        <f>IF(H3223="","",IF(ISNUMBER(O3223),O3223,J3223))</f>
        <v/>
      </c>
      <c r="G3223">
        <f>IF(H3223="","",M3223)</f>
        <v/>
      </c>
      <c r="H3223">
        <f>IF(AND(I3223="",J3223="",K3223=""),"",IF(OR(NOT(ISNUMBER(O3223)),N(O3223)&lt;=0),"Bad amount",IF(NOT(ISNUMBER(N3223)),"Bad date",IF(P3223="","NAME NOT ON ROSTER","OK"))))</f>
        <v/>
      </c>
      <c r="I3223">
        <f>IF('Cash_Check'!A223="","",'Cash_Check'!A223)</f>
        <v/>
      </c>
      <c r="J3223">
        <f>IF('Cash_Check'!D223="","",'Cash_Check'!D223)</f>
        <v/>
      </c>
      <c r="K3223">
        <f>TRIM('Cash_Check'!B223)</f>
        <v/>
      </c>
      <c r="M3223">
        <f>IF(TRIM('Cash_Check'!E223)="","Cash/check",TRIM('Cash_Check'!E223))</f>
        <v/>
      </c>
      <c r="N3223">
        <f>IF(I3223="","",IF(ISNUMBER(I3223),INT(I3223),IFERROR(INT(DATEVALUE(I3223)),IFERROR(INT(VALUE(I3223)),"bad"))))</f>
        <v/>
      </c>
      <c r="O3223">
        <f>IF(J3223="","",IF(ISNUMBER(J3223),ROUND(J3223,2),IFERROR(ROUND(VALUE(SUBSTITUTE(SUBSTITUTE(SUBSTITUTE(J3223,"$",""),",","")," ","")),2),"bad")))</f>
        <v/>
      </c>
      <c r="P3223">
        <f>IF(K3223="","",IFERROR(MATCH(IF(ISNUMBER(FIND("#",K3223)),TRIM(MID(K3223,FIND("#",K3223)+1,20)),UPPER(K3223)),'Students'!$AD$2:$AD$701,0),""))</f>
        <v/>
      </c>
      <c r="R3223">
        <f>IF(P3223="","",INDEX('Students'!$AD$2:$AD$701,P3223))</f>
        <v/>
      </c>
      <c r="S3223">
        <f>IF(H3223="OK",O3223,0)</f>
        <v/>
      </c>
      <c r="T3223">
        <f>IF(H3223="OK",N3223,"")</f>
        <v/>
      </c>
      <c r="U3223">
        <f>TRIM('Cash_Check'!C223)</f>
        <v/>
      </c>
    </row>
    <row r="3224">
      <c r="A3224" s="62">
        <f>IF(H3224="","",IF(ISNUMBER(N3224),N3224,I3224))</f>
        <v/>
      </c>
      <c r="B3224">
        <f>IF(H3224="","",U3224)</f>
        <v/>
      </c>
      <c r="C3224">
        <f>IF(H3224="","",IF(P3224="",K3224,INDEX('Students'!$A$2:$A$701,P3224)))</f>
        <v/>
      </c>
      <c r="D3224">
        <f>IF(OR(H3224="",P3224=""),"",INDEX('Students'!$B$2:$B$701,P3224))</f>
        <v/>
      </c>
      <c r="E3224">
        <f>IF(OR(H3224="",P3224=""),"",INDEX('Students'!$C$2:$C$701,P3224))</f>
        <v/>
      </c>
      <c r="F3224" s="48">
        <f>IF(H3224="","",IF(ISNUMBER(O3224),O3224,J3224))</f>
        <v/>
      </c>
      <c r="G3224">
        <f>IF(H3224="","",M3224)</f>
        <v/>
      </c>
      <c r="H3224">
        <f>IF(AND(I3224="",J3224="",K3224=""),"",IF(OR(NOT(ISNUMBER(O3224)),N(O3224)&lt;=0),"Bad amount",IF(NOT(ISNUMBER(N3224)),"Bad date",IF(P3224="","NAME NOT ON ROSTER","OK"))))</f>
        <v/>
      </c>
      <c r="I3224">
        <f>IF('Cash_Check'!A224="","",'Cash_Check'!A224)</f>
        <v/>
      </c>
      <c r="J3224">
        <f>IF('Cash_Check'!D224="","",'Cash_Check'!D224)</f>
        <v/>
      </c>
      <c r="K3224">
        <f>TRIM('Cash_Check'!B224)</f>
        <v/>
      </c>
      <c r="M3224">
        <f>IF(TRIM('Cash_Check'!E224)="","Cash/check",TRIM('Cash_Check'!E224))</f>
        <v/>
      </c>
      <c r="N3224">
        <f>IF(I3224="","",IF(ISNUMBER(I3224),INT(I3224),IFERROR(INT(DATEVALUE(I3224)),IFERROR(INT(VALUE(I3224)),"bad"))))</f>
        <v/>
      </c>
      <c r="O3224">
        <f>IF(J3224="","",IF(ISNUMBER(J3224),ROUND(J3224,2),IFERROR(ROUND(VALUE(SUBSTITUTE(SUBSTITUTE(SUBSTITUTE(J3224,"$",""),",","")," ","")),2),"bad")))</f>
        <v/>
      </c>
      <c r="P3224">
        <f>IF(K3224="","",IFERROR(MATCH(IF(ISNUMBER(FIND("#",K3224)),TRIM(MID(K3224,FIND("#",K3224)+1,20)),UPPER(K3224)),'Students'!$AD$2:$AD$701,0),""))</f>
        <v/>
      </c>
      <c r="R3224">
        <f>IF(P3224="","",INDEX('Students'!$AD$2:$AD$701,P3224))</f>
        <v/>
      </c>
      <c r="S3224">
        <f>IF(H3224="OK",O3224,0)</f>
        <v/>
      </c>
      <c r="T3224">
        <f>IF(H3224="OK",N3224,"")</f>
        <v/>
      </c>
      <c r="U3224">
        <f>TRIM('Cash_Check'!C224)</f>
        <v/>
      </c>
    </row>
    <row r="3225">
      <c r="A3225" s="62">
        <f>IF(H3225="","",IF(ISNUMBER(N3225),N3225,I3225))</f>
        <v/>
      </c>
      <c r="B3225">
        <f>IF(H3225="","",U3225)</f>
        <v/>
      </c>
      <c r="C3225">
        <f>IF(H3225="","",IF(P3225="",K3225,INDEX('Students'!$A$2:$A$701,P3225)))</f>
        <v/>
      </c>
      <c r="D3225">
        <f>IF(OR(H3225="",P3225=""),"",INDEX('Students'!$B$2:$B$701,P3225))</f>
        <v/>
      </c>
      <c r="E3225">
        <f>IF(OR(H3225="",P3225=""),"",INDEX('Students'!$C$2:$C$701,P3225))</f>
        <v/>
      </c>
      <c r="F3225" s="48">
        <f>IF(H3225="","",IF(ISNUMBER(O3225),O3225,J3225))</f>
        <v/>
      </c>
      <c r="G3225">
        <f>IF(H3225="","",M3225)</f>
        <v/>
      </c>
      <c r="H3225">
        <f>IF(AND(I3225="",J3225="",K3225=""),"",IF(OR(NOT(ISNUMBER(O3225)),N(O3225)&lt;=0),"Bad amount",IF(NOT(ISNUMBER(N3225)),"Bad date",IF(P3225="","NAME NOT ON ROSTER","OK"))))</f>
        <v/>
      </c>
      <c r="I3225">
        <f>IF('Cash_Check'!A225="","",'Cash_Check'!A225)</f>
        <v/>
      </c>
      <c r="J3225">
        <f>IF('Cash_Check'!D225="","",'Cash_Check'!D225)</f>
        <v/>
      </c>
      <c r="K3225">
        <f>TRIM('Cash_Check'!B225)</f>
        <v/>
      </c>
      <c r="M3225">
        <f>IF(TRIM('Cash_Check'!E225)="","Cash/check",TRIM('Cash_Check'!E225))</f>
        <v/>
      </c>
      <c r="N3225">
        <f>IF(I3225="","",IF(ISNUMBER(I3225),INT(I3225),IFERROR(INT(DATEVALUE(I3225)),IFERROR(INT(VALUE(I3225)),"bad"))))</f>
        <v/>
      </c>
      <c r="O3225">
        <f>IF(J3225="","",IF(ISNUMBER(J3225),ROUND(J3225,2),IFERROR(ROUND(VALUE(SUBSTITUTE(SUBSTITUTE(SUBSTITUTE(J3225,"$",""),",","")," ","")),2),"bad")))</f>
        <v/>
      </c>
      <c r="P3225">
        <f>IF(K3225="","",IFERROR(MATCH(IF(ISNUMBER(FIND("#",K3225)),TRIM(MID(K3225,FIND("#",K3225)+1,20)),UPPER(K3225)),'Students'!$AD$2:$AD$701,0),""))</f>
        <v/>
      </c>
      <c r="R3225">
        <f>IF(P3225="","",INDEX('Students'!$AD$2:$AD$701,P3225))</f>
        <v/>
      </c>
      <c r="S3225">
        <f>IF(H3225="OK",O3225,0)</f>
        <v/>
      </c>
      <c r="T3225">
        <f>IF(H3225="OK",N3225,"")</f>
        <v/>
      </c>
      <c r="U3225">
        <f>TRIM('Cash_Check'!C225)</f>
        <v/>
      </c>
    </row>
    <row r="3226">
      <c r="A3226" s="62">
        <f>IF(H3226="","",IF(ISNUMBER(N3226),N3226,I3226))</f>
        <v/>
      </c>
      <c r="B3226">
        <f>IF(H3226="","",U3226)</f>
        <v/>
      </c>
      <c r="C3226">
        <f>IF(H3226="","",IF(P3226="",K3226,INDEX('Students'!$A$2:$A$701,P3226)))</f>
        <v/>
      </c>
      <c r="D3226">
        <f>IF(OR(H3226="",P3226=""),"",INDEX('Students'!$B$2:$B$701,P3226))</f>
        <v/>
      </c>
      <c r="E3226">
        <f>IF(OR(H3226="",P3226=""),"",INDEX('Students'!$C$2:$C$701,P3226))</f>
        <v/>
      </c>
      <c r="F3226" s="48">
        <f>IF(H3226="","",IF(ISNUMBER(O3226),O3226,J3226))</f>
        <v/>
      </c>
      <c r="G3226">
        <f>IF(H3226="","",M3226)</f>
        <v/>
      </c>
      <c r="H3226">
        <f>IF(AND(I3226="",J3226="",K3226=""),"",IF(OR(NOT(ISNUMBER(O3226)),N(O3226)&lt;=0),"Bad amount",IF(NOT(ISNUMBER(N3226)),"Bad date",IF(P3226="","NAME NOT ON ROSTER","OK"))))</f>
        <v/>
      </c>
      <c r="I3226">
        <f>IF('Cash_Check'!A226="","",'Cash_Check'!A226)</f>
        <v/>
      </c>
      <c r="J3226">
        <f>IF('Cash_Check'!D226="","",'Cash_Check'!D226)</f>
        <v/>
      </c>
      <c r="K3226">
        <f>TRIM('Cash_Check'!B226)</f>
        <v/>
      </c>
      <c r="M3226">
        <f>IF(TRIM('Cash_Check'!E226)="","Cash/check",TRIM('Cash_Check'!E226))</f>
        <v/>
      </c>
      <c r="N3226">
        <f>IF(I3226="","",IF(ISNUMBER(I3226),INT(I3226),IFERROR(INT(DATEVALUE(I3226)),IFERROR(INT(VALUE(I3226)),"bad"))))</f>
        <v/>
      </c>
      <c r="O3226">
        <f>IF(J3226="","",IF(ISNUMBER(J3226),ROUND(J3226,2),IFERROR(ROUND(VALUE(SUBSTITUTE(SUBSTITUTE(SUBSTITUTE(J3226,"$",""),",","")," ","")),2),"bad")))</f>
        <v/>
      </c>
      <c r="P3226">
        <f>IF(K3226="","",IFERROR(MATCH(IF(ISNUMBER(FIND("#",K3226)),TRIM(MID(K3226,FIND("#",K3226)+1,20)),UPPER(K3226)),'Students'!$AD$2:$AD$701,0),""))</f>
        <v/>
      </c>
      <c r="R3226">
        <f>IF(P3226="","",INDEX('Students'!$AD$2:$AD$701,P3226))</f>
        <v/>
      </c>
      <c r="S3226">
        <f>IF(H3226="OK",O3226,0)</f>
        <v/>
      </c>
      <c r="T3226">
        <f>IF(H3226="OK",N3226,"")</f>
        <v/>
      </c>
      <c r="U3226">
        <f>TRIM('Cash_Check'!C226)</f>
        <v/>
      </c>
    </row>
    <row r="3227">
      <c r="A3227" s="62">
        <f>IF(H3227="","",IF(ISNUMBER(N3227),N3227,I3227))</f>
        <v/>
      </c>
      <c r="B3227">
        <f>IF(H3227="","",U3227)</f>
        <v/>
      </c>
      <c r="C3227">
        <f>IF(H3227="","",IF(P3227="",K3227,INDEX('Students'!$A$2:$A$701,P3227)))</f>
        <v/>
      </c>
      <c r="D3227">
        <f>IF(OR(H3227="",P3227=""),"",INDEX('Students'!$B$2:$B$701,P3227))</f>
        <v/>
      </c>
      <c r="E3227">
        <f>IF(OR(H3227="",P3227=""),"",INDEX('Students'!$C$2:$C$701,P3227))</f>
        <v/>
      </c>
      <c r="F3227" s="48">
        <f>IF(H3227="","",IF(ISNUMBER(O3227),O3227,J3227))</f>
        <v/>
      </c>
      <c r="G3227">
        <f>IF(H3227="","",M3227)</f>
        <v/>
      </c>
      <c r="H3227">
        <f>IF(AND(I3227="",J3227="",K3227=""),"",IF(OR(NOT(ISNUMBER(O3227)),N(O3227)&lt;=0),"Bad amount",IF(NOT(ISNUMBER(N3227)),"Bad date",IF(P3227="","NAME NOT ON ROSTER","OK"))))</f>
        <v/>
      </c>
      <c r="I3227">
        <f>IF('Cash_Check'!A227="","",'Cash_Check'!A227)</f>
        <v/>
      </c>
      <c r="J3227">
        <f>IF('Cash_Check'!D227="","",'Cash_Check'!D227)</f>
        <v/>
      </c>
      <c r="K3227">
        <f>TRIM('Cash_Check'!B227)</f>
        <v/>
      </c>
      <c r="M3227">
        <f>IF(TRIM('Cash_Check'!E227)="","Cash/check",TRIM('Cash_Check'!E227))</f>
        <v/>
      </c>
      <c r="N3227">
        <f>IF(I3227="","",IF(ISNUMBER(I3227),INT(I3227),IFERROR(INT(DATEVALUE(I3227)),IFERROR(INT(VALUE(I3227)),"bad"))))</f>
        <v/>
      </c>
      <c r="O3227">
        <f>IF(J3227="","",IF(ISNUMBER(J3227),ROUND(J3227,2),IFERROR(ROUND(VALUE(SUBSTITUTE(SUBSTITUTE(SUBSTITUTE(J3227,"$",""),",","")," ","")),2),"bad")))</f>
        <v/>
      </c>
      <c r="P3227">
        <f>IF(K3227="","",IFERROR(MATCH(IF(ISNUMBER(FIND("#",K3227)),TRIM(MID(K3227,FIND("#",K3227)+1,20)),UPPER(K3227)),'Students'!$AD$2:$AD$701,0),""))</f>
        <v/>
      </c>
      <c r="R3227">
        <f>IF(P3227="","",INDEX('Students'!$AD$2:$AD$701,P3227))</f>
        <v/>
      </c>
      <c r="S3227">
        <f>IF(H3227="OK",O3227,0)</f>
        <v/>
      </c>
      <c r="T3227">
        <f>IF(H3227="OK",N3227,"")</f>
        <v/>
      </c>
      <c r="U3227">
        <f>TRIM('Cash_Check'!C227)</f>
        <v/>
      </c>
    </row>
    <row r="3228">
      <c r="A3228" s="62">
        <f>IF(H3228="","",IF(ISNUMBER(N3228),N3228,I3228))</f>
        <v/>
      </c>
      <c r="B3228">
        <f>IF(H3228="","",U3228)</f>
        <v/>
      </c>
      <c r="C3228">
        <f>IF(H3228="","",IF(P3228="",K3228,INDEX('Students'!$A$2:$A$701,P3228)))</f>
        <v/>
      </c>
      <c r="D3228">
        <f>IF(OR(H3228="",P3228=""),"",INDEX('Students'!$B$2:$B$701,P3228))</f>
        <v/>
      </c>
      <c r="E3228">
        <f>IF(OR(H3228="",P3228=""),"",INDEX('Students'!$C$2:$C$701,P3228))</f>
        <v/>
      </c>
      <c r="F3228" s="48">
        <f>IF(H3228="","",IF(ISNUMBER(O3228),O3228,J3228))</f>
        <v/>
      </c>
      <c r="G3228">
        <f>IF(H3228="","",M3228)</f>
        <v/>
      </c>
      <c r="H3228">
        <f>IF(AND(I3228="",J3228="",K3228=""),"",IF(OR(NOT(ISNUMBER(O3228)),N(O3228)&lt;=0),"Bad amount",IF(NOT(ISNUMBER(N3228)),"Bad date",IF(P3228="","NAME NOT ON ROSTER","OK"))))</f>
        <v/>
      </c>
      <c r="I3228">
        <f>IF('Cash_Check'!A228="","",'Cash_Check'!A228)</f>
        <v/>
      </c>
      <c r="J3228">
        <f>IF('Cash_Check'!D228="","",'Cash_Check'!D228)</f>
        <v/>
      </c>
      <c r="K3228">
        <f>TRIM('Cash_Check'!B228)</f>
        <v/>
      </c>
      <c r="M3228">
        <f>IF(TRIM('Cash_Check'!E228)="","Cash/check",TRIM('Cash_Check'!E228))</f>
        <v/>
      </c>
      <c r="N3228">
        <f>IF(I3228="","",IF(ISNUMBER(I3228),INT(I3228),IFERROR(INT(DATEVALUE(I3228)),IFERROR(INT(VALUE(I3228)),"bad"))))</f>
        <v/>
      </c>
      <c r="O3228">
        <f>IF(J3228="","",IF(ISNUMBER(J3228),ROUND(J3228,2),IFERROR(ROUND(VALUE(SUBSTITUTE(SUBSTITUTE(SUBSTITUTE(J3228,"$",""),",","")," ","")),2),"bad")))</f>
        <v/>
      </c>
      <c r="P3228">
        <f>IF(K3228="","",IFERROR(MATCH(IF(ISNUMBER(FIND("#",K3228)),TRIM(MID(K3228,FIND("#",K3228)+1,20)),UPPER(K3228)),'Students'!$AD$2:$AD$701,0),""))</f>
        <v/>
      </c>
      <c r="R3228">
        <f>IF(P3228="","",INDEX('Students'!$AD$2:$AD$701,P3228))</f>
        <v/>
      </c>
      <c r="S3228">
        <f>IF(H3228="OK",O3228,0)</f>
        <v/>
      </c>
      <c r="T3228">
        <f>IF(H3228="OK",N3228,"")</f>
        <v/>
      </c>
      <c r="U3228">
        <f>TRIM('Cash_Check'!C228)</f>
        <v/>
      </c>
    </row>
    <row r="3229">
      <c r="A3229" s="62">
        <f>IF(H3229="","",IF(ISNUMBER(N3229),N3229,I3229))</f>
        <v/>
      </c>
      <c r="B3229">
        <f>IF(H3229="","",U3229)</f>
        <v/>
      </c>
      <c r="C3229">
        <f>IF(H3229="","",IF(P3229="",K3229,INDEX('Students'!$A$2:$A$701,P3229)))</f>
        <v/>
      </c>
      <c r="D3229">
        <f>IF(OR(H3229="",P3229=""),"",INDEX('Students'!$B$2:$B$701,P3229))</f>
        <v/>
      </c>
      <c r="E3229">
        <f>IF(OR(H3229="",P3229=""),"",INDEX('Students'!$C$2:$C$701,P3229))</f>
        <v/>
      </c>
      <c r="F3229" s="48">
        <f>IF(H3229="","",IF(ISNUMBER(O3229),O3229,J3229))</f>
        <v/>
      </c>
      <c r="G3229">
        <f>IF(H3229="","",M3229)</f>
        <v/>
      </c>
      <c r="H3229">
        <f>IF(AND(I3229="",J3229="",K3229=""),"",IF(OR(NOT(ISNUMBER(O3229)),N(O3229)&lt;=0),"Bad amount",IF(NOT(ISNUMBER(N3229)),"Bad date",IF(P3229="","NAME NOT ON ROSTER","OK"))))</f>
        <v/>
      </c>
      <c r="I3229">
        <f>IF('Cash_Check'!A229="","",'Cash_Check'!A229)</f>
        <v/>
      </c>
      <c r="J3229">
        <f>IF('Cash_Check'!D229="","",'Cash_Check'!D229)</f>
        <v/>
      </c>
      <c r="K3229">
        <f>TRIM('Cash_Check'!B229)</f>
        <v/>
      </c>
      <c r="M3229">
        <f>IF(TRIM('Cash_Check'!E229)="","Cash/check",TRIM('Cash_Check'!E229))</f>
        <v/>
      </c>
      <c r="N3229">
        <f>IF(I3229="","",IF(ISNUMBER(I3229),INT(I3229),IFERROR(INT(DATEVALUE(I3229)),IFERROR(INT(VALUE(I3229)),"bad"))))</f>
        <v/>
      </c>
      <c r="O3229">
        <f>IF(J3229="","",IF(ISNUMBER(J3229),ROUND(J3229,2),IFERROR(ROUND(VALUE(SUBSTITUTE(SUBSTITUTE(SUBSTITUTE(J3229,"$",""),",","")," ","")),2),"bad")))</f>
        <v/>
      </c>
      <c r="P3229">
        <f>IF(K3229="","",IFERROR(MATCH(IF(ISNUMBER(FIND("#",K3229)),TRIM(MID(K3229,FIND("#",K3229)+1,20)),UPPER(K3229)),'Students'!$AD$2:$AD$701,0),""))</f>
        <v/>
      </c>
      <c r="R3229">
        <f>IF(P3229="","",INDEX('Students'!$AD$2:$AD$701,P3229))</f>
        <v/>
      </c>
      <c r="S3229">
        <f>IF(H3229="OK",O3229,0)</f>
        <v/>
      </c>
      <c r="T3229">
        <f>IF(H3229="OK",N3229,"")</f>
        <v/>
      </c>
      <c r="U3229">
        <f>TRIM('Cash_Check'!C229)</f>
        <v/>
      </c>
    </row>
    <row r="3230">
      <c r="A3230" s="62">
        <f>IF(H3230="","",IF(ISNUMBER(N3230),N3230,I3230))</f>
        <v/>
      </c>
      <c r="B3230">
        <f>IF(H3230="","",U3230)</f>
        <v/>
      </c>
      <c r="C3230">
        <f>IF(H3230="","",IF(P3230="",K3230,INDEX('Students'!$A$2:$A$701,P3230)))</f>
        <v/>
      </c>
      <c r="D3230">
        <f>IF(OR(H3230="",P3230=""),"",INDEX('Students'!$B$2:$B$701,P3230))</f>
        <v/>
      </c>
      <c r="E3230">
        <f>IF(OR(H3230="",P3230=""),"",INDEX('Students'!$C$2:$C$701,P3230))</f>
        <v/>
      </c>
      <c r="F3230" s="48">
        <f>IF(H3230="","",IF(ISNUMBER(O3230),O3230,J3230))</f>
        <v/>
      </c>
      <c r="G3230">
        <f>IF(H3230="","",M3230)</f>
        <v/>
      </c>
      <c r="H3230">
        <f>IF(AND(I3230="",J3230="",K3230=""),"",IF(OR(NOT(ISNUMBER(O3230)),N(O3230)&lt;=0),"Bad amount",IF(NOT(ISNUMBER(N3230)),"Bad date",IF(P3230="","NAME NOT ON ROSTER","OK"))))</f>
        <v/>
      </c>
      <c r="I3230">
        <f>IF('Cash_Check'!A230="","",'Cash_Check'!A230)</f>
        <v/>
      </c>
      <c r="J3230">
        <f>IF('Cash_Check'!D230="","",'Cash_Check'!D230)</f>
        <v/>
      </c>
      <c r="K3230">
        <f>TRIM('Cash_Check'!B230)</f>
        <v/>
      </c>
      <c r="M3230">
        <f>IF(TRIM('Cash_Check'!E230)="","Cash/check",TRIM('Cash_Check'!E230))</f>
        <v/>
      </c>
      <c r="N3230">
        <f>IF(I3230="","",IF(ISNUMBER(I3230),INT(I3230),IFERROR(INT(DATEVALUE(I3230)),IFERROR(INT(VALUE(I3230)),"bad"))))</f>
        <v/>
      </c>
      <c r="O3230">
        <f>IF(J3230="","",IF(ISNUMBER(J3230),ROUND(J3230,2),IFERROR(ROUND(VALUE(SUBSTITUTE(SUBSTITUTE(SUBSTITUTE(J3230,"$",""),",","")," ","")),2),"bad")))</f>
        <v/>
      </c>
      <c r="P3230">
        <f>IF(K3230="","",IFERROR(MATCH(IF(ISNUMBER(FIND("#",K3230)),TRIM(MID(K3230,FIND("#",K3230)+1,20)),UPPER(K3230)),'Students'!$AD$2:$AD$701,0),""))</f>
        <v/>
      </c>
      <c r="R3230">
        <f>IF(P3230="","",INDEX('Students'!$AD$2:$AD$701,P3230))</f>
        <v/>
      </c>
      <c r="S3230">
        <f>IF(H3230="OK",O3230,0)</f>
        <v/>
      </c>
      <c r="T3230">
        <f>IF(H3230="OK",N3230,"")</f>
        <v/>
      </c>
      <c r="U3230">
        <f>TRIM('Cash_Check'!C230)</f>
        <v/>
      </c>
    </row>
    <row r="3231">
      <c r="A3231" s="62">
        <f>IF(H3231="","",IF(ISNUMBER(N3231),N3231,I3231))</f>
        <v/>
      </c>
      <c r="B3231">
        <f>IF(H3231="","",U3231)</f>
        <v/>
      </c>
      <c r="C3231">
        <f>IF(H3231="","",IF(P3231="",K3231,INDEX('Students'!$A$2:$A$701,P3231)))</f>
        <v/>
      </c>
      <c r="D3231">
        <f>IF(OR(H3231="",P3231=""),"",INDEX('Students'!$B$2:$B$701,P3231))</f>
        <v/>
      </c>
      <c r="E3231">
        <f>IF(OR(H3231="",P3231=""),"",INDEX('Students'!$C$2:$C$701,P3231))</f>
        <v/>
      </c>
      <c r="F3231" s="48">
        <f>IF(H3231="","",IF(ISNUMBER(O3231),O3231,J3231))</f>
        <v/>
      </c>
      <c r="G3231">
        <f>IF(H3231="","",M3231)</f>
        <v/>
      </c>
      <c r="H3231">
        <f>IF(AND(I3231="",J3231="",K3231=""),"",IF(OR(NOT(ISNUMBER(O3231)),N(O3231)&lt;=0),"Bad amount",IF(NOT(ISNUMBER(N3231)),"Bad date",IF(P3231="","NAME NOT ON ROSTER","OK"))))</f>
        <v/>
      </c>
      <c r="I3231">
        <f>IF('Cash_Check'!A231="","",'Cash_Check'!A231)</f>
        <v/>
      </c>
      <c r="J3231">
        <f>IF('Cash_Check'!D231="","",'Cash_Check'!D231)</f>
        <v/>
      </c>
      <c r="K3231">
        <f>TRIM('Cash_Check'!B231)</f>
        <v/>
      </c>
      <c r="M3231">
        <f>IF(TRIM('Cash_Check'!E231)="","Cash/check",TRIM('Cash_Check'!E231))</f>
        <v/>
      </c>
      <c r="N3231">
        <f>IF(I3231="","",IF(ISNUMBER(I3231),INT(I3231),IFERROR(INT(DATEVALUE(I3231)),IFERROR(INT(VALUE(I3231)),"bad"))))</f>
        <v/>
      </c>
      <c r="O3231">
        <f>IF(J3231="","",IF(ISNUMBER(J3231),ROUND(J3231,2),IFERROR(ROUND(VALUE(SUBSTITUTE(SUBSTITUTE(SUBSTITUTE(J3231,"$",""),",","")," ","")),2),"bad")))</f>
        <v/>
      </c>
      <c r="P3231">
        <f>IF(K3231="","",IFERROR(MATCH(IF(ISNUMBER(FIND("#",K3231)),TRIM(MID(K3231,FIND("#",K3231)+1,20)),UPPER(K3231)),'Students'!$AD$2:$AD$701,0),""))</f>
        <v/>
      </c>
      <c r="R3231">
        <f>IF(P3231="","",INDEX('Students'!$AD$2:$AD$701,P3231))</f>
        <v/>
      </c>
      <c r="S3231">
        <f>IF(H3231="OK",O3231,0)</f>
        <v/>
      </c>
      <c r="T3231">
        <f>IF(H3231="OK",N3231,"")</f>
        <v/>
      </c>
      <c r="U3231">
        <f>TRIM('Cash_Check'!C231)</f>
        <v/>
      </c>
    </row>
    <row r="3232">
      <c r="A3232" s="62">
        <f>IF(H3232="","",IF(ISNUMBER(N3232),N3232,I3232))</f>
        <v/>
      </c>
      <c r="B3232">
        <f>IF(H3232="","",U3232)</f>
        <v/>
      </c>
      <c r="C3232">
        <f>IF(H3232="","",IF(P3232="",K3232,INDEX('Students'!$A$2:$A$701,P3232)))</f>
        <v/>
      </c>
      <c r="D3232">
        <f>IF(OR(H3232="",P3232=""),"",INDEX('Students'!$B$2:$B$701,P3232))</f>
        <v/>
      </c>
      <c r="E3232">
        <f>IF(OR(H3232="",P3232=""),"",INDEX('Students'!$C$2:$C$701,P3232))</f>
        <v/>
      </c>
      <c r="F3232" s="48">
        <f>IF(H3232="","",IF(ISNUMBER(O3232),O3232,J3232))</f>
        <v/>
      </c>
      <c r="G3232">
        <f>IF(H3232="","",M3232)</f>
        <v/>
      </c>
      <c r="H3232">
        <f>IF(AND(I3232="",J3232="",K3232=""),"",IF(OR(NOT(ISNUMBER(O3232)),N(O3232)&lt;=0),"Bad amount",IF(NOT(ISNUMBER(N3232)),"Bad date",IF(P3232="","NAME NOT ON ROSTER","OK"))))</f>
        <v/>
      </c>
      <c r="I3232">
        <f>IF('Cash_Check'!A232="","",'Cash_Check'!A232)</f>
        <v/>
      </c>
      <c r="J3232">
        <f>IF('Cash_Check'!D232="","",'Cash_Check'!D232)</f>
        <v/>
      </c>
      <c r="K3232">
        <f>TRIM('Cash_Check'!B232)</f>
        <v/>
      </c>
      <c r="M3232">
        <f>IF(TRIM('Cash_Check'!E232)="","Cash/check",TRIM('Cash_Check'!E232))</f>
        <v/>
      </c>
      <c r="N3232">
        <f>IF(I3232="","",IF(ISNUMBER(I3232),INT(I3232),IFERROR(INT(DATEVALUE(I3232)),IFERROR(INT(VALUE(I3232)),"bad"))))</f>
        <v/>
      </c>
      <c r="O3232">
        <f>IF(J3232="","",IF(ISNUMBER(J3232),ROUND(J3232,2),IFERROR(ROUND(VALUE(SUBSTITUTE(SUBSTITUTE(SUBSTITUTE(J3232,"$",""),",","")," ","")),2),"bad")))</f>
        <v/>
      </c>
      <c r="P3232">
        <f>IF(K3232="","",IFERROR(MATCH(IF(ISNUMBER(FIND("#",K3232)),TRIM(MID(K3232,FIND("#",K3232)+1,20)),UPPER(K3232)),'Students'!$AD$2:$AD$701,0),""))</f>
        <v/>
      </c>
      <c r="R3232">
        <f>IF(P3232="","",INDEX('Students'!$AD$2:$AD$701,P3232))</f>
        <v/>
      </c>
      <c r="S3232">
        <f>IF(H3232="OK",O3232,0)</f>
        <v/>
      </c>
      <c r="T3232">
        <f>IF(H3232="OK",N3232,"")</f>
        <v/>
      </c>
      <c r="U3232">
        <f>TRIM('Cash_Check'!C232)</f>
        <v/>
      </c>
    </row>
    <row r="3233">
      <c r="A3233" s="62">
        <f>IF(H3233="","",IF(ISNUMBER(N3233),N3233,I3233))</f>
        <v/>
      </c>
      <c r="B3233">
        <f>IF(H3233="","",U3233)</f>
        <v/>
      </c>
      <c r="C3233">
        <f>IF(H3233="","",IF(P3233="",K3233,INDEX('Students'!$A$2:$A$701,P3233)))</f>
        <v/>
      </c>
      <c r="D3233">
        <f>IF(OR(H3233="",P3233=""),"",INDEX('Students'!$B$2:$B$701,P3233))</f>
        <v/>
      </c>
      <c r="E3233">
        <f>IF(OR(H3233="",P3233=""),"",INDEX('Students'!$C$2:$C$701,P3233))</f>
        <v/>
      </c>
      <c r="F3233" s="48">
        <f>IF(H3233="","",IF(ISNUMBER(O3233),O3233,J3233))</f>
        <v/>
      </c>
      <c r="G3233">
        <f>IF(H3233="","",M3233)</f>
        <v/>
      </c>
      <c r="H3233">
        <f>IF(AND(I3233="",J3233="",K3233=""),"",IF(OR(NOT(ISNUMBER(O3233)),N(O3233)&lt;=0),"Bad amount",IF(NOT(ISNUMBER(N3233)),"Bad date",IF(P3233="","NAME NOT ON ROSTER","OK"))))</f>
        <v/>
      </c>
      <c r="I3233">
        <f>IF('Cash_Check'!A233="","",'Cash_Check'!A233)</f>
        <v/>
      </c>
      <c r="J3233">
        <f>IF('Cash_Check'!D233="","",'Cash_Check'!D233)</f>
        <v/>
      </c>
      <c r="K3233">
        <f>TRIM('Cash_Check'!B233)</f>
        <v/>
      </c>
      <c r="M3233">
        <f>IF(TRIM('Cash_Check'!E233)="","Cash/check",TRIM('Cash_Check'!E233))</f>
        <v/>
      </c>
      <c r="N3233">
        <f>IF(I3233="","",IF(ISNUMBER(I3233),INT(I3233),IFERROR(INT(DATEVALUE(I3233)),IFERROR(INT(VALUE(I3233)),"bad"))))</f>
        <v/>
      </c>
      <c r="O3233">
        <f>IF(J3233="","",IF(ISNUMBER(J3233),ROUND(J3233,2),IFERROR(ROUND(VALUE(SUBSTITUTE(SUBSTITUTE(SUBSTITUTE(J3233,"$",""),",","")," ","")),2),"bad")))</f>
        <v/>
      </c>
      <c r="P3233">
        <f>IF(K3233="","",IFERROR(MATCH(IF(ISNUMBER(FIND("#",K3233)),TRIM(MID(K3233,FIND("#",K3233)+1,20)),UPPER(K3233)),'Students'!$AD$2:$AD$701,0),""))</f>
        <v/>
      </c>
      <c r="R3233">
        <f>IF(P3233="","",INDEX('Students'!$AD$2:$AD$701,P3233))</f>
        <v/>
      </c>
      <c r="S3233">
        <f>IF(H3233="OK",O3233,0)</f>
        <v/>
      </c>
      <c r="T3233">
        <f>IF(H3233="OK",N3233,"")</f>
        <v/>
      </c>
      <c r="U3233">
        <f>TRIM('Cash_Check'!C233)</f>
        <v/>
      </c>
    </row>
    <row r="3234">
      <c r="A3234" s="62">
        <f>IF(H3234="","",IF(ISNUMBER(N3234),N3234,I3234))</f>
        <v/>
      </c>
      <c r="B3234">
        <f>IF(H3234="","",U3234)</f>
        <v/>
      </c>
      <c r="C3234">
        <f>IF(H3234="","",IF(P3234="",K3234,INDEX('Students'!$A$2:$A$701,P3234)))</f>
        <v/>
      </c>
      <c r="D3234">
        <f>IF(OR(H3234="",P3234=""),"",INDEX('Students'!$B$2:$B$701,P3234))</f>
        <v/>
      </c>
      <c r="E3234">
        <f>IF(OR(H3234="",P3234=""),"",INDEX('Students'!$C$2:$C$701,P3234))</f>
        <v/>
      </c>
      <c r="F3234" s="48">
        <f>IF(H3234="","",IF(ISNUMBER(O3234),O3234,J3234))</f>
        <v/>
      </c>
      <c r="G3234">
        <f>IF(H3234="","",M3234)</f>
        <v/>
      </c>
      <c r="H3234">
        <f>IF(AND(I3234="",J3234="",K3234=""),"",IF(OR(NOT(ISNUMBER(O3234)),N(O3234)&lt;=0),"Bad amount",IF(NOT(ISNUMBER(N3234)),"Bad date",IF(P3234="","NAME NOT ON ROSTER","OK"))))</f>
        <v/>
      </c>
      <c r="I3234">
        <f>IF('Cash_Check'!A234="","",'Cash_Check'!A234)</f>
        <v/>
      </c>
      <c r="J3234">
        <f>IF('Cash_Check'!D234="","",'Cash_Check'!D234)</f>
        <v/>
      </c>
      <c r="K3234">
        <f>TRIM('Cash_Check'!B234)</f>
        <v/>
      </c>
      <c r="M3234">
        <f>IF(TRIM('Cash_Check'!E234)="","Cash/check",TRIM('Cash_Check'!E234))</f>
        <v/>
      </c>
      <c r="N3234">
        <f>IF(I3234="","",IF(ISNUMBER(I3234),INT(I3234),IFERROR(INT(DATEVALUE(I3234)),IFERROR(INT(VALUE(I3234)),"bad"))))</f>
        <v/>
      </c>
      <c r="O3234">
        <f>IF(J3234="","",IF(ISNUMBER(J3234),ROUND(J3234,2),IFERROR(ROUND(VALUE(SUBSTITUTE(SUBSTITUTE(SUBSTITUTE(J3234,"$",""),",","")," ","")),2),"bad")))</f>
        <v/>
      </c>
      <c r="P3234">
        <f>IF(K3234="","",IFERROR(MATCH(IF(ISNUMBER(FIND("#",K3234)),TRIM(MID(K3234,FIND("#",K3234)+1,20)),UPPER(K3234)),'Students'!$AD$2:$AD$701,0),""))</f>
        <v/>
      </c>
      <c r="R3234">
        <f>IF(P3234="","",INDEX('Students'!$AD$2:$AD$701,P3234))</f>
        <v/>
      </c>
      <c r="S3234">
        <f>IF(H3234="OK",O3234,0)</f>
        <v/>
      </c>
      <c r="T3234">
        <f>IF(H3234="OK",N3234,"")</f>
        <v/>
      </c>
      <c r="U3234">
        <f>TRIM('Cash_Check'!C234)</f>
        <v/>
      </c>
    </row>
    <row r="3235">
      <c r="A3235" s="62">
        <f>IF(H3235="","",IF(ISNUMBER(N3235),N3235,I3235))</f>
        <v/>
      </c>
      <c r="B3235">
        <f>IF(H3235="","",U3235)</f>
        <v/>
      </c>
      <c r="C3235">
        <f>IF(H3235="","",IF(P3235="",K3235,INDEX('Students'!$A$2:$A$701,P3235)))</f>
        <v/>
      </c>
      <c r="D3235">
        <f>IF(OR(H3235="",P3235=""),"",INDEX('Students'!$B$2:$B$701,P3235))</f>
        <v/>
      </c>
      <c r="E3235">
        <f>IF(OR(H3235="",P3235=""),"",INDEX('Students'!$C$2:$C$701,P3235))</f>
        <v/>
      </c>
      <c r="F3235" s="48">
        <f>IF(H3235="","",IF(ISNUMBER(O3235),O3235,J3235))</f>
        <v/>
      </c>
      <c r="G3235">
        <f>IF(H3235="","",M3235)</f>
        <v/>
      </c>
      <c r="H3235">
        <f>IF(AND(I3235="",J3235="",K3235=""),"",IF(OR(NOT(ISNUMBER(O3235)),N(O3235)&lt;=0),"Bad amount",IF(NOT(ISNUMBER(N3235)),"Bad date",IF(P3235="","NAME NOT ON ROSTER","OK"))))</f>
        <v/>
      </c>
      <c r="I3235">
        <f>IF('Cash_Check'!A235="","",'Cash_Check'!A235)</f>
        <v/>
      </c>
      <c r="J3235">
        <f>IF('Cash_Check'!D235="","",'Cash_Check'!D235)</f>
        <v/>
      </c>
      <c r="K3235">
        <f>TRIM('Cash_Check'!B235)</f>
        <v/>
      </c>
      <c r="M3235">
        <f>IF(TRIM('Cash_Check'!E235)="","Cash/check",TRIM('Cash_Check'!E235))</f>
        <v/>
      </c>
      <c r="N3235">
        <f>IF(I3235="","",IF(ISNUMBER(I3235),INT(I3235),IFERROR(INT(DATEVALUE(I3235)),IFERROR(INT(VALUE(I3235)),"bad"))))</f>
        <v/>
      </c>
      <c r="O3235">
        <f>IF(J3235="","",IF(ISNUMBER(J3235),ROUND(J3235,2),IFERROR(ROUND(VALUE(SUBSTITUTE(SUBSTITUTE(SUBSTITUTE(J3235,"$",""),",","")," ","")),2),"bad")))</f>
        <v/>
      </c>
      <c r="P3235">
        <f>IF(K3235="","",IFERROR(MATCH(IF(ISNUMBER(FIND("#",K3235)),TRIM(MID(K3235,FIND("#",K3235)+1,20)),UPPER(K3235)),'Students'!$AD$2:$AD$701,0),""))</f>
        <v/>
      </c>
      <c r="R3235">
        <f>IF(P3235="","",INDEX('Students'!$AD$2:$AD$701,P3235))</f>
        <v/>
      </c>
      <c r="S3235">
        <f>IF(H3235="OK",O3235,0)</f>
        <v/>
      </c>
      <c r="T3235">
        <f>IF(H3235="OK",N3235,"")</f>
        <v/>
      </c>
      <c r="U3235">
        <f>TRIM('Cash_Check'!C235)</f>
        <v/>
      </c>
    </row>
    <row r="3236">
      <c r="A3236" s="62">
        <f>IF(H3236="","",IF(ISNUMBER(N3236),N3236,I3236))</f>
        <v/>
      </c>
      <c r="B3236">
        <f>IF(H3236="","",U3236)</f>
        <v/>
      </c>
      <c r="C3236">
        <f>IF(H3236="","",IF(P3236="",K3236,INDEX('Students'!$A$2:$A$701,P3236)))</f>
        <v/>
      </c>
      <c r="D3236">
        <f>IF(OR(H3236="",P3236=""),"",INDEX('Students'!$B$2:$B$701,P3236))</f>
        <v/>
      </c>
      <c r="E3236">
        <f>IF(OR(H3236="",P3236=""),"",INDEX('Students'!$C$2:$C$701,P3236))</f>
        <v/>
      </c>
      <c r="F3236" s="48">
        <f>IF(H3236="","",IF(ISNUMBER(O3236),O3236,J3236))</f>
        <v/>
      </c>
      <c r="G3236">
        <f>IF(H3236="","",M3236)</f>
        <v/>
      </c>
      <c r="H3236">
        <f>IF(AND(I3236="",J3236="",K3236=""),"",IF(OR(NOT(ISNUMBER(O3236)),N(O3236)&lt;=0),"Bad amount",IF(NOT(ISNUMBER(N3236)),"Bad date",IF(P3236="","NAME NOT ON ROSTER","OK"))))</f>
        <v/>
      </c>
      <c r="I3236">
        <f>IF('Cash_Check'!A236="","",'Cash_Check'!A236)</f>
        <v/>
      </c>
      <c r="J3236">
        <f>IF('Cash_Check'!D236="","",'Cash_Check'!D236)</f>
        <v/>
      </c>
      <c r="K3236">
        <f>TRIM('Cash_Check'!B236)</f>
        <v/>
      </c>
      <c r="M3236">
        <f>IF(TRIM('Cash_Check'!E236)="","Cash/check",TRIM('Cash_Check'!E236))</f>
        <v/>
      </c>
      <c r="N3236">
        <f>IF(I3236="","",IF(ISNUMBER(I3236),INT(I3236),IFERROR(INT(DATEVALUE(I3236)),IFERROR(INT(VALUE(I3236)),"bad"))))</f>
        <v/>
      </c>
      <c r="O3236">
        <f>IF(J3236="","",IF(ISNUMBER(J3236),ROUND(J3236,2),IFERROR(ROUND(VALUE(SUBSTITUTE(SUBSTITUTE(SUBSTITUTE(J3236,"$",""),",","")," ","")),2),"bad")))</f>
        <v/>
      </c>
      <c r="P3236">
        <f>IF(K3236="","",IFERROR(MATCH(IF(ISNUMBER(FIND("#",K3236)),TRIM(MID(K3236,FIND("#",K3236)+1,20)),UPPER(K3236)),'Students'!$AD$2:$AD$701,0),""))</f>
        <v/>
      </c>
      <c r="R3236">
        <f>IF(P3236="","",INDEX('Students'!$AD$2:$AD$701,P3236))</f>
        <v/>
      </c>
      <c r="S3236">
        <f>IF(H3236="OK",O3236,0)</f>
        <v/>
      </c>
      <c r="T3236">
        <f>IF(H3236="OK",N3236,"")</f>
        <v/>
      </c>
      <c r="U3236">
        <f>TRIM('Cash_Check'!C236)</f>
        <v/>
      </c>
    </row>
    <row r="3237">
      <c r="A3237" s="62">
        <f>IF(H3237="","",IF(ISNUMBER(N3237),N3237,I3237))</f>
        <v/>
      </c>
      <c r="B3237">
        <f>IF(H3237="","",U3237)</f>
        <v/>
      </c>
      <c r="C3237">
        <f>IF(H3237="","",IF(P3237="",K3237,INDEX('Students'!$A$2:$A$701,P3237)))</f>
        <v/>
      </c>
      <c r="D3237">
        <f>IF(OR(H3237="",P3237=""),"",INDEX('Students'!$B$2:$B$701,P3237))</f>
        <v/>
      </c>
      <c r="E3237">
        <f>IF(OR(H3237="",P3237=""),"",INDEX('Students'!$C$2:$C$701,P3237))</f>
        <v/>
      </c>
      <c r="F3237" s="48">
        <f>IF(H3237="","",IF(ISNUMBER(O3237),O3237,J3237))</f>
        <v/>
      </c>
      <c r="G3237">
        <f>IF(H3237="","",M3237)</f>
        <v/>
      </c>
      <c r="H3237">
        <f>IF(AND(I3237="",J3237="",K3237=""),"",IF(OR(NOT(ISNUMBER(O3237)),N(O3237)&lt;=0),"Bad amount",IF(NOT(ISNUMBER(N3237)),"Bad date",IF(P3237="","NAME NOT ON ROSTER","OK"))))</f>
        <v/>
      </c>
      <c r="I3237">
        <f>IF('Cash_Check'!A237="","",'Cash_Check'!A237)</f>
        <v/>
      </c>
      <c r="J3237">
        <f>IF('Cash_Check'!D237="","",'Cash_Check'!D237)</f>
        <v/>
      </c>
      <c r="K3237">
        <f>TRIM('Cash_Check'!B237)</f>
        <v/>
      </c>
      <c r="M3237">
        <f>IF(TRIM('Cash_Check'!E237)="","Cash/check",TRIM('Cash_Check'!E237))</f>
        <v/>
      </c>
      <c r="N3237">
        <f>IF(I3237="","",IF(ISNUMBER(I3237),INT(I3237),IFERROR(INT(DATEVALUE(I3237)),IFERROR(INT(VALUE(I3237)),"bad"))))</f>
        <v/>
      </c>
      <c r="O3237">
        <f>IF(J3237="","",IF(ISNUMBER(J3237),ROUND(J3237,2),IFERROR(ROUND(VALUE(SUBSTITUTE(SUBSTITUTE(SUBSTITUTE(J3237,"$",""),",","")," ","")),2),"bad")))</f>
        <v/>
      </c>
      <c r="P3237">
        <f>IF(K3237="","",IFERROR(MATCH(IF(ISNUMBER(FIND("#",K3237)),TRIM(MID(K3237,FIND("#",K3237)+1,20)),UPPER(K3237)),'Students'!$AD$2:$AD$701,0),""))</f>
        <v/>
      </c>
      <c r="R3237">
        <f>IF(P3237="","",INDEX('Students'!$AD$2:$AD$701,P3237))</f>
        <v/>
      </c>
      <c r="S3237">
        <f>IF(H3237="OK",O3237,0)</f>
        <v/>
      </c>
      <c r="T3237">
        <f>IF(H3237="OK",N3237,"")</f>
        <v/>
      </c>
      <c r="U3237">
        <f>TRIM('Cash_Check'!C237)</f>
        <v/>
      </c>
    </row>
    <row r="3238">
      <c r="A3238" s="62">
        <f>IF(H3238="","",IF(ISNUMBER(N3238),N3238,I3238))</f>
        <v/>
      </c>
      <c r="B3238">
        <f>IF(H3238="","",U3238)</f>
        <v/>
      </c>
      <c r="C3238">
        <f>IF(H3238="","",IF(P3238="",K3238,INDEX('Students'!$A$2:$A$701,P3238)))</f>
        <v/>
      </c>
      <c r="D3238">
        <f>IF(OR(H3238="",P3238=""),"",INDEX('Students'!$B$2:$B$701,P3238))</f>
        <v/>
      </c>
      <c r="E3238">
        <f>IF(OR(H3238="",P3238=""),"",INDEX('Students'!$C$2:$C$701,P3238))</f>
        <v/>
      </c>
      <c r="F3238" s="48">
        <f>IF(H3238="","",IF(ISNUMBER(O3238),O3238,J3238))</f>
        <v/>
      </c>
      <c r="G3238">
        <f>IF(H3238="","",M3238)</f>
        <v/>
      </c>
      <c r="H3238">
        <f>IF(AND(I3238="",J3238="",K3238=""),"",IF(OR(NOT(ISNUMBER(O3238)),N(O3238)&lt;=0),"Bad amount",IF(NOT(ISNUMBER(N3238)),"Bad date",IF(P3238="","NAME NOT ON ROSTER","OK"))))</f>
        <v/>
      </c>
      <c r="I3238">
        <f>IF('Cash_Check'!A238="","",'Cash_Check'!A238)</f>
        <v/>
      </c>
      <c r="J3238">
        <f>IF('Cash_Check'!D238="","",'Cash_Check'!D238)</f>
        <v/>
      </c>
      <c r="K3238">
        <f>TRIM('Cash_Check'!B238)</f>
        <v/>
      </c>
      <c r="M3238">
        <f>IF(TRIM('Cash_Check'!E238)="","Cash/check",TRIM('Cash_Check'!E238))</f>
        <v/>
      </c>
      <c r="N3238">
        <f>IF(I3238="","",IF(ISNUMBER(I3238),INT(I3238),IFERROR(INT(DATEVALUE(I3238)),IFERROR(INT(VALUE(I3238)),"bad"))))</f>
        <v/>
      </c>
      <c r="O3238">
        <f>IF(J3238="","",IF(ISNUMBER(J3238),ROUND(J3238,2),IFERROR(ROUND(VALUE(SUBSTITUTE(SUBSTITUTE(SUBSTITUTE(J3238,"$",""),",","")," ","")),2),"bad")))</f>
        <v/>
      </c>
      <c r="P3238">
        <f>IF(K3238="","",IFERROR(MATCH(IF(ISNUMBER(FIND("#",K3238)),TRIM(MID(K3238,FIND("#",K3238)+1,20)),UPPER(K3238)),'Students'!$AD$2:$AD$701,0),""))</f>
        <v/>
      </c>
      <c r="R3238">
        <f>IF(P3238="","",INDEX('Students'!$AD$2:$AD$701,P3238))</f>
        <v/>
      </c>
      <c r="S3238">
        <f>IF(H3238="OK",O3238,0)</f>
        <v/>
      </c>
      <c r="T3238">
        <f>IF(H3238="OK",N3238,"")</f>
        <v/>
      </c>
      <c r="U3238">
        <f>TRIM('Cash_Check'!C238)</f>
        <v/>
      </c>
    </row>
    <row r="3239">
      <c r="A3239" s="62">
        <f>IF(H3239="","",IF(ISNUMBER(N3239),N3239,I3239))</f>
        <v/>
      </c>
      <c r="B3239">
        <f>IF(H3239="","",U3239)</f>
        <v/>
      </c>
      <c r="C3239">
        <f>IF(H3239="","",IF(P3239="",K3239,INDEX('Students'!$A$2:$A$701,P3239)))</f>
        <v/>
      </c>
      <c r="D3239">
        <f>IF(OR(H3239="",P3239=""),"",INDEX('Students'!$B$2:$B$701,P3239))</f>
        <v/>
      </c>
      <c r="E3239">
        <f>IF(OR(H3239="",P3239=""),"",INDEX('Students'!$C$2:$C$701,P3239))</f>
        <v/>
      </c>
      <c r="F3239" s="48">
        <f>IF(H3239="","",IF(ISNUMBER(O3239),O3239,J3239))</f>
        <v/>
      </c>
      <c r="G3239">
        <f>IF(H3239="","",M3239)</f>
        <v/>
      </c>
      <c r="H3239">
        <f>IF(AND(I3239="",J3239="",K3239=""),"",IF(OR(NOT(ISNUMBER(O3239)),N(O3239)&lt;=0),"Bad amount",IF(NOT(ISNUMBER(N3239)),"Bad date",IF(P3239="","NAME NOT ON ROSTER","OK"))))</f>
        <v/>
      </c>
      <c r="I3239">
        <f>IF('Cash_Check'!A239="","",'Cash_Check'!A239)</f>
        <v/>
      </c>
      <c r="J3239">
        <f>IF('Cash_Check'!D239="","",'Cash_Check'!D239)</f>
        <v/>
      </c>
      <c r="K3239">
        <f>TRIM('Cash_Check'!B239)</f>
        <v/>
      </c>
      <c r="M3239">
        <f>IF(TRIM('Cash_Check'!E239)="","Cash/check",TRIM('Cash_Check'!E239))</f>
        <v/>
      </c>
      <c r="N3239">
        <f>IF(I3239="","",IF(ISNUMBER(I3239),INT(I3239),IFERROR(INT(DATEVALUE(I3239)),IFERROR(INT(VALUE(I3239)),"bad"))))</f>
        <v/>
      </c>
      <c r="O3239">
        <f>IF(J3239="","",IF(ISNUMBER(J3239),ROUND(J3239,2),IFERROR(ROUND(VALUE(SUBSTITUTE(SUBSTITUTE(SUBSTITUTE(J3239,"$",""),",","")," ","")),2),"bad")))</f>
        <v/>
      </c>
      <c r="P3239">
        <f>IF(K3239="","",IFERROR(MATCH(IF(ISNUMBER(FIND("#",K3239)),TRIM(MID(K3239,FIND("#",K3239)+1,20)),UPPER(K3239)),'Students'!$AD$2:$AD$701,0),""))</f>
        <v/>
      </c>
      <c r="R3239">
        <f>IF(P3239="","",INDEX('Students'!$AD$2:$AD$701,P3239))</f>
        <v/>
      </c>
      <c r="S3239">
        <f>IF(H3239="OK",O3239,0)</f>
        <v/>
      </c>
      <c r="T3239">
        <f>IF(H3239="OK",N3239,"")</f>
        <v/>
      </c>
      <c r="U3239">
        <f>TRIM('Cash_Check'!C239)</f>
        <v/>
      </c>
    </row>
    <row r="3240">
      <c r="A3240" s="62">
        <f>IF(H3240="","",IF(ISNUMBER(N3240),N3240,I3240))</f>
        <v/>
      </c>
      <c r="B3240">
        <f>IF(H3240="","",U3240)</f>
        <v/>
      </c>
      <c r="C3240">
        <f>IF(H3240="","",IF(P3240="",K3240,INDEX('Students'!$A$2:$A$701,P3240)))</f>
        <v/>
      </c>
      <c r="D3240">
        <f>IF(OR(H3240="",P3240=""),"",INDEX('Students'!$B$2:$B$701,P3240))</f>
        <v/>
      </c>
      <c r="E3240">
        <f>IF(OR(H3240="",P3240=""),"",INDEX('Students'!$C$2:$C$701,P3240))</f>
        <v/>
      </c>
      <c r="F3240" s="48">
        <f>IF(H3240="","",IF(ISNUMBER(O3240),O3240,J3240))</f>
        <v/>
      </c>
      <c r="G3240">
        <f>IF(H3240="","",M3240)</f>
        <v/>
      </c>
      <c r="H3240">
        <f>IF(AND(I3240="",J3240="",K3240=""),"",IF(OR(NOT(ISNUMBER(O3240)),N(O3240)&lt;=0),"Bad amount",IF(NOT(ISNUMBER(N3240)),"Bad date",IF(P3240="","NAME NOT ON ROSTER","OK"))))</f>
        <v/>
      </c>
      <c r="I3240">
        <f>IF('Cash_Check'!A240="","",'Cash_Check'!A240)</f>
        <v/>
      </c>
      <c r="J3240">
        <f>IF('Cash_Check'!D240="","",'Cash_Check'!D240)</f>
        <v/>
      </c>
      <c r="K3240">
        <f>TRIM('Cash_Check'!B240)</f>
        <v/>
      </c>
      <c r="M3240">
        <f>IF(TRIM('Cash_Check'!E240)="","Cash/check",TRIM('Cash_Check'!E240))</f>
        <v/>
      </c>
      <c r="N3240">
        <f>IF(I3240="","",IF(ISNUMBER(I3240),INT(I3240),IFERROR(INT(DATEVALUE(I3240)),IFERROR(INT(VALUE(I3240)),"bad"))))</f>
        <v/>
      </c>
      <c r="O3240">
        <f>IF(J3240="","",IF(ISNUMBER(J3240),ROUND(J3240,2),IFERROR(ROUND(VALUE(SUBSTITUTE(SUBSTITUTE(SUBSTITUTE(J3240,"$",""),",","")," ","")),2),"bad")))</f>
        <v/>
      </c>
      <c r="P3240">
        <f>IF(K3240="","",IFERROR(MATCH(IF(ISNUMBER(FIND("#",K3240)),TRIM(MID(K3240,FIND("#",K3240)+1,20)),UPPER(K3240)),'Students'!$AD$2:$AD$701,0),""))</f>
        <v/>
      </c>
      <c r="R3240">
        <f>IF(P3240="","",INDEX('Students'!$AD$2:$AD$701,P3240))</f>
        <v/>
      </c>
      <c r="S3240">
        <f>IF(H3240="OK",O3240,0)</f>
        <v/>
      </c>
      <c r="T3240">
        <f>IF(H3240="OK",N3240,"")</f>
        <v/>
      </c>
      <c r="U3240">
        <f>TRIM('Cash_Check'!C240)</f>
        <v/>
      </c>
    </row>
    <row r="3241">
      <c r="A3241" s="62">
        <f>IF(H3241="","",IF(ISNUMBER(N3241),N3241,I3241))</f>
        <v/>
      </c>
      <c r="B3241">
        <f>IF(H3241="","",U3241)</f>
        <v/>
      </c>
      <c r="C3241">
        <f>IF(H3241="","",IF(P3241="",K3241,INDEX('Students'!$A$2:$A$701,P3241)))</f>
        <v/>
      </c>
      <c r="D3241">
        <f>IF(OR(H3241="",P3241=""),"",INDEX('Students'!$B$2:$B$701,P3241))</f>
        <v/>
      </c>
      <c r="E3241">
        <f>IF(OR(H3241="",P3241=""),"",INDEX('Students'!$C$2:$C$701,P3241))</f>
        <v/>
      </c>
      <c r="F3241" s="48">
        <f>IF(H3241="","",IF(ISNUMBER(O3241),O3241,J3241))</f>
        <v/>
      </c>
      <c r="G3241">
        <f>IF(H3241="","",M3241)</f>
        <v/>
      </c>
      <c r="H3241">
        <f>IF(AND(I3241="",J3241="",K3241=""),"",IF(OR(NOT(ISNUMBER(O3241)),N(O3241)&lt;=0),"Bad amount",IF(NOT(ISNUMBER(N3241)),"Bad date",IF(P3241="","NAME NOT ON ROSTER","OK"))))</f>
        <v/>
      </c>
      <c r="I3241">
        <f>IF('Cash_Check'!A241="","",'Cash_Check'!A241)</f>
        <v/>
      </c>
      <c r="J3241">
        <f>IF('Cash_Check'!D241="","",'Cash_Check'!D241)</f>
        <v/>
      </c>
      <c r="K3241">
        <f>TRIM('Cash_Check'!B241)</f>
        <v/>
      </c>
      <c r="M3241">
        <f>IF(TRIM('Cash_Check'!E241)="","Cash/check",TRIM('Cash_Check'!E241))</f>
        <v/>
      </c>
      <c r="N3241">
        <f>IF(I3241="","",IF(ISNUMBER(I3241),INT(I3241),IFERROR(INT(DATEVALUE(I3241)),IFERROR(INT(VALUE(I3241)),"bad"))))</f>
        <v/>
      </c>
      <c r="O3241">
        <f>IF(J3241="","",IF(ISNUMBER(J3241),ROUND(J3241,2),IFERROR(ROUND(VALUE(SUBSTITUTE(SUBSTITUTE(SUBSTITUTE(J3241,"$",""),",","")," ","")),2),"bad")))</f>
        <v/>
      </c>
      <c r="P3241">
        <f>IF(K3241="","",IFERROR(MATCH(IF(ISNUMBER(FIND("#",K3241)),TRIM(MID(K3241,FIND("#",K3241)+1,20)),UPPER(K3241)),'Students'!$AD$2:$AD$701,0),""))</f>
        <v/>
      </c>
      <c r="R3241">
        <f>IF(P3241="","",INDEX('Students'!$AD$2:$AD$701,P3241))</f>
        <v/>
      </c>
      <c r="S3241">
        <f>IF(H3241="OK",O3241,0)</f>
        <v/>
      </c>
      <c r="T3241">
        <f>IF(H3241="OK",N3241,"")</f>
        <v/>
      </c>
      <c r="U3241">
        <f>TRIM('Cash_Check'!C241)</f>
        <v/>
      </c>
    </row>
    <row r="3242">
      <c r="A3242" s="62">
        <f>IF(H3242="","",IF(ISNUMBER(N3242),N3242,I3242))</f>
        <v/>
      </c>
      <c r="B3242">
        <f>IF(H3242="","",U3242)</f>
        <v/>
      </c>
      <c r="C3242">
        <f>IF(H3242="","",IF(P3242="",K3242,INDEX('Students'!$A$2:$A$701,P3242)))</f>
        <v/>
      </c>
      <c r="D3242">
        <f>IF(OR(H3242="",P3242=""),"",INDEX('Students'!$B$2:$B$701,P3242))</f>
        <v/>
      </c>
      <c r="E3242">
        <f>IF(OR(H3242="",P3242=""),"",INDEX('Students'!$C$2:$C$701,P3242))</f>
        <v/>
      </c>
      <c r="F3242" s="48">
        <f>IF(H3242="","",IF(ISNUMBER(O3242),O3242,J3242))</f>
        <v/>
      </c>
      <c r="G3242">
        <f>IF(H3242="","",M3242)</f>
        <v/>
      </c>
      <c r="H3242">
        <f>IF(AND(I3242="",J3242="",K3242=""),"",IF(OR(NOT(ISNUMBER(O3242)),N(O3242)&lt;=0),"Bad amount",IF(NOT(ISNUMBER(N3242)),"Bad date",IF(P3242="","NAME NOT ON ROSTER","OK"))))</f>
        <v/>
      </c>
      <c r="I3242">
        <f>IF('Cash_Check'!A242="","",'Cash_Check'!A242)</f>
        <v/>
      </c>
      <c r="J3242">
        <f>IF('Cash_Check'!D242="","",'Cash_Check'!D242)</f>
        <v/>
      </c>
      <c r="K3242">
        <f>TRIM('Cash_Check'!B242)</f>
        <v/>
      </c>
      <c r="M3242">
        <f>IF(TRIM('Cash_Check'!E242)="","Cash/check",TRIM('Cash_Check'!E242))</f>
        <v/>
      </c>
      <c r="N3242">
        <f>IF(I3242="","",IF(ISNUMBER(I3242),INT(I3242),IFERROR(INT(DATEVALUE(I3242)),IFERROR(INT(VALUE(I3242)),"bad"))))</f>
        <v/>
      </c>
      <c r="O3242">
        <f>IF(J3242="","",IF(ISNUMBER(J3242),ROUND(J3242,2),IFERROR(ROUND(VALUE(SUBSTITUTE(SUBSTITUTE(SUBSTITUTE(J3242,"$",""),",","")," ","")),2),"bad")))</f>
        <v/>
      </c>
      <c r="P3242">
        <f>IF(K3242="","",IFERROR(MATCH(IF(ISNUMBER(FIND("#",K3242)),TRIM(MID(K3242,FIND("#",K3242)+1,20)),UPPER(K3242)),'Students'!$AD$2:$AD$701,0),""))</f>
        <v/>
      </c>
      <c r="R3242">
        <f>IF(P3242="","",INDEX('Students'!$AD$2:$AD$701,P3242))</f>
        <v/>
      </c>
      <c r="S3242">
        <f>IF(H3242="OK",O3242,0)</f>
        <v/>
      </c>
      <c r="T3242">
        <f>IF(H3242="OK",N3242,"")</f>
        <v/>
      </c>
      <c r="U3242">
        <f>TRIM('Cash_Check'!C242)</f>
        <v/>
      </c>
    </row>
    <row r="3243">
      <c r="A3243" s="62">
        <f>IF(H3243="","",IF(ISNUMBER(N3243),N3243,I3243))</f>
        <v/>
      </c>
      <c r="B3243">
        <f>IF(H3243="","",U3243)</f>
        <v/>
      </c>
      <c r="C3243">
        <f>IF(H3243="","",IF(P3243="",K3243,INDEX('Students'!$A$2:$A$701,P3243)))</f>
        <v/>
      </c>
      <c r="D3243">
        <f>IF(OR(H3243="",P3243=""),"",INDEX('Students'!$B$2:$B$701,P3243))</f>
        <v/>
      </c>
      <c r="E3243">
        <f>IF(OR(H3243="",P3243=""),"",INDEX('Students'!$C$2:$C$701,P3243))</f>
        <v/>
      </c>
      <c r="F3243" s="48">
        <f>IF(H3243="","",IF(ISNUMBER(O3243),O3243,J3243))</f>
        <v/>
      </c>
      <c r="G3243">
        <f>IF(H3243="","",M3243)</f>
        <v/>
      </c>
      <c r="H3243">
        <f>IF(AND(I3243="",J3243="",K3243=""),"",IF(OR(NOT(ISNUMBER(O3243)),N(O3243)&lt;=0),"Bad amount",IF(NOT(ISNUMBER(N3243)),"Bad date",IF(P3243="","NAME NOT ON ROSTER","OK"))))</f>
        <v/>
      </c>
      <c r="I3243">
        <f>IF('Cash_Check'!A243="","",'Cash_Check'!A243)</f>
        <v/>
      </c>
      <c r="J3243">
        <f>IF('Cash_Check'!D243="","",'Cash_Check'!D243)</f>
        <v/>
      </c>
      <c r="K3243">
        <f>TRIM('Cash_Check'!B243)</f>
        <v/>
      </c>
      <c r="M3243">
        <f>IF(TRIM('Cash_Check'!E243)="","Cash/check",TRIM('Cash_Check'!E243))</f>
        <v/>
      </c>
      <c r="N3243">
        <f>IF(I3243="","",IF(ISNUMBER(I3243),INT(I3243),IFERROR(INT(DATEVALUE(I3243)),IFERROR(INT(VALUE(I3243)),"bad"))))</f>
        <v/>
      </c>
      <c r="O3243">
        <f>IF(J3243="","",IF(ISNUMBER(J3243),ROUND(J3243,2),IFERROR(ROUND(VALUE(SUBSTITUTE(SUBSTITUTE(SUBSTITUTE(J3243,"$",""),",","")," ","")),2),"bad")))</f>
        <v/>
      </c>
      <c r="P3243">
        <f>IF(K3243="","",IFERROR(MATCH(IF(ISNUMBER(FIND("#",K3243)),TRIM(MID(K3243,FIND("#",K3243)+1,20)),UPPER(K3243)),'Students'!$AD$2:$AD$701,0),""))</f>
        <v/>
      </c>
      <c r="R3243">
        <f>IF(P3243="","",INDEX('Students'!$AD$2:$AD$701,P3243))</f>
        <v/>
      </c>
      <c r="S3243">
        <f>IF(H3243="OK",O3243,0)</f>
        <v/>
      </c>
      <c r="T3243">
        <f>IF(H3243="OK",N3243,"")</f>
        <v/>
      </c>
      <c r="U3243">
        <f>TRIM('Cash_Check'!C243)</f>
        <v/>
      </c>
    </row>
    <row r="3244">
      <c r="A3244" s="62">
        <f>IF(H3244="","",IF(ISNUMBER(N3244),N3244,I3244))</f>
        <v/>
      </c>
      <c r="B3244">
        <f>IF(H3244="","",U3244)</f>
        <v/>
      </c>
      <c r="C3244">
        <f>IF(H3244="","",IF(P3244="",K3244,INDEX('Students'!$A$2:$A$701,P3244)))</f>
        <v/>
      </c>
      <c r="D3244">
        <f>IF(OR(H3244="",P3244=""),"",INDEX('Students'!$B$2:$B$701,P3244))</f>
        <v/>
      </c>
      <c r="E3244">
        <f>IF(OR(H3244="",P3244=""),"",INDEX('Students'!$C$2:$C$701,P3244))</f>
        <v/>
      </c>
      <c r="F3244" s="48">
        <f>IF(H3244="","",IF(ISNUMBER(O3244),O3244,J3244))</f>
        <v/>
      </c>
      <c r="G3244">
        <f>IF(H3244="","",M3244)</f>
        <v/>
      </c>
      <c r="H3244">
        <f>IF(AND(I3244="",J3244="",K3244=""),"",IF(OR(NOT(ISNUMBER(O3244)),N(O3244)&lt;=0),"Bad amount",IF(NOT(ISNUMBER(N3244)),"Bad date",IF(P3244="","NAME NOT ON ROSTER","OK"))))</f>
        <v/>
      </c>
      <c r="I3244">
        <f>IF('Cash_Check'!A244="","",'Cash_Check'!A244)</f>
        <v/>
      </c>
      <c r="J3244">
        <f>IF('Cash_Check'!D244="","",'Cash_Check'!D244)</f>
        <v/>
      </c>
      <c r="K3244">
        <f>TRIM('Cash_Check'!B244)</f>
        <v/>
      </c>
      <c r="M3244">
        <f>IF(TRIM('Cash_Check'!E244)="","Cash/check",TRIM('Cash_Check'!E244))</f>
        <v/>
      </c>
      <c r="N3244">
        <f>IF(I3244="","",IF(ISNUMBER(I3244),INT(I3244),IFERROR(INT(DATEVALUE(I3244)),IFERROR(INT(VALUE(I3244)),"bad"))))</f>
        <v/>
      </c>
      <c r="O3244">
        <f>IF(J3244="","",IF(ISNUMBER(J3244),ROUND(J3244,2),IFERROR(ROUND(VALUE(SUBSTITUTE(SUBSTITUTE(SUBSTITUTE(J3244,"$",""),",","")," ","")),2),"bad")))</f>
        <v/>
      </c>
      <c r="P3244">
        <f>IF(K3244="","",IFERROR(MATCH(IF(ISNUMBER(FIND("#",K3244)),TRIM(MID(K3244,FIND("#",K3244)+1,20)),UPPER(K3244)),'Students'!$AD$2:$AD$701,0),""))</f>
        <v/>
      </c>
      <c r="R3244">
        <f>IF(P3244="","",INDEX('Students'!$AD$2:$AD$701,P3244))</f>
        <v/>
      </c>
      <c r="S3244">
        <f>IF(H3244="OK",O3244,0)</f>
        <v/>
      </c>
      <c r="T3244">
        <f>IF(H3244="OK",N3244,"")</f>
        <v/>
      </c>
      <c r="U3244">
        <f>TRIM('Cash_Check'!C244)</f>
        <v/>
      </c>
    </row>
    <row r="3245">
      <c r="A3245" s="62">
        <f>IF(H3245="","",IF(ISNUMBER(N3245),N3245,I3245))</f>
        <v/>
      </c>
      <c r="B3245">
        <f>IF(H3245="","",U3245)</f>
        <v/>
      </c>
      <c r="C3245">
        <f>IF(H3245="","",IF(P3245="",K3245,INDEX('Students'!$A$2:$A$701,P3245)))</f>
        <v/>
      </c>
      <c r="D3245">
        <f>IF(OR(H3245="",P3245=""),"",INDEX('Students'!$B$2:$B$701,P3245))</f>
        <v/>
      </c>
      <c r="E3245">
        <f>IF(OR(H3245="",P3245=""),"",INDEX('Students'!$C$2:$C$701,P3245))</f>
        <v/>
      </c>
      <c r="F3245" s="48">
        <f>IF(H3245="","",IF(ISNUMBER(O3245),O3245,J3245))</f>
        <v/>
      </c>
      <c r="G3245">
        <f>IF(H3245="","",M3245)</f>
        <v/>
      </c>
      <c r="H3245">
        <f>IF(AND(I3245="",J3245="",K3245=""),"",IF(OR(NOT(ISNUMBER(O3245)),N(O3245)&lt;=0),"Bad amount",IF(NOT(ISNUMBER(N3245)),"Bad date",IF(P3245="","NAME NOT ON ROSTER","OK"))))</f>
        <v/>
      </c>
      <c r="I3245">
        <f>IF('Cash_Check'!A245="","",'Cash_Check'!A245)</f>
        <v/>
      </c>
      <c r="J3245">
        <f>IF('Cash_Check'!D245="","",'Cash_Check'!D245)</f>
        <v/>
      </c>
      <c r="K3245">
        <f>TRIM('Cash_Check'!B245)</f>
        <v/>
      </c>
      <c r="M3245">
        <f>IF(TRIM('Cash_Check'!E245)="","Cash/check",TRIM('Cash_Check'!E245))</f>
        <v/>
      </c>
      <c r="N3245">
        <f>IF(I3245="","",IF(ISNUMBER(I3245),INT(I3245),IFERROR(INT(DATEVALUE(I3245)),IFERROR(INT(VALUE(I3245)),"bad"))))</f>
        <v/>
      </c>
      <c r="O3245">
        <f>IF(J3245="","",IF(ISNUMBER(J3245),ROUND(J3245,2),IFERROR(ROUND(VALUE(SUBSTITUTE(SUBSTITUTE(SUBSTITUTE(J3245,"$",""),",","")," ","")),2),"bad")))</f>
        <v/>
      </c>
      <c r="P3245">
        <f>IF(K3245="","",IFERROR(MATCH(IF(ISNUMBER(FIND("#",K3245)),TRIM(MID(K3245,FIND("#",K3245)+1,20)),UPPER(K3245)),'Students'!$AD$2:$AD$701,0),""))</f>
        <v/>
      </c>
      <c r="R3245">
        <f>IF(P3245="","",INDEX('Students'!$AD$2:$AD$701,P3245))</f>
        <v/>
      </c>
      <c r="S3245">
        <f>IF(H3245="OK",O3245,0)</f>
        <v/>
      </c>
      <c r="T3245">
        <f>IF(H3245="OK",N3245,"")</f>
        <v/>
      </c>
      <c r="U3245">
        <f>TRIM('Cash_Check'!C245)</f>
        <v/>
      </c>
    </row>
    <row r="3246">
      <c r="A3246" s="62">
        <f>IF(H3246="","",IF(ISNUMBER(N3246),N3246,I3246))</f>
        <v/>
      </c>
      <c r="B3246">
        <f>IF(H3246="","",U3246)</f>
        <v/>
      </c>
      <c r="C3246">
        <f>IF(H3246="","",IF(P3246="",K3246,INDEX('Students'!$A$2:$A$701,P3246)))</f>
        <v/>
      </c>
      <c r="D3246">
        <f>IF(OR(H3246="",P3246=""),"",INDEX('Students'!$B$2:$B$701,P3246))</f>
        <v/>
      </c>
      <c r="E3246">
        <f>IF(OR(H3246="",P3246=""),"",INDEX('Students'!$C$2:$C$701,P3246))</f>
        <v/>
      </c>
      <c r="F3246" s="48">
        <f>IF(H3246="","",IF(ISNUMBER(O3246),O3246,J3246))</f>
        <v/>
      </c>
      <c r="G3246">
        <f>IF(H3246="","",M3246)</f>
        <v/>
      </c>
      <c r="H3246">
        <f>IF(AND(I3246="",J3246="",K3246=""),"",IF(OR(NOT(ISNUMBER(O3246)),N(O3246)&lt;=0),"Bad amount",IF(NOT(ISNUMBER(N3246)),"Bad date",IF(P3246="","NAME NOT ON ROSTER","OK"))))</f>
        <v/>
      </c>
      <c r="I3246">
        <f>IF('Cash_Check'!A246="","",'Cash_Check'!A246)</f>
        <v/>
      </c>
      <c r="J3246">
        <f>IF('Cash_Check'!D246="","",'Cash_Check'!D246)</f>
        <v/>
      </c>
      <c r="K3246">
        <f>TRIM('Cash_Check'!B246)</f>
        <v/>
      </c>
      <c r="M3246">
        <f>IF(TRIM('Cash_Check'!E246)="","Cash/check",TRIM('Cash_Check'!E246))</f>
        <v/>
      </c>
      <c r="N3246">
        <f>IF(I3246="","",IF(ISNUMBER(I3246),INT(I3246),IFERROR(INT(DATEVALUE(I3246)),IFERROR(INT(VALUE(I3246)),"bad"))))</f>
        <v/>
      </c>
      <c r="O3246">
        <f>IF(J3246="","",IF(ISNUMBER(J3246),ROUND(J3246,2),IFERROR(ROUND(VALUE(SUBSTITUTE(SUBSTITUTE(SUBSTITUTE(J3246,"$",""),",","")," ","")),2),"bad")))</f>
        <v/>
      </c>
      <c r="P3246">
        <f>IF(K3246="","",IFERROR(MATCH(IF(ISNUMBER(FIND("#",K3246)),TRIM(MID(K3246,FIND("#",K3246)+1,20)),UPPER(K3246)),'Students'!$AD$2:$AD$701,0),""))</f>
        <v/>
      </c>
      <c r="R3246">
        <f>IF(P3246="","",INDEX('Students'!$AD$2:$AD$701,P3246))</f>
        <v/>
      </c>
      <c r="S3246">
        <f>IF(H3246="OK",O3246,0)</f>
        <v/>
      </c>
      <c r="T3246">
        <f>IF(H3246="OK",N3246,"")</f>
        <v/>
      </c>
      <c r="U3246">
        <f>TRIM('Cash_Check'!C246)</f>
        <v/>
      </c>
    </row>
    <row r="3247">
      <c r="A3247" s="62">
        <f>IF(H3247="","",IF(ISNUMBER(N3247),N3247,I3247))</f>
        <v/>
      </c>
      <c r="B3247">
        <f>IF(H3247="","",U3247)</f>
        <v/>
      </c>
      <c r="C3247">
        <f>IF(H3247="","",IF(P3247="",K3247,INDEX('Students'!$A$2:$A$701,P3247)))</f>
        <v/>
      </c>
      <c r="D3247">
        <f>IF(OR(H3247="",P3247=""),"",INDEX('Students'!$B$2:$B$701,P3247))</f>
        <v/>
      </c>
      <c r="E3247">
        <f>IF(OR(H3247="",P3247=""),"",INDEX('Students'!$C$2:$C$701,P3247))</f>
        <v/>
      </c>
      <c r="F3247" s="48">
        <f>IF(H3247="","",IF(ISNUMBER(O3247),O3247,J3247))</f>
        <v/>
      </c>
      <c r="G3247">
        <f>IF(H3247="","",M3247)</f>
        <v/>
      </c>
      <c r="H3247">
        <f>IF(AND(I3247="",J3247="",K3247=""),"",IF(OR(NOT(ISNUMBER(O3247)),N(O3247)&lt;=0),"Bad amount",IF(NOT(ISNUMBER(N3247)),"Bad date",IF(P3247="","NAME NOT ON ROSTER","OK"))))</f>
        <v/>
      </c>
      <c r="I3247">
        <f>IF('Cash_Check'!A247="","",'Cash_Check'!A247)</f>
        <v/>
      </c>
      <c r="J3247">
        <f>IF('Cash_Check'!D247="","",'Cash_Check'!D247)</f>
        <v/>
      </c>
      <c r="K3247">
        <f>TRIM('Cash_Check'!B247)</f>
        <v/>
      </c>
      <c r="M3247">
        <f>IF(TRIM('Cash_Check'!E247)="","Cash/check",TRIM('Cash_Check'!E247))</f>
        <v/>
      </c>
      <c r="N3247">
        <f>IF(I3247="","",IF(ISNUMBER(I3247),INT(I3247),IFERROR(INT(DATEVALUE(I3247)),IFERROR(INT(VALUE(I3247)),"bad"))))</f>
        <v/>
      </c>
      <c r="O3247">
        <f>IF(J3247="","",IF(ISNUMBER(J3247),ROUND(J3247,2),IFERROR(ROUND(VALUE(SUBSTITUTE(SUBSTITUTE(SUBSTITUTE(J3247,"$",""),",","")," ","")),2),"bad")))</f>
        <v/>
      </c>
      <c r="P3247">
        <f>IF(K3247="","",IFERROR(MATCH(IF(ISNUMBER(FIND("#",K3247)),TRIM(MID(K3247,FIND("#",K3247)+1,20)),UPPER(K3247)),'Students'!$AD$2:$AD$701,0),""))</f>
        <v/>
      </c>
      <c r="R3247">
        <f>IF(P3247="","",INDEX('Students'!$AD$2:$AD$701,P3247))</f>
        <v/>
      </c>
      <c r="S3247">
        <f>IF(H3247="OK",O3247,0)</f>
        <v/>
      </c>
      <c r="T3247">
        <f>IF(H3247="OK",N3247,"")</f>
        <v/>
      </c>
      <c r="U3247">
        <f>TRIM('Cash_Check'!C247)</f>
        <v/>
      </c>
    </row>
    <row r="3248">
      <c r="A3248" s="62">
        <f>IF(H3248="","",IF(ISNUMBER(N3248),N3248,I3248))</f>
        <v/>
      </c>
      <c r="B3248">
        <f>IF(H3248="","",U3248)</f>
        <v/>
      </c>
      <c r="C3248">
        <f>IF(H3248="","",IF(P3248="",K3248,INDEX('Students'!$A$2:$A$701,P3248)))</f>
        <v/>
      </c>
      <c r="D3248">
        <f>IF(OR(H3248="",P3248=""),"",INDEX('Students'!$B$2:$B$701,P3248))</f>
        <v/>
      </c>
      <c r="E3248">
        <f>IF(OR(H3248="",P3248=""),"",INDEX('Students'!$C$2:$C$701,P3248))</f>
        <v/>
      </c>
      <c r="F3248" s="48">
        <f>IF(H3248="","",IF(ISNUMBER(O3248),O3248,J3248))</f>
        <v/>
      </c>
      <c r="G3248">
        <f>IF(H3248="","",M3248)</f>
        <v/>
      </c>
      <c r="H3248">
        <f>IF(AND(I3248="",J3248="",K3248=""),"",IF(OR(NOT(ISNUMBER(O3248)),N(O3248)&lt;=0),"Bad amount",IF(NOT(ISNUMBER(N3248)),"Bad date",IF(P3248="","NAME NOT ON ROSTER","OK"))))</f>
        <v/>
      </c>
      <c r="I3248">
        <f>IF('Cash_Check'!A248="","",'Cash_Check'!A248)</f>
        <v/>
      </c>
      <c r="J3248">
        <f>IF('Cash_Check'!D248="","",'Cash_Check'!D248)</f>
        <v/>
      </c>
      <c r="K3248">
        <f>TRIM('Cash_Check'!B248)</f>
        <v/>
      </c>
      <c r="M3248">
        <f>IF(TRIM('Cash_Check'!E248)="","Cash/check",TRIM('Cash_Check'!E248))</f>
        <v/>
      </c>
      <c r="N3248">
        <f>IF(I3248="","",IF(ISNUMBER(I3248),INT(I3248),IFERROR(INT(DATEVALUE(I3248)),IFERROR(INT(VALUE(I3248)),"bad"))))</f>
        <v/>
      </c>
      <c r="O3248">
        <f>IF(J3248="","",IF(ISNUMBER(J3248),ROUND(J3248,2),IFERROR(ROUND(VALUE(SUBSTITUTE(SUBSTITUTE(SUBSTITUTE(J3248,"$",""),",","")," ","")),2),"bad")))</f>
        <v/>
      </c>
      <c r="P3248">
        <f>IF(K3248="","",IFERROR(MATCH(IF(ISNUMBER(FIND("#",K3248)),TRIM(MID(K3248,FIND("#",K3248)+1,20)),UPPER(K3248)),'Students'!$AD$2:$AD$701,0),""))</f>
        <v/>
      </c>
      <c r="R3248">
        <f>IF(P3248="","",INDEX('Students'!$AD$2:$AD$701,P3248))</f>
        <v/>
      </c>
      <c r="S3248">
        <f>IF(H3248="OK",O3248,0)</f>
        <v/>
      </c>
      <c r="T3248">
        <f>IF(H3248="OK",N3248,"")</f>
        <v/>
      </c>
      <c r="U3248">
        <f>TRIM('Cash_Check'!C248)</f>
        <v/>
      </c>
    </row>
    <row r="3249">
      <c r="A3249" s="62">
        <f>IF(H3249="","",IF(ISNUMBER(N3249),N3249,I3249))</f>
        <v/>
      </c>
      <c r="B3249">
        <f>IF(H3249="","",U3249)</f>
        <v/>
      </c>
      <c r="C3249">
        <f>IF(H3249="","",IF(P3249="",K3249,INDEX('Students'!$A$2:$A$701,P3249)))</f>
        <v/>
      </c>
      <c r="D3249">
        <f>IF(OR(H3249="",P3249=""),"",INDEX('Students'!$B$2:$B$701,P3249))</f>
        <v/>
      </c>
      <c r="E3249">
        <f>IF(OR(H3249="",P3249=""),"",INDEX('Students'!$C$2:$C$701,P3249))</f>
        <v/>
      </c>
      <c r="F3249" s="48">
        <f>IF(H3249="","",IF(ISNUMBER(O3249),O3249,J3249))</f>
        <v/>
      </c>
      <c r="G3249">
        <f>IF(H3249="","",M3249)</f>
        <v/>
      </c>
      <c r="H3249">
        <f>IF(AND(I3249="",J3249="",K3249=""),"",IF(OR(NOT(ISNUMBER(O3249)),N(O3249)&lt;=0),"Bad amount",IF(NOT(ISNUMBER(N3249)),"Bad date",IF(P3249="","NAME NOT ON ROSTER","OK"))))</f>
        <v/>
      </c>
      <c r="I3249">
        <f>IF('Cash_Check'!A249="","",'Cash_Check'!A249)</f>
        <v/>
      </c>
      <c r="J3249">
        <f>IF('Cash_Check'!D249="","",'Cash_Check'!D249)</f>
        <v/>
      </c>
      <c r="K3249">
        <f>TRIM('Cash_Check'!B249)</f>
        <v/>
      </c>
      <c r="M3249">
        <f>IF(TRIM('Cash_Check'!E249)="","Cash/check",TRIM('Cash_Check'!E249))</f>
        <v/>
      </c>
      <c r="N3249">
        <f>IF(I3249="","",IF(ISNUMBER(I3249),INT(I3249),IFERROR(INT(DATEVALUE(I3249)),IFERROR(INT(VALUE(I3249)),"bad"))))</f>
        <v/>
      </c>
      <c r="O3249">
        <f>IF(J3249="","",IF(ISNUMBER(J3249),ROUND(J3249,2),IFERROR(ROUND(VALUE(SUBSTITUTE(SUBSTITUTE(SUBSTITUTE(J3249,"$",""),",","")," ","")),2),"bad")))</f>
        <v/>
      </c>
      <c r="P3249">
        <f>IF(K3249="","",IFERROR(MATCH(IF(ISNUMBER(FIND("#",K3249)),TRIM(MID(K3249,FIND("#",K3249)+1,20)),UPPER(K3249)),'Students'!$AD$2:$AD$701,0),""))</f>
        <v/>
      </c>
      <c r="R3249">
        <f>IF(P3249="","",INDEX('Students'!$AD$2:$AD$701,P3249))</f>
        <v/>
      </c>
      <c r="S3249">
        <f>IF(H3249="OK",O3249,0)</f>
        <v/>
      </c>
      <c r="T3249">
        <f>IF(H3249="OK",N3249,"")</f>
        <v/>
      </c>
      <c r="U3249">
        <f>TRIM('Cash_Check'!C249)</f>
        <v/>
      </c>
    </row>
    <row r="3250">
      <c r="A3250" s="62">
        <f>IF(H3250="","",IF(ISNUMBER(N3250),N3250,I3250))</f>
        <v/>
      </c>
      <c r="B3250">
        <f>IF(H3250="","",U3250)</f>
        <v/>
      </c>
      <c r="C3250">
        <f>IF(H3250="","",IF(P3250="",K3250,INDEX('Students'!$A$2:$A$701,P3250)))</f>
        <v/>
      </c>
      <c r="D3250">
        <f>IF(OR(H3250="",P3250=""),"",INDEX('Students'!$B$2:$B$701,P3250))</f>
        <v/>
      </c>
      <c r="E3250">
        <f>IF(OR(H3250="",P3250=""),"",INDEX('Students'!$C$2:$C$701,P3250))</f>
        <v/>
      </c>
      <c r="F3250" s="48">
        <f>IF(H3250="","",IF(ISNUMBER(O3250),O3250,J3250))</f>
        <v/>
      </c>
      <c r="G3250">
        <f>IF(H3250="","",M3250)</f>
        <v/>
      </c>
      <c r="H3250">
        <f>IF(AND(I3250="",J3250="",K3250=""),"",IF(OR(NOT(ISNUMBER(O3250)),N(O3250)&lt;=0),"Bad amount",IF(NOT(ISNUMBER(N3250)),"Bad date",IF(P3250="","NAME NOT ON ROSTER","OK"))))</f>
        <v/>
      </c>
      <c r="I3250">
        <f>IF('Cash_Check'!A250="","",'Cash_Check'!A250)</f>
        <v/>
      </c>
      <c r="J3250">
        <f>IF('Cash_Check'!D250="","",'Cash_Check'!D250)</f>
        <v/>
      </c>
      <c r="K3250">
        <f>TRIM('Cash_Check'!B250)</f>
        <v/>
      </c>
      <c r="M3250">
        <f>IF(TRIM('Cash_Check'!E250)="","Cash/check",TRIM('Cash_Check'!E250))</f>
        <v/>
      </c>
      <c r="N3250">
        <f>IF(I3250="","",IF(ISNUMBER(I3250),INT(I3250),IFERROR(INT(DATEVALUE(I3250)),IFERROR(INT(VALUE(I3250)),"bad"))))</f>
        <v/>
      </c>
      <c r="O3250">
        <f>IF(J3250="","",IF(ISNUMBER(J3250),ROUND(J3250,2),IFERROR(ROUND(VALUE(SUBSTITUTE(SUBSTITUTE(SUBSTITUTE(J3250,"$",""),",","")," ","")),2),"bad")))</f>
        <v/>
      </c>
      <c r="P3250">
        <f>IF(K3250="","",IFERROR(MATCH(IF(ISNUMBER(FIND("#",K3250)),TRIM(MID(K3250,FIND("#",K3250)+1,20)),UPPER(K3250)),'Students'!$AD$2:$AD$701,0),""))</f>
        <v/>
      </c>
      <c r="R3250">
        <f>IF(P3250="","",INDEX('Students'!$AD$2:$AD$701,P3250))</f>
        <v/>
      </c>
      <c r="S3250">
        <f>IF(H3250="OK",O3250,0)</f>
        <v/>
      </c>
      <c r="T3250">
        <f>IF(H3250="OK",N3250,"")</f>
        <v/>
      </c>
      <c r="U3250">
        <f>TRIM('Cash_Check'!C250)</f>
        <v/>
      </c>
    </row>
    <row r="3251">
      <c r="A3251" s="62">
        <f>IF(H3251="","",IF(ISNUMBER(N3251),N3251,I3251))</f>
        <v/>
      </c>
      <c r="B3251">
        <f>IF(H3251="","",U3251)</f>
        <v/>
      </c>
      <c r="C3251">
        <f>IF(H3251="","",IF(P3251="",K3251,INDEX('Students'!$A$2:$A$701,P3251)))</f>
        <v/>
      </c>
      <c r="D3251">
        <f>IF(OR(H3251="",P3251=""),"",INDEX('Students'!$B$2:$B$701,P3251))</f>
        <v/>
      </c>
      <c r="E3251">
        <f>IF(OR(H3251="",P3251=""),"",INDEX('Students'!$C$2:$C$701,P3251))</f>
        <v/>
      </c>
      <c r="F3251" s="48">
        <f>IF(H3251="","",IF(ISNUMBER(O3251),O3251,J3251))</f>
        <v/>
      </c>
      <c r="G3251">
        <f>IF(H3251="","",M3251)</f>
        <v/>
      </c>
      <c r="H3251">
        <f>IF(AND(I3251="",J3251="",K3251=""),"",IF(OR(NOT(ISNUMBER(O3251)),N(O3251)&lt;=0),"Bad amount",IF(NOT(ISNUMBER(N3251)),"Bad date",IF(P3251="","NAME NOT ON ROSTER","OK"))))</f>
        <v/>
      </c>
      <c r="I3251">
        <f>IF('Cash_Check'!A251="","",'Cash_Check'!A251)</f>
        <v/>
      </c>
      <c r="J3251">
        <f>IF('Cash_Check'!D251="","",'Cash_Check'!D251)</f>
        <v/>
      </c>
      <c r="K3251">
        <f>TRIM('Cash_Check'!B251)</f>
        <v/>
      </c>
      <c r="M3251">
        <f>IF(TRIM('Cash_Check'!E251)="","Cash/check",TRIM('Cash_Check'!E251))</f>
        <v/>
      </c>
      <c r="N3251">
        <f>IF(I3251="","",IF(ISNUMBER(I3251),INT(I3251),IFERROR(INT(DATEVALUE(I3251)),IFERROR(INT(VALUE(I3251)),"bad"))))</f>
        <v/>
      </c>
      <c r="O3251">
        <f>IF(J3251="","",IF(ISNUMBER(J3251),ROUND(J3251,2),IFERROR(ROUND(VALUE(SUBSTITUTE(SUBSTITUTE(SUBSTITUTE(J3251,"$",""),",","")," ","")),2),"bad")))</f>
        <v/>
      </c>
      <c r="P3251">
        <f>IF(K3251="","",IFERROR(MATCH(IF(ISNUMBER(FIND("#",K3251)),TRIM(MID(K3251,FIND("#",K3251)+1,20)),UPPER(K3251)),'Students'!$AD$2:$AD$701,0),""))</f>
        <v/>
      </c>
      <c r="R3251">
        <f>IF(P3251="","",INDEX('Students'!$AD$2:$AD$701,P3251))</f>
        <v/>
      </c>
      <c r="S3251">
        <f>IF(H3251="OK",O3251,0)</f>
        <v/>
      </c>
      <c r="T3251">
        <f>IF(H3251="OK",N3251,"")</f>
        <v/>
      </c>
      <c r="U3251">
        <f>TRIM('Cash_Check'!C251)</f>
        <v/>
      </c>
    </row>
    <row r="3252">
      <c r="A3252" s="62">
        <f>IF(H3252="","",IF(ISNUMBER(N3252),N3252,I3252))</f>
        <v/>
      </c>
      <c r="B3252">
        <f>IF(H3252="","",U3252)</f>
        <v/>
      </c>
      <c r="C3252">
        <f>IF(H3252="","",IF(P3252="",K3252,INDEX('Students'!$A$2:$A$701,P3252)))</f>
        <v/>
      </c>
      <c r="D3252">
        <f>IF(OR(H3252="",P3252=""),"",INDEX('Students'!$B$2:$B$701,P3252))</f>
        <v/>
      </c>
      <c r="E3252">
        <f>IF(OR(H3252="",P3252=""),"",INDEX('Students'!$C$2:$C$701,P3252))</f>
        <v/>
      </c>
      <c r="F3252" s="48">
        <f>IF(H3252="","",IF(ISNUMBER(O3252),O3252,J3252))</f>
        <v/>
      </c>
      <c r="G3252">
        <f>IF(H3252="","",M3252)</f>
        <v/>
      </c>
      <c r="H3252">
        <f>IF(AND(I3252="",J3252="",K3252=""),"",IF(OR(NOT(ISNUMBER(O3252)),N(O3252)&lt;=0),"Bad amount",IF(NOT(ISNUMBER(N3252)),"Bad date",IF(P3252="","NAME NOT ON ROSTER","OK"))))</f>
        <v/>
      </c>
      <c r="I3252">
        <f>IF('Cash_Check'!A252="","",'Cash_Check'!A252)</f>
        <v/>
      </c>
      <c r="J3252">
        <f>IF('Cash_Check'!D252="","",'Cash_Check'!D252)</f>
        <v/>
      </c>
      <c r="K3252">
        <f>TRIM('Cash_Check'!B252)</f>
        <v/>
      </c>
      <c r="M3252">
        <f>IF(TRIM('Cash_Check'!E252)="","Cash/check",TRIM('Cash_Check'!E252))</f>
        <v/>
      </c>
      <c r="N3252">
        <f>IF(I3252="","",IF(ISNUMBER(I3252),INT(I3252),IFERROR(INT(DATEVALUE(I3252)),IFERROR(INT(VALUE(I3252)),"bad"))))</f>
        <v/>
      </c>
      <c r="O3252">
        <f>IF(J3252="","",IF(ISNUMBER(J3252),ROUND(J3252,2),IFERROR(ROUND(VALUE(SUBSTITUTE(SUBSTITUTE(SUBSTITUTE(J3252,"$",""),",","")," ","")),2),"bad")))</f>
        <v/>
      </c>
      <c r="P3252">
        <f>IF(K3252="","",IFERROR(MATCH(IF(ISNUMBER(FIND("#",K3252)),TRIM(MID(K3252,FIND("#",K3252)+1,20)),UPPER(K3252)),'Students'!$AD$2:$AD$701,0),""))</f>
        <v/>
      </c>
      <c r="R3252">
        <f>IF(P3252="","",INDEX('Students'!$AD$2:$AD$701,P3252))</f>
        <v/>
      </c>
      <c r="S3252">
        <f>IF(H3252="OK",O3252,0)</f>
        <v/>
      </c>
      <c r="T3252">
        <f>IF(H3252="OK",N3252,"")</f>
        <v/>
      </c>
      <c r="U3252">
        <f>TRIM('Cash_Check'!C252)</f>
        <v/>
      </c>
    </row>
    <row r="3253">
      <c r="A3253" s="62">
        <f>IF(H3253="","",IF(ISNUMBER(N3253),N3253,I3253))</f>
        <v/>
      </c>
      <c r="B3253">
        <f>IF(H3253="","",U3253)</f>
        <v/>
      </c>
      <c r="C3253">
        <f>IF(H3253="","",IF(P3253="",K3253,INDEX('Students'!$A$2:$A$701,P3253)))</f>
        <v/>
      </c>
      <c r="D3253">
        <f>IF(OR(H3253="",P3253=""),"",INDEX('Students'!$B$2:$B$701,P3253))</f>
        <v/>
      </c>
      <c r="E3253">
        <f>IF(OR(H3253="",P3253=""),"",INDEX('Students'!$C$2:$C$701,P3253))</f>
        <v/>
      </c>
      <c r="F3253" s="48">
        <f>IF(H3253="","",IF(ISNUMBER(O3253),O3253,J3253))</f>
        <v/>
      </c>
      <c r="G3253">
        <f>IF(H3253="","",M3253)</f>
        <v/>
      </c>
      <c r="H3253">
        <f>IF(AND(I3253="",J3253="",K3253=""),"",IF(OR(NOT(ISNUMBER(O3253)),N(O3253)&lt;=0),"Bad amount",IF(NOT(ISNUMBER(N3253)),"Bad date",IF(P3253="","NAME NOT ON ROSTER","OK"))))</f>
        <v/>
      </c>
      <c r="I3253">
        <f>IF('Cash_Check'!A253="","",'Cash_Check'!A253)</f>
        <v/>
      </c>
      <c r="J3253">
        <f>IF('Cash_Check'!D253="","",'Cash_Check'!D253)</f>
        <v/>
      </c>
      <c r="K3253">
        <f>TRIM('Cash_Check'!B253)</f>
        <v/>
      </c>
      <c r="M3253">
        <f>IF(TRIM('Cash_Check'!E253)="","Cash/check",TRIM('Cash_Check'!E253))</f>
        <v/>
      </c>
      <c r="N3253">
        <f>IF(I3253="","",IF(ISNUMBER(I3253),INT(I3253),IFERROR(INT(DATEVALUE(I3253)),IFERROR(INT(VALUE(I3253)),"bad"))))</f>
        <v/>
      </c>
      <c r="O3253">
        <f>IF(J3253="","",IF(ISNUMBER(J3253),ROUND(J3253,2),IFERROR(ROUND(VALUE(SUBSTITUTE(SUBSTITUTE(SUBSTITUTE(J3253,"$",""),",","")," ","")),2),"bad")))</f>
        <v/>
      </c>
      <c r="P3253">
        <f>IF(K3253="","",IFERROR(MATCH(IF(ISNUMBER(FIND("#",K3253)),TRIM(MID(K3253,FIND("#",K3253)+1,20)),UPPER(K3253)),'Students'!$AD$2:$AD$701,0),""))</f>
        <v/>
      </c>
      <c r="R3253">
        <f>IF(P3253="","",INDEX('Students'!$AD$2:$AD$701,P3253))</f>
        <v/>
      </c>
      <c r="S3253">
        <f>IF(H3253="OK",O3253,0)</f>
        <v/>
      </c>
      <c r="T3253">
        <f>IF(H3253="OK",N3253,"")</f>
        <v/>
      </c>
      <c r="U3253">
        <f>TRIM('Cash_Check'!C253)</f>
        <v/>
      </c>
    </row>
    <row r="3254">
      <c r="A3254" s="62">
        <f>IF(H3254="","",IF(ISNUMBER(N3254),N3254,I3254))</f>
        <v/>
      </c>
      <c r="B3254">
        <f>IF(H3254="","",U3254)</f>
        <v/>
      </c>
      <c r="C3254">
        <f>IF(H3254="","",IF(P3254="",K3254,INDEX('Students'!$A$2:$A$701,P3254)))</f>
        <v/>
      </c>
      <c r="D3254">
        <f>IF(OR(H3254="",P3254=""),"",INDEX('Students'!$B$2:$B$701,P3254))</f>
        <v/>
      </c>
      <c r="E3254">
        <f>IF(OR(H3254="",P3254=""),"",INDEX('Students'!$C$2:$C$701,P3254))</f>
        <v/>
      </c>
      <c r="F3254" s="48">
        <f>IF(H3254="","",IF(ISNUMBER(O3254),O3254,J3254))</f>
        <v/>
      </c>
      <c r="G3254">
        <f>IF(H3254="","",M3254)</f>
        <v/>
      </c>
      <c r="H3254">
        <f>IF(AND(I3254="",J3254="",K3254=""),"",IF(OR(NOT(ISNUMBER(O3254)),N(O3254)&lt;=0),"Bad amount",IF(NOT(ISNUMBER(N3254)),"Bad date",IF(P3254="","NAME NOT ON ROSTER","OK"))))</f>
        <v/>
      </c>
      <c r="I3254">
        <f>IF('Cash_Check'!A254="","",'Cash_Check'!A254)</f>
        <v/>
      </c>
      <c r="J3254">
        <f>IF('Cash_Check'!D254="","",'Cash_Check'!D254)</f>
        <v/>
      </c>
      <c r="K3254">
        <f>TRIM('Cash_Check'!B254)</f>
        <v/>
      </c>
      <c r="M3254">
        <f>IF(TRIM('Cash_Check'!E254)="","Cash/check",TRIM('Cash_Check'!E254))</f>
        <v/>
      </c>
      <c r="N3254">
        <f>IF(I3254="","",IF(ISNUMBER(I3254),INT(I3254),IFERROR(INT(DATEVALUE(I3254)),IFERROR(INT(VALUE(I3254)),"bad"))))</f>
        <v/>
      </c>
      <c r="O3254">
        <f>IF(J3254="","",IF(ISNUMBER(J3254),ROUND(J3254,2),IFERROR(ROUND(VALUE(SUBSTITUTE(SUBSTITUTE(SUBSTITUTE(J3254,"$",""),",","")," ","")),2),"bad")))</f>
        <v/>
      </c>
      <c r="P3254">
        <f>IF(K3254="","",IFERROR(MATCH(IF(ISNUMBER(FIND("#",K3254)),TRIM(MID(K3254,FIND("#",K3254)+1,20)),UPPER(K3254)),'Students'!$AD$2:$AD$701,0),""))</f>
        <v/>
      </c>
      <c r="R3254">
        <f>IF(P3254="","",INDEX('Students'!$AD$2:$AD$701,P3254))</f>
        <v/>
      </c>
      <c r="S3254">
        <f>IF(H3254="OK",O3254,0)</f>
        <v/>
      </c>
      <c r="T3254">
        <f>IF(H3254="OK",N3254,"")</f>
        <v/>
      </c>
      <c r="U3254">
        <f>TRIM('Cash_Check'!C254)</f>
        <v/>
      </c>
    </row>
    <row r="3255">
      <c r="A3255" s="62">
        <f>IF(H3255="","",IF(ISNUMBER(N3255),N3255,I3255))</f>
        <v/>
      </c>
      <c r="B3255">
        <f>IF(H3255="","",U3255)</f>
        <v/>
      </c>
      <c r="C3255">
        <f>IF(H3255="","",IF(P3255="",K3255,INDEX('Students'!$A$2:$A$701,P3255)))</f>
        <v/>
      </c>
      <c r="D3255">
        <f>IF(OR(H3255="",P3255=""),"",INDEX('Students'!$B$2:$B$701,P3255))</f>
        <v/>
      </c>
      <c r="E3255">
        <f>IF(OR(H3255="",P3255=""),"",INDEX('Students'!$C$2:$C$701,P3255))</f>
        <v/>
      </c>
      <c r="F3255" s="48">
        <f>IF(H3255="","",IF(ISNUMBER(O3255),O3255,J3255))</f>
        <v/>
      </c>
      <c r="G3255">
        <f>IF(H3255="","",M3255)</f>
        <v/>
      </c>
      <c r="H3255">
        <f>IF(AND(I3255="",J3255="",K3255=""),"",IF(OR(NOT(ISNUMBER(O3255)),N(O3255)&lt;=0),"Bad amount",IF(NOT(ISNUMBER(N3255)),"Bad date",IF(P3255="","NAME NOT ON ROSTER","OK"))))</f>
        <v/>
      </c>
      <c r="I3255">
        <f>IF('Cash_Check'!A255="","",'Cash_Check'!A255)</f>
        <v/>
      </c>
      <c r="J3255">
        <f>IF('Cash_Check'!D255="","",'Cash_Check'!D255)</f>
        <v/>
      </c>
      <c r="K3255">
        <f>TRIM('Cash_Check'!B255)</f>
        <v/>
      </c>
      <c r="M3255">
        <f>IF(TRIM('Cash_Check'!E255)="","Cash/check",TRIM('Cash_Check'!E255))</f>
        <v/>
      </c>
      <c r="N3255">
        <f>IF(I3255="","",IF(ISNUMBER(I3255),INT(I3255),IFERROR(INT(DATEVALUE(I3255)),IFERROR(INT(VALUE(I3255)),"bad"))))</f>
        <v/>
      </c>
      <c r="O3255">
        <f>IF(J3255="","",IF(ISNUMBER(J3255),ROUND(J3255,2),IFERROR(ROUND(VALUE(SUBSTITUTE(SUBSTITUTE(SUBSTITUTE(J3255,"$",""),",","")," ","")),2),"bad")))</f>
        <v/>
      </c>
      <c r="P3255">
        <f>IF(K3255="","",IFERROR(MATCH(IF(ISNUMBER(FIND("#",K3255)),TRIM(MID(K3255,FIND("#",K3255)+1,20)),UPPER(K3255)),'Students'!$AD$2:$AD$701,0),""))</f>
        <v/>
      </c>
      <c r="R3255">
        <f>IF(P3255="","",INDEX('Students'!$AD$2:$AD$701,P3255))</f>
        <v/>
      </c>
      <c r="S3255">
        <f>IF(H3255="OK",O3255,0)</f>
        <v/>
      </c>
      <c r="T3255">
        <f>IF(H3255="OK",N3255,"")</f>
        <v/>
      </c>
      <c r="U3255">
        <f>TRIM('Cash_Check'!C255)</f>
        <v/>
      </c>
    </row>
    <row r="3256">
      <c r="A3256" s="62">
        <f>IF(H3256="","",IF(ISNUMBER(N3256),N3256,I3256))</f>
        <v/>
      </c>
      <c r="B3256">
        <f>IF(H3256="","",U3256)</f>
        <v/>
      </c>
      <c r="C3256">
        <f>IF(H3256="","",IF(P3256="",K3256,INDEX('Students'!$A$2:$A$701,P3256)))</f>
        <v/>
      </c>
      <c r="D3256">
        <f>IF(OR(H3256="",P3256=""),"",INDEX('Students'!$B$2:$B$701,P3256))</f>
        <v/>
      </c>
      <c r="E3256">
        <f>IF(OR(H3256="",P3256=""),"",INDEX('Students'!$C$2:$C$701,P3256))</f>
        <v/>
      </c>
      <c r="F3256" s="48">
        <f>IF(H3256="","",IF(ISNUMBER(O3256),O3256,J3256))</f>
        <v/>
      </c>
      <c r="G3256">
        <f>IF(H3256="","",M3256)</f>
        <v/>
      </c>
      <c r="H3256">
        <f>IF(AND(I3256="",J3256="",K3256=""),"",IF(OR(NOT(ISNUMBER(O3256)),N(O3256)&lt;=0),"Bad amount",IF(NOT(ISNUMBER(N3256)),"Bad date",IF(P3256="","NAME NOT ON ROSTER","OK"))))</f>
        <v/>
      </c>
      <c r="I3256">
        <f>IF('Cash_Check'!A256="","",'Cash_Check'!A256)</f>
        <v/>
      </c>
      <c r="J3256">
        <f>IF('Cash_Check'!D256="","",'Cash_Check'!D256)</f>
        <v/>
      </c>
      <c r="K3256">
        <f>TRIM('Cash_Check'!B256)</f>
        <v/>
      </c>
      <c r="M3256">
        <f>IF(TRIM('Cash_Check'!E256)="","Cash/check",TRIM('Cash_Check'!E256))</f>
        <v/>
      </c>
      <c r="N3256">
        <f>IF(I3256="","",IF(ISNUMBER(I3256),INT(I3256),IFERROR(INT(DATEVALUE(I3256)),IFERROR(INT(VALUE(I3256)),"bad"))))</f>
        <v/>
      </c>
      <c r="O3256">
        <f>IF(J3256="","",IF(ISNUMBER(J3256),ROUND(J3256,2),IFERROR(ROUND(VALUE(SUBSTITUTE(SUBSTITUTE(SUBSTITUTE(J3256,"$",""),",","")," ","")),2),"bad")))</f>
        <v/>
      </c>
      <c r="P3256">
        <f>IF(K3256="","",IFERROR(MATCH(IF(ISNUMBER(FIND("#",K3256)),TRIM(MID(K3256,FIND("#",K3256)+1,20)),UPPER(K3256)),'Students'!$AD$2:$AD$701,0),""))</f>
        <v/>
      </c>
      <c r="R3256">
        <f>IF(P3256="","",INDEX('Students'!$AD$2:$AD$701,P3256))</f>
        <v/>
      </c>
      <c r="S3256">
        <f>IF(H3256="OK",O3256,0)</f>
        <v/>
      </c>
      <c r="T3256">
        <f>IF(H3256="OK",N3256,"")</f>
        <v/>
      </c>
      <c r="U3256">
        <f>TRIM('Cash_Check'!C256)</f>
        <v/>
      </c>
    </row>
    <row r="3257">
      <c r="A3257" s="62">
        <f>IF(H3257="","",IF(ISNUMBER(N3257),N3257,I3257))</f>
        <v/>
      </c>
      <c r="B3257">
        <f>IF(H3257="","",U3257)</f>
        <v/>
      </c>
      <c r="C3257">
        <f>IF(H3257="","",IF(P3257="",K3257,INDEX('Students'!$A$2:$A$701,P3257)))</f>
        <v/>
      </c>
      <c r="D3257">
        <f>IF(OR(H3257="",P3257=""),"",INDEX('Students'!$B$2:$B$701,P3257))</f>
        <v/>
      </c>
      <c r="E3257">
        <f>IF(OR(H3257="",P3257=""),"",INDEX('Students'!$C$2:$C$701,P3257))</f>
        <v/>
      </c>
      <c r="F3257" s="48">
        <f>IF(H3257="","",IF(ISNUMBER(O3257),O3257,J3257))</f>
        <v/>
      </c>
      <c r="G3257">
        <f>IF(H3257="","",M3257)</f>
        <v/>
      </c>
      <c r="H3257">
        <f>IF(AND(I3257="",J3257="",K3257=""),"",IF(OR(NOT(ISNUMBER(O3257)),N(O3257)&lt;=0),"Bad amount",IF(NOT(ISNUMBER(N3257)),"Bad date",IF(P3257="","NAME NOT ON ROSTER","OK"))))</f>
        <v/>
      </c>
      <c r="I3257">
        <f>IF('Cash_Check'!A257="","",'Cash_Check'!A257)</f>
        <v/>
      </c>
      <c r="J3257">
        <f>IF('Cash_Check'!D257="","",'Cash_Check'!D257)</f>
        <v/>
      </c>
      <c r="K3257">
        <f>TRIM('Cash_Check'!B257)</f>
        <v/>
      </c>
      <c r="M3257">
        <f>IF(TRIM('Cash_Check'!E257)="","Cash/check",TRIM('Cash_Check'!E257))</f>
        <v/>
      </c>
      <c r="N3257">
        <f>IF(I3257="","",IF(ISNUMBER(I3257),INT(I3257),IFERROR(INT(DATEVALUE(I3257)),IFERROR(INT(VALUE(I3257)),"bad"))))</f>
        <v/>
      </c>
      <c r="O3257">
        <f>IF(J3257="","",IF(ISNUMBER(J3257),ROUND(J3257,2),IFERROR(ROUND(VALUE(SUBSTITUTE(SUBSTITUTE(SUBSTITUTE(J3257,"$",""),",","")," ","")),2),"bad")))</f>
        <v/>
      </c>
      <c r="P3257">
        <f>IF(K3257="","",IFERROR(MATCH(IF(ISNUMBER(FIND("#",K3257)),TRIM(MID(K3257,FIND("#",K3257)+1,20)),UPPER(K3257)),'Students'!$AD$2:$AD$701,0),""))</f>
        <v/>
      </c>
      <c r="R3257">
        <f>IF(P3257="","",INDEX('Students'!$AD$2:$AD$701,P3257))</f>
        <v/>
      </c>
      <c r="S3257">
        <f>IF(H3257="OK",O3257,0)</f>
        <v/>
      </c>
      <c r="T3257">
        <f>IF(H3257="OK",N3257,"")</f>
        <v/>
      </c>
      <c r="U3257">
        <f>TRIM('Cash_Check'!C257)</f>
        <v/>
      </c>
    </row>
    <row r="3258">
      <c r="A3258" s="62">
        <f>IF(H3258="","",IF(ISNUMBER(N3258),N3258,I3258))</f>
        <v/>
      </c>
      <c r="B3258">
        <f>IF(H3258="","",U3258)</f>
        <v/>
      </c>
      <c r="C3258">
        <f>IF(H3258="","",IF(P3258="",K3258,INDEX('Students'!$A$2:$A$701,P3258)))</f>
        <v/>
      </c>
      <c r="D3258">
        <f>IF(OR(H3258="",P3258=""),"",INDEX('Students'!$B$2:$B$701,P3258))</f>
        <v/>
      </c>
      <c r="E3258">
        <f>IF(OR(H3258="",P3258=""),"",INDEX('Students'!$C$2:$C$701,P3258))</f>
        <v/>
      </c>
      <c r="F3258" s="48">
        <f>IF(H3258="","",IF(ISNUMBER(O3258),O3258,J3258))</f>
        <v/>
      </c>
      <c r="G3258">
        <f>IF(H3258="","",M3258)</f>
        <v/>
      </c>
      <c r="H3258">
        <f>IF(AND(I3258="",J3258="",K3258=""),"",IF(OR(NOT(ISNUMBER(O3258)),N(O3258)&lt;=0),"Bad amount",IF(NOT(ISNUMBER(N3258)),"Bad date",IF(P3258="","NAME NOT ON ROSTER","OK"))))</f>
        <v/>
      </c>
      <c r="I3258">
        <f>IF('Cash_Check'!A258="","",'Cash_Check'!A258)</f>
        <v/>
      </c>
      <c r="J3258">
        <f>IF('Cash_Check'!D258="","",'Cash_Check'!D258)</f>
        <v/>
      </c>
      <c r="K3258">
        <f>TRIM('Cash_Check'!B258)</f>
        <v/>
      </c>
      <c r="M3258">
        <f>IF(TRIM('Cash_Check'!E258)="","Cash/check",TRIM('Cash_Check'!E258))</f>
        <v/>
      </c>
      <c r="N3258">
        <f>IF(I3258="","",IF(ISNUMBER(I3258),INT(I3258),IFERROR(INT(DATEVALUE(I3258)),IFERROR(INT(VALUE(I3258)),"bad"))))</f>
        <v/>
      </c>
      <c r="O3258">
        <f>IF(J3258="","",IF(ISNUMBER(J3258),ROUND(J3258,2),IFERROR(ROUND(VALUE(SUBSTITUTE(SUBSTITUTE(SUBSTITUTE(J3258,"$",""),",","")," ","")),2),"bad")))</f>
        <v/>
      </c>
      <c r="P3258">
        <f>IF(K3258="","",IFERROR(MATCH(IF(ISNUMBER(FIND("#",K3258)),TRIM(MID(K3258,FIND("#",K3258)+1,20)),UPPER(K3258)),'Students'!$AD$2:$AD$701,0),""))</f>
        <v/>
      </c>
      <c r="R3258">
        <f>IF(P3258="","",INDEX('Students'!$AD$2:$AD$701,P3258))</f>
        <v/>
      </c>
      <c r="S3258">
        <f>IF(H3258="OK",O3258,0)</f>
        <v/>
      </c>
      <c r="T3258">
        <f>IF(H3258="OK",N3258,"")</f>
        <v/>
      </c>
      <c r="U3258">
        <f>TRIM('Cash_Check'!C258)</f>
        <v/>
      </c>
    </row>
    <row r="3259">
      <c r="A3259" s="62">
        <f>IF(H3259="","",IF(ISNUMBER(N3259),N3259,I3259))</f>
        <v/>
      </c>
      <c r="B3259">
        <f>IF(H3259="","",U3259)</f>
        <v/>
      </c>
      <c r="C3259">
        <f>IF(H3259="","",IF(P3259="",K3259,INDEX('Students'!$A$2:$A$701,P3259)))</f>
        <v/>
      </c>
      <c r="D3259">
        <f>IF(OR(H3259="",P3259=""),"",INDEX('Students'!$B$2:$B$701,P3259))</f>
        <v/>
      </c>
      <c r="E3259">
        <f>IF(OR(H3259="",P3259=""),"",INDEX('Students'!$C$2:$C$701,P3259))</f>
        <v/>
      </c>
      <c r="F3259" s="48">
        <f>IF(H3259="","",IF(ISNUMBER(O3259),O3259,J3259))</f>
        <v/>
      </c>
      <c r="G3259">
        <f>IF(H3259="","",M3259)</f>
        <v/>
      </c>
      <c r="H3259">
        <f>IF(AND(I3259="",J3259="",K3259=""),"",IF(OR(NOT(ISNUMBER(O3259)),N(O3259)&lt;=0),"Bad amount",IF(NOT(ISNUMBER(N3259)),"Bad date",IF(P3259="","NAME NOT ON ROSTER","OK"))))</f>
        <v/>
      </c>
      <c r="I3259">
        <f>IF('Cash_Check'!A259="","",'Cash_Check'!A259)</f>
        <v/>
      </c>
      <c r="J3259">
        <f>IF('Cash_Check'!D259="","",'Cash_Check'!D259)</f>
        <v/>
      </c>
      <c r="K3259">
        <f>TRIM('Cash_Check'!B259)</f>
        <v/>
      </c>
      <c r="M3259">
        <f>IF(TRIM('Cash_Check'!E259)="","Cash/check",TRIM('Cash_Check'!E259))</f>
        <v/>
      </c>
      <c r="N3259">
        <f>IF(I3259="","",IF(ISNUMBER(I3259),INT(I3259),IFERROR(INT(DATEVALUE(I3259)),IFERROR(INT(VALUE(I3259)),"bad"))))</f>
        <v/>
      </c>
      <c r="O3259">
        <f>IF(J3259="","",IF(ISNUMBER(J3259),ROUND(J3259,2),IFERROR(ROUND(VALUE(SUBSTITUTE(SUBSTITUTE(SUBSTITUTE(J3259,"$",""),",","")," ","")),2),"bad")))</f>
        <v/>
      </c>
      <c r="P3259">
        <f>IF(K3259="","",IFERROR(MATCH(IF(ISNUMBER(FIND("#",K3259)),TRIM(MID(K3259,FIND("#",K3259)+1,20)),UPPER(K3259)),'Students'!$AD$2:$AD$701,0),""))</f>
        <v/>
      </c>
      <c r="R3259">
        <f>IF(P3259="","",INDEX('Students'!$AD$2:$AD$701,P3259))</f>
        <v/>
      </c>
      <c r="S3259">
        <f>IF(H3259="OK",O3259,0)</f>
        <v/>
      </c>
      <c r="T3259">
        <f>IF(H3259="OK",N3259,"")</f>
        <v/>
      </c>
      <c r="U3259">
        <f>TRIM('Cash_Check'!C259)</f>
        <v/>
      </c>
    </row>
    <row r="3260">
      <c r="A3260" s="62">
        <f>IF(H3260="","",IF(ISNUMBER(N3260),N3260,I3260))</f>
        <v/>
      </c>
      <c r="B3260">
        <f>IF(H3260="","",U3260)</f>
        <v/>
      </c>
      <c r="C3260">
        <f>IF(H3260="","",IF(P3260="",K3260,INDEX('Students'!$A$2:$A$701,P3260)))</f>
        <v/>
      </c>
      <c r="D3260">
        <f>IF(OR(H3260="",P3260=""),"",INDEX('Students'!$B$2:$B$701,P3260))</f>
        <v/>
      </c>
      <c r="E3260">
        <f>IF(OR(H3260="",P3260=""),"",INDEX('Students'!$C$2:$C$701,P3260))</f>
        <v/>
      </c>
      <c r="F3260" s="48">
        <f>IF(H3260="","",IF(ISNUMBER(O3260),O3260,J3260))</f>
        <v/>
      </c>
      <c r="G3260">
        <f>IF(H3260="","",M3260)</f>
        <v/>
      </c>
      <c r="H3260">
        <f>IF(AND(I3260="",J3260="",K3260=""),"",IF(OR(NOT(ISNUMBER(O3260)),N(O3260)&lt;=0),"Bad amount",IF(NOT(ISNUMBER(N3260)),"Bad date",IF(P3260="","NAME NOT ON ROSTER","OK"))))</f>
        <v/>
      </c>
      <c r="I3260">
        <f>IF('Cash_Check'!A260="","",'Cash_Check'!A260)</f>
        <v/>
      </c>
      <c r="J3260">
        <f>IF('Cash_Check'!D260="","",'Cash_Check'!D260)</f>
        <v/>
      </c>
      <c r="K3260">
        <f>TRIM('Cash_Check'!B260)</f>
        <v/>
      </c>
      <c r="M3260">
        <f>IF(TRIM('Cash_Check'!E260)="","Cash/check",TRIM('Cash_Check'!E260))</f>
        <v/>
      </c>
      <c r="N3260">
        <f>IF(I3260="","",IF(ISNUMBER(I3260),INT(I3260),IFERROR(INT(DATEVALUE(I3260)),IFERROR(INT(VALUE(I3260)),"bad"))))</f>
        <v/>
      </c>
      <c r="O3260">
        <f>IF(J3260="","",IF(ISNUMBER(J3260),ROUND(J3260,2),IFERROR(ROUND(VALUE(SUBSTITUTE(SUBSTITUTE(SUBSTITUTE(J3260,"$",""),",","")," ","")),2),"bad")))</f>
        <v/>
      </c>
      <c r="P3260">
        <f>IF(K3260="","",IFERROR(MATCH(IF(ISNUMBER(FIND("#",K3260)),TRIM(MID(K3260,FIND("#",K3260)+1,20)),UPPER(K3260)),'Students'!$AD$2:$AD$701,0),""))</f>
        <v/>
      </c>
      <c r="R3260">
        <f>IF(P3260="","",INDEX('Students'!$AD$2:$AD$701,P3260))</f>
        <v/>
      </c>
      <c r="S3260">
        <f>IF(H3260="OK",O3260,0)</f>
        <v/>
      </c>
      <c r="T3260">
        <f>IF(H3260="OK",N3260,"")</f>
        <v/>
      </c>
      <c r="U3260">
        <f>TRIM('Cash_Check'!C260)</f>
        <v/>
      </c>
    </row>
    <row r="3261">
      <c r="A3261" s="62">
        <f>IF(H3261="","",IF(ISNUMBER(N3261),N3261,I3261))</f>
        <v/>
      </c>
      <c r="B3261">
        <f>IF(H3261="","",U3261)</f>
        <v/>
      </c>
      <c r="C3261">
        <f>IF(H3261="","",IF(P3261="",K3261,INDEX('Students'!$A$2:$A$701,P3261)))</f>
        <v/>
      </c>
      <c r="D3261">
        <f>IF(OR(H3261="",P3261=""),"",INDEX('Students'!$B$2:$B$701,P3261))</f>
        <v/>
      </c>
      <c r="E3261">
        <f>IF(OR(H3261="",P3261=""),"",INDEX('Students'!$C$2:$C$701,P3261))</f>
        <v/>
      </c>
      <c r="F3261" s="48">
        <f>IF(H3261="","",IF(ISNUMBER(O3261),O3261,J3261))</f>
        <v/>
      </c>
      <c r="G3261">
        <f>IF(H3261="","",M3261)</f>
        <v/>
      </c>
      <c r="H3261">
        <f>IF(AND(I3261="",J3261="",K3261=""),"",IF(OR(NOT(ISNUMBER(O3261)),N(O3261)&lt;=0),"Bad amount",IF(NOT(ISNUMBER(N3261)),"Bad date",IF(P3261="","NAME NOT ON ROSTER","OK"))))</f>
        <v/>
      </c>
      <c r="I3261">
        <f>IF('Cash_Check'!A261="","",'Cash_Check'!A261)</f>
        <v/>
      </c>
      <c r="J3261">
        <f>IF('Cash_Check'!D261="","",'Cash_Check'!D261)</f>
        <v/>
      </c>
      <c r="K3261">
        <f>TRIM('Cash_Check'!B261)</f>
        <v/>
      </c>
      <c r="M3261">
        <f>IF(TRIM('Cash_Check'!E261)="","Cash/check",TRIM('Cash_Check'!E261))</f>
        <v/>
      </c>
      <c r="N3261">
        <f>IF(I3261="","",IF(ISNUMBER(I3261),INT(I3261),IFERROR(INT(DATEVALUE(I3261)),IFERROR(INT(VALUE(I3261)),"bad"))))</f>
        <v/>
      </c>
      <c r="O3261">
        <f>IF(J3261="","",IF(ISNUMBER(J3261),ROUND(J3261,2),IFERROR(ROUND(VALUE(SUBSTITUTE(SUBSTITUTE(SUBSTITUTE(J3261,"$",""),",","")," ","")),2),"bad")))</f>
        <v/>
      </c>
      <c r="P3261">
        <f>IF(K3261="","",IFERROR(MATCH(IF(ISNUMBER(FIND("#",K3261)),TRIM(MID(K3261,FIND("#",K3261)+1,20)),UPPER(K3261)),'Students'!$AD$2:$AD$701,0),""))</f>
        <v/>
      </c>
      <c r="R3261">
        <f>IF(P3261="","",INDEX('Students'!$AD$2:$AD$701,P3261))</f>
        <v/>
      </c>
      <c r="S3261">
        <f>IF(H3261="OK",O3261,0)</f>
        <v/>
      </c>
      <c r="T3261">
        <f>IF(H3261="OK",N3261,"")</f>
        <v/>
      </c>
      <c r="U3261">
        <f>TRIM('Cash_Check'!C261)</f>
        <v/>
      </c>
    </row>
    <row r="3262">
      <c r="A3262" s="62">
        <f>IF(H3262="","",IF(ISNUMBER(N3262),N3262,I3262))</f>
        <v/>
      </c>
      <c r="B3262">
        <f>IF(H3262="","",U3262)</f>
        <v/>
      </c>
      <c r="C3262">
        <f>IF(H3262="","",IF(P3262="",K3262,INDEX('Students'!$A$2:$A$701,P3262)))</f>
        <v/>
      </c>
      <c r="D3262">
        <f>IF(OR(H3262="",P3262=""),"",INDEX('Students'!$B$2:$B$701,P3262))</f>
        <v/>
      </c>
      <c r="E3262">
        <f>IF(OR(H3262="",P3262=""),"",INDEX('Students'!$C$2:$C$701,P3262))</f>
        <v/>
      </c>
      <c r="F3262" s="48">
        <f>IF(H3262="","",IF(ISNUMBER(O3262),O3262,J3262))</f>
        <v/>
      </c>
      <c r="G3262">
        <f>IF(H3262="","",M3262)</f>
        <v/>
      </c>
      <c r="H3262">
        <f>IF(AND(I3262="",J3262="",K3262=""),"",IF(OR(NOT(ISNUMBER(O3262)),N(O3262)&lt;=0),"Bad amount",IF(NOT(ISNUMBER(N3262)),"Bad date",IF(P3262="","NAME NOT ON ROSTER","OK"))))</f>
        <v/>
      </c>
      <c r="I3262">
        <f>IF('Cash_Check'!A262="","",'Cash_Check'!A262)</f>
        <v/>
      </c>
      <c r="J3262">
        <f>IF('Cash_Check'!D262="","",'Cash_Check'!D262)</f>
        <v/>
      </c>
      <c r="K3262">
        <f>TRIM('Cash_Check'!B262)</f>
        <v/>
      </c>
      <c r="M3262">
        <f>IF(TRIM('Cash_Check'!E262)="","Cash/check",TRIM('Cash_Check'!E262))</f>
        <v/>
      </c>
      <c r="N3262">
        <f>IF(I3262="","",IF(ISNUMBER(I3262),INT(I3262),IFERROR(INT(DATEVALUE(I3262)),IFERROR(INT(VALUE(I3262)),"bad"))))</f>
        <v/>
      </c>
      <c r="O3262">
        <f>IF(J3262="","",IF(ISNUMBER(J3262),ROUND(J3262,2),IFERROR(ROUND(VALUE(SUBSTITUTE(SUBSTITUTE(SUBSTITUTE(J3262,"$",""),",","")," ","")),2),"bad")))</f>
        <v/>
      </c>
      <c r="P3262">
        <f>IF(K3262="","",IFERROR(MATCH(IF(ISNUMBER(FIND("#",K3262)),TRIM(MID(K3262,FIND("#",K3262)+1,20)),UPPER(K3262)),'Students'!$AD$2:$AD$701,0),""))</f>
        <v/>
      </c>
      <c r="R3262">
        <f>IF(P3262="","",INDEX('Students'!$AD$2:$AD$701,P3262))</f>
        <v/>
      </c>
      <c r="S3262">
        <f>IF(H3262="OK",O3262,0)</f>
        <v/>
      </c>
      <c r="T3262">
        <f>IF(H3262="OK",N3262,"")</f>
        <v/>
      </c>
      <c r="U3262">
        <f>TRIM('Cash_Check'!C262)</f>
        <v/>
      </c>
    </row>
    <row r="3263">
      <c r="A3263" s="62">
        <f>IF(H3263="","",IF(ISNUMBER(N3263),N3263,I3263))</f>
        <v/>
      </c>
      <c r="B3263">
        <f>IF(H3263="","",U3263)</f>
        <v/>
      </c>
      <c r="C3263">
        <f>IF(H3263="","",IF(P3263="",K3263,INDEX('Students'!$A$2:$A$701,P3263)))</f>
        <v/>
      </c>
      <c r="D3263">
        <f>IF(OR(H3263="",P3263=""),"",INDEX('Students'!$B$2:$B$701,P3263))</f>
        <v/>
      </c>
      <c r="E3263">
        <f>IF(OR(H3263="",P3263=""),"",INDEX('Students'!$C$2:$C$701,P3263))</f>
        <v/>
      </c>
      <c r="F3263" s="48">
        <f>IF(H3263="","",IF(ISNUMBER(O3263),O3263,J3263))</f>
        <v/>
      </c>
      <c r="G3263">
        <f>IF(H3263="","",M3263)</f>
        <v/>
      </c>
      <c r="H3263">
        <f>IF(AND(I3263="",J3263="",K3263=""),"",IF(OR(NOT(ISNUMBER(O3263)),N(O3263)&lt;=0),"Bad amount",IF(NOT(ISNUMBER(N3263)),"Bad date",IF(P3263="","NAME NOT ON ROSTER","OK"))))</f>
        <v/>
      </c>
      <c r="I3263">
        <f>IF('Cash_Check'!A263="","",'Cash_Check'!A263)</f>
        <v/>
      </c>
      <c r="J3263">
        <f>IF('Cash_Check'!D263="","",'Cash_Check'!D263)</f>
        <v/>
      </c>
      <c r="K3263">
        <f>TRIM('Cash_Check'!B263)</f>
        <v/>
      </c>
      <c r="M3263">
        <f>IF(TRIM('Cash_Check'!E263)="","Cash/check",TRIM('Cash_Check'!E263))</f>
        <v/>
      </c>
      <c r="N3263">
        <f>IF(I3263="","",IF(ISNUMBER(I3263),INT(I3263),IFERROR(INT(DATEVALUE(I3263)),IFERROR(INT(VALUE(I3263)),"bad"))))</f>
        <v/>
      </c>
      <c r="O3263">
        <f>IF(J3263="","",IF(ISNUMBER(J3263),ROUND(J3263,2),IFERROR(ROUND(VALUE(SUBSTITUTE(SUBSTITUTE(SUBSTITUTE(J3263,"$",""),",","")," ","")),2),"bad")))</f>
        <v/>
      </c>
      <c r="P3263">
        <f>IF(K3263="","",IFERROR(MATCH(IF(ISNUMBER(FIND("#",K3263)),TRIM(MID(K3263,FIND("#",K3263)+1,20)),UPPER(K3263)),'Students'!$AD$2:$AD$701,0),""))</f>
        <v/>
      </c>
      <c r="R3263">
        <f>IF(P3263="","",INDEX('Students'!$AD$2:$AD$701,P3263))</f>
        <v/>
      </c>
      <c r="S3263">
        <f>IF(H3263="OK",O3263,0)</f>
        <v/>
      </c>
      <c r="T3263">
        <f>IF(H3263="OK",N3263,"")</f>
        <v/>
      </c>
      <c r="U3263">
        <f>TRIM('Cash_Check'!C263)</f>
        <v/>
      </c>
    </row>
    <row r="3264">
      <c r="A3264" s="62">
        <f>IF(H3264="","",IF(ISNUMBER(N3264),N3264,I3264))</f>
        <v/>
      </c>
      <c r="B3264">
        <f>IF(H3264="","",U3264)</f>
        <v/>
      </c>
      <c r="C3264">
        <f>IF(H3264="","",IF(P3264="",K3264,INDEX('Students'!$A$2:$A$701,P3264)))</f>
        <v/>
      </c>
      <c r="D3264">
        <f>IF(OR(H3264="",P3264=""),"",INDEX('Students'!$B$2:$B$701,P3264))</f>
        <v/>
      </c>
      <c r="E3264">
        <f>IF(OR(H3264="",P3264=""),"",INDEX('Students'!$C$2:$C$701,P3264))</f>
        <v/>
      </c>
      <c r="F3264" s="48">
        <f>IF(H3264="","",IF(ISNUMBER(O3264),O3264,J3264))</f>
        <v/>
      </c>
      <c r="G3264">
        <f>IF(H3264="","",M3264)</f>
        <v/>
      </c>
      <c r="H3264">
        <f>IF(AND(I3264="",J3264="",K3264=""),"",IF(OR(NOT(ISNUMBER(O3264)),N(O3264)&lt;=0),"Bad amount",IF(NOT(ISNUMBER(N3264)),"Bad date",IF(P3264="","NAME NOT ON ROSTER","OK"))))</f>
        <v/>
      </c>
      <c r="I3264">
        <f>IF('Cash_Check'!A264="","",'Cash_Check'!A264)</f>
        <v/>
      </c>
      <c r="J3264">
        <f>IF('Cash_Check'!D264="","",'Cash_Check'!D264)</f>
        <v/>
      </c>
      <c r="K3264">
        <f>TRIM('Cash_Check'!B264)</f>
        <v/>
      </c>
      <c r="M3264">
        <f>IF(TRIM('Cash_Check'!E264)="","Cash/check",TRIM('Cash_Check'!E264))</f>
        <v/>
      </c>
      <c r="N3264">
        <f>IF(I3264="","",IF(ISNUMBER(I3264),INT(I3264),IFERROR(INT(DATEVALUE(I3264)),IFERROR(INT(VALUE(I3264)),"bad"))))</f>
        <v/>
      </c>
      <c r="O3264">
        <f>IF(J3264="","",IF(ISNUMBER(J3264),ROUND(J3264,2),IFERROR(ROUND(VALUE(SUBSTITUTE(SUBSTITUTE(SUBSTITUTE(J3264,"$",""),",","")," ","")),2),"bad")))</f>
        <v/>
      </c>
      <c r="P3264">
        <f>IF(K3264="","",IFERROR(MATCH(IF(ISNUMBER(FIND("#",K3264)),TRIM(MID(K3264,FIND("#",K3264)+1,20)),UPPER(K3264)),'Students'!$AD$2:$AD$701,0),""))</f>
        <v/>
      </c>
      <c r="R3264">
        <f>IF(P3264="","",INDEX('Students'!$AD$2:$AD$701,P3264))</f>
        <v/>
      </c>
      <c r="S3264">
        <f>IF(H3264="OK",O3264,0)</f>
        <v/>
      </c>
      <c r="T3264">
        <f>IF(H3264="OK",N3264,"")</f>
        <v/>
      </c>
      <c r="U3264">
        <f>TRIM('Cash_Check'!C264)</f>
        <v/>
      </c>
    </row>
    <row r="3265">
      <c r="A3265" s="62">
        <f>IF(H3265="","",IF(ISNUMBER(N3265),N3265,I3265))</f>
        <v/>
      </c>
      <c r="B3265">
        <f>IF(H3265="","",U3265)</f>
        <v/>
      </c>
      <c r="C3265">
        <f>IF(H3265="","",IF(P3265="",K3265,INDEX('Students'!$A$2:$A$701,P3265)))</f>
        <v/>
      </c>
      <c r="D3265">
        <f>IF(OR(H3265="",P3265=""),"",INDEX('Students'!$B$2:$B$701,P3265))</f>
        <v/>
      </c>
      <c r="E3265">
        <f>IF(OR(H3265="",P3265=""),"",INDEX('Students'!$C$2:$C$701,P3265))</f>
        <v/>
      </c>
      <c r="F3265" s="48">
        <f>IF(H3265="","",IF(ISNUMBER(O3265),O3265,J3265))</f>
        <v/>
      </c>
      <c r="G3265">
        <f>IF(H3265="","",M3265)</f>
        <v/>
      </c>
      <c r="H3265">
        <f>IF(AND(I3265="",J3265="",K3265=""),"",IF(OR(NOT(ISNUMBER(O3265)),N(O3265)&lt;=0),"Bad amount",IF(NOT(ISNUMBER(N3265)),"Bad date",IF(P3265="","NAME NOT ON ROSTER","OK"))))</f>
        <v/>
      </c>
      <c r="I3265">
        <f>IF('Cash_Check'!A265="","",'Cash_Check'!A265)</f>
        <v/>
      </c>
      <c r="J3265">
        <f>IF('Cash_Check'!D265="","",'Cash_Check'!D265)</f>
        <v/>
      </c>
      <c r="K3265">
        <f>TRIM('Cash_Check'!B265)</f>
        <v/>
      </c>
      <c r="M3265">
        <f>IF(TRIM('Cash_Check'!E265)="","Cash/check",TRIM('Cash_Check'!E265))</f>
        <v/>
      </c>
      <c r="N3265">
        <f>IF(I3265="","",IF(ISNUMBER(I3265),INT(I3265),IFERROR(INT(DATEVALUE(I3265)),IFERROR(INT(VALUE(I3265)),"bad"))))</f>
        <v/>
      </c>
      <c r="O3265">
        <f>IF(J3265="","",IF(ISNUMBER(J3265),ROUND(J3265,2),IFERROR(ROUND(VALUE(SUBSTITUTE(SUBSTITUTE(SUBSTITUTE(J3265,"$",""),",","")," ","")),2),"bad")))</f>
        <v/>
      </c>
      <c r="P3265">
        <f>IF(K3265="","",IFERROR(MATCH(IF(ISNUMBER(FIND("#",K3265)),TRIM(MID(K3265,FIND("#",K3265)+1,20)),UPPER(K3265)),'Students'!$AD$2:$AD$701,0),""))</f>
        <v/>
      </c>
      <c r="R3265">
        <f>IF(P3265="","",INDEX('Students'!$AD$2:$AD$701,P3265))</f>
        <v/>
      </c>
      <c r="S3265">
        <f>IF(H3265="OK",O3265,0)</f>
        <v/>
      </c>
      <c r="T3265">
        <f>IF(H3265="OK",N3265,"")</f>
        <v/>
      </c>
      <c r="U3265">
        <f>TRIM('Cash_Check'!C265)</f>
        <v/>
      </c>
    </row>
    <row r="3266">
      <c r="A3266" s="62">
        <f>IF(H3266="","",IF(ISNUMBER(N3266),N3266,I3266))</f>
        <v/>
      </c>
      <c r="B3266">
        <f>IF(H3266="","",U3266)</f>
        <v/>
      </c>
      <c r="C3266">
        <f>IF(H3266="","",IF(P3266="",K3266,INDEX('Students'!$A$2:$A$701,P3266)))</f>
        <v/>
      </c>
      <c r="D3266">
        <f>IF(OR(H3266="",P3266=""),"",INDEX('Students'!$B$2:$B$701,P3266))</f>
        <v/>
      </c>
      <c r="E3266">
        <f>IF(OR(H3266="",P3266=""),"",INDEX('Students'!$C$2:$C$701,P3266))</f>
        <v/>
      </c>
      <c r="F3266" s="48">
        <f>IF(H3266="","",IF(ISNUMBER(O3266),O3266,J3266))</f>
        <v/>
      </c>
      <c r="G3266">
        <f>IF(H3266="","",M3266)</f>
        <v/>
      </c>
      <c r="H3266">
        <f>IF(AND(I3266="",J3266="",K3266=""),"",IF(OR(NOT(ISNUMBER(O3266)),N(O3266)&lt;=0),"Bad amount",IF(NOT(ISNUMBER(N3266)),"Bad date",IF(P3266="","NAME NOT ON ROSTER","OK"))))</f>
        <v/>
      </c>
      <c r="I3266">
        <f>IF('Cash_Check'!A266="","",'Cash_Check'!A266)</f>
        <v/>
      </c>
      <c r="J3266">
        <f>IF('Cash_Check'!D266="","",'Cash_Check'!D266)</f>
        <v/>
      </c>
      <c r="K3266">
        <f>TRIM('Cash_Check'!B266)</f>
        <v/>
      </c>
      <c r="M3266">
        <f>IF(TRIM('Cash_Check'!E266)="","Cash/check",TRIM('Cash_Check'!E266))</f>
        <v/>
      </c>
      <c r="N3266">
        <f>IF(I3266="","",IF(ISNUMBER(I3266),INT(I3266),IFERROR(INT(DATEVALUE(I3266)),IFERROR(INT(VALUE(I3266)),"bad"))))</f>
        <v/>
      </c>
      <c r="O3266">
        <f>IF(J3266="","",IF(ISNUMBER(J3266),ROUND(J3266,2),IFERROR(ROUND(VALUE(SUBSTITUTE(SUBSTITUTE(SUBSTITUTE(J3266,"$",""),",","")," ","")),2),"bad")))</f>
        <v/>
      </c>
      <c r="P3266">
        <f>IF(K3266="","",IFERROR(MATCH(IF(ISNUMBER(FIND("#",K3266)),TRIM(MID(K3266,FIND("#",K3266)+1,20)),UPPER(K3266)),'Students'!$AD$2:$AD$701,0),""))</f>
        <v/>
      </c>
      <c r="R3266">
        <f>IF(P3266="","",INDEX('Students'!$AD$2:$AD$701,P3266))</f>
        <v/>
      </c>
      <c r="S3266">
        <f>IF(H3266="OK",O3266,0)</f>
        <v/>
      </c>
      <c r="T3266">
        <f>IF(H3266="OK",N3266,"")</f>
        <v/>
      </c>
      <c r="U3266">
        <f>TRIM('Cash_Check'!C266)</f>
        <v/>
      </c>
    </row>
    <row r="3267">
      <c r="A3267" s="62">
        <f>IF(H3267="","",IF(ISNUMBER(N3267),N3267,I3267))</f>
        <v/>
      </c>
      <c r="B3267">
        <f>IF(H3267="","",U3267)</f>
        <v/>
      </c>
      <c r="C3267">
        <f>IF(H3267="","",IF(P3267="",K3267,INDEX('Students'!$A$2:$A$701,P3267)))</f>
        <v/>
      </c>
      <c r="D3267">
        <f>IF(OR(H3267="",P3267=""),"",INDEX('Students'!$B$2:$B$701,P3267))</f>
        <v/>
      </c>
      <c r="E3267">
        <f>IF(OR(H3267="",P3267=""),"",INDEX('Students'!$C$2:$C$701,P3267))</f>
        <v/>
      </c>
      <c r="F3267" s="48">
        <f>IF(H3267="","",IF(ISNUMBER(O3267),O3267,J3267))</f>
        <v/>
      </c>
      <c r="G3267">
        <f>IF(H3267="","",M3267)</f>
        <v/>
      </c>
      <c r="H3267">
        <f>IF(AND(I3267="",J3267="",K3267=""),"",IF(OR(NOT(ISNUMBER(O3267)),N(O3267)&lt;=0),"Bad amount",IF(NOT(ISNUMBER(N3267)),"Bad date",IF(P3267="","NAME NOT ON ROSTER","OK"))))</f>
        <v/>
      </c>
      <c r="I3267">
        <f>IF('Cash_Check'!A267="","",'Cash_Check'!A267)</f>
        <v/>
      </c>
      <c r="J3267">
        <f>IF('Cash_Check'!D267="","",'Cash_Check'!D267)</f>
        <v/>
      </c>
      <c r="K3267">
        <f>TRIM('Cash_Check'!B267)</f>
        <v/>
      </c>
      <c r="M3267">
        <f>IF(TRIM('Cash_Check'!E267)="","Cash/check",TRIM('Cash_Check'!E267))</f>
        <v/>
      </c>
      <c r="N3267">
        <f>IF(I3267="","",IF(ISNUMBER(I3267),INT(I3267),IFERROR(INT(DATEVALUE(I3267)),IFERROR(INT(VALUE(I3267)),"bad"))))</f>
        <v/>
      </c>
      <c r="O3267">
        <f>IF(J3267="","",IF(ISNUMBER(J3267),ROUND(J3267,2),IFERROR(ROUND(VALUE(SUBSTITUTE(SUBSTITUTE(SUBSTITUTE(J3267,"$",""),",","")," ","")),2),"bad")))</f>
        <v/>
      </c>
      <c r="P3267">
        <f>IF(K3267="","",IFERROR(MATCH(IF(ISNUMBER(FIND("#",K3267)),TRIM(MID(K3267,FIND("#",K3267)+1,20)),UPPER(K3267)),'Students'!$AD$2:$AD$701,0),""))</f>
        <v/>
      </c>
      <c r="R3267">
        <f>IF(P3267="","",INDEX('Students'!$AD$2:$AD$701,P3267))</f>
        <v/>
      </c>
      <c r="S3267">
        <f>IF(H3267="OK",O3267,0)</f>
        <v/>
      </c>
      <c r="T3267">
        <f>IF(H3267="OK",N3267,"")</f>
        <v/>
      </c>
      <c r="U3267">
        <f>TRIM('Cash_Check'!C267)</f>
        <v/>
      </c>
    </row>
    <row r="3268">
      <c r="A3268" s="62">
        <f>IF(H3268="","",IF(ISNUMBER(N3268),N3268,I3268))</f>
        <v/>
      </c>
      <c r="B3268">
        <f>IF(H3268="","",U3268)</f>
        <v/>
      </c>
      <c r="C3268">
        <f>IF(H3268="","",IF(P3268="",K3268,INDEX('Students'!$A$2:$A$701,P3268)))</f>
        <v/>
      </c>
      <c r="D3268">
        <f>IF(OR(H3268="",P3268=""),"",INDEX('Students'!$B$2:$B$701,P3268))</f>
        <v/>
      </c>
      <c r="E3268">
        <f>IF(OR(H3268="",P3268=""),"",INDEX('Students'!$C$2:$C$701,P3268))</f>
        <v/>
      </c>
      <c r="F3268" s="48">
        <f>IF(H3268="","",IF(ISNUMBER(O3268),O3268,J3268))</f>
        <v/>
      </c>
      <c r="G3268">
        <f>IF(H3268="","",M3268)</f>
        <v/>
      </c>
      <c r="H3268">
        <f>IF(AND(I3268="",J3268="",K3268=""),"",IF(OR(NOT(ISNUMBER(O3268)),N(O3268)&lt;=0),"Bad amount",IF(NOT(ISNUMBER(N3268)),"Bad date",IF(P3268="","NAME NOT ON ROSTER","OK"))))</f>
        <v/>
      </c>
      <c r="I3268">
        <f>IF('Cash_Check'!A268="","",'Cash_Check'!A268)</f>
        <v/>
      </c>
      <c r="J3268">
        <f>IF('Cash_Check'!D268="","",'Cash_Check'!D268)</f>
        <v/>
      </c>
      <c r="K3268">
        <f>TRIM('Cash_Check'!B268)</f>
        <v/>
      </c>
      <c r="M3268">
        <f>IF(TRIM('Cash_Check'!E268)="","Cash/check",TRIM('Cash_Check'!E268))</f>
        <v/>
      </c>
      <c r="N3268">
        <f>IF(I3268="","",IF(ISNUMBER(I3268),INT(I3268),IFERROR(INT(DATEVALUE(I3268)),IFERROR(INT(VALUE(I3268)),"bad"))))</f>
        <v/>
      </c>
      <c r="O3268">
        <f>IF(J3268="","",IF(ISNUMBER(J3268),ROUND(J3268,2),IFERROR(ROUND(VALUE(SUBSTITUTE(SUBSTITUTE(SUBSTITUTE(J3268,"$",""),",","")," ","")),2),"bad")))</f>
        <v/>
      </c>
      <c r="P3268">
        <f>IF(K3268="","",IFERROR(MATCH(IF(ISNUMBER(FIND("#",K3268)),TRIM(MID(K3268,FIND("#",K3268)+1,20)),UPPER(K3268)),'Students'!$AD$2:$AD$701,0),""))</f>
        <v/>
      </c>
      <c r="R3268">
        <f>IF(P3268="","",INDEX('Students'!$AD$2:$AD$701,P3268))</f>
        <v/>
      </c>
      <c r="S3268">
        <f>IF(H3268="OK",O3268,0)</f>
        <v/>
      </c>
      <c r="T3268">
        <f>IF(H3268="OK",N3268,"")</f>
        <v/>
      </c>
      <c r="U3268">
        <f>TRIM('Cash_Check'!C268)</f>
        <v/>
      </c>
    </row>
    <row r="3269">
      <c r="A3269" s="62">
        <f>IF(H3269="","",IF(ISNUMBER(N3269),N3269,I3269))</f>
        <v/>
      </c>
      <c r="B3269">
        <f>IF(H3269="","",U3269)</f>
        <v/>
      </c>
      <c r="C3269">
        <f>IF(H3269="","",IF(P3269="",K3269,INDEX('Students'!$A$2:$A$701,P3269)))</f>
        <v/>
      </c>
      <c r="D3269">
        <f>IF(OR(H3269="",P3269=""),"",INDEX('Students'!$B$2:$B$701,P3269))</f>
        <v/>
      </c>
      <c r="E3269">
        <f>IF(OR(H3269="",P3269=""),"",INDEX('Students'!$C$2:$C$701,P3269))</f>
        <v/>
      </c>
      <c r="F3269" s="48">
        <f>IF(H3269="","",IF(ISNUMBER(O3269),O3269,J3269))</f>
        <v/>
      </c>
      <c r="G3269">
        <f>IF(H3269="","",M3269)</f>
        <v/>
      </c>
      <c r="H3269">
        <f>IF(AND(I3269="",J3269="",K3269=""),"",IF(OR(NOT(ISNUMBER(O3269)),N(O3269)&lt;=0),"Bad amount",IF(NOT(ISNUMBER(N3269)),"Bad date",IF(P3269="","NAME NOT ON ROSTER","OK"))))</f>
        <v/>
      </c>
      <c r="I3269">
        <f>IF('Cash_Check'!A269="","",'Cash_Check'!A269)</f>
        <v/>
      </c>
      <c r="J3269">
        <f>IF('Cash_Check'!D269="","",'Cash_Check'!D269)</f>
        <v/>
      </c>
      <c r="K3269">
        <f>TRIM('Cash_Check'!B269)</f>
        <v/>
      </c>
      <c r="M3269">
        <f>IF(TRIM('Cash_Check'!E269)="","Cash/check",TRIM('Cash_Check'!E269))</f>
        <v/>
      </c>
      <c r="N3269">
        <f>IF(I3269="","",IF(ISNUMBER(I3269),INT(I3269),IFERROR(INT(DATEVALUE(I3269)),IFERROR(INT(VALUE(I3269)),"bad"))))</f>
        <v/>
      </c>
      <c r="O3269">
        <f>IF(J3269="","",IF(ISNUMBER(J3269),ROUND(J3269,2),IFERROR(ROUND(VALUE(SUBSTITUTE(SUBSTITUTE(SUBSTITUTE(J3269,"$",""),",","")," ","")),2),"bad")))</f>
        <v/>
      </c>
      <c r="P3269">
        <f>IF(K3269="","",IFERROR(MATCH(IF(ISNUMBER(FIND("#",K3269)),TRIM(MID(K3269,FIND("#",K3269)+1,20)),UPPER(K3269)),'Students'!$AD$2:$AD$701,0),""))</f>
        <v/>
      </c>
      <c r="R3269">
        <f>IF(P3269="","",INDEX('Students'!$AD$2:$AD$701,P3269))</f>
        <v/>
      </c>
      <c r="S3269">
        <f>IF(H3269="OK",O3269,0)</f>
        <v/>
      </c>
      <c r="T3269">
        <f>IF(H3269="OK",N3269,"")</f>
        <v/>
      </c>
      <c r="U3269">
        <f>TRIM('Cash_Check'!C269)</f>
        <v/>
      </c>
    </row>
    <row r="3270">
      <c r="A3270" s="62">
        <f>IF(H3270="","",IF(ISNUMBER(N3270),N3270,I3270))</f>
        <v/>
      </c>
      <c r="B3270">
        <f>IF(H3270="","",U3270)</f>
        <v/>
      </c>
      <c r="C3270">
        <f>IF(H3270="","",IF(P3270="",K3270,INDEX('Students'!$A$2:$A$701,P3270)))</f>
        <v/>
      </c>
      <c r="D3270">
        <f>IF(OR(H3270="",P3270=""),"",INDEX('Students'!$B$2:$B$701,P3270))</f>
        <v/>
      </c>
      <c r="E3270">
        <f>IF(OR(H3270="",P3270=""),"",INDEX('Students'!$C$2:$C$701,P3270))</f>
        <v/>
      </c>
      <c r="F3270" s="48">
        <f>IF(H3270="","",IF(ISNUMBER(O3270),O3270,J3270))</f>
        <v/>
      </c>
      <c r="G3270">
        <f>IF(H3270="","",M3270)</f>
        <v/>
      </c>
      <c r="H3270">
        <f>IF(AND(I3270="",J3270="",K3270=""),"",IF(OR(NOT(ISNUMBER(O3270)),N(O3270)&lt;=0),"Bad amount",IF(NOT(ISNUMBER(N3270)),"Bad date",IF(P3270="","NAME NOT ON ROSTER","OK"))))</f>
        <v/>
      </c>
      <c r="I3270">
        <f>IF('Cash_Check'!A270="","",'Cash_Check'!A270)</f>
        <v/>
      </c>
      <c r="J3270">
        <f>IF('Cash_Check'!D270="","",'Cash_Check'!D270)</f>
        <v/>
      </c>
      <c r="K3270">
        <f>TRIM('Cash_Check'!B270)</f>
        <v/>
      </c>
      <c r="M3270">
        <f>IF(TRIM('Cash_Check'!E270)="","Cash/check",TRIM('Cash_Check'!E270))</f>
        <v/>
      </c>
      <c r="N3270">
        <f>IF(I3270="","",IF(ISNUMBER(I3270),INT(I3270),IFERROR(INT(DATEVALUE(I3270)),IFERROR(INT(VALUE(I3270)),"bad"))))</f>
        <v/>
      </c>
      <c r="O3270">
        <f>IF(J3270="","",IF(ISNUMBER(J3270),ROUND(J3270,2),IFERROR(ROUND(VALUE(SUBSTITUTE(SUBSTITUTE(SUBSTITUTE(J3270,"$",""),",","")," ","")),2),"bad")))</f>
        <v/>
      </c>
      <c r="P3270">
        <f>IF(K3270="","",IFERROR(MATCH(IF(ISNUMBER(FIND("#",K3270)),TRIM(MID(K3270,FIND("#",K3270)+1,20)),UPPER(K3270)),'Students'!$AD$2:$AD$701,0),""))</f>
        <v/>
      </c>
      <c r="R3270">
        <f>IF(P3270="","",INDEX('Students'!$AD$2:$AD$701,P3270))</f>
        <v/>
      </c>
      <c r="S3270">
        <f>IF(H3270="OK",O3270,0)</f>
        <v/>
      </c>
      <c r="T3270">
        <f>IF(H3270="OK",N3270,"")</f>
        <v/>
      </c>
      <c r="U3270">
        <f>TRIM('Cash_Check'!C270)</f>
        <v/>
      </c>
    </row>
    <row r="3271">
      <c r="A3271" s="62">
        <f>IF(H3271="","",IF(ISNUMBER(N3271),N3271,I3271))</f>
        <v/>
      </c>
      <c r="B3271">
        <f>IF(H3271="","",U3271)</f>
        <v/>
      </c>
      <c r="C3271">
        <f>IF(H3271="","",IF(P3271="",K3271,INDEX('Students'!$A$2:$A$701,P3271)))</f>
        <v/>
      </c>
      <c r="D3271">
        <f>IF(OR(H3271="",P3271=""),"",INDEX('Students'!$B$2:$B$701,P3271))</f>
        <v/>
      </c>
      <c r="E3271">
        <f>IF(OR(H3271="",P3271=""),"",INDEX('Students'!$C$2:$C$701,P3271))</f>
        <v/>
      </c>
      <c r="F3271" s="48">
        <f>IF(H3271="","",IF(ISNUMBER(O3271),O3271,J3271))</f>
        <v/>
      </c>
      <c r="G3271">
        <f>IF(H3271="","",M3271)</f>
        <v/>
      </c>
      <c r="H3271">
        <f>IF(AND(I3271="",J3271="",K3271=""),"",IF(OR(NOT(ISNUMBER(O3271)),N(O3271)&lt;=0),"Bad amount",IF(NOT(ISNUMBER(N3271)),"Bad date",IF(P3271="","NAME NOT ON ROSTER","OK"))))</f>
        <v/>
      </c>
      <c r="I3271">
        <f>IF('Cash_Check'!A271="","",'Cash_Check'!A271)</f>
        <v/>
      </c>
      <c r="J3271">
        <f>IF('Cash_Check'!D271="","",'Cash_Check'!D271)</f>
        <v/>
      </c>
      <c r="K3271">
        <f>TRIM('Cash_Check'!B271)</f>
        <v/>
      </c>
      <c r="M3271">
        <f>IF(TRIM('Cash_Check'!E271)="","Cash/check",TRIM('Cash_Check'!E271))</f>
        <v/>
      </c>
      <c r="N3271">
        <f>IF(I3271="","",IF(ISNUMBER(I3271),INT(I3271),IFERROR(INT(DATEVALUE(I3271)),IFERROR(INT(VALUE(I3271)),"bad"))))</f>
        <v/>
      </c>
      <c r="O3271">
        <f>IF(J3271="","",IF(ISNUMBER(J3271),ROUND(J3271,2),IFERROR(ROUND(VALUE(SUBSTITUTE(SUBSTITUTE(SUBSTITUTE(J3271,"$",""),",","")," ","")),2),"bad")))</f>
        <v/>
      </c>
      <c r="P3271">
        <f>IF(K3271="","",IFERROR(MATCH(IF(ISNUMBER(FIND("#",K3271)),TRIM(MID(K3271,FIND("#",K3271)+1,20)),UPPER(K3271)),'Students'!$AD$2:$AD$701,0),""))</f>
        <v/>
      </c>
      <c r="R3271">
        <f>IF(P3271="","",INDEX('Students'!$AD$2:$AD$701,P3271))</f>
        <v/>
      </c>
      <c r="S3271">
        <f>IF(H3271="OK",O3271,0)</f>
        <v/>
      </c>
      <c r="T3271">
        <f>IF(H3271="OK",N3271,"")</f>
        <v/>
      </c>
      <c r="U3271">
        <f>TRIM('Cash_Check'!C271)</f>
        <v/>
      </c>
    </row>
    <row r="3272">
      <c r="A3272" s="62">
        <f>IF(H3272="","",IF(ISNUMBER(N3272),N3272,I3272))</f>
        <v/>
      </c>
      <c r="B3272">
        <f>IF(H3272="","",U3272)</f>
        <v/>
      </c>
      <c r="C3272">
        <f>IF(H3272="","",IF(P3272="",K3272,INDEX('Students'!$A$2:$A$701,P3272)))</f>
        <v/>
      </c>
      <c r="D3272">
        <f>IF(OR(H3272="",P3272=""),"",INDEX('Students'!$B$2:$B$701,P3272))</f>
        <v/>
      </c>
      <c r="E3272">
        <f>IF(OR(H3272="",P3272=""),"",INDEX('Students'!$C$2:$C$701,P3272))</f>
        <v/>
      </c>
      <c r="F3272" s="48">
        <f>IF(H3272="","",IF(ISNUMBER(O3272),O3272,J3272))</f>
        <v/>
      </c>
      <c r="G3272">
        <f>IF(H3272="","",M3272)</f>
        <v/>
      </c>
      <c r="H3272">
        <f>IF(AND(I3272="",J3272="",K3272=""),"",IF(OR(NOT(ISNUMBER(O3272)),N(O3272)&lt;=0),"Bad amount",IF(NOT(ISNUMBER(N3272)),"Bad date",IF(P3272="","NAME NOT ON ROSTER","OK"))))</f>
        <v/>
      </c>
      <c r="I3272">
        <f>IF('Cash_Check'!A272="","",'Cash_Check'!A272)</f>
        <v/>
      </c>
      <c r="J3272">
        <f>IF('Cash_Check'!D272="","",'Cash_Check'!D272)</f>
        <v/>
      </c>
      <c r="K3272">
        <f>TRIM('Cash_Check'!B272)</f>
        <v/>
      </c>
      <c r="M3272">
        <f>IF(TRIM('Cash_Check'!E272)="","Cash/check",TRIM('Cash_Check'!E272))</f>
        <v/>
      </c>
      <c r="N3272">
        <f>IF(I3272="","",IF(ISNUMBER(I3272),INT(I3272),IFERROR(INT(DATEVALUE(I3272)),IFERROR(INT(VALUE(I3272)),"bad"))))</f>
        <v/>
      </c>
      <c r="O3272">
        <f>IF(J3272="","",IF(ISNUMBER(J3272),ROUND(J3272,2),IFERROR(ROUND(VALUE(SUBSTITUTE(SUBSTITUTE(SUBSTITUTE(J3272,"$",""),",","")," ","")),2),"bad")))</f>
        <v/>
      </c>
      <c r="P3272">
        <f>IF(K3272="","",IFERROR(MATCH(IF(ISNUMBER(FIND("#",K3272)),TRIM(MID(K3272,FIND("#",K3272)+1,20)),UPPER(K3272)),'Students'!$AD$2:$AD$701,0),""))</f>
        <v/>
      </c>
      <c r="R3272">
        <f>IF(P3272="","",INDEX('Students'!$AD$2:$AD$701,P3272))</f>
        <v/>
      </c>
      <c r="S3272">
        <f>IF(H3272="OK",O3272,0)</f>
        <v/>
      </c>
      <c r="T3272">
        <f>IF(H3272="OK",N3272,"")</f>
        <v/>
      </c>
      <c r="U3272">
        <f>TRIM('Cash_Check'!C272)</f>
        <v/>
      </c>
    </row>
    <row r="3273">
      <c r="A3273" s="62">
        <f>IF(H3273="","",IF(ISNUMBER(N3273),N3273,I3273))</f>
        <v/>
      </c>
      <c r="B3273">
        <f>IF(H3273="","",U3273)</f>
        <v/>
      </c>
      <c r="C3273">
        <f>IF(H3273="","",IF(P3273="",K3273,INDEX('Students'!$A$2:$A$701,P3273)))</f>
        <v/>
      </c>
      <c r="D3273">
        <f>IF(OR(H3273="",P3273=""),"",INDEX('Students'!$B$2:$B$701,P3273))</f>
        <v/>
      </c>
      <c r="E3273">
        <f>IF(OR(H3273="",P3273=""),"",INDEX('Students'!$C$2:$C$701,P3273))</f>
        <v/>
      </c>
      <c r="F3273" s="48">
        <f>IF(H3273="","",IF(ISNUMBER(O3273),O3273,J3273))</f>
        <v/>
      </c>
      <c r="G3273">
        <f>IF(H3273="","",M3273)</f>
        <v/>
      </c>
      <c r="H3273">
        <f>IF(AND(I3273="",J3273="",K3273=""),"",IF(OR(NOT(ISNUMBER(O3273)),N(O3273)&lt;=0),"Bad amount",IF(NOT(ISNUMBER(N3273)),"Bad date",IF(P3273="","NAME NOT ON ROSTER","OK"))))</f>
        <v/>
      </c>
      <c r="I3273">
        <f>IF('Cash_Check'!A273="","",'Cash_Check'!A273)</f>
        <v/>
      </c>
      <c r="J3273">
        <f>IF('Cash_Check'!D273="","",'Cash_Check'!D273)</f>
        <v/>
      </c>
      <c r="K3273">
        <f>TRIM('Cash_Check'!B273)</f>
        <v/>
      </c>
      <c r="M3273">
        <f>IF(TRIM('Cash_Check'!E273)="","Cash/check",TRIM('Cash_Check'!E273))</f>
        <v/>
      </c>
      <c r="N3273">
        <f>IF(I3273="","",IF(ISNUMBER(I3273),INT(I3273),IFERROR(INT(DATEVALUE(I3273)),IFERROR(INT(VALUE(I3273)),"bad"))))</f>
        <v/>
      </c>
      <c r="O3273">
        <f>IF(J3273="","",IF(ISNUMBER(J3273),ROUND(J3273,2),IFERROR(ROUND(VALUE(SUBSTITUTE(SUBSTITUTE(SUBSTITUTE(J3273,"$",""),",","")," ","")),2),"bad")))</f>
        <v/>
      </c>
      <c r="P3273">
        <f>IF(K3273="","",IFERROR(MATCH(IF(ISNUMBER(FIND("#",K3273)),TRIM(MID(K3273,FIND("#",K3273)+1,20)),UPPER(K3273)),'Students'!$AD$2:$AD$701,0),""))</f>
        <v/>
      </c>
      <c r="R3273">
        <f>IF(P3273="","",INDEX('Students'!$AD$2:$AD$701,P3273))</f>
        <v/>
      </c>
      <c r="S3273">
        <f>IF(H3273="OK",O3273,0)</f>
        <v/>
      </c>
      <c r="T3273">
        <f>IF(H3273="OK",N3273,"")</f>
        <v/>
      </c>
      <c r="U3273">
        <f>TRIM('Cash_Check'!C273)</f>
        <v/>
      </c>
    </row>
    <row r="3274">
      <c r="A3274" s="62">
        <f>IF(H3274="","",IF(ISNUMBER(N3274),N3274,I3274))</f>
        <v/>
      </c>
      <c r="B3274">
        <f>IF(H3274="","",U3274)</f>
        <v/>
      </c>
      <c r="C3274">
        <f>IF(H3274="","",IF(P3274="",K3274,INDEX('Students'!$A$2:$A$701,P3274)))</f>
        <v/>
      </c>
      <c r="D3274">
        <f>IF(OR(H3274="",P3274=""),"",INDEX('Students'!$B$2:$B$701,P3274))</f>
        <v/>
      </c>
      <c r="E3274">
        <f>IF(OR(H3274="",P3274=""),"",INDEX('Students'!$C$2:$C$701,P3274))</f>
        <v/>
      </c>
      <c r="F3274" s="48">
        <f>IF(H3274="","",IF(ISNUMBER(O3274),O3274,J3274))</f>
        <v/>
      </c>
      <c r="G3274">
        <f>IF(H3274="","",M3274)</f>
        <v/>
      </c>
      <c r="H3274">
        <f>IF(AND(I3274="",J3274="",K3274=""),"",IF(OR(NOT(ISNUMBER(O3274)),N(O3274)&lt;=0),"Bad amount",IF(NOT(ISNUMBER(N3274)),"Bad date",IF(P3274="","NAME NOT ON ROSTER","OK"))))</f>
        <v/>
      </c>
      <c r="I3274">
        <f>IF('Cash_Check'!A274="","",'Cash_Check'!A274)</f>
        <v/>
      </c>
      <c r="J3274">
        <f>IF('Cash_Check'!D274="","",'Cash_Check'!D274)</f>
        <v/>
      </c>
      <c r="K3274">
        <f>TRIM('Cash_Check'!B274)</f>
        <v/>
      </c>
      <c r="M3274">
        <f>IF(TRIM('Cash_Check'!E274)="","Cash/check",TRIM('Cash_Check'!E274))</f>
        <v/>
      </c>
      <c r="N3274">
        <f>IF(I3274="","",IF(ISNUMBER(I3274),INT(I3274),IFERROR(INT(DATEVALUE(I3274)),IFERROR(INT(VALUE(I3274)),"bad"))))</f>
        <v/>
      </c>
      <c r="O3274">
        <f>IF(J3274="","",IF(ISNUMBER(J3274),ROUND(J3274,2),IFERROR(ROUND(VALUE(SUBSTITUTE(SUBSTITUTE(SUBSTITUTE(J3274,"$",""),",","")," ","")),2),"bad")))</f>
        <v/>
      </c>
      <c r="P3274">
        <f>IF(K3274="","",IFERROR(MATCH(IF(ISNUMBER(FIND("#",K3274)),TRIM(MID(K3274,FIND("#",K3274)+1,20)),UPPER(K3274)),'Students'!$AD$2:$AD$701,0),""))</f>
        <v/>
      </c>
      <c r="R3274">
        <f>IF(P3274="","",INDEX('Students'!$AD$2:$AD$701,P3274))</f>
        <v/>
      </c>
      <c r="S3274">
        <f>IF(H3274="OK",O3274,0)</f>
        <v/>
      </c>
      <c r="T3274">
        <f>IF(H3274="OK",N3274,"")</f>
        <v/>
      </c>
      <c r="U3274">
        <f>TRIM('Cash_Check'!C274)</f>
        <v/>
      </c>
    </row>
    <row r="3275">
      <c r="A3275" s="62">
        <f>IF(H3275="","",IF(ISNUMBER(N3275),N3275,I3275))</f>
        <v/>
      </c>
      <c r="B3275">
        <f>IF(H3275="","",U3275)</f>
        <v/>
      </c>
      <c r="C3275">
        <f>IF(H3275="","",IF(P3275="",K3275,INDEX('Students'!$A$2:$A$701,P3275)))</f>
        <v/>
      </c>
      <c r="D3275">
        <f>IF(OR(H3275="",P3275=""),"",INDEX('Students'!$B$2:$B$701,P3275))</f>
        <v/>
      </c>
      <c r="E3275">
        <f>IF(OR(H3275="",P3275=""),"",INDEX('Students'!$C$2:$C$701,P3275))</f>
        <v/>
      </c>
      <c r="F3275" s="48">
        <f>IF(H3275="","",IF(ISNUMBER(O3275),O3275,J3275))</f>
        <v/>
      </c>
      <c r="G3275">
        <f>IF(H3275="","",M3275)</f>
        <v/>
      </c>
      <c r="H3275">
        <f>IF(AND(I3275="",J3275="",K3275=""),"",IF(OR(NOT(ISNUMBER(O3275)),N(O3275)&lt;=0),"Bad amount",IF(NOT(ISNUMBER(N3275)),"Bad date",IF(P3275="","NAME NOT ON ROSTER","OK"))))</f>
        <v/>
      </c>
      <c r="I3275">
        <f>IF('Cash_Check'!A275="","",'Cash_Check'!A275)</f>
        <v/>
      </c>
      <c r="J3275">
        <f>IF('Cash_Check'!D275="","",'Cash_Check'!D275)</f>
        <v/>
      </c>
      <c r="K3275">
        <f>TRIM('Cash_Check'!B275)</f>
        <v/>
      </c>
      <c r="M3275">
        <f>IF(TRIM('Cash_Check'!E275)="","Cash/check",TRIM('Cash_Check'!E275))</f>
        <v/>
      </c>
      <c r="N3275">
        <f>IF(I3275="","",IF(ISNUMBER(I3275),INT(I3275),IFERROR(INT(DATEVALUE(I3275)),IFERROR(INT(VALUE(I3275)),"bad"))))</f>
        <v/>
      </c>
      <c r="O3275">
        <f>IF(J3275="","",IF(ISNUMBER(J3275),ROUND(J3275,2),IFERROR(ROUND(VALUE(SUBSTITUTE(SUBSTITUTE(SUBSTITUTE(J3275,"$",""),",","")," ","")),2),"bad")))</f>
        <v/>
      </c>
      <c r="P3275">
        <f>IF(K3275="","",IFERROR(MATCH(IF(ISNUMBER(FIND("#",K3275)),TRIM(MID(K3275,FIND("#",K3275)+1,20)),UPPER(K3275)),'Students'!$AD$2:$AD$701,0),""))</f>
        <v/>
      </c>
      <c r="R3275">
        <f>IF(P3275="","",INDEX('Students'!$AD$2:$AD$701,P3275))</f>
        <v/>
      </c>
      <c r="S3275">
        <f>IF(H3275="OK",O3275,0)</f>
        <v/>
      </c>
      <c r="T3275">
        <f>IF(H3275="OK",N3275,"")</f>
        <v/>
      </c>
      <c r="U3275">
        <f>TRIM('Cash_Check'!C275)</f>
        <v/>
      </c>
    </row>
    <row r="3276">
      <c r="A3276" s="62">
        <f>IF(H3276="","",IF(ISNUMBER(N3276),N3276,I3276))</f>
        <v/>
      </c>
      <c r="B3276">
        <f>IF(H3276="","",U3276)</f>
        <v/>
      </c>
      <c r="C3276">
        <f>IF(H3276="","",IF(P3276="",K3276,INDEX('Students'!$A$2:$A$701,P3276)))</f>
        <v/>
      </c>
      <c r="D3276">
        <f>IF(OR(H3276="",P3276=""),"",INDEX('Students'!$B$2:$B$701,P3276))</f>
        <v/>
      </c>
      <c r="E3276">
        <f>IF(OR(H3276="",P3276=""),"",INDEX('Students'!$C$2:$C$701,P3276))</f>
        <v/>
      </c>
      <c r="F3276" s="48">
        <f>IF(H3276="","",IF(ISNUMBER(O3276),O3276,J3276))</f>
        <v/>
      </c>
      <c r="G3276">
        <f>IF(H3276="","",M3276)</f>
        <v/>
      </c>
      <c r="H3276">
        <f>IF(AND(I3276="",J3276="",K3276=""),"",IF(OR(NOT(ISNUMBER(O3276)),N(O3276)&lt;=0),"Bad amount",IF(NOT(ISNUMBER(N3276)),"Bad date",IF(P3276="","NAME NOT ON ROSTER","OK"))))</f>
        <v/>
      </c>
      <c r="I3276">
        <f>IF('Cash_Check'!A276="","",'Cash_Check'!A276)</f>
        <v/>
      </c>
      <c r="J3276">
        <f>IF('Cash_Check'!D276="","",'Cash_Check'!D276)</f>
        <v/>
      </c>
      <c r="K3276">
        <f>TRIM('Cash_Check'!B276)</f>
        <v/>
      </c>
      <c r="M3276">
        <f>IF(TRIM('Cash_Check'!E276)="","Cash/check",TRIM('Cash_Check'!E276))</f>
        <v/>
      </c>
      <c r="N3276">
        <f>IF(I3276="","",IF(ISNUMBER(I3276),INT(I3276),IFERROR(INT(DATEVALUE(I3276)),IFERROR(INT(VALUE(I3276)),"bad"))))</f>
        <v/>
      </c>
      <c r="O3276">
        <f>IF(J3276="","",IF(ISNUMBER(J3276),ROUND(J3276,2),IFERROR(ROUND(VALUE(SUBSTITUTE(SUBSTITUTE(SUBSTITUTE(J3276,"$",""),",","")," ","")),2),"bad")))</f>
        <v/>
      </c>
      <c r="P3276">
        <f>IF(K3276="","",IFERROR(MATCH(IF(ISNUMBER(FIND("#",K3276)),TRIM(MID(K3276,FIND("#",K3276)+1,20)),UPPER(K3276)),'Students'!$AD$2:$AD$701,0),""))</f>
        <v/>
      </c>
      <c r="R3276">
        <f>IF(P3276="","",INDEX('Students'!$AD$2:$AD$701,P3276))</f>
        <v/>
      </c>
      <c r="S3276">
        <f>IF(H3276="OK",O3276,0)</f>
        <v/>
      </c>
      <c r="T3276">
        <f>IF(H3276="OK",N3276,"")</f>
        <v/>
      </c>
      <c r="U3276">
        <f>TRIM('Cash_Check'!C276)</f>
        <v/>
      </c>
    </row>
    <row r="3277">
      <c r="A3277" s="62">
        <f>IF(H3277="","",IF(ISNUMBER(N3277),N3277,I3277))</f>
        <v/>
      </c>
      <c r="B3277">
        <f>IF(H3277="","",U3277)</f>
        <v/>
      </c>
      <c r="C3277">
        <f>IF(H3277="","",IF(P3277="",K3277,INDEX('Students'!$A$2:$A$701,P3277)))</f>
        <v/>
      </c>
      <c r="D3277">
        <f>IF(OR(H3277="",P3277=""),"",INDEX('Students'!$B$2:$B$701,P3277))</f>
        <v/>
      </c>
      <c r="E3277">
        <f>IF(OR(H3277="",P3277=""),"",INDEX('Students'!$C$2:$C$701,P3277))</f>
        <v/>
      </c>
      <c r="F3277" s="48">
        <f>IF(H3277="","",IF(ISNUMBER(O3277),O3277,J3277))</f>
        <v/>
      </c>
      <c r="G3277">
        <f>IF(H3277="","",M3277)</f>
        <v/>
      </c>
      <c r="H3277">
        <f>IF(AND(I3277="",J3277="",K3277=""),"",IF(OR(NOT(ISNUMBER(O3277)),N(O3277)&lt;=0),"Bad amount",IF(NOT(ISNUMBER(N3277)),"Bad date",IF(P3277="","NAME NOT ON ROSTER","OK"))))</f>
        <v/>
      </c>
      <c r="I3277">
        <f>IF('Cash_Check'!A277="","",'Cash_Check'!A277)</f>
        <v/>
      </c>
      <c r="J3277">
        <f>IF('Cash_Check'!D277="","",'Cash_Check'!D277)</f>
        <v/>
      </c>
      <c r="K3277">
        <f>TRIM('Cash_Check'!B277)</f>
        <v/>
      </c>
      <c r="M3277">
        <f>IF(TRIM('Cash_Check'!E277)="","Cash/check",TRIM('Cash_Check'!E277))</f>
        <v/>
      </c>
      <c r="N3277">
        <f>IF(I3277="","",IF(ISNUMBER(I3277),INT(I3277),IFERROR(INT(DATEVALUE(I3277)),IFERROR(INT(VALUE(I3277)),"bad"))))</f>
        <v/>
      </c>
      <c r="O3277">
        <f>IF(J3277="","",IF(ISNUMBER(J3277),ROUND(J3277,2),IFERROR(ROUND(VALUE(SUBSTITUTE(SUBSTITUTE(SUBSTITUTE(J3277,"$",""),",","")," ","")),2),"bad")))</f>
        <v/>
      </c>
      <c r="P3277">
        <f>IF(K3277="","",IFERROR(MATCH(IF(ISNUMBER(FIND("#",K3277)),TRIM(MID(K3277,FIND("#",K3277)+1,20)),UPPER(K3277)),'Students'!$AD$2:$AD$701,0),""))</f>
        <v/>
      </c>
      <c r="R3277">
        <f>IF(P3277="","",INDEX('Students'!$AD$2:$AD$701,P3277))</f>
        <v/>
      </c>
      <c r="S3277">
        <f>IF(H3277="OK",O3277,0)</f>
        <v/>
      </c>
      <c r="T3277">
        <f>IF(H3277="OK",N3277,"")</f>
        <v/>
      </c>
      <c r="U3277">
        <f>TRIM('Cash_Check'!C277)</f>
        <v/>
      </c>
    </row>
    <row r="3278">
      <c r="A3278" s="62">
        <f>IF(H3278="","",IF(ISNUMBER(N3278),N3278,I3278))</f>
        <v/>
      </c>
      <c r="B3278">
        <f>IF(H3278="","",U3278)</f>
        <v/>
      </c>
      <c r="C3278">
        <f>IF(H3278="","",IF(P3278="",K3278,INDEX('Students'!$A$2:$A$701,P3278)))</f>
        <v/>
      </c>
      <c r="D3278">
        <f>IF(OR(H3278="",P3278=""),"",INDEX('Students'!$B$2:$B$701,P3278))</f>
        <v/>
      </c>
      <c r="E3278">
        <f>IF(OR(H3278="",P3278=""),"",INDEX('Students'!$C$2:$C$701,P3278))</f>
        <v/>
      </c>
      <c r="F3278" s="48">
        <f>IF(H3278="","",IF(ISNUMBER(O3278),O3278,J3278))</f>
        <v/>
      </c>
      <c r="G3278">
        <f>IF(H3278="","",M3278)</f>
        <v/>
      </c>
      <c r="H3278">
        <f>IF(AND(I3278="",J3278="",K3278=""),"",IF(OR(NOT(ISNUMBER(O3278)),N(O3278)&lt;=0),"Bad amount",IF(NOT(ISNUMBER(N3278)),"Bad date",IF(P3278="","NAME NOT ON ROSTER","OK"))))</f>
        <v/>
      </c>
      <c r="I3278">
        <f>IF('Cash_Check'!A278="","",'Cash_Check'!A278)</f>
        <v/>
      </c>
      <c r="J3278">
        <f>IF('Cash_Check'!D278="","",'Cash_Check'!D278)</f>
        <v/>
      </c>
      <c r="K3278">
        <f>TRIM('Cash_Check'!B278)</f>
        <v/>
      </c>
      <c r="M3278">
        <f>IF(TRIM('Cash_Check'!E278)="","Cash/check",TRIM('Cash_Check'!E278))</f>
        <v/>
      </c>
      <c r="N3278">
        <f>IF(I3278="","",IF(ISNUMBER(I3278),INT(I3278),IFERROR(INT(DATEVALUE(I3278)),IFERROR(INT(VALUE(I3278)),"bad"))))</f>
        <v/>
      </c>
      <c r="O3278">
        <f>IF(J3278="","",IF(ISNUMBER(J3278),ROUND(J3278,2),IFERROR(ROUND(VALUE(SUBSTITUTE(SUBSTITUTE(SUBSTITUTE(J3278,"$",""),",","")," ","")),2),"bad")))</f>
        <v/>
      </c>
      <c r="P3278">
        <f>IF(K3278="","",IFERROR(MATCH(IF(ISNUMBER(FIND("#",K3278)),TRIM(MID(K3278,FIND("#",K3278)+1,20)),UPPER(K3278)),'Students'!$AD$2:$AD$701,0),""))</f>
        <v/>
      </c>
      <c r="R3278">
        <f>IF(P3278="","",INDEX('Students'!$AD$2:$AD$701,P3278))</f>
        <v/>
      </c>
      <c r="S3278">
        <f>IF(H3278="OK",O3278,0)</f>
        <v/>
      </c>
      <c r="T3278">
        <f>IF(H3278="OK",N3278,"")</f>
        <v/>
      </c>
      <c r="U3278">
        <f>TRIM('Cash_Check'!C278)</f>
        <v/>
      </c>
    </row>
    <row r="3279">
      <c r="A3279" s="62">
        <f>IF(H3279="","",IF(ISNUMBER(N3279),N3279,I3279))</f>
        <v/>
      </c>
      <c r="B3279">
        <f>IF(H3279="","",U3279)</f>
        <v/>
      </c>
      <c r="C3279">
        <f>IF(H3279="","",IF(P3279="",K3279,INDEX('Students'!$A$2:$A$701,P3279)))</f>
        <v/>
      </c>
      <c r="D3279">
        <f>IF(OR(H3279="",P3279=""),"",INDEX('Students'!$B$2:$B$701,P3279))</f>
        <v/>
      </c>
      <c r="E3279">
        <f>IF(OR(H3279="",P3279=""),"",INDEX('Students'!$C$2:$C$701,P3279))</f>
        <v/>
      </c>
      <c r="F3279" s="48">
        <f>IF(H3279="","",IF(ISNUMBER(O3279),O3279,J3279))</f>
        <v/>
      </c>
      <c r="G3279">
        <f>IF(H3279="","",M3279)</f>
        <v/>
      </c>
      <c r="H3279">
        <f>IF(AND(I3279="",J3279="",K3279=""),"",IF(OR(NOT(ISNUMBER(O3279)),N(O3279)&lt;=0),"Bad amount",IF(NOT(ISNUMBER(N3279)),"Bad date",IF(P3279="","NAME NOT ON ROSTER","OK"))))</f>
        <v/>
      </c>
      <c r="I3279">
        <f>IF('Cash_Check'!A279="","",'Cash_Check'!A279)</f>
        <v/>
      </c>
      <c r="J3279">
        <f>IF('Cash_Check'!D279="","",'Cash_Check'!D279)</f>
        <v/>
      </c>
      <c r="K3279">
        <f>TRIM('Cash_Check'!B279)</f>
        <v/>
      </c>
      <c r="M3279">
        <f>IF(TRIM('Cash_Check'!E279)="","Cash/check",TRIM('Cash_Check'!E279))</f>
        <v/>
      </c>
      <c r="N3279">
        <f>IF(I3279="","",IF(ISNUMBER(I3279),INT(I3279),IFERROR(INT(DATEVALUE(I3279)),IFERROR(INT(VALUE(I3279)),"bad"))))</f>
        <v/>
      </c>
      <c r="O3279">
        <f>IF(J3279="","",IF(ISNUMBER(J3279),ROUND(J3279,2),IFERROR(ROUND(VALUE(SUBSTITUTE(SUBSTITUTE(SUBSTITUTE(J3279,"$",""),",","")," ","")),2),"bad")))</f>
        <v/>
      </c>
      <c r="P3279">
        <f>IF(K3279="","",IFERROR(MATCH(IF(ISNUMBER(FIND("#",K3279)),TRIM(MID(K3279,FIND("#",K3279)+1,20)),UPPER(K3279)),'Students'!$AD$2:$AD$701,0),""))</f>
        <v/>
      </c>
      <c r="R3279">
        <f>IF(P3279="","",INDEX('Students'!$AD$2:$AD$701,P3279))</f>
        <v/>
      </c>
      <c r="S3279">
        <f>IF(H3279="OK",O3279,0)</f>
        <v/>
      </c>
      <c r="T3279">
        <f>IF(H3279="OK",N3279,"")</f>
        <v/>
      </c>
      <c r="U3279">
        <f>TRIM('Cash_Check'!C279)</f>
        <v/>
      </c>
    </row>
    <row r="3280">
      <c r="A3280" s="62">
        <f>IF(H3280="","",IF(ISNUMBER(N3280),N3280,I3280))</f>
        <v/>
      </c>
      <c r="B3280">
        <f>IF(H3280="","",U3280)</f>
        <v/>
      </c>
      <c r="C3280">
        <f>IF(H3280="","",IF(P3280="",K3280,INDEX('Students'!$A$2:$A$701,P3280)))</f>
        <v/>
      </c>
      <c r="D3280">
        <f>IF(OR(H3280="",P3280=""),"",INDEX('Students'!$B$2:$B$701,P3280))</f>
        <v/>
      </c>
      <c r="E3280">
        <f>IF(OR(H3280="",P3280=""),"",INDEX('Students'!$C$2:$C$701,P3280))</f>
        <v/>
      </c>
      <c r="F3280" s="48">
        <f>IF(H3280="","",IF(ISNUMBER(O3280),O3280,J3280))</f>
        <v/>
      </c>
      <c r="G3280">
        <f>IF(H3280="","",M3280)</f>
        <v/>
      </c>
      <c r="H3280">
        <f>IF(AND(I3280="",J3280="",K3280=""),"",IF(OR(NOT(ISNUMBER(O3280)),N(O3280)&lt;=0),"Bad amount",IF(NOT(ISNUMBER(N3280)),"Bad date",IF(P3280="","NAME NOT ON ROSTER","OK"))))</f>
        <v/>
      </c>
      <c r="I3280">
        <f>IF('Cash_Check'!A280="","",'Cash_Check'!A280)</f>
        <v/>
      </c>
      <c r="J3280">
        <f>IF('Cash_Check'!D280="","",'Cash_Check'!D280)</f>
        <v/>
      </c>
      <c r="K3280">
        <f>TRIM('Cash_Check'!B280)</f>
        <v/>
      </c>
      <c r="M3280">
        <f>IF(TRIM('Cash_Check'!E280)="","Cash/check",TRIM('Cash_Check'!E280))</f>
        <v/>
      </c>
      <c r="N3280">
        <f>IF(I3280="","",IF(ISNUMBER(I3280),INT(I3280),IFERROR(INT(DATEVALUE(I3280)),IFERROR(INT(VALUE(I3280)),"bad"))))</f>
        <v/>
      </c>
      <c r="O3280">
        <f>IF(J3280="","",IF(ISNUMBER(J3280),ROUND(J3280,2),IFERROR(ROUND(VALUE(SUBSTITUTE(SUBSTITUTE(SUBSTITUTE(J3280,"$",""),",","")," ","")),2),"bad")))</f>
        <v/>
      </c>
      <c r="P3280">
        <f>IF(K3280="","",IFERROR(MATCH(IF(ISNUMBER(FIND("#",K3280)),TRIM(MID(K3280,FIND("#",K3280)+1,20)),UPPER(K3280)),'Students'!$AD$2:$AD$701,0),""))</f>
        <v/>
      </c>
      <c r="R3280">
        <f>IF(P3280="","",INDEX('Students'!$AD$2:$AD$701,P3280))</f>
        <v/>
      </c>
      <c r="S3280">
        <f>IF(H3280="OK",O3280,0)</f>
        <v/>
      </c>
      <c r="T3280">
        <f>IF(H3280="OK",N3280,"")</f>
        <v/>
      </c>
      <c r="U3280">
        <f>TRIM('Cash_Check'!C280)</f>
        <v/>
      </c>
    </row>
    <row r="3281">
      <c r="A3281" s="62">
        <f>IF(H3281="","",IF(ISNUMBER(N3281),N3281,I3281))</f>
        <v/>
      </c>
      <c r="B3281">
        <f>IF(H3281="","",U3281)</f>
        <v/>
      </c>
      <c r="C3281">
        <f>IF(H3281="","",IF(P3281="",K3281,INDEX('Students'!$A$2:$A$701,P3281)))</f>
        <v/>
      </c>
      <c r="D3281">
        <f>IF(OR(H3281="",P3281=""),"",INDEX('Students'!$B$2:$B$701,P3281))</f>
        <v/>
      </c>
      <c r="E3281">
        <f>IF(OR(H3281="",P3281=""),"",INDEX('Students'!$C$2:$C$701,P3281))</f>
        <v/>
      </c>
      <c r="F3281" s="48">
        <f>IF(H3281="","",IF(ISNUMBER(O3281),O3281,J3281))</f>
        <v/>
      </c>
      <c r="G3281">
        <f>IF(H3281="","",M3281)</f>
        <v/>
      </c>
      <c r="H3281">
        <f>IF(AND(I3281="",J3281="",K3281=""),"",IF(OR(NOT(ISNUMBER(O3281)),N(O3281)&lt;=0),"Bad amount",IF(NOT(ISNUMBER(N3281)),"Bad date",IF(P3281="","NAME NOT ON ROSTER","OK"))))</f>
        <v/>
      </c>
      <c r="I3281">
        <f>IF('Cash_Check'!A281="","",'Cash_Check'!A281)</f>
        <v/>
      </c>
      <c r="J3281">
        <f>IF('Cash_Check'!D281="","",'Cash_Check'!D281)</f>
        <v/>
      </c>
      <c r="K3281">
        <f>TRIM('Cash_Check'!B281)</f>
        <v/>
      </c>
      <c r="M3281">
        <f>IF(TRIM('Cash_Check'!E281)="","Cash/check",TRIM('Cash_Check'!E281))</f>
        <v/>
      </c>
      <c r="N3281">
        <f>IF(I3281="","",IF(ISNUMBER(I3281),INT(I3281),IFERROR(INT(DATEVALUE(I3281)),IFERROR(INT(VALUE(I3281)),"bad"))))</f>
        <v/>
      </c>
      <c r="O3281">
        <f>IF(J3281="","",IF(ISNUMBER(J3281),ROUND(J3281,2),IFERROR(ROUND(VALUE(SUBSTITUTE(SUBSTITUTE(SUBSTITUTE(J3281,"$",""),",","")," ","")),2),"bad")))</f>
        <v/>
      </c>
      <c r="P3281">
        <f>IF(K3281="","",IFERROR(MATCH(IF(ISNUMBER(FIND("#",K3281)),TRIM(MID(K3281,FIND("#",K3281)+1,20)),UPPER(K3281)),'Students'!$AD$2:$AD$701,0),""))</f>
        <v/>
      </c>
      <c r="R3281">
        <f>IF(P3281="","",INDEX('Students'!$AD$2:$AD$701,P3281))</f>
        <v/>
      </c>
      <c r="S3281">
        <f>IF(H3281="OK",O3281,0)</f>
        <v/>
      </c>
      <c r="T3281">
        <f>IF(H3281="OK",N3281,"")</f>
        <v/>
      </c>
      <c r="U3281">
        <f>TRIM('Cash_Check'!C281)</f>
        <v/>
      </c>
    </row>
    <row r="3282">
      <c r="A3282" s="62">
        <f>IF(H3282="","",IF(ISNUMBER(N3282),N3282,I3282))</f>
        <v/>
      </c>
      <c r="B3282">
        <f>IF(H3282="","",U3282)</f>
        <v/>
      </c>
      <c r="C3282">
        <f>IF(H3282="","",IF(P3282="",K3282,INDEX('Students'!$A$2:$A$701,P3282)))</f>
        <v/>
      </c>
      <c r="D3282">
        <f>IF(OR(H3282="",P3282=""),"",INDEX('Students'!$B$2:$B$701,P3282))</f>
        <v/>
      </c>
      <c r="E3282">
        <f>IF(OR(H3282="",P3282=""),"",INDEX('Students'!$C$2:$C$701,P3282))</f>
        <v/>
      </c>
      <c r="F3282" s="48">
        <f>IF(H3282="","",IF(ISNUMBER(O3282),O3282,J3282))</f>
        <v/>
      </c>
      <c r="G3282">
        <f>IF(H3282="","",M3282)</f>
        <v/>
      </c>
      <c r="H3282">
        <f>IF(AND(I3282="",J3282="",K3282=""),"",IF(OR(NOT(ISNUMBER(O3282)),N(O3282)&lt;=0),"Bad amount",IF(NOT(ISNUMBER(N3282)),"Bad date",IF(P3282="","NAME NOT ON ROSTER","OK"))))</f>
        <v/>
      </c>
      <c r="I3282">
        <f>IF('Cash_Check'!A282="","",'Cash_Check'!A282)</f>
        <v/>
      </c>
      <c r="J3282">
        <f>IF('Cash_Check'!D282="","",'Cash_Check'!D282)</f>
        <v/>
      </c>
      <c r="K3282">
        <f>TRIM('Cash_Check'!B282)</f>
        <v/>
      </c>
      <c r="M3282">
        <f>IF(TRIM('Cash_Check'!E282)="","Cash/check",TRIM('Cash_Check'!E282))</f>
        <v/>
      </c>
      <c r="N3282">
        <f>IF(I3282="","",IF(ISNUMBER(I3282),INT(I3282),IFERROR(INT(DATEVALUE(I3282)),IFERROR(INT(VALUE(I3282)),"bad"))))</f>
        <v/>
      </c>
      <c r="O3282">
        <f>IF(J3282="","",IF(ISNUMBER(J3282),ROUND(J3282,2),IFERROR(ROUND(VALUE(SUBSTITUTE(SUBSTITUTE(SUBSTITUTE(J3282,"$",""),",","")," ","")),2),"bad")))</f>
        <v/>
      </c>
      <c r="P3282">
        <f>IF(K3282="","",IFERROR(MATCH(IF(ISNUMBER(FIND("#",K3282)),TRIM(MID(K3282,FIND("#",K3282)+1,20)),UPPER(K3282)),'Students'!$AD$2:$AD$701,0),""))</f>
        <v/>
      </c>
      <c r="R3282">
        <f>IF(P3282="","",INDEX('Students'!$AD$2:$AD$701,P3282))</f>
        <v/>
      </c>
      <c r="S3282">
        <f>IF(H3282="OK",O3282,0)</f>
        <v/>
      </c>
      <c r="T3282">
        <f>IF(H3282="OK",N3282,"")</f>
        <v/>
      </c>
      <c r="U3282">
        <f>TRIM('Cash_Check'!C282)</f>
        <v/>
      </c>
    </row>
    <row r="3283">
      <c r="A3283" s="62">
        <f>IF(H3283="","",IF(ISNUMBER(N3283),N3283,I3283))</f>
        <v/>
      </c>
      <c r="B3283">
        <f>IF(H3283="","",U3283)</f>
        <v/>
      </c>
      <c r="C3283">
        <f>IF(H3283="","",IF(P3283="",K3283,INDEX('Students'!$A$2:$A$701,P3283)))</f>
        <v/>
      </c>
      <c r="D3283">
        <f>IF(OR(H3283="",P3283=""),"",INDEX('Students'!$B$2:$B$701,P3283))</f>
        <v/>
      </c>
      <c r="E3283">
        <f>IF(OR(H3283="",P3283=""),"",INDEX('Students'!$C$2:$C$701,P3283))</f>
        <v/>
      </c>
      <c r="F3283" s="48">
        <f>IF(H3283="","",IF(ISNUMBER(O3283),O3283,J3283))</f>
        <v/>
      </c>
      <c r="G3283">
        <f>IF(H3283="","",M3283)</f>
        <v/>
      </c>
      <c r="H3283">
        <f>IF(AND(I3283="",J3283="",K3283=""),"",IF(OR(NOT(ISNUMBER(O3283)),N(O3283)&lt;=0),"Bad amount",IF(NOT(ISNUMBER(N3283)),"Bad date",IF(P3283="","NAME NOT ON ROSTER","OK"))))</f>
        <v/>
      </c>
      <c r="I3283">
        <f>IF('Cash_Check'!A283="","",'Cash_Check'!A283)</f>
        <v/>
      </c>
      <c r="J3283">
        <f>IF('Cash_Check'!D283="","",'Cash_Check'!D283)</f>
        <v/>
      </c>
      <c r="K3283">
        <f>TRIM('Cash_Check'!B283)</f>
        <v/>
      </c>
      <c r="M3283">
        <f>IF(TRIM('Cash_Check'!E283)="","Cash/check",TRIM('Cash_Check'!E283))</f>
        <v/>
      </c>
      <c r="N3283">
        <f>IF(I3283="","",IF(ISNUMBER(I3283),INT(I3283),IFERROR(INT(DATEVALUE(I3283)),IFERROR(INT(VALUE(I3283)),"bad"))))</f>
        <v/>
      </c>
      <c r="O3283">
        <f>IF(J3283="","",IF(ISNUMBER(J3283),ROUND(J3283,2),IFERROR(ROUND(VALUE(SUBSTITUTE(SUBSTITUTE(SUBSTITUTE(J3283,"$",""),",","")," ","")),2),"bad")))</f>
        <v/>
      </c>
      <c r="P3283">
        <f>IF(K3283="","",IFERROR(MATCH(IF(ISNUMBER(FIND("#",K3283)),TRIM(MID(K3283,FIND("#",K3283)+1,20)),UPPER(K3283)),'Students'!$AD$2:$AD$701,0),""))</f>
        <v/>
      </c>
      <c r="R3283">
        <f>IF(P3283="","",INDEX('Students'!$AD$2:$AD$701,P3283))</f>
        <v/>
      </c>
      <c r="S3283">
        <f>IF(H3283="OK",O3283,0)</f>
        <v/>
      </c>
      <c r="T3283">
        <f>IF(H3283="OK",N3283,"")</f>
        <v/>
      </c>
      <c r="U3283">
        <f>TRIM('Cash_Check'!C283)</f>
        <v/>
      </c>
    </row>
    <row r="3284">
      <c r="A3284" s="62">
        <f>IF(H3284="","",IF(ISNUMBER(N3284),N3284,I3284))</f>
        <v/>
      </c>
      <c r="B3284">
        <f>IF(H3284="","",U3284)</f>
        <v/>
      </c>
      <c r="C3284">
        <f>IF(H3284="","",IF(P3284="",K3284,INDEX('Students'!$A$2:$A$701,P3284)))</f>
        <v/>
      </c>
      <c r="D3284">
        <f>IF(OR(H3284="",P3284=""),"",INDEX('Students'!$B$2:$B$701,P3284))</f>
        <v/>
      </c>
      <c r="E3284">
        <f>IF(OR(H3284="",P3284=""),"",INDEX('Students'!$C$2:$C$701,P3284))</f>
        <v/>
      </c>
      <c r="F3284" s="48">
        <f>IF(H3284="","",IF(ISNUMBER(O3284),O3284,J3284))</f>
        <v/>
      </c>
      <c r="G3284">
        <f>IF(H3284="","",M3284)</f>
        <v/>
      </c>
      <c r="H3284">
        <f>IF(AND(I3284="",J3284="",K3284=""),"",IF(OR(NOT(ISNUMBER(O3284)),N(O3284)&lt;=0),"Bad amount",IF(NOT(ISNUMBER(N3284)),"Bad date",IF(P3284="","NAME NOT ON ROSTER","OK"))))</f>
        <v/>
      </c>
      <c r="I3284">
        <f>IF('Cash_Check'!A284="","",'Cash_Check'!A284)</f>
        <v/>
      </c>
      <c r="J3284">
        <f>IF('Cash_Check'!D284="","",'Cash_Check'!D284)</f>
        <v/>
      </c>
      <c r="K3284">
        <f>TRIM('Cash_Check'!B284)</f>
        <v/>
      </c>
      <c r="M3284">
        <f>IF(TRIM('Cash_Check'!E284)="","Cash/check",TRIM('Cash_Check'!E284))</f>
        <v/>
      </c>
      <c r="N3284">
        <f>IF(I3284="","",IF(ISNUMBER(I3284),INT(I3284),IFERROR(INT(DATEVALUE(I3284)),IFERROR(INT(VALUE(I3284)),"bad"))))</f>
        <v/>
      </c>
      <c r="O3284">
        <f>IF(J3284="","",IF(ISNUMBER(J3284),ROUND(J3284,2),IFERROR(ROUND(VALUE(SUBSTITUTE(SUBSTITUTE(SUBSTITUTE(J3284,"$",""),",","")," ","")),2),"bad")))</f>
        <v/>
      </c>
      <c r="P3284">
        <f>IF(K3284="","",IFERROR(MATCH(IF(ISNUMBER(FIND("#",K3284)),TRIM(MID(K3284,FIND("#",K3284)+1,20)),UPPER(K3284)),'Students'!$AD$2:$AD$701,0),""))</f>
        <v/>
      </c>
      <c r="R3284">
        <f>IF(P3284="","",INDEX('Students'!$AD$2:$AD$701,P3284))</f>
        <v/>
      </c>
      <c r="S3284">
        <f>IF(H3284="OK",O3284,0)</f>
        <v/>
      </c>
      <c r="T3284">
        <f>IF(H3284="OK",N3284,"")</f>
        <v/>
      </c>
      <c r="U3284">
        <f>TRIM('Cash_Check'!C284)</f>
        <v/>
      </c>
    </row>
    <row r="3285">
      <c r="A3285" s="62">
        <f>IF(H3285="","",IF(ISNUMBER(N3285),N3285,I3285))</f>
        <v/>
      </c>
      <c r="B3285">
        <f>IF(H3285="","",U3285)</f>
        <v/>
      </c>
      <c r="C3285">
        <f>IF(H3285="","",IF(P3285="",K3285,INDEX('Students'!$A$2:$A$701,P3285)))</f>
        <v/>
      </c>
      <c r="D3285">
        <f>IF(OR(H3285="",P3285=""),"",INDEX('Students'!$B$2:$B$701,P3285))</f>
        <v/>
      </c>
      <c r="E3285">
        <f>IF(OR(H3285="",P3285=""),"",INDEX('Students'!$C$2:$C$701,P3285))</f>
        <v/>
      </c>
      <c r="F3285" s="48">
        <f>IF(H3285="","",IF(ISNUMBER(O3285),O3285,J3285))</f>
        <v/>
      </c>
      <c r="G3285">
        <f>IF(H3285="","",M3285)</f>
        <v/>
      </c>
      <c r="H3285">
        <f>IF(AND(I3285="",J3285="",K3285=""),"",IF(OR(NOT(ISNUMBER(O3285)),N(O3285)&lt;=0),"Bad amount",IF(NOT(ISNUMBER(N3285)),"Bad date",IF(P3285="","NAME NOT ON ROSTER","OK"))))</f>
        <v/>
      </c>
      <c r="I3285">
        <f>IF('Cash_Check'!A285="","",'Cash_Check'!A285)</f>
        <v/>
      </c>
      <c r="J3285">
        <f>IF('Cash_Check'!D285="","",'Cash_Check'!D285)</f>
        <v/>
      </c>
      <c r="K3285">
        <f>TRIM('Cash_Check'!B285)</f>
        <v/>
      </c>
      <c r="M3285">
        <f>IF(TRIM('Cash_Check'!E285)="","Cash/check",TRIM('Cash_Check'!E285))</f>
        <v/>
      </c>
      <c r="N3285">
        <f>IF(I3285="","",IF(ISNUMBER(I3285),INT(I3285),IFERROR(INT(DATEVALUE(I3285)),IFERROR(INT(VALUE(I3285)),"bad"))))</f>
        <v/>
      </c>
      <c r="O3285">
        <f>IF(J3285="","",IF(ISNUMBER(J3285),ROUND(J3285,2),IFERROR(ROUND(VALUE(SUBSTITUTE(SUBSTITUTE(SUBSTITUTE(J3285,"$",""),",","")," ","")),2),"bad")))</f>
        <v/>
      </c>
      <c r="P3285">
        <f>IF(K3285="","",IFERROR(MATCH(IF(ISNUMBER(FIND("#",K3285)),TRIM(MID(K3285,FIND("#",K3285)+1,20)),UPPER(K3285)),'Students'!$AD$2:$AD$701,0),""))</f>
        <v/>
      </c>
      <c r="R3285">
        <f>IF(P3285="","",INDEX('Students'!$AD$2:$AD$701,P3285))</f>
        <v/>
      </c>
      <c r="S3285">
        <f>IF(H3285="OK",O3285,0)</f>
        <v/>
      </c>
      <c r="T3285">
        <f>IF(H3285="OK",N3285,"")</f>
        <v/>
      </c>
      <c r="U3285">
        <f>TRIM('Cash_Check'!C285)</f>
        <v/>
      </c>
    </row>
    <row r="3286">
      <c r="A3286" s="62">
        <f>IF(H3286="","",IF(ISNUMBER(N3286),N3286,I3286))</f>
        <v/>
      </c>
      <c r="B3286">
        <f>IF(H3286="","",U3286)</f>
        <v/>
      </c>
      <c r="C3286">
        <f>IF(H3286="","",IF(P3286="",K3286,INDEX('Students'!$A$2:$A$701,P3286)))</f>
        <v/>
      </c>
      <c r="D3286">
        <f>IF(OR(H3286="",P3286=""),"",INDEX('Students'!$B$2:$B$701,P3286))</f>
        <v/>
      </c>
      <c r="E3286">
        <f>IF(OR(H3286="",P3286=""),"",INDEX('Students'!$C$2:$C$701,P3286))</f>
        <v/>
      </c>
      <c r="F3286" s="48">
        <f>IF(H3286="","",IF(ISNUMBER(O3286),O3286,J3286))</f>
        <v/>
      </c>
      <c r="G3286">
        <f>IF(H3286="","",M3286)</f>
        <v/>
      </c>
      <c r="H3286">
        <f>IF(AND(I3286="",J3286="",K3286=""),"",IF(OR(NOT(ISNUMBER(O3286)),N(O3286)&lt;=0),"Bad amount",IF(NOT(ISNUMBER(N3286)),"Bad date",IF(P3286="","NAME NOT ON ROSTER","OK"))))</f>
        <v/>
      </c>
      <c r="I3286">
        <f>IF('Cash_Check'!A286="","",'Cash_Check'!A286)</f>
        <v/>
      </c>
      <c r="J3286">
        <f>IF('Cash_Check'!D286="","",'Cash_Check'!D286)</f>
        <v/>
      </c>
      <c r="K3286">
        <f>TRIM('Cash_Check'!B286)</f>
        <v/>
      </c>
      <c r="M3286">
        <f>IF(TRIM('Cash_Check'!E286)="","Cash/check",TRIM('Cash_Check'!E286))</f>
        <v/>
      </c>
      <c r="N3286">
        <f>IF(I3286="","",IF(ISNUMBER(I3286),INT(I3286),IFERROR(INT(DATEVALUE(I3286)),IFERROR(INT(VALUE(I3286)),"bad"))))</f>
        <v/>
      </c>
      <c r="O3286">
        <f>IF(J3286="","",IF(ISNUMBER(J3286),ROUND(J3286,2),IFERROR(ROUND(VALUE(SUBSTITUTE(SUBSTITUTE(SUBSTITUTE(J3286,"$",""),",","")," ","")),2),"bad")))</f>
        <v/>
      </c>
      <c r="P3286">
        <f>IF(K3286="","",IFERROR(MATCH(IF(ISNUMBER(FIND("#",K3286)),TRIM(MID(K3286,FIND("#",K3286)+1,20)),UPPER(K3286)),'Students'!$AD$2:$AD$701,0),""))</f>
        <v/>
      </c>
      <c r="R3286">
        <f>IF(P3286="","",INDEX('Students'!$AD$2:$AD$701,P3286))</f>
        <v/>
      </c>
      <c r="S3286">
        <f>IF(H3286="OK",O3286,0)</f>
        <v/>
      </c>
      <c r="T3286">
        <f>IF(H3286="OK",N3286,"")</f>
        <v/>
      </c>
      <c r="U3286">
        <f>TRIM('Cash_Check'!C286)</f>
        <v/>
      </c>
    </row>
    <row r="3287">
      <c r="A3287" s="62">
        <f>IF(H3287="","",IF(ISNUMBER(N3287),N3287,I3287))</f>
        <v/>
      </c>
      <c r="B3287">
        <f>IF(H3287="","",U3287)</f>
        <v/>
      </c>
      <c r="C3287">
        <f>IF(H3287="","",IF(P3287="",K3287,INDEX('Students'!$A$2:$A$701,P3287)))</f>
        <v/>
      </c>
      <c r="D3287">
        <f>IF(OR(H3287="",P3287=""),"",INDEX('Students'!$B$2:$B$701,P3287))</f>
        <v/>
      </c>
      <c r="E3287">
        <f>IF(OR(H3287="",P3287=""),"",INDEX('Students'!$C$2:$C$701,P3287))</f>
        <v/>
      </c>
      <c r="F3287" s="48">
        <f>IF(H3287="","",IF(ISNUMBER(O3287),O3287,J3287))</f>
        <v/>
      </c>
      <c r="G3287">
        <f>IF(H3287="","",M3287)</f>
        <v/>
      </c>
      <c r="H3287">
        <f>IF(AND(I3287="",J3287="",K3287=""),"",IF(OR(NOT(ISNUMBER(O3287)),N(O3287)&lt;=0),"Bad amount",IF(NOT(ISNUMBER(N3287)),"Bad date",IF(P3287="","NAME NOT ON ROSTER","OK"))))</f>
        <v/>
      </c>
      <c r="I3287">
        <f>IF('Cash_Check'!A287="","",'Cash_Check'!A287)</f>
        <v/>
      </c>
      <c r="J3287">
        <f>IF('Cash_Check'!D287="","",'Cash_Check'!D287)</f>
        <v/>
      </c>
      <c r="K3287">
        <f>TRIM('Cash_Check'!B287)</f>
        <v/>
      </c>
      <c r="M3287">
        <f>IF(TRIM('Cash_Check'!E287)="","Cash/check",TRIM('Cash_Check'!E287))</f>
        <v/>
      </c>
      <c r="N3287">
        <f>IF(I3287="","",IF(ISNUMBER(I3287),INT(I3287),IFERROR(INT(DATEVALUE(I3287)),IFERROR(INT(VALUE(I3287)),"bad"))))</f>
        <v/>
      </c>
      <c r="O3287">
        <f>IF(J3287="","",IF(ISNUMBER(J3287),ROUND(J3287,2),IFERROR(ROUND(VALUE(SUBSTITUTE(SUBSTITUTE(SUBSTITUTE(J3287,"$",""),",","")," ","")),2),"bad")))</f>
        <v/>
      </c>
      <c r="P3287">
        <f>IF(K3287="","",IFERROR(MATCH(IF(ISNUMBER(FIND("#",K3287)),TRIM(MID(K3287,FIND("#",K3287)+1,20)),UPPER(K3287)),'Students'!$AD$2:$AD$701,0),""))</f>
        <v/>
      </c>
      <c r="R3287">
        <f>IF(P3287="","",INDEX('Students'!$AD$2:$AD$701,P3287))</f>
        <v/>
      </c>
      <c r="S3287">
        <f>IF(H3287="OK",O3287,0)</f>
        <v/>
      </c>
      <c r="T3287">
        <f>IF(H3287="OK",N3287,"")</f>
        <v/>
      </c>
      <c r="U3287">
        <f>TRIM('Cash_Check'!C287)</f>
        <v/>
      </c>
    </row>
    <row r="3288">
      <c r="A3288" s="62">
        <f>IF(H3288="","",IF(ISNUMBER(N3288),N3288,I3288))</f>
        <v/>
      </c>
      <c r="B3288">
        <f>IF(H3288="","",U3288)</f>
        <v/>
      </c>
      <c r="C3288">
        <f>IF(H3288="","",IF(P3288="",K3288,INDEX('Students'!$A$2:$A$701,P3288)))</f>
        <v/>
      </c>
      <c r="D3288">
        <f>IF(OR(H3288="",P3288=""),"",INDEX('Students'!$B$2:$B$701,P3288))</f>
        <v/>
      </c>
      <c r="E3288">
        <f>IF(OR(H3288="",P3288=""),"",INDEX('Students'!$C$2:$C$701,P3288))</f>
        <v/>
      </c>
      <c r="F3288" s="48">
        <f>IF(H3288="","",IF(ISNUMBER(O3288),O3288,J3288))</f>
        <v/>
      </c>
      <c r="G3288">
        <f>IF(H3288="","",M3288)</f>
        <v/>
      </c>
      <c r="H3288">
        <f>IF(AND(I3288="",J3288="",K3288=""),"",IF(OR(NOT(ISNUMBER(O3288)),N(O3288)&lt;=0),"Bad amount",IF(NOT(ISNUMBER(N3288)),"Bad date",IF(P3288="","NAME NOT ON ROSTER","OK"))))</f>
        <v/>
      </c>
      <c r="I3288">
        <f>IF('Cash_Check'!A288="","",'Cash_Check'!A288)</f>
        <v/>
      </c>
      <c r="J3288">
        <f>IF('Cash_Check'!D288="","",'Cash_Check'!D288)</f>
        <v/>
      </c>
      <c r="K3288">
        <f>TRIM('Cash_Check'!B288)</f>
        <v/>
      </c>
      <c r="M3288">
        <f>IF(TRIM('Cash_Check'!E288)="","Cash/check",TRIM('Cash_Check'!E288))</f>
        <v/>
      </c>
      <c r="N3288">
        <f>IF(I3288="","",IF(ISNUMBER(I3288),INT(I3288),IFERROR(INT(DATEVALUE(I3288)),IFERROR(INT(VALUE(I3288)),"bad"))))</f>
        <v/>
      </c>
      <c r="O3288">
        <f>IF(J3288="","",IF(ISNUMBER(J3288),ROUND(J3288,2),IFERROR(ROUND(VALUE(SUBSTITUTE(SUBSTITUTE(SUBSTITUTE(J3288,"$",""),",","")," ","")),2),"bad")))</f>
        <v/>
      </c>
      <c r="P3288">
        <f>IF(K3288="","",IFERROR(MATCH(IF(ISNUMBER(FIND("#",K3288)),TRIM(MID(K3288,FIND("#",K3288)+1,20)),UPPER(K3288)),'Students'!$AD$2:$AD$701,0),""))</f>
        <v/>
      </c>
      <c r="R3288">
        <f>IF(P3288="","",INDEX('Students'!$AD$2:$AD$701,P3288))</f>
        <v/>
      </c>
      <c r="S3288">
        <f>IF(H3288="OK",O3288,0)</f>
        <v/>
      </c>
      <c r="T3288">
        <f>IF(H3288="OK",N3288,"")</f>
        <v/>
      </c>
      <c r="U3288">
        <f>TRIM('Cash_Check'!C288)</f>
        <v/>
      </c>
    </row>
    <row r="3289">
      <c r="A3289" s="62">
        <f>IF(H3289="","",IF(ISNUMBER(N3289),N3289,I3289))</f>
        <v/>
      </c>
      <c r="B3289">
        <f>IF(H3289="","",U3289)</f>
        <v/>
      </c>
      <c r="C3289">
        <f>IF(H3289="","",IF(P3289="",K3289,INDEX('Students'!$A$2:$A$701,P3289)))</f>
        <v/>
      </c>
      <c r="D3289">
        <f>IF(OR(H3289="",P3289=""),"",INDEX('Students'!$B$2:$B$701,P3289))</f>
        <v/>
      </c>
      <c r="E3289">
        <f>IF(OR(H3289="",P3289=""),"",INDEX('Students'!$C$2:$C$701,P3289))</f>
        <v/>
      </c>
      <c r="F3289" s="48">
        <f>IF(H3289="","",IF(ISNUMBER(O3289),O3289,J3289))</f>
        <v/>
      </c>
      <c r="G3289">
        <f>IF(H3289="","",M3289)</f>
        <v/>
      </c>
      <c r="H3289">
        <f>IF(AND(I3289="",J3289="",K3289=""),"",IF(OR(NOT(ISNUMBER(O3289)),N(O3289)&lt;=0),"Bad amount",IF(NOT(ISNUMBER(N3289)),"Bad date",IF(P3289="","NAME NOT ON ROSTER","OK"))))</f>
        <v/>
      </c>
      <c r="I3289">
        <f>IF('Cash_Check'!A289="","",'Cash_Check'!A289)</f>
        <v/>
      </c>
      <c r="J3289">
        <f>IF('Cash_Check'!D289="","",'Cash_Check'!D289)</f>
        <v/>
      </c>
      <c r="K3289">
        <f>TRIM('Cash_Check'!B289)</f>
        <v/>
      </c>
      <c r="M3289">
        <f>IF(TRIM('Cash_Check'!E289)="","Cash/check",TRIM('Cash_Check'!E289))</f>
        <v/>
      </c>
      <c r="N3289">
        <f>IF(I3289="","",IF(ISNUMBER(I3289),INT(I3289),IFERROR(INT(DATEVALUE(I3289)),IFERROR(INT(VALUE(I3289)),"bad"))))</f>
        <v/>
      </c>
      <c r="O3289">
        <f>IF(J3289="","",IF(ISNUMBER(J3289),ROUND(J3289,2),IFERROR(ROUND(VALUE(SUBSTITUTE(SUBSTITUTE(SUBSTITUTE(J3289,"$",""),",","")," ","")),2),"bad")))</f>
        <v/>
      </c>
      <c r="P3289">
        <f>IF(K3289="","",IFERROR(MATCH(IF(ISNUMBER(FIND("#",K3289)),TRIM(MID(K3289,FIND("#",K3289)+1,20)),UPPER(K3289)),'Students'!$AD$2:$AD$701,0),""))</f>
        <v/>
      </c>
      <c r="R3289">
        <f>IF(P3289="","",INDEX('Students'!$AD$2:$AD$701,P3289))</f>
        <v/>
      </c>
      <c r="S3289">
        <f>IF(H3289="OK",O3289,0)</f>
        <v/>
      </c>
      <c r="T3289">
        <f>IF(H3289="OK",N3289,"")</f>
        <v/>
      </c>
      <c r="U3289">
        <f>TRIM('Cash_Check'!C289)</f>
        <v/>
      </c>
    </row>
    <row r="3290">
      <c r="A3290" s="62">
        <f>IF(H3290="","",IF(ISNUMBER(N3290),N3290,I3290))</f>
        <v/>
      </c>
      <c r="B3290">
        <f>IF(H3290="","",U3290)</f>
        <v/>
      </c>
      <c r="C3290">
        <f>IF(H3290="","",IF(P3290="",K3290,INDEX('Students'!$A$2:$A$701,P3290)))</f>
        <v/>
      </c>
      <c r="D3290">
        <f>IF(OR(H3290="",P3290=""),"",INDEX('Students'!$B$2:$B$701,P3290))</f>
        <v/>
      </c>
      <c r="E3290">
        <f>IF(OR(H3290="",P3290=""),"",INDEX('Students'!$C$2:$C$701,P3290))</f>
        <v/>
      </c>
      <c r="F3290" s="48">
        <f>IF(H3290="","",IF(ISNUMBER(O3290),O3290,J3290))</f>
        <v/>
      </c>
      <c r="G3290">
        <f>IF(H3290="","",M3290)</f>
        <v/>
      </c>
      <c r="H3290">
        <f>IF(AND(I3290="",J3290="",K3290=""),"",IF(OR(NOT(ISNUMBER(O3290)),N(O3290)&lt;=0),"Bad amount",IF(NOT(ISNUMBER(N3290)),"Bad date",IF(P3290="","NAME NOT ON ROSTER","OK"))))</f>
        <v/>
      </c>
      <c r="I3290">
        <f>IF('Cash_Check'!A290="","",'Cash_Check'!A290)</f>
        <v/>
      </c>
      <c r="J3290">
        <f>IF('Cash_Check'!D290="","",'Cash_Check'!D290)</f>
        <v/>
      </c>
      <c r="K3290">
        <f>TRIM('Cash_Check'!B290)</f>
        <v/>
      </c>
      <c r="M3290">
        <f>IF(TRIM('Cash_Check'!E290)="","Cash/check",TRIM('Cash_Check'!E290))</f>
        <v/>
      </c>
      <c r="N3290">
        <f>IF(I3290="","",IF(ISNUMBER(I3290),INT(I3290),IFERROR(INT(DATEVALUE(I3290)),IFERROR(INT(VALUE(I3290)),"bad"))))</f>
        <v/>
      </c>
      <c r="O3290">
        <f>IF(J3290="","",IF(ISNUMBER(J3290),ROUND(J3290,2),IFERROR(ROUND(VALUE(SUBSTITUTE(SUBSTITUTE(SUBSTITUTE(J3290,"$",""),",","")," ","")),2),"bad")))</f>
        <v/>
      </c>
      <c r="P3290">
        <f>IF(K3290="","",IFERROR(MATCH(IF(ISNUMBER(FIND("#",K3290)),TRIM(MID(K3290,FIND("#",K3290)+1,20)),UPPER(K3290)),'Students'!$AD$2:$AD$701,0),""))</f>
        <v/>
      </c>
      <c r="R3290">
        <f>IF(P3290="","",INDEX('Students'!$AD$2:$AD$701,P3290))</f>
        <v/>
      </c>
      <c r="S3290">
        <f>IF(H3290="OK",O3290,0)</f>
        <v/>
      </c>
      <c r="T3290">
        <f>IF(H3290="OK",N3290,"")</f>
        <v/>
      </c>
      <c r="U3290">
        <f>TRIM('Cash_Check'!C290)</f>
        <v/>
      </c>
    </row>
    <row r="3291">
      <c r="A3291" s="62">
        <f>IF(H3291="","",IF(ISNUMBER(N3291),N3291,I3291))</f>
        <v/>
      </c>
      <c r="B3291">
        <f>IF(H3291="","",U3291)</f>
        <v/>
      </c>
      <c r="C3291">
        <f>IF(H3291="","",IF(P3291="",K3291,INDEX('Students'!$A$2:$A$701,P3291)))</f>
        <v/>
      </c>
      <c r="D3291">
        <f>IF(OR(H3291="",P3291=""),"",INDEX('Students'!$B$2:$B$701,P3291))</f>
        <v/>
      </c>
      <c r="E3291">
        <f>IF(OR(H3291="",P3291=""),"",INDEX('Students'!$C$2:$C$701,P3291))</f>
        <v/>
      </c>
      <c r="F3291" s="48">
        <f>IF(H3291="","",IF(ISNUMBER(O3291),O3291,J3291))</f>
        <v/>
      </c>
      <c r="G3291">
        <f>IF(H3291="","",M3291)</f>
        <v/>
      </c>
      <c r="H3291">
        <f>IF(AND(I3291="",J3291="",K3291=""),"",IF(OR(NOT(ISNUMBER(O3291)),N(O3291)&lt;=0),"Bad amount",IF(NOT(ISNUMBER(N3291)),"Bad date",IF(P3291="","NAME NOT ON ROSTER","OK"))))</f>
        <v/>
      </c>
      <c r="I3291">
        <f>IF('Cash_Check'!A291="","",'Cash_Check'!A291)</f>
        <v/>
      </c>
      <c r="J3291">
        <f>IF('Cash_Check'!D291="","",'Cash_Check'!D291)</f>
        <v/>
      </c>
      <c r="K3291">
        <f>TRIM('Cash_Check'!B291)</f>
        <v/>
      </c>
      <c r="M3291">
        <f>IF(TRIM('Cash_Check'!E291)="","Cash/check",TRIM('Cash_Check'!E291))</f>
        <v/>
      </c>
      <c r="N3291">
        <f>IF(I3291="","",IF(ISNUMBER(I3291),INT(I3291),IFERROR(INT(DATEVALUE(I3291)),IFERROR(INT(VALUE(I3291)),"bad"))))</f>
        <v/>
      </c>
      <c r="O3291">
        <f>IF(J3291="","",IF(ISNUMBER(J3291),ROUND(J3291,2),IFERROR(ROUND(VALUE(SUBSTITUTE(SUBSTITUTE(SUBSTITUTE(J3291,"$",""),",","")," ","")),2),"bad")))</f>
        <v/>
      </c>
      <c r="P3291">
        <f>IF(K3291="","",IFERROR(MATCH(IF(ISNUMBER(FIND("#",K3291)),TRIM(MID(K3291,FIND("#",K3291)+1,20)),UPPER(K3291)),'Students'!$AD$2:$AD$701,0),""))</f>
        <v/>
      </c>
      <c r="R3291">
        <f>IF(P3291="","",INDEX('Students'!$AD$2:$AD$701,P3291))</f>
        <v/>
      </c>
      <c r="S3291">
        <f>IF(H3291="OK",O3291,0)</f>
        <v/>
      </c>
      <c r="T3291">
        <f>IF(H3291="OK",N3291,"")</f>
        <v/>
      </c>
      <c r="U3291">
        <f>TRIM('Cash_Check'!C291)</f>
        <v/>
      </c>
    </row>
    <row r="3292">
      <c r="A3292" s="62">
        <f>IF(H3292="","",IF(ISNUMBER(N3292),N3292,I3292))</f>
        <v/>
      </c>
      <c r="B3292">
        <f>IF(H3292="","",U3292)</f>
        <v/>
      </c>
      <c r="C3292">
        <f>IF(H3292="","",IF(P3292="",K3292,INDEX('Students'!$A$2:$A$701,P3292)))</f>
        <v/>
      </c>
      <c r="D3292">
        <f>IF(OR(H3292="",P3292=""),"",INDEX('Students'!$B$2:$B$701,P3292))</f>
        <v/>
      </c>
      <c r="E3292">
        <f>IF(OR(H3292="",P3292=""),"",INDEX('Students'!$C$2:$C$701,P3292))</f>
        <v/>
      </c>
      <c r="F3292" s="48">
        <f>IF(H3292="","",IF(ISNUMBER(O3292),O3292,J3292))</f>
        <v/>
      </c>
      <c r="G3292">
        <f>IF(H3292="","",M3292)</f>
        <v/>
      </c>
      <c r="H3292">
        <f>IF(AND(I3292="",J3292="",K3292=""),"",IF(OR(NOT(ISNUMBER(O3292)),N(O3292)&lt;=0),"Bad amount",IF(NOT(ISNUMBER(N3292)),"Bad date",IF(P3292="","NAME NOT ON ROSTER","OK"))))</f>
        <v/>
      </c>
      <c r="I3292">
        <f>IF('Cash_Check'!A292="","",'Cash_Check'!A292)</f>
        <v/>
      </c>
      <c r="J3292">
        <f>IF('Cash_Check'!D292="","",'Cash_Check'!D292)</f>
        <v/>
      </c>
      <c r="K3292">
        <f>TRIM('Cash_Check'!B292)</f>
        <v/>
      </c>
      <c r="M3292">
        <f>IF(TRIM('Cash_Check'!E292)="","Cash/check",TRIM('Cash_Check'!E292))</f>
        <v/>
      </c>
      <c r="N3292">
        <f>IF(I3292="","",IF(ISNUMBER(I3292),INT(I3292),IFERROR(INT(DATEVALUE(I3292)),IFERROR(INT(VALUE(I3292)),"bad"))))</f>
        <v/>
      </c>
      <c r="O3292">
        <f>IF(J3292="","",IF(ISNUMBER(J3292),ROUND(J3292,2),IFERROR(ROUND(VALUE(SUBSTITUTE(SUBSTITUTE(SUBSTITUTE(J3292,"$",""),",","")," ","")),2),"bad")))</f>
        <v/>
      </c>
      <c r="P3292">
        <f>IF(K3292="","",IFERROR(MATCH(IF(ISNUMBER(FIND("#",K3292)),TRIM(MID(K3292,FIND("#",K3292)+1,20)),UPPER(K3292)),'Students'!$AD$2:$AD$701,0),""))</f>
        <v/>
      </c>
      <c r="R3292">
        <f>IF(P3292="","",INDEX('Students'!$AD$2:$AD$701,P3292))</f>
        <v/>
      </c>
      <c r="S3292">
        <f>IF(H3292="OK",O3292,0)</f>
        <v/>
      </c>
      <c r="T3292">
        <f>IF(H3292="OK",N3292,"")</f>
        <v/>
      </c>
      <c r="U3292">
        <f>TRIM('Cash_Check'!C292)</f>
        <v/>
      </c>
    </row>
    <row r="3293">
      <c r="A3293" s="62">
        <f>IF(H3293="","",IF(ISNUMBER(N3293),N3293,I3293))</f>
        <v/>
      </c>
      <c r="B3293">
        <f>IF(H3293="","",U3293)</f>
        <v/>
      </c>
      <c r="C3293">
        <f>IF(H3293="","",IF(P3293="",K3293,INDEX('Students'!$A$2:$A$701,P3293)))</f>
        <v/>
      </c>
      <c r="D3293">
        <f>IF(OR(H3293="",P3293=""),"",INDEX('Students'!$B$2:$B$701,P3293))</f>
        <v/>
      </c>
      <c r="E3293">
        <f>IF(OR(H3293="",P3293=""),"",INDEX('Students'!$C$2:$C$701,P3293))</f>
        <v/>
      </c>
      <c r="F3293" s="48">
        <f>IF(H3293="","",IF(ISNUMBER(O3293),O3293,J3293))</f>
        <v/>
      </c>
      <c r="G3293">
        <f>IF(H3293="","",M3293)</f>
        <v/>
      </c>
      <c r="H3293">
        <f>IF(AND(I3293="",J3293="",K3293=""),"",IF(OR(NOT(ISNUMBER(O3293)),N(O3293)&lt;=0),"Bad amount",IF(NOT(ISNUMBER(N3293)),"Bad date",IF(P3293="","NAME NOT ON ROSTER","OK"))))</f>
        <v/>
      </c>
      <c r="I3293">
        <f>IF('Cash_Check'!A293="","",'Cash_Check'!A293)</f>
        <v/>
      </c>
      <c r="J3293">
        <f>IF('Cash_Check'!D293="","",'Cash_Check'!D293)</f>
        <v/>
      </c>
      <c r="K3293">
        <f>TRIM('Cash_Check'!B293)</f>
        <v/>
      </c>
      <c r="M3293">
        <f>IF(TRIM('Cash_Check'!E293)="","Cash/check",TRIM('Cash_Check'!E293))</f>
        <v/>
      </c>
      <c r="N3293">
        <f>IF(I3293="","",IF(ISNUMBER(I3293),INT(I3293),IFERROR(INT(DATEVALUE(I3293)),IFERROR(INT(VALUE(I3293)),"bad"))))</f>
        <v/>
      </c>
      <c r="O3293">
        <f>IF(J3293="","",IF(ISNUMBER(J3293),ROUND(J3293,2),IFERROR(ROUND(VALUE(SUBSTITUTE(SUBSTITUTE(SUBSTITUTE(J3293,"$",""),",","")," ","")),2),"bad")))</f>
        <v/>
      </c>
      <c r="P3293">
        <f>IF(K3293="","",IFERROR(MATCH(IF(ISNUMBER(FIND("#",K3293)),TRIM(MID(K3293,FIND("#",K3293)+1,20)),UPPER(K3293)),'Students'!$AD$2:$AD$701,0),""))</f>
        <v/>
      </c>
      <c r="R3293">
        <f>IF(P3293="","",INDEX('Students'!$AD$2:$AD$701,P3293))</f>
        <v/>
      </c>
      <c r="S3293">
        <f>IF(H3293="OK",O3293,0)</f>
        <v/>
      </c>
      <c r="T3293">
        <f>IF(H3293="OK",N3293,"")</f>
        <v/>
      </c>
      <c r="U3293">
        <f>TRIM('Cash_Check'!C293)</f>
        <v/>
      </c>
    </row>
    <row r="3294">
      <c r="A3294" s="62">
        <f>IF(H3294="","",IF(ISNUMBER(N3294),N3294,I3294))</f>
        <v/>
      </c>
      <c r="B3294">
        <f>IF(H3294="","",U3294)</f>
        <v/>
      </c>
      <c r="C3294">
        <f>IF(H3294="","",IF(P3294="",K3294,INDEX('Students'!$A$2:$A$701,P3294)))</f>
        <v/>
      </c>
      <c r="D3294">
        <f>IF(OR(H3294="",P3294=""),"",INDEX('Students'!$B$2:$B$701,P3294))</f>
        <v/>
      </c>
      <c r="E3294">
        <f>IF(OR(H3294="",P3294=""),"",INDEX('Students'!$C$2:$C$701,P3294))</f>
        <v/>
      </c>
      <c r="F3294" s="48">
        <f>IF(H3294="","",IF(ISNUMBER(O3294),O3294,J3294))</f>
        <v/>
      </c>
      <c r="G3294">
        <f>IF(H3294="","",M3294)</f>
        <v/>
      </c>
      <c r="H3294">
        <f>IF(AND(I3294="",J3294="",K3294=""),"",IF(OR(NOT(ISNUMBER(O3294)),N(O3294)&lt;=0),"Bad amount",IF(NOT(ISNUMBER(N3294)),"Bad date",IF(P3294="","NAME NOT ON ROSTER","OK"))))</f>
        <v/>
      </c>
      <c r="I3294">
        <f>IF('Cash_Check'!A294="","",'Cash_Check'!A294)</f>
        <v/>
      </c>
      <c r="J3294">
        <f>IF('Cash_Check'!D294="","",'Cash_Check'!D294)</f>
        <v/>
      </c>
      <c r="K3294">
        <f>TRIM('Cash_Check'!B294)</f>
        <v/>
      </c>
      <c r="M3294">
        <f>IF(TRIM('Cash_Check'!E294)="","Cash/check",TRIM('Cash_Check'!E294))</f>
        <v/>
      </c>
      <c r="N3294">
        <f>IF(I3294="","",IF(ISNUMBER(I3294),INT(I3294),IFERROR(INT(DATEVALUE(I3294)),IFERROR(INT(VALUE(I3294)),"bad"))))</f>
        <v/>
      </c>
      <c r="O3294">
        <f>IF(J3294="","",IF(ISNUMBER(J3294),ROUND(J3294,2),IFERROR(ROUND(VALUE(SUBSTITUTE(SUBSTITUTE(SUBSTITUTE(J3294,"$",""),",","")," ","")),2),"bad")))</f>
        <v/>
      </c>
      <c r="P3294">
        <f>IF(K3294="","",IFERROR(MATCH(IF(ISNUMBER(FIND("#",K3294)),TRIM(MID(K3294,FIND("#",K3294)+1,20)),UPPER(K3294)),'Students'!$AD$2:$AD$701,0),""))</f>
        <v/>
      </c>
      <c r="R3294">
        <f>IF(P3294="","",INDEX('Students'!$AD$2:$AD$701,P3294))</f>
        <v/>
      </c>
      <c r="S3294">
        <f>IF(H3294="OK",O3294,0)</f>
        <v/>
      </c>
      <c r="T3294">
        <f>IF(H3294="OK",N3294,"")</f>
        <v/>
      </c>
      <c r="U3294">
        <f>TRIM('Cash_Check'!C294)</f>
        <v/>
      </c>
    </row>
    <row r="3295">
      <c r="A3295" s="62">
        <f>IF(H3295="","",IF(ISNUMBER(N3295),N3295,I3295))</f>
        <v/>
      </c>
      <c r="B3295">
        <f>IF(H3295="","",U3295)</f>
        <v/>
      </c>
      <c r="C3295">
        <f>IF(H3295="","",IF(P3295="",K3295,INDEX('Students'!$A$2:$A$701,P3295)))</f>
        <v/>
      </c>
      <c r="D3295">
        <f>IF(OR(H3295="",P3295=""),"",INDEX('Students'!$B$2:$B$701,P3295))</f>
        <v/>
      </c>
      <c r="E3295">
        <f>IF(OR(H3295="",P3295=""),"",INDEX('Students'!$C$2:$C$701,P3295))</f>
        <v/>
      </c>
      <c r="F3295" s="48">
        <f>IF(H3295="","",IF(ISNUMBER(O3295),O3295,J3295))</f>
        <v/>
      </c>
      <c r="G3295">
        <f>IF(H3295="","",M3295)</f>
        <v/>
      </c>
      <c r="H3295">
        <f>IF(AND(I3295="",J3295="",K3295=""),"",IF(OR(NOT(ISNUMBER(O3295)),N(O3295)&lt;=0),"Bad amount",IF(NOT(ISNUMBER(N3295)),"Bad date",IF(P3295="","NAME NOT ON ROSTER","OK"))))</f>
        <v/>
      </c>
      <c r="I3295">
        <f>IF('Cash_Check'!A295="","",'Cash_Check'!A295)</f>
        <v/>
      </c>
      <c r="J3295">
        <f>IF('Cash_Check'!D295="","",'Cash_Check'!D295)</f>
        <v/>
      </c>
      <c r="K3295">
        <f>TRIM('Cash_Check'!B295)</f>
        <v/>
      </c>
      <c r="M3295">
        <f>IF(TRIM('Cash_Check'!E295)="","Cash/check",TRIM('Cash_Check'!E295))</f>
        <v/>
      </c>
      <c r="N3295">
        <f>IF(I3295="","",IF(ISNUMBER(I3295),INT(I3295),IFERROR(INT(DATEVALUE(I3295)),IFERROR(INT(VALUE(I3295)),"bad"))))</f>
        <v/>
      </c>
      <c r="O3295">
        <f>IF(J3295="","",IF(ISNUMBER(J3295),ROUND(J3295,2),IFERROR(ROUND(VALUE(SUBSTITUTE(SUBSTITUTE(SUBSTITUTE(J3295,"$",""),",","")," ","")),2),"bad")))</f>
        <v/>
      </c>
      <c r="P3295">
        <f>IF(K3295="","",IFERROR(MATCH(IF(ISNUMBER(FIND("#",K3295)),TRIM(MID(K3295,FIND("#",K3295)+1,20)),UPPER(K3295)),'Students'!$AD$2:$AD$701,0),""))</f>
        <v/>
      </c>
      <c r="R3295">
        <f>IF(P3295="","",INDEX('Students'!$AD$2:$AD$701,P3295))</f>
        <v/>
      </c>
      <c r="S3295">
        <f>IF(H3295="OK",O3295,0)</f>
        <v/>
      </c>
      <c r="T3295">
        <f>IF(H3295="OK",N3295,"")</f>
        <v/>
      </c>
      <c r="U3295">
        <f>TRIM('Cash_Check'!C295)</f>
        <v/>
      </c>
    </row>
    <row r="3296">
      <c r="A3296" s="62">
        <f>IF(H3296="","",IF(ISNUMBER(N3296),N3296,I3296))</f>
        <v/>
      </c>
      <c r="B3296">
        <f>IF(H3296="","",U3296)</f>
        <v/>
      </c>
      <c r="C3296">
        <f>IF(H3296="","",IF(P3296="",K3296,INDEX('Students'!$A$2:$A$701,P3296)))</f>
        <v/>
      </c>
      <c r="D3296">
        <f>IF(OR(H3296="",P3296=""),"",INDEX('Students'!$B$2:$B$701,P3296))</f>
        <v/>
      </c>
      <c r="E3296">
        <f>IF(OR(H3296="",P3296=""),"",INDEX('Students'!$C$2:$C$701,P3296))</f>
        <v/>
      </c>
      <c r="F3296" s="48">
        <f>IF(H3296="","",IF(ISNUMBER(O3296),O3296,J3296))</f>
        <v/>
      </c>
      <c r="G3296">
        <f>IF(H3296="","",M3296)</f>
        <v/>
      </c>
      <c r="H3296">
        <f>IF(AND(I3296="",J3296="",K3296=""),"",IF(OR(NOT(ISNUMBER(O3296)),N(O3296)&lt;=0),"Bad amount",IF(NOT(ISNUMBER(N3296)),"Bad date",IF(P3296="","NAME NOT ON ROSTER","OK"))))</f>
        <v/>
      </c>
      <c r="I3296">
        <f>IF('Cash_Check'!A296="","",'Cash_Check'!A296)</f>
        <v/>
      </c>
      <c r="J3296">
        <f>IF('Cash_Check'!D296="","",'Cash_Check'!D296)</f>
        <v/>
      </c>
      <c r="K3296">
        <f>TRIM('Cash_Check'!B296)</f>
        <v/>
      </c>
      <c r="M3296">
        <f>IF(TRIM('Cash_Check'!E296)="","Cash/check",TRIM('Cash_Check'!E296))</f>
        <v/>
      </c>
      <c r="N3296">
        <f>IF(I3296="","",IF(ISNUMBER(I3296),INT(I3296),IFERROR(INT(DATEVALUE(I3296)),IFERROR(INT(VALUE(I3296)),"bad"))))</f>
        <v/>
      </c>
      <c r="O3296">
        <f>IF(J3296="","",IF(ISNUMBER(J3296),ROUND(J3296,2),IFERROR(ROUND(VALUE(SUBSTITUTE(SUBSTITUTE(SUBSTITUTE(J3296,"$",""),",","")," ","")),2),"bad")))</f>
        <v/>
      </c>
      <c r="P3296">
        <f>IF(K3296="","",IFERROR(MATCH(IF(ISNUMBER(FIND("#",K3296)),TRIM(MID(K3296,FIND("#",K3296)+1,20)),UPPER(K3296)),'Students'!$AD$2:$AD$701,0),""))</f>
        <v/>
      </c>
      <c r="R3296">
        <f>IF(P3296="","",INDEX('Students'!$AD$2:$AD$701,P3296))</f>
        <v/>
      </c>
      <c r="S3296">
        <f>IF(H3296="OK",O3296,0)</f>
        <v/>
      </c>
      <c r="T3296">
        <f>IF(H3296="OK",N3296,"")</f>
        <v/>
      </c>
      <c r="U3296">
        <f>TRIM('Cash_Check'!C296)</f>
        <v/>
      </c>
    </row>
    <row r="3297">
      <c r="A3297" s="62">
        <f>IF(H3297="","",IF(ISNUMBER(N3297),N3297,I3297))</f>
        <v/>
      </c>
      <c r="B3297">
        <f>IF(H3297="","",U3297)</f>
        <v/>
      </c>
      <c r="C3297">
        <f>IF(H3297="","",IF(P3297="",K3297,INDEX('Students'!$A$2:$A$701,P3297)))</f>
        <v/>
      </c>
      <c r="D3297">
        <f>IF(OR(H3297="",P3297=""),"",INDEX('Students'!$B$2:$B$701,P3297))</f>
        <v/>
      </c>
      <c r="E3297">
        <f>IF(OR(H3297="",P3297=""),"",INDEX('Students'!$C$2:$C$701,P3297))</f>
        <v/>
      </c>
      <c r="F3297" s="48">
        <f>IF(H3297="","",IF(ISNUMBER(O3297),O3297,J3297))</f>
        <v/>
      </c>
      <c r="G3297">
        <f>IF(H3297="","",M3297)</f>
        <v/>
      </c>
      <c r="H3297">
        <f>IF(AND(I3297="",J3297="",K3297=""),"",IF(OR(NOT(ISNUMBER(O3297)),N(O3297)&lt;=0),"Bad amount",IF(NOT(ISNUMBER(N3297)),"Bad date",IF(P3297="","NAME NOT ON ROSTER","OK"))))</f>
        <v/>
      </c>
      <c r="I3297">
        <f>IF('Cash_Check'!A297="","",'Cash_Check'!A297)</f>
        <v/>
      </c>
      <c r="J3297">
        <f>IF('Cash_Check'!D297="","",'Cash_Check'!D297)</f>
        <v/>
      </c>
      <c r="K3297">
        <f>TRIM('Cash_Check'!B297)</f>
        <v/>
      </c>
      <c r="M3297">
        <f>IF(TRIM('Cash_Check'!E297)="","Cash/check",TRIM('Cash_Check'!E297))</f>
        <v/>
      </c>
      <c r="N3297">
        <f>IF(I3297="","",IF(ISNUMBER(I3297),INT(I3297),IFERROR(INT(DATEVALUE(I3297)),IFERROR(INT(VALUE(I3297)),"bad"))))</f>
        <v/>
      </c>
      <c r="O3297">
        <f>IF(J3297="","",IF(ISNUMBER(J3297),ROUND(J3297,2),IFERROR(ROUND(VALUE(SUBSTITUTE(SUBSTITUTE(SUBSTITUTE(J3297,"$",""),",","")," ","")),2),"bad")))</f>
        <v/>
      </c>
      <c r="P3297">
        <f>IF(K3297="","",IFERROR(MATCH(IF(ISNUMBER(FIND("#",K3297)),TRIM(MID(K3297,FIND("#",K3297)+1,20)),UPPER(K3297)),'Students'!$AD$2:$AD$701,0),""))</f>
        <v/>
      </c>
      <c r="R3297">
        <f>IF(P3297="","",INDEX('Students'!$AD$2:$AD$701,P3297))</f>
        <v/>
      </c>
      <c r="S3297">
        <f>IF(H3297="OK",O3297,0)</f>
        <v/>
      </c>
      <c r="T3297">
        <f>IF(H3297="OK",N3297,"")</f>
        <v/>
      </c>
      <c r="U3297">
        <f>TRIM('Cash_Check'!C297)</f>
        <v/>
      </c>
    </row>
    <row r="3298">
      <c r="A3298" s="62">
        <f>IF(H3298="","",IF(ISNUMBER(N3298),N3298,I3298))</f>
        <v/>
      </c>
      <c r="B3298">
        <f>IF(H3298="","",U3298)</f>
        <v/>
      </c>
      <c r="C3298">
        <f>IF(H3298="","",IF(P3298="",K3298,INDEX('Students'!$A$2:$A$701,P3298)))</f>
        <v/>
      </c>
      <c r="D3298">
        <f>IF(OR(H3298="",P3298=""),"",INDEX('Students'!$B$2:$B$701,P3298))</f>
        <v/>
      </c>
      <c r="E3298">
        <f>IF(OR(H3298="",P3298=""),"",INDEX('Students'!$C$2:$C$701,P3298))</f>
        <v/>
      </c>
      <c r="F3298" s="48">
        <f>IF(H3298="","",IF(ISNUMBER(O3298),O3298,J3298))</f>
        <v/>
      </c>
      <c r="G3298">
        <f>IF(H3298="","",M3298)</f>
        <v/>
      </c>
      <c r="H3298">
        <f>IF(AND(I3298="",J3298="",K3298=""),"",IF(OR(NOT(ISNUMBER(O3298)),N(O3298)&lt;=0),"Bad amount",IF(NOT(ISNUMBER(N3298)),"Bad date",IF(P3298="","NAME NOT ON ROSTER","OK"))))</f>
        <v/>
      </c>
      <c r="I3298">
        <f>IF('Cash_Check'!A298="","",'Cash_Check'!A298)</f>
        <v/>
      </c>
      <c r="J3298">
        <f>IF('Cash_Check'!D298="","",'Cash_Check'!D298)</f>
        <v/>
      </c>
      <c r="K3298">
        <f>TRIM('Cash_Check'!B298)</f>
        <v/>
      </c>
      <c r="M3298">
        <f>IF(TRIM('Cash_Check'!E298)="","Cash/check",TRIM('Cash_Check'!E298))</f>
        <v/>
      </c>
      <c r="N3298">
        <f>IF(I3298="","",IF(ISNUMBER(I3298),INT(I3298),IFERROR(INT(DATEVALUE(I3298)),IFERROR(INT(VALUE(I3298)),"bad"))))</f>
        <v/>
      </c>
      <c r="O3298">
        <f>IF(J3298="","",IF(ISNUMBER(J3298),ROUND(J3298,2),IFERROR(ROUND(VALUE(SUBSTITUTE(SUBSTITUTE(SUBSTITUTE(J3298,"$",""),",","")," ","")),2),"bad")))</f>
        <v/>
      </c>
      <c r="P3298">
        <f>IF(K3298="","",IFERROR(MATCH(IF(ISNUMBER(FIND("#",K3298)),TRIM(MID(K3298,FIND("#",K3298)+1,20)),UPPER(K3298)),'Students'!$AD$2:$AD$701,0),""))</f>
        <v/>
      </c>
      <c r="R3298">
        <f>IF(P3298="","",INDEX('Students'!$AD$2:$AD$701,P3298))</f>
        <v/>
      </c>
      <c r="S3298">
        <f>IF(H3298="OK",O3298,0)</f>
        <v/>
      </c>
      <c r="T3298">
        <f>IF(H3298="OK",N3298,"")</f>
        <v/>
      </c>
      <c r="U3298">
        <f>TRIM('Cash_Check'!C298)</f>
        <v/>
      </c>
    </row>
    <row r="3299">
      <c r="A3299" s="62">
        <f>IF(H3299="","",IF(ISNUMBER(N3299),N3299,I3299))</f>
        <v/>
      </c>
      <c r="B3299">
        <f>IF(H3299="","",U3299)</f>
        <v/>
      </c>
      <c r="C3299">
        <f>IF(H3299="","",IF(P3299="",K3299,INDEX('Students'!$A$2:$A$701,P3299)))</f>
        <v/>
      </c>
      <c r="D3299">
        <f>IF(OR(H3299="",P3299=""),"",INDEX('Students'!$B$2:$B$701,P3299))</f>
        <v/>
      </c>
      <c r="E3299">
        <f>IF(OR(H3299="",P3299=""),"",INDEX('Students'!$C$2:$C$701,P3299))</f>
        <v/>
      </c>
      <c r="F3299" s="48">
        <f>IF(H3299="","",IF(ISNUMBER(O3299),O3299,J3299))</f>
        <v/>
      </c>
      <c r="G3299">
        <f>IF(H3299="","",M3299)</f>
        <v/>
      </c>
      <c r="H3299">
        <f>IF(AND(I3299="",J3299="",K3299=""),"",IF(OR(NOT(ISNUMBER(O3299)),N(O3299)&lt;=0),"Bad amount",IF(NOT(ISNUMBER(N3299)),"Bad date",IF(P3299="","NAME NOT ON ROSTER","OK"))))</f>
        <v/>
      </c>
      <c r="I3299">
        <f>IF('Cash_Check'!A299="","",'Cash_Check'!A299)</f>
        <v/>
      </c>
      <c r="J3299">
        <f>IF('Cash_Check'!D299="","",'Cash_Check'!D299)</f>
        <v/>
      </c>
      <c r="K3299">
        <f>TRIM('Cash_Check'!B299)</f>
        <v/>
      </c>
      <c r="M3299">
        <f>IF(TRIM('Cash_Check'!E299)="","Cash/check",TRIM('Cash_Check'!E299))</f>
        <v/>
      </c>
      <c r="N3299">
        <f>IF(I3299="","",IF(ISNUMBER(I3299),INT(I3299),IFERROR(INT(DATEVALUE(I3299)),IFERROR(INT(VALUE(I3299)),"bad"))))</f>
        <v/>
      </c>
      <c r="O3299">
        <f>IF(J3299="","",IF(ISNUMBER(J3299),ROUND(J3299,2),IFERROR(ROUND(VALUE(SUBSTITUTE(SUBSTITUTE(SUBSTITUTE(J3299,"$",""),",","")," ","")),2),"bad")))</f>
        <v/>
      </c>
      <c r="P3299">
        <f>IF(K3299="","",IFERROR(MATCH(IF(ISNUMBER(FIND("#",K3299)),TRIM(MID(K3299,FIND("#",K3299)+1,20)),UPPER(K3299)),'Students'!$AD$2:$AD$701,0),""))</f>
        <v/>
      </c>
      <c r="R3299">
        <f>IF(P3299="","",INDEX('Students'!$AD$2:$AD$701,P3299))</f>
        <v/>
      </c>
      <c r="S3299">
        <f>IF(H3299="OK",O3299,0)</f>
        <v/>
      </c>
      <c r="T3299">
        <f>IF(H3299="OK",N3299,"")</f>
        <v/>
      </c>
      <c r="U3299">
        <f>TRIM('Cash_Check'!C299)</f>
        <v/>
      </c>
    </row>
    <row r="3300">
      <c r="A3300" s="62">
        <f>IF(H3300="","",IF(ISNUMBER(N3300),N3300,I3300))</f>
        <v/>
      </c>
      <c r="B3300">
        <f>IF(H3300="","",U3300)</f>
        <v/>
      </c>
      <c r="C3300">
        <f>IF(H3300="","",IF(P3300="",K3300,INDEX('Students'!$A$2:$A$701,P3300)))</f>
        <v/>
      </c>
      <c r="D3300">
        <f>IF(OR(H3300="",P3300=""),"",INDEX('Students'!$B$2:$B$701,P3300))</f>
        <v/>
      </c>
      <c r="E3300">
        <f>IF(OR(H3300="",P3300=""),"",INDEX('Students'!$C$2:$C$701,P3300))</f>
        <v/>
      </c>
      <c r="F3300" s="48">
        <f>IF(H3300="","",IF(ISNUMBER(O3300),O3300,J3300))</f>
        <v/>
      </c>
      <c r="G3300">
        <f>IF(H3300="","",M3300)</f>
        <v/>
      </c>
      <c r="H3300">
        <f>IF(AND(I3300="",J3300="",K3300=""),"",IF(OR(NOT(ISNUMBER(O3300)),N(O3300)&lt;=0),"Bad amount",IF(NOT(ISNUMBER(N3300)),"Bad date",IF(P3300="","NAME NOT ON ROSTER","OK"))))</f>
        <v/>
      </c>
      <c r="I3300">
        <f>IF('Cash_Check'!A300="","",'Cash_Check'!A300)</f>
        <v/>
      </c>
      <c r="J3300">
        <f>IF('Cash_Check'!D300="","",'Cash_Check'!D300)</f>
        <v/>
      </c>
      <c r="K3300">
        <f>TRIM('Cash_Check'!B300)</f>
        <v/>
      </c>
      <c r="M3300">
        <f>IF(TRIM('Cash_Check'!E300)="","Cash/check",TRIM('Cash_Check'!E300))</f>
        <v/>
      </c>
      <c r="N3300">
        <f>IF(I3300="","",IF(ISNUMBER(I3300),INT(I3300),IFERROR(INT(DATEVALUE(I3300)),IFERROR(INT(VALUE(I3300)),"bad"))))</f>
        <v/>
      </c>
      <c r="O3300">
        <f>IF(J3300="","",IF(ISNUMBER(J3300),ROUND(J3300,2),IFERROR(ROUND(VALUE(SUBSTITUTE(SUBSTITUTE(SUBSTITUTE(J3300,"$",""),",","")," ","")),2),"bad")))</f>
        <v/>
      </c>
      <c r="P3300">
        <f>IF(K3300="","",IFERROR(MATCH(IF(ISNUMBER(FIND("#",K3300)),TRIM(MID(K3300,FIND("#",K3300)+1,20)),UPPER(K3300)),'Students'!$AD$2:$AD$701,0),""))</f>
        <v/>
      </c>
      <c r="R3300">
        <f>IF(P3300="","",INDEX('Students'!$AD$2:$AD$701,P3300))</f>
        <v/>
      </c>
      <c r="S3300">
        <f>IF(H3300="OK",O3300,0)</f>
        <v/>
      </c>
      <c r="T3300">
        <f>IF(H3300="OK",N3300,"")</f>
        <v/>
      </c>
      <c r="U3300">
        <f>TRIM('Cash_Check'!C300)</f>
        <v/>
      </c>
    </row>
    <row r="3301">
      <c r="A3301" s="62">
        <f>IF(H3301="","",IF(ISNUMBER(N3301),N3301,I3301))</f>
        <v/>
      </c>
      <c r="B3301">
        <f>IF(H3301="","",U3301)</f>
        <v/>
      </c>
      <c r="C3301">
        <f>IF(H3301="","",IF(P3301="",K3301,INDEX('Students'!$A$2:$A$701,P3301)))</f>
        <v/>
      </c>
      <c r="D3301">
        <f>IF(OR(H3301="",P3301=""),"",INDEX('Students'!$B$2:$B$701,P3301))</f>
        <v/>
      </c>
      <c r="E3301">
        <f>IF(OR(H3301="",P3301=""),"",INDEX('Students'!$C$2:$C$701,P3301))</f>
        <v/>
      </c>
      <c r="F3301" s="48">
        <f>IF(H3301="","",IF(ISNUMBER(O3301),O3301,J3301))</f>
        <v/>
      </c>
      <c r="G3301">
        <f>IF(H3301="","",M3301)</f>
        <v/>
      </c>
      <c r="H3301">
        <f>IF(AND(I3301="",J3301="",K3301=""),"",IF(OR(NOT(ISNUMBER(O3301)),N(O3301)&lt;=0),"Bad amount",IF(NOT(ISNUMBER(N3301)),"Bad date",IF(P3301="","NAME NOT ON ROSTER","OK"))))</f>
        <v/>
      </c>
      <c r="I3301">
        <f>IF('Cash_Check'!A301="","",'Cash_Check'!A301)</f>
        <v/>
      </c>
      <c r="J3301">
        <f>IF('Cash_Check'!D301="","",'Cash_Check'!D301)</f>
        <v/>
      </c>
      <c r="K3301">
        <f>TRIM('Cash_Check'!B301)</f>
        <v/>
      </c>
      <c r="M3301">
        <f>IF(TRIM('Cash_Check'!E301)="","Cash/check",TRIM('Cash_Check'!E301))</f>
        <v/>
      </c>
      <c r="N3301">
        <f>IF(I3301="","",IF(ISNUMBER(I3301),INT(I3301),IFERROR(INT(DATEVALUE(I3301)),IFERROR(INT(VALUE(I3301)),"bad"))))</f>
        <v/>
      </c>
      <c r="O3301">
        <f>IF(J3301="","",IF(ISNUMBER(J3301),ROUND(J3301,2),IFERROR(ROUND(VALUE(SUBSTITUTE(SUBSTITUTE(SUBSTITUTE(J3301,"$",""),",","")," ","")),2),"bad")))</f>
        <v/>
      </c>
      <c r="P3301">
        <f>IF(K3301="","",IFERROR(MATCH(IF(ISNUMBER(FIND("#",K3301)),TRIM(MID(K3301,FIND("#",K3301)+1,20)),UPPER(K3301)),'Students'!$AD$2:$AD$701,0),""))</f>
        <v/>
      </c>
      <c r="R3301">
        <f>IF(P3301="","",INDEX('Students'!$AD$2:$AD$701,P3301))</f>
        <v/>
      </c>
      <c r="S3301">
        <f>IF(H3301="OK",O3301,0)</f>
        <v/>
      </c>
      <c r="T3301">
        <f>IF(H3301="OK",N3301,"")</f>
        <v/>
      </c>
      <c r="U3301">
        <f>TRIM('Cash_Check'!C301)</f>
        <v/>
      </c>
    </row>
    <row r="3302">
      <c r="A3302" s="62">
        <f>IF(H3302="","",IF(ISNUMBER(N3302),N3302,I3302))</f>
        <v/>
      </c>
      <c r="B3302">
        <f>IF(H3302="","",U3302)</f>
        <v/>
      </c>
      <c r="C3302">
        <f>IF(H3302="","",IF(P3302="",K3302,INDEX('Students'!$A$2:$A$701,P3302)))</f>
        <v/>
      </c>
      <c r="D3302">
        <f>IF(OR(H3302="",P3302=""),"",INDEX('Students'!$B$2:$B$701,P3302))</f>
        <v/>
      </c>
      <c r="E3302">
        <f>IF(OR(H3302="",P3302=""),"",INDEX('Students'!$C$2:$C$701,P3302))</f>
        <v/>
      </c>
      <c r="F3302" s="48">
        <f>IF(H3302="","",IF(ISNUMBER(O3302),O3302,J3302))</f>
        <v/>
      </c>
      <c r="G3302">
        <f>IF(H3302="","",M3302)</f>
        <v/>
      </c>
      <c r="H3302">
        <f>IF(AND(I3302="",J3302="",K3302=""),"",IF(OR(NOT(ISNUMBER(O3302)),N(O3302)&lt;=0),"Bad amount",IF(NOT(ISNUMBER(N3302)),"Bad date",IF(P3302="","NAME NOT ON ROSTER","OK"))))</f>
        <v/>
      </c>
      <c r="I3302">
        <f>IF('Cash_Check'!A302="","",'Cash_Check'!A302)</f>
        <v/>
      </c>
      <c r="J3302">
        <f>IF('Cash_Check'!D302="","",'Cash_Check'!D302)</f>
        <v/>
      </c>
      <c r="K3302">
        <f>TRIM('Cash_Check'!B302)</f>
        <v/>
      </c>
      <c r="M3302">
        <f>IF(TRIM('Cash_Check'!E302)="","Cash/check",TRIM('Cash_Check'!E302))</f>
        <v/>
      </c>
      <c r="N3302">
        <f>IF(I3302="","",IF(ISNUMBER(I3302),INT(I3302),IFERROR(INT(DATEVALUE(I3302)),IFERROR(INT(VALUE(I3302)),"bad"))))</f>
        <v/>
      </c>
      <c r="O3302">
        <f>IF(J3302="","",IF(ISNUMBER(J3302),ROUND(J3302,2),IFERROR(ROUND(VALUE(SUBSTITUTE(SUBSTITUTE(SUBSTITUTE(J3302,"$",""),",","")," ","")),2),"bad")))</f>
        <v/>
      </c>
      <c r="P3302">
        <f>IF(K3302="","",IFERROR(MATCH(IF(ISNUMBER(FIND("#",K3302)),TRIM(MID(K3302,FIND("#",K3302)+1,20)),UPPER(K3302)),'Students'!$AD$2:$AD$701,0),""))</f>
        <v/>
      </c>
      <c r="R3302">
        <f>IF(P3302="","",INDEX('Students'!$AD$2:$AD$701,P3302))</f>
        <v/>
      </c>
      <c r="S3302">
        <f>IF(H3302="OK",O3302,0)</f>
        <v/>
      </c>
      <c r="T3302">
        <f>IF(H3302="OK",N3302,"")</f>
        <v/>
      </c>
      <c r="U3302">
        <f>TRIM('Cash_Check'!C302)</f>
        <v/>
      </c>
    </row>
    <row r="3303">
      <c r="A3303" s="62">
        <f>IF(H3303="","",IF(ISNUMBER(N3303),N3303,I3303))</f>
        <v/>
      </c>
      <c r="B3303">
        <f>IF(H3303="","",U3303)</f>
        <v/>
      </c>
      <c r="C3303">
        <f>IF(H3303="","",IF(P3303="",K3303,INDEX('Students'!$A$2:$A$701,P3303)))</f>
        <v/>
      </c>
      <c r="D3303">
        <f>IF(OR(H3303="",P3303=""),"",INDEX('Students'!$B$2:$B$701,P3303))</f>
        <v/>
      </c>
      <c r="E3303">
        <f>IF(OR(H3303="",P3303=""),"",INDEX('Students'!$C$2:$C$701,P3303))</f>
        <v/>
      </c>
      <c r="F3303" s="48">
        <f>IF(H3303="","",IF(ISNUMBER(O3303),O3303,J3303))</f>
        <v/>
      </c>
      <c r="G3303">
        <f>IF(H3303="","",M3303)</f>
        <v/>
      </c>
      <c r="H3303">
        <f>IF(AND(I3303="",J3303="",K3303=""),"",IF(OR(NOT(ISNUMBER(O3303)),N(O3303)&lt;=0),"Bad amount",IF(NOT(ISNUMBER(N3303)),"Bad date",IF(P3303="","NAME NOT ON ROSTER","OK"))))</f>
        <v/>
      </c>
      <c r="I3303">
        <f>IF('Cash_Check'!A303="","",'Cash_Check'!A303)</f>
        <v/>
      </c>
      <c r="J3303">
        <f>IF('Cash_Check'!D303="","",'Cash_Check'!D303)</f>
        <v/>
      </c>
      <c r="K3303">
        <f>TRIM('Cash_Check'!B303)</f>
        <v/>
      </c>
      <c r="M3303">
        <f>IF(TRIM('Cash_Check'!E303)="","Cash/check",TRIM('Cash_Check'!E303))</f>
        <v/>
      </c>
      <c r="N3303">
        <f>IF(I3303="","",IF(ISNUMBER(I3303),INT(I3303),IFERROR(INT(DATEVALUE(I3303)),IFERROR(INT(VALUE(I3303)),"bad"))))</f>
        <v/>
      </c>
      <c r="O3303">
        <f>IF(J3303="","",IF(ISNUMBER(J3303),ROUND(J3303,2),IFERROR(ROUND(VALUE(SUBSTITUTE(SUBSTITUTE(SUBSTITUTE(J3303,"$",""),",","")," ","")),2),"bad")))</f>
        <v/>
      </c>
      <c r="P3303">
        <f>IF(K3303="","",IFERROR(MATCH(IF(ISNUMBER(FIND("#",K3303)),TRIM(MID(K3303,FIND("#",K3303)+1,20)),UPPER(K3303)),'Students'!$AD$2:$AD$701,0),""))</f>
        <v/>
      </c>
      <c r="R3303">
        <f>IF(P3303="","",INDEX('Students'!$AD$2:$AD$701,P3303))</f>
        <v/>
      </c>
      <c r="S3303">
        <f>IF(H3303="OK",O3303,0)</f>
        <v/>
      </c>
      <c r="T3303">
        <f>IF(H3303="OK",N3303,"")</f>
        <v/>
      </c>
      <c r="U3303">
        <f>TRIM('Cash_Check'!C303)</f>
        <v/>
      </c>
    </row>
    <row r="3304">
      <c r="A3304" s="62">
        <f>IF(H3304="","",IF(ISNUMBER(N3304),N3304,I3304))</f>
        <v/>
      </c>
      <c r="B3304">
        <f>IF(H3304="","",U3304)</f>
        <v/>
      </c>
      <c r="C3304">
        <f>IF(H3304="","",IF(P3304="",K3304,INDEX('Students'!$A$2:$A$701,P3304)))</f>
        <v/>
      </c>
      <c r="D3304">
        <f>IF(OR(H3304="",P3304=""),"",INDEX('Students'!$B$2:$B$701,P3304))</f>
        <v/>
      </c>
      <c r="E3304">
        <f>IF(OR(H3304="",P3304=""),"",INDEX('Students'!$C$2:$C$701,P3304))</f>
        <v/>
      </c>
      <c r="F3304" s="48">
        <f>IF(H3304="","",IF(ISNUMBER(O3304),O3304,J3304))</f>
        <v/>
      </c>
      <c r="G3304">
        <f>IF(H3304="","",M3304)</f>
        <v/>
      </c>
      <c r="H3304">
        <f>IF(AND(I3304="",J3304="",K3304=""),"",IF(OR(NOT(ISNUMBER(O3304)),N(O3304)&lt;=0),"Bad amount",IF(NOT(ISNUMBER(N3304)),"Bad date",IF(P3304="","NAME NOT ON ROSTER","OK"))))</f>
        <v/>
      </c>
      <c r="I3304">
        <f>IF('Cash_Check'!A304="","",'Cash_Check'!A304)</f>
        <v/>
      </c>
      <c r="J3304">
        <f>IF('Cash_Check'!D304="","",'Cash_Check'!D304)</f>
        <v/>
      </c>
      <c r="K3304">
        <f>TRIM('Cash_Check'!B304)</f>
        <v/>
      </c>
      <c r="M3304">
        <f>IF(TRIM('Cash_Check'!E304)="","Cash/check",TRIM('Cash_Check'!E304))</f>
        <v/>
      </c>
      <c r="N3304">
        <f>IF(I3304="","",IF(ISNUMBER(I3304),INT(I3304),IFERROR(INT(DATEVALUE(I3304)),IFERROR(INT(VALUE(I3304)),"bad"))))</f>
        <v/>
      </c>
      <c r="O3304">
        <f>IF(J3304="","",IF(ISNUMBER(J3304),ROUND(J3304,2),IFERROR(ROUND(VALUE(SUBSTITUTE(SUBSTITUTE(SUBSTITUTE(J3304,"$",""),",","")," ","")),2),"bad")))</f>
        <v/>
      </c>
      <c r="P3304">
        <f>IF(K3304="","",IFERROR(MATCH(IF(ISNUMBER(FIND("#",K3304)),TRIM(MID(K3304,FIND("#",K3304)+1,20)),UPPER(K3304)),'Students'!$AD$2:$AD$701,0),""))</f>
        <v/>
      </c>
      <c r="R3304">
        <f>IF(P3304="","",INDEX('Students'!$AD$2:$AD$701,P3304))</f>
        <v/>
      </c>
      <c r="S3304">
        <f>IF(H3304="OK",O3304,0)</f>
        <v/>
      </c>
      <c r="T3304">
        <f>IF(H3304="OK",N3304,"")</f>
        <v/>
      </c>
      <c r="U3304">
        <f>TRIM('Cash_Check'!C304)</f>
        <v/>
      </c>
    </row>
    <row r="3305">
      <c r="A3305" s="62">
        <f>IF(H3305="","",IF(ISNUMBER(N3305),N3305,I3305))</f>
        <v/>
      </c>
      <c r="B3305">
        <f>IF(H3305="","",U3305)</f>
        <v/>
      </c>
      <c r="C3305">
        <f>IF(H3305="","",IF(P3305="",K3305,INDEX('Students'!$A$2:$A$701,P3305)))</f>
        <v/>
      </c>
      <c r="D3305">
        <f>IF(OR(H3305="",P3305=""),"",INDEX('Students'!$B$2:$B$701,P3305))</f>
        <v/>
      </c>
      <c r="E3305">
        <f>IF(OR(H3305="",P3305=""),"",INDEX('Students'!$C$2:$C$701,P3305))</f>
        <v/>
      </c>
      <c r="F3305" s="48">
        <f>IF(H3305="","",IF(ISNUMBER(O3305),O3305,J3305))</f>
        <v/>
      </c>
      <c r="G3305">
        <f>IF(H3305="","",M3305)</f>
        <v/>
      </c>
      <c r="H3305">
        <f>IF(AND(I3305="",J3305="",K3305=""),"",IF(OR(NOT(ISNUMBER(O3305)),N(O3305)&lt;=0),"Bad amount",IF(NOT(ISNUMBER(N3305)),"Bad date",IF(P3305="","NAME NOT ON ROSTER","OK"))))</f>
        <v/>
      </c>
      <c r="I3305">
        <f>IF('Cash_Check'!A305="","",'Cash_Check'!A305)</f>
        <v/>
      </c>
      <c r="J3305">
        <f>IF('Cash_Check'!D305="","",'Cash_Check'!D305)</f>
        <v/>
      </c>
      <c r="K3305">
        <f>TRIM('Cash_Check'!B305)</f>
        <v/>
      </c>
      <c r="M3305">
        <f>IF(TRIM('Cash_Check'!E305)="","Cash/check",TRIM('Cash_Check'!E305))</f>
        <v/>
      </c>
      <c r="N3305">
        <f>IF(I3305="","",IF(ISNUMBER(I3305),INT(I3305),IFERROR(INT(DATEVALUE(I3305)),IFERROR(INT(VALUE(I3305)),"bad"))))</f>
        <v/>
      </c>
      <c r="O3305">
        <f>IF(J3305="","",IF(ISNUMBER(J3305),ROUND(J3305,2),IFERROR(ROUND(VALUE(SUBSTITUTE(SUBSTITUTE(SUBSTITUTE(J3305,"$",""),",","")," ","")),2),"bad")))</f>
        <v/>
      </c>
      <c r="P3305">
        <f>IF(K3305="","",IFERROR(MATCH(IF(ISNUMBER(FIND("#",K3305)),TRIM(MID(K3305,FIND("#",K3305)+1,20)),UPPER(K3305)),'Students'!$AD$2:$AD$701,0),""))</f>
        <v/>
      </c>
      <c r="R3305">
        <f>IF(P3305="","",INDEX('Students'!$AD$2:$AD$701,P3305))</f>
        <v/>
      </c>
      <c r="S3305">
        <f>IF(H3305="OK",O3305,0)</f>
        <v/>
      </c>
      <c r="T3305">
        <f>IF(H3305="OK",N3305,"")</f>
        <v/>
      </c>
      <c r="U3305">
        <f>TRIM('Cash_Check'!C305)</f>
        <v/>
      </c>
    </row>
    <row r="3306">
      <c r="A3306" s="62">
        <f>IF(H3306="","",IF(ISNUMBER(N3306),N3306,I3306))</f>
        <v/>
      </c>
      <c r="B3306">
        <f>IF(H3306="","",U3306)</f>
        <v/>
      </c>
      <c r="C3306">
        <f>IF(H3306="","",IF(P3306="",K3306,INDEX('Students'!$A$2:$A$701,P3306)))</f>
        <v/>
      </c>
      <c r="D3306">
        <f>IF(OR(H3306="",P3306=""),"",INDEX('Students'!$B$2:$B$701,P3306))</f>
        <v/>
      </c>
      <c r="E3306">
        <f>IF(OR(H3306="",P3306=""),"",INDEX('Students'!$C$2:$C$701,P3306))</f>
        <v/>
      </c>
      <c r="F3306" s="48">
        <f>IF(H3306="","",IF(ISNUMBER(O3306),O3306,J3306))</f>
        <v/>
      </c>
      <c r="G3306">
        <f>IF(H3306="","",M3306)</f>
        <v/>
      </c>
      <c r="H3306">
        <f>IF(AND(I3306="",J3306="",K3306=""),"",IF(OR(NOT(ISNUMBER(O3306)),N(O3306)&lt;=0),"Bad amount",IF(NOT(ISNUMBER(N3306)),"Bad date",IF(P3306="","NAME NOT ON ROSTER","OK"))))</f>
        <v/>
      </c>
      <c r="I3306">
        <f>IF('Cash_Check'!A306="","",'Cash_Check'!A306)</f>
        <v/>
      </c>
      <c r="J3306">
        <f>IF('Cash_Check'!D306="","",'Cash_Check'!D306)</f>
        <v/>
      </c>
      <c r="K3306">
        <f>TRIM('Cash_Check'!B306)</f>
        <v/>
      </c>
      <c r="M3306">
        <f>IF(TRIM('Cash_Check'!E306)="","Cash/check",TRIM('Cash_Check'!E306))</f>
        <v/>
      </c>
      <c r="N3306">
        <f>IF(I3306="","",IF(ISNUMBER(I3306),INT(I3306),IFERROR(INT(DATEVALUE(I3306)),IFERROR(INT(VALUE(I3306)),"bad"))))</f>
        <v/>
      </c>
      <c r="O3306">
        <f>IF(J3306="","",IF(ISNUMBER(J3306),ROUND(J3306,2),IFERROR(ROUND(VALUE(SUBSTITUTE(SUBSTITUTE(SUBSTITUTE(J3306,"$",""),",","")," ","")),2),"bad")))</f>
        <v/>
      </c>
      <c r="P3306">
        <f>IF(K3306="","",IFERROR(MATCH(IF(ISNUMBER(FIND("#",K3306)),TRIM(MID(K3306,FIND("#",K3306)+1,20)),UPPER(K3306)),'Students'!$AD$2:$AD$701,0),""))</f>
        <v/>
      </c>
      <c r="R3306">
        <f>IF(P3306="","",INDEX('Students'!$AD$2:$AD$701,P3306))</f>
        <v/>
      </c>
      <c r="S3306">
        <f>IF(H3306="OK",O3306,0)</f>
        <v/>
      </c>
      <c r="T3306">
        <f>IF(H3306="OK",N3306,"")</f>
        <v/>
      </c>
      <c r="U3306">
        <f>TRIM('Cash_Check'!C306)</f>
        <v/>
      </c>
    </row>
    <row r="3307">
      <c r="A3307" s="62">
        <f>IF(H3307="","",IF(ISNUMBER(N3307),N3307,I3307))</f>
        <v/>
      </c>
      <c r="B3307">
        <f>IF(H3307="","",U3307)</f>
        <v/>
      </c>
      <c r="C3307">
        <f>IF(H3307="","",IF(P3307="",K3307,INDEX('Students'!$A$2:$A$701,P3307)))</f>
        <v/>
      </c>
      <c r="D3307">
        <f>IF(OR(H3307="",P3307=""),"",INDEX('Students'!$B$2:$B$701,P3307))</f>
        <v/>
      </c>
      <c r="E3307">
        <f>IF(OR(H3307="",P3307=""),"",INDEX('Students'!$C$2:$C$701,P3307))</f>
        <v/>
      </c>
      <c r="F3307" s="48">
        <f>IF(H3307="","",IF(ISNUMBER(O3307),O3307,J3307))</f>
        <v/>
      </c>
      <c r="G3307">
        <f>IF(H3307="","",M3307)</f>
        <v/>
      </c>
      <c r="H3307">
        <f>IF(AND(I3307="",J3307="",K3307=""),"",IF(OR(NOT(ISNUMBER(O3307)),N(O3307)&lt;=0),"Bad amount",IF(NOT(ISNUMBER(N3307)),"Bad date",IF(P3307="","NAME NOT ON ROSTER","OK"))))</f>
        <v/>
      </c>
      <c r="I3307">
        <f>IF('Cash_Check'!A307="","",'Cash_Check'!A307)</f>
        <v/>
      </c>
      <c r="J3307">
        <f>IF('Cash_Check'!D307="","",'Cash_Check'!D307)</f>
        <v/>
      </c>
      <c r="K3307">
        <f>TRIM('Cash_Check'!B307)</f>
        <v/>
      </c>
      <c r="M3307">
        <f>IF(TRIM('Cash_Check'!E307)="","Cash/check",TRIM('Cash_Check'!E307))</f>
        <v/>
      </c>
      <c r="N3307">
        <f>IF(I3307="","",IF(ISNUMBER(I3307),INT(I3307),IFERROR(INT(DATEVALUE(I3307)),IFERROR(INT(VALUE(I3307)),"bad"))))</f>
        <v/>
      </c>
      <c r="O3307">
        <f>IF(J3307="","",IF(ISNUMBER(J3307),ROUND(J3307,2),IFERROR(ROUND(VALUE(SUBSTITUTE(SUBSTITUTE(SUBSTITUTE(J3307,"$",""),",","")," ","")),2),"bad")))</f>
        <v/>
      </c>
      <c r="P3307">
        <f>IF(K3307="","",IFERROR(MATCH(IF(ISNUMBER(FIND("#",K3307)),TRIM(MID(K3307,FIND("#",K3307)+1,20)),UPPER(K3307)),'Students'!$AD$2:$AD$701,0),""))</f>
        <v/>
      </c>
      <c r="R3307">
        <f>IF(P3307="","",INDEX('Students'!$AD$2:$AD$701,P3307))</f>
        <v/>
      </c>
      <c r="S3307">
        <f>IF(H3307="OK",O3307,0)</f>
        <v/>
      </c>
      <c r="T3307">
        <f>IF(H3307="OK",N3307,"")</f>
        <v/>
      </c>
      <c r="U3307">
        <f>TRIM('Cash_Check'!C307)</f>
        <v/>
      </c>
    </row>
    <row r="3308">
      <c r="A3308" s="62">
        <f>IF(H3308="","",IF(ISNUMBER(N3308),N3308,I3308))</f>
        <v/>
      </c>
      <c r="B3308">
        <f>IF(H3308="","",U3308)</f>
        <v/>
      </c>
      <c r="C3308">
        <f>IF(H3308="","",IF(P3308="",K3308,INDEX('Students'!$A$2:$A$701,P3308)))</f>
        <v/>
      </c>
      <c r="D3308">
        <f>IF(OR(H3308="",P3308=""),"",INDEX('Students'!$B$2:$B$701,P3308))</f>
        <v/>
      </c>
      <c r="E3308">
        <f>IF(OR(H3308="",P3308=""),"",INDEX('Students'!$C$2:$C$701,P3308))</f>
        <v/>
      </c>
      <c r="F3308" s="48">
        <f>IF(H3308="","",IF(ISNUMBER(O3308),O3308,J3308))</f>
        <v/>
      </c>
      <c r="G3308">
        <f>IF(H3308="","",M3308)</f>
        <v/>
      </c>
      <c r="H3308">
        <f>IF(AND(I3308="",J3308="",K3308=""),"",IF(OR(NOT(ISNUMBER(O3308)),N(O3308)&lt;=0),"Bad amount",IF(NOT(ISNUMBER(N3308)),"Bad date",IF(P3308="","NAME NOT ON ROSTER","OK"))))</f>
        <v/>
      </c>
      <c r="I3308">
        <f>IF('Cash_Check'!A308="","",'Cash_Check'!A308)</f>
        <v/>
      </c>
      <c r="J3308">
        <f>IF('Cash_Check'!D308="","",'Cash_Check'!D308)</f>
        <v/>
      </c>
      <c r="K3308">
        <f>TRIM('Cash_Check'!B308)</f>
        <v/>
      </c>
      <c r="M3308">
        <f>IF(TRIM('Cash_Check'!E308)="","Cash/check",TRIM('Cash_Check'!E308))</f>
        <v/>
      </c>
      <c r="N3308">
        <f>IF(I3308="","",IF(ISNUMBER(I3308),INT(I3308),IFERROR(INT(DATEVALUE(I3308)),IFERROR(INT(VALUE(I3308)),"bad"))))</f>
        <v/>
      </c>
      <c r="O3308">
        <f>IF(J3308="","",IF(ISNUMBER(J3308),ROUND(J3308,2),IFERROR(ROUND(VALUE(SUBSTITUTE(SUBSTITUTE(SUBSTITUTE(J3308,"$",""),",","")," ","")),2),"bad")))</f>
        <v/>
      </c>
      <c r="P3308">
        <f>IF(K3308="","",IFERROR(MATCH(IF(ISNUMBER(FIND("#",K3308)),TRIM(MID(K3308,FIND("#",K3308)+1,20)),UPPER(K3308)),'Students'!$AD$2:$AD$701,0),""))</f>
        <v/>
      </c>
      <c r="R3308">
        <f>IF(P3308="","",INDEX('Students'!$AD$2:$AD$701,P3308))</f>
        <v/>
      </c>
      <c r="S3308">
        <f>IF(H3308="OK",O3308,0)</f>
        <v/>
      </c>
      <c r="T3308">
        <f>IF(H3308="OK",N3308,"")</f>
        <v/>
      </c>
      <c r="U3308">
        <f>TRIM('Cash_Check'!C308)</f>
        <v/>
      </c>
    </row>
    <row r="3309">
      <c r="A3309" s="62">
        <f>IF(H3309="","",IF(ISNUMBER(N3309),N3309,I3309))</f>
        <v/>
      </c>
      <c r="B3309">
        <f>IF(H3309="","",U3309)</f>
        <v/>
      </c>
      <c r="C3309">
        <f>IF(H3309="","",IF(P3309="",K3309,INDEX('Students'!$A$2:$A$701,P3309)))</f>
        <v/>
      </c>
      <c r="D3309">
        <f>IF(OR(H3309="",P3309=""),"",INDEX('Students'!$B$2:$B$701,P3309))</f>
        <v/>
      </c>
      <c r="E3309">
        <f>IF(OR(H3309="",P3309=""),"",INDEX('Students'!$C$2:$C$701,P3309))</f>
        <v/>
      </c>
      <c r="F3309" s="48">
        <f>IF(H3309="","",IF(ISNUMBER(O3309),O3309,J3309))</f>
        <v/>
      </c>
      <c r="G3309">
        <f>IF(H3309="","",M3309)</f>
        <v/>
      </c>
      <c r="H3309">
        <f>IF(AND(I3309="",J3309="",K3309=""),"",IF(OR(NOT(ISNUMBER(O3309)),N(O3309)&lt;=0),"Bad amount",IF(NOT(ISNUMBER(N3309)),"Bad date",IF(P3309="","NAME NOT ON ROSTER","OK"))))</f>
        <v/>
      </c>
      <c r="I3309">
        <f>IF('Cash_Check'!A309="","",'Cash_Check'!A309)</f>
        <v/>
      </c>
      <c r="J3309">
        <f>IF('Cash_Check'!D309="","",'Cash_Check'!D309)</f>
        <v/>
      </c>
      <c r="K3309">
        <f>TRIM('Cash_Check'!B309)</f>
        <v/>
      </c>
      <c r="M3309">
        <f>IF(TRIM('Cash_Check'!E309)="","Cash/check",TRIM('Cash_Check'!E309))</f>
        <v/>
      </c>
      <c r="N3309">
        <f>IF(I3309="","",IF(ISNUMBER(I3309),INT(I3309),IFERROR(INT(DATEVALUE(I3309)),IFERROR(INT(VALUE(I3309)),"bad"))))</f>
        <v/>
      </c>
      <c r="O3309">
        <f>IF(J3309="","",IF(ISNUMBER(J3309),ROUND(J3309,2),IFERROR(ROUND(VALUE(SUBSTITUTE(SUBSTITUTE(SUBSTITUTE(J3309,"$",""),",","")," ","")),2),"bad")))</f>
        <v/>
      </c>
      <c r="P3309">
        <f>IF(K3309="","",IFERROR(MATCH(IF(ISNUMBER(FIND("#",K3309)),TRIM(MID(K3309,FIND("#",K3309)+1,20)),UPPER(K3309)),'Students'!$AD$2:$AD$701,0),""))</f>
        <v/>
      </c>
      <c r="R3309">
        <f>IF(P3309="","",INDEX('Students'!$AD$2:$AD$701,P3309))</f>
        <v/>
      </c>
      <c r="S3309">
        <f>IF(H3309="OK",O3309,0)</f>
        <v/>
      </c>
      <c r="T3309">
        <f>IF(H3309="OK",N3309,"")</f>
        <v/>
      </c>
      <c r="U3309">
        <f>TRIM('Cash_Check'!C309)</f>
        <v/>
      </c>
    </row>
    <row r="3310">
      <c r="A3310" s="62">
        <f>IF(H3310="","",IF(ISNUMBER(N3310),N3310,I3310))</f>
        <v/>
      </c>
      <c r="B3310">
        <f>IF(H3310="","",U3310)</f>
        <v/>
      </c>
      <c r="C3310">
        <f>IF(H3310="","",IF(P3310="",K3310,INDEX('Students'!$A$2:$A$701,P3310)))</f>
        <v/>
      </c>
      <c r="D3310">
        <f>IF(OR(H3310="",P3310=""),"",INDEX('Students'!$B$2:$B$701,P3310))</f>
        <v/>
      </c>
      <c r="E3310">
        <f>IF(OR(H3310="",P3310=""),"",INDEX('Students'!$C$2:$C$701,P3310))</f>
        <v/>
      </c>
      <c r="F3310" s="48">
        <f>IF(H3310="","",IF(ISNUMBER(O3310),O3310,J3310))</f>
        <v/>
      </c>
      <c r="G3310">
        <f>IF(H3310="","",M3310)</f>
        <v/>
      </c>
      <c r="H3310">
        <f>IF(AND(I3310="",J3310="",K3310=""),"",IF(OR(NOT(ISNUMBER(O3310)),N(O3310)&lt;=0),"Bad amount",IF(NOT(ISNUMBER(N3310)),"Bad date",IF(P3310="","NAME NOT ON ROSTER","OK"))))</f>
        <v/>
      </c>
      <c r="I3310">
        <f>IF('Cash_Check'!A310="","",'Cash_Check'!A310)</f>
        <v/>
      </c>
      <c r="J3310">
        <f>IF('Cash_Check'!D310="","",'Cash_Check'!D310)</f>
        <v/>
      </c>
      <c r="K3310">
        <f>TRIM('Cash_Check'!B310)</f>
        <v/>
      </c>
      <c r="M3310">
        <f>IF(TRIM('Cash_Check'!E310)="","Cash/check",TRIM('Cash_Check'!E310))</f>
        <v/>
      </c>
      <c r="N3310">
        <f>IF(I3310="","",IF(ISNUMBER(I3310),INT(I3310),IFERROR(INT(DATEVALUE(I3310)),IFERROR(INT(VALUE(I3310)),"bad"))))</f>
        <v/>
      </c>
      <c r="O3310">
        <f>IF(J3310="","",IF(ISNUMBER(J3310),ROUND(J3310,2),IFERROR(ROUND(VALUE(SUBSTITUTE(SUBSTITUTE(SUBSTITUTE(J3310,"$",""),",","")," ","")),2),"bad")))</f>
        <v/>
      </c>
      <c r="P3310">
        <f>IF(K3310="","",IFERROR(MATCH(IF(ISNUMBER(FIND("#",K3310)),TRIM(MID(K3310,FIND("#",K3310)+1,20)),UPPER(K3310)),'Students'!$AD$2:$AD$701,0),""))</f>
        <v/>
      </c>
      <c r="R3310">
        <f>IF(P3310="","",INDEX('Students'!$AD$2:$AD$701,P3310))</f>
        <v/>
      </c>
      <c r="S3310">
        <f>IF(H3310="OK",O3310,0)</f>
        <v/>
      </c>
      <c r="T3310">
        <f>IF(H3310="OK",N3310,"")</f>
        <v/>
      </c>
      <c r="U3310">
        <f>TRIM('Cash_Check'!C310)</f>
        <v/>
      </c>
    </row>
    <row r="3311">
      <c r="A3311" s="62">
        <f>IF(H3311="","",IF(ISNUMBER(N3311),N3311,I3311))</f>
        <v/>
      </c>
      <c r="B3311">
        <f>IF(H3311="","",U3311)</f>
        <v/>
      </c>
      <c r="C3311">
        <f>IF(H3311="","",IF(P3311="",K3311,INDEX('Students'!$A$2:$A$701,P3311)))</f>
        <v/>
      </c>
      <c r="D3311">
        <f>IF(OR(H3311="",P3311=""),"",INDEX('Students'!$B$2:$B$701,P3311))</f>
        <v/>
      </c>
      <c r="E3311">
        <f>IF(OR(H3311="",P3311=""),"",INDEX('Students'!$C$2:$C$701,P3311))</f>
        <v/>
      </c>
      <c r="F3311" s="48">
        <f>IF(H3311="","",IF(ISNUMBER(O3311),O3311,J3311))</f>
        <v/>
      </c>
      <c r="G3311">
        <f>IF(H3311="","",M3311)</f>
        <v/>
      </c>
      <c r="H3311">
        <f>IF(AND(I3311="",J3311="",K3311=""),"",IF(OR(NOT(ISNUMBER(O3311)),N(O3311)&lt;=0),"Bad amount",IF(NOT(ISNUMBER(N3311)),"Bad date",IF(P3311="","NAME NOT ON ROSTER","OK"))))</f>
        <v/>
      </c>
      <c r="I3311">
        <f>IF('Cash_Check'!A311="","",'Cash_Check'!A311)</f>
        <v/>
      </c>
      <c r="J3311">
        <f>IF('Cash_Check'!D311="","",'Cash_Check'!D311)</f>
        <v/>
      </c>
      <c r="K3311">
        <f>TRIM('Cash_Check'!B311)</f>
        <v/>
      </c>
      <c r="M3311">
        <f>IF(TRIM('Cash_Check'!E311)="","Cash/check",TRIM('Cash_Check'!E311))</f>
        <v/>
      </c>
      <c r="N3311">
        <f>IF(I3311="","",IF(ISNUMBER(I3311),INT(I3311),IFERROR(INT(DATEVALUE(I3311)),IFERROR(INT(VALUE(I3311)),"bad"))))</f>
        <v/>
      </c>
      <c r="O3311">
        <f>IF(J3311="","",IF(ISNUMBER(J3311),ROUND(J3311,2),IFERROR(ROUND(VALUE(SUBSTITUTE(SUBSTITUTE(SUBSTITUTE(J3311,"$",""),",","")," ","")),2),"bad")))</f>
        <v/>
      </c>
      <c r="P3311">
        <f>IF(K3311="","",IFERROR(MATCH(IF(ISNUMBER(FIND("#",K3311)),TRIM(MID(K3311,FIND("#",K3311)+1,20)),UPPER(K3311)),'Students'!$AD$2:$AD$701,0),""))</f>
        <v/>
      </c>
      <c r="R3311">
        <f>IF(P3311="","",INDEX('Students'!$AD$2:$AD$701,P3311))</f>
        <v/>
      </c>
      <c r="S3311">
        <f>IF(H3311="OK",O3311,0)</f>
        <v/>
      </c>
      <c r="T3311">
        <f>IF(H3311="OK",N3311,"")</f>
        <v/>
      </c>
      <c r="U3311">
        <f>TRIM('Cash_Check'!C311)</f>
        <v/>
      </c>
    </row>
    <row r="3312">
      <c r="A3312" s="62">
        <f>IF(H3312="","",IF(ISNUMBER(N3312),N3312,I3312))</f>
        <v/>
      </c>
      <c r="B3312">
        <f>IF(H3312="","",U3312)</f>
        <v/>
      </c>
      <c r="C3312">
        <f>IF(H3312="","",IF(P3312="",K3312,INDEX('Students'!$A$2:$A$701,P3312)))</f>
        <v/>
      </c>
      <c r="D3312">
        <f>IF(OR(H3312="",P3312=""),"",INDEX('Students'!$B$2:$B$701,P3312))</f>
        <v/>
      </c>
      <c r="E3312">
        <f>IF(OR(H3312="",P3312=""),"",INDEX('Students'!$C$2:$C$701,P3312))</f>
        <v/>
      </c>
      <c r="F3312" s="48">
        <f>IF(H3312="","",IF(ISNUMBER(O3312),O3312,J3312))</f>
        <v/>
      </c>
      <c r="G3312">
        <f>IF(H3312="","",M3312)</f>
        <v/>
      </c>
      <c r="H3312">
        <f>IF(AND(I3312="",J3312="",K3312=""),"",IF(OR(NOT(ISNUMBER(O3312)),N(O3312)&lt;=0),"Bad amount",IF(NOT(ISNUMBER(N3312)),"Bad date",IF(P3312="","NAME NOT ON ROSTER","OK"))))</f>
        <v/>
      </c>
      <c r="I3312">
        <f>IF('Cash_Check'!A312="","",'Cash_Check'!A312)</f>
        <v/>
      </c>
      <c r="J3312">
        <f>IF('Cash_Check'!D312="","",'Cash_Check'!D312)</f>
        <v/>
      </c>
      <c r="K3312">
        <f>TRIM('Cash_Check'!B312)</f>
        <v/>
      </c>
      <c r="M3312">
        <f>IF(TRIM('Cash_Check'!E312)="","Cash/check",TRIM('Cash_Check'!E312))</f>
        <v/>
      </c>
      <c r="N3312">
        <f>IF(I3312="","",IF(ISNUMBER(I3312),INT(I3312),IFERROR(INT(DATEVALUE(I3312)),IFERROR(INT(VALUE(I3312)),"bad"))))</f>
        <v/>
      </c>
      <c r="O3312">
        <f>IF(J3312="","",IF(ISNUMBER(J3312),ROUND(J3312,2),IFERROR(ROUND(VALUE(SUBSTITUTE(SUBSTITUTE(SUBSTITUTE(J3312,"$",""),",","")," ","")),2),"bad")))</f>
        <v/>
      </c>
      <c r="P3312">
        <f>IF(K3312="","",IFERROR(MATCH(IF(ISNUMBER(FIND("#",K3312)),TRIM(MID(K3312,FIND("#",K3312)+1,20)),UPPER(K3312)),'Students'!$AD$2:$AD$701,0),""))</f>
        <v/>
      </c>
      <c r="R3312">
        <f>IF(P3312="","",INDEX('Students'!$AD$2:$AD$701,P3312))</f>
        <v/>
      </c>
      <c r="S3312">
        <f>IF(H3312="OK",O3312,0)</f>
        <v/>
      </c>
      <c r="T3312">
        <f>IF(H3312="OK",N3312,"")</f>
        <v/>
      </c>
      <c r="U3312">
        <f>TRIM('Cash_Check'!C312)</f>
        <v/>
      </c>
    </row>
    <row r="3313">
      <c r="A3313" s="62">
        <f>IF(H3313="","",IF(ISNUMBER(N3313),N3313,I3313))</f>
        <v/>
      </c>
      <c r="B3313">
        <f>IF(H3313="","",U3313)</f>
        <v/>
      </c>
      <c r="C3313">
        <f>IF(H3313="","",IF(P3313="",K3313,INDEX('Students'!$A$2:$A$701,P3313)))</f>
        <v/>
      </c>
      <c r="D3313">
        <f>IF(OR(H3313="",P3313=""),"",INDEX('Students'!$B$2:$B$701,P3313))</f>
        <v/>
      </c>
      <c r="E3313">
        <f>IF(OR(H3313="",P3313=""),"",INDEX('Students'!$C$2:$C$701,P3313))</f>
        <v/>
      </c>
      <c r="F3313" s="48">
        <f>IF(H3313="","",IF(ISNUMBER(O3313),O3313,J3313))</f>
        <v/>
      </c>
      <c r="G3313">
        <f>IF(H3313="","",M3313)</f>
        <v/>
      </c>
      <c r="H3313">
        <f>IF(AND(I3313="",J3313="",K3313=""),"",IF(OR(NOT(ISNUMBER(O3313)),N(O3313)&lt;=0),"Bad amount",IF(NOT(ISNUMBER(N3313)),"Bad date",IF(P3313="","NAME NOT ON ROSTER","OK"))))</f>
        <v/>
      </c>
      <c r="I3313">
        <f>IF('Cash_Check'!A313="","",'Cash_Check'!A313)</f>
        <v/>
      </c>
      <c r="J3313">
        <f>IF('Cash_Check'!D313="","",'Cash_Check'!D313)</f>
        <v/>
      </c>
      <c r="K3313">
        <f>TRIM('Cash_Check'!B313)</f>
        <v/>
      </c>
      <c r="M3313">
        <f>IF(TRIM('Cash_Check'!E313)="","Cash/check",TRIM('Cash_Check'!E313))</f>
        <v/>
      </c>
      <c r="N3313">
        <f>IF(I3313="","",IF(ISNUMBER(I3313),INT(I3313),IFERROR(INT(DATEVALUE(I3313)),IFERROR(INT(VALUE(I3313)),"bad"))))</f>
        <v/>
      </c>
      <c r="O3313">
        <f>IF(J3313="","",IF(ISNUMBER(J3313),ROUND(J3313,2),IFERROR(ROUND(VALUE(SUBSTITUTE(SUBSTITUTE(SUBSTITUTE(J3313,"$",""),",","")," ","")),2),"bad")))</f>
        <v/>
      </c>
      <c r="P3313">
        <f>IF(K3313="","",IFERROR(MATCH(IF(ISNUMBER(FIND("#",K3313)),TRIM(MID(K3313,FIND("#",K3313)+1,20)),UPPER(K3313)),'Students'!$AD$2:$AD$701,0),""))</f>
        <v/>
      </c>
      <c r="R3313">
        <f>IF(P3313="","",INDEX('Students'!$AD$2:$AD$701,P3313))</f>
        <v/>
      </c>
      <c r="S3313">
        <f>IF(H3313="OK",O3313,0)</f>
        <v/>
      </c>
      <c r="T3313">
        <f>IF(H3313="OK",N3313,"")</f>
        <v/>
      </c>
      <c r="U3313">
        <f>TRIM('Cash_Check'!C313)</f>
        <v/>
      </c>
    </row>
    <row r="3314">
      <c r="A3314" s="62">
        <f>IF(H3314="","",IF(ISNUMBER(N3314),N3314,I3314))</f>
        <v/>
      </c>
      <c r="B3314">
        <f>IF(H3314="","",U3314)</f>
        <v/>
      </c>
      <c r="C3314">
        <f>IF(H3314="","",IF(P3314="",K3314,INDEX('Students'!$A$2:$A$701,P3314)))</f>
        <v/>
      </c>
      <c r="D3314">
        <f>IF(OR(H3314="",P3314=""),"",INDEX('Students'!$B$2:$B$701,P3314))</f>
        <v/>
      </c>
      <c r="E3314">
        <f>IF(OR(H3314="",P3314=""),"",INDEX('Students'!$C$2:$C$701,P3314))</f>
        <v/>
      </c>
      <c r="F3314" s="48">
        <f>IF(H3314="","",IF(ISNUMBER(O3314),O3314,J3314))</f>
        <v/>
      </c>
      <c r="G3314">
        <f>IF(H3314="","",M3314)</f>
        <v/>
      </c>
      <c r="H3314">
        <f>IF(AND(I3314="",J3314="",K3314=""),"",IF(OR(NOT(ISNUMBER(O3314)),N(O3314)&lt;=0),"Bad amount",IF(NOT(ISNUMBER(N3314)),"Bad date",IF(P3314="","NAME NOT ON ROSTER","OK"))))</f>
        <v/>
      </c>
      <c r="I3314">
        <f>IF('Cash_Check'!A314="","",'Cash_Check'!A314)</f>
        <v/>
      </c>
      <c r="J3314">
        <f>IF('Cash_Check'!D314="","",'Cash_Check'!D314)</f>
        <v/>
      </c>
      <c r="K3314">
        <f>TRIM('Cash_Check'!B314)</f>
        <v/>
      </c>
      <c r="M3314">
        <f>IF(TRIM('Cash_Check'!E314)="","Cash/check",TRIM('Cash_Check'!E314))</f>
        <v/>
      </c>
      <c r="N3314">
        <f>IF(I3314="","",IF(ISNUMBER(I3314),INT(I3314),IFERROR(INT(DATEVALUE(I3314)),IFERROR(INT(VALUE(I3314)),"bad"))))</f>
        <v/>
      </c>
      <c r="O3314">
        <f>IF(J3314="","",IF(ISNUMBER(J3314),ROUND(J3314,2),IFERROR(ROUND(VALUE(SUBSTITUTE(SUBSTITUTE(SUBSTITUTE(J3314,"$",""),",","")," ","")),2),"bad")))</f>
        <v/>
      </c>
      <c r="P3314">
        <f>IF(K3314="","",IFERROR(MATCH(IF(ISNUMBER(FIND("#",K3314)),TRIM(MID(K3314,FIND("#",K3314)+1,20)),UPPER(K3314)),'Students'!$AD$2:$AD$701,0),""))</f>
        <v/>
      </c>
      <c r="R3314">
        <f>IF(P3314="","",INDEX('Students'!$AD$2:$AD$701,P3314))</f>
        <v/>
      </c>
      <c r="S3314">
        <f>IF(H3314="OK",O3314,0)</f>
        <v/>
      </c>
      <c r="T3314">
        <f>IF(H3314="OK",N3314,"")</f>
        <v/>
      </c>
      <c r="U3314">
        <f>TRIM('Cash_Check'!C314)</f>
        <v/>
      </c>
    </row>
    <row r="3315">
      <c r="A3315" s="62">
        <f>IF(H3315="","",IF(ISNUMBER(N3315),N3315,I3315))</f>
        <v/>
      </c>
      <c r="B3315">
        <f>IF(H3315="","",U3315)</f>
        <v/>
      </c>
      <c r="C3315">
        <f>IF(H3315="","",IF(P3315="",K3315,INDEX('Students'!$A$2:$A$701,P3315)))</f>
        <v/>
      </c>
      <c r="D3315">
        <f>IF(OR(H3315="",P3315=""),"",INDEX('Students'!$B$2:$B$701,P3315))</f>
        <v/>
      </c>
      <c r="E3315">
        <f>IF(OR(H3315="",P3315=""),"",INDEX('Students'!$C$2:$C$701,P3315))</f>
        <v/>
      </c>
      <c r="F3315" s="48">
        <f>IF(H3315="","",IF(ISNUMBER(O3315),O3315,J3315))</f>
        <v/>
      </c>
      <c r="G3315">
        <f>IF(H3315="","",M3315)</f>
        <v/>
      </c>
      <c r="H3315">
        <f>IF(AND(I3315="",J3315="",K3315=""),"",IF(OR(NOT(ISNUMBER(O3315)),N(O3315)&lt;=0),"Bad amount",IF(NOT(ISNUMBER(N3315)),"Bad date",IF(P3315="","NAME NOT ON ROSTER","OK"))))</f>
        <v/>
      </c>
      <c r="I3315">
        <f>IF('Cash_Check'!A315="","",'Cash_Check'!A315)</f>
        <v/>
      </c>
      <c r="J3315">
        <f>IF('Cash_Check'!D315="","",'Cash_Check'!D315)</f>
        <v/>
      </c>
      <c r="K3315">
        <f>TRIM('Cash_Check'!B315)</f>
        <v/>
      </c>
      <c r="M3315">
        <f>IF(TRIM('Cash_Check'!E315)="","Cash/check",TRIM('Cash_Check'!E315))</f>
        <v/>
      </c>
      <c r="N3315">
        <f>IF(I3315="","",IF(ISNUMBER(I3315),INT(I3315),IFERROR(INT(DATEVALUE(I3315)),IFERROR(INT(VALUE(I3315)),"bad"))))</f>
        <v/>
      </c>
      <c r="O3315">
        <f>IF(J3315="","",IF(ISNUMBER(J3315),ROUND(J3315,2),IFERROR(ROUND(VALUE(SUBSTITUTE(SUBSTITUTE(SUBSTITUTE(J3315,"$",""),",","")," ","")),2),"bad")))</f>
        <v/>
      </c>
      <c r="P3315">
        <f>IF(K3315="","",IFERROR(MATCH(IF(ISNUMBER(FIND("#",K3315)),TRIM(MID(K3315,FIND("#",K3315)+1,20)),UPPER(K3315)),'Students'!$AD$2:$AD$701,0),""))</f>
        <v/>
      </c>
      <c r="R3315">
        <f>IF(P3315="","",INDEX('Students'!$AD$2:$AD$701,P3315))</f>
        <v/>
      </c>
      <c r="S3315">
        <f>IF(H3315="OK",O3315,0)</f>
        <v/>
      </c>
      <c r="T3315">
        <f>IF(H3315="OK",N3315,"")</f>
        <v/>
      </c>
      <c r="U3315">
        <f>TRIM('Cash_Check'!C315)</f>
        <v/>
      </c>
    </row>
    <row r="3316">
      <c r="A3316" s="62">
        <f>IF(H3316="","",IF(ISNUMBER(N3316),N3316,I3316))</f>
        <v/>
      </c>
      <c r="B3316">
        <f>IF(H3316="","",U3316)</f>
        <v/>
      </c>
      <c r="C3316">
        <f>IF(H3316="","",IF(P3316="",K3316,INDEX('Students'!$A$2:$A$701,P3316)))</f>
        <v/>
      </c>
      <c r="D3316">
        <f>IF(OR(H3316="",P3316=""),"",INDEX('Students'!$B$2:$B$701,P3316))</f>
        <v/>
      </c>
      <c r="E3316">
        <f>IF(OR(H3316="",P3316=""),"",INDEX('Students'!$C$2:$C$701,P3316))</f>
        <v/>
      </c>
      <c r="F3316" s="48">
        <f>IF(H3316="","",IF(ISNUMBER(O3316),O3316,J3316))</f>
        <v/>
      </c>
      <c r="G3316">
        <f>IF(H3316="","",M3316)</f>
        <v/>
      </c>
      <c r="H3316">
        <f>IF(AND(I3316="",J3316="",K3316=""),"",IF(OR(NOT(ISNUMBER(O3316)),N(O3316)&lt;=0),"Bad amount",IF(NOT(ISNUMBER(N3316)),"Bad date",IF(P3316="","NAME NOT ON ROSTER","OK"))))</f>
        <v/>
      </c>
      <c r="I3316">
        <f>IF('Cash_Check'!A316="","",'Cash_Check'!A316)</f>
        <v/>
      </c>
      <c r="J3316">
        <f>IF('Cash_Check'!D316="","",'Cash_Check'!D316)</f>
        <v/>
      </c>
      <c r="K3316">
        <f>TRIM('Cash_Check'!B316)</f>
        <v/>
      </c>
      <c r="M3316">
        <f>IF(TRIM('Cash_Check'!E316)="","Cash/check",TRIM('Cash_Check'!E316))</f>
        <v/>
      </c>
      <c r="N3316">
        <f>IF(I3316="","",IF(ISNUMBER(I3316),INT(I3316),IFERROR(INT(DATEVALUE(I3316)),IFERROR(INT(VALUE(I3316)),"bad"))))</f>
        <v/>
      </c>
      <c r="O3316">
        <f>IF(J3316="","",IF(ISNUMBER(J3316),ROUND(J3316,2),IFERROR(ROUND(VALUE(SUBSTITUTE(SUBSTITUTE(SUBSTITUTE(J3316,"$",""),",","")," ","")),2),"bad")))</f>
        <v/>
      </c>
      <c r="P3316">
        <f>IF(K3316="","",IFERROR(MATCH(IF(ISNUMBER(FIND("#",K3316)),TRIM(MID(K3316,FIND("#",K3316)+1,20)),UPPER(K3316)),'Students'!$AD$2:$AD$701,0),""))</f>
        <v/>
      </c>
      <c r="R3316">
        <f>IF(P3316="","",INDEX('Students'!$AD$2:$AD$701,P3316))</f>
        <v/>
      </c>
      <c r="S3316">
        <f>IF(H3316="OK",O3316,0)</f>
        <v/>
      </c>
      <c r="T3316">
        <f>IF(H3316="OK",N3316,"")</f>
        <v/>
      </c>
      <c r="U3316">
        <f>TRIM('Cash_Check'!C316)</f>
        <v/>
      </c>
    </row>
    <row r="3317">
      <c r="A3317" s="62">
        <f>IF(H3317="","",IF(ISNUMBER(N3317),N3317,I3317))</f>
        <v/>
      </c>
      <c r="B3317">
        <f>IF(H3317="","",U3317)</f>
        <v/>
      </c>
      <c r="C3317">
        <f>IF(H3317="","",IF(P3317="",K3317,INDEX('Students'!$A$2:$A$701,P3317)))</f>
        <v/>
      </c>
      <c r="D3317">
        <f>IF(OR(H3317="",P3317=""),"",INDEX('Students'!$B$2:$B$701,P3317))</f>
        <v/>
      </c>
      <c r="E3317">
        <f>IF(OR(H3317="",P3317=""),"",INDEX('Students'!$C$2:$C$701,P3317))</f>
        <v/>
      </c>
      <c r="F3317" s="48">
        <f>IF(H3317="","",IF(ISNUMBER(O3317),O3317,J3317))</f>
        <v/>
      </c>
      <c r="G3317">
        <f>IF(H3317="","",M3317)</f>
        <v/>
      </c>
      <c r="H3317">
        <f>IF(AND(I3317="",J3317="",K3317=""),"",IF(OR(NOT(ISNUMBER(O3317)),N(O3317)&lt;=0),"Bad amount",IF(NOT(ISNUMBER(N3317)),"Bad date",IF(P3317="","NAME NOT ON ROSTER","OK"))))</f>
        <v/>
      </c>
      <c r="I3317">
        <f>IF('Cash_Check'!A317="","",'Cash_Check'!A317)</f>
        <v/>
      </c>
      <c r="J3317">
        <f>IF('Cash_Check'!D317="","",'Cash_Check'!D317)</f>
        <v/>
      </c>
      <c r="K3317">
        <f>TRIM('Cash_Check'!B317)</f>
        <v/>
      </c>
      <c r="M3317">
        <f>IF(TRIM('Cash_Check'!E317)="","Cash/check",TRIM('Cash_Check'!E317))</f>
        <v/>
      </c>
      <c r="N3317">
        <f>IF(I3317="","",IF(ISNUMBER(I3317),INT(I3317),IFERROR(INT(DATEVALUE(I3317)),IFERROR(INT(VALUE(I3317)),"bad"))))</f>
        <v/>
      </c>
      <c r="O3317">
        <f>IF(J3317="","",IF(ISNUMBER(J3317),ROUND(J3317,2),IFERROR(ROUND(VALUE(SUBSTITUTE(SUBSTITUTE(SUBSTITUTE(J3317,"$",""),",","")," ","")),2),"bad")))</f>
        <v/>
      </c>
      <c r="P3317">
        <f>IF(K3317="","",IFERROR(MATCH(IF(ISNUMBER(FIND("#",K3317)),TRIM(MID(K3317,FIND("#",K3317)+1,20)),UPPER(K3317)),'Students'!$AD$2:$AD$701,0),""))</f>
        <v/>
      </c>
      <c r="R3317">
        <f>IF(P3317="","",INDEX('Students'!$AD$2:$AD$701,P3317))</f>
        <v/>
      </c>
      <c r="S3317">
        <f>IF(H3317="OK",O3317,0)</f>
        <v/>
      </c>
      <c r="T3317">
        <f>IF(H3317="OK",N3317,"")</f>
        <v/>
      </c>
      <c r="U3317">
        <f>TRIM('Cash_Check'!C317)</f>
        <v/>
      </c>
    </row>
    <row r="3318">
      <c r="A3318" s="62">
        <f>IF(H3318="","",IF(ISNUMBER(N3318),N3318,I3318))</f>
        <v/>
      </c>
      <c r="B3318">
        <f>IF(H3318="","",U3318)</f>
        <v/>
      </c>
      <c r="C3318">
        <f>IF(H3318="","",IF(P3318="",K3318,INDEX('Students'!$A$2:$A$701,P3318)))</f>
        <v/>
      </c>
      <c r="D3318">
        <f>IF(OR(H3318="",P3318=""),"",INDEX('Students'!$B$2:$B$701,P3318))</f>
        <v/>
      </c>
      <c r="E3318">
        <f>IF(OR(H3318="",P3318=""),"",INDEX('Students'!$C$2:$C$701,P3318))</f>
        <v/>
      </c>
      <c r="F3318" s="48">
        <f>IF(H3318="","",IF(ISNUMBER(O3318),O3318,J3318))</f>
        <v/>
      </c>
      <c r="G3318">
        <f>IF(H3318="","",M3318)</f>
        <v/>
      </c>
      <c r="H3318">
        <f>IF(AND(I3318="",J3318="",K3318=""),"",IF(OR(NOT(ISNUMBER(O3318)),N(O3318)&lt;=0),"Bad amount",IF(NOT(ISNUMBER(N3318)),"Bad date",IF(P3318="","NAME NOT ON ROSTER","OK"))))</f>
        <v/>
      </c>
      <c r="I3318">
        <f>IF('Cash_Check'!A318="","",'Cash_Check'!A318)</f>
        <v/>
      </c>
      <c r="J3318">
        <f>IF('Cash_Check'!D318="","",'Cash_Check'!D318)</f>
        <v/>
      </c>
      <c r="K3318">
        <f>TRIM('Cash_Check'!B318)</f>
        <v/>
      </c>
      <c r="M3318">
        <f>IF(TRIM('Cash_Check'!E318)="","Cash/check",TRIM('Cash_Check'!E318))</f>
        <v/>
      </c>
      <c r="N3318">
        <f>IF(I3318="","",IF(ISNUMBER(I3318),INT(I3318),IFERROR(INT(DATEVALUE(I3318)),IFERROR(INT(VALUE(I3318)),"bad"))))</f>
        <v/>
      </c>
      <c r="O3318">
        <f>IF(J3318="","",IF(ISNUMBER(J3318),ROUND(J3318,2),IFERROR(ROUND(VALUE(SUBSTITUTE(SUBSTITUTE(SUBSTITUTE(J3318,"$",""),",","")," ","")),2),"bad")))</f>
        <v/>
      </c>
      <c r="P3318">
        <f>IF(K3318="","",IFERROR(MATCH(IF(ISNUMBER(FIND("#",K3318)),TRIM(MID(K3318,FIND("#",K3318)+1,20)),UPPER(K3318)),'Students'!$AD$2:$AD$701,0),""))</f>
        <v/>
      </c>
      <c r="R3318">
        <f>IF(P3318="","",INDEX('Students'!$AD$2:$AD$701,P3318))</f>
        <v/>
      </c>
      <c r="S3318">
        <f>IF(H3318="OK",O3318,0)</f>
        <v/>
      </c>
      <c r="T3318">
        <f>IF(H3318="OK",N3318,"")</f>
        <v/>
      </c>
      <c r="U3318">
        <f>TRIM('Cash_Check'!C318)</f>
        <v/>
      </c>
    </row>
    <row r="3319">
      <c r="A3319" s="62">
        <f>IF(H3319="","",IF(ISNUMBER(N3319),N3319,I3319))</f>
        <v/>
      </c>
      <c r="B3319">
        <f>IF(H3319="","",U3319)</f>
        <v/>
      </c>
      <c r="C3319">
        <f>IF(H3319="","",IF(P3319="",K3319,INDEX('Students'!$A$2:$A$701,P3319)))</f>
        <v/>
      </c>
      <c r="D3319">
        <f>IF(OR(H3319="",P3319=""),"",INDEX('Students'!$B$2:$B$701,P3319))</f>
        <v/>
      </c>
      <c r="E3319">
        <f>IF(OR(H3319="",P3319=""),"",INDEX('Students'!$C$2:$C$701,P3319))</f>
        <v/>
      </c>
      <c r="F3319" s="48">
        <f>IF(H3319="","",IF(ISNUMBER(O3319),O3319,J3319))</f>
        <v/>
      </c>
      <c r="G3319">
        <f>IF(H3319="","",M3319)</f>
        <v/>
      </c>
      <c r="H3319">
        <f>IF(AND(I3319="",J3319="",K3319=""),"",IF(OR(NOT(ISNUMBER(O3319)),N(O3319)&lt;=0),"Bad amount",IF(NOT(ISNUMBER(N3319)),"Bad date",IF(P3319="","NAME NOT ON ROSTER","OK"))))</f>
        <v/>
      </c>
      <c r="I3319">
        <f>IF('Cash_Check'!A319="","",'Cash_Check'!A319)</f>
        <v/>
      </c>
      <c r="J3319">
        <f>IF('Cash_Check'!D319="","",'Cash_Check'!D319)</f>
        <v/>
      </c>
      <c r="K3319">
        <f>TRIM('Cash_Check'!B319)</f>
        <v/>
      </c>
      <c r="M3319">
        <f>IF(TRIM('Cash_Check'!E319)="","Cash/check",TRIM('Cash_Check'!E319))</f>
        <v/>
      </c>
      <c r="N3319">
        <f>IF(I3319="","",IF(ISNUMBER(I3319),INT(I3319),IFERROR(INT(DATEVALUE(I3319)),IFERROR(INT(VALUE(I3319)),"bad"))))</f>
        <v/>
      </c>
      <c r="O3319">
        <f>IF(J3319="","",IF(ISNUMBER(J3319),ROUND(J3319,2),IFERROR(ROUND(VALUE(SUBSTITUTE(SUBSTITUTE(SUBSTITUTE(J3319,"$",""),",","")," ","")),2),"bad")))</f>
        <v/>
      </c>
      <c r="P3319">
        <f>IF(K3319="","",IFERROR(MATCH(IF(ISNUMBER(FIND("#",K3319)),TRIM(MID(K3319,FIND("#",K3319)+1,20)),UPPER(K3319)),'Students'!$AD$2:$AD$701,0),""))</f>
        <v/>
      </c>
      <c r="R3319">
        <f>IF(P3319="","",INDEX('Students'!$AD$2:$AD$701,P3319))</f>
        <v/>
      </c>
      <c r="S3319">
        <f>IF(H3319="OK",O3319,0)</f>
        <v/>
      </c>
      <c r="T3319">
        <f>IF(H3319="OK",N3319,"")</f>
        <v/>
      </c>
      <c r="U3319">
        <f>TRIM('Cash_Check'!C319)</f>
        <v/>
      </c>
    </row>
    <row r="3320">
      <c r="A3320" s="62">
        <f>IF(H3320="","",IF(ISNUMBER(N3320),N3320,I3320))</f>
        <v/>
      </c>
      <c r="B3320">
        <f>IF(H3320="","",U3320)</f>
        <v/>
      </c>
      <c r="C3320">
        <f>IF(H3320="","",IF(P3320="",K3320,INDEX('Students'!$A$2:$A$701,P3320)))</f>
        <v/>
      </c>
      <c r="D3320">
        <f>IF(OR(H3320="",P3320=""),"",INDEX('Students'!$B$2:$B$701,P3320))</f>
        <v/>
      </c>
      <c r="E3320">
        <f>IF(OR(H3320="",P3320=""),"",INDEX('Students'!$C$2:$C$701,P3320))</f>
        <v/>
      </c>
      <c r="F3320" s="48">
        <f>IF(H3320="","",IF(ISNUMBER(O3320),O3320,J3320))</f>
        <v/>
      </c>
      <c r="G3320">
        <f>IF(H3320="","",M3320)</f>
        <v/>
      </c>
      <c r="H3320">
        <f>IF(AND(I3320="",J3320="",K3320=""),"",IF(OR(NOT(ISNUMBER(O3320)),N(O3320)&lt;=0),"Bad amount",IF(NOT(ISNUMBER(N3320)),"Bad date",IF(P3320="","NAME NOT ON ROSTER","OK"))))</f>
        <v/>
      </c>
      <c r="I3320">
        <f>IF('Cash_Check'!A320="","",'Cash_Check'!A320)</f>
        <v/>
      </c>
      <c r="J3320">
        <f>IF('Cash_Check'!D320="","",'Cash_Check'!D320)</f>
        <v/>
      </c>
      <c r="K3320">
        <f>TRIM('Cash_Check'!B320)</f>
        <v/>
      </c>
      <c r="M3320">
        <f>IF(TRIM('Cash_Check'!E320)="","Cash/check",TRIM('Cash_Check'!E320))</f>
        <v/>
      </c>
      <c r="N3320">
        <f>IF(I3320="","",IF(ISNUMBER(I3320),INT(I3320),IFERROR(INT(DATEVALUE(I3320)),IFERROR(INT(VALUE(I3320)),"bad"))))</f>
        <v/>
      </c>
      <c r="O3320">
        <f>IF(J3320="","",IF(ISNUMBER(J3320),ROUND(J3320,2),IFERROR(ROUND(VALUE(SUBSTITUTE(SUBSTITUTE(SUBSTITUTE(J3320,"$",""),",","")," ","")),2),"bad")))</f>
        <v/>
      </c>
      <c r="P3320">
        <f>IF(K3320="","",IFERROR(MATCH(IF(ISNUMBER(FIND("#",K3320)),TRIM(MID(K3320,FIND("#",K3320)+1,20)),UPPER(K3320)),'Students'!$AD$2:$AD$701,0),""))</f>
        <v/>
      </c>
      <c r="R3320">
        <f>IF(P3320="","",INDEX('Students'!$AD$2:$AD$701,P3320))</f>
        <v/>
      </c>
      <c r="S3320">
        <f>IF(H3320="OK",O3320,0)</f>
        <v/>
      </c>
      <c r="T3320">
        <f>IF(H3320="OK",N3320,"")</f>
        <v/>
      </c>
      <c r="U3320">
        <f>TRIM('Cash_Check'!C320)</f>
        <v/>
      </c>
    </row>
    <row r="3321">
      <c r="A3321" s="62">
        <f>IF(H3321="","",IF(ISNUMBER(N3321),N3321,I3321))</f>
        <v/>
      </c>
      <c r="B3321">
        <f>IF(H3321="","",U3321)</f>
        <v/>
      </c>
      <c r="C3321">
        <f>IF(H3321="","",IF(P3321="",K3321,INDEX('Students'!$A$2:$A$701,P3321)))</f>
        <v/>
      </c>
      <c r="D3321">
        <f>IF(OR(H3321="",P3321=""),"",INDEX('Students'!$B$2:$B$701,P3321))</f>
        <v/>
      </c>
      <c r="E3321">
        <f>IF(OR(H3321="",P3321=""),"",INDEX('Students'!$C$2:$C$701,P3321))</f>
        <v/>
      </c>
      <c r="F3321" s="48">
        <f>IF(H3321="","",IF(ISNUMBER(O3321),O3321,J3321))</f>
        <v/>
      </c>
      <c r="G3321">
        <f>IF(H3321="","",M3321)</f>
        <v/>
      </c>
      <c r="H3321">
        <f>IF(AND(I3321="",J3321="",K3321=""),"",IF(OR(NOT(ISNUMBER(O3321)),N(O3321)&lt;=0),"Bad amount",IF(NOT(ISNUMBER(N3321)),"Bad date",IF(P3321="","NAME NOT ON ROSTER","OK"))))</f>
        <v/>
      </c>
      <c r="I3321">
        <f>IF('Cash_Check'!A321="","",'Cash_Check'!A321)</f>
        <v/>
      </c>
      <c r="J3321">
        <f>IF('Cash_Check'!D321="","",'Cash_Check'!D321)</f>
        <v/>
      </c>
      <c r="K3321">
        <f>TRIM('Cash_Check'!B321)</f>
        <v/>
      </c>
      <c r="M3321">
        <f>IF(TRIM('Cash_Check'!E321)="","Cash/check",TRIM('Cash_Check'!E321))</f>
        <v/>
      </c>
      <c r="N3321">
        <f>IF(I3321="","",IF(ISNUMBER(I3321),INT(I3321),IFERROR(INT(DATEVALUE(I3321)),IFERROR(INT(VALUE(I3321)),"bad"))))</f>
        <v/>
      </c>
      <c r="O3321">
        <f>IF(J3321="","",IF(ISNUMBER(J3321),ROUND(J3321,2),IFERROR(ROUND(VALUE(SUBSTITUTE(SUBSTITUTE(SUBSTITUTE(J3321,"$",""),",","")," ","")),2),"bad")))</f>
        <v/>
      </c>
      <c r="P3321">
        <f>IF(K3321="","",IFERROR(MATCH(IF(ISNUMBER(FIND("#",K3321)),TRIM(MID(K3321,FIND("#",K3321)+1,20)),UPPER(K3321)),'Students'!$AD$2:$AD$701,0),""))</f>
        <v/>
      </c>
      <c r="R3321">
        <f>IF(P3321="","",INDEX('Students'!$AD$2:$AD$701,P3321))</f>
        <v/>
      </c>
      <c r="S3321">
        <f>IF(H3321="OK",O3321,0)</f>
        <v/>
      </c>
      <c r="T3321">
        <f>IF(H3321="OK",N3321,"")</f>
        <v/>
      </c>
      <c r="U3321">
        <f>TRIM('Cash_Check'!C321)</f>
        <v/>
      </c>
    </row>
    <row r="3322">
      <c r="A3322" s="62">
        <f>IF(H3322="","",IF(ISNUMBER(N3322),N3322,I3322))</f>
        <v/>
      </c>
      <c r="B3322">
        <f>IF(H3322="","",U3322)</f>
        <v/>
      </c>
      <c r="C3322">
        <f>IF(H3322="","",IF(P3322="",K3322,INDEX('Students'!$A$2:$A$701,P3322)))</f>
        <v/>
      </c>
      <c r="D3322">
        <f>IF(OR(H3322="",P3322=""),"",INDEX('Students'!$B$2:$B$701,P3322))</f>
        <v/>
      </c>
      <c r="E3322">
        <f>IF(OR(H3322="",P3322=""),"",INDEX('Students'!$C$2:$C$701,P3322))</f>
        <v/>
      </c>
      <c r="F3322" s="48">
        <f>IF(H3322="","",IF(ISNUMBER(O3322),O3322,J3322))</f>
        <v/>
      </c>
      <c r="G3322">
        <f>IF(H3322="","",M3322)</f>
        <v/>
      </c>
      <c r="H3322">
        <f>IF(AND(I3322="",J3322="",K3322=""),"",IF(OR(NOT(ISNUMBER(O3322)),N(O3322)&lt;=0),"Bad amount",IF(NOT(ISNUMBER(N3322)),"Bad date",IF(P3322="","NAME NOT ON ROSTER","OK"))))</f>
        <v/>
      </c>
      <c r="I3322">
        <f>IF('Cash_Check'!A322="","",'Cash_Check'!A322)</f>
        <v/>
      </c>
      <c r="J3322">
        <f>IF('Cash_Check'!D322="","",'Cash_Check'!D322)</f>
        <v/>
      </c>
      <c r="K3322">
        <f>TRIM('Cash_Check'!B322)</f>
        <v/>
      </c>
      <c r="M3322">
        <f>IF(TRIM('Cash_Check'!E322)="","Cash/check",TRIM('Cash_Check'!E322))</f>
        <v/>
      </c>
      <c r="N3322">
        <f>IF(I3322="","",IF(ISNUMBER(I3322),INT(I3322),IFERROR(INT(DATEVALUE(I3322)),IFERROR(INT(VALUE(I3322)),"bad"))))</f>
        <v/>
      </c>
      <c r="O3322">
        <f>IF(J3322="","",IF(ISNUMBER(J3322),ROUND(J3322,2),IFERROR(ROUND(VALUE(SUBSTITUTE(SUBSTITUTE(SUBSTITUTE(J3322,"$",""),",","")," ","")),2),"bad")))</f>
        <v/>
      </c>
      <c r="P3322">
        <f>IF(K3322="","",IFERROR(MATCH(IF(ISNUMBER(FIND("#",K3322)),TRIM(MID(K3322,FIND("#",K3322)+1,20)),UPPER(K3322)),'Students'!$AD$2:$AD$701,0),""))</f>
        <v/>
      </c>
      <c r="R3322">
        <f>IF(P3322="","",INDEX('Students'!$AD$2:$AD$701,P3322))</f>
        <v/>
      </c>
      <c r="S3322">
        <f>IF(H3322="OK",O3322,0)</f>
        <v/>
      </c>
      <c r="T3322">
        <f>IF(H3322="OK",N3322,"")</f>
        <v/>
      </c>
      <c r="U3322">
        <f>TRIM('Cash_Check'!C322)</f>
        <v/>
      </c>
    </row>
    <row r="3323">
      <c r="A3323" s="62">
        <f>IF(H3323="","",IF(ISNUMBER(N3323),N3323,I3323))</f>
        <v/>
      </c>
      <c r="B3323">
        <f>IF(H3323="","",U3323)</f>
        <v/>
      </c>
      <c r="C3323">
        <f>IF(H3323="","",IF(P3323="",K3323,INDEX('Students'!$A$2:$A$701,P3323)))</f>
        <v/>
      </c>
      <c r="D3323">
        <f>IF(OR(H3323="",P3323=""),"",INDEX('Students'!$B$2:$B$701,P3323))</f>
        <v/>
      </c>
      <c r="E3323">
        <f>IF(OR(H3323="",P3323=""),"",INDEX('Students'!$C$2:$C$701,P3323))</f>
        <v/>
      </c>
      <c r="F3323" s="48">
        <f>IF(H3323="","",IF(ISNUMBER(O3323),O3323,J3323))</f>
        <v/>
      </c>
      <c r="G3323">
        <f>IF(H3323="","",M3323)</f>
        <v/>
      </c>
      <c r="H3323">
        <f>IF(AND(I3323="",J3323="",K3323=""),"",IF(OR(NOT(ISNUMBER(O3323)),N(O3323)&lt;=0),"Bad amount",IF(NOT(ISNUMBER(N3323)),"Bad date",IF(P3323="","NAME NOT ON ROSTER","OK"))))</f>
        <v/>
      </c>
      <c r="I3323">
        <f>IF('Cash_Check'!A323="","",'Cash_Check'!A323)</f>
        <v/>
      </c>
      <c r="J3323">
        <f>IF('Cash_Check'!D323="","",'Cash_Check'!D323)</f>
        <v/>
      </c>
      <c r="K3323">
        <f>TRIM('Cash_Check'!B323)</f>
        <v/>
      </c>
      <c r="M3323">
        <f>IF(TRIM('Cash_Check'!E323)="","Cash/check",TRIM('Cash_Check'!E323))</f>
        <v/>
      </c>
      <c r="N3323">
        <f>IF(I3323="","",IF(ISNUMBER(I3323),INT(I3323),IFERROR(INT(DATEVALUE(I3323)),IFERROR(INT(VALUE(I3323)),"bad"))))</f>
        <v/>
      </c>
      <c r="O3323">
        <f>IF(J3323="","",IF(ISNUMBER(J3323),ROUND(J3323,2),IFERROR(ROUND(VALUE(SUBSTITUTE(SUBSTITUTE(SUBSTITUTE(J3323,"$",""),",","")," ","")),2),"bad")))</f>
        <v/>
      </c>
      <c r="P3323">
        <f>IF(K3323="","",IFERROR(MATCH(IF(ISNUMBER(FIND("#",K3323)),TRIM(MID(K3323,FIND("#",K3323)+1,20)),UPPER(K3323)),'Students'!$AD$2:$AD$701,0),""))</f>
        <v/>
      </c>
      <c r="R3323">
        <f>IF(P3323="","",INDEX('Students'!$AD$2:$AD$701,P3323))</f>
        <v/>
      </c>
      <c r="S3323">
        <f>IF(H3323="OK",O3323,0)</f>
        <v/>
      </c>
      <c r="T3323">
        <f>IF(H3323="OK",N3323,"")</f>
        <v/>
      </c>
      <c r="U3323">
        <f>TRIM('Cash_Check'!C323)</f>
        <v/>
      </c>
    </row>
    <row r="3324">
      <c r="A3324" s="62">
        <f>IF(H3324="","",IF(ISNUMBER(N3324),N3324,I3324))</f>
        <v/>
      </c>
      <c r="B3324">
        <f>IF(H3324="","",U3324)</f>
        <v/>
      </c>
      <c r="C3324">
        <f>IF(H3324="","",IF(P3324="",K3324,INDEX('Students'!$A$2:$A$701,P3324)))</f>
        <v/>
      </c>
      <c r="D3324">
        <f>IF(OR(H3324="",P3324=""),"",INDEX('Students'!$B$2:$B$701,P3324))</f>
        <v/>
      </c>
      <c r="E3324">
        <f>IF(OR(H3324="",P3324=""),"",INDEX('Students'!$C$2:$C$701,P3324))</f>
        <v/>
      </c>
      <c r="F3324" s="48">
        <f>IF(H3324="","",IF(ISNUMBER(O3324),O3324,J3324))</f>
        <v/>
      </c>
      <c r="G3324">
        <f>IF(H3324="","",M3324)</f>
        <v/>
      </c>
      <c r="H3324">
        <f>IF(AND(I3324="",J3324="",K3324=""),"",IF(OR(NOT(ISNUMBER(O3324)),N(O3324)&lt;=0),"Bad amount",IF(NOT(ISNUMBER(N3324)),"Bad date",IF(P3324="","NAME NOT ON ROSTER","OK"))))</f>
        <v/>
      </c>
      <c r="I3324">
        <f>IF('Cash_Check'!A324="","",'Cash_Check'!A324)</f>
        <v/>
      </c>
      <c r="J3324">
        <f>IF('Cash_Check'!D324="","",'Cash_Check'!D324)</f>
        <v/>
      </c>
      <c r="K3324">
        <f>TRIM('Cash_Check'!B324)</f>
        <v/>
      </c>
      <c r="M3324">
        <f>IF(TRIM('Cash_Check'!E324)="","Cash/check",TRIM('Cash_Check'!E324))</f>
        <v/>
      </c>
      <c r="N3324">
        <f>IF(I3324="","",IF(ISNUMBER(I3324),INT(I3324),IFERROR(INT(DATEVALUE(I3324)),IFERROR(INT(VALUE(I3324)),"bad"))))</f>
        <v/>
      </c>
      <c r="O3324">
        <f>IF(J3324="","",IF(ISNUMBER(J3324),ROUND(J3324,2),IFERROR(ROUND(VALUE(SUBSTITUTE(SUBSTITUTE(SUBSTITUTE(J3324,"$",""),",","")," ","")),2),"bad")))</f>
        <v/>
      </c>
      <c r="P3324">
        <f>IF(K3324="","",IFERROR(MATCH(IF(ISNUMBER(FIND("#",K3324)),TRIM(MID(K3324,FIND("#",K3324)+1,20)),UPPER(K3324)),'Students'!$AD$2:$AD$701,0),""))</f>
        <v/>
      </c>
      <c r="R3324">
        <f>IF(P3324="","",INDEX('Students'!$AD$2:$AD$701,P3324))</f>
        <v/>
      </c>
      <c r="S3324">
        <f>IF(H3324="OK",O3324,0)</f>
        <v/>
      </c>
      <c r="T3324">
        <f>IF(H3324="OK",N3324,"")</f>
        <v/>
      </c>
      <c r="U3324">
        <f>TRIM('Cash_Check'!C324)</f>
        <v/>
      </c>
    </row>
    <row r="3325">
      <c r="A3325" s="62">
        <f>IF(H3325="","",IF(ISNUMBER(N3325),N3325,I3325))</f>
        <v/>
      </c>
      <c r="B3325">
        <f>IF(H3325="","",U3325)</f>
        <v/>
      </c>
      <c r="C3325">
        <f>IF(H3325="","",IF(P3325="",K3325,INDEX('Students'!$A$2:$A$701,P3325)))</f>
        <v/>
      </c>
      <c r="D3325">
        <f>IF(OR(H3325="",P3325=""),"",INDEX('Students'!$B$2:$B$701,P3325))</f>
        <v/>
      </c>
      <c r="E3325">
        <f>IF(OR(H3325="",P3325=""),"",INDEX('Students'!$C$2:$C$701,P3325))</f>
        <v/>
      </c>
      <c r="F3325" s="48">
        <f>IF(H3325="","",IF(ISNUMBER(O3325),O3325,J3325))</f>
        <v/>
      </c>
      <c r="G3325">
        <f>IF(H3325="","",M3325)</f>
        <v/>
      </c>
      <c r="H3325">
        <f>IF(AND(I3325="",J3325="",K3325=""),"",IF(OR(NOT(ISNUMBER(O3325)),N(O3325)&lt;=0),"Bad amount",IF(NOT(ISNUMBER(N3325)),"Bad date",IF(P3325="","NAME NOT ON ROSTER","OK"))))</f>
        <v/>
      </c>
      <c r="I3325">
        <f>IF('Cash_Check'!A325="","",'Cash_Check'!A325)</f>
        <v/>
      </c>
      <c r="J3325">
        <f>IF('Cash_Check'!D325="","",'Cash_Check'!D325)</f>
        <v/>
      </c>
      <c r="K3325">
        <f>TRIM('Cash_Check'!B325)</f>
        <v/>
      </c>
      <c r="M3325">
        <f>IF(TRIM('Cash_Check'!E325)="","Cash/check",TRIM('Cash_Check'!E325))</f>
        <v/>
      </c>
      <c r="N3325">
        <f>IF(I3325="","",IF(ISNUMBER(I3325),INT(I3325),IFERROR(INT(DATEVALUE(I3325)),IFERROR(INT(VALUE(I3325)),"bad"))))</f>
        <v/>
      </c>
      <c r="O3325">
        <f>IF(J3325="","",IF(ISNUMBER(J3325),ROUND(J3325,2),IFERROR(ROUND(VALUE(SUBSTITUTE(SUBSTITUTE(SUBSTITUTE(J3325,"$",""),",","")," ","")),2),"bad")))</f>
        <v/>
      </c>
      <c r="P3325">
        <f>IF(K3325="","",IFERROR(MATCH(IF(ISNUMBER(FIND("#",K3325)),TRIM(MID(K3325,FIND("#",K3325)+1,20)),UPPER(K3325)),'Students'!$AD$2:$AD$701,0),""))</f>
        <v/>
      </c>
      <c r="R3325">
        <f>IF(P3325="","",INDEX('Students'!$AD$2:$AD$701,P3325))</f>
        <v/>
      </c>
      <c r="S3325">
        <f>IF(H3325="OK",O3325,0)</f>
        <v/>
      </c>
      <c r="T3325">
        <f>IF(H3325="OK",N3325,"")</f>
        <v/>
      </c>
      <c r="U3325">
        <f>TRIM('Cash_Check'!C325)</f>
        <v/>
      </c>
    </row>
    <row r="3326">
      <c r="A3326" s="62">
        <f>IF(H3326="","",IF(ISNUMBER(N3326),N3326,I3326))</f>
        <v/>
      </c>
      <c r="B3326">
        <f>IF(H3326="","",U3326)</f>
        <v/>
      </c>
      <c r="C3326">
        <f>IF(H3326="","",IF(P3326="",K3326,INDEX('Students'!$A$2:$A$701,P3326)))</f>
        <v/>
      </c>
      <c r="D3326">
        <f>IF(OR(H3326="",P3326=""),"",INDEX('Students'!$B$2:$B$701,P3326))</f>
        <v/>
      </c>
      <c r="E3326">
        <f>IF(OR(H3326="",P3326=""),"",INDEX('Students'!$C$2:$C$701,P3326))</f>
        <v/>
      </c>
      <c r="F3326" s="48">
        <f>IF(H3326="","",IF(ISNUMBER(O3326),O3326,J3326))</f>
        <v/>
      </c>
      <c r="G3326">
        <f>IF(H3326="","",M3326)</f>
        <v/>
      </c>
      <c r="H3326">
        <f>IF(AND(I3326="",J3326="",K3326=""),"",IF(OR(NOT(ISNUMBER(O3326)),N(O3326)&lt;=0),"Bad amount",IF(NOT(ISNUMBER(N3326)),"Bad date",IF(P3326="","NAME NOT ON ROSTER","OK"))))</f>
        <v/>
      </c>
      <c r="I3326">
        <f>IF('Cash_Check'!A326="","",'Cash_Check'!A326)</f>
        <v/>
      </c>
      <c r="J3326">
        <f>IF('Cash_Check'!D326="","",'Cash_Check'!D326)</f>
        <v/>
      </c>
      <c r="K3326">
        <f>TRIM('Cash_Check'!B326)</f>
        <v/>
      </c>
      <c r="M3326">
        <f>IF(TRIM('Cash_Check'!E326)="","Cash/check",TRIM('Cash_Check'!E326))</f>
        <v/>
      </c>
      <c r="N3326">
        <f>IF(I3326="","",IF(ISNUMBER(I3326),INT(I3326),IFERROR(INT(DATEVALUE(I3326)),IFERROR(INT(VALUE(I3326)),"bad"))))</f>
        <v/>
      </c>
      <c r="O3326">
        <f>IF(J3326="","",IF(ISNUMBER(J3326),ROUND(J3326,2),IFERROR(ROUND(VALUE(SUBSTITUTE(SUBSTITUTE(SUBSTITUTE(J3326,"$",""),",","")," ","")),2),"bad")))</f>
        <v/>
      </c>
      <c r="P3326">
        <f>IF(K3326="","",IFERROR(MATCH(IF(ISNUMBER(FIND("#",K3326)),TRIM(MID(K3326,FIND("#",K3326)+1,20)),UPPER(K3326)),'Students'!$AD$2:$AD$701,0),""))</f>
        <v/>
      </c>
      <c r="R3326">
        <f>IF(P3326="","",INDEX('Students'!$AD$2:$AD$701,P3326))</f>
        <v/>
      </c>
      <c r="S3326">
        <f>IF(H3326="OK",O3326,0)</f>
        <v/>
      </c>
      <c r="T3326">
        <f>IF(H3326="OK",N3326,"")</f>
        <v/>
      </c>
      <c r="U3326">
        <f>TRIM('Cash_Check'!C326)</f>
        <v/>
      </c>
    </row>
    <row r="3327">
      <c r="A3327" s="62">
        <f>IF(H3327="","",IF(ISNUMBER(N3327),N3327,I3327))</f>
        <v/>
      </c>
      <c r="B3327">
        <f>IF(H3327="","",U3327)</f>
        <v/>
      </c>
      <c r="C3327">
        <f>IF(H3327="","",IF(P3327="",K3327,INDEX('Students'!$A$2:$A$701,P3327)))</f>
        <v/>
      </c>
      <c r="D3327">
        <f>IF(OR(H3327="",P3327=""),"",INDEX('Students'!$B$2:$B$701,P3327))</f>
        <v/>
      </c>
      <c r="E3327">
        <f>IF(OR(H3327="",P3327=""),"",INDEX('Students'!$C$2:$C$701,P3327))</f>
        <v/>
      </c>
      <c r="F3327" s="48">
        <f>IF(H3327="","",IF(ISNUMBER(O3327),O3327,J3327))</f>
        <v/>
      </c>
      <c r="G3327">
        <f>IF(H3327="","",M3327)</f>
        <v/>
      </c>
      <c r="H3327">
        <f>IF(AND(I3327="",J3327="",K3327=""),"",IF(OR(NOT(ISNUMBER(O3327)),N(O3327)&lt;=0),"Bad amount",IF(NOT(ISNUMBER(N3327)),"Bad date",IF(P3327="","NAME NOT ON ROSTER","OK"))))</f>
        <v/>
      </c>
      <c r="I3327">
        <f>IF('Cash_Check'!A327="","",'Cash_Check'!A327)</f>
        <v/>
      </c>
      <c r="J3327">
        <f>IF('Cash_Check'!D327="","",'Cash_Check'!D327)</f>
        <v/>
      </c>
      <c r="K3327">
        <f>TRIM('Cash_Check'!B327)</f>
        <v/>
      </c>
      <c r="M3327">
        <f>IF(TRIM('Cash_Check'!E327)="","Cash/check",TRIM('Cash_Check'!E327))</f>
        <v/>
      </c>
      <c r="N3327">
        <f>IF(I3327="","",IF(ISNUMBER(I3327),INT(I3327),IFERROR(INT(DATEVALUE(I3327)),IFERROR(INT(VALUE(I3327)),"bad"))))</f>
        <v/>
      </c>
      <c r="O3327">
        <f>IF(J3327="","",IF(ISNUMBER(J3327),ROUND(J3327,2),IFERROR(ROUND(VALUE(SUBSTITUTE(SUBSTITUTE(SUBSTITUTE(J3327,"$",""),",","")," ","")),2),"bad")))</f>
        <v/>
      </c>
      <c r="P3327">
        <f>IF(K3327="","",IFERROR(MATCH(IF(ISNUMBER(FIND("#",K3327)),TRIM(MID(K3327,FIND("#",K3327)+1,20)),UPPER(K3327)),'Students'!$AD$2:$AD$701,0),""))</f>
        <v/>
      </c>
      <c r="R3327">
        <f>IF(P3327="","",INDEX('Students'!$AD$2:$AD$701,P3327))</f>
        <v/>
      </c>
      <c r="S3327">
        <f>IF(H3327="OK",O3327,0)</f>
        <v/>
      </c>
      <c r="T3327">
        <f>IF(H3327="OK",N3327,"")</f>
        <v/>
      </c>
      <c r="U3327">
        <f>TRIM('Cash_Check'!C327)</f>
        <v/>
      </c>
    </row>
    <row r="3328">
      <c r="A3328" s="62">
        <f>IF(H3328="","",IF(ISNUMBER(N3328),N3328,I3328))</f>
        <v/>
      </c>
      <c r="B3328">
        <f>IF(H3328="","",U3328)</f>
        <v/>
      </c>
      <c r="C3328">
        <f>IF(H3328="","",IF(P3328="",K3328,INDEX('Students'!$A$2:$A$701,P3328)))</f>
        <v/>
      </c>
      <c r="D3328">
        <f>IF(OR(H3328="",P3328=""),"",INDEX('Students'!$B$2:$B$701,P3328))</f>
        <v/>
      </c>
      <c r="E3328">
        <f>IF(OR(H3328="",P3328=""),"",INDEX('Students'!$C$2:$C$701,P3328))</f>
        <v/>
      </c>
      <c r="F3328" s="48">
        <f>IF(H3328="","",IF(ISNUMBER(O3328),O3328,J3328))</f>
        <v/>
      </c>
      <c r="G3328">
        <f>IF(H3328="","",M3328)</f>
        <v/>
      </c>
      <c r="H3328">
        <f>IF(AND(I3328="",J3328="",K3328=""),"",IF(OR(NOT(ISNUMBER(O3328)),N(O3328)&lt;=0),"Bad amount",IF(NOT(ISNUMBER(N3328)),"Bad date",IF(P3328="","NAME NOT ON ROSTER","OK"))))</f>
        <v/>
      </c>
      <c r="I3328">
        <f>IF('Cash_Check'!A328="","",'Cash_Check'!A328)</f>
        <v/>
      </c>
      <c r="J3328">
        <f>IF('Cash_Check'!D328="","",'Cash_Check'!D328)</f>
        <v/>
      </c>
      <c r="K3328">
        <f>TRIM('Cash_Check'!B328)</f>
        <v/>
      </c>
      <c r="M3328">
        <f>IF(TRIM('Cash_Check'!E328)="","Cash/check",TRIM('Cash_Check'!E328))</f>
        <v/>
      </c>
      <c r="N3328">
        <f>IF(I3328="","",IF(ISNUMBER(I3328),INT(I3328),IFERROR(INT(DATEVALUE(I3328)),IFERROR(INT(VALUE(I3328)),"bad"))))</f>
        <v/>
      </c>
      <c r="O3328">
        <f>IF(J3328="","",IF(ISNUMBER(J3328),ROUND(J3328,2),IFERROR(ROUND(VALUE(SUBSTITUTE(SUBSTITUTE(SUBSTITUTE(J3328,"$",""),",","")," ","")),2),"bad")))</f>
        <v/>
      </c>
      <c r="P3328">
        <f>IF(K3328="","",IFERROR(MATCH(IF(ISNUMBER(FIND("#",K3328)),TRIM(MID(K3328,FIND("#",K3328)+1,20)),UPPER(K3328)),'Students'!$AD$2:$AD$701,0),""))</f>
        <v/>
      </c>
      <c r="R3328">
        <f>IF(P3328="","",INDEX('Students'!$AD$2:$AD$701,P3328))</f>
        <v/>
      </c>
      <c r="S3328">
        <f>IF(H3328="OK",O3328,0)</f>
        <v/>
      </c>
      <c r="T3328">
        <f>IF(H3328="OK",N3328,"")</f>
        <v/>
      </c>
      <c r="U3328">
        <f>TRIM('Cash_Check'!C328)</f>
        <v/>
      </c>
    </row>
    <row r="3329">
      <c r="A3329" s="62">
        <f>IF(H3329="","",IF(ISNUMBER(N3329),N3329,I3329))</f>
        <v/>
      </c>
      <c r="B3329">
        <f>IF(H3329="","",U3329)</f>
        <v/>
      </c>
      <c r="C3329">
        <f>IF(H3329="","",IF(P3329="",K3329,INDEX('Students'!$A$2:$A$701,P3329)))</f>
        <v/>
      </c>
      <c r="D3329">
        <f>IF(OR(H3329="",P3329=""),"",INDEX('Students'!$B$2:$B$701,P3329))</f>
        <v/>
      </c>
      <c r="E3329">
        <f>IF(OR(H3329="",P3329=""),"",INDEX('Students'!$C$2:$C$701,P3329))</f>
        <v/>
      </c>
      <c r="F3329" s="48">
        <f>IF(H3329="","",IF(ISNUMBER(O3329),O3329,J3329))</f>
        <v/>
      </c>
      <c r="G3329">
        <f>IF(H3329="","",M3329)</f>
        <v/>
      </c>
      <c r="H3329">
        <f>IF(AND(I3329="",J3329="",K3329=""),"",IF(OR(NOT(ISNUMBER(O3329)),N(O3329)&lt;=0),"Bad amount",IF(NOT(ISNUMBER(N3329)),"Bad date",IF(P3329="","NAME NOT ON ROSTER","OK"))))</f>
        <v/>
      </c>
      <c r="I3329">
        <f>IF('Cash_Check'!A329="","",'Cash_Check'!A329)</f>
        <v/>
      </c>
      <c r="J3329">
        <f>IF('Cash_Check'!D329="","",'Cash_Check'!D329)</f>
        <v/>
      </c>
      <c r="K3329">
        <f>TRIM('Cash_Check'!B329)</f>
        <v/>
      </c>
      <c r="M3329">
        <f>IF(TRIM('Cash_Check'!E329)="","Cash/check",TRIM('Cash_Check'!E329))</f>
        <v/>
      </c>
      <c r="N3329">
        <f>IF(I3329="","",IF(ISNUMBER(I3329),INT(I3329),IFERROR(INT(DATEVALUE(I3329)),IFERROR(INT(VALUE(I3329)),"bad"))))</f>
        <v/>
      </c>
      <c r="O3329">
        <f>IF(J3329="","",IF(ISNUMBER(J3329),ROUND(J3329,2),IFERROR(ROUND(VALUE(SUBSTITUTE(SUBSTITUTE(SUBSTITUTE(J3329,"$",""),",","")," ","")),2),"bad")))</f>
        <v/>
      </c>
      <c r="P3329">
        <f>IF(K3329="","",IFERROR(MATCH(IF(ISNUMBER(FIND("#",K3329)),TRIM(MID(K3329,FIND("#",K3329)+1,20)),UPPER(K3329)),'Students'!$AD$2:$AD$701,0),""))</f>
        <v/>
      </c>
      <c r="R3329">
        <f>IF(P3329="","",INDEX('Students'!$AD$2:$AD$701,P3329))</f>
        <v/>
      </c>
      <c r="S3329">
        <f>IF(H3329="OK",O3329,0)</f>
        <v/>
      </c>
      <c r="T3329">
        <f>IF(H3329="OK",N3329,"")</f>
        <v/>
      </c>
      <c r="U3329">
        <f>TRIM('Cash_Check'!C329)</f>
        <v/>
      </c>
    </row>
    <row r="3330">
      <c r="A3330" s="62">
        <f>IF(H3330="","",IF(ISNUMBER(N3330),N3330,I3330))</f>
        <v/>
      </c>
      <c r="B3330">
        <f>IF(H3330="","",U3330)</f>
        <v/>
      </c>
      <c r="C3330">
        <f>IF(H3330="","",IF(P3330="",K3330,INDEX('Students'!$A$2:$A$701,P3330)))</f>
        <v/>
      </c>
      <c r="D3330">
        <f>IF(OR(H3330="",P3330=""),"",INDEX('Students'!$B$2:$B$701,P3330))</f>
        <v/>
      </c>
      <c r="E3330">
        <f>IF(OR(H3330="",P3330=""),"",INDEX('Students'!$C$2:$C$701,P3330))</f>
        <v/>
      </c>
      <c r="F3330" s="48">
        <f>IF(H3330="","",IF(ISNUMBER(O3330),O3330,J3330))</f>
        <v/>
      </c>
      <c r="G3330">
        <f>IF(H3330="","",M3330)</f>
        <v/>
      </c>
      <c r="H3330">
        <f>IF(AND(I3330="",J3330="",K3330=""),"",IF(OR(NOT(ISNUMBER(O3330)),N(O3330)&lt;=0),"Bad amount",IF(NOT(ISNUMBER(N3330)),"Bad date",IF(P3330="","NAME NOT ON ROSTER","OK"))))</f>
        <v/>
      </c>
      <c r="I3330">
        <f>IF('Cash_Check'!A330="","",'Cash_Check'!A330)</f>
        <v/>
      </c>
      <c r="J3330">
        <f>IF('Cash_Check'!D330="","",'Cash_Check'!D330)</f>
        <v/>
      </c>
      <c r="K3330">
        <f>TRIM('Cash_Check'!B330)</f>
        <v/>
      </c>
      <c r="M3330">
        <f>IF(TRIM('Cash_Check'!E330)="","Cash/check",TRIM('Cash_Check'!E330))</f>
        <v/>
      </c>
      <c r="N3330">
        <f>IF(I3330="","",IF(ISNUMBER(I3330),INT(I3330),IFERROR(INT(DATEVALUE(I3330)),IFERROR(INT(VALUE(I3330)),"bad"))))</f>
        <v/>
      </c>
      <c r="O3330">
        <f>IF(J3330="","",IF(ISNUMBER(J3330),ROUND(J3330,2),IFERROR(ROUND(VALUE(SUBSTITUTE(SUBSTITUTE(SUBSTITUTE(J3330,"$",""),",","")," ","")),2),"bad")))</f>
        <v/>
      </c>
      <c r="P3330">
        <f>IF(K3330="","",IFERROR(MATCH(IF(ISNUMBER(FIND("#",K3330)),TRIM(MID(K3330,FIND("#",K3330)+1,20)),UPPER(K3330)),'Students'!$AD$2:$AD$701,0),""))</f>
        <v/>
      </c>
      <c r="R3330">
        <f>IF(P3330="","",INDEX('Students'!$AD$2:$AD$701,P3330))</f>
        <v/>
      </c>
      <c r="S3330">
        <f>IF(H3330="OK",O3330,0)</f>
        <v/>
      </c>
      <c r="T3330">
        <f>IF(H3330="OK",N3330,"")</f>
        <v/>
      </c>
      <c r="U3330">
        <f>TRIM('Cash_Check'!C330)</f>
        <v/>
      </c>
    </row>
    <row r="3331">
      <c r="A3331" s="62">
        <f>IF(H3331="","",IF(ISNUMBER(N3331),N3331,I3331))</f>
        <v/>
      </c>
      <c r="B3331">
        <f>IF(H3331="","",U3331)</f>
        <v/>
      </c>
      <c r="C3331">
        <f>IF(H3331="","",IF(P3331="",K3331,INDEX('Students'!$A$2:$A$701,P3331)))</f>
        <v/>
      </c>
      <c r="D3331">
        <f>IF(OR(H3331="",P3331=""),"",INDEX('Students'!$B$2:$B$701,P3331))</f>
        <v/>
      </c>
      <c r="E3331">
        <f>IF(OR(H3331="",P3331=""),"",INDEX('Students'!$C$2:$C$701,P3331))</f>
        <v/>
      </c>
      <c r="F3331" s="48">
        <f>IF(H3331="","",IF(ISNUMBER(O3331),O3331,J3331))</f>
        <v/>
      </c>
      <c r="G3331">
        <f>IF(H3331="","",M3331)</f>
        <v/>
      </c>
      <c r="H3331">
        <f>IF(AND(I3331="",J3331="",K3331=""),"",IF(OR(NOT(ISNUMBER(O3331)),N(O3331)&lt;=0),"Bad amount",IF(NOT(ISNUMBER(N3331)),"Bad date",IF(P3331="","NAME NOT ON ROSTER","OK"))))</f>
        <v/>
      </c>
      <c r="I3331">
        <f>IF('Cash_Check'!A331="","",'Cash_Check'!A331)</f>
        <v/>
      </c>
      <c r="J3331">
        <f>IF('Cash_Check'!D331="","",'Cash_Check'!D331)</f>
        <v/>
      </c>
      <c r="K3331">
        <f>TRIM('Cash_Check'!B331)</f>
        <v/>
      </c>
      <c r="M3331">
        <f>IF(TRIM('Cash_Check'!E331)="","Cash/check",TRIM('Cash_Check'!E331))</f>
        <v/>
      </c>
      <c r="N3331">
        <f>IF(I3331="","",IF(ISNUMBER(I3331),INT(I3331),IFERROR(INT(DATEVALUE(I3331)),IFERROR(INT(VALUE(I3331)),"bad"))))</f>
        <v/>
      </c>
      <c r="O3331">
        <f>IF(J3331="","",IF(ISNUMBER(J3331),ROUND(J3331,2),IFERROR(ROUND(VALUE(SUBSTITUTE(SUBSTITUTE(SUBSTITUTE(J3331,"$",""),",","")," ","")),2),"bad")))</f>
        <v/>
      </c>
      <c r="P3331">
        <f>IF(K3331="","",IFERROR(MATCH(IF(ISNUMBER(FIND("#",K3331)),TRIM(MID(K3331,FIND("#",K3331)+1,20)),UPPER(K3331)),'Students'!$AD$2:$AD$701,0),""))</f>
        <v/>
      </c>
      <c r="R3331">
        <f>IF(P3331="","",INDEX('Students'!$AD$2:$AD$701,P3331))</f>
        <v/>
      </c>
      <c r="S3331">
        <f>IF(H3331="OK",O3331,0)</f>
        <v/>
      </c>
      <c r="T3331">
        <f>IF(H3331="OK",N3331,"")</f>
        <v/>
      </c>
      <c r="U3331">
        <f>TRIM('Cash_Check'!C331)</f>
        <v/>
      </c>
    </row>
    <row r="3332">
      <c r="A3332" s="62">
        <f>IF(H3332="","",IF(ISNUMBER(N3332),N3332,I3332))</f>
        <v/>
      </c>
      <c r="B3332">
        <f>IF(H3332="","",U3332)</f>
        <v/>
      </c>
      <c r="C3332">
        <f>IF(H3332="","",IF(P3332="",K3332,INDEX('Students'!$A$2:$A$701,P3332)))</f>
        <v/>
      </c>
      <c r="D3332">
        <f>IF(OR(H3332="",P3332=""),"",INDEX('Students'!$B$2:$B$701,P3332))</f>
        <v/>
      </c>
      <c r="E3332">
        <f>IF(OR(H3332="",P3332=""),"",INDEX('Students'!$C$2:$C$701,P3332))</f>
        <v/>
      </c>
      <c r="F3332" s="48">
        <f>IF(H3332="","",IF(ISNUMBER(O3332),O3332,J3332))</f>
        <v/>
      </c>
      <c r="G3332">
        <f>IF(H3332="","",M3332)</f>
        <v/>
      </c>
      <c r="H3332">
        <f>IF(AND(I3332="",J3332="",K3332=""),"",IF(OR(NOT(ISNUMBER(O3332)),N(O3332)&lt;=0),"Bad amount",IF(NOT(ISNUMBER(N3332)),"Bad date",IF(P3332="","NAME NOT ON ROSTER","OK"))))</f>
        <v/>
      </c>
      <c r="I3332">
        <f>IF('Cash_Check'!A332="","",'Cash_Check'!A332)</f>
        <v/>
      </c>
      <c r="J3332">
        <f>IF('Cash_Check'!D332="","",'Cash_Check'!D332)</f>
        <v/>
      </c>
      <c r="K3332">
        <f>TRIM('Cash_Check'!B332)</f>
        <v/>
      </c>
      <c r="M3332">
        <f>IF(TRIM('Cash_Check'!E332)="","Cash/check",TRIM('Cash_Check'!E332))</f>
        <v/>
      </c>
      <c r="N3332">
        <f>IF(I3332="","",IF(ISNUMBER(I3332),INT(I3332),IFERROR(INT(DATEVALUE(I3332)),IFERROR(INT(VALUE(I3332)),"bad"))))</f>
        <v/>
      </c>
      <c r="O3332">
        <f>IF(J3332="","",IF(ISNUMBER(J3332),ROUND(J3332,2),IFERROR(ROUND(VALUE(SUBSTITUTE(SUBSTITUTE(SUBSTITUTE(J3332,"$",""),",","")," ","")),2),"bad")))</f>
        <v/>
      </c>
      <c r="P3332">
        <f>IF(K3332="","",IFERROR(MATCH(IF(ISNUMBER(FIND("#",K3332)),TRIM(MID(K3332,FIND("#",K3332)+1,20)),UPPER(K3332)),'Students'!$AD$2:$AD$701,0),""))</f>
        <v/>
      </c>
      <c r="R3332">
        <f>IF(P3332="","",INDEX('Students'!$AD$2:$AD$701,P3332))</f>
        <v/>
      </c>
      <c r="S3332">
        <f>IF(H3332="OK",O3332,0)</f>
        <v/>
      </c>
      <c r="T3332">
        <f>IF(H3332="OK",N3332,"")</f>
        <v/>
      </c>
      <c r="U3332">
        <f>TRIM('Cash_Check'!C332)</f>
        <v/>
      </c>
    </row>
    <row r="3333">
      <c r="A3333" s="62">
        <f>IF(H3333="","",IF(ISNUMBER(N3333),N3333,I3333))</f>
        <v/>
      </c>
      <c r="B3333">
        <f>IF(H3333="","",U3333)</f>
        <v/>
      </c>
      <c r="C3333">
        <f>IF(H3333="","",IF(P3333="",K3333,INDEX('Students'!$A$2:$A$701,P3333)))</f>
        <v/>
      </c>
      <c r="D3333">
        <f>IF(OR(H3333="",P3333=""),"",INDEX('Students'!$B$2:$B$701,P3333))</f>
        <v/>
      </c>
      <c r="E3333">
        <f>IF(OR(H3333="",P3333=""),"",INDEX('Students'!$C$2:$C$701,P3333))</f>
        <v/>
      </c>
      <c r="F3333" s="48">
        <f>IF(H3333="","",IF(ISNUMBER(O3333),O3333,J3333))</f>
        <v/>
      </c>
      <c r="G3333">
        <f>IF(H3333="","",M3333)</f>
        <v/>
      </c>
      <c r="H3333">
        <f>IF(AND(I3333="",J3333="",K3333=""),"",IF(OR(NOT(ISNUMBER(O3333)),N(O3333)&lt;=0),"Bad amount",IF(NOT(ISNUMBER(N3333)),"Bad date",IF(P3333="","NAME NOT ON ROSTER","OK"))))</f>
        <v/>
      </c>
      <c r="I3333">
        <f>IF('Cash_Check'!A333="","",'Cash_Check'!A333)</f>
        <v/>
      </c>
      <c r="J3333">
        <f>IF('Cash_Check'!D333="","",'Cash_Check'!D333)</f>
        <v/>
      </c>
      <c r="K3333">
        <f>TRIM('Cash_Check'!B333)</f>
        <v/>
      </c>
      <c r="M3333">
        <f>IF(TRIM('Cash_Check'!E333)="","Cash/check",TRIM('Cash_Check'!E333))</f>
        <v/>
      </c>
      <c r="N3333">
        <f>IF(I3333="","",IF(ISNUMBER(I3333),INT(I3333),IFERROR(INT(DATEVALUE(I3333)),IFERROR(INT(VALUE(I3333)),"bad"))))</f>
        <v/>
      </c>
      <c r="O3333">
        <f>IF(J3333="","",IF(ISNUMBER(J3333),ROUND(J3333,2),IFERROR(ROUND(VALUE(SUBSTITUTE(SUBSTITUTE(SUBSTITUTE(J3333,"$",""),",","")," ","")),2),"bad")))</f>
        <v/>
      </c>
      <c r="P3333">
        <f>IF(K3333="","",IFERROR(MATCH(IF(ISNUMBER(FIND("#",K3333)),TRIM(MID(K3333,FIND("#",K3333)+1,20)),UPPER(K3333)),'Students'!$AD$2:$AD$701,0),""))</f>
        <v/>
      </c>
      <c r="R3333">
        <f>IF(P3333="","",INDEX('Students'!$AD$2:$AD$701,P3333))</f>
        <v/>
      </c>
      <c r="S3333">
        <f>IF(H3333="OK",O3333,0)</f>
        <v/>
      </c>
      <c r="T3333">
        <f>IF(H3333="OK",N3333,"")</f>
        <v/>
      </c>
      <c r="U3333">
        <f>TRIM('Cash_Check'!C333)</f>
        <v/>
      </c>
    </row>
    <row r="3334">
      <c r="A3334" s="62">
        <f>IF(H3334="","",IF(ISNUMBER(N3334),N3334,I3334))</f>
        <v/>
      </c>
      <c r="B3334">
        <f>IF(H3334="","",U3334)</f>
        <v/>
      </c>
      <c r="C3334">
        <f>IF(H3334="","",IF(P3334="",K3334,INDEX('Students'!$A$2:$A$701,P3334)))</f>
        <v/>
      </c>
      <c r="D3334">
        <f>IF(OR(H3334="",P3334=""),"",INDEX('Students'!$B$2:$B$701,P3334))</f>
        <v/>
      </c>
      <c r="E3334">
        <f>IF(OR(H3334="",P3334=""),"",INDEX('Students'!$C$2:$C$701,P3334))</f>
        <v/>
      </c>
      <c r="F3334" s="48">
        <f>IF(H3334="","",IF(ISNUMBER(O3334),O3334,J3334))</f>
        <v/>
      </c>
      <c r="G3334">
        <f>IF(H3334="","",M3334)</f>
        <v/>
      </c>
      <c r="H3334">
        <f>IF(AND(I3334="",J3334="",K3334=""),"",IF(OR(NOT(ISNUMBER(O3334)),N(O3334)&lt;=0),"Bad amount",IF(NOT(ISNUMBER(N3334)),"Bad date",IF(P3334="","NAME NOT ON ROSTER","OK"))))</f>
        <v/>
      </c>
      <c r="I3334">
        <f>IF('Cash_Check'!A334="","",'Cash_Check'!A334)</f>
        <v/>
      </c>
      <c r="J3334">
        <f>IF('Cash_Check'!D334="","",'Cash_Check'!D334)</f>
        <v/>
      </c>
      <c r="K3334">
        <f>TRIM('Cash_Check'!B334)</f>
        <v/>
      </c>
      <c r="M3334">
        <f>IF(TRIM('Cash_Check'!E334)="","Cash/check",TRIM('Cash_Check'!E334))</f>
        <v/>
      </c>
      <c r="N3334">
        <f>IF(I3334="","",IF(ISNUMBER(I3334),INT(I3334),IFERROR(INT(DATEVALUE(I3334)),IFERROR(INT(VALUE(I3334)),"bad"))))</f>
        <v/>
      </c>
      <c r="O3334">
        <f>IF(J3334="","",IF(ISNUMBER(J3334),ROUND(J3334,2),IFERROR(ROUND(VALUE(SUBSTITUTE(SUBSTITUTE(SUBSTITUTE(J3334,"$",""),",","")," ","")),2),"bad")))</f>
        <v/>
      </c>
      <c r="P3334">
        <f>IF(K3334="","",IFERROR(MATCH(IF(ISNUMBER(FIND("#",K3334)),TRIM(MID(K3334,FIND("#",K3334)+1,20)),UPPER(K3334)),'Students'!$AD$2:$AD$701,0),""))</f>
        <v/>
      </c>
      <c r="R3334">
        <f>IF(P3334="","",INDEX('Students'!$AD$2:$AD$701,P3334))</f>
        <v/>
      </c>
      <c r="S3334">
        <f>IF(H3334="OK",O3334,0)</f>
        <v/>
      </c>
      <c r="T3334">
        <f>IF(H3334="OK",N3334,"")</f>
        <v/>
      </c>
      <c r="U3334">
        <f>TRIM('Cash_Check'!C334)</f>
        <v/>
      </c>
    </row>
    <row r="3335">
      <c r="A3335" s="62">
        <f>IF(H3335="","",IF(ISNUMBER(N3335),N3335,I3335))</f>
        <v/>
      </c>
      <c r="B3335">
        <f>IF(H3335="","",U3335)</f>
        <v/>
      </c>
      <c r="C3335">
        <f>IF(H3335="","",IF(P3335="",K3335,INDEX('Students'!$A$2:$A$701,P3335)))</f>
        <v/>
      </c>
      <c r="D3335">
        <f>IF(OR(H3335="",P3335=""),"",INDEX('Students'!$B$2:$B$701,P3335))</f>
        <v/>
      </c>
      <c r="E3335">
        <f>IF(OR(H3335="",P3335=""),"",INDEX('Students'!$C$2:$C$701,P3335))</f>
        <v/>
      </c>
      <c r="F3335" s="48">
        <f>IF(H3335="","",IF(ISNUMBER(O3335),O3335,J3335))</f>
        <v/>
      </c>
      <c r="G3335">
        <f>IF(H3335="","",M3335)</f>
        <v/>
      </c>
      <c r="H3335">
        <f>IF(AND(I3335="",J3335="",K3335=""),"",IF(OR(NOT(ISNUMBER(O3335)),N(O3335)&lt;=0),"Bad amount",IF(NOT(ISNUMBER(N3335)),"Bad date",IF(P3335="","NAME NOT ON ROSTER","OK"))))</f>
        <v/>
      </c>
      <c r="I3335">
        <f>IF('Cash_Check'!A335="","",'Cash_Check'!A335)</f>
        <v/>
      </c>
      <c r="J3335">
        <f>IF('Cash_Check'!D335="","",'Cash_Check'!D335)</f>
        <v/>
      </c>
      <c r="K3335">
        <f>TRIM('Cash_Check'!B335)</f>
        <v/>
      </c>
      <c r="M3335">
        <f>IF(TRIM('Cash_Check'!E335)="","Cash/check",TRIM('Cash_Check'!E335))</f>
        <v/>
      </c>
      <c r="N3335">
        <f>IF(I3335="","",IF(ISNUMBER(I3335),INT(I3335),IFERROR(INT(DATEVALUE(I3335)),IFERROR(INT(VALUE(I3335)),"bad"))))</f>
        <v/>
      </c>
      <c r="O3335">
        <f>IF(J3335="","",IF(ISNUMBER(J3335),ROUND(J3335,2),IFERROR(ROUND(VALUE(SUBSTITUTE(SUBSTITUTE(SUBSTITUTE(J3335,"$",""),",","")," ","")),2),"bad")))</f>
        <v/>
      </c>
      <c r="P3335">
        <f>IF(K3335="","",IFERROR(MATCH(IF(ISNUMBER(FIND("#",K3335)),TRIM(MID(K3335,FIND("#",K3335)+1,20)),UPPER(K3335)),'Students'!$AD$2:$AD$701,0),""))</f>
        <v/>
      </c>
      <c r="R3335">
        <f>IF(P3335="","",INDEX('Students'!$AD$2:$AD$701,P3335))</f>
        <v/>
      </c>
      <c r="S3335">
        <f>IF(H3335="OK",O3335,0)</f>
        <v/>
      </c>
      <c r="T3335">
        <f>IF(H3335="OK",N3335,"")</f>
        <v/>
      </c>
      <c r="U3335">
        <f>TRIM('Cash_Check'!C335)</f>
        <v/>
      </c>
    </row>
    <row r="3336">
      <c r="A3336" s="62">
        <f>IF(H3336="","",IF(ISNUMBER(N3336),N3336,I3336))</f>
        <v/>
      </c>
      <c r="B3336">
        <f>IF(H3336="","",U3336)</f>
        <v/>
      </c>
      <c r="C3336">
        <f>IF(H3336="","",IF(P3336="",K3336,INDEX('Students'!$A$2:$A$701,P3336)))</f>
        <v/>
      </c>
      <c r="D3336">
        <f>IF(OR(H3336="",P3336=""),"",INDEX('Students'!$B$2:$B$701,P3336))</f>
        <v/>
      </c>
      <c r="E3336">
        <f>IF(OR(H3336="",P3336=""),"",INDEX('Students'!$C$2:$C$701,P3336))</f>
        <v/>
      </c>
      <c r="F3336" s="48">
        <f>IF(H3336="","",IF(ISNUMBER(O3336),O3336,J3336))</f>
        <v/>
      </c>
      <c r="G3336">
        <f>IF(H3336="","",M3336)</f>
        <v/>
      </c>
      <c r="H3336">
        <f>IF(AND(I3336="",J3336="",K3336=""),"",IF(OR(NOT(ISNUMBER(O3336)),N(O3336)&lt;=0),"Bad amount",IF(NOT(ISNUMBER(N3336)),"Bad date",IF(P3336="","NAME NOT ON ROSTER","OK"))))</f>
        <v/>
      </c>
      <c r="I3336">
        <f>IF('Cash_Check'!A336="","",'Cash_Check'!A336)</f>
        <v/>
      </c>
      <c r="J3336">
        <f>IF('Cash_Check'!D336="","",'Cash_Check'!D336)</f>
        <v/>
      </c>
      <c r="K3336">
        <f>TRIM('Cash_Check'!B336)</f>
        <v/>
      </c>
      <c r="M3336">
        <f>IF(TRIM('Cash_Check'!E336)="","Cash/check",TRIM('Cash_Check'!E336))</f>
        <v/>
      </c>
      <c r="N3336">
        <f>IF(I3336="","",IF(ISNUMBER(I3336),INT(I3336),IFERROR(INT(DATEVALUE(I3336)),IFERROR(INT(VALUE(I3336)),"bad"))))</f>
        <v/>
      </c>
      <c r="O3336">
        <f>IF(J3336="","",IF(ISNUMBER(J3336),ROUND(J3336,2),IFERROR(ROUND(VALUE(SUBSTITUTE(SUBSTITUTE(SUBSTITUTE(J3336,"$",""),",","")," ","")),2),"bad")))</f>
        <v/>
      </c>
      <c r="P3336">
        <f>IF(K3336="","",IFERROR(MATCH(IF(ISNUMBER(FIND("#",K3336)),TRIM(MID(K3336,FIND("#",K3336)+1,20)),UPPER(K3336)),'Students'!$AD$2:$AD$701,0),""))</f>
        <v/>
      </c>
      <c r="R3336">
        <f>IF(P3336="","",INDEX('Students'!$AD$2:$AD$701,P3336))</f>
        <v/>
      </c>
      <c r="S3336">
        <f>IF(H3336="OK",O3336,0)</f>
        <v/>
      </c>
      <c r="T3336">
        <f>IF(H3336="OK",N3336,"")</f>
        <v/>
      </c>
      <c r="U3336">
        <f>TRIM('Cash_Check'!C336)</f>
        <v/>
      </c>
    </row>
    <row r="3337">
      <c r="A3337" s="62">
        <f>IF(H3337="","",IF(ISNUMBER(N3337),N3337,I3337))</f>
        <v/>
      </c>
      <c r="B3337">
        <f>IF(H3337="","",U3337)</f>
        <v/>
      </c>
      <c r="C3337">
        <f>IF(H3337="","",IF(P3337="",K3337,INDEX('Students'!$A$2:$A$701,P3337)))</f>
        <v/>
      </c>
      <c r="D3337">
        <f>IF(OR(H3337="",P3337=""),"",INDEX('Students'!$B$2:$B$701,P3337))</f>
        <v/>
      </c>
      <c r="E3337">
        <f>IF(OR(H3337="",P3337=""),"",INDEX('Students'!$C$2:$C$701,P3337))</f>
        <v/>
      </c>
      <c r="F3337" s="48">
        <f>IF(H3337="","",IF(ISNUMBER(O3337),O3337,J3337))</f>
        <v/>
      </c>
      <c r="G3337">
        <f>IF(H3337="","",M3337)</f>
        <v/>
      </c>
      <c r="H3337">
        <f>IF(AND(I3337="",J3337="",K3337=""),"",IF(OR(NOT(ISNUMBER(O3337)),N(O3337)&lt;=0),"Bad amount",IF(NOT(ISNUMBER(N3337)),"Bad date",IF(P3337="","NAME NOT ON ROSTER","OK"))))</f>
        <v/>
      </c>
      <c r="I3337">
        <f>IF('Cash_Check'!A337="","",'Cash_Check'!A337)</f>
        <v/>
      </c>
      <c r="J3337">
        <f>IF('Cash_Check'!D337="","",'Cash_Check'!D337)</f>
        <v/>
      </c>
      <c r="K3337">
        <f>TRIM('Cash_Check'!B337)</f>
        <v/>
      </c>
      <c r="M3337">
        <f>IF(TRIM('Cash_Check'!E337)="","Cash/check",TRIM('Cash_Check'!E337))</f>
        <v/>
      </c>
      <c r="N3337">
        <f>IF(I3337="","",IF(ISNUMBER(I3337),INT(I3337),IFERROR(INT(DATEVALUE(I3337)),IFERROR(INT(VALUE(I3337)),"bad"))))</f>
        <v/>
      </c>
      <c r="O3337">
        <f>IF(J3337="","",IF(ISNUMBER(J3337),ROUND(J3337,2),IFERROR(ROUND(VALUE(SUBSTITUTE(SUBSTITUTE(SUBSTITUTE(J3337,"$",""),",","")," ","")),2),"bad")))</f>
        <v/>
      </c>
      <c r="P3337">
        <f>IF(K3337="","",IFERROR(MATCH(IF(ISNUMBER(FIND("#",K3337)),TRIM(MID(K3337,FIND("#",K3337)+1,20)),UPPER(K3337)),'Students'!$AD$2:$AD$701,0),""))</f>
        <v/>
      </c>
      <c r="R3337">
        <f>IF(P3337="","",INDEX('Students'!$AD$2:$AD$701,P3337))</f>
        <v/>
      </c>
      <c r="S3337">
        <f>IF(H3337="OK",O3337,0)</f>
        <v/>
      </c>
      <c r="T3337">
        <f>IF(H3337="OK",N3337,"")</f>
        <v/>
      </c>
      <c r="U3337">
        <f>TRIM('Cash_Check'!C337)</f>
        <v/>
      </c>
    </row>
    <row r="3338">
      <c r="A3338" s="62">
        <f>IF(H3338="","",IF(ISNUMBER(N3338),N3338,I3338))</f>
        <v/>
      </c>
      <c r="B3338">
        <f>IF(H3338="","",U3338)</f>
        <v/>
      </c>
      <c r="C3338">
        <f>IF(H3338="","",IF(P3338="",K3338,INDEX('Students'!$A$2:$A$701,P3338)))</f>
        <v/>
      </c>
      <c r="D3338">
        <f>IF(OR(H3338="",P3338=""),"",INDEX('Students'!$B$2:$B$701,P3338))</f>
        <v/>
      </c>
      <c r="E3338">
        <f>IF(OR(H3338="",P3338=""),"",INDEX('Students'!$C$2:$C$701,P3338))</f>
        <v/>
      </c>
      <c r="F3338" s="48">
        <f>IF(H3338="","",IF(ISNUMBER(O3338),O3338,J3338))</f>
        <v/>
      </c>
      <c r="G3338">
        <f>IF(H3338="","",M3338)</f>
        <v/>
      </c>
      <c r="H3338">
        <f>IF(AND(I3338="",J3338="",K3338=""),"",IF(OR(NOT(ISNUMBER(O3338)),N(O3338)&lt;=0),"Bad amount",IF(NOT(ISNUMBER(N3338)),"Bad date",IF(P3338="","NAME NOT ON ROSTER","OK"))))</f>
        <v/>
      </c>
      <c r="I3338">
        <f>IF('Cash_Check'!A338="","",'Cash_Check'!A338)</f>
        <v/>
      </c>
      <c r="J3338">
        <f>IF('Cash_Check'!D338="","",'Cash_Check'!D338)</f>
        <v/>
      </c>
      <c r="K3338">
        <f>TRIM('Cash_Check'!B338)</f>
        <v/>
      </c>
      <c r="M3338">
        <f>IF(TRIM('Cash_Check'!E338)="","Cash/check",TRIM('Cash_Check'!E338))</f>
        <v/>
      </c>
      <c r="N3338">
        <f>IF(I3338="","",IF(ISNUMBER(I3338),INT(I3338),IFERROR(INT(DATEVALUE(I3338)),IFERROR(INT(VALUE(I3338)),"bad"))))</f>
        <v/>
      </c>
      <c r="O3338">
        <f>IF(J3338="","",IF(ISNUMBER(J3338),ROUND(J3338,2),IFERROR(ROUND(VALUE(SUBSTITUTE(SUBSTITUTE(SUBSTITUTE(J3338,"$",""),",","")," ","")),2),"bad")))</f>
        <v/>
      </c>
      <c r="P3338">
        <f>IF(K3338="","",IFERROR(MATCH(IF(ISNUMBER(FIND("#",K3338)),TRIM(MID(K3338,FIND("#",K3338)+1,20)),UPPER(K3338)),'Students'!$AD$2:$AD$701,0),""))</f>
        <v/>
      </c>
      <c r="R3338">
        <f>IF(P3338="","",INDEX('Students'!$AD$2:$AD$701,P3338))</f>
        <v/>
      </c>
      <c r="S3338">
        <f>IF(H3338="OK",O3338,0)</f>
        <v/>
      </c>
      <c r="T3338">
        <f>IF(H3338="OK",N3338,"")</f>
        <v/>
      </c>
      <c r="U3338">
        <f>TRIM('Cash_Check'!C338)</f>
        <v/>
      </c>
    </row>
    <row r="3339">
      <c r="A3339" s="62">
        <f>IF(H3339="","",IF(ISNUMBER(N3339),N3339,I3339))</f>
        <v/>
      </c>
      <c r="B3339">
        <f>IF(H3339="","",U3339)</f>
        <v/>
      </c>
      <c r="C3339">
        <f>IF(H3339="","",IF(P3339="",K3339,INDEX('Students'!$A$2:$A$701,P3339)))</f>
        <v/>
      </c>
      <c r="D3339">
        <f>IF(OR(H3339="",P3339=""),"",INDEX('Students'!$B$2:$B$701,P3339))</f>
        <v/>
      </c>
      <c r="E3339">
        <f>IF(OR(H3339="",P3339=""),"",INDEX('Students'!$C$2:$C$701,P3339))</f>
        <v/>
      </c>
      <c r="F3339" s="48">
        <f>IF(H3339="","",IF(ISNUMBER(O3339),O3339,J3339))</f>
        <v/>
      </c>
      <c r="G3339">
        <f>IF(H3339="","",M3339)</f>
        <v/>
      </c>
      <c r="H3339">
        <f>IF(AND(I3339="",J3339="",K3339=""),"",IF(OR(NOT(ISNUMBER(O3339)),N(O3339)&lt;=0),"Bad amount",IF(NOT(ISNUMBER(N3339)),"Bad date",IF(P3339="","NAME NOT ON ROSTER","OK"))))</f>
        <v/>
      </c>
      <c r="I3339">
        <f>IF('Cash_Check'!A339="","",'Cash_Check'!A339)</f>
        <v/>
      </c>
      <c r="J3339">
        <f>IF('Cash_Check'!D339="","",'Cash_Check'!D339)</f>
        <v/>
      </c>
      <c r="K3339">
        <f>TRIM('Cash_Check'!B339)</f>
        <v/>
      </c>
      <c r="M3339">
        <f>IF(TRIM('Cash_Check'!E339)="","Cash/check",TRIM('Cash_Check'!E339))</f>
        <v/>
      </c>
      <c r="N3339">
        <f>IF(I3339="","",IF(ISNUMBER(I3339),INT(I3339),IFERROR(INT(DATEVALUE(I3339)),IFERROR(INT(VALUE(I3339)),"bad"))))</f>
        <v/>
      </c>
      <c r="O3339">
        <f>IF(J3339="","",IF(ISNUMBER(J3339),ROUND(J3339,2),IFERROR(ROUND(VALUE(SUBSTITUTE(SUBSTITUTE(SUBSTITUTE(J3339,"$",""),",","")," ","")),2),"bad")))</f>
        <v/>
      </c>
      <c r="P3339">
        <f>IF(K3339="","",IFERROR(MATCH(IF(ISNUMBER(FIND("#",K3339)),TRIM(MID(K3339,FIND("#",K3339)+1,20)),UPPER(K3339)),'Students'!$AD$2:$AD$701,0),""))</f>
        <v/>
      </c>
      <c r="R3339">
        <f>IF(P3339="","",INDEX('Students'!$AD$2:$AD$701,P3339))</f>
        <v/>
      </c>
      <c r="S3339">
        <f>IF(H3339="OK",O3339,0)</f>
        <v/>
      </c>
      <c r="T3339">
        <f>IF(H3339="OK",N3339,"")</f>
        <v/>
      </c>
      <c r="U3339">
        <f>TRIM('Cash_Check'!C339)</f>
        <v/>
      </c>
    </row>
    <row r="3340">
      <c r="A3340" s="62">
        <f>IF(H3340="","",IF(ISNUMBER(N3340),N3340,I3340))</f>
        <v/>
      </c>
      <c r="B3340">
        <f>IF(H3340="","",U3340)</f>
        <v/>
      </c>
      <c r="C3340">
        <f>IF(H3340="","",IF(P3340="",K3340,INDEX('Students'!$A$2:$A$701,P3340)))</f>
        <v/>
      </c>
      <c r="D3340">
        <f>IF(OR(H3340="",P3340=""),"",INDEX('Students'!$B$2:$B$701,P3340))</f>
        <v/>
      </c>
      <c r="E3340">
        <f>IF(OR(H3340="",P3340=""),"",INDEX('Students'!$C$2:$C$701,P3340))</f>
        <v/>
      </c>
      <c r="F3340" s="48">
        <f>IF(H3340="","",IF(ISNUMBER(O3340),O3340,J3340))</f>
        <v/>
      </c>
      <c r="G3340">
        <f>IF(H3340="","",M3340)</f>
        <v/>
      </c>
      <c r="H3340">
        <f>IF(AND(I3340="",J3340="",K3340=""),"",IF(OR(NOT(ISNUMBER(O3340)),N(O3340)&lt;=0),"Bad amount",IF(NOT(ISNUMBER(N3340)),"Bad date",IF(P3340="","NAME NOT ON ROSTER","OK"))))</f>
        <v/>
      </c>
      <c r="I3340">
        <f>IF('Cash_Check'!A340="","",'Cash_Check'!A340)</f>
        <v/>
      </c>
      <c r="J3340">
        <f>IF('Cash_Check'!D340="","",'Cash_Check'!D340)</f>
        <v/>
      </c>
      <c r="K3340">
        <f>TRIM('Cash_Check'!B340)</f>
        <v/>
      </c>
      <c r="M3340">
        <f>IF(TRIM('Cash_Check'!E340)="","Cash/check",TRIM('Cash_Check'!E340))</f>
        <v/>
      </c>
      <c r="N3340">
        <f>IF(I3340="","",IF(ISNUMBER(I3340),INT(I3340),IFERROR(INT(DATEVALUE(I3340)),IFERROR(INT(VALUE(I3340)),"bad"))))</f>
        <v/>
      </c>
      <c r="O3340">
        <f>IF(J3340="","",IF(ISNUMBER(J3340),ROUND(J3340,2),IFERROR(ROUND(VALUE(SUBSTITUTE(SUBSTITUTE(SUBSTITUTE(J3340,"$",""),",","")," ","")),2),"bad")))</f>
        <v/>
      </c>
      <c r="P3340">
        <f>IF(K3340="","",IFERROR(MATCH(IF(ISNUMBER(FIND("#",K3340)),TRIM(MID(K3340,FIND("#",K3340)+1,20)),UPPER(K3340)),'Students'!$AD$2:$AD$701,0),""))</f>
        <v/>
      </c>
      <c r="R3340">
        <f>IF(P3340="","",INDEX('Students'!$AD$2:$AD$701,P3340))</f>
        <v/>
      </c>
      <c r="S3340">
        <f>IF(H3340="OK",O3340,0)</f>
        <v/>
      </c>
      <c r="T3340">
        <f>IF(H3340="OK",N3340,"")</f>
        <v/>
      </c>
      <c r="U3340">
        <f>TRIM('Cash_Check'!C340)</f>
        <v/>
      </c>
    </row>
    <row r="3341">
      <c r="A3341" s="62">
        <f>IF(H3341="","",IF(ISNUMBER(N3341),N3341,I3341))</f>
        <v/>
      </c>
      <c r="B3341">
        <f>IF(H3341="","",U3341)</f>
        <v/>
      </c>
      <c r="C3341">
        <f>IF(H3341="","",IF(P3341="",K3341,INDEX('Students'!$A$2:$A$701,P3341)))</f>
        <v/>
      </c>
      <c r="D3341">
        <f>IF(OR(H3341="",P3341=""),"",INDEX('Students'!$B$2:$B$701,P3341))</f>
        <v/>
      </c>
      <c r="E3341">
        <f>IF(OR(H3341="",P3341=""),"",INDEX('Students'!$C$2:$C$701,P3341))</f>
        <v/>
      </c>
      <c r="F3341" s="48">
        <f>IF(H3341="","",IF(ISNUMBER(O3341),O3341,J3341))</f>
        <v/>
      </c>
      <c r="G3341">
        <f>IF(H3341="","",M3341)</f>
        <v/>
      </c>
      <c r="H3341">
        <f>IF(AND(I3341="",J3341="",K3341=""),"",IF(OR(NOT(ISNUMBER(O3341)),N(O3341)&lt;=0),"Bad amount",IF(NOT(ISNUMBER(N3341)),"Bad date",IF(P3341="","NAME NOT ON ROSTER","OK"))))</f>
        <v/>
      </c>
      <c r="I3341">
        <f>IF('Cash_Check'!A341="","",'Cash_Check'!A341)</f>
        <v/>
      </c>
      <c r="J3341">
        <f>IF('Cash_Check'!D341="","",'Cash_Check'!D341)</f>
        <v/>
      </c>
      <c r="K3341">
        <f>TRIM('Cash_Check'!B341)</f>
        <v/>
      </c>
      <c r="M3341">
        <f>IF(TRIM('Cash_Check'!E341)="","Cash/check",TRIM('Cash_Check'!E341))</f>
        <v/>
      </c>
      <c r="N3341">
        <f>IF(I3341="","",IF(ISNUMBER(I3341),INT(I3341),IFERROR(INT(DATEVALUE(I3341)),IFERROR(INT(VALUE(I3341)),"bad"))))</f>
        <v/>
      </c>
      <c r="O3341">
        <f>IF(J3341="","",IF(ISNUMBER(J3341),ROUND(J3341,2),IFERROR(ROUND(VALUE(SUBSTITUTE(SUBSTITUTE(SUBSTITUTE(J3341,"$",""),",","")," ","")),2),"bad")))</f>
        <v/>
      </c>
      <c r="P3341">
        <f>IF(K3341="","",IFERROR(MATCH(IF(ISNUMBER(FIND("#",K3341)),TRIM(MID(K3341,FIND("#",K3341)+1,20)),UPPER(K3341)),'Students'!$AD$2:$AD$701,0),""))</f>
        <v/>
      </c>
      <c r="R3341">
        <f>IF(P3341="","",INDEX('Students'!$AD$2:$AD$701,P3341))</f>
        <v/>
      </c>
      <c r="S3341">
        <f>IF(H3341="OK",O3341,0)</f>
        <v/>
      </c>
      <c r="T3341">
        <f>IF(H3341="OK",N3341,"")</f>
        <v/>
      </c>
      <c r="U3341">
        <f>TRIM('Cash_Check'!C341)</f>
        <v/>
      </c>
    </row>
    <row r="3342">
      <c r="A3342" s="62">
        <f>IF(H3342="","",IF(ISNUMBER(N3342),N3342,I3342))</f>
        <v/>
      </c>
      <c r="B3342">
        <f>IF(H3342="","",U3342)</f>
        <v/>
      </c>
      <c r="C3342">
        <f>IF(H3342="","",IF(P3342="",K3342,INDEX('Students'!$A$2:$A$701,P3342)))</f>
        <v/>
      </c>
      <c r="D3342">
        <f>IF(OR(H3342="",P3342=""),"",INDEX('Students'!$B$2:$B$701,P3342))</f>
        <v/>
      </c>
      <c r="E3342">
        <f>IF(OR(H3342="",P3342=""),"",INDEX('Students'!$C$2:$C$701,P3342))</f>
        <v/>
      </c>
      <c r="F3342" s="48">
        <f>IF(H3342="","",IF(ISNUMBER(O3342),O3342,J3342))</f>
        <v/>
      </c>
      <c r="G3342">
        <f>IF(H3342="","",M3342)</f>
        <v/>
      </c>
      <c r="H3342">
        <f>IF(AND(I3342="",J3342="",K3342=""),"",IF(OR(NOT(ISNUMBER(O3342)),N(O3342)&lt;=0),"Bad amount",IF(NOT(ISNUMBER(N3342)),"Bad date",IF(P3342="","NAME NOT ON ROSTER","OK"))))</f>
        <v/>
      </c>
      <c r="I3342">
        <f>IF('Cash_Check'!A342="","",'Cash_Check'!A342)</f>
        <v/>
      </c>
      <c r="J3342">
        <f>IF('Cash_Check'!D342="","",'Cash_Check'!D342)</f>
        <v/>
      </c>
      <c r="K3342">
        <f>TRIM('Cash_Check'!B342)</f>
        <v/>
      </c>
      <c r="M3342">
        <f>IF(TRIM('Cash_Check'!E342)="","Cash/check",TRIM('Cash_Check'!E342))</f>
        <v/>
      </c>
      <c r="N3342">
        <f>IF(I3342="","",IF(ISNUMBER(I3342),INT(I3342),IFERROR(INT(DATEVALUE(I3342)),IFERROR(INT(VALUE(I3342)),"bad"))))</f>
        <v/>
      </c>
      <c r="O3342">
        <f>IF(J3342="","",IF(ISNUMBER(J3342),ROUND(J3342,2),IFERROR(ROUND(VALUE(SUBSTITUTE(SUBSTITUTE(SUBSTITUTE(J3342,"$",""),",","")," ","")),2),"bad")))</f>
        <v/>
      </c>
      <c r="P3342">
        <f>IF(K3342="","",IFERROR(MATCH(IF(ISNUMBER(FIND("#",K3342)),TRIM(MID(K3342,FIND("#",K3342)+1,20)),UPPER(K3342)),'Students'!$AD$2:$AD$701,0),""))</f>
        <v/>
      </c>
      <c r="R3342">
        <f>IF(P3342="","",INDEX('Students'!$AD$2:$AD$701,P3342))</f>
        <v/>
      </c>
      <c r="S3342">
        <f>IF(H3342="OK",O3342,0)</f>
        <v/>
      </c>
      <c r="T3342">
        <f>IF(H3342="OK",N3342,"")</f>
        <v/>
      </c>
      <c r="U3342">
        <f>TRIM('Cash_Check'!C342)</f>
        <v/>
      </c>
    </row>
    <row r="3343">
      <c r="A3343" s="62">
        <f>IF(H3343="","",IF(ISNUMBER(N3343),N3343,I3343))</f>
        <v/>
      </c>
      <c r="B3343">
        <f>IF(H3343="","",U3343)</f>
        <v/>
      </c>
      <c r="C3343">
        <f>IF(H3343="","",IF(P3343="",K3343,INDEX('Students'!$A$2:$A$701,P3343)))</f>
        <v/>
      </c>
      <c r="D3343">
        <f>IF(OR(H3343="",P3343=""),"",INDEX('Students'!$B$2:$B$701,P3343))</f>
        <v/>
      </c>
      <c r="E3343">
        <f>IF(OR(H3343="",P3343=""),"",INDEX('Students'!$C$2:$C$701,P3343))</f>
        <v/>
      </c>
      <c r="F3343" s="48">
        <f>IF(H3343="","",IF(ISNUMBER(O3343),O3343,J3343))</f>
        <v/>
      </c>
      <c r="G3343">
        <f>IF(H3343="","",M3343)</f>
        <v/>
      </c>
      <c r="H3343">
        <f>IF(AND(I3343="",J3343="",K3343=""),"",IF(OR(NOT(ISNUMBER(O3343)),N(O3343)&lt;=0),"Bad amount",IF(NOT(ISNUMBER(N3343)),"Bad date",IF(P3343="","NAME NOT ON ROSTER","OK"))))</f>
        <v/>
      </c>
      <c r="I3343">
        <f>IF('Cash_Check'!A343="","",'Cash_Check'!A343)</f>
        <v/>
      </c>
      <c r="J3343">
        <f>IF('Cash_Check'!D343="","",'Cash_Check'!D343)</f>
        <v/>
      </c>
      <c r="K3343">
        <f>TRIM('Cash_Check'!B343)</f>
        <v/>
      </c>
      <c r="M3343">
        <f>IF(TRIM('Cash_Check'!E343)="","Cash/check",TRIM('Cash_Check'!E343))</f>
        <v/>
      </c>
      <c r="N3343">
        <f>IF(I3343="","",IF(ISNUMBER(I3343),INT(I3343),IFERROR(INT(DATEVALUE(I3343)),IFERROR(INT(VALUE(I3343)),"bad"))))</f>
        <v/>
      </c>
      <c r="O3343">
        <f>IF(J3343="","",IF(ISNUMBER(J3343),ROUND(J3343,2),IFERROR(ROUND(VALUE(SUBSTITUTE(SUBSTITUTE(SUBSTITUTE(J3343,"$",""),",","")," ","")),2),"bad")))</f>
        <v/>
      </c>
      <c r="P3343">
        <f>IF(K3343="","",IFERROR(MATCH(IF(ISNUMBER(FIND("#",K3343)),TRIM(MID(K3343,FIND("#",K3343)+1,20)),UPPER(K3343)),'Students'!$AD$2:$AD$701,0),""))</f>
        <v/>
      </c>
      <c r="R3343">
        <f>IF(P3343="","",INDEX('Students'!$AD$2:$AD$701,P3343))</f>
        <v/>
      </c>
      <c r="S3343">
        <f>IF(H3343="OK",O3343,0)</f>
        <v/>
      </c>
      <c r="T3343">
        <f>IF(H3343="OK",N3343,"")</f>
        <v/>
      </c>
      <c r="U3343">
        <f>TRIM('Cash_Check'!C343)</f>
        <v/>
      </c>
    </row>
    <row r="3344">
      <c r="A3344" s="62">
        <f>IF(H3344="","",IF(ISNUMBER(N3344),N3344,I3344))</f>
        <v/>
      </c>
      <c r="B3344">
        <f>IF(H3344="","",U3344)</f>
        <v/>
      </c>
      <c r="C3344">
        <f>IF(H3344="","",IF(P3344="",K3344,INDEX('Students'!$A$2:$A$701,P3344)))</f>
        <v/>
      </c>
      <c r="D3344">
        <f>IF(OR(H3344="",P3344=""),"",INDEX('Students'!$B$2:$B$701,P3344))</f>
        <v/>
      </c>
      <c r="E3344">
        <f>IF(OR(H3344="",P3344=""),"",INDEX('Students'!$C$2:$C$701,P3344))</f>
        <v/>
      </c>
      <c r="F3344" s="48">
        <f>IF(H3344="","",IF(ISNUMBER(O3344),O3344,J3344))</f>
        <v/>
      </c>
      <c r="G3344">
        <f>IF(H3344="","",M3344)</f>
        <v/>
      </c>
      <c r="H3344">
        <f>IF(AND(I3344="",J3344="",K3344=""),"",IF(OR(NOT(ISNUMBER(O3344)),N(O3344)&lt;=0),"Bad amount",IF(NOT(ISNUMBER(N3344)),"Bad date",IF(P3344="","NAME NOT ON ROSTER","OK"))))</f>
        <v/>
      </c>
      <c r="I3344">
        <f>IF('Cash_Check'!A344="","",'Cash_Check'!A344)</f>
        <v/>
      </c>
      <c r="J3344">
        <f>IF('Cash_Check'!D344="","",'Cash_Check'!D344)</f>
        <v/>
      </c>
      <c r="K3344">
        <f>TRIM('Cash_Check'!B344)</f>
        <v/>
      </c>
      <c r="M3344">
        <f>IF(TRIM('Cash_Check'!E344)="","Cash/check",TRIM('Cash_Check'!E344))</f>
        <v/>
      </c>
      <c r="N3344">
        <f>IF(I3344="","",IF(ISNUMBER(I3344),INT(I3344),IFERROR(INT(DATEVALUE(I3344)),IFERROR(INT(VALUE(I3344)),"bad"))))</f>
        <v/>
      </c>
      <c r="O3344">
        <f>IF(J3344="","",IF(ISNUMBER(J3344),ROUND(J3344,2),IFERROR(ROUND(VALUE(SUBSTITUTE(SUBSTITUTE(SUBSTITUTE(J3344,"$",""),",","")," ","")),2),"bad")))</f>
        <v/>
      </c>
      <c r="P3344">
        <f>IF(K3344="","",IFERROR(MATCH(IF(ISNUMBER(FIND("#",K3344)),TRIM(MID(K3344,FIND("#",K3344)+1,20)),UPPER(K3344)),'Students'!$AD$2:$AD$701,0),""))</f>
        <v/>
      </c>
      <c r="R3344">
        <f>IF(P3344="","",INDEX('Students'!$AD$2:$AD$701,P3344))</f>
        <v/>
      </c>
      <c r="S3344">
        <f>IF(H3344="OK",O3344,0)</f>
        <v/>
      </c>
      <c r="T3344">
        <f>IF(H3344="OK",N3344,"")</f>
        <v/>
      </c>
      <c r="U3344">
        <f>TRIM('Cash_Check'!C344)</f>
        <v/>
      </c>
    </row>
    <row r="3345">
      <c r="A3345" s="62">
        <f>IF(H3345="","",IF(ISNUMBER(N3345),N3345,I3345))</f>
        <v/>
      </c>
      <c r="B3345">
        <f>IF(H3345="","",U3345)</f>
        <v/>
      </c>
      <c r="C3345">
        <f>IF(H3345="","",IF(P3345="",K3345,INDEX('Students'!$A$2:$A$701,P3345)))</f>
        <v/>
      </c>
      <c r="D3345">
        <f>IF(OR(H3345="",P3345=""),"",INDEX('Students'!$B$2:$B$701,P3345))</f>
        <v/>
      </c>
      <c r="E3345">
        <f>IF(OR(H3345="",P3345=""),"",INDEX('Students'!$C$2:$C$701,P3345))</f>
        <v/>
      </c>
      <c r="F3345" s="48">
        <f>IF(H3345="","",IF(ISNUMBER(O3345),O3345,J3345))</f>
        <v/>
      </c>
      <c r="G3345">
        <f>IF(H3345="","",M3345)</f>
        <v/>
      </c>
      <c r="H3345">
        <f>IF(AND(I3345="",J3345="",K3345=""),"",IF(OR(NOT(ISNUMBER(O3345)),N(O3345)&lt;=0),"Bad amount",IF(NOT(ISNUMBER(N3345)),"Bad date",IF(P3345="","NAME NOT ON ROSTER","OK"))))</f>
        <v/>
      </c>
      <c r="I3345">
        <f>IF('Cash_Check'!A345="","",'Cash_Check'!A345)</f>
        <v/>
      </c>
      <c r="J3345">
        <f>IF('Cash_Check'!D345="","",'Cash_Check'!D345)</f>
        <v/>
      </c>
      <c r="K3345">
        <f>TRIM('Cash_Check'!B345)</f>
        <v/>
      </c>
      <c r="M3345">
        <f>IF(TRIM('Cash_Check'!E345)="","Cash/check",TRIM('Cash_Check'!E345))</f>
        <v/>
      </c>
      <c r="N3345">
        <f>IF(I3345="","",IF(ISNUMBER(I3345),INT(I3345),IFERROR(INT(DATEVALUE(I3345)),IFERROR(INT(VALUE(I3345)),"bad"))))</f>
        <v/>
      </c>
      <c r="O3345">
        <f>IF(J3345="","",IF(ISNUMBER(J3345),ROUND(J3345,2),IFERROR(ROUND(VALUE(SUBSTITUTE(SUBSTITUTE(SUBSTITUTE(J3345,"$",""),",","")," ","")),2),"bad")))</f>
        <v/>
      </c>
      <c r="P3345">
        <f>IF(K3345="","",IFERROR(MATCH(IF(ISNUMBER(FIND("#",K3345)),TRIM(MID(K3345,FIND("#",K3345)+1,20)),UPPER(K3345)),'Students'!$AD$2:$AD$701,0),""))</f>
        <v/>
      </c>
      <c r="R3345">
        <f>IF(P3345="","",INDEX('Students'!$AD$2:$AD$701,P3345))</f>
        <v/>
      </c>
      <c r="S3345">
        <f>IF(H3345="OK",O3345,0)</f>
        <v/>
      </c>
      <c r="T3345">
        <f>IF(H3345="OK",N3345,"")</f>
        <v/>
      </c>
      <c r="U3345">
        <f>TRIM('Cash_Check'!C345)</f>
        <v/>
      </c>
    </row>
    <row r="3346">
      <c r="A3346" s="62">
        <f>IF(H3346="","",IF(ISNUMBER(N3346),N3346,I3346))</f>
        <v/>
      </c>
      <c r="B3346">
        <f>IF(H3346="","",U3346)</f>
        <v/>
      </c>
      <c r="C3346">
        <f>IF(H3346="","",IF(P3346="",K3346,INDEX('Students'!$A$2:$A$701,P3346)))</f>
        <v/>
      </c>
      <c r="D3346">
        <f>IF(OR(H3346="",P3346=""),"",INDEX('Students'!$B$2:$B$701,P3346))</f>
        <v/>
      </c>
      <c r="E3346">
        <f>IF(OR(H3346="",P3346=""),"",INDEX('Students'!$C$2:$C$701,P3346))</f>
        <v/>
      </c>
      <c r="F3346" s="48">
        <f>IF(H3346="","",IF(ISNUMBER(O3346),O3346,J3346))</f>
        <v/>
      </c>
      <c r="G3346">
        <f>IF(H3346="","",M3346)</f>
        <v/>
      </c>
      <c r="H3346">
        <f>IF(AND(I3346="",J3346="",K3346=""),"",IF(OR(NOT(ISNUMBER(O3346)),N(O3346)&lt;=0),"Bad amount",IF(NOT(ISNUMBER(N3346)),"Bad date",IF(P3346="","NAME NOT ON ROSTER","OK"))))</f>
        <v/>
      </c>
      <c r="I3346">
        <f>IF('Cash_Check'!A346="","",'Cash_Check'!A346)</f>
        <v/>
      </c>
      <c r="J3346">
        <f>IF('Cash_Check'!D346="","",'Cash_Check'!D346)</f>
        <v/>
      </c>
      <c r="K3346">
        <f>TRIM('Cash_Check'!B346)</f>
        <v/>
      </c>
      <c r="M3346">
        <f>IF(TRIM('Cash_Check'!E346)="","Cash/check",TRIM('Cash_Check'!E346))</f>
        <v/>
      </c>
      <c r="N3346">
        <f>IF(I3346="","",IF(ISNUMBER(I3346),INT(I3346),IFERROR(INT(DATEVALUE(I3346)),IFERROR(INT(VALUE(I3346)),"bad"))))</f>
        <v/>
      </c>
      <c r="O3346">
        <f>IF(J3346="","",IF(ISNUMBER(J3346),ROUND(J3346,2),IFERROR(ROUND(VALUE(SUBSTITUTE(SUBSTITUTE(SUBSTITUTE(J3346,"$",""),",","")," ","")),2),"bad")))</f>
        <v/>
      </c>
      <c r="P3346">
        <f>IF(K3346="","",IFERROR(MATCH(IF(ISNUMBER(FIND("#",K3346)),TRIM(MID(K3346,FIND("#",K3346)+1,20)),UPPER(K3346)),'Students'!$AD$2:$AD$701,0),""))</f>
        <v/>
      </c>
      <c r="R3346">
        <f>IF(P3346="","",INDEX('Students'!$AD$2:$AD$701,P3346))</f>
        <v/>
      </c>
      <c r="S3346">
        <f>IF(H3346="OK",O3346,0)</f>
        <v/>
      </c>
      <c r="T3346">
        <f>IF(H3346="OK",N3346,"")</f>
        <v/>
      </c>
      <c r="U3346">
        <f>TRIM('Cash_Check'!C346)</f>
        <v/>
      </c>
    </row>
    <row r="3347">
      <c r="A3347" s="62">
        <f>IF(H3347="","",IF(ISNUMBER(N3347),N3347,I3347))</f>
        <v/>
      </c>
      <c r="B3347">
        <f>IF(H3347="","",U3347)</f>
        <v/>
      </c>
      <c r="C3347">
        <f>IF(H3347="","",IF(P3347="",K3347,INDEX('Students'!$A$2:$A$701,P3347)))</f>
        <v/>
      </c>
      <c r="D3347">
        <f>IF(OR(H3347="",P3347=""),"",INDEX('Students'!$B$2:$B$701,P3347))</f>
        <v/>
      </c>
      <c r="E3347">
        <f>IF(OR(H3347="",P3347=""),"",INDEX('Students'!$C$2:$C$701,P3347))</f>
        <v/>
      </c>
      <c r="F3347" s="48">
        <f>IF(H3347="","",IF(ISNUMBER(O3347),O3347,J3347))</f>
        <v/>
      </c>
      <c r="G3347">
        <f>IF(H3347="","",M3347)</f>
        <v/>
      </c>
      <c r="H3347">
        <f>IF(AND(I3347="",J3347="",K3347=""),"",IF(OR(NOT(ISNUMBER(O3347)),N(O3347)&lt;=0),"Bad amount",IF(NOT(ISNUMBER(N3347)),"Bad date",IF(P3347="","NAME NOT ON ROSTER","OK"))))</f>
        <v/>
      </c>
      <c r="I3347">
        <f>IF('Cash_Check'!A347="","",'Cash_Check'!A347)</f>
        <v/>
      </c>
      <c r="J3347">
        <f>IF('Cash_Check'!D347="","",'Cash_Check'!D347)</f>
        <v/>
      </c>
      <c r="K3347">
        <f>TRIM('Cash_Check'!B347)</f>
        <v/>
      </c>
      <c r="M3347">
        <f>IF(TRIM('Cash_Check'!E347)="","Cash/check",TRIM('Cash_Check'!E347))</f>
        <v/>
      </c>
      <c r="N3347">
        <f>IF(I3347="","",IF(ISNUMBER(I3347),INT(I3347),IFERROR(INT(DATEVALUE(I3347)),IFERROR(INT(VALUE(I3347)),"bad"))))</f>
        <v/>
      </c>
      <c r="O3347">
        <f>IF(J3347="","",IF(ISNUMBER(J3347),ROUND(J3347,2),IFERROR(ROUND(VALUE(SUBSTITUTE(SUBSTITUTE(SUBSTITUTE(J3347,"$",""),",","")," ","")),2),"bad")))</f>
        <v/>
      </c>
      <c r="P3347">
        <f>IF(K3347="","",IFERROR(MATCH(IF(ISNUMBER(FIND("#",K3347)),TRIM(MID(K3347,FIND("#",K3347)+1,20)),UPPER(K3347)),'Students'!$AD$2:$AD$701,0),""))</f>
        <v/>
      </c>
      <c r="R3347">
        <f>IF(P3347="","",INDEX('Students'!$AD$2:$AD$701,P3347))</f>
        <v/>
      </c>
      <c r="S3347">
        <f>IF(H3347="OK",O3347,0)</f>
        <v/>
      </c>
      <c r="T3347">
        <f>IF(H3347="OK",N3347,"")</f>
        <v/>
      </c>
      <c r="U3347">
        <f>TRIM('Cash_Check'!C347)</f>
        <v/>
      </c>
    </row>
    <row r="3348">
      <c r="A3348" s="62">
        <f>IF(H3348="","",IF(ISNUMBER(N3348),N3348,I3348))</f>
        <v/>
      </c>
      <c r="B3348">
        <f>IF(H3348="","",U3348)</f>
        <v/>
      </c>
      <c r="C3348">
        <f>IF(H3348="","",IF(P3348="",K3348,INDEX('Students'!$A$2:$A$701,P3348)))</f>
        <v/>
      </c>
      <c r="D3348">
        <f>IF(OR(H3348="",P3348=""),"",INDEX('Students'!$B$2:$B$701,P3348))</f>
        <v/>
      </c>
      <c r="E3348">
        <f>IF(OR(H3348="",P3348=""),"",INDEX('Students'!$C$2:$C$701,P3348))</f>
        <v/>
      </c>
      <c r="F3348" s="48">
        <f>IF(H3348="","",IF(ISNUMBER(O3348),O3348,J3348))</f>
        <v/>
      </c>
      <c r="G3348">
        <f>IF(H3348="","",M3348)</f>
        <v/>
      </c>
      <c r="H3348">
        <f>IF(AND(I3348="",J3348="",K3348=""),"",IF(OR(NOT(ISNUMBER(O3348)),N(O3348)&lt;=0),"Bad amount",IF(NOT(ISNUMBER(N3348)),"Bad date",IF(P3348="","NAME NOT ON ROSTER","OK"))))</f>
        <v/>
      </c>
      <c r="I3348">
        <f>IF('Cash_Check'!A348="","",'Cash_Check'!A348)</f>
        <v/>
      </c>
      <c r="J3348">
        <f>IF('Cash_Check'!D348="","",'Cash_Check'!D348)</f>
        <v/>
      </c>
      <c r="K3348">
        <f>TRIM('Cash_Check'!B348)</f>
        <v/>
      </c>
      <c r="M3348">
        <f>IF(TRIM('Cash_Check'!E348)="","Cash/check",TRIM('Cash_Check'!E348))</f>
        <v/>
      </c>
      <c r="N3348">
        <f>IF(I3348="","",IF(ISNUMBER(I3348),INT(I3348),IFERROR(INT(DATEVALUE(I3348)),IFERROR(INT(VALUE(I3348)),"bad"))))</f>
        <v/>
      </c>
      <c r="O3348">
        <f>IF(J3348="","",IF(ISNUMBER(J3348),ROUND(J3348,2),IFERROR(ROUND(VALUE(SUBSTITUTE(SUBSTITUTE(SUBSTITUTE(J3348,"$",""),",","")," ","")),2),"bad")))</f>
        <v/>
      </c>
      <c r="P3348">
        <f>IF(K3348="","",IFERROR(MATCH(IF(ISNUMBER(FIND("#",K3348)),TRIM(MID(K3348,FIND("#",K3348)+1,20)),UPPER(K3348)),'Students'!$AD$2:$AD$701,0),""))</f>
        <v/>
      </c>
      <c r="R3348">
        <f>IF(P3348="","",INDEX('Students'!$AD$2:$AD$701,P3348))</f>
        <v/>
      </c>
      <c r="S3348">
        <f>IF(H3348="OK",O3348,0)</f>
        <v/>
      </c>
      <c r="T3348">
        <f>IF(H3348="OK",N3348,"")</f>
        <v/>
      </c>
      <c r="U3348">
        <f>TRIM('Cash_Check'!C348)</f>
        <v/>
      </c>
    </row>
    <row r="3349">
      <c r="A3349" s="62">
        <f>IF(H3349="","",IF(ISNUMBER(N3349),N3349,I3349))</f>
        <v/>
      </c>
      <c r="B3349">
        <f>IF(H3349="","",U3349)</f>
        <v/>
      </c>
      <c r="C3349">
        <f>IF(H3349="","",IF(P3349="",K3349,INDEX('Students'!$A$2:$A$701,P3349)))</f>
        <v/>
      </c>
      <c r="D3349">
        <f>IF(OR(H3349="",P3349=""),"",INDEX('Students'!$B$2:$B$701,P3349))</f>
        <v/>
      </c>
      <c r="E3349">
        <f>IF(OR(H3349="",P3349=""),"",INDEX('Students'!$C$2:$C$701,P3349))</f>
        <v/>
      </c>
      <c r="F3349" s="48">
        <f>IF(H3349="","",IF(ISNUMBER(O3349),O3349,J3349))</f>
        <v/>
      </c>
      <c r="G3349">
        <f>IF(H3349="","",M3349)</f>
        <v/>
      </c>
      <c r="H3349">
        <f>IF(AND(I3349="",J3349="",K3349=""),"",IF(OR(NOT(ISNUMBER(O3349)),N(O3349)&lt;=0),"Bad amount",IF(NOT(ISNUMBER(N3349)),"Bad date",IF(P3349="","NAME NOT ON ROSTER","OK"))))</f>
        <v/>
      </c>
      <c r="I3349">
        <f>IF('Cash_Check'!A349="","",'Cash_Check'!A349)</f>
        <v/>
      </c>
      <c r="J3349">
        <f>IF('Cash_Check'!D349="","",'Cash_Check'!D349)</f>
        <v/>
      </c>
      <c r="K3349">
        <f>TRIM('Cash_Check'!B349)</f>
        <v/>
      </c>
      <c r="M3349">
        <f>IF(TRIM('Cash_Check'!E349)="","Cash/check",TRIM('Cash_Check'!E349))</f>
        <v/>
      </c>
      <c r="N3349">
        <f>IF(I3349="","",IF(ISNUMBER(I3349),INT(I3349),IFERROR(INT(DATEVALUE(I3349)),IFERROR(INT(VALUE(I3349)),"bad"))))</f>
        <v/>
      </c>
      <c r="O3349">
        <f>IF(J3349="","",IF(ISNUMBER(J3349),ROUND(J3349,2),IFERROR(ROUND(VALUE(SUBSTITUTE(SUBSTITUTE(SUBSTITUTE(J3349,"$",""),",","")," ","")),2),"bad")))</f>
        <v/>
      </c>
      <c r="P3349">
        <f>IF(K3349="","",IFERROR(MATCH(IF(ISNUMBER(FIND("#",K3349)),TRIM(MID(K3349,FIND("#",K3349)+1,20)),UPPER(K3349)),'Students'!$AD$2:$AD$701,0),""))</f>
        <v/>
      </c>
      <c r="R3349">
        <f>IF(P3349="","",INDEX('Students'!$AD$2:$AD$701,P3349))</f>
        <v/>
      </c>
      <c r="S3349">
        <f>IF(H3349="OK",O3349,0)</f>
        <v/>
      </c>
      <c r="T3349">
        <f>IF(H3349="OK",N3349,"")</f>
        <v/>
      </c>
      <c r="U3349">
        <f>TRIM('Cash_Check'!C349)</f>
        <v/>
      </c>
    </row>
    <row r="3350">
      <c r="A3350" s="62">
        <f>IF(H3350="","",IF(ISNUMBER(N3350),N3350,I3350))</f>
        <v/>
      </c>
      <c r="B3350">
        <f>IF(H3350="","",U3350)</f>
        <v/>
      </c>
      <c r="C3350">
        <f>IF(H3350="","",IF(P3350="",K3350,INDEX('Students'!$A$2:$A$701,P3350)))</f>
        <v/>
      </c>
      <c r="D3350">
        <f>IF(OR(H3350="",P3350=""),"",INDEX('Students'!$B$2:$B$701,P3350))</f>
        <v/>
      </c>
      <c r="E3350">
        <f>IF(OR(H3350="",P3350=""),"",INDEX('Students'!$C$2:$C$701,P3350))</f>
        <v/>
      </c>
      <c r="F3350" s="48">
        <f>IF(H3350="","",IF(ISNUMBER(O3350),O3350,J3350))</f>
        <v/>
      </c>
      <c r="G3350">
        <f>IF(H3350="","",M3350)</f>
        <v/>
      </c>
      <c r="H3350">
        <f>IF(AND(I3350="",J3350="",K3350=""),"",IF(OR(NOT(ISNUMBER(O3350)),N(O3350)&lt;=0),"Bad amount",IF(NOT(ISNUMBER(N3350)),"Bad date",IF(P3350="","NAME NOT ON ROSTER","OK"))))</f>
        <v/>
      </c>
      <c r="I3350">
        <f>IF('Cash_Check'!A350="","",'Cash_Check'!A350)</f>
        <v/>
      </c>
      <c r="J3350">
        <f>IF('Cash_Check'!D350="","",'Cash_Check'!D350)</f>
        <v/>
      </c>
      <c r="K3350">
        <f>TRIM('Cash_Check'!B350)</f>
        <v/>
      </c>
      <c r="M3350">
        <f>IF(TRIM('Cash_Check'!E350)="","Cash/check",TRIM('Cash_Check'!E350))</f>
        <v/>
      </c>
      <c r="N3350">
        <f>IF(I3350="","",IF(ISNUMBER(I3350),INT(I3350),IFERROR(INT(DATEVALUE(I3350)),IFERROR(INT(VALUE(I3350)),"bad"))))</f>
        <v/>
      </c>
      <c r="O3350">
        <f>IF(J3350="","",IF(ISNUMBER(J3350),ROUND(J3350,2),IFERROR(ROUND(VALUE(SUBSTITUTE(SUBSTITUTE(SUBSTITUTE(J3350,"$",""),",","")," ","")),2),"bad")))</f>
        <v/>
      </c>
      <c r="P3350">
        <f>IF(K3350="","",IFERROR(MATCH(IF(ISNUMBER(FIND("#",K3350)),TRIM(MID(K3350,FIND("#",K3350)+1,20)),UPPER(K3350)),'Students'!$AD$2:$AD$701,0),""))</f>
        <v/>
      </c>
      <c r="R3350">
        <f>IF(P3350="","",INDEX('Students'!$AD$2:$AD$701,P3350))</f>
        <v/>
      </c>
      <c r="S3350">
        <f>IF(H3350="OK",O3350,0)</f>
        <v/>
      </c>
      <c r="T3350">
        <f>IF(H3350="OK",N3350,"")</f>
        <v/>
      </c>
      <c r="U3350">
        <f>TRIM('Cash_Check'!C350)</f>
        <v/>
      </c>
    </row>
    <row r="3351">
      <c r="A3351" s="62">
        <f>IF(H3351="","",IF(ISNUMBER(N3351),N3351,I3351))</f>
        <v/>
      </c>
      <c r="B3351">
        <f>IF(H3351="","",U3351)</f>
        <v/>
      </c>
      <c r="C3351">
        <f>IF(H3351="","",IF(P3351="",K3351,INDEX('Students'!$A$2:$A$701,P3351)))</f>
        <v/>
      </c>
      <c r="D3351">
        <f>IF(OR(H3351="",P3351=""),"",INDEX('Students'!$B$2:$B$701,P3351))</f>
        <v/>
      </c>
      <c r="E3351">
        <f>IF(OR(H3351="",P3351=""),"",INDEX('Students'!$C$2:$C$701,P3351))</f>
        <v/>
      </c>
      <c r="F3351" s="48">
        <f>IF(H3351="","",IF(ISNUMBER(O3351),O3351,J3351))</f>
        <v/>
      </c>
      <c r="G3351">
        <f>IF(H3351="","",M3351)</f>
        <v/>
      </c>
      <c r="H3351">
        <f>IF(AND(I3351="",J3351="",K3351=""),"",IF(OR(NOT(ISNUMBER(O3351)),N(O3351)&lt;=0),"Bad amount",IF(NOT(ISNUMBER(N3351)),"Bad date",IF(P3351="","NAME NOT ON ROSTER","OK"))))</f>
        <v/>
      </c>
      <c r="I3351">
        <f>IF('Cash_Check'!A351="","",'Cash_Check'!A351)</f>
        <v/>
      </c>
      <c r="J3351">
        <f>IF('Cash_Check'!D351="","",'Cash_Check'!D351)</f>
        <v/>
      </c>
      <c r="K3351">
        <f>TRIM('Cash_Check'!B351)</f>
        <v/>
      </c>
      <c r="M3351">
        <f>IF(TRIM('Cash_Check'!E351)="","Cash/check",TRIM('Cash_Check'!E351))</f>
        <v/>
      </c>
      <c r="N3351">
        <f>IF(I3351="","",IF(ISNUMBER(I3351),INT(I3351),IFERROR(INT(DATEVALUE(I3351)),IFERROR(INT(VALUE(I3351)),"bad"))))</f>
        <v/>
      </c>
      <c r="O3351">
        <f>IF(J3351="","",IF(ISNUMBER(J3351),ROUND(J3351,2),IFERROR(ROUND(VALUE(SUBSTITUTE(SUBSTITUTE(SUBSTITUTE(J3351,"$",""),",","")," ","")),2),"bad")))</f>
        <v/>
      </c>
      <c r="P3351">
        <f>IF(K3351="","",IFERROR(MATCH(IF(ISNUMBER(FIND("#",K3351)),TRIM(MID(K3351,FIND("#",K3351)+1,20)),UPPER(K3351)),'Students'!$AD$2:$AD$701,0),""))</f>
        <v/>
      </c>
      <c r="R3351">
        <f>IF(P3351="","",INDEX('Students'!$AD$2:$AD$701,P3351))</f>
        <v/>
      </c>
      <c r="S3351">
        <f>IF(H3351="OK",O3351,0)</f>
        <v/>
      </c>
      <c r="T3351">
        <f>IF(H3351="OK",N3351,"")</f>
        <v/>
      </c>
      <c r="U3351">
        <f>TRIM('Cash_Check'!C351)</f>
        <v/>
      </c>
    </row>
    <row r="3352">
      <c r="A3352" s="62">
        <f>IF(H3352="","",IF(ISNUMBER(N3352),N3352,I3352))</f>
        <v/>
      </c>
      <c r="B3352">
        <f>IF(H3352="","",U3352)</f>
        <v/>
      </c>
      <c r="C3352">
        <f>IF(H3352="","",IF(P3352="",K3352,INDEX('Students'!$A$2:$A$701,P3352)))</f>
        <v/>
      </c>
      <c r="D3352">
        <f>IF(OR(H3352="",P3352=""),"",INDEX('Students'!$B$2:$B$701,P3352))</f>
        <v/>
      </c>
      <c r="E3352">
        <f>IF(OR(H3352="",P3352=""),"",INDEX('Students'!$C$2:$C$701,P3352))</f>
        <v/>
      </c>
      <c r="F3352" s="48">
        <f>IF(H3352="","",IF(ISNUMBER(O3352),O3352,J3352))</f>
        <v/>
      </c>
      <c r="G3352">
        <f>IF(H3352="","",M3352)</f>
        <v/>
      </c>
      <c r="H3352">
        <f>IF(AND(I3352="",J3352="",K3352=""),"",IF(OR(NOT(ISNUMBER(O3352)),N(O3352)&lt;=0),"Bad amount",IF(NOT(ISNUMBER(N3352)),"Bad date",IF(P3352="","NAME NOT ON ROSTER","OK"))))</f>
        <v/>
      </c>
      <c r="I3352">
        <f>IF('Cash_Check'!A352="","",'Cash_Check'!A352)</f>
        <v/>
      </c>
      <c r="J3352">
        <f>IF('Cash_Check'!D352="","",'Cash_Check'!D352)</f>
        <v/>
      </c>
      <c r="K3352">
        <f>TRIM('Cash_Check'!B352)</f>
        <v/>
      </c>
      <c r="M3352">
        <f>IF(TRIM('Cash_Check'!E352)="","Cash/check",TRIM('Cash_Check'!E352))</f>
        <v/>
      </c>
      <c r="N3352">
        <f>IF(I3352="","",IF(ISNUMBER(I3352),INT(I3352),IFERROR(INT(DATEVALUE(I3352)),IFERROR(INT(VALUE(I3352)),"bad"))))</f>
        <v/>
      </c>
      <c r="O3352">
        <f>IF(J3352="","",IF(ISNUMBER(J3352),ROUND(J3352,2),IFERROR(ROUND(VALUE(SUBSTITUTE(SUBSTITUTE(SUBSTITUTE(J3352,"$",""),",","")," ","")),2),"bad")))</f>
        <v/>
      </c>
      <c r="P3352">
        <f>IF(K3352="","",IFERROR(MATCH(IF(ISNUMBER(FIND("#",K3352)),TRIM(MID(K3352,FIND("#",K3352)+1,20)),UPPER(K3352)),'Students'!$AD$2:$AD$701,0),""))</f>
        <v/>
      </c>
      <c r="R3352">
        <f>IF(P3352="","",INDEX('Students'!$AD$2:$AD$701,P3352))</f>
        <v/>
      </c>
      <c r="S3352">
        <f>IF(H3352="OK",O3352,0)</f>
        <v/>
      </c>
      <c r="T3352">
        <f>IF(H3352="OK",N3352,"")</f>
        <v/>
      </c>
      <c r="U3352">
        <f>TRIM('Cash_Check'!C352)</f>
        <v/>
      </c>
    </row>
    <row r="3353">
      <c r="A3353" s="62">
        <f>IF(H3353="","",IF(ISNUMBER(N3353),N3353,I3353))</f>
        <v/>
      </c>
      <c r="B3353">
        <f>IF(H3353="","",U3353)</f>
        <v/>
      </c>
      <c r="C3353">
        <f>IF(H3353="","",IF(P3353="",K3353,INDEX('Students'!$A$2:$A$701,P3353)))</f>
        <v/>
      </c>
      <c r="D3353">
        <f>IF(OR(H3353="",P3353=""),"",INDEX('Students'!$B$2:$B$701,P3353))</f>
        <v/>
      </c>
      <c r="E3353">
        <f>IF(OR(H3353="",P3353=""),"",INDEX('Students'!$C$2:$C$701,P3353))</f>
        <v/>
      </c>
      <c r="F3353" s="48">
        <f>IF(H3353="","",IF(ISNUMBER(O3353),O3353,J3353))</f>
        <v/>
      </c>
      <c r="G3353">
        <f>IF(H3353="","",M3353)</f>
        <v/>
      </c>
      <c r="H3353">
        <f>IF(AND(I3353="",J3353="",K3353=""),"",IF(OR(NOT(ISNUMBER(O3353)),N(O3353)&lt;=0),"Bad amount",IF(NOT(ISNUMBER(N3353)),"Bad date",IF(P3353="","NAME NOT ON ROSTER","OK"))))</f>
        <v/>
      </c>
      <c r="I3353">
        <f>IF('Cash_Check'!A353="","",'Cash_Check'!A353)</f>
        <v/>
      </c>
      <c r="J3353">
        <f>IF('Cash_Check'!D353="","",'Cash_Check'!D353)</f>
        <v/>
      </c>
      <c r="K3353">
        <f>TRIM('Cash_Check'!B353)</f>
        <v/>
      </c>
      <c r="M3353">
        <f>IF(TRIM('Cash_Check'!E353)="","Cash/check",TRIM('Cash_Check'!E353))</f>
        <v/>
      </c>
      <c r="N3353">
        <f>IF(I3353="","",IF(ISNUMBER(I3353),INT(I3353),IFERROR(INT(DATEVALUE(I3353)),IFERROR(INT(VALUE(I3353)),"bad"))))</f>
        <v/>
      </c>
      <c r="O3353">
        <f>IF(J3353="","",IF(ISNUMBER(J3353),ROUND(J3353,2),IFERROR(ROUND(VALUE(SUBSTITUTE(SUBSTITUTE(SUBSTITUTE(J3353,"$",""),",","")," ","")),2),"bad")))</f>
        <v/>
      </c>
      <c r="P3353">
        <f>IF(K3353="","",IFERROR(MATCH(IF(ISNUMBER(FIND("#",K3353)),TRIM(MID(K3353,FIND("#",K3353)+1,20)),UPPER(K3353)),'Students'!$AD$2:$AD$701,0),""))</f>
        <v/>
      </c>
      <c r="R3353">
        <f>IF(P3353="","",INDEX('Students'!$AD$2:$AD$701,P3353))</f>
        <v/>
      </c>
      <c r="S3353">
        <f>IF(H3353="OK",O3353,0)</f>
        <v/>
      </c>
      <c r="T3353">
        <f>IF(H3353="OK",N3353,"")</f>
        <v/>
      </c>
      <c r="U3353">
        <f>TRIM('Cash_Check'!C353)</f>
        <v/>
      </c>
    </row>
    <row r="3354">
      <c r="A3354" s="62">
        <f>IF(H3354="","",IF(ISNUMBER(N3354),N3354,I3354))</f>
        <v/>
      </c>
      <c r="B3354">
        <f>IF(H3354="","",U3354)</f>
        <v/>
      </c>
      <c r="C3354">
        <f>IF(H3354="","",IF(P3354="",K3354,INDEX('Students'!$A$2:$A$701,P3354)))</f>
        <v/>
      </c>
      <c r="D3354">
        <f>IF(OR(H3354="",P3354=""),"",INDEX('Students'!$B$2:$B$701,P3354))</f>
        <v/>
      </c>
      <c r="E3354">
        <f>IF(OR(H3354="",P3354=""),"",INDEX('Students'!$C$2:$C$701,P3354))</f>
        <v/>
      </c>
      <c r="F3354" s="48">
        <f>IF(H3354="","",IF(ISNUMBER(O3354),O3354,J3354))</f>
        <v/>
      </c>
      <c r="G3354">
        <f>IF(H3354="","",M3354)</f>
        <v/>
      </c>
      <c r="H3354">
        <f>IF(AND(I3354="",J3354="",K3354=""),"",IF(OR(NOT(ISNUMBER(O3354)),N(O3354)&lt;=0),"Bad amount",IF(NOT(ISNUMBER(N3354)),"Bad date",IF(P3354="","NAME NOT ON ROSTER","OK"))))</f>
        <v/>
      </c>
      <c r="I3354">
        <f>IF('Cash_Check'!A354="","",'Cash_Check'!A354)</f>
        <v/>
      </c>
      <c r="J3354">
        <f>IF('Cash_Check'!D354="","",'Cash_Check'!D354)</f>
        <v/>
      </c>
      <c r="K3354">
        <f>TRIM('Cash_Check'!B354)</f>
        <v/>
      </c>
      <c r="M3354">
        <f>IF(TRIM('Cash_Check'!E354)="","Cash/check",TRIM('Cash_Check'!E354))</f>
        <v/>
      </c>
      <c r="N3354">
        <f>IF(I3354="","",IF(ISNUMBER(I3354),INT(I3354),IFERROR(INT(DATEVALUE(I3354)),IFERROR(INT(VALUE(I3354)),"bad"))))</f>
        <v/>
      </c>
      <c r="O3354">
        <f>IF(J3354="","",IF(ISNUMBER(J3354),ROUND(J3354,2),IFERROR(ROUND(VALUE(SUBSTITUTE(SUBSTITUTE(SUBSTITUTE(J3354,"$",""),",","")," ","")),2),"bad")))</f>
        <v/>
      </c>
      <c r="P3354">
        <f>IF(K3354="","",IFERROR(MATCH(IF(ISNUMBER(FIND("#",K3354)),TRIM(MID(K3354,FIND("#",K3354)+1,20)),UPPER(K3354)),'Students'!$AD$2:$AD$701,0),""))</f>
        <v/>
      </c>
      <c r="R3354">
        <f>IF(P3354="","",INDEX('Students'!$AD$2:$AD$701,P3354))</f>
        <v/>
      </c>
      <c r="S3354">
        <f>IF(H3354="OK",O3354,0)</f>
        <v/>
      </c>
      <c r="T3354">
        <f>IF(H3354="OK",N3354,"")</f>
        <v/>
      </c>
      <c r="U3354">
        <f>TRIM('Cash_Check'!C354)</f>
        <v/>
      </c>
    </row>
    <row r="3355">
      <c r="A3355" s="62">
        <f>IF(H3355="","",IF(ISNUMBER(N3355),N3355,I3355))</f>
        <v/>
      </c>
      <c r="B3355">
        <f>IF(H3355="","",U3355)</f>
        <v/>
      </c>
      <c r="C3355">
        <f>IF(H3355="","",IF(P3355="",K3355,INDEX('Students'!$A$2:$A$701,P3355)))</f>
        <v/>
      </c>
      <c r="D3355">
        <f>IF(OR(H3355="",P3355=""),"",INDEX('Students'!$B$2:$B$701,P3355))</f>
        <v/>
      </c>
      <c r="E3355">
        <f>IF(OR(H3355="",P3355=""),"",INDEX('Students'!$C$2:$C$701,P3355))</f>
        <v/>
      </c>
      <c r="F3355" s="48">
        <f>IF(H3355="","",IF(ISNUMBER(O3355),O3355,J3355))</f>
        <v/>
      </c>
      <c r="G3355">
        <f>IF(H3355="","",M3355)</f>
        <v/>
      </c>
      <c r="H3355">
        <f>IF(AND(I3355="",J3355="",K3355=""),"",IF(OR(NOT(ISNUMBER(O3355)),N(O3355)&lt;=0),"Bad amount",IF(NOT(ISNUMBER(N3355)),"Bad date",IF(P3355="","NAME NOT ON ROSTER","OK"))))</f>
        <v/>
      </c>
      <c r="I3355">
        <f>IF('Cash_Check'!A355="","",'Cash_Check'!A355)</f>
        <v/>
      </c>
      <c r="J3355">
        <f>IF('Cash_Check'!D355="","",'Cash_Check'!D355)</f>
        <v/>
      </c>
      <c r="K3355">
        <f>TRIM('Cash_Check'!B355)</f>
        <v/>
      </c>
      <c r="M3355">
        <f>IF(TRIM('Cash_Check'!E355)="","Cash/check",TRIM('Cash_Check'!E355))</f>
        <v/>
      </c>
      <c r="N3355">
        <f>IF(I3355="","",IF(ISNUMBER(I3355),INT(I3355),IFERROR(INT(DATEVALUE(I3355)),IFERROR(INT(VALUE(I3355)),"bad"))))</f>
        <v/>
      </c>
      <c r="O3355">
        <f>IF(J3355="","",IF(ISNUMBER(J3355),ROUND(J3355,2),IFERROR(ROUND(VALUE(SUBSTITUTE(SUBSTITUTE(SUBSTITUTE(J3355,"$",""),",","")," ","")),2),"bad")))</f>
        <v/>
      </c>
      <c r="P3355">
        <f>IF(K3355="","",IFERROR(MATCH(IF(ISNUMBER(FIND("#",K3355)),TRIM(MID(K3355,FIND("#",K3355)+1,20)),UPPER(K3355)),'Students'!$AD$2:$AD$701,0),""))</f>
        <v/>
      </c>
      <c r="R3355">
        <f>IF(P3355="","",INDEX('Students'!$AD$2:$AD$701,P3355))</f>
        <v/>
      </c>
      <c r="S3355">
        <f>IF(H3355="OK",O3355,0)</f>
        <v/>
      </c>
      <c r="T3355">
        <f>IF(H3355="OK",N3355,"")</f>
        <v/>
      </c>
      <c r="U3355">
        <f>TRIM('Cash_Check'!C355)</f>
        <v/>
      </c>
    </row>
    <row r="3356">
      <c r="A3356" s="62">
        <f>IF(H3356="","",IF(ISNUMBER(N3356),N3356,I3356))</f>
        <v/>
      </c>
      <c r="B3356">
        <f>IF(H3356="","",U3356)</f>
        <v/>
      </c>
      <c r="C3356">
        <f>IF(H3356="","",IF(P3356="",K3356,INDEX('Students'!$A$2:$A$701,P3356)))</f>
        <v/>
      </c>
      <c r="D3356">
        <f>IF(OR(H3356="",P3356=""),"",INDEX('Students'!$B$2:$B$701,P3356))</f>
        <v/>
      </c>
      <c r="E3356">
        <f>IF(OR(H3356="",P3356=""),"",INDEX('Students'!$C$2:$C$701,P3356))</f>
        <v/>
      </c>
      <c r="F3356" s="48">
        <f>IF(H3356="","",IF(ISNUMBER(O3356),O3356,J3356))</f>
        <v/>
      </c>
      <c r="G3356">
        <f>IF(H3356="","",M3356)</f>
        <v/>
      </c>
      <c r="H3356">
        <f>IF(AND(I3356="",J3356="",K3356=""),"",IF(OR(NOT(ISNUMBER(O3356)),N(O3356)&lt;=0),"Bad amount",IF(NOT(ISNUMBER(N3356)),"Bad date",IF(P3356="","NAME NOT ON ROSTER","OK"))))</f>
        <v/>
      </c>
      <c r="I3356">
        <f>IF('Cash_Check'!A356="","",'Cash_Check'!A356)</f>
        <v/>
      </c>
      <c r="J3356">
        <f>IF('Cash_Check'!D356="","",'Cash_Check'!D356)</f>
        <v/>
      </c>
      <c r="K3356">
        <f>TRIM('Cash_Check'!B356)</f>
        <v/>
      </c>
      <c r="M3356">
        <f>IF(TRIM('Cash_Check'!E356)="","Cash/check",TRIM('Cash_Check'!E356))</f>
        <v/>
      </c>
      <c r="N3356">
        <f>IF(I3356="","",IF(ISNUMBER(I3356),INT(I3356),IFERROR(INT(DATEVALUE(I3356)),IFERROR(INT(VALUE(I3356)),"bad"))))</f>
        <v/>
      </c>
      <c r="O3356">
        <f>IF(J3356="","",IF(ISNUMBER(J3356),ROUND(J3356,2),IFERROR(ROUND(VALUE(SUBSTITUTE(SUBSTITUTE(SUBSTITUTE(J3356,"$",""),",","")," ","")),2),"bad")))</f>
        <v/>
      </c>
      <c r="P3356">
        <f>IF(K3356="","",IFERROR(MATCH(IF(ISNUMBER(FIND("#",K3356)),TRIM(MID(K3356,FIND("#",K3356)+1,20)),UPPER(K3356)),'Students'!$AD$2:$AD$701,0),""))</f>
        <v/>
      </c>
      <c r="R3356">
        <f>IF(P3356="","",INDEX('Students'!$AD$2:$AD$701,P3356))</f>
        <v/>
      </c>
      <c r="S3356">
        <f>IF(H3356="OK",O3356,0)</f>
        <v/>
      </c>
      <c r="T3356">
        <f>IF(H3356="OK",N3356,"")</f>
        <v/>
      </c>
      <c r="U3356">
        <f>TRIM('Cash_Check'!C356)</f>
        <v/>
      </c>
    </row>
    <row r="3357">
      <c r="A3357" s="62">
        <f>IF(H3357="","",IF(ISNUMBER(N3357),N3357,I3357))</f>
        <v/>
      </c>
      <c r="B3357">
        <f>IF(H3357="","",U3357)</f>
        <v/>
      </c>
      <c r="C3357">
        <f>IF(H3357="","",IF(P3357="",K3357,INDEX('Students'!$A$2:$A$701,P3357)))</f>
        <v/>
      </c>
      <c r="D3357">
        <f>IF(OR(H3357="",P3357=""),"",INDEX('Students'!$B$2:$B$701,P3357))</f>
        <v/>
      </c>
      <c r="E3357">
        <f>IF(OR(H3357="",P3357=""),"",INDEX('Students'!$C$2:$C$701,P3357))</f>
        <v/>
      </c>
      <c r="F3357" s="48">
        <f>IF(H3357="","",IF(ISNUMBER(O3357),O3357,J3357))</f>
        <v/>
      </c>
      <c r="G3357">
        <f>IF(H3357="","",M3357)</f>
        <v/>
      </c>
      <c r="H3357">
        <f>IF(AND(I3357="",J3357="",K3357=""),"",IF(OR(NOT(ISNUMBER(O3357)),N(O3357)&lt;=0),"Bad amount",IF(NOT(ISNUMBER(N3357)),"Bad date",IF(P3357="","NAME NOT ON ROSTER","OK"))))</f>
        <v/>
      </c>
      <c r="I3357">
        <f>IF('Cash_Check'!A357="","",'Cash_Check'!A357)</f>
        <v/>
      </c>
      <c r="J3357">
        <f>IF('Cash_Check'!D357="","",'Cash_Check'!D357)</f>
        <v/>
      </c>
      <c r="K3357">
        <f>TRIM('Cash_Check'!B357)</f>
        <v/>
      </c>
      <c r="M3357">
        <f>IF(TRIM('Cash_Check'!E357)="","Cash/check",TRIM('Cash_Check'!E357))</f>
        <v/>
      </c>
      <c r="N3357">
        <f>IF(I3357="","",IF(ISNUMBER(I3357),INT(I3357),IFERROR(INT(DATEVALUE(I3357)),IFERROR(INT(VALUE(I3357)),"bad"))))</f>
        <v/>
      </c>
      <c r="O3357">
        <f>IF(J3357="","",IF(ISNUMBER(J3357),ROUND(J3357,2),IFERROR(ROUND(VALUE(SUBSTITUTE(SUBSTITUTE(SUBSTITUTE(J3357,"$",""),",","")," ","")),2),"bad")))</f>
        <v/>
      </c>
      <c r="P3357">
        <f>IF(K3357="","",IFERROR(MATCH(IF(ISNUMBER(FIND("#",K3357)),TRIM(MID(K3357,FIND("#",K3357)+1,20)),UPPER(K3357)),'Students'!$AD$2:$AD$701,0),""))</f>
        <v/>
      </c>
      <c r="R3357">
        <f>IF(P3357="","",INDEX('Students'!$AD$2:$AD$701,P3357))</f>
        <v/>
      </c>
      <c r="S3357">
        <f>IF(H3357="OK",O3357,0)</f>
        <v/>
      </c>
      <c r="T3357">
        <f>IF(H3357="OK",N3357,"")</f>
        <v/>
      </c>
      <c r="U3357">
        <f>TRIM('Cash_Check'!C357)</f>
        <v/>
      </c>
    </row>
    <row r="3358">
      <c r="A3358" s="62">
        <f>IF(H3358="","",IF(ISNUMBER(N3358),N3358,I3358))</f>
        <v/>
      </c>
      <c r="B3358">
        <f>IF(H3358="","",U3358)</f>
        <v/>
      </c>
      <c r="C3358">
        <f>IF(H3358="","",IF(P3358="",K3358,INDEX('Students'!$A$2:$A$701,P3358)))</f>
        <v/>
      </c>
      <c r="D3358">
        <f>IF(OR(H3358="",P3358=""),"",INDEX('Students'!$B$2:$B$701,P3358))</f>
        <v/>
      </c>
      <c r="E3358">
        <f>IF(OR(H3358="",P3358=""),"",INDEX('Students'!$C$2:$C$701,P3358))</f>
        <v/>
      </c>
      <c r="F3358" s="48">
        <f>IF(H3358="","",IF(ISNUMBER(O3358),O3358,J3358))</f>
        <v/>
      </c>
      <c r="G3358">
        <f>IF(H3358="","",M3358)</f>
        <v/>
      </c>
      <c r="H3358">
        <f>IF(AND(I3358="",J3358="",K3358=""),"",IF(OR(NOT(ISNUMBER(O3358)),N(O3358)&lt;=0),"Bad amount",IF(NOT(ISNUMBER(N3358)),"Bad date",IF(P3358="","NAME NOT ON ROSTER","OK"))))</f>
        <v/>
      </c>
      <c r="I3358">
        <f>IF('Cash_Check'!A358="","",'Cash_Check'!A358)</f>
        <v/>
      </c>
      <c r="J3358">
        <f>IF('Cash_Check'!D358="","",'Cash_Check'!D358)</f>
        <v/>
      </c>
      <c r="K3358">
        <f>TRIM('Cash_Check'!B358)</f>
        <v/>
      </c>
      <c r="M3358">
        <f>IF(TRIM('Cash_Check'!E358)="","Cash/check",TRIM('Cash_Check'!E358))</f>
        <v/>
      </c>
      <c r="N3358">
        <f>IF(I3358="","",IF(ISNUMBER(I3358),INT(I3358),IFERROR(INT(DATEVALUE(I3358)),IFERROR(INT(VALUE(I3358)),"bad"))))</f>
        <v/>
      </c>
      <c r="O3358">
        <f>IF(J3358="","",IF(ISNUMBER(J3358),ROUND(J3358,2),IFERROR(ROUND(VALUE(SUBSTITUTE(SUBSTITUTE(SUBSTITUTE(J3358,"$",""),",","")," ","")),2),"bad")))</f>
        <v/>
      </c>
      <c r="P3358">
        <f>IF(K3358="","",IFERROR(MATCH(IF(ISNUMBER(FIND("#",K3358)),TRIM(MID(K3358,FIND("#",K3358)+1,20)),UPPER(K3358)),'Students'!$AD$2:$AD$701,0),""))</f>
        <v/>
      </c>
      <c r="R3358">
        <f>IF(P3358="","",INDEX('Students'!$AD$2:$AD$701,P3358))</f>
        <v/>
      </c>
      <c r="S3358">
        <f>IF(H3358="OK",O3358,0)</f>
        <v/>
      </c>
      <c r="T3358">
        <f>IF(H3358="OK",N3358,"")</f>
        <v/>
      </c>
      <c r="U3358">
        <f>TRIM('Cash_Check'!C358)</f>
        <v/>
      </c>
    </row>
    <row r="3359">
      <c r="A3359" s="62">
        <f>IF(H3359="","",IF(ISNUMBER(N3359),N3359,I3359))</f>
        <v/>
      </c>
      <c r="B3359">
        <f>IF(H3359="","",U3359)</f>
        <v/>
      </c>
      <c r="C3359">
        <f>IF(H3359="","",IF(P3359="",K3359,INDEX('Students'!$A$2:$A$701,P3359)))</f>
        <v/>
      </c>
      <c r="D3359">
        <f>IF(OR(H3359="",P3359=""),"",INDEX('Students'!$B$2:$B$701,P3359))</f>
        <v/>
      </c>
      <c r="E3359">
        <f>IF(OR(H3359="",P3359=""),"",INDEX('Students'!$C$2:$C$701,P3359))</f>
        <v/>
      </c>
      <c r="F3359" s="48">
        <f>IF(H3359="","",IF(ISNUMBER(O3359),O3359,J3359))</f>
        <v/>
      </c>
      <c r="G3359">
        <f>IF(H3359="","",M3359)</f>
        <v/>
      </c>
      <c r="H3359">
        <f>IF(AND(I3359="",J3359="",K3359=""),"",IF(OR(NOT(ISNUMBER(O3359)),N(O3359)&lt;=0),"Bad amount",IF(NOT(ISNUMBER(N3359)),"Bad date",IF(P3359="","NAME NOT ON ROSTER","OK"))))</f>
        <v/>
      </c>
      <c r="I3359">
        <f>IF('Cash_Check'!A359="","",'Cash_Check'!A359)</f>
        <v/>
      </c>
      <c r="J3359">
        <f>IF('Cash_Check'!D359="","",'Cash_Check'!D359)</f>
        <v/>
      </c>
      <c r="K3359">
        <f>TRIM('Cash_Check'!B359)</f>
        <v/>
      </c>
      <c r="M3359">
        <f>IF(TRIM('Cash_Check'!E359)="","Cash/check",TRIM('Cash_Check'!E359))</f>
        <v/>
      </c>
      <c r="N3359">
        <f>IF(I3359="","",IF(ISNUMBER(I3359),INT(I3359),IFERROR(INT(DATEVALUE(I3359)),IFERROR(INT(VALUE(I3359)),"bad"))))</f>
        <v/>
      </c>
      <c r="O3359">
        <f>IF(J3359="","",IF(ISNUMBER(J3359),ROUND(J3359,2),IFERROR(ROUND(VALUE(SUBSTITUTE(SUBSTITUTE(SUBSTITUTE(J3359,"$",""),",","")," ","")),2),"bad")))</f>
        <v/>
      </c>
      <c r="P3359">
        <f>IF(K3359="","",IFERROR(MATCH(IF(ISNUMBER(FIND("#",K3359)),TRIM(MID(K3359,FIND("#",K3359)+1,20)),UPPER(K3359)),'Students'!$AD$2:$AD$701,0),""))</f>
        <v/>
      </c>
      <c r="R3359">
        <f>IF(P3359="","",INDEX('Students'!$AD$2:$AD$701,P3359))</f>
        <v/>
      </c>
      <c r="S3359">
        <f>IF(H3359="OK",O3359,0)</f>
        <v/>
      </c>
      <c r="T3359">
        <f>IF(H3359="OK",N3359,"")</f>
        <v/>
      </c>
      <c r="U3359">
        <f>TRIM('Cash_Check'!C359)</f>
        <v/>
      </c>
    </row>
    <row r="3360">
      <c r="A3360" s="62">
        <f>IF(H3360="","",IF(ISNUMBER(N3360),N3360,I3360))</f>
        <v/>
      </c>
      <c r="B3360">
        <f>IF(H3360="","",U3360)</f>
        <v/>
      </c>
      <c r="C3360">
        <f>IF(H3360="","",IF(P3360="",K3360,INDEX('Students'!$A$2:$A$701,P3360)))</f>
        <v/>
      </c>
      <c r="D3360">
        <f>IF(OR(H3360="",P3360=""),"",INDEX('Students'!$B$2:$B$701,P3360))</f>
        <v/>
      </c>
      <c r="E3360">
        <f>IF(OR(H3360="",P3360=""),"",INDEX('Students'!$C$2:$C$701,P3360))</f>
        <v/>
      </c>
      <c r="F3360" s="48">
        <f>IF(H3360="","",IF(ISNUMBER(O3360),O3360,J3360))</f>
        <v/>
      </c>
      <c r="G3360">
        <f>IF(H3360="","",M3360)</f>
        <v/>
      </c>
      <c r="H3360">
        <f>IF(AND(I3360="",J3360="",K3360=""),"",IF(OR(NOT(ISNUMBER(O3360)),N(O3360)&lt;=0),"Bad amount",IF(NOT(ISNUMBER(N3360)),"Bad date",IF(P3360="","NAME NOT ON ROSTER","OK"))))</f>
        <v/>
      </c>
      <c r="I3360">
        <f>IF('Cash_Check'!A360="","",'Cash_Check'!A360)</f>
        <v/>
      </c>
      <c r="J3360">
        <f>IF('Cash_Check'!D360="","",'Cash_Check'!D360)</f>
        <v/>
      </c>
      <c r="K3360">
        <f>TRIM('Cash_Check'!B360)</f>
        <v/>
      </c>
      <c r="M3360">
        <f>IF(TRIM('Cash_Check'!E360)="","Cash/check",TRIM('Cash_Check'!E360))</f>
        <v/>
      </c>
      <c r="N3360">
        <f>IF(I3360="","",IF(ISNUMBER(I3360),INT(I3360),IFERROR(INT(DATEVALUE(I3360)),IFERROR(INT(VALUE(I3360)),"bad"))))</f>
        <v/>
      </c>
      <c r="O3360">
        <f>IF(J3360="","",IF(ISNUMBER(J3360),ROUND(J3360,2),IFERROR(ROUND(VALUE(SUBSTITUTE(SUBSTITUTE(SUBSTITUTE(J3360,"$",""),",","")," ","")),2),"bad")))</f>
        <v/>
      </c>
      <c r="P3360">
        <f>IF(K3360="","",IFERROR(MATCH(IF(ISNUMBER(FIND("#",K3360)),TRIM(MID(K3360,FIND("#",K3360)+1,20)),UPPER(K3360)),'Students'!$AD$2:$AD$701,0),""))</f>
        <v/>
      </c>
      <c r="R3360">
        <f>IF(P3360="","",INDEX('Students'!$AD$2:$AD$701,P3360))</f>
        <v/>
      </c>
      <c r="S3360">
        <f>IF(H3360="OK",O3360,0)</f>
        <v/>
      </c>
      <c r="T3360">
        <f>IF(H3360="OK",N3360,"")</f>
        <v/>
      </c>
      <c r="U3360">
        <f>TRIM('Cash_Check'!C360)</f>
        <v/>
      </c>
    </row>
    <row r="3361">
      <c r="A3361" s="62">
        <f>IF(H3361="","",IF(ISNUMBER(N3361),N3361,I3361))</f>
        <v/>
      </c>
      <c r="B3361">
        <f>IF(H3361="","",U3361)</f>
        <v/>
      </c>
      <c r="C3361">
        <f>IF(H3361="","",IF(P3361="",K3361,INDEX('Students'!$A$2:$A$701,P3361)))</f>
        <v/>
      </c>
      <c r="D3361">
        <f>IF(OR(H3361="",P3361=""),"",INDEX('Students'!$B$2:$B$701,P3361))</f>
        <v/>
      </c>
      <c r="E3361">
        <f>IF(OR(H3361="",P3361=""),"",INDEX('Students'!$C$2:$C$701,P3361))</f>
        <v/>
      </c>
      <c r="F3361" s="48">
        <f>IF(H3361="","",IF(ISNUMBER(O3361),O3361,J3361))</f>
        <v/>
      </c>
      <c r="G3361">
        <f>IF(H3361="","",M3361)</f>
        <v/>
      </c>
      <c r="H3361">
        <f>IF(AND(I3361="",J3361="",K3361=""),"",IF(OR(NOT(ISNUMBER(O3361)),N(O3361)&lt;=0),"Bad amount",IF(NOT(ISNUMBER(N3361)),"Bad date",IF(P3361="","NAME NOT ON ROSTER","OK"))))</f>
        <v/>
      </c>
      <c r="I3361">
        <f>IF('Cash_Check'!A361="","",'Cash_Check'!A361)</f>
        <v/>
      </c>
      <c r="J3361">
        <f>IF('Cash_Check'!D361="","",'Cash_Check'!D361)</f>
        <v/>
      </c>
      <c r="K3361">
        <f>TRIM('Cash_Check'!B361)</f>
        <v/>
      </c>
      <c r="M3361">
        <f>IF(TRIM('Cash_Check'!E361)="","Cash/check",TRIM('Cash_Check'!E361))</f>
        <v/>
      </c>
      <c r="N3361">
        <f>IF(I3361="","",IF(ISNUMBER(I3361),INT(I3361),IFERROR(INT(DATEVALUE(I3361)),IFERROR(INT(VALUE(I3361)),"bad"))))</f>
        <v/>
      </c>
      <c r="O3361">
        <f>IF(J3361="","",IF(ISNUMBER(J3361),ROUND(J3361,2),IFERROR(ROUND(VALUE(SUBSTITUTE(SUBSTITUTE(SUBSTITUTE(J3361,"$",""),",","")," ","")),2),"bad")))</f>
        <v/>
      </c>
      <c r="P3361">
        <f>IF(K3361="","",IFERROR(MATCH(IF(ISNUMBER(FIND("#",K3361)),TRIM(MID(K3361,FIND("#",K3361)+1,20)),UPPER(K3361)),'Students'!$AD$2:$AD$701,0),""))</f>
        <v/>
      </c>
      <c r="R3361">
        <f>IF(P3361="","",INDEX('Students'!$AD$2:$AD$701,P3361))</f>
        <v/>
      </c>
      <c r="S3361">
        <f>IF(H3361="OK",O3361,0)</f>
        <v/>
      </c>
      <c r="T3361">
        <f>IF(H3361="OK",N3361,"")</f>
        <v/>
      </c>
      <c r="U3361">
        <f>TRIM('Cash_Check'!C361)</f>
        <v/>
      </c>
    </row>
    <row r="3362">
      <c r="A3362" s="62">
        <f>IF(H3362="","",IF(ISNUMBER(N3362),N3362,I3362))</f>
        <v/>
      </c>
      <c r="B3362">
        <f>IF(H3362="","",U3362)</f>
        <v/>
      </c>
      <c r="C3362">
        <f>IF(H3362="","",IF(P3362="",K3362,INDEX('Students'!$A$2:$A$701,P3362)))</f>
        <v/>
      </c>
      <c r="D3362">
        <f>IF(OR(H3362="",P3362=""),"",INDEX('Students'!$B$2:$B$701,P3362))</f>
        <v/>
      </c>
      <c r="E3362">
        <f>IF(OR(H3362="",P3362=""),"",INDEX('Students'!$C$2:$C$701,P3362))</f>
        <v/>
      </c>
      <c r="F3362" s="48">
        <f>IF(H3362="","",IF(ISNUMBER(O3362),O3362,J3362))</f>
        <v/>
      </c>
      <c r="G3362">
        <f>IF(H3362="","",M3362)</f>
        <v/>
      </c>
      <c r="H3362">
        <f>IF(AND(I3362="",J3362="",K3362=""),"",IF(OR(NOT(ISNUMBER(O3362)),N(O3362)&lt;=0),"Bad amount",IF(NOT(ISNUMBER(N3362)),"Bad date",IF(P3362="","NAME NOT ON ROSTER","OK"))))</f>
        <v/>
      </c>
      <c r="I3362">
        <f>IF('Cash_Check'!A362="","",'Cash_Check'!A362)</f>
        <v/>
      </c>
      <c r="J3362">
        <f>IF('Cash_Check'!D362="","",'Cash_Check'!D362)</f>
        <v/>
      </c>
      <c r="K3362">
        <f>TRIM('Cash_Check'!B362)</f>
        <v/>
      </c>
      <c r="M3362">
        <f>IF(TRIM('Cash_Check'!E362)="","Cash/check",TRIM('Cash_Check'!E362))</f>
        <v/>
      </c>
      <c r="N3362">
        <f>IF(I3362="","",IF(ISNUMBER(I3362),INT(I3362),IFERROR(INT(DATEVALUE(I3362)),IFERROR(INT(VALUE(I3362)),"bad"))))</f>
        <v/>
      </c>
      <c r="O3362">
        <f>IF(J3362="","",IF(ISNUMBER(J3362),ROUND(J3362,2),IFERROR(ROUND(VALUE(SUBSTITUTE(SUBSTITUTE(SUBSTITUTE(J3362,"$",""),",","")," ","")),2),"bad")))</f>
        <v/>
      </c>
      <c r="P3362">
        <f>IF(K3362="","",IFERROR(MATCH(IF(ISNUMBER(FIND("#",K3362)),TRIM(MID(K3362,FIND("#",K3362)+1,20)),UPPER(K3362)),'Students'!$AD$2:$AD$701,0),""))</f>
        <v/>
      </c>
      <c r="R3362">
        <f>IF(P3362="","",INDEX('Students'!$AD$2:$AD$701,P3362))</f>
        <v/>
      </c>
      <c r="S3362">
        <f>IF(H3362="OK",O3362,0)</f>
        <v/>
      </c>
      <c r="T3362">
        <f>IF(H3362="OK",N3362,"")</f>
        <v/>
      </c>
      <c r="U3362">
        <f>TRIM('Cash_Check'!C362)</f>
        <v/>
      </c>
    </row>
    <row r="3363">
      <c r="A3363" s="62">
        <f>IF(H3363="","",IF(ISNUMBER(N3363),N3363,I3363))</f>
        <v/>
      </c>
      <c r="B3363">
        <f>IF(H3363="","",U3363)</f>
        <v/>
      </c>
      <c r="C3363">
        <f>IF(H3363="","",IF(P3363="",K3363,INDEX('Students'!$A$2:$A$701,P3363)))</f>
        <v/>
      </c>
      <c r="D3363">
        <f>IF(OR(H3363="",P3363=""),"",INDEX('Students'!$B$2:$B$701,P3363))</f>
        <v/>
      </c>
      <c r="E3363">
        <f>IF(OR(H3363="",P3363=""),"",INDEX('Students'!$C$2:$C$701,P3363))</f>
        <v/>
      </c>
      <c r="F3363" s="48">
        <f>IF(H3363="","",IF(ISNUMBER(O3363),O3363,J3363))</f>
        <v/>
      </c>
      <c r="G3363">
        <f>IF(H3363="","",M3363)</f>
        <v/>
      </c>
      <c r="H3363">
        <f>IF(AND(I3363="",J3363="",K3363=""),"",IF(OR(NOT(ISNUMBER(O3363)),N(O3363)&lt;=0),"Bad amount",IF(NOT(ISNUMBER(N3363)),"Bad date",IF(P3363="","NAME NOT ON ROSTER","OK"))))</f>
        <v/>
      </c>
      <c r="I3363">
        <f>IF('Cash_Check'!A363="","",'Cash_Check'!A363)</f>
        <v/>
      </c>
      <c r="J3363">
        <f>IF('Cash_Check'!D363="","",'Cash_Check'!D363)</f>
        <v/>
      </c>
      <c r="K3363">
        <f>TRIM('Cash_Check'!B363)</f>
        <v/>
      </c>
      <c r="M3363">
        <f>IF(TRIM('Cash_Check'!E363)="","Cash/check",TRIM('Cash_Check'!E363))</f>
        <v/>
      </c>
      <c r="N3363">
        <f>IF(I3363="","",IF(ISNUMBER(I3363),INT(I3363),IFERROR(INT(DATEVALUE(I3363)),IFERROR(INT(VALUE(I3363)),"bad"))))</f>
        <v/>
      </c>
      <c r="O3363">
        <f>IF(J3363="","",IF(ISNUMBER(J3363),ROUND(J3363,2),IFERROR(ROUND(VALUE(SUBSTITUTE(SUBSTITUTE(SUBSTITUTE(J3363,"$",""),",","")," ","")),2),"bad")))</f>
        <v/>
      </c>
      <c r="P3363">
        <f>IF(K3363="","",IFERROR(MATCH(IF(ISNUMBER(FIND("#",K3363)),TRIM(MID(K3363,FIND("#",K3363)+1,20)),UPPER(K3363)),'Students'!$AD$2:$AD$701,0),""))</f>
        <v/>
      </c>
      <c r="R3363">
        <f>IF(P3363="","",INDEX('Students'!$AD$2:$AD$701,P3363))</f>
        <v/>
      </c>
      <c r="S3363">
        <f>IF(H3363="OK",O3363,0)</f>
        <v/>
      </c>
      <c r="T3363">
        <f>IF(H3363="OK",N3363,"")</f>
        <v/>
      </c>
      <c r="U3363">
        <f>TRIM('Cash_Check'!C363)</f>
        <v/>
      </c>
    </row>
    <row r="3364">
      <c r="A3364" s="62">
        <f>IF(H3364="","",IF(ISNUMBER(N3364),N3364,I3364))</f>
        <v/>
      </c>
      <c r="B3364">
        <f>IF(H3364="","",U3364)</f>
        <v/>
      </c>
      <c r="C3364">
        <f>IF(H3364="","",IF(P3364="",K3364,INDEX('Students'!$A$2:$A$701,P3364)))</f>
        <v/>
      </c>
      <c r="D3364">
        <f>IF(OR(H3364="",P3364=""),"",INDEX('Students'!$B$2:$B$701,P3364))</f>
        <v/>
      </c>
      <c r="E3364">
        <f>IF(OR(H3364="",P3364=""),"",INDEX('Students'!$C$2:$C$701,P3364))</f>
        <v/>
      </c>
      <c r="F3364" s="48">
        <f>IF(H3364="","",IF(ISNUMBER(O3364),O3364,J3364))</f>
        <v/>
      </c>
      <c r="G3364">
        <f>IF(H3364="","",M3364)</f>
        <v/>
      </c>
      <c r="H3364">
        <f>IF(AND(I3364="",J3364="",K3364=""),"",IF(OR(NOT(ISNUMBER(O3364)),N(O3364)&lt;=0),"Bad amount",IF(NOT(ISNUMBER(N3364)),"Bad date",IF(P3364="","NAME NOT ON ROSTER","OK"))))</f>
        <v/>
      </c>
      <c r="I3364">
        <f>IF('Cash_Check'!A364="","",'Cash_Check'!A364)</f>
        <v/>
      </c>
      <c r="J3364">
        <f>IF('Cash_Check'!D364="","",'Cash_Check'!D364)</f>
        <v/>
      </c>
      <c r="K3364">
        <f>TRIM('Cash_Check'!B364)</f>
        <v/>
      </c>
      <c r="M3364">
        <f>IF(TRIM('Cash_Check'!E364)="","Cash/check",TRIM('Cash_Check'!E364))</f>
        <v/>
      </c>
      <c r="N3364">
        <f>IF(I3364="","",IF(ISNUMBER(I3364),INT(I3364),IFERROR(INT(DATEVALUE(I3364)),IFERROR(INT(VALUE(I3364)),"bad"))))</f>
        <v/>
      </c>
      <c r="O3364">
        <f>IF(J3364="","",IF(ISNUMBER(J3364),ROUND(J3364,2),IFERROR(ROUND(VALUE(SUBSTITUTE(SUBSTITUTE(SUBSTITUTE(J3364,"$",""),",","")," ","")),2),"bad")))</f>
        <v/>
      </c>
      <c r="P3364">
        <f>IF(K3364="","",IFERROR(MATCH(IF(ISNUMBER(FIND("#",K3364)),TRIM(MID(K3364,FIND("#",K3364)+1,20)),UPPER(K3364)),'Students'!$AD$2:$AD$701,0),""))</f>
        <v/>
      </c>
      <c r="R3364">
        <f>IF(P3364="","",INDEX('Students'!$AD$2:$AD$701,P3364))</f>
        <v/>
      </c>
      <c r="S3364">
        <f>IF(H3364="OK",O3364,0)</f>
        <v/>
      </c>
      <c r="T3364">
        <f>IF(H3364="OK",N3364,"")</f>
        <v/>
      </c>
      <c r="U3364">
        <f>TRIM('Cash_Check'!C364)</f>
        <v/>
      </c>
    </row>
    <row r="3365">
      <c r="A3365" s="62">
        <f>IF(H3365="","",IF(ISNUMBER(N3365),N3365,I3365))</f>
        <v/>
      </c>
      <c r="B3365">
        <f>IF(H3365="","",U3365)</f>
        <v/>
      </c>
      <c r="C3365">
        <f>IF(H3365="","",IF(P3365="",K3365,INDEX('Students'!$A$2:$A$701,P3365)))</f>
        <v/>
      </c>
      <c r="D3365">
        <f>IF(OR(H3365="",P3365=""),"",INDEX('Students'!$B$2:$B$701,P3365))</f>
        <v/>
      </c>
      <c r="E3365">
        <f>IF(OR(H3365="",P3365=""),"",INDEX('Students'!$C$2:$C$701,P3365))</f>
        <v/>
      </c>
      <c r="F3365" s="48">
        <f>IF(H3365="","",IF(ISNUMBER(O3365),O3365,J3365))</f>
        <v/>
      </c>
      <c r="G3365">
        <f>IF(H3365="","",M3365)</f>
        <v/>
      </c>
      <c r="H3365">
        <f>IF(AND(I3365="",J3365="",K3365=""),"",IF(OR(NOT(ISNUMBER(O3365)),N(O3365)&lt;=0),"Bad amount",IF(NOT(ISNUMBER(N3365)),"Bad date",IF(P3365="","NAME NOT ON ROSTER","OK"))))</f>
        <v/>
      </c>
      <c r="I3365">
        <f>IF('Cash_Check'!A365="","",'Cash_Check'!A365)</f>
        <v/>
      </c>
      <c r="J3365">
        <f>IF('Cash_Check'!D365="","",'Cash_Check'!D365)</f>
        <v/>
      </c>
      <c r="K3365">
        <f>TRIM('Cash_Check'!B365)</f>
        <v/>
      </c>
      <c r="M3365">
        <f>IF(TRIM('Cash_Check'!E365)="","Cash/check",TRIM('Cash_Check'!E365))</f>
        <v/>
      </c>
      <c r="N3365">
        <f>IF(I3365="","",IF(ISNUMBER(I3365),INT(I3365),IFERROR(INT(DATEVALUE(I3365)),IFERROR(INT(VALUE(I3365)),"bad"))))</f>
        <v/>
      </c>
      <c r="O3365">
        <f>IF(J3365="","",IF(ISNUMBER(J3365),ROUND(J3365,2),IFERROR(ROUND(VALUE(SUBSTITUTE(SUBSTITUTE(SUBSTITUTE(J3365,"$",""),",","")," ","")),2),"bad")))</f>
        <v/>
      </c>
      <c r="P3365">
        <f>IF(K3365="","",IFERROR(MATCH(IF(ISNUMBER(FIND("#",K3365)),TRIM(MID(K3365,FIND("#",K3365)+1,20)),UPPER(K3365)),'Students'!$AD$2:$AD$701,0),""))</f>
        <v/>
      </c>
      <c r="R3365">
        <f>IF(P3365="","",INDEX('Students'!$AD$2:$AD$701,P3365))</f>
        <v/>
      </c>
      <c r="S3365">
        <f>IF(H3365="OK",O3365,0)</f>
        <v/>
      </c>
      <c r="T3365">
        <f>IF(H3365="OK",N3365,"")</f>
        <v/>
      </c>
      <c r="U3365">
        <f>TRIM('Cash_Check'!C365)</f>
        <v/>
      </c>
    </row>
    <row r="3366">
      <c r="A3366" s="62">
        <f>IF(H3366="","",IF(ISNUMBER(N3366),N3366,I3366))</f>
        <v/>
      </c>
      <c r="B3366">
        <f>IF(H3366="","",U3366)</f>
        <v/>
      </c>
      <c r="C3366">
        <f>IF(H3366="","",IF(P3366="",K3366,INDEX('Students'!$A$2:$A$701,P3366)))</f>
        <v/>
      </c>
      <c r="D3366">
        <f>IF(OR(H3366="",P3366=""),"",INDEX('Students'!$B$2:$B$701,P3366))</f>
        <v/>
      </c>
      <c r="E3366">
        <f>IF(OR(H3366="",P3366=""),"",INDEX('Students'!$C$2:$C$701,P3366))</f>
        <v/>
      </c>
      <c r="F3366" s="48">
        <f>IF(H3366="","",IF(ISNUMBER(O3366),O3366,J3366))</f>
        <v/>
      </c>
      <c r="G3366">
        <f>IF(H3366="","",M3366)</f>
        <v/>
      </c>
      <c r="H3366">
        <f>IF(AND(I3366="",J3366="",K3366=""),"",IF(OR(NOT(ISNUMBER(O3366)),N(O3366)&lt;=0),"Bad amount",IF(NOT(ISNUMBER(N3366)),"Bad date",IF(P3366="","NAME NOT ON ROSTER","OK"))))</f>
        <v/>
      </c>
      <c r="I3366">
        <f>IF('Cash_Check'!A366="","",'Cash_Check'!A366)</f>
        <v/>
      </c>
      <c r="J3366">
        <f>IF('Cash_Check'!D366="","",'Cash_Check'!D366)</f>
        <v/>
      </c>
      <c r="K3366">
        <f>TRIM('Cash_Check'!B366)</f>
        <v/>
      </c>
      <c r="M3366">
        <f>IF(TRIM('Cash_Check'!E366)="","Cash/check",TRIM('Cash_Check'!E366))</f>
        <v/>
      </c>
      <c r="N3366">
        <f>IF(I3366="","",IF(ISNUMBER(I3366),INT(I3366),IFERROR(INT(DATEVALUE(I3366)),IFERROR(INT(VALUE(I3366)),"bad"))))</f>
        <v/>
      </c>
      <c r="O3366">
        <f>IF(J3366="","",IF(ISNUMBER(J3366),ROUND(J3366,2),IFERROR(ROUND(VALUE(SUBSTITUTE(SUBSTITUTE(SUBSTITUTE(J3366,"$",""),",","")," ","")),2),"bad")))</f>
        <v/>
      </c>
      <c r="P3366">
        <f>IF(K3366="","",IFERROR(MATCH(IF(ISNUMBER(FIND("#",K3366)),TRIM(MID(K3366,FIND("#",K3366)+1,20)),UPPER(K3366)),'Students'!$AD$2:$AD$701,0),""))</f>
        <v/>
      </c>
      <c r="R3366">
        <f>IF(P3366="","",INDEX('Students'!$AD$2:$AD$701,P3366))</f>
        <v/>
      </c>
      <c r="S3366">
        <f>IF(H3366="OK",O3366,0)</f>
        <v/>
      </c>
      <c r="T3366">
        <f>IF(H3366="OK",N3366,"")</f>
        <v/>
      </c>
      <c r="U3366">
        <f>TRIM('Cash_Check'!C366)</f>
        <v/>
      </c>
    </row>
    <row r="3367">
      <c r="A3367" s="62">
        <f>IF(H3367="","",IF(ISNUMBER(N3367),N3367,I3367))</f>
        <v/>
      </c>
      <c r="B3367">
        <f>IF(H3367="","",U3367)</f>
        <v/>
      </c>
      <c r="C3367">
        <f>IF(H3367="","",IF(P3367="",K3367,INDEX('Students'!$A$2:$A$701,P3367)))</f>
        <v/>
      </c>
      <c r="D3367">
        <f>IF(OR(H3367="",P3367=""),"",INDEX('Students'!$B$2:$B$701,P3367))</f>
        <v/>
      </c>
      <c r="E3367">
        <f>IF(OR(H3367="",P3367=""),"",INDEX('Students'!$C$2:$C$701,P3367))</f>
        <v/>
      </c>
      <c r="F3367" s="48">
        <f>IF(H3367="","",IF(ISNUMBER(O3367),O3367,J3367))</f>
        <v/>
      </c>
      <c r="G3367">
        <f>IF(H3367="","",M3367)</f>
        <v/>
      </c>
      <c r="H3367">
        <f>IF(AND(I3367="",J3367="",K3367=""),"",IF(OR(NOT(ISNUMBER(O3367)),N(O3367)&lt;=0),"Bad amount",IF(NOT(ISNUMBER(N3367)),"Bad date",IF(P3367="","NAME NOT ON ROSTER","OK"))))</f>
        <v/>
      </c>
      <c r="I3367">
        <f>IF('Cash_Check'!A367="","",'Cash_Check'!A367)</f>
        <v/>
      </c>
      <c r="J3367">
        <f>IF('Cash_Check'!D367="","",'Cash_Check'!D367)</f>
        <v/>
      </c>
      <c r="K3367">
        <f>TRIM('Cash_Check'!B367)</f>
        <v/>
      </c>
      <c r="M3367">
        <f>IF(TRIM('Cash_Check'!E367)="","Cash/check",TRIM('Cash_Check'!E367))</f>
        <v/>
      </c>
      <c r="N3367">
        <f>IF(I3367="","",IF(ISNUMBER(I3367),INT(I3367),IFERROR(INT(DATEVALUE(I3367)),IFERROR(INT(VALUE(I3367)),"bad"))))</f>
        <v/>
      </c>
      <c r="O3367">
        <f>IF(J3367="","",IF(ISNUMBER(J3367),ROUND(J3367,2),IFERROR(ROUND(VALUE(SUBSTITUTE(SUBSTITUTE(SUBSTITUTE(J3367,"$",""),",","")," ","")),2),"bad")))</f>
        <v/>
      </c>
      <c r="P3367">
        <f>IF(K3367="","",IFERROR(MATCH(IF(ISNUMBER(FIND("#",K3367)),TRIM(MID(K3367,FIND("#",K3367)+1,20)),UPPER(K3367)),'Students'!$AD$2:$AD$701,0),""))</f>
        <v/>
      </c>
      <c r="R3367">
        <f>IF(P3367="","",INDEX('Students'!$AD$2:$AD$701,P3367))</f>
        <v/>
      </c>
      <c r="S3367">
        <f>IF(H3367="OK",O3367,0)</f>
        <v/>
      </c>
      <c r="T3367">
        <f>IF(H3367="OK",N3367,"")</f>
        <v/>
      </c>
      <c r="U3367">
        <f>TRIM('Cash_Check'!C367)</f>
        <v/>
      </c>
    </row>
    <row r="3368">
      <c r="A3368" s="62">
        <f>IF(H3368="","",IF(ISNUMBER(N3368),N3368,I3368))</f>
        <v/>
      </c>
      <c r="B3368">
        <f>IF(H3368="","",U3368)</f>
        <v/>
      </c>
      <c r="C3368">
        <f>IF(H3368="","",IF(P3368="",K3368,INDEX('Students'!$A$2:$A$701,P3368)))</f>
        <v/>
      </c>
      <c r="D3368">
        <f>IF(OR(H3368="",P3368=""),"",INDEX('Students'!$B$2:$B$701,P3368))</f>
        <v/>
      </c>
      <c r="E3368">
        <f>IF(OR(H3368="",P3368=""),"",INDEX('Students'!$C$2:$C$701,P3368))</f>
        <v/>
      </c>
      <c r="F3368" s="48">
        <f>IF(H3368="","",IF(ISNUMBER(O3368),O3368,J3368))</f>
        <v/>
      </c>
      <c r="G3368">
        <f>IF(H3368="","",M3368)</f>
        <v/>
      </c>
      <c r="H3368">
        <f>IF(AND(I3368="",J3368="",K3368=""),"",IF(OR(NOT(ISNUMBER(O3368)),N(O3368)&lt;=0),"Bad amount",IF(NOT(ISNUMBER(N3368)),"Bad date",IF(P3368="","NAME NOT ON ROSTER","OK"))))</f>
        <v/>
      </c>
      <c r="I3368">
        <f>IF('Cash_Check'!A368="","",'Cash_Check'!A368)</f>
        <v/>
      </c>
      <c r="J3368">
        <f>IF('Cash_Check'!D368="","",'Cash_Check'!D368)</f>
        <v/>
      </c>
      <c r="K3368">
        <f>TRIM('Cash_Check'!B368)</f>
        <v/>
      </c>
      <c r="M3368">
        <f>IF(TRIM('Cash_Check'!E368)="","Cash/check",TRIM('Cash_Check'!E368))</f>
        <v/>
      </c>
      <c r="N3368">
        <f>IF(I3368="","",IF(ISNUMBER(I3368),INT(I3368),IFERROR(INT(DATEVALUE(I3368)),IFERROR(INT(VALUE(I3368)),"bad"))))</f>
        <v/>
      </c>
      <c r="O3368">
        <f>IF(J3368="","",IF(ISNUMBER(J3368),ROUND(J3368,2),IFERROR(ROUND(VALUE(SUBSTITUTE(SUBSTITUTE(SUBSTITUTE(J3368,"$",""),",","")," ","")),2),"bad")))</f>
        <v/>
      </c>
      <c r="P3368">
        <f>IF(K3368="","",IFERROR(MATCH(IF(ISNUMBER(FIND("#",K3368)),TRIM(MID(K3368,FIND("#",K3368)+1,20)),UPPER(K3368)),'Students'!$AD$2:$AD$701,0),""))</f>
        <v/>
      </c>
      <c r="R3368">
        <f>IF(P3368="","",INDEX('Students'!$AD$2:$AD$701,P3368))</f>
        <v/>
      </c>
      <c r="S3368">
        <f>IF(H3368="OK",O3368,0)</f>
        <v/>
      </c>
      <c r="T3368">
        <f>IF(H3368="OK",N3368,"")</f>
        <v/>
      </c>
      <c r="U3368">
        <f>TRIM('Cash_Check'!C368)</f>
        <v/>
      </c>
    </row>
    <row r="3369">
      <c r="A3369" s="62">
        <f>IF(H3369="","",IF(ISNUMBER(N3369),N3369,I3369))</f>
        <v/>
      </c>
      <c r="B3369">
        <f>IF(H3369="","",U3369)</f>
        <v/>
      </c>
      <c r="C3369">
        <f>IF(H3369="","",IF(P3369="",K3369,INDEX('Students'!$A$2:$A$701,P3369)))</f>
        <v/>
      </c>
      <c r="D3369">
        <f>IF(OR(H3369="",P3369=""),"",INDEX('Students'!$B$2:$B$701,P3369))</f>
        <v/>
      </c>
      <c r="E3369">
        <f>IF(OR(H3369="",P3369=""),"",INDEX('Students'!$C$2:$C$701,P3369))</f>
        <v/>
      </c>
      <c r="F3369" s="48">
        <f>IF(H3369="","",IF(ISNUMBER(O3369),O3369,J3369))</f>
        <v/>
      </c>
      <c r="G3369">
        <f>IF(H3369="","",M3369)</f>
        <v/>
      </c>
      <c r="H3369">
        <f>IF(AND(I3369="",J3369="",K3369=""),"",IF(OR(NOT(ISNUMBER(O3369)),N(O3369)&lt;=0),"Bad amount",IF(NOT(ISNUMBER(N3369)),"Bad date",IF(P3369="","NAME NOT ON ROSTER","OK"))))</f>
        <v/>
      </c>
      <c r="I3369">
        <f>IF('Cash_Check'!A369="","",'Cash_Check'!A369)</f>
        <v/>
      </c>
      <c r="J3369">
        <f>IF('Cash_Check'!D369="","",'Cash_Check'!D369)</f>
        <v/>
      </c>
      <c r="K3369">
        <f>TRIM('Cash_Check'!B369)</f>
        <v/>
      </c>
      <c r="M3369">
        <f>IF(TRIM('Cash_Check'!E369)="","Cash/check",TRIM('Cash_Check'!E369))</f>
        <v/>
      </c>
      <c r="N3369">
        <f>IF(I3369="","",IF(ISNUMBER(I3369),INT(I3369),IFERROR(INT(DATEVALUE(I3369)),IFERROR(INT(VALUE(I3369)),"bad"))))</f>
        <v/>
      </c>
      <c r="O3369">
        <f>IF(J3369="","",IF(ISNUMBER(J3369),ROUND(J3369,2),IFERROR(ROUND(VALUE(SUBSTITUTE(SUBSTITUTE(SUBSTITUTE(J3369,"$",""),",","")," ","")),2),"bad")))</f>
        <v/>
      </c>
      <c r="P3369">
        <f>IF(K3369="","",IFERROR(MATCH(IF(ISNUMBER(FIND("#",K3369)),TRIM(MID(K3369,FIND("#",K3369)+1,20)),UPPER(K3369)),'Students'!$AD$2:$AD$701,0),""))</f>
        <v/>
      </c>
      <c r="R3369">
        <f>IF(P3369="","",INDEX('Students'!$AD$2:$AD$701,P3369))</f>
        <v/>
      </c>
      <c r="S3369">
        <f>IF(H3369="OK",O3369,0)</f>
        <v/>
      </c>
      <c r="T3369">
        <f>IF(H3369="OK",N3369,"")</f>
        <v/>
      </c>
      <c r="U3369">
        <f>TRIM('Cash_Check'!C369)</f>
        <v/>
      </c>
    </row>
    <row r="3370">
      <c r="A3370" s="62">
        <f>IF(H3370="","",IF(ISNUMBER(N3370),N3370,I3370))</f>
        <v/>
      </c>
      <c r="B3370">
        <f>IF(H3370="","",U3370)</f>
        <v/>
      </c>
      <c r="C3370">
        <f>IF(H3370="","",IF(P3370="",K3370,INDEX('Students'!$A$2:$A$701,P3370)))</f>
        <v/>
      </c>
      <c r="D3370">
        <f>IF(OR(H3370="",P3370=""),"",INDEX('Students'!$B$2:$B$701,P3370))</f>
        <v/>
      </c>
      <c r="E3370">
        <f>IF(OR(H3370="",P3370=""),"",INDEX('Students'!$C$2:$C$701,P3370))</f>
        <v/>
      </c>
      <c r="F3370" s="48">
        <f>IF(H3370="","",IF(ISNUMBER(O3370),O3370,J3370))</f>
        <v/>
      </c>
      <c r="G3370">
        <f>IF(H3370="","",M3370)</f>
        <v/>
      </c>
      <c r="H3370">
        <f>IF(AND(I3370="",J3370="",K3370=""),"",IF(OR(NOT(ISNUMBER(O3370)),N(O3370)&lt;=0),"Bad amount",IF(NOT(ISNUMBER(N3370)),"Bad date",IF(P3370="","NAME NOT ON ROSTER","OK"))))</f>
        <v/>
      </c>
      <c r="I3370">
        <f>IF('Cash_Check'!A370="","",'Cash_Check'!A370)</f>
        <v/>
      </c>
      <c r="J3370">
        <f>IF('Cash_Check'!D370="","",'Cash_Check'!D370)</f>
        <v/>
      </c>
      <c r="K3370">
        <f>TRIM('Cash_Check'!B370)</f>
        <v/>
      </c>
      <c r="M3370">
        <f>IF(TRIM('Cash_Check'!E370)="","Cash/check",TRIM('Cash_Check'!E370))</f>
        <v/>
      </c>
      <c r="N3370">
        <f>IF(I3370="","",IF(ISNUMBER(I3370),INT(I3370),IFERROR(INT(DATEVALUE(I3370)),IFERROR(INT(VALUE(I3370)),"bad"))))</f>
        <v/>
      </c>
      <c r="O3370">
        <f>IF(J3370="","",IF(ISNUMBER(J3370),ROUND(J3370,2),IFERROR(ROUND(VALUE(SUBSTITUTE(SUBSTITUTE(SUBSTITUTE(J3370,"$",""),",","")," ","")),2),"bad")))</f>
        <v/>
      </c>
      <c r="P3370">
        <f>IF(K3370="","",IFERROR(MATCH(IF(ISNUMBER(FIND("#",K3370)),TRIM(MID(K3370,FIND("#",K3370)+1,20)),UPPER(K3370)),'Students'!$AD$2:$AD$701,0),""))</f>
        <v/>
      </c>
      <c r="R3370">
        <f>IF(P3370="","",INDEX('Students'!$AD$2:$AD$701,P3370))</f>
        <v/>
      </c>
      <c r="S3370">
        <f>IF(H3370="OK",O3370,0)</f>
        <v/>
      </c>
      <c r="T3370">
        <f>IF(H3370="OK",N3370,"")</f>
        <v/>
      </c>
      <c r="U3370">
        <f>TRIM('Cash_Check'!C370)</f>
        <v/>
      </c>
    </row>
    <row r="3371">
      <c r="A3371" s="62">
        <f>IF(H3371="","",IF(ISNUMBER(N3371),N3371,I3371))</f>
        <v/>
      </c>
      <c r="B3371">
        <f>IF(H3371="","",U3371)</f>
        <v/>
      </c>
      <c r="C3371">
        <f>IF(H3371="","",IF(P3371="",K3371,INDEX('Students'!$A$2:$A$701,P3371)))</f>
        <v/>
      </c>
      <c r="D3371">
        <f>IF(OR(H3371="",P3371=""),"",INDEX('Students'!$B$2:$B$701,P3371))</f>
        <v/>
      </c>
      <c r="E3371">
        <f>IF(OR(H3371="",P3371=""),"",INDEX('Students'!$C$2:$C$701,P3371))</f>
        <v/>
      </c>
      <c r="F3371" s="48">
        <f>IF(H3371="","",IF(ISNUMBER(O3371),O3371,J3371))</f>
        <v/>
      </c>
      <c r="G3371">
        <f>IF(H3371="","",M3371)</f>
        <v/>
      </c>
      <c r="H3371">
        <f>IF(AND(I3371="",J3371="",K3371=""),"",IF(OR(NOT(ISNUMBER(O3371)),N(O3371)&lt;=0),"Bad amount",IF(NOT(ISNUMBER(N3371)),"Bad date",IF(P3371="","NAME NOT ON ROSTER","OK"))))</f>
        <v/>
      </c>
      <c r="I3371">
        <f>IF('Cash_Check'!A371="","",'Cash_Check'!A371)</f>
        <v/>
      </c>
      <c r="J3371">
        <f>IF('Cash_Check'!D371="","",'Cash_Check'!D371)</f>
        <v/>
      </c>
      <c r="K3371">
        <f>TRIM('Cash_Check'!B371)</f>
        <v/>
      </c>
      <c r="M3371">
        <f>IF(TRIM('Cash_Check'!E371)="","Cash/check",TRIM('Cash_Check'!E371))</f>
        <v/>
      </c>
      <c r="N3371">
        <f>IF(I3371="","",IF(ISNUMBER(I3371),INT(I3371),IFERROR(INT(DATEVALUE(I3371)),IFERROR(INT(VALUE(I3371)),"bad"))))</f>
        <v/>
      </c>
      <c r="O3371">
        <f>IF(J3371="","",IF(ISNUMBER(J3371),ROUND(J3371,2),IFERROR(ROUND(VALUE(SUBSTITUTE(SUBSTITUTE(SUBSTITUTE(J3371,"$",""),",","")," ","")),2),"bad")))</f>
        <v/>
      </c>
      <c r="P3371">
        <f>IF(K3371="","",IFERROR(MATCH(IF(ISNUMBER(FIND("#",K3371)),TRIM(MID(K3371,FIND("#",K3371)+1,20)),UPPER(K3371)),'Students'!$AD$2:$AD$701,0),""))</f>
        <v/>
      </c>
      <c r="R3371">
        <f>IF(P3371="","",INDEX('Students'!$AD$2:$AD$701,P3371))</f>
        <v/>
      </c>
      <c r="S3371">
        <f>IF(H3371="OK",O3371,0)</f>
        <v/>
      </c>
      <c r="T3371">
        <f>IF(H3371="OK",N3371,"")</f>
        <v/>
      </c>
      <c r="U3371">
        <f>TRIM('Cash_Check'!C371)</f>
        <v/>
      </c>
    </row>
    <row r="3372">
      <c r="A3372" s="62">
        <f>IF(H3372="","",IF(ISNUMBER(N3372),N3372,I3372))</f>
        <v/>
      </c>
      <c r="B3372">
        <f>IF(H3372="","",U3372)</f>
        <v/>
      </c>
      <c r="C3372">
        <f>IF(H3372="","",IF(P3372="",K3372,INDEX('Students'!$A$2:$A$701,P3372)))</f>
        <v/>
      </c>
      <c r="D3372">
        <f>IF(OR(H3372="",P3372=""),"",INDEX('Students'!$B$2:$B$701,P3372))</f>
        <v/>
      </c>
      <c r="E3372">
        <f>IF(OR(H3372="",P3372=""),"",INDEX('Students'!$C$2:$C$701,P3372))</f>
        <v/>
      </c>
      <c r="F3372" s="48">
        <f>IF(H3372="","",IF(ISNUMBER(O3372),O3372,J3372))</f>
        <v/>
      </c>
      <c r="G3372">
        <f>IF(H3372="","",M3372)</f>
        <v/>
      </c>
      <c r="H3372">
        <f>IF(AND(I3372="",J3372="",K3372=""),"",IF(OR(NOT(ISNUMBER(O3372)),N(O3372)&lt;=0),"Bad amount",IF(NOT(ISNUMBER(N3372)),"Bad date",IF(P3372="","NAME NOT ON ROSTER","OK"))))</f>
        <v/>
      </c>
      <c r="I3372">
        <f>IF('Cash_Check'!A372="","",'Cash_Check'!A372)</f>
        <v/>
      </c>
      <c r="J3372">
        <f>IF('Cash_Check'!D372="","",'Cash_Check'!D372)</f>
        <v/>
      </c>
      <c r="K3372">
        <f>TRIM('Cash_Check'!B372)</f>
        <v/>
      </c>
      <c r="M3372">
        <f>IF(TRIM('Cash_Check'!E372)="","Cash/check",TRIM('Cash_Check'!E372))</f>
        <v/>
      </c>
      <c r="N3372">
        <f>IF(I3372="","",IF(ISNUMBER(I3372),INT(I3372),IFERROR(INT(DATEVALUE(I3372)),IFERROR(INT(VALUE(I3372)),"bad"))))</f>
        <v/>
      </c>
      <c r="O3372">
        <f>IF(J3372="","",IF(ISNUMBER(J3372),ROUND(J3372,2),IFERROR(ROUND(VALUE(SUBSTITUTE(SUBSTITUTE(SUBSTITUTE(J3372,"$",""),",","")," ","")),2),"bad")))</f>
        <v/>
      </c>
      <c r="P3372">
        <f>IF(K3372="","",IFERROR(MATCH(IF(ISNUMBER(FIND("#",K3372)),TRIM(MID(K3372,FIND("#",K3372)+1,20)),UPPER(K3372)),'Students'!$AD$2:$AD$701,0),""))</f>
        <v/>
      </c>
      <c r="R3372">
        <f>IF(P3372="","",INDEX('Students'!$AD$2:$AD$701,P3372))</f>
        <v/>
      </c>
      <c r="S3372">
        <f>IF(H3372="OK",O3372,0)</f>
        <v/>
      </c>
      <c r="T3372">
        <f>IF(H3372="OK",N3372,"")</f>
        <v/>
      </c>
      <c r="U3372">
        <f>TRIM('Cash_Check'!C372)</f>
        <v/>
      </c>
    </row>
    <row r="3373">
      <c r="A3373" s="62">
        <f>IF(H3373="","",IF(ISNUMBER(N3373),N3373,I3373))</f>
        <v/>
      </c>
      <c r="B3373">
        <f>IF(H3373="","",U3373)</f>
        <v/>
      </c>
      <c r="C3373">
        <f>IF(H3373="","",IF(P3373="",K3373,INDEX('Students'!$A$2:$A$701,P3373)))</f>
        <v/>
      </c>
      <c r="D3373">
        <f>IF(OR(H3373="",P3373=""),"",INDEX('Students'!$B$2:$B$701,P3373))</f>
        <v/>
      </c>
      <c r="E3373">
        <f>IF(OR(H3373="",P3373=""),"",INDEX('Students'!$C$2:$C$701,P3373))</f>
        <v/>
      </c>
      <c r="F3373" s="48">
        <f>IF(H3373="","",IF(ISNUMBER(O3373),O3373,J3373))</f>
        <v/>
      </c>
      <c r="G3373">
        <f>IF(H3373="","",M3373)</f>
        <v/>
      </c>
      <c r="H3373">
        <f>IF(AND(I3373="",J3373="",K3373=""),"",IF(OR(NOT(ISNUMBER(O3373)),N(O3373)&lt;=0),"Bad amount",IF(NOT(ISNUMBER(N3373)),"Bad date",IF(P3373="","NAME NOT ON ROSTER","OK"))))</f>
        <v/>
      </c>
      <c r="I3373">
        <f>IF('Cash_Check'!A373="","",'Cash_Check'!A373)</f>
        <v/>
      </c>
      <c r="J3373">
        <f>IF('Cash_Check'!D373="","",'Cash_Check'!D373)</f>
        <v/>
      </c>
      <c r="K3373">
        <f>TRIM('Cash_Check'!B373)</f>
        <v/>
      </c>
      <c r="M3373">
        <f>IF(TRIM('Cash_Check'!E373)="","Cash/check",TRIM('Cash_Check'!E373))</f>
        <v/>
      </c>
      <c r="N3373">
        <f>IF(I3373="","",IF(ISNUMBER(I3373),INT(I3373),IFERROR(INT(DATEVALUE(I3373)),IFERROR(INT(VALUE(I3373)),"bad"))))</f>
        <v/>
      </c>
      <c r="O3373">
        <f>IF(J3373="","",IF(ISNUMBER(J3373),ROUND(J3373,2),IFERROR(ROUND(VALUE(SUBSTITUTE(SUBSTITUTE(SUBSTITUTE(J3373,"$",""),",","")," ","")),2),"bad")))</f>
        <v/>
      </c>
      <c r="P3373">
        <f>IF(K3373="","",IFERROR(MATCH(IF(ISNUMBER(FIND("#",K3373)),TRIM(MID(K3373,FIND("#",K3373)+1,20)),UPPER(K3373)),'Students'!$AD$2:$AD$701,0),""))</f>
        <v/>
      </c>
      <c r="R3373">
        <f>IF(P3373="","",INDEX('Students'!$AD$2:$AD$701,P3373))</f>
        <v/>
      </c>
      <c r="S3373">
        <f>IF(H3373="OK",O3373,0)</f>
        <v/>
      </c>
      <c r="T3373">
        <f>IF(H3373="OK",N3373,"")</f>
        <v/>
      </c>
      <c r="U3373">
        <f>TRIM('Cash_Check'!C373)</f>
        <v/>
      </c>
    </row>
    <row r="3374">
      <c r="A3374" s="62">
        <f>IF(H3374="","",IF(ISNUMBER(N3374),N3374,I3374))</f>
        <v/>
      </c>
      <c r="B3374">
        <f>IF(H3374="","",U3374)</f>
        <v/>
      </c>
      <c r="C3374">
        <f>IF(H3374="","",IF(P3374="",K3374,INDEX('Students'!$A$2:$A$701,P3374)))</f>
        <v/>
      </c>
      <c r="D3374">
        <f>IF(OR(H3374="",P3374=""),"",INDEX('Students'!$B$2:$B$701,P3374))</f>
        <v/>
      </c>
      <c r="E3374">
        <f>IF(OR(H3374="",P3374=""),"",INDEX('Students'!$C$2:$C$701,P3374))</f>
        <v/>
      </c>
      <c r="F3374" s="48">
        <f>IF(H3374="","",IF(ISNUMBER(O3374),O3374,J3374))</f>
        <v/>
      </c>
      <c r="G3374">
        <f>IF(H3374="","",M3374)</f>
        <v/>
      </c>
      <c r="H3374">
        <f>IF(AND(I3374="",J3374="",K3374=""),"",IF(OR(NOT(ISNUMBER(O3374)),N(O3374)&lt;=0),"Bad amount",IF(NOT(ISNUMBER(N3374)),"Bad date",IF(P3374="","NAME NOT ON ROSTER","OK"))))</f>
        <v/>
      </c>
      <c r="I3374">
        <f>IF('Cash_Check'!A374="","",'Cash_Check'!A374)</f>
        <v/>
      </c>
      <c r="J3374">
        <f>IF('Cash_Check'!D374="","",'Cash_Check'!D374)</f>
        <v/>
      </c>
      <c r="K3374">
        <f>TRIM('Cash_Check'!B374)</f>
        <v/>
      </c>
      <c r="M3374">
        <f>IF(TRIM('Cash_Check'!E374)="","Cash/check",TRIM('Cash_Check'!E374))</f>
        <v/>
      </c>
      <c r="N3374">
        <f>IF(I3374="","",IF(ISNUMBER(I3374),INT(I3374),IFERROR(INT(DATEVALUE(I3374)),IFERROR(INT(VALUE(I3374)),"bad"))))</f>
        <v/>
      </c>
      <c r="O3374">
        <f>IF(J3374="","",IF(ISNUMBER(J3374),ROUND(J3374,2),IFERROR(ROUND(VALUE(SUBSTITUTE(SUBSTITUTE(SUBSTITUTE(J3374,"$",""),",","")," ","")),2),"bad")))</f>
        <v/>
      </c>
      <c r="P3374">
        <f>IF(K3374="","",IFERROR(MATCH(IF(ISNUMBER(FIND("#",K3374)),TRIM(MID(K3374,FIND("#",K3374)+1,20)),UPPER(K3374)),'Students'!$AD$2:$AD$701,0),""))</f>
        <v/>
      </c>
      <c r="R3374">
        <f>IF(P3374="","",INDEX('Students'!$AD$2:$AD$701,P3374))</f>
        <v/>
      </c>
      <c r="S3374">
        <f>IF(H3374="OK",O3374,0)</f>
        <v/>
      </c>
      <c r="T3374">
        <f>IF(H3374="OK",N3374,"")</f>
        <v/>
      </c>
      <c r="U3374">
        <f>TRIM('Cash_Check'!C374)</f>
        <v/>
      </c>
    </row>
    <row r="3375">
      <c r="A3375" s="62">
        <f>IF(H3375="","",IF(ISNUMBER(N3375),N3375,I3375))</f>
        <v/>
      </c>
      <c r="B3375">
        <f>IF(H3375="","",U3375)</f>
        <v/>
      </c>
      <c r="C3375">
        <f>IF(H3375="","",IF(P3375="",K3375,INDEX('Students'!$A$2:$A$701,P3375)))</f>
        <v/>
      </c>
      <c r="D3375">
        <f>IF(OR(H3375="",P3375=""),"",INDEX('Students'!$B$2:$B$701,P3375))</f>
        <v/>
      </c>
      <c r="E3375">
        <f>IF(OR(H3375="",P3375=""),"",INDEX('Students'!$C$2:$C$701,P3375))</f>
        <v/>
      </c>
      <c r="F3375" s="48">
        <f>IF(H3375="","",IF(ISNUMBER(O3375),O3375,J3375))</f>
        <v/>
      </c>
      <c r="G3375">
        <f>IF(H3375="","",M3375)</f>
        <v/>
      </c>
      <c r="H3375">
        <f>IF(AND(I3375="",J3375="",K3375=""),"",IF(OR(NOT(ISNUMBER(O3375)),N(O3375)&lt;=0),"Bad amount",IF(NOT(ISNUMBER(N3375)),"Bad date",IF(P3375="","NAME NOT ON ROSTER","OK"))))</f>
        <v/>
      </c>
      <c r="I3375">
        <f>IF('Cash_Check'!A375="","",'Cash_Check'!A375)</f>
        <v/>
      </c>
      <c r="J3375">
        <f>IF('Cash_Check'!D375="","",'Cash_Check'!D375)</f>
        <v/>
      </c>
      <c r="K3375">
        <f>TRIM('Cash_Check'!B375)</f>
        <v/>
      </c>
      <c r="M3375">
        <f>IF(TRIM('Cash_Check'!E375)="","Cash/check",TRIM('Cash_Check'!E375))</f>
        <v/>
      </c>
      <c r="N3375">
        <f>IF(I3375="","",IF(ISNUMBER(I3375),INT(I3375),IFERROR(INT(DATEVALUE(I3375)),IFERROR(INT(VALUE(I3375)),"bad"))))</f>
        <v/>
      </c>
      <c r="O3375">
        <f>IF(J3375="","",IF(ISNUMBER(J3375),ROUND(J3375,2),IFERROR(ROUND(VALUE(SUBSTITUTE(SUBSTITUTE(SUBSTITUTE(J3375,"$",""),",","")," ","")),2),"bad")))</f>
        <v/>
      </c>
      <c r="P3375">
        <f>IF(K3375="","",IFERROR(MATCH(IF(ISNUMBER(FIND("#",K3375)),TRIM(MID(K3375,FIND("#",K3375)+1,20)),UPPER(K3375)),'Students'!$AD$2:$AD$701,0),""))</f>
        <v/>
      </c>
      <c r="R3375">
        <f>IF(P3375="","",INDEX('Students'!$AD$2:$AD$701,P3375))</f>
        <v/>
      </c>
      <c r="S3375">
        <f>IF(H3375="OK",O3375,0)</f>
        <v/>
      </c>
      <c r="T3375">
        <f>IF(H3375="OK",N3375,"")</f>
        <v/>
      </c>
      <c r="U3375">
        <f>TRIM('Cash_Check'!C375)</f>
        <v/>
      </c>
    </row>
    <row r="3376">
      <c r="A3376" s="62">
        <f>IF(H3376="","",IF(ISNUMBER(N3376),N3376,I3376))</f>
        <v/>
      </c>
      <c r="B3376">
        <f>IF(H3376="","",U3376)</f>
        <v/>
      </c>
      <c r="C3376">
        <f>IF(H3376="","",IF(P3376="",K3376,INDEX('Students'!$A$2:$A$701,P3376)))</f>
        <v/>
      </c>
      <c r="D3376">
        <f>IF(OR(H3376="",P3376=""),"",INDEX('Students'!$B$2:$B$701,P3376))</f>
        <v/>
      </c>
      <c r="E3376">
        <f>IF(OR(H3376="",P3376=""),"",INDEX('Students'!$C$2:$C$701,P3376))</f>
        <v/>
      </c>
      <c r="F3376" s="48">
        <f>IF(H3376="","",IF(ISNUMBER(O3376),O3376,J3376))</f>
        <v/>
      </c>
      <c r="G3376">
        <f>IF(H3376="","",M3376)</f>
        <v/>
      </c>
      <c r="H3376">
        <f>IF(AND(I3376="",J3376="",K3376=""),"",IF(OR(NOT(ISNUMBER(O3376)),N(O3376)&lt;=0),"Bad amount",IF(NOT(ISNUMBER(N3376)),"Bad date",IF(P3376="","NAME NOT ON ROSTER","OK"))))</f>
        <v/>
      </c>
      <c r="I3376">
        <f>IF('Cash_Check'!A376="","",'Cash_Check'!A376)</f>
        <v/>
      </c>
      <c r="J3376">
        <f>IF('Cash_Check'!D376="","",'Cash_Check'!D376)</f>
        <v/>
      </c>
      <c r="K3376">
        <f>TRIM('Cash_Check'!B376)</f>
        <v/>
      </c>
      <c r="M3376">
        <f>IF(TRIM('Cash_Check'!E376)="","Cash/check",TRIM('Cash_Check'!E376))</f>
        <v/>
      </c>
      <c r="N3376">
        <f>IF(I3376="","",IF(ISNUMBER(I3376),INT(I3376),IFERROR(INT(DATEVALUE(I3376)),IFERROR(INT(VALUE(I3376)),"bad"))))</f>
        <v/>
      </c>
      <c r="O3376">
        <f>IF(J3376="","",IF(ISNUMBER(J3376),ROUND(J3376,2),IFERROR(ROUND(VALUE(SUBSTITUTE(SUBSTITUTE(SUBSTITUTE(J3376,"$",""),",","")," ","")),2),"bad")))</f>
        <v/>
      </c>
      <c r="P3376">
        <f>IF(K3376="","",IFERROR(MATCH(IF(ISNUMBER(FIND("#",K3376)),TRIM(MID(K3376,FIND("#",K3376)+1,20)),UPPER(K3376)),'Students'!$AD$2:$AD$701,0),""))</f>
        <v/>
      </c>
      <c r="R3376">
        <f>IF(P3376="","",INDEX('Students'!$AD$2:$AD$701,P3376))</f>
        <v/>
      </c>
      <c r="S3376">
        <f>IF(H3376="OK",O3376,0)</f>
        <v/>
      </c>
      <c r="T3376">
        <f>IF(H3376="OK",N3376,"")</f>
        <v/>
      </c>
      <c r="U3376">
        <f>TRIM('Cash_Check'!C376)</f>
        <v/>
      </c>
    </row>
    <row r="3377">
      <c r="A3377" s="62">
        <f>IF(H3377="","",IF(ISNUMBER(N3377),N3377,I3377))</f>
        <v/>
      </c>
      <c r="B3377">
        <f>IF(H3377="","",U3377)</f>
        <v/>
      </c>
      <c r="C3377">
        <f>IF(H3377="","",IF(P3377="",K3377,INDEX('Students'!$A$2:$A$701,P3377)))</f>
        <v/>
      </c>
      <c r="D3377">
        <f>IF(OR(H3377="",P3377=""),"",INDEX('Students'!$B$2:$B$701,P3377))</f>
        <v/>
      </c>
      <c r="E3377">
        <f>IF(OR(H3377="",P3377=""),"",INDEX('Students'!$C$2:$C$701,P3377))</f>
        <v/>
      </c>
      <c r="F3377" s="48">
        <f>IF(H3377="","",IF(ISNUMBER(O3377),O3377,J3377))</f>
        <v/>
      </c>
      <c r="G3377">
        <f>IF(H3377="","",M3377)</f>
        <v/>
      </c>
      <c r="H3377">
        <f>IF(AND(I3377="",J3377="",K3377=""),"",IF(OR(NOT(ISNUMBER(O3377)),N(O3377)&lt;=0),"Bad amount",IF(NOT(ISNUMBER(N3377)),"Bad date",IF(P3377="","NAME NOT ON ROSTER","OK"))))</f>
        <v/>
      </c>
      <c r="I3377">
        <f>IF('Cash_Check'!A377="","",'Cash_Check'!A377)</f>
        <v/>
      </c>
      <c r="J3377">
        <f>IF('Cash_Check'!D377="","",'Cash_Check'!D377)</f>
        <v/>
      </c>
      <c r="K3377">
        <f>TRIM('Cash_Check'!B377)</f>
        <v/>
      </c>
      <c r="M3377">
        <f>IF(TRIM('Cash_Check'!E377)="","Cash/check",TRIM('Cash_Check'!E377))</f>
        <v/>
      </c>
      <c r="N3377">
        <f>IF(I3377="","",IF(ISNUMBER(I3377),INT(I3377),IFERROR(INT(DATEVALUE(I3377)),IFERROR(INT(VALUE(I3377)),"bad"))))</f>
        <v/>
      </c>
      <c r="O3377">
        <f>IF(J3377="","",IF(ISNUMBER(J3377),ROUND(J3377,2),IFERROR(ROUND(VALUE(SUBSTITUTE(SUBSTITUTE(SUBSTITUTE(J3377,"$",""),",","")," ","")),2),"bad")))</f>
        <v/>
      </c>
      <c r="P3377">
        <f>IF(K3377="","",IFERROR(MATCH(IF(ISNUMBER(FIND("#",K3377)),TRIM(MID(K3377,FIND("#",K3377)+1,20)),UPPER(K3377)),'Students'!$AD$2:$AD$701,0),""))</f>
        <v/>
      </c>
      <c r="R3377">
        <f>IF(P3377="","",INDEX('Students'!$AD$2:$AD$701,P3377))</f>
        <v/>
      </c>
      <c r="S3377">
        <f>IF(H3377="OK",O3377,0)</f>
        <v/>
      </c>
      <c r="T3377">
        <f>IF(H3377="OK",N3377,"")</f>
        <v/>
      </c>
      <c r="U3377">
        <f>TRIM('Cash_Check'!C377)</f>
        <v/>
      </c>
    </row>
    <row r="3378">
      <c r="A3378" s="62">
        <f>IF(H3378="","",IF(ISNUMBER(N3378),N3378,I3378))</f>
        <v/>
      </c>
      <c r="B3378">
        <f>IF(H3378="","",U3378)</f>
        <v/>
      </c>
      <c r="C3378">
        <f>IF(H3378="","",IF(P3378="",K3378,INDEX('Students'!$A$2:$A$701,P3378)))</f>
        <v/>
      </c>
      <c r="D3378">
        <f>IF(OR(H3378="",P3378=""),"",INDEX('Students'!$B$2:$B$701,P3378))</f>
        <v/>
      </c>
      <c r="E3378">
        <f>IF(OR(H3378="",P3378=""),"",INDEX('Students'!$C$2:$C$701,P3378))</f>
        <v/>
      </c>
      <c r="F3378" s="48">
        <f>IF(H3378="","",IF(ISNUMBER(O3378),O3378,J3378))</f>
        <v/>
      </c>
      <c r="G3378">
        <f>IF(H3378="","",M3378)</f>
        <v/>
      </c>
      <c r="H3378">
        <f>IF(AND(I3378="",J3378="",K3378=""),"",IF(OR(NOT(ISNUMBER(O3378)),N(O3378)&lt;=0),"Bad amount",IF(NOT(ISNUMBER(N3378)),"Bad date",IF(P3378="","NAME NOT ON ROSTER","OK"))))</f>
        <v/>
      </c>
      <c r="I3378">
        <f>IF('Cash_Check'!A378="","",'Cash_Check'!A378)</f>
        <v/>
      </c>
      <c r="J3378">
        <f>IF('Cash_Check'!D378="","",'Cash_Check'!D378)</f>
        <v/>
      </c>
      <c r="K3378">
        <f>TRIM('Cash_Check'!B378)</f>
        <v/>
      </c>
      <c r="M3378">
        <f>IF(TRIM('Cash_Check'!E378)="","Cash/check",TRIM('Cash_Check'!E378))</f>
        <v/>
      </c>
      <c r="N3378">
        <f>IF(I3378="","",IF(ISNUMBER(I3378),INT(I3378),IFERROR(INT(DATEVALUE(I3378)),IFERROR(INT(VALUE(I3378)),"bad"))))</f>
        <v/>
      </c>
      <c r="O3378">
        <f>IF(J3378="","",IF(ISNUMBER(J3378),ROUND(J3378,2),IFERROR(ROUND(VALUE(SUBSTITUTE(SUBSTITUTE(SUBSTITUTE(J3378,"$",""),",","")," ","")),2),"bad")))</f>
        <v/>
      </c>
      <c r="P3378">
        <f>IF(K3378="","",IFERROR(MATCH(IF(ISNUMBER(FIND("#",K3378)),TRIM(MID(K3378,FIND("#",K3378)+1,20)),UPPER(K3378)),'Students'!$AD$2:$AD$701,0),""))</f>
        <v/>
      </c>
      <c r="R3378">
        <f>IF(P3378="","",INDEX('Students'!$AD$2:$AD$701,P3378))</f>
        <v/>
      </c>
      <c r="S3378">
        <f>IF(H3378="OK",O3378,0)</f>
        <v/>
      </c>
      <c r="T3378">
        <f>IF(H3378="OK",N3378,"")</f>
        <v/>
      </c>
      <c r="U3378">
        <f>TRIM('Cash_Check'!C378)</f>
        <v/>
      </c>
    </row>
    <row r="3379">
      <c r="A3379" s="62">
        <f>IF(H3379="","",IF(ISNUMBER(N3379),N3379,I3379))</f>
        <v/>
      </c>
      <c r="B3379">
        <f>IF(H3379="","",U3379)</f>
        <v/>
      </c>
      <c r="C3379">
        <f>IF(H3379="","",IF(P3379="",K3379,INDEX('Students'!$A$2:$A$701,P3379)))</f>
        <v/>
      </c>
      <c r="D3379">
        <f>IF(OR(H3379="",P3379=""),"",INDEX('Students'!$B$2:$B$701,P3379))</f>
        <v/>
      </c>
      <c r="E3379">
        <f>IF(OR(H3379="",P3379=""),"",INDEX('Students'!$C$2:$C$701,P3379))</f>
        <v/>
      </c>
      <c r="F3379" s="48">
        <f>IF(H3379="","",IF(ISNUMBER(O3379),O3379,J3379))</f>
        <v/>
      </c>
      <c r="G3379">
        <f>IF(H3379="","",M3379)</f>
        <v/>
      </c>
      <c r="H3379">
        <f>IF(AND(I3379="",J3379="",K3379=""),"",IF(OR(NOT(ISNUMBER(O3379)),N(O3379)&lt;=0),"Bad amount",IF(NOT(ISNUMBER(N3379)),"Bad date",IF(P3379="","NAME NOT ON ROSTER","OK"))))</f>
        <v/>
      </c>
      <c r="I3379">
        <f>IF('Cash_Check'!A379="","",'Cash_Check'!A379)</f>
        <v/>
      </c>
      <c r="J3379">
        <f>IF('Cash_Check'!D379="","",'Cash_Check'!D379)</f>
        <v/>
      </c>
      <c r="K3379">
        <f>TRIM('Cash_Check'!B379)</f>
        <v/>
      </c>
      <c r="M3379">
        <f>IF(TRIM('Cash_Check'!E379)="","Cash/check",TRIM('Cash_Check'!E379))</f>
        <v/>
      </c>
      <c r="N3379">
        <f>IF(I3379="","",IF(ISNUMBER(I3379),INT(I3379),IFERROR(INT(DATEVALUE(I3379)),IFERROR(INT(VALUE(I3379)),"bad"))))</f>
        <v/>
      </c>
      <c r="O3379">
        <f>IF(J3379="","",IF(ISNUMBER(J3379),ROUND(J3379,2),IFERROR(ROUND(VALUE(SUBSTITUTE(SUBSTITUTE(SUBSTITUTE(J3379,"$",""),",","")," ","")),2),"bad")))</f>
        <v/>
      </c>
      <c r="P3379">
        <f>IF(K3379="","",IFERROR(MATCH(IF(ISNUMBER(FIND("#",K3379)),TRIM(MID(K3379,FIND("#",K3379)+1,20)),UPPER(K3379)),'Students'!$AD$2:$AD$701,0),""))</f>
        <v/>
      </c>
      <c r="R3379">
        <f>IF(P3379="","",INDEX('Students'!$AD$2:$AD$701,P3379))</f>
        <v/>
      </c>
      <c r="S3379">
        <f>IF(H3379="OK",O3379,0)</f>
        <v/>
      </c>
      <c r="T3379">
        <f>IF(H3379="OK",N3379,"")</f>
        <v/>
      </c>
      <c r="U3379">
        <f>TRIM('Cash_Check'!C379)</f>
        <v/>
      </c>
    </row>
    <row r="3380">
      <c r="A3380" s="62">
        <f>IF(H3380="","",IF(ISNUMBER(N3380),N3380,I3380))</f>
        <v/>
      </c>
      <c r="B3380">
        <f>IF(H3380="","",U3380)</f>
        <v/>
      </c>
      <c r="C3380">
        <f>IF(H3380="","",IF(P3380="",K3380,INDEX('Students'!$A$2:$A$701,P3380)))</f>
        <v/>
      </c>
      <c r="D3380">
        <f>IF(OR(H3380="",P3380=""),"",INDEX('Students'!$B$2:$B$701,P3380))</f>
        <v/>
      </c>
      <c r="E3380">
        <f>IF(OR(H3380="",P3380=""),"",INDEX('Students'!$C$2:$C$701,P3380))</f>
        <v/>
      </c>
      <c r="F3380" s="48">
        <f>IF(H3380="","",IF(ISNUMBER(O3380),O3380,J3380))</f>
        <v/>
      </c>
      <c r="G3380">
        <f>IF(H3380="","",M3380)</f>
        <v/>
      </c>
      <c r="H3380">
        <f>IF(AND(I3380="",J3380="",K3380=""),"",IF(OR(NOT(ISNUMBER(O3380)),N(O3380)&lt;=0),"Bad amount",IF(NOT(ISNUMBER(N3380)),"Bad date",IF(P3380="","NAME NOT ON ROSTER","OK"))))</f>
        <v/>
      </c>
      <c r="I3380">
        <f>IF('Cash_Check'!A380="","",'Cash_Check'!A380)</f>
        <v/>
      </c>
      <c r="J3380">
        <f>IF('Cash_Check'!D380="","",'Cash_Check'!D380)</f>
        <v/>
      </c>
      <c r="K3380">
        <f>TRIM('Cash_Check'!B380)</f>
        <v/>
      </c>
      <c r="M3380">
        <f>IF(TRIM('Cash_Check'!E380)="","Cash/check",TRIM('Cash_Check'!E380))</f>
        <v/>
      </c>
      <c r="N3380">
        <f>IF(I3380="","",IF(ISNUMBER(I3380),INT(I3380),IFERROR(INT(DATEVALUE(I3380)),IFERROR(INT(VALUE(I3380)),"bad"))))</f>
        <v/>
      </c>
      <c r="O3380">
        <f>IF(J3380="","",IF(ISNUMBER(J3380),ROUND(J3380,2),IFERROR(ROUND(VALUE(SUBSTITUTE(SUBSTITUTE(SUBSTITUTE(J3380,"$",""),",","")," ","")),2),"bad")))</f>
        <v/>
      </c>
      <c r="P3380">
        <f>IF(K3380="","",IFERROR(MATCH(IF(ISNUMBER(FIND("#",K3380)),TRIM(MID(K3380,FIND("#",K3380)+1,20)),UPPER(K3380)),'Students'!$AD$2:$AD$701,0),""))</f>
        <v/>
      </c>
      <c r="R3380">
        <f>IF(P3380="","",INDEX('Students'!$AD$2:$AD$701,P3380))</f>
        <v/>
      </c>
      <c r="S3380">
        <f>IF(H3380="OK",O3380,0)</f>
        <v/>
      </c>
      <c r="T3380">
        <f>IF(H3380="OK",N3380,"")</f>
        <v/>
      </c>
      <c r="U3380">
        <f>TRIM('Cash_Check'!C380)</f>
        <v/>
      </c>
    </row>
    <row r="3381">
      <c r="A3381" s="62">
        <f>IF(H3381="","",IF(ISNUMBER(N3381),N3381,I3381))</f>
        <v/>
      </c>
      <c r="B3381">
        <f>IF(H3381="","",U3381)</f>
        <v/>
      </c>
      <c r="C3381">
        <f>IF(H3381="","",IF(P3381="",K3381,INDEX('Students'!$A$2:$A$701,P3381)))</f>
        <v/>
      </c>
      <c r="D3381">
        <f>IF(OR(H3381="",P3381=""),"",INDEX('Students'!$B$2:$B$701,P3381))</f>
        <v/>
      </c>
      <c r="E3381">
        <f>IF(OR(H3381="",P3381=""),"",INDEX('Students'!$C$2:$C$701,P3381))</f>
        <v/>
      </c>
      <c r="F3381" s="48">
        <f>IF(H3381="","",IF(ISNUMBER(O3381),O3381,J3381))</f>
        <v/>
      </c>
      <c r="G3381">
        <f>IF(H3381="","",M3381)</f>
        <v/>
      </c>
      <c r="H3381">
        <f>IF(AND(I3381="",J3381="",K3381=""),"",IF(OR(NOT(ISNUMBER(O3381)),N(O3381)&lt;=0),"Bad amount",IF(NOT(ISNUMBER(N3381)),"Bad date",IF(P3381="","NAME NOT ON ROSTER","OK"))))</f>
        <v/>
      </c>
      <c r="I3381">
        <f>IF('Cash_Check'!A381="","",'Cash_Check'!A381)</f>
        <v/>
      </c>
      <c r="J3381">
        <f>IF('Cash_Check'!D381="","",'Cash_Check'!D381)</f>
        <v/>
      </c>
      <c r="K3381">
        <f>TRIM('Cash_Check'!B381)</f>
        <v/>
      </c>
      <c r="M3381">
        <f>IF(TRIM('Cash_Check'!E381)="","Cash/check",TRIM('Cash_Check'!E381))</f>
        <v/>
      </c>
      <c r="N3381">
        <f>IF(I3381="","",IF(ISNUMBER(I3381),INT(I3381),IFERROR(INT(DATEVALUE(I3381)),IFERROR(INT(VALUE(I3381)),"bad"))))</f>
        <v/>
      </c>
      <c r="O3381">
        <f>IF(J3381="","",IF(ISNUMBER(J3381),ROUND(J3381,2),IFERROR(ROUND(VALUE(SUBSTITUTE(SUBSTITUTE(SUBSTITUTE(J3381,"$",""),",","")," ","")),2),"bad")))</f>
        <v/>
      </c>
      <c r="P3381">
        <f>IF(K3381="","",IFERROR(MATCH(IF(ISNUMBER(FIND("#",K3381)),TRIM(MID(K3381,FIND("#",K3381)+1,20)),UPPER(K3381)),'Students'!$AD$2:$AD$701,0),""))</f>
        <v/>
      </c>
      <c r="R3381">
        <f>IF(P3381="","",INDEX('Students'!$AD$2:$AD$701,P3381))</f>
        <v/>
      </c>
      <c r="S3381">
        <f>IF(H3381="OK",O3381,0)</f>
        <v/>
      </c>
      <c r="T3381">
        <f>IF(H3381="OK",N3381,"")</f>
        <v/>
      </c>
      <c r="U3381">
        <f>TRIM('Cash_Check'!C381)</f>
        <v/>
      </c>
    </row>
    <row r="3382">
      <c r="A3382" s="62">
        <f>IF(H3382="","",IF(ISNUMBER(N3382),N3382,I3382))</f>
        <v/>
      </c>
      <c r="B3382">
        <f>IF(H3382="","",U3382)</f>
        <v/>
      </c>
      <c r="C3382">
        <f>IF(H3382="","",IF(P3382="",K3382,INDEX('Students'!$A$2:$A$701,P3382)))</f>
        <v/>
      </c>
      <c r="D3382">
        <f>IF(OR(H3382="",P3382=""),"",INDEX('Students'!$B$2:$B$701,P3382))</f>
        <v/>
      </c>
      <c r="E3382">
        <f>IF(OR(H3382="",P3382=""),"",INDEX('Students'!$C$2:$C$701,P3382))</f>
        <v/>
      </c>
      <c r="F3382" s="48">
        <f>IF(H3382="","",IF(ISNUMBER(O3382),O3382,J3382))</f>
        <v/>
      </c>
      <c r="G3382">
        <f>IF(H3382="","",M3382)</f>
        <v/>
      </c>
      <c r="H3382">
        <f>IF(AND(I3382="",J3382="",K3382=""),"",IF(OR(NOT(ISNUMBER(O3382)),N(O3382)&lt;=0),"Bad amount",IF(NOT(ISNUMBER(N3382)),"Bad date",IF(P3382="","NAME NOT ON ROSTER","OK"))))</f>
        <v/>
      </c>
      <c r="I3382">
        <f>IF('Cash_Check'!A382="","",'Cash_Check'!A382)</f>
        <v/>
      </c>
      <c r="J3382">
        <f>IF('Cash_Check'!D382="","",'Cash_Check'!D382)</f>
        <v/>
      </c>
      <c r="K3382">
        <f>TRIM('Cash_Check'!B382)</f>
        <v/>
      </c>
      <c r="M3382">
        <f>IF(TRIM('Cash_Check'!E382)="","Cash/check",TRIM('Cash_Check'!E382))</f>
        <v/>
      </c>
      <c r="N3382">
        <f>IF(I3382="","",IF(ISNUMBER(I3382),INT(I3382),IFERROR(INT(DATEVALUE(I3382)),IFERROR(INT(VALUE(I3382)),"bad"))))</f>
        <v/>
      </c>
      <c r="O3382">
        <f>IF(J3382="","",IF(ISNUMBER(J3382),ROUND(J3382,2),IFERROR(ROUND(VALUE(SUBSTITUTE(SUBSTITUTE(SUBSTITUTE(J3382,"$",""),",","")," ","")),2),"bad")))</f>
        <v/>
      </c>
      <c r="P3382">
        <f>IF(K3382="","",IFERROR(MATCH(IF(ISNUMBER(FIND("#",K3382)),TRIM(MID(K3382,FIND("#",K3382)+1,20)),UPPER(K3382)),'Students'!$AD$2:$AD$701,0),""))</f>
        <v/>
      </c>
      <c r="R3382">
        <f>IF(P3382="","",INDEX('Students'!$AD$2:$AD$701,P3382))</f>
        <v/>
      </c>
      <c r="S3382">
        <f>IF(H3382="OK",O3382,0)</f>
        <v/>
      </c>
      <c r="T3382">
        <f>IF(H3382="OK",N3382,"")</f>
        <v/>
      </c>
      <c r="U3382">
        <f>TRIM('Cash_Check'!C382)</f>
        <v/>
      </c>
    </row>
    <row r="3383">
      <c r="A3383" s="62">
        <f>IF(H3383="","",IF(ISNUMBER(N3383),N3383,I3383))</f>
        <v/>
      </c>
      <c r="B3383">
        <f>IF(H3383="","",U3383)</f>
        <v/>
      </c>
      <c r="C3383">
        <f>IF(H3383="","",IF(P3383="",K3383,INDEX('Students'!$A$2:$A$701,P3383)))</f>
        <v/>
      </c>
      <c r="D3383">
        <f>IF(OR(H3383="",P3383=""),"",INDEX('Students'!$B$2:$B$701,P3383))</f>
        <v/>
      </c>
      <c r="E3383">
        <f>IF(OR(H3383="",P3383=""),"",INDEX('Students'!$C$2:$C$701,P3383))</f>
        <v/>
      </c>
      <c r="F3383" s="48">
        <f>IF(H3383="","",IF(ISNUMBER(O3383),O3383,J3383))</f>
        <v/>
      </c>
      <c r="G3383">
        <f>IF(H3383="","",M3383)</f>
        <v/>
      </c>
      <c r="H3383">
        <f>IF(AND(I3383="",J3383="",K3383=""),"",IF(OR(NOT(ISNUMBER(O3383)),N(O3383)&lt;=0),"Bad amount",IF(NOT(ISNUMBER(N3383)),"Bad date",IF(P3383="","NAME NOT ON ROSTER","OK"))))</f>
        <v/>
      </c>
      <c r="I3383">
        <f>IF('Cash_Check'!A383="","",'Cash_Check'!A383)</f>
        <v/>
      </c>
      <c r="J3383">
        <f>IF('Cash_Check'!D383="","",'Cash_Check'!D383)</f>
        <v/>
      </c>
      <c r="K3383">
        <f>TRIM('Cash_Check'!B383)</f>
        <v/>
      </c>
      <c r="M3383">
        <f>IF(TRIM('Cash_Check'!E383)="","Cash/check",TRIM('Cash_Check'!E383))</f>
        <v/>
      </c>
      <c r="N3383">
        <f>IF(I3383="","",IF(ISNUMBER(I3383),INT(I3383),IFERROR(INT(DATEVALUE(I3383)),IFERROR(INT(VALUE(I3383)),"bad"))))</f>
        <v/>
      </c>
      <c r="O3383">
        <f>IF(J3383="","",IF(ISNUMBER(J3383),ROUND(J3383,2),IFERROR(ROUND(VALUE(SUBSTITUTE(SUBSTITUTE(SUBSTITUTE(J3383,"$",""),",","")," ","")),2),"bad")))</f>
        <v/>
      </c>
      <c r="P3383">
        <f>IF(K3383="","",IFERROR(MATCH(IF(ISNUMBER(FIND("#",K3383)),TRIM(MID(K3383,FIND("#",K3383)+1,20)),UPPER(K3383)),'Students'!$AD$2:$AD$701,0),""))</f>
        <v/>
      </c>
      <c r="R3383">
        <f>IF(P3383="","",INDEX('Students'!$AD$2:$AD$701,P3383))</f>
        <v/>
      </c>
      <c r="S3383">
        <f>IF(H3383="OK",O3383,0)</f>
        <v/>
      </c>
      <c r="T3383">
        <f>IF(H3383="OK",N3383,"")</f>
        <v/>
      </c>
      <c r="U3383">
        <f>TRIM('Cash_Check'!C383)</f>
        <v/>
      </c>
    </row>
    <row r="3384">
      <c r="A3384" s="62">
        <f>IF(H3384="","",IF(ISNUMBER(N3384),N3384,I3384))</f>
        <v/>
      </c>
      <c r="B3384">
        <f>IF(H3384="","",U3384)</f>
        <v/>
      </c>
      <c r="C3384">
        <f>IF(H3384="","",IF(P3384="",K3384,INDEX('Students'!$A$2:$A$701,P3384)))</f>
        <v/>
      </c>
      <c r="D3384">
        <f>IF(OR(H3384="",P3384=""),"",INDEX('Students'!$B$2:$B$701,P3384))</f>
        <v/>
      </c>
      <c r="E3384">
        <f>IF(OR(H3384="",P3384=""),"",INDEX('Students'!$C$2:$C$701,P3384))</f>
        <v/>
      </c>
      <c r="F3384" s="48">
        <f>IF(H3384="","",IF(ISNUMBER(O3384),O3384,J3384))</f>
        <v/>
      </c>
      <c r="G3384">
        <f>IF(H3384="","",M3384)</f>
        <v/>
      </c>
      <c r="H3384">
        <f>IF(AND(I3384="",J3384="",K3384=""),"",IF(OR(NOT(ISNUMBER(O3384)),N(O3384)&lt;=0),"Bad amount",IF(NOT(ISNUMBER(N3384)),"Bad date",IF(P3384="","NAME NOT ON ROSTER","OK"))))</f>
        <v/>
      </c>
      <c r="I3384">
        <f>IF('Cash_Check'!A384="","",'Cash_Check'!A384)</f>
        <v/>
      </c>
      <c r="J3384">
        <f>IF('Cash_Check'!D384="","",'Cash_Check'!D384)</f>
        <v/>
      </c>
      <c r="K3384">
        <f>TRIM('Cash_Check'!B384)</f>
        <v/>
      </c>
      <c r="M3384">
        <f>IF(TRIM('Cash_Check'!E384)="","Cash/check",TRIM('Cash_Check'!E384))</f>
        <v/>
      </c>
      <c r="N3384">
        <f>IF(I3384="","",IF(ISNUMBER(I3384),INT(I3384),IFERROR(INT(DATEVALUE(I3384)),IFERROR(INT(VALUE(I3384)),"bad"))))</f>
        <v/>
      </c>
      <c r="O3384">
        <f>IF(J3384="","",IF(ISNUMBER(J3384),ROUND(J3384,2),IFERROR(ROUND(VALUE(SUBSTITUTE(SUBSTITUTE(SUBSTITUTE(J3384,"$",""),",","")," ","")),2),"bad")))</f>
        <v/>
      </c>
      <c r="P3384">
        <f>IF(K3384="","",IFERROR(MATCH(IF(ISNUMBER(FIND("#",K3384)),TRIM(MID(K3384,FIND("#",K3384)+1,20)),UPPER(K3384)),'Students'!$AD$2:$AD$701,0),""))</f>
        <v/>
      </c>
      <c r="R3384">
        <f>IF(P3384="","",INDEX('Students'!$AD$2:$AD$701,P3384))</f>
        <v/>
      </c>
      <c r="S3384">
        <f>IF(H3384="OK",O3384,0)</f>
        <v/>
      </c>
      <c r="T3384">
        <f>IF(H3384="OK",N3384,"")</f>
        <v/>
      </c>
      <c r="U3384">
        <f>TRIM('Cash_Check'!C384)</f>
        <v/>
      </c>
    </row>
    <row r="3385">
      <c r="A3385" s="62">
        <f>IF(H3385="","",IF(ISNUMBER(N3385),N3385,I3385))</f>
        <v/>
      </c>
      <c r="B3385">
        <f>IF(H3385="","",U3385)</f>
        <v/>
      </c>
      <c r="C3385">
        <f>IF(H3385="","",IF(P3385="",K3385,INDEX('Students'!$A$2:$A$701,P3385)))</f>
        <v/>
      </c>
      <c r="D3385">
        <f>IF(OR(H3385="",P3385=""),"",INDEX('Students'!$B$2:$B$701,P3385))</f>
        <v/>
      </c>
      <c r="E3385">
        <f>IF(OR(H3385="",P3385=""),"",INDEX('Students'!$C$2:$C$701,P3385))</f>
        <v/>
      </c>
      <c r="F3385" s="48">
        <f>IF(H3385="","",IF(ISNUMBER(O3385),O3385,J3385))</f>
        <v/>
      </c>
      <c r="G3385">
        <f>IF(H3385="","",M3385)</f>
        <v/>
      </c>
      <c r="H3385">
        <f>IF(AND(I3385="",J3385="",K3385=""),"",IF(OR(NOT(ISNUMBER(O3385)),N(O3385)&lt;=0),"Bad amount",IF(NOT(ISNUMBER(N3385)),"Bad date",IF(P3385="","NAME NOT ON ROSTER","OK"))))</f>
        <v/>
      </c>
      <c r="I3385">
        <f>IF('Cash_Check'!A385="","",'Cash_Check'!A385)</f>
        <v/>
      </c>
      <c r="J3385">
        <f>IF('Cash_Check'!D385="","",'Cash_Check'!D385)</f>
        <v/>
      </c>
      <c r="K3385">
        <f>TRIM('Cash_Check'!B385)</f>
        <v/>
      </c>
      <c r="M3385">
        <f>IF(TRIM('Cash_Check'!E385)="","Cash/check",TRIM('Cash_Check'!E385))</f>
        <v/>
      </c>
      <c r="N3385">
        <f>IF(I3385="","",IF(ISNUMBER(I3385),INT(I3385),IFERROR(INT(DATEVALUE(I3385)),IFERROR(INT(VALUE(I3385)),"bad"))))</f>
        <v/>
      </c>
      <c r="O3385">
        <f>IF(J3385="","",IF(ISNUMBER(J3385),ROUND(J3385,2),IFERROR(ROUND(VALUE(SUBSTITUTE(SUBSTITUTE(SUBSTITUTE(J3385,"$",""),",","")," ","")),2),"bad")))</f>
        <v/>
      </c>
      <c r="P3385">
        <f>IF(K3385="","",IFERROR(MATCH(IF(ISNUMBER(FIND("#",K3385)),TRIM(MID(K3385,FIND("#",K3385)+1,20)),UPPER(K3385)),'Students'!$AD$2:$AD$701,0),""))</f>
        <v/>
      </c>
      <c r="R3385">
        <f>IF(P3385="","",INDEX('Students'!$AD$2:$AD$701,P3385))</f>
        <v/>
      </c>
      <c r="S3385">
        <f>IF(H3385="OK",O3385,0)</f>
        <v/>
      </c>
      <c r="T3385">
        <f>IF(H3385="OK",N3385,"")</f>
        <v/>
      </c>
      <c r="U3385">
        <f>TRIM('Cash_Check'!C385)</f>
        <v/>
      </c>
    </row>
    <row r="3386">
      <c r="A3386" s="62">
        <f>IF(H3386="","",IF(ISNUMBER(N3386),N3386,I3386))</f>
        <v/>
      </c>
      <c r="B3386">
        <f>IF(H3386="","",U3386)</f>
        <v/>
      </c>
      <c r="C3386">
        <f>IF(H3386="","",IF(P3386="",K3386,INDEX('Students'!$A$2:$A$701,P3386)))</f>
        <v/>
      </c>
      <c r="D3386">
        <f>IF(OR(H3386="",P3386=""),"",INDEX('Students'!$B$2:$B$701,P3386))</f>
        <v/>
      </c>
      <c r="E3386">
        <f>IF(OR(H3386="",P3386=""),"",INDEX('Students'!$C$2:$C$701,P3386))</f>
        <v/>
      </c>
      <c r="F3386" s="48">
        <f>IF(H3386="","",IF(ISNUMBER(O3386),O3386,J3386))</f>
        <v/>
      </c>
      <c r="G3386">
        <f>IF(H3386="","",M3386)</f>
        <v/>
      </c>
      <c r="H3386">
        <f>IF(AND(I3386="",J3386="",K3386=""),"",IF(OR(NOT(ISNUMBER(O3386)),N(O3386)&lt;=0),"Bad amount",IF(NOT(ISNUMBER(N3386)),"Bad date",IF(P3386="","NAME NOT ON ROSTER","OK"))))</f>
        <v/>
      </c>
      <c r="I3386">
        <f>IF('Cash_Check'!A386="","",'Cash_Check'!A386)</f>
        <v/>
      </c>
      <c r="J3386">
        <f>IF('Cash_Check'!D386="","",'Cash_Check'!D386)</f>
        <v/>
      </c>
      <c r="K3386">
        <f>TRIM('Cash_Check'!B386)</f>
        <v/>
      </c>
      <c r="M3386">
        <f>IF(TRIM('Cash_Check'!E386)="","Cash/check",TRIM('Cash_Check'!E386))</f>
        <v/>
      </c>
      <c r="N3386">
        <f>IF(I3386="","",IF(ISNUMBER(I3386),INT(I3386),IFERROR(INT(DATEVALUE(I3386)),IFERROR(INT(VALUE(I3386)),"bad"))))</f>
        <v/>
      </c>
      <c r="O3386">
        <f>IF(J3386="","",IF(ISNUMBER(J3386),ROUND(J3386,2),IFERROR(ROUND(VALUE(SUBSTITUTE(SUBSTITUTE(SUBSTITUTE(J3386,"$",""),",","")," ","")),2),"bad")))</f>
        <v/>
      </c>
      <c r="P3386">
        <f>IF(K3386="","",IFERROR(MATCH(IF(ISNUMBER(FIND("#",K3386)),TRIM(MID(K3386,FIND("#",K3386)+1,20)),UPPER(K3386)),'Students'!$AD$2:$AD$701,0),""))</f>
        <v/>
      </c>
      <c r="R3386">
        <f>IF(P3386="","",INDEX('Students'!$AD$2:$AD$701,P3386))</f>
        <v/>
      </c>
      <c r="S3386">
        <f>IF(H3386="OK",O3386,0)</f>
        <v/>
      </c>
      <c r="T3386">
        <f>IF(H3386="OK",N3386,"")</f>
        <v/>
      </c>
      <c r="U3386">
        <f>TRIM('Cash_Check'!C386)</f>
        <v/>
      </c>
    </row>
    <row r="3387">
      <c r="A3387" s="62">
        <f>IF(H3387="","",IF(ISNUMBER(N3387),N3387,I3387))</f>
        <v/>
      </c>
      <c r="B3387">
        <f>IF(H3387="","",U3387)</f>
        <v/>
      </c>
      <c r="C3387">
        <f>IF(H3387="","",IF(P3387="",K3387,INDEX('Students'!$A$2:$A$701,P3387)))</f>
        <v/>
      </c>
      <c r="D3387">
        <f>IF(OR(H3387="",P3387=""),"",INDEX('Students'!$B$2:$B$701,P3387))</f>
        <v/>
      </c>
      <c r="E3387">
        <f>IF(OR(H3387="",P3387=""),"",INDEX('Students'!$C$2:$C$701,P3387))</f>
        <v/>
      </c>
      <c r="F3387" s="48">
        <f>IF(H3387="","",IF(ISNUMBER(O3387),O3387,J3387))</f>
        <v/>
      </c>
      <c r="G3387">
        <f>IF(H3387="","",M3387)</f>
        <v/>
      </c>
      <c r="H3387">
        <f>IF(AND(I3387="",J3387="",K3387=""),"",IF(OR(NOT(ISNUMBER(O3387)),N(O3387)&lt;=0),"Bad amount",IF(NOT(ISNUMBER(N3387)),"Bad date",IF(P3387="","NAME NOT ON ROSTER","OK"))))</f>
        <v/>
      </c>
      <c r="I3387">
        <f>IF('Cash_Check'!A387="","",'Cash_Check'!A387)</f>
        <v/>
      </c>
      <c r="J3387">
        <f>IF('Cash_Check'!D387="","",'Cash_Check'!D387)</f>
        <v/>
      </c>
      <c r="K3387">
        <f>TRIM('Cash_Check'!B387)</f>
        <v/>
      </c>
      <c r="M3387">
        <f>IF(TRIM('Cash_Check'!E387)="","Cash/check",TRIM('Cash_Check'!E387))</f>
        <v/>
      </c>
      <c r="N3387">
        <f>IF(I3387="","",IF(ISNUMBER(I3387),INT(I3387),IFERROR(INT(DATEVALUE(I3387)),IFERROR(INT(VALUE(I3387)),"bad"))))</f>
        <v/>
      </c>
      <c r="O3387">
        <f>IF(J3387="","",IF(ISNUMBER(J3387),ROUND(J3387,2),IFERROR(ROUND(VALUE(SUBSTITUTE(SUBSTITUTE(SUBSTITUTE(J3387,"$",""),",","")," ","")),2),"bad")))</f>
        <v/>
      </c>
      <c r="P3387">
        <f>IF(K3387="","",IFERROR(MATCH(IF(ISNUMBER(FIND("#",K3387)),TRIM(MID(K3387,FIND("#",K3387)+1,20)),UPPER(K3387)),'Students'!$AD$2:$AD$701,0),""))</f>
        <v/>
      </c>
      <c r="R3387">
        <f>IF(P3387="","",INDEX('Students'!$AD$2:$AD$701,P3387))</f>
        <v/>
      </c>
      <c r="S3387">
        <f>IF(H3387="OK",O3387,0)</f>
        <v/>
      </c>
      <c r="T3387">
        <f>IF(H3387="OK",N3387,"")</f>
        <v/>
      </c>
      <c r="U3387">
        <f>TRIM('Cash_Check'!C387)</f>
        <v/>
      </c>
    </row>
    <row r="3388">
      <c r="A3388" s="62">
        <f>IF(H3388="","",IF(ISNUMBER(N3388),N3388,I3388))</f>
        <v/>
      </c>
      <c r="B3388">
        <f>IF(H3388="","",U3388)</f>
        <v/>
      </c>
      <c r="C3388">
        <f>IF(H3388="","",IF(P3388="",K3388,INDEX('Students'!$A$2:$A$701,P3388)))</f>
        <v/>
      </c>
      <c r="D3388">
        <f>IF(OR(H3388="",P3388=""),"",INDEX('Students'!$B$2:$B$701,P3388))</f>
        <v/>
      </c>
      <c r="E3388">
        <f>IF(OR(H3388="",P3388=""),"",INDEX('Students'!$C$2:$C$701,P3388))</f>
        <v/>
      </c>
      <c r="F3388" s="48">
        <f>IF(H3388="","",IF(ISNUMBER(O3388),O3388,J3388))</f>
        <v/>
      </c>
      <c r="G3388">
        <f>IF(H3388="","",M3388)</f>
        <v/>
      </c>
      <c r="H3388">
        <f>IF(AND(I3388="",J3388="",K3388=""),"",IF(OR(NOT(ISNUMBER(O3388)),N(O3388)&lt;=0),"Bad amount",IF(NOT(ISNUMBER(N3388)),"Bad date",IF(P3388="","NAME NOT ON ROSTER","OK"))))</f>
        <v/>
      </c>
      <c r="I3388">
        <f>IF('Cash_Check'!A388="","",'Cash_Check'!A388)</f>
        <v/>
      </c>
      <c r="J3388">
        <f>IF('Cash_Check'!D388="","",'Cash_Check'!D388)</f>
        <v/>
      </c>
      <c r="K3388">
        <f>TRIM('Cash_Check'!B388)</f>
        <v/>
      </c>
      <c r="M3388">
        <f>IF(TRIM('Cash_Check'!E388)="","Cash/check",TRIM('Cash_Check'!E388))</f>
        <v/>
      </c>
      <c r="N3388">
        <f>IF(I3388="","",IF(ISNUMBER(I3388),INT(I3388),IFERROR(INT(DATEVALUE(I3388)),IFERROR(INT(VALUE(I3388)),"bad"))))</f>
        <v/>
      </c>
      <c r="O3388">
        <f>IF(J3388="","",IF(ISNUMBER(J3388),ROUND(J3388,2),IFERROR(ROUND(VALUE(SUBSTITUTE(SUBSTITUTE(SUBSTITUTE(J3388,"$",""),",","")," ","")),2),"bad")))</f>
        <v/>
      </c>
      <c r="P3388">
        <f>IF(K3388="","",IFERROR(MATCH(IF(ISNUMBER(FIND("#",K3388)),TRIM(MID(K3388,FIND("#",K3388)+1,20)),UPPER(K3388)),'Students'!$AD$2:$AD$701,0),""))</f>
        <v/>
      </c>
      <c r="R3388">
        <f>IF(P3388="","",INDEX('Students'!$AD$2:$AD$701,P3388))</f>
        <v/>
      </c>
      <c r="S3388">
        <f>IF(H3388="OK",O3388,0)</f>
        <v/>
      </c>
      <c r="T3388">
        <f>IF(H3388="OK",N3388,"")</f>
        <v/>
      </c>
      <c r="U3388">
        <f>TRIM('Cash_Check'!C388)</f>
        <v/>
      </c>
    </row>
    <row r="3389">
      <c r="A3389" s="62">
        <f>IF(H3389="","",IF(ISNUMBER(N3389),N3389,I3389))</f>
        <v/>
      </c>
      <c r="B3389">
        <f>IF(H3389="","",U3389)</f>
        <v/>
      </c>
      <c r="C3389">
        <f>IF(H3389="","",IF(P3389="",K3389,INDEX('Students'!$A$2:$A$701,P3389)))</f>
        <v/>
      </c>
      <c r="D3389">
        <f>IF(OR(H3389="",P3389=""),"",INDEX('Students'!$B$2:$B$701,P3389))</f>
        <v/>
      </c>
      <c r="E3389">
        <f>IF(OR(H3389="",P3389=""),"",INDEX('Students'!$C$2:$C$701,P3389))</f>
        <v/>
      </c>
      <c r="F3389" s="48">
        <f>IF(H3389="","",IF(ISNUMBER(O3389),O3389,J3389))</f>
        <v/>
      </c>
      <c r="G3389">
        <f>IF(H3389="","",M3389)</f>
        <v/>
      </c>
      <c r="H3389">
        <f>IF(AND(I3389="",J3389="",K3389=""),"",IF(OR(NOT(ISNUMBER(O3389)),N(O3389)&lt;=0),"Bad amount",IF(NOT(ISNUMBER(N3389)),"Bad date",IF(P3389="","NAME NOT ON ROSTER","OK"))))</f>
        <v/>
      </c>
      <c r="I3389">
        <f>IF('Cash_Check'!A389="","",'Cash_Check'!A389)</f>
        <v/>
      </c>
      <c r="J3389">
        <f>IF('Cash_Check'!D389="","",'Cash_Check'!D389)</f>
        <v/>
      </c>
      <c r="K3389">
        <f>TRIM('Cash_Check'!B389)</f>
        <v/>
      </c>
      <c r="M3389">
        <f>IF(TRIM('Cash_Check'!E389)="","Cash/check",TRIM('Cash_Check'!E389))</f>
        <v/>
      </c>
      <c r="N3389">
        <f>IF(I3389="","",IF(ISNUMBER(I3389),INT(I3389),IFERROR(INT(DATEVALUE(I3389)),IFERROR(INT(VALUE(I3389)),"bad"))))</f>
        <v/>
      </c>
      <c r="O3389">
        <f>IF(J3389="","",IF(ISNUMBER(J3389),ROUND(J3389,2),IFERROR(ROUND(VALUE(SUBSTITUTE(SUBSTITUTE(SUBSTITUTE(J3389,"$",""),",","")," ","")),2),"bad")))</f>
        <v/>
      </c>
      <c r="P3389">
        <f>IF(K3389="","",IFERROR(MATCH(IF(ISNUMBER(FIND("#",K3389)),TRIM(MID(K3389,FIND("#",K3389)+1,20)),UPPER(K3389)),'Students'!$AD$2:$AD$701,0),""))</f>
        <v/>
      </c>
      <c r="R3389">
        <f>IF(P3389="","",INDEX('Students'!$AD$2:$AD$701,P3389))</f>
        <v/>
      </c>
      <c r="S3389">
        <f>IF(H3389="OK",O3389,0)</f>
        <v/>
      </c>
      <c r="T3389">
        <f>IF(H3389="OK",N3389,"")</f>
        <v/>
      </c>
      <c r="U3389">
        <f>TRIM('Cash_Check'!C389)</f>
        <v/>
      </c>
    </row>
    <row r="3390">
      <c r="A3390" s="62">
        <f>IF(H3390="","",IF(ISNUMBER(N3390),N3390,I3390))</f>
        <v/>
      </c>
      <c r="B3390">
        <f>IF(H3390="","",U3390)</f>
        <v/>
      </c>
      <c r="C3390">
        <f>IF(H3390="","",IF(P3390="",K3390,INDEX('Students'!$A$2:$A$701,P3390)))</f>
        <v/>
      </c>
      <c r="D3390">
        <f>IF(OR(H3390="",P3390=""),"",INDEX('Students'!$B$2:$B$701,P3390))</f>
        <v/>
      </c>
      <c r="E3390">
        <f>IF(OR(H3390="",P3390=""),"",INDEX('Students'!$C$2:$C$701,P3390))</f>
        <v/>
      </c>
      <c r="F3390" s="48">
        <f>IF(H3390="","",IF(ISNUMBER(O3390),O3390,J3390))</f>
        <v/>
      </c>
      <c r="G3390">
        <f>IF(H3390="","",M3390)</f>
        <v/>
      </c>
      <c r="H3390">
        <f>IF(AND(I3390="",J3390="",K3390=""),"",IF(OR(NOT(ISNUMBER(O3390)),N(O3390)&lt;=0),"Bad amount",IF(NOT(ISNUMBER(N3390)),"Bad date",IF(P3390="","NAME NOT ON ROSTER","OK"))))</f>
        <v/>
      </c>
      <c r="I3390">
        <f>IF('Cash_Check'!A390="","",'Cash_Check'!A390)</f>
        <v/>
      </c>
      <c r="J3390">
        <f>IF('Cash_Check'!D390="","",'Cash_Check'!D390)</f>
        <v/>
      </c>
      <c r="K3390">
        <f>TRIM('Cash_Check'!B390)</f>
        <v/>
      </c>
      <c r="M3390">
        <f>IF(TRIM('Cash_Check'!E390)="","Cash/check",TRIM('Cash_Check'!E390))</f>
        <v/>
      </c>
      <c r="N3390">
        <f>IF(I3390="","",IF(ISNUMBER(I3390),INT(I3390),IFERROR(INT(DATEVALUE(I3390)),IFERROR(INT(VALUE(I3390)),"bad"))))</f>
        <v/>
      </c>
      <c r="O3390">
        <f>IF(J3390="","",IF(ISNUMBER(J3390),ROUND(J3390,2),IFERROR(ROUND(VALUE(SUBSTITUTE(SUBSTITUTE(SUBSTITUTE(J3390,"$",""),",","")," ","")),2),"bad")))</f>
        <v/>
      </c>
      <c r="P3390">
        <f>IF(K3390="","",IFERROR(MATCH(IF(ISNUMBER(FIND("#",K3390)),TRIM(MID(K3390,FIND("#",K3390)+1,20)),UPPER(K3390)),'Students'!$AD$2:$AD$701,0),""))</f>
        <v/>
      </c>
      <c r="R3390">
        <f>IF(P3390="","",INDEX('Students'!$AD$2:$AD$701,P3390))</f>
        <v/>
      </c>
      <c r="S3390">
        <f>IF(H3390="OK",O3390,0)</f>
        <v/>
      </c>
      <c r="T3390">
        <f>IF(H3390="OK",N3390,"")</f>
        <v/>
      </c>
      <c r="U3390">
        <f>TRIM('Cash_Check'!C390)</f>
        <v/>
      </c>
    </row>
    <row r="3391">
      <c r="A3391" s="62">
        <f>IF(H3391="","",IF(ISNUMBER(N3391),N3391,I3391))</f>
        <v/>
      </c>
      <c r="B3391">
        <f>IF(H3391="","",U3391)</f>
        <v/>
      </c>
      <c r="C3391">
        <f>IF(H3391="","",IF(P3391="",K3391,INDEX('Students'!$A$2:$A$701,P3391)))</f>
        <v/>
      </c>
      <c r="D3391">
        <f>IF(OR(H3391="",P3391=""),"",INDEX('Students'!$B$2:$B$701,P3391))</f>
        <v/>
      </c>
      <c r="E3391">
        <f>IF(OR(H3391="",P3391=""),"",INDEX('Students'!$C$2:$C$701,P3391))</f>
        <v/>
      </c>
      <c r="F3391" s="48">
        <f>IF(H3391="","",IF(ISNUMBER(O3391),O3391,J3391))</f>
        <v/>
      </c>
      <c r="G3391">
        <f>IF(H3391="","",M3391)</f>
        <v/>
      </c>
      <c r="H3391">
        <f>IF(AND(I3391="",J3391="",K3391=""),"",IF(OR(NOT(ISNUMBER(O3391)),N(O3391)&lt;=0),"Bad amount",IF(NOT(ISNUMBER(N3391)),"Bad date",IF(P3391="","NAME NOT ON ROSTER","OK"))))</f>
        <v/>
      </c>
      <c r="I3391">
        <f>IF('Cash_Check'!A391="","",'Cash_Check'!A391)</f>
        <v/>
      </c>
      <c r="J3391">
        <f>IF('Cash_Check'!D391="","",'Cash_Check'!D391)</f>
        <v/>
      </c>
      <c r="K3391">
        <f>TRIM('Cash_Check'!B391)</f>
        <v/>
      </c>
      <c r="M3391">
        <f>IF(TRIM('Cash_Check'!E391)="","Cash/check",TRIM('Cash_Check'!E391))</f>
        <v/>
      </c>
      <c r="N3391">
        <f>IF(I3391="","",IF(ISNUMBER(I3391),INT(I3391),IFERROR(INT(DATEVALUE(I3391)),IFERROR(INT(VALUE(I3391)),"bad"))))</f>
        <v/>
      </c>
      <c r="O3391">
        <f>IF(J3391="","",IF(ISNUMBER(J3391),ROUND(J3391,2),IFERROR(ROUND(VALUE(SUBSTITUTE(SUBSTITUTE(SUBSTITUTE(J3391,"$",""),",","")," ","")),2),"bad")))</f>
        <v/>
      </c>
      <c r="P3391">
        <f>IF(K3391="","",IFERROR(MATCH(IF(ISNUMBER(FIND("#",K3391)),TRIM(MID(K3391,FIND("#",K3391)+1,20)),UPPER(K3391)),'Students'!$AD$2:$AD$701,0),""))</f>
        <v/>
      </c>
      <c r="R3391">
        <f>IF(P3391="","",INDEX('Students'!$AD$2:$AD$701,P3391))</f>
        <v/>
      </c>
      <c r="S3391">
        <f>IF(H3391="OK",O3391,0)</f>
        <v/>
      </c>
      <c r="T3391">
        <f>IF(H3391="OK",N3391,"")</f>
        <v/>
      </c>
      <c r="U3391">
        <f>TRIM('Cash_Check'!C391)</f>
        <v/>
      </c>
    </row>
    <row r="3392">
      <c r="A3392" s="62">
        <f>IF(H3392="","",IF(ISNUMBER(N3392),N3392,I3392))</f>
        <v/>
      </c>
      <c r="B3392">
        <f>IF(H3392="","",U3392)</f>
        <v/>
      </c>
      <c r="C3392">
        <f>IF(H3392="","",IF(P3392="",K3392,INDEX('Students'!$A$2:$A$701,P3392)))</f>
        <v/>
      </c>
      <c r="D3392">
        <f>IF(OR(H3392="",P3392=""),"",INDEX('Students'!$B$2:$B$701,P3392))</f>
        <v/>
      </c>
      <c r="E3392">
        <f>IF(OR(H3392="",P3392=""),"",INDEX('Students'!$C$2:$C$701,P3392))</f>
        <v/>
      </c>
      <c r="F3392" s="48">
        <f>IF(H3392="","",IF(ISNUMBER(O3392),O3392,J3392))</f>
        <v/>
      </c>
      <c r="G3392">
        <f>IF(H3392="","",M3392)</f>
        <v/>
      </c>
      <c r="H3392">
        <f>IF(AND(I3392="",J3392="",K3392=""),"",IF(OR(NOT(ISNUMBER(O3392)),N(O3392)&lt;=0),"Bad amount",IF(NOT(ISNUMBER(N3392)),"Bad date",IF(P3392="","NAME NOT ON ROSTER","OK"))))</f>
        <v/>
      </c>
      <c r="I3392">
        <f>IF('Cash_Check'!A392="","",'Cash_Check'!A392)</f>
        <v/>
      </c>
      <c r="J3392">
        <f>IF('Cash_Check'!D392="","",'Cash_Check'!D392)</f>
        <v/>
      </c>
      <c r="K3392">
        <f>TRIM('Cash_Check'!B392)</f>
        <v/>
      </c>
      <c r="M3392">
        <f>IF(TRIM('Cash_Check'!E392)="","Cash/check",TRIM('Cash_Check'!E392))</f>
        <v/>
      </c>
      <c r="N3392">
        <f>IF(I3392="","",IF(ISNUMBER(I3392),INT(I3392),IFERROR(INT(DATEVALUE(I3392)),IFERROR(INT(VALUE(I3392)),"bad"))))</f>
        <v/>
      </c>
      <c r="O3392">
        <f>IF(J3392="","",IF(ISNUMBER(J3392),ROUND(J3392,2),IFERROR(ROUND(VALUE(SUBSTITUTE(SUBSTITUTE(SUBSTITUTE(J3392,"$",""),",","")," ","")),2),"bad")))</f>
        <v/>
      </c>
      <c r="P3392">
        <f>IF(K3392="","",IFERROR(MATCH(IF(ISNUMBER(FIND("#",K3392)),TRIM(MID(K3392,FIND("#",K3392)+1,20)),UPPER(K3392)),'Students'!$AD$2:$AD$701,0),""))</f>
        <v/>
      </c>
      <c r="R3392">
        <f>IF(P3392="","",INDEX('Students'!$AD$2:$AD$701,P3392))</f>
        <v/>
      </c>
      <c r="S3392">
        <f>IF(H3392="OK",O3392,0)</f>
        <v/>
      </c>
      <c r="T3392">
        <f>IF(H3392="OK",N3392,"")</f>
        <v/>
      </c>
      <c r="U3392">
        <f>TRIM('Cash_Check'!C392)</f>
        <v/>
      </c>
    </row>
    <row r="3393">
      <c r="A3393" s="62">
        <f>IF(H3393="","",IF(ISNUMBER(N3393),N3393,I3393))</f>
        <v/>
      </c>
      <c r="B3393">
        <f>IF(H3393="","",U3393)</f>
        <v/>
      </c>
      <c r="C3393">
        <f>IF(H3393="","",IF(P3393="",K3393,INDEX('Students'!$A$2:$A$701,P3393)))</f>
        <v/>
      </c>
      <c r="D3393">
        <f>IF(OR(H3393="",P3393=""),"",INDEX('Students'!$B$2:$B$701,P3393))</f>
        <v/>
      </c>
      <c r="E3393">
        <f>IF(OR(H3393="",P3393=""),"",INDEX('Students'!$C$2:$C$701,P3393))</f>
        <v/>
      </c>
      <c r="F3393" s="48">
        <f>IF(H3393="","",IF(ISNUMBER(O3393),O3393,J3393))</f>
        <v/>
      </c>
      <c r="G3393">
        <f>IF(H3393="","",M3393)</f>
        <v/>
      </c>
      <c r="H3393">
        <f>IF(AND(I3393="",J3393="",K3393=""),"",IF(OR(NOT(ISNUMBER(O3393)),N(O3393)&lt;=0),"Bad amount",IF(NOT(ISNUMBER(N3393)),"Bad date",IF(P3393="","NAME NOT ON ROSTER","OK"))))</f>
        <v/>
      </c>
      <c r="I3393">
        <f>IF('Cash_Check'!A393="","",'Cash_Check'!A393)</f>
        <v/>
      </c>
      <c r="J3393">
        <f>IF('Cash_Check'!D393="","",'Cash_Check'!D393)</f>
        <v/>
      </c>
      <c r="K3393">
        <f>TRIM('Cash_Check'!B393)</f>
        <v/>
      </c>
      <c r="M3393">
        <f>IF(TRIM('Cash_Check'!E393)="","Cash/check",TRIM('Cash_Check'!E393))</f>
        <v/>
      </c>
      <c r="N3393">
        <f>IF(I3393="","",IF(ISNUMBER(I3393),INT(I3393),IFERROR(INT(DATEVALUE(I3393)),IFERROR(INT(VALUE(I3393)),"bad"))))</f>
        <v/>
      </c>
      <c r="O3393">
        <f>IF(J3393="","",IF(ISNUMBER(J3393),ROUND(J3393,2),IFERROR(ROUND(VALUE(SUBSTITUTE(SUBSTITUTE(SUBSTITUTE(J3393,"$",""),",","")," ","")),2),"bad")))</f>
        <v/>
      </c>
      <c r="P3393">
        <f>IF(K3393="","",IFERROR(MATCH(IF(ISNUMBER(FIND("#",K3393)),TRIM(MID(K3393,FIND("#",K3393)+1,20)),UPPER(K3393)),'Students'!$AD$2:$AD$701,0),""))</f>
        <v/>
      </c>
      <c r="R3393">
        <f>IF(P3393="","",INDEX('Students'!$AD$2:$AD$701,P3393))</f>
        <v/>
      </c>
      <c r="S3393">
        <f>IF(H3393="OK",O3393,0)</f>
        <v/>
      </c>
      <c r="T3393">
        <f>IF(H3393="OK",N3393,"")</f>
        <v/>
      </c>
      <c r="U3393">
        <f>TRIM('Cash_Check'!C393)</f>
        <v/>
      </c>
    </row>
    <row r="3394">
      <c r="A3394" s="62">
        <f>IF(H3394="","",IF(ISNUMBER(N3394),N3394,I3394))</f>
        <v/>
      </c>
      <c r="B3394">
        <f>IF(H3394="","",U3394)</f>
        <v/>
      </c>
      <c r="C3394">
        <f>IF(H3394="","",IF(P3394="",K3394,INDEX('Students'!$A$2:$A$701,P3394)))</f>
        <v/>
      </c>
      <c r="D3394">
        <f>IF(OR(H3394="",P3394=""),"",INDEX('Students'!$B$2:$B$701,P3394))</f>
        <v/>
      </c>
      <c r="E3394">
        <f>IF(OR(H3394="",P3394=""),"",INDEX('Students'!$C$2:$C$701,P3394))</f>
        <v/>
      </c>
      <c r="F3394" s="48">
        <f>IF(H3394="","",IF(ISNUMBER(O3394),O3394,J3394))</f>
        <v/>
      </c>
      <c r="G3394">
        <f>IF(H3394="","",M3394)</f>
        <v/>
      </c>
      <c r="H3394">
        <f>IF(AND(I3394="",J3394="",K3394=""),"",IF(OR(NOT(ISNUMBER(O3394)),N(O3394)&lt;=0),"Bad amount",IF(NOT(ISNUMBER(N3394)),"Bad date",IF(P3394="","NAME NOT ON ROSTER","OK"))))</f>
        <v/>
      </c>
      <c r="I3394">
        <f>IF('Cash_Check'!A394="","",'Cash_Check'!A394)</f>
        <v/>
      </c>
      <c r="J3394">
        <f>IF('Cash_Check'!D394="","",'Cash_Check'!D394)</f>
        <v/>
      </c>
      <c r="K3394">
        <f>TRIM('Cash_Check'!B394)</f>
        <v/>
      </c>
      <c r="M3394">
        <f>IF(TRIM('Cash_Check'!E394)="","Cash/check",TRIM('Cash_Check'!E394))</f>
        <v/>
      </c>
      <c r="N3394">
        <f>IF(I3394="","",IF(ISNUMBER(I3394),INT(I3394),IFERROR(INT(DATEVALUE(I3394)),IFERROR(INT(VALUE(I3394)),"bad"))))</f>
        <v/>
      </c>
      <c r="O3394">
        <f>IF(J3394="","",IF(ISNUMBER(J3394),ROUND(J3394,2),IFERROR(ROUND(VALUE(SUBSTITUTE(SUBSTITUTE(SUBSTITUTE(J3394,"$",""),",","")," ","")),2),"bad")))</f>
        <v/>
      </c>
      <c r="P3394">
        <f>IF(K3394="","",IFERROR(MATCH(IF(ISNUMBER(FIND("#",K3394)),TRIM(MID(K3394,FIND("#",K3394)+1,20)),UPPER(K3394)),'Students'!$AD$2:$AD$701,0),""))</f>
        <v/>
      </c>
      <c r="R3394">
        <f>IF(P3394="","",INDEX('Students'!$AD$2:$AD$701,P3394))</f>
        <v/>
      </c>
      <c r="S3394">
        <f>IF(H3394="OK",O3394,0)</f>
        <v/>
      </c>
      <c r="T3394">
        <f>IF(H3394="OK",N3394,"")</f>
        <v/>
      </c>
      <c r="U3394">
        <f>TRIM('Cash_Check'!C394)</f>
        <v/>
      </c>
    </row>
    <row r="3395">
      <c r="A3395" s="62">
        <f>IF(H3395="","",IF(ISNUMBER(N3395),N3395,I3395))</f>
        <v/>
      </c>
      <c r="B3395">
        <f>IF(H3395="","",U3395)</f>
        <v/>
      </c>
      <c r="C3395">
        <f>IF(H3395="","",IF(P3395="",K3395,INDEX('Students'!$A$2:$A$701,P3395)))</f>
        <v/>
      </c>
      <c r="D3395">
        <f>IF(OR(H3395="",P3395=""),"",INDEX('Students'!$B$2:$B$701,P3395))</f>
        <v/>
      </c>
      <c r="E3395">
        <f>IF(OR(H3395="",P3395=""),"",INDEX('Students'!$C$2:$C$701,P3395))</f>
        <v/>
      </c>
      <c r="F3395" s="48">
        <f>IF(H3395="","",IF(ISNUMBER(O3395),O3395,J3395))</f>
        <v/>
      </c>
      <c r="G3395">
        <f>IF(H3395="","",M3395)</f>
        <v/>
      </c>
      <c r="H3395">
        <f>IF(AND(I3395="",J3395="",K3395=""),"",IF(OR(NOT(ISNUMBER(O3395)),N(O3395)&lt;=0),"Bad amount",IF(NOT(ISNUMBER(N3395)),"Bad date",IF(P3395="","NAME NOT ON ROSTER","OK"))))</f>
        <v/>
      </c>
      <c r="I3395">
        <f>IF('Cash_Check'!A395="","",'Cash_Check'!A395)</f>
        <v/>
      </c>
      <c r="J3395">
        <f>IF('Cash_Check'!D395="","",'Cash_Check'!D395)</f>
        <v/>
      </c>
      <c r="K3395">
        <f>TRIM('Cash_Check'!B395)</f>
        <v/>
      </c>
      <c r="M3395">
        <f>IF(TRIM('Cash_Check'!E395)="","Cash/check",TRIM('Cash_Check'!E395))</f>
        <v/>
      </c>
      <c r="N3395">
        <f>IF(I3395="","",IF(ISNUMBER(I3395),INT(I3395),IFERROR(INT(DATEVALUE(I3395)),IFERROR(INT(VALUE(I3395)),"bad"))))</f>
        <v/>
      </c>
      <c r="O3395">
        <f>IF(J3395="","",IF(ISNUMBER(J3395),ROUND(J3395,2),IFERROR(ROUND(VALUE(SUBSTITUTE(SUBSTITUTE(SUBSTITUTE(J3395,"$",""),",","")," ","")),2),"bad")))</f>
        <v/>
      </c>
      <c r="P3395">
        <f>IF(K3395="","",IFERROR(MATCH(IF(ISNUMBER(FIND("#",K3395)),TRIM(MID(K3395,FIND("#",K3395)+1,20)),UPPER(K3395)),'Students'!$AD$2:$AD$701,0),""))</f>
        <v/>
      </c>
      <c r="R3395">
        <f>IF(P3395="","",INDEX('Students'!$AD$2:$AD$701,P3395))</f>
        <v/>
      </c>
      <c r="S3395">
        <f>IF(H3395="OK",O3395,0)</f>
        <v/>
      </c>
      <c r="T3395">
        <f>IF(H3395="OK",N3395,"")</f>
        <v/>
      </c>
      <c r="U3395">
        <f>TRIM('Cash_Check'!C395)</f>
        <v/>
      </c>
    </row>
    <row r="3396">
      <c r="A3396" s="62">
        <f>IF(H3396="","",IF(ISNUMBER(N3396),N3396,I3396))</f>
        <v/>
      </c>
      <c r="B3396">
        <f>IF(H3396="","",U3396)</f>
        <v/>
      </c>
      <c r="C3396">
        <f>IF(H3396="","",IF(P3396="",K3396,INDEX('Students'!$A$2:$A$701,P3396)))</f>
        <v/>
      </c>
      <c r="D3396">
        <f>IF(OR(H3396="",P3396=""),"",INDEX('Students'!$B$2:$B$701,P3396))</f>
        <v/>
      </c>
      <c r="E3396">
        <f>IF(OR(H3396="",P3396=""),"",INDEX('Students'!$C$2:$C$701,P3396))</f>
        <v/>
      </c>
      <c r="F3396" s="48">
        <f>IF(H3396="","",IF(ISNUMBER(O3396),O3396,J3396))</f>
        <v/>
      </c>
      <c r="G3396">
        <f>IF(H3396="","",M3396)</f>
        <v/>
      </c>
      <c r="H3396">
        <f>IF(AND(I3396="",J3396="",K3396=""),"",IF(OR(NOT(ISNUMBER(O3396)),N(O3396)&lt;=0),"Bad amount",IF(NOT(ISNUMBER(N3396)),"Bad date",IF(P3396="","NAME NOT ON ROSTER","OK"))))</f>
        <v/>
      </c>
      <c r="I3396">
        <f>IF('Cash_Check'!A396="","",'Cash_Check'!A396)</f>
        <v/>
      </c>
      <c r="J3396">
        <f>IF('Cash_Check'!D396="","",'Cash_Check'!D396)</f>
        <v/>
      </c>
      <c r="K3396">
        <f>TRIM('Cash_Check'!B396)</f>
        <v/>
      </c>
      <c r="M3396">
        <f>IF(TRIM('Cash_Check'!E396)="","Cash/check",TRIM('Cash_Check'!E396))</f>
        <v/>
      </c>
      <c r="N3396">
        <f>IF(I3396="","",IF(ISNUMBER(I3396),INT(I3396),IFERROR(INT(DATEVALUE(I3396)),IFERROR(INT(VALUE(I3396)),"bad"))))</f>
        <v/>
      </c>
      <c r="O3396">
        <f>IF(J3396="","",IF(ISNUMBER(J3396),ROUND(J3396,2),IFERROR(ROUND(VALUE(SUBSTITUTE(SUBSTITUTE(SUBSTITUTE(J3396,"$",""),",","")," ","")),2),"bad")))</f>
        <v/>
      </c>
      <c r="P3396">
        <f>IF(K3396="","",IFERROR(MATCH(IF(ISNUMBER(FIND("#",K3396)),TRIM(MID(K3396,FIND("#",K3396)+1,20)),UPPER(K3396)),'Students'!$AD$2:$AD$701,0),""))</f>
        <v/>
      </c>
      <c r="R3396">
        <f>IF(P3396="","",INDEX('Students'!$AD$2:$AD$701,P3396))</f>
        <v/>
      </c>
      <c r="S3396">
        <f>IF(H3396="OK",O3396,0)</f>
        <v/>
      </c>
      <c r="T3396">
        <f>IF(H3396="OK",N3396,"")</f>
        <v/>
      </c>
      <c r="U3396">
        <f>TRIM('Cash_Check'!C396)</f>
        <v/>
      </c>
    </row>
    <row r="3397">
      <c r="A3397" s="62">
        <f>IF(H3397="","",IF(ISNUMBER(N3397),N3397,I3397))</f>
        <v/>
      </c>
      <c r="B3397">
        <f>IF(H3397="","",U3397)</f>
        <v/>
      </c>
      <c r="C3397">
        <f>IF(H3397="","",IF(P3397="",K3397,INDEX('Students'!$A$2:$A$701,P3397)))</f>
        <v/>
      </c>
      <c r="D3397">
        <f>IF(OR(H3397="",P3397=""),"",INDEX('Students'!$B$2:$B$701,P3397))</f>
        <v/>
      </c>
      <c r="E3397">
        <f>IF(OR(H3397="",P3397=""),"",INDEX('Students'!$C$2:$C$701,P3397))</f>
        <v/>
      </c>
      <c r="F3397" s="48">
        <f>IF(H3397="","",IF(ISNUMBER(O3397),O3397,J3397))</f>
        <v/>
      </c>
      <c r="G3397">
        <f>IF(H3397="","",M3397)</f>
        <v/>
      </c>
      <c r="H3397">
        <f>IF(AND(I3397="",J3397="",K3397=""),"",IF(OR(NOT(ISNUMBER(O3397)),N(O3397)&lt;=0),"Bad amount",IF(NOT(ISNUMBER(N3397)),"Bad date",IF(P3397="","NAME NOT ON ROSTER","OK"))))</f>
        <v/>
      </c>
      <c r="I3397">
        <f>IF('Cash_Check'!A397="","",'Cash_Check'!A397)</f>
        <v/>
      </c>
      <c r="J3397">
        <f>IF('Cash_Check'!D397="","",'Cash_Check'!D397)</f>
        <v/>
      </c>
      <c r="K3397">
        <f>TRIM('Cash_Check'!B397)</f>
        <v/>
      </c>
      <c r="M3397">
        <f>IF(TRIM('Cash_Check'!E397)="","Cash/check",TRIM('Cash_Check'!E397))</f>
        <v/>
      </c>
      <c r="N3397">
        <f>IF(I3397="","",IF(ISNUMBER(I3397),INT(I3397),IFERROR(INT(DATEVALUE(I3397)),IFERROR(INT(VALUE(I3397)),"bad"))))</f>
        <v/>
      </c>
      <c r="O3397">
        <f>IF(J3397="","",IF(ISNUMBER(J3397),ROUND(J3397,2),IFERROR(ROUND(VALUE(SUBSTITUTE(SUBSTITUTE(SUBSTITUTE(J3397,"$",""),",","")," ","")),2),"bad")))</f>
        <v/>
      </c>
      <c r="P3397">
        <f>IF(K3397="","",IFERROR(MATCH(IF(ISNUMBER(FIND("#",K3397)),TRIM(MID(K3397,FIND("#",K3397)+1,20)),UPPER(K3397)),'Students'!$AD$2:$AD$701,0),""))</f>
        <v/>
      </c>
      <c r="R3397">
        <f>IF(P3397="","",INDEX('Students'!$AD$2:$AD$701,P3397))</f>
        <v/>
      </c>
      <c r="S3397">
        <f>IF(H3397="OK",O3397,0)</f>
        <v/>
      </c>
      <c r="T3397">
        <f>IF(H3397="OK",N3397,"")</f>
        <v/>
      </c>
      <c r="U3397">
        <f>TRIM('Cash_Check'!C397)</f>
        <v/>
      </c>
    </row>
    <row r="3398">
      <c r="A3398" s="62">
        <f>IF(H3398="","",IF(ISNUMBER(N3398),N3398,I3398))</f>
        <v/>
      </c>
      <c r="B3398">
        <f>IF(H3398="","",U3398)</f>
        <v/>
      </c>
      <c r="C3398">
        <f>IF(H3398="","",IF(P3398="",K3398,INDEX('Students'!$A$2:$A$701,P3398)))</f>
        <v/>
      </c>
      <c r="D3398">
        <f>IF(OR(H3398="",P3398=""),"",INDEX('Students'!$B$2:$B$701,P3398))</f>
        <v/>
      </c>
      <c r="E3398">
        <f>IF(OR(H3398="",P3398=""),"",INDEX('Students'!$C$2:$C$701,P3398))</f>
        <v/>
      </c>
      <c r="F3398" s="48">
        <f>IF(H3398="","",IF(ISNUMBER(O3398),O3398,J3398))</f>
        <v/>
      </c>
      <c r="G3398">
        <f>IF(H3398="","",M3398)</f>
        <v/>
      </c>
      <c r="H3398">
        <f>IF(AND(I3398="",J3398="",K3398=""),"",IF(OR(NOT(ISNUMBER(O3398)),N(O3398)&lt;=0),"Bad amount",IF(NOT(ISNUMBER(N3398)),"Bad date",IF(P3398="","NAME NOT ON ROSTER","OK"))))</f>
        <v/>
      </c>
      <c r="I3398">
        <f>IF('Cash_Check'!A398="","",'Cash_Check'!A398)</f>
        <v/>
      </c>
      <c r="J3398">
        <f>IF('Cash_Check'!D398="","",'Cash_Check'!D398)</f>
        <v/>
      </c>
      <c r="K3398">
        <f>TRIM('Cash_Check'!B398)</f>
        <v/>
      </c>
      <c r="M3398">
        <f>IF(TRIM('Cash_Check'!E398)="","Cash/check",TRIM('Cash_Check'!E398))</f>
        <v/>
      </c>
      <c r="N3398">
        <f>IF(I3398="","",IF(ISNUMBER(I3398),INT(I3398),IFERROR(INT(DATEVALUE(I3398)),IFERROR(INT(VALUE(I3398)),"bad"))))</f>
        <v/>
      </c>
      <c r="O3398">
        <f>IF(J3398="","",IF(ISNUMBER(J3398),ROUND(J3398,2),IFERROR(ROUND(VALUE(SUBSTITUTE(SUBSTITUTE(SUBSTITUTE(J3398,"$",""),",","")," ","")),2),"bad")))</f>
        <v/>
      </c>
      <c r="P3398">
        <f>IF(K3398="","",IFERROR(MATCH(IF(ISNUMBER(FIND("#",K3398)),TRIM(MID(K3398,FIND("#",K3398)+1,20)),UPPER(K3398)),'Students'!$AD$2:$AD$701,0),""))</f>
        <v/>
      </c>
      <c r="R3398">
        <f>IF(P3398="","",INDEX('Students'!$AD$2:$AD$701,P3398))</f>
        <v/>
      </c>
      <c r="S3398">
        <f>IF(H3398="OK",O3398,0)</f>
        <v/>
      </c>
      <c r="T3398">
        <f>IF(H3398="OK",N3398,"")</f>
        <v/>
      </c>
      <c r="U3398">
        <f>TRIM('Cash_Check'!C398)</f>
        <v/>
      </c>
    </row>
    <row r="3399">
      <c r="A3399" s="62">
        <f>IF(H3399="","",IF(ISNUMBER(N3399),N3399,I3399))</f>
        <v/>
      </c>
      <c r="B3399">
        <f>IF(H3399="","",U3399)</f>
        <v/>
      </c>
      <c r="C3399">
        <f>IF(H3399="","",IF(P3399="",K3399,INDEX('Students'!$A$2:$A$701,P3399)))</f>
        <v/>
      </c>
      <c r="D3399">
        <f>IF(OR(H3399="",P3399=""),"",INDEX('Students'!$B$2:$B$701,P3399))</f>
        <v/>
      </c>
      <c r="E3399">
        <f>IF(OR(H3399="",P3399=""),"",INDEX('Students'!$C$2:$C$701,P3399))</f>
        <v/>
      </c>
      <c r="F3399" s="48">
        <f>IF(H3399="","",IF(ISNUMBER(O3399),O3399,J3399))</f>
        <v/>
      </c>
      <c r="G3399">
        <f>IF(H3399="","",M3399)</f>
        <v/>
      </c>
      <c r="H3399">
        <f>IF(AND(I3399="",J3399="",K3399=""),"",IF(OR(NOT(ISNUMBER(O3399)),N(O3399)&lt;=0),"Bad amount",IF(NOT(ISNUMBER(N3399)),"Bad date",IF(P3399="","NAME NOT ON ROSTER","OK"))))</f>
        <v/>
      </c>
      <c r="I3399">
        <f>IF('Cash_Check'!A399="","",'Cash_Check'!A399)</f>
        <v/>
      </c>
      <c r="J3399">
        <f>IF('Cash_Check'!D399="","",'Cash_Check'!D399)</f>
        <v/>
      </c>
      <c r="K3399">
        <f>TRIM('Cash_Check'!B399)</f>
        <v/>
      </c>
      <c r="M3399">
        <f>IF(TRIM('Cash_Check'!E399)="","Cash/check",TRIM('Cash_Check'!E399))</f>
        <v/>
      </c>
      <c r="N3399">
        <f>IF(I3399="","",IF(ISNUMBER(I3399),INT(I3399),IFERROR(INT(DATEVALUE(I3399)),IFERROR(INT(VALUE(I3399)),"bad"))))</f>
        <v/>
      </c>
      <c r="O3399">
        <f>IF(J3399="","",IF(ISNUMBER(J3399),ROUND(J3399,2),IFERROR(ROUND(VALUE(SUBSTITUTE(SUBSTITUTE(SUBSTITUTE(J3399,"$",""),",","")," ","")),2),"bad")))</f>
        <v/>
      </c>
      <c r="P3399">
        <f>IF(K3399="","",IFERROR(MATCH(IF(ISNUMBER(FIND("#",K3399)),TRIM(MID(K3399,FIND("#",K3399)+1,20)),UPPER(K3399)),'Students'!$AD$2:$AD$701,0),""))</f>
        <v/>
      </c>
      <c r="R3399">
        <f>IF(P3399="","",INDEX('Students'!$AD$2:$AD$701,P3399))</f>
        <v/>
      </c>
      <c r="S3399">
        <f>IF(H3399="OK",O3399,0)</f>
        <v/>
      </c>
      <c r="T3399">
        <f>IF(H3399="OK",N3399,"")</f>
        <v/>
      </c>
      <c r="U3399">
        <f>TRIM('Cash_Check'!C399)</f>
        <v/>
      </c>
    </row>
    <row r="3400">
      <c r="A3400" s="62">
        <f>IF(H3400="","",IF(ISNUMBER(N3400),N3400,I3400))</f>
        <v/>
      </c>
      <c r="B3400">
        <f>IF(H3400="","",U3400)</f>
        <v/>
      </c>
      <c r="C3400">
        <f>IF(H3400="","",IF(P3400="",K3400,INDEX('Students'!$A$2:$A$701,P3400)))</f>
        <v/>
      </c>
      <c r="D3400">
        <f>IF(OR(H3400="",P3400=""),"",INDEX('Students'!$B$2:$B$701,P3400))</f>
        <v/>
      </c>
      <c r="E3400">
        <f>IF(OR(H3400="",P3400=""),"",INDEX('Students'!$C$2:$C$701,P3400))</f>
        <v/>
      </c>
      <c r="F3400" s="48">
        <f>IF(H3400="","",IF(ISNUMBER(O3400),O3400,J3400))</f>
        <v/>
      </c>
      <c r="G3400">
        <f>IF(H3400="","",M3400)</f>
        <v/>
      </c>
      <c r="H3400">
        <f>IF(AND(I3400="",J3400="",K3400=""),"",IF(OR(NOT(ISNUMBER(O3400)),N(O3400)&lt;=0),"Bad amount",IF(NOT(ISNUMBER(N3400)),"Bad date",IF(P3400="","NAME NOT ON ROSTER","OK"))))</f>
        <v/>
      </c>
      <c r="I3400">
        <f>IF('Cash_Check'!A400="","",'Cash_Check'!A400)</f>
        <v/>
      </c>
      <c r="J3400">
        <f>IF('Cash_Check'!D400="","",'Cash_Check'!D400)</f>
        <v/>
      </c>
      <c r="K3400">
        <f>TRIM('Cash_Check'!B400)</f>
        <v/>
      </c>
      <c r="M3400">
        <f>IF(TRIM('Cash_Check'!E400)="","Cash/check",TRIM('Cash_Check'!E400))</f>
        <v/>
      </c>
      <c r="N3400">
        <f>IF(I3400="","",IF(ISNUMBER(I3400),INT(I3400),IFERROR(INT(DATEVALUE(I3400)),IFERROR(INT(VALUE(I3400)),"bad"))))</f>
        <v/>
      </c>
      <c r="O3400">
        <f>IF(J3400="","",IF(ISNUMBER(J3400),ROUND(J3400,2),IFERROR(ROUND(VALUE(SUBSTITUTE(SUBSTITUTE(SUBSTITUTE(J3400,"$",""),",","")," ","")),2),"bad")))</f>
        <v/>
      </c>
      <c r="P3400">
        <f>IF(K3400="","",IFERROR(MATCH(IF(ISNUMBER(FIND("#",K3400)),TRIM(MID(K3400,FIND("#",K3400)+1,20)),UPPER(K3400)),'Students'!$AD$2:$AD$701,0),""))</f>
        <v/>
      </c>
      <c r="R3400">
        <f>IF(P3400="","",INDEX('Students'!$AD$2:$AD$701,P3400))</f>
        <v/>
      </c>
      <c r="S3400">
        <f>IF(H3400="OK",O3400,0)</f>
        <v/>
      </c>
      <c r="T3400">
        <f>IF(H3400="OK",N3400,"")</f>
        <v/>
      </c>
      <c r="U3400">
        <f>TRIM('Cash_Check'!C400)</f>
        <v/>
      </c>
    </row>
    <row r="3401">
      <c r="A3401" s="62">
        <f>IF(H3401="","",IF(ISNUMBER(N3401),N3401,I3401))</f>
        <v/>
      </c>
      <c r="B3401">
        <f>IF(H3401="","",U3401)</f>
        <v/>
      </c>
      <c r="C3401">
        <f>IF(H3401="","",IF(P3401="",K3401,INDEX('Students'!$A$2:$A$701,P3401)))</f>
        <v/>
      </c>
      <c r="D3401">
        <f>IF(OR(H3401="",P3401=""),"",INDEX('Students'!$B$2:$B$701,P3401))</f>
        <v/>
      </c>
      <c r="E3401">
        <f>IF(OR(H3401="",P3401=""),"",INDEX('Students'!$C$2:$C$701,P3401))</f>
        <v/>
      </c>
      <c r="F3401" s="48">
        <f>IF(H3401="","",IF(ISNUMBER(O3401),O3401,J3401))</f>
        <v/>
      </c>
      <c r="G3401">
        <f>IF(H3401="","",M3401)</f>
        <v/>
      </c>
      <c r="H3401">
        <f>IF(AND(I3401="",J3401="",K3401=""),"",IF(OR(NOT(ISNUMBER(O3401)),N(O3401)&lt;=0),"Bad amount",IF(NOT(ISNUMBER(N3401)),"Bad date",IF(P3401="","NAME NOT ON ROSTER","OK"))))</f>
        <v/>
      </c>
      <c r="I3401">
        <f>IF('Cash_Check'!A401="","",'Cash_Check'!A401)</f>
        <v/>
      </c>
      <c r="J3401">
        <f>IF('Cash_Check'!D401="","",'Cash_Check'!D401)</f>
        <v/>
      </c>
      <c r="K3401">
        <f>TRIM('Cash_Check'!B401)</f>
        <v/>
      </c>
      <c r="M3401">
        <f>IF(TRIM('Cash_Check'!E401)="","Cash/check",TRIM('Cash_Check'!E401))</f>
        <v/>
      </c>
      <c r="N3401">
        <f>IF(I3401="","",IF(ISNUMBER(I3401),INT(I3401),IFERROR(INT(DATEVALUE(I3401)),IFERROR(INT(VALUE(I3401)),"bad"))))</f>
        <v/>
      </c>
      <c r="O3401">
        <f>IF(J3401="","",IF(ISNUMBER(J3401),ROUND(J3401,2),IFERROR(ROUND(VALUE(SUBSTITUTE(SUBSTITUTE(SUBSTITUTE(J3401,"$",""),",","")," ","")),2),"bad")))</f>
        <v/>
      </c>
      <c r="P3401">
        <f>IF(K3401="","",IFERROR(MATCH(IF(ISNUMBER(FIND("#",K3401)),TRIM(MID(K3401,FIND("#",K3401)+1,20)),UPPER(K3401)),'Students'!$AD$2:$AD$701,0),""))</f>
        <v/>
      </c>
      <c r="R3401">
        <f>IF(P3401="","",INDEX('Students'!$AD$2:$AD$701,P3401))</f>
        <v/>
      </c>
      <c r="S3401">
        <f>IF(H3401="OK",O3401,0)</f>
        <v/>
      </c>
      <c r="T3401">
        <f>IF(H3401="OK",N3401,"")</f>
        <v/>
      </c>
      <c r="U3401">
        <f>TRIM('Cash_Check'!C401)</f>
        <v/>
      </c>
    </row>
    <row r="3402">
      <c r="A3402" s="62">
        <f>IF(H3402="","",IF(ISNUMBER(N3402),N3402,I3402))</f>
        <v/>
      </c>
      <c r="B3402">
        <f>IF(H3402="","",U3402)</f>
        <v/>
      </c>
      <c r="C3402">
        <f>IF(H3402="","",IF(P3402="",K3402,INDEX('Students'!$A$2:$A$701,P3402)))</f>
        <v/>
      </c>
      <c r="D3402">
        <f>IF(OR(H3402="",P3402=""),"",INDEX('Students'!$B$2:$B$701,P3402))</f>
        <v/>
      </c>
      <c r="E3402">
        <f>IF(OR(H3402="",P3402=""),"",INDEX('Students'!$C$2:$C$701,P3402))</f>
        <v/>
      </c>
      <c r="F3402" s="48">
        <f>IF(H3402="","",IF(ISNUMBER(O3402),O3402,J3402))</f>
        <v/>
      </c>
      <c r="G3402">
        <f>IF(H3402="","",M3402)</f>
        <v/>
      </c>
      <c r="H3402">
        <f>IF(AND(I3402="",J3402="",K3402=""),"",IF(OR(NOT(ISNUMBER(O3402)),N(O3402)&lt;=0),"Bad amount",IF(NOT(ISNUMBER(N3402)),"Bad date",IF(P3402="","NAME NOT ON ROSTER","OK"))))</f>
        <v/>
      </c>
      <c r="I3402">
        <f>IF('Cash_Check'!A402="","",'Cash_Check'!A402)</f>
        <v/>
      </c>
      <c r="J3402">
        <f>IF('Cash_Check'!D402="","",'Cash_Check'!D402)</f>
        <v/>
      </c>
      <c r="K3402">
        <f>TRIM('Cash_Check'!B402)</f>
        <v/>
      </c>
      <c r="M3402">
        <f>IF(TRIM('Cash_Check'!E402)="","Cash/check",TRIM('Cash_Check'!E402))</f>
        <v/>
      </c>
      <c r="N3402">
        <f>IF(I3402="","",IF(ISNUMBER(I3402),INT(I3402),IFERROR(INT(DATEVALUE(I3402)),IFERROR(INT(VALUE(I3402)),"bad"))))</f>
        <v/>
      </c>
      <c r="O3402">
        <f>IF(J3402="","",IF(ISNUMBER(J3402),ROUND(J3402,2),IFERROR(ROUND(VALUE(SUBSTITUTE(SUBSTITUTE(SUBSTITUTE(J3402,"$",""),",","")," ","")),2),"bad")))</f>
        <v/>
      </c>
      <c r="P3402">
        <f>IF(K3402="","",IFERROR(MATCH(IF(ISNUMBER(FIND("#",K3402)),TRIM(MID(K3402,FIND("#",K3402)+1,20)),UPPER(K3402)),'Students'!$AD$2:$AD$701,0),""))</f>
        <v/>
      </c>
      <c r="R3402">
        <f>IF(P3402="","",INDEX('Students'!$AD$2:$AD$701,P3402))</f>
        <v/>
      </c>
      <c r="S3402">
        <f>IF(H3402="OK",O3402,0)</f>
        <v/>
      </c>
      <c r="T3402">
        <f>IF(H3402="OK",N3402,"")</f>
        <v/>
      </c>
      <c r="U3402">
        <f>TRIM('Cash_Check'!C402)</f>
        <v/>
      </c>
    </row>
    <row r="3403">
      <c r="A3403" s="62">
        <f>IF(H3403="","",IF(ISNUMBER(N3403),N3403,I3403))</f>
        <v/>
      </c>
      <c r="B3403">
        <f>IF(H3403="","",U3403)</f>
        <v/>
      </c>
      <c r="C3403">
        <f>IF(H3403="","",IF(P3403="",K3403,INDEX('Students'!$A$2:$A$701,P3403)))</f>
        <v/>
      </c>
      <c r="D3403">
        <f>IF(OR(H3403="",P3403=""),"",INDEX('Students'!$B$2:$B$701,P3403))</f>
        <v/>
      </c>
      <c r="E3403">
        <f>IF(OR(H3403="",P3403=""),"",INDEX('Students'!$C$2:$C$701,P3403))</f>
        <v/>
      </c>
      <c r="F3403" s="48">
        <f>IF(H3403="","",IF(ISNUMBER(O3403),O3403,J3403))</f>
        <v/>
      </c>
      <c r="G3403">
        <f>IF(H3403="","",M3403)</f>
        <v/>
      </c>
      <c r="H3403">
        <f>IF(AND(I3403="",J3403="",K3403=""),"",IF(OR(NOT(ISNUMBER(O3403)),N(O3403)&lt;=0),"Bad amount",IF(NOT(ISNUMBER(N3403)),"Bad date",IF(P3403="","NAME NOT ON ROSTER","OK"))))</f>
        <v/>
      </c>
      <c r="I3403">
        <f>IF('Cash_Check'!A403="","",'Cash_Check'!A403)</f>
        <v/>
      </c>
      <c r="J3403">
        <f>IF('Cash_Check'!D403="","",'Cash_Check'!D403)</f>
        <v/>
      </c>
      <c r="K3403">
        <f>TRIM('Cash_Check'!B403)</f>
        <v/>
      </c>
      <c r="M3403">
        <f>IF(TRIM('Cash_Check'!E403)="","Cash/check",TRIM('Cash_Check'!E403))</f>
        <v/>
      </c>
      <c r="N3403">
        <f>IF(I3403="","",IF(ISNUMBER(I3403),INT(I3403),IFERROR(INT(DATEVALUE(I3403)),IFERROR(INT(VALUE(I3403)),"bad"))))</f>
        <v/>
      </c>
      <c r="O3403">
        <f>IF(J3403="","",IF(ISNUMBER(J3403),ROUND(J3403,2),IFERROR(ROUND(VALUE(SUBSTITUTE(SUBSTITUTE(SUBSTITUTE(J3403,"$",""),",","")," ","")),2),"bad")))</f>
        <v/>
      </c>
      <c r="P3403">
        <f>IF(K3403="","",IFERROR(MATCH(IF(ISNUMBER(FIND("#",K3403)),TRIM(MID(K3403,FIND("#",K3403)+1,20)),UPPER(K3403)),'Students'!$AD$2:$AD$701,0),""))</f>
        <v/>
      </c>
      <c r="R3403">
        <f>IF(P3403="","",INDEX('Students'!$AD$2:$AD$701,P3403))</f>
        <v/>
      </c>
      <c r="S3403">
        <f>IF(H3403="OK",O3403,0)</f>
        <v/>
      </c>
      <c r="T3403">
        <f>IF(H3403="OK",N3403,"")</f>
        <v/>
      </c>
      <c r="U3403">
        <f>TRIM('Cash_Check'!C403)</f>
        <v/>
      </c>
    </row>
    <row r="3404">
      <c r="A3404" s="62">
        <f>IF(H3404="","",IF(ISNUMBER(N3404),N3404,I3404))</f>
        <v/>
      </c>
      <c r="B3404">
        <f>IF(H3404="","",U3404)</f>
        <v/>
      </c>
      <c r="C3404">
        <f>IF(H3404="","",IF(P3404="",K3404,INDEX('Students'!$A$2:$A$701,P3404)))</f>
        <v/>
      </c>
      <c r="D3404">
        <f>IF(OR(H3404="",P3404=""),"",INDEX('Students'!$B$2:$B$701,P3404))</f>
        <v/>
      </c>
      <c r="E3404">
        <f>IF(OR(H3404="",P3404=""),"",INDEX('Students'!$C$2:$C$701,P3404))</f>
        <v/>
      </c>
      <c r="F3404" s="48">
        <f>IF(H3404="","",IF(ISNUMBER(O3404),O3404,J3404))</f>
        <v/>
      </c>
      <c r="G3404">
        <f>IF(H3404="","",M3404)</f>
        <v/>
      </c>
      <c r="H3404">
        <f>IF(AND(I3404="",J3404="",K3404=""),"",IF(OR(NOT(ISNUMBER(O3404)),N(O3404)&lt;=0),"Bad amount",IF(NOT(ISNUMBER(N3404)),"Bad date",IF(P3404="","NAME NOT ON ROSTER","OK"))))</f>
        <v/>
      </c>
      <c r="I3404">
        <f>IF('Cash_Check'!A404="","",'Cash_Check'!A404)</f>
        <v/>
      </c>
      <c r="J3404">
        <f>IF('Cash_Check'!D404="","",'Cash_Check'!D404)</f>
        <v/>
      </c>
      <c r="K3404">
        <f>TRIM('Cash_Check'!B404)</f>
        <v/>
      </c>
      <c r="M3404">
        <f>IF(TRIM('Cash_Check'!E404)="","Cash/check",TRIM('Cash_Check'!E404))</f>
        <v/>
      </c>
      <c r="N3404">
        <f>IF(I3404="","",IF(ISNUMBER(I3404),INT(I3404),IFERROR(INT(DATEVALUE(I3404)),IFERROR(INT(VALUE(I3404)),"bad"))))</f>
        <v/>
      </c>
      <c r="O3404">
        <f>IF(J3404="","",IF(ISNUMBER(J3404),ROUND(J3404,2),IFERROR(ROUND(VALUE(SUBSTITUTE(SUBSTITUTE(SUBSTITUTE(J3404,"$",""),",","")," ","")),2),"bad")))</f>
        <v/>
      </c>
      <c r="P3404">
        <f>IF(K3404="","",IFERROR(MATCH(IF(ISNUMBER(FIND("#",K3404)),TRIM(MID(K3404,FIND("#",K3404)+1,20)),UPPER(K3404)),'Students'!$AD$2:$AD$701,0),""))</f>
        <v/>
      </c>
      <c r="R3404">
        <f>IF(P3404="","",INDEX('Students'!$AD$2:$AD$701,P3404))</f>
        <v/>
      </c>
      <c r="S3404">
        <f>IF(H3404="OK",O3404,0)</f>
        <v/>
      </c>
      <c r="T3404">
        <f>IF(H3404="OK",N3404,"")</f>
        <v/>
      </c>
      <c r="U3404">
        <f>TRIM('Cash_Check'!C404)</f>
        <v/>
      </c>
    </row>
    <row r="3405">
      <c r="A3405" s="62">
        <f>IF(H3405="","",IF(ISNUMBER(N3405),N3405,I3405))</f>
        <v/>
      </c>
      <c r="B3405">
        <f>IF(H3405="","",U3405)</f>
        <v/>
      </c>
      <c r="C3405">
        <f>IF(H3405="","",IF(P3405="",K3405,INDEX('Students'!$A$2:$A$701,P3405)))</f>
        <v/>
      </c>
      <c r="D3405">
        <f>IF(OR(H3405="",P3405=""),"",INDEX('Students'!$B$2:$B$701,P3405))</f>
        <v/>
      </c>
      <c r="E3405">
        <f>IF(OR(H3405="",P3405=""),"",INDEX('Students'!$C$2:$C$701,P3405))</f>
        <v/>
      </c>
      <c r="F3405" s="48">
        <f>IF(H3405="","",IF(ISNUMBER(O3405),O3405,J3405))</f>
        <v/>
      </c>
      <c r="G3405">
        <f>IF(H3405="","",M3405)</f>
        <v/>
      </c>
      <c r="H3405">
        <f>IF(AND(I3405="",J3405="",K3405=""),"",IF(OR(NOT(ISNUMBER(O3405)),N(O3405)&lt;=0),"Bad amount",IF(NOT(ISNUMBER(N3405)),"Bad date",IF(P3405="","NAME NOT ON ROSTER","OK"))))</f>
        <v/>
      </c>
      <c r="I3405">
        <f>IF('Cash_Check'!A405="","",'Cash_Check'!A405)</f>
        <v/>
      </c>
      <c r="J3405">
        <f>IF('Cash_Check'!D405="","",'Cash_Check'!D405)</f>
        <v/>
      </c>
      <c r="K3405">
        <f>TRIM('Cash_Check'!B405)</f>
        <v/>
      </c>
      <c r="M3405">
        <f>IF(TRIM('Cash_Check'!E405)="","Cash/check",TRIM('Cash_Check'!E405))</f>
        <v/>
      </c>
      <c r="N3405">
        <f>IF(I3405="","",IF(ISNUMBER(I3405),INT(I3405),IFERROR(INT(DATEVALUE(I3405)),IFERROR(INT(VALUE(I3405)),"bad"))))</f>
        <v/>
      </c>
      <c r="O3405">
        <f>IF(J3405="","",IF(ISNUMBER(J3405),ROUND(J3405,2),IFERROR(ROUND(VALUE(SUBSTITUTE(SUBSTITUTE(SUBSTITUTE(J3405,"$",""),",","")," ","")),2),"bad")))</f>
        <v/>
      </c>
      <c r="P3405">
        <f>IF(K3405="","",IFERROR(MATCH(IF(ISNUMBER(FIND("#",K3405)),TRIM(MID(K3405,FIND("#",K3405)+1,20)),UPPER(K3405)),'Students'!$AD$2:$AD$701,0),""))</f>
        <v/>
      </c>
      <c r="R3405">
        <f>IF(P3405="","",INDEX('Students'!$AD$2:$AD$701,P3405))</f>
        <v/>
      </c>
      <c r="S3405">
        <f>IF(H3405="OK",O3405,0)</f>
        <v/>
      </c>
      <c r="T3405">
        <f>IF(H3405="OK",N3405,"")</f>
        <v/>
      </c>
      <c r="U3405">
        <f>TRIM('Cash_Check'!C405)</f>
        <v/>
      </c>
    </row>
    <row r="3406">
      <c r="A3406" s="62">
        <f>IF(H3406="","",IF(ISNUMBER(N3406),N3406,I3406))</f>
        <v/>
      </c>
      <c r="B3406">
        <f>IF(H3406="","",U3406)</f>
        <v/>
      </c>
      <c r="C3406">
        <f>IF(H3406="","",IF(P3406="",K3406,INDEX('Students'!$A$2:$A$701,P3406)))</f>
        <v/>
      </c>
      <c r="D3406">
        <f>IF(OR(H3406="",P3406=""),"",INDEX('Students'!$B$2:$B$701,P3406))</f>
        <v/>
      </c>
      <c r="E3406">
        <f>IF(OR(H3406="",P3406=""),"",INDEX('Students'!$C$2:$C$701,P3406))</f>
        <v/>
      </c>
      <c r="F3406" s="48">
        <f>IF(H3406="","",IF(ISNUMBER(O3406),O3406,J3406))</f>
        <v/>
      </c>
      <c r="G3406">
        <f>IF(H3406="","",M3406)</f>
        <v/>
      </c>
      <c r="H3406">
        <f>IF(AND(I3406="",J3406="",K3406=""),"",IF(OR(NOT(ISNUMBER(O3406)),N(O3406)&lt;=0),"Bad amount",IF(NOT(ISNUMBER(N3406)),"Bad date",IF(P3406="","NAME NOT ON ROSTER","OK"))))</f>
        <v/>
      </c>
      <c r="I3406">
        <f>IF('Cash_Check'!A406="","",'Cash_Check'!A406)</f>
        <v/>
      </c>
      <c r="J3406">
        <f>IF('Cash_Check'!D406="","",'Cash_Check'!D406)</f>
        <v/>
      </c>
      <c r="K3406">
        <f>TRIM('Cash_Check'!B406)</f>
        <v/>
      </c>
      <c r="M3406">
        <f>IF(TRIM('Cash_Check'!E406)="","Cash/check",TRIM('Cash_Check'!E406))</f>
        <v/>
      </c>
      <c r="N3406">
        <f>IF(I3406="","",IF(ISNUMBER(I3406),INT(I3406),IFERROR(INT(DATEVALUE(I3406)),IFERROR(INT(VALUE(I3406)),"bad"))))</f>
        <v/>
      </c>
      <c r="O3406">
        <f>IF(J3406="","",IF(ISNUMBER(J3406),ROUND(J3406,2),IFERROR(ROUND(VALUE(SUBSTITUTE(SUBSTITUTE(SUBSTITUTE(J3406,"$",""),",","")," ","")),2),"bad")))</f>
        <v/>
      </c>
      <c r="P3406">
        <f>IF(K3406="","",IFERROR(MATCH(IF(ISNUMBER(FIND("#",K3406)),TRIM(MID(K3406,FIND("#",K3406)+1,20)),UPPER(K3406)),'Students'!$AD$2:$AD$701,0),""))</f>
        <v/>
      </c>
      <c r="R3406">
        <f>IF(P3406="","",INDEX('Students'!$AD$2:$AD$701,P3406))</f>
        <v/>
      </c>
      <c r="S3406">
        <f>IF(H3406="OK",O3406,0)</f>
        <v/>
      </c>
      <c r="T3406">
        <f>IF(H3406="OK",N3406,"")</f>
        <v/>
      </c>
      <c r="U3406">
        <f>TRIM('Cash_Check'!C406)</f>
        <v/>
      </c>
    </row>
    <row r="3407">
      <c r="A3407" s="62">
        <f>IF(H3407="","",IF(ISNUMBER(N3407),N3407,I3407))</f>
        <v/>
      </c>
      <c r="B3407">
        <f>IF(H3407="","",U3407)</f>
        <v/>
      </c>
      <c r="C3407">
        <f>IF(H3407="","",IF(P3407="",K3407,INDEX('Students'!$A$2:$A$701,P3407)))</f>
        <v/>
      </c>
      <c r="D3407">
        <f>IF(OR(H3407="",P3407=""),"",INDEX('Students'!$B$2:$B$701,P3407))</f>
        <v/>
      </c>
      <c r="E3407">
        <f>IF(OR(H3407="",P3407=""),"",INDEX('Students'!$C$2:$C$701,P3407))</f>
        <v/>
      </c>
      <c r="F3407" s="48">
        <f>IF(H3407="","",IF(ISNUMBER(O3407),O3407,J3407))</f>
        <v/>
      </c>
      <c r="G3407">
        <f>IF(H3407="","",M3407)</f>
        <v/>
      </c>
      <c r="H3407">
        <f>IF(AND(I3407="",J3407="",K3407=""),"",IF(OR(NOT(ISNUMBER(O3407)),N(O3407)&lt;=0),"Bad amount",IF(NOT(ISNUMBER(N3407)),"Bad date",IF(P3407="","NAME NOT ON ROSTER","OK"))))</f>
        <v/>
      </c>
      <c r="I3407">
        <f>IF('Cash_Check'!A407="","",'Cash_Check'!A407)</f>
        <v/>
      </c>
      <c r="J3407">
        <f>IF('Cash_Check'!D407="","",'Cash_Check'!D407)</f>
        <v/>
      </c>
      <c r="K3407">
        <f>TRIM('Cash_Check'!B407)</f>
        <v/>
      </c>
      <c r="M3407">
        <f>IF(TRIM('Cash_Check'!E407)="","Cash/check",TRIM('Cash_Check'!E407))</f>
        <v/>
      </c>
      <c r="N3407">
        <f>IF(I3407="","",IF(ISNUMBER(I3407),INT(I3407),IFERROR(INT(DATEVALUE(I3407)),IFERROR(INT(VALUE(I3407)),"bad"))))</f>
        <v/>
      </c>
      <c r="O3407">
        <f>IF(J3407="","",IF(ISNUMBER(J3407),ROUND(J3407,2),IFERROR(ROUND(VALUE(SUBSTITUTE(SUBSTITUTE(SUBSTITUTE(J3407,"$",""),",","")," ","")),2),"bad")))</f>
        <v/>
      </c>
      <c r="P3407">
        <f>IF(K3407="","",IFERROR(MATCH(IF(ISNUMBER(FIND("#",K3407)),TRIM(MID(K3407,FIND("#",K3407)+1,20)),UPPER(K3407)),'Students'!$AD$2:$AD$701,0),""))</f>
        <v/>
      </c>
      <c r="R3407">
        <f>IF(P3407="","",INDEX('Students'!$AD$2:$AD$701,P3407))</f>
        <v/>
      </c>
      <c r="S3407">
        <f>IF(H3407="OK",O3407,0)</f>
        <v/>
      </c>
      <c r="T3407">
        <f>IF(H3407="OK",N3407,"")</f>
        <v/>
      </c>
      <c r="U3407">
        <f>TRIM('Cash_Check'!C407)</f>
        <v/>
      </c>
    </row>
    <row r="3408">
      <c r="A3408" s="62">
        <f>IF(H3408="","",IF(ISNUMBER(N3408),N3408,I3408))</f>
        <v/>
      </c>
      <c r="B3408">
        <f>IF(H3408="","",U3408)</f>
        <v/>
      </c>
      <c r="C3408">
        <f>IF(H3408="","",IF(P3408="",K3408,INDEX('Students'!$A$2:$A$701,P3408)))</f>
        <v/>
      </c>
      <c r="D3408">
        <f>IF(OR(H3408="",P3408=""),"",INDEX('Students'!$B$2:$B$701,P3408))</f>
        <v/>
      </c>
      <c r="E3408">
        <f>IF(OR(H3408="",P3408=""),"",INDEX('Students'!$C$2:$C$701,P3408))</f>
        <v/>
      </c>
      <c r="F3408" s="48">
        <f>IF(H3408="","",IF(ISNUMBER(O3408),O3408,J3408))</f>
        <v/>
      </c>
      <c r="G3408">
        <f>IF(H3408="","",M3408)</f>
        <v/>
      </c>
      <c r="H3408">
        <f>IF(AND(I3408="",J3408="",K3408=""),"",IF(OR(NOT(ISNUMBER(O3408)),N(O3408)&lt;=0),"Bad amount",IF(NOT(ISNUMBER(N3408)),"Bad date",IF(P3408="","NAME NOT ON ROSTER","OK"))))</f>
        <v/>
      </c>
      <c r="I3408">
        <f>IF('Cash_Check'!A408="","",'Cash_Check'!A408)</f>
        <v/>
      </c>
      <c r="J3408">
        <f>IF('Cash_Check'!D408="","",'Cash_Check'!D408)</f>
        <v/>
      </c>
      <c r="K3408">
        <f>TRIM('Cash_Check'!B408)</f>
        <v/>
      </c>
      <c r="M3408">
        <f>IF(TRIM('Cash_Check'!E408)="","Cash/check",TRIM('Cash_Check'!E408))</f>
        <v/>
      </c>
      <c r="N3408">
        <f>IF(I3408="","",IF(ISNUMBER(I3408),INT(I3408),IFERROR(INT(DATEVALUE(I3408)),IFERROR(INT(VALUE(I3408)),"bad"))))</f>
        <v/>
      </c>
      <c r="O3408">
        <f>IF(J3408="","",IF(ISNUMBER(J3408),ROUND(J3408,2),IFERROR(ROUND(VALUE(SUBSTITUTE(SUBSTITUTE(SUBSTITUTE(J3408,"$",""),",","")," ","")),2),"bad")))</f>
        <v/>
      </c>
      <c r="P3408">
        <f>IF(K3408="","",IFERROR(MATCH(IF(ISNUMBER(FIND("#",K3408)),TRIM(MID(K3408,FIND("#",K3408)+1,20)),UPPER(K3408)),'Students'!$AD$2:$AD$701,0),""))</f>
        <v/>
      </c>
      <c r="R3408">
        <f>IF(P3408="","",INDEX('Students'!$AD$2:$AD$701,P3408))</f>
        <v/>
      </c>
      <c r="S3408">
        <f>IF(H3408="OK",O3408,0)</f>
        <v/>
      </c>
      <c r="T3408">
        <f>IF(H3408="OK",N3408,"")</f>
        <v/>
      </c>
      <c r="U3408">
        <f>TRIM('Cash_Check'!C408)</f>
        <v/>
      </c>
    </row>
    <row r="3409">
      <c r="A3409" s="62">
        <f>IF(H3409="","",IF(ISNUMBER(N3409),N3409,I3409))</f>
        <v/>
      </c>
      <c r="B3409">
        <f>IF(H3409="","",U3409)</f>
        <v/>
      </c>
      <c r="C3409">
        <f>IF(H3409="","",IF(P3409="",K3409,INDEX('Students'!$A$2:$A$701,P3409)))</f>
        <v/>
      </c>
      <c r="D3409">
        <f>IF(OR(H3409="",P3409=""),"",INDEX('Students'!$B$2:$B$701,P3409))</f>
        <v/>
      </c>
      <c r="E3409">
        <f>IF(OR(H3409="",P3409=""),"",INDEX('Students'!$C$2:$C$701,P3409))</f>
        <v/>
      </c>
      <c r="F3409" s="48">
        <f>IF(H3409="","",IF(ISNUMBER(O3409),O3409,J3409))</f>
        <v/>
      </c>
      <c r="G3409">
        <f>IF(H3409="","",M3409)</f>
        <v/>
      </c>
      <c r="H3409">
        <f>IF(AND(I3409="",J3409="",K3409=""),"",IF(OR(NOT(ISNUMBER(O3409)),N(O3409)&lt;=0),"Bad amount",IF(NOT(ISNUMBER(N3409)),"Bad date",IF(P3409="","NAME NOT ON ROSTER","OK"))))</f>
        <v/>
      </c>
      <c r="I3409">
        <f>IF('Cash_Check'!A409="","",'Cash_Check'!A409)</f>
        <v/>
      </c>
      <c r="J3409">
        <f>IF('Cash_Check'!D409="","",'Cash_Check'!D409)</f>
        <v/>
      </c>
      <c r="K3409">
        <f>TRIM('Cash_Check'!B409)</f>
        <v/>
      </c>
      <c r="M3409">
        <f>IF(TRIM('Cash_Check'!E409)="","Cash/check",TRIM('Cash_Check'!E409))</f>
        <v/>
      </c>
      <c r="N3409">
        <f>IF(I3409="","",IF(ISNUMBER(I3409),INT(I3409),IFERROR(INT(DATEVALUE(I3409)),IFERROR(INT(VALUE(I3409)),"bad"))))</f>
        <v/>
      </c>
      <c r="O3409">
        <f>IF(J3409="","",IF(ISNUMBER(J3409),ROUND(J3409,2),IFERROR(ROUND(VALUE(SUBSTITUTE(SUBSTITUTE(SUBSTITUTE(J3409,"$",""),",","")," ","")),2),"bad")))</f>
        <v/>
      </c>
      <c r="P3409">
        <f>IF(K3409="","",IFERROR(MATCH(IF(ISNUMBER(FIND("#",K3409)),TRIM(MID(K3409,FIND("#",K3409)+1,20)),UPPER(K3409)),'Students'!$AD$2:$AD$701,0),""))</f>
        <v/>
      </c>
      <c r="R3409">
        <f>IF(P3409="","",INDEX('Students'!$AD$2:$AD$701,P3409))</f>
        <v/>
      </c>
      <c r="S3409">
        <f>IF(H3409="OK",O3409,0)</f>
        <v/>
      </c>
      <c r="T3409">
        <f>IF(H3409="OK",N3409,"")</f>
        <v/>
      </c>
      <c r="U3409">
        <f>TRIM('Cash_Check'!C409)</f>
        <v/>
      </c>
    </row>
    <row r="3410">
      <c r="A3410" s="62">
        <f>IF(H3410="","",IF(ISNUMBER(N3410),N3410,I3410))</f>
        <v/>
      </c>
      <c r="B3410">
        <f>IF(H3410="","",U3410)</f>
        <v/>
      </c>
      <c r="C3410">
        <f>IF(H3410="","",IF(P3410="",K3410,INDEX('Students'!$A$2:$A$701,P3410)))</f>
        <v/>
      </c>
      <c r="D3410">
        <f>IF(OR(H3410="",P3410=""),"",INDEX('Students'!$B$2:$B$701,P3410))</f>
        <v/>
      </c>
      <c r="E3410">
        <f>IF(OR(H3410="",P3410=""),"",INDEX('Students'!$C$2:$C$701,P3410))</f>
        <v/>
      </c>
      <c r="F3410" s="48">
        <f>IF(H3410="","",IF(ISNUMBER(O3410),O3410,J3410))</f>
        <v/>
      </c>
      <c r="G3410">
        <f>IF(H3410="","",M3410)</f>
        <v/>
      </c>
      <c r="H3410">
        <f>IF(AND(I3410="",J3410="",K3410=""),"",IF(OR(NOT(ISNUMBER(O3410)),N(O3410)&lt;=0),"Bad amount",IF(NOT(ISNUMBER(N3410)),"Bad date",IF(P3410="","NAME NOT ON ROSTER","OK"))))</f>
        <v/>
      </c>
      <c r="I3410">
        <f>IF('Cash_Check'!A410="","",'Cash_Check'!A410)</f>
        <v/>
      </c>
      <c r="J3410">
        <f>IF('Cash_Check'!D410="","",'Cash_Check'!D410)</f>
        <v/>
      </c>
      <c r="K3410">
        <f>TRIM('Cash_Check'!B410)</f>
        <v/>
      </c>
      <c r="M3410">
        <f>IF(TRIM('Cash_Check'!E410)="","Cash/check",TRIM('Cash_Check'!E410))</f>
        <v/>
      </c>
      <c r="N3410">
        <f>IF(I3410="","",IF(ISNUMBER(I3410),INT(I3410),IFERROR(INT(DATEVALUE(I3410)),IFERROR(INT(VALUE(I3410)),"bad"))))</f>
        <v/>
      </c>
      <c r="O3410">
        <f>IF(J3410="","",IF(ISNUMBER(J3410),ROUND(J3410,2),IFERROR(ROUND(VALUE(SUBSTITUTE(SUBSTITUTE(SUBSTITUTE(J3410,"$",""),",","")," ","")),2),"bad")))</f>
        <v/>
      </c>
      <c r="P3410">
        <f>IF(K3410="","",IFERROR(MATCH(IF(ISNUMBER(FIND("#",K3410)),TRIM(MID(K3410,FIND("#",K3410)+1,20)),UPPER(K3410)),'Students'!$AD$2:$AD$701,0),""))</f>
        <v/>
      </c>
      <c r="R3410">
        <f>IF(P3410="","",INDEX('Students'!$AD$2:$AD$701,P3410))</f>
        <v/>
      </c>
      <c r="S3410">
        <f>IF(H3410="OK",O3410,0)</f>
        <v/>
      </c>
      <c r="T3410">
        <f>IF(H3410="OK",N3410,"")</f>
        <v/>
      </c>
      <c r="U3410">
        <f>TRIM('Cash_Check'!C410)</f>
        <v/>
      </c>
    </row>
    <row r="3411">
      <c r="A3411" s="62">
        <f>IF(H3411="","",IF(ISNUMBER(N3411),N3411,I3411))</f>
        <v/>
      </c>
      <c r="B3411">
        <f>IF(H3411="","",U3411)</f>
        <v/>
      </c>
      <c r="C3411">
        <f>IF(H3411="","",IF(P3411="",K3411,INDEX('Students'!$A$2:$A$701,P3411)))</f>
        <v/>
      </c>
      <c r="D3411">
        <f>IF(OR(H3411="",P3411=""),"",INDEX('Students'!$B$2:$B$701,P3411))</f>
        <v/>
      </c>
      <c r="E3411">
        <f>IF(OR(H3411="",P3411=""),"",INDEX('Students'!$C$2:$C$701,P3411))</f>
        <v/>
      </c>
      <c r="F3411" s="48">
        <f>IF(H3411="","",IF(ISNUMBER(O3411),O3411,J3411))</f>
        <v/>
      </c>
      <c r="G3411">
        <f>IF(H3411="","",M3411)</f>
        <v/>
      </c>
      <c r="H3411">
        <f>IF(AND(I3411="",J3411="",K3411=""),"",IF(OR(NOT(ISNUMBER(O3411)),N(O3411)&lt;=0),"Bad amount",IF(NOT(ISNUMBER(N3411)),"Bad date",IF(P3411="","NAME NOT ON ROSTER","OK"))))</f>
        <v/>
      </c>
      <c r="I3411">
        <f>IF('Cash_Check'!A411="","",'Cash_Check'!A411)</f>
        <v/>
      </c>
      <c r="J3411">
        <f>IF('Cash_Check'!D411="","",'Cash_Check'!D411)</f>
        <v/>
      </c>
      <c r="K3411">
        <f>TRIM('Cash_Check'!B411)</f>
        <v/>
      </c>
      <c r="M3411">
        <f>IF(TRIM('Cash_Check'!E411)="","Cash/check",TRIM('Cash_Check'!E411))</f>
        <v/>
      </c>
      <c r="N3411">
        <f>IF(I3411="","",IF(ISNUMBER(I3411),INT(I3411),IFERROR(INT(DATEVALUE(I3411)),IFERROR(INT(VALUE(I3411)),"bad"))))</f>
        <v/>
      </c>
      <c r="O3411">
        <f>IF(J3411="","",IF(ISNUMBER(J3411),ROUND(J3411,2),IFERROR(ROUND(VALUE(SUBSTITUTE(SUBSTITUTE(SUBSTITUTE(J3411,"$",""),",","")," ","")),2),"bad")))</f>
        <v/>
      </c>
      <c r="P3411">
        <f>IF(K3411="","",IFERROR(MATCH(IF(ISNUMBER(FIND("#",K3411)),TRIM(MID(K3411,FIND("#",K3411)+1,20)),UPPER(K3411)),'Students'!$AD$2:$AD$701,0),""))</f>
        <v/>
      </c>
      <c r="R3411">
        <f>IF(P3411="","",INDEX('Students'!$AD$2:$AD$701,P3411))</f>
        <v/>
      </c>
      <c r="S3411">
        <f>IF(H3411="OK",O3411,0)</f>
        <v/>
      </c>
      <c r="T3411">
        <f>IF(H3411="OK",N3411,"")</f>
        <v/>
      </c>
      <c r="U3411">
        <f>TRIM('Cash_Check'!C411)</f>
        <v/>
      </c>
    </row>
    <row r="3412">
      <c r="A3412" s="62">
        <f>IF(H3412="","",IF(ISNUMBER(N3412),N3412,I3412))</f>
        <v/>
      </c>
      <c r="B3412">
        <f>IF(H3412="","",U3412)</f>
        <v/>
      </c>
      <c r="C3412">
        <f>IF(H3412="","",IF(P3412="",K3412,INDEX('Students'!$A$2:$A$701,P3412)))</f>
        <v/>
      </c>
      <c r="D3412">
        <f>IF(OR(H3412="",P3412=""),"",INDEX('Students'!$B$2:$B$701,P3412))</f>
        <v/>
      </c>
      <c r="E3412">
        <f>IF(OR(H3412="",P3412=""),"",INDEX('Students'!$C$2:$C$701,P3412))</f>
        <v/>
      </c>
      <c r="F3412" s="48">
        <f>IF(H3412="","",IF(ISNUMBER(O3412),O3412,J3412))</f>
        <v/>
      </c>
      <c r="G3412">
        <f>IF(H3412="","",M3412)</f>
        <v/>
      </c>
      <c r="H3412">
        <f>IF(AND(I3412="",J3412="",K3412=""),"",IF(OR(NOT(ISNUMBER(O3412)),N(O3412)&lt;=0),"Bad amount",IF(NOT(ISNUMBER(N3412)),"Bad date",IF(P3412="","NAME NOT ON ROSTER","OK"))))</f>
        <v/>
      </c>
      <c r="I3412">
        <f>IF('Cash_Check'!A412="","",'Cash_Check'!A412)</f>
        <v/>
      </c>
      <c r="J3412">
        <f>IF('Cash_Check'!D412="","",'Cash_Check'!D412)</f>
        <v/>
      </c>
      <c r="K3412">
        <f>TRIM('Cash_Check'!B412)</f>
        <v/>
      </c>
      <c r="M3412">
        <f>IF(TRIM('Cash_Check'!E412)="","Cash/check",TRIM('Cash_Check'!E412))</f>
        <v/>
      </c>
      <c r="N3412">
        <f>IF(I3412="","",IF(ISNUMBER(I3412),INT(I3412),IFERROR(INT(DATEVALUE(I3412)),IFERROR(INT(VALUE(I3412)),"bad"))))</f>
        <v/>
      </c>
      <c r="O3412">
        <f>IF(J3412="","",IF(ISNUMBER(J3412),ROUND(J3412,2),IFERROR(ROUND(VALUE(SUBSTITUTE(SUBSTITUTE(SUBSTITUTE(J3412,"$",""),",","")," ","")),2),"bad")))</f>
        <v/>
      </c>
      <c r="P3412">
        <f>IF(K3412="","",IFERROR(MATCH(IF(ISNUMBER(FIND("#",K3412)),TRIM(MID(K3412,FIND("#",K3412)+1,20)),UPPER(K3412)),'Students'!$AD$2:$AD$701,0),""))</f>
        <v/>
      </c>
      <c r="R3412">
        <f>IF(P3412="","",INDEX('Students'!$AD$2:$AD$701,P3412))</f>
        <v/>
      </c>
      <c r="S3412">
        <f>IF(H3412="OK",O3412,0)</f>
        <v/>
      </c>
      <c r="T3412">
        <f>IF(H3412="OK",N3412,"")</f>
        <v/>
      </c>
      <c r="U3412">
        <f>TRIM('Cash_Check'!C412)</f>
        <v/>
      </c>
    </row>
    <row r="3413">
      <c r="A3413" s="62">
        <f>IF(H3413="","",IF(ISNUMBER(N3413),N3413,I3413))</f>
        <v/>
      </c>
      <c r="B3413">
        <f>IF(H3413="","",U3413)</f>
        <v/>
      </c>
      <c r="C3413">
        <f>IF(H3413="","",IF(P3413="",K3413,INDEX('Students'!$A$2:$A$701,P3413)))</f>
        <v/>
      </c>
      <c r="D3413">
        <f>IF(OR(H3413="",P3413=""),"",INDEX('Students'!$B$2:$B$701,P3413))</f>
        <v/>
      </c>
      <c r="E3413">
        <f>IF(OR(H3413="",P3413=""),"",INDEX('Students'!$C$2:$C$701,P3413))</f>
        <v/>
      </c>
      <c r="F3413" s="48">
        <f>IF(H3413="","",IF(ISNUMBER(O3413),O3413,J3413))</f>
        <v/>
      </c>
      <c r="G3413">
        <f>IF(H3413="","",M3413)</f>
        <v/>
      </c>
      <c r="H3413">
        <f>IF(AND(I3413="",J3413="",K3413=""),"",IF(OR(NOT(ISNUMBER(O3413)),N(O3413)&lt;=0),"Bad amount",IF(NOT(ISNUMBER(N3413)),"Bad date",IF(P3413="","NAME NOT ON ROSTER","OK"))))</f>
        <v/>
      </c>
      <c r="I3413">
        <f>IF('Cash_Check'!A413="","",'Cash_Check'!A413)</f>
        <v/>
      </c>
      <c r="J3413">
        <f>IF('Cash_Check'!D413="","",'Cash_Check'!D413)</f>
        <v/>
      </c>
      <c r="K3413">
        <f>TRIM('Cash_Check'!B413)</f>
        <v/>
      </c>
      <c r="M3413">
        <f>IF(TRIM('Cash_Check'!E413)="","Cash/check",TRIM('Cash_Check'!E413))</f>
        <v/>
      </c>
      <c r="N3413">
        <f>IF(I3413="","",IF(ISNUMBER(I3413),INT(I3413),IFERROR(INT(DATEVALUE(I3413)),IFERROR(INT(VALUE(I3413)),"bad"))))</f>
        <v/>
      </c>
      <c r="O3413">
        <f>IF(J3413="","",IF(ISNUMBER(J3413),ROUND(J3413,2),IFERROR(ROUND(VALUE(SUBSTITUTE(SUBSTITUTE(SUBSTITUTE(J3413,"$",""),",","")," ","")),2),"bad")))</f>
        <v/>
      </c>
      <c r="P3413">
        <f>IF(K3413="","",IFERROR(MATCH(IF(ISNUMBER(FIND("#",K3413)),TRIM(MID(K3413,FIND("#",K3413)+1,20)),UPPER(K3413)),'Students'!$AD$2:$AD$701,0),""))</f>
        <v/>
      </c>
      <c r="R3413">
        <f>IF(P3413="","",INDEX('Students'!$AD$2:$AD$701,P3413))</f>
        <v/>
      </c>
      <c r="S3413">
        <f>IF(H3413="OK",O3413,0)</f>
        <v/>
      </c>
      <c r="T3413">
        <f>IF(H3413="OK",N3413,"")</f>
        <v/>
      </c>
      <c r="U3413">
        <f>TRIM('Cash_Check'!C413)</f>
        <v/>
      </c>
    </row>
    <row r="3414">
      <c r="A3414" s="62">
        <f>IF(H3414="","",IF(ISNUMBER(N3414),N3414,I3414))</f>
        <v/>
      </c>
      <c r="B3414">
        <f>IF(H3414="","",U3414)</f>
        <v/>
      </c>
      <c r="C3414">
        <f>IF(H3414="","",IF(P3414="",K3414,INDEX('Students'!$A$2:$A$701,P3414)))</f>
        <v/>
      </c>
      <c r="D3414">
        <f>IF(OR(H3414="",P3414=""),"",INDEX('Students'!$B$2:$B$701,P3414))</f>
        <v/>
      </c>
      <c r="E3414">
        <f>IF(OR(H3414="",P3414=""),"",INDEX('Students'!$C$2:$C$701,P3414))</f>
        <v/>
      </c>
      <c r="F3414" s="48">
        <f>IF(H3414="","",IF(ISNUMBER(O3414),O3414,J3414))</f>
        <v/>
      </c>
      <c r="G3414">
        <f>IF(H3414="","",M3414)</f>
        <v/>
      </c>
      <c r="H3414">
        <f>IF(AND(I3414="",J3414="",K3414=""),"",IF(OR(NOT(ISNUMBER(O3414)),N(O3414)&lt;=0),"Bad amount",IF(NOT(ISNUMBER(N3414)),"Bad date",IF(P3414="","NAME NOT ON ROSTER","OK"))))</f>
        <v/>
      </c>
      <c r="I3414">
        <f>IF('Cash_Check'!A414="","",'Cash_Check'!A414)</f>
        <v/>
      </c>
      <c r="J3414">
        <f>IF('Cash_Check'!D414="","",'Cash_Check'!D414)</f>
        <v/>
      </c>
      <c r="K3414">
        <f>TRIM('Cash_Check'!B414)</f>
        <v/>
      </c>
      <c r="M3414">
        <f>IF(TRIM('Cash_Check'!E414)="","Cash/check",TRIM('Cash_Check'!E414))</f>
        <v/>
      </c>
      <c r="N3414">
        <f>IF(I3414="","",IF(ISNUMBER(I3414),INT(I3414),IFERROR(INT(DATEVALUE(I3414)),IFERROR(INT(VALUE(I3414)),"bad"))))</f>
        <v/>
      </c>
      <c r="O3414">
        <f>IF(J3414="","",IF(ISNUMBER(J3414),ROUND(J3414,2),IFERROR(ROUND(VALUE(SUBSTITUTE(SUBSTITUTE(SUBSTITUTE(J3414,"$",""),",","")," ","")),2),"bad")))</f>
        <v/>
      </c>
      <c r="P3414">
        <f>IF(K3414="","",IFERROR(MATCH(IF(ISNUMBER(FIND("#",K3414)),TRIM(MID(K3414,FIND("#",K3414)+1,20)),UPPER(K3414)),'Students'!$AD$2:$AD$701,0),""))</f>
        <v/>
      </c>
      <c r="R3414">
        <f>IF(P3414="","",INDEX('Students'!$AD$2:$AD$701,P3414))</f>
        <v/>
      </c>
      <c r="S3414">
        <f>IF(H3414="OK",O3414,0)</f>
        <v/>
      </c>
      <c r="T3414">
        <f>IF(H3414="OK",N3414,"")</f>
        <v/>
      </c>
      <c r="U3414">
        <f>TRIM('Cash_Check'!C414)</f>
        <v/>
      </c>
    </row>
    <row r="3415">
      <c r="A3415" s="62">
        <f>IF(H3415="","",IF(ISNUMBER(N3415),N3415,I3415))</f>
        <v/>
      </c>
      <c r="B3415">
        <f>IF(H3415="","",U3415)</f>
        <v/>
      </c>
      <c r="C3415">
        <f>IF(H3415="","",IF(P3415="",K3415,INDEX('Students'!$A$2:$A$701,P3415)))</f>
        <v/>
      </c>
      <c r="D3415">
        <f>IF(OR(H3415="",P3415=""),"",INDEX('Students'!$B$2:$B$701,P3415))</f>
        <v/>
      </c>
      <c r="E3415">
        <f>IF(OR(H3415="",P3415=""),"",INDEX('Students'!$C$2:$C$701,P3415))</f>
        <v/>
      </c>
      <c r="F3415" s="48">
        <f>IF(H3415="","",IF(ISNUMBER(O3415),O3415,J3415))</f>
        <v/>
      </c>
      <c r="G3415">
        <f>IF(H3415="","",M3415)</f>
        <v/>
      </c>
      <c r="H3415">
        <f>IF(AND(I3415="",J3415="",K3415=""),"",IF(OR(NOT(ISNUMBER(O3415)),N(O3415)&lt;=0),"Bad amount",IF(NOT(ISNUMBER(N3415)),"Bad date",IF(P3415="","NAME NOT ON ROSTER","OK"))))</f>
        <v/>
      </c>
      <c r="I3415">
        <f>IF('Cash_Check'!A415="","",'Cash_Check'!A415)</f>
        <v/>
      </c>
      <c r="J3415">
        <f>IF('Cash_Check'!D415="","",'Cash_Check'!D415)</f>
        <v/>
      </c>
      <c r="K3415">
        <f>TRIM('Cash_Check'!B415)</f>
        <v/>
      </c>
      <c r="M3415">
        <f>IF(TRIM('Cash_Check'!E415)="","Cash/check",TRIM('Cash_Check'!E415))</f>
        <v/>
      </c>
      <c r="N3415">
        <f>IF(I3415="","",IF(ISNUMBER(I3415),INT(I3415),IFERROR(INT(DATEVALUE(I3415)),IFERROR(INT(VALUE(I3415)),"bad"))))</f>
        <v/>
      </c>
      <c r="O3415">
        <f>IF(J3415="","",IF(ISNUMBER(J3415),ROUND(J3415,2),IFERROR(ROUND(VALUE(SUBSTITUTE(SUBSTITUTE(SUBSTITUTE(J3415,"$",""),",","")," ","")),2),"bad")))</f>
        <v/>
      </c>
      <c r="P3415">
        <f>IF(K3415="","",IFERROR(MATCH(IF(ISNUMBER(FIND("#",K3415)),TRIM(MID(K3415,FIND("#",K3415)+1,20)),UPPER(K3415)),'Students'!$AD$2:$AD$701,0),""))</f>
        <v/>
      </c>
      <c r="R3415">
        <f>IF(P3415="","",INDEX('Students'!$AD$2:$AD$701,P3415))</f>
        <v/>
      </c>
      <c r="S3415">
        <f>IF(H3415="OK",O3415,0)</f>
        <v/>
      </c>
      <c r="T3415">
        <f>IF(H3415="OK",N3415,"")</f>
        <v/>
      </c>
      <c r="U3415">
        <f>TRIM('Cash_Check'!C415)</f>
        <v/>
      </c>
    </row>
    <row r="3416">
      <c r="A3416" s="62">
        <f>IF(H3416="","",IF(ISNUMBER(N3416),N3416,I3416))</f>
        <v/>
      </c>
      <c r="B3416">
        <f>IF(H3416="","",U3416)</f>
        <v/>
      </c>
      <c r="C3416">
        <f>IF(H3416="","",IF(P3416="",K3416,INDEX('Students'!$A$2:$A$701,P3416)))</f>
        <v/>
      </c>
      <c r="D3416">
        <f>IF(OR(H3416="",P3416=""),"",INDEX('Students'!$B$2:$B$701,P3416))</f>
        <v/>
      </c>
      <c r="E3416">
        <f>IF(OR(H3416="",P3416=""),"",INDEX('Students'!$C$2:$C$701,P3416))</f>
        <v/>
      </c>
      <c r="F3416" s="48">
        <f>IF(H3416="","",IF(ISNUMBER(O3416),O3416,J3416))</f>
        <v/>
      </c>
      <c r="G3416">
        <f>IF(H3416="","",M3416)</f>
        <v/>
      </c>
      <c r="H3416">
        <f>IF(AND(I3416="",J3416="",K3416=""),"",IF(OR(NOT(ISNUMBER(O3416)),N(O3416)&lt;=0),"Bad amount",IF(NOT(ISNUMBER(N3416)),"Bad date",IF(P3416="","NAME NOT ON ROSTER","OK"))))</f>
        <v/>
      </c>
      <c r="I3416">
        <f>IF('Cash_Check'!A416="","",'Cash_Check'!A416)</f>
        <v/>
      </c>
      <c r="J3416">
        <f>IF('Cash_Check'!D416="","",'Cash_Check'!D416)</f>
        <v/>
      </c>
      <c r="K3416">
        <f>TRIM('Cash_Check'!B416)</f>
        <v/>
      </c>
      <c r="M3416">
        <f>IF(TRIM('Cash_Check'!E416)="","Cash/check",TRIM('Cash_Check'!E416))</f>
        <v/>
      </c>
      <c r="N3416">
        <f>IF(I3416="","",IF(ISNUMBER(I3416),INT(I3416),IFERROR(INT(DATEVALUE(I3416)),IFERROR(INT(VALUE(I3416)),"bad"))))</f>
        <v/>
      </c>
      <c r="O3416">
        <f>IF(J3416="","",IF(ISNUMBER(J3416),ROUND(J3416,2),IFERROR(ROUND(VALUE(SUBSTITUTE(SUBSTITUTE(SUBSTITUTE(J3416,"$",""),",","")," ","")),2),"bad")))</f>
        <v/>
      </c>
      <c r="P3416">
        <f>IF(K3416="","",IFERROR(MATCH(IF(ISNUMBER(FIND("#",K3416)),TRIM(MID(K3416,FIND("#",K3416)+1,20)),UPPER(K3416)),'Students'!$AD$2:$AD$701,0),""))</f>
        <v/>
      </c>
      <c r="R3416">
        <f>IF(P3416="","",INDEX('Students'!$AD$2:$AD$701,P3416))</f>
        <v/>
      </c>
      <c r="S3416">
        <f>IF(H3416="OK",O3416,0)</f>
        <v/>
      </c>
      <c r="T3416">
        <f>IF(H3416="OK",N3416,"")</f>
        <v/>
      </c>
      <c r="U3416">
        <f>TRIM('Cash_Check'!C416)</f>
        <v/>
      </c>
    </row>
    <row r="3417">
      <c r="A3417" s="62">
        <f>IF(H3417="","",IF(ISNUMBER(N3417),N3417,I3417))</f>
        <v/>
      </c>
      <c r="B3417">
        <f>IF(H3417="","",U3417)</f>
        <v/>
      </c>
      <c r="C3417">
        <f>IF(H3417="","",IF(P3417="",K3417,INDEX('Students'!$A$2:$A$701,P3417)))</f>
        <v/>
      </c>
      <c r="D3417">
        <f>IF(OR(H3417="",P3417=""),"",INDEX('Students'!$B$2:$B$701,P3417))</f>
        <v/>
      </c>
      <c r="E3417">
        <f>IF(OR(H3417="",P3417=""),"",INDEX('Students'!$C$2:$C$701,P3417))</f>
        <v/>
      </c>
      <c r="F3417" s="48">
        <f>IF(H3417="","",IF(ISNUMBER(O3417),O3417,J3417))</f>
        <v/>
      </c>
      <c r="G3417">
        <f>IF(H3417="","",M3417)</f>
        <v/>
      </c>
      <c r="H3417">
        <f>IF(AND(I3417="",J3417="",K3417=""),"",IF(OR(NOT(ISNUMBER(O3417)),N(O3417)&lt;=0),"Bad amount",IF(NOT(ISNUMBER(N3417)),"Bad date",IF(P3417="","NAME NOT ON ROSTER","OK"))))</f>
        <v/>
      </c>
      <c r="I3417">
        <f>IF('Cash_Check'!A417="","",'Cash_Check'!A417)</f>
        <v/>
      </c>
      <c r="J3417">
        <f>IF('Cash_Check'!D417="","",'Cash_Check'!D417)</f>
        <v/>
      </c>
      <c r="K3417">
        <f>TRIM('Cash_Check'!B417)</f>
        <v/>
      </c>
      <c r="M3417">
        <f>IF(TRIM('Cash_Check'!E417)="","Cash/check",TRIM('Cash_Check'!E417))</f>
        <v/>
      </c>
      <c r="N3417">
        <f>IF(I3417="","",IF(ISNUMBER(I3417),INT(I3417),IFERROR(INT(DATEVALUE(I3417)),IFERROR(INT(VALUE(I3417)),"bad"))))</f>
        <v/>
      </c>
      <c r="O3417">
        <f>IF(J3417="","",IF(ISNUMBER(J3417),ROUND(J3417,2),IFERROR(ROUND(VALUE(SUBSTITUTE(SUBSTITUTE(SUBSTITUTE(J3417,"$",""),",","")," ","")),2),"bad")))</f>
        <v/>
      </c>
      <c r="P3417">
        <f>IF(K3417="","",IFERROR(MATCH(IF(ISNUMBER(FIND("#",K3417)),TRIM(MID(K3417,FIND("#",K3417)+1,20)),UPPER(K3417)),'Students'!$AD$2:$AD$701,0),""))</f>
        <v/>
      </c>
      <c r="R3417">
        <f>IF(P3417="","",INDEX('Students'!$AD$2:$AD$701,P3417))</f>
        <v/>
      </c>
      <c r="S3417">
        <f>IF(H3417="OK",O3417,0)</f>
        <v/>
      </c>
      <c r="T3417">
        <f>IF(H3417="OK",N3417,"")</f>
        <v/>
      </c>
      <c r="U3417">
        <f>TRIM('Cash_Check'!C417)</f>
        <v/>
      </c>
    </row>
    <row r="3418">
      <c r="A3418" s="62">
        <f>IF(H3418="","",IF(ISNUMBER(N3418),N3418,I3418))</f>
        <v/>
      </c>
      <c r="B3418">
        <f>IF(H3418="","",U3418)</f>
        <v/>
      </c>
      <c r="C3418">
        <f>IF(H3418="","",IF(P3418="",K3418,INDEX('Students'!$A$2:$A$701,P3418)))</f>
        <v/>
      </c>
      <c r="D3418">
        <f>IF(OR(H3418="",P3418=""),"",INDEX('Students'!$B$2:$B$701,P3418))</f>
        <v/>
      </c>
      <c r="E3418">
        <f>IF(OR(H3418="",P3418=""),"",INDEX('Students'!$C$2:$C$701,P3418))</f>
        <v/>
      </c>
      <c r="F3418" s="48">
        <f>IF(H3418="","",IF(ISNUMBER(O3418),O3418,J3418))</f>
        <v/>
      </c>
      <c r="G3418">
        <f>IF(H3418="","",M3418)</f>
        <v/>
      </c>
      <c r="H3418">
        <f>IF(AND(I3418="",J3418="",K3418=""),"",IF(OR(NOT(ISNUMBER(O3418)),N(O3418)&lt;=0),"Bad amount",IF(NOT(ISNUMBER(N3418)),"Bad date",IF(P3418="","NAME NOT ON ROSTER","OK"))))</f>
        <v/>
      </c>
      <c r="I3418">
        <f>IF('Cash_Check'!A418="","",'Cash_Check'!A418)</f>
        <v/>
      </c>
      <c r="J3418">
        <f>IF('Cash_Check'!D418="","",'Cash_Check'!D418)</f>
        <v/>
      </c>
      <c r="K3418">
        <f>TRIM('Cash_Check'!B418)</f>
        <v/>
      </c>
      <c r="M3418">
        <f>IF(TRIM('Cash_Check'!E418)="","Cash/check",TRIM('Cash_Check'!E418))</f>
        <v/>
      </c>
      <c r="N3418">
        <f>IF(I3418="","",IF(ISNUMBER(I3418),INT(I3418),IFERROR(INT(DATEVALUE(I3418)),IFERROR(INT(VALUE(I3418)),"bad"))))</f>
        <v/>
      </c>
      <c r="O3418">
        <f>IF(J3418="","",IF(ISNUMBER(J3418),ROUND(J3418,2),IFERROR(ROUND(VALUE(SUBSTITUTE(SUBSTITUTE(SUBSTITUTE(J3418,"$",""),",","")," ","")),2),"bad")))</f>
        <v/>
      </c>
      <c r="P3418">
        <f>IF(K3418="","",IFERROR(MATCH(IF(ISNUMBER(FIND("#",K3418)),TRIM(MID(K3418,FIND("#",K3418)+1,20)),UPPER(K3418)),'Students'!$AD$2:$AD$701,0),""))</f>
        <v/>
      </c>
      <c r="R3418">
        <f>IF(P3418="","",INDEX('Students'!$AD$2:$AD$701,P3418))</f>
        <v/>
      </c>
      <c r="S3418">
        <f>IF(H3418="OK",O3418,0)</f>
        <v/>
      </c>
      <c r="T3418">
        <f>IF(H3418="OK",N3418,"")</f>
        <v/>
      </c>
      <c r="U3418">
        <f>TRIM('Cash_Check'!C418)</f>
        <v/>
      </c>
    </row>
    <row r="3419">
      <c r="A3419" s="62">
        <f>IF(H3419="","",IF(ISNUMBER(N3419),N3419,I3419))</f>
        <v/>
      </c>
      <c r="B3419">
        <f>IF(H3419="","",U3419)</f>
        <v/>
      </c>
      <c r="C3419">
        <f>IF(H3419="","",IF(P3419="",K3419,INDEX('Students'!$A$2:$A$701,P3419)))</f>
        <v/>
      </c>
      <c r="D3419">
        <f>IF(OR(H3419="",P3419=""),"",INDEX('Students'!$B$2:$B$701,P3419))</f>
        <v/>
      </c>
      <c r="E3419">
        <f>IF(OR(H3419="",P3419=""),"",INDEX('Students'!$C$2:$C$701,P3419))</f>
        <v/>
      </c>
      <c r="F3419" s="48">
        <f>IF(H3419="","",IF(ISNUMBER(O3419),O3419,J3419))</f>
        <v/>
      </c>
      <c r="G3419">
        <f>IF(H3419="","",M3419)</f>
        <v/>
      </c>
      <c r="H3419">
        <f>IF(AND(I3419="",J3419="",K3419=""),"",IF(OR(NOT(ISNUMBER(O3419)),N(O3419)&lt;=0),"Bad amount",IF(NOT(ISNUMBER(N3419)),"Bad date",IF(P3419="","NAME NOT ON ROSTER","OK"))))</f>
        <v/>
      </c>
      <c r="I3419">
        <f>IF('Cash_Check'!A419="","",'Cash_Check'!A419)</f>
        <v/>
      </c>
      <c r="J3419">
        <f>IF('Cash_Check'!D419="","",'Cash_Check'!D419)</f>
        <v/>
      </c>
      <c r="K3419">
        <f>TRIM('Cash_Check'!B419)</f>
        <v/>
      </c>
      <c r="M3419">
        <f>IF(TRIM('Cash_Check'!E419)="","Cash/check",TRIM('Cash_Check'!E419))</f>
        <v/>
      </c>
      <c r="N3419">
        <f>IF(I3419="","",IF(ISNUMBER(I3419),INT(I3419),IFERROR(INT(DATEVALUE(I3419)),IFERROR(INT(VALUE(I3419)),"bad"))))</f>
        <v/>
      </c>
      <c r="O3419">
        <f>IF(J3419="","",IF(ISNUMBER(J3419),ROUND(J3419,2),IFERROR(ROUND(VALUE(SUBSTITUTE(SUBSTITUTE(SUBSTITUTE(J3419,"$",""),",","")," ","")),2),"bad")))</f>
        <v/>
      </c>
      <c r="P3419">
        <f>IF(K3419="","",IFERROR(MATCH(IF(ISNUMBER(FIND("#",K3419)),TRIM(MID(K3419,FIND("#",K3419)+1,20)),UPPER(K3419)),'Students'!$AD$2:$AD$701,0),""))</f>
        <v/>
      </c>
      <c r="R3419">
        <f>IF(P3419="","",INDEX('Students'!$AD$2:$AD$701,P3419))</f>
        <v/>
      </c>
      <c r="S3419">
        <f>IF(H3419="OK",O3419,0)</f>
        <v/>
      </c>
      <c r="T3419">
        <f>IF(H3419="OK",N3419,"")</f>
        <v/>
      </c>
      <c r="U3419">
        <f>TRIM('Cash_Check'!C419)</f>
        <v/>
      </c>
    </row>
    <row r="3420">
      <c r="A3420" s="62">
        <f>IF(H3420="","",IF(ISNUMBER(N3420),N3420,I3420))</f>
        <v/>
      </c>
      <c r="B3420">
        <f>IF(H3420="","",U3420)</f>
        <v/>
      </c>
      <c r="C3420">
        <f>IF(H3420="","",IF(P3420="",K3420,INDEX('Students'!$A$2:$A$701,P3420)))</f>
        <v/>
      </c>
      <c r="D3420">
        <f>IF(OR(H3420="",P3420=""),"",INDEX('Students'!$B$2:$B$701,P3420))</f>
        <v/>
      </c>
      <c r="E3420">
        <f>IF(OR(H3420="",P3420=""),"",INDEX('Students'!$C$2:$C$701,P3420))</f>
        <v/>
      </c>
      <c r="F3420" s="48">
        <f>IF(H3420="","",IF(ISNUMBER(O3420),O3420,J3420))</f>
        <v/>
      </c>
      <c r="G3420">
        <f>IF(H3420="","",M3420)</f>
        <v/>
      </c>
      <c r="H3420">
        <f>IF(AND(I3420="",J3420="",K3420=""),"",IF(OR(NOT(ISNUMBER(O3420)),N(O3420)&lt;=0),"Bad amount",IF(NOT(ISNUMBER(N3420)),"Bad date",IF(P3420="","NAME NOT ON ROSTER","OK"))))</f>
        <v/>
      </c>
      <c r="I3420">
        <f>IF('Cash_Check'!A420="","",'Cash_Check'!A420)</f>
        <v/>
      </c>
      <c r="J3420">
        <f>IF('Cash_Check'!D420="","",'Cash_Check'!D420)</f>
        <v/>
      </c>
      <c r="K3420">
        <f>TRIM('Cash_Check'!B420)</f>
        <v/>
      </c>
      <c r="M3420">
        <f>IF(TRIM('Cash_Check'!E420)="","Cash/check",TRIM('Cash_Check'!E420))</f>
        <v/>
      </c>
      <c r="N3420">
        <f>IF(I3420="","",IF(ISNUMBER(I3420),INT(I3420),IFERROR(INT(DATEVALUE(I3420)),IFERROR(INT(VALUE(I3420)),"bad"))))</f>
        <v/>
      </c>
      <c r="O3420">
        <f>IF(J3420="","",IF(ISNUMBER(J3420),ROUND(J3420,2),IFERROR(ROUND(VALUE(SUBSTITUTE(SUBSTITUTE(SUBSTITUTE(J3420,"$",""),",","")," ","")),2),"bad")))</f>
        <v/>
      </c>
      <c r="P3420">
        <f>IF(K3420="","",IFERROR(MATCH(IF(ISNUMBER(FIND("#",K3420)),TRIM(MID(K3420,FIND("#",K3420)+1,20)),UPPER(K3420)),'Students'!$AD$2:$AD$701,0),""))</f>
        <v/>
      </c>
      <c r="R3420">
        <f>IF(P3420="","",INDEX('Students'!$AD$2:$AD$701,P3420))</f>
        <v/>
      </c>
      <c r="S3420">
        <f>IF(H3420="OK",O3420,0)</f>
        <v/>
      </c>
      <c r="T3420">
        <f>IF(H3420="OK",N3420,"")</f>
        <v/>
      </c>
      <c r="U3420">
        <f>TRIM('Cash_Check'!C420)</f>
        <v/>
      </c>
    </row>
    <row r="3421">
      <c r="A3421" s="62">
        <f>IF(H3421="","",IF(ISNUMBER(N3421),N3421,I3421))</f>
        <v/>
      </c>
      <c r="B3421">
        <f>IF(H3421="","",U3421)</f>
        <v/>
      </c>
      <c r="C3421">
        <f>IF(H3421="","",IF(P3421="",K3421,INDEX('Students'!$A$2:$A$701,P3421)))</f>
        <v/>
      </c>
      <c r="D3421">
        <f>IF(OR(H3421="",P3421=""),"",INDEX('Students'!$B$2:$B$701,P3421))</f>
        <v/>
      </c>
      <c r="E3421">
        <f>IF(OR(H3421="",P3421=""),"",INDEX('Students'!$C$2:$C$701,P3421))</f>
        <v/>
      </c>
      <c r="F3421" s="48">
        <f>IF(H3421="","",IF(ISNUMBER(O3421),O3421,J3421))</f>
        <v/>
      </c>
      <c r="G3421">
        <f>IF(H3421="","",M3421)</f>
        <v/>
      </c>
      <c r="H3421">
        <f>IF(AND(I3421="",J3421="",K3421=""),"",IF(OR(NOT(ISNUMBER(O3421)),N(O3421)&lt;=0),"Bad amount",IF(NOT(ISNUMBER(N3421)),"Bad date",IF(P3421="","NAME NOT ON ROSTER","OK"))))</f>
        <v/>
      </c>
      <c r="I3421">
        <f>IF('Cash_Check'!A421="","",'Cash_Check'!A421)</f>
        <v/>
      </c>
      <c r="J3421">
        <f>IF('Cash_Check'!D421="","",'Cash_Check'!D421)</f>
        <v/>
      </c>
      <c r="K3421">
        <f>TRIM('Cash_Check'!B421)</f>
        <v/>
      </c>
      <c r="M3421">
        <f>IF(TRIM('Cash_Check'!E421)="","Cash/check",TRIM('Cash_Check'!E421))</f>
        <v/>
      </c>
      <c r="N3421">
        <f>IF(I3421="","",IF(ISNUMBER(I3421),INT(I3421),IFERROR(INT(DATEVALUE(I3421)),IFERROR(INT(VALUE(I3421)),"bad"))))</f>
        <v/>
      </c>
      <c r="O3421">
        <f>IF(J3421="","",IF(ISNUMBER(J3421),ROUND(J3421,2),IFERROR(ROUND(VALUE(SUBSTITUTE(SUBSTITUTE(SUBSTITUTE(J3421,"$",""),",","")," ","")),2),"bad")))</f>
        <v/>
      </c>
      <c r="P3421">
        <f>IF(K3421="","",IFERROR(MATCH(IF(ISNUMBER(FIND("#",K3421)),TRIM(MID(K3421,FIND("#",K3421)+1,20)),UPPER(K3421)),'Students'!$AD$2:$AD$701,0),""))</f>
        <v/>
      </c>
      <c r="R3421">
        <f>IF(P3421="","",INDEX('Students'!$AD$2:$AD$701,P3421))</f>
        <v/>
      </c>
      <c r="S3421">
        <f>IF(H3421="OK",O3421,0)</f>
        <v/>
      </c>
      <c r="T3421">
        <f>IF(H3421="OK",N3421,"")</f>
        <v/>
      </c>
      <c r="U3421">
        <f>TRIM('Cash_Check'!C421)</f>
        <v/>
      </c>
    </row>
    <row r="3422">
      <c r="A3422" s="62">
        <f>IF(H3422="","",IF(ISNUMBER(N3422),N3422,I3422))</f>
        <v/>
      </c>
      <c r="B3422">
        <f>IF(H3422="","",U3422)</f>
        <v/>
      </c>
      <c r="C3422">
        <f>IF(H3422="","",IF(P3422="",K3422,INDEX('Students'!$A$2:$A$701,P3422)))</f>
        <v/>
      </c>
      <c r="D3422">
        <f>IF(OR(H3422="",P3422=""),"",INDEX('Students'!$B$2:$B$701,P3422))</f>
        <v/>
      </c>
      <c r="E3422">
        <f>IF(OR(H3422="",P3422=""),"",INDEX('Students'!$C$2:$C$701,P3422))</f>
        <v/>
      </c>
      <c r="F3422" s="48">
        <f>IF(H3422="","",IF(ISNUMBER(O3422),O3422,J3422))</f>
        <v/>
      </c>
      <c r="G3422">
        <f>IF(H3422="","",M3422)</f>
        <v/>
      </c>
      <c r="H3422">
        <f>IF(AND(I3422="",J3422="",K3422=""),"",IF(OR(NOT(ISNUMBER(O3422)),N(O3422)&lt;=0),"Bad amount",IF(NOT(ISNUMBER(N3422)),"Bad date",IF(P3422="","NAME NOT ON ROSTER","OK"))))</f>
        <v/>
      </c>
      <c r="I3422">
        <f>IF('Cash_Check'!A422="","",'Cash_Check'!A422)</f>
        <v/>
      </c>
      <c r="J3422">
        <f>IF('Cash_Check'!D422="","",'Cash_Check'!D422)</f>
        <v/>
      </c>
      <c r="K3422">
        <f>TRIM('Cash_Check'!B422)</f>
        <v/>
      </c>
      <c r="M3422">
        <f>IF(TRIM('Cash_Check'!E422)="","Cash/check",TRIM('Cash_Check'!E422))</f>
        <v/>
      </c>
      <c r="N3422">
        <f>IF(I3422="","",IF(ISNUMBER(I3422),INT(I3422),IFERROR(INT(DATEVALUE(I3422)),IFERROR(INT(VALUE(I3422)),"bad"))))</f>
        <v/>
      </c>
      <c r="O3422">
        <f>IF(J3422="","",IF(ISNUMBER(J3422),ROUND(J3422,2),IFERROR(ROUND(VALUE(SUBSTITUTE(SUBSTITUTE(SUBSTITUTE(J3422,"$",""),",","")," ","")),2),"bad")))</f>
        <v/>
      </c>
      <c r="P3422">
        <f>IF(K3422="","",IFERROR(MATCH(IF(ISNUMBER(FIND("#",K3422)),TRIM(MID(K3422,FIND("#",K3422)+1,20)),UPPER(K3422)),'Students'!$AD$2:$AD$701,0),""))</f>
        <v/>
      </c>
      <c r="R3422">
        <f>IF(P3422="","",INDEX('Students'!$AD$2:$AD$701,P3422))</f>
        <v/>
      </c>
      <c r="S3422">
        <f>IF(H3422="OK",O3422,0)</f>
        <v/>
      </c>
      <c r="T3422">
        <f>IF(H3422="OK",N3422,"")</f>
        <v/>
      </c>
      <c r="U3422">
        <f>TRIM('Cash_Check'!C422)</f>
        <v/>
      </c>
    </row>
    <row r="3423">
      <c r="A3423" s="62">
        <f>IF(H3423="","",IF(ISNUMBER(N3423),N3423,I3423))</f>
        <v/>
      </c>
      <c r="B3423">
        <f>IF(H3423="","",U3423)</f>
        <v/>
      </c>
      <c r="C3423">
        <f>IF(H3423="","",IF(P3423="",K3423,INDEX('Students'!$A$2:$A$701,P3423)))</f>
        <v/>
      </c>
      <c r="D3423">
        <f>IF(OR(H3423="",P3423=""),"",INDEX('Students'!$B$2:$B$701,P3423))</f>
        <v/>
      </c>
      <c r="E3423">
        <f>IF(OR(H3423="",P3423=""),"",INDEX('Students'!$C$2:$C$701,P3423))</f>
        <v/>
      </c>
      <c r="F3423" s="48">
        <f>IF(H3423="","",IF(ISNUMBER(O3423),O3423,J3423))</f>
        <v/>
      </c>
      <c r="G3423">
        <f>IF(H3423="","",M3423)</f>
        <v/>
      </c>
      <c r="H3423">
        <f>IF(AND(I3423="",J3423="",K3423=""),"",IF(OR(NOT(ISNUMBER(O3423)),N(O3423)&lt;=0),"Bad amount",IF(NOT(ISNUMBER(N3423)),"Bad date",IF(P3423="","NAME NOT ON ROSTER","OK"))))</f>
        <v/>
      </c>
      <c r="I3423">
        <f>IF('Cash_Check'!A423="","",'Cash_Check'!A423)</f>
        <v/>
      </c>
      <c r="J3423">
        <f>IF('Cash_Check'!D423="","",'Cash_Check'!D423)</f>
        <v/>
      </c>
      <c r="K3423">
        <f>TRIM('Cash_Check'!B423)</f>
        <v/>
      </c>
      <c r="M3423">
        <f>IF(TRIM('Cash_Check'!E423)="","Cash/check",TRIM('Cash_Check'!E423))</f>
        <v/>
      </c>
      <c r="N3423">
        <f>IF(I3423="","",IF(ISNUMBER(I3423),INT(I3423),IFERROR(INT(DATEVALUE(I3423)),IFERROR(INT(VALUE(I3423)),"bad"))))</f>
        <v/>
      </c>
      <c r="O3423">
        <f>IF(J3423="","",IF(ISNUMBER(J3423),ROUND(J3423,2),IFERROR(ROUND(VALUE(SUBSTITUTE(SUBSTITUTE(SUBSTITUTE(J3423,"$",""),",","")," ","")),2),"bad")))</f>
        <v/>
      </c>
      <c r="P3423">
        <f>IF(K3423="","",IFERROR(MATCH(IF(ISNUMBER(FIND("#",K3423)),TRIM(MID(K3423,FIND("#",K3423)+1,20)),UPPER(K3423)),'Students'!$AD$2:$AD$701,0),""))</f>
        <v/>
      </c>
      <c r="R3423">
        <f>IF(P3423="","",INDEX('Students'!$AD$2:$AD$701,P3423))</f>
        <v/>
      </c>
      <c r="S3423">
        <f>IF(H3423="OK",O3423,0)</f>
        <v/>
      </c>
      <c r="T3423">
        <f>IF(H3423="OK",N3423,"")</f>
        <v/>
      </c>
      <c r="U3423">
        <f>TRIM('Cash_Check'!C423)</f>
        <v/>
      </c>
    </row>
    <row r="3424">
      <c r="A3424" s="62">
        <f>IF(H3424="","",IF(ISNUMBER(N3424),N3424,I3424))</f>
        <v/>
      </c>
      <c r="B3424">
        <f>IF(H3424="","",U3424)</f>
        <v/>
      </c>
      <c r="C3424">
        <f>IF(H3424="","",IF(P3424="",K3424,INDEX('Students'!$A$2:$A$701,P3424)))</f>
        <v/>
      </c>
      <c r="D3424">
        <f>IF(OR(H3424="",P3424=""),"",INDEX('Students'!$B$2:$B$701,P3424))</f>
        <v/>
      </c>
      <c r="E3424">
        <f>IF(OR(H3424="",P3424=""),"",INDEX('Students'!$C$2:$C$701,P3424))</f>
        <v/>
      </c>
      <c r="F3424" s="48">
        <f>IF(H3424="","",IF(ISNUMBER(O3424),O3424,J3424))</f>
        <v/>
      </c>
      <c r="G3424">
        <f>IF(H3424="","",M3424)</f>
        <v/>
      </c>
      <c r="H3424">
        <f>IF(AND(I3424="",J3424="",K3424=""),"",IF(OR(NOT(ISNUMBER(O3424)),N(O3424)&lt;=0),"Bad amount",IF(NOT(ISNUMBER(N3424)),"Bad date",IF(P3424="","NAME NOT ON ROSTER","OK"))))</f>
        <v/>
      </c>
      <c r="I3424">
        <f>IF('Cash_Check'!A424="","",'Cash_Check'!A424)</f>
        <v/>
      </c>
      <c r="J3424">
        <f>IF('Cash_Check'!D424="","",'Cash_Check'!D424)</f>
        <v/>
      </c>
      <c r="K3424">
        <f>TRIM('Cash_Check'!B424)</f>
        <v/>
      </c>
      <c r="M3424">
        <f>IF(TRIM('Cash_Check'!E424)="","Cash/check",TRIM('Cash_Check'!E424))</f>
        <v/>
      </c>
      <c r="N3424">
        <f>IF(I3424="","",IF(ISNUMBER(I3424),INT(I3424),IFERROR(INT(DATEVALUE(I3424)),IFERROR(INT(VALUE(I3424)),"bad"))))</f>
        <v/>
      </c>
      <c r="O3424">
        <f>IF(J3424="","",IF(ISNUMBER(J3424),ROUND(J3424,2),IFERROR(ROUND(VALUE(SUBSTITUTE(SUBSTITUTE(SUBSTITUTE(J3424,"$",""),",","")," ","")),2),"bad")))</f>
        <v/>
      </c>
      <c r="P3424">
        <f>IF(K3424="","",IFERROR(MATCH(IF(ISNUMBER(FIND("#",K3424)),TRIM(MID(K3424,FIND("#",K3424)+1,20)),UPPER(K3424)),'Students'!$AD$2:$AD$701,0),""))</f>
        <v/>
      </c>
      <c r="R3424">
        <f>IF(P3424="","",INDEX('Students'!$AD$2:$AD$701,P3424))</f>
        <v/>
      </c>
      <c r="S3424">
        <f>IF(H3424="OK",O3424,0)</f>
        <v/>
      </c>
      <c r="T3424">
        <f>IF(H3424="OK",N3424,"")</f>
        <v/>
      </c>
      <c r="U3424">
        <f>TRIM('Cash_Check'!C424)</f>
        <v/>
      </c>
    </row>
    <row r="3425">
      <c r="A3425" s="62">
        <f>IF(H3425="","",IF(ISNUMBER(N3425),N3425,I3425))</f>
        <v/>
      </c>
      <c r="B3425">
        <f>IF(H3425="","",U3425)</f>
        <v/>
      </c>
      <c r="C3425">
        <f>IF(H3425="","",IF(P3425="",K3425,INDEX('Students'!$A$2:$A$701,P3425)))</f>
        <v/>
      </c>
      <c r="D3425">
        <f>IF(OR(H3425="",P3425=""),"",INDEX('Students'!$B$2:$B$701,P3425))</f>
        <v/>
      </c>
      <c r="E3425">
        <f>IF(OR(H3425="",P3425=""),"",INDEX('Students'!$C$2:$C$701,P3425))</f>
        <v/>
      </c>
      <c r="F3425" s="48">
        <f>IF(H3425="","",IF(ISNUMBER(O3425),O3425,J3425))</f>
        <v/>
      </c>
      <c r="G3425">
        <f>IF(H3425="","",M3425)</f>
        <v/>
      </c>
      <c r="H3425">
        <f>IF(AND(I3425="",J3425="",K3425=""),"",IF(OR(NOT(ISNUMBER(O3425)),N(O3425)&lt;=0),"Bad amount",IF(NOT(ISNUMBER(N3425)),"Bad date",IF(P3425="","NAME NOT ON ROSTER","OK"))))</f>
        <v/>
      </c>
      <c r="I3425">
        <f>IF('Cash_Check'!A425="","",'Cash_Check'!A425)</f>
        <v/>
      </c>
      <c r="J3425">
        <f>IF('Cash_Check'!D425="","",'Cash_Check'!D425)</f>
        <v/>
      </c>
      <c r="K3425">
        <f>TRIM('Cash_Check'!B425)</f>
        <v/>
      </c>
      <c r="M3425">
        <f>IF(TRIM('Cash_Check'!E425)="","Cash/check",TRIM('Cash_Check'!E425))</f>
        <v/>
      </c>
      <c r="N3425">
        <f>IF(I3425="","",IF(ISNUMBER(I3425),INT(I3425),IFERROR(INT(DATEVALUE(I3425)),IFERROR(INT(VALUE(I3425)),"bad"))))</f>
        <v/>
      </c>
      <c r="O3425">
        <f>IF(J3425="","",IF(ISNUMBER(J3425),ROUND(J3425,2),IFERROR(ROUND(VALUE(SUBSTITUTE(SUBSTITUTE(SUBSTITUTE(J3425,"$",""),",","")," ","")),2),"bad")))</f>
        <v/>
      </c>
      <c r="P3425">
        <f>IF(K3425="","",IFERROR(MATCH(IF(ISNUMBER(FIND("#",K3425)),TRIM(MID(K3425,FIND("#",K3425)+1,20)),UPPER(K3425)),'Students'!$AD$2:$AD$701,0),""))</f>
        <v/>
      </c>
      <c r="R3425">
        <f>IF(P3425="","",INDEX('Students'!$AD$2:$AD$701,P3425))</f>
        <v/>
      </c>
      <c r="S3425">
        <f>IF(H3425="OK",O3425,0)</f>
        <v/>
      </c>
      <c r="T3425">
        <f>IF(H3425="OK",N3425,"")</f>
        <v/>
      </c>
      <c r="U3425">
        <f>TRIM('Cash_Check'!C425)</f>
        <v/>
      </c>
    </row>
    <row r="3426">
      <c r="A3426" s="62">
        <f>IF(H3426="","",IF(ISNUMBER(N3426),N3426,I3426))</f>
        <v/>
      </c>
      <c r="B3426">
        <f>IF(H3426="","",U3426)</f>
        <v/>
      </c>
      <c r="C3426">
        <f>IF(H3426="","",IF(P3426="",K3426,INDEX('Students'!$A$2:$A$701,P3426)))</f>
        <v/>
      </c>
      <c r="D3426">
        <f>IF(OR(H3426="",P3426=""),"",INDEX('Students'!$B$2:$B$701,P3426))</f>
        <v/>
      </c>
      <c r="E3426">
        <f>IF(OR(H3426="",P3426=""),"",INDEX('Students'!$C$2:$C$701,P3426))</f>
        <v/>
      </c>
      <c r="F3426" s="48">
        <f>IF(H3426="","",IF(ISNUMBER(O3426),O3426,J3426))</f>
        <v/>
      </c>
      <c r="G3426">
        <f>IF(H3426="","",M3426)</f>
        <v/>
      </c>
      <c r="H3426">
        <f>IF(AND(I3426="",J3426="",K3426=""),"",IF(OR(NOT(ISNUMBER(O3426)),N(O3426)&lt;=0),"Bad amount",IF(NOT(ISNUMBER(N3426)),"Bad date",IF(P3426="","NAME NOT ON ROSTER","OK"))))</f>
        <v/>
      </c>
      <c r="I3426">
        <f>IF('Cash_Check'!A426="","",'Cash_Check'!A426)</f>
        <v/>
      </c>
      <c r="J3426">
        <f>IF('Cash_Check'!D426="","",'Cash_Check'!D426)</f>
        <v/>
      </c>
      <c r="K3426">
        <f>TRIM('Cash_Check'!B426)</f>
        <v/>
      </c>
      <c r="M3426">
        <f>IF(TRIM('Cash_Check'!E426)="","Cash/check",TRIM('Cash_Check'!E426))</f>
        <v/>
      </c>
      <c r="N3426">
        <f>IF(I3426="","",IF(ISNUMBER(I3426),INT(I3426),IFERROR(INT(DATEVALUE(I3426)),IFERROR(INT(VALUE(I3426)),"bad"))))</f>
        <v/>
      </c>
      <c r="O3426">
        <f>IF(J3426="","",IF(ISNUMBER(J3426),ROUND(J3426,2),IFERROR(ROUND(VALUE(SUBSTITUTE(SUBSTITUTE(SUBSTITUTE(J3426,"$",""),",","")," ","")),2),"bad")))</f>
        <v/>
      </c>
      <c r="P3426">
        <f>IF(K3426="","",IFERROR(MATCH(IF(ISNUMBER(FIND("#",K3426)),TRIM(MID(K3426,FIND("#",K3426)+1,20)),UPPER(K3426)),'Students'!$AD$2:$AD$701,0),""))</f>
        <v/>
      </c>
      <c r="R3426">
        <f>IF(P3426="","",INDEX('Students'!$AD$2:$AD$701,P3426))</f>
        <v/>
      </c>
      <c r="S3426">
        <f>IF(H3426="OK",O3426,0)</f>
        <v/>
      </c>
      <c r="T3426">
        <f>IF(H3426="OK",N3426,"")</f>
        <v/>
      </c>
      <c r="U3426">
        <f>TRIM('Cash_Check'!C426)</f>
        <v/>
      </c>
    </row>
    <row r="3427">
      <c r="A3427" s="62">
        <f>IF(H3427="","",IF(ISNUMBER(N3427),N3427,I3427))</f>
        <v/>
      </c>
      <c r="B3427">
        <f>IF(H3427="","",U3427)</f>
        <v/>
      </c>
      <c r="C3427">
        <f>IF(H3427="","",IF(P3427="",K3427,INDEX('Students'!$A$2:$A$701,P3427)))</f>
        <v/>
      </c>
      <c r="D3427">
        <f>IF(OR(H3427="",P3427=""),"",INDEX('Students'!$B$2:$B$701,P3427))</f>
        <v/>
      </c>
      <c r="E3427">
        <f>IF(OR(H3427="",P3427=""),"",INDEX('Students'!$C$2:$C$701,P3427))</f>
        <v/>
      </c>
      <c r="F3427" s="48">
        <f>IF(H3427="","",IF(ISNUMBER(O3427),O3427,J3427))</f>
        <v/>
      </c>
      <c r="G3427">
        <f>IF(H3427="","",M3427)</f>
        <v/>
      </c>
      <c r="H3427">
        <f>IF(AND(I3427="",J3427="",K3427=""),"",IF(OR(NOT(ISNUMBER(O3427)),N(O3427)&lt;=0),"Bad amount",IF(NOT(ISNUMBER(N3427)),"Bad date",IF(P3427="","NAME NOT ON ROSTER","OK"))))</f>
        <v/>
      </c>
      <c r="I3427">
        <f>IF('Cash_Check'!A427="","",'Cash_Check'!A427)</f>
        <v/>
      </c>
      <c r="J3427">
        <f>IF('Cash_Check'!D427="","",'Cash_Check'!D427)</f>
        <v/>
      </c>
      <c r="K3427">
        <f>TRIM('Cash_Check'!B427)</f>
        <v/>
      </c>
      <c r="M3427">
        <f>IF(TRIM('Cash_Check'!E427)="","Cash/check",TRIM('Cash_Check'!E427))</f>
        <v/>
      </c>
      <c r="N3427">
        <f>IF(I3427="","",IF(ISNUMBER(I3427),INT(I3427),IFERROR(INT(DATEVALUE(I3427)),IFERROR(INT(VALUE(I3427)),"bad"))))</f>
        <v/>
      </c>
      <c r="O3427">
        <f>IF(J3427="","",IF(ISNUMBER(J3427),ROUND(J3427,2),IFERROR(ROUND(VALUE(SUBSTITUTE(SUBSTITUTE(SUBSTITUTE(J3427,"$",""),",","")," ","")),2),"bad")))</f>
        <v/>
      </c>
      <c r="P3427">
        <f>IF(K3427="","",IFERROR(MATCH(IF(ISNUMBER(FIND("#",K3427)),TRIM(MID(K3427,FIND("#",K3427)+1,20)),UPPER(K3427)),'Students'!$AD$2:$AD$701,0),""))</f>
        <v/>
      </c>
      <c r="R3427">
        <f>IF(P3427="","",INDEX('Students'!$AD$2:$AD$701,P3427))</f>
        <v/>
      </c>
      <c r="S3427">
        <f>IF(H3427="OK",O3427,0)</f>
        <v/>
      </c>
      <c r="T3427">
        <f>IF(H3427="OK",N3427,"")</f>
        <v/>
      </c>
      <c r="U3427">
        <f>TRIM('Cash_Check'!C427)</f>
        <v/>
      </c>
    </row>
    <row r="3428">
      <c r="A3428" s="62">
        <f>IF(H3428="","",IF(ISNUMBER(N3428),N3428,I3428))</f>
        <v/>
      </c>
      <c r="B3428">
        <f>IF(H3428="","",U3428)</f>
        <v/>
      </c>
      <c r="C3428">
        <f>IF(H3428="","",IF(P3428="",K3428,INDEX('Students'!$A$2:$A$701,P3428)))</f>
        <v/>
      </c>
      <c r="D3428">
        <f>IF(OR(H3428="",P3428=""),"",INDEX('Students'!$B$2:$B$701,P3428))</f>
        <v/>
      </c>
      <c r="E3428">
        <f>IF(OR(H3428="",P3428=""),"",INDEX('Students'!$C$2:$C$701,P3428))</f>
        <v/>
      </c>
      <c r="F3428" s="48">
        <f>IF(H3428="","",IF(ISNUMBER(O3428),O3428,J3428))</f>
        <v/>
      </c>
      <c r="G3428">
        <f>IF(H3428="","",M3428)</f>
        <v/>
      </c>
      <c r="H3428">
        <f>IF(AND(I3428="",J3428="",K3428=""),"",IF(OR(NOT(ISNUMBER(O3428)),N(O3428)&lt;=0),"Bad amount",IF(NOT(ISNUMBER(N3428)),"Bad date",IF(P3428="","NAME NOT ON ROSTER","OK"))))</f>
        <v/>
      </c>
      <c r="I3428">
        <f>IF('Cash_Check'!A428="","",'Cash_Check'!A428)</f>
        <v/>
      </c>
      <c r="J3428">
        <f>IF('Cash_Check'!D428="","",'Cash_Check'!D428)</f>
        <v/>
      </c>
      <c r="K3428">
        <f>TRIM('Cash_Check'!B428)</f>
        <v/>
      </c>
      <c r="M3428">
        <f>IF(TRIM('Cash_Check'!E428)="","Cash/check",TRIM('Cash_Check'!E428))</f>
        <v/>
      </c>
      <c r="N3428">
        <f>IF(I3428="","",IF(ISNUMBER(I3428),INT(I3428),IFERROR(INT(DATEVALUE(I3428)),IFERROR(INT(VALUE(I3428)),"bad"))))</f>
        <v/>
      </c>
      <c r="O3428">
        <f>IF(J3428="","",IF(ISNUMBER(J3428),ROUND(J3428,2),IFERROR(ROUND(VALUE(SUBSTITUTE(SUBSTITUTE(SUBSTITUTE(J3428,"$",""),",","")," ","")),2),"bad")))</f>
        <v/>
      </c>
      <c r="P3428">
        <f>IF(K3428="","",IFERROR(MATCH(IF(ISNUMBER(FIND("#",K3428)),TRIM(MID(K3428,FIND("#",K3428)+1,20)),UPPER(K3428)),'Students'!$AD$2:$AD$701,0),""))</f>
        <v/>
      </c>
      <c r="R3428">
        <f>IF(P3428="","",INDEX('Students'!$AD$2:$AD$701,P3428))</f>
        <v/>
      </c>
      <c r="S3428">
        <f>IF(H3428="OK",O3428,0)</f>
        <v/>
      </c>
      <c r="T3428">
        <f>IF(H3428="OK",N3428,"")</f>
        <v/>
      </c>
      <c r="U3428">
        <f>TRIM('Cash_Check'!C428)</f>
        <v/>
      </c>
    </row>
    <row r="3429">
      <c r="A3429" s="62">
        <f>IF(H3429="","",IF(ISNUMBER(N3429),N3429,I3429))</f>
        <v/>
      </c>
      <c r="B3429">
        <f>IF(H3429="","",U3429)</f>
        <v/>
      </c>
      <c r="C3429">
        <f>IF(H3429="","",IF(P3429="",K3429,INDEX('Students'!$A$2:$A$701,P3429)))</f>
        <v/>
      </c>
      <c r="D3429">
        <f>IF(OR(H3429="",P3429=""),"",INDEX('Students'!$B$2:$B$701,P3429))</f>
        <v/>
      </c>
      <c r="E3429">
        <f>IF(OR(H3429="",P3429=""),"",INDEX('Students'!$C$2:$C$701,P3429))</f>
        <v/>
      </c>
      <c r="F3429" s="48">
        <f>IF(H3429="","",IF(ISNUMBER(O3429),O3429,J3429))</f>
        <v/>
      </c>
      <c r="G3429">
        <f>IF(H3429="","",M3429)</f>
        <v/>
      </c>
      <c r="H3429">
        <f>IF(AND(I3429="",J3429="",K3429=""),"",IF(OR(NOT(ISNUMBER(O3429)),N(O3429)&lt;=0),"Bad amount",IF(NOT(ISNUMBER(N3429)),"Bad date",IF(P3429="","NAME NOT ON ROSTER","OK"))))</f>
        <v/>
      </c>
      <c r="I3429">
        <f>IF('Cash_Check'!A429="","",'Cash_Check'!A429)</f>
        <v/>
      </c>
      <c r="J3429">
        <f>IF('Cash_Check'!D429="","",'Cash_Check'!D429)</f>
        <v/>
      </c>
      <c r="K3429">
        <f>TRIM('Cash_Check'!B429)</f>
        <v/>
      </c>
      <c r="M3429">
        <f>IF(TRIM('Cash_Check'!E429)="","Cash/check",TRIM('Cash_Check'!E429))</f>
        <v/>
      </c>
      <c r="N3429">
        <f>IF(I3429="","",IF(ISNUMBER(I3429),INT(I3429),IFERROR(INT(DATEVALUE(I3429)),IFERROR(INT(VALUE(I3429)),"bad"))))</f>
        <v/>
      </c>
      <c r="O3429">
        <f>IF(J3429="","",IF(ISNUMBER(J3429),ROUND(J3429,2),IFERROR(ROUND(VALUE(SUBSTITUTE(SUBSTITUTE(SUBSTITUTE(J3429,"$",""),",","")," ","")),2),"bad")))</f>
        <v/>
      </c>
      <c r="P3429">
        <f>IF(K3429="","",IFERROR(MATCH(IF(ISNUMBER(FIND("#",K3429)),TRIM(MID(K3429,FIND("#",K3429)+1,20)),UPPER(K3429)),'Students'!$AD$2:$AD$701,0),""))</f>
        <v/>
      </c>
      <c r="R3429">
        <f>IF(P3429="","",INDEX('Students'!$AD$2:$AD$701,P3429))</f>
        <v/>
      </c>
      <c r="S3429">
        <f>IF(H3429="OK",O3429,0)</f>
        <v/>
      </c>
      <c r="T3429">
        <f>IF(H3429="OK",N3429,"")</f>
        <v/>
      </c>
      <c r="U3429">
        <f>TRIM('Cash_Check'!C429)</f>
        <v/>
      </c>
    </row>
    <row r="3430">
      <c r="A3430" s="62">
        <f>IF(H3430="","",IF(ISNUMBER(N3430),N3430,I3430))</f>
        <v/>
      </c>
      <c r="B3430">
        <f>IF(H3430="","",U3430)</f>
        <v/>
      </c>
      <c r="C3430">
        <f>IF(H3430="","",IF(P3430="",K3430,INDEX('Students'!$A$2:$A$701,P3430)))</f>
        <v/>
      </c>
      <c r="D3430">
        <f>IF(OR(H3430="",P3430=""),"",INDEX('Students'!$B$2:$B$701,P3430))</f>
        <v/>
      </c>
      <c r="E3430">
        <f>IF(OR(H3430="",P3430=""),"",INDEX('Students'!$C$2:$C$701,P3430))</f>
        <v/>
      </c>
      <c r="F3430" s="48">
        <f>IF(H3430="","",IF(ISNUMBER(O3430),O3430,J3430))</f>
        <v/>
      </c>
      <c r="G3430">
        <f>IF(H3430="","",M3430)</f>
        <v/>
      </c>
      <c r="H3430">
        <f>IF(AND(I3430="",J3430="",K3430=""),"",IF(OR(NOT(ISNUMBER(O3430)),N(O3430)&lt;=0),"Bad amount",IF(NOT(ISNUMBER(N3430)),"Bad date",IF(P3430="","NAME NOT ON ROSTER","OK"))))</f>
        <v/>
      </c>
      <c r="I3430">
        <f>IF('Cash_Check'!A430="","",'Cash_Check'!A430)</f>
        <v/>
      </c>
      <c r="J3430">
        <f>IF('Cash_Check'!D430="","",'Cash_Check'!D430)</f>
        <v/>
      </c>
      <c r="K3430">
        <f>TRIM('Cash_Check'!B430)</f>
        <v/>
      </c>
      <c r="M3430">
        <f>IF(TRIM('Cash_Check'!E430)="","Cash/check",TRIM('Cash_Check'!E430))</f>
        <v/>
      </c>
      <c r="N3430">
        <f>IF(I3430="","",IF(ISNUMBER(I3430),INT(I3430),IFERROR(INT(DATEVALUE(I3430)),IFERROR(INT(VALUE(I3430)),"bad"))))</f>
        <v/>
      </c>
      <c r="O3430">
        <f>IF(J3430="","",IF(ISNUMBER(J3430),ROUND(J3430,2),IFERROR(ROUND(VALUE(SUBSTITUTE(SUBSTITUTE(SUBSTITUTE(J3430,"$",""),",","")," ","")),2),"bad")))</f>
        <v/>
      </c>
      <c r="P3430">
        <f>IF(K3430="","",IFERROR(MATCH(IF(ISNUMBER(FIND("#",K3430)),TRIM(MID(K3430,FIND("#",K3430)+1,20)),UPPER(K3430)),'Students'!$AD$2:$AD$701,0),""))</f>
        <v/>
      </c>
      <c r="R3430">
        <f>IF(P3430="","",INDEX('Students'!$AD$2:$AD$701,P3430))</f>
        <v/>
      </c>
      <c r="S3430">
        <f>IF(H3430="OK",O3430,0)</f>
        <v/>
      </c>
      <c r="T3430">
        <f>IF(H3430="OK",N3430,"")</f>
        <v/>
      </c>
      <c r="U3430">
        <f>TRIM('Cash_Check'!C430)</f>
        <v/>
      </c>
    </row>
    <row r="3431">
      <c r="A3431" s="62">
        <f>IF(H3431="","",IF(ISNUMBER(N3431),N3431,I3431))</f>
        <v/>
      </c>
      <c r="B3431">
        <f>IF(H3431="","",U3431)</f>
        <v/>
      </c>
      <c r="C3431">
        <f>IF(H3431="","",IF(P3431="",K3431,INDEX('Students'!$A$2:$A$701,P3431)))</f>
        <v/>
      </c>
      <c r="D3431">
        <f>IF(OR(H3431="",P3431=""),"",INDEX('Students'!$B$2:$B$701,P3431))</f>
        <v/>
      </c>
      <c r="E3431">
        <f>IF(OR(H3431="",P3431=""),"",INDEX('Students'!$C$2:$C$701,P3431))</f>
        <v/>
      </c>
      <c r="F3431" s="48">
        <f>IF(H3431="","",IF(ISNUMBER(O3431),O3431,J3431))</f>
        <v/>
      </c>
      <c r="G3431">
        <f>IF(H3431="","",M3431)</f>
        <v/>
      </c>
      <c r="H3431">
        <f>IF(AND(I3431="",J3431="",K3431=""),"",IF(OR(NOT(ISNUMBER(O3431)),N(O3431)&lt;=0),"Bad amount",IF(NOT(ISNUMBER(N3431)),"Bad date",IF(P3431="","NAME NOT ON ROSTER","OK"))))</f>
        <v/>
      </c>
      <c r="I3431">
        <f>IF('Cash_Check'!A431="","",'Cash_Check'!A431)</f>
        <v/>
      </c>
      <c r="J3431">
        <f>IF('Cash_Check'!D431="","",'Cash_Check'!D431)</f>
        <v/>
      </c>
      <c r="K3431">
        <f>TRIM('Cash_Check'!B431)</f>
        <v/>
      </c>
      <c r="M3431">
        <f>IF(TRIM('Cash_Check'!E431)="","Cash/check",TRIM('Cash_Check'!E431))</f>
        <v/>
      </c>
      <c r="N3431">
        <f>IF(I3431="","",IF(ISNUMBER(I3431),INT(I3431),IFERROR(INT(DATEVALUE(I3431)),IFERROR(INT(VALUE(I3431)),"bad"))))</f>
        <v/>
      </c>
      <c r="O3431">
        <f>IF(J3431="","",IF(ISNUMBER(J3431),ROUND(J3431,2),IFERROR(ROUND(VALUE(SUBSTITUTE(SUBSTITUTE(SUBSTITUTE(J3431,"$",""),",","")," ","")),2),"bad")))</f>
        <v/>
      </c>
      <c r="P3431">
        <f>IF(K3431="","",IFERROR(MATCH(IF(ISNUMBER(FIND("#",K3431)),TRIM(MID(K3431,FIND("#",K3431)+1,20)),UPPER(K3431)),'Students'!$AD$2:$AD$701,0),""))</f>
        <v/>
      </c>
      <c r="R3431">
        <f>IF(P3431="","",INDEX('Students'!$AD$2:$AD$701,P3431))</f>
        <v/>
      </c>
      <c r="S3431">
        <f>IF(H3431="OK",O3431,0)</f>
        <v/>
      </c>
      <c r="T3431">
        <f>IF(H3431="OK",N3431,"")</f>
        <v/>
      </c>
      <c r="U3431">
        <f>TRIM('Cash_Check'!C431)</f>
        <v/>
      </c>
    </row>
    <row r="3432">
      <c r="A3432" s="62">
        <f>IF(H3432="","",IF(ISNUMBER(N3432),N3432,I3432))</f>
        <v/>
      </c>
      <c r="B3432">
        <f>IF(H3432="","",U3432)</f>
        <v/>
      </c>
      <c r="C3432">
        <f>IF(H3432="","",IF(P3432="",K3432,INDEX('Students'!$A$2:$A$701,P3432)))</f>
        <v/>
      </c>
      <c r="D3432">
        <f>IF(OR(H3432="",P3432=""),"",INDEX('Students'!$B$2:$B$701,P3432))</f>
        <v/>
      </c>
      <c r="E3432">
        <f>IF(OR(H3432="",P3432=""),"",INDEX('Students'!$C$2:$C$701,P3432))</f>
        <v/>
      </c>
      <c r="F3432" s="48">
        <f>IF(H3432="","",IF(ISNUMBER(O3432),O3432,J3432))</f>
        <v/>
      </c>
      <c r="G3432">
        <f>IF(H3432="","",M3432)</f>
        <v/>
      </c>
      <c r="H3432">
        <f>IF(AND(I3432="",J3432="",K3432=""),"",IF(OR(NOT(ISNUMBER(O3432)),N(O3432)&lt;=0),"Bad amount",IF(NOT(ISNUMBER(N3432)),"Bad date",IF(P3432="","NAME NOT ON ROSTER","OK"))))</f>
        <v/>
      </c>
      <c r="I3432">
        <f>IF('Cash_Check'!A432="","",'Cash_Check'!A432)</f>
        <v/>
      </c>
      <c r="J3432">
        <f>IF('Cash_Check'!D432="","",'Cash_Check'!D432)</f>
        <v/>
      </c>
      <c r="K3432">
        <f>TRIM('Cash_Check'!B432)</f>
        <v/>
      </c>
      <c r="M3432">
        <f>IF(TRIM('Cash_Check'!E432)="","Cash/check",TRIM('Cash_Check'!E432))</f>
        <v/>
      </c>
      <c r="N3432">
        <f>IF(I3432="","",IF(ISNUMBER(I3432),INT(I3432),IFERROR(INT(DATEVALUE(I3432)),IFERROR(INT(VALUE(I3432)),"bad"))))</f>
        <v/>
      </c>
      <c r="O3432">
        <f>IF(J3432="","",IF(ISNUMBER(J3432),ROUND(J3432,2),IFERROR(ROUND(VALUE(SUBSTITUTE(SUBSTITUTE(SUBSTITUTE(J3432,"$",""),",","")," ","")),2),"bad")))</f>
        <v/>
      </c>
      <c r="P3432">
        <f>IF(K3432="","",IFERROR(MATCH(IF(ISNUMBER(FIND("#",K3432)),TRIM(MID(K3432,FIND("#",K3432)+1,20)),UPPER(K3432)),'Students'!$AD$2:$AD$701,0),""))</f>
        <v/>
      </c>
      <c r="R3432">
        <f>IF(P3432="","",INDEX('Students'!$AD$2:$AD$701,P3432))</f>
        <v/>
      </c>
      <c r="S3432">
        <f>IF(H3432="OK",O3432,0)</f>
        <v/>
      </c>
      <c r="T3432">
        <f>IF(H3432="OK",N3432,"")</f>
        <v/>
      </c>
      <c r="U3432">
        <f>TRIM('Cash_Check'!C432)</f>
        <v/>
      </c>
    </row>
    <row r="3433">
      <c r="A3433" s="62">
        <f>IF(H3433="","",IF(ISNUMBER(N3433),N3433,I3433))</f>
        <v/>
      </c>
      <c r="B3433">
        <f>IF(H3433="","",U3433)</f>
        <v/>
      </c>
      <c r="C3433">
        <f>IF(H3433="","",IF(P3433="",K3433,INDEX('Students'!$A$2:$A$701,P3433)))</f>
        <v/>
      </c>
      <c r="D3433">
        <f>IF(OR(H3433="",P3433=""),"",INDEX('Students'!$B$2:$B$701,P3433))</f>
        <v/>
      </c>
      <c r="E3433">
        <f>IF(OR(H3433="",P3433=""),"",INDEX('Students'!$C$2:$C$701,P3433))</f>
        <v/>
      </c>
      <c r="F3433" s="48">
        <f>IF(H3433="","",IF(ISNUMBER(O3433),O3433,J3433))</f>
        <v/>
      </c>
      <c r="G3433">
        <f>IF(H3433="","",M3433)</f>
        <v/>
      </c>
      <c r="H3433">
        <f>IF(AND(I3433="",J3433="",K3433=""),"",IF(OR(NOT(ISNUMBER(O3433)),N(O3433)&lt;=0),"Bad amount",IF(NOT(ISNUMBER(N3433)),"Bad date",IF(P3433="","NAME NOT ON ROSTER","OK"))))</f>
        <v/>
      </c>
      <c r="I3433">
        <f>IF('Cash_Check'!A433="","",'Cash_Check'!A433)</f>
        <v/>
      </c>
      <c r="J3433">
        <f>IF('Cash_Check'!D433="","",'Cash_Check'!D433)</f>
        <v/>
      </c>
      <c r="K3433">
        <f>TRIM('Cash_Check'!B433)</f>
        <v/>
      </c>
      <c r="M3433">
        <f>IF(TRIM('Cash_Check'!E433)="","Cash/check",TRIM('Cash_Check'!E433))</f>
        <v/>
      </c>
      <c r="N3433">
        <f>IF(I3433="","",IF(ISNUMBER(I3433),INT(I3433),IFERROR(INT(DATEVALUE(I3433)),IFERROR(INT(VALUE(I3433)),"bad"))))</f>
        <v/>
      </c>
      <c r="O3433">
        <f>IF(J3433="","",IF(ISNUMBER(J3433),ROUND(J3433,2),IFERROR(ROUND(VALUE(SUBSTITUTE(SUBSTITUTE(SUBSTITUTE(J3433,"$",""),",","")," ","")),2),"bad")))</f>
        <v/>
      </c>
      <c r="P3433">
        <f>IF(K3433="","",IFERROR(MATCH(IF(ISNUMBER(FIND("#",K3433)),TRIM(MID(K3433,FIND("#",K3433)+1,20)),UPPER(K3433)),'Students'!$AD$2:$AD$701,0),""))</f>
        <v/>
      </c>
      <c r="R3433">
        <f>IF(P3433="","",INDEX('Students'!$AD$2:$AD$701,P3433))</f>
        <v/>
      </c>
      <c r="S3433">
        <f>IF(H3433="OK",O3433,0)</f>
        <v/>
      </c>
      <c r="T3433">
        <f>IF(H3433="OK",N3433,"")</f>
        <v/>
      </c>
      <c r="U3433">
        <f>TRIM('Cash_Check'!C433)</f>
        <v/>
      </c>
    </row>
    <row r="3434">
      <c r="A3434" s="62">
        <f>IF(H3434="","",IF(ISNUMBER(N3434),N3434,I3434))</f>
        <v/>
      </c>
      <c r="B3434">
        <f>IF(H3434="","",U3434)</f>
        <v/>
      </c>
      <c r="C3434">
        <f>IF(H3434="","",IF(P3434="",K3434,INDEX('Students'!$A$2:$A$701,P3434)))</f>
        <v/>
      </c>
      <c r="D3434">
        <f>IF(OR(H3434="",P3434=""),"",INDEX('Students'!$B$2:$B$701,P3434))</f>
        <v/>
      </c>
      <c r="E3434">
        <f>IF(OR(H3434="",P3434=""),"",INDEX('Students'!$C$2:$C$701,P3434))</f>
        <v/>
      </c>
      <c r="F3434" s="48">
        <f>IF(H3434="","",IF(ISNUMBER(O3434),O3434,J3434))</f>
        <v/>
      </c>
      <c r="G3434">
        <f>IF(H3434="","",M3434)</f>
        <v/>
      </c>
      <c r="H3434">
        <f>IF(AND(I3434="",J3434="",K3434=""),"",IF(OR(NOT(ISNUMBER(O3434)),N(O3434)&lt;=0),"Bad amount",IF(NOT(ISNUMBER(N3434)),"Bad date",IF(P3434="","NAME NOT ON ROSTER","OK"))))</f>
        <v/>
      </c>
      <c r="I3434">
        <f>IF('Cash_Check'!A434="","",'Cash_Check'!A434)</f>
        <v/>
      </c>
      <c r="J3434">
        <f>IF('Cash_Check'!D434="","",'Cash_Check'!D434)</f>
        <v/>
      </c>
      <c r="K3434">
        <f>TRIM('Cash_Check'!B434)</f>
        <v/>
      </c>
      <c r="M3434">
        <f>IF(TRIM('Cash_Check'!E434)="","Cash/check",TRIM('Cash_Check'!E434))</f>
        <v/>
      </c>
      <c r="N3434">
        <f>IF(I3434="","",IF(ISNUMBER(I3434),INT(I3434),IFERROR(INT(DATEVALUE(I3434)),IFERROR(INT(VALUE(I3434)),"bad"))))</f>
        <v/>
      </c>
      <c r="O3434">
        <f>IF(J3434="","",IF(ISNUMBER(J3434),ROUND(J3434,2),IFERROR(ROUND(VALUE(SUBSTITUTE(SUBSTITUTE(SUBSTITUTE(J3434,"$",""),",","")," ","")),2),"bad")))</f>
        <v/>
      </c>
      <c r="P3434">
        <f>IF(K3434="","",IFERROR(MATCH(IF(ISNUMBER(FIND("#",K3434)),TRIM(MID(K3434,FIND("#",K3434)+1,20)),UPPER(K3434)),'Students'!$AD$2:$AD$701,0),""))</f>
        <v/>
      </c>
      <c r="R3434">
        <f>IF(P3434="","",INDEX('Students'!$AD$2:$AD$701,P3434))</f>
        <v/>
      </c>
      <c r="S3434">
        <f>IF(H3434="OK",O3434,0)</f>
        <v/>
      </c>
      <c r="T3434">
        <f>IF(H3434="OK",N3434,"")</f>
        <v/>
      </c>
      <c r="U3434">
        <f>TRIM('Cash_Check'!C434)</f>
        <v/>
      </c>
    </row>
    <row r="3435">
      <c r="A3435" s="62">
        <f>IF(H3435="","",IF(ISNUMBER(N3435),N3435,I3435))</f>
        <v/>
      </c>
      <c r="B3435">
        <f>IF(H3435="","",U3435)</f>
        <v/>
      </c>
      <c r="C3435">
        <f>IF(H3435="","",IF(P3435="",K3435,INDEX('Students'!$A$2:$A$701,P3435)))</f>
        <v/>
      </c>
      <c r="D3435">
        <f>IF(OR(H3435="",P3435=""),"",INDEX('Students'!$B$2:$B$701,P3435))</f>
        <v/>
      </c>
      <c r="E3435">
        <f>IF(OR(H3435="",P3435=""),"",INDEX('Students'!$C$2:$C$701,P3435))</f>
        <v/>
      </c>
      <c r="F3435" s="48">
        <f>IF(H3435="","",IF(ISNUMBER(O3435),O3435,J3435))</f>
        <v/>
      </c>
      <c r="G3435">
        <f>IF(H3435="","",M3435)</f>
        <v/>
      </c>
      <c r="H3435">
        <f>IF(AND(I3435="",J3435="",K3435=""),"",IF(OR(NOT(ISNUMBER(O3435)),N(O3435)&lt;=0),"Bad amount",IF(NOT(ISNUMBER(N3435)),"Bad date",IF(P3435="","NAME NOT ON ROSTER","OK"))))</f>
        <v/>
      </c>
      <c r="I3435">
        <f>IF('Cash_Check'!A435="","",'Cash_Check'!A435)</f>
        <v/>
      </c>
      <c r="J3435">
        <f>IF('Cash_Check'!D435="","",'Cash_Check'!D435)</f>
        <v/>
      </c>
      <c r="K3435">
        <f>TRIM('Cash_Check'!B435)</f>
        <v/>
      </c>
      <c r="M3435">
        <f>IF(TRIM('Cash_Check'!E435)="","Cash/check",TRIM('Cash_Check'!E435))</f>
        <v/>
      </c>
      <c r="N3435">
        <f>IF(I3435="","",IF(ISNUMBER(I3435),INT(I3435),IFERROR(INT(DATEVALUE(I3435)),IFERROR(INT(VALUE(I3435)),"bad"))))</f>
        <v/>
      </c>
      <c r="O3435">
        <f>IF(J3435="","",IF(ISNUMBER(J3435),ROUND(J3435,2),IFERROR(ROUND(VALUE(SUBSTITUTE(SUBSTITUTE(SUBSTITUTE(J3435,"$",""),",","")," ","")),2),"bad")))</f>
        <v/>
      </c>
      <c r="P3435">
        <f>IF(K3435="","",IFERROR(MATCH(IF(ISNUMBER(FIND("#",K3435)),TRIM(MID(K3435,FIND("#",K3435)+1,20)),UPPER(K3435)),'Students'!$AD$2:$AD$701,0),""))</f>
        <v/>
      </c>
      <c r="R3435">
        <f>IF(P3435="","",INDEX('Students'!$AD$2:$AD$701,P3435))</f>
        <v/>
      </c>
      <c r="S3435">
        <f>IF(H3435="OK",O3435,0)</f>
        <v/>
      </c>
      <c r="T3435">
        <f>IF(H3435="OK",N3435,"")</f>
        <v/>
      </c>
      <c r="U3435">
        <f>TRIM('Cash_Check'!C435)</f>
        <v/>
      </c>
    </row>
    <row r="3436">
      <c r="A3436" s="62">
        <f>IF(H3436="","",IF(ISNUMBER(N3436),N3436,I3436))</f>
        <v/>
      </c>
      <c r="B3436">
        <f>IF(H3436="","",U3436)</f>
        <v/>
      </c>
      <c r="C3436">
        <f>IF(H3436="","",IF(P3436="",K3436,INDEX('Students'!$A$2:$A$701,P3436)))</f>
        <v/>
      </c>
      <c r="D3436">
        <f>IF(OR(H3436="",P3436=""),"",INDEX('Students'!$B$2:$B$701,P3436))</f>
        <v/>
      </c>
      <c r="E3436">
        <f>IF(OR(H3436="",P3436=""),"",INDEX('Students'!$C$2:$C$701,P3436))</f>
        <v/>
      </c>
      <c r="F3436" s="48">
        <f>IF(H3436="","",IF(ISNUMBER(O3436),O3436,J3436))</f>
        <v/>
      </c>
      <c r="G3436">
        <f>IF(H3436="","",M3436)</f>
        <v/>
      </c>
      <c r="H3436">
        <f>IF(AND(I3436="",J3436="",K3436=""),"",IF(OR(NOT(ISNUMBER(O3436)),N(O3436)&lt;=0),"Bad amount",IF(NOT(ISNUMBER(N3436)),"Bad date",IF(P3436="","NAME NOT ON ROSTER","OK"))))</f>
        <v/>
      </c>
      <c r="I3436">
        <f>IF('Cash_Check'!A436="","",'Cash_Check'!A436)</f>
        <v/>
      </c>
      <c r="J3436">
        <f>IF('Cash_Check'!D436="","",'Cash_Check'!D436)</f>
        <v/>
      </c>
      <c r="K3436">
        <f>TRIM('Cash_Check'!B436)</f>
        <v/>
      </c>
      <c r="M3436">
        <f>IF(TRIM('Cash_Check'!E436)="","Cash/check",TRIM('Cash_Check'!E436))</f>
        <v/>
      </c>
      <c r="N3436">
        <f>IF(I3436="","",IF(ISNUMBER(I3436),INT(I3436),IFERROR(INT(DATEVALUE(I3436)),IFERROR(INT(VALUE(I3436)),"bad"))))</f>
        <v/>
      </c>
      <c r="O3436">
        <f>IF(J3436="","",IF(ISNUMBER(J3436),ROUND(J3436,2),IFERROR(ROUND(VALUE(SUBSTITUTE(SUBSTITUTE(SUBSTITUTE(J3436,"$",""),",","")," ","")),2),"bad")))</f>
        <v/>
      </c>
      <c r="P3436">
        <f>IF(K3436="","",IFERROR(MATCH(IF(ISNUMBER(FIND("#",K3436)),TRIM(MID(K3436,FIND("#",K3436)+1,20)),UPPER(K3436)),'Students'!$AD$2:$AD$701,0),""))</f>
        <v/>
      </c>
      <c r="R3436">
        <f>IF(P3436="","",INDEX('Students'!$AD$2:$AD$701,P3436))</f>
        <v/>
      </c>
      <c r="S3436">
        <f>IF(H3436="OK",O3436,0)</f>
        <v/>
      </c>
      <c r="T3436">
        <f>IF(H3436="OK",N3436,"")</f>
        <v/>
      </c>
      <c r="U3436">
        <f>TRIM('Cash_Check'!C436)</f>
        <v/>
      </c>
    </row>
    <row r="3437">
      <c r="A3437" s="62">
        <f>IF(H3437="","",IF(ISNUMBER(N3437),N3437,I3437))</f>
        <v/>
      </c>
      <c r="B3437">
        <f>IF(H3437="","",U3437)</f>
        <v/>
      </c>
      <c r="C3437">
        <f>IF(H3437="","",IF(P3437="",K3437,INDEX('Students'!$A$2:$A$701,P3437)))</f>
        <v/>
      </c>
      <c r="D3437">
        <f>IF(OR(H3437="",P3437=""),"",INDEX('Students'!$B$2:$B$701,P3437))</f>
        <v/>
      </c>
      <c r="E3437">
        <f>IF(OR(H3437="",P3437=""),"",INDEX('Students'!$C$2:$C$701,P3437))</f>
        <v/>
      </c>
      <c r="F3437" s="48">
        <f>IF(H3437="","",IF(ISNUMBER(O3437),O3437,J3437))</f>
        <v/>
      </c>
      <c r="G3437">
        <f>IF(H3437="","",M3437)</f>
        <v/>
      </c>
      <c r="H3437">
        <f>IF(AND(I3437="",J3437="",K3437=""),"",IF(OR(NOT(ISNUMBER(O3437)),N(O3437)&lt;=0),"Bad amount",IF(NOT(ISNUMBER(N3437)),"Bad date",IF(P3437="","NAME NOT ON ROSTER","OK"))))</f>
        <v/>
      </c>
      <c r="I3437">
        <f>IF('Cash_Check'!A437="","",'Cash_Check'!A437)</f>
        <v/>
      </c>
      <c r="J3437">
        <f>IF('Cash_Check'!D437="","",'Cash_Check'!D437)</f>
        <v/>
      </c>
      <c r="K3437">
        <f>TRIM('Cash_Check'!B437)</f>
        <v/>
      </c>
      <c r="M3437">
        <f>IF(TRIM('Cash_Check'!E437)="","Cash/check",TRIM('Cash_Check'!E437))</f>
        <v/>
      </c>
      <c r="N3437">
        <f>IF(I3437="","",IF(ISNUMBER(I3437),INT(I3437),IFERROR(INT(DATEVALUE(I3437)),IFERROR(INT(VALUE(I3437)),"bad"))))</f>
        <v/>
      </c>
      <c r="O3437">
        <f>IF(J3437="","",IF(ISNUMBER(J3437),ROUND(J3437,2),IFERROR(ROUND(VALUE(SUBSTITUTE(SUBSTITUTE(SUBSTITUTE(J3437,"$",""),",","")," ","")),2),"bad")))</f>
        <v/>
      </c>
      <c r="P3437">
        <f>IF(K3437="","",IFERROR(MATCH(IF(ISNUMBER(FIND("#",K3437)),TRIM(MID(K3437,FIND("#",K3437)+1,20)),UPPER(K3437)),'Students'!$AD$2:$AD$701,0),""))</f>
        <v/>
      </c>
      <c r="R3437">
        <f>IF(P3437="","",INDEX('Students'!$AD$2:$AD$701,P3437))</f>
        <v/>
      </c>
      <c r="S3437">
        <f>IF(H3437="OK",O3437,0)</f>
        <v/>
      </c>
      <c r="T3437">
        <f>IF(H3437="OK",N3437,"")</f>
        <v/>
      </c>
      <c r="U3437">
        <f>TRIM('Cash_Check'!C437)</f>
        <v/>
      </c>
    </row>
    <row r="3438">
      <c r="A3438" s="62">
        <f>IF(H3438="","",IF(ISNUMBER(N3438),N3438,I3438))</f>
        <v/>
      </c>
      <c r="B3438">
        <f>IF(H3438="","",U3438)</f>
        <v/>
      </c>
      <c r="C3438">
        <f>IF(H3438="","",IF(P3438="",K3438,INDEX('Students'!$A$2:$A$701,P3438)))</f>
        <v/>
      </c>
      <c r="D3438">
        <f>IF(OR(H3438="",P3438=""),"",INDEX('Students'!$B$2:$B$701,P3438))</f>
        <v/>
      </c>
      <c r="E3438">
        <f>IF(OR(H3438="",P3438=""),"",INDEX('Students'!$C$2:$C$701,P3438))</f>
        <v/>
      </c>
      <c r="F3438" s="48">
        <f>IF(H3438="","",IF(ISNUMBER(O3438),O3438,J3438))</f>
        <v/>
      </c>
      <c r="G3438">
        <f>IF(H3438="","",M3438)</f>
        <v/>
      </c>
      <c r="H3438">
        <f>IF(AND(I3438="",J3438="",K3438=""),"",IF(OR(NOT(ISNUMBER(O3438)),N(O3438)&lt;=0),"Bad amount",IF(NOT(ISNUMBER(N3438)),"Bad date",IF(P3438="","NAME NOT ON ROSTER","OK"))))</f>
        <v/>
      </c>
      <c r="I3438">
        <f>IF('Cash_Check'!A438="","",'Cash_Check'!A438)</f>
        <v/>
      </c>
      <c r="J3438">
        <f>IF('Cash_Check'!D438="","",'Cash_Check'!D438)</f>
        <v/>
      </c>
      <c r="K3438">
        <f>TRIM('Cash_Check'!B438)</f>
        <v/>
      </c>
      <c r="M3438">
        <f>IF(TRIM('Cash_Check'!E438)="","Cash/check",TRIM('Cash_Check'!E438))</f>
        <v/>
      </c>
      <c r="N3438">
        <f>IF(I3438="","",IF(ISNUMBER(I3438),INT(I3438),IFERROR(INT(DATEVALUE(I3438)),IFERROR(INT(VALUE(I3438)),"bad"))))</f>
        <v/>
      </c>
      <c r="O3438">
        <f>IF(J3438="","",IF(ISNUMBER(J3438),ROUND(J3438,2),IFERROR(ROUND(VALUE(SUBSTITUTE(SUBSTITUTE(SUBSTITUTE(J3438,"$",""),",","")," ","")),2),"bad")))</f>
        <v/>
      </c>
      <c r="P3438">
        <f>IF(K3438="","",IFERROR(MATCH(IF(ISNUMBER(FIND("#",K3438)),TRIM(MID(K3438,FIND("#",K3438)+1,20)),UPPER(K3438)),'Students'!$AD$2:$AD$701,0),""))</f>
        <v/>
      </c>
      <c r="R3438">
        <f>IF(P3438="","",INDEX('Students'!$AD$2:$AD$701,P3438))</f>
        <v/>
      </c>
      <c r="S3438">
        <f>IF(H3438="OK",O3438,0)</f>
        <v/>
      </c>
      <c r="T3438">
        <f>IF(H3438="OK",N3438,"")</f>
        <v/>
      </c>
      <c r="U3438">
        <f>TRIM('Cash_Check'!C438)</f>
        <v/>
      </c>
    </row>
    <row r="3439">
      <c r="A3439" s="62">
        <f>IF(H3439="","",IF(ISNUMBER(N3439),N3439,I3439))</f>
        <v/>
      </c>
      <c r="B3439">
        <f>IF(H3439="","",U3439)</f>
        <v/>
      </c>
      <c r="C3439">
        <f>IF(H3439="","",IF(P3439="",K3439,INDEX('Students'!$A$2:$A$701,P3439)))</f>
        <v/>
      </c>
      <c r="D3439">
        <f>IF(OR(H3439="",P3439=""),"",INDEX('Students'!$B$2:$B$701,P3439))</f>
        <v/>
      </c>
      <c r="E3439">
        <f>IF(OR(H3439="",P3439=""),"",INDEX('Students'!$C$2:$C$701,P3439))</f>
        <v/>
      </c>
      <c r="F3439" s="48">
        <f>IF(H3439="","",IF(ISNUMBER(O3439),O3439,J3439))</f>
        <v/>
      </c>
      <c r="G3439">
        <f>IF(H3439="","",M3439)</f>
        <v/>
      </c>
      <c r="H3439">
        <f>IF(AND(I3439="",J3439="",K3439=""),"",IF(OR(NOT(ISNUMBER(O3439)),N(O3439)&lt;=0),"Bad amount",IF(NOT(ISNUMBER(N3439)),"Bad date",IF(P3439="","NAME NOT ON ROSTER","OK"))))</f>
        <v/>
      </c>
      <c r="I3439">
        <f>IF('Cash_Check'!A439="","",'Cash_Check'!A439)</f>
        <v/>
      </c>
      <c r="J3439">
        <f>IF('Cash_Check'!D439="","",'Cash_Check'!D439)</f>
        <v/>
      </c>
      <c r="K3439">
        <f>TRIM('Cash_Check'!B439)</f>
        <v/>
      </c>
      <c r="M3439">
        <f>IF(TRIM('Cash_Check'!E439)="","Cash/check",TRIM('Cash_Check'!E439))</f>
        <v/>
      </c>
      <c r="N3439">
        <f>IF(I3439="","",IF(ISNUMBER(I3439),INT(I3439),IFERROR(INT(DATEVALUE(I3439)),IFERROR(INT(VALUE(I3439)),"bad"))))</f>
        <v/>
      </c>
      <c r="O3439">
        <f>IF(J3439="","",IF(ISNUMBER(J3439),ROUND(J3439,2),IFERROR(ROUND(VALUE(SUBSTITUTE(SUBSTITUTE(SUBSTITUTE(J3439,"$",""),",","")," ","")),2),"bad")))</f>
        <v/>
      </c>
      <c r="P3439">
        <f>IF(K3439="","",IFERROR(MATCH(IF(ISNUMBER(FIND("#",K3439)),TRIM(MID(K3439,FIND("#",K3439)+1,20)),UPPER(K3439)),'Students'!$AD$2:$AD$701,0),""))</f>
        <v/>
      </c>
      <c r="R3439">
        <f>IF(P3439="","",INDEX('Students'!$AD$2:$AD$701,P3439))</f>
        <v/>
      </c>
      <c r="S3439">
        <f>IF(H3439="OK",O3439,0)</f>
        <v/>
      </c>
      <c r="T3439">
        <f>IF(H3439="OK",N3439,"")</f>
        <v/>
      </c>
      <c r="U3439">
        <f>TRIM('Cash_Check'!C439)</f>
        <v/>
      </c>
    </row>
    <row r="3440">
      <c r="A3440" s="62">
        <f>IF(H3440="","",IF(ISNUMBER(N3440),N3440,I3440))</f>
        <v/>
      </c>
      <c r="B3440">
        <f>IF(H3440="","",U3440)</f>
        <v/>
      </c>
      <c r="C3440">
        <f>IF(H3440="","",IF(P3440="",K3440,INDEX('Students'!$A$2:$A$701,P3440)))</f>
        <v/>
      </c>
      <c r="D3440">
        <f>IF(OR(H3440="",P3440=""),"",INDEX('Students'!$B$2:$B$701,P3440))</f>
        <v/>
      </c>
      <c r="E3440">
        <f>IF(OR(H3440="",P3440=""),"",INDEX('Students'!$C$2:$C$701,P3440))</f>
        <v/>
      </c>
      <c r="F3440" s="48">
        <f>IF(H3440="","",IF(ISNUMBER(O3440),O3440,J3440))</f>
        <v/>
      </c>
      <c r="G3440">
        <f>IF(H3440="","",M3440)</f>
        <v/>
      </c>
      <c r="H3440">
        <f>IF(AND(I3440="",J3440="",K3440=""),"",IF(OR(NOT(ISNUMBER(O3440)),N(O3440)&lt;=0),"Bad amount",IF(NOT(ISNUMBER(N3440)),"Bad date",IF(P3440="","NAME NOT ON ROSTER","OK"))))</f>
        <v/>
      </c>
      <c r="I3440">
        <f>IF('Cash_Check'!A440="","",'Cash_Check'!A440)</f>
        <v/>
      </c>
      <c r="J3440">
        <f>IF('Cash_Check'!D440="","",'Cash_Check'!D440)</f>
        <v/>
      </c>
      <c r="K3440">
        <f>TRIM('Cash_Check'!B440)</f>
        <v/>
      </c>
      <c r="M3440">
        <f>IF(TRIM('Cash_Check'!E440)="","Cash/check",TRIM('Cash_Check'!E440))</f>
        <v/>
      </c>
      <c r="N3440">
        <f>IF(I3440="","",IF(ISNUMBER(I3440),INT(I3440),IFERROR(INT(DATEVALUE(I3440)),IFERROR(INT(VALUE(I3440)),"bad"))))</f>
        <v/>
      </c>
      <c r="O3440">
        <f>IF(J3440="","",IF(ISNUMBER(J3440),ROUND(J3440,2),IFERROR(ROUND(VALUE(SUBSTITUTE(SUBSTITUTE(SUBSTITUTE(J3440,"$",""),",","")," ","")),2),"bad")))</f>
        <v/>
      </c>
      <c r="P3440">
        <f>IF(K3440="","",IFERROR(MATCH(IF(ISNUMBER(FIND("#",K3440)),TRIM(MID(K3440,FIND("#",K3440)+1,20)),UPPER(K3440)),'Students'!$AD$2:$AD$701,0),""))</f>
        <v/>
      </c>
      <c r="R3440">
        <f>IF(P3440="","",INDEX('Students'!$AD$2:$AD$701,P3440))</f>
        <v/>
      </c>
      <c r="S3440">
        <f>IF(H3440="OK",O3440,0)</f>
        <v/>
      </c>
      <c r="T3440">
        <f>IF(H3440="OK",N3440,"")</f>
        <v/>
      </c>
      <c r="U3440">
        <f>TRIM('Cash_Check'!C440)</f>
        <v/>
      </c>
    </row>
    <row r="3441">
      <c r="A3441" s="62">
        <f>IF(H3441="","",IF(ISNUMBER(N3441),N3441,I3441))</f>
        <v/>
      </c>
      <c r="B3441">
        <f>IF(H3441="","",U3441)</f>
        <v/>
      </c>
      <c r="C3441">
        <f>IF(H3441="","",IF(P3441="",K3441,INDEX('Students'!$A$2:$A$701,P3441)))</f>
        <v/>
      </c>
      <c r="D3441">
        <f>IF(OR(H3441="",P3441=""),"",INDEX('Students'!$B$2:$B$701,P3441))</f>
        <v/>
      </c>
      <c r="E3441">
        <f>IF(OR(H3441="",P3441=""),"",INDEX('Students'!$C$2:$C$701,P3441))</f>
        <v/>
      </c>
      <c r="F3441" s="48">
        <f>IF(H3441="","",IF(ISNUMBER(O3441),O3441,J3441))</f>
        <v/>
      </c>
      <c r="G3441">
        <f>IF(H3441="","",M3441)</f>
        <v/>
      </c>
      <c r="H3441">
        <f>IF(AND(I3441="",J3441="",K3441=""),"",IF(OR(NOT(ISNUMBER(O3441)),N(O3441)&lt;=0),"Bad amount",IF(NOT(ISNUMBER(N3441)),"Bad date",IF(P3441="","NAME NOT ON ROSTER","OK"))))</f>
        <v/>
      </c>
      <c r="I3441">
        <f>IF('Cash_Check'!A441="","",'Cash_Check'!A441)</f>
        <v/>
      </c>
      <c r="J3441">
        <f>IF('Cash_Check'!D441="","",'Cash_Check'!D441)</f>
        <v/>
      </c>
      <c r="K3441">
        <f>TRIM('Cash_Check'!B441)</f>
        <v/>
      </c>
      <c r="M3441">
        <f>IF(TRIM('Cash_Check'!E441)="","Cash/check",TRIM('Cash_Check'!E441))</f>
        <v/>
      </c>
      <c r="N3441">
        <f>IF(I3441="","",IF(ISNUMBER(I3441),INT(I3441),IFERROR(INT(DATEVALUE(I3441)),IFERROR(INT(VALUE(I3441)),"bad"))))</f>
        <v/>
      </c>
      <c r="O3441">
        <f>IF(J3441="","",IF(ISNUMBER(J3441),ROUND(J3441,2),IFERROR(ROUND(VALUE(SUBSTITUTE(SUBSTITUTE(SUBSTITUTE(J3441,"$",""),",","")," ","")),2),"bad")))</f>
        <v/>
      </c>
      <c r="P3441">
        <f>IF(K3441="","",IFERROR(MATCH(IF(ISNUMBER(FIND("#",K3441)),TRIM(MID(K3441,FIND("#",K3441)+1,20)),UPPER(K3441)),'Students'!$AD$2:$AD$701,0),""))</f>
        <v/>
      </c>
      <c r="R3441">
        <f>IF(P3441="","",INDEX('Students'!$AD$2:$AD$701,P3441))</f>
        <v/>
      </c>
      <c r="S3441">
        <f>IF(H3441="OK",O3441,0)</f>
        <v/>
      </c>
      <c r="T3441">
        <f>IF(H3441="OK",N3441,"")</f>
        <v/>
      </c>
      <c r="U3441">
        <f>TRIM('Cash_Check'!C441)</f>
        <v/>
      </c>
    </row>
    <row r="3442">
      <c r="A3442" s="62">
        <f>IF(H3442="","",IF(ISNUMBER(N3442),N3442,I3442))</f>
        <v/>
      </c>
      <c r="B3442">
        <f>IF(H3442="","",U3442)</f>
        <v/>
      </c>
      <c r="C3442">
        <f>IF(H3442="","",IF(P3442="",K3442,INDEX('Students'!$A$2:$A$701,P3442)))</f>
        <v/>
      </c>
      <c r="D3442">
        <f>IF(OR(H3442="",P3442=""),"",INDEX('Students'!$B$2:$B$701,P3442))</f>
        <v/>
      </c>
      <c r="E3442">
        <f>IF(OR(H3442="",P3442=""),"",INDEX('Students'!$C$2:$C$701,P3442))</f>
        <v/>
      </c>
      <c r="F3442" s="48">
        <f>IF(H3442="","",IF(ISNUMBER(O3442),O3442,J3442))</f>
        <v/>
      </c>
      <c r="G3442">
        <f>IF(H3442="","",M3442)</f>
        <v/>
      </c>
      <c r="H3442">
        <f>IF(AND(I3442="",J3442="",K3442=""),"",IF(OR(NOT(ISNUMBER(O3442)),N(O3442)&lt;=0),"Bad amount",IF(NOT(ISNUMBER(N3442)),"Bad date",IF(P3442="","NAME NOT ON ROSTER","OK"))))</f>
        <v/>
      </c>
      <c r="I3442">
        <f>IF('Cash_Check'!A442="","",'Cash_Check'!A442)</f>
        <v/>
      </c>
      <c r="J3442">
        <f>IF('Cash_Check'!D442="","",'Cash_Check'!D442)</f>
        <v/>
      </c>
      <c r="K3442">
        <f>TRIM('Cash_Check'!B442)</f>
        <v/>
      </c>
      <c r="M3442">
        <f>IF(TRIM('Cash_Check'!E442)="","Cash/check",TRIM('Cash_Check'!E442))</f>
        <v/>
      </c>
      <c r="N3442">
        <f>IF(I3442="","",IF(ISNUMBER(I3442),INT(I3442),IFERROR(INT(DATEVALUE(I3442)),IFERROR(INT(VALUE(I3442)),"bad"))))</f>
        <v/>
      </c>
      <c r="O3442">
        <f>IF(J3442="","",IF(ISNUMBER(J3442),ROUND(J3442,2),IFERROR(ROUND(VALUE(SUBSTITUTE(SUBSTITUTE(SUBSTITUTE(J3442,"$",""),",","")," ","")),2),"bad")))</f>
        <v/>
      </c>
      <c r="P3442">
        <f>IF(K3442="","",IFERROR(MATCH(IF(ISNUMBER(FIND("#",K3442)),TRIM(MID(K3442,FIND("#",K3442)+1,20)),UPPER(K3442)),'Students'!$AD$2:$AD$701,0),""))</f>
        <v/>
      </c>
      <c r="R3442">
        <f>IF(P3442="","",INDEX('Students'!$AD$2:$AD$701,P3442))</f>
        <v/>
      </c>
      <c r="S3442">
        <f>IF(H3442="OK",O3442,0)</f>
        <v/>
      </c>
      <c r="T3442">
        <f>IF(H3442="OK",N3442,"")</f>
        <v/>
      </c>
      <c r="U3442">
        <f>TRIM('Cash_Check'!C442)</f>
        <v/>
      </c>
    </row>
    <row r="3443">
      <c r="A3443" s="62">
        <f>IF(H3443="","",IF(ISNUMBER(N3443),N3443,I3443))</f>
        <v/>
      </c>
      <c r="B3443">
        <f>IF(H3443="","",U3443)</f>
        <v/>
      </c>
      <c r="C3443">
        <f>IF(H3443="","",IF(P3443="",K3443,INDEX('Students'!$A$2:$A$701,P3443)))</f>
        <v/>
      </c>
      <c r="D3443">
        <f>IF(OR(H3443="",P3443=""),"",INDEX('Students'!$B$2:$B$701,P3443))</f>
        <v/>
      </c>
      <c r="E3443">
        <f>IF(OR(H3443="",P3443=""),"",INDEX('Students'!$C$2:$C$701,P3443))</f>
        <v/>
      </c>
      <c r="F3443" s="48">
        <f>IF(H3443="","",IF(ISNUMBER(O3443),O3443,J3443))</f>
        <v/>
      </c>
      <c r="G3443">
        <f>IF(H3443="","",M3443)</f>
        <v/>
      </c>
      <c r="H3443">
        <f>IF(AND(I3443="",J3443="",K3443=""),"",IF(OR(NOT(ISNUMBER(O3443)),N(O3443)&lt;=0),"Bad amount",IF(NOT(ISNUMBER(N3443)),"Bad date",IF(P3443="","NAME NOT ON ROSTER","OK"))))</f>
        <v/>
      </c>
      <c r="I3443">
        <f>IF('Cash_Check'!A443="","",'Cash_Check'!A443)</f>
        <v/>
      </c>
      <c r="J3443">
        <f>IF('Cash_Check'!D443="","",'Cash_Check'!D443)</f>
        <v/>
      </c>
      <c r="K3443">
        <f>TRIM('Cash_Check'!B443)</f>
        <v/>
      </c>
      <c r="M3443">
        <f>IF(TRIM('Cash_Check'!E443)="","Cash/check",TRIM('Cash_Check'!E443))</f>
        <v/>
      </c>
      <c r="N3443">
        <f>IF(I3443="","",IF(ISNUMBER(I3443),INT(I3443),IFERROR(INT(DATEVALUE(I3443)),IFERROR(INT(VALUE(I3443)),"bad"))))</f>
        <v/>
      </c>
      <c r="O3443">
        <f>IF(J3443="","",IF(ISNUMBER(J3443),ROUND(J3443,2),IFERROR(ROUND(VALUE(SUBSTITUTE(SUBSTITUTE(SUBSTITUTE(J3443,"$",""),",","")," ","")),2),"bad")))</f>
        <v/>
      </c>
      <c r="P3443">
        <f>IF(K3443="","",IFERROR(MATCH(IF(ISNUMBER(FIND("#",K3443)),TRIM(MID(K3443,FIND("#",K3443)+1,20)),UPPER(K3443)),'Students'!$AD$2:$AD$701,0),""))</f>
        <v/>
      </c>
      <c r="R3443">
        <f>IF(P3443="","",INDEX('Students'!$AD$2:$AD$701,P3443))</f>
        <v/>
      </c>
      <c r="S3443">
        <f>IF(H3443="OK",O3443,0)</f>
        <v/>
      </c>
      <c r="T3443">
        <f>IF(H3443="OK",N3443,"")</f>
        <v/>
      </c>
      <c r="U3443">
        <f>TRIM('Cash_Check'!C443)</f>
        <v/>
      </c>
    </row>
    <row r="3444">
      <c r="A3444" s="62">
        <f>IF(H3444="","",IF(ISNUMBER(N3444),N3444,I3444))</f>
        <v/>
      </c>
      <c r="B3444">
        <f>IF(H3444="","",U3444)</f>
        <v/>
      </c>
      <c r="C3444">
        <f>IF(H3444="","",IF(P3444="",K3444,INDEX('Students'!$A$2:$A$701,P3444)))</f>
        <v/>
      </c>
      <c r="D3444">
        <f>IF(OR(H3444="",P3444=""),"",INDEX('Students'!$B$2:$B$701,P3444))</f>
        <v/>
      </c>
      <c r="E3444">
        <f>IF(OR(H3444="",P3444=""),"",INDEX('Students'!$C$2:$C$701,P3444))</f>
        <v/>
      </c>
      <c r="F3444" s="48">
        <f>IF(H3444="","",IF(ISNUMBER(O3444),O3444,J3444))</f>
        <v/>
      </c>
      <c r="G3444">
        <f>IF(H3444="","",M3444)</f>
        <v/>
      </c>
      <c r="H3444">
        <f>IF(AND(I3444="",J3444="",K3444=""),"",IF(OR(NOT(ISNUMBER(O3444)),N(O3444)&lt;=0),"Bad amount",IF(NOT(ISNUMBER(N3444)),"Bad date",IF(P3444="","NAME NOT ON ROSTER","OK"))))</f>
        <v/>
      </c>
      <c r="I3444">
        <f>IF('Cash_Check'!A444="","",'Cash_Check'!A444)</f>
        <v/>
      </c>
      <c r="J3444">
        <f>IF('Cash_Check'!D444="","",'Cash_Check'!D444)</f>
        <v/>
      </c>
      <c r="K3444">
        <f>TRIM('Cash_Check'!B444)</f>
        <v/>
      </c>
      <c r="M3444">
        <f>IF(TRIM('Cash_Check'!E444)="","Cash/check",TRIM('Cash_Check'!E444))</f>
        <v/>
      </c>
      <c r="N3444">
        <f>IF(I3444="","",IF(ISNUMBER(I3444),INT(I3444),IFERROR(INT(DATEVALUE(I3444)),IFERROR(INT(VALUE(I3444)),"bad"))))</f>
        <v/>
      </c>
      <c r="O3444">
        <f>IF(J3444="","",IF(ISNUMBER(J3444),ROUND(J3444,2),IFERROR(ROUND(VALUE(SUBSTITUTE(SUBSTITUTE(SUBSTITUTE(J3444,"$",""),",","")," ","")),2),"bad")))</f>
        <v/>
      </c>
      <c r="P3444">
        <f>IF(K3444="","",IFERROR(MATCH(IF(ISNUMBER(FIND("#",K3444)),TRIM(MID(K3444,FIND("#",K3444)+1,20)),UPPER(K3444)),'Students'!$AD$2:$AD$701,0),""))</f>
        <v/>
      </c>
      <c r="R3444">
        <f>IF(P3444="","",INDEX('Students'!$AD$2:$AD$701,P3444))</f>
        <v/>
      </c>
      <c r="S3444">
        <f>IF(H3444="OK",O3444,0)</f>
        <v/>
      </c>
      <c r="T3444">
        <f>IF(H3444="OK",N3444,"")</f>
        <v/>
      </c>
      <c r="U3444">
        <f>TRIM('Cash_Check'!C444)</f>
        <v/>
      </c>
    </row>
    <row r="3445">
      <c r="A3445" s="62">
        <f>IF(H3445="","",IF(ISNUMBER(N3445),N3445,I3445))</f>
        <v/>
      </c>
      <c r="B3445">
        <f>IF(H3445="","",U3445)</f>
        <v/>
      </c>
      <c r="C3445">
        <f>IF(H3445="","",IF(P3445="",K3445,INDEX('Students'!$A$2:$A$701,P3445)))</f>
        <v/>
      </c>
      <c r="D3445">
        <f>IF(OR(H3445="",P3445=""),"",INDEX('Students'!$B$2:$B$701,P3445))</f>
        <v/>
      </c>
      <c r="E3445">
        <f>IF(OR(H3445="",P3445=""),"",INDEX('Students'!$C$2:$C$701,P3445))</f>
        <v/>
      </c>
      <c r="F3445" s="48">
        <f>IF(H3445="","",IF(ISNUMBER(O3445),O3445,J3445))</f>
        <v/>
      </c>
      <c r="G3445">
        <f>IF(H3445="","",M3445)</f>
        <v/>
      </c>
      <c r="H3445">
        <f>IF(AND(I3445="",J3445="",K3445=""),"",IF(OR(NOT(ISNUMBER(O3445)),N(O3445)&lt;=0),"Bad amount",IF(NOT(ISNUMBER(N3445)),"Bad date",IF(P3445="","NAME NOT ON ROSTER","OK"))))</f>
        <v/>
      </c>
      <c r="I3445">
        <f>IF('Cash_Check'!A445="","",'Cash_Check'!A445)</f>
        <v/>
      </c>
      <c r="J3445">
        <f>IF('Cash_Check'!D445="","",'Cash_Check'!D445)</f>
        <v/>
      </c>
      <c r="K3445">
        <f>TRIM('Cash_Check'!B445)</f>
        <v/>
      </c>
      <c r="M3445">
        <f>IF(TRIM('Cash_Check'!E445)="","Cash/check",TRIM('Cash_Check'!E445))</f>
        <v/>
      </c>
      <c r="N3445">
        <f>IF(I3445="","",IF(ISNUMBER(I3445),INT(I3445),IFERROR(INT(DATEVALUE(I3445)),IFERROR(INT(VALUE(I3445)),"bad"))))</f>
        <v/>
      </c>
      <c r="O3445">
        <f>IF(J3445="","",IF(ISNUMBER(J3445),ROUND(J3445,2),IFERROR(ROUND(VALUE(SUBSTITUTE(SUBSTITUTE(SUBSTITUTE(J3445,"$",""),",","")," ","")),2),"bad")))</f>
        <v/>
      </c>
      <c r="P3445">
        <f>IF(K3445="","",IFERROR(MATCH(IF(ISNUMBER(FIND("#",K3445)),TRIM(MID(K3445,FIND("#",K3445)+1,20)),UPPER(K3445)),'Students'!$AD$2:$AD$701,0),""))</f>
        <v/>
      </c>
      <c r="R3445">
        <f>IF(P3445="","",INDEX('Students'!$AD$2:$AD$701,P3445))</f>
        <v/>
      </c>
      <c r="S3445">
        <f>IF(H3445="OK",O3445,0)</f>
        <v/>
      </c>
      <c r="T3445">
        <f>IF(H3445="OK",N3445,"")</f>
        <v/>
      </c>
      <c r="U3445">
        <f>TRIM('Cash_Check'!C445)</f>
        <v/>
      </c>
    </row>
    <row r="3446">
      <c r="A3446" s="62">
        <f>IF(H3446="","",IF(ISNUMBER(N3446),N3446,I3446))</f>
        <v/>
      </c>
      <c r="B3446">
        <f>IF(H3446="","",U3446)</f>
        <v/>
      </c>
      <c r="C3446">
        <f>IF(H3446="","",IF(P3446="",K3446,INDEX('Students'!$A$2:$A$701,P3446)))</f>
        <v/>
      </c>
      <c r="D3446">
        <f>IF(OR(H3446="",P3446=""),"",INDEX('Students'!$B$2:$B$701,P3446))</f>
        <v/>
      </c>
      <c r="E3446">
        <f>IF(OR(H3446="",P3446=""),"",INDEX('Students'!$C$2:$C$701,P3446))</f>
        <v/>
      </c>
      <c r="F3446" s="48">
        <f>IF(H3446="","",IF(ISNUMBER(O3446),O3446,J3446))</f>
        <v/>
      </c>
      <c r="G3446">
        <f>IF(H3446="","",M3446)</f>
        <v/>
      </c>
      <c r="H3446">
        <f>IF(AND(I3446="",J3446="",K3446=""),"",IF(OR(NOT(ISNUMBER(O3446)),N(O3446)&lt;=0),"Bad amount",IF(NOT(ISNUMBER(N3446)),"Bad date",IF(P3446="","NAME NOT ON ROSTER","OK"))))</f>
        <v/>
      </c>
      <c r="I3446">
        <f>IF('Cash_Check'!A446="","",'Cash_Check'!A446)</f>
        <v/>
      </c>
      <c r="J3446">
        <f>IF('Cash_Check'!D446="","",'Cash_Check'!D446)</f>
        <v/>
      </c>
      <c r="K3446">
        <f>TRIM('Cash_Check'!B446)</f>
        <v/>
      </c>
      <c r="M3446">
        <f>IF(TRIM('Cash_Check'!E446)="","Cash/check",TRIM('Cash_Check'!E446))</f>
        <v/>
      </c>
      <c r="N3446">
        <f>IF(I3446="","",IF(ISNUMBER(I3446),INT(I3446),IFERROR(INT(DATEVALUE(I3446)),IFERROR(INT(VALUE(I3446)),"bad"))))</f>
        <v/>
      </c>
      <c r="O3446">
        <f>IF(J3446="","",IF(ISNUMBER(J3446),ROUND(J3446,2),IFERROR(ROUND(VALUE(SUBSTITUTE(SUBSTITUTE(SUBSTITUTE(J3446,"$",""),",","")," ","")),2),"bad")))</f>
        <v/>
      </c>
      <c r="P3446">
        <f>IF(K3446="","",IFERROR(MATCH(IF(ISNUMBER(FIND("#",K3446)),TRIM(MID(K3446,FIND("#",K3446)+1,20)),UPPER(K3446)),'Students'!$AD$2:$AD$701,0),""))</f>
        <v/>
      </c>
      <c r="R3446">
        <f>IF(P3446="","",INDEX('Students'!$AD$2:$AD$701,P3446))</f>
        <v/>
      </c>
      <c r="S3446">
        <f>IF(H3446="OK",O3446,0)</f>
        <v/>
      </c>
      <c r="T3446">
        <f>IF(H3446="OK",N3446,"")</f>
        <v/>
      </c>
      <c r="U3446">
        <f>TRIM('Cash_Check'!C446)</f>
        <v/>
      </c>
    </row>
    <row r="3447">
      <c r="A3447" s="62">
        <f>IF(H3447="","",IF(ISNUMBER(N3447),N3447,I3447))</f>
        <v/>
      </c>
      <c r="B3447">
        <f>IF(H3447="","",U3447)</f>
        <v/>
      </c>
      <c r="C3447">
        <f>IF(H3447="","",IF(P3447="",K3447,INDEX('Students'!$A$2:$A$701,P3447)))</f>
        <v/>
      </c>
      <c r="D3447">
        <f>IF(OR(H3447="",P3447=""),"",INDEX('Students'!$B$2:$B$701,P3447))</f>
        <v/>
      </c>
      <c r="E3447">
        <f>IF(OR(H3447="",P3447=""),"",INDEX('Students'!$C$2:$C$701,P3447))</f>
        <v/>
      </c>
      <c r="F3447" s="48">
        <f>IF(H3447="","",IF(ISNUMBER(O3447),O3447,J3447))</f>
        <v/>
      </c>
      <c r="G3447">
        <f>IF(H3447="","",M3447)</f>
        <v/>
      </c>
      <c r="H3447">
        <f>IF(AND(I3447="",J3447="",K3447=""),"",IF(OR(NOT(ISNUMBER(O3447)),N(O3447)&lt;=0),"Bad amount",IF(NOT(ISNUMBER(N3447)),"Bad date",IF(P3447="","NAME NOT ON ROSTER","OK"))))</f>
        <v/>
      </c>
      <c r="I3447">
        <f>IF('Cash_Check'!A447="","",'Cash_Check'!A447)</f>
        <v/>
      </c>
      <c r="J3447">
        <f>IF('Cash_Check'!D447="","",'Cash_Check'!D447)</f>
        <v/>
      </c>
      <c r="K3447">
        <f>TRIM('Cash_Check'!B447)</f>
        <v/>
      </c>
      <c r="M3447">
        <f>IF(TRIM('Cash_Check'!E447)="","Cash/check",TRIM('Cash_Check'!E447))</f>
        <v/>
      </c>
      <c r="N3447">
        <f>IF(I3447="","",IF(ISNUMBER(I3447),INT(I3447),IFERROR(INT(DATEVALUE(I3447)),IFERROR(INT(VALUE(I3447)),"bad"))))</f>
        <v/>
      </c>
      <c r="O3447">
        <f>IF(J3447="","",IF(ISNUMBER(J3447),ROUND(J3447,2),IFERROR(ROUND(VALUE(SUBSTITUTE(SUBSTITUTE(SUBSTITUTE(J3447,"$",""),",","")," ","")),2),"bad")))</f>
        <v/>
      </c>
      <c r="P3447">
        <f>IF(K3447="","",IFERROR(MATCH(IF(ISNUMBER(FIND("#",K3447)),TRIM(MID(K3447,FIND("#",K3447)+1,20)),UPPER(K3447)),'Students'!$AD$2:$AD$701,0),""))</f>
        <v/>
      </c>
      <c r="R3447">
        <f>IF(P3447="","",INDEX('Students'!$AD$2:$AD$701,P3447))</f>
        <v/>
      </c>
      <c r="S3447">
        <f>IF(H3447="OK",O3447,0)</f>
        <v/>
      </c>
      <c r="T3447">
        <f>IF(H3447="OK",N3447,"")</f>
        <v/>
      </c>
      <c r="U3447">
        <f>TRIM('Cash_Check'!C447)</f>
        <v/>
      </c>
    </row>
    <row r="3448">
      <c r="A3448" s="62">
        <f>IF(H3448="","",IF(ISNUMBER(N3448),N3448,I3448))</f>
        <v/>
      </c>
      <c r="B3448">
        <f>IF(H3448="","",U3448)</f>
        <v/>
      </c>
      <c r="C3448">
        <f>IF(H3448="","",IF(P3448="",K3448,INDEX('Students'!$A$2:$A$701,P3448)))</f>
        <v/>
      </c>
      <c r="D3448">
        <f>IF(OR(H3448="",P3448=""),"",INDEX('Students'!$B$2:$B$701,P3448))</f>
        <v/>
      </c>
      <c r="E3448">
        <f>IF(OR(H3448="",P3448=""),"",INDEX('Students'!$C$2:$C$701,P3448))</f>
        <v/>
      </c>
      <c r="F3448" s="48">
        <f>IF(H3448="","",IF(ISNUMBER(O3448),O3448,J3448))</f>
        <v/>
      </c>
      <c r="G3448">
        <f>IF(H3448="","",M3448)</f>
        <v/>
      </c>
      <c r="H3448">
        <f>IF(AND(I3448="",J3448="",K3448=""),"",IF(OR(NOT(ISNUMBER(O3448)),N(O3448)&lt;=0),"Bad amount",IF(NOT(ISNUMBER(N3448)),"Bad date",IF(P3448="","NAME NOT ON ROSTER","OK"))))</f>
        <v/>
      </c>
      <c r="I3448">
        <f>IF('Cash_Check'!A448="","",'Cash_Check'!A448)</f>
        <v/>
      </c>
      <c r="J3448">
        <f>IF('Cash_Check'!D448="","",'Cash_Check'!D448)</f>
        <v/>
      </c>
      <c r="K3448">
        <f>TRIM('Cash_Check'!B448)</f>
        <v/>
      </c>
      <c r="M3448">
        <f>IF(TRIM('Cash_Check'!E448)="","Cash/check",TRIM('Cash_Check'!E448))</f>
        <v/>
      </c>
      <c r="N3448">
        <f>IF(I3448="","",IF(ISNUMBER(I3448),INT(I3448),IFERROR(INT(DATEVALUE(I3448)),IFERROR(INT(VALUE(I3448)),"bad"))))</f>
        <v/>
      </c>
      <c r="O3448">
        <f>IF(J3448="","",IF(ISNUMBER(J3448),ROUND(J3448,2),IFERROR(ROUND(VALUE(SUBSTITUTE(SUBSTITUTE(SUBSTITUTE(J3448,"$",""),",","")," ","")),2),"bad")))</f>
        <v/>
      </c>
      <c r="P3448">
        <f>IF(K3448="","",IFERROR(MATCH(IF(ISNUMBER(FIND("#",K3448)),TRIM(MID(K3448,FIND("#",K3448)+1,20)),UPPER(K3448)),'Students'!$AD$2:$AD$701,0),""))</f>
        <v/>
      </c>
      <c r="R3448">
        <f>IF(P3448="","",INDEX('Students'!$AD$2:$AD$701,P3448))</f>
        <v/>
      </c>
      <c r="S3448">
        <f>IF(H3448="OK",O3448,0)</f>
        <v/>
      </c>
      <c r="T3448">
        <f>IF(H3448="OK",N3448,"")</f>
        <v/>
      </c>
      <c r="U3448">
        <f>TRIM('Cash_Check'!C448)</f>
        <v/>
      </c>
    </row>
    <row r="3449">
      <c r="A3449" s="62">
        <f>IF(H3449="","",IF(ISNUMBER(N3449),N3449,I3449))</f>
        <v/>
      </c>
      <c r="B3449">
        <f>IF(H3449="","",U3449)</f>
        <v/>
      </c>
      <c r="C3449">
        <f>IF(H3449="","",IF(P3449="",K3449,INDEX('Students'!$A$2:$A$701,P3449)))</f>
        <v/>
      </c>
      <c r="D3449">
        <f>IF(OR(H3449="",P3449=""),"",INDEX('Students'!$B$2:$B$701,P3449))</f>
        <v/>
      </c>
      <c r="E3449">
        <f>IF(OR(H3449="",P3449=""),"",INDEX('Students'!$C$2:$C$701,P3449))</f>
        <v/>
      </c>
      <c r="F3449" s="48">
        <f>IF(H3449="","",IF(ISNUMBER(O3449),O3449,J3449))</f>
        <v/>
      </c>
      <c r="G3449">
        <f>IF(H3449="","",M3449)</f>
        <v/>
      </c>
      <c r="H3449">
        <f>IF(AND(I3449="",J3449="",K3449=""),"",IF(OR(NOT(ISNUMBER(O3449)),N(O3449)&lt;=0),"Bad amount",IF(NOT(ISNUMBER(N3449)),"Bad date",IF(P3449="","NAME NOT ON ROSTER","OK"))))</f>
        <v/>
      </c>
      <c r="I3449">
        <f>IF('Cash_Check'!A449="","",'Cash_Check'!A449)</f>
        <v/>
      </c>
      <c r="J3449">
        <f>IF('Cash_Check'!D449="","",'Cash_Check'!D449)</f>
        <v/>
      </c>
      <c r="K3449">
        <f>TRIM('Cash_Check'!B449)</f>
        <v/>
      </c>
      <c r="M3449">
        <f>IF(TRIM('Cash_Check'!E449)="","Cash/check",TRIM('Cash_Check'!E449))</f>
        <v/>
      </c>
      <c r="N3449">
        <f>IF(I3449="","",IF(ISNUMBER(I3449),INT(I3449),IFERROR(INT(DATEVALUE(I3449)),IFERROR(INT(VALUE(I3449)),"bad"))))</f>
        <v/>
      </c>
      <c r="O3449">
        <f>IF(J3449="","",IF(ISNUMBER(J3449),ROUND(J3449,2),IFERROR(ROUND(VALUE(SUBSTITUTE(SUBSTITUTE(SUBSTITUTE(J3449,"$",""),",","")," ","")),2),"bad")))</f>
        <v/>
      </c>
      <c r="P3449">
        <f>IF(K3449="","",IFERROR(MATCH(IF(ISNUMBER(FIND("#",K3449)),TRIM(MID(K3449,FIND("#",K3449)+1,20)),UPPER(K3449)),'Students'!$AD$2:$AD$701,0),""))</f>
        <v/>
      </c>
      <c r="R3449">
        <f>IF(P3449="","",INDEX('Students'!$AD$2:$AD$701,P3449))</f>
        <v/>
      </c>
      <c r="S3449">
        <f>IF(H3449="OK",O3449,0)</f>
        <v/>
      </c>
      <c r="T3449">
        <f>IF(H3449="OK",N3449,"")</f>
        <v/>
      </c>
      <c r="U3449">
        <f>TRIM('Cash_Check'!C449)</f>
        <v/>
      </c>
    </row>
    <row r="3450">
      <c r="A3450" s="62">
        <f>IF(H3450="","",IF(ISNUMBER(N3450),N3450,I3450))</f>
        <v/>
      </c>
      <c r="B3450">
        <f>IF(H3450="","",U3450)</f>
        <v/>
      </c>
      <c r="C3450">
        <f>IF(H3450="","",IF(P3450="",K3450,INDEX('Students'!$A$2:$A$701,P3450)))</f>
        <v/>
      </c>
      <c r="D3450">
        <f>IF(OR(H3450="",P3450=""),"",INDEX('Students'!$B$2:$B$701,P3450))</f>
        <v/>
      </c>
      <c r="E3450">
        <f>IF(OR(H3450="",P3450=""),"",INDEX('Students'!$C$2:$C$701,P3450))</f>
        <v/>
      </c>
      <c r="F3450" s="48">
        <f>IF(H3450="","",IF(ISNUMBER(O3450),O3450,J3450))</f>
        <v/>
      </c>
      <c r="G3450">
        <f>IF(H3450="","",M3450)</f>
        <v/>
      </c>
      <c r="H3450">
        <f>IF(AND(I3450="",J3450="",K3450=""),"",IF(OR(NOT(ISNUMBER(O3450)),N(O3450)&lt;=0),"Bad amount",IF(NOT(ISNUMBER(N3450)),"Bad date",IF(P3450="","NAME NOT ON ROSTER","OK"))))</f>
        <v/>
      </c>
      <c r="I3450">
        <f>IF('Cash_Check'!A450="","",'Cash_Check'!A450)</f>
        <v/>
      </c>
      <c r="J3450">
        <f>IF('Cash_Check'!D450="","",'Cash_Check'!D450)</f>
        <v/>
      </c>
      <c r="K3450">
        <f>TRIM('Cash_Check'!B450)</f>
        <v/>
      </c>
      <c r="M3450">
        <f>IF(TRIM('Cash_Check'!E450)="","Cash/check",TRIM('Cash_Check'!E450))</f>
        <v/>
      </c>
      <c r="N3450">
        <f>IF(I3450="","",IF(ISNUMBER(I3450),INT(I3450),IFERROR(INT(DATEVALUE(I3450)),IFERROR(INT(VALUE(I3450)),"bad"))))</f>
        <v/>
      </c>
      <c r="O3450">
        <f>IF(J3450="","",IF(ISNUMBER(J3450),ROUND(J3450,2),IFERROR(ROUND(VALUE(SUBSTITUTE(SUBSTITUTE(SUBSTITUTE(J3450,"$",""),",","")," ","")),2),"bad")))</f>
        <v/>
      </c>
      <c r="P3450">
        <f>IF(K3450="","",IFERROR(MATCH(IF(ISNUMBER(FIND("#",K3450)),TRIM(MID(K3450,FIND("#",K3450)+1,20)),UPPER(K3450)),'Students'!$AD$2:$AD$701,0),""))</f>
        <v/>
      </c>
      <c r="R3450">
        <f>IF(P3450="","",INDEX('Students'!$AD$2:$AD$701,P3450))</f>
        <v/>
      </c>
      <c r="S3450">
        <f>IF(H3450="OK",O3450,0)</f>
        <v/>
      </c>
      <c r="T3450">
        <f>IF(H3450="OK",N3450,"")</f>
        <v/>
      </c>
      <c r="U3450">
        <f>TRIM('Cash_Check'!C450)</f>
        <v/>
      </c>
    </row>
    <row r="3451">
      <c r="A3451" s="62">
        <f>IF(H3451="","",IF(ISNUMBER(N3451),N3451,I3451))</f>
        <v/>
      </c>
      <c r="B3451">
        <f>IF(H3451="","",U3451)</f>
        <v/>
      </c>
      <c r="C3451">
        <f>IF(H3451="","",IF(P3451="",K3451,INDEX('Students'!$A$2:$A$701,P3451)))</f>
        <v/>
      </c>
      <c r="D3451">
        <f>IF(OR(H3451="",P3451=""),"",INDEX('Students'!$B$2:$B$701,P3451))</f>
        <v/>
      </c>
      <c r="E3451">
        <f>IF(OR(H3451="",P3451=""),"",INDEX('Students'!$C$2:$C$701,P3451))</f>
        <v/>
      </c>
      <c r="F3451" s="48">
        <f>IF(H3451="","",IF(ISNUMBER(O3451),O3451,J3451))</f>
        <v/>
      </c>
      <c r="G3451">
        <f>IF(H3451="","",M3451)</f>
        <v/>
      </c>
      <c r="H3451">
        <f>IF(AND(I3451="",J3451="",K3451=""),"",IF(OR(NOT(ISNUMBER(O3451)),N(O3451)&lt;=0),"Bad amount",IF(NOT(ISNUMBER(N3451)),"Bad date",IF(P3451="","NAME NOT ON ROSTER","OK"))))</f>
        <v/>
      </c>
      <c r="I3451">
        <f>IF('Cash_Check'!A451="","",'Cash_Check'!A451)</f>
        <v/>
      </c>
      <c r="J3451">
        <f>IF('Cash_Check'!D451="","",'Cash_Check'!D451)</f>
        <v/>
      </c>
      <c r="K3451">
        <f>TRIM('Cash_Check'!B451)</f>
        <v/>
      </c>
      <c r="M3451">
        <f>IF(TRIM('Cash_Check'!E451)="","Cash/check",TRIM('Cash_Check'!E451))</f>
        <v/>
      </c>
      <c r="N3451">
        <f>IF(I3451="","",IF(ISNUMBER(I3451),INT(I3451),IFERROR(INT(DATEVALUE(I3451)),IFERROR(INT(VALUE(I3451)),"bad"))))</f>
        <v/>
      </c>
      <c r="O3451">
        <f>IF(J3451="","",IF(ISNUMBER(J3451),ROUND(J3451,2),IFERROR(ROUND(VALUE(SUBSTITUTE(SUBSTITUTE(SUBSTITUTE(J3451,"$",""),",","")," ","")),2),"bad")))</f>
        <v/>
      </c>
      <c r="P3451">
        <f>IF(K3451="","",IFERROR(MATCH(IF(ISNUMBER(FIND("#",K3451)),TRIM(MID(K3451,FIND("#",K3451)+1,20)),UPPER(K3451)),'Students'!$AD$2:$AD$701,0),""))</f>
        <v/>
      </c>
      <c r="R3451">
        <f>IF(P3451="","",INDEX('Students'!$AD$2:$AD$701,P3451))</f>
        <v/>
      </c>
      <c r="S3451">
        <f>IF(H3451="OK",O3451,0)</f>
        <v/>
      </c>
      <c r="T3451">
        <f>IF(H3451="OK",N3451,"")</f>
        <v/>
      </c>
      <c r="U3451">
        <f>TRIM('Cash_Check'!C451)</f>
        <v/>
      </c>
    </row>
    <row r="3452">
      <c r="A3452" s="62">
        <f>IF(H3452="","",IF(ISNUMBER(N3452),N3452,I3452))</f>
        <v/>
      </c>
      <c r="B3452">
        <f>IF(H3452="","",U3452)</f>
        <v/>
      </c>
      <c r="C3452">
        <f>IF(H3452="","",IF(P3452="",K3452,INDEX('Students'!$A$2:$A$701,P3452)))</f>
        <v/>
      </c>
      <c r="D3452">
        <f>IF(OR(H3452="",P3452=""),"",INDEX('Students'!$B$2:$B$701,P3452))</f>
        <v/>
      </c>
      <c r="E3452">
        <f>IF(OR(H3452="",P3452=""),"",INDEX('Students'!$C$2:$C$701,P3452))</f>
        <v/>
      </c>
      <c r="F3452" s="48">
        <f>IF(H3452="","",IF(ISNUMBER(O3452),O3452,J3452))</f>
        <v/>
      </c>
      <c r="G3452">
        <f>IF(H3452="","",M3452)</f>
        <v/>
      </c>
      <c r="H3452">
        <f>IF(AND(I3452="",J3452="",K3452=""),"",IF(OR(NOT(ISNUMBER(O3452)),N(O3452)&lt;=0),"Bad amount",IF(NOT(ISNUMBER(N3452)),"Bad date",IF(P3452="","NAME NOT ON ROSTER","OK"))))</f>
        <v/>
      </c>
      <c r="I3452">
        <f>IF('Cash_Check'!A452="","",'Cash_Check'!A452)</f>
        <v/>
      </c>
      <c r="J3452">
        <f>IF('Cash_Check'!D452="","",'Cash_Check'!D452)</f>
        <v/>
      </c>
      <c r="K3452">
        <f>TRIM('Cash_Check'!B452)</f>
        <v/>
      </c>
      <c r="M3452">
        <f>IF(TRIM('Cash_Check'!E452)="","Cash/check",TRIM('Cash_Check'!E452))</f>
        <v/>
      </c>
      <c r="N3452">
        <f>IF(I3452="","",IF(ISNUMBER(I3452),INT(I3452),IFERROR(INT(DATEVALUE(I3452)),IFERROR(INT(VALUE(I3452)),"bad"))))</f>
        <v/>
      </c>
      <c r="O3452">
        <f>IF(J3452="","",IF(ISNUMBER(J3452),ROUND(J3452,2),IFERROR(ROUND(VALUE(SUBSTITUTE(SUBSTITUTE(SUBSTITUTE(J3452,"$",""),",","")," ","")),2),"bad")))</f>
        <v/>
      </c>
      <c r="P3452">
        <f>IF(K3452="","",IFERROR(MATCH(IF(ISNUMBER(FIND("#",K3452)),TRIM(MID(K3452,FIND("#",K3452)+1,20)),UPPER(K3452)),'Students'!$AD$2:$AD$701,0),""))</f>
        <v/>
      </c>
      <c r="R3452">
        <f>IF(P3452="","",INDEX('Students'!$AD$2:$AD$701,P3452))</f>
        <v/>
      </c>
      <c r="S3452">
        <f>IF(H3452="OK",O3452,0)</f>
        <v/>
      </c>
      <c r="T3452">
        <f>IF(H3452="OK",N3452,"")</f>
        <v/>
      </c>
      <c r="U3452">
        <f>TRIM('Cash_Check'!C452)</f>
        <v/>
      </c>
    </row>
    <row r="3453">
      <c r="A3453" s="62">
        <f>IF(H3453="","",IF(ISNUMBER(N3453),N3453,I3453))</f>
        <v/>
      </c>
      <c r="B3453">
        <f>IF(H3453="","",U3453)</f>
        <v/>
      </c>
      <c r="C3453">
        <f>IF(H3453="","",IF(P3453="",K3453,INDEX('Students'!$A$2:$A$701,P3453)))</f>
        <v/>
      </c>
      <c r="D3453">
        <f>IF(OR(H3453="",P3453=""),"",INDEX('Students'!$B$2:$B$701,P3453))</f>
        <v/>
      </c>
      <c r="E3453">
        <f>IF(OR(H3453="",P3453=""),"",INDEX('Students'!$C$2:$C$701,P3453))</f>
        <v/>
      </c>
      <c r="F3453" s="48">
        <f>IF(H3453="","",IF(ISNUMBER(O3453),O3453,J3453))</f>
        <v/>
      </c>
      <c r="G3453">
        <f>IF(H3453="","",M3453)</f>
        <v/>
      </c>
      <c r="H3453">
        <f>IF(AND(I3453="",J3453="",K3453=""),"",IF(OR(NOT(ISNUMBER(O3453)),N(O3453)&lt;=0),"Bad amount",IF(NOT(ISNUMBER(N3453)),"Bad date",IF(P3453="","NAME NOT ON ROSTER","OK"))))</f>
        <v/>
      </c>
      <c r="I3453">
        <f>IF('Cash_Check'!A453="","",'Cash_Check'!A453)</f>
        <v/>
      </c>
      <c r="J3453">
        <f>IF('Cash_Check'!D453="","",'Cash_Check'!D453)</f>
        <v/>
      </c>
      <c r="K3453">
        <f>TRIM('Cash_Check'!B453)</f>
        <v/>
      </c>
      <c r="M3453">
        <f>IF(TRIM('Cash_Check'!E453)="","Cash/check",TRIM('Cash_Check'!E453))</f>
        <v/>
      </c>
      <c r="N3453">
        <f>IF(I3453="","",IF(ISNUMBER(I3453),INT(I3453),IFERROR(INT(DATEVALUE(I3453)),IFERROR(INT(VALUE(I3453)),"bad"))))</f>
        <v/>
      </c>
      <c r="O3453">
        <f>IF(J3453="","",IF(ISNUMBER(J3453),ROUND(J3453,2),IFERROR(ROUND(VALUE(SUBSTITUTE(SUBSTITUTE(SUBSTITUTE(J3453,"$",""),",","")," ","")),2),"bad")))</f>
        <v/>
      </c>
      <c r="P3453">
        <f>IF(K3453="","",IFERROR(MATCH(IF(ISNUMBER(FIND("#",K3453)),TRIM(MID(K3453,FIND("#",K3453)+1,20)),UPPER(K3453)),'Students'!$AD$2:$AD$701,0),""))</f>
        <v/>
      </c>
      <c r="R3453">
        <f>IF(P3453="","",INDEX('Students'!$AD$2:$AD$701,P3453))</f>
        <v/>
      </c>
      <c r="S3453">
        <f>IF(H3453="OK",O3453,0)</f>
        <v/>
      </c>
      <c r="T3453">
        <f>IF(H3453="OK",N3453,"")</f>
        <v/>
      </c>
      <c r="U3453">
        <f>TRIM('Cash_Check'!C453)</f>
        <v/>
      </c>
    </row>
    <row r="3454">
      <c r="A3454" s="62">
        <f>IF(H3454="","",IF(ISNUMBER(N3454),N3454,I3454))</f>
        <v/>
      </c>
      <c r="B3454">
        <f>IF(H3454="","",U3454)</f>
        <v/>
      </c>
      <c r="C3454">
        <f>IF(H3454="","",IF(P3454="",K3454,INDEX('Students'!$A$2:$A$701,P3454)))</f>
        <v/>
      </c>
      <c r="D3454">
        <f>IF(OR(H3454="",P3454=""),"",INDEX('Students'!$B$2:$B$701,P3454))</f>
        <v/>
      </c>
      <c r="E3454">
        <f>IF(OR(H3454="",P3454=""),"",INDEX('Students'!$C$2:$C$701,P3454))</f>
        <v/>
      </c>
      <c r="F3454" s="48">
        <f>IF(H3454="","",IF(ISNUMBER(O3454),O3454,J3454))</f>
        <v/>
      </c>
      <c r="G3454">
        <f>IF(H3454="","",M3454)</f>
        <v/>
      </c>
      <c r="H3454">
        <f>IF(AND(I3454="",J3454="",K3454=""),"",IF(OR(NOT(ISNUMBER(O3454)),N(O3454)&lt;=0),"Bad amount",IF(NOT(ISNUMBER(N3454)),"Bad date",IF(P3454="","NAME NOT ON ROSTER","OK"))))</f>
        <v/>
      </c>
      <c r="I3454">
        <f>IF('Cash_Check'!A454="","",'Cash_Check'!A454)</f>
        <v/>
      </c>
      <c r="J3454">
        <f>IF('Cash_Check'!D454="","",'Cash_Check'!D454)</f>
        <v/>
      </c>
      <c r="K3454">
        <f>TRIM('Cash_Check'!B454)</f>
        <v/>
      </c>
      <c r="M3454">
        <f>IF(TRIM('Cash_Check'!E454)="","Cash/check",TRIM('Cash_Check'!E454))</f>
        <v/>
      </c>
      <c r="N3454">
        <f>IF(I3454="","",IF(ISNUMBER(I3454),INT(I3454),IFERROR(INT(DATEVALUE(I3454)),IFERROR(INT(VALUE(I3454)),"bad"))))</f>
        <v/>
      </c>
      <c r="O3454">
        <f>IF(J3454="","",IF(ISNUMBER(J3454),ROUND(J3454,2),IFERROR(ROUND(VALUE(SUBSTITUTE(SUBSTITUTE(SUBSTITUTE(J3454,"$",""),",","")," ","")),2),"bad")))</f>
        <v/>
      </c>
      <c r="P3454">
        <f>IF(K3454="","",IFERROR(MATCH(IF(ISNUMBER(FIND("#",K3454)),TRIM(MID(K3454,FIND("#",K3454)+1,20)),UPPER(K3454)),'Students'!$AD$2:$AD$701,0),""))</f>
        <v/>
      </c>
      <c r="R3454">
        <f>IF(P3454="","",INDEX('Students'!$AD$2:$AD$701,P3454))</f>
        <v/>
      </c>
      <c r="S3454">
        <f>IF(H3454="OK",O3454,0)</f>
        <v/>
      </c>
      <c r="T3454">
        <f>IF(H3454="OK",N3454,"")</f>
        <v/>
      </c>
      <c r="U3454">
        <f>TRIM('Cash_Check'!C454)</f>
        <v/>
      </c>
    </row>
    <row r="3455">
      <c r="A3455" s="62">
        <f>IF(H3455="","",IF(ISNUMBER(N3455),N3455,I3455))</f>
        <v/>
      </c>
      <c r="B3455">
        <f>IF(H3455="","",U3455)</f>
        <v/>
      </c>
      <c r="C3455">
        <f>IF(H3455="","",IF(P3455="",K3455,INDEX('Students'!$A$2:$A$701,P3455)))</f>
        <v/>
      </c>
      <c r="D3455">
        <f>IF(OR(H3455="",P3455=""),"",INDEX('Students'!$B$2:$B$701,P3455))</f>
        <v/>
      </c>
      <c r="E3455">
        <f>IF(OR(H3455="",P3455=""),"",INDEX('Students'!$C$2:$C$701,P3455))</f>
        <v/>
      </c>
      <c r="F3455" s="48">
        <f>IF(H3455="","",IF(ISNUMBER(O3455),O3455,J3455))</f>
        <v/>
      </c>
      <c r="G3455">
        <f>IF(H3455="","",M3455)</f>
        <v/>
      </c>
      <c r="H3455">
        <f>IF(AND(I3455="",J3455="",K3455=""),"",IF(OR(NOT(ISNUMBER(O3455)),N(O3455)&lt;=0),"Bad amount",IF(NOT(ISNUMBER(N3455)),"Bad date",IF(P3455="","NAME NOT ON ROSTER","OK"))))</f>
        <v/>
      </c>
      <c r="I3455">
        <f>IF('Cash_Check'!A455="","",'Cash_Check'!A455)</f>
        <v/>
      </c>
      <c r="J3455">
        <f>IF('Cash_Check'!D455="","",'Cash_Check'!D455)</f>
        <v/>
      </c>
      <c r="K3455">
        <f>TRIM('Cash_Check'!B455)</f>
        <v/>
      </c>
      <c r="M3455">
        <f>IF(TRIM('Cash_Check'!E455)="","Cash/check",TRIM('Cash_Check'!E455))</f>
        <v/>
      </c>
      <c r="N3455">
        <f>IF(I3455="","",IF(ISNUMBER(I3455),INT(I3455),IFERROR(INT(DATEVALUE(I3455)),IFERROR(INT(VALUE(I3455)),"bad"))))</f>
        <v/>
      </c>
      <c r="O3455">
        <f>IF(J3455="","",IF(ISNUMBER(J3455),ROUND(J3455,2),IFERROR(ROUND(VALUE(SUBSTITUTE(SUBSTITUTE(SUBSTITUTE(J3455,"$",""),",","")," ","")),2),"bad")))</f>
        <v/>
      </c>
      <c r="P3455">
        <f>IF(K3455="","",IFERROR(MATCH(IF(ISNUMBER(FIND("#",K3455)),TRIM(MID(K3455,FIND("#",K3455)+1,20)),UPPER(K3455)),'Students'!$AD$2:$AD$701,0),""))</f>
        <v/>
      </c>
      <c r="R3455">
        <f>IF(P3455="","",INDEX('Students'!$AD$2:$AD$701,P3455))</f>
        <v/>
      </c>
      <c r="S3455">
        <f>IF(H3455="OK",O3455,0)</f>
        <v/>
      </c>
      <c r="T3455">
        <f>IF(H3455="OK",N3455,"")</f>
        <v/>
      </c>
      <c r="U3455">
        <f>TRIM('Cash_Check'!C455)</f>
        <v/>
      </c>
    </row>
    <row r="3456">
      <c r="A3456" s="62">
        <f>IF(H3456="","",IF(ISNUMBER(N3456),N3456,I3456))</f>
        <v/>
      </c>
      <c r="B3456">
        <f>IF(H3456="","",U3456)</f>
        <v/>
      </c>
      <c r="C3456">
        <f>IF(H3456="","",IF(P3456="",K3456,INDEX('Students'!$A$2:$A$701,P3456)))</f>
        <v/>
      </c>
      <c r="D3456">
        <f>IF(OR(H3456="",P3456=""),"",INDEX('Students'!$B$2:$B$701,P3456))</f>
        <v/>
      </c>
      <c r="E3456">
        <f>IF(OR(H3456="",P3456=""),"",INDEX('Students'!$C$2:$C$701,P3456))</f>
        <v/>
      </c>
      <c r="F3456" s="48">
        <f>IF(H3456="","",IF(ISNUMBER(O3456),O3456,J3456))</f>
        <v/>
      </c>
      <c r="G3456">
        <f>IF(H3456="","",M3456)</f>
        <v/>
      </c>
      <c r="H3456">
        <f>IF(AND(I3456="",J3456="",K3456=""),"",IF(OR(NOT(ISNUMBER(O3456)),N(O3456)&lt;=0),"Bad amount",IF(NOT(ISNUMBER(N3456)),"Bad date",IF(P3456="","NAME NOT ON ROSTER","OK"))))</f>
        <v/>
      </c>
      <c r="I3456">
        <f>IF('Cash_Check'!A456="","",'Cash_Check'!A456)</f>
        <v/>
      </c>
      <c r="J3456">
        <f>IF('Cash_Check'!D456="","",'Cash_Check'!D456)</f>
        <v/>
      </c>
      <c r="K3456">
        <f>TRIM('Cash_Check'!B456)</f>
        <v/>
      </c>
      <c r="M3456">
        <f>IF(TRIM('Cash_Check'!E456)="","Cash/check",TRIM('Cash_Check'!E456))</f>
        <v/>
      </c>
      <c r="N3456">
        <f>IF(I3456="","",IF(ISNUMBER(I3456),INT(I3456),IFERROR(INT(DATEVALUE(I3456)),IFERROR(INT(VALUE(I3456)),"bad"))))</f>
        <v/>
      </c>
      <c r="O3456">
        <f>IF(J3456="","",IF(ISNUMBER(J3456),ROUND(J3456,2),IFERROR(ROUND(VALUE(SUBSTITUTE(SUBSTITUTE(SUBSTITUTE(J3456,"$",""),",","")," ","")),2),"bad")))</f>
        <v/>
      </c>
      <c r="P3456">
        <f>IF(K3456="","",IFERROR(MATCH(IF(ISNUMBER(FIND("#",K3456)),TRIM(MID(K3456,FIND("#",K3456)+1,20)),UPPER(K3456)),'Students'!$AD$2:$AD$701,0),""))</f>
        <v/>
      </c>
      <c r="R3456">
        <f>IF(P3456="","",INDEX('Students'!$AD$2:$AD$701,P3456))</f>
        <v/>
      </c>
      <c r="S3456">
        <f>IF(H3456="OK",O3456,0)</f>
        <v/>
      </c>
      <c r="T3456">
        <f>IF(H3456="OK",N3456,"")</f>
        <v/>
      </c>
      <c r="U3456">
        <f>TRIM('Cash_Check'!C456)</f>
        <v/>
      </c>
    </row>
    <row r="3457">
      <c r="A3457" s="62">
        <f>IF(H3457="","",IF(ISNUMBER(N3457),N3457,I3457))</f>
        <v/>
      </c>
      <c r="B3457">
        <f>IF(H3457="","",U3457)</f>
        <v/>
      </c>
      <c r="C3457">
        <f>IF(H3457="","",IF(P3457="",K3457,INDEX('Students'!$A$2:$A$701,P3457)))</f>
        <v/>
      </c>
      <c r="D3457">
        <f>IF(OR(H3457="",P3457=""),"",INDEX('Students'!$B$2:$B$701,P3457))</f>
        <v/>
      </c>
      <c r="E3457">
        <f>IF(OR(H3457="",P3457=""),"",INDEX('Students'!$C$2:$C$701,P3457))</f>
        <v/>
      </c>
      <c r="F3457" s="48">
        <f>IF(H3457="","",IF(ISNUMBER(O3457),O3457,J3457))</f>
        <v/>
      </c>
      <c r="G3457">
        <f>IF(H3457="","",M3457)</f>
        <v/>
      </c>
      <c r="H3457">
        <f>IF(AND(I3457="",J3457="",K3457=""),"",IF(OR(NOT(ISNUMBER(O3457)),N(O3457)&lt;=0),"Bad amount",IF(NOT(ISNUMBER(N3457)),"Bad date",IF(P3457="","NAME NOT ON ROSTER","OK"))))</f>
        <v/>
      </c>
      <c r="I3457">
        <f>IF('Cash_Check'!A457="","",'Cash_Check'!A457)</f>
        <v/>
      </c>
      <c r="J3457">
        <f>IF('Cash_Check'!D457="","",'Cash_Check'!D457)</f>
        <v/>
      </c>
      <c r="K3457">
        <f>TRIM('Cash_Check'!B457)</f>
        <v/>
      </c>
      <c r="M3457">
        <f>IF(TRIM('Cash_Check'!E457)="","Cash/check",TRIM('Cash_Check'!E457))</f>
        <v/>
      </c>
      <c r="N3457">
        <f>IF(I3457="","",IF(ISNUMBER(I3457),INT(I3457),IFERROR(INT(DATEVALUE(I3457)),IFERROR(INT(VALUE(I3457)),"bad"))))</f>
        <v/>
      </c>
      <c r="O3457">
        <f>IF(J3457="","",IF(ISNUMBER(J3457),ROUND(J3457,2),IFERROR(ROUND(VALUE(SUBSTITUTE(SUBSTITUTE(SUBSTITUTE(J3457,"$",""),",","")," ","")),2),"bad")))</f>
        <v/>
      </c>
      <c r="P3457">
        <f>IF(K3457="","",IFERROR(MATCH(IF(ISNUMBER(FIND("#",K3457)),TRIM(MID(K3457,FIND("#",K3457)+1,20)),UPPER(K3457)),'Students'!$AD$2:$AD$701,0),""))</f>
        <v/>
      </c>
      <c r="R3457">
        <f>IF(P3457="","",INDEX('Students'!$AD$2:$AD$701,P3457))</f>
        <v/>
      </c>
      <c r="S3457">
        <f>IF(H3457="OK",O3457,0)</f>
        <v/>
      </c>
      <c r="T3457">
        <f>IF(H3457="OK",N3457,"")</f>
        <v/>
      </c>
      <c r="U3457">
        <f>TRIM('Cash_Check'!C457)</f>
        <v/>
      </c>
    </row>
    <row r="3458">
      <c r="A3458" s="62">
        <f>IF(H3458="","",IF(ISNUMBER(N3458),N3458,I3458))</f>
        <v/>
      </c>
      <c r="B3458">
        <f>IF(H3458="","",U3458)</f>
        <v/>
      </c>
      <c r="C3458">
        <f>IF(H3458="","",IF(P3458="",K3458,INDEX('Students'!$A$2:$A$701,P3458)))</f>
        <v/>
      </c>
      <c r="D3458">
        <f>IF(OR(H3458="",P3458=""),"",INDEX('Students'!$B$2:$B$701,P3458))</f>
        <v/>
      </c>
      <c r="E3458">
        <f>IF(OR(H3458="",P3458=""),"",INDEX('Students'!$C$2:$C$701,P3458))</f>
        <v/>
      </c>
      <c r="F3458" s="48">
        <f>IF(H3458="","",IF(ISNUMBER(O3458),O3458,J3458))</f>
        <v/>
      </c>
      <c r="G3458">
        <f>IF(H3458="","",M3458)</f>
        <v/>
      </c>
      <c r="H3458">
        <f>IF(AND(I3458="",J3458="",K3458=""),"",IF(OR(NOT(ISNUMBER(O3458)),N(O3458)&lt;=0),"Bad amount",IF(NOT(ISNUMBER(N3458)),"Bad date",IF(P3458="","NAME NOT ON ROSTER","OK"))))</f>
        <v/>
      </c>
      <c r="I3458">
        <f>IF('Cash_Check'!A458="","",'Cash_Check'!A458)</f>
        <v/>
      </c>
      <c r="J3458">
        <f>IF('Cash_Check'!D458="","",'Cash_Check'!D458)</f>
        <v/>
      </c>
      <c r="K3458">
        <f>TRIM('Cash_Check'!B458)</f>
        <v/>
      </c>
      <c r="M3458">
        <f>IF(TRIM('Cash_Check'!E458)="","Cash/check",TRIM('Cash_Check'!E458))</f>
        <v/>
      </c>
      <c r="N3458">
        <f>IF(I3458="","",IF(ISNUMBER(I3458),INT(I3458),IFERROR(INT(DATEVALUE(I3458)),IFERROR(INT(VALUE(I3458)),"bad"))))</f>
        <v/>
      </c>
      <c r="O3458">
        <f>IF(J3458="","",IF(ISNUMBER(J3458),ROUND(J3458,2),IFERROR(ROUND(VALUE(SUBSTITUTE(SUBSTITUTE(SUBSTITUTE(J3458,"$",""),",","")," ","")),2),"bad")))</f>
        <v/>
      </c>
      <c r="P3458">
        <f>IF(K3458="","",IFERROR(MATCH(IF(ISNUMBER(FIND("#",K3458)),TRIM(MID(K3458,FIND("#",K3458)+1,20)),UPPER(K3458)),'Students'!$AD$2:$AD$701,0),""))</f>
        <v/>
      </c>
      <c r="R3458">
        <f>IF(P3458="","",INDEX('Students'!$AD$2:$AD$701,P3458))</f>
        <v/>
      </c>
      <c r="S3458">
        <f>IF(H3458="OK",O3458,0)</f>
        <v/>
      </c>
      <c r="T3458">
        <f>IF(H3458="OK",N3458,"")</f>
        <v/>
      </c>
      <c r="U3458">
        <f>TRIM('Cash_Check'!C458)</f>
        <v/>
      </c>
    </row>
    <row r="3459">
      <c r="A3459" s="62">
        <f>IF(H3459="","",IF(ISNUMBER(N3459),N3459,I3459))</f>
        <v/>
      </c>
      <c r="B3459">
        <f>IF(H3459="","",U3459)</f>
        <v/>
      </c>
      <c r="C3459">
        <f>IF(H3459="","",IF(P3459="",K3459,INDEX('Students'!$A$2:$A$701,P3459)))</f>
        <v/>
      </c>
      <c r="D3459">
        <f>IF(OR(H3459="",P3459=""),"",INDEX('Students'!$B$2:$B$701,P3459))</f>
        <v/>
      </c>
      <c r="E3459">
        <f>IF(OR(H3459="",P3459=""),"",INDEX('Students'!$C$2:$C$701,P3459))</f>
        <v/>
      </c>
      <c r="F3459" s="48">
        <f>IF(H3459="","",IF(ISNUMBER(O3459),O3459,J3459))</f>
        <v/>
      </c>
      <c r="G3459">
        <f>IF(H3459="","",M3459)</f>
        <v/>
      </c>
      <c r="H3459">
        <f>IF(AND(I3459="",J3459="",K3459=""),"",IF(OR(NOT(ISNUMBER(O3459)),N(O3459)&lt;=0),"Bad amount",IF(NOT(ISNUMBER(N3459)),"Bad date",IF(P3459="","NAME NOT ON ROSTER","OK"))))</f>
        <v/>
      </c>
      <c r="I3459">
        <f>IF('Cash_Check'!A459="","",'Cash_Check'!A459)</f>
        <v/>
      </c>
      <c r="J3459">
        <f>IF('Cash_Check'!D459="","",'Cash_Check'!D459)</f>
        <v/>
      </c>
      <c r="K3459">
        <f>TRIM('Cash_Check'!B459)</f>
        <v/>
      </c>
      <c r="M3459">
        <f>IF(TRIM('Cash_Check'!E459)="","Cash/check",TRIM('Cash_Check'!E459))</f>
        <v/>
      </c>
      <c r="N3459">
        <f>IF(I3459="","",IF(ISNUMBER(I3459),INT(I3459),IFERROR(INT(DATEVALUE(I3459)),IFERROR(INT(VALUE(I3459)),"bad"))))</f>
        <v/>
      </c>
      <c r="O3459">
        <f>IF(J3459="","",IF(ISNUMBER(J3459),ROUND(J3459,2),IFERROR(ROUND(VALUE(SUBSTITUTE(SUBSTITUTE(SUBSTITUTE(J3459,"$",""),",","")," ","")),2),"bad")))</f>
        <v/>
      </c>
      <c r="P3459">
        <f>IF(K3459="","",IFERROR(MATCH(IF(ISNUMBER(FIND("#",K3459)),TRIM(MID(K3459,FIND("#",K3459)+1,20)),UPPER(K3459)),'Students'!$AD$2:$AD$701,0),""))</f>
        <v/>
      </c>
      <c r="R3459">
        <f>IF(P3459="","",INDEX('Students'!$AD$2:$AD$701,P3459))</f>
        <v/>
      </c>
      <c r="S3459">
        <f>IF(H3459="OK",O3459,0)</f>
        <v/>
      </c>
      <c r="T3459">
        <f>IF(H3459="OK",N3459,"")</f>
        <v/>
      </c>
      <c r="U3459">
        <f>TRIM('Cash_Check'!C459)</f>
        <v/>
      </c>
    </row>
    <row r="3460">
      <c r="A3460" s="62">
        <f>IF(H3460="","",IF(ISNUMBER(N3460),N3460,I3460))</f>
        <v/>
      </c>
      <c r="B3460">
        <f>IF(H3460="","",U3460)</f>
        <v/>
      </c>
      <c r="C3460">
        <f>IF(H3460="","",IF(P3460="",K3460,INDEX('Students'!$A$2:$A$701,P3460)))</f>
        <v/>
      </c>
      <c r="D3460">
        <f>IF(OR(H3460="",P3460=""),"",INDEX('Students'!$B$2:$B$701,P3460))</f>
        <v/>
      </c>
      <c r="E3460">
        <f>IF(OR(H3460="",P3460=""),"",INDEX('Students'!$C$2:$C$701,P3460))</f>
        <v/>
      </c>
      <c r="F3460" s="48">
        <f>IF(H3460="","",IF(ISNUMBER(O3460),O3460,J3460))</f>
        <v/>
      </c>
      <c r="G3460">
        <f>IF(H3460="","",M3460)</f>
        <v/>
      </c>
      <c r="H3460">
        <f>IF(AND(I3460="",J3460="",K3460=""),"",IF(OR(NOT(ISNUMBER(O3460)),N(O3460)&lt;=0),"Bad amount",IF(NOT(ISNUMBER(N3460)),"Bad date",IF(P3460="","NAME NOT ON ROSTER","OK"))))</f>
        <v/>
      </c>
      <c r="I3460">
        <f>IF('Cash_Check'!A460="","",'Cash_Check'!A460)</f>
        <v/>
      </c>
      <c r="J3460">
        <f>IF('Cash_Check'!D460="","",'Cash_Check'!D460)</f>
        <v/>
      </c>
      <c r="K3460">
        <f>TRIM('Cash_Check'!B460)</f>
        <v/>
      </c>
      <c r="M3460">
        <f>IF(TRIM('Cash_Check'!E460)="","Cash/check",TRIM('Cash_Check'!E460))</f>
        <v/>
      </c>
      <c r="N3460">
        <f>IF(I3460="","",IF(ISNUMBER(I3460),INT(I3460),IFERROR(INT(DATEVALUE(I3460)),IFERROR(INT(VALUE(I3460)),"bad"))))</f>
        <v/>
      </c>
      <c r="O3460">
        <f>IF(J3460="","",IF(ISNUMBER(J3460),ROUND(J3460,2),IFERROR(ROUND(VALUE(SUBSTITUTE(SUBSTITUTE(SUBSTITUTE(J3460,"$",""),",","")," ","")),2),"bad")))</f>
        <v/>
      </c>
      <c r="P3460">
        <f>IF(K3460="","",IFERROR(MATCH(IF(ISNUMBER(FIND("#",K3460)),TRIM(MID(K3460,FIND("#",K3460)+1,20)),UPPER(K3460)),'Students'!$AD$2:$AD$701,0),""))</f>
        <v/>
      </c>
      <c r="R3460">
        <f>IF(P3460="","",INDEX('Students'!$AD$2:$AD$701,P3460))</f>
        <v/>
      </c>
      <c r="S3460">
        <f>IF(H3460="OK",O3460,0)</f>
        <v/>
      </c>
      <c r="T3460">
        <f>IF(H3460="OK",N3460,"")</f>
        <v/>
      </c>
      <c r="U3460">
        <f>TRIM('Cash_Check'!C460)</f>
        <v/>
      </c>
    </row>
    <row r="3461">
      <c r="A3461" s="62">
        <f>IF(H3461="","",IF(ISNUMBER(N3461),N3461,I3461))</f>
        <v/>
      </c>
      <c r="B3461">
        <f>IF(H3461="","",U3461)</f>
        <v/>
      </c>
      <c r="C3461">
        <f>IF(H3461="","",IF(P3461="",K3461,INDEX('Students'!$A$2:$A$701,P3461)))</f>
        <v/>
      </c>
      <c r="D3461">
        <f>IF(OR(H3461="",P3461=""),"",INDEX('Students'!$B$2:$B$701,P3461))</f>
        <v/>
      </c>
      <c r="E3461">
        <f>IF(OR(H3461="",P3461=""),"",INDEX('Students'!$C$2:$C$701,P3461))</f>
        <v/>
      </c>
      <c r="F3461" s="48">
        <f>IF(H3461="","",IF(ISNUMBER(O3461),O3461,J3461))</f>
        <v/>
      </c>
      <c r="G3461">
        <f>IF(H3461="","",M3461)</f>
        <v/>
      </c>
      <c r="H3461">
        <f>IF(AND(I3461="",J3461="",K3461=""),"",IF(OR(NOT(ISNUMBER(O3461)),N(O3461)&lt;=0),"Bad amount",IF(NOT(ISNUMBER(N3461)),"Bad date",IF(P3461="","NAME NOT ON ROSTER","OK"))))</f>
        <v/>
      </c>
      <c r="I3461">
        <f>IF('Cash_Check'!A461="","",'Cash_Check'!A461)</f>
        <v/>
      </c>
      <c r="J3461">
        <f>IF('Cash_Check'!D461="","",'Cash_Check'!D461)</f>
        <v/>
      </c>
      <c r="K3461">
        <f>TRIM('Cash_Check'!B461)</f>
        <v/>
      </c>
      <c r="M3461">
        <f>IF(TRIM('Cash_Check'!E461)="","Cash/check",TRIM('Cash_Check'!E461))</f>
        <v/>
      </c>
      <c r="N3461">
        <f>IF(I3461="","",IF(ISNUMBER(I3461),INT(I3461),IFERROR(INT(DATEVALUE(I3461)),IFERROR(INT(VALUE(I3461)),"bad"))))</f>
        <v/>
      </c>
      <c r="O3461">
        <f>IF(J3461="","",IF(ISNUMBER(J3461),ROUND(J3461,2),IFERROR(ROUND(VALUE(SUBSTITUTE(SUBSTITUTE(SUBSTITUTE(J3461,"$",""),",","")," ","")),2),"bad")))</f>
        <v/>
      </c>
      <c r="P3461">
        <f>IF(K3461="","",IFERROR(MATCH(IF(ISNUMBER(FIND("#",K3461)),TRIM(MID(K3461,FIND("#",K3461)+1,20)),UPPER(K3461)),'Students'!$AD$2:$AD$701,0),""))</f>
        <v/>
      </c>
      <c r="R3461">
        <f>IF(P3461="","",INDEX('Students'!$AD$2:$AD$701,P3461))</f>
        <v/>
      </c>
      <c r="S3461">
        <f>IF(H3461="OK",O3461,0)</f>
        <v/>
      </c>
      <c r="T3461">
        <f>IF(H3461="OK",N3461,"")</f>
        <v/>
      </c>
      <c r="U3461">
        <f>TRIM('Cash_Check'!C461)</f>
        <v/>
      </c>
    </row>
    <row r="3462">
      <c r="A3462" s="62">
        <f>IF(H3462="","",IF(ISNUMBER(N3462),N3462,I3462))</f>
        <v/>
      </c>
      <c r="B3462">
        <f>IF(H3462="","",U3462)</f>
        <v/>
      </c>
      <c r="C3462">
        <f>IF(H3462="","",IF(P3462="",K3462,INDEX('Students'!$A$2:$A$701,P3462)))</f>
        <v/>
      </c>
      <c r="D3462">
        <f>IF(OR(H3462="",P3462=""),"",INDEX('Students'!$B$2:$B$701,P3462))</f>
        <v/>
      </c>
      <c r="E3462">
        <f>IF(OR(H3462="",P3462=""),"",INDEX('Students'!$C$2:$C$701,P3462))</f>
        <v/>
      </c>
      <c r="F3462" s="48">
        <f>IF(H3462="","",IF(ISNUMBER(O3462),O3462,J3462))</f>
        <v/>
      </c>
      <c r="G3462">
        <f>IF(H3462="","",M3462)</f>
        <v/>
      </c>
      <c r="H3462">
        <f>IF(AND(I3462="",J3462="",K3462=""),"",IF(OR(NOT(ISNUMBER(O3462)),N(O3462)&lt;=0),"Bad amount",IF(NOT(ISNUMBER(N3462)),"Bad date",IF(P3462="","NAME NOT ON ROSTER","OK"))))</f>
        <v/>
      </c>
      <c r="I3462">
        <f>IF('Cash_Check'!A462="","",'Cash_Check'!A462)</f>
        <v/>
      </c>
      <c r="J3462">
        <f>IF('Cash_Check'!D462="","",'Cash_Check'!D462)</f>
        <v/>
      </c>
      <c r="K3462">
        <f>TRIM('Cash_Check'!B462)</f>
        <v/>
      </c>
      <c r="M3462">
        <f>IF(TRIM('Cash_Check'!E462)="","Cash/check",TRIM('Cash_Check'!E462))</f>
        <v/>
      </c>
      <c r="N3462">
        <f>IF(I3462="","",IF(ISNUMBER(I3462),INT(I3462),IFERROR(INT(DATEVALUE(I3462)),IFERROR(INT(VALUE(I3462)),"bad"))))</f>
        <v/>
      </c>
      <c r="O3462">
        <f>IF(J3462="","",IF(ISNUMBER(J3462),ROUND(J3462,2),IFERROR(ROUND(VALUE(SUBSTITUTE(SUBSTITUTE(SUBSTITUTE(J3462,"$",""),",","")," ","")),2),"bad")))</f>
        <v/>
      </c>
      <c r="P3462">
        <f>IF(K3462="","",IFERROR(MATCH(IF(ISNUMBER(FIND("#",K3462)),TRIM(MID(K3462,FIND("#",K3462)+1,20)),UPPER(K3462)),'Students'!$AD$2:$AD$701,0),""))</f>
        <v/>
      </c>
      <c r="R3462">
        <f>IF(P3462="","",INDEX('Students'!$AD$2:$AD$701,P3462))</f>
        <v/>
      </c>
      <c r="S3462">
        <f>IF(H3462="OK",O3462,0)</f>
        <v/>
      </c>
      <c r="T3462">
        <f>IF(H3462="OK",N3462,"")</f>
        <v/>
      </c>
      <c r="U3462">
        <f>TRIM('Cash_Check'!C462)</f>
        <v/>
      </c>
    </row>
    <row r="3463">
      <c r="A3463" s="62">
        <f>IF(H3463="","",IF(ISNUMBER(N3463),N3463,I3463))</f>
        <v/>
      </c>
      <c r="B3463">
        <f>IF(H3463="","",U3463)</f>
        <v/>
      </c>
      <c r="C3463">
        <f>IF(H3463="","",IF(P3463="",K3463,INDEX('Students'!$A$2:$A$701,P3463)))</f>
        <v/>
      </c>
      <c r="D3463">
        <f>IF(OR(H3463="",P3463=""),"",INDEX('Students'!$B$2:$B$701,P3463))</f>
        <v/>
      </c>
      <c r="E3463">
        <f>IF(OR(H3463="",P3463=""),"",INDEX('Students'!$C$2:$C$701,P3463))</f>
        <v/>
      </c>
      <c r="F3463" s="48">
        <f>IF(H3463="","",IF(ISNUMBER(O3463),O3463,J3463))</f>
        <v/>
      </c>
      <c r="G3463">
        <f>IF(H3463="","",M3463)</f>
        <v/>
      </c>
      <c r="H3463">
        <f>IF(AND(I3463="",J3463="",K3463=""),"",IF(OR(NOT(ISNUMBER(O3463)),N(O3463)&lt;=0),"Bad amount",IF(NOT(ISNUMBER(N3463)),"Bad date",IF(P3463="","NAME NOT ON ROSTER","OK"))))</f>
        <v/>
      </c>
      <c r="I3463">
        <f>IF('Cash_Check'!A463="","",'Cash_Check'!A463)</f>
        <v/>
      </c>
      <c r="J3463">
        <f>IF('Cash_Check'!D463="","",'Cash_Check'!D463)</f>
        <v/>
      </c>
      <c r="K3463">
        <f>TRIM('Cash_Check'!B463)</f>
        <v/>
      </c>
      <c r="M3463">
        <f>IF(TRIM('Cash_Check'!E463)="","Cash/check",TRIM('Cash_Check'!E463))</f>
        <v/>
      </c>
      <c r="N3463">
        <f>IF(I3463="","",IF(ISNUMBER(I3463),INT(I3463),IFERROR(INT(DATEVALUE(I3463)),IFERROR(INT(VALUE(I3463)),"bad"))))</f>
        <v/>
      </c>
      <c r="O3463">
        <f>IF(J3463="","",IF(ISNUMBER(J3463),ROUND(J3463,2),IFERROR(ROUND(VALUE(SUBSTITUTE(SUBSTITUTE(SUBSTITUTE(J3463,"$",""),",","")," ","")),2),"bad")))</f>
        <v/>
      </c>
      <c r="P3463">
        <f>IF(K3463="","",IFERROR(MATCH(IF(ISNUMBER(FIND("#",K3463)),TRIM(MID(K3463,FIND("#",K3463)+1,20)),UPPER(K3463)),'Students'!$AD$2:$AD$701,0),""))</f>
        <v/>
      </c>
      <c r="R3463">
        <f>IF(P3463="","",INDEX('Students'!$AD$2:$AD$701,P3463))</f>
        <v/>
      </c>
      <c r="S3463">
        <f>IF(H3463="OK",O3463,0)</f>
        <v/>
      </c>
      <c r="T3463">
        <f>IF(H3463="OK",N3463,"")</f>
        <v/>
      </c>
      <c r="U3463">
        <f>TRIM('Cash_Check'!C463)</f>
        <v/>
      </c>
    </row>
    <row r="3464">
      <c r="A3464" s="62">
        <f>IF(H3464="","",IF(ISNUMBER(N3464),N3464,I3464))</f>
        <v/>
      </c>
      <c r="B3464">
        <f>IF(H3464="","",U3464)</f>
        <v/>
      </c>
      <c r="C3464">
        <f>IF(H3464="","",IF(P3464="",K3464,INDEX('Students'!$A$2:$A$701,P3464)))</f>
        <v/>
      </c>
      <c r="D3464">
        <f>IF(OR(H3464="",P3464=""),"",INDEX('Students'!$B$2:$B$701,P3464))</f>
        <v/>
      </c>
      <c r="E3464">
        <f>IF(OR(H3464="",P3464=""),"",INDEX('Students'!$C$2:$C$701,P3464))</f>
        <v/>
      </c>
      <c r="F3464" s="48">
        <f>IF(H3464="","",IF(ISNUMBER(O3464),O3464,J3464))</f>
        <v/>
      </c>
      <c r="G3464">
        <f>IF(H3464="","",M3464)</f>
        <v/>
      </c>
      <c r="H3464">
        <f>IF(AND(I3464="",J3464="",K3464=""),"",IF(OR(NOT(ISNUMBER(O3464)),N(O3464)&lt;=0),"Bad amount",IF(NOT(ISNUMBER(N3464)),"Bad date",IF(P3464="","NAME NOT ON ROSTER","OK"))))</f>
        <v/>
      </c>
      <c r="I3464">
        <f>IF('Cash_Check'!A464="","",'Cash_Check'!A464)</f>
        <v/>
      </c>
      <c r="J3464">
        <f>IF('Cash_Check'!D464="","",'Cash_Check'!D464)</f>
        <v/>
      </c>
      <c r="K3464">
        <f>TRIM('Cash_Check'!B464)</f>
        <v/>
      </c>
      <c r="M3464">
        <f>IF(TRIM('Cash_Check'!E464)="","Cash/check",TRIM('Cash_Check'!E464))</f>
        <v/>
      </c>
      <c r="N3464">
        <f>IF(I3464="","",IF(ISNUMBER(I3464),INT(I3464),IFERROR(INT(DATEVALUE(I3464)),IFERROR(INT(VALUE(I3464)),"bad"))))</f>
        <v/>
      </c>
      <c r="O3464">
        <f>IF(J3464="","",IF(ISNUMBER(J3464),ROUND(J3464,2),IFERROR(ROUND(VALUE(SUBSTITUTE(SUBSTITUTE(SUBSTITUTE(J3464,"$",""),",","")," ","")),2),"bad")))</f>
        <v/>
      </c>
      <c r="P3464">
        <f>IF(K3464="","",IFERROR(MATCH(IF(ISNUMBER(FIND("#",K3464)),TRIM(MID(K3464,FIND("#",K3464)+1,20)),UPPER(K3464)),'Students'!$AD$2:$AD$701,0),""))</f>
        <v/>
      </c>
      <c r="R3464">
        <f>IF(P3464="","",INDEX('Students'!$AD$2:$AD$701,P3464))</f>
        <v/>
      </c>
      <c r="S3464">
        <f>IF(H3464="OK",O3464,0)</f>
        <v/>
      </c>
      <c r="T3464">
        <f>IF(H3464="OK",N3464,"")</f>
        <v/>
      </c>
      <c r="U3464">
        <f>TRIM('Cash_Check'!C464)</f>
        <v/>
      </c>
    </row>
    <row r="3465">
      <c r="A3465" s="62">
        <f>IF(H3465="","",IF(ISNUMBER(N3465),N3465,I3465))</f>
        <v/>
      </c>
      <c r="B3465">
        <f>IF(H3465="","",U3465)</f>
        <v/>
      </c>
      <c r="C3465">
        <f>IF(H3465="","",IF(P3465="",K3465,INDEX('Students'!$A$2:$A$701,P3465)))</f>
        <v/>
      </c>
      <c r="D3465">
        <f>IF(OR(H3465="",P3465=""),"",INDEX('Students'!$B$2:$B$701,P3465))</f>
        <v/>
      </c>
      <c r="E3465">
        <f>IF(OR(H3465="",P3465=""),"",INDEX('Students'!$C$2:$C$701,P3465))</f>
        <v/>
      </c>
      <c r="F3465" s="48">
        <f>IF(H3465="","",IF(ISNUMBER(O3465),O3465,J3465))</f>
        <v/>
      </c>
      <c r="G3465">
        <f>IF(H3465="","",M3465)</f>
        <v/>
      </c>
      <c r="H3465">
        <f>IF(AND(I3465="",J3465="",K3465=""),"",IF(OR(NOT(ISNUMBER(O3465)),N(O3465)&lt;=0),"Bad amount",IF(NOT(ISNUMBER(N3465)),"Bad date",IF(P3465="","NAME NOT ON ROSTER","OK"))))</f>
        <v/>
      </c>
      <c r="I3465">
        <f>IF('Cash_Check'!A465="","",'Cash_Check'!A465)</f>
        <v/>
      </c>
      <c r="J3465">
        <f>IF('Cash_Check'!D465="","",'Cash_Check'!D465)</f>
        <v/>
      </c>
      <c r="K3465">
        <f>TRIM('Cash_Check'!B465)</f>
        <v/>
      </c>
      <c r="M3465">
        <f>IF(TRIM('Cash_Check'!E465)="","Cash/check",TRIM('Cash_Check'!E465))</f>
        <v/>
      </c>
      <c r="N3465">
        <f>IF(I3465="","",IF(ISNUMBER(I3465),INT(I3465),IFERROR(INT(DATEVALUE(I3465)),IFERROR(INT(VALUE(I3465)),"bad"))))</f>
        <v/>
      </c>
      <c r="O3465">
        <f>IF(J3465="","",IF(ISNUMBER(J3465),ROUND(J3465,2),IFERROR(ROUND(VALUE(SUBSTITUTE(SUBSTITUTE(SUBSTITUTE(J3465,"$",""),",","")," ","")),2),"bad")))</f>
        <v/>
      </c>
      <c r="P3465">
        <f>IF(K3465="","",IFERROR(MATCH(IF(ISNUMBER(FIND("#",K3465)),TRIM(MID(K3465,FIND("#",K3465)+1,20)),UPPER(K3465)),'Students'!$AD$2:$AD$701,0),""))</f>
        <v/>
      </c>
      <c r="R3465">
        <f>IF(P3465="","",INDEX('Students'!$AD$2:$AD$701,P3465))</f>
        <v/>
      </c>
      <c r="S3465">
        <f>IF(H3465="OK",O3465,0)</f>
        <v/>
      </c>
      <c r="T3465">
        <f>IF(H3465="OK",N3465,"")</f>
        <v/>
      </c>
      <c r="U3465">
        <f>TRIM('Cash_Check'!C465)</f>
        <v/>
      </c>
    </row>
    <row r="3466">
      <c r="A3466" s="62">
        <f>IF(H3466="","",IF(ISNUMBER(N3466),N3466,I3466))</f>
        <v/>
      </c>
      <c r="B3466">
        <f>IF(H3466="","",U3466)</f>
        <v/>
      </c>
      <c r="C3466">
        <f>IF(H3466="","",IF(P3466="",K3466,INDEX('Students'!$A$2:$A$701,P3466)))</f>
        <v/>
      </c>
      <c r="D3466">
        <f>IF(OR(H3466="",P3466=""),"",INDEX('Students'!$B$2:$B$701,P3466))</f>
        <v/>
      </c>
      <c r="E3466">
        <f>IF(OR(H3466="",P3466=""),"",INDEX('Students'!$C$2:$C$701,P3466))</f>
        <v/>
      </c>
      <c r="F3466" s="48">
        <f>IF(H3466="","",IF(ISNUMBER(O3466),O3466,J3466))</f>
        <v/>
      </c>
      <c r="G3466">
        <f>IF(H3466="","",M3466)</f>
        <v/>
      </c>
      <c r="H3466">
        <f>IF(AND(I3466="",J3466="",K3466=""),"",IF(OR(NOT(ISNUMBER(O3466)),N(O3466)&lt;=0),"Bad amount",IF(NOT(ISNUMBER(N3466)),"Bad date",IF(P3466="","NAME NOT ON ROSTER","OK"))))</f>
        <v/>
      </c>
      <c r="I3466">
        <f>IF('Cash_Check'!A466="","",'Cash_Check'!A466)</f>
        <v/>
      </c>
      <c r="J3466">
        <f>IF('Cash_Check'!D466="","",'Cash_Check'!D466)</f>
        <v/>
      </c>
      <c r="K3466">
        <f>TRIM('Cash_Check'!B466)</f>
        <v/>
      </c>
      <c r="M3466">
        <f>IF(TRIM('Cash_Check'!E466)="","Cash/check",TRIM('Cash_Check'!E466))</f>
        <v/>
      </c>
      <c r="N3466">
        <f>IF(I3466="","",IF(ISNUMBER(I3466),INT(I3466),IFERROR(INT(DATEVALUE(I3466)),IFERROR(INT(VALUE(I3466)),"bad"))))</f>
        <v/>
      </c>
      <c r="O3466">
        <f>IF(J3466="","",IF(ISNUMBER(J3466),ROUND(J3466,2),IFERROR(ROUND(VALUE(SUBSTITUTE(SUBSTITUTE(SUBSTITUTE(J3466,"$",""),",","")," ","")),2),"bad")))</f>
        <v/>
      </c>
      <c r="P3466">
        <f>IF(K3466="","",IFERROR(MATCH(IF(ISNUMBER(FIND("#",K3466)),TRIM(MID(K3466,FIND("#",K3466)+1,20)),UPPER(K3466)),'Students'!$AD$2:$AD$701,0),""))</f>
        <v/>
      </c>
      <c r="R3466">
        <f>IF(P3466="","",INDEX('Students'!$AD$2:$AD$701,P3466))</f>
        <v/>
      </c>
      <c r="S3466">
        <f>IF(H3466="OK",O3466,0)</f>
        <v/>
      </c>
      <c r="T3466">
        <f>IF(H3466="OK",N3466,"")</f>
        <v/>
      </c>
      <c r="U3466">
        <f>TRIM('Cash_Check'!C466)</f>
        <v/>
      </c>
    </row>
    <row r="3467">
      <c r="A3467" s="62">
        <f>IF(H3467="","",IF(ISNUMBER(N3467),N3467,I3467))</f>
        <v/>
      </c>
      <c r="B3467">
        <f>IF(H3467="","",U3467)</f>
        <v/>
      </c>
      <c r="C3467">
        <f>IF(H3467="","",IF(P3467="",K3467,INDEX('Students'!$A$2:$A$701,P3467)))</f>
        <v/>
      </c>
      <c r="D3467">
        <f>IF(OR(H3467="",P3467=""),"",INDEX('Students'!$B$2:$B$701,P3467))</f>
        <v/>
      </c>
      <c r="E3467">
        <f>IF(OR(H3467="",P3467=""),"",INDEX('Students'!$C$2:$C$701,P3467))</f>
        <v/>
      </c>
      <c r="F3467" s="48">
        <f>IF(H3467="","",IF(ISNUMBER(O3467),O3467,J3467))</f>
        <v/>
      </c>
      <c r="G3467">
        <f>IF(H3467="","",M3467)</f>
        <v/>
      </c>
      <c r="H3467">
        <f>IF(AND(I3467="",J3467="",K3467=""),"",IF(OR(NOT(ISNUMBER(O3467)),N(O3467)&lt;=0),"Bad amount",IF(NOT(ISNUMBER(N3467)),"Bad date",IF(P3467="","NAME NOT ON ROSTER","OK"))))</f>
        <v/>
      </c>
      <c r="I3467">
        <f>IF('Cash_Check'!A467="","",'Cash_Check'!A467)</f>
        <v/>
      </c>
      <c r="J3467">
        <f>IF('Cash_Check'!D467="","",'Cash_Check'!D467)</f>
        <v/>
      </c>
      <c r="K3467">
        <f>TRIM('Cash_Check'!B467)</f>
        <v/>
      </c>
      <c r="M3467">
        <f>IF(TRIM('Cash_Check'!E467)="","Cash/check",TRIM('Cash_Check'!E467))</f>
        <v/>
      </c>
      <c r="N3467">
        <f>IF(I3467="","",IF(ISNUMBER(I3467),INT(I3467),IFERROR(INT(DATEVALUE(I3467)),IFERROR(INT(VALUE(I3467)),"bad"))))</f>
        <v/>
      </c>
      <c r="O3467">
        <f>IF(J3467="","",IF(ISNUMBER(J3467),ROUND(J3467,2),IFERROR(ROUND(VALUE(SUBSTITUTE(SUBSTITUTE(SUBSTITUTE(J3467,"$",""),",","")," ","")),2),"bad")))</f>
        <v/>
      </c>
      <c r="P3467">
        <f>IF(K3467="","",IFERROR(MATCH(IF(ISNUMBER(FIND("#",K3467)),TRIM(MID(K3467,FIND("#",K3467)+1,20)),UPPER(K3467)),'Students'!$AD$2:$AD$701,0),""))</f>
        <v/>
      </c>
      <c r="R3467">
        <f>IF(P3467="","",INDEX('Students'!$AD$2:$AD$701,P3467))</f>
        <v/>
      </c>
      <c r="S3467">
        <f>IF(H3467="OK",O3467,0)</f>
        <v/>
      </c>
      <c r="T3467">
        <f>IF(H3467="OK",N3467,"")</f>
        <v/>
      </c>
      <c r="U3467">
        <f>TRIM('Cash_Check'!C467)</f>
        <v/>
      </c>
    </row>
    <row r="3468">
      <c r="A3468" s="62">
        <f>IF(H3468="","",IF(ISNUMBER(N3468),N3468,I3468))</f>
        <v/>
      </c>
      <c r="B3468">
        <f>IF(H3468="","",U3468)</f>
        <v/>
      </c>
      <c r="C3468">
        <f>IF(H3468="","",IF(P3468="",K3468,INDEX('Students'!$A$2:$A$701,P3468)))</f>
        <v/>
      </c>
      <c r="D3468">
        <f>IF(OR(H3468="",P3468=""),"",INDEX('Students'!$B$2:$B$701,P3468))</f>
        <v/>
      </c>
      <c r="E3468">
        <f>IF(OR(H3468="",P3468=""),"",INDEX('Students'!$C$2:$C$701,P3468))</f>
        <v/>
      </c>
      <c r="F3468" s="48">
        <f>IF(H3468="","",IF(ISNUMBER(O3468),O3468,J3468))</f>
        <v/>
      </c>
      <c r="G3468">
        <f>IF(H3468="","",M3468)</f>
        <v/>
      </c>
      <c r="H3468">
        <f>IF(AND(I3468="",J3468="",K3468=""),"",IF(OR(NOT(ISNUMBER(O3468)),N(O3468)&lt;=0),"Bad amount",IF(NOT(ISNUMBER(N3468)),"Bad date",IF(P3468="","NAME NOT ON ROSTER","OK"))))</f>
        <v/>
      </c>
      <c r="I3468">
        <f>IF('Cash_Check'!A468="","",'Cash_Check'!A468)</f>
        <v/>
      </c>
      <c r="J3468">
        <f>IF('Cash_Check'!D468="","",'Cash_Check'!D468)</f>
        <v/>
      </c>
      <c r="K3468">
        <f>TRIM('Cash_Check'!B468)</f>
        <v/>
      </c>
      <c r="M3468">
        <f>IF(TRIM('Cash_Check'!E468)="","Cash/check",TRIM('Cash_Check'!E468))</f>
        <v/>
      </c>
      <c r="N3468">
        <f>IF(I3468="","",IF(ISNUMBER(I3468),INT(I3468),IFERROR(INT(DATEVALUE(I3468)),IFERROR(INT(VALUE(I3468)),"bad"))))</f>
        <v/>
      </c>
      <c r="O3468">
        <f>IF(J3468="","",IF(ISNUMBER(J3468),ROUND(J3468,2),IFERROR(ROUND(VALUE(SUBSTITUTE(SUBSTITUTE(SUBSTITUTE(J3468,"$",""),",","")," ","")),2),"bad")))</f>
        <v/>
      </c>
      <c r="P3468">
        <f>IF(K3468="","",IFERROR(MATCH(IF(ISNUMBER(FIND("#",K3468)),TRIM(MID(K3468,FIND("#",K3468)+1,20)),UPPER(K3468)),'Students'!$AD$2:$AD$701,0),""))</f>
        <v/>
      </c>
      <c r="R3468">
        <f>IF(P3468="","",INDEX('Students'!$AD$2:$AD$701,P3468))</f>
        <v/>
      </c>
      <c r="S3468">
        <f>IF(H3468="OK",O3468,0)</f>
        <v/>
      </c>
      <c r="T3468">
        <f>IF(H3468="OK",N3468,"")</f>
        <v/>
      </c>
      <c r="U3468">
        <f>TRIM('Cash_Check'!C468)</f>
        <v/>
      </c>
    </row>
    <row r="3469">
      <c r="A3469" s="62">
        <f>IF(H3469="","",IF(ISNUMBER(N3469),N3469,I3469))</f>
        <v/>
      </c>
      <c r="B3469">
        <f>IF(H3469="","",U3469)</f>
        <v/>
      </c>
      <c r="C3469">
        <f>IF(H3469="","",IF(P3469="",K3469,INDEX('Students'!$A$2:$A$701,P3469)))</f>
        <v/>
      </c>
      <c r="D3469">
        <f>IF(OR(H3469="",P3469=""),"",INDEX('Students'!$B$2:$B$701,P3469))</f>
        <v/>
      </c>
      <c r="E3469">
        <f>IF(OR(H3469="",P3469=""),"",INDEX('Students'!$C$2:$C$701,P3469))</f>
        <v/>
      </c>
      <c r="F3469" s="48">
        <f>IF(H3469="","",IF(ISNUMBER(O3469),O3469,J3469))</f>
        <v/>
      </c>
      <c r="G3469">
        <f>IF(H3469="","",M3469)</f>
        <v/>
      </c>
      <c r="H3469">
        <f>IF(AND(I3469="",J3469="",K3469=""),"",IF(OR(NOT(ISNUMBER(O3469)),N(O3469)&lt;=0),"Bad amount",IF(NOT(ISNUMBER(N3469)),"Bad date",IF(P3469="","NAME NOT ON ROSTER","OK"))))</f>
        <v/>
      </c>
      <c r="I3469">
        <f>IF('Cash_Check'!A469="","",'Cash_Check'!A469)</f>
        <v/>
      </c>
      <c r="J3469">
        <f>IF('Cash_Check'!D469="","",'Cash_Check'!D469)</f>
        <v/>
      </c>
      <c r="K3469">
        <f>TRIM('Cash_Check'!B469)</f>
        <v/>
      </c>
      <c r="M3469">
        <f>IF(TRIM('Cash_Check'!E469)="","Cash/check",TRIM('Cash_Check'!E469))</f>
        <v/>
      </c>
      <c r="N3469">
        <f>IF(I3469="","",IF(ISNUMBER(I3469),INT(I3469),IFERROR(INT(DATEVALUE(I3469)),IFERROR(INT(VALUE(I3469)),"bad"))))</f>
        <v/>
      </c>
      <c r="O3469">
        <f>IF(J3469="","",IF(ISNUMBER(J3469),ROUND(J3469,2),IFERROR(ROUND(VALUE(SUBSTITUTE(SUBSTITUTE(SUBSTITUTE(J3469,"$",""),",","")," ","")),2),"bad")))</f>
        <v/>
      </c>
      <c r="P3469">
        <f>IF(K3469="","",IFERROR(MATCH(IF(ISNUMBER(FIND("#",K3469)),TRIM(MID(K3469,FIND("#",K3469)+1,20)),UPPER(K3469)),'Students'!$AD$2:$AD$701,0),""))</f>
        <v/>
      </c>
      <c r="R3469">
        <f>IF(P3469="","",INDEX('Students'!$AD$2:$AD$701,P3469))</f>
        <v/>
      </c>
      <c r="S3469">
        <f>IF(H3469="OK",O3469,0)</f>
        <v/>
      </c>
      <c r="T3469">
        <f>IF(H3469="OK",N3469,"")</f>
        <v/>
      </c>
      <c r="U3469">
        <f>TRIM('Cash_Check'!C469)</f>
        <v/>
      </c>
    </row>
    <row r="3470">
      <c r="A3470" s="62">
        <f>IF(H3470="","",IF(ISNUMBER(N3470),N3470,I3470))</f>
        <v/>
      </c>
      <c r="B3470">
        <f>IF(H3470="","",U3470)</f>
        <v/>
      </c>
      <c r="C3470">
        <f>IF(H3470="","",IF(P3470="",K3470,INDEX('Students'!$A$2:$A$701,P3470)))</f>
        <v/>
      </c>
      <c r="D3470">
        <f>IF(OR(H3470="",P3470=""),"",INDEX('Students'!$B$2:$B$701,P3470))</f>
        <v/>
      </c>
      <c r="E3470">
        <f>IF(OR(H3470="",P3470=""),"",INDEX('Students'!$C$2:$C$701,P3470))</f>
        <v/>
      </c>
      <c r="F3470" s="48">
        <f>IF(H3470="","",IF(ISNUMBER(O3470),O3470,J3470))</f>
        <v/>
      </c>
      <c r="G3470">
        <f>IF(H3470="","",M3470)</f>
        <v/>
      </c>
      <c r="H3470">
        <f>IF(AND(I3470="",J3470="",K3470=""),"",IF(OR(NOT(ISNUMBER(O3470)),N(O3470)&lt;=0),"Bad amount",IF(NOT(ISNUMBER(N3470)),"Bad date",IF(P3470="","NAME NOT ON ROSTER","OK"))))</f>
        <v/>
      </c>
      <c r="I3470">
        <f>IF('Cash_Check'!A470="","",'Cash_Check'!A470)</f>
        <v/>
      </c>
      <c r="J3470">
        <f>IF('Cash_Check'!D470="","",'Cash_Check'!D470)</f>
        <v/>
      </c>
      <c r="K3470">
        <f>TRIM('Cash_Check'!B470)</f>
        <v/>
      </c>
      <c r="M3470">
        <f>IF(TRIM('Cash_Check'!E470)="","Cash/check",TRIM('Cash_Check'!E470))</f>
        <v/>
      </c>
      <c r="N3470">
        <f>IF(I3470="","",IF(ISNUMBER(I3470),INT(I3470),IFERROR(INT(DATEVALUE(I3470)),IFERROR(INT(VALUE(I3470)),"bad"))))</f>
        <v/>
      </c>
      <c r="O3470">
        <f>IF(J3470="","",IF(ISNUMBER(J3470),ROUND(J3470,2),IFERROR(ROUND(VALUE(SUBSTITUTE(SUBSTITUTE(SUBSTITUTE(J3470,"$",""),",","")," ","")),2),"bad")))</f>
        <v/>
      </c>
      <c r="P3470">
        <f>IF(K3470="","",IFERROR(MATCH(IF(ISNUMBER(FIND("#",K3470)),TRIM(MID(K3470,FIND("#",K3470)+1,20)),UPPER(K3470)),'Students'!$AD$2:$AD$701,0),""))</f>
        <v/>
      </c>
      <c r="R3470">
        <f>IF(P3470="","",INDEX('Students'!$AD$2:$AD$701,P3470))</f>
        <v/>
      </c>
      <c r="S3470">
        <f>IF(H3470="OK",O3470,0)</f>
        <v/>
      </c>
      <c r="T3470">
        <f>IF(H3470="OK",N3470,"")</f>
        <v/>
      </c>
      <c r="U3470">
        <f>TRIM('Cash_Check'!C470)</f>
        <v/>
      </c>
    </row>
    <row r="3471">
      <c r="A3471" s="62">
        <f>IF(H3471="","",IF(ISNUMBER(N3471),N3471,I3471))</f>
        <v/>
      </c>
      <c r="B3471">
        <f>IF(H3471="","",U3471)</f>
        <v/>
      </c>
      <c r="C3471">
        <f>IF(H3471="","",IF(P3471="",K3471,INDEX('Students'!$A$2:$A$701,P3471)))</f>
        <v/>
      </c>
      <c r="D3471">
        <f>IF(OR(H3471="",P3471=""),"",INDEX('Students'!$B$2:$B$701,P3471))</f>
        <v/>
      </c>
      <c r="E3471">
        <f>IF(OR(H3471="",P3471=""),"",INDEX('Students'!$C$2:$C$701,P3471))</f>
        <v/>
      </c>
      <c r="F3471" s="48">
        <f>IF(H3471="","",IF(ISNUMBER(O3471),O3471,J3471))</f>
        <v/>
      </c>
      <c r="G3471">
        <f>IF(H3471="","",M3471)</f>
        <v/>
      </c>
      <c r="H3471">
        <f>IF(AND(I3471="",J3471="",K3471=""),"",IF(OR(NOT(ISNUMBER(O3471)),N(O3471)&lt;=0),"Bad amount",IF(NOT(ISNUMBER(N3471)),"Bad date",IF(P3471="","NAME NOT ON ROSTER","OK"))))</f>
        <v/>
      </c>
      <c r="I3471">
        <f>IF('Cash_Check'!A471="","",'Cash_Check'!A471)</f>
        <v/>
      </c>
      <c r="J3471">
        <f>IF('Cash_Check'!D471="","",'Cash_Check'!D471)</f>
        <v/>
      </c>
      <c r="K3471">
        <f>TRIM('Cash_Check'!B471)</f>
        <v/>
      </c>
      <c r="M3471">
        <f>IF(TRIM('Cash_Check'!E471)="","Cash/check",TRIM('Cash_Check'!E471))</f>
        <v/>
      </c>
      <c r="N3471">
        <f>IF(I3471="","",IF(ISNUMBER(I3471),INT(I3471),IFERROR(INT(DATEVALUE(I3471)),IFERROR(INT(VALUE(I3471)),"bad"))))</f>
        <v/>
      </c>
      <c r="O3471">
        <f>IF(J3471="","",IF(ISNUMBER(J3471),ROUND(J3471,2),IFERROR(ROUND(VALUE(SUBSTITUTE(SUBSTITUTE(SUBSTITUTE(J3471,"$",""),",","")," ","")),2),"bad")))</f>
        <v/>
      </c>
      <c r="P3471">
        <f>IF(K3471="","",IFERROR(MATCH(IF(ISNUMBER(FIND("#",K3471)),TRIM(MID(K3471,FIND("#",K3471)+1,20)),UPPER(K3471)),'Students'!$AD$2:$AD$701,0),""))</f>
        <v/>
      </c>
      <c r="R3471">
        <f>IF(P3471="","",INDEX('Students'!$AD$2:$AD$701,P3471))</f>
        <v/>
      </c>
      <c r="S3471">
        <f>IF(H3471="OK",O3471,0)</f>
        <v/>
      </c>
      <c r="T3471">
        <f>IF(H3471="OK",N3471,"")</f>
        <v/>
      </c>
      <c r="U3471">
        <f>TRIM('Cash_Check'!C471)</f>
        <v/>
      </c>
    </row>
    <row r="3472">
      <c r="A3472" s="62">
        <f>IF(H3472="","",IF(ISNUMBER(N3472),N3472,I3472))</f>
        <v/>
      </c>
      <c r="B3472">
        <f>IF(H3472="","",U3472)</f>
        <v/>
      </c>
      <c r="C3472">
        <f>IF(H3472="","",IF(P3472="",K3472,INDEX('Students'!$A$2:$A$701,P3472)))</f>
        <v/>
      </c>
      <c r="D3472">
        <f>IF(OR(H3472="",P3472=""),"",INDEX('Students'!$B$2:$B$701,P3472))</f>
        <v/>
      </c>
      <c r="E3472">
        <f>IF(OR(H3472="",P3472=""),"",INDEX('Students'!$C$2:$C$701,P3472))</f>
        <v/>
      </c>
      <c r="F3472" s="48">
        <f>IF(H3472="","",IF(ISNUMBER(O3472),O3472,J3472))</f>
        <v/>
      </c>
      <c r="G3472">
        <f>IF(H3472="","",M3472)</f>
        <v/>
      </c>
      <c r="H3472">
        <f>IF(AND(I3472="",J3472="",K3472=""),"",IF(OR(NOT(ISNUMBER(O3472)),N(O3472)&lt;=0),"Bad amount",IF(NOT(ISNUMBER(N3472)),"Bad date",IF(P3472="","NAME NOT ON ROSTER","OK"))))</f>
        <v/>
      </c>
      <c r="I3472">
        <f>IF('Cash_Check'!A472="","",'Cash_Check'!A472)</f>
        <v/>
      </c>
      <c r="J3472">
        <f>IF('Cash_Check'!D472="","",'Cash_Check'!D472)</f>
        <v/>
      </c>
      <c r="K3472">
        <f>TRIM('Cash_Check'!B472)</f>
        <v/>
      </c>
      <c r="M3472">
        <f>IF(TRIM('Cash_Check'!E472)="","Cash/check",TRIM('Cash_Check'!E472))</f>
        <v/>
      </c>
      <c r="N3472">
        <f>IF(I3472="","",IF(ISNUMBER(I3472),INT(I3472),IFERROR(INT(DATEVALUE(I3472)),IFERROR(INT(VALUE(I3472)),"bad"))))</f>
        <v/>
      </c>
      <c r="O3472">
        <f>IF(J3472="","",IF(ISNUMBER(J3472),ROUND(J3472,2),IFERROR(ROUND(VALUE(SUBSTITUTE(SUBSTITUTE(SUBSTITUTE(J3472,"$",""),",","")," ","")),2),"bad")))</f>
        <v/>
      </c>
      <c r="P3472">
        <f>IF(K3472="","",IFERROR(MATCH(IF(ISNUMBER(FIND("#",K3472)),TRIM(MID(K3472,FIND("#",K3472)+1,20)),UPPER(K3472)),'Students'!$AD$2:$AD$701,0),""))</f>
        <v/>
      </c>
      <c r="R3472">
        <f>IF(P3472="","",INDEX('Students'!$AD$2:$AD$701,P3472))</f>
        <v/>
      </c>
      <c r="S3472">
        <f>IF(H3472="OK",O3472,0)</f>
        <v/>
      </c>
      <c r="T3472">
        <f>IF(H3472="OK",N3472,"")</f>
        <v/>
      </c>
      <c r="U3472">
        <f>TRIM('Cash_Check'!C472)</f>
        <v/>
      </c>
    </row>
    <row r="3473">
      <c r="A3473" s="62">
        <f>IF(H3473="","",IF(ISNUMBER(N3473),N3473,I3473))</f>
        <v/>
      </c>
      <c r="B3473">
        <f>IF(H3473="","",U3473)</f>
        <v/>
      </c>
      <c r="C3473">
        <f>IF(H3473="","",IF(P3473="",K3473,INDEX('Students'!$A$2:$A$701,P3473)))</f>
        <v/>
      </c>
      <c r="D3473">
        <f>IF(OR(H3473="",P3473=""),"",INDEX('Students'!$B$2:$B$701,P3473))</f>
        <v/>
      </c>
      <c r="E3473">
        <f>IF(OR(H3473="",P3473=""),"",INDEX('Students'!$C$2:$C$701,P3473))</f>
        <v/>
      </c>
      <c r="F3473" s="48">
        <f>IF(H3473="","",IF(ISNUMBER(O3473),O3473,J3473))</f>
        <v/>
      </c>
      <c r="G3473">
        <f>IF(H3473="","",M3473)</f>
        <v/>
      </c>
      <c r="H3473">
        <f>IF(AND(I3473="",J3473="",K3473=""),"",IF(OR(NOT(ISNUMBER(O3473)),N(O3473)&lt;=0),"Bad amount",IF(NOT(ISNUMBER(N3473)),"Bad date",IF(P3473="","NAME NOT ON ROSTER","OK"))))</f>
        <v/>
      </c>
      <c r="I3473">
        <f>IF('Cash_Check'!A473="","",'Cash_Check'!A473)</f>
        <v/>
      </c>
      <c r="J3473">
        <f>IF('Cash_Check'!D473="","",'Cash_Check'!D473)</f>
        <v/>
      </c>
      <c r="K3473">
        <f>TRIM('Cash_Check'!B473)</f>
        <v/>
      </c>
      <c r="M3473">
        <f>IF(TRIM('Cash_Check'!E473)="","Cash/check",TRIM('Cash_Check'!E473))</f>
        <v/>
      </c>
      <c r="N3473">
        <f>IF(I3473="","",IF(ISNUMBER(I3473),INT(I3473),IFERROR(INT(DATEVALUE(I3473)),IFERROR(INT(VALUE(I3473)),"bad"))))</f>
        <v/>
      </c>
      <c r="O3473">
        <f>IF(J3473="","",IF(ISNUMBER(J3473),ROUND(J3473,2),IFERROR(ROUND(VALUE(SUBSTITUTE(SUBSTITUTE(SUBSTITUTE(J3473,"$",""),",","")," ","")),2),"bad")))</f>
        <v/>
      </c>
      <c r="P3473">
        <f>IF(K3473="","",IFERROR(MATCH(IF(ISNUMBER(FIND("#",K3473)),TRIM(MID(K3473,FIND("#",K3473)+1,20)),UPPER(K3473)),'Students'!$AD$2:$AD$701,0),""))</f>
        <v/>
      </c>
      <c r="R3473">
        <f>IF(P3473="","",INDEX('Students'!$AD$2:$AD$701,P3473))</f>
        <v/>
      </c>
      <c r="S3473">
        <f>IF(H3473="OK",O3473,0)</f>
        <v/>
      </c>
      <c r="T3473">
        <f>IF(H3473="OK",N3473,"")</f>
        <v/>
      </c>
      <c r="U3473">
        <f>TRIM('Cash_Check'!C473)</f>
        <v/>
      </c>
    </row>
    <row r="3474">
      <c r="A3474" s="62">
        <f>IF(H3474="","",IF(ISNUMBER(N3474),N3474,I3474))</f>
        <v/>
      </c>
      <c r="B3474">
        <f>IF(H3474="","",U3474)</f>
        <v/>
      </c>
      <c r="C3474">
        <f>IF(H3474="","",IF(P3474="",K3474,INDEX('Students'!$A$2:$A$701,P3474)))</f>
        <v/>
      </c>
      <c r="D3474">
        <f>IF(OR(H3474="",P3474=""),"",INDEX('Students'!$B$2:$B$701,P3474))</f>
        <v/>
      </c>
      <c r="E3474">
        <f>IF(OR(H3474="",P3474=""),"",INDEX('Students'!$C$2:$C$701,P3474))</f>
        <v/>
      </c>
      <c r="F3474" s="48">
        <f>IF(H3474="","",IF(ISNUMBER(O3474),O3474,J3474))</f>
        <v/>
      </c>
      <c r="G3474">
        <f>IF(H3474="","",M3474)</f>
        <v/>
      </c>
      <c r="H3474">
        <f>IF(AND(I3474="",J3474="",K3474=""),"",IF(OR(NOT(ISNUMBER(O3474)),N(O3474)&lt;=0),"Bad amount",IF(NOT(ISNUMBER(N3474)),"Bad date",IF(P3474="","NAME NOT ON ROSTER","OK"))))</f>
        <v/>
      </c>
      <c r="I3474">
        <f>IF('Cash_Check'!A474="","",'Cash_Check'!A474)</f>
        <v/>
      </c>
      <c r="J3474">
        <f>IF('Cash_Check'!D474="","",'Cash_Check'!D474)</f>
        <v/>
      </c>
      <c r="K3474">
        <f>TRIM('Cash_Check'!B474)</f>
        <v/>
      </c>
      <c r="M3474">
        <f>IF(TRIM('Cash_Check'!E474)="","Cash/check",TRIM('Cash_Check'!E474))</f>
        <v/>
      </c>
      <c r="N3474">
        <f>IF(I3474="","",IF(ISNUMBER(I3474),INT(I3474),IFERROR(INT(DATEVALUE(I3474)),IFERROR(INT(VALUE(I3474)),"bad"))))</f>
        <v/>
      </c>
      <c r="O3474">
        <f>IF(J3474="","",IF(ISNUMBER(J3474),ROUND(J3474,2),IFERROR(ROUND(VALUE(SUBSTITUTE(SUBSTITUTE(SUBSTITUTE(J3474,"$",""),",","")," ","")),2),"bad")))</f>
        <v/>
      </c>
      <c r="P3474">
        <f>IF(K3474="","",IFERROR(MATCH(IF(ISNUMBER(FIND("#",K3474)),TRIM(MID(K3474,FIND("#",K3474)+1,20)),UPPER(K3474)),'Students'!$AD$2:$AD$701,0),""))</f>
        <v/>
      </c>
      <c r="R3474">
        <f>IF(P3474="","",INDEX('Students'!$AD$2:$AD$701,P3474))</f>
        <v/>
      </c>
      <c r="S3474">
        <f>IF(H3474="OK",O3474,0)</f>
        <v/>
      </c>
      <c r="T3474">
        <f>IF(H3474="OK",N3474,"")</f>
        <v/>
      </c>
      <c r="U3474">
        <f>TRIM('Cash_Check'!C474)</f>
        <v/>
      </c>
    </row>
    <row r="3475">
      <c r="A3475" s="62">
        <f>IF(H3475="","",IF(ISNUMBER(N3475),N3475,I3475))</f>
        <v/>
      </c>
      <c r="B3475">
        <f>IF(H3475="","",U3475)</f>
        <v/>
      </c>
      <c r="C3475">
        <f>IF(H3475="","",IF(P3475="",K3475,INDEX('Students'!$A$2:$A$701,P3475)))</f>
        <v/>
      </c>
      <c r="D3475">
        <f>IF(OR(H3475="",P3475=""),"",INDEX('Students'!$B$2:$B$701,P3475))</f>
        <v/>
      </c>
      <c r="E3475">
        <f>IF(OR(H3475="",P3475=""),"",INDEX('Students'!$C$2:$C$701,P3475))</f>
        <v/>
      </c>
      <c r="F3475" s="48">
        <f>IF(H3475="","",IF(ISNUMBER(O3475),O3475,J3475))</f>
        <v/>
      </c>
      <c r="G3475">
        <f>IF(H3475="","",M3475)</f>
        <v/>
      </c>
      <c r="H3475">
        <f>IF(AND(I3475="",J3475="",K3475=""),"",IF(OR(NOT(ISNUMBER(O3475)),N(O3475)&lt;=0),"Bad amount",IF(NOT(ISNUMBER(N3475)),"Bad date",IF(P3475="","NAME NOT ON ROSTER","OK"))))</f>
        <v/>
      </c>
      <c r="I3475">
        <f>IF('Cash_Check'!A475="","",'Cash_Check'!A475)</f>
        <v/>
      </c>
      <c r="J3475">
        <f>IF('Cash_Check'!D475="","",'Cash_Check'!D475)</f>
        <v/>
      </c>
      <c r="K3475">
        <f>TRIM('Cash_Check'!B475)</f>
        <v/>
      </c>
      <c r="M3475">
        <f>IF(TRIM('Cash_Check'!E475)="","Cash/check",TRIM('Cash_Check'!E475))</f>
        <v/>
      </c>
      <c r="N3475">
        <f>IF(I3475="","",IF(ISNUMBER(I3475),INT(I3475),IFERROR(INT(DATEVALUE(I3475)),IFERROR(INT(VALUE(I3475)),"bad"))))</f>
        <v/>
      </c>
      <c r="O3475">
        <f>IF(J3475="","",IF(ISNUMBER(J3475),ROUND(J3475,2),IFERROR(ROUND(VALUE(SUBSTITUTE(SUBSTITUTE(SUBSTITUTE(J3475,"$",""),",","")," ","")),2),"bad")))</f>
        <v/>
      </c>
      <c r="P3475">
        <f>IF(K3475="","",IFERROR(MATCH(IF(ISNUMBER(FIND("#",K3475)),TRIM(MID(K3475,FIND("#",K3475)+1,20)),UPPER(K3475)),'Students'!$AD$2:$AD$701,0),""))</f>
        <v/>
      </c>
      <c r="R3475">
        <f>IF(P3475="","",INDEX('Students'!$AD$2:$AD$701,P3475))</f>
        <v/>
      </c>
      <c r="S3475">
        <f>IF(H3475="OK",O3475,0)</f>
        <v/>
      </c>
      <c r="T3475">
        <f>IF(H3475="OK",N3475,"")</f>
        <v/>
      </c>
      <c r="U3475">
        <f>TRIM('Cash_Check'!C475)</f>
        <v/>
      </c>
    </row>
    <row r="3476">
      <c r="A3476" s="62">
        <f>IF(H3476="","",IF(ISNUMBER(N3476),N3476,I3476))</f>
        <v/>
      </c>
      <c r="B3476">
        <f>IF(H3476="","",U3476)</f>
        <v/>
      </c>
      <c r="C3476">
        <f>IF(H3476="","",IF(P3476="",K3476,INDEX('Students'!$A$2:$A$701,P3476)))</f>
        <v/>
      </c>
      <c r="D3476">
        <f>IF(OR(H3476="",P3476=""),"",INDEX('Students'!$B$2:$B$701,P3476))</f>
        <v/>
      </c>
      <c r="E3476">
        <f>IF(OR(H3476="",P3476=""),"",INDEX('Students'!$C$2:$C$701,P3476))</f>
        <v/>
      </c>
      <c r="F3476" s="48">
        <f>IF(H3476="","",IF(ISNUMBER(O3476),O3476,J3476))</f>
        <v/>
      </c>
      <c r="G3476">
        <f>IF(H3476="","",M3476)</f>
        <v/>
      </c>
      <c r="H3476">
        <f>IF(AND(I3476="",J3476="",K3476=""),"",IF(OR(NOT(ISNUMBER(O3476)),N(O3476)&lt;=0),"Bad amount",IF(NOT(ISNUMBER(N3476)),"Bad date",IF(P3476="","NAME NOT ON ROSTER","OK"))))</f>
        <v/>
      </c>
      <c r="I3476">
        <f>IF('Cash_Check'!A476="","",'Cash_Check'!A476)</f>
        <v/>
      </c>
      <c r="J3476">
        <f>IF('Cash_Check'!D476="","",'Cash_Check'!D476)</f>
        <v/>
      </c>
      <c r="K3476">
        <f>TRIM('Cash_Check'!B476)</f>
        <v/>
      </c>
      <c r="M3476">
        <f>IF(TRIM('Cash_Check'!E476)="","Cash/check",TRIM('Cash_Check'!E476))</f>
        <v/>
      </c>
      <c r="N3476">
        <f>IF(I3476="","",IF(ISNUMBER(I3476),INT(I3476),IFERROR(INT(DATEVALUE(I3476)),IFERROR(INT(VALUE(I3476)),"bad"))))</f>
        <v/>
      </c>
      <c r="O3476">
        <f>IF(J3476="","",IF(ISNUMBER(J3476),ROUND(J3476,2),IFERROR(ROUND(VALUE(SUBSTITUTE(SUBSTITUTE(SUBSTITUTE(J3476,"$",""),",","")," ","")),2),"bad")))</f>
        <v/>
      </c>
      <c r="P3476">
        <f>IF(K3476="","",IFERROR(MATCH(IF(ISNUMBER(FIND("#",K3476)),TRIM(MID(K3476,FIND("#",K3476)+1,20)),UPPER(K3476)),'Students'!$AD$2:$AD$701,0),""))</f>
        <v/>
      </c>
      <c r="R3476">
        <f>IF(P3476="","",INDEX('Students'!$AD$2:$AD$701,P3476))</f>
        <v/>
      </c>
      <c r="S3476">
        <f>IF(H3476="OK",O3476,0)</f>
        <v/>
      </c>
      <c r="T3476">
        <f>IF(H3476="OK",N3476,"")</f>
        <v/>
      </c>
      <c r="U3476">
        <f>TRIM('Cash_Check'!C476)</f>
        <v/>
      </c>
    </row>
    <row r="3477">
      <c r="A3477" s="62">
        <f>IF(H3477="","",IF(ISNUMBER(N3477),N3477,I3477))</f>
        <v/>
      </c>
      <c r="B3477">
        <f>IF(H3477="","",U3477)</f>
        <v/>
      </c>
      <c r="C3477">
        <f>IF(H3477="","",IF(P3477="",K3477,INDEX('Students'!$A$2:$A$701,P3477)))</f>
        <v/>
      </c>
      <c r="D3477">
        <f>IF(OR(H3477="",P3477=""),"",INDEX('Students'!$B$2:$B$701,P3477))</f>
        <v/>
      </c>
      <c r="E3477">
        <f>IF(OR(H3477="",P3477=""),"",INDEX('Students'!$C$2:$C$701,P3477))</f>
        <v/>
      </c>
      <c r="F3477" s="48">
        <f>IF(H3477="","",IF(ISNUMBER(O3477),O3477,J3477))</f>
        <v/>
      </c>
      <c r="G3477">
        <f>IF(H3477="","",M3477)</f>
        <v/>
      </c>
      <c r="H3477">
        <f>IF(AND(I3477="",J3477="",K3477=""),"",IF(OR(NOT(ISNUMBER(O3477)),N(O3477)&lt;=0),"Bad amount",IF(NOT(ISNUMBER(N3477)),"Bad date",IF(P3477="","NAME NOT ON ROSTER","OK"))))</f>
        <v/>
      </c>
      <c r="I3477">
        <f>IF('Cash_Check'!A477="","",'Cash_Check'!A477)</f>
        <v/>
      </c>
      <c r="J3477">
        <f>IF('Cash_Check'!D477="","",'Cash_Check'!D477)</f>
        <v/>
      </c>
      <c r="K3477">
        <f>TRIM('Cash_Check'!B477)</f>
        <v/>
      </c>
      <c r="M3477">
        <f>IF(TRIM('Cash_Check'!E477)="","Cash/check",TRIM('Cash_Check'!E477))</f>
        <v/>
      </c>
      <c r="N3477">
        <f>IF(I3477="","",IF(ISNUMBER(I3477),INT(I3477),IFERROR(INT(DATEVALUE(I3477)),IFERROR(INT(VALUE(I3477)),"bad"))))</f>
        <v/>
      </c>
      <c r="O3477">
        <f>IF(J3477="","",IF(ISNUMBER(J3477),ROUND(J3477,2),IFERROR(ROUND(VALUE(SUBSTITUTE(SUBSTITUTE(SUBSTITUTE(J3477,"$",""),",","")," ","")),2),"bad")))</f>
        <v/>
      </c>
      <c r="P3477">
        <f>IF(K3477="","",IFERROR(MATCH(IF(ISNUMBER(FIND("#",K3477)),TRIM(MID(K3477,FIND("#",K3477)+1,20)),UPPER(K3477)),'Students'!$AD$2:$AD$701,0),""))</f>
        <v/>
      </c>
      <c r="R3477">
        <f>IF(P3477="","",INDEX('Students'!$AD$2:$AD$701,P3477))</f>
        <v/>
      </c>
      <c r="S3477">
        <f>IF(H3477="OK",O3477,0)</f>
        <v/>
      </c>
      <c r="T3477">
        <f>IF(H3477="OK",N3477,"")</f>
        <v/>
      </c>
      <c r="U3477">
        <f>TRIM('Cash_Check'!C477)</f>
        <v/>
      </c>
    </row>
    <row r="3478">
      <c r="A3478" s="62">
        <f>IF(H3478="","",IF(ISNUMBER(N3478),N3478,I3478))</f>
        <v/>
      </c>
      <c r="B3478">
        <f>IF(H3478="","",U3478)</f>
        <v/>
      </c>
      <c r="C3478">
        <f>IF(H3478="","",IF(P3478="",K3478,INDEX('Students'!$A$2:$A$701,P3478)))</f>
        <v/>
      </c>
      <c r="D3478">
        <f>IF(OR(H3478="",P3478=""),"",INDEX('Students'!$B$2:$B$701,P3478))</f>
        <v/>
      </c>
      <c r="E3478">
        <f>IF(OR(H3478="",P3478=""),"",INDEX('Students'!$C$2:$C$701,P3478))</f>
        <v/>
      </c>
      <c r="F3478" s="48">
        <f>IF(H3478="","",IF(ISNUMBER(O3478),O3478,J3478))</f>
        <v/>
      </c>
      <c r="G3478">
        <f>IF(H3478="","",M3478)</f>
        <v/>
      </c>
      <c r="H3478">
        <f>IF(AND(I3478="",J3478="",K3478=""),"",IF(OR(NOT(ISNUMBER(O3478)),N(O3478)&lt;=0),"Bad amount",IF(NOT(ISNUMBER(N3478)),"Bad date",IF(P3478="","NAME NOT ON ROSTER","OK"))))</f>
        <v/>
      </c>
      <c r="I3478">
        <f>IF('Cash_Check'!A478="","",'Cash_Check'!A478)</f>
        <v/>
      </c>
      <c r="J3478">
        <f>IF('Cash_Check'!D478="","",'Cash_Check'!D478)</f>
        <v/>
      </c>
      <c r="K3478">
        <f>TRIM('Cash_Check'!B478)</f>
        <v/>
      </c>
      <c r="M3478">
        <f>IF(TRIM('Cash_Check'!E478)="","Cash/check",TRIM('Cash_Check'!E478))</f>
        <v/>
      </c>
      <c r="N3478">
        <f>IF(I3478="","",IF(ISNUMBER(I3478),INT(I3478),IFERROR(INT(DATEVALUE(I3478)),IFERROR(INT(VALUE(I3478)),"bad"))))</f>
        <v/>
      </c>
      <c r="O3478">
        <f>IF(J3478="","",IF(ISNUMBER(J3478),ROUND(J3478,2),IFERROR(ROUND(VALUE(SUBSTITUTE(SUBSTITUTE(SUBSTITUTE(J3478,"$",""),",","")," ","")),2),"bad")))</f>
        <v/>
      </c>
      <c r="P3478">
        <f>IF(K3478="","",IFERROR(MATCH(IF(ISNUMBER(FIND("#",K3478)),TRIM(MID(K3478,FIND("#",K3478)+1,20)),UPPER(K3478)),'Students'!$AD$2:$AD$701,0),""))</f>
        <v/>
      </c>
      <c r="R3478">
        <f>IF(P3478="","",INDEX('Students'!$AD$2:$AD$701,P3478))</f>
        <v/>
      </c>
      <c r="S3478">
        <f>IF(H3478="OK",O3478,0)</f>
        <v/>
      </c>
      <c r="T3478">
        <f>IF(H3478="OK",N3478,"")</f>
        <v/>
      </c>
      <c r="U3478">
        <f>TRIM('Cash_Check'!C478)</f>
        <v/>
      </c>
    </row>
    <row r="3479">
      <c r="A3479" s="62">
        <f>IF(H3479="","",IF(ISNUMBER(N3479),N3479,I3479))</f>
        <v/>
      </c>
      <c r="B3479">
        <f>IF(H3479="","",U3479)</f>
        <v/>
      </c>
      <c r="C3479">
        <f>IF(H3479="","",IF(P3479="",K3479,INDEX('Students'!$A$2:$A$701,P3479)))</f>
        <v/>
      </c>
      <c r="D3479">
        <f>IF(OR(H3479="",P3479=""),"",INDEX('Students'!$B$2:$B$701,P3479))</f>
        <v/>
      </c>
      <c r="E3479">
        <f>IF(OR(H3479="",P3479=""),"",INDEX('Students'!$C$2:$C$701,P3479))</f>
        <v/>
      </c>
      <c r="F3479" s="48">
        <f>IF(H3479="","",IF(ISNUMBER(O3479),O3479,J3479))</f>
        <v/>
      </c>
      <c r="G3479">
        <f>IF(H3479="","",M3479)</f>
        <v/>
      </c>
      <c r="H3479">
        <f>IF(AND(I3479="",J3479="",K3479=""),"",IF(OR(NOT(ISNUMBER(O3479)),N(O3479)&lt;=0),"Bad amount",IF(NOT(ISNUMBER(N3479)),"Bad date",IF(P3479="","NAME NOT ON ROSTER","OK"))))</f>
        <v/>
      </c>
      <c r="I3479">
        <f>IF('Cash_Check'!A479="","",'Cash_Check'!A479)</f>
        <v/>
      </c>
      <c r="J3479">
        <f>IF('Cash_Check'!D479="","",'Cash_Check'!D479)</f>
        <v/>
      </c>
      <c r="K3479">
        <f>TRIM('Cash_Check'!B479)</f>
        <v/>
      </c>
      <c r="M3479">
        <f>IF(TRIM('Cash_Check'!E479)="","Cash/check",TRIM('Cash_Check'!E479))</f>
        <v/>
      </c>
      <c r="N3479">
        <f>IF(I3479="","",IF(ISNUMBER(I3479),INT(I3479),IFERROR(INT(DATEVALUE(I3479)),IFERROR(INT(VALUE(I3479)),"bad"))))</f>
        <v/>
      </c>
      <c r="O3479">
        <f>IF(J3479="","",IF(ISNUMBER(J3479),ROUND(J3479,2),IFERROR(ROUND(VALUE(SUBSTITUTE(SUBSTITUTE(SUBSTITUTE(J3479,"$",""),",","")," ","")),2),"bad")))</f>
        <v/>
      </c>
      <c r="P3479">
        <f>IF(K3479="","",IFERROR(MATCH(IF(ISNUMBER(FIND("#",K3479)),TRIM(MID(K3479,FIND("#",K3479)+1,20)),UPPER(K3479)),'Students'!$AD$2:$AD$701,0),""))</f>
        <v/>
      </c>
      <c r="R3479">
        <f>IF(P3479="","",INDEX('Students'!$AD$2:$AD$701,P3479))</f>
        <v/>
      </c>
      <c r="S3479">
        <f>IF(H3479="OK",O3479,0)</f>
        <v/>
      </c>
      <c r="T3479">
        <f>IF(H3479="OK",N3479,"")</f>
        <v/>
      </c>
      <c r="U3479">
        <f>TRIM('Cash_Check'!C479)</f>
        <v/>
      </c>
    </row>
    <row r="3480">
      <c r="A3480" s="62">
        <f>IF(H3480="","",IF(ISNUMBER(N3480),N3480,I3480))</f>
        <v/>
      </c>
      <c r="B3480">
        <f>IF(H3480="","",U3480)</f>
        <v/>
      </c>
      <c r="C3480">
        <f>IF(H3480="","",IF(P3480="",K3480,INDEX('Students'!$A$2:$A$701,P3480)))</f>
        <v/>
      </c>
      <c r="D3480">
        <f>IF(OR(H3480="",P3480=""),"",INDEX('Students'!$B$2:$B$701,P3480))</f>
        <v/>
      </c>
      <c r="E3480">
        <f>IF(OR(H3480="",P3480=""),"",INDEX('Students'!$C$2:$C$701,P3480))</f>
        <v/>
      </c>
      <c r="F3480" s="48">
        <f>IF(H3480="","",IF(ISNUMBER(O3480),O3480,J3480))</f>
        <v/>
      </c>
      <c r="G3480">
        <f>IF(H3480="","",M3480)</f>
        <v/>
      </c>
      <c r="H3480">
        <f>IF(AND(I3480="",J3480="",K3480=""),"",IF(OR(NOT(ISNUMBER(O3480)),N(O3480)&lt;=0),"Bad amount",IF(NOT(ISNUMBER(N3480)),"Bad date",IF(P3480="","NAME NOT ON ROSTER","OK"))))</f>
        <v/>
      </c>
      <c r="I3480">
        <f>IF('Cash_Check'!A480="","",'Cash_Check'!A480)</f>
        <v/>
      </c>
      <c r="J3480">
        <f>IF('Cash_Check'!D480="","",'Cash_Check'!D480)</f>
        <v/>
      </c>
      <c r="K3480">
        <f>TRIM('Cash_Check'!B480)</f>
        <v/>
      </c>
      <c r="M3480">
        <f>IF(TRIM('Cash_Check'!E480)="","Cash/check",TRIM('Cash_Check'!E480))</f>
        <v/>
      </c>
      <c r="N3480">
        <f>IF(I3480="","",IF(ISNUMBER(I3480),INT(I3480),IFERROR(INT(DATEVALUE(I3480)),IFERROR(INT(VALUE(I3480)),"bad"))))</f>
        <v/>
      </c>
      <c r="O3480">
        <f>IF(J3480="","",IF(ISNUMBER(J3480),ROUND(J3480,2),IFERROR(ROUND(VALUE(SUBSTITUTE(SUBSTITUTE(SUBSTITUTE(J3480,"$",""),",","")," ","")),2),"bad")))</f>
        <v/>
      </c>
      <c r="P3480">
        <f>IF(K3480="","",IFERROR(MATCH(IF(ISNUMBER(FIND("#",K3480)),TRIM(MID(K3480,FIND("#",K3480)+1,20)),UPPER(K3480)),'Students'!$AD$2:$AD$701,0),""))</f>
        <v/>
      </c>
      <c r="R3480">
        <f>IF(P3480="","",INDEX('Students'!$AD$2:$AD$701,P3480))</f>
        <v/>
      </c>
      <c r="S3480">
        <f>IF(H3480="OK",O3480,0)</f>
        <v/>
      </c>
      <c r="T3480">
        <f>IF(H3480="OK",N3480,"")</f>
        <v/>
      </c>
      <c r="U3480">
        <f>TRIM('Cash_Check'!C480)</f>
        <v/>
      </c>
    </row>
    <row r="3481">
      <c r="A3481" s="62">
        <f>IF(H3481="","",IF(ISNUMBER(N3481),N3481,I3481))</f>
        <v/>
      </c>
      <c r="B3481">
        <f>IF(H3481="","",U3481)</f>
        <v/>
      </c>
      <c r="C3481">
        <f>IF(H3481="","",IF(P3481="",K3481,INDEX('Students'!$A$2:$A$701,P3481)))</f>
        <v/>
      </c>
      <c r="D3481">
        <f>IF(OR(H3481="",P3481=""),"",INDEX('Students'!$B$2:$B$701,P3481))</f>
        <v/>
      </c>
      <c r="E3481">
        <f>IF(OR(H3481="",P3481=""),"",INDEX('Students'!$C$2:$C$701,P3481))</f>
        <v/>
      </c>
      <c r="F3481" s="48">
        <f>IF(H3481="","",IF(ISNUMBER(O3481),O3481,J3481))</f>
        <v/>
      </c>
      <c r="G3481">
        <f>IF(H3481="","",M3481)</f>
        <v/>
      </c>
      <c r="H3481">
        <f>IF(AND(I3481="",J3481="",K3481=""),"",IF(OR(NOT(ISNUMBER(O3481)),N(O3481)&lt;=0),"Bad amount",IF(NOT(ISNUMBER(N3481)),"Bad date",IF(P3481="","NAME NOT ON ROSTER","OK"))))</f>
        <v/>
      </c>
      <c r="I3481">
        <f>IF('Cash_Check'!A481="","",'Cash_Check'!A481)</f>
        <v/>
      </c>
      <c r="J3481">
        <f>IF('Cash_Check'!D481="","",'Cash_Check'!D481)</f>
        <v/>
      </c>
      <c r="K3481">
        <f>TRIM('Cash_Check'!B481)</f>
        <v/>
      </c>
      <c r="M3481">
        <f>IF(TRIM('Cash_Check'!E481)="","Cash/check",TRIM('Cash_Check'!E481))</f>
        <v/>
      </c>
      <c r="N3481">
        <f>IF(I3481="","",IF(ISNUMBER(I3481),INT(I3481),IFERROR(INT(DATEVALUE(I3481)),IFERROR(INT(VALUE(I3481)),"bad"))))</f>
        <v/>
      </c>
      <c r="O3481">
        <f>IF(J3481="","",IF(ISNUMBER(J3481),ROUND(J3481,2),IFERROR(ROUND(VALUE(SUBSTITUTE(SUBSTITUTE(SUBSTITUTE(J3481,"$",""),",","")," ","")),2),"bad")))</f>
        <v/>
      </c>
      <c r="P3481">
        <f>IF(K3481="","",IFERROR(MATCH(IF(ISNUMBER(FIND("#",K3481)),TRIM(MID(K3481,FIND("#",K3481)+1,20)),UPPER(K3481)),'Students'!$AD$2:$AD$701,0),""))</f>
        <v/>
      </c>
      <c r="R3481">
        <f>IF(P3481="","",INDEX('Students'!$AD$2:$AD$701,P3481))</f>
        <v/>
      </c>
      <c r="S3481">
        <f>IF(H3481="OK",O3481,0)</f>
        <v/>
      </c>
      <c r="T3481">
        <f>IF(H3481="OK",N3481,"")</f>
        <v/>
      </c>
      <c r="U3481">
        <f>TRIM('Cash_Check'!C481)</f>
        <v/>
      </c>
    </row>
    <row r="3482">
      <c r="A3482" s="62">
        <f>IF(H3482="","",IF(ISNUMBER(N3482),N3482,I3482))</f>
        <v/>
      </c>
      <c r="B3482">
        <f>IF(H3482="","",U3482)</f>
        <v/>
      </c>
      <c r="C3482">
        <f>IF(H3482="","",IF(P3482="",K3482,INDEX('Students'!$A$2:$A$701,P3482)))</f>
        <v/>
      </c>
      <c r="D3482">
        <f>IF(OR(H3482="",P3482=""),"",INDEX('Students'!$B$2:$B$701,P3482))</f>
        <v/>
      </c>
      <c r="E3482">
        <f>IF(OR(H3482="",P3482=""),"",INDEX('Students'!$C$2:$C$701,P3482))</f>
        <v/>
      </c>
      <c r="F3482" s="48">
        <f>IF(H3482="","",IF(ISNUMBER(O3482),O3482,J3482))</f>
        <v/>
      </c>
      <c r="G3482">
        <f>IF(H3482="","",M3482)</f>
        <v/>
      </c>
      <c r="H3482">
        <f>IF(AND(I3482="",J3482="",K3482=""),"",IF(OR(NOT(ISNUMBER(O3482)),N(O3482)&lt;=0),"Bad amount",IF(NOT(ISNUMBER(N3482)),"Bad date",IF(P3482="","NAME NOT ON ROSTER","OK"))))</f>
        <v/>
      </c>
      <c r="I3482">
        <f>IF('Cash_Check'!A482="","",'Cash_Check'!A482)</f>
        <v/>
      </c>
      <c r="J3482">
        <f>IF('Cash_Check'!D482="","",'Cash_Check'!D482)</f>
        <v/>
      </c>
      <c r="K3482">
        <f>TRIM('Cash_Check'!B482)</f>
        <v/>
      </c>
      <c r="M3482">
        <f>IF(TRIM('Cash_Check'!E482)="","Cash/check",TRIM('Cash_Check'!E482))</f>
        <v/>
      </c>
      <c r="N3482">
        <f>IF(I3482="","",IF(ISNUMBER(I3482),INT(I3482),IFERROR(INT(DATEVALUE(I3482)),IFERROR(INT(VALUE(I3482)),"bad"))))</f>
        <v/>
      </c>
      <c r="O3482">
        <f>IF(J3482="","",IF(ISNUMBER(J3482),ROUND(J3482,2),IFERROR(ROUND(VALUE(SUBSTITUTE(SUBSTITUTE(SUBSTITUTE(J3482,"$",""),",","")," ","")),2),"bad")))</f>
        <v/>
      </c>
      <c r="P3482">
        <f>IF(K3482="","",IFERROR(MATCH(IF(ISNUMBER(FIND("#",K3482)),TRIM(MID(K3482,FIND("#",K3482)+1,20)),UPPER(K3482)),'Students'!$AD$2:$AD$701,0),""))</f>
        <v/>
      </c>
      <c r="R3482">
        <f>IF(P3482="","",INDEX('Students'!$AD$2:$AD$701,P3482))</f>
        <v/>
      </c>
      <c r="S3482">
        <f>IF(H3482="OK",O3482,0)</f>
        <v/>
      </c>
      <c r="T3482">
        <f>IF(H3482="OK",N3482,"")</f>
        <v/>
      </c>
      <c r="U3482">
        <f>TRIM('Cash_Check'!C482)</f>
        <v/>
      </c>
    </row>
    <row r="3483">
      <c r="A3483" s="62">
        <f>IF(H3483="","",IF(ISNUMBER(N3483),N3483,I3483))</f>
        <v/>
      </c>
      <c r="B3483">
        <f>IF(H3483="","",U3483)</f>
        <v/>
      </c>
      <c r="C3483">
        <f>IF(H3483="","",IF(P3483="",K3483,INDEX('Students'!$A$2:$A$701,P3483)))</f>
        <v/>
      </c>
      <c r="D3483">
        <f>IF(OR(H3483="",P3483=""),"",INDEX('Students'!$B$2:$B$701,P3483))</f>
        <v/>
      </c>
      <c r="E3483">
        <f>IF(OR(H3483="",P3483=""),"",INDEX('Students'!$C$2:$C$701,P3483))</f>
        <v/>
      </c>
      <c r="F3483" s="48">
        <f>IF(H3483="","",IF(ISNUMBER(O3483),O3483,J3483))</f>
        <v/>
      </c>
      <c r="G3483">
        <f>IF(H3483="","",M3483)</f>
        <v/>
      </c>
      <c r="H3483">
        <f>IF(AND(I3483="",J3483="",K3483=""),"",IF(OR(NOT(ISNUMBER(O3483)),N(O3483)&lt;=0),"Bad amount",IF(NOT(ISNUMBER(N3483)),"Bad date",IF(P3483="","NAME NOT ON ROSTER","OK"))))</f>
        <v/>
      </c>
      <c r="I3483">
        <f>IF('Cash_Check'!A483="","",'Cash_Check'!A483)</f>
        <v/>
      </c>
      <c r="J3483">
        <f>IF('Cash_Check'!D483="","",'Cash_Check'!D483)</f>
        <v/>
      </c>
      <c r="K3483">
        <f>TRIM('Cash_Check'!B483)</f>
        <v/>
      </c>
      <c r="M3483">
        <f>IF(TRIM('Cash_Check'!E483)="","Cash/check",TRIM('Cash_Check'!E483))</f>
        <v/>
      </c>
      <c r="N3483">
        <f>IF(I3483="","",IF(ISNUMBER(I3483),INT(I3483),IFERROR(INT(DATEVALUE(I3483)),IFERROR(INT(VALUE(I3483)),"bad"))))</f>
        <v/>
      </c>
      <c r="O3483">
        <f>IF(J3483="","",IF(ISNUMBER(J3483),ROUND(J3483,2),IFERROR(ROUND(VALUE(SUBSTITUTE(SUBSTITUTE(SUBSTITUTE(J3483,"$",""),",","")," ","")),2),"bad")))</f>
        <v/>
      </c>
      <c r="P3483">
        <f>IF(K3483="","",IFERROR(MATCH(IF(ISNUMBER(FIND("#",K3483)),TRIM(MID(K3483,FIND("#",K3483)+1,20)),UPPER(K3483)),'Students'!$AD$2:$AD$701,0),""))</f>
        <v/>
      </c>
      <c r="R3483">
        <f>IF(P3483="","",INDEX('Students'!$AD$2:$AD$701,P3483))</f>
        <v/>
      </c>
      <c r="S3483">
        <f>IF(H3483="OK",O3483,0)</f>
        <v/>
      </c>
      <c r="T3483">
        <f>IF(H3483="OK",N3483,"")</f>
        <v/>
      </c>
      <c r="U3483">
        <f>TRIM('Cash_Check'!C483)</f>
        <v/>
      </c>
    </row>
    <row r="3484">
      <c r="A3484" s="62">
        <f>IF(H3484="","",IF(ISNUMBER(N3484),N3484,I3484))</f>
        <v/>
      </c>
      <c r="B3484">
        <f>IF(H3484="","",U3484)</f>
        <v/>
      </c>
      <c r="C3484">
        <f>IF(H3484="","",IF(P3484="",K3484,INDEX('Students'!$A$2:$A$701,P3484)))</f>
        <v/>
      </c>
      <c r="D3484">
        <f>IF(OR(H3484="",P3484=""),"",INDEX('Students'!$B$2:$B$701,P3484))</f>
        <v/>
      </c>
      <c r="E3484">
        <f>IF(OR(H3484="",P3484=""),"",INDEX('Students'!$C$2:$C$701,P3484))</f>
        <v/>
      </c>
      <c r="F3484" s="48">
        <f>IF(H3484="","",IF(ISNUMBER(O3484),O3484,J3484))</f>
        <v/>
      </c>
      <c r="G3484">
        <f>IF(H3484="","",M3484)</f>
        <v/>
      </c>
      <c r="H3484">
        <f>IF(AND(I3484="",J3484="",K3484=""),"",IF(OR(NOT(ISNUMBER(O3484)),N(O3484)&lt;=0),"Bad amount",IF(NOT(ISNUMBER(N3484)),"Bad date",IF(P3484="","NAME NOT ON ROSTER","OK"))))</f>
        <v/>
      </c>
      <c r="I3484">
        <f>IF('Cash_Check'!A484="","",'Cash_Check'!A484)</f>
        <v/>
      </c>
      <c r="J3484">
        <f>IF('Cash_Check'!D484="","",'Cash_Check'!D484)</f>
        <v/>
      </c>
      <c r="K3484">
        <f>TRIM('Cash_Check'!B484)</f>
        <v/>
      </c>
      <c r="M3484">
        <f>IF(TRIM('Cash_Check'!E484)="","Cash/check",TRIM('Cash_Check'!E484))</f>
        <v/>
      </c>
      <c r="N3484">
        <f>IF(I3484="","",IF(ISNUMBER(I3484),INT(I3484),IFERROR(INT(DATEVALUE(I3484)),IFERROR(INT(VALUE(I3484)),"bad"))))</f>
        <v/>
      </c>
      <c r="O3484">
        <f>IF(J3484="","",IF(ISNUMBER(J3484),ROUND(J3484,2),IFERROR(ROUND(VALUE(SUBSTITUTE(SUBSTITUTE(SUBSTITUTE(J3484,"$",""),",","")," ","")),2),"bad")))</f>
        <v/>
      </c>
      <c r="P3484">
        <f>IF(K3484="","",IFERROR(MATCH(IF(ISNUMBER(FIND("#",K3484)),TRIM(MID(K3484,FIND("#",K3484)+1,20)),UPPER(K3484)),'Students'!$AD$2:$AD$701,0),""))</f>
        <v/>
      </c>
      <c r="R3484">
        <f>IF(P3484="","",INDEX('Students'!$AD$2:$AD$701,P3484))</f>
        <v/>
      </c>
      <c r="S3484">
        <f>IF(H3484="OK",O3484,0)</f>
        <v/>
      </c>
      <c r="T3484">
        <f>IF(H3484="OK",N3484,"")</f>
        <v/>
      </c>
      <c r="U3484">
        <f>TRIM('Cash_Check'!C484)</f>
        <v/>
      </c>
    </row>
    <row r="3485">
      <c r="A3485" s="62">
        <f>IF(H3485="","",IF(ISNUMBER(N3485),N3485,I3485))</f>
        <v/>
      </c>
      <c r="B3485">
        <f>IF(H3485="","",U3485)</f>
        <v/>
      </c>
      <c r="C3485">
        <f>IF(H3485="","",IF(P3485="",K3485,INDEX('Students'!$A$2:$A$701,P3485)))</f>
        <v/>
      </c>
      <c r="D3485">
        <f>IF(OR(H3485="",P3485=""),"",INDEX('Students'!$B$2:$B$701,P3485))</f>
        <v/>
      </c>
      <c r="E3485">
        <f>IF(OR(H3485="",P3485=""),"",INDEX('Students'!$C$2:$C$701,P3485))</f>
        <v/>
      </c>
      <c r="F3485" s="48">
        <f>IF(H3485="","",IF(ISNUMBER(O3485),O3485,J3485))</f>
        <v/>
      </c>
      <c r="G3485">
        <f>IF(H3485="","",M3485)</f>
        <v/>
      </c>
      <c r="H3485">
        <f>IF(AND(I3485="",J3485="",K3485=""),"",IF(OR(NOT(ISNUMBER(O3485)),N(O3485)&lt;=0),"Bad amount",IF(NOT(ISNUMBER(N3485)),"Bad date",IF(P3485="","NAME NOT ON ROSTER","OK"))))</f>
        <v/>
      </c>
      <c r="I3485">
        <f>IF('Cash_Check'!A485="","",'Cash_Check'!A485)</f>
        <v/>
      </c>
      <c r="J3485">
        <f>IF('Cash_Check'!D485="","",'Cash_Check'!D485)</f>
        <v/>
      </c>
      <c r="K3485">
        <f>TRIM('Cash_Check'!B485)</f>
        <v/>
      </c>
      <c r="M3485">
        <f>IF(TRIM('Cash_Check'!E485)="","Cash/check",TRIM('Cash_Check'!E485))</f>
        <v/>
      </c>
      <c r="N3485">
        <f>IF(I3485="","",IF(ISNUMBER(I3485),INT(I3485),IFERROR(INT(DATEVALUE(I3485)),IFERROR(INT(VALUE(I3485)),"bad"))))</f>
        <v/>
      </c>
      <c r="O3485">
        <f>IF(J3485="","",IF(ISNUMBER(J3485),ROUND(J3485,2),IFERROR(ROUND(VALUE(SUBSTITUTE(SUBSTITUTE(SUBSTITUTE(J3485,"$",""),",","")," ","")),2),"bad")))</f>
        <v/>
      </c>
      <c r="P3485">
        <f>IF(K3485="","",IFERROR(MATCH(IF(ISNUMBER(FIND("#",K3485)),TRIM(MID(K3485,FIND("#",K3485)+1,20)),UPPER(K3485)),'Students'!$AD$2:$AD$701,0),""))</f>
        <v/>
      </c>
      <c r="R3485">
        <f>IF(P3485="","",INDEX('Students'!$AD$2:$AD$701,P3485))</f>
        <v/>
      </c>
      <c r="S3485">
        <f>IF(H3485="OK",O3485,0)</f>
        <v/>
      </c>
      <c r="T3485">
        <f>IF(H3485="OK",N3485,"")</f>
        <v/>
      </c>
      <c r="U3485">
        <f>TRIM('Cash_Check'!C485)</f>
        <v/>
      </c>
    </row>
    <row r="3486">
      <c r="A3486" s="62">
        <f>IF(H3486="","",IF(ISNUMBER(N3486),N3486,I3486))</f>
        <v/>
      </c>
      <c r="B3486">
        <f>IF(H3486="","",U3486)</f>
        <v/>
      </c>
      <c r="C3486">
        <f>IF(H3486="","",IF(P3486="",K3486,INDEX('Students'!$A$2:$A$701,P3486)))</f>
        <v/>
      </c>
      <c r="D3486">
        <f>IF(OR(H3486="",P3486=""),"",INDEX('Students'!$B$2:$B$701,P3486))</f>
        <v/>
      </c>
      <c r="E3486">
        <f>IF(OR(H3486="",P3486=""),"",INDEX('Students'!$C$2:$C$701,P3486))</f>
        <v/>
      </c>
      <c r="F3486" s="48">
        <f>IF(H3486="","",IF(ISNUMBER(O3486),O3486,J3486))</f>
        <v/>
      </c>
      <c r="G3486">
        <f>IF(H3486="","",M3486)</f>
        <v/>
      </c>
      <c r="H3486">
        <f>IF(AND(I3486="",J3486="",K3486=""),"",IF(OR(NOT(ISNUMBER(O3486)),N(O3486)&lt;=0),"Bad amount",IF(NOT(ISNUMBER(N3486)),"Bad date",IF(P3486="","NAME NOT ON ROSTER","OK"))))</f>
        <v/>
      </c>
      <c r="I3486">
        <f>IF('Cash_Check'!A486="","",'Cash_Check'!A486)</f>
        <v/>
      </c>
      <c r="J3486">
        <f>IF('Cash_Check'!D486="","",'Cash_Check'!D486)</f>
        <v/>
      </c>
      <c r="K3486">
        <f>TRIM('Cash_Check'!B486)</f>
        <v/>
      </c>
      <c r="M3486">
        <f>IF(TRIM('Cash_Check'!E486)="","Cash/check",TRIM('Cash_Check'!E486))</f>
        <v/>
      </c>
      <c r="N3486">
        <f>IF(I3486="","",IF(ISNUMBER(I3486),INT(I3486),IFERROR(INT(DATEVALUE(I3486)),IFERROR(INT(VALUE(I3486)),"bad"))))</f>
        <v/>
      </c>
      <c r="O3486">
        <f>IF(J3486="","",IF(ISNUMBER(J3486),ROUND(J3486,2),IFERROR(ROUND(VALUE(SUBSTITUTE(SUBSTITUTE(SUBSTITUTE(J3486,"$",""),",","")," ","")),2),"bad")))</f>
        <v/>
      </c>
      <c r="P3486">
        <f>IF(K3486="","",IFERROR(MATCH(IF(ISNUMBER(FIND("#",K3486)),TRIM(MID(K3486,FIND("#",K3486)+1,20)),UPPER(K3486)),'Students'!$AD$2:$AD$701,0),""))</f>
        <v/>
      </c>
      <c r="R3486">
        <f>IF(P3486="","",INDEX('Students'!$AD$2:$AD$701,P3486))</f>
        <v/>
      </c>
      <c r="S3486">
        <f>IF(H3486="OK",O3486,0)</f>
        <v/>
      </c>
      <c r="T3486">
        <f>IF(H3486="OK",N3486,"")</f>
        <v/>
      </c>
      <c r="U3486">
        <f>TRIM('Cash_Check'!C486)</f>
        <v/>
      </c>
    </row>
    <row r="3487">
      <c r="A3487" s="62">
        <f>IF(H3487="","",IF(ISNUMBER(N3487),N3487,I3487))</f>
        <v/>
      </c>
      <c r="B3487">
        <f>IF(H3487="","",U3487)</f>
        <v/>
      </c>
      <c r="C3487">
        <f>IF(H3487="","",IF(P3487="",K3487,INDEX('Students'!$A$2:$A$701,P3487)))</f>
        <v/>
      </c>
      <c r="D3487">
        <f>IF(OR(H3487="",P3487=""),"",INDEX('Students'!$B$2:$B$701,P3487))</f>
        <v/>
      </c>
      <c r="E3487">
        <f>IF(OR(H3487="",P3487=""),"",INDEX('Students'!$C$2:$C$701,P3487))</f>
        <v/>
      </c>
      <c r="F3487" s="48">
        <f>IF(H3487="","",IF(ISNUMBER(O3487),O3487,J3487))</f>
        <v/>
      </c>
      <c r="G3487">
        <f>IF(H3487="","",M3487)</f>
        <v/>
      </c>
      <c r="H3487">
        <f>IF(AND(I3487="",J3487="",K3487=""),"",IF(OR(NOT(ISNUMBER(O3487)),N(O3487)&lt;=0),"Bad amount",IF(NOT(ISNUMBER(N3487)),"Bad date",IF(P3487="","NAME NOT ON ROSTER","OK"))))</f>
        <v/>
      </c>
      <c r="I3487">
        <f>IF('Cash_Check'!A487="","",'Cash_Check'!A487)</f>
        <v/>
      </c>
      <c r="J3487">
        <f>IF('Cash_Check'!D487="","",'Cash_Check'!D487)</f>
        <v/>
      </c>
      <c r="K3487">
        <f>TRIM('Cash_Check'!B487)</f>
        <v/>
      </c>
      <c r="M3487">
        <f>IF(TRIM('Cash_Check'!E487)="","Cash/check",TRIM('Cash_Check'!E487))</f>
        <v/>
      </c>
      <c r="N3487">
        <f>IF(I3487="","",IF(ISNUMBER(I3487),INT(I3487),IFERROR(INT(DATEVALUE(I3487)),IFERROR(INT(VALUE(I3487)),"bad"))))</f>
        <v/>
      </c>
      <c r="O3487">
        <f>IF(J3487="","",IF(ISNUMBER(J3487),ROUND(J3487,2),IFERROR(ROUND(VALUE(SUBSTITUTE(SUBSTITUTE(SUBSTITUTE(J3487,"$",""),",","")," ","")),2),"bad")))</f>
        <v/>
      </c>
      <c r="P3487">
        <f>IF(K3487="","",IFERROR(MATCH(IF(ISNUMBER(FIND("#",K3487)),TRIM(MID(K3487,FIND("#",K3487)+1,20)),UPPER(K3487)),'Students'!$AD$2:$AD$701,0),""))</f>
        <v/>
      </c>
      <c r="R3487">
        <f>IF(P3487="","",INDEX('Students'!$AD$2:$AD$701,P3487))</f>
        <v/>
      </c>
      <c r="S3487">
        <f>IF(H3487="OK",O3487,0)</f>
        <v/>
      </c>
      <c r="T3487">
        <f>IF(H3487="OK",N3487,"")</f>
        <v/>
      </c>
      <c r="U3487">
        <f>TRIM('Cash_Check'!C487)</f>
        <v/>
      </c>
    </row>
    <row r="3488">
      <c r="A3488" s="62">
        <f>IF(H3488="","",IF(ISNUMBER(N3488),N3488,I3488))</f>
        <v/>
      </c>
      <c r="B3488">
        <f>IF(H3488="","",U3488)</f>
        <v/>
      </c>
      <c r="C3488">
        <f>IF(H3488="","",IF(P3488="",K3488,INDEX('Students'!$A$2:$A$701,P3488)))</f>
        <v/>
      </c>
      <c r="D3488">
        <f>IF(OR(H3488="",P3488=""),"",INDEX('Students'!$B$2:$B$701,P3488))</f>
        <v/>
      </c>
      <c r="E3488">
        <f>IF(OR(H3488="",P3488=""),"",INDEX('Students'!$C$2:$C$701,P3488))</f>
        <v/>
      </c>
      <c r="F3488" s="48">
        <f>IF(H3488="","",IF(ISNUMBER(O3488),O3488,J3488))</f>
        <v/>
      </c>
      <c r="G3488">
        <f>IF(H3488="","",M3488)</f>
        <v/>
      </c>
      <c r="H3488">
        <f>IF(AND(I3488="",J3488="",K3488=""),"",IF(OR(NOT(ISNUMBER(O3488)),N(O3488)&lt;=0),"Bad amount",IF(NOT(ISNUMBER(N3488)),"Bad date",IF(P3488="","NAME NOT ON ROSTER","OK"))))</f>
        <v/>
      </c>
      <c r="I3488">
        <f>IF('Cash_Check'!A488="","",'Cash_Check'!A488)</f>
        <v/>
      </c>
      <c r="J3488">
        <f>IF('Cash_Check'!D488="","",'Cash_Check'!D488)</f>
        <v/>
      </c>
      <c r="K3488">
        <f>TRIM('Cash_Check'!B488)</f>
        <v/>
      </c>
      <c r="M3488">
        <f>IF(TRIM('Cash_Check'!E488)="","Cash/check",TRIM('Cash_Check'!E488))</f>
        <v/>
      </c>
      <c r="N3488">
        <f>IF(I3488="","",IF(ISNUMBER(I3488),INT(I3488),IFERROR(INT(DATEVALUE(I3488)),IFERROR(INT(VALUE(I3488)),"bad"))))</f>
        <v/>
      </c>
      <c r="O3488">
        <f>IF(J3488="","",IF(ISNUMBER(J3488),ROUND(J3488,2),IFERROR(ROUND(VALUE(SUBSTITUTE(SUBSTITUTE(SUBSTITUTE(J3488,"$",""),",","")," ","")),2),"bad")))</f>
        <v/>
      </c>
      <c r="P3488">
        <f>IF(K3488="","",IFERROR(MATCH(IF(ISNUMBER(FIND("#",K3488)),TRIM(MID(K3488,FIND("#",K3488)+1,20)),UPPER(K3488)),'Students'!$AD$2:$AD$701,0),""))</f>
        <v/>
      </c>
      <c r="R3488">
        <f>IF(P3488="","",INDEX('Students'!$AD$2:$AD$701,P3488))</f>
        <v/>
      </c>
      <c r="S3488">
        <f>IF(H3488="OK",O3488,0)</f>
        <v/>
      </c>
      <c r="T3488">
        <f>IF(H3488="OK",N3488,"")</f>
        <v/>
      </c>
      <c r="U3488">
        <f>TRIM('Cash_Check'!C488)</f>
        <v/>
      </c>
    </row>
    <row r="3489">
      <c r="A3489" s="62">
        <f>IF(H3489="","",IF(ISNUMBER(N3489),N3489,I3489))</f>
        <v/>
      </c>
      <c r="B3489">
        <f>IF(H3489="","",U3489)</f>
        <v/>
      </c>
      <c r="C3489">
        <f>IF(H3489="","",IF(P3489="",K3489,INDEX('Students'!$A$2:$A$701,P3489)))</f>
        <v/>
      </c>
      <c r="D3489">
        <f>IF(OR(H3489="",P3489=""),"",INDEX('Students'!$B$2:$B$701,P3489))</f>
        <v/>
      </c>
      <c r="E3489">
        <f>IF(OR(H3489="",P3489=""),"",INDEX('Students'!$C$2:$C$701,P3489))</f>
        <v/>
      </c>
      <c r="F3489" s="48">
        <f>IF(H3489="","",IF(ISNUMBER(O3489),O3489,J3489))</f>
        <v/>
      </c>
      <c r="G3489">
        <f>IF(H3489="","",M3489)</f>
        <v/>
      </c>
      <c r="H3489">
        <f>IF(AND(I3489="",J3489="",K3489=""),"",IF(OR(NOT(ISNUMBER(O3489)),N(O3489)&lt;=0),"Bad amount",IF(NOT(ISNUMBER(N3489)),"Bad date",IF(P3489="","NAME NOT ON ROSTER","OK"))))</f>
        <v/>
      </c>
      <c r="I3489">
        <f>IF('Cash_Check'!A489="","",'Cash_Check'!A489)</f>
        <v/>
      </c>
      <c r="J3489">
        <f>IF('Cash_Check'!D489="","",'Cash_Check'!D489)</f>
        <v/>
      </c>
      <c r="K3489">
        <f>TRIM('Cash_Check'!B489)</f>
        <v/>
      </c>
      <c r="M3489">
        <f>IF(TRIM('Cash_Check'!E489)="","Cash/check",TRIM('Cash_Check'!E489))</f>
        <v/>
      </c>
      <c r="N3489">
        <f>IF(I3489="","",IF(ISNUMBER(I3489),INT(I3489),IFERROR(INT(DATEVALUE(I3489)),IFERROR(INT(VALUE(I3489)),"bad"))))</f>
        <v/>
      </c>
      <c r="O3489">
        <f>IF(J3489="","",IF(ISNUMBER(J3489),ROUND(J3489,2),IFERROR(ROUND(VALUE(SUBSTITUTE(SUBSTITUTE(SUBSTITUTE(J3489,"$",""),",","")," ","")),2),"bad")))</f>
        <v/>
      </c>
      <c r="P3489">
        <f>IF(K3489="","",IFERROR(MATCH(IF(ISNUMBER(FIND("#",K3489)),TRIM(MID(K3489,FIND("#",K3489)+1,20)),UPPER(K3489)),'Students'!$AD$2:$AD$701,0),""))</f>
        <v/>
      </c>
      <c r="R3489">
        <f>IF(P3489="","",INDEX('Students'!$AD$2:$AD$701,P3489))</f>
        <v/>
      </c>
      <c r="S3489">
        <f>IF(H3489="OK",O3489,0)</f>
        <v/>
      </c>
      <c r="T3489">
        <f>IF(H3489="OK",N3489,"")</f>
        <v/>
      </c>
      <c r="U3489">
        <f>TRIM('Cash_Check'!C489)</f>
        <v/>
      </c>
    </row>
    <row r="3490">
      <c r="A3490" s="62">
        <f>IF(H3490="","",IF(ISNUMBER(N3490),N3490,I3490))</f>
        <v/>
      </c>
      <c r="B3490">
        <f>IF(H3490="","",U3490)</f>
        <v/>
      </c>
      <c r="C3490">
        <f>IF(H3490="","",IF(P3490="",K3490,INDEX('Students'!$A$2:$A$701,P3490)))</f>
        <v/>
      </c>
      <c r="D3490">
        <f>IF(OR(H3490="",P3490=""),"",INDEX('Students'!$B$2:$B$701,P3490))</f>
        <v/>
      </c>
      <c r="E3490">
        <f>IF(OR(H3490="",P3490=""),"",INDEX('Students'!$C$2:$C$701,P3490))</f>
        <v/>
      </c>
      <c r="F3490" s="48">
        <f>IF(H3490="","",IF(ISNUMBER(O3490),O3490,J3490))</f>
        <v/>
      </c>
      <c r="G3490">
        <f>IF(H3490="","",M3490)</f>
        <v/>
      </c>
      <c r="H3490">
        <f>IF(AND(I3490="",J3490="",K3490=""),"",IF(OR(NOT(ISNUMBER(O3490)),N(O3490)&lt;=0),"Bad amount",IF(NOT(ISNUMBER(N3490)),"Bad date",IF(P3490="","NAME NOT ON ROSTER","OK"))))</f>
        <v/>
      </c>
      <c r="I3490">
        <f>IF('Cash_Check'!A490="","",'Cash_Check'!A490)</f>
        <v/>
      </c>
      <c r="J3490">
        <f>IF('Cash_Check'!D490="","",'Cash_Check'!D490)</f>
        <v/>
      </c>
      <c r="K3490">
        <f>TRIM('Cash_Check'!B490)</f>
        <v/>
      </c>
      <c r="M3490">
        <f>IF(TRIM('Cash_Check'!E490)="","Cash/check",TRIM('Cash_Check'!E490))</f>
        <v/>
      </c>
      <c r="N3490">
        <f>IF(I3490="","",IF(ISNUMBER(I3490),INT(I3490),IFERROR(INT(DATEVALUE(I3490)),IFERROR(INT(VALUE(I3490)),"bad"))))</f>
        <v/>
      </c>
      <c r="O3490">
        <f>IF(J3490="","",IF(ISNUMBER(J3490),ROUND(J3490,2),IFERROR(ROUND(VALUE(SUBSTITUTE(SUBSTITUTE(SUBSTITUTE(J3490,"$",""),",","")," ","")),2),"bad")))</f>
        <v/>
      </c>
      <c r="P3490">
        <f>IF(K3490="","",IFERROR(MATCH(IF(ISNUMBER(FIND("#",K3490)),TRIM(MID(K3490,FIND("#",K3490)+1,20)),UPPER(K3490)),'Students'!$AD$2:$AD$701,0),""))</f>
        <v/>
      </c>
      <c r="R3490">
        <f>IF(P3490="","",INDEX('Students'!$AD$2:$AD$701,P3490))</f>
        <v/>
      </c>
      <c r="S3490">
        <f>IF(H3490="OK",O3490,0)</f>
        <v/>
      </c>
      <c r="T3490">
        <f>IF(H3490="OK",N3490,"")</f>
        <v/>
      </c>
      <c r="U3490">
        <f>TRIM('Cash_Check'!C490)</f>
        <v/>
      </c>
    </row>
    <row r="3491">
      <c r="A3491" s="62">
        <f>IF(H3491="","",IF(ISNUMBER(N3491),N3491,I3491))</f>
        <v/>
      </c>
      <c r="B3491">
        <f>IF(H3491="","",U3491)</f>
        <v/>
      </c>
      <c r="C3491">
        <f>IF(H3491="","",IF(P3491="",K3491,INDEX('Students'!$A$2:$A$701,P3491)))</f>
        <v/>
      </c>
      <c r="D3491">
        <f>IF(OR(H3491="",P3491=""),"",INDEX('Students'!$B$2:$B$701,P3491))</f>
        <v/>
      </c>
      <c r="E3491">
        <f>IF(OR(H3491="",P3491=""),"",INDEX('Students'!$C$2:$C$701,P3491))</f>
        <v/>
      </c>
      <c r="F3491" s="48">
        <f>IF(H3491="","",IF(ISNUMBER(O3491),O3491,J3491))</f>
        <v/>
      </c>
      <c r="G3491">
        <f>IF(H3491="","",M3491)</f>
        <v/>
      </c>
      <c r="H3491">
        <f>IF(AND(I3491="",J3491="",K3491=""),"",IF(OR(NOT(ISNUMBER(O3491)),N(O3491)&lt;=0),"Bad amount",IF(NOT(ISNUMBER(N3491)),"Bad date",IF(P3491="","NAME NOT ON ROSTER","OK"))))</f>
        <v/>
      </c>
      <c r="I3491">
        <f>IF('Cash_Check'!A491="","",'Cash_Check'!A491)</f>
        <v/>
      </c>
      <c r="J3491">
        <f>IF('Cash_Check'!D491="","",'Cash_Check'!D491)</f>
        <v/>
      </c>
      <c r="K3491">
        <f>TRIM('Cash_Check'!B491)</f>
        <v/>
      </c>
      <c r="M3491">
        <f>IF(TRIM('Cash_Check'!E491)="","Cash/check",TRIM('Cash_Check'!E491))</f>
        <v/>
      </c>
      <c r="N3491">
        <f>IF(I3491="","",IF(ISNUMBER(I3491),INT(I3491),IFERROR(INT(DATEVALUE(I3491)),IFERROR(INT(VALUE(I3491)),"bad"))))</f>
        <v/>
      </c>
      <c r="O3491">
        <f>IF(J3491="","",IF(ISNUMBER(J3491),ROUND(J3491,2),IFERROR(ROUND(VALUE(SUBSTITUTE(SUBSTITUTE(SUBSTITUTE(J3491,"$",""),",","")," ","")),2),"bad")))</f>
        <v/>
      </c>
      <c r="P3491">
        <f>IF(K3491="","",IFERROR(MATCH(IF(ISNUMBER(FIND("#",K3491)),TRIM(MID(K3491,FIND("#",K3491)+1,20)),UPPER(K3491)),'Students'!$AD$2:$AD$701,0),""))</f>
        <v/>
      </c>
      <c r="R3491">
        <f>IF(P3491="","",INDEX('Students'!$AD$2:$AD$701,P3491))</f>
        <v/>
      </c>
      <c r="S3491">
        <f>IF(H3491="OK",O3491,0)</f>
        <v/>
      </c>
      <c r="T3491">
        <f>IF(H3491="OK",N3491,"")</f>
        <v/>
      </c>
      <c r="U3491">
        <f>TRIM('Cash_Check'!C491)</f>
        <v/>
      </c>
    </row>
    <row r="3492">
      <c r="A3492" s="62">
        <f>IF(H3492="","",IF(ISNUMBER(N3492),N3492,I3492))</f>
        <v/>
      </c>
      <c r="B3492">
        <f>IF(H3492="","",U3492)</f>
        <v/>
      </c>
      <c r="C3492">
        <f>IF(H3492="","",IF(P3492="",K3492,INDEX('Students'!$A$2:$A$701,P3492)))</f>
        <v/>
      </c>
      <c r="D3492">
        <f>IF(OR(H3492="",P3492=""),"",INDEX('Students'!$B$2:$B$701,P3492))</f>
        <v/>
      </c>
      <c r="E3492">
        <f>IF(OR(H3492="",P3492=""),"",INDEX('Students'!$C$2:$C$701,P3492))</f>
        <v/>
      </c>
      <c r="F3492" s="48">
        <f>IF(H3492="","",IF(ISNUMBER(O3492),O3492,J3492))</f>
        <v/>
      </c>
      <c r="G3492">
        <f>IF(H3492="","",M3492)</f>
        <v/>
      </c>
      <c r="H3492">
        <f>IF(AND(I3492="",J3492="",K3492=""),"",IF(OR(NOT(ISNUMBER(O3492)),N(O3492)&lt;=0),"Bad amount",IF(NOT(ISNUMBER(N3492)),"Bad date",IF(P3492="","NAME NOT ON ROSTER","OK"))))</f>
        <v/>
      </c>
      <c r="I3492">
        <f>IF('Cash_Check'!A492="","",'Cash_Check'!A492)</f>
        <v/>
      </c>
      <c r="J3492">
        <f>IF('Cash_Check'!D492="","",'Cash_Check'!D492)</f>
        <v/>
      </c>
      <c r="K3492">
        <f>TRIM('Cash_Check'!B492)</f>
        <v/>
      </c>
      <c r="M3492">
        <f>IF(TRIM('Cash_Check'!E492)="","Cash/check",TRIM('Cash_Check'!E492))</f>
        <v/>
      </c>
      <c r="N3492">
        <f>IF(I3492="","",IF(ISNUMBER(I3492),INT(I3492),IFERROR(INT(DATEVALUE(I3492)),IFERROR(INT(VALUE(I3492)),"bad"))))</f>
        <v/>
      </c>
      <c r="O3492">
        <f>IF(J3492="","",IF(ISNUMBER(J3492),ROUND(J3492,2),IFERROR(ROUND(VALUE(SUBSTITUTE(SUBSTITUTE(SUBSTITUTE(J3492,"$",""),",","")," ","")),2),"bad")))</f>
        <v/>
      </c>
      <c r="P3492">
        <f>IF(K3492="","",IFERROR(MATCH(IF(ISNUMBER(FIND("#",K3492)),TRIM(MID(K3492,FIND("#",K3492)+1,20)),UPPER(K3492)),'Students'!$AD$2:$AD$701,0),""))</f>
        <v/>
      </c>
      <c r="R3492">
        <f>IF(P3492="","",INDEX('Students'!$AD$2:$AD$701,P3492))</f>
        <v/>
      </c>
      <c r="S3492">
        <f>IF(H3492="OK",O3492,0)</f>
        <v/>
      </c>
      <c r="T3492">
        <f>IF(H3492="OK",N3492,"")</f>
        <v/>
      </c>
      <c r="U3492">
        <f>TRIM('Cash_Check'!C492)</f>
        <v/>
      </c>
    </row>
    <row r="3493">
      <c r="A3493" s="62">
        <f>IF(H3493="","",IF(ISNUMBER(N3493),N3493,I3493))</f>
        <v/>
      </c>
      <c r="B3493">
        <f>IF(H3493="","",U3493)</f>
        <v/>
      </c>
      <c r="C3493">
        <f>IF(H3493="","",IF(P3493="",K3493,INDEX('Students'!$A$2:$A$701,P3493)))</f>
        <v/>
      </c>
      <c r="D3493">
        <f>IF(OR(H3493="",P3493=""),"",INDEX('Students'!$B$2:$B$701,P3493))</f>
        <v/>
      </c>
      <c r="E3493">
        <f>IF(OR(H3493="",P3493=""),"",INDEX('Students'!$C$2:$C$701,P3493))</f>
        <v/>
      </c>
      <c r="F3493" s="48">
        <f>IF(H3493="","",IF(ISNUMBER(O3493),O3493,J3493))</f>
        <v/>
      </c>
      <c r="G3493">
        <f>IF(H3493="","",M3493)</f>
        <v/>
      </c>
      <c r="H3493">
        <f>IF(AND(I3493="",J3493="",K3493=""),"",IF(OR(NOT(ISNUMBER(O3493)),N(O3493)&lt;=0),"Bad amount",IF(NOT(ISNUMBER(N3493)),"Bad date",IF(P3493="","NAME NOT ON ROSTER","OK"))))</f>
        <v/>
      </c>
      <c r="I3493">
        <f>IF('Cash_Check'!A493="","",'Cash_Check'!A493)</f>
        <v/>
      </c>
      <c r="J3493">
        <f>IF('Cash_Check'!D493="","",'Cash_Check'!D493)</f>
        <v/>
      </c>
      <c r="K3493">
        <f>TRIM('Cash_Check'!B493)</f>
        <v/>
      </c>
      <c r="M3493">
        <f>IF(TRIM('Cash_Check'!E493)="","Cash/check",TRIM('Cash_Check'!E493))</f>
        <v/>
      </c>
      <c r="N3493">
        <f>IF(I3493="","",IF(ISNUMBER(I3493),INT(I3493),IFERROR(INT(DATEVALUE(I3493)),IFERROR(INT(VALUE(I3493)),"bad"))))</f>
        <v/>
      </c>
      <c r="O3493">
        <f>IF(J3493="","",IF(ISNUMBER(J3493),ROUND(J3493,2),IFERROR(ROUND(VALUE(SUBSTITUTE(SUBSTITUTE(SUBSTITUTE(J3493,"$",""),",","")," ","")),2),"bad")))</f>
        <v/>
      </c>
      <c r="P3493">
        <f>IF(K3493="","",IFERROR(MATCH(IF(ISNUMBER(FIND("#",K3493)),TRIM(MID(K3493,FIND("#",K3493)+1,20)),UPPER(K3493)),'Students'!$AD$2:$AD$701,0),""))</f>
        <v/>
      </c>
      <c r="R3493">
        <f>IF(P3493="","",INDEX('Students'!$AD$2:$AD$701,P3493))</f>
        <v/>
      </c>
      <c r="S3493">
        <f>IF(H3493="OK",O3493,0)</f>
        <v/>
      </c>
      <c r="T3493">
        <f>IF(H3493="OK",N3493,"")</f>
        <v/>
      </c>
      <c r="U3493">
        <f>TRIM('Cash_Check'!C493)</f>
        <v/>
      </c>
    </row>
    <row r="3494">
      <c r="A3494" s="62">
        <f>IF(H3494="","",IF(ISNUMBER(N3494),N3494,I3494))</f>
        <v/>
      </c>
      <c r="B3494">
        <f>IF(H3494="","",U3494)</f>
        <v/>
      </c>
      <c r="C3494">
        <f>IF(H3494="","",IF(P3494="",K3494,INDEX('Students'!$A$2:$A$701,P3494)))</f>
        <v/>
      </c>
      <c r="D3494">
        <f>IF(OR(H3494="",P3494=""),"",INDEX('Students'!$B$2:$B$701,P3494))</f>
        <v/>
      </c>
      <c r="E3494">
        <f>IF(OR(H3494="",P3494=""),"",INDEX('Students'!$C$2:$C$701,P3494))</f>
        <v/>
      </c>
      <c r="F3494" s="48">
        <f>IF(H3494="","",IF(ISNUMBER(O3494),O3494,J3494))</f>
        <v/>
      </c>
      <c r="G3494">
        <f>IF(H3494="","",M3494)</f>
        <v/>
      </c>
      <c r="H3494">
        <f>IF(AND(I3494="",J3494="",K3494=""),"",IF(OR(NOT(ISNUMBER(O3494)),N(O3494)&lt;=0),"Bad amount",IF(NOT(ISNUMBER(N3494)),"Bad date",IF(P3494="","NAME NOT ON ROSTER","OK"))))</f>
        <v/>
      </c>
      <c r="I3494">
        <f>IF('Cash_Check'!A494="","",'Cash_Check'!A494)</f>
        <v/>
      </c>
      <c r="J3494">
        <f>IF('Cash_Check'!D494="","",'Cash_Check'!D494)</f>
        <v/>
      </c>
      <c r="K3494">
        <f>TRIM('Cash_Check'!B494)</f>
        <v/>
      </c>
      <c r="M3494">
        <f>IF(TRIM('Cash_Check'!E494)="","Cash/check",TRIM('Cash_Check'!E494))</f>
        <v/>
      </c>
      <c r="N3494">
        <f>IF(I3494="","",IF(ISNUMBER(I3494),INT(I3494),IFERROR(INT(DATEVALUE(I3494)),IFERROR(INT(VALUE(I3494)),"bad"))))</f>
        <v/>
      </c>
      <c r="O3494">
        <f>IF(J3494="","",IF(ISNUMBER(J3494),ROUND(J3494,2),IFERROR(ROUND(VALUE(SUBSTITUTE(SUBSTITUTE(SUBSTITUTE(J3494,"$",""),",","")," ","")),2),"bad")))</f>
        <v/>
      </c>
      <c r="P3494">
        <f>IF(K3494="","",IFERROR(MATCH(IF(ISNUMBER(FIND("#",K3494)),TRIM(MID(K3494,FIND("#",K3494)+1,20)),UPPER(K3494)),'Students'!$AD$2:$AD$701,0),""))</f>
        <v/>
      </c>
      <c r="R3494">
        <f>IF(P3494="","",INDEX('Students'!$AD$2:$AD$701,P3494))</f>
        <v/>
      </c>
      <c r="S3494">
        <f>IF(H3494="OK",O3494,0)</f>
        <v/>
      </c>
      <c r="T3494">
        <f>IF(H3494="OK",N3494,"")</f>
        <v/>
      </c>
      <c r="U3494">
        <f>TRIM('Cash_Check'!C494)</f>
        <v/>
      </c>
    </row>
    <row r="3495">
      <c r="A3495" s="62">
        <f>IF(H3495="","",IF(ISNUMBER(N3495),N3495,I3495))</f>
        <v/>
      </c>
      <c r="B3495">
        <f>IF(H3495="","",U3495)</f>
        <v/>
      </c>
      <c r="C3495">
        <f>IF(H3495="","",IF(P3495="",K3495,INDEX('Students'!$A$2:$A$701,P3495)))</f>
        <v/>
      </c>
      <c r="D3495">
        <f>IF(OR(H3495="",P3495=""),"",INDEX('Students'!$B$2:$B$701,P3495))</f>
        <v/>
      </c>
      <c r="E3495">
        <f>IF(OR(H3495="",P3495=""),"",INDEX('Students'!$C$2:$C$701,P3495))</f>
        <v/>
      </c>
      <c r="F3495" s="48">
        <f>IF(H3495="","",IF(ISNUMBER(O3495),O3495,J3495))</f>
        <v/>
      </c>
      <c r="G3495">
        <f>IF(H3495="","",M3495)</f>
        <v/>
      </c>
      <c r="H3495">
        <f>IF(AND(I3495="",J3495="",K3495=""),"",IF(OR(NOT(ISNUMBER(O3495)),N(O3495)&lt;=0),"Bad amount",IF(NOT(ISNUMBER(N3495)),"Bad date",IF(P3495="","NAME NOT ON ROSTER","OK"))))</f>
        <v/>
      </c>
      <c r="I3495">
        <f>IF('Cash_Check'!A495="","",'Cash_Check'!A495)</f>
        <v/>
      </c>
      <c r="J3495">
        <f>IF('Cash_Check'!D495="","",'Cash_Check'!D495)</f>
        <v/>
      </c>
      <c r="K3495">
        <f>TRIM('Cash_Check'!B495)</f>
        <v/>
      </c>
      <c r="M3495">
        <f>IF(TRIM('Cash_Check'!E495)="","Cash/check",TRIM('Cash_Check'!E495))</f>
        <v/>
      </c>
      <c r="N3495">
        <f>IF(I3495="","",IF(ISNUMBER(I3495),INT(I3495),IFERROR(INT(DATEVALUE(I3495)),IFERROR(INT(VALUE(I3495)),"bad"))))</f>
        <v/>
      </c>
      <c r="O3495">
        <f>IF(J3495="","",IF(ISNUMBER(J3495),ROUND(J3495,2),IFERROR(ROUND(VALUE(SUBSTITUTE(SUBSTITUTE(SUBSTITUTE(J3495,"$",""),",","")," ","")),2),"bad")))</f>
        <v/>
      </c>
      <c r="P3495">
        <f>IF(K3495="","",IFERROR(MATCH(IF(ISNUMBER(FIND("#",K3495)),TRIM(MID(K3495,FIND("#",K3495)+1,20)),UPPER(K3495)),'Students'!$AD$2:$AD$701,0),""))</f>
        <v/>
      </c>
      <c r="R3495">
        <f>IF(P3495="","",INDEX('Students'!$AD$2:$AD$701,P3495))</f>
        <v/>
      </c>
      <c r="S3495">
        <f>IF(H3495="OK",O3495,0)</f>
        <v/>
      </c>
      <c r="T3495">
        <f>IF(H3495="OK",N3495,"")</f>
        <v/>
      </c>
      <c r="U3495">
        <f>TRIM('Cash_Check'!C495)</f>
        <v/>
      </c>
    </row>
    <row r="3496">
      <c r="A3496" s="62">
        <f>IF(H3496="","",IF(ISNUMBER(N3496),N3496,I3496))</f>
        <v/>
      </c>
      <c r="B3496">
        <f>IF(H3496="","",U3496)</f>
        <v/>
      </c>
      <c r="C3496">
        <f>IF(H3496="","",IF(P3496="",K3496,INDEX('Students'!$A$2:$A$701,P3496)))</f>
        <v/>
      </c>
      <c r="D3496">
        <f>IF(OR(H3496="",P3496=""),"",INDEX('Students'!$B$2:$B$701,P3496))</f>
        <v/>
      </c>
      <c r="E3496">
        <f>IF(OR(H3496="",P3496=""),"",INDEX('Students'!$C$2:$C$701,P3496))</f>
        <v/>
      </c>
      <c r="F3496" s="48">
        <f>IF(H3496="","",IF(ISNUMBER(O3496),O3496,J3496))</f>
        <v/>
      </c>
      <c r="G3496">
        <f>IF(H3496="","",M3496)</f>
        <v/>
      </c>
      <c r="H3496">
        <f>IF(AND(I3496="",J3496="",K3496=""),"",IF(OR(NOT(ISNUMBER(O3496)),N(O3496)&lt;=0),"Bad amount",IF(NOT(ISNUMBER(N3496)),"Bad date",IF(P3496="","NAME NOT ON ROSTER","OK"))))</f>
        <v/>
      </c>
      <c r="I3496">
        <f>IF('Cash_Check'!A496="","",'Cash_Check'!A496)</f>
        <v/>
      </c>
      <c r="J3496">
        <f>IF('Cash_Check'!D496="","",'Cash_Check'!D496)</f>
        <v/>
      </c>
      <c r="K3496">
        <f>TRIM('Cash_Check'!B496)</f>
        <v/>
      </c>
      <c r="M3496">
        <f>IF(TRIM('Cash_Check'!E496)="","Cash/check",TRIM('Cash_Check'!E496))</f>
        <v/>
      </c>
      <c r="N3496">
        <f>IF(I3496="","",IF(ISNUMBER(I3496),INT(I3496),IFERROR(INT(DATEVALUE(I3496)),IFERROR(INT(VALUE(I3496)),"bad"))))</f>
        <v/>
      </c>
      <c r="O3496">
        <f>IF(J3496="","",IF(ISNUMBER(J3496),ROUND(J3496,2),IFERROR(ROUND(VALUE(SUBSTITUTE(SUBSTITUTE(SUBSTITUTE(J3496,"$",""),",","")," ","")),2),"bad")))</f>
        <v/>
      </c>
      <c r="P3496">
        <f>IF(K3496="","",IFERROR(MATCH(IF(ISNUMBER(FIND("#",K3496)),TRIM(MID(K3496,FIND("#",K3496)+1,20)),UPPER(K3496)),'Students'!$AD$2:$AD$701,0),""))</f>
        <v/>
      </c>
      <c r="R3496">
        <f>IF(P3496="","",INDEX('Students'!$AD$2:$AD$701,P3496))</f>
        <v/>
      </c>
      <c r="S3496">
        <f>IF(H3496="OK",O3496,0)</f>
        <v/>
      </c>
      <c r="T3496">
        <f>IF(H3496="OK",N3496,"")</f>
        <v/>
      </c>
      <c r="U3496">
        <f>TRIM('Cash_Check'!C496)</f>
        <v/>
      </c>
    </row>
    <row r="3497">
      <c r="A3497" s="62">
        <f>IF(H3497="","",IF(ISNUMBER(N3497),N3497,I3497))</f>
        <v/>
      </c>
      <c r="B3497">
        <f>IF(H3497="","",U3497)</f>
        <v/>
      </c>
      <c r="C3497">
        <f>IF(H3497="","",IF(P3497="",K3497,INDEX('Students'!$A$2:$A$701,P3497)))</f>
        <v/>
      </c>
      <c r="D3497">
        <f>IF(OR(H3497="",P3497=""),"",INDEX('Students'!$B$2:$B$701,P3497))</f>
        <v/>
      </c>
      <c r="E3497">
        <f>IF(OR(H3497="",P3497=""),"",INDEX('Students'!$C$2:$C$701,P3497))</f>
        <v/>
      </c>
      <c r="F3497" s="48">
        <f>IF(H3497="","",IF(ISNUMBER(O3497),O3497,J3497))</f>
        <v/>
      </c>
      <c r="G3497">
        <f>IF(H3497="","",M3497)</f>
        <v/>
      </c>
      <c r="H3497">
        <f>IF(AND(I3497="",J3497="",K3497=""),"",IF(OR(NOT(ISNUMBER(O3497)),N(O3497)&lt;=0),"Bad amount",IF(NOT(ISNUMBER(N3497)),"Bad date",IF(P3497="","NAME NOT ON ROSTER","OK"))))</f>
        <v/>
      </c>
      <c r="I3497">
        <f>IF('Cash_Check'!A497="","",'Cash_Check'!A497)</f>
        <v/>
      </c>
      <c r="J3497">
        <f>IF('Cash_Check'!D497="","",'Cash_Check'!D497)</f>
        <v/>
      </c>
      <c r="K3497">
        <f>TRIM('Cash_Check'!B497)</f>
        <v/>
      </c>
      <c r="M3497">
        <f>IF(TRIM('Cash_Check'!E497)="","Cash/check",TRIM('Cash_Check'!E497))</f>
        <v/>
      </c>
      <c r="N3497">
        <f>IF(I3497="","",IF(ISNUMBER(I3497),INT(I3497),IFERROR(INT(DATEVALUE(I3497)),IFERROR(INT(VALUE(I3497)),"bad"))))</f>
        <v/>
      </c>
      <c r="O3497">
        <f>IF(J3497="","",IF(ISNUMBER(J3497),ROUND(J3497,2),IFERROR(ROUND(VALUE(SUBSTITUTE(SUBSTITUTE(SUBSTITUTE(J3497,"$",""),",","")," ","")),2),"bad")))</f>
        <v/>
      </c>
      <c r="P3497">
        <f>IF(K3497="","",IFERROR(MATCH(IF(ISNUMBER(FIND("#",K3497)),TRIM(MID(K3497,FIND("#",K3497)+1,20)),UPPER(K3497)),'Students'!$AD$2:$AD$701,0),""))</f>
        <v/>
      </c>
      <c r="R3497">
        <f>IF(P3497="","",INDEX('Students'!$AD$2:$AD$701,P3497))</f>
        <v/>
      </c>
      <c r="S3497">
        <f>IF(H3497="OK",O3497,0)</f>
        <v/>
      </c>
      <c r="T3497">
        <f>IF(H3497="OK",N3497,"")</f>
        <v/>
      </c>
      <c r="U3497">
        <f>TRIM('Cash_Check'!C497)</f>
        <v/>
      </c>
    </row>
    <row r="3498">
      <c r="A3498" s="62">
        <f>IF(H3498="","",IF(ISNUMBER(N3498),N3498,I3498))</f>
        <v/>
      </c>
      <c r="B3498">
        <f>IF(H3498="","",U3498)</f>
        <v/>
      </c>
      <c r="C3498">
        <f>IF(H3498="","",IF(P3498="",K3498,INDEX('Students'!$A$2:$A$701,P3498)))</f>
        <v/>
      </c>
      <c r="D3498">
        <f>IF(OR(H3498="",P3498=""),"",INDEX('Students'!$B$2:$B$701,P3498))</f>
        <v/>
      </c>
      <c r="E3498">
        <f>IF(OR(H3498="",P3498=""),"",INDEX('Students'!$C$2:$C$701,P3498))</f>
        <v/>
      </c>
      <c r="F3498" s="48">
        <f>IF(H3498="","",IF(ISNUMBER(O3498),O3498,J3498))</f>
        <v/>
      </c>
      <c r="G3498">
        <f>IF(H3498="","",M3498)</f>
        <v/>
      </c>
      <c r="H3498">
        <f>IF(AND(I3498="",J3498="",K3498=""),"",IF(OR(NOT(ISNUMBER(O3498)),N(O3498)&lt;=0),"Bad amount",IF(NOT(ISNUMBER(N3498)),"Bad date",IF(P3498="","NAME NOT ON ROSTER","OK"))))</f>
        <v/>
      </c>
      <c r="I3498">
        <f>IF('Cash_Check'!A498="","",'Cash_Check'!A498)</f>
        <v/>
      </c>
      <c r="J3498">
        <f>IF('Cash_Check'!D498="","",'Cash_Check'!D498)</f>
        <v/>
      </c>
      <c r="K3498">
        <f>TRIM('Cash_Check'!B498)</f>
        <v/>
      </c>
      <c r="M3498">
        <f>IF(TRIM('Cash_Check'!E498)="","Cash/check",TRIM('Cash_Check'!E498))</f>
        <v/>
      </c>
      <c r="N3498">
        <f>IF(I3498="","",IF(ISNUMBER(I3498),INT(I3498),IFERROR(INT(DATEVALUE(I3498)),IFERROR(INT(VALUE(I3498)),"bad"))))</f>
        <v/>
      </c>
      <c r="O3498">
        <f>IF(J3498="","",IF(ISNUMBER(J3498),ROUND(J3498,2),IFERROR(ROUND(VALUE(SUBSTITUTE(SUBSTITUTE(SUBSTITUTE(J3498,"$",""),",","")," ","")),2),"bad")))</f>
        <v/>
      </c>
      <c r="P3498">
        <f>IF(K3498="","",IFERROR(MATCH(IF(ISNUMBER(FIND("#",K3498)),TRIM(MID(K3498,FIND("#",K3498)+1,20)),UPPER(K3498)),'Students'!$AD$2:$AD$701,0),""))</f>
        <v/>
      </c>
      <c r="R3498">
        <f>IF(P3498="","",INDEX('Students'!$AD$2:$AD$701,P3498))</f>
        <v/>
      </c>
      <c r="S3498">
        <f>IF(H3498="OK",O3498,0)</f>
        <v/>
      </c>
      <c r="T3498">
        <f>IF(H3498="OK",N3498,"")</f>
        <v/>
      </c>
      <c r="U3498">
        <f>TRIM('Cash_Check'!C498)</f>
        <v/>
      </c>
    </row>
    <row r="3499">
      <c r="A3499" s="62">
        <f>IF(H3499="","",IF(ISNUMBER(N3499),N3499,I3499))</f>
        <v/>
      </c>
      <c r="B3499">
        <f>IF(H3499="","",U3499)</f>
        <v/>
      </c>
      <c r="C3499">
        <f>IF(H3499="","",IF(P3499="",K3499,INDEX('Students'!$A$2:$A$701,P3499)))</f>
        <v/>
      </c>
      <c r="D3499">
        <f>IF(OR(H3499="",P3499=""),"",INDEX('Students'!$B$2:$B$701,P3499))</f>
        <v/>
      </c>
      <c r="E3499">
        <f>IF(OR(H3499="",P3499=""),"",INDEX('Students'!$C$2:$C$701,P3499))</f>
        <v/>
      </c>
      <c r="F3499" s="48">
        <f>IF(H3499="","",IF(ISNUMBER(O3499),O3499,J3499))</f>
        <v/>
      </c>
      <c r="G3499">
        <f>IF(H3499="","",M3499)</f>
        <v/>
      </c>
      <c r="H3499">
        <f>IF(AND(I3499="",J3499="",K3499=""),"",IF(OR(NOT(ISNUMBER(O3499)),N(O3499)&lt;=0),"Bad amount",IF(NOT(ISNUMBER(N3499)),"Bad date",IF(P3499="","NAME NOT ON ROSTER","OK"))))</f>
        <v/>
      </c>
      <c r="I3499">
        <f>IF('Cash_Check'!A499="","",'Cash_Check'!A499)</f>
        <v/>
      </c>
      <c r="J3499">
        <f>IF('Cash_Check'!D499="","",'Cash_Check'!D499)</f>
        <v/>
      </c>
      <c r="K3499">
        <f>TRIM('Cash_Check'!B499)</f>
        <v/>
      </c>
      <c r="M3499">
        <f>IF(TRIM('Cash_Check'!E499)="","Cash/check",TRIM('Cash_Check'!E499))</f>
        <v/>
      </c>
      <c r="N3499">
        <f>IF(I3499="","",IF(ISNUMBER(I3499),INT(I3499),IFERROR(INT(DATEVALUE(I3499)),IFERROR(INT(VALUE(I3499)),"bad"))))</f>
        <v/>
      </c>
      <c r="O3499">
        <f>IF(J3499="","",IF(ISNUMBER(J3499),ROUND(J3499,2),IFERROR(ROUND(VALUE(SUBSTITUTE(SUBSTITUTE(SUBSTITUTE(J3499,"$",""),",","")," ","")),2),"bad")))</f>
        <v/>
      </c>
      <c r="P3499">
        <f>IF(K3499="","",IFERROR(MATCH(IF(ISNUMBER(FIND("#",K3499)),TRIM(MID(K3499,FIND("#",K3499)+1,20)),UPPER(K3499)),'Students'!$AD$2:$AD$701,0),""))</f>
        <v/>
      </c>
      <c r="R3499">
        <f>IF(P3499="","",INDEX('Students'!$AD$2:$AD$701,P3499))</f>
        <v/>
      </c>
      <c r="S3499">
        <f>IF(H3499="OK",O3499,0)</f>
        <v/>
      </c>
      <c r="T3499">
        <f>IF(H3499="OK",N3499,"")</f>
        <v/>
      </c>
      <c r="U3499">
        <f>TRIM('Cash_Check'!C499)</f>
        <v/>
      </c>
    </row>
    <row r="3500">
      <c r="A3500" s="62">
        <f>IF(H3500="","",IF(ISNUMBER(N3500),N3500,I3500))</f>
        <v/>
      </c>
      <c r="B3500">
        <f>IF(H3500="","",U3500)</f>
        <v/>
      </c>
      <c r="C3500">
        <f>IF(H3500="","",IF(P3500="",K3500,INDEX('Students'!$A$2:$A$701,P3500)))</f>
        <v/>
      </c>
      <c r="D3500">
        <f>IF(OR(H3500="",P3500=""),"",INDEX('Students'!$B$2:$B$701,P3500))</f>
        <v/>
      </c>
      <c r="E3500">
        <f>IF(OR(H3500="",P3500=""),"",INDEX('Students'!$C$2:$C$701,P3500))</f>
        <v/>
      </c>
      <c r="F3500" s="48">
        <f>IF(H3500="","",IF(ISNUMBER(O3500),O3500,J3500))</f>
        <v/>
      </c>
      <c r="G3500">
        <f>IF(H3500="","",M3500)</f>
        <v/>
      </c>
      <c r="H3500">
        <f>IF(AND(I3500="",J3500="",K3500=""),"",IF(OR(NOT(ISNUMBER(O3500)),N(O3500)&lt;=0),"Bad amount",IF(NOT(ISNUMBER(N3500)),"Bad date",IF(P3500="","NAME NOT ON ROSTER","OK"))))</f>
        <v/>
      </c>
      <c r="I3500">
        <f>IF('Cash_Check'!A500="","",'Cash_Check'!A500)</f>
        <v/>
      </c>
      <c r="J3500">
        <f>IF('Cash_Check'!D500="","",'Cash_Check'!D500)</f>
        <v/>
      </c>
      <c r="K3500">
        <f>TRIM('Cash_Check'!B500)</f>
        <v/>
      </c>
      <c r="M3500">
        <f>IF(TRIM('Cash_Check'!E500)="","Cash/check",TRIM('Cash_Check'!E500))</f>
        <v/>
      </c>
      <c r="N3500">
        <f>IF(I3500="","",IF(ISNUMBER(I3500),INT(I3500),IFERROR(INT(DATEVALUE(I3500)),IFERROR(INT(VALUE(I3500)),"bad"))))</f>
        <v/>
      </c>
      <c r="O3500">
        <f>IF(J3500="","",IF(ISNUMBER(J3500),ROUND(J3500,2),IFERROR(ROUND(VALUE(SUBSTITUTE(SUBSTITUTE(SUBSTITUTE(J3500,"$",""),",","")," ","")),2),"bad")))</f>
        <v/>
      </c>
      <c r="P3500">
        <f>IF(K3500="","",IFERROR(MATCH(IF(ISNUMBER(FIND("#",K3500)),TRIM(MID(K3500,FIND("#",K3500)+1,20)),UPPER(K3500)),'Students'!$AD$2:$AD$701,0),""))</f>
        <v/>
      </c>
      <c r="R3500">
        <f>IF(P3500="","",INDEX('Students'!$AD$2:$AD$701,P3500))</f>
        <v/>
      </c>
      <c r="S3500">
        <f>IF(H3500="OK",O3500,0)</f>
        <v/>
      </c>
      <c r="T3500">
        <f>IF(H3500="OK",N3500,"")</f>
        <v/>
      </c>
      <c r="U3500">
        <f>TRIM('Cash_Check'!C500)</f>
        <v/>
      </c>
    </row>
    <row r="3501">
      <c r="A3501" s="62">
        <f>IF(H3501="","",IF(ISNUMBER(N3501),N3501,I3501))</f>
        <v/>
      </c>
      <c r="B3501">
        <f>IF(H3501="","",U3501)</f>
        <v/>
      </c>
      <c r="C3501">
        <f>IF(H3501="","",IF(P3501="",K3501,INDEX('Students'!$A$2:$A$701,P3501)))</f>
        <v/>
      </c>
      <c r="D3501">
        <f>IF(OR(H3501="",P3501=""),"",INDEX('Students'!$B$2:$B$701,P3501))</f>
        <v/>
      </c>
      <c r="E3501">
        <f>IF(OR(H3501="",P3501=""),"",INDEX('Students'!$C$2:$C$701,P3501))</f>
        <v/>
      </c>
      <c r="F3501" s="48">
        <f>IF(H3501="","",IF(ISNUMBER(O3501),O3501,J3501))</f>
        <v/>
      </c>
      <c r="G3501">
        <f>IF(H3501="","",M3501)</f>
        <v/>
      </c>
      <c r="H3501">
        <f>IF(AND(I3501="",J3501="",K3501=""),"",IF(OR(NOT(ISNUMBER(O3501)),N(O3501)&lt;=0),"Bad amount",IF(NOT(ISNUMBER(N3501)),"Bad date",IF(P3501="","NAME NOT ON ROSTER","OK"))))</f>
        <v/>
      </c>
      <c r="I3501">
        <f>IF('Cash_Check'!A501="","",'Cash_Check'!A501)</f>
        <v/>
      </c>
      <c r="J3501">
        <f>IF('Cash_Check'!D501="","",'Cash_Check'!D501)</f>
        <v/>
      </c>
      <c r="K3501">
        <f>TRIM('Cash_Check'!B501)</f>
        <v/>
      </c>
      <c r="M3501">
        <f>IF(TRIM('Cash_Check'!E501)="","Cash/check",TRIM('Cash_Check'!E501))</f>
        <v/>
      </c>
      <c r="N3501">
        <f>IF(I3501="","",IF(ISNUMBER(I3501),INT(I3501),IFERROR(INT(DATEVALUE(I3501)),IFERROR(INT(VALUE(I3501)),"bad"))))</f>
        <v/>
      </c>
      <c r="O3501">
        <f>IF(J3501="","",IF(ISNUMBER(J3501),ROUND(J3501,2),IFERROR(ROUND(VALUE(SUBSTITUTE(SUBSTITUTE(SUBSTITUTE(J3501,"$",""),",","")," ","")),2),"bad")))</f>
        <v/>
      </c>
      <c r="P3501">
        <f>IF(K3501="","",IFERROR(MATCH(IF(ISNUMBER(FIND("#",K3501)),TRIM(MID(K3501,FIND("#",K3501)+1,20)),UPPER(K3501)),'Students'!$AD$2:$AD$701,0),""))</f>
        <v/>
      </c>
      <c r="R3501">
        <f>IF(P3501="","",INDEX('Students'!$AD$2:$AD$701,P3501))</f>
        <v/>
      </c>
      <c r="S3501">
        <f>IF(H3501="OK",O3501,0)</f>
        <v/>
      </c>
      <c r="T3501">
        <f>IF(H3501="OK",N3501,"")</f>
        <v/>
      </c>
      <c r="U3501">
        <f>TRIM('Cash_Check'!C501)</f>
        <v/>
      </c>
    </row>
    <row r="3502">
      <c r="A3502" s="62">
        <f>IF(H3502="","",IF(ISNUMBER(N3502),N3502,I3502))</f>
        <v/>
      </c>
      <c r="B3502">
        <f>IF(H3502="","",U3502)</f>
        <v/>
      </c>
      <c r="C3502">
        <f>IF(H3502="","",IF(P3502="",K3502,INDEX('Students'!$A$2:$A$701,P3502)))</f>
        <v/>
      </c>
      <c r="D3502">
        <f>IF(OR(H3502="",P3502=""),"",INDEX('Students'!$B$2:$B$701,P3502))</f>
        <v/>
      </c>
      <c r="E3502">
        <f>IF(OR(H3502="",P3502=""),"",INDEX('Students'!$C$2:$C$701,P3502))</f>
        <v/>
      </c>
      <c r="F3502" s="48">
        <f>IF(H3502="","",IF(ISNUMBER(O3502),O3502,J3502))</f>
        <v/>
      </c>
      <c r="G3502">
        <f>IF(H3502="","",M3502)</f>
        <v/>
      </c>
      <c r="H3502">
        <f>IF(AND(I3502="",J3502="",K3502=""),"",IF(OR(NOT(ISNUMBER(O3502)),N(O3502)&lt;=0),"Bad amount",IF(NOT(ISNUMBER(N3502)),"Bad date",IF(P3502="","NAME NOT ON ROSTER","OK"))))</f>
        <v/>
      </c>
      <c r="I3502">
        <f>IF('Cash_Check'!A502="","",'Cash_Check'!A502)</f>
        <v/>
      </c>
      <c r="J3502">
        <f>IF('Cash_Check'!D502="","",'Cash_Check'!D502)</f>
        <v/>
      </c>
      <c r="K3502">
        <f>TRIM('Cash_Check'!B502)</f>
        <v/>
      </c>
      <c r="M3502">
        <f>IF(TRIM('Cash_Check'!E502)="","Cash/check",TRIM('Cash_Check'!E502))</f>
        <v/>
      </c>
      <c r="N3502">
        <f>IF(I3502="","",IF(ISNUMBER(I3502),INT(I3502),IFERROR(INT(DATEVALUE(I3502)),IFERROR(INT(VALUE(I3502)),"bad"))))</f>
        <v/>
      </c>
      <c r="O3502">
        <f>IF(J3502="","",IF(ISNUMBER(J3502),ROUND(J3502,2),IFERROR(ROUND(VALUE(SUBSTITUTE(SUBSTITUTE(SUBSTITUTE(J3502,"$",""),",","")," ","")),2),"bad")))</f>
        <v/>
      </c>
      <c r="P3502">
        <f>IF(K3502="","",IFERROR(MATCH(IF(ISNUMBER(FIND("#",K3502)),TRIM(MID(K3502,FIND("#",K3502)+1,20)),UPPER(K3502)),'Students'!$AD$2:$AD$701,0),""))</f>
        <v/>
      </c>
      <c r="R3502">
        <f>IF(P3502="","",INDEX('Students'!$AD$2:$AD$701,P3502))</f>
        <v/>
      </c>
      <c r="S3502">
        <f>IF(H3502="OK",O3502,0)</f>
        <v/>
      </c>
      <c r="T3502">
        <f>IF(H3502="OK",N3502,"")</f>
        <v/>
      </c>
      <c r="U3502">
        <f>TRIM('Cash_Check'!C502)</f>
        <v/>
      </c>
    </row>
    <row r="3503">
      <c r="A3503" s="62">
        <f>IF(H3503="","",IF(ISNUMBER(N3503),N3503,I3503))</f>
        <v/>
      </c>
      <c r="B3503">
        <f>IF(H3503="","",U3503)</f>
        <v/>
      </c>
      <c r="C3503">
        <f>IF(H3503="","",IF(P3503="",K3503,INDEX('Students'!$A$2:$A$701,P3503)))</f>
        <v/>
      </c>
      <c r="D3503">
        <f>IF(OR(H3503="",P3503=""),"",INDEX('Students'!$B$2:$B$701,P3503))</f>
        <v/>
      </c>
      <c r="E3503">
        <f>IF(OR(H3503="",P3503=""),"",INDEX('Students'!$C$2:$C$701,P3503))</f>
        <v/>
      </c>
      <c r="F3503" s="48">
        <f>IF(H3503="","",IF(ISNUMBER(O3503),O3503,J3503))</f>
        <v/>
      </c>
      <c r="G3503">
        <f>IF(H3503="","",M3503)</f>
        <v/>
      </c>
      <c r="H3503">
        <f>IF(AND(I3503="",J3503="",K3503=""),"",IF(OR(NOT(ISNUMBER(O3503)),N(O3503)&lt;=0),"Bad amount",IF(NOT(ISNUMBER(N3503)),"Bad date",IF(P3503="","NAME NOT ON ROSTER","OK"))))</f>
        <v/>
      </c>
      <c r="I3503">
        <f>IF('Cash_Check'!A503="","",'Cash_Check'!A503)</f>
        <v/>
      </c>
      <c r="J3503">
        <f>IF('Cash_Check'!D503="","",'Cash_Check'!D503)</f>
        <v/>
      </c>
      <c r="K3503">
        <f>TRIM('Cash_Check'!B503)</f>
        <v/>
      </c>
      <c r="M3503">
        <f>IF(TRIM('Cash_Check'!E503)="","Cash/check",TRIM('Cash_Check'!E503))</f>
        <v/>
      </c>
      <c r="N3503">
        <f>IF(I3503="","",IF(ISNUMBER(I3503),INT(I3503),IFERROR(INT(DATEVALUE(I3503)),IFERROR(INT(VALUE(I3503)),"bad"))))</f>
        <v/>
      </c>
      <c r="O3503">
        <f>IF(J3503="","",IF(ISNUMBER(J3503),ROUND(J3503,2),IFERROR(ROUND(VALUE(SUBSTITUTE(SUBSTITUTE(SUBSTITUTE(J3503,"$",""),",","")," ","")),2),"bad")))</f>
        <v/>
      </c>
      <c r="P3503">
        <f>IF(K3503="","",IFERROR(MATCH(IF(ISNUMBER(FIND("#",K3503)),TRIM(MID(K3503,FIND("#",K3503)+1,20)),UPPER(K3503)),'Students'!$AD$2:$AD$701,0),""))</f>
        <v/>
      </c>
      <c r="R3503">
        <f>IF(P3503="","",INDEX('Students'!$AD$2:$AD$701,P3503))</f>
        <v/>
      </c>
      <c r="S3503">
        <f>IF(H3503="OK",O3503,0)</f>
        <v/>
      </c>
      <c r="T3503">
        <f>IF(H3503="OK",N3503,"")</f>
        <v/>
      </c>
      <c r="U3503">
        <f>TRIM('Cash_Check'!C503)</f>
        <v/>
      </c>
    </row>
    <row r="3504">
      <c r="A3504" s="62">
        <f>IF(H3504="","",IF(ISNUMBER(N3504),N3504,I3504))</f>
        <v/>
      </c>
      <c r="B3504">
        <f>IF(H3504="","",U3504)</f>
        <v/>
      </c>
      <c r="C3504">
        <f>IF(H3504="","",IF(P3504="",K3504,INDEX('Students'!$A$2:$A$701,P3504)))</f>
        <v/>
      </c>
      <c r="D3504">
        <f>IF(OR(H3504="",P3504=""),"",INDEX('Students'!$B$2:$B$701,P3504))</f>
        <v/>
      </c>
      <c r="E3504">
        <f>IF(OR(H3504="",P3504=""),"",INDEX('Students'!$C$2:$C$701,P3504))</f>
        <v/>
      </c>
      <c r="F3504" s="48">
        <f>IF(H3504="","",IF(ISNUMBER(O3504),O3504,J3504))</f>
        <v/>
      </c>
      <c r="G3504">
        <f>IF(H3504="","",M3504)</f>
        <v/>
      </c>
      <c r="H3504">
        <f>IF(AND(I3504="",J3504="",K3504=""),"",IF(OR(NOT(ISNUMBER(O3504)),N(O3504)&lt;=0),"Bad amount",IF(NOT(ISNUMBER(N3504)),"Bad date",IF(P3504="","NAME NOT ON ROSTER","OK"))))</f>
        <v/>
      </c>
      <c r="I3504">
        <f>IF('Cash_Check'!A504="","",'Cash_Check'!A504)</f>
        <v/>
      </c>
      <c r="J3504">
        <f>IF('Cash_Check'!D504="","",'Cash_Check'!D504)</f>
        <v/>
      </c>
      <c r="K3504">
        <f>TRIM('Cash_Check'!B504)</f>
        <v/>
      </c>
      <c r="M3504">
        <f>IF(TRIM('Cash_Check'!E504)="","Cash/check",TRIM('Cash_Check'!E504))</f>
        <v/>
      </c>
      <c r="N3504">
        <f>IF(I3504="","",IF(ISNUMBER(I3504),INT(I3504),IFERROR(INT(DATEVALUE(I3504)),IFERROR(INT(VALUE(I3504)),"bad"))))</f>
        <v/>
      </c>
      <c r="O3504">
        <f>IF(J3504="","",IF(ISNUMBER(J3504),ROUND(J3504,2),IFERROR(ROUND(VALUE(SUBSTITUTE(SUBSTITUTE(SUBSTITUTE(J3504,"$",""),",","")," ","")),2),"bad")))</f>
        <v/>
      </c>
      <c r="P3504">
        <f>IF(K3504="","",IFERROR(MATCH(IF(ISNUMBER(FIND("#",K3504)),TRIM(MID(K3504,FIND("#",K3504)+1,20)),UPPER(K3504)),'Students'!$AD$2:$AD$701,0),""))</f>
        <v/>
      </c>
      <c r="R3504">
        <f>IF(P3504="","",INDEX('Students'!$AD$2:$AD$701,P3504))</f>
        <v/>
      </c>
      <c r="S3504">
        <f>IF(H3504="OK",O3504,0)</f>
        <v/>
      </c>
      <c r="T3504">
        <f>IF(H3504="OK",N3504,"")</f>
        <v/>
      </c>
      <c r="U3504">
        <f>TRIM('Cash_Check'!C504)</f>
        <v/>
      </c>
    </row>
    <row r="3505">
      <c r="A3505" s="62">
        <f>IF(H3505="","",IF(ISNUMBER(N3505),N3505,I3505))</f>
        <v/>
      </c>
      <c r="B3505">
        <f>IF(H3505="","",U3505)</f>
        <v/>
      </c>
      <c r="C3505">
        <f>IF(H3505="","",IF(P3505="",K3505,INDEX('Students'!$A$2:$A$701,P3505)))</f>
        <v/>
      </c>
      <c r="D3505">
        <f>IF(OR(H3505="",P3505=""),"",INDEX('Students'!$B$2:$B$701,P3505))</f>
        <v/>
      </c>
      <c r="E3505">
        <f>IF(OR(H3505="",P3505=""),"",INDEX('Students'!$C$2:$C$701,P3505))</f>
        <v/>
      </c>
      <c r="F3505" s="48">
        <f>IF(H3505="","",IF(ISNUMBER(O3505),O3505,J3505))</f>
        <v/>
      </c>
      <c r="G3505">
        <f>IF(H3505="","",M3505)</f>
        <v/>
      </c>
      <c r="H3505">
        <f>IF(AND(I3505="",J3505="",K3505=""),"",IF(OR(NOT(ISNUMBER(O3505)),N(O3505)&lt;=0),"Bad amount",IF(NOT(ISNUMBER(N3505)),"Bad date",IF(P3505="","NAME NOT ON ROSTER","OK"))))</f>
        <v/>
      </c>
      <c r="I3505">
        <f>IF('Cash_Check'!A505="","",'Cash_Check'!A505)</f>
        <v/>
      </c>
      <c r="J3505">
        <f>IF('Cash_Check'!D505="","",'Cash_Check'!D505)</f>
        <v/>
      </c>
      <c r="K3505">
        <f>TRIM('Cash_Check'!B505)</f>
        <v/>
      </c>
      <c r="M3505">
        <f>IF(TRIM('Cash_Check'!E505)="","Cash/check",TRIM('Cash_Check'!E505))</f>
        <v/>
      </c>
      <c r="N3505">
        <f>IF(I3505="","",IF(ISNUMBER(I3505),INT(I3505),IFERROR(INT(DATEVALUE(I3505)),IFERROR(INT(VALUE(I3505)),"bad"))))</f>
        <v/>
      </c>
      <c r="O3505">
        <f>IF(J3505="","",IF(ISNUMBER(J3505),ROUND(J3505,2),IFERROR(ROUND(VALUE(SUBSTITUTE(SUBSTITUTE(SUBSTITUTE(J3505,"$",""),",","")," ","")),2),"bad")))</f>
        <v/>
      </c>
      <c r="P3505">
        <f>IF(K3505="","",IFERROR(MATCH(IF(ISNUMBER(FIND("#",K3505)),TRIM(MID(K3505,FIND("#",K3505)+1,20)),UPPER(K3505)),'Students'!$AD$2:$AD$701,0),""))</f>
        <v/>
      </c>
      <c r="R3505">
        <f>IF(P3505="","",INDEX('Students'!$AD$2:$AD$701,P3505))</f>
        <v/>
      </c>
      <c r="S3505">
        <f>IF(H3505="OK",O3505,0)</f>
        <v/>
      </c>
      <c r="T3505">
        <f>IF(H3505="OK",N3505,"")</f>
        <v/>
      </c>
      <c r="U3505">
        <f>TRIM('Cash_Check'!C505)</f>
        <v/>
      </c>
    </row>
    <row r="3506">
      <c r="A3506" s="62">
        <f>IF(H3506="","",IF(ISNUMBER(N3506),N3506,I3506))</f>
        <v/>
      </c>
      <c r="B3506">
        <f>IF(H3506="","",U3506)</f>
        <v/>
      </c>
      <c r="C3506">
        <f>IF(H3506="","",IF(P3506="",K3506,INDEX('Students'!$A$2:$A$701,P3506)))</f>
        <v/>
      </c>
      <c r="D3506">
        <f>IF(OR(H3506="",P3506=""),"",INDEX('Students'!$B$2:$B$701,P3506))</f>
        <v/>
      </c>
      <c r="E3506">
        <f>IF(OR(H3506="",P3506=""),"",INDEX('Students'!$C$2:$C$701,P3506))</f>
        <v/>
      </c>
      <c r="F3506" s="48">
        <f>IF(H3506="","",IF(ISNUMBER(O3506),O3506,J3506))</f>
        <v/>
      </c>
      <c r="G3506">
        <f>IF(H3506="","",M3506)</f>
        <v/>
      </c>
      <c r="H3506">
        <f>IF(AND(I3506="",J3506="",K3506=""),"",IF(OR(NOT(ISNUMBER(O3506)),N(O3506)&lt;=0),"Bad amount",IF(NOT(ISNUMBER(N3506)),"Bad date",IF(P3506="","NAME NOT ON ROSTER","OK"))))</f>
        <v/>
      </c>
      <c r="I3506">
        <f>IF('Cash_Check'!A506="","",'Cash_Check'!A506)</f>
        <v/>
      </c>
      <c r="J3506">
        <f>IF('Cash_Check'!D506="","",'Cash_Check'!D506)</f>
        <v/>
      </c>
      <c r="K3506">
        <f>TRIM('Cash_Check'!B506)</f>
        <v/>
      </c>
      <c r="M3506">
        <f>IF(TRIM('Cash_Check'!E506)="","Cash/check",TRIM('Cash_Check'!E506))</f>
        <v/>
      </c>
      <c r="N3506">
        <f>IF(I3506="","",IF(ISNUMBER(I3506),INT(I3506),IFERROR(INT(DATEVALUE(I3506)),IFERROR(INT(VALUE(I3506)),"bad"))))</f>
        <v/>
      </c>
      <c r="O3506">
        <f>IF(J3506="","",IF(ISNUMBER(J3506),ROUND(J3506,2),IFERROR(ROUND(VALUE(SUBSTITUTE(SUBSTITUTE(SUBSTITUTE(J3506,"$",""),",","")," ","")),2),"bad")))</f>
        <v/>
      </c>
      <c r="P3506">
        <f>IF(K3506="","",IFERROR(MATCH(IF(ISNUMBER(FIND("#",K3506)),TRIM(MID(K3506,FIND("#",K3506)+1,20)),UPPER(K3506)),'Students'!$AD$2:$AD$701,0),""))</f>
        <v/>
      </c>
      <c r="R3506">
        <f>IF(P3506="","",INDEX('Students'!$AD$2:$AD$701,P3506))</f>
        <v/>
      </c>
      <c r="S3506">
        <f>IF(H3506="OK",O3506,0)</f>
        <v/>
      </c>
      <c r="T3506">
        <f>IF(H3506="OK",N3506,"")</f>
        <v/>
      </c>
      <c r="U3506">
        <f>TRIM('Cash_Check'!C506)</f>
        <v/>
      </c>
    </row>
    <row r="3507">
      <c r="A3507" s="62">
        <f>IF(H3507="","",IF(ISNUMBER(N3507),N3507,I3507))</f>
        <v/>
      </c>
      <c r="B3507">
        <f>IF(H3507="","",U3507)</f>
        <v/>
      </c>
      <c r="C3507">
        <f>IF(H3507="","",IF(P3507="",K3507,INDEX('Students'!$A$2:$A$701,P3507)))</f>
        <v/>
      </c>
      <c r="D3507">
        <f>IF(OR(H3507="",P3507=""),"",INDEX('Students'!$B$2:$B$701,P3507))</f>
        <v/>
      </c>
      <c r="E3507">
        <f>IF(OR(H3507="",P3507=""),"",INDEX('Students'!$C$2:$C$701,P3507))</f>
        <v/>
      </c>
      <c r="F3507" s="48">
        <f>IF(H3507="","",IF(ISNUMBER(O3507),O3507,J3507))</f>
        <v/>
      </c>
      <c r="G3507">
        <f>IF(H3507="","",M3507)</f>
        <v/>
      </c>
      <c r="H3507">
        <f>IF(AND(I3507="",J3507="",K3507=""),"",IF(OR(NOT(ISNUMBER(O3507)),N(O3507)&lt;=0),"Bad amount",IF(NOT(ISNUMBER(N3507)),"Bad date",IF(P3507="","NAME NOT ON ROSTER","OK"))))</f>
        <v/>
      </c>
      <c r="I3507">
        <f>IF('Cash_Check'!A507="","",'Cash_Check'!A507)</f>
        <v/>
      </c>
      <c r="J3507">
        <f>IF('Cash_Check'!D507="","",'Cash_Check'!D507)</f>
        <v/>
      </c>
      <c r="K3507">
        <f>TRIM('Cash_Check'!B507)</f>
        <v/>
      </c>
      <c r="M3507">
        <f>IF(TRIM('Cash_Check'!E507)="","Cash/check",TRIM('Cash_Check'!E507))</f>
        <v/>
      </c>
      <c r="N3507">
        <f>IF(I3507="","",IF(ISNUMBER(I3507),INT(I3507),IFERROR(INT(DATEVALUE(I3507)),IFERROR(INT(VALUE(I3507)),"bad"))))</f>
        <v/>
      </c>
      <c r="O3507">
        <f>IF(J3507="","",IF(ISNUMBER(J3507),ROUND(J3507,2),IFERROR(ROUND(VALUE(SUBSTITUTE(SUBSTITUTE(SUBSTITUTE(J3507,"$",""),",","")," ","")),2),"bad")))</f>
        <v/>
      </c>
      <c r="P3507">
        <f>IF(K3507="","",IFERROR(MATCH(IF(ISNUMBER(FIND("#",K3507)),TRIM(MID(K3507,FIND("#",K3507)+1,20)),UPPER(K3507)),'Students'!$AD$2:$AD$701,0),""))</f>
        <v/>
      </c>
      <c r="R3507">
        <f>IF(P3507="","",INDEX('Students'!$AD$2:$AD$701,P3507))</f>
        <v/>
      </c>
      <c r="S3507">
        <f>IF(H3507="OK",O3507,0)</f>
        <v/>
      </c>
      <c r="T3507">
        <f>IF(H3507="OK",N3507,"")</f>
        <v/>
      </c>
      <c r="U3507">
        <f>TRIM('Cash_Check'!C507)</f>
        <v/>
      </c>
    </row>
    <row r="3508">
      <c r="A3508" s="62">
        <f>IF(H3508="","",IF(ISNUMBER(N3508),N3508,I3508))</f>
        <v/>
      </c>
      <c r="B3508">
        <f>IF(H3508="","",U3508)</f>
        <v/>
      </c>
      <c r="C3508">
        <f>IF(H3508="","",IF(P3508="",K3508,INDEX('Students'!$A$2:$A$701,P3508)))</f>
        <v/>
      </c>
      <c r="D3508">
        <f>IF(OR(H3508="",P3508=""),"",INDEX('Students'!$B$2:$B$701,P3508))</f>
        <v/>
      </c>
      <c r="E3508">
        <f>IF(OR(H3508="",P3508=""),"",INDEX('Students'!$C$2:$C$701,P3508))</f>
        <v/>
      </c>
      <c r="F3508" s="48">
        <f>IF(H3508="","",IF(ISNUMBER(O3508),O3508,J3508))</f>
        <v/>
      </c>
      <c r="G3508">
        <f>IF(H3508="","",M3508)</f>
        <v/>
      </c>
      <c r="H3508">
        <f>IF(AND(I3508="",J3508="",K3508=""),"",IF(OR(NOT(ISNUMBER(O3508)),N(O3508)&lt;=0),"Bad amount",IF(NOT(ISNUMBER(N3508)),"Bad date",IF(P3508="","NAME NOT ON ROSTER","OK"))))</f>
        <v/>
      </c>
      <c r="I3508">
        <f>IF('Cash_Check'!A508="","",'Cash_Check'!A508)</f>
        <v/>
      </c>
      <c r="J3508">
        <f>IF('Cash_Check'!D508="","",'Cash_Check'!D508)</f>
        <v/>
      </c>
      <c r="K3508">
        <f>TRIM('Cash_Check'!B508)</f>
        <v/>
      </c>
      <c r="M3508">
        <f>IF(TRIM('Cash_Check'!E508)="","Cash/check",TRIM('Cash_Check'!E508))</f>
        <v/>
      </c>
      <c r="N3508">
        <f>IF(I3508="","",IF(ISNUMBER(I3508),INT(I3508),IFERROR(INT(DATEVALUE(I3508)),IFERROR(INT(VALUE(I3508)),"bad"))))</f>
        <v/>
      </c>
      <c r="O3508">
        <f>IF(J3508="","",IF(ISNUMBER(J3508),ROUND(J3508,2),IFERROR(ROUND(VALUE(SUBSTITUTE(SUBSTITUTE(SUBSTITUTE(J3508,"$",""),",","")," ","")),2),"bad")))</f>
        <v/>
      </c>
      <c r="P3508">
        <f>IF(K3508="","",IFERROR(MATCH(IF(ISNUMBER(FIND("#",K3508)),TRIM(MID(K3508,FIND("#",K3508)+1,20)),UPPER(K3508)),'Students'!$AD$2:$AD$701,0),""))</f>
        <v/>
      </c>
      <c r="R3508">
        <f>IF(P3508="","",INDEX('Students'!$AD$2:$AD$701,P3508))</f>
        <v/>
      </c>
      <c r="S3508">
        <f>IF(H3508="OK",O3508,0)</f>
        <v/>
      </c>
      <c r="T3508">
        <f>IF(H3508="OK",N3508,"")</f>
        <v/>
      </c>
      <c r="U3508">
        <f>TRIM('Cash_Check'!C508)</f>
        <v/>
      </c>
    </row>
    <row r="3509">
      <c r="A3509" s="62">
        <f>IF(H3509="","",IF(ISNUMBER(N3509),N3509,I3509))</f>
        <v/>
      </c>
      <c r="B3509">
        <f>IF(H3509="","",U3509)</f>
        <v/>
      </c>
      <c r="C3509">
        <f>IF(H3509="","",IF(P3509="",K3509,INDEX('Students'!$A$2:$A$701,P3509)))</f>
        <v/>
      </c>
      <c r="D3509">
        <f>IF(OR(H3509="",P3509=""),"",INDEX('Students'!$B$2:$B$701,P3509))</f>
        <v/>
      </c>
      <c r="E3509">
        <f>IF(OR(H3509="",P3509=""),"",INDEX('Students'!$C$2:$C$701,P3509))</f>
        <v/>
      </c>
      <c r="F3509" s="48">
        <f>IF(H3509="","",IF(ISNUMBER(O3509),O3509,J3509))</f>
        <v/>
      </c>
      <c r="G3509">
        <f>IF(H3509="","",M3509)</f>
        <v/>
      </c>
      <c r="H3509">
        <f>IF(AND(I3509="",J3509="",K3509=""),"",IF(OR(NOT(ISNUMBER(O3509)),N(O3509)&lt;=0),"Bad amount",IF(NOT(ISNUMBER(N3509)),"Bad date",IF(P3509="","NAME NOT ON ROSTER","OK"))))</f>
        <v/>
      </c>
      <c r="I3509">
        <f>IF('Cash_Check'!A509="","",'Cash_Check'!A509)</f>
        <v/>
      </c>
      <c r="J3509">
        <f>IF('Cash_Check'!D509="","",'Cash_Check'!D509)</f>
        <v/>
      </c>
      <c r="K3509">
        <f>TRIM('Cash_Check'!B509)</f>
        <v/>
      </c>
      <c r="M3509">
        <f>IF(TRIM('Cash_Check'!E509)="","Cash/check",TRIM('Cash_Check'!E509))</f>
        <v/>
      </c>
      <c r="N3509">
        <f>IF(I3509="","",IF(ISNUMBER(I3509),INT(I3509),IFERROR(INT(DATEVALUE(I3509)),IFERROR(INT(VALUE(I3509)),"bad"))))</f>
        <v/>
      </c>
      <c r="O3509">
        <f>IF(J3509="","",IF(ISNUMBER(J3509),ROUND(J3509,2),IFERROR(ROUND(VALUE(SUBSTITUTE(SUBSTITUTE(SUBSTITUTE(J3509,"$",""),",","")," ","")),2),"bad")))</f>
        <v/>
      </c>
      <c r="P3509">
        <f>IF(K3509="","",IFERROR(MATCH(IF(ISNUMBER(FIND("#",K3509)),TRIM(MID(K3509,FIND("#",K3509)+1,20)),UPPER(K3509)),'Students'!$AD$2:$AD$701,0),""))</f>
        <v/>
      </c>
      <c r="R3509">
        <f>IF(P3509="","",INDEX('Students'!$AD$2:$AD$701,P3509))</f>
        <v/>
      </c>
      <c r="S3509">
        <f>IF(H3509="OK",O3509,0)</f>
        <v/>
      </c>
      <c r="T3509">
        <f>IF(H3509="OK",N3509,"")</f>
        <v/>
      </c>
      <c r="U3509">
        <f>TRIM('Cash_Check'!C509)</f>
        <v/>
      </c>
    </row>
    <row r="3510">
      <c r="A3510" s="62">
        <f>IF(H3510="","",IF(ISNUMBER(N3510),N3510,I3510))</f>
        <v/>
      </c>
      <c r="B3510">
        <f>IF(H3510="","",U3510)</f>
        <v/>
      </c>
      <c r="C3510">
        <f>IF(H3510="","",IF(P3510="",K3510,INDEX('Students'!$A$2:$A$701,P3510)))</f>
        <v/>
      </c>
      <c r="D3510">
        <f>IF(OR(H3510="",P3510=""),"",INDEX('Students'!$B$2:$B$701,P3510))</f>
        <v/>
      </c>
      <c r="E3510">
        <f>IF(OR(H3510="",P3510=""),"",INDEX('Students'!$C$2:$C$701,P3510))</f>
        <v/>
      </c>
      <c r="F3510" s="48">
        <f>IF(H3510="","",IF(ISNUMBER(O3510),O3510,J3510))</f>
        <v/>
      </c>
      <c r="G3510">
        <f>IF(H3510="","",M3510)</f>
        <v/>
      </c>
      <c r="H3510">
        <f>IF(AND(I3510="",J3510="",K3510=""),"",IF(OR(NOT(ISNUMBER(O3510)),N(O3510)&lt;=0),"Bad amount",IF(NOT(ISNUMBER(N3510)),"Bad date",IF(P3510="","NAME NOT ON ROSTER","OK"))))</f>
        <v/>
      </c>
      <c r="I3510">
        <f>IF('Cash_Check'!A510="","",'Cash_Check'!A510)</f>
        <v/>
      </c>
      <c r="J3510">
        <f>IF('Cash_Check'!D510="","",'Cash_Check'!D510)</f>
        <v/>
      </c>
      <c r="K3510">
        <f>TRIM('Cash_Check'!B510)</f>
        <v/>
      </c>
      <c r="M3510">
        <f>IF(TRIM('Cash_Check'!E510)="","Cash/check",TRIM('Cash_Check'!E510))</f>
        <v/>
      </c>
      <c r="N3510">
        <f>IF(I3510="","",IF(ISNUMBER(I3510),INT(I3510),IFERROR(INT(DATEVALUE(I3510)),IFERROR(INT(VALUE(I3510)),"bad"))))</f>
        <v/>
      </c>
      <c r="O3510">
        <f>IF(J3510="","",IF(ISNUMBER(J3510),ROUND(J3510,2),IFERROR(ROUND(VALUE(SUBSTITUTE(SUBSTITUTE(SUBSTITUTE(J3510,"$",""),",","")," ","")),2),"bad")))</f>
        <v/>
      </c>
      <c r="P3510">
        <f>IF(K3510="","",IFERROR(MATCH(IF(ISNUMBER(FIND("#",K3510)),TRIM(MID(K3510,FIND("#",K3510)+1,20)),UPPER(K3510)),'Students'!$AD$2:$AD$701,0),""))</f>
        <v/>
      </c>
      <c r="R3510">
        <f>IF(P3510="","",INDEX('Students'!$AD$2:$AD$701,P3510))</f>
        <v/>
      </c>
      <c r="S3510">
        <f>IF(H3510="OK",O3510,0)</f>
        <v/>
      </c>
      <c r="T3510">
        <f>IF(H3510="OK",N3510,"")</f>
        <v/>
      </c>
      <c r="U3510">
        <f>TRIM('Cash_Check'!C510)</f>
        <v/>
      </c>
    </row>
    <row r="3511">
      <c r="A3511" s="62">
        <f>IF(H3511="","",IF(ISNUMBER(N3511),N3511,I3511))</f>
        <v/>
      </c>
      <c r="B3511">
        <f>IF(H3511="","",U3511)</f>
        <v/>
      </c>
      <c r="C3511">
        <f>IF(H3511="","",IF(P3511="",K3511,INDEX('Students'!$A$2:$A$701,P3511)))</f>
        <v/>
      </c>
      <c r="D3511">
        <f>IF(OR(H3511="",P3511=""),"",INDEX('Students'!$B$2:$B$701,P3511))</f>
        <v/>
      </c>
      <c r="E3511">
        <f>IF(OR(H3511="",P3511=""),"",INDEX('Students'!$C$2:$C$701,P3511))</f>
        <v/>
      </c>
      <c r="F3511" s="48">
        <f>IF(H3511="","",IF(ISNUMBER(O3511),O3511,J3511))</f>
        <v/>
      </c>
      <c r="G3511">
        <f>IF(H3511="","",M3511)</f>
        <v/>
      </c>
      <c r="H3511">
        <f>IF(AND(I3511="",J3511="",K3511=""),"",IF(OR(NOT(ISNUMBER(O3511)),N(O3511)&lt;=0),"Bad amount",IF(NOT(ISNUMBER(N3511)),"Bad date",IF(P3511="","NAME NOT ON ROSTER","OK"))))</f>
        <v/>
      </c>
      <c r="I3511">
        <f>IF('Cash_Check'!A511="","",'Cash_Check'!A511)</f>
        <v/>
      </c>
      <c r="J3511">
        <f>IF('Cash_Check'!D511="","",'Cash_Check'!D511)</f>
        <v/>
      </c>
      <c r="K3511">
        <f>TRIM('Cash_Check'!B511)</f>
        <v/>
      </c>
      <c r="M3511">
        <f>IF(TRIM('Cash_Check'!E511)="","Cash/check",TRIM('Cash_Check'!E511))</f>
        <v/>
      </c>
      <c r="N3511">
        <f>IF(I3511="","",IF(ISNUMBER(I3511),INT(I3511),IFERROR(INT(DATEVALUE(I3511)),IFERROR(INT(VALUE(I3511)),"bad"))))</f>
        <v/>
      </c>
      <c r="O3511">
        <f>IF(J3511="","",IF(ISNUMBER(J3511),ROUND(J3511,2),IFERROR(ROUND(VALUE(SUBSTITUTE(SUBSTITUTE(SUBSTITUTE(J3511,"$",""),",","")," ","")),2),"bad")))</f>
        <v/>
      </c>
      <c r="P3511">
        <f>IF(K3511="","",IFERROR(MATCH(IF(ISNUMBER(FIND("#",K3511)),TRIM(MID(K3511,FIND("#",K3511)+1,20)),UPPER(K3511)),'Students'!$AD$2:$AD$701,0),""))</f>
        <v/>
      </c>
      <c r="R3511">
        <f>IF(P3511="","",INDEX('Students'!$AD$2:$AD$701,P3511))</f>
        <v/>
      </c>
      <c r="S3511">
        <f>IF(H3511="OK",O3511,0)</f>
        <v/>
      </c>
      <c r="T3511">
        <f>IF(H3511="OK",N3511,"")</f>
        <v/>
      </c>
      <c r="U3511">
        <f>TRIM('Cash_Check'!C511)</f>
        <v/>
      </c>
    </row>
    <row r="3512">
      <c r="A3512" s="62">
        <f>IF(H3512="","",IF(ISNUMBER(N3512),N3512,I3512))</f>
        <v/>
      </c>
      <c r="B3512">
        <f>IF(H3512="","",U3512)</f>
        <v/>
      </c>
      <c r="C3512">
        <f>IF(H3512="","",IF(P3512="",K3512,INDEX('Students'!$A$2:$A$701,P3512)))</f>
        <v/>
      </c>
      <c r="D3512">
        <f>IF(OR(H3512="",P3512=""),"",INDEX('Students'!$B$2:$B$701,P3512))</f>
        <v/>
      </c>
      <c r="E3512">
        <f>IF(OR(H3512="",P3512=""),"",INDEX('Students'!$C$2:$C$701,P3512))</f>
        <v/>
      </c>
      <c r="F3512" s="48">
        <f>IF(H3512="","",IF(ISNUMBER(O3512),O3512,J3512))</f>
        <v/>
      </c>
      <c r="G3512">
        <f>IF(H3512="","",M3512)</f>
        <v/>
      </c>
      <c r="H3512">
        <f>IF(AND(I3512="",J3512="",K3512=""),"",IF(OR(NOT(ISNUMBER(O3512)),N(O3512)&lt;=0),"Bad amount",IF(NOT(ISNUMBER(N3512)),"Bad date",IF(P3512="","NAME NOT ON ROSTER","OK"))))</f>
        <v/>
      </c>
      <c r="I3512">
        <f>IF('Cash_Check'!A512="","",'Cash_Check'!A512)</f>
        <v/>
      </c>
      <c r="J3512">
        <f>IF('Cash_Check'!D512="","",'Cash_Check'!D512)</f>
        <v/>
      </c>
      <c r="K3512">
        <f>TRIM('Cash_Check'!B512)</f>
        <v/>
      </c>
      <c r="M3512">
        <f>IF(TRIM('Cash_Check'!E512)="","Cash/check",TRIM('Cash_Check'!E512))</f>
        <v/>
      </c>
      <c r="N3512">
        <f>IF(I3512="","",IF(ISNUMBER(I3512),INT(I3512),IFERROR(INT(DATEVALUE(I3512)),IFERROR(INT(VALUE(I3512)),"bad"))))</f>
        <v/>
      </c>
      <c r="O3512">
        <f>IF(J3512="","",IF(ISNUMBER(J3512),ROUND(J3512,2),IFERROR(ROUND(VALUE(SUBSTITUTE(SUBSTITUTE(SUBSTITUTE(J3512,"$",""),",","")," ","")),2),"bad")))</f>
        <v/>
      </c>
      <c r="P3512">
        <f>IF(K3512="","",IFERROR(MATCH(IF(ISNUMBER(FIND("#",K3512)),TRIM(MID(K3512,FIND("#",K3512)+1,20)),UPPER(K3512)),'Students'!$AD$2:$AD$701,0),""))</f>
        <v/>
      </c>
      <c r="R3512">
        <f>IF(P3512="","",INDEX('Students'!$AD$2:$AD$701,P3512))</f>
        <v/>
      </c>
      <c r="S3512">
        <f>IF(H3512="OK",O3512,0)</f>
        <v/>
      </c>
      <c r="T3512">
        <f>IF(H3512="OK",N3512,"")</f>
        <v/>
      </c>
      <c r="U3512">
        <f>TRIM('Cash_Check'!C512)</f>
        <v/>
      </c>
    </row>
    <row r="3513">
      <c r="A3513" s="62">
        <f>IF(H3513="","",IF(ISNUMBER(N3513),N3513,I3513))</f>
        <v/>
      </c>
      <c r="B3513">
        <f>IF(H3513="","",U3513)</f>
        <v/>
      </c>
      <c r="C3513">
        <f>IF(H3513="","",IF(P3513="",K3513,INDEX('Students'!$A$2:$A$701,P3513)))</f>
        <v/>
      </c>
      <c r="D3513">
        <f>IF(OR(H3513="",P3513=""),"",INDEX('Students'!$B$2:$B$701,P3513))</f>
        <v/>
      </c>
      <c r="E3513">
        <f>IF(OR(H3513="",P3513=""),"",INDEX('Students'!$C$2:$C$701,P3513))</f>
        <v/>
      </c>
      <c r="F3513" s="48">
        <f>IF(H3513="","",IF(ISNUMBER(O3513),O3513,J3513))</f>
        <v/>
      </c>
      <c r="G3513">
        <f>IF(H3513="","",M3513)</f>
        <v/>
      </c>
      <c r="H3513">
        <f>IF(AND(I3513="",J3513="",K3513=""),"",IF(OR(NOT(ISNUMBER(O3513)),N(O3513)&lt;=0),"Bad amount",IF(NOT(ISNUMBER(N3513)),"Bad date",IF(P3513="","NAME NOT ON ROSTER","OK"))))</f>
        <v/>
      </c>
      <c r="I3513">
        <f>IF('Cash_Check'!A513="","",'Cash_Check'!A513)</f>
        <v/>
      </c>
      <c r="J3513">
        <f>IF('Cash_Check'!D513="","",'Cash_Check'!D513)</f>
        <v/>
      </c>
      <c r="K3513">
        <f>TRIM('Cash_Check'!B513)</f>
        <v/>
      </c>
      <c r="M3513">
        <f>IF(TRIM('Cash_Check'!E513)="","Cash/check",TRIM('Cash_Check'!E513))</f>
        <v/>
      </c>
      <c r="N3513">
        <f>IF(I3513="","",IF(ISNUMBER(I3513),INT(I3513),IFERROR(INT(DATEVALUE(I3513)),IFERROR(INT(VALUE(I3513)),"bad"))))</f>
        <v/>
      </c>
      <c r="O3513">
        <f>IF(J3513="","",IF(ISNUMBER(J3513),ROUND(J3513,2),IFERROR(ROUND(VALUE(SUBSTITUTE(SUBSTITUTE(SUBSTITUTE(J3513,"$",""),",","")," ","")),2),"bad")))</f>
        <v/>
      </c>
      <c r="P3513">
        <f>IF(K3513="","",IFERROR(MATCH(IF(ISNUMBER(FIND("#",K3513)),TRIM(MID(K3513,FIND("#",K3513)+1,20)),UPPER(K3513)),'Students'!$AD$2:$AD$701,0),""))</f>
        <v/>
      </c>
      <c r="R3513">
        <f>IF(P3513="","",INDEX('Students'!$AD$2:$AD$701,P3513))</f>
        <v/>
      </c>
      <c r="S3513">
        <f>IF(H3513="OK",O3513,0)</f>
        <v/>
      </c>
      <c r="T3513">
        <f>IF(H3513="OK",N3513,"")</f>
        <v/>
      </c>
      <c r="U3513">
        <f>TRIM('Cash_Check'!C513)</f>
        <v/>
      </c>
    </row>
    <row r="3514">
      <c r="A3514" s="62">
        <f>IF(H3514="","",IF(ISNUMBER(N3514),N3514,I3514))</f>
        <v/>
      </c>
      <c r="B3514">
        <f>IF(H3514="","",U3514)</f>
        <v/>
      </c>
      <c r="C3514">
        <f>IF(H3514="","",IF(P3514="",K3514,INDEX('Students'!$A$2:$A$701,P3514)))</f>
        <v/>
      </c>
      <c r="D3514">
        <f>IF(OR(H3514="",P3514=""),"",INDEX('Students'!$B$2:$B$701,P3514))</f>
        <v/>
      </c>
      <c r="E3514">
        <f>IF(OR(H3514="",P3514=""),"",INDEX('Students'!$C$2:$C$701,P3514))</f>
        <v/>
      </c>
      <c r="F3514" s="48">
        <f>IF(H3514="","",IF(ISNUMBER(O3514),O3514,J3514))</f>
        <v/>
      </c>
      <c r="G3514">
        <f>IF(H3514="","",M3514)</f>
        <v/>
      </c>
      <c r="H3514">
        <f>IF(AND(I3514="",J3514="",K3514=""),"",IF(OR(NOT(ISNUMBER(O3514)),N(O3514)&lt;=0),"Bad amount",IF(NOT(ISNUMBER(N3514)),"Bad date",IF(P3514="","NAME NOT ON ROSTER","OK"))))</f>
        <v/>
      </c>
      <c r="I3514">
        <f>IF('Cash_Check'!A514="","",'Cash_Check'!A514)</f>
        <v/>
      </c>
      <c r="J3514">
        <f>IF('Cash_Check'!D514="","",'Cash_Check'!D514)</f>
        <v/>
      </c>
      <c r="K3514">
        <f>TRIM('Cash_Check'!B514)</f>
        <v/>
      </c>
      <c r="M3514">
        <f>IF(TRIM('Cash_Check'!E514)="","Cash/check",TRIM('Cash_Check'!E514))</f>
        <v/>
      </c>
      <c r="N3514">
        <f>IF(I3514="","",IF(ISNUMBER(I3514),INT(I3514),IFERROR(INT(DATEVALUE(I3514)),IFERROR(INT(VALUE(I3514)),"bad"))))</f>
        <v/>
      </c>
      <c r="O3514">
        <f>IF(J3514="","",IF(ISNUMBER(J3514),ROUND(J3514,2),IFERROR(ROUND(VALUE(SUBSTITUTE(SUBSTITUTE(SUBSTITUTE(J3514,"$",""),",","")," ","")),2),"bad")))</f>
        <v/>
      </c>
      <c r="P3514">
        <f>IF(K3514="","",IFERROR(MATCH(IF(ISNUMBER(FIND("#",K3514)),TRIM(MID(K3514,FIND("#",K3514)+1,20)),UPPER(K3514)),'Students'!$AD$2:$AD$701,0),""))</f>
        <v/>
      </c>
      <c r="R3514">
        <f>IF(P3514="","",INDEX('Students'!$AD$2:$AD$701,P3514))</f>
        <v/>
      </c>
      <c r="S3514">
        <f>IF(H3514="OK",O3514,0)</f>
        <v/>
      </c>
      <c r="T3514">
        <f>IF(H3514="OK",N3514,"")</f>
        <v/>
      </c>
      <c r="U3514">
        <f>TRIM('Cash_Check'!C514)</f>
        <v/>
      </c>
    </row>
    <row r="3515">
      <c r="A3515" s="62">
        <f>IF(H3515="","",IF(ISNUMBER(N3515),N3515,I3515))</f>
        <v/>
      </c>
      <c r="B3515">
        <f>IF(H3515="","",U3515)</f>
        <v/>
      </c>
      <c r="C3515">
        <f>IF(H3515="","",IF(P3515="",K3515,INDEX('Students'!$A$2:$A$701,P3515)))</f>
        <v/>
      </c>
      <c r="D3515">
        <f>IF(OR(H3515="",P3515=""),"",INDEX('Students'!$B$2:$B$701,P3515))</f>
        <v/>
      </c>
      <c r="E3515">
        <f>IF(OR(H3515="",P3515=""),"",INDEX('Students'!$C$2:$C$701,P3515))</f>
        <v/>
      </c>
      <c r="F3515" s="48">
        <f>IF(H3515="","",IF(ISNUMBER(O3515),O3515,J3515))</f>
        <v/>
      </c>
      <c r="G3515">
        <f>IF(H3515="","",M3515)</f>
        <v/>
      </c>
      <c r="H3515">
        <f>IF(AND(I3515="",J3515="",K3515=""),"",IF(OR(NOT(ISNUMBER(O3515)),N(O3515)&lt;=0),"Bad amount",IF(NOT(ISNUMBER(N3515)),"Bad date",IF(P3515="","NAME NOT ON ROSTER","OK"))))</f>
        <v/>
      </c>
      <c r="I3515">
        <f>IF('Cash_Check'!A515="","",'Cash_Check'!A515)</f>
        <v/>
      </c>
      <c r="J3515">
        <f>IF('Cash_Check'!D515="","",'Cash_Check'!D515)</f>
        <v/>
      </c>
      <c r="K3515">
        <f>TRIM('Cash_Check'!B515)</f>
        <v/>
      </c>
      <c r="M3515">
        <f>IF(TRIM('Cash_Check'!E515)="","Cash/check",TRIM('Cash_Check'!E515))</f>
        <v/>
      </c>
      <c r="N3515">
        <f>IF(I3515="","",IF(ISNUMBER(I3515),INT(I3515),IFERROR(INT(DATEVALUE(I3515)),IFERROR(INT(VALUE(I3515)),"bad"))))</f>
        <v/>
      </c>
      <c r="O3515">
        <f>IF(J3515="","",IF(ISNUMBER(J3515),ROUND(J3515,2),IFERROR(ROUND(VALUE(SUBSTITUTE(SUBSTITUTE(SUBSTITUTE(J3515,"$",""),",","")," ","")),2),"bad")))</f>
        <v/>
      </c>
      <c r="P3515">
        <f>IF(K3515="","",IFERROR(MATCH(IF(ISNUMBER(FIND("#",K3515)),TRIM(MID(K3515,FIND("#",K3515)+1,20)),UPPER(K3515)),'Students'!$AD$2:$AD$701,0),""))</f>
        <v/>
      </c>
      <c r="R3515">
        <f>IF(P3515="","",INDEX('Students'!$AD$2:$AD$701,P3515))</f>
        <v/>
      </c>
      <c r="S3515">
        <f>IF(H3515="OK",O3515,0)</f>
        <v/>
      </c>
      <c r="T3515">
        <f>IF(H3515="OK",N3515,"")</f>
        <v/>
      </c>
      <c r="U3515">
        <f>TRIM('Cash_Check'!C515)</f>
        <v/>
      </c>
    </row>
    <row r="3516">
      <c r="A3516" s="62">
        <f>IF(H3516="","",IF(ISNUMBER(N3516),N3516,I3516))</f>
        <v/>
      </c>
      <c r="B3516">
        <f>IF(H3516="","",U3516)</f>
        <v/>
      </c>
      <c r="C3516">
        <f>IF(H3516="","",IF(P3516="",K3516,INDEX('Students'!$A$2:$A$701,P3516)))</f>
        <v/>
      </c>
      <c r="D3516">
        <f>IF(OR(H3516="",P3516=""),"",INDEX('Students'!$B$2:$B$701,P3516))</f>
        <v/>
      </c>
      <c r="E3516">
        <f>IF(OR(H3516="",P3516=""),"",INDEX('Students'!$C$2:$C$701,P3516))</f>
        <v/>
      </c>
      <c r="F3516" s="48">
        <f>IF(H3516="","",IF(ISNUMBER(O3516),O3516,J3516))</f>
        <v/>
      </c>
      <c r="G3516">
        <f>IF(H3516="","",M3516)</f>
        <v/>
      </c>
      <c r="H3516">
        <f>IF(AND(I3516="",J3516="",K3516=""),"",IF(OR(NOT(ISNUMBER(O3516)),N(O3516)&lt;=0),"Bad amount",IF(NOT(ISNUMBER(N3516)),"Bad date",IF(P3516="","NAME NOT ON ROSTER","OK"))))</f>
        <v/>
      </c>
      <c r="I3516">
        <f>IF('Cash_Check'!A516="","",'Cash_Check'!A516)</f>
        <v/>
      </c>
      <c r="J3516">
        <f>IF('Cash_Check'!D516="","",'Cash_Check'!D516)</f>
        <v/>
      </c>
      <c r="K3516">
        <f>TRIM('Cash_Check'!B516)</f>
        <v/>
      </c>
      <c r="M3516">
        <f>IF(TRIM('Cash_Check'!E516)="","Cash/check",TRIM('Cash_Check'!E516))</f>
        <v/>
      </c>
      <c r="N3516">
        <f>IF(I3516="","",IF(ISNUMBER(I3516),INT(I3516),IFERROR(INT(DATEVALUE(I3516)),IFERROR(INT(VALUE(I3516)),"bad"))))</f>
        <v/>
      </c>
      <c r="O3516">
        <f>IF(J3516="","",IF(ISNUMBER(J3516),ROUND(J3516,2),IFERROR(ROUND(VALUE(SUBSTITUTE(SUBSTITUTE(SUBSTITUTE(J3516,"$",""),",","")," ","")),2),"bad")))</f>
        <v/>
      </c>
      <c r="P3516">
        <f>IF(K3516="","",IFERROR(MATCH(IF(ISNUMBER(FIND("#",K3516)),TRIM(MID(K3516,FIND("#",K3516)+1,20)),UPPER(K3516)),'Students'!$AD$2:$AD$701,0),""))</f>
        <v/>
      </c>
      <c r="R3516">
        <f>IF(P3516="","",INDEX('Students'!$AD$2:$AD$701,P3516))</f>
        <v/>
      </c>
      <c r="S3516">
        <f>IF(H3516="OK",O3516,0)</f>
        <v/>
      </c>
      <c r="T3516">
        <f>IF(H3516="OK",N3516,"")</f>
        <v/>
      </c>
      <c r="U3516">
        <f>TRIM('Cash_Check'!C516)</f>
        <v/>
      </c>
    </row>
    <row r="3517">
      <c r="A3517" s="62">
        <f>IF(H3517="","",IF(ISNUMBER(N3517),N3517,I3517))</f>
        <v/>
      </c>
      <c r="B3517">
        <f>IF(H3517="","",U3517)</f>
        <v/>
      </c>
      <c r="C3517">
        <f>IF(H3517="","",IF(P3517="",K3517,INDEX('Students'!$A$2:$A$701,P3517)))</f>
        <v/>
      </c>
      <c r="D3517">
        <f>IF(OR(H3517="",P3517=""),"",INDEX('Students'!$B$2:$B$701,P3517))</f>
        <v/>
      </c>
      <c r="E3517">
        <f>IF(OR(H3517="",P3517=""),"",INDEX('Students'!$C$2:$C$701,P3517))</f>
        <v/>
      </c>
      <c r="F3517" s="48">
        <f>IF(H3517="","",IF(ISNUMBER(O3517),O3517,J3517))</f>
        <v/>
      </c>
      <c r="G3517">
        <f>IF(H3517="","",M3517)</f>
        <v/>
      </c>
      <c r="H3517">
        <f>IF(AND(I3517="",J3517="",K3517=""),"",IF(OR(NOT(ISNUMBER(O3517)),N(O3517)&lt;=0),"Bad amount",IF(NOT(ISNUMBER(N3517)),"Bad date",IF(P3517="","NAME NOT ON ROSTER","OK"))))</f>
        <v/>
      </c>
      <c r="I3517">
        <f>IF('Cash_Check'!A517="","",'Cash_Check'!A517)</f>
        <v/>
      </c>
      <c r="J3517">
        <f>IF('Cash_Check'!D517="","",'Cash_Check'!D517)</f>
        <v/>
      </c>
      <c r="K3517">
        <f>TRIM('Cash_Check'!B517)</f>
        <v/>
      </c>
      <c r="M3517">
        <f>IF(TRIM('Cash_Check'!E517)="","Cash/check",TRIM('Cash_Check'!E517))</f>
        <v/>
      </c>
      <c r="N3517">
        <f>IF(I3517="","",IF(ISNUMBER(I3517),INT(I3517),IFERROR(INT(DATEVALUE(I3517)),IFERROR(INT(VALUE(I3517)),"bad"))))</f>
        <v/>
      </c>
      <c r="O3517">
        <f>IF(J3517="","",IF(ISNUMBER(J3517),ROUND(J3517,2),IFERROR(ROUND(VALUE(SUBSTITUTE(SUBSTITUTE(SUBSTITUTE(J3517,"$",""),",","")," ","")),2),"bad")))</f>
        <v/>
      </c>
      <c r="P3517">
        <f>IF(K3517="","",IFERROR(MATCH(IF(ISNUMBER(FIND("#",K3517)),TRIM(MID(K3517,FIND("#",K3517)+1,20)),UPPER(K3517)),'Students'!$AD$2:$AD$701,0),""))</f>
        <v/>
      </c>
      <c r="R3517">
        <f>IF(P3517="","",INDEX('Students'!$AD$2:$AD$701,P3517))</f>
        <v/>
      </c>
      <c r="S3517">
        <f>IF(H3517="OK",O3517,0)</f>
        <v/>
      </c>
      <c r="T3517">
        <f>IF(H3517="OK",N3517,"")</f>
        <v/>
      </c>
      <c r="U3517">
        <f>TRIM('Cash_Check'!C517)</f>
        <v/>
      </c>
    </row>
    <row r="3518">
      <c r="A3518" s="62">
        <f>IF(H3518="","",IF(ISNUMBER(N3518),N3518,I3518))</f>
        <v/>
      </c>
      <c r="B3518">
        <f>IF(H3518="","",U3518)</f>
        <v/>
      </c>
      <c r="C3518">
        <f>IF(H3518="","",IF(P3518="",K3518,INDEX('Students'!$A$2:$A$701,P3518)))</f>
        <v/>
      </c>
      <c r="D3518">
        <f>IF(OR(H3518="",P3518=""),"",INDEX('Students'!$B$2:$B$701,P3518))</f>
        <v/>
      </c>
      <c r="E3518">
        <f>IF(OR(H3518="",P3518=""),"",INDEX('Students'!$C$2:$C$701,P3518))</f>
        <v/>
      </c>
      <c r="F3518" s="48">
        <f>IF(H3518="","",IF(ISNUMBER(O3518),O3518,J3518))</f>
        <v/>
      </c>
      <c r="G3518">
        <f>IF(H3518="","",M3518)</f>
        <v/>
      </c>
      <c r="H3518">
        <f>IF(AND(I3518="",J3518="",K3518=""),"",IF(OR(NOT(ISNUMBER(O3518)),N(O3518)&lt;=0),"Bad amount",IF(NOT(ISNUMBER(N3518)),"Bad date",IF(P3518="","NAME NOT ON ROSTER","OK"))))</f>
        <v/>
      </c>
      <c r="I3518">
        <f>IF('Cash_Check'!A518="","",'Cash_Check'!A518)</f>
        <v/>
      </c>
      <c r="J3518">
        <f>IF('Cash_Check'!D518="","",'Cash_Check'!D518)</f>
        <v/>
      </c>
      <c r="K3518">
        <f>TRIM('Cash_Check'!B518)</f>
        <v/>
      </c>
      <c r="M3518">
        <f>IF(TRIM('Cash_Check'!E518)="","Cash/check",TRIM('Cash_Check'!E518))</f>
        <v/>
      </c>
      <c r="N3518">
        <f>IF(I3518="","",IF(ISNUMBER(I3518),INT(I3518),IFERROR(INT(DATEVALUE(I3518)),IFERROR(INT(VALUE(I3518)),"bad"))))</f>
        <v/>
      </c>
      <c r="O3518">
        <f>IF(J3518="","",IF(ISNUMBER(J3518),ROUND(J3518,2),IFERROR(ROUND(VALUE(SUBSTITUTE(SUBSTITUTE(SUBSTITUTE(J3518,"$",""),",","")," ","")),2),"bad")))</f>
        <v/>
      </c>
      <c r="P3518">
        <f>IF(K3518="","",IFERROR(MATCH(IF(ISNUMBER(FIND("#",K3518)),TRIM(MID(K3518,FIND("#",K3518)+1,20)),UPPER(K3518)),'Students'!$AD$2:$AD$701,0),""))</f>
        <v/>
      </c>
      <c r="R3518">
        <f>IF(P3518="","",INDEX('Students'!$AD$2:$AD$701,P3518))</f>
        <v/>
      </c>
      <c r="S3518">
        <f>IF(H3518="OK",O3518,0)</f>
        <v/>
      </c>
      <c r="T3518">
        <f>IF(H3518="OK",N3518,"")</f>
        <v/>
      </c>
      <c r="U3518">
        <f>TRIM('Cash_Check'!C518)</f>
        <v/>
      </c>
    </row>
    <row r="3519">
      <c r="A3519" s="62">
        <f>IF(H3519="","",IF(ISNUMBER(N3519),N3519,I3519))</f>
        <v/>
      </c>
      <c r="B3519">
        <f>IF(H3519="","",U3519)</f>
        <v/>
      </c>
      <c r="C3519">
        <f>IF(H3519="","",IF(P3519="",K3519,INDEX('Students'!$A$2:$A$701,P3519)))</f>
        <v/>
      </c>
      <c r="D3519">
        <f>IF(OR(H3519="",P3519=""),"",INDEX('Students'!$B$2:$B$701,P3519))</f>
        <v/>
      </c>
      <c r="E3519">
        <f>IF(OR(H3519="",P3519=""),"",INDEX('Students'!$C$2:$C$701,P3519))</f>
        <v/>
      </c>
      <c r="F3519" s="48">
        <f>IF(H3519="","",IF(ISNUMBER(O3519),O3519,J3519))</f>
        <v/>
      </c>
      <c r="G3519">
        <f>IF(H3519="","",M3519)</f>
        <v/>
      </c>
      <c r="H3519">
        <f>IF(AND(I3519="",J3519="",K3519=""),"",IF(OR(NOT(ISNUMBER(O3519)),N(O3519)&lt;=0),"Bad amount",IF(NOT(ISNUMBER(N3519)),"Bad date",IF(P3519="","NAME NOT ON ROSTER","OK"))))</f>
        <v/>
      </c>
      <c r="I3519">
        <f>IF('Cash_Check'!A519="","",'Cash_Check'!A519)</f>
        <v/>
      </c>
      <c r="J3519">
        <f>IF('Cash_Check'!D519="","",'Cash_Check'!D519)</f>
        <v/>
      </c>
      <c r="K3519">
        <f>TRIM('Cash_Check'!B519)</f>
        <v/>
      </c>
      <c r="M3519">
        <f>IF(TRIM('Cash_Check'!E519)="","Cash/check",TRIM('Cash_Check'!E519))</f>
        <v/>
      </c>
      <c r="N3519">
        <f>IF(I3519="","",IF(ISNUMBER(I3519),INT(I3519),IFERROR(INT(DATEVALUE(I3519)),IFERROR(INT(VALUE(I3519)),"bad"))))</f>
        <v/>
      </c>
      <c r="O3519">
        <f>IF(J3519="","",IF(ISNUMBER(J3519),ROUND(J3519,2),IFERROR(ROUND(VALUE(SUBSTITUTE(SUBSTITUTE(SUBSTITUTE(J3519,"$",""),",","")," ","")),2),"bad")))</f>
        <v/>
      </c>
      <c r="P3519">
        <f>IF(K3519="","",IFERROR(MATCH(IF(ISNUMBER(FIND("#",K3519)),TRIM(MID(K3519,FIND("#",K3519)+1,20)),UPPER(K3519)),'Students'!$AD$2:$AD$701,0),""))</f>
        <v/>
      </c>
      <c r="R3519">
        <f>IF(P3519="","",INDEX('Students'!$AD$2:$AD$701,P3519))</f>
        <v/>
      </c>
      <c r="S3519">
        <f>IF(H3519="OK",O3519,0)</f>
        <v/>
      </c>
      <c r="T3519">
        <f>IF(H3519="OK",N3519,"")</f>
        <v/>
      </c>
      <c r="U3519">
        <f>TRIM('Cash_Check'!C519)</f>
        <v/>
      </c>
    </row>
    <row r="3520">
      <c r="A3520" s="62">
        <f>IF(H3520="","",IF(ISNUMBER(N3520),N3520,I3520))</f>
        <v/>
      </c>
      <c r="B3520">
        <f>IF(H3520="","",U3520)</f>
        <v/>
      </c>
      <c r="C3520">
        <f>IF(H3520="","",IF(P3520="",K3520,INDEX('Students'!$A$2:$A$701,P3520)))</f>
        <v/>
      </c>
      <c r="D3520">
        <f>IF(OR(H3520="",P3520=""),"",INDEX('Students'!$B$2:$B$701,P3520))</f>
        <v/>
      </c>
      <c r="E3520">
        <f>IF(OR(H3520="",P3520=""),"",INDEX('Students'!$C$2:$C$701,P3520))</f>
        <v/>
      </c>
      <c r="F3520" s="48">
        <f>IF(H3520="","",IF(ISNUMBER(O3520),O3520,J3520))</f>
        <v/>
      </c>
      <c r="G3520">
        <f>IF(H3520="","",M3520)</f>
        <v/>
      </c>
      <c r="H3520">
        <f>IF(AND(I3520="",J3520="",K3520=""),"",IF(OR(NOT(ISNUMBER(O3520)),N(O3520)&lt;=0),"Bad amount",IF(NOT(ISNUMBER(N3520)),"Bad date",IF(P3520="","NAME NOT ON ROSTER","OK"))))</f>
        <v/>
      </c>
      <c r="I3520">
        <f>IF('Cash_Check'!A520="","",'Cash_Check'!A520)</f>
        <v/>
      </c>
      <c r="J3520">
        <f>IF('Cash_Check'!D520="","",'Cash_Check'!D520)</f>
        <v/>
      </c>
      <c r="K3520">
        <f>TRIM('Cash_Check'!B520)</f>
        <v/>
      </c>
      <c r="M3520">
        <f>IF(TRIM('Cash_Check'!E520)="","Cash/check",TRIM('Cash_Check'!E520))</f>
        <v/>
      </c>
      <c r="N3520">
        <f>IF(I3520="","",IF(ISNUMBER(I3520),INT(I3520),IFERROR(INT(DATEVALUE(I3520)),IFERROR(INT(VALUE(I3520)),"bad"))))</f>
        <v/>
      </c>
      <c r="O3520">
        <f>IF(J3520="","",IF(ISNUMBER(J3520),ROUND(J3520,2),IFERROR(ROUND(VALUE(SUBSTITUTE(SUBSTITUTE(SUBSTITUTE(J3520,"$",""),",","")," ","")),2),"bad")))</f>
        <v/>
      </c>
      <c r="P3520">
        <f>IF(K3520="","",IFERROR(MATCH(IF(ISNUMBER(FIND("#",K3520)),TRIM(MID(K3520,FIND("#",K3520)+1,20)),UPPER(K3520)),'Students'!$AD$2:$AD$701,0),""))</f>
        <v/>
      </c>
      <c r="R3520">
        <f>IF(P3520="","",INDEX('Students'!$AD$2:$AD$701,P3520))</f>
        <v/>
      </c>
      <c r="S3520">
        <f>IF(H3520="OK",O3520,0)</f>
        <v/>
      </c>
      <c r="T3520">
        <f>IF(H3520="OK",N3520,"")</f>
        <v/>
      </c>
      <c r="U3520">
        <f>TRIM('Cash_Check'!C520)</f>
        <v/>
      </c>
    </row>
    <row r="3521">
      <c r="A3521" s="62">
        <f>IF(H3521="","",IF(ISNUMBER(N3521),N3521,I3521))</f>
        <v/>
      </c>
      <c r="B3521">
        <f>IF(H3521="","",U3521)</f>
        <v/>
      </c>
      <c r="C3521">
        <f>IF(H3521="","",IF(P3521="",K3521,INDEX('Students'!$A$2:$A$701,P3521)))</f>
        <v/>
      </c>
      <c r="D3521">
        <f>IF(OR(H3521="",P3521=""),"",INDEX('Students'!$B$2:$B$701,P3521))</f>
        <v/>
      </c>
      <c r="E3521">
        <f>IF(OR(H3521="",P3521=""),"",INDEX('Students'!$C$2:$C$701,P3521))</f>
        <v/>
      </c>
      <c r="F3521" s="48">
        <f>IF(H3521="","",IF(ISNUMBER(O3521),O3521,J3521))</f>
        <v/>
      </c>
      <c r="G3521">
        <f>IF(H3521="","",M3521)</f>
        <v/>
      </c>
      <c r="H3521">
        <f>IF(AND(I3521="",J3521="",K3521=""),"",IF(OR(NOT(ISNUMBER(O3521)),N(O3521)&lt;=0),"Bad amount",IF(NOT(ISNUMBER(N3521)),"Bad date",IF(P3521="","NAME NOT ON ROSTER","OK"))))</f>
        <v/>
      </c>
      <c r="I3521">
        <f>IF('Cash_Check'!A521="","",'Cash_Check'!A521)</f>
        <v/>
      </c>
      <c r="J3521">
        <f>IF('Cash_Check'!D521="","",'Cash_Check'!D521)</f>
        <v/>
      </c>
      <c r="K3521">
        <f>TRIM('Cash_Check'!B521)</f>
        <v/>
      </c>
      <c r="M3521">
        <f>IF(TRIM('Cash_Check'!E521)="","Cash/check",TRIM('Cash_Check'!E521))</f>
        <v/>
      </c>
      <c r="N3521">
        <f>IF(I3521="","",IF(ISNUMBER(I3521),INT(I3521),IFERROR(INT(DATEVALUE(I3521)),IFERROR(INT(VALUE(I3521)),"bad"))))</f>
        <v/>
      </c>
      <c r="O3521">
        <f>IF(J3521="","",IF(ISNUMBER(J3521),ROUND(J3521,2),IFERROR(ROUND(VALUE(SUBSTITUTE(SUBSTITUTE(SUBSTITUTE(J3521,"$",""),",","")," ","")),2),"bad")))</f>
        <v/>
      </c>
      <c r="P3521">
        <f>IF(K3521="","",IFERROR(MATCH(IF(ISNUMBER(FIND("#",K3521)),TRIM(MID(K3521,FIND("#",K3521)+1,20)),UPPER(K3521)),'Students'!$AD$2:$AD$701,0),""))</f>
        <v/>
      </c>
      <c r="R3521">
        <f>IF(P3521="","",INDEX('Students'!$AD$2:$AD$701,P3521))</f>
        <v/>
      </c>
      <c r="S3521">
        <f>IF(H3521="OK",O3521,0)</f>
        <v/>
      </c>
      <c r="T3521">
        <f>IF(H3521="OK",N3521,"")</f>
        <v/>
      </c>
      <c r="U3521">
        <f>TRIM('Cash_Check'!C521)</f>
        <v/>
      </c>
    </row>
    <row r="3522">
      <c r="A3522" s="62">
        <f>IF(H3522="","",IF(ISNUMBER(N3522),N3522,I3522))</f>
        <v/>
      </c>
      <c r="B3522">
        <f>IF(H3522="","",U3522)</f>
        <v/>
      </c>
      <c r="C3522">
        <f>IF(H3522="","",IF(P3522="",K3522,INDEX('Students'!$A$2:$A$701,P3522)))</f>
        <v/>
      </c>
      <c r="D3522">
        <f>IF(OR(H3522="",P3522=""),"",INDEX('Students'!$B$2:$B$701,P3522))</f>
        <v/>
      </c>
      <c r="E3522">
        <f>IF(OR(H3522="",P3522=""),"",INDEX('Students'!$C$2:$C$701,P3522))</f>
        <v/>
      </c>
      <c r="F3522" s="48">
        <f>IF(H3522="","",IF(ISNUMBER(O3522),O3522,J3522))</f>
        <v/>
      </c>
      <c r="G3522">
        <f>IF(H3522="","",M3522)</f>
        <v/>
      </c>
      <c r="H3522">
        <f>IF(AND(I3522="",J3522="",K3522=""),"",IF(OR(NOT(ISNUMBER(O3522)),N(O3522)&lt;=0),"Bad amount",IF(NOT(ISNUMBER(N3522)),"Bad date",IF(P3522="","NAME NOT ON ROSTER","OK"))))</f>
        <v/>
      </c>
      <c r="I3522">
        <f>IF('Cash_Check'!A522="","",'Cash_Check'!A522)</f>
        <v/>
      </c>
      <c r="J3522">
        <f>IF('Cash_Check'!D522="","",'Cash_Check'!D522)</f>
        <v/>
      </c>
      <c r="K3522">
        <f>TRIM('Cash_Check'!B522)</f>
        <v/>
      </c>
      <c r="M3522">
        <f>IF(TRIM('Cash_Check'!E522)="","Cash/check",TRIM('Cash_Check'!E522))</f>
        <v/>
      </c>
      <c r="N3522">
        <f>IF(I3522="","",IF(ISNUMBER(I3522),INT(I3522),IFERROR(INT(DATEVALUE(I3522)),IFERROR(INT(VALUE(I3522)),"bad"))))</f>
        <v/>
      </c>
      <c r="O3522">
        <f>IF(J3522="","",IF(ISNUMBER(J3522),ROUND(J3522,2),IFERROR(ROUND(VALUE(SUBSTITUTE(SUBSTITUTE(SUBSTITUTE(J3522,"$",""),",","")," ","")),2),"bad")))</f>
        <v/>
      </c>
      <c r="P3522">
        <f>IF(K3522="","",IFERROR(MATCH(IF(ISNUMBER(FIND("#",K3522)),TRIM(MID(K3522,FIND("#",K3522)+1,20)),UPPER(K3522)),'Students'!$AD$2:$AD$701,0),""))</f>
        <v/>
      </c>
      <c r="R3522">
        <f>IF(P3522="","",INDEX('Students'!$AD$2:$AD$701,P3522))</f>
        <v/>
      </c>
      <c r="S3522">
        <f>IF(H3522="OK",O3522,0)</f>
        <v/>
      </c>
      <c r="T3522">
        <f>IF(H3522="OK",N3522,"")</f>
        <v/>
      </c>
      <c r="U3522">
        <f>TRIM('Cash_Check'!C522)</f>
        <v/>
      </c>
    </row>
    <row r="3523">
      <c r="A3523" s="62">
        <f>IF(H3523="","",IF(ISNUMBER(N3523),N3523,I3523))</f>
        <v/>
      </c>
      <c r="B3523">
        <f>IF(H3523="","",U3523)</f>
        <v/>
      </c>
      <c r="C3523">
        <f>IF(H3523="","",IF(P3523="",K3523,INDEX('Students'!$A$2:$A$701,P3523)))</f>
        <v/>
      </c>
      <c r="D3523">
        <f>IF(OR(H3523="",P3523=""),"",INDEX('Students'!$B$2:$B$701,P3523))</f>
        <v/>
      </c>
      <c r="E3523">
        <f>IF(OR(H3523="",P3523=""),"",INDEX('Students'!$C$2:$C$701,P3523))</f>
        <v/>
      </c>
      <c r="F3523" s="48">
        <f>IF(H3523="","",IF(ISNUMBER(O3523),O3523,J3523))</f>
        <v/>
      </c>
      <c r="G3523">
        <f>IF(H3523="","",M3523)</f>
        <v/>
      </c>
      <c r="H3523">
        <f>IF(AND(I3523="",J3523="",K3523=""),"",IF(OR(NOT(ISNUMBER(O3523)),N(O3523)&lt;=0),"Bad amount",IF(NOT(ISNUMBER(N3523)),"Bad date",IF(P3523="","NAME NOT ON ROSTER","OK"))))</f>
        <v/>
      </c>
      <c r="I3523">
        <f>IF('Cash_Check'!A523="","",'Cash_Check'!A523)</f>
        <v/>
      </c>
      <c r="J3523">
        <f>IF('Cash_Check'!D523="","",'Cash_Check'!D523)</f>
        <v/>
      </c>
      <c r="K3523">
        <f>TRIM('Cash_Check'!B523)</f>
        <v/>
      </c>
      <c r="M3523">
        <f>IF(TRIM('Cash_Check'!E523)="","Cash/check",TRIM('Cash_Check'!E523))</f>
        <v/>
      </c>
      <c r="N3523">
        <f>IF(I3523="","",IF(ISNUMBER(I3523),INT(I3523),IFERROR(INT(DATEVALUE(I3523)),IFERROR(INT(VALUE(I3523)),"bad"))))</f>
        <v/>
      </c>
      <c r="O3523">
        <f>IF(J3523="","",IF(ISNUMBER(J3523),ROUND(J3523,2),IFERROR(ROUND(VALUE(SUBSTITUTE(SUBSTITUTE(SUBSTITUTE(J3523,"$",""),",","")," ","")),2),"bad")))</f>
        <v/>
      </c>
      <c r="P3523">
        <f>IF(K3523="","",IFERROR(MATCH(IF(ISNUMBER(FIND("#",K3523)),TRIM(MID(K3523,FIND("#",K3523)+1,20)),UPPER(K3523)),'Students'!$AD$2:$AD$701,0),""))</f>
        <v/>
      </c>
      <c r="R3523">
        <f>IF(P3523="","",INDEX('Students'!$AD$2:$AD$701,P3523))</f>
        <v/>
      </c>
      <c r="S3523">
        <f>IF(H3523="OK",O3523,0)</f>
        <v/>
      </c>
      <c r="T3523">
        <f>IF(H3523="OK",N3523,"")</f>
        <v/>
      </c>
      <c r="U3523">
        <f>TRIM('Cash_Check'!C523)</f>
        <v/>
      </c>
    </row>
    <row r="3524">
      <c r="A3524" s="62">
        <f>IF(H3524="","",IF(ISNUMBER(N3524),N3524,I3524))</f>
        <v/>
      </c>
      <c r="B3524">
        <f>IF(H3524="","",U3524)</f>
        <v/>
      </c>
      <c r="C3524">
        <f>IF(H3524="","",IF(P3524="",K3524,INDEX('Students'!$A$2:$A$701,P3524)))</f>
        <v/>
      </c>
      <c r="D3524">
        <f>IF(OR(H3524="",P3524=""),"",INDEX('Students'!$B$2:$B$701,P3524))</f>
        <v/>
      </c>
      <c r="E3524">
        <f>IF(OR(H3524="",P3524=""),"",INDEX('Students'!$C$2:$C$701,P3524))</f>
        <v/>
      </c>
      <c r="F3524" s="48">
        <f>IF(H3524="","",IF(ISNUMBER(O3524),O3524,J3524))</f>
        <v/>
      </c>
      <c r="G3524">
        <f>IF(H3524="","",M3524)</f>
        <v/>
      </c>
      <c r="H3524">
        <f>IF(AND(I3524="",J3524="",K3524=""),"",IF(OR(NOT(ISNUMBER(O3524)),N(O3524)&lt;=0),"Bad amount",IF(NOT(ISNUMBER(N3524)),"Bad date",IF(P3524="","NAME NOT ON ROSTER","OK"))))</f>
        <v/>
      </c>
      <c r="I3524">
        <f>IF('Cash_Check'!A524="","",'Cash_Check'!A524)</f>
        <v/>
      </c>
      <c r="J3524">
        <f>IF('Cash_Check'!D524="","",'Cash_Check'!D524)</f>
        <v/>
      </c>
      <c r="K3524">
        <f>TRIM('Cash_Check'!B524)</f>
        <v/>
      </c>
      <c r="M3524">
        <f>IF(TRIM('Cash_Check'!E524)="","Cash/check",TRIM('Cash_Check'!E524))</f>
        <v/>
      </c>
      <c r="N3524">
        <f>IF(I3524="","",IF(ISNUMBER(I3524),INT(I3524),IFERROR(INT(DATEVALUE(I3524)),IFERROR(INT(VALUE(I3524)),"bad"))))</f>
        <v/>
      </c>
      <c r="O3524">
        <f>IF(J3524="","",IF(ISNUMBER(J3524),ROUND(J3524,2),IFERROR(ROUND(VALUE(SUBSTITUTE(SUBSTITUTE(SUBSTITUTE(J3524,"$",""),",","")," ","")),2),"bad")))</f>
        <v/>
      </c>
      <c r="P3524">
        <f>IF(K3524="","",IFERROR(MATCH(IF(ISNUMBER(FIND("#",K3524)),TRIM(MID(K3524,FIND("#",K3524)+1,20)),UPPER(K3524)),'Students'!$AD$2:$AD$701,0),""))</f>
        <v/>
      </c>
      <c r="R3524">
        <f>IF(P3524="","",INDEX('Students'!$AD$2:$AD$701,P3524))</f>
        <v/>
      </c>
      <c r="S3524">
        <f>IF(H3524="OK",O3524,0)</f>
        <v/>
      </c>
      <c r="T3524">
        <f>IF(H3524="OK",N3524,"")</f>
        <v/>
      </c>
      <c r="U3524">
        <f>TRIM('Cash_Check'!C524)</f>
        <v/>
      </c>
    </row>
    <row r="3525">
      <c r="A3525" s="62">
        <f>IF(H3525="","",IF(ISNUMBER(N3525),N3525,I3525))</f>
        <v/>
      </c>
      <c r="B3525">
        <f>IF(H3525="","",U3525)</f>
        <v/>
      </c>
      <c r="C3525">
        <f>IF(H3525="","",IF(P3525="",K3525,INDEX('Students'!$A$2:$A$701,P3525)))</f>
        <v/>
      </c>
      <c r="D3525">
        <f>IF(OR(H3525="",P3525=""),"",INDEX('Students'!$B$2:$B$701,P3525))</f>
        <v/>
      </c>
      <c r="E3525">
        <f>IF(OR(H3525="",P3525=""),"",INDEX('Students'!$C$2:$C$701,P3525))</f>
        <v/>
      </c>
      <c r="F3525" s="48">
        <f>IF(H3525="","",IF(ISNUMBER(O3525),O3525,J3525))</f>
        <v/>
      </c>
      <c r="G3525">
        <f>IF(H3525="","",M3525)</f>
        <v/>
      </c>
      <c r="H3525">
        <f>IF(AND(I3525="",J3525="",K3525=""),"",IF(OR(NOT(ISNUMBER(O3525)),N(O3525)&lt;=0),"Bad amount",IF(NOT(ISNUMBER(N3525)),"Bad date",IF(P3525="","NAME NOT ON ROSTER","OK"))))</f>
        <v/>
      </c>
      <c r="I3525">
        <f>IF('Cash_Check'!A525="","",'Cash_Check'!A525)</f>
        <v/>
      </c>
      <c r="J3525">
        <f>IF('Cash_Check'!D525="","",'Cash_Check'!D525)</f>
        <v/>
      </c>
      <c r="K3525">
        <f>TRIM('Cash_Check'!B525)</f>
        <v/>
      </c>
      <c r="M3525">
        <f>IF(TRIM('Cash_Check'!E525)="","Cash/check",TRIM('Cash_Check'!E525))</f>
        <v/>
      </c>
      <c r="N3525">
        <f>IF(I3525="","",IF(ISNUMBER(I3525),INT(I3525),IFERROR(INT(DATEVALUE(I3525)),IFERROR(INT(VALUE(I3525)),"bad"))))</f>
        <v/>
      </c>
      <c r="O3525">
        <f>IF(J3525="","",IF(ISNUMBER(J3525),ROUND(J3525,2),IFERROR(ROUND(VALUE(SUBSTITUTE(SUBSTITUTE(SUBSTITUTE(J3525,"$",""),",","")," ","")),2),"bad")))</f>
        <v/>
      </c>
      <c r="P3525">
        <f>IF(K3525="","",IFERROR(MATCH(IF(ISNUMBER(FIND("#",K3525)),TRIM(MID(K3525,FIND("#",K3525)+1,20)),UPPER(K3525)),'Students'!$AD$2:$AD$701,0),""))</f>
        <v/>
      </c>
      <c r="R3525">
        <f>IF(P3525="","",INDEX('Students'!$AD$2:$AD$701,P3525))</f>
        <v/>
      </c>
      <c r="S3525">
        <f>IF(H3525="OK",O3525,0)</f>
        <v/>
      </c>
      <c r="T3525">
        <f>IF(H3525="OK",N3525,"")</f>
        <v/>
      </c>
      <c r="U3525">
        <f>TRIM('Cash_Check'!C525)</f>
        <v/>
      </c>
    </row>
    <row r="3526">
      <c r="A3526" s="62">
        <f>IF(H3526="","",IF(ISNUMBER(N3526),N3526,I3526))</f>
        <v/>
      </c>
      <c r="B3526">
        <f>IF(H3526="","",U3526)</f>
        <v/>
      </c>
      <c r="C3526">
        <f>IF(H3526="","",IF(P3526="",K3526,INDEX('Students'!$A$2:$A$701,P3526)))</f>
        <v/>
      </c>
      <c r="D3526">
        <f>IF(OR(H3526="",P3526=""),"",INDEX('Students'!$B$2:$B$701,P3526))</f>
        <v/>
      </c>
      <c r="E3526">
        <f>IF(OR(H3526="",P3526=""),"",INDEX('Students'!$C$2:$C$701,P3526))</f>
        <v/>
      </c>
      <c r="F3526" s="48">
        <f>IF(H3526="","",IF(ISNUMBER(O3526),O3526,J3526))</f>
        <v/>
      </c>
      <c r="G3526">
        <f>IF(H3526="","",M3526)</f>
        <v/>
      </c>
      <c r="H3526">
        <f>IF(AND(I3526="",J3526="",K3526=""),"",IF(OR(NOT(ISNUMBER(O3526)),N(O3526)&lt;=0),"Bad amount",IF(NOT(ISNUMBER(N3526)),"Bad date",IF(P3526="","NAME NOT ON ROSTER","OK"))))</f>
        <v/>
      </c>
      <c r="I3526">
        <f>IF('Cash_Check'!A526="","",'Cash_Check'!A526)</f>
        <v/>
      </c>
      <c r="J3526">
        <f>IF('Cash_Check'!D526="","",'Cash_Check'!D526)</f>
        <v/>
      </c>
      <c r="K3526">
        <f>TRIM('Cash_Check'!B526)</f>
        <v/>
      </c>
      <c r="M3526">
        <f>IF(TRIM('Cash_Check'!E526)="","Cash/check",TRIM('Cash_Check'!E526))</f>
        <v/>
      </c>
      <c r="N3526">
        <f>IF(I3526="","",IF(ISNUMBER(I3526),INT(I3526),IFERROR(INT(DATEVALUE(I3526)),IFERROR(INT(VALUE(I3526)),"bad"))))</f>
        <v/>
      </c>
      <c r="O3526">
        <f>IF(J3526="","",IF(ISNUMBER(J3526),ROUND(J3526,2),IFERROR(ROUND(VALUE(SUBSTITUTE(SUBSTITUTE(SUBSTITUTE(J3526,"$",""),",","")," ","")),2),"bad")))</f>
        <v/>
      </c>
      <c r="P3526">
        <f>IF(K3526="","",IFERROR(MATCH(IF(ISNUMBER(FIND("#",K3526)),TRIM(MID(K3526,FIND("#",K3526)+1,20)),UPPER(K3526)),'Students'!$AD$2:$AD$701,0),""))</f>
        <v/>
      </c>
      <c r="R3526">
        <f>IF(P3526="","",INDEX('Students'!$AD$2:$AD$701,P3526))</f>
        <v/>
      </c>
      <c r="S3526">
        <f>IF(H3526="OK",O3526,0)</f>
        <v/>
      </c>
      <c r="T3526">
        <f>IF(H3526="OK",N3526,"")</f>
        <v/>
      </c>
      <c r="U3526">
        <f>TRIM('Cash_Check'!C526)</f>
        <v/>
      </c>
    </row>
    <row r="3527">
      <c r="A3527" s="62">
        <f>IF(H3527="","",IF(ISNUMBER(N3527),N3527,I3527))</f>
        <v/>
      </c>
      <c r="B3527">
        <f>IF(H3527="","",U3527)</f>
        <v/>
      </c>
      <c r="C3527">
        <f>IF(H3527="","",IF(P3527="",K3527,INDEX('Students'!$A$2:$A$701,P3527)))</f>
        <v/>
      </c>
      <c r="D3527">
        <f>IF(OR(H3527="",P3527=""),"",INDEX('Students'!$B$2:$B$701,P3527))</f>
        <v/>
      </c>
      <c r="E3527">
        <f>IF(OR(H3527="",P3527=""),"",INDEX('Students'!$C$2:$C$701,P3527))</f>
        <v/>
      </c>
      <c r="F3527" s="48">
        <f>IF(H3527="","",IF(ISNUMBER(O3527),O3527,J3527))</f>
        <v/>
      </c>
      <c r="G3527">
        <f>IF(H3527="","",M3527)</f>
        <v/>
      </c>
      <c r="H3527">
        <f>IF(AND(I3527="",J3527="",K3527=""),"",IF(OR(NOT(ISNUMBER(O3527)),N(O3527)&lt;=0),"Bad amount",IF(NOT(ISNUMBER(N3527)),"Bad date",IF(P3527="","NAME NOT ON ROSTER","OK"))))</f>
        <v/>
      </c>
      <c r="I3527">
        <f>IF('Cash_Check'!A527="","",'Cash_Check'!A527)</f>
        <v/>
      </c>
      <c r="J3527">
        <f>IF('Cash_Check'!D527="","",'Cash_Check'!D527)</f>
        <v/>
      </c>
      <c r="K3527">
        <f>TRIM('Cash_Check'!B527)</f>
        <v/>
      </c>
      <c r="M3527">
        <f>IF(TRIM('Cash_Check'!E527)="","Cash/check",TRIM('Cash_Check'!E527))</f>
        <v/>
      </c>
      <c r="N3527">
        <f>IF(I3527="","",IF(ISNUMBER(I3527),INT(I3527),IFERROR(INT(DATEVALUE(I3527)),IFERROR(INT(VALUE(I3527)),"bad"))))</f>
        <v/>
      </c>
      <c r="O3527">
        <f>IF(J3527="","",IF(ISNUMBER(J3527),ROUND(J3527,2),IFERROR(ROUND(VALUE(SUBSTITUTE(SUBSTITUTE(SUBSTITUTE(J3527,"$",""),",","")," ","")),2),"bad")))</f>
        <v/>
      </c>
      <c r="P3527">
        <f>IF(K3527="","",IFERROR(MATCH(IF(ISNUMBER(FIND("#",K3527)),TRIM(MID(K3527,FIND("#",K3527)+1,20)),UPPER(K3527)),'Students'!$AD$2:$AD$701,0),""))</f>
        <v/>
      </c>
      <c r="R3527">
        <f>IF(P3527="","",INDEX('Students'!$AD$2:$AD$701,P3527))</f>
        <v/>
      </c>
      <c r="S3527">
        <f>IF(H3527="OK",O3527,0)</f>
        <v/>
      </c>
      <c r="T3527">
        <f>IF(H3527="OK",N3527,"")</f>
        <v/>
      </c>
      <c r="U3527">
        <f>TRIM('Cash_Check'!C527)</f>
        <v/>
      </c>
    </row>
    <row r="3528">
      <c r="A3528" s="62">
        <f>IF(H3528="","",IF(ISNUMBER(N3528),N3528,I3528))</f>
        <v/>
      </c>
      <c r="B3528">
        <f>IF(H3528="","",U3528)</f>
        <v/>
      </c>
      <c r="C3528">
        <f>IF(H3528="","",IF(P3528="",K3528,INDEX('Students'!$A$2:$A$701,P3528)))</f>
        <v/>
      </c>
      <c r="D3528">
        <f>IF(OR(H3528="",P3528=""),"",INDEX('Students'!$B$2:$B$701,P3528))</f>
        <v/>
      </c>
      <c r="E3528">
        <f>IF(OR(H3528="",P3528=""),"",INDEX('Students'!$C$2:$C$701,P3528))</f>
        <v/>
      </c>
      <c r="F3528" s="48">
        <f>IF(H3528="","",IF(ISNUMBER(O3528),O3528,J3528))</f>
        <v/>
      </c>
      <c r="G3528">
        <f>IF(H3528="","",M3528)</f>
        <v/>
      </c>
      <c r="H3528">
        <f>IF(AND(I3528="",J3528="",K3528=""),"",IF(OR(NOT(ISNUMBER(O3528)),N(O3528)&lt;=0),"Bad amount",IF(NOT(ISNUMBER(N3528)),"Bad date",IF(P3528="","NAME NOT ON ROSTER","OK"))))</f>
        <v/>
      </c>
      <c r="I3528">
        <f>IF('Cash_Check'!A528="","",'Cash_Check'!A528)</f>
        <v/>
      </c>
      <c r="J3528">
        <f>IF('Cash_Check'!D528="","",'Cash_Check'!D528)</f>
        <v/>
      </c>
      <c r="K3528">
        <f>TRIM('Cash_Check'!B528)</f>
        <v/>
      </c>
      <c r="M3528">
        <f>IF(TRIM('Cash_Check'!E528)="","Cash/check",TRIM('Cash_Check'!E528))</f>
        <v/>
      </c>
      <c r="N3528">
        <f>IF(I3528="","",IF(ISNUMBER(I3528),INT(I3528),IFERROR(INT(DATEVALUE(I3528)),IFERROR(INT(VALUE(I3528)),"bad"))))</f>
        <v/>
      </c>
      <c r="O3528">
        <f>IF(J3528="","",IF(ISNUMBER(J3528),ROUND(J3528,2),IFERROR(ROUND(VALUE(SUBSTITUTE(SUBSTITUTE(SUBSTITUTE(J3528,"$",""),",","")," ","")),2),"bad")))</f>
        <v/>
      </c>
      <c r="P3528">
        <f>IF(K3528="","",IFERROR(MATCH(IF(ISNUMBER(FIND("#",K3528)),TRIM(MID(K3528,FIND("#",K3528)+1,20)),UPPER(K3528)),'Students'!$AD$2:$AD$701,0),""))</f>
        <v/>
      </c>
      <c r="R3528">
        <f>IF(P3528="","",INDEX('Students'!$AD$2:$AD$701,P3528))</f>
        <v/>
      </c>
      <c r="S3528">
        <f>IF(H3528="OK",O3528,0)</f>
        <v/>
      </c>
      <c r="T3528">
        <f>IF(H3528="OK",N3528,"")</f>
        <v/>
      </c>
      <c r="U3528">
        <f>TRIM('Cash_Check'!C528)</f>
        <v/>
      </c>
    </row>
    <row r="3529">
      <c r="A3529" s="62">
        <f>IF(H3529="","",IF(ISNUMBER(N3529),N3529,I3529))</f>
        <v/>
      </c>
      <c r="B3529">
        <f>IF(H3529="","",U3529)</f>
        <v/>
      </c>
      <c r="C3529">
        <f>IF(H3529="","",IF(P3529="",K3529,INDEX('Students'!$A$2:$A$701,P3529)))</f>
        <v/>
      </c>
      <c r="D3529">
        <f>IF(OR(H3529="",P3529=""),"",INDEX('Students'!$B$2:$B$701,P3529))</f>
        <v/>
      </c>
      <c r="E3529">
        <f>IF(OR(H3529="",P3529=""),"",INDEX('Students'!$C$2:$C$701,P3529))</f>
        <v/>
      </c>
      <c r="F3529" s="48">
        <f>IF(H3529="","",IF(ISNUMBER(O3529),O3529,J3529))</f>
        <v/>
      </c>
      <c r="G3529">
        <f>IF(H3529="","",M3529)</f>
        <v/>
      </c>
      <c r="H3529">
        <f>IF(AND(I3529="",J3529="",K3529=""),"",IF(OR(NOT(ISNUMBER(O3529)),N(O3529)&lt;=0),"Bad amount",IF(NOT(ISNUMBER(N3529)),"Bad date",IF(P3529="","NAME NOT ON ROSTER","OK"))))</f>
        <v/>
      </c>
      <c r="I3529">
        <f>IF('Cash_Check'!A529="","",'Cash_Check'!A529)</f>
        <v/>
      </c>
      <c r="J3529">
        <f>IF('Cash_Check'!D529="","",'Cash_Check'!D529)</f>
        <v/>
      </c>
      <c r="K3529">
        <f>TRIM('Cash_Check'!B529)</f>
        <v/>
      </c>
      <c r="M3529">
        <f>IF(TRIM('Cash_Check'!E529)="","Cash/check",TRIM('Cash_Check'!E529))</f>
        <v/>
      </c>
      <c r="N3529">
        <f>IF(I3529="","",IF(ISNUMBER(I3529),INT(I3529),IFERROR(INT(DATEVALUE(I3529)),IFERROR(INT(VALUE(I3529)),"bad"))))</f>
        <v/>
      </c>
      <c r="O3529">
        <f>IF(J3529="","",IF(ISNUMBER(J3529),ROUND(J3529,2),IFERROR(ROUND(VALUE(SUBSTITUTE(SUBSTITUTE(SUBSTITUTE(J3529,"$",""),",","")," ","")),2),"bad")))</f>
        <v/>
      </c>
      <c r="P3529">
        <f>IF(K3529="","",IFERROR(MATCH(IF(ISNUMBER(FIND("#",K3529)),TRIM(MID(K3529,FIND("#",K3529)+1,20)),UPPER(K3529)),'Students'!$AD$2:$AD$701,0),""))</f>
        <v/>
      </c>
      <c r="R3529">
        <f>IF(P3529="","",INDEX('Students'!$AD$2:$AD$701,P3529))</f>
        <v/>
      </c>
      <c r="S3529">
        <f>IF(H3529="OK",O3529,0)</f>
        <v/>
      </c>
      <c r="T3529">
        <f>IF(H3529="OK",N3529,"")</f>
        <v/>
      </c>
      <c r="U3529">
        <f>TRIM('Cash_Check'!C529)</f>
        <v/>
      </c>
    </row>
    <row r="3530">
      <c r="A3530" s="62">
        <f>IF(H3530="","",IF(ISNUMBER(N3530),N3530,I3530))</f>
        <v/>
      </c>
      <c r="B3530">
        <f>IF(H3530="","",U3530)</f>
        <v/>
      </c>
      <c r="C3530">
        <f>IF(H3530="","",IF(P3530="",K3530,INDEX('Students'!$A$2:$A$701,P3530)))</f>
        <v/>
      </c>
      <c r="D3530">
        <f>IF(OR(H3530="",P3530=""),"",INDEX('Students'!$B$2:$B$701,P3530))</f>
        <v/>
      </c>
      <c r="E3530">
        <f>IF(OR(H3530="",P3530=""),"",INDEX('Students'!$C$2:$C$701,P3530))</f>
        <v/>
      </c>
      <c r="F3530" s="48">
        <f>IF(H3530="","",IF(ISNUMBER(O3530),O3530,J3530))</f>
        <v/>
      </c>
      <c r="G3530">
        <f>IF(H3530="","",M3530)</f>
        <v/>
      </c>
      <c r="H3530">
        <f>IF(AND(I3530="",J3530="",K3530=""),"",IF(OR(NOT(ISNUMBER(O3530)),N(O3530)&lt;=0),"Bad amount",IF(NOT(ISNUMBER(N3530)),"Bad date",IF(P3530="","NAME NOT ON ROSTER","OK"))))</f>
        <v/>
      </c>
      <c r="I3530">
        <f>IF('Cash_Check'!A530="","",'Cash_Check'!A530)</f>
        <v/>
      </c>
      <c r="J3530">
        <f>IF('Cash_Check'!D530="","",'Cash_Check'!D530)</f>
        <v/>
      </c>
      <c r="K3530">
        <f>TRIM('Cash_Check'!B530)</f>
        <v/>
      </c>
      <c r="M3530">
        <f>IF(TRIM('Cash_Check'!E530)="","Cash/check",TRIM('Cash_Check'!E530))</f>
        <v/>
      </c>
      <c r="N3530">
        <f>IF(I3530="","",IF(ISNUMBER(I3530),INT(I3530),IFERROR(INT(DATEVALUE(I3530)),IFERROR(INT(VALUE(I3530)),"bad"))))</f>
        <v/>
      </c>
      <c r="O3530">
        <f>IF(J3530="","",IF(ISNUMBER(J3530),ROUND(J3530,2),IFERROR(ROUND(VALUE(SUBSTITUTE(SUBSTITUTE(SUBSTITUTE(J3530,"$",""),",","")," ","")),2),"bad")))</f>
        <v/>
      </c>
      <c r="P3530">
        <f>IF(K3530="","",IFERROR(MATCH(IF(ISNUMBER(FIND("#",K3530)),TRIM(MID(K3530,FIND("#",K3530)+1,20)),UPPER(K3530)),'Students'!$AD$2:$AD$701,0),""))</f>
        <v/>
      </c>
      <c r="R3530">
        <f>IF(P3530="","",INDEX('Students'!$AD$2:$AD$701,P3530))</f>
        <v/>
      </c>
      <c r="S3530">
        <f>IF(H3530="OK",O3530,0)</f>
        <v/>
      </c>
      <c r="T3530">
        <f>IF(H3530="OK",N3530,"")</f>
        <v/>
      </c>
      <c r="U3530">
        <f>TRIM('Cash_Check'!C530)</f>
        <v/>
      </c>
    </row>
    <row r="3531">
      <c r="A3531" s="62">
        <f>IF(H3531="","",IF(ISNUMBER(N3531),N3531,I3531))</f>
        <v/>
      </c>
      <c r="B3531">
        <f>IF(H3531="","",U3531)</f>
        <v/>
      </c>
      <c r="C3531">
        <f>IF(H3531="","",IF(P3531="",K3531,INDEX('Students'!$A$2:$A$701,P3531)))</f>
        <v/>
      </c>
      <c r="D3531">
        <f>IF(OR(H3531="",P3531=""),"",INDEX('Students'!$B$2:$B$701,P3531))</f>
        <v/>
      </c>
      <c r="E3531">
        <f>IF(OR(H3531="",P3531=""),"",INDEX('Students'!$C$2:$C$701,P3531))</f>
        <v/>
      </c>
      <c r="F3531" s="48">
        <f>IF(H3531="","",IF(ISNUMBER(O3531),O3531,J3531))</f>
        <v/>
      </c>
      <c r="G3531">
        <f>IF(H3531="","",M3531)</f>
        <v/>
      </c>
      <c r="H3531">
        <f>IF(AND(I3531="",J3531="",K3531=""),"",IF(OR(NOT(ISNUMBER(O3531)),N(O3531)&lt;=0),"Bad amount",IF(NOT(ISNUMBER(N3531)),"Bad date",IF(P3531="","NAME NOT ON ROSTER","OK"))))</f>
        <v/>
      </c>
      <c r="I3531">
        <f>IF('Cash_Check'!A531="","",'Cash_Check'!A531)</f>
        <v/>
      </c>
      <c r="J3531">
        <f>IF('Cash_Check'!D531="","",'Cash_Check'!D531)</f>
        <v/>
      </c>
      <c r="K3531">
        <f>TRIM('Cash_Check'!B531)</f>
        <v/>
      </c>
      <c r="M3531">
        <f>IF(TRIM('Cash_Check'!E531)="","Cash/check",TRIM('Cash_Check'!E531))</f>
        <v/>
      </c>
      <c r="N3531">
        <f>IF(I3531="","",IF(ISNUMBER(I3531),INT(I3531),IFERROR(INT(DATEVALUE(I3531)),IFERROR(INT(VALUE(I3531)),"bad"))))</f>
        <v/>
      </c>
      <c r="O3531">
        <f>IF(J3531="","",IF(ISNUMBER(J3531),ROUND(J3531,2),IFERROR(ROUND(VALUE(SUBSTITUTE(SUBSTITUTE(SUBSTITUTE(J3531,"$",""),",","")," ","")),2),"bad")))</f>
        <v/>
      </c>
      <c r="P3531">
        <f>IF(K3531="","",IFERROR(MATCH(IF(ISNUMBER(FIND("#",K3531)),TRIM(MID(K3531,FIND("#",K3531)+1,20)),UPPER(K3531)),'Students'!$AD$2:$AD$701,0),""))</f>
        <v/>
      </c>
      <c r="R3531">
        <f>IF(P3531="","",INDEX('Students'!$AD$2:$AD$701,P3531))</f>
        <v/>
      </c>
      <c r="S3531">
        <f>IF(H3531="OK",O3531,0)</f>
        <v/>
      </c>
      <c r="T3531">
        <f>IF(H3531="OK",N3531,"")</f>
        <v/>
      </c>
      <c r="U3531">
        <f>TRIM('Cash_Check'!C531)</f>
        <v/>
      </c>
    </row>
    <row r="3532">
      <c r="A3532" s="62">
        <f>IF(H3532="","",IF(ISNUMBER(N3532),N3532,I3532))</f>
        <v/>
      </c>
      <c r="B3532">
        <f>IF(H3532="","",U3532)</f>
        <v/>
      </c>
      <c r="C3532">
        <f>IF(H3532="","",IF(P3532="",K3532,INDEX('Students'!$A$2:$A$701,P3532)))</f>
        <v/>
      </c>
      <c r="D3532">
        <f>IF(OR(H3532="",P3532=""),"",INDEX('Students'!$B$2:$B$701,P3532))</f>
        <v/>
      </c>
      <c r="E3532">
        <f>IF(OR(H3532="",P3532=""),"",INDEX('Students'!$C$2:$C$701,P3532))</f>
        <v/>
      </c>
      <c r="F3532" s="48">
        <f>IF(H3532="","",IF(ISNUMBER(O3532),O3532,J3532))</f>
        <v/>
      </c>
      <c r="G3532">
        <f>IF(H3532="","",M3532)</f>
        <v/>
      </c>
      <c r="H3532">
        <f>IF(AND(I3532="",J3532="",K3532=""),"",IF(OR(NOT(ISNUMBER(O3532)),N(O3532)&lt;=0),"Bad amount",IF(NOT(ISNUMBER(N3532)),"Bad date",IF(P3532="","NAME NOT ON ROSTER","OK"))))</f>
        <v/>
      </c>
      <c r="I3532">
        <f>IF('Cash_Check'!A532="","",'Cash_Check'!A532)</f>
        <v/>
      </c>
      <c r="J3532">
        <f>IF('Cash_Check'!D532="","",'Cash_Check'!D532)</f>
        <v/>
      </c>
      <c r="K3532">
        <f>TRIM('Cash_Check'!B532)</f>
        <v/>
      </c>
      <c r="M3532">
        <f>IF(TRIM('Cash_Check'!E532)="","Cash/check",TRIM('Cash_Check'!E532))</f>
        <v/>
      </c>
      <c r="N3532">
        <f>IF(I3532="","",IF(ISNUMBER(I3532),INT(I3532),IFERROR(INT(DATEVALUE(I3532)),IFERROR(INT(VALUE(I3532)),"bad"))))</f>
        <v/>
      </c>
      <c r="O3532">
        <f>IF(J3532="","",IF(ISNUMBER(J3532),ROUND(J3532,2),IFERROR(ROUND(VALUE(SUBSTITUTE(SUBSTITUTE(SUBSTITUTE(J3532,"$",""),",","")," ","")),2),"bad")))</f>
        <v/>
      </c>
      <c r="P3532">
        <f>IF(K3532="","",IFERROR(MATCH(IF(ISNUMBER(FIND("#",K3532)),TRIM(MID(K3532,FIND("#",K3532)+1,20)),UPPER(K3532)),'Students'!$AD$2:$AD$701,0),""))</f>
        <v/>
      </c>
      <c r="R3532">
        <f>IF(P3532="","",INDEX('Students'!$AD$2:$AD$701,P3532))</f>
        <v/>
      </c>
      <c r="S3532">
        <f>IF(H3532="OK",O3532,0)</f>
        <v/>
      </c>
      <c r="T3532">
        <f>IF(H3532="OK",N3532,"")</f>
        <v/>
      </c>
      <c r="U3532">
        <f>TRIM('Cash_Check'!C532)</f>
        <v/>
      </c>
    </row>
    <row r="3533">
      <c r="A3533" s="62">
        <f>IF(H3533="","",IF(ISNUMBER(N3533),N3533,I3533))</f>
        <v/>
      </c>
      <c r="B3533">
        <f>IF(H3533="","",U3533)</f>
        <v/>
      </c>
      <c r="C3533">
        <f>IF(H3533="","",IF(P3533="",K3533,INDEX('Students'!$A$2:$A$701,P3533)))</f>
        <v/>
      </c>
      <c r="D3533">
        <f>IF(OR(H3533="",P3533=""),"",INDEX('Students'!$B$2:$B$701,P3533))</f>
        <v/>
      </c>
      <c r="E3533">
        <f>IF(OR(H3533="",P3533=""),"",INDEX('Students'!$C$2:$C$701,P3533))</f>
        <v/>
      </c>
      <c r="F3533" s="48">
        <f>IF(H3533="","",IF(ISNUMBER(O3533),O3533,J3533))</f>
        <v/>
      </c>
      <c r="G3533">
        <f>IF(H3533="","",M3533)</f>
        <v/>
      </c>
      <c r="H3533">
        <f>IF(AND(I3533="",J3533="",K3533=""),"",IF(OR(NOT(ISNUMBER(O3533)),N(O3533)&lt;=0),"Bad amount",IF(NOT(ISNUMBER(N3533)),"Bad date",IF(P3533="","NAME NOT ON ROSTER","OK"))))</f>
        <v/>
      </c>
      <c r="I3533">
        <f>IF('Cash_Check'!A533="","",'Cash_Check'!A533)</f>
        <v/>
      </c>
      <c r="J3533">
        <f>IF('Cash_Check'!D533="","",'Cash_Check'!D533)</f>
        <v/>
      </c>
      <c r="K3533">
        <f>TRIM('Cash_Check'!B533)</f>
        <v/>
      </c>
      <c r="M3533">
        <f>IF(TRIM('Cash_Check'!E533)="","Cash/check",TRIM('Cash_Check'!E533))</f>
        <v/>
      </c>
      <c r="N3533">
        <f>IF(I3533="","",IF(ISNUMBER(I3533),INT(I3533),IFERROR(INT(DATEVALUE(I3533)),IFERROR(INT(VALUE(I3533)),"bad"))))</f>
        <v/>
      </c>
      <c r="O3533">
        <f>IF(J3533="","",IF(ISNUMBER(J3533),ROUND(J3533,2),IFERROR(ROUND(VALUE(SUBSTITUTE(SUBSTITUTE(SUBSTITUTE(J3533,"$",""),",","")," ","")),2),"bad")))</f>
        <v/>
      </c>
      <c r="P3533">
        <f>IF(K3533="","",IFERROR(MATCH(IF(ISNUMBER(FIND("#",K3533)),TRIM(MID(K3533,FIND("#",K3533)+1,20)),UPPER(K3533)),'Students'!$AD$2:$AD$701,0),""))</f>
        <v/>
      </c>
      <c r="R3533">
        <f>IF(P3533="","",INDEX('Students'!$AD$2:$AD$701,P3533))</f>
        <v/>
      </c>
      <c r="S3533">
        <f>IF(H3533="OK",O3533,0)</f>
        <v/>
      </c>
      <c r="T3533">
        <f>IF(H3533="OK",N3533,"")</f>
        <v/>
      </c>
      <c r="U3533">
        <f>TRIM('Cash_Check'!C533)</f>
        <v/>
      </c>
    </row>
    <row r="3534">
      <c r="A3534" s="62">
        <f>IF(H3534="","",IF(ISNUMBER(N3534),N3534,I3534))</f>
        <v/>
      </c>
      <c r="B3534">
        <f>IF(H3534="","",U3534)</f>
        <v/>
      </c>
      <c r="C3534">
        <f>IF(H3534="","",IF(P3534="",K3534,INDEX('Students'!$A$2:$A$701,P3534)))</f>
        <v/>
      </c>
      <c r="D3534">
        <f>IF(OR(H3534="",P3534=""),"",INDEX('Students'!$B$2:$B$701,P3534))</f>
        <v/>
      </c>
      <c r="E3534">
        <f>IF(OR(H3534="",P3534=""),"",INDEX('Students'!$C$2:$C$701,P3534))</f>
        <v/>
      </c>
      <c r="F3534" s="48">
        <f>IF(H3534="","",IF(ISNUMBER(O3534),O3534,J3534))</f>
        <v/>
      </c>
      <c r="G3534">
        <f>IF(H3534="","",M3534)</f>
        <v/>
      </c>
      <c r="H3534">
        <f>IF(AND(I3534="",J3534="",K3534=""),"",IF(OR(NOT(ISNUMBER(O3534)),N(O3534)&lt;=0),"Bad amount",IF(NOT(ISNUMBER(N3534)),"Bad date",IF(P3534="","NAME NOT ON ROSTER","OK"))))</f>
        <v/>
      </c>
      <c r="I3534">
        <f>IF('Cash_Check'!A534="","",'Cash_Check'!A534)</f>
        <v/>
      </c>
      <c r="J3534">
        <f>IF('Cash_Check'!D534="","",'Cash_Check'!D534)</f>
        <v/>
      </c>
      <c r="K3534">
        <f>TRIM('Cash_Check'!B534)</f>
        <v/>
      </c>
      <c r="M3534">
        <f>IF(TRIM('Cash_Check'!E534)="","Cash/check",TRIM('Cash_Check'!E534))</f>
        <v/>
      </c>
      <c r="N3534">
        <f>IF(I3534="","",IF(ISNUMBER(I3534),INT(I3534),IFERROR(INT(DATEVALUE(I3534)),IFERROR(INT(VALUE(I3534)),"bad"))))</f>
        <v/>
      </c>
      <c r="O3534">
        <f>IF(J3534="","",IF(ISNUMBER(J3534),ROUND(J3534,2),IFERROR(ROUND(VALUE(SUBSTITUTE(SUBSTITUTE(SUBSTITUTE(J3534,"$",""),",","")," ","")),2),"bad")))</f>
        <v/>
      </c>
      <c r="P3534">
        <f>IF(K3534="","",IFERROR(MATCH(IF(ISNUMBER(FIND("#",K3534)),TRIM(MID(K3534,FIND("#",K3534)+1,20)),UPPER(K3534)),'Students'!$AD$2:$AD$701,0),""))</f>
        <v/>
      </c>
      <c r="R3534">
        <f>IF(P3534="","",INDEX('Students'!$AD$2:$AD$701,P3534))</f>
        <v/>
      </c>
      <c r="S3534">
        <f>IF(H3534="OK",O3534,0)</f>
        <v/>
      </c>
      <c r="T3534">
        <f>IF(H3534="OK",N3534,"")</f>
        <v/>
      </c>
      <c r="U3534">
        <f>TRIM('Cash_Check'!C534)</f>
        <v/>
      </c>
    </row>
    <row r="3535">
      <c r="A3535" s="62">
        <f>IF(H3535="","",IF(ISNUMBER(N3535),N3535,I3535))</f>
        <v/>
      </c>
      <c r="B3535">
        <f>IF(H3535="","",U3535)</f>
        <v/>
      </c>
      <c r="C3535">
        <f>IF(H3535="","",IF(P3535="",K3535,INDEX('Students'!$A$2:$A$701,P3535)))</f>
        <v/>
      </c>
      <c r="D3535">
        <f>IF(OR(H3535="",P3535=""),"",INDEX('Students'!$B$2:$B$701,P3535))</f>
        <v/>
      </c>
      <c r="E3535">
        <f>IF(OR(H3535="",P3535=""),"",INDEX('Students'!$C$2:$C$701,P3535))</f>
        <v/>
      </c>
      <c r="F3535" s="48">
        <f>IF(H3535="","",IF(ISNUMBER(O3535),O3535,J3535))</f>
        <v/>
      </c>
      <c r="G3535">
        <f>IF(H3535="","",M3535)</f>
        <v/>
      </c>
      <c r="H3535">
        <f>IF(AND(I3535="",J3535="",K3535=""),"",IF(OR(NOT(ISNUMBER(O3535)),N(O3535)&lt;=0),"Bad amount",IF(NOT(ISNUMBER(N3535)),"Bad date",IF(P3535="","NAME NOT ON ROSTER","OK"))))</f>
        <v/>
      </c>
      <c r="I3535">
        <f>IF('Cash_Check'!A535="","",'Cash_Check'!A535)</f>
        <v/>
      </c>
      <c r="J3535">
        <f>IF('Cash_Check'!D535="","",'Cash_Check'!D535)</f>
        <v/>
      </c>
      <c r="K3535">
        <f>TRIM('Cash_Check'!B535)</f>
        <v/>
      </c>
      <c r="M3535">
        <f>IF(TRIM('Cash_Check'!E535)="","Cash/check",TRIM('Cash_Check'!E535))</f>
        <v/>
      </c>
      <c r="N3535">
        <f>IF(I3535="","",IF(ISNUMBER(I3535),INT(I3535),IFERROR(INT(DATEVALUE(I3535)),IFERROR(INT(VALUE(I3535)),"bad"))))</f>
        <v/>
      </c>
      <c r="O3535">
        <f>IF(J3535="","",IF(ISNUMBER(J3535),ROUND(J3535,2),IFERROR(ROUND(VALUE(SUBSTITUTE(SUBSTITUTE(SUBSTITUTE(J3535,"$",""),",","")," ","")),2),"bad")))</f>
        <v/>
      </c>
      <c r="P3535">
        <f>IF(K3535="","",IFERROR(MATCH(IF(ISNUMBER(FIND("#",K3535)),TRIM(MID(K3535,FIND("#",K3535)+1,20)),UPPER(K3535)),'Students'!$AD$2:$AD$701,0),""))</f>
        <v/>
      </c>
      <c r="R3535">
        <f>IF(P3535="","",INDEX('Students'!$AD$2:$AD$701,P3535))</f>
        <v/>
      </c>
      <c r="S3535">
        <f>IF(H3535="OK",O3535,0)</f>
        <v/>
      </c>
      <c r="T3535">
        <f>IF(H3535="OK",N3535,"")</f>
        <v/>
      </c>
      <c r="U3535">
        <f>TRIM('Cash_Check'!C535)</f>
        <v/>
      </c>
    </row>
    <row r="3536">
      <c r="A3536" s="62">
        <f>IF(H3536="","",IF(ISNUMBER(N3536),N3536,I3536))</f>
        <v/>
      </c>
      <c r="B3536">
        <f>IF(H3536="","",U3536)</f>
        <v/>
      </c>
      <c r="C3536">
        <f>IF(H3536="","",IF(P3536="",K3536,INDEX('Students'!$A$2:$A$701,P3536)))</f>
        <v/>
      </c>
      <c r="D3536">
        <f>IF(OR(H3536="",P3536=""),"",INDEX('Students'!$B$2:$B$701,P3536))</f>
        <v/>
      </c>
      <c r="E3536">
        <f>IF(OR(H3536="",P3536=""),"",INDEX('Students'!$C$2:$C$701,P3536))</f>
        <v/>
      </c>
      <c r="F3536" s="48">
        <f>IF(H3536="","",IF(ISNUMBER(O3536),O3536,J3536))</f>
        <v/>
      </c>
      <c r="G3536">
        <f>IF(H3536="","",M3536)</f>
        <v/>
      </c>
      <c r="H3536">
        <f>IF(AND(I3536="",J3536="",K3536=""),"",IF(OR(NOT(ISNUMBER(O3536)),N(O3536)&lt;=0),"Bad amount",IF(NOT(ISNUMBER(N3536)),"Bad date",IF(P3536="","NAME NOT ON ROSTER","OK"))))</f>
        <v/>
      </c>
      <c r="I3536">
        <f>IF('Cash_Check'!A536="","",'Cash_Check'!A536)</f>
        <v/>
      </c>
      <c r="J3536">
        <f>IF('Cash_Check'!D536="","",'Cash_Check'!D536)</f>
        <v/>
      </c>
      <c r="K3536">
        <f>TRIM('Cash_Check'!B536)</f>
        <v/>
      </c>
      <c r="M3536">
        <f>IF(TRIM('Cash_Check'!E536)="","Cash/check",TRIM('Cash_Check'!E536))</f>
        <v/>
      </c>
      <c r="N3536">
        <f>IF(I3536="","",IF(ISNUMBER(I3536),INT(I3536),IFERROR(INT(DATEVALUE(I3536)),IFERROR(INT(VALUE(I3536)),"bad"))))</f>
        <v/>
      </c>
      <c r="O3536">
        <f>IF(J3536="","",IF(ISNUMBER(J3536),ROUND(J3536,2),IFERROR(ROUND(VALUE(SUBSTITUTE(SUBSTITUTE(SUBSTITUTE(J3536,"$",""),",","")," ","")),2),"bad")))</f>
        <v/>
      </c>
      <c r="P3536">
        <f>IF(K3536="","",IFERROR(MATCH(IF(ISNUMBER(FIND("#",K3536)),TRIM(MID(K3536,FIND("#",K3536)+1,20)),UPPER(K3536)),'Students'!$AD$2:$AD$701,0),""))</f>
        <v/>
      </c>
      <c r="R3536">
        <f>IF(P3536="","",INDEX('Students'!$AD$2:$AD$701,P3536))</f>
        <v/>
      </c>
      <c r="S3536">
        <f>IF(H3536="OK",O3536,0)</f>
        <v/>
      </c>
      <c r="T3536">
        <f>IF(H3536="OK",N3536,"")</f>
        <v/>
      </c>
      <c r="U3536">
        <f>TRIM('Cash_Check'!C536)</f>
        <v/>
      </c>
    </row>
    <row r="3537">
      <c r="A3537" s="62">
        <f>IF(H3537="","",IF(ISNUMBER(N3537),N3537,I3537))</f>
        <v/>
      </c>
      <c r="B3537">
        <f>IF(H3537="","",U3537)</f>
        <v/>
      </c>
      <c r="C3537">
        <f>IF(H3537="","",IF(P3537="",K3537,INDEX('Students'!$A$2:$A$701,P3537)))</f>
        <v/>
      </c>
      <c r="D3537">
        <f>IF(OR(H3537="",P3537=""),"",INDEX('Students'!$B$2:$B$701,P3537))</f>
        <v/>
      </c>
      <c r="E3537">
        <f>IF(OR(H3537="",P3537=""),"",INDEX('Students'!$C$2:$C$701,P3537))</f>
        <v/>
      </c>
      <c r="F3537" s="48">
        <f>IF(H3537="","",IF(ISNUMBER(O3537),O3537,J3537))</f>
        <v/>
      </c>
      <c r="G3537">
        <f>IF(H3537="","",M3537)</f>
        <v/>
      </c>
      <c r="H3537">
        <f>IF(AND(I3537="",J3537="",K3537=""),"",IF(OR(NOT(ISNUMBER(O3537)),N(O3537)&lt;=0),"Bad amount",IF(NOT(ISNUMBER(N3537)),"Bad date",IF(P3537="","NAME NOT ON ROSTER","OK"))))</f>
        <v/>
      </c>
      <c r="I3537">
        <f>IF('Cash_Check'!A537="","",'Cash_Check'!A537)</f>
        <v/>
      </c>
      <c r="J3537">
        <f>IF('Cash_Check'!D537="","",'Cash_Check'!D537)</f>
        <v/>
      </c>
      <c r="K3537">
        <f>TRIM('Cash_Check'!B537)</f>
        <v/>
      </c>
      <c r="M3537">
        <f>IF(TRIM('Cash_Check'!E537)="","Cash/check",TRIM('Cash_Check'!E537))</f>
        <v/>
      </c>
      <c r="N3537">
        <f>IF(I3537="","",IF(ISNUMBER(I3537),INT(I3537),IFERROR(INT(DATEVALUE(I3537)),IFERROR(INT(VALUE(I3537)),"bad"))))</f>
        <v/>
      </c>
      <c r="O3537">
        <f>IF(J3537="","",IF(ISNUMBER(J3537),ROUND(J3537,2),IFERROR(ROUND(VALUE(SUBSTITUTE(SUBSTITUTE(SUBSTITUTE(J3537,"$",""),",","")," ","")),2),"bad")))</f>
        <v/>
      </c>
      <c r="P3537">
        <f>IF(K3537="","",IFERROR(MATCH(IF(ISNUMBER(FIND("#",K3537)),TRIM(MID(K3537,FIND("#",K3537)+1,20)),UPPER(K3537)),'Students'!$AD$2:$AD$701,0),""))</f>
        <v/>
      </c>
      <c r="R3537">
        <f>IF(P3537="","",INDEX('Students'!$AD$2:$AD$701,P3537))</f>
        <v/>
      </c>
      <c r="S3537">
        <f>IF(H3537="OK",O3537,0)</f>
        <v/>
      </c>
      <c r="T3537">
        <f>IF(H3537="OK",N3537,"")</f>
        <v/>
      </c>
      <c r="U3537">
        <f>TRIM('Cash_Check'!C537)</f>
        <v/>
      </c>
    </row>
    <row r="3538">
      <c r="A3538" s="62">
        <f>IF(H3538="","",IF(ISNUMBER(N3538),N3538,I3538))</f>
        <v/>
      </c>
      <c r="B3538">
        <f>IF(H3538="","",U3538)</f>
        <v/>
      </c>
      <c r="C3538">
        <f>IF(H3538="","",IF(P3538="",K3538,INDEX('Students'!$A$2:$A$701,P3538)))</f>
        <v/>
      </c>
      <c r="D3538">
        <f>IF(OR(H3538="",P3538=""),"",INDEX('Students'!$B$2:$B$701,P3538))</f>
        <v/>
      </c>
      <c r="E3538">
        <f>IF(OR(H3538="",P3538=""),"",INDEX('Students'!$C$2:$C$701,P3538))</f>
        <v/>
      </c>
      <c r="F3538" s="48">
        <f>IF(H3538="","",IF(ISNUMBER(O3538),O3538,J3538))</f>
        <v/>
      </c>
      <c r="G3538">
        <f>IF(H3538="","",M3538)</f>
        <v/>
      </c>
      <c r="H3538">
        <f>IF(AND(I3538="",J3538="",K3538=""),"",IF(OR(NOT(ISNUMBER(O3538)),N(O3538)&lt;=0),"Bad amount",IF(NOT(ISNUMBER(N3538)),"Bad date",IF(P3538="","NAME NOT ON ROSTER","OK"))))</f>
        <v/>
      </c>
      <c r="I3538">
        <f>IF('Cash_Check'!A538="","",'Cash_Check'!A538)</f>
        <v/>
      </c>
      <c r="J3538">
        <f>IF('Cash_Check'!D538="","",'Cash_Check'!D538)</f>
        <v/>
      </c>
      <c r="K3538">
        <f>TRIM('Cash_Check'!B538)</f>
        <v/>
      </c>
      <c r="M3538">
        <f>IF(TRIM('Cash_Check'!E538)="","Cash/check",TRIM('Cash_Check'!E538))</f>
        <v/>
      </c>
      <c r="N3538">
        <f>IF(I3538="","",IF(ISNUMBER(I3538),INT(I3538),IFERROR(INT(DATEVALUE(I3538)),IFERROR(INT(VALUE(I3538)),"bad"))))</f>
        <v/>
      </c>
      <c r="O3538">
        <f>IF(J3538="","",IF(ISNUMBER(J3538),ROUND(J3538,2),IFERROR(ROUND(VALUE(SUBSTITUTE(SUBSTITUTE(SUBSTITUTE(J3538,"$",""),",","")," ","")),2),"bad")))</f>
        <v/>
      </c>
      <c r="P3538">
        <f>IF(K3538="","",IFERROR(MATCH(IF(ISNUMBER(FIND("#",K3538)),TRIM(MID(K3538,FIND("#",K3538)+1,20)),UPPER(K3538)),'Students'!$AD$2:$AD$701,0),""))</f>
        <v/>
      </c>
      <c r="R3538">
        <f>IF(P3538="","",INDEX('Students'!$AD$2:$AD$701,P3538))</f>
        <v/>
      </c>
      <c r="S3538">
        <f>IF(H3538="OK",O3538,0)</f>
        <v/>
      </c>
      <c r="T3538">
        <f>IF(H3538="OK",N3538,"")</f>
        <v/>
      </c>
      <c r="U3538">
        <f>TRIM('Cash_Check'!C538)</f>
        <v/>
      </c>
    </row>
    <row r="3539">
      <c r="A3539" s="62">
        <f>IF(H3539="","",IF(ISNUMBER(N3539),N3539,I3539))</f>
        <v/>
      </c>
      <c r="B3539">
        <f>IF(H3539="","",U3539)</f>
        <v/>
      </c>
      <c r="C3539">
        <f>IF(H3539="","",IF(P3539="",K3539,INDEX('Students'!$A$2:$A$701,P3539)))</f>
        <v/>
      </c>
      <c r="D3539">
        <f>IF(OR(H3539="",P3539=""),"",INDEX('Students'!$B$2:$B$701,P3539))</f>
        <v/>
      </c>
      <c r="E3539">
        <f>IF(OR(H3539="",P3539=""),"",INDEX('Students'!$C$2:$C$701,P3539))</f>
        <v/>
      </c>
      <c r="F3539" s="48">
        <f>IF(H3539="","",IF(ISNUMBER(O3539),O3539,J3539))</f>
        <v/>
      </c>
      <c r="G3539">
        <f>IF(H3539="","",M3539)</f>
        <v/>
      </c>
      <c r="H3539">
        <f>IF(AND(I3539="",J3539="",K3539=""),"",IF(OR(NOT(ISNUMBER(O3539)),N(O3539)&lt;=0),"Bad amount",IF(NOT(ISNUMBER(N3539)),"Bad date",IF(P3539="","NAME NOT ON ROSTER","OK"))))</f>
        <v/>
      </c>
      <c r="I3539">
        <f>IF('Cash_Check'!A539="","",'Cash_Check'!A539)</f>
        <v/>
      </c>
      <c r="J3539">
        <f>IF('Cash_Check'!D539="","",'Cash_Check'!D539)</f>
        <v/>
      </c>
      <c r="K3539">
        <f>TRIM('Cash_Check'!B539)</f>
        <v/>
      </c>
      <c r="M3539">
        <f>IF(TRIM('Cash_Check'!E539)="","Cash/check",TRIM('Cash_Check'!E539))</f>
        <v/>
      </c>
      <c r="N3539">
        <f>IF(I3539="","",IF(ISNUMBER(I3539),INT(I3539),IFERROR(INT(DATEVALUE(I3539)),IFERROR(INT(VALUE(I3539)),"bad"))))</f>
        <v/>
      </c>
      <c r="O3539">
        <f>IF(J3539="","",IF(ISNUMBER(J3539),ROUND(J3539,2),IFERROR(ROUND(VALUE(SUBSTITUTE(SUBSTITUTE(SUBSTITUTE(J3539,"$",""),",","")," ","")),2),"bad")))</f>
        <v/>
      </c>
      <c r="P3539">
        <f>IF(K3539="","",IFERROR(MATCH(IF(ISNUMBER(FIND("#",K3539)),TRIM(MID(K3539,FIND("#",K3539)+1,20)),UPPER(K3539)),'Students'!$AD$2:$AD$701,0),""))</f>
        <v/>
      </c>
      <c r="R3539">
        <f>IF(P3539="","",INDEX('Students'!$AD$2:$AD$701,P3539))</f>
        <v/>
      </c>
      <c r="S3539">
        <f>IF(H3539="OK",O3539,0)</f>
        <v/>
      </c>
      <c r="T3539">
        <f>IF(H3539="OK",N3539,"")</f>
        <v/>
      </c>
      <c r="U3539">
        <f>TRIM('Cash_Check'!C539)</f>
        <v/>
      </c>
    </row>
    <row r="3540">
      <c r="A3540" s="62">
        <f>IF(H3540="","",IF(ISNUMBER(N3540),N3540,I3540))</f>
        <v/>
      </c>
      <c r="B3540">
        <f>IF(H3540="","",U3540)</f>
        <v/>
      </c>
      <c r="C3540">
        <f>IF(H3540="","",IF(P3540="",K3540,INDEX('Students'!$A$2:$A$701,P3540)))</f>
        <v/>
      </c>
      <c r="D3540">
        <f>IF(OR(H3540="",P3540=""),"",INDEX('Students'!$B$2:$B$701,P3540))</f>
        <v/>
      </c>
      <c r="E3540">
        <f>IF(OR(H3540="",P3540=""),"",INDEX('Students'!$C$2:$C$701,P3540))</f>
        <v/>
      </c>
      <c r="F3540" s="48">
        <f>IF(H3540="","",IF(ISNUMBER(O3540),O3540,J3540))</f>
        <v/>
      </c>
      <c r="G3540">
        <f>IF(H3540="","",M3540)</f>
        <v/>
      </c>
      <c r="H3540">
        <f>IF(AND(I3540="",J3540="",K3540=""),"",IF(OR(NOT(ISNUMBER(O3540)),N(O3540)&lt;=0),"Bad amount",IF(NOT(ISNUMBER(N3540)),"Bad date",IF(P3540="","NAME NOT ON ROSTER","OK"))))</f>
        <v/>
      </c>
      <c r="I3540">
        <f>IF('Cash_Check'!A540="","",'Cash_Check'!A540)</f>
        <v/>
      </c>
      <c r="J3540">
        <f>IF('Cash_Check'!D540="","",'Cash_Check'!D540)</f>
        <v/>
      </c>
      <c r="K3540">
        <f>TRIM('Cash_Check'!B540)</f>
        <v/>
      </c>
      <c r="M3540">
        <f>IF(TRIM('Cash_Check'!E540)="","Cash/check",TRIM('Cash_Check'!E540))</f>
        <v/>
      </c>
      <c r="N3540">
        <f>IF(I3540="","",IF(ISNUMBER(I3540),INT(I3540),IFERROR(INT(DATEVALUE(I3540)),IFERROR(INT(VALUE(I3540)),"bad"))))</f>
        <v/>
      </c>
      <c r="O3540">
        <f>IF(J3540="","",IF(ISNUMBER(J3540),ROUND(J3540,2),IFERROR(ROUND(VALUE(SUBSTITUTE(SUBSTITUTE(SUBSTITUTE(J3540,"$",""),",","")," ","")),2),"bad")))</f>
        <v/>
      </c>
      <c r="P3540">
        <f>IF(K3540="","",IFERROR(MATCH(IF(ISNUMBER(FIND("#",K3540)),TRIM(MID(K3540,FIND("#",K3540)+1,20)),UPPER(K3540)),'Students'!$AD$2:$AD$701,0),""))</f>
        <v/>
      </c>
      <c r="R3540">
        <f>IF(P3540="","",INDEX('Students'!$AD$2:$AD$701,P3540))</f>
        <v/>
      </c>
      <c r="S3540">
        <f>IF(H3540="OK",O3540,0)</f>
        <v/>
      </c>
      <c r="T3540">
        <f>IF(H3540="OK",N3540,"")</f>
        <v/>
      </c>
      <c r="U3540">
        <f>TRIM('Cash_Check'!C540)</f>
        <v/>
      </c>
    </row>
    <row r="3541">
      <c r="A3541" s="62">
        <f>IF(H3541="","",IF(ISNUMBER(N3541),N3541,I3541))</f>
        <v/>
      </c>
      <c r="B3541">
        <f>IF(H3541="","",U3541)</f>
        <v/>
      </c>
      <c r="C3541">
        <f>IF(H3541="","",IF(P3541="",K3541,INDEX('Students'!$A$2:$A$701,P3541)))</f>
        <v/>
      </c>
      <c r="D3541">
        <f>IF(OR(H3541="",P3541=""),"",INDEX('Students'!$B$2:$B$701,P3541))</f>
        <v/>
      </c>
      <c r="E3541">
        <f>IF(OR(H3541="",P3541=""),"",INDEX('Students'!$C$2:$C$701,P3541))</f>
        <v/>
      </c>
      <c r="F3541" s="48">
        <f>IF(H3541="","",IF(ISNUMBER(O3541),O3541,J3541))</f>
        <v/>
      </c>
      <c r="G3541">
        <f>IF(H3541="","",M3541)</f>
        <v/>
      </c>
      <c r="H3541">
        <f>IF(AND(I3541="",J3541="",K3541=""),"",IF(OR(NOT(ISNUMBER(O3541)),N(O3541)&lt;=0),"Bad amount",IF(NOT(ISNUMBER(N3541)),"Bad date",IF(P3541="","NAME NOT ON ROSTER","OK"))))</f>
        <v/>
      </c>
      <c r="I3541">
        <f>IF('Cash_Check'!A541="","",'Cash_Check'!A541)</f>
        <v/>
      </c>
      <c r="J3541">
        <f>IF('Cash_Check'!D541="","",'Cash_Check'!D541)</f>
        <v/>
      </c>
      <c r="K3541">
        <f>TRIM('Cash_Check'!B541)</f>
        <v/>
      </c>
      <c r="M3541">
        <f>IF(TRIM('Cash_Check'!E541)="","Cash/check",TRIM('Cash_Check'!E541))</f>
        <v/>
      </c>
      <c r="N3541">
        <f>IF(I3541="","",IF(ISNUMBER(I3541),INT(I3541),IFERROR(INT(DATEVALUE(I3541)),IFERROR(INT(VALUE(I3541)),"bad"))))</f>
        <v/>
      </c>
      <c r="O3541">
        <f>IF(J3541="","",IF(ISNUMBER(J3541),ROUND(J3541,2),IFERROR(ROUND(VALUE(SUBSTITUTE(SUBSTITUTE(SUBSTITUTE(J3541,"$",""),",","")," ","")),2),"bad")))</f>
        <v/>
      </c>
      <c r="P3541">
        <f>IF(K3541="","",IFERROR(MATCH(IF(ISNUMBER(FIND("#",K3541)),TRIM(MID(K3541,FIND("#",K3541)+1,20)),UPPER(K3541)),'Students'!$AD$2:$AD$701,0),""))</f>
        <v/>
      </c>
      <c r="R3541">
        <f>IF(P3541="","",INDEX('Students'!$AD$2:$AD$701,P3541))</f>
        <v/>
      </c>
      <c r="S3541">
        <f>IF(H3541="OK",O3541,0)</f>
        <v/>
      </c>
      <c r="T3541">
        <f>IF(H3541="OK",N3541,"")</f>
        <v/>
      </c>
      <c r="U3541">
        <f>TRIM('Cash_Check'!C541)</f>
        <v/>
      </c>
    </row>
    <row r="3542">
      <c r="A3542" s="62">
        <f>IF(H3542="","",IF(ISNUMBER(N3542),N3542,I3542))</f>
        <v/>
      </c>
      <c r="B3542">
        <f>IF(H3542="","",U3542)</f>
        <v/>
      </c>
      <c r="C3542">
        <f>IF(H3542="","",IF(P3542="",K3542,INDEX('Students'!$A$2:$A$701,P3542)))</f>
        <v/>
      </c>
      <c r="D3542">
        <f>IF(OR(H3542="",P3542=""),"",INDEX('Students'!$B$2:$B$701,P3542))</f>
        <v/>
      </c>
      <c r="E3542">
        <f>IF(OR(H3542="",P3542=""),"",INDEX('Students'!$C$2:$C$701,P3542))</f>
        <v/>
      </c>
      <c r="F3542" s="48">
        <f>IF(H3542="","",IF(ISNUMBER(O3542),O3542,J3542))</f>
        <v/>
      </c>
      <c r="G3542">
        <f>IF(H3542="","",M3542)</f>
        <v/>
      </c>
      <c r="H3542">
        <f>IF(AND(I3542="",J3542="",K3542=""),"",IF(OR(NOT(ISNUMBER(O3542)),N(O3542)&lt;=0),"Bad amount",IF(NOT(ISNUMBER(N3542)),"Bad date",IF(P3542="","NAME NOT ON ROSTER","OK"))))</f>
        <v/>
      </c>
      <c r="I3542">
        <f>IF('Cash_Check'!A542="","",'Cash_Check'!A542)</f>
        <v/>
      </c>
      <c r="J3542">
        <f>IF('Cash_Check'!D542="","",'Cash_Check'!D542)</f>
        <v/>
      </c>
      <c r="K3542">
        <f>TRIM('Cash_Check'!B542)</f>
        <v/>
      </c>
      <c r="M3542">
        <f>IF(TRIM('Cash_Check'!E542)="","Cash/check",TRIM('Cash_Check'!E542))</f>
        <v/>
      </c>
      <c r="N3542">
        <f>IF(I3542="","",IF(ISNUMBER(I3542),INT(I3542),IFERROR(INT(DATEVALUE(I3542)),IFERROR(INT(VALUE(I3542)),"bad"))))</f>
        <v/>
      </c>
      <c r="O3542">
        <f>IF(J3542="","",IF(ISNUMBER(J3542),ROUND(J3542,2),IFERROR(ROUND(VALUE(SUBSTITUTE(SUBSTITUTE(SUBSTITUTE(J3542,"$",""),",","")," ","")),2),"bad")))</f>
        <v/>
      </c>
      <c r="P3542">
        <f>IF(K3542="","",IFERROR(MATCH(IF(ISNUMBER(FIND("#",K3542)),TRIM(MID(K3542,FIND("#",K3542)+1,20)),UPPER(K3542)),'Students'!$AD$2:$AD$701,0),""))</f>
        <v/>
      </c>
      <c r="R3542">
        <f>IF(P3542="","",INDEX('Students'!$AD$2:$AD$701,P3542))</f>
        <v/>
      </c>
      <c r="S3542">
        <f>IF(H3542="OK",O3542,0)</f>
        <v/>
      </c>
      <c r="T3542">
        <f>IF(H3542="OK",N3542,"")</f>
        <v/>
      </c>
      <c r="U3542">
        <f>TRIM('Cash_Check'!C542)</f>
        <v/>
      </c>
    </row>
    <row r="3543">
      <c r="A3543" s="62">
        <f>IF(H3543="","",IF(ISNUMBER(N3543),N3543,I3543))</f>
        <v/>
      </c>
      <c r="B3543">
        <f>IF(H3543="","",U3543)</f>
        <v/>
      </c>
      <c r="C3543">
        <f>IF(H3543="","",IF(P3543="",K3543,INDEX('Students'!$A$2:$A$701,P3543)))</f>
        <v/>
      </c>
      <c r="D3543">
        <f>IF(OR(H3543="",P3543=""),"",INDEX('Students'!$B$2:$B$701,P3543))</f>
        <v/>
      </c>
      <c r="E3543">
        <f>IF(OR(H3543="",P3543=""),"",INDEX('Students'!$C$2:$C$701,P3543))</f>
        <v/>
      </c>
      <c r="F3543" s="48">
        <f>IF(H3543="","",IF(ISNUMBER(O3543),O3543,J3543))</f>
        <v/>
      </c>
      <c r="G3543">
        <f>IF(H3543="","",M3543)</f>
        <v/>
      </c>
      <c r="H3543">
        <f>IF(AND(I3543="",J3543="",K3543=""),"",IF(OR(NOT(ISNUMBER(O3543)),N(O3543)&lt;=0),"Bad amount",IF(NOT(ISNUMBER(N3543)),"Bad date",IF(P3543="","NAME NOT ON ROSTER","OK"))))</f>
        <v/>
      </c>
      <c r="I3543">
        <f>IF('Cash_Check'!A543="","",'Cash_Check'!A543)</f>
        <v/>
      </c>
      <c r="J3543">
        <f>IF('Cash_Check'!D543="","",'Cash_Check'!D543)</f>
        <v/>
      </c>
      <c r="K3543">
        <f>TRIM('Cash_Check'!B543)</f>
        <v/>
      </c>
      <c r="M3543">
        <f>IF(TRIM('Cash_Check'!E543)="","Cash/check",TRIM('Cash_Check'!E543))</f>
        <v/>
      </c>
      <c r="N3543">
        <f>IF(I3543="","",IF(ISNUMBER(I3543),INT(I3543),IFERROR(INT(DATEVALUE(I3543)),IFERROR(INT(VALUE(I3543)),"bad"))))</f>
        <v/>
      </c>
      <c r="O3543">
        <f>IF(J3543="","",IF(ISNUMBER(J3543),ROUND(J3543,2),IFERROR(ROUND(VALUE(SUBSTITUTE(SUBSTITUTE(SUBSTITUTE(J3543,"$",""),",","")," ","")),2),"bad")))</f>
        <v/>
      </c>
      <c r="P3543">
        <f>IF(K3543="","",IFERROR(MATCH(IF(ISNUMBER(FIND("#",K3543)),TRIM(MID(K3543,FIND("#",K3543)+1,20)),UPPER(K3543)),'Students'!$AD$2:$AD$701,0),""))</f>
        <v/>
      </c>
      <c r="R3543">
        <f>IF(P3543="","",INDEX('Students'!$AD$2:$AD$701,P3543))</f>
        <v/>
      </c>
      <c r="S3543">
        <f>IF(H3543="OK",O3543,0)</f>
        <v/>
      </c>
      <c r="T3543">
        <f>IF(H3543="OK",N3543,"")</f>
        <v/>
      </c>
      <c r="U3543">
        <f>TRIM('Cash_Check'!C543)</f>
        <v/>
      </c>
    </row>
    <row r="3544">
      <c r="A3544" s="62">
        <f>IF(H3544="","",IF(ISNUMBER(N3544),N3544,I3544))</f>
        <v/>
      </c>
      <c r="B3544">
        <f>IF(H3544="","",U3544)</f>
        <v/>
      </c>
      <c r="C3544">
        <f>IF(H3544="","",IF(P3544="",K3544,INDEX('Students'!$A$2:$A$701,P3544)))</f>
        <v/>
      </c>
      <c r="D3544">
        <f>IF(OR(H3544="",P3544=""),"",INDEX('Students'!$B$2:$B$701,P3544))</f>
        <v/>
      </c>
      <c r="E3544">
        <f>IF(OR(H3544="",P3544=""),"",INDEX('Students'!$C$2:$C$701,P3544))</f>
        <v/>
      </c>
      <c r="F3544" s="48">
        <f>IF(H3544="","",IF(ISNUMBER(O3544),O3544,J3544))</f>
        <v/>
      </c>
      <c r="G3544">
        <f>IF(H3544="","",M3544)</f>
        <v/>
      </c>
      <c r="H3544">
        <f>IF(AND(I3544="",J3544="",K3544=""),"",IF(OR(NOT(ISNUMBER(O3544)),N(O3544)&lt;=0),"Bad amount",IF(NOT(ISNUMBER(N3544)),"Bad date",IF(P3544="","NAME NOT ON ROSTER","OK"))))</f>
        <v/>
      </c>
      <c r="I3544">
        <f>IF('Cash_Check'!A544="","",'Cash_Check'!A544)</f>
        <v/>
      </c>
      <c r="J3544">
        <f>IF('Cash_Check'!D544="","",'Cash_Check'!D544)</f>
        <v/>
      </c>
      <c r="K3544">
        <f>TRIM('Cash_Check'!B544)</f>
        <v/>
      </c>
      <c r="M3544">
        <f>IF(TRIM('Cash_Check'!E544)="","Cash/check",TRIM('Cash_Check'!E544))</f>
        <v/>
      </c>
      <c r="N3544">
        <f>IF(I3544="","",IF(ISNUMBER(I3544),INT(I3544),IFERROR(INT(DATEVALUE(I3544)),IFERROR(INT(VALUE(I3544)),"bad"))))</f>
        <v/>
      </c>
      <c r="O3544">
        <f>IF(J3544="","",IF(ISNUMBER(J3544),ROUND(J3544,2),IFERROR(ROUND(VALUE(SUBSTITUTE(SUBSTITUTE(SUBSTITUTE(J3544,"$",""),",","")," ","")),2),"bad")))</f>
        <v/>
      </c>
      <c r="P3544">
        <f>IF(K3544="","",IFERROR(MATCH(IF(ISNUMBER(FIND("#",K3544)),TRIM(MID(K3544,FIND("#",K3544)+1,20)),UPPER(K3544)),'Students'!$AD$2:$AD$701,0),""))</f>
        <v/>
      </c>
      <c r="R3544">
        <f>IF(P3544="","",INDEX('Students'!$AD$2:$AD$701,P3544))</f>
        <v/>
      </c>
      <c r="S3544">
        <f>IF(H3544="OK",O3544,0)</f>
        <v/>
      </c>
      <c r="T3544">
        <f>IF(H3544="OK",N3544,"")</f>
        <v/>
      </c>
      <c r="U3544">
        <f>TRIM('Cash_Check'!C544)</f>
        <v/>
      </c>
    </row>
    <row r="3545">
      <c r="A3545" s="62">
        <f>IF(H3545="","",IF(ISNUMBER(N3545),N3545,I3545))</f>
        <v/>
      </c>
      <c r="B3545">
        <f>IF(H3545="","",U3545)</f>
        <v/>
      </c>
      <c r="C3545">
        <f>IF(H3545="","",IF(P3545="",K3545,INDEX('Students'!$A$2:$A$701,P3545)))</f>
        <v/>
      </c>
      <c r="D3545">
        <f>IF(OR(H3545="",P3545=""),"",INDEX('Students'!$B$2:$B$701,P3545))</f>
        <v/>
      </c>
      <c r="E3545">
        <f>IF(OR(H3545="",P3545=""),"",INDEX('Students'!$C$2:$C$701,P3545))</f>
        <v/>
      </c>
      <c r="F3545" s="48">
        <f>IF(H3545="","",IF(ISNUMBER(O3545),O3545,J3545))</f>
        <v/>
      </c>
      <c r="G3545">
        <f>IF(H3545="","",M3545)</f>
        <v/>
      </c>
      <c r="H3545">
        <f>IF(AND(I3545="",J3545="",K3545=""),"",IF(OR(NOT(ISNUMBER(O3545)),N(O3545)&lt;=0),"Bad amount",IF(NOT(ISNUMBER(N3545)),"Bad date",IF(P3545="","NAME NOT ON ROSTER","OK"))))</f>
        <v/>
      </c>
      <c r="I3545">
        <f>IF('Cash_Check'!A545="","",'Cash_Check'!A545)</f>
        <v/>
      </c>
      <c r="J3545">
        <f>IF('Cash_Check'!D545="","",'Cash_Check'!D545)</f>
        <v/>
      </c>
      <c r="K3545">
        <f>TRIM('Cash_Check'!B545)</f>
        <v/>
      </c>
      <c r="M3545">
        <f>IF(TRIM('Cash_Check'!E545)="","Cash/check",TRIM('Cash_Check'!E545))</f>
        <v/>
      </c>
      <c r="N3545">
        <f>IF(I3545="","",IF(ISNUMBER(I3545),INT(I3545),IFERROR(INT(DATEVALUE(I3545)),IFERROR(INT(VALUE(I3545)),"bad"))))</f>
        <v/>
      </c>
      <c r="O3545">
        <f>IF(J3545="","",IF(ISNUMBER(J3545),ROUND(J3545,2),IFERROR(ROUND(VALUE(SUBSTITUTE(SUBSTITUTE(SUBSTITUTE(J3545,"$",""),",","")," ","")),2),"bad")))</f>
        <v/>
      </c>
      <c r="P3545">
        <f>IF(K3545="","",IFERROR(MATCH(IF(ISNUMBER(FIND("#",K3545)),TRIM(MID(K3545,FIND("#",K3545)+1,20)),UPPER(K3545)),'Students'!$AD$2:$AD$701,0),""))</f>
        <v/>
      </c>
      <c r="R3545">
        <f>IF(P3545="","",INDEX('Students'!$AD$2:$AD$701,P3545))</f>
        <v/>
      </c>
      <c r="S3545">
        <f>IF(H3545="OK",O3545,0)</f>
        <v/>
      </c>
      <c r="T3545">
        <f>IF(H3545="OK",N3545,"")</f>
        <v/>
      </c>
      <c r="U3545">
        <f>TRIM('Cash_Check'!C545)</f>
        <v/>
      </c>
    </row>
    <row r="3546">
      <c r="A3546" s="62">
        <f>IF(H3546="","",IF(ISNUMBER(N3546),N3546,I3546))</f>
        <v/>
      </c>
      <c r="B3546">
        <f>IF(H3546="","",U3546)</f>
        <v/>
      </c>
      <c r="C3546">
        <f>IF(H3546="","",IF(P3546="",K3546,INDEX('Students'!$A$2:$A$701,P3546)))</f>
        <v/>
      </c>
      <c r="D3546">
        <f>IF(OR(H3546="",P3546=""),"",INDEX('Students'!$B$2:$B$701,P3546))</f>
        <v/>
      </c>
      <c r="E3546">
        <f>IF(OR(H3546="",P3546=""),"",INDEX('Students'!$C$2:$C$701,P3546))</f>
        <v/>
      </c>
      <c r="F3546" s="48">
        <f>IF(H3546="","",IF(ISNUMBER(O3546),O3546,J3546))</f>
        <v/>
      </c>
      <c r="G3546">
        <f>IF(H3546="","",M3546)</f>
        <v/>
      </c>
      <c r="H3546">
        <f>IF(AND(I3546="",J3546="",K3546=""),"",IF(OR(NOT(ISNUMBER(O3546)),N(O3546)&lt;=0),"Bad amount",IF(NOT(ISNUMBER(N3546)),"Bad date",IF(P3546="","NAME NOT ON ROSTER","OK"))))</f>
        <v/>
      </c>
      <c r="I3546">
        <f>IF('Cash_Check'!A546="","",'Cash_Check'!A546)</f>
        <v/>
      </c>
      <c r="J3546">
        <f>IF('Cash_Check'!D546="","",'Cash_Check'!D546)</f>
        <v/>
      </c>
      <c r="K3546">
        <f>TRIM('Cash_Check'!B546)</f>
        <v/>
      </c>
      <c r="M3546">
        <f>IF(TRIM('Cash_Check'!E546)="","Cash/check",TRIM('Cash_Check'!E546))</f>
        <v/>
      </c>
      <c r="N3546">
        <f>IF(I3546="","",IF(ISNUMBER(I3546),INT(I3546),IFERROR(INT(DATEVALUE(I3546)),IFERROR(INT(VALUE(I3546)),"bad"))))</f>
        <v/>
      </c>
      <c r="O3546">
        <f>IF(J3546="","",IF(ISNUMBER(J3546),ROUND(J3546,2),IFERROR(ROUND(VALUE(SUBSTITUTE(SUBSTITUTE(SUBSTITUTE(J3546,"$",""),",","")," ","")),2),"bad")))</f>
        <v/>
      </c>
      <c r="P3546">
        <f>IF(K3546="","",IFERROR(MATCH(IF(ISNUMBER(FIND("#",K3546)),TRIM(MID(K3546,FIND("#",K3546)+1,20)),UPPER(K3546)),'Students'!$AD$2:$AD$701,0),""))</f>
        <v/>
      </c>
      <c r="R3546">
        <f>IF(P3546="","",INDEX('Students'!$AD$2:$AD$701,P3546))</f>
        <v/>
      </c>
      <c r="S3546">
        <f>IF(H3546="OK",O3546,0)</f>
        <v/>
      </c>
      <c r="T3546">
        <f>IF(H3546="OK",N3546,"")</f>
        <v/>
      </c>
      <c r="U3546">
        <f>TRIM('Cash_Check'!C546)</f>
        <v/>
      </c>
    </row>
    <row r="3547">
      <c r="A3547" s="62">
        <f>IF(H3547="","",IF(ISNUMBER(N3547),N3547,I3547))</f>
        <v/>
      </c>
      <c r="B3547">
        <f>IF(H3547="","",U3547)</f>
        <v/>
      </c>
      <c r="C3547">
        <f>IF(H3547="","",IF(P3547="",K3547,INDEX('Students'!$A$2:$A$701,P3547)))</f>
        <v/>
      </c>
      <c r="D3547">
        <f>IF(OR(H3547="",P3547=""),"",INDEX('Students'!$B$2:$B$701,P3547))</f>
        <v/>
      </c>
      <c r="E3547">
        <f>IF(OR(H3547="",P3547=""),"",INDEX('Students'!$C$2:$C$701,P3547))</f>
        <v/>
      </c>
      <c r="F3547" s="48">
        <f>IF(H3547="","",IF(ISNUMBER(O3547),O3547,J3547))</f>
        <v/>
      </c>
      <c r="G3547">
        <f>IF(H3547="","",M3547)</f>
        <v/>
      </c>
      <c r="H3547">
        <f>IF(AND(I3547="",J3547="",K3547=""),"",IF(OR(NOT(ISNUMBER(O3547)),N(O3547)&lt;=0),"Bad amount",IF(NOT(ISNUMBER(N3547)),"Bad date",IF(P3547="","NAME NOT ON ROSTER","OK"))))</f>
        <v/>
      </c>
      <c r="I3547">
        <f>IF('Cash_Check'!A547="","",'Cash_Check'!A547)</f>
        <v/>
      </c>
      <c r="J3547">
        <f>IF('Cash_Check'!D547="","",'Cash_Check'!D547)</f>
        <v/>
      </c>
      <c r="K3547">
        <f>TRIM('Cash_Check'!B547)</f>
        <v/>
      </c>
      <c r="M3547">
        <f>IF(TRIM('Cash_Check'!E547)="","Cash/check",TRIM('Cash_Check'!E547))</f>
        <v/>
      </c>
      <c r="N3547">
        <f>IF(I3547="","",IF(ISNUMBER(I3547),INT(I3547),IFERROR(INT(DATEVALUE(I3547)),IFERROR(INT(VALUE(I3547)),"bad"))))</f>
        <v/>
      </c>
      <c r="O3547">
        <f>IF(J3547="","",IF(ISNUMBER(J3547),ROUND(J3547,2),IFERROR(ROUND(VALUE(SUBSTITUTE(SUBSTITUTE(SUBSTITUTE(J3547,"$",""),",","")," ","")),2),"bad")))</f>
        <v/>
      </c>
      <c r="P3547">
        <f>IF(K3547="","",IFERROR(MATCH(IF(ISNUMBER(FIND("#",K3547)),TRIM(MID(K3547,FIND("#",K3547)+1,20)),UPPER(K3547)),'Students'!$AD$2:$AD$701,0),""))</f>
        <v/>
      </c>
      <c r="R3547">
        <f>IF(P3547="","",INDEX('Students'!$AD$2:$AD$701,P3547))</f>
        <v/>
      </c>
      <c r="S3547">
        <f>IF(H3547="OK",O3547,0)</f>
        <v/>
      </c>
      <c r="T3547">
        <f>IF(H3547="OK",N3547,"")</f>
        <v/>
      </c>
      <c r="U3547">
        <f>TRIM('Cash_Check'!C547)</f>
        <v/>
      </c>
    </row>
    <row r="3548">
      <c r="A3548" s="62">
        <f>IF(H3548="","",IF(ISNUMBER(N3548),N3548,I3548))</f>
        <v/>
      </c>
      <c r="B3548">
        <f>IF(H3548="","",U3548)</f>
        <v/>
      </c>
      <c r="C3548">
        <f>IF(H3548="","",IF(P3548="",K3548,INDEX('Students'!$A$2:$A$701,P3548)))</f>
        <v/>
      </c>
      <c r="D3548">
        <f>IF(OR(H3548="",P3548=""),"",INDEX('Students'!$B$2:$B$701,P3548))</f>
        <v/>
      </c>
      <c r="E3548">
        <f>IF(OR(H3548="",P3548=""),"",INDEX('Students'!$C$2:$C$701,P3548))</f>
        <v/>
      </c>
      <c r="F3548" s="48">
        <f>IF(H3548="","",IF(ISNUMBER(O3548),O3548,J3548))</f>
        <v/>
      </c>
      <c r="G3548">
        <f>IF(H3548="","",M3548)</f>
        <v/>
      </c>
      <c r="H3548">
        <f>IF(AND(I3548="",J3548="",K3548=""),"",IF(OR(NOT(ISNUMBER(O3548)),N(O3548)&lt;=0),"Bad amount",IF(NOT(ISNUMBER(N3548)),"Bad date",IF(P3548="","NAME NOT ON ROSTER","OK"))))</f>
        <v/>
      </c>
      <c r="I3548">
        <f>IF('Cash_Check'!A548="","",'Cash_Check'!A548)</f>
        <v/>
      </c>
      <c r="J3548">
        <f>IF('Cash_Check'!D548="","",'Cash_Check'!D548)</f>
        <v/>
      </c>
      <c r="K3548">
        <f>TRIM('Cash_Check'!B548)</f>
        <v/>
      </c>
      <c r="M3548">
        <f>IF(TRIM('Cash_Check'!E548)="","Cash/check",TRIM('Cash_Check'!E548))</f>
        <v/>
      </c>
      <c r="N3548">
        <f>IF(I3548="","",IF(ISNUMBER(I3548),INT(I3548),IFERROR(INT(DATEVALUE(I3548)),IFERROR(INT(VALUE(I3548)),"bad"))))</f>
        <v/>
      </c>
      <c r="O3548">
        <f>IF(J3548="","",IF(ISNUMBER(J3548),ROUND(J3548,2),IFERROR(ROUND(VALUE(SUBSTITUTE(SUBSTITUTE(SUBSTITUTE(J3548,"$",""),",","")," ","")),2),"bad")))</f>
        <v/>
      </c>
      <c r="P3548">
        <f>IF(K3548="","",IFERROR(MATCH(IF(ISNUMBER(FIND("#",K3548)),TRIM(MID(K3548,FIND("#",K3548)+1,20)),UPPER(K3548)),'Students'!$AD$2:$AD$701,0),""))</f>
        <v/>
      </c>
      <c r="R3548">
        <f>IF(P3548="","",INDEX('Students'!$AD$2:$AD$701,P3548))</f>
        <v/>
      </c>
      <c r="S3548">
        <f>IF(H3548="OK",O3548,0)</f>
        <v/>
      </c>
      <c r="T3548">
        <f>IF(H3548="OK",N3548,"")</f>
        <v/>
      </c>
      <c r="U3548">
        <f>TRIM('Cash_Check'!C548)</f>
        <v/>
      </c>
    </row>
    <row r="3549">
      <c r="A3549" s="62">
        <f>IF(H3549="","",IF(ISNUMBER(N3549),N3549,I3549))</f>
        <v/>
      </c>
      <c r="B3549">
        <f>IF(H3549="","",U3549)</f>
        <v/>
      </c>
      <c r="C3549">
        <f>IF(H3549="","",IF(P3549="",K3549,INDEX('Students'!$A$2:$A$701,P3549)))</f>
        <v/>
      </c>
      <c r="D3549">
        <f>IF(OR(H3549="",P3549=""),"",INDEX('Students'!$B$2:$B$701,P3549))</f>
        <v/>
      </c>
      <c r="E3549">
        <f>IF(OR(H3549="",P3549=""),"",INDEX('Students'!$C$2:$C$701,P3549))</f>
        <v/>
      </c>
      <c r="F3549" s="48">
        <f>IF(H3549="","",IF(ISNUMBER(O3549),O3549,J3549))</f>
        <v/>
      </c>
      <c r="G3549">
        <f>IF(H3549="","",M3549)</f>
        <v/>
      </c>
      <c r="H3549">
        <f>IF(AND(I3549="",J3549="",K3549=""),"",IF(OR(NOT(ISNUMBER(O3549)),N(O3549)&lt;=0),"Bad amount",IF(NOT(ISNUMBER(N3549)),"Bad date",IF(P3549="","NAME NOT ON ROSTER","OK"))))</f>
        <v/>
      </c>
      <c r="I3549">
        <f>IF('Cash_Check'!A549="","",'Cash_Check'!A549)</f>
        <v/>
      </c>
      <c r="J3549">
        <f>IF('Cash_Check'!D549="","",'Cash_Check'!D549)</f>
        <v/>
      </c>
      <c r="K3549">
        <f>TRIM('Cash_Check'!B549)</f>
        <v/>
      </c>
      <c r="M3549">
        <f>IF(TRIM('Cash_Check'!E549)="","Cash/check",TRIM('Cash_Check'!E549))</f>
        <v/>
      </c>
      <c r="N3549">
        <f>IF(I3549="","",IF(ISNUMBER(I3549),INT(I3549),IFERROR(INT(DATEVALUE(I3549)),IFERROR(INT(VALUE(I3549)),"bad"))))</f>
        <v/>
      </c>
      <c r="O3549">
        <f>IF(J3549="","",IF(ISNUMBER(J3549),ROUND(J3549,2),IFERROR(ROUND(VALUE(SUBSTITUTE(SUBSTITUTE(SUBSTITUTE(J3549,"$",""),",","")," ","")),2),"bad")))</f>
        <v/>
      </c>
      <c r="P3549">
        <f>IF(K3549="","",IFERROR(MATCH(IF(ISNUMBER(FIND("#",K3549)),TRIM(MID(K3549,FIND("#",K3549)+1,20)),UPPER(K3549)),'Students'!$AD$2:$AD$701,0),""))</f>
        <v/>
      </c>
      <c r="R3549">
        <f>IF(P3549="","",INDEX('Students'!$AD$2:$AD$701,P3549))</f>
        <v/>
      </c>
      <c r="S3549">
        <f>IF(H3549="OK",O3549,0)</f>
        <v/>
      </c>
      <c r="T3549">
        <f>IF(H3549="OK",N3549,"")</f>
        <v/>
      </c>
      <c r="U3549">
        <f>TRIM('Cash_Check'!C549)</f>
        <v/>
      </c>
    </row>
    <row r="3550">
      <c r="A3550" s="62">
        <f>IF(H3550="","",IF(ISNUMBER(N3550),N3550,I3550))</f>
        <v/>
      </c>
      <c r="B3550">
        <f>IF(H3550="","",U3550)</f>
        <v/>
      </c>
      <c r="C3550">
        <f>IF(H3550="","",IF(P3550="",K3550,INDEX('Students'!$A$2:$A$701,P3550)))</f>
        <v/>
      </c>
      <c r="D3550">
        <f>IF(OR(H3550="",P3550=""),"",INDEX('Students'!$B$2:$B$701,P3550))</f>
        <v/>
      </c>
      <c r="E3550">
        <f>IF(OR(H3550="",P3550=""),"",INDEX('Students'!$C$2:$C$701,P3550))</f>
        <v/>
      </c>
      <c r="F3550" s="48">
        <f>IF(H3550="","",IF(ISNUMBER(O3550),O3550,J3550))</f>
        <v/>
      </c>
      <c r="G3550">
        <f>IF(H3550="","",M3550)</f>
        <v/>
      </c>
      <c r="H3550">
        <f>IF(AND(I3550="",J3550="",K3550=""),"",IF(OR(NOT(ISNUMBER(O3550)),N(O3550)&lt;=0),"Bad amount",IF(NOT(ISNUMBER(N3550)),"Bad date",IF(P3550="","NAME NOT ON ROSTER","OK"))))</f>
        <v/>
      </c>
      <c r="I3550">
        <f>IF('Cash_Check'!A550="","",'Cash_Check'!A550)</f>
        <v/>
      </c>
      <c r="J3550">
        <f>IF('Cash_Check'!D550="","",'Cash_Check'!D550)</f>
        <v/>
      </c>
      <c r="K3550">
        <f>TRIM('Cash_Check'!B550)</f>
        <v/>
      </c>
      <c r="M3550">
        <f>IF(TRIM('Cash_Check'!E550)="","Cash/check",TRIM('Cash_Check'!E550))</f>
        <v/>
      </c>
      <c r="N3550">
        <f>IF(I3550="","",IF(ISNUMBER(I3550),INT(I3550),IFERROR(INT(DATEVALUE(I3550)),IFERROR(INT(VALUE(I3550)),"bad"))))</f>
        <v/>
      </c>
      <c r="O3550">
        <f>IF(J3550="","",IF(ISNUMBER(J3550),ROUND(J3550,2),IFERROR(ROUND(VALUE(SUBSTITUTE(SUBSTITUTE(SUBSTITUTE(J3550,"$",""),",","")," ","")),2),"bad")))</f>
        <v/>
      </c>
      <c r="P3550">
        <f>IF(K3550="","",IFERROR(MATCH(IF(ISNUMBER(FIND("#",K3550)),TRIM(MID(K3550,FIND("#",K3550)+1,20)),UPPER(K3550)),'Students'!$AD$2:$AD$701,0),""))</f>
        <v/>
      </c>
      <c r="R3550">
        <f>IF(P3550="","",INDEX('Students'!$AD$2:$AD$701,P3550))</f>
        <v/>
      </c>
      <c r="S3550">
        <f>IF(H3550="OK",O3550,0)</f>
        <v/>
      </c>
      <c r="T3550">
        <f>IF(H3550="OK",N3550,"")</f>
        <v/>
      </c>
      <c r="U3550">
        <f>TRIM('Cash_Check'!C550)</f>
        <v/>
      </c>
    </row>
    <row r="3551">
      <c r="A3551" s="62">
        <f>IF(H3551="","",IF(ISNUMBER(N3551),N3551,I3551))</f>
        <v/>
      </c>
      <c r="B3551">
        <f>IF(H3551="","",U3551)</f>
        <v/>
      </c>
      <c r="C3551">
        <f>IF(H3551="","",IF(P3551="",K3551,INDEX('Students'!$A$2:$A$701,P3551)))</f>
        <v/>
      </c>
      <c r="D3551">
        <f>IF(OR(H3551="",P3551=""),"",INDEX('Students'!$B$2:$B$701,P3551))</f>
        <v/>
      </c>
      <c r="E3551">
        <f>IF(OR(H3551="",P3551=""),"",INDEX('Students'!$C$2:$C$701,P3551))</f>
        <v/>
      </c>
      <c r="F3551" s="48">
        <f>IF(H3551="","",IF(ISNUMBER(O3551),O3551,J3551))</f>
        <v/>
      </c>
      <c r="G3551">
        <f>IF(H3551="","",M3551)</f>
        <v/>
      </c>
      <c r="H3551">
        <f>IF(AND(I3551="",J3551="",K3551=""),"",IF(OR(NOT(ISNUMBER(O3551)),N(O3551)&lt;=0),"Bad amount",IF(NOT(ISNUMBER(N3551)),"Bad date",IF(P3551="","NAME NOT ON ROSTER","OK"))))</f>
        <v/>
      </c>
      <c r="I3551">
        <f>IF('Cash_Check'!A551="","",'Cash_Check'!A551)</f>
        <v/>
      </c>
      <c r="J3551">
        <f>IF('Cash_Check'!D551="","",'Cash_Check'!D551)</f>
        <v/>
      </c>
      <c r="K3551">
        <f>TRIM('Cash_Check'!B551)</f>
        <v/>
      </c>
      <c r="M3551">
        <f>IF(TRIM('Cash_Check'!E551)="","Cash/check",TRIM('Cash_Check'!E551))</f>
        <v/>
      </c>
      <c r="N3551">
        <f>IF(I3551="","",IF(ISNUMBER(I3551),INT(I3551),IFERROR(INT(DATEVALUE(I3551)),IFERROR(INT(VALUE(I3551)),"bad"))))</f>
        <v/>
      </c>
      <c r="O3551">
        <f>IF(J3551="","",IF(ISNUMBER(J3551),ROUND(J3551,2),IFERROR(ROUND(VALUE(SUBSTITUTE(SUBSTITUTE(SUBSTITUTE(J3551,"$",""),",","")," ","")),2),"bad")))</f>
        <v/>
      </c>
      <c r="P3551">
        <f>IF(K3551="","",IFERROR(MATCH(IF(ISNUMBER(FIND("#",K3551)),TRIM(MID(K3551,FIND("#",K3551)+1,20)),UPPER(K3551)),'Students'!$AD$2:$AD$701,0),""))</f>
        <v/>
      </c>
      <c r="R3551">
        <f>IF(P3551="","",INDEX('Students'!$AD$2:$AD$701,P3551))</f>
        <v/>
      </c>
      <c r="S3551">
        <f>IF(H3551="OK",O3551,0)</f>
        <v/>
      </c>
      <c r="T3551">
        <f>IF(H3551="OK",N3551,"")</f>
        <v/>
      </c>
      <c r="U3551">
        <f>TRIM('Cash_Check'!C551)</f>
        <v/>
      </c>
    </row>
    <row r="3552">
      <c r="A3552" s="62">
        <f>IF(H3552="","",IF(ISNUMBER(N3552),N3552,I3552))</f>
        <v/>
      </c>
      <c r="B3552">
        <f>IF(H3552="","",U3552)</f>
        <v/>
      </c>
      <c r="C3552">
        <f>IF(H3552="","",IF(P3552="",K3552,INDEX('Students'!$A$2:$A$701,P3552)))</f>
        <v/>
      </c>
      <c r="D3552">
        <f>IF(OR(H3552="",P3552=""),"",INDEX('Students'!$B$2:$B$701,P3552))</f>
        <v/>
      </c>
      <c r="E3552">
        <f>IF(OR(H3552="",P3552=""),"",INDEX('Students'!$C$2:$C$701,P3552))</f>
        <v/>
      </c>
      <c r="F3552" s="48">
        <f>IF(H3552="","",IF(ISNUMBER(O3552),O3552,J3552))</f>
        <v/>
      </c>
      <c r="G3552">
        <f>IF(H3552="","",M3552)</f>
        <v/>
      </c>
      <c r="H3552">
        <f>IF(AND(I3552="",J3552="",K3552=""),"",IF(OR(NOT(ISNUMBER(O3552)),N(O3552)&lt;=0),"Bad amount",IF(NOT(ISNUMBER(N3552)),"Bad date",IF(P3552="","NAME NOT ON ROSTER","OK"))))</f>
        <v/>
      </c>
      <c r="I3552">
        <f>IF('Cash_Check'!A552="","",'Cash_Check'!A552)</f>
        <v/>
      </c>
      <c r="J3552">
        <f>IF('Cash_Check'!D552="","",'Cash_Check'!D552)</f>
        <v/>
      </c>
      <c r="K3552">
        <f>TRIM('Cash_Check'!B552)</f>
        <v/>
      </c>
      <c r="M3552">
        <f>IF(TRIM('Cash_Check'!E552)="","Cash/check",TRIM('Cash_Check'!E552))</f>
        <v/>
      </c>
      <c r="N3552">
        <f>IF(I3552="","",IF(ISNUMBER(I3552),INT(I3552),IFERROR(INT(DATEVALUE(I3552)),IFERROR(INT(VALUE(I3552)),"bad"))))</f>
        <v/>
      </c>
      <c r="O3552">
        <f>IF(J3552="","",IF(ISNUMBER(J3552),ROUND(J3552,2),IFERROR(ROUND(VALUE(SUBSTITUTE(SUBSTITUTE(SUBSTITUTE(J3552,"$",""),",","")," ","")),2),"bad")))</f>
        <v/>
      </c>
      <c r="P3552">
        <f>IF(K3552="","",IFERROR(MATCH(IF(ISNUMBER(FIND("#",K3552)),TRIM(MID(K3552,FIND("#",K3552)+1,20)),UPPER(K3552)),'Students'!$AD$2:$AD$701,0),""))</f>
        <v/>
      </c>
      <c r="R3552">
        <f>IF(P3552="","",INDEX('Students'!$AD$2:$AD$701,P3552))</f>
        <v/>
      </c>
      <c r="S3552">
        <f>IF(H3552="OK",O3552,0)</f>
        <v/>
      </c>
      <c r="T3552">
        <f>IF(H3552="OK",N3552,"")</f>
        <v/>
      </c>
      <c r="U3552">
        <f>TRIM('Cash_Check'!C552)</f>
        <v/>
      </c>
    </row>
    <row r="3553">
      <c r="A3553" s="62">
        <f>IF(H3553="","",IF(ISNUMBER(N3553),N3553,I3553))</f>
        <v/>
      </c>
      <c r="B3553">
        <f>IF(H3553="","",U3553)</f>
        <v/>
      </c>
      <c r="C3553">
        <f>IF(H3553="","",IF(P3553="",K3553,INDEX('Students'!$A$2:$A$701,P3553)))</f>
        <v/>
      </c>
      <c r="D3553">
        <f>IF(OR(H3553="",P3553=""),"",INDEX('Students'!$B$2:$B$701,P3553))</f>
        <v/>
      </c>
      <c r="E3553">
        <f>IF(OR(H3553="",P3553=""),"",INDEX('Students'!$C$2:$C$701,P3553))</f>
        <v/>
      </c>
      <c r="F3553" s="48">
        <f>IF(H3553="","",IF(ISNUMBER(O3553),O3553,J3553))</f>
        <v/>
      </c>
      <c r="G3553">
        <f>IF(H3553="","",M3553)</f>
        <v/>
      </c>
      <c r="H3553">
        <f>IF(AND(I3553="",J3553="",K3553=""),"",IF(OR(NOT(ISNUMBER(O3553)),N(O3553)&lt;=0),"Bad amount",IF(NOT(ISNUMBER(N3553)),"Bad date",IF(P3553="","NAME NOT ON ROSTER","OK"))))</f>
        <v/>
      </c>
      <c r="I3553">
        <f>IF('Cash_Check'!A553="","",'Cash_Check'!A553)</f>
        <v/>
      </c>
      <c r="J3553">
        <f>IF('Cash_Check'!D553="","",'Cash_Check'!D553)</f>
        <v/>
      </c>
      <c r="K3553">
        <f>TRIM('Cash_Check'!B553)</f>
        <v/>
      </c>
      <c r="M3553">
        <f>IF(TRIM('Cash_Check'!E553)="","Cash/check",TRIM('Cash_Check'!E553))</f>
        <v/>
      </c>
      <c r="N3553">
        <f>IF(I3553="","",IF(ISNUMBER(I3553),INT(I3553),IFERROR(INT(DATEVALUE(I3553)),IFERROR(INT(VALUE(I3553)),"bad"))))</f>
        <v/>
      </c>
      <c r="O3553">
        <f>IF(J3553="","",IF(ISNUMBER(J3553),ROUND(J3553,2),IFERROR(ROUND(VALUE(SUBSTITUTE(SUBSTITUTE(SUBSTITUTE(J3553,"$",""),",","")," ","")),2),"bad")))</f>
        <v/>
      </c>
      <c r="P3553">
        <f>IF(K3553="","",IFERROR(MATCH(IF(ISNUMBER(FIND("#",K3553)),TRIM(MID(K3553,FIND("#",K3553)+1,20)),UPPER(K3553)),'Students'!$AD$2:$AD$701,0),""))</f>
        <v/>
      </c>
      <c r="R3553">
        <f>IF(P3553="","",INDEX('Students'!$AD$2:$AD$701,P3553))</f>
        <v/>
      </c>
      <c r="S3553">
        <f>IF(H3553="OK",O3553,0)</f>
        <v/>
      </c>
      <c r="T3553">
        <f>IF(H3553="OK",N3553,"")</f>
        <v/>
      </c>
      <c r="U3553">
        <f>TRIM('Cash_Check'!C553)</f>
        <v/>
      </c>
    </row>
    <row r="3554">
      <c r="A3554" s="62">
        <f>IF(H3554="","",IF(ISNUMBER(N3554),N3554,I3554))</f>
        <v/>
      </c>
      <c r="B3554">
        <f>IF(H3554="","",U3554)</f>
        <v/>
      </c>
      <c r="C3554">
        <f>IF(H3554="","",IF(P3554="",K3554,INDEX('Students'!$A$2:$A$701,P3554)))</f>
        <v/>
      </c>
      <c r="D3554">
        <f>IF(OR(H3554="",P3554=""),"",INDEX('Students'!$B$2:$B$701,P3554))</f>
        <v/>
      </c>
      <c r="E3554">
        <f>IF(OR(H3554="",P3554=""),"",INDEX('Students'!$C$2:$C$701,P3554))</f>
        <v/>
      </c>
      <c r="F3554" s="48">
        <f>IF(H3554="","",IF(ISNUMBER(O3554),O3554,J3554))</f>
        <v/>
      </c>
      <c r="G3554">
        <f>IF(H3554="","",M3554)</f>
        <v/>
      </c>
      <c r="H3554">
        <f>IF(AND(I3554="",J3554="",K3554=""),"",IF(OR(NOT(ISNUMBER(O3554)),N(O3554)&lt;=0),"Bad amount",IF(NOT(ISNUMBER(N3554)),"Bad date",IF(P3554="","NAME NOT ON ROSTER","OK"))))</f>
        <v/>
      </c>
      <c r="I3554">
        <f>IF('Cash_Check'!A554="","",'Cash_Check'!A554)</f>
        <v/>
      </c>
      <c r="J3554">
        <f>IF('Cash_Check'!D554="","",'Cash_Check'!D554)</f>
        <v/>
      </c>
      <c r="K3554">
        <f>TRIM('Cash_Check'!B554)</f>
        <v/>
      </c>
      <c r="M3554">
        <f>IF(TRIM('Cash_Check'!E554)="","Cash/check",TRIM('Cash_Check'!E554))</f>
        <v/>
      </c>
      <c r="N3554">
        <f>IF(I3554="","",IF(ISNUMBER(I3554),INT(I3554),IFERROR(INT(DATEVALUE(I3554)),IFERROR(INT(VALUE(I3554)),"bad"))))</f>
        <v/>
      </c>
      <c r="O3554">
        <f>IF(J3554="","",IF(ISNUMBER(J3554),ROUND(J3554,2),IFERROR(ROUND(VALUE(SUBSTITUTE(SUBSTITUTE(SUBSTITUTE(J3554,"$",""),",","")," ","")),2),"bad")))</f>
        <v/>
      </c>
      <c r="P3554">
        <f>IF(K3554="","",IFERROR(MATCH(IF(ISNUMBER(FIND("#",K3554)),TRIM(MID(K3554,FIND("#",K3554)+1,20)),UPPER(K3554)),'Students'!$AD$2:$AD$701,0),""))</f>
        <v/>
      </c>
      <c r="R3554">
        <f>IF(P3554="","",INDEX('Students'!$AD$2:$AD$701,P3554))</f>
        <v/>
      </c>
      <c r="S3554">
        <f>IF(H3554="OK",O3554,0)</f>
        <v/>
      </c>
      <c r="T3554">
        <f>IF(H3554="OK",N3554,"")</f>
        <v/>
      </c>
      <c r="U3554">
        <f>TRIM('Cash_Check'!C554)</f>
        <v/>
      </c>
    </row>
    <row r="3555">
      <c r="A3555" s="62">
        <f>IF(H3555="","",IF(ISNUMBER(N3555),N3555,I3555))</f>
        <v/>
      </c>
      <c r="B3555">
        <f>IF(H3555="","",U3555)</f>
        <v/>
      </c>
      <c r="C3555">
        <f>IF(H3555="","",IF(P3555="",K3555,INDEX('Students'!$A$2:$A$701,P3555)))</f>
        <v/>
      </c>
      <c r="D3555">
        <f>IF(OR(H3555="",P3555=""),"",INDEX('Students'!$B$2:$B$701,P3555))</f>
        <v/>
      </c>
      <c r="E3555">
        <f>IF(OR(H3555="",P3555=""),"",INDEX('Students'!$C$2:$C$701,P3555))</f>
        <v/>
      </c>
      <c r="F3555" s="48">
        <f>IF(H3555="","",IF(ISNUMBER(O3555),O3555,J3555))</f>
        <v/>
      </c>
      <c r="G3555">
        <f>IF(H3555="","",M3555)</f>
        <v/>
      </c>
      <c r="H3555">
        <f>IF(AND(I3555="",J3555="",K3555=""),"",IF(OR(NOT(ISNUMBER(O3555)),N(O3555)&lt;=0),"Bad amount",IF(NOT(ISNUMBER(N3555)),"Bad date",IF(P3555="","NAME NOT ON ROSTER","OK"))))</f>
        <v/>
      </c>
      <c r="I3555">
        <f>IF('Cash_Check'!A555="","",'Cash_Check'!A555)</f>
        <v/>
      </c>
      <c r="J3555">
        <f>IF('Cash_Check'!D555="","",'Cash_Check'!D555)</f>
        <v/>
      </c>
      <c r="K3555">
        <f>TRIM('Cash_Check'!B555)</f>
        <v/>
      </c>
      <c r="M3555">
        <f>IF(TRIM('Cash_Check'!E555)="","Cash/check",TRIM('Cash_Check'!E555))</f>
        <v/>
      </c>
      <c r="N3555">
        <f>IF(I3555="","",IF(ISNUMBER(I3555),INT(I3555),IFERROR(INT(DATEVALUE(I3555)),IFERROR(INT(VALUE(I3555)),"bad"))))</f>
        <v/>
      </c>
      <c r="O3555">
        <f>IF(J3555="","",IF(ISNUMBER(J3555),ROUND(J3555,2),IFERROR(ROUND(VALUE(SUBSTITUTE(SUBSTITUTE(SUBSTITUTE(J3555,"$",""),",","")," ","")),2),"bad")))</f>
        <v/>
      </c>
      <c r="P3555">
        <f>IF(K3555="","",IFERROR(MATCH(IF(ISNUMBER(FIND("#",K3555)),TRIM(MID(K3555,FIND("#",K3555)+1,20)),UPPER(K3555)),'Students'!$AD$2:$AD$701,0),""))</f>
        <v/>
      </c>
      <c r="R3555">
        <f>IF(P3555="","",INDEX('Students'!$AD$2:$AD$701,P3555))</f>
        <v/>
      </c>
      <c r="S3555">
        <f>IF(H3555="OK",O3555,0)</f>
        <v/>
      </c>
      <c r="T3555">
        <f>IF(H3555="OK",N3555,"")</f>
        <v/>
      </c>
      <c r="U3555">
        <f>TRIM('Cash_Check'!C555)</f>
        <v/>
      </c>
    </row>
    <row r="3556">
      <c r="A3556" s="62">
        <f>IF(H3556="","",IF(ISNUMBER(N3556),N3556,I3556))</f>
        <v/>
      </c>
      <c r="B3556">
        <f>IF(H3556="","",U3556)</f>
        <v/>
      </c>
      <c r="C3556">
        <f>IF(H3556="","",IF(P3556="",K3556,INDEX('Students'!$A$2:$A$701,P3556)))</f>
        <v/>
      </c>
      <c r="D3556">
        <f>IF(OR(H3556="",P3556=""),"",INDEX('Students'!$B$2:$B$701,P3556))</f>
        <v/>
      </c>
      <c r="E3556">
        <f>IF(OR(H3556="",P3556=""),"",INDEX('Students'!$C$2:$C$701,P3556))</f>
        <v/>
      </c>
      <c r="F3556" s="48">
        <f>IF(H3556="","",IF(ISNUMBER(O3556),O3556,J3556))</f>
        <v/>
      </c>
      <c r="G3556">
        <f>IF(H3556="","",M3556)</f>
        <v/>
      </c>
      <c r="H3556">
        <f>IF(AND(I3556="",J3556="",K3556=""),"",IF(OR(NOT(ISNUMBER(O3556)),N(O3556)&lt;=0),"Bad amount",IF(NOT(ISNUMBER(N3556)),"Bad date",IF(P3556="","NAME NOT ON ROSTER","OK"))))</f>
        <v/>
      </c>
      <c r="I3556">
        <f>IF('Cash_Check'!A556="","",'Cash_Check'!A556)</f>
        <v/>
      </c>
      <c r="J3556">
        <f>IF('Cash_Check'!D556="","",'Cash_Check'!D556)</f>
        <v/>
      </c>
      <c r="K3556">
        <f>TRIM('Cash_Check'!B556)</f>
        <v/>
      </c>
      <c r="M3556">
        <f>IF(TRIM('Cash_Check'!E556)="","Cash/check",TRIM('Cash_Check'!E556))</f>
        <v/>
      </c>
      <c r="N3556">
        <f>IF(I3556="","",IF(ISNUMBER(I3556),INT(I3556),IFERROR(INT(DATEVALUE(I3556)),IFERROR(INT(VALUE(I3556)),"bad"))))</f>
        <v/>
      </c>
      <c r="O3556">
        <f>IF(J3556="","",IF(ISNUMBER(J3556),ROUND(J3556,2),IFERROR(ROUND(VALUE(SUBSTITUTE(SUBSTITUTE(SUBSTITUTE(J3556,"$",""),",","")," ","")),2),"bad")))</f>
        <v/>
      </c>
      <c r="P3556">
        <f>IF(K3556="","",IFERROR(MATCH(IF(ISNUMBER(FIND("#",K3556)),TRIM(MID(K3556,FIND("#",K3556)+1,20)),UPPER(K3556)),'Students'!$AD$2:$AD$701,0),""))</f>
        <v/>
      </c>
      <c r="R3556">
        <f>IF(P3556="","",INDEX('Students'!$AD$2:$AD$701,P3556))</f>
        <v/>
      </c>
      <c r="S3556">
        <f>IF(H3556="OK",O3556,0)</f>
        <v/>
      </c>
      <c r="T3556">
        <f>IF(H3556="OK",N3556,"")</f>
        <v/>
      </c>
      <c r="U3556">
        <f>TRIM('Cash_Check'!C556)</f>
        <v/>
      </c>
    </row>
    <row r="3557">
      <c r="A3557" s="62">
        <f>IF(H3557="","",IF(ISNUMBER(N3557),N3557,I3557))</f>
        <v/>
      </c>
      <c r="B3557">
        <f>IF(H3557="","",U3557)</f>
        <v/>
      </c>
      <c r="C3557">
        <f>IF(H3557="","",IF(P3557="",K3557,INDEX('Students'!$A$2:$A$701,P3557)))</f>
        <v/>
      </c>
      <c r="D3557">
        <f>IF(OR(H3557="",P3557=""),"",INDEX('Students'!$B$2:$B$701,P3557))</f>
        <v/>
      </c>
      <c r="E3557">
        <f>IF(OR(H3557="",P3557=""),"",INDEX('Students'!$C$2:$C$701,P3557))</f>
        <v/>
      </c>
      <c r="F3557" s="48">
        <f>IF(H3557="","",IF(ISNUMBER(O3557),O3557,J3557))</f>
        <v/>
      </c>
      <c r="G3557">
        <f>IF(H3557="","",M3557)</f>
        <v/>
      </c>
      <c r="H3557">
        <f>IF(AND(I3557="",J3557="",K3557=""),"",IF(OR(NOT(ISNUMBER(O3557)),N(O3557)&lt;=0),"Bad amount",IF(NOT(ISNUMBER(N3557)),"Bad date",IF(P3557="","NAME NOT ON ROSTER","OK"))))</f>
        <v/>
      </c>
      <c r="I3557">
        <f>IF('Cash_Check'!A557="","",'Cash_Check'!A557)</f>
        <v/>
      </c>
      <c r="J3557">
        <f>IF('Cash_Check'!D557="","",'Cash_Check'!D557)</f>
        <v/>
      </c>
      <c r="K3557">
        <f>TRIM('Cash_Check'!B557)</f>
        <v/>
      </c>
      <c r="M3557">
        <f>IF(TRIM('Cash_Check'!E557)="","Cash/check",TRIM('Cash_Check'!E557))</f>
        <v/>
      </c>
      <c r="N3557">
        <f>IF(I3557="","",IF(ISNUMBER(I3557),INT(I3557),IFERROR(INT(DATEVALUE(I3557)),IFERROR(INT(VALUE(I3557)),"bad"))))</f>
        <v/>
      </c>
      <c r="O3557">
        <f>IF(J3557="","",IF(ISNUMBER(J3557),ROUND(J3557,2),IFERROR(ROUND(VALUE(SUBSTITUTE(SUBSTITUTE(SUBSTITUTE(J3557,"$",""),",","")," ","")),2),"bad")))</f>
        <v/>
      </c>
      <c r="P3557">
        <f>IF(K3557="","",IFERROR(MATCH(IF(ISNUMBER(FIND("#",K3557)),TRIM(MID(K3557,FIND("#",K3557)+1,20)),UPPER(K3557)),'Students'!$AD$2:$AD$701,0),""))</f>
        <v/>
      </c>
      <c r="R3557">
        <f>IF(P3557="","",INDEX('Students'!$AD$2:$AD$701,P3557))</f>
        <v/>
      </c>
      <c r="S3557">
        <f>IF(H3557="OK",O3557,0)</f>
        <v/>
      </c>
      <c r="T3557">
        <f>IF(H3557="OK",N3557,"")</f>
        <v/>
      </c>
      <c r="U3557">
        <f>TRIM('Cash_Check'!C557)</f>
        <v/>
      </c>
    </row>
    <row r="3558">
      <c r="A3558" s="62">
        <f>IF(H3558="","",IF(ISNUMBER(N3558),N3558,I3558))</f>
        <v/>
      </c>
      <c r="B3558">
        <f>IF(H3558="","",U3558)</f>
        <v/>
      </c>
      <c r="C3558">
        <f>IF(H3558="","",IF(P3558="",K3558,INDEX('Students'!$A$2:$A$701,P3558)))</f>
        <v/>
      </c>
      <c r="D3558">
        <f>IF(OR(H3558="",P3558=""),"",INDEX('Students'!$B$2:$B$701,P3558))</f>
        <v/>
      </c>
      <c r="E3558">
        <f>IF(OR(H3558="",P3558=""),"",INDEX('Students'!$C$2:$C$701,P3558))</f>
        <v/>
      </c>
      <c r="F3558" s="48">
        <f>IF(H3558="","",IF(ISNUMBER(O3558),O3558,J3558))</f>
        <v/>
      </c>
      <c r="G3558">
        <f>IF(H3558="","",M3558)</f>
        <v/>
      </c>
      <c r="H3558">
        <f>IF(AND(I3558="",J3558="",K3558=""),"",IF(OR(NOT(ISNUMBER(O3558)),N(O3558)&lt;=0),"Bad amount",IF(NOT(ISNUMBER(N3558)),"Bad date",IF(P3558="","NAME NOT ON ROSTER","OK"))))</f>
        <v/>
      </c>
      <c r="I3558">
        <f>IF('Cash_Check'!A558="","",'Cash_Check'!A558)</f>
        <v/>
      </c>
      <c r="J3558">
        <f>IF('Cash_Check'!D558="","",'Cash_Check'!D558)</f>
        <v/>
      </c>
      <c r="K3558">
        <f>TRIM('Cash_Check'!B558)</f>
        <v/>
      </c>
      <c r="M3558">
        <f>IF(TRIM('Cash_Check'!E558)="","Cash/check",TRIM('Cash_Check'!E558))</f>
        <v/>
      </c>
      <c r="N3558">
        <f>IF(I3558="","",IF(ISNUMBER(I3558),INT(I3558),IFERROR(INT(DATEVALUE(I3558)),IFERROR(INT(VALUE(I3558)),"bad"))))</f>
        <v/>
      </c>
      <c r="O3558">
        <f>IF(J3558="","",IF(ISNUMBER(J3558),ROUND(J3558,2),IFERROR(ROUND(VALUE(SUBSTITUTE(SUBSTITUTE(SUBSTITUTE(J3558,"$",""),",","")," ","")),2),"bad")))</f>
        <v/>
      </c>
      <c r="P3558">
        <f>IF(K3558="","",IFERROR(MATCH(IF(ISNUMBER(FIND("#",K3558)),TRIM(MID(K3558,FIND("#",K3558)+1,20)),UPPER(K3558)),'Students'!$AD$2:$AD$701,0),""))</f>
        <v/>
      </c>
      <c r="R3558">
        <f>IF(P3558="","",INDEX('Students'!$AD$2:$AD$701,P3558))</f>
        <v/>
      </c>
      <c r="S3558">
        <f>IF(H3558="OK",O3558,0)</f>
        <v/>
      </c>
      <c r="T3558">
        <f>IF(H3558="OK",N3558,"")</f>
        <v/>
      </c>
      <c r="U3558">
        <f>TRIM('Cash_Check'!C558)</f>
        <v/>
      </c>
    </row>
    <row r="3559">
      <c r="A3559" s="62">
        <f>IF(H3559="","",IF(ISNUMBER(N3559),N3559,I3559))</f>
        <v/>
      </c>
      <c r="B3559">
        <f>IF(H3559="","",U3559)</f>
        <v/>
      </c>
      <c r="C3559">
        <f>IF(H3559="","",IF(P3559="",K3559,INDEX('Students'!$A$2:$A$701,P3559)))</f>
        <v/>
      </c>
      <c r="D3559">
        <f>IF(OR(H3559="",P3559=""),"",INDEX('Students'!$B$2:$B$701,P3559))</f>
        <v/>
      </c>
      <c r="E3559">
        <f>IF(OR(H3559="",P3559=""),"",INDEX('Students'!$C$2:$C$701,P3559))</f>
        <v/>
      </c>
      <c r="F3559" s="48">
        <f>IF(H3559="","",IF(ISNUMBER(O3559),O3559,J3559))</f>
        <v/>
      </c>
      <c r="G3559">
        <f>IF(H3559="","",M3559)</f>
        <v/>
      </c>
      <c r="H3559">
        <f>IF(AND(I3559="",J3559="",K3559=""),"",IF(OR(NOT(ISNUMBER(O3559)),N(O3559)&lt;=0),"Bad amount",IF(NOT(ISNUMBER(N3559)),"Bad date",IF(P3559="","NAME NOT ON ROSTER","OK"))))</f>
        <v/>
      </c>
      <c r="I3559">
        <f>IF('Cash_Check'!A559="","",'Cash_Check'!A559)</f>
        <v/>
      </c>
      <c r="J3559">
        <f>IF('Cash_Check'!D559="","",'Cash_Check'!D559)</f>
        <v/>
      </c>
      <c r="K3559">
        <f>TRIM('Cash_Check'!B559)</f>
        <v/>
      </c>
      <c r="M3559">
        <f>IF(TRIM('Cash_Check'!E559)="","Cash/check",TRIM('Cash_Check'!E559))</f>
        <v/>
      </c>
      <c r="N3559">
        <f>IF(I3559="","",IF(ISNUMBER(I3559),INT(I3559),IFERROR(INT(DATEVALUE(I3559)),IFERROR(INT(VALUE(I3559)),"bad"))))</f>
        <v/>
      </c>
      <c r="O3559">
        <f>IF(J3559="","",IF(ISNUMBER(J3559),ROUND(J3559,2),IFERROR(ROUND(VALUE(SUBSTITUTE(SUBSTITUTE(SUBSTITUTE(J3559,"$",""),",","")," ","")),2),"bad")))</f>
        <v/>
      </c>
      <c r="P3559">
        <f>IF(K3559="","",IFERROR(MATCH(IF(ISNUMBER(FIND("#",K3559)),TRIM(MID(K3559,FIND("#",K3559)+1,20)),UPPER(K3559)),'Students'!$AD$2:$AD$701,0),""))</f>
        <v/>
      </c>
      <c r="R3559">
        <f>IF(P3559="","",INDEX('Students'!$AD$2:$AD$701,P3559))</f>
        <v/>
      </c>
      <c r="S3559">
        <f>IF(H3559="OK",O3559,0)</f>
        <v/>
      </c>
      <c r="T3559">
        <f>IF(H3559="OK",N3559,"")</f>
        <v/>
      </c>
      <c r="U3559">
        <f>TRIM('Cash_Check'!C559)</f>
        <v/>
      </c>
    </row>
    <row r="3560">
      <c r="A3560" s="62">
        <f>IF(H3560="","",IF(ISNUMBER(N3560),N3560,I3560))</f>
        <v/>
      </c>
      <c r="B3560">
        <f>IF(H3560="","",U3560)</f>
        <v/>
      </c>
      <c r="C3560">
        <f>IF(H3560="","",IF(P3560="",K3560,INDEX('Students'!$A$2:$A$701,P3560)))</f>
        <v/>
      </c>
      <c r="D3560">
        <f>IF(OR(H3560="",P3560=""),"",INDEX('Students'!$B$2:$B$701,P3560))</f>
        <v/>
      </c>
      <c r="E3560">
        <f>IF(OR(H3560="",P3560=""),"",INDEX('Students'!$C$2:$C$701,P3560))</f>
        <v/>
      </c>
      <c r="F3560" s="48">
        <f>IF(H3560="","",IF(ISNUMBER(O3560),O3560,J3560))</f>
        <v/>
      </c>
      <c r="G3560">
        <f>IF(H3560="","",M3560)</f>
        <v/>
      </c>
      <c r="H3560">
        <f>IF(AND(I3560="",J3560="",K3560=""),"",IF(OR(NOT(ISNUMBER(O3560)),N(O3560)&lt;=0),"Bad amount",IF(NOT(ISNUMBER(N3560)),"Bad date",IF(P3560="","NAME NOT ON ROSTER","OK"))))</f>
        <v/>
      </c>
      <c r="I3560">
        <f>IF('Cash_Check'!A560="","",'Cash_Check'!A560)</f>
        <v/>
      </c>
      <c r="J3560">
        <f>IF('Cash_Check'!D560="","",'Cash_Check'!D560)</f>
        <v/>
      </c>
      <c r="K3560">
        <f>TRIM('Cash_Check'!B560)</f>
        <v/>
      </c>
      <c r="M3560">
        <f>IF(TRIM('Cash_Check'!E560)="","Cash/check",TRIM('Cash_Check'!E560))</f>
        <v/>
      </c>
      <c r="N3560">
        <f>IF(I3560="","",IF(ISNUMBER(I3560),INT(I3560),IFERROR(INT(DATEVALUE(I3560)),IFERROR(INT(VALUE(I3560)),"bad"))))</f>
        <v/>
      </c>
      <c r="O3560">
        <f>IF(J3560="","",IF(ISNUMBER(J3560),ROUND(J3560,2),IFERROR(ROUND(VALUE(SUBSTITUTE(SUBSTITUTE(SUBSTITUTE(J3560,"$",""),",","")," ","")),2),"bad")))</f>
        <v/>
      </c>
      <c r="P3560">
        <f>IF(K3560="","",IFERROR(MATCH(IF(ISNUMBER(FIND("#",K3560)),TRIM(MID(K3560,FIND("#",K3560)+1,20)),UPPER(K3560)),'Students'!$AD$2:$AD$701,0),""))</f>
        <v/>
      </c>
      <c r="R3560">
        <f>IF(P3560="","",INDEX('Students'!$AD$2:$AD$701,P3560))</f>
        <v/>
      </c>
      <c r="S3560">
        <f>IF(H3560="OK",O3560,0)</f>
        <v/>
      </c>
      <c r="T3560">
        <f>IF(H3560="OK",N3560,"")</f>
        <v/>
      </c>
      <c r="U3560">
        <f>TRIM('Cash_Check'!C560)</f>
        <v/>
      </c>
    </row>
    <row r="3561">
      <c r="A3561" s="62">
        <f>IF(H3561="","",IF(ISNUMBER(N3561),N3561,I3561))</f>
        <v/>
      </c>
      <c r="B3561">
        <f>IF(H3561="","",U3561)</f>
        <v/>
      </c>
      <c r="C3561">
        <f>IF(H3561="","",IF(P3561="",K3561,INDEX('Students'!$A$2:$A$701,P3561)))</f>
        <v/>
      </c>
      <c r="D3561">
        <f>IF(OR(H3561="",P3561=""),"",INDEX('Students'!$B$2:$B$701,P3561))</f>
        <v/>
      </c>
      <c r="E3561">
        <f>IF(OR(H3561="",P3561=""),"",INDEX('Students'!$C$2:$C$701,P3561))</f>
        <v/>
      </c>
      <c r="F3561" s="48">
        <f>IF(H3561="","",IF(ISNUMBER(O3561),O3561,J3561))</f>
        <v/>
      </c>
      <c r="G3561">
        <f>IF(H3561="","",M3561)</f>
        <v/>
      </c>
      <c r="H3561">
        <f>IF(AND(I3561="",J3561="",K3561=""),"",IF(OR(NOT(ISNUMBER(O3561)),N(O3561)&lt;=0),"Bad amount",IF(NOT(ISNUMBER(N3561)),"Bad date",IF(P3561="","NAME NOT ON ROSTER","OK"))))</f>
        <v/>
      </c>
      <c r="I3561">
        <f>IF('Cash_Check'!A561="","",'Cash_Check'!A561)</f>
        <v/>
      </c>
      <c r="J3561">
        <f>IF('Cash_Check'!D561="","",'Cash_Check'!D561)</f>
        <v/>
      </c>
      <c r="K3561">
        <f>TRIM('Cash_Check'!B561)</f>
        <v/>
      </c>
      <c r="M3561">
        <f>IF(TRIM('Cash_Check'!E561)="","Cash/check",TRIM('Cash_Check'!E561))</f>
        <v/>
      </c>
      <c r="N3561">
        <f>IF(I3561="","",IF(ISNUMBER(I3561),INT(I3561),IFERROR(INT(DATEVALUE(I3561)),IFERROR(INT(VALUE(I3561)),"bad"))))</f>
        <v/>
      </c>
      <c r="O3561">
        <f>IF(J3561="","",IF(ISNUMBER(J3561),ROUND(J3561,2),IFERROR(ROUND(VALUE(SUBSTITUTE(SUBSTITUTE(SUBSTITUTE(J3561,"$",""),",","")," ","")),2),"bad")))</f>
        <v/>
      </c>
      <c r="P3561">
        <f>IF(K3561="","",IFERROR(MATCH(IF(ISNUMBER(FIND("#",K3561)),TRIM(MID(K3561,FIND("#",K3561)+1,20)),UPPER(K3561)),'Students'!$AD$2:$AD$701,0),""))</f>
        <v/>
      </c>
      <c r="R3561">
        <f>IF(P3561="","",INDEX('Students'!$AD$2:$AD$701,P3561))</f>
        <v/>
      </c>
      <c r="S3561">
        <f>IF(H3561="OK",O3561,0)</f>
        <v/>
      </c>
      <c r="T3561">
        <f>IF(H3561="OK",N3561,"")</f>
        <v/>
      </c>
      <c r="U3561">
        <f>TRIM('Cash_Check'!C561)</f>
        <v/>
      </c>
    </row>
    <row r="3562">
      <c r="A3562" s="62">
        <f>IF(H3562="","",IF(ISNUMBER(N3562),N3562,I3562))</f>
        <v/>
      </c>
      <c r="B3562">
        <f>IF(H3562="","",U3562)</f>
        <v/>
      </c>
      <c r="C3562">
        <f>IF(H3562="","",IF(P3562="",K3562,INDEX('Students'!$A$2:$A$701,P3562)))</f>
        <v/>
      </c>
      <c r="D3562">
        <f>IF(OR(H3562="",P3562=""),"",INDEX('Students'!$B$2:$B$701,P3562))</f>
        <v/>
      </c>
      <c r="E3562">
        <f>IF(OR(H3562="",P3562=""),"",INDEX('Students'!$C$2:$C$701,P3562))</f>
        <v/>
      </c>
      <c r="F3562" s="48">
        <f>IF(H3562="","",IF(ISNUMBER(O3562),O3562,J3562))</f>
        <v/>
      </c>
      <c r="G3562">
        <f>IF(H3562="","",M3562)</f>
        <v/>
      </c>
      <c r="H3562">
        <f>IF(AND(I3562="",J3562="",K3562=""),"",IF(OR(NOT(ISNUMBER(O3562)),N(O3562)&lt;=0),"Bad amount",IF(NOT(ISNUMBER(N3562)),"Bad date",IF(P3562="","NAME NOT ON ROSTER","OK"))))</f>
        <v/>
      </c>
      <c r="I3562">
        <f>IF('Cash_Check'!A562="","",'Cash_Check'!A562)</f>
        <v/>
      </c>
      <c r="J3562">
        <f>IF('Cash_Check'!D562="","",'Cash_Check'!D562)</f>
        <v/>
      </c>
      <c r="K3562">
        <f>TRIM('Cash_Check'!B562)</f>
        <v/>
      </c>
      <c r="M3562">
        <f>IF(TRIM('Cash_Check'!E562)="","Cash/check",TRIM('Cash_Check'!E562))</f>
        <v/>
      </c>
      <c r="N3562">
        <f>IF(I3562="","",IF(ISNUMBER(I3562),INT(I3562),IFERROR(INT(DATEVALUE(I3562)),IFERROR(INT(VALUE(I3562)),"bad"))))</f>
        <v/>
      </c>
      <c r="O3562">
        <f>IF(J3562="","",IF(ISNUMBER(J3562),ROUND(J3562,2),IFERROR(ROUND(VALUE(SUBSTITUTE(SUBSTITUTE(SUBSTITUTE(J3562,"$",""),",","")," ","")),2),"bad")))</f>
        <v/>
      </c>
      <c r="P3562">
        <f>IF(K3562="","",IFERROR(MATCH(IF(ISNUMBER(FIND("#",K3562)),TRIM(MID(K3562,FIND("#",K3562)+1,20)),UPPER(K3562)),'Students'!$AD$2:$AD$701,0),""))</f>
        <v/>
      </c>
      <c r="R3562">
        <f>IF(P3562="","",INDEX('Students'!$AD$2:$AD$701,P3562))</f>
        <v/>
      </c>
      <c r="S3562">
        <f>IF(H3562="OK",O3562,0)</f>
        <v/>
      </c>
      <c r="T3562">
        <f>IF(H3562="OK",N3562,"")</f>
        <v/>
      </c>
      <c r="U3562">
        <f>TRIM('Cash_Check'!C562)</f>
        <v/>
      </c>
    </row>
    <row r="3563">
      <c r="A3563" s="62">
        <f>IF(H3563="","",IF(ISNUMBER(N3563),N3563,I3563))</f>
        <v/>
      </c>
      <c r="B3563">
        <f>IF(H3563="","",U3563)</f>
        <v/>
      </c>
      <c r="C3563">
        <f>IF(H3563="","",IF(P3563="",K3563,INDEX('Students'!$A$2:$A$701,P3563)))</f>
        <v/>
      </c>
      <c r="D3563">
        <f>IF(OR(H3563="",P3563=""),"",INDEX('Students'!$B$2:$B$701,P3563))</f>
        <v/>
      </c>
      <c r="E3563">
        <f>IF(OR(H3563="",P3563=""),"",INDEX('Students'!$C$2:$C$701,P3563))</f>
        <v/>
      </c>
      <c r="F3563" s="48">
        <f>IF(H3563="","",IF(ISNUMBER(O3563),O3563,J3563))</f>
        <v/>
      </c>
      <c r="G3563">
        <f>IF(H3563="","",M3563)</f>
        <v/>
      </c>
      <c r="H3563">
        <f>IF(AND(I3563="",J3563="",K3563=""),"",IF(OR(NOT(ISNUMBER(O3563)),N(O3563)&lt;=0),"Bad amount",IF(NOT(ISNUMBER(N3563)),"Bad date",IF(P3563="","NAME NOT ON ROSTER","OK"))))</f>
        <v/>
      </c>
      <c r="I3563">
        <f>IF('Cash_Check'!A563="","",'Cash_Check'!A563)</f>
        <v/>
      </c>
      <c r="J3563">
        <f>IF('Cash_Check'!D563="","",'Cash_Check'!D563)</f>
        <v/>
      </c>
      <c r="K3563">
        <f>TRIM('Cash_Check'!B563)</f>
        <v/>
      </c>
      <c r="M3563">
        <f>IF(TRIM('Cash_Check'!E563)="","Cash/check",TRIM('Cash_Check'!E563))</f>
        <v/>
      </c>
      <c r="N3563">
        <f>IF(I3563="","",IF(ISNUMBER(I3563),INT(I3563),IFERROR(INT(DATEVALUE(I3563)),IFERROR(INT(VALUE(I3563)),"bad"))))</f>
        <v/>
      </c>
      <c r="O3563">
        <f>IF(J3563="","",IF(ISNUMBER(J3563),ROUND(J3563,2),IFERROR(ROUND(VALUE(SUBSTITUTE(SUBSTITUTE(SUBSTITUTE(J3563,"$",""),",","")," ","")),2),"bad")))</f>
        <v/>
      </c>
      <c r="P3563">
        <f>IF(K3563="","",IFERROR(MATCH(IF(ISNUMBER(FIND("#",K3563)),TRIM(MID(K3563,FIND("#",K3563)+1,20)),UPPER(K3563)),'Students'!$AD$2:$AD$701,0),""))</f>
        <v/>
      </c>
      <c r="R3563">
        <f>IF(P3563="","",INDEX('Students'!$AD$2:$AD$701,P3563))</f>
        <v/>
      </c>
      <c r="S3563">
        <f>IF(H3563="OK",O3563,0)</f>
        <v/>
      </c>
      <c r="T3563">
        <f>IF(H3563="OK",N3563,"")</f>
        <v/>
      </c>
      <c r="U3563">
        <f>TRIM('Cash_Check'!C563)</f>
        <v/>
      </c>
    </row>
    <row r="3564">
      <c r="A3564" s="62">
        <f>IF(H3564="","",IF(ISNUMBER(N3564),N3564,I3564))</f>
        <v/>
      </c>
      <c r="B3564">
        <f>IF(H3564="","",U3564)</f>
        <v/>
      </c>
      <c r="C3564">
        <f>IF(H3564="","",IF(P3564="",K3564,INDEX('Students'!$A$2:$A$701,P3564)))</f>
        <v/>
      </c>
      <c r="D3564">
        <f>IF(OR(H3564="",P3564=""),"",INDEX('Students'!$B$2:$B$701,P3564))</f>
        <v/>
      </c>
      <c r="E3564">
        <f>IF(OR(H3564="",P3564=""),"",INDEX('Students'!$C$2:$C$701,P3564))</f>
        <v/>
      </c>
      <c r="F3564" s="48">
        <f>IF(H3564="","",IF(ISNUMBER(O3564),O3564,J3564))</f>
        <v/>
      </c>
      <c r="G3564">
        <f>IF(H3564="","",M3564)</f>
        <v/>
      </c>
      <c r="H3564">
        <f>IF(AND(I3564="",J3564="",K3564=""),"",IF(OR(NOT(ISNUMBER(O3564)),N(O3564)&lt;=0),"Bad amount",IF(NOT(ISNUMBER(N3564)),"Bad date",IF(P3564="","NAME NOT ON ROSTER","OK"))))</f>
        <v/>
      </c>
      <c r="I3564">
        <f>IF('Cash_Check'!A564="","",'Cash_Check'!A564)</f>
        <v/>
      </c>
      <c r="J3564">
        <f>IF('Cash_Check'!D564="","",'Cash_Check'!D564)</f>
        <v/>
      </c>
      <c r="K3564">
        <f>TRIM('Cash_Check'!B564)</f>
        <v/>
      </c>
      <c r="M3564">
        <f>IF(TRIM('Cash_Check'!E564)="","Cash/check",TRIM('Cash_Check'!E564))</f>
        <v/>
      </c>
      <c r="N3564">
        <f>IF(I3564="","",IF(ISNUMBER(I3564),INT(I3564),IFERROR(INT(DATEVALUE(I3564)),IFERROR(INT(VALUE(I3564)),"bad"))))</f>
        <v/>
      </c>
      <c r="O3564">
        <f>IF(J3564="","",IF(ISNUMBER(J3564),ROUND(J3564,2),IFERROR(ROUND(VALUE(SUBSTITUTE(SUBSTITUTE(SUBSTITUTE(J3564,"$",""),",","")," ","")),2),"bad")))</f>
        <v/>
      </c>
      <c r="P3564">
        <f>IF(K3564="","",IFERROR(MATCH(IF(ISNUMBER(FIND("#",K3564)),TRIM(MID(K3564,FIND("#",K3564)+1,20)),UPPER(K3564)),'Students'!$AD$2:$AD$701,0),""))</f>
        <v/>
      </c>
      <c r="R3564">
        <f>IF(P3564="","",INDEX('Students'!$AD$2:$AD$701,P3564))</f>
        <v/>
      </c>
      <c r="S3564">
        <f>IF(H3564="OK",O3564,0)</f>
        <v/>
      </c>
      <c r="T3564">
        <f>IF(H3564="OK",N3564,"")</f>
        <v/>
      </c>
      <c r="U3564">
        <f>TRIM('Cash_Check'!C564)</f>
        <v/>
      </c>
    </row>
    <row r="3565">
      <c r="A3565" s="62">
        <f>IF(H3565="","",IF(ISNUMBER(N3565),N3565,I3565))</f>
        <v/>
      </c>
      <c r="B3565">
        <f>IF(H3565="","",U3565)</f>
        <v/>
      </c>
      <c r="C3565">
        <f>IF(H3565="","",IF(P3565="",K3565,INDEX('Students'!$A$2:$A$701,P3565)))</f>
        <v/>
      </c>
      <c r="D3565">
        <f>IF(OR(H3565="",P3565=""),"",INDEX('Students'!$B$2:$B$701,P3565))</f>
        <v/>
      </c>
      <c r="E3565">
        <f>IF(OR(H3565="",P3565=""),"",INDEX('Students'!$C$2:$C$701,P3565))</f>
        <v/>
      </c>
      <c r="F3565" s="48">
        <f>IF(H3565="","",IF(ISNUMBER(O3565),O3565,J3565))</f>
        <v/>
      </c>
      <c r="G3565">
        <f>IF(H3565="","",M3565)</f>
        <v/>
      </c>
      <c r="H3565">
        <f>IF(AND(I3565="",J3565="",K3565=""),"",IF(OR(NOT(ISNUMBER(O3565)),N(O3565)&lt;=0),"Bad amount",IF(NOT(ISNUMBER(N3565)),"Bad date",IF(P3565="","NAME NOT ON ROSTER","OK"))))</f>
        <v/>
      </c>
      <c r="I3565">
        <f>IF('Cash_Check'!A565="","",'Cash_Check'!A565)</f>
        <v/>
      </c>
      <c r="J3565">
        <f>IF('Cash_Check'!D565="","",'Cash_Check'!D565)</f>
        <v/>
      </c>
      <c r="K3565">
        <f>TRIM('Cash_Check'!B565)</f>
        <v/>
      </c>
      <c r="M3565">
        <f>IF(TRIM('Cash_Check'!E565)="","Cash/check",TRIM('Cash_Check'!E565))</f>
        <v/>
      </c>
      <c r="N3565">
        <f>IF(I3565="","",IF(ISNUMBER(I3565),INT(I3565),IFERROR(INT(DATEVALUE(I3565)),IFERROR(INT(VALUE(I3565)),"bad"))))</f>
        <v/>
      </c>
      <c r="O3565">
        <f>IF(J3565="","",IF(ISNUMBER(J3565),ROUND(J3565,2),IFERROR(ROUND(VALUE(SUBSTITUTE(SUBSTITUTE(SUBSTITUTE(J3565,"$",""),",","")," ","")),2),"bad")))</f>
        <v/>
      </c>
      <c r="P3565">
        <f>IF(K3565="","",IFERROR(MATCH(IF(ISNUMBER(FIND("#",K3565)),TRIM(MID(K3565,FIND("#",K3565)+1,20)),UPPER(K3565)),'Students'!$AD$2:$AD$701,0),""))</f>
        <v/>
      </c>
      <c r="R3565">
        <f>IF(P3565="","",INDEX('Students'!$AD$2:$AD$701,P3565))</f>
        <v/>
      </c>
      <c r="S3565">
        <f>IF(H3565="OK",O3565,0)</f>
        <v/>
      </c>
      <c r="T3565">
        <f>IF(H3565="OK",N3565,"")</f>
        <v/>
      </c>
      <c r="U3565">
        <f>TRIM('Cash_Check'!C565)</f>
        <v/>
      </c>
    </row>
    <row r="3566">
      <c r="A3566" s="62">
        <f>IF(H3566="","",IF(ISNUMBER(N3566),N3566,I3566))</f>
        <v/>
      </c>
      <c r="B3566">
        <f>IF(H3566="","",U3566)</f>
        <v/>
      </c>
      <c r="C3566">
        <f>IF(H3566="","",IF(P3566="",K3566,INDEX('Students'!$A$2:$A$701,P3566)))</f>
        <v/>
      </c>
      <c r="D3566">
        <f>IF(OR(H3566="",P3566=""),"",INDEX('Students'!$B$2:$B$701,P3566))</f>
        <v/>
      </c>
      <c r="E3566">
        <f>IF(OR(H3566="",P3566=""),"",INDEX('Students'!$C$2:$C$701,P3566))</f>
        <v/>
      </c>
      <c r="F3566" s="48">
        <f>IF(H3566="","",IF(ISNUMBER(O3566),O3566,J3566))</f>
        <v/>
      </c>
      <c r="G3566">
        <f>IF(H3566="","",M3566)</f>
        <v/>
      </c>
      <c r="H3566">
        <f>IF(AND(I3566="",J3566="",K3566=""),"",IF(OR(NOT(ISNUMBER(O3566)),N(O3566)&lt;=0),"Bad amount",IF(NOT(ISNUMBER(N3566)),"Bad date",IF(P3566="","NAME NOT ON ROSTER","OK"))))</f>
        <v/>
      </c>
      <c r="I3566">
        <f>IF('Cash_Check'!A566="","",'Cash_Check'!A566)</f>
        <v/>
      </c>
      <c r="J3566">
        <f>IF('Cash_Check'!D566="","",'Cash_Check'!D566)</f>
        <v/>
      </c>
      <c r="K3566">
        <f>TRIM('Cash_Check'!B566)</f>
        <v/>
      </c>
      <c r="M3566">
        <f>IF(TRIM('Cash_Check'!E566)="","Cash/check",TRIM('Cash_Check'!E566))</f>
        <v/>
      </c>
      <c r="N3566">
        <f>IF(I3566="","",IF(ISNUMBER(I3566),INT(I3566),IFERROR(INT(DATEVALUE(I3566)),IFERROR(INT(VALUE(I3566)),"bad"))))</f>
        <v/>
      </c>
      <c r="O3566">
        <f>IF(J3566="","",IF(ISNUMBER(J3566),ROUND(J3566,2),IFERROR(ROUND(VALUE(SUBSTITUTE(SUBSTITUTE(SUBSTITUTE(J3566,"$",""),",","")," ","")),2),"bad")))</f>
        <v/>
      </c>
      <c r="P3566">
        <f>IF(K3566="","",IFERROR(MATCH(IF(ISNUMBER(FIND("#",K3566)),TRIM(MID(K3566,FIND("#",K3566)+1,20)),UPPER(K3566)),'Students'!$AD$2:$AD$701,0),""))</f>
        <v/>
      </c>
      <c r="R3566">
        <f>IF(P3566="","",INDEX('Students'!$AD$2:$AD$701,P3566))</f>
        <v/>
      </c>
      <c r="S3566">
        <f>IF(H3566="OK",O3566,0)</f>
        <v/>
      </c>
      <c r="T3566">
        <f>IF(H3566="OK",N3566,"")</f>
        <v/>
      </c>
      <c r="U3566">
        <f>TRIM('Cash_Check'!C566)</f>
        <v/>
      </c>
    </row>
    <row r="3567">
      <c r="A3567" s="62">
        <f>IF(H3567="","",IF(ISNUMBER(N3567),N3567,I3567))</f>
        <v/>
      </c>
      <c r="B3567">
        <f>IF(H3567="","",U3567)</f>
        <v/>
      </c>
      <c r="C3567">
        <f>IF(H3567="","",IF(P3567="",K3567,INDEX('Students'!$A$2:$A$701,P3567)))</f>
        <v/>
      </c>
      <c r="D3567">
        <f>IF(OR(H3567="",P3567=""),"",INDEX('Students'!$B$2:$B$701,P3567))</f>
        <v/>
      </c>
      <c r="E3567">
        <f>IF(OR(H3567="",P3567=""),"",INDEX('Students'!$C$2:$C$701,P3567))</f>
        <v/>
      </c>
      <c r="F3567" s="48">
        <f>IF(H3567="","",IF(ISNUMBER(O3567),O3567,J3567))</f>
        <v/>
      </c>
      <c r="G3567">
        <f>IF(H3567="","",M3567)</f>
        <v/>
      </c>
      <c r="H3567">
        <f>IF(AND(I3567="",J3567="",K3567=""),"",IF(OR(NOT(ISNUMBER(O3567)),N(O3567)&lt;=0),"Bad amount",IF(NOT(ISNUMBER(N3567)),"Bad date",IF(P3567="","NAME NOT ON ROSTER","OK"))))</f>
        <v/>
      </c>
      <c r="I3567">
        <f>IF('Cash_Check'!A567="","",'Cash_Check'!A567)</f>
        <v/>
      </c>
      <c r="J3567">
        <f>IF('Cash_Check'!D567="","",'Cash_Check'!D567)</f>
        <v/>
      </c>
      <c r="K3567">
        <f>TRIM('Cash_Check'!B567)</f>
        <v/>
      </c>
      <c r="M3567">
        <f>IF(TRIM('Cash_Check'!E567)="","Cash/check",TRIM('Cash_Check'!E567))</f>
        <v/>
      </c>
      <c r="N3567">
        <f>IF(I3567="","",IF(ISNUMBER(I3567),INT(I3567),IFERROR(INT(DATEVALUE(I3567)),IFERROR(INT(VALUE(I3567)),"bad"))))</f>
        <v/>
      </c>
      <c r="O3567">
        <f>IF(J3567="","",IF(ISNUMBER(J3567),ROUND(J3567,2),IFERROR(ROUND(VALUE(SUBSTITUTE(SUBSTITUTE(SUBSTITUTE(J3567,"$",""),",","")," ","")),2),"bad")))</f>
        <v/>
      </c>
      <c r="P3567">
        <f>IF(K3567="","",IFERROR(MATCH(IF(ISNUMBER(FIND("#",K3567)),TRIM(MID(K3567,FIND("#",K3567)+1,20)),UPPER(K3567)),'Students'!$AD$2:$AD$701,0),""))</f>
        <v/>
      </c>
      <c r="R3567">
        <f>IF(P3567="","",INDEX('Students'!$AD$2:$AD$701,P3567))</f>
        <v/>
      </c>
      <c r="S3567">
        <f>IF(H3567="OK",O3567,0)</f>
        <v/>
      </c>
      <c r="T3567">
        <f>IF(H3567="OK",N3567,"")</f>
        <v/>
      </c>
      <c r="U3567">
        <f>TRIM('Cash_Check'!C567)</f>
        <v/>
      </c>
    </row>
    <row r="3568">
      <c r="A3568" s="62">
        <f>IF(H3568="","",IF(ISNUMBER(N3568),N3568,I3568))</f>
        <v/>
      </c>
      <c r="B3568">
        <f>IF(H3568="","",U3568)</f>
        <v/>
      </c>
      <c r="C3568">
        <f>IF(H3568="","",IF(P3568="",K3568,INDEX('Students'!$A$2:$A$701,P3568)))</f>
        <v/>
      </c>
      <c r="D3568">
        <f>IF(OR(H3568="",P3568=""),"",INDEX('Students'!$B$2:$B$701,P3568))</f>
        <v/>
      </c>
      <c r="E3568">
        <f>IF(OR(H3568="",P3568=""),"",INDEX('Students'!$C$2:$C$701,P3568))</f>
        <v/>
      </c>
      <c r="F3568" s="48">
        <f>IF(H3568="","",IF(ISNUMBER(O3568),O3568,J3568))</f>
        <v/>
      </c>
      <c r="G3568">
        <f>IF(H3568="","",M3568)</f>
        <v/>
      </c>
      <c r="H3568">
        <f>IF(AND(I3568="",J3568="",K3568=""),"",IF(OR(NOT(ISNUMBER(O3568)),N(O3568)&lt;=0),"Bad amount",IF(NOT(ISNUMBER(N3568)),"Bad date",IF(P3568="","NAME NOT ON ROSTER","OK"))))</f>
        <v/>
      </c>
      <c r="I3568">
        <f>IF('Cash_Check'!A568="","",'Cash_Check'!A568)</f>
        <v/>
      </c>
      <c r="J3568">
        <f>IF('Cash_Check'!D568="","",'Cash_Check'!D568)</f>
        <v/>
      </c>
      <c r="K3568">
        <f>TRIM('Cash_Check'!B568)</f>
        <v/>
      </c>
      <c r="M3568">
        <f>IF(TRIM('Cash_Check'!E568)="","Cash/check",TRIM('Cash_Check'!E568))</f>
        <v/>
      </c>
      <c r="N3568">
        <f>IF(I3568="","",IF(ISNUMBER(I3568),INT(I3568),IFERROR(INT(DATEVALUE(I3568)),IFERROR(INT(VALUE(I3568)),"bad"))))</f>
        <v/>
      </c>
      <c r="O3568">
        <f>IF(J3568="","",IF(ISNUMBER(J3568),ROUND(J3568,2),IFERROR(ROUND(VALUE(SUBSTITUTE(SUBSTITUTE(SUBSTITUTE(J3568,"$",""),",","")," ","")),2),"bad")))</f>
        <v/>
      </c>
      <c r="P3568">
        <f>IF(K3568="","",IFERROR(MATCH(IF(ISNUMBER(FIND("#",K3568)),TRIM(MID(K3568,FIND("#",K3568)+1,20)),UPPER(K3568)),'Students'!$AD$2:$AD$701,0),""))</f>
        <v/>
      </c>
      <c r="R3568">
        <f>IF(P3568="","",INDEX('Students'!$AD$2:$AD$701,P3568))</f>
        <v/>
      </c>
      <c r="S3568">
        <f>IF(H3568="OK",O3568,0)</f>
        <v/>
      </c>
      <c r="T3568">
        <f>IF(H3568="OK",N3568,"")</f>
        <v/>
      </c>
      <c r="U3568">
        <f>TRIM('Cash_Check'!C568)</f>
        <v/>
      </c>
    </row>
    <row r="3569">
      <c r="A3569" s="62">
        <f>IF(H3569="","",IF(ISNUMBER(N3569),N3569,I3569))</f>
        <v/>
      </c>
      <c r="B3569">
        <f>IF(H3569="","",U3569)</f>
        <v/>
      </c>
      <c r="C3569">
        <f>IF(H3569="","",IF(P3569="",K3569,INDEX('Students'!$A$2:$A$701,P3569)))</f>
        <v/>
      </c>
      <c r="D3569">
        <f>IF(OR(H3569="",P3569=""),"",INDEX('Students'!$B$2:$B$701,P3569))</f>
        <v/>
      </c>
      <c r="E3569">
        <f>IF(OR(H3569="",P3569=""),"",INDEX('Students'!$C$2:$C$701,P3569))</f>
        <v/>
      </c>
      <c r="F3569" s="48">
        <f>IF(H3569="","",IF(ISNUMBER(O3569),O3569,J3569))</f>
        <v/>
      </c>
      <c r="G3569">
        <f>IF(H3569="","",M3569)</f>
        <v/>
      </c>
      <c r="H3569">
        <f>IF(AND(I3569="",J3569="",K3569=""),"",IF(OR(NOT(ISNUMBER(O3569)),N(O3569)&lt;=0),"Bad amount",IF(NOT(ISNUMBER(N3569)),"Bad date",IF(P3569="","NAME NOT ON ROSTER","OK"))))</f>
        <v/>
      </c>
      <c r="I3569">
        <f>IF('Cash_Check'!A569="","",'Cash_Check'!A569)</f>
        <v/>
      </c>
      <c r="J3569">
        <f>IF('Cash_Check'!D569="","",'Cash_Check'!D569)</f>
        <v/>
      </c>
      <c r="K3569">
        <f>TRIM('Cash_Check'!B569)</f>
        <v/>
      </c>
      <c r="M3569">
        <f>IF(TRIM('Cash_Check'!E569)="","Cash/check",TRIM('Cash_Check'!E569))</f>
        <v/>
      </c>
      <c r="N3569">
        <f>IF(I3569="","",IF(ISNUMBER(I3569),INT(I3569),IFERROR(INT(DATEVALUE(I3569)),IFERROR(INT(VALUE(I3569)),"bad"))))</f>
        <v/>
      </c>
      <c r="O3569">
        <f>IF(J3569="","",IF(ISNUMBER(J3569),ROUND(J3569,2),IFERROR(ROUND(VALUE(SUBSTITUTE(SUBSTITUTE(SUBSTITUTE(J3569,"$",""),",","")," ","")),2),"bad")))</f>
        <v/>
      </c>
      <c r="P3569">
        <f>IF(K3569="","",IFERROR(MATCH(IF(ISNUMBER(FIND("#",K3569)),TRIM(MID(K3569,FIND("#",K3569)+1,20)),UPPER(K3569)),'Students'!$AD$2:$AD$701,0),""))</f>
        <v/>
      </c>
      <c r="R3569">
        <f>IF(P3569="","",INDEX('Students'!$AD$2:$AD$701,P3569))</f>
        <v/>
      </c>
      <c r="S3569">
        <f>IF(H3569="OK",O3569,0)</f>
        <v/>
      </c>
      <c r="T3569">
        <f>IF(H3569="OK",N3569,"")</f>
        <v/>
      </c>
      <c r="U3569">
        <f>TRIM('Cash_Check'!C569)</f>
        <v/>
      </c>
    </row>
    <row r="3570">
      <c r="A3570" s="62">
        <f>IF(H3570="","",IF(ISNUMBER(N3570),N3570,I3570))</f>
        <v/>
      </c>
      <c r="B3570">
        <f>IF(H3570="","",U3570)</f>
        <v/>
      </c>
      <c r="C3570">
        <f>IF(H3570="","",IF(P3570="",K3570,INDEX('Students'!$A$2:$A$701,P3570)))</f>
        <v/>
      </c>
      <c r="D3570">
        <f>IF(OR(H3570="",P3570=""),"",INDEX('Students'!$B$2:$B$701,P3570))</f>
        <v/>
      </c>
      <c r="E3570">
        <f>IF(OR(H3570="",P3570=""),"",INDEX('Students'!$C$2:$C$701,P3570))</f>
        <v/>
      </c>
      <c r="F3570" s="48">
        <f>IF(H3570="","",IF(ISNUMBER(O3570),O3570,J3570))</f>
        <v/>
      </c>
      <c r="G3570">
        <f>IF(H3570="","",M3570)</f>
        <v/>
      </c>
      <c r="H3570">
        <f>IF(AND(I3570="",J3570="",K3570=""),"",IF(OR(NOT(ISNUMBER(O3570)),N(O3570)&lt;=0),"Bad amount",IF(NOT(ISNUMBER(N3570)),"Bad date",IF(P3570="","NAME NOT ON ROSTER","OK"))))</f>
        <v/>
      </c>
      <c r="I3570">
        <f>IF('Cash_Check'!A570="","",'Cash_Check'!A570)</f>
        <v/>
      </c>
      <c r="J3570">
        <f>IF('Cash_Check'!D570="","",'Cash_Check'!D570)</f>
        <v/>
      </c>
      <c r="K3570">
        <f>TRIM('Cash_Check'!B570)</f>
        <v/>
      </c>
      <c r="M3570">
        <f>IF(TRIM('Cash_Check'!E570)="","Cash/check",TRIM('Cash_Check'!E570))</f>
        <v/>
      </c>
      <c r="N3570">
        <f>IF(I3570="","",IF(ISNUMBER(I3570),INT(I3570),IFERROR(INT(DATEVALUE(I3570)),IFERROR(INT(VALUE(I3570)),"bad"))))</f>
        <v/>
      </c>
      <c r="O3570">
        <f>IF(J3570="","",IF(ISNUMBER(J3570),ROUND(J3570,2),IFERROR(ROUND(VALUE(SUBSTITUTE(SUBSTITUTE(SUBSTITUTE(J3570,"$",""),",","")," ","")),2),"bad")))</f>
        <v/>
      </c>
      <c r="P3570">
        <f>IF(K3570="","",IFERROR(MATCH(IF(ISNUMBER(FIND("#",K3570)),TRIM(MID(K3570,FIND("#",K3570)+1,20)),UPPER(K3570)),'Students'!$AD$2:$AD$701,0),""))</f>
        <v/>
      </c>
      <c r="R3570">
        <f>IF(P3570="","",INDEX('Students'!$AD$2:$AD$701,P3570))</f>
        <v/>
      </c>
      <c r="S3570">
        <f>IF(H3570="OK",O3570,0)</f>
        <v/>
      </c>
      <c r="T3570">
        <f>IF(H3570="OK",N3570,"")</f>
        <v/>
      </c>
      <c r="U3570">
        <f>TRIM('Cash_Check'!C570)</f>
        <v/>
      </c>
    </row>
    <row r="3571">
      <c r="A3571" s="62">
        <f>IF(H3571="","",IF(ISNUMBER(N3571),N3571,I3571))</f>
        <v/>
      </c>
      <c r="B3571">
        <f>IF(H3571="","",U3571)</f>
        <v/>
      </c>
      <c r="C3571">
        <f>IF(H3571="","",IF(P3571="",K3571,INDEX('Students'!$A$2:$A$701,P3571)))</f>
        <v/>
      </c>
      <c r="D3571">
        <f>IF(OR(H3571="",P3571=""),"",INDEX('Students'!$B$2:$B$701,P3571))</f>
        <v/>
      </c>
      <c r="E3571">
        <f>IF(OR(H3571="",P3571=""),"",INDEX('Students'!$C$2:$C$701,P3571))</f>
        <v/>
      </c>
      <c r="F3571" s="48">
        <f>IF(H3571="","",IF(ISNUMBER(O3571),O3571,J3571))</f>
        <v/>
      </c>
      <c r="G3571">
        <f>IF(H3571="","",M3571)</f>
        <v/>
      </c>
      <c r="H3571">
        <f>IF(AND(I3571="",J3571="",K3571=""),"",IF(OR(NOT(ISNUMBER(O3571)),N(O3571)&lt;=0),"Bad amount",IF(NOT(ISNUMBER(N3571)),"Bad date",IF(P3571="","NAME NOT ON ROSTER","OK"))))</f>
        <v/>
      </c>
      <c r="I3571">
        <f>IF('Cash_Check'!A571="","",'Cash_Check'!A571)</f>
        <v/>
      </c>
      <c r="J3571">
        <f>IF('Cash_Check'!D571="","",'Cash_Check'!D571)</f>
        <v/>
      </c>
      <c r="K3571">
        <f>TRIM('Cash_Check'!B571)</f>
        <v/>
      </c>
      <c r="M3571">
        <f>IF(TRIM('Cash_Check'!E571)="","Cash/check",TRIM('Cash_Check'!E571))</f>
        <v/>
      </c>
      <c r="N3571">
        <f>IF(I3571="","",IF(ISNUMBER(I3571),INT(I3571),IFERROR(INT(DATEVALUE(I3571)),IFERROR(INT(VALUE(I3571)),"bad"))))</f>
        <v/>
      </c>
      <c r="O3571">
        <f>IF(J3571="","",IF(ISNUMBER(J3571),ROUND(J3571,2),IFERROR(ROUND(VALUE(SUBSTITUTE(SUBSTITUTE(SUBSTITUTE(J3571,"$",""),",","")," ","")),2),"bad")))</f>
        <v/>
      </c>
      <c r="P3571">
        <f>IF(K3571="","",IFERROR(MATCH(IF(ISNUMBER(FIND("#",K3571)),TRIM(MID(K3571,FIND("#",K3571)+1,20)),UPPER(K3571)),'Students'!$AD$2:$AD$701,0),""))</f>
        <v/>
      </c>
      <c r="R3571">
        <f>IF(P3571="","",INDEX('Students'!$AD$2:$AD$701,P3571))</f>
        <v/>
      </c>
      <c r="S3571">
        <f>IF(H3571="OK",O3571,0)</f>
        <v/>
      </c>
      <c r="T3571">
        <f>IF(H3571="OK",N3571,"")</f>
        <v/>
      </c>
      <c r="U3571">
        <f>TRIM('Cash_Check'!C571)</f>
        <v/>
      </c>
    </row>
    <row r="3572">
      <c r="A3572" s="62">
        <f>IF(H3572="","",IF(ISNUMBER(N3572),N3572,I3572))</f>
        <v/>
      </c>
      <c r="B3572">
        <f>IF(H3572="","",U3572)</f>
        <v/>
      </c>
      <c r="C3572">
        <f>IF(H3572="","",IF(P3572="",K3572,INDEX('Students'!$A$2:$A$701,P3572)))</f>
        <v/>
      </c>
      <c r="D3572">
        <f>IF(OR(H3572="",P3572=""),"",INDEX('Students'!$B$2:$B$701,P3572))</f>
        <v/>
      </c>
      <c r="E3572">
        <f>IF(OR(H3572="",P3572=""),"",INDEX('Students'!$C$2:$C$701,P3572))</f>
        <v/>
      </c>
      <c r="F3572" s="48">
        <f>IF(H3572="","",IF(ISNUMBER(O3572),O3572,J3572))</f>
        <v/>
      </c>
      <c r="G3572">
        <f>IF(H3572="","",M3572)</f>
        <v/>
      </c>
      <c r="H3572">
        <f>IF(AND(I3572="",J3572="",K3572=""),"",IF(OR(NOT(ISNUMBER(O3572)),N(O3572)&lt;=0),"Bad amount",IF(NOT(ISNUMBER(N3572)),"Bad date",IF(P3572="","NAME NOT ON ROSTER","OK"))))</f>
        <v/>
      </c>
      <c r="I3572">
        <f>IF('Cash_Check'!A572="","",'Cash_Check'!A572)</f>
        <v/>
      </c>
      <c r="J3572">
        <f>IF('Cash_Check'!D572="","",'Cash_Check'!D572)</f>
        <v/>
      </c>
      <c r="K3572">
        <f>TRIM('Cash_Check'!B572)</f>
        <v/>
      </c>
      <c r="M3572">
        <f>IF(TRIM('Cash_Check'!E572)="","Cash/check",TRIM('Cash_Check'!E572))</f>
        <v/>
      </c>
      <c r="N3572">
        <f>IF(I3572="","",IF(ISNUMBER(I3572),INT(I3572),IFERROR(INT(DATEVALUE(I3572)),IFERROR(INT(VALUE(I3572)),"bad"))))</f>
        <v/>
      </c>
      <c r="O3572">
        <f>IF(J3572="","",IF(ISNUMBER(J3572),ROUND(J3572,2),IFERROR(ROUND(VALUE(SUBSTITUTE(SUBSTITUTE(SUBSTITUTE(J3572,"$",""),",","")," ","")),2),"bad")))</f>
        <v/>
      </c>
      <c r="P3572">
        <f>IF(K3572="","",IFERROR(MATCH(IF(ISNUMBER(FIND("#",K3572)),TRIM(MID(K3572,FIND("#",K3572)+1,20)),UPPER(K3572)),'Students'!$AD$2:$AD$701,0),""))</f>
        <v/>
      </c>
      <c r="R3572">
        <f>IF(P3572="","",INDEX('Students'!$AD$2:$AD$701,P3572))</f>
        <v/>
      </c>
      <c r="S3572">
        <f>IF(H3572="OK",O3572,0)</f>
        <v/>
      </c>
      <c r="T3572">
        <f>IF(H3572="OK",N3572,"")</f>
        <v/>
      </c>
      <c r="U3572">
        <f>TRIM('Cash_Check'!C572)</f>
        <v/>
      </c>
    </row>
    <row r="3573">
      <c r="A3573" s="62">
        <f>IF(H3573="","",IF(ISNUMBER(N3573),N3573,I3573))</f>
        <v/>
      </c>
      <c r="B3573">
        <f>IF(H3573="","",U3573)</f>
        <v/>
      </c>
      <c r="C3573">
        <f>IF(H3573="","",IF(P3573="",K3573,INDEX('Students'!$A$2:$A$701,P3573)))</f>
        <v/>
      </c>
      <c r="D3573">
        <f>IF(OR(H3573="",P3573=""),"",INDEX('Students'!$B$2:$B$701,P3573))</f>
        <v/>
      </c>
      <c r="E3573">
        <f>IF(OR(H3573="",P3573=""),"",INDEX('Students'!$C$2:$C$701,P3573))</f>
        <v/>
      </c>
      <c r="F3573" s="48">
        <f>IF(H3573="","",IF(ISNUMBER(O3573),O3573,J3573))</f>
        <v/>
      </c>
      <c r="G3573">
        <f>IF(H3573="","",M3573)</f>
        <v/>
      </c>
      <c r="H3573">
        <f>IF(AND(I3573="",J3573="",K3573=""),"",IF(OR(NOT(ISNUMBER(O3573)),N(O3573)&lt;=0),"Bad amount",IF(NOT(ISNUMBER(N3573)),"Bad date",IF(P3573="","NAME NOT ON ROSTER","OK"))))</f>
        <v/>
      </c>
      <c r="I3573">
        <f>IF('Cash_Check'!A573="","",'Cash_Check'!A573)</f>
        <v/>
      </c>
      <c r="J3573">
        <f>IF('Cash_Check'!D573="","",'Cash_Check'!D573)</f>
        <v/>
      </c>
      <c r="K3573">
        <f>TRIM('Cash_Check'!B573)</f>
        <v/>
      </c>
      <c r="M3573">
        <f>IF(TRIM('Cash_Check'!E573)="","Cash/check",TRIM('Cash_Check'!E573))</f>
        <v/>
      </c>
      <c r="N3573">
        <f>IF(I3573="","",IF(ISNUMBER(I3573),INT(I3573),IFERROR(INT(DATEVALUE(I3573)),IFERROR(INT(VALUE(I3573)),"bad"))))</f>
        <v/>
      </c>
      <c r="O3573">
        <f>IF(J3573="","",IF(ISNUMBER(J3573),ROUND(J3573,2),IFERROR(ROUND(VALUE(SUBSTITUTE(SUBSTITUTE(SUBSTITUTE(J3573,"$",""),",","")," ","")),2),"bad")))</f>
        <v/>
      </c>
      <c r="P3573">
        <f>IF(K3573="","",IFERROR(MATCH(IF(ISNUMBER(FIND("#",K3573)),TRIM(MID(K3573,FIND("#",K3573)+1,20)),UPPER(K3573)),'Students'!$AD$2:$AD$701,0),""))</f>
        <v/>
      </c>
      <c r="R3573">
        <f>IF(P3573="","",INDEX('Students'!$AD$2:$AD$701,P3573))</f>
        <v/>
      </c>
      <c r="S3573">
        <f>IF(H3573="OK",O3573,0)</f>
        <v/>
      </c>
      <c r="T3573">
        <f>IF(H3573="OK",N3573,"")</f>
        <v/>
      </c>
      <c r="U3573">
        <f>TRIM('Cash_Check'!C573)</f>
        <v/>
      </c>
    </row>
    <row r="3574">
      <c r="A3574" s="62">
        <f>IF(H3574="","",IF(ISNUMBER(N3574),N3574,I3574))</f>
        <v/>
      </c>
      <c r="B3574">
        <f>IF(H3574="","",U3574)</f>
        <v/>
      </c>
      <c r="C3574">
        <f>IF(H3574="","",IF(P3574="",K3574,INDEX('Students'!$A$2:$A$701,P3574)))</f>
        <v/>
      </c>
      <c r="D3574">
        <f>IF(OR(H3574="",P3574=""),"",INDEX('Students'!$B$2:$B$701,P3574))</f>
        <v/>
      </c>
      <c r="E3574">
        <f>IF(OR(H3574="",P3574=""),"",INDEX('Students'!$C$2:$C$701,P3574))</f>
        <v/>
      </c>
      <c r="F3574" s="48">
        <f>IF(H3574="","",IF(ISNUMBER(O3574),O3574,J3574))</f>
        <v/>
      </c>
      <c r="G3574">
        <f>IF(H3574="","",M3574)</f>
        <v/>
      </c>
      <c r="H3574">
        <f>IF(AND(I3574="",J3574="",K3574=""),"",IF(OR(NOT(ISNUMBER(O3574)),N(O3574)&lt;=0),"Bad amount",IF(NOT(ISNUMBER(N3574)),"Bad date",IF(P3574="","NAME NOT ON ROSTER","OK"))))</f>
        <v/>
      </c>
      <c r="I3574">
        <f>IF('Cash_Check'!A574="","",'Cash_Check'!A574)</f>
        <v/>
      </c>
      <c r="J3574">
        <f>IF('Cash_Check'!D574="","",'Cash_Check'!D574)</f>
        <v/>
      </c>
      <c r="K3574">
        <f>TRIM('Cash_Check'!B574)</f>
        <v/>
      </c>
      <c r="M3574">
        <f>IF(TRIM('Cash_Check'!E574)="","Cash/check",TRIM('Cash_Check'!E574))</f>
        <v/>
      </c>
      <c r="N3574">
        <f>IF(I3574="","",IF(ISNUMBER(I3574),INT(I3574),IFERROR(INT(DATEVALUE(I3574)),IFERROR(INT(VALUE(I3574)),"bad"))))</f>
        <v/>
      </c>
      <c r="O3574">
        <f>IF(J3574="","",IF(ISNUMBER(J3574),ROUND(J3574,2),IFERROR(ROUND(VALUE(SUBSTITUTE(SUBSTITUTE(SUBSTITUTE(J3574,"$",""),",","")," ","")),2),"bad")))</f>
        <v/>
      </c>
      <c r="P3574">
        <f>IF(K3574="","",IFERROR(MATCH(IF(ISNUMBER(FIND("#",K3574)),TRIM(MID(K3574,FIND("#",K3574)+1,20)),UPPER(K3574)),'Students'!$AD$2:$AD$701,0),""))</f>
        <v/>
      </c>
      <c r="R3574">
        <f>IF(P3574="","",INDEX('Students'!$AD$2:$AD$701,P3574))</f>
        <v/>
      </c>
      <c r="S3574">
        <f>IF(H3574="OK",O3574,0)</f>
        <v/>
      </c>
      <c r="T3574">
        <f>IF(H3574="OK",N3574,"")</f>
        <v/>
      </c>
      <c r="U3574">
        <f>TRIM('Cash_Check'!C574)</f>
        <v/>
      </c>
    </row>
    <row r="3575">
      <c r="A3575" s="62">
        <f>IF(H3575="","",IF(ISNUMBER(N3575),N3575,I3575))</f>
        <v/>
      </c>
      <c r="B3575">
        <f>IF(H3575="","",U3575)</f>
        <v/>
      </c>
      <c r="C3575">
        <f>IF(H3575="","",IF(P3575="",K3575,INDEX('Students'!$A$2:$A$701,P3575)))</f>
        <v/>
      </c>
      <c r="D3575">
        <f>IF(OR(H3575="",P3575=""),"",INDEX('Students'!$B$2:$B$701,P3575))</f>
        <v/>
      </c>
      <c r="E3575">
        <f>IF(OR(H3575="",P3575=""),"",INDEX('Students'!$C$2:$C$701,P3575))</f>
        <v/>
      </c>
      <c r="F3575" s="48">
        <f>IF(H3575="","",IF(ISNUMBER(O3575),O3575,J3575))</f>
        <v/>
      </c>
      <c r="G3575">
        <f>IF(H3575="","",M3575)</f>
        <v/>
      </c>
      <c r="H3575">
        <f>IF(AND(I3575="",J3575="",K3575=""),"",IF(OR(NOT(ISNUMBER(O3575)),N(O3575)&lt;=0),"Bad amount",IF(NOT(ISNUMBER(N3575)),"Bad date",IF(P3575="","NAME NOT ON ROSTER","OK"))))</f>
        <v/>
      </c>
      <c r="I3575">
        <f>IF('Cash_Check'!A575="","",'Cash_Check'!A575)</f>
        <v/>
      </c>
      <c r="J3575">
        <f>IF('Cash_Check'!D575="","",'Cash_Check'!D575)</f>
        <v/>
      </c>
      <c r="K3575">
        <f>TRIM('Cash_Check'!B575)</f>
        <v/>
      </c>
      <c r="M3575">
        <f>IF(TRIM('Cash_Check'!E575)="","Cash/check",TRIM('Cash_Check'!E575))</f>
        <v/>
      </c>
      <c r="N3575">
        <f>IF(I3575="","",IF(ISNUMBER(I3575),INT(I3575),IFERROR(INT(DATEVALUE(I3575)),IFERROR(INT(VALUE(I3575)),"bad"))))</f>
        <v/>
      </c>
      <c r="O3575">
        <f>IF(J3575="","",IF(ISNUMBER(J3575),ROUND(J3575,2),IFERROR(ROUND(VALUE(SUBSTITUTE(SUBSTITUTE(SUBSTITUTE(J3575,"$",""),",","")," ","")),2),"bad")))</f>
        <v/>
      </c>
      <c r="P3575">
        <f>IF(K3575="","",IFERROR(MATCH(IF(ISNUMBER(FIND("#",K3575)),TRIM(MID(K3575,FIND("#",K3575)+1,20)),UPPER(K3575)),'Students'!$AD$2:$AD$701,0),""))</f>
        <v/>
      </c>
      <c r="R3575">
        <f>IF(P3575="","",INDEX('Students'!$AD$2:$AD$701,P3575))</f>
        <v/>
      </c>
      <c r="S3575">
        <f>IF(H3575="OK",O3575,0)</f>
        <v/>
      </c>
      <c r="T3575">
        <f>IF(H3575="OK",N3575,"")</f>
        <v/>
      </c>
      <c r="U3575">
        <f>TRIM('Cash_Check'!C575)</f>
        <v/>
      </c>
    </row>
    <row r="3576">
      <c r="A3576" s="62">
        <f>IF(H3576="","",IF(ISNUMBER(N3576),N3576,I3576))</f>
        <v/>
      </c>
      <c r="B3576">
        <f>IF(H3576="","",U3576)</f>
        <v/>
      </c>
      <c r="C3576">
        <f>IF(H3576="","",IF(P3576="",K3576,INDEX('Students'!$A$2:$A$701,P3576)))</f>
        <v/>
      </c>
      <c r="D3576">
        <f>IF(OR(H3576="",P3576=""),"",INDEX('Students'!$B$2:$B$701,P3576))</f>
        <v/>
      </c>
      <c r="E3576">
        <f>IF(OR(H3576="",P3576=""),"",INDEX('Students'!$C$2:$C$701,P3576))</f>
        <v/>
      </c>
      <c r="F3576" s="48">
        <f>IF(H3576="","",IF(ISNUMBER(O3576),O3576,J3576))</f>
        <v/>
      </c>
      <c r="G3576">
        <f>IF(H3576="","",M3576)</f>
        <v/>
      </c>
      <c r="H3576">
        <f>IF(AND(I3576="",J3576="",K3576=""),"",IF(OR(NOT(ISNUMBER(O3576)),N(O3576)&lt;=0),"Bad amount",IF(NOT(ISNUMBER(N3576)),"Bad date",IF(P3576="","NAME NOT ON ROSTER","OK"))))</f>
        <v/>
      </c>
      <c r="I3576">
        <f>IF('Cash_Check'!A576="","",'Cash_Check'!A576)</f>
        <v/>
      </c>
      <c r="J3576">
        <f>IF('Cash_Check'!D576="","",'Cash_Check'!D576)</f>
        <v/>
      </c>
      <c r="K3576">
        <f>TRIM('Cash_Check'!B576)</f>
        <v/>
      </c>
      <c r="M3576">
        <f>IF(TRIM('Cash_Check'!E576)="","Cash/check",TRIM('Cash_Check'!E576))</f>
        <v/>
      </c>
      <c r="N3576">
        <f>IF(I3576="","",IF(ISNUMBER(I3576),INT(I3576),IFERROR(INT(DATEVALUE(I3576)),IFERROR(INT(VALUE(I3576)),"bad"))))</f>
        <v/>
      </c>
      <c r="O3576">
        <f>IF(J3576="","",IF(ISNUMBER(J3576),ROUND(J3576,2),IFERROR(ROUND(VALUE(SUBSTITUTE(SUBSTITUTE(SUBSTITUTE(J3576,"$",""),",","")," ","")),2),"bad")))</f>
        <v/>
      </c>
      <c r="P3576">
        <f>IF(K3576="","",IFERROR(MATCH(IF(ISNUMBER(FIND("#",K3576)),TRIM(MID(K3576,FIND("#",K3576)+1,20)),UPPER(K3576)),'Students'!$AD$2:$AD$701,0),""))</f>
        <v/>
      </c>
      <c r="R3576">
        <f>IF(P3576="","",INDEX('Students'!$AD$2:$AD$701,P3576))</f>
        <v/>
      </c>
      <c r="S3576">
        <f>IF(H3576="OK",O3576,0)</f>
        <v/>
      </c>
      <c r="T3576">
        <f>IF(H3576="OK",N3576,"")</f>
        <v/>
      </c>
      <c r="U3576">
        <f>TRIM('Cash_Check'!C576)</f>
        <v/>
      </c>
    </row>
    <row r="3577">
      <c r="A3577" s="62">
        <f>IF(H3577="","",IF(ISNUMBER(N3577),N3577,I3577))</f>
        <v/>
      </c>
      <c r="B3577">
        <f>IF(H3577="","",U3577)</f>
        <v/>
      </c>
      <c r="C3577">
        <f>IF(H3577="","",IF(P3577="",K3577,INDEX('Students'!$A$2:$A$701,P3577)))</f>
        <v/>
      </c>
      <c r="D3577">
        <f>IF(OR(H3577="",P3577=""),"",INDEX('Students'!$B$2:$B$701,P3577))</f>
        <v/>
      </c>
      <c r="E3577">
        <f>IF(OR(H3577="",P3577=""),"",INDEX('Students'!$C$2:$C$701,P3577))</f>
        <v/>
      </c>
      <c r="F3577" s="48">
        <f>IF(H3577="","",IF(ISNUMBER(O3577),O3577,J3577))</f>
        <v/>
      </c>
      <c r="G3577">
        <f>IF(H3577="","",M3577)</f>
        <v/>
      </c>
      <c r="H3577">
        <f>IF(AND(I3577="",J3577="",K3577=""),"",IF(OR(NOT(ISNUMBER(O3577)),N(O3577)&lt;=0),"Bad amount",IF(NOT(ISNUMBER(N3577)),"Bad date",IF(P3577="","NAME NOT ON ROSTER","OK"))))</f>
        <v/>
      </c>
      <c r="I3577">
        <f>IF('Cash_Check'!A577="","",'Cash_Check'!A577)</f>
        <v/>
      </c>
      <c r="J3577">
        <f>IF('Cash_Check'!D577="","",'Cash_Check'!D577)</f>
        <v/>
      </c>
      <c r="K3577">
        <f>TRIM('Cash_Check'!B577)</f>
        <v/>
      </c>
      <c r="M3577">
        <f>IF(TRIM('Cash_Check'!E577)="","Cash/check",TRIM('Cash_Check'!E577))</f>
        <v/>
      </c>
      <c r="N3577">
        <f>IF(I3577="","",IF(ISNUMBER(I3577),INT(I3577),IFERROR(INT(DATEVALUE(I3577)),IFERROR(INT(VALUE(I3577)),"bad"))))</f>
        <v/>
      </c>
      <c r="O3577">
        <f>IF(J3577="","",IF(ISNUMBER(J3577),ROUND(J3577,2),IFERROR(ROUND(VALUE(SUBSTITUTE(SUBSTITUTE(SUBSTITUTE(J3577,"$",""),",","")," ","")),2),"bad")))</f>
        <v/>
      </c>
      <c r="P3577">
        <f>IF(K3577="","",IFERROR(MATCH(IF(ISNUMBER(FIND("#",K3577)),TRIM(MID(K3577,FIND("#",K3577)+1,20)),UPPER(K3577)),'Students'!$AD$2:$AD$701,0),""))</f>
        <v/>
      </c>
      <c r="R3577">
        <f>IF(P3577="","",INDEX('Students'!$AD$2:$AD$701,P3577))</f>
        <v/>
      </c>
      <c r="S3577">
        <f>IF(H3577="OK",O3577,0)</f>
        <v/>
      </c>
      <c r="T3577">
        <f>IF(H3577="OK",N3577,"")</f>
        <v/>
      </c>
      <c r="U3577">
        <f>TRIM('Cash_Check'!C577)</f>
        <v/>
      </c>
    </row>
    <row r="3578">
      <c r="A3578" s="62">
        <f>IF(H3578="","",IF(ISNUMBER(N3578),N3578,I3578))</f>
        <v/>
      </c>
      <c r="B3578">
        <f>IF(H3578="","",U3578)</f>
        <v/>
      </c>
      <c r="C3578">
        <f>IF(H3578="","",IF(P3578="",K3578,INDEX('Students'!$A$2:$A$701,P3578)))</f>
        <v/>
      </c>
      <c r="D3578">
        <f>IF(OR(H3578="",P3578=""),"",INDEX('Students'!$B$2:$B$701,P3578))</f>
        <v/>
      </c>
      <c r="E3578">
        <f>IF(OR(H3578="",P3578=""),"",INDEX('Students'!$C$2:$C$701,P3578))</f>
        <v/>
      </c>
      <c r="F3578" s="48">
        <f>IF(H3578="","",IF(ISNUMBER(O3578),O3578,J3578))</f>
        <v/>
      </c>
      <c r="G3578">
        <f>IF(H3578="","",M3578)</f>
        <v/>
      </c>
      <c r="H3578">
        <f>IF(AND(I3578="",J3578="",K3578=""),"",IF(OR(NOT(ISNUMBER(O3578)),N(O3578)&lt;=0),"Bad amount",IF(NOT(ISNUMBER(N3578)),"Bad date",IF(P3578="","NAME NOT ON ROSTER","OK"))))</f>
        <v/>
      </c>
      <c r="I3578">
        <f>IF('Cash_Check'!A578="","",'Cash_Check'!A578)</f>
        <v/>
      </c>
      <c r="J3578">
        <f>IF('Cash_Check'!D578="","",'Cash_Check'!D578)</f>
        <v/>
      </c>
      <c r="K3578">
        <f>TRIM('Cash_Check'!B578)</f>
        <v/>
      </c>
      <c r="M3578">
        <f>IF(TRIM('Cash_Check'!E578)="","Cash/check",TRIM('Cash_Check'!E578))</f>
        <v/>
      </c>
      <c r="N3578">
        <f>IF(I3578="","",IF(ISNUMBER(I3578),INT(I3578),IFERROR(INT(DATEVALUE(I3578)),IFERROR(INT(VALUE(I3578)),"bad"))))</f>
        <v/>
      </c>
      <c r="O3578">
        <f>IF(J3578="","",IF(ISNUMBER(J3578),ROUND(J3578,2),IFERROR(ROUND(VALUE(SUBSTITUTE(SUBSTITUTE(SUBSTITUTE(J3578,"$",""),",","")," ","")),2),"bad")))</f>
        <v/>
      </c>
      <c r="P3578">
        <f>IF(K3578="","",IFERROR(MATCH(IF(ISNUMBER(FIND("#",K3578)),TRIM(MID(K3578,FIND("#",K3578)+1,20)),UPPER(K3578)),'Students'!$AD$2:$AD$701,0),""))</f>
        <v/>
      </c>
      <c r="R3578">
        <f>IF(P3578="","",INDEX('Students'!$AD$2:$AD$701,P3578))</f>
        <v/>
      </c>
      <c r="S3578">
        <f>IF(H3578="OK",O3578,0)</f>
        <v/>
      </c>
      <c r="T3578">
        <f>IF(H3578="OK",N3578,"")</f>
        <v/>
      </c>
      <c r="U3578">
        <f>TRIM('Cash_Check'!C578)</f>
        <v/>
      </c>
    </row>
    <row r="3579">
      <c r="A3579" s="62">
        <f>IF(H3579="","",IF(ISNUMBER(N3579),N3579,I3579))</f>
        <v/>
      </c>
      <c r="B3579">
        <f>IF(H3579="","",U3579)</f>
        <v/>
      </c>
      <c r="C3579">
        <f>IF(H3579="","",IF(P3579="",K3579,INDEX('Students'!$A$2:$A$701,P3579)))</f>
        <v/>
      </c>
      <c r="D3579">
        <f>IF(OR(H3579="",P3579=""),"",INDEX('Students'!$B$2:$B$701,P3579))</f>
        <v/>
      </c>
      <c r="E3579">
        <f>IF(OR(H3579="",P3579=""),"",INDEX('Students'!$C$2:$C$701,P3579))</f>
        <v/>
      </c>
      <c r="F3579" s="48">
        <f>IF(H3579="","",IF(ISNUMBER(O3579),O3579,J3579))</f>
        <v/>
      </c>
      <c r="G3579">
        <f>IF(H3579="","",M3579)</f>
        <v/>
      </c>
      <c r="H3579">
        <f>IF(AND(I3579="",J3579="",K3579=""),"",IF(OR(NOT(ISNUMBER(O3579)),N(O3579)&lt;=0),"Bad amount",IF(NOT(ISNUMBER(N3579)),"Bad date",IF(P3579="","NAME NOT ON ROSTER","OK"))))</f>
        <v/>
      </c>
      <c r="I3579">
        <f>IF('Cash_Check'!A579="","",'Cash_Check'!A579)</f>
        <v/>
      </c>
      <c r="J3579">
        <f>IF('Cash_Check'!D579="","",'Cash_Check'!D579)</f>
        <v/>
      </c>
      <c r="K3579">
        <f>TRIM('Cash_Check'!B579)</f>
        <v/>
      </c>
      <c r="M3579">
        <f>IF(TRIM('Cash_Check'!E579)="","Cash/check",TRIM('Cash_Check'!E579))</f>
        <v/>
      </c>
      <c r="N3579">
        <f>IF(I3579="","",IF(ISNUMBER(I3579),INT(I3579),IFERROR(INT(DATEVALUE(I3579)),IFERROR(INT(VALUE(I3579)),"bad"))))</f>
        <v/>
      </c>
      <c r="O3579">
        <f>IF(J3579="","",IF(ISNUMBER(J3579),ROUND(J3579,2),IFERROR(ROUND(VALUE(SUBSTITUTE(SUBSTITUTE(SUBSTITUTE(J3579,"$",""),",","")," ","")),2),"bad")))</f>
        <v/>
      </c>
      <c r="P3579">
        <f>IF(K3579="","",IFERROR(MATCH(IF(ISNUMBER(FIND("#",K3579)),TRIM(MID(K3579,FIND("#",K3579)+1,20)),UPPER(K3579)),'Students'!$AD$2:$AD$701,0),""))</f>
        <v/>
      </c>
      <c r="R3579">
        <f>IF(P3579="","",INDEX('Students'!$AD$2:$AD$701,P3579))</f>
        <v/>
      </c>
      <c r="S3579">
        <f>IF(H3579="OK",O3579,0)</f>
        <v/>
      </c>
      <c r="T3579">
        <f>IF(H3579="OK",N3579,"")</f>
        <v/>
      </c>
      <c r="U3579">
        <f>TRIM('Cash_Check'!C579)</f>
        <v/>
      </c>
    </row>
    <row r="3580">
      <c r="A3580" s="62">
        <f>IF(H3580="","",IF(ISNUMBER(N3580),N3580,I3580))</f>
        <v/>
      </c>
      <c r="B3580">
        <f>IF(H3580="","",U3580)</f>
        <v/>
      </c>
      <c r="C3580">
        <f>IF(H3580="","",IF(P3580="",K3580,INDEX('Students'!$A$2:$A$701,P3580)))</f>
        <v/>
      </c>
      <c r="D3580">
        <f>IF(OR(H3580="",P3580=""),"",INDEX('Students'!$B$2:$B$701,P3580))</f>
        <v/>
      </c>
      <c r="E3580">
        <f>IF(OR(H3580="",P3580=""),"",INDEX('Students'!$C$2:$C$701,P3580))</f>
        <v/>
      </c>
      <c r="F3580" s="48">
        <f>IF(H3580="","",IF(ISNUMBER(O3580),O3580,J3580))</f>
        <v/>
      </c>
      <c r="G3580">
        <f>IF(H3580="","",M3580)</f>
        <v/>
      </c>
      <c r="H3580">
        <f>IF(AND(I3580="",J3580="",K3580=""),"",IF(OR(NOT(ISNUMBER(O3580)),N(O3580)&lt;=0),"Bad amount",IF(NOT(ISNUMBER(N3580)),"Bad date",IF(P3580="","NAME NOT ON ROSTER","OK"))))</f>
        <v/>
      </c>
      <c r="I3580">
        <f>IF('Cash_Check'!A580="","",'Cash_Check'!A580)</f>
        <v/>
      </c>
      <c r="J3580">
        <f>IF('Cash_Check'!D580="","",'Cash_Check'!D580)</f>
        <v/>
      </c>
      <c r="K3580">
        <f>TRIM('Cash_Check'!B580)</f>
        <v/>
      </c>
      <c r="M3580">
        <f>IF(TRIM('Cash_Check'!E580)="","Cash/check",TRIM('Cash_Check'!E580))</f>
        <v/>
      </c>
      <c r="N3580">
        <f>IF(I3580="","",IF(ISNUMBER(I3580),INT(I3580),IFERROR(INT(DATEVALUE(I3580)),IFERROR(INT(VALUE(I3580)),"bad"))))</f>
        <v/>
      </c>
      <c r="O3580">
        <f>IF(J3580="","",IF(ISNUMBER(J3580),ROUND(J3580,2),IFERROR(ROUND(VALUE(SUBSTITUTE(SUBSTITUTE(SUBSTITUTE(J3580,"$",""),",","")," ","")),2),"bad")))</f>
        <v/>
      </c>
      <c r="P3580">
        <f>IF(K3580="","",IFERROR(MATCH(IF(ISNUMBER(FIND("#",K3580)),TRIM(MID(K3580,FIND("#",K3580)+1,20)),UPPER(K3580)),'Students'!$AD$2:$AD$701,0),""))</f>
        <v/>
      </c>
      <c r="R3580">
        <f>IF(P3580="","",INDEX('Students'!$AD$2:$AD$701,P3580))</f>
        <v/>
      </c>
      <c r="S3580">
        <f>IF(H3580="OK",O3580,0)</f>
        <v/>
      </c>
      <c r="T3580">
        <f>IF(H3580="OK",N3580,"")</f>
        <v/>
      </c>
      <c r="U3580">
        <f>TRIM('Cash_Check'!C580)</f>
        <v/>
      </c>
    </row>
    <row r="3581">
      <c r="A3581" s="62">
        <f>IF(H3581="","",IF(ISNUMBER(N3581),N3581,I3581))</f>
        <v/>
      </c>
      <c r="B3581">
        <f>IF(H3581="","",U3581)</f>
        <v/>
      </c>
      <c r="C3581">
        <f>IF(H3581="","",IF(P3581="",K3581,INDEX('Students'!$A$2:$A$701,P3581)))</f>
        <v/>
      </c>
      <c r="D3581">
        <f>IF(OR(H3581="",P3581=""),"",INDEX('Students'!$B$2:$B$701,P3581))</f>
        <v/>
      </c>
      <c r="E3581">
        <f>IF(OR(H3581="",P3581=""),"",INDEX('Students'!$C$2:$C$701,P3581))</f>
        <v/>
      </c>
      <c r="F3581" s="48">
        <f>IF(H3581="","",IF(ISNUMBER(O3581),O3581,J3581))</f>
        <v/>
      </c>
      <c r="G3581">
        <f>IF(H3581="","",M3581)</f>
        <v/>
      </c>
      <c r="H3581">
        <f>IF(AND(I3581="",J3581="",K3581=""),"",IF(OR(NOT(ISNUMBER(O3581)),N(O3581)&lt;=0),"Bad amount",IF(NOT(ISNUMBER(N3581)),"Bad date",IF(P3581="","NAME NOT ON ROSTER","OK"))))</f>
        <v/>
      </c>
      <c r="I3581">
        <f>IF('Cash_Check'!A581="","",'Cash_Check'!A581)</f>
        <v/>
      </c>
      <c r="J3581">
        <f>IF('Cash_Check'!D581="","",'Cash_Check'!D581)</f>
        <v/>
      </c>
      <c r="K3581">
        <f>TRIM('Cash_Check'!B581)</f>
        <v/>
      </c>
      <c r="M3581">
        <f>IF(TRIM('Cash_Check'!E581)="","Cash/check",TRIM('Cash_Check'!E581))</f>
        <v/>
      </c>
      <c r="N3581">
        <f>IF(I3581="","",IF(ISNUMBER(I3581),INT(I3581),IFERROR(INT(DATEVALUE(I3581)),IFERROR(INT(VALUE(I3581)),"bad"))))</f>
        <v/>
      </c>
      <c r="O3581">
        <f>IF(J3581="","",IF(ISNUMBER(J3581),ROUND(J3581,2),IFERROR(ROUND(VALUE(SUBSTITUTE(SUBSTITUTE(SUBSTITUTE(J3581,"$",""),",","")," ","")),2),"bad")))</f>
        <v/>
      </c>
      <c r="P3581">
        <f>IF(K3581="","",IFERROR(MATCH(IF(ISNUMBER(FIND("#",K3581)),TRIM(MID(K3581,FIND("#",K3581)+1,20)),UPPER(K3581)),'Students'!$AD$2:$AD$701,0),""))</f>
        <v/>
      </c>
      <c r="R3581">
        <f>IF(P3581="","",INDEX('Students'!$AD$2:$AD$701,P3581))</f>
        <v/>
      </c>
      <c r="S3581">
        <f>IF(H3581="OK",O3581,0)</f>
        <v/>
      </c>
      <c r="T3581">
        <f>IF(H3581="OK",N3581,"")</f>
        <v/>
      </c>
      <c r="U3581">
        <f>TRIM('Cash_Check'!C581)</f>
        <v/>
      </c>
    </row>
    <row r="3582">
      <c r="A3582" s="62">
        <f>IF(H3582="","",IF(ISNUMBER(N3582),N3582,I3582))</f>
        <v/>
      </c>
      <c r="B3582">
        <f>IF(H3582="","",U3582)</f>
        <v/>
      </c>
      <c r="C3582">
        <f>IF(H3582="","",IF(P3582="",K3582,INDEX('Students'!$A$2:$A$701,P3582)))</f>
        <v/>
      </c>
      <c r="D3582">
        <f>IF(OR(H3582="",P3582=""),"",INDEX('Students'!$B$2:$B$701,P3582))</f>
        <v/>
      </c>
      <c r="E3582">
        <f>IF(OR(H3582="",P3582=""),"",INDEX('Students'!$C$2:$C$701,P3582))</f>
        <v/>
      </c>
      <c r="F3582" s="48">
        <f>IF(H3582="","",IF(ISNUMBER(O3582),O3582,J3582))</f>
        <v/>
      </c>
      <c r="G3582">
        <f>IF(H3582="","",M3582)</f>
        <v/>
      </c>
      <c r="H3582">
        <f>IF(AND(I3582="",J3582="",K3582=""),"",IF(OR(NOT(ISNUMBER(O3582)),N(O3582)&lt;=0),"Bad amount",IF(NOT(ISNUMBER(N3582)),"Bad date",IF(P3582="","NAME NOT ON ROSTER","OK"))))</f>
        <v/>
      </c>
      <c r="I3582">
        <f>IF('Cash_Check'!A582="","",'Cash_Check'!A582)</f>
        <v/>
      </c>
      <c r="J3582">
        <f>IF('Cash_Check'!D582="","",'Cash_Check'!D582)</f>
        <v/>
      </c>
      <c r="K3582">
        <f>TRIM('Cash_Check'!B582)</f>
        <v/>
      </c>
      <c r="M3582">
        <f>IF(TRIM('Cash_Check'!E582)="","Cash/check",TRIM('Cash_Check'!E582))</f>
        <v/>
      </c>
      <c r="N3582">
        <f>IF(I3582="","",IF(ISNUMBER(I3582),INT(I3582),IFERROR(INT(DATEVALUE(I3582)),IFERROR(INT(VALUE(I3582)),"bad"))))</f>
        <v/>
      </c>
      <c r="O3582">
        <f>IF(J3582="","",IF(ISNUMBER(J3582),ROUND(J3582,2),IFERROR(ROUND(VALUE(SUBSTITUTE(SUBSTITUTE(SUBSTITUTE(J3582,"$",""),",","")," ","")),2),"bad")))</f>
        <v/>
      </c>
      <c r="P3582">
        <f>IF(K3582="","",IFERROR(MATCH(IF(ISNUMBER(FIND("#",K3582)),TRIM(MID(K3582,FIND("#",K3582)+1,20)),UPPER(K3582)),'Students'!$AD$2:$AD$701,0),""))</f>
        <v/>
      </c>
      <c r="R3582">
        <f>IF(P3582="","",INDEX('Students'!$AD$2:$AD$701,P3582))</f>
        <v/>
      </c>
      <c r="S3582">
        <f>IF(H3582="OK",O3582,0)</f>
        <v/>
      </c>
      <c r="T3582">
        <f>IF(H3582="OK",N3582,"")</f>
        <v/>
      </c>
      <c r="U3582">
        <f>TRIM('Cash_Check'!C582)</f>
        <v/>
      </c>
    </row>
    <row r="3583">
      <c r="A3583" s="62">
        <f>IF(H3583="","",IF(ISNUMBER(N3583),N3583,I3583))</f>
        <v/>
      </c>
      <c r="B3583">
        <f>IF(H3583="","",U3583)</f>
        <v/>
      </c>
      <c r="C3583">
        <f>IF(H3583="","",IF(P3583="",K3583,INDEX('Students'!$A$2:$A$701,P3583)))</f>
        <v/>
      </c>
      <c r="D3583">
        <f>IF(OR(H3583="",P3583=""),"",INDEX('Students'!$B$2:$B$701,P3583))</f>
        <v/>
      </c>
      <c r="E3583">
        <f>IF(OR(H3583="",P3583=""),"",INDEX('Students'!$C$2:$C$701,P3583))</f>
        <v/>
      </c>
      <c r="F3583" s="48">
        <f>IF(H3583="","",IF(ISNUMBER(O3583),O3583,J3583))</f>
        <v/>
      </c>
      <c r="G3583">
        <f>IF(H3583="","",M3583)</f>
        <v/>
      </c>
      <c r="H3583">
        <f>IF(AND(I3583="",J3583="",K3583=""),"",IF(OR(NOT(ISNUMBER(O3583)),N(O3583)&lt;=0),"Bad amount",IF(NOT(ISNUMBER(N3583)),"Bad date",IF(P3583="","NAME NOT ON ROSTER","OK"))))</f>
        <v/>
      </c>
      <c r="I3583">
        <f>IF('Cash_Check'!A583="","",'Cash_Check'!A583)</f>
        <v/>
      </c>
      <c r="J3583">
        <f>IF('Cash_Check'!D583="","",'Cash_Check'!D583)</f>
        <v/>
      </c>
      <c r="K3583">
        <f>TRIM('Cash_Check'!B583)</f>
        <v/>
      </c>
      <c r="M3583">
        <f>IF(TRIM('Cash_Check'!E583)="","Cash/check",TRIM('Cash_Check'!E583))</f>
        <v/>
      </c>
      <c r="N3583">
        <f>IF(I3583="","",IF(ISNUMBER(I3583),INT(I3583),IFERROR(INT(DATEVALUE(I3583)),IFERROR(INT(VALUE(I3583)),"bad"))))</f>
        <v/>
      </c>
      <c r="O3583">
        <f>IF(J3583="","",IF(ISNUMBER(J3583),ROUND(J3583,2),IFERROR(ROUND(VALUE(SUBSTITUTE(SUBSTITUTE(SUBSTITUTE(J3583,"$",""),",","")," ","")),2),"bad")))</f>
        <v/>
      </c>
      <c r="P3583">
        <f>IF(K3583="","",IFERROR(MATCH(IF(ISNUMBER(FIND("#",K3583)),TRIM(MID(K3583,FIND("#",K3583)+1,20)),UPPER(K3583)),'Students'!$AD$2:$AD$701,0),""))</f>
        <v/>
      </c>
      <c r="R3583">
        <f>IF(P3583="","",INDEX('Students'!$AD$2:$AD$701,P3583))</f>
        <v/>
      </c>
      <c r="S3583">
        <f>IF(H3583="OK",O3583,0)</f>
        <v/>
      </c>
      <c r="T3583">
        <f>IF(H3583="OK",N3583,"")</f>
        <v/>
      </c>
      <c r="U3583">
        <f>TRIM('Cash_Check'!C583)</f>
        <v/>
      </c>
    </row>
    <row r="3584">
      <c r="A3584" s="62">
        <f>IF(H3584="","",IF(ISNUMBER(N3584),N3584,I3584))</f>
        <v/>
      </c>
      <c r="B3584">
        <f>IF(H3584="","",U3584)</f>
        <v/>
      </c>
      <c r="C3584">
        <f>IF(H3584="","",IF(P3584="",K3584,INDEX('Students'!$A$2:$A$701,P3584)))</f>
        <v/>
      </c>
      <c r="D3584">
        <f>IF(OR(H3584="",P3584=""),"",INDEX('Students'!$B$2:$B$701,P3584))</f>
        <v/>
      </c>
      <c r="E3584">
        <f>IF(OR(H3584="",P3584=""),"",INDEX('Students'!$C$2:$C$701,P3584))</f>
        <v/>
      </c>
      <c r="F3584" s="48">
        <f>IF(H3584="","",IF(ISNUMBER(O3584),O3584,J3584))</f>
        <v/>
      </c>
      <c r="G3584">
        <f>IF(H3584="","",M3584)</f>
        <v/>
      </c>
      <c r="H3584">
        <f>IF(AND(I3584="",J3584="",K3584=""),"",IF(OR(NOT(ISNUMBER(O3584)),N(O3584)&lt;=0),"Bad amount",IF(NOT(ISNUMBER(N3584)),"Bad date",IF(P3584="","NAME NOT ON ROSTER","OK"))))</f>
        <v/>
      </c>
      <c r="I3584">
        <f>IF('Cash_Check'!A584="","",'Cash_Check'!A584)</f>
        <v/>
      </c>
      <c r="J3584">
        <f>IF('Cash_Check'!D584="","",'Cash_Check'!D584)</f>
        <v/>
      </c>
      <c r="K3584">
        <f>TRIM('Cash_Check'!B584)</f>
        <v/>
      </c>
      <c r="M3584">
        <f>IF(TRIM('Cash_Check'!E584)="","Cash/check",TRIM('Cash_Check'!E584))</f>
        <v/>
      </c>
      <c r="N3584">
        <f>IF(I3584="","",IF(ISNUMBER(I3584),INT(I3584),IFERROR(INT(DATEVALUE(I3584)),IFERROR(INT(VALUE(I3584)),"bad"))))</f>
        <v/>
      </c>
      <c r="O3584">
        <f>IF(J3584="","",IF(ISNUMBER(J3584),ROUND(J3584,2),IFERROR(ROUND(VALUE(SUBSTITUTE(SUBSTITUTE(SUBSTITUTE(J3584,"$",""),",","")," ","")),2),"bad")))</f>
        <v/>
      </c>
      <c r="P3584">
        <f>IF(K3584="","",IFERROR(MATCH(IF(ISNUMBER(FIND("#",K3584)),TRIM(MID(K3584,FIND("#",K3584)+1,20)),UPPER(K3584)),'Students'!$AD$2:$AD$701,0),""))</f>
        <v/>
      </c>
      <c r="R3584">
        <f>IF(P3584="","",INDEX('Students'!$AD$2:$AD$701,P3584))</f>
        <v/>
      </c>
      <c r="S3584">
        <f>IF(H3584="OK",O3584,0)</f>
        <v/>
      </c>
      <c r="T3584">
        <f>IF(H3584="OK",N3584,"")</f>
        <v/>
      </c>
      <c r="U3584">
        <f>TRIM('Cash_Check'!C584)</f>
        <v/>
      </c>
    </row>
    <row r="3585">
      <c r="A3585" s="62">
        <f>IF(H3585="","",IF(ISNUMBER(N3585),N3585,I3585))</f>
        <v/>
      </c>
      <c r="B3585">
        <f>IF(H3585="","",U3585)</f>
        <v/>
      </c>
      <c r="C3585">
        <f>IF(H3585="","",IF(P3585="",K3585,INDEX('Students'!$A$2:$A$701,P3585)))</f>
        <v/>
      </c>
      <c r="D3585">
        <f>IF(OR(H3585="",P3585=""),"",INDEX('Students'!$B$2:$B$701,P3585))</f>
        <v/>
      </c>
      <c r="E3585">
        <f>IF(OR(H3585="",P3585=""),"",INDEX('Students'!$C$2:$C$701,P3585))</f>
        <v/>
      </c>
      <c r="F3585" s="48">
        <f>IF(H3585="","",IF(ISNUMBER(O3585),O3585,J3585))</f>
        <v/>
      </c>
      <c r="G3585">
        <f>IF(H3585="","",M3585)</f>
        <v/>
      </c>
      <c r="H3585">
        <f>IF(AND(I3585="",J3585="",K3585=""),"",IF(OR(NOT(ISNUMBER(O3585)),N(O3585)&lt;=0),"Bad amount",IF(NOT(ISNUMBER(N3585)),"Bad date",IF(P3585="","NAME NOT ON ROSTER","OK"))))</f>
        <v/>
      </c>
      <c r="I3585">
        <f>IF('Cash_Check'!A585="","",'Cash_Check'!A585)</f>
        <v/>
      </c>
      <c r="J3585">
        <f>IF('Cash_Check'!D585="","",'Cash_Check'!D585)</f>
        <v/>
      </c>
      <c r="K3585">
        <f>TRIM('Cash_Check'!B585)</f>
        <v/>
      </c>
      <c r="M3585">
        <f>IF(TRIM('Cash_Check'!E585)="","Cash/check",TRIM('Cash_Check'!E585))</f>
        <v/>
      </c>
      <c r="N3585">
        <f>IF(I3585="","",IF(ISNUMBER(I3585),INT(I3585),IFERROR(INT(DATEVALUE(I3585)),IFERROR(INT(VALUE(I3585)),"bad"))))</f>
        <v/>
      </c>
      <c r="O3585">
        <f>IF(J3585="","",IF(ISNUMBER(J3585),ROUND(J3585,2),IFERROR(ROUND(VALUE(SUBSTITUTE(SUBSTITUTE(SUBSTITUTE(J3585,"$",""),",","")," ","")),2),"bad")))</f>
        <v/>
      </c>
      <c r="P3585">
        <f>IF(K3585="","",IFERROR(MATCH(IF(ISNUMBER(FIND("#",K3585)),TRIM(MID(K3585,FIND("#",K3585)+1,20)),UPPER(K3585)),'Students'!$AD$2:$AD$701,0),""))</f>
        <v/>
      </c>
      <c r="R3585">
        <f>IF(P3585="","",INDEX('Students'!$AD$2:$AD$701,P3585))</f>
        <v/>
      </c>
      <c r="S3585">
        <f>IF(H3585="OK",O3585,0)</f>
        <v/>
      </c>
      <c r="T3585">
        <f>IF(H3585="OK",N3585,"")</f>
        <v/>
      </c>
      <c r="U3585">
        <f>TRIM('Cash_Check'!C585)</f>
        <v/>
      </c>
    </row>
    <row r="3586">
      <c r="A3586" s="62">
        <f>IF(H3586="","",IF(ISNUMBER(N3586),N3586,I3586))</f>
        <v/>
      </c>
      <c r="B3586">
        <f>IF(H3586="","",U3586)</f>
        <v/>
      </c>
      <c r="C3586">
        <f>IF(H3586="","",IF(P3586="",K3586,INDEX('Students'!$A$2:$A$701,P3586)))</f>
        <v/>
      </c>
      <c r="D3586">
        <f>IF(OR(H3586="",P3586=""),"",INDEX('Students'!$B$2:$B$701,P3586))</f>
        <v/>
      </c>
      <c r="E3586">
        <f>IF(OR(H3586="",P3586=""),"",INDEX('Students'!$C$2:$C$701,P3586))</f>
        <v/>
      </c>
      <c r="F3586" s="48">
        <f>IF(H3586="","",IF(ISNUMBER(O3586),O3586,J3586))</f>
        <v/>
      </c>
      <c r="G3586">
        <f>IF(H3586="","",M3586)</f>
        <v/>
      </c>
      <c r="H3586">
        <f>IF(AND(I3586="",J3586="",K3586=""),"",IF(OR(NOT(ISNUMBER(O3586)),N(O3586)&lt;=0),"Bad amount",IF(NOT(ISNUMBER(N3586)),"Bad date",IF(P3586="","NAME NOT ON ROSTER","OK"))))</f>
        <v/>
      </c>
      <c r="I3586">
        <f>IF('Cash_Check'!A586="","",'Cash_Check'!A586)</f>
        <v/>
      </c>
      <c r="J3586">
        <f>IF('Cash_Check'!D586="","",'Cash_Check'!D586)</f>
        <v/>
      </c>
      <c r="K3586">
        <f>TRIM('Cash_Check'!B586)</f>
        <v/>
      </c>
      <c r="M3586">
        <f>IF(TRIM('Cash_Check'!E586)="","Cash/check",TRIM('Cash_Check'!E586))</f>
        <v/>
      </c>
      <c r="N3586">
        <f>IF(I3586="","",IF(ISNUMBER(I3586),INT(I3586),IFERROR(INT(DATEVALUE(I3586)),IFERROR(INT(VALUE(I3586)),"bad"))))</f>
        <v/>
      </c>
      <c r="O3586">
        <f>IF(J3586="","",IF(ISNUMBER(J3586),ROUND(J3586,2),IFERROR(ROUND(VALUE(SUBSTITUTE(SUBSTITUTE(SUBSTITUTE(J3586,"$",""),",","")," ","")),2),"bad")))</f>
        <v/>
      </c>
      <c r="P3586">
        <f>IF(K3586="","",IFERROR(MATCH(IF(ISNUMBER(FIND("#",K3586)),TRIM(MID(K3586,FIND("#",K3586)+1,20)),UPPER(K3586)),'Students'!$AD$2:$AD$701,0),""))</f>
        <v/>
      </c>
      <c r="R3586">
        <f>IF(P3586="","",INDEX('Students'!$AD$2:$AD$701,P3586))</f>
        <v/>
      </c>
      <c r="S3586">
        <f>IF(H3586="OK",O3586,0)</f>
        <v/>
      </c>
      <c r="T3586">
        <f>IF(H3586="OK",N3586,"")</f>
        <v/>
      </c>
      <c r="U3586">
        <f>TRIM('Cash_Check'!C586)</f>
        <v/>
      </c>
    </row>
    <row r="3587">
      <c r="A3587" s="62">
        <f>IF(H3587="","",IF(ISNUMBER(N3587),N3587,I3587))</f>
        <v/>
      </c>
      <c r="B3587">
        <f>IF(H3587="","",U3587)</f>
        <v/>
      </c>
      <c r="C3587">
        <f>IF(H3587="","",IF(P3587="",K3587,INDEX('Students'!$A$2:$A$701,P3587)))</f>
        <v/>
      </c>
      <c r="D3587">
        <f>IF(OR(H3587="",P3587=""),"",INDEX('Students'!$B$2:$B$701,P3587))</f>
        <v/>
      </c>
      <c r="E3587">
        <f>IF(OR(H3587="",P3587=""),"",INDEX('Students'!$C$2:$C$701,P3587))</f>
        <v/>
      </c>
      <c r="F3587" s="48">
        <f>IF(H3587="","",IF(ISNUMBER(O3587),O3587,J3587))</f>
        <v/>
      </c>
      <c r="G3587">
        <f>IF(H3587="","",M3587)</f>
        <v/>
      </c>
      <c r="H3587">
        <f>IF(AND(I3587="",J3587="",K3587=""),"",IF(OR(NOT(ISNUMBER(O3587)),N(O3587)&lt;=0),"Bad amount",IF(NOT(ISNUMBER(N3587)),"Bad date",IF(P3587="","NAME NOT ON ROSTER","OK"))))</f>
        <v/>
      </c>
      <c r="I3587">
        <f>IF('Cash_Check'!A587="","",'Cash_Check'!A587)</f>
        <v/>
      </c>
      <c r="J3587">
        <f>IF('Cash_Check'!D587="","",'Cash_Check'!D587)</f>
        <v/>
      </c>
      <c r="K3587">
        <f>TRIM('Cash_Check'!B587)</f>
        <v/>
      </c>
      <c r="M3587">
        <f>IF(TRIM('Cash_Check'!E587)="","Cash/check",TRIM('Cash_Check'!E587))</f>
        <v/>
      </c>
      <c r="N3587">
        <f>IF(I3587="","",IF(ISNUMBER(I3587),INT(I3587),IFERROR(INT(DATEVALUE(I3587)),IFERROR(INT(VALUE(I3587)),"bad"))))</f>
        <v/>
      </c>
      <c r="O3587">
        <f>IF(J3587="","",IF(ISNUMBER(J3587),ROUND(J3587,2),IFERROR(ROUND(VALUE(SUBSTITUTE(SUBSTITUTE(SUBSTITUTE(J3587,"$",""),",","")," ","")),2),"bad")))</f>
        <v/>
      </c>
      <c r="P3587">
        <f>IF(K3587="","",IFERROR(MATCH(IF(ISNUMBER(FIND("#",K3587)),TRIM(MID(K3587,FIND("#",K3587)+1,20)),UPPER(K3587)),'Students'!$AD$2:$AD$701,0),""))</f>
        <v/>
      </c>
      <c r="R3587">
        <f>IF(P3587="","",INDEX('Students'!$AD$2:$AD$701,P3587))</f>
        <v/>
      </c>
      <c r="S3587">
        <f>IF(H3587="OK",O3587,0)</f>
        <v/>
      </c>
      <c r="T3587">
        <f>IF(H3587="OK",N3587,"")</f>
        <v/>
      </c>
      <c r="U3587">
        <f>TRIM('Cash_Check'!C587)</f>
        <v/>
      </c>
    </row>
    <row r="3588">
      <c r="A3588" s="62">
        <f>IF(H3588="","",IF(ISNUMBER(N3588),N3588,I3588))</f>
        <v/>
      </c>
      <c r="B3588">
        <f>IF(H3588="","",U3588)</f>
        <v/>
      </c>
      <c r="C3588">
        <f>IF(H3588="","",IF(P3588="",K3588,INDEX('Students'!$A$2:$A$701,P3588)))</f>
        <v/>
      </c>
      <c r="D3588">
        <f>IF(OR(H3588="",P3588=""),"",INDEX('Students'!$B$2:$B$701,P3588))</f>
        <v/>
      </c>
      <c r="E3588">
        <f>IF(OR(H3588="",P3588=""),"",INDEX('Students'!$C$2:$C$701,P3588))</f>
        <v/>
      </c>
      <c r="F3588" s="48">
        <f>IF(H3588="","",IF(ISNUMBER(O3588),O3588,J3588))</f>
        <v/>
      </c>
      <c r="G3588">
        <f>IF(H3588="","",M3588)</f>
        <v/>
      </c>
      <c r="H3588">
        <f>IF(AND(I3588="",J3588="",K3588=""),"",IF(OR(NOT(ISNUMBER(O3588)),N(O3588)&lt;=0),"Bad amount",IF(NOT(ISNUMBER(N3588)),"Bad date",IF(P3588="","NAME NOT ON ROSTER","OK"))))</f>
        <v/>
      </c>
      <c r="I3588">
        <f>IF('Cash_Check'!A588="","",'Cash_Check'!A588)</f>
        <v/>
      </c>
      <c r="J3588">
        <f>IF('Cash_Check'!D588="","",'Cash_Check'!D588)</f>
        <v/>
      </c>
      <c r="K3588">
        <f>TRIM('Cash_Check'!B588)</f>
        <v/>
      </c>
      <c r="M3588">
        <f>IF(TRIM('Cash_Check'!E588)="","Cash/check",TRIM('Cash_Check'!E588))</f>
        <v/>
      </c>
      <c r="N3588">
        <f>IF(I3588="","",IF(ISNUMBER(I3588),INT(I3588),IFERROR(INT(DATEVALUE(I3588)),IFERROR(INT(VALUE(I3588)),"bad"))))</f>
        <v/>
      </c>
      <c r="O3588">
        <f>IF(J3588="","",IF(ISNUMBER(J3588),ROUND(J3588,2),IFERROR(ROUND(VALUE(SUBSTITUTE(SUBSTITUTE(SUBSTITUTE(J3588,"$",""),",","")," ","")),2),"bad")))</f>
        <v/>
      </c>
      <c r="P3588">
        <f>IF(K3588="","",IFERROR(MATCH(IF(ISNUMBER(FIND("#",K3588)),TRIM(MID(K3588,FIND("#",K3588)+1,20)),UPPER(K3588)),'Students'!$AD$2:$AD$701,0),""))</f>
        <v/>
      </c>
      <c r="R3588">
        <f>IF(P3588="","",INDEX('Students'!$AD$2:$AD$701,P3588))</f>
        <v/>
      </c>
      <c r="S3588">
        <f>IF(H3588="OK",O3588,0)</f>
        <v/>
      </c>
      <c r="T3588">
        <f>IF(H3588="OK",N3588,"")</f>
        <v/>
      </c>
      <c r="U3588">
        <f>TRIM('Cash_Check'!C588)</f>
        <v/>
      </c>
    </row>
    <row r="3589">
      <c r="A3589" s="62">
        <f>IF(H3589="","",IF(ISNUMBER(N3589),N3589,I3589))</f>
        <v/>
      </c>
      <c r="B3589">
        <f>IF(H3589="","",U3589)</f>
        <v/>
      </c>
      <c r="C3589">
        <f>IF(H3589="","",IF(P3589="",K3589,INDEX('Students'!$A$2:$A$701,P3589)))</f>
        <v/>
      </c>
      <c r="D3589">
        <f>IF(OR(H3589="",P3589=""),"",INDEX('Students'!$B$2:$B$701,P3589))</f>
        <v/>
      </c>
      <c r="E3589">
        <f>IF(OR(H3589="",P3589=""),"",INDEX('Students'!$C$2:$C$701,P3589))</f>
        <v/>
      </c>
      <c r="F3589" s="48">
        <f>IF(H3589="","",IF(ISNUMBER(O3589),O3589,J3589))</f>
        <v/>
      </c>
      <c r="G3589">
        <f>IF(H3589="","",M3589)</f>
        <v/>
      </c>
      <c r="H3589">
        <f>IF(AND(I3589="",J3589="",K3589=""),"",IF(OR(NOT(ISNUMBER(O3589)),N(O3589)&lt;=0),"Bad amount",IF(NOT(ISNUMBER(N3589)),"Bad date",IF(P3589="","NAME NOT ON ROSTER","OK"))))</f>
        <v/>
      </c>
      <c r="I3589">
        <f>IF('Cash_Check'!A589="","",'Cash_Check'!A589)</f>
        <v/>
      </c>
      <c r="J3589">
        <f>IF('Cash_Check'!D589="","",'Cash_Check'!D589)</f>
        <v/>
      </c>
      <c r="K3589">
        <f>TRIM('Cash_Check'!B589)</f>
        <v/>
      </c>
      <c r="M3589">
        <f>IF(TRIM('Cash_Check'!E589)="","Cash/check",TRIM('Cash_Check'!E589))</f>
        <v/>
      </c>
      <c r="N3589">
        <f>IF(I3589="","",IF(ISNUMBER(I3589),INT(I3589),IFERROR(INT(DATEVALUE(I3589)),IFERROR(INT(VALUE(I3589)),"bad"))))</f>
        <v/>
      </c>
      <c r="O3589">
        <f>IF(J3589="","",IF(ISNUMBER(J3589),ROUND(J3589,2),IFERROR(ROUND(VALUE(SUBSTITUTE(SUBSTITUTE(SUBSTITUTE(J3589,"$",""),",","")," ","")),2),"bad")))</f>
        <v/>
      </c>
      <c r="P3589">
        <f>IF(K3589="","",IFERROR(MATCH(IF(ISNUMBER(FIND("#",K3589)),TRIM(MID(K3589,FIND("#",K3589)+1,20)),UPPER(K3589)),'Students'!$AD$2:$AD$701,0),""))</f>
        <v/>
      </c>
      <c r="R3589">
        <f>IF(P3589="","",INDEX('Students'!$AD$2:$AD$701,P3589))</f>
        <v/>
      </c>
      <c r="S3589">
        <f>IF(H3589="OK",O3589,0)</f>
        <v/>
      </c>
      <c r="T3589">
        <f>IF(H3589="OK",N3589,"")</f>
        <v/>
      </c>
      <c r="U3589">
        <f>TRIM('Cash_Check'!C589)</f>
        <v/>
      </c>
    </row>
    <row r="3590">
      <c r="A3590" s="62">
        <f>IF(H3590="","",IF(ISNUMBER(N3590),N3590,I3590))</f>
        <v/>
      </c>
      <c r="B3590">
        <f>IF(H3590="","",U3590)</f>
        <v/>
      </c>
      <c r="C3590">
        <f>IF(H3590="","",IF(P3590="",K3590,INDEX('Students'!$A$2:$A$701,P3590)))</f>
        <v/>
      </c>
      <c r="D3590">
        <f>IF(OR(H3590="",P3590=""),"",INDEX('Students'!$B$2:$B$701,P3590))</f>
        <v/>
      </c>
      <c r="E3590">
        <f>IF(OR(H3590="",P3590=""),"",INDEX('Students'!$C$2:$C$701,P3590))</f>
        <v/>
      </c>
      <c r="F3590" s="48">
        <f>IF(H3590="","",IF(ISNUMBER(O3590),O3590,J3590))</f>
        <v/>
      </c>
      <c r="G3590">
        <f>IF(H3590="","",M3590)</f>
        <v/>
      </c>
      <c r="H3590">
        <f>IF(AND(I3590="",J3590="",K3590=""),"",IF(OR(NOT(ISNUMBER(O3590)),N(O3590)&lt;=0),"Bad amount",IF(NOT(ISNUMBER(N3590)),"Bad date",IF(P3590="","NAME NOT ON ROSTER","OK"))))</f>
        <v/>
      </c>
      <c r="I3590">
        <f>IF('Cash_Check'!A590="","",'Cash_Check'!A590)</f>
        <v/>
      </c>
      <c r="J3590">
        <f>IF('Cash_Check'!D590="","",'Cash_Check'!D590)</f>
        <v/>
      </c>
      <c r="K3590">
        <f>TRIM('Cash_Check'!B590)</f>
        <v/>
      </c>
      <c r="M3590">
        <f>IF(TRIM('Cash_Check'!E590)="","Cash/check",TRIM('Cash_Check'!E590))</f>
        <v/>
      </c>
      <c r="N3590">
        <f>IF(I3590="","",IF(ISNUMBER(I3590),INT(I3590),IFERROR(INT(DATEVALUE(I3590)),IFERROR(INT(VALUE(I3590)),"bad"))))</f>
        <v/>
      </c>
      <c r="O3590">
        <f>IF(J3590="","",IF(ISNUMBER(J3590),ROUND(J3590,2),IFERROR(ROUND(VALUE(SUBSTITUTE(SUBSTITUTE(SUBSTITUTE(J3590,"$",""),",","")," ","")),2),"bad")))</f>
        <v/>
      </c>
      <c r="P3590">
        <f>IF(K3590="","",IFERROR(MATCH(IF(ISNUMBER(FIND("#",K3590)),TRIM(MID(K3590,FIND("#",K3590)+1,20)),UPPER(K3590)),'Students'!$AD$2:$AD$701,0),""))</f>
        <v/>
      </c>
      <c r="R3590">
        <f>IF(P3590="","",INDEX('Students'!$AD$2:$AD$701,P3590))</f>
        <v/>
      </c>
      <c r="S3590">
        <f>IF(H3590="OK",O3590,0)</f>
        <v/>
      </c>
      <c r="T3590">
        <f>IF(H3590="OK",N3590,"")</f>
        <v/>
      </c>
      <c r="U3590">
        <f>TRIM('Cash_Check'!C590)</f>
        <v/>
      </c>
    </row>
    <row r="3591">
      <c r="A3591" s="62">
        <f>IF(H3591="","",IF(ISNUMBER(N3591),N3591,I3591))</f>
        <v/>
      </c>
      <c r="B3591">
        <f>IF(H3591="","",U3591)</f>
        <v/>
      </c>
      <c r="C3591">
        <f>IF(H3591="","",IF(P3591="",K3591,INDEX('Students'!$A$2:$A$701,P3591)))</f>
        <v/>
      </c>
      <c r="D3591">
        <f>IF(OR(H3591="",P3591=""),"",INDEX('Students'!$B$2:$B$701,P3591))</f>
        <v/>
      </c>
      <c r="E3591">
        <f>IF(OR(H3591="",P3591=""),"",INDEX('Students'!$C$2:$C$701,P3591))</f>
        <v/>
      </c>
      <c r="F3591" s="48">
        <f>IF(H3591="","",IF(ISNUMBER(O3591),O3591,J3591))</f>
        <v/>
      </c>
      <c r="G3591">
        <f>IF(H3591="","",M3591)</f>
        <v/>
      </c>
      <c r="H3591">
        <f>IF(AND(I3591="",J3591="",K3591=""),"",IF(OR(NOT(ISNUMBER(O3591)),N(O3591)&lt;=0),"Bad amount",IF(NOT(ISNUMBER(N3591)),"Bad date",IF(P3591="","NAME NOT ON ROSTER","OK"))))</f>
        <v/>
      </c>
      <c r="I3591">
        <f>IF('Cash_Check'!A591="","",'Cash_Check'!A591)</f>
        <v/>
      </c>
      <c r="J3591">
        <f>IF('Cash_Check'!D591="","",'Cash_Check'!D591)</f>
        <v/>
      </c>
      <c r="K3591">
        <f>TRIM('Cash_Check'!B591)</f>
        <v/>
      </c>
      <c r="M3591">
        <f>IF(TRIM('Cash_Check'!E591)="","Cash/check",TRIM('Cash_Check'!E591))</f>
        <v/>
      </c>
      <c r="N3591">
        <f>IF(I3591="","",IF(ISNUMBER(I3591),INT(I3591),IFERROR(INT(DATEVALUE(I3591)),IFERROR(INT(VALUE(I3591)),"bad"))))</f>
        <v/>
      </c>
      <c r="O3591">
        <f>IF(J3591="","",IF(ISNUMBER(J3591),ROUND(J3591,2),IFERROR(ROUND(VALUE(SUBSTITUTE(SUBSTITUTE(SUBSTITUTE(J3591,"$",""),",","")," ","")),2),"bad")))</f>
        <v/>
      </c>
      <c r="P3591">
        <f>IF(K3591="","",IFERROR(MATCH(IF(ISNUMBER(FIND("#",K3591)),TRIM(MID(K3591,FIND("#",K3591)+1,20)),UPPER(K3591)),'Students'!$AD$2:$AD$701,0),""))</f>
        <v/>
      </c>
      <c r="R3591">
        <f>IF(P3591="","",INDEX('Students'!$AD$2:$AD$701,P3591))</f>
        <v/>
      </c>
      <c r="S3591">
        <f>IF(H3591="OK",O3591,0)</f>
        <v/>
      </c>
      <c r="T3591">
        <f>IF(H3591="OK",N3591,"")</f>
        <v/>
      </c>
      <c r="U3591">
        <f>TRIM('Cash_Check'!C591)</f>
        <v/>
      </c>
    </row>
    <row r="3592">
      <c r="A3592" s="62">
        <f>IF(H3592="","",IF(ISNUMBER(N3592),N3592,I3592))</f>
        <v/>
      </c>
      <c r="B3592">
        <f>IF(H3592="","",U3592)</f>
        <v/>
      </c>
      <c r="C3592">
        <f>IF(H3592="","",IF(P3592="",K3592,INDEX('Students'!$A$2:$A$701,P3592)))</f>
        <v/>
      </c>
      <c r="D3592">
        <f>IF(OR(H3592="",P3592=""),"",INDEX('Students'!$B$2:$B$701,P3592))</f>
        <v/>
      </c>
      <c r="E3592">
        <f>IF(OR(H3592="",P3592=""),"",INDEX('Students'!$C$2:$C$701,P3592))</f>
        <v/>
      </c>
      <c r="F3592" s="48">
        <f>IF(H3592="","",IF(ISNUMBER(O3592),O3592,J3592))</f>
        <v/>
      </c>
      <c r="G3592">
        <f>IF(H3592="","",M3592)</f>
        <v/>
      </c>
      <c r="H3592">
        <f>IF(AND(I3592="",J3592="",K3592=""),"",IF(OR(NOT(ISNUMBER(O3592)),N(O3592)&lt;=0),"Bad amount",IF(NOT(ISNUMBER(N3592)),"Bad date",IF(P3592="","NAME NOT ON ROSTER","OK"))))</f>
        <v/>
      </c>
      <c r="I3592">
        <f>IF('Cash_Check'!A592="","",'Cash_Check'!A592)</f>
        <v/>
      </c>
      <c r="J3592">
        <f>IF('Cash_Check'!D592="","",'Cash_Check'!D592)</f>
        <v/>
      </c>
      <c r="K3592">
        <f>TRIM('Cash_Check'!B592)</f>
        <v/>
      </c>
      <c r="M3592">
        <f>IF(TRIM('Cash_Check'!E592)="","Cash/check",TRIM('Cash_Check'!E592))</f>
        <v/>
      </c>
      <c r="N3592">
        <f>IF(I3592="","",IF(ISNUMBER(I3592),INT(I3592),IFERROR(INT(DATEVALUE(I3592)),IFERROR(INT(VALUE(I3592)),"bad"))))</f>
        <v/>
      </c>
      <c r="O3592">
        <f>IF(J3592="","",IF(ISNUMBER(J3592),ROUND(J3592,2),IFERROR(ROUND(VALUE(SUBSTITUTE(SUBSTITUTE(SUBSTITUTE(J3592,"$",""),",","")," ","")),2),"bad")))</f>
        <v/>
      </c>
      <c r="P3592">
        <f>IF(K3592="","",IFERROR(MATCH(IF(ISNUMBER(FIND("#",K3592)),TRIM(MID(K3592,FIND("#",K3592)+1,20)),UPPER(K3592)),'Students'!$AD$2:$AD$701,0),""))</f>
        <v/>
      </c>
      <c r="R3592">
        <f>IF(P3592="","",INDEX('Students'!$AD$2:$AD$701,P3592))</f>
        <v/>
      </c>
      <c r="S3592">
        <f>IF(H3592="OK",O3592,0)</f>
        <v/>
      </c>
      <c r="T3592">
        <f>IF(H3592="OK",N3592,"")</f>
        <v/>
      </c>
      <c r="U3592">
        <f>TRIM('Cash_Check'!C592)</f>
        <v/>
      </c>
    </row>
    <row r="3593">
      <c r="A3593" s="62">
        <f>IF(H3593="","",IF(ISNUMBER(N3593),N3593,I3593))</f>
        <v/>
      </c>
      <c r="B3593">
        <f>IF(H3593="","",U3593)</f>
        <v/>
      </c>
      <c r="C3593">
        <f>IF(H3593="","",IF(P3593="",K3593,INDEX('Students'!$A$2:$A$701,P3593)))</f>
        <v/>
      </c>
      <c r="D3593">
        <f>IF(OR(H3593="",P3593=""),"",INDEX('Students'!$B$2:$B$701,P3593))</f>
        <v/>
      </c>
      <c r="E3593">
        <f>IF(OR(H3593="",P3593=""),"",INDEX('Students'!$C$2:$C$701,P3593))</f>
        <v/>
      </c>
      <c r="F3593" s="48">
        <f>IF(H3593="","",IF(ISNUMBER(O3593),O3593,J3593))</f>
        <v/>
      </c>
      <c r="G3593">
        <f>IF(H3593="","",M3593)</f>
        <v/>
      </c>
      <c r="H3593">
        <f>IF(AND(I3593="",J3593="",K3593=""),"",IF(OR(NOT(ISNUMBER(O3593)),N(O3593)&lt;=0),"Bad amount",IF(NOT(ISNUMBER(N3593)),"Bad date",IF(P3593="","NAME NOT ON ROSTER","OK"))))</f>
        <v/>
      </c>
      <c r="I3593">
        <f>IF('Cash_Check'!A593="","",'Cash_Check'!A593)</f>
        <v/>
      </c>
      <c r="J3593">
        <f>IF('Cash_Check'!D593="","",'Cash_Check'!D593)</f>
        <v/>
      </c>
      <c r="K3593">
        <f>TRIM('Cash_Check'!B593)</f>
        <v/>
      </c>
      <c r="M3593">
        <f>IF(TRIM('Cash_Check'!E593)="","Cash/check",TRIM('Cash_Check'!E593))</f>
        <v/>
      </c>
      <c r="N3593">
        <f>IF(I3593="","",IF(ISNUMBER(I3593),INT(I3593),IFERROR(INT(DATEVALUE(I3593)),IFERROR(INT(VALUE(I3593)),"bad"))))</f>
        <v/>
      </c>
      <c r="O3593">
        <f>IF(J3593="","",IF(ISNUMBER(J3593),ROUND(J3593,2),IFERROR(ROUND(VALUE(SUBSTITUTE(SUBSTITUTE(SUBSTITUTE(J3593,"$",""),",","")," ","")),2),"bad")))</f>
        <v/>
      </c>
      <c r="P3593">
        <f>IF(K3593="","",IFERROR(MATCH(IF(ISNUMBER(FIND("#",K3593)),TRIM(MID(K3593,FIND("#",K3593)+1,20)),UPPER(K3593)),'Students'!$AD$2:$AD$701,0),""))</f>
        <v/>
      </c>
      <c r="R3593">
        <f>IF(P3593="","",INDEX('Students'!$AD$2:$AD$701,P3593))</f>
        <v/>
      </c>
      <c r="S3593">
        <f>IF(H3593="OK",O3593,0)</f>
        <v/>
      </c>
      <c r="T3593">
        <f>IF(H3593="OK",N3593,"")</f>
        <v/>
      </c>
      <c r="U3593">
        <f>TRIM('Cash_Check'!C593)</f>
        <v/>
      </c>
    </row>
    <row r="3594">
      <c r="A3594" s="62">
        <f>IF(H3594="","",IF(ISNUMBER(N3594),N3594,I3594))</f>
        <v/>
      </c>
      <c r="B3594">
        <f>IF(H3594="","",U3594)</f>
        <v/>
      </c>
      <c r="C3594">
        <f>IF(H3594="","",IF(P3594="",K3594,INDEX('Students'!$A$2:$A$701,P3594)))</f>
        <v/>
      </c>
      <c r="D3594">
        <f>IF(OR(H3594="",P3594=""),"",INDEX('Students'!$B$2:$B$701,P3594))</f>
        <v/>
      </c>
      <c r="E3594">
        <f>IF(OR(H3594="",P3594=""),"",INDEX('Students'!$C$2:$C$701,P3594))</f>
        <v/>
      </c>
      <c r="F3594" s="48">
        <f>IF(H3594="","",IF(ISNUMBER(O3594),O3594,J3594))</f>
        <v/>
      </c>
      <c r="G3594">
        <f>IF(H3594="","",M3594)</f>
        <v/>
      </c>
      <c r="H3594">
        <f>IF(AND(I3594="",J3594="",K3594=""),"",IF(OR(NOT(ISNUMBER(O3594)),N(O3594)&lt;=0),"Bad amount",IF(NOT(ISNUMBER(N3594)),"Bad date",IF(P3594="","NAME NOT ON ROSTER","OK"))))</f>
        <v/>
      </c>
      <c r="I3594">
        <f>IF('Cash_Check'!A594="","",'Cash_Check'!A594)</f>
        <v/>
      </c>
      <c r="J3594">
        <f>IF('Cash_Check'!D594="","",'Cash_Check'!D594)</f>
        <v/>
      </c>
      <c r="K3594">
        <f>TRIM('Cash_Check'!B594)</f>
        <v/>
      </c>
      <c r="M3594">
        <f>IF(TRIM('Cash_Check'!E594)="","Cash/check",TRIM('Cash_Check'!E594))</f>
        <v/>
      </c>
      <c r="N3594">
        <f>IF(I3594="","",IF(ISNUMBER(I3594),INT(I3594),IFERROR(INT(DATEVALUE(I3594)),IFERROR(INT(VALUE(I3594)),"bad"))))</f>
        <v/>
      </c>
      <c r="O3594">
        <f>IF(J3594="","",IF(ISNUMBER(J3594),ROUND(J3594,2),IFERROR(ROUND(VALUE(SUBSTITUTE(SUBSTITUTE(SUBSTITUTE(J3594,"$",""),",","")," ","")),2),"bad")))</f>
        <v/>
      </c>
      <c r="P3594">
        <f>IF(K3594="","",IFERROR(MATCH(IF(ISNUMBER(FIND("#",K3594)),TRIM(MID(K3594,FIND("#",K3594)+1,20)),UPPER(K3594)),'Students'!$AD$2:$AD$701,0),""))</f>
        <v/>
      </c>
      <c r="R3594">
        <f>IF(P3594="","",INDEX('Students'!$AD$2:$AD$701,P3594))</f>
        <v/>
      </c>
      <c r="S3594">
        <f>IF(H3594="OK",O3594,0)</f>
        <v/>
      </c>
      <c r="T3594">
        <f>IF(H3594="OK",N3594,"")</f>
        <v/>
      </c>
      <c r="U3594">
        <f>TRIM('Cash_Check'!C594)</f>
        <v/>
      </c>
    </row>
    <row r="3595">
      <c r="A3595" s="62">
        <f>IF(H3595="","",IF(ISNUMBER(N3595),N3595,I3595))</f>
        <v/>
      </c>
      <c r="B3595">
        <f>IF(H3595="","",U3595)</f>
        <v/>
      </c>
      <c r="C3595">
        <f>IF(H3595="","",IF(P3595="",K3595,INDEX('Students'!$A$2:$A$701,P3595)))</f>
        <v/>
      </c>
      <c r="D3595">
        <f>IF(OR(H3595="",P3595=""),"",INDEX('Students'!$B$2:$B$701,P3595))</f>
        <v/>
      </c>
      <c r="E3595">
        <f>IF(OR(H3595="",P3595=""),"",INDEX('Students'!$C$2:$C$701,P3595))</f>
        <v/>
      </c>
      <c r="F3595" s="48">
        <f>IF(H3595="","",IF(ISNUMBER(O3595),O3595,J3595))</f>
        <v/>
      </c>
      <c r="G3595">
        <f>IF(H3595="","",M3595)</f>
        <v/>
      </c>
      <c r="H3595">
        <f>IF(AND(I3595="",J3595="",K3595=""),"",IF(OR(NOT(ISNUMBER(O3595)),N(O3595)&lt;=0),"Bad amount",IF(NOT(ISNUMBER(N3595)),"Bad date",IF(P3595="","NAME NOT ON ROSTER","OK"))))</f>
        <v/>
      </c>
      <c r="I3595">
        <f>IF('Cash_Check'!A595="","",'Cash_Check'!A595)</f>
        <v/>
      </c>
      <c r="J3595">
        <f>IF('Cash_Check'!D595="","",'Cash_Check'!D595)</f>
        <v/>
      </c>
      <c r="K3595">
        <f>TRIM('Cash_Check'!B595)</f>
        <v/>
      </c>
      <c r="M3595">
        <f>IF(TRIM('Cash_Check'!E595)="","Cash/check",TRIM('Cash_Check'!E595))</f>
        <v/>
      </c>
      <c r="N3595">
        <f>IF(I3595="","",IF(ISNUMBER(I3595),INT(I3595),IFERROR(INT(DATEVALUE(I3595)),IFERROR(INT(VALUE(I3595)),"bad"))))</f>
        <v/>
      </c>
      <c r="O3595">
        <f>IF(J3595="","",IF(ISNUMBER(J3595),ROUND(J3595,2),IFERROR(ROUND(VALUE(SUBSTITUTE(SUBSTITUTE(SUBSTITUTE(J3595,"$",""),",","")," ","")),2),"bad")))</f>
        <v/>
      </c>
      <c r="P3595">
        <f>IF(K3595="","",IFERROR(MATCH(IF(ISNUMBER(FIND("#",K3595)),TRIM(MID(K3595,FIND("#",K3595)+1,20)),UPPER(K3595)),'Students'!$AD$2:$AD$701,0),""))</f>
        <v/>
      </c>
      <c r="R3595">
        <f>IF(P3595="","",INDEX('Students'!$AD$2:$AD$701,P3595))</f>
        <v/>
      </c>
      <c r="S3595">
        <f>IF(H3595="OK",O3595,0)</f>
        <v/>
      </c>
      <c r="T3595">
        <f>IF(H3595="OK",N3595,"")</f>
        <v/>
      </c>
      <c r="U3595">
        <f>TRIM('Cash_Check'!C595)</f>
        <v/>
      </c>
    </row>
    <row r="3596">
      <c r="A3596" s="62">
        <f>IF(H3596="","",IF(ISNUMBER(N3596),N3596,I3596))</f>
        <v/>
      </c>
      <c r="B3596">
        <f>IF(H3596="","",U3596)</f>
        <v/>
      </c>
      <c r="C3596">
        <f>IF(H3596="","",IF(P3596="",K3596,INDEX('Students'!$A$2:$A$701,P3596)))</f>
        <v/>
      </c>
      <c r="D3596">
        <f>IF(OR(H3596="",P3596=""),"",INDEX('Students'!$B$2:$B$701,P3596))</f>
        <v/>
      </c>
      <c r="E3596">
        <f>IF(OR(H3596="",P3596=""),"",INDEX('Students'!$C$2:$C$701,P3596))</f>
        <v/>
      </c>
      <c r="F3596" s="48">
        <f>IF(H3596="","",IF(ISNUMBER(O3596),O3596,J3596))</f>
        <v/>
      </c>
      <c r="G3596">
        <f>IF(H3596="","",M3596)</f>
        <v/>
      </c>
      <c r="H3596">
        <f>IF(AND(I3596="",J3596="",K3596=""),"",IF(OR(NOT(ISNUMBER(O3596)),N(O3596)&lt;=0),"Bad amount",IF(NOT(ISNUMBER(N3596)),"Bad date",IF(P3596="","NAME NOT ON ROSTER","OK"))))</f>
        <v/>
      </c>
      <c r="I3596">
        <f>IF('Cash_Check'!A596="","",'Cash_Check'!A596)</f>
        <v/>
      </c>
      <c r="J3596">
        <f>IF('Cash_Check'!D596="","",'Cash_Check'!D596)</f>
        <v/>
      </c>
      <c r="K3596">
        <f>TRIM('Cash_Check'!B596)</f>
        <v/>
      </c>
      <c r="M3596">
        <f>IF(TRIM('Cash_Check'!E596)="","Cash/check",TRIM('Cash_Check'!E596))</f>
        <v/>
      </c>
      <c r="N3596">
        <f>IF(I3596="","",IF(ISNUMBER(I3596),INT(I3596),IFERROR(INT(DATEVALUE(I3596)),IFERROR(INT(VALUE(I3596)),"bad"))))</f>
        <v/>
      </c>
      <c r="O3596">
        <f>IF(J3596="","",IF(ISNUMBER(J3596),ROUND(J3596,2),IFERROR(ROUND(VALUE(SUBSTITUTE(SUBSTITUTE(SUBSTITUTE(J3596,"$",""),",","")," ","")),2),"bad")))</f>
        <v/>
      </c>
      <c r="P3596">
        <f>IF(K3596="","",IFERROR(MATCH(IF(ISNUMBER(FIND("#",K3596)),TRIM(MID(K3596,FIND("#",K3596)+1,20)),UPPER(K3596)),'Students'!$AD$2:$AD$701,0),""))</f>
        <v/>
      </c>
      <c r="R3596">
        <f>IF(P3596="","",INDEX('Students'!$AD$2:$AD$701,P3596))</f>
        <v/>
      </c>
      <c r="S3596">
        <f>IF(H3596="OK",O3596,0)</f>
        <v/>
      </c>
      <c r="T3596">
        <f>IF(H3596="OK",N3596,"")</f>
        <v/>
      </c>
      <c r="U3596">
        <f>TRIM('Cash_Check'!C596)</f>
        <v/>
      </c>
    </row>
    <row r="3597">
      <c r="A3597" s="62">
        <f>IF(H3597="","",IF(ISNUMBER(N3597),N3597,I3597))</f>
        <v/>
      </c>
      <c r="B3597">
        <f>IF(H3597="","",U3597)</f>
        <v/>
      </c>
      <c r="C3597">
        <f>IF(H3597="","",IF(P3597="",K3597,INDEX('Students'!$A$2:$A$701,P3597)))</f>
        <v/>
      </c>
      <c r="D3597">
        <f>IF(OR(H3597="",P3597=""),"",INDEX('Students'!$B$2:$B$701,P3597))</f>
        <v/>
      </c>
      <c r="E3597">
        <f>IF(OR(H3597="",P3597=""),"",INDEX('Students'!$C$2:$C$701,P3597))</f>
        <v/>
      </c>
      <c r="F3597" s="48">
        <f>IF(H3597="","",IF(ISNUMBER(O3597),O3597,J3597))</f>
        <v/>
      </c>
      <c r="G3597">
        <f>IF(H3597="","",M3597)</f>
        <v/>
      </c>
      <c r="H3597">
        <f>IF(AND(I3597="",J3597="",K3597=""),"",IF(OR(NOT(ISNUMBER(O3597)),N(O3597)&lt;=0),"Bad amount",IF(NOT(ISNUMBER(N3597)),"Bad date",IF(P3597="","NAME NOT ON ROSTER","OK"))))</f>
        <v/>
      </c>
      <c r="I3597">
        <f>IF('Cash_Check'!A597="","",'Cash_Check'!A597)</f>
        <v/>
      </c>
      <c r="J3597">
        <f>IF('Cash_Check'!D597="","",'Cash_Check'!D597)</f>
        <v/>
      </c>
      <c r="K3597">
        <f>TRIM('Cash_Check'!B597)</f>
        <v/>
      </c>
      <c r="M3597">
        <f>IF(TRIM('Cash_Check'!E597)="","Cash/check",TRIM('Cash_Check'!E597))</f>
        <v/>
      </c>
      <c r="N3597">
        <f>IF(I3597="","",IF(ISNUMBER(I3597),INT(I3597),IFERROR(INT(DATEVALUE(I3597)),IFERROR(INT(VALUE(I3597)),"bad"))))</f>
        <v/>
      </c>
      <c r="O3597">
        <f>IF(J3597="","",IF(ISNUMBER(J3597),ROUND(J3597,2),IFERROR(ROUND(VALUE(SUBSTITUTE(SUBSTITUTE(SUBSTITUTE(J3597,"$",""),",","")," ","")),2),"bad")))</f>
        <v/>
      </c>
      <c r="P3597">
        <f>IF(K3597="","",IFERROR(MATCH(IF(ISNUMBER(FIND("#",K3597)),TRIM(MID(K3597,FIND("#",K3597)+1,20)),UPPER(K3597)),'Students'!$AD$2:$AD$701,0),""))</f>
        <v/>
      </c>
      <c r="R3597">
        <f>IF(P3597="","",INDEX('Students'!$AD$2:$AD$701,P3597))</f>
        <v/>
      </c>
      <c r="S3597">
        <f>IF(H3597="OK",O3597,0)</f>
        <v/>
      </c>
      <c r="T3597">
        <f>IF(H3597="OK",N3597,"")</f>
        <v/>
      </c>
      <c r="U3597">
        <f>TRIM('Cash_Check'!C597)</f>
        <v/>
      </c>
    </row>
    <row r="3598">
      <c r="A3598" s="62">
        <f>IF(H3598="","",IF(ISNUMBER(N3598),N3598,I3598))</f>
        <v/>
      </c>
      <c r="B3598">
        <f>IF(H3598="","",U3598)</f>
        <v/>
      </c>
      <c r="C3598">
        <f>IF(H3598="","",IF(P3598="",K3598,INDEX('Students'!$A$2:$A$701,P3598)))</f>
        <v/>
      </c>
      <c r="D3598">
        <f>IF(OR(H3598="",P3598=""),"",INDEX('Students'!$B$2:$B$701,P3598))</f>
        <v/>
      </c>
      <c r="E3598">
        <f>IF(OR(H3598="",P3598=""),"",INDEX('Students'!$C$2:$C$701,P3598))</f>
        <v/>
      </c>
      <c r="F3598" s="48">
        <f>IF(H3598="","",IF(ISNUMBER(O3598),O3598,J3598))</f>
        <v/>
      </c>
      <c r="G3598">
        <f>IF(H3598="","",M3598)</f>
        <v/>
      </c>
      <c r="H3598">
        <f>IF(AND(I3598="",J3598="",K3598=""),"",IF(OR(NOT(ISNUMBER(O3598)),N(O3598)&lt;=0),"Bad amount",IF(NOT(ISNUMBER(N3598)),"Bad date",IF(P3598="","NAME NOT ON ROSTER","OK"))))</f>
        <v/>
      </c>
      <c r="I3598">
        <f>IF('Cash_Check'!A598="","",'Cash_Check'!A598)</f>
        <v/>
      </c>
      <c r="J3598">
        <f>IF('Cash_Check'!D598="","",'Cash_Check'!D598)</f>
        <v/>
      </c>
      <c r="K3598">
        <f>TRIM('Cash_Check'!B598)</f>
        <v/>
      </c>
      <c r="M3598">
        <f>IF(TRIM('Cash_Check'!E598)="","Cash/check",TRIM('Cash_Check'!E598))</f>
        <v/>
      </c>
      <c r="N3598">
        <f>IF(I3598="","",IF(ISNUMBER(I3598),INT(I3598),IFERROR(INT(DATEVALUE(I3598)),IFERROR(INT(VALUE(I3598)),"bad"))))</f>
        <v/>
      </c>
      <c r="O3598">
        <f>IF(J3598="","",IF(ISNUMBER(J3598),ROUND(J3598,2),IFERROR(ROUND(VALUE(SUBSTITUTE(SUBSTITUTE(SUBSTITUTE(J3598,"$",""),",","")," ","")),2),"bad")))</f>
        <v/>
      </c>
      <c r="P3598">
        <f>IF(K3598="","",IFERROR(MATCH(IF(ISNUMBER(FIND("#",K3598)),TRIM(MID(K3598,FIND("#",K3598)+1,20)),UPPER(K3598)),'Students'!$AD$2:$AD$701,0),""))</f>
        <v/>
      </c>
      <c r="R3598">
        <f>IF(P3598="","",INDEX('Students'!$AD$2:$AD$701,P3598))</f>
        <v/>
      </c>
      <c r="S3598">
        <f>IF(H3598="OK",O3598,0)</f>
        <v/>
      </c>
      <c r="T3598">
        <f>IF(H3598="OK",N3598,"")</f>
        <v/>
      </c>
      <c r="U3598">
        <f>TRIM('Cash_Check'!C598)</f>
        <v/>
      </c>
    </row>
    <row r="3599">
      <c r="A3599" s="62">
        <f>IF(H3599="","",IF(ISNUMBER(N3599),N3599,I3599))</f>
        <v/>
      </c>
      <c r="B3599">
        <f>IF(H3599="","",U3599)</f>
        <v/>
      </c>
      <c r="C3599">
        <f>IF(H3599="","",IF(P3599="",K3599,INDEX('Students'!$A$2:$A$701,P3599)))</f>
        <v/>
      </c>
      <c r="D3599">
        <f>IF(OR(H3599="",P3599=""),"",INDEX('Students'!$B$2:$B$701,P3599))</f>
        <v/>
      </c>
      <c r="E3599">
        <f>IF(OR(H3599="",P3599=""),"",INDEX('Students'!$C$2:$C$701,P3599))</f>
        <v/>
      </c>
      <c r="F3599" s="48">
        <f>IF(H3599="","",IF(ISNUMBER(O3599),O3599,J3599))</f>
        <v/>
      </c>
      <c r="G3599">
        <f>IF(H3599="","",M3599)</f>
        <v/>
      </c>
      <c r="H3599">
        <f>IF(AND(I3599="",J3599="",K3599=""),"",IF(OR(NOT(ISNUMBER(O3599)),N(O3599)&lt;=0),"Bad amount",IF(NOT(ISNUMBER(N3599)),"Bad date",IF(P3599="","NAME NOT ON ROSTER","OK"))))</f>
        <v/>
      </c>
      <c r="I3599">
        <f>IF('Cash_Check'!A599="","",'Cash_Check'!A599)</f>
        <v/>
      </c>
      <c r="J3599">
        <f>IF('Cash_Check'!D599="","",'Cash_Check'!D599)</f>
        <v/>
      </c>
      <c r="K3599">
        <f>TRIM('Cash_Check'!B599)</f>
        <v/>
      </c>
      <c r="M3599">
        <f>IF(TRIM('Cash_Check'!E599)="","Cash/check",TRIM('Cash_Check'!E599))</f>
        <v/>
      </c>
      <c r="N3599">
        <f>IF(I3599="","",IF(ISNUMBER(I3599),INT(I3599),IFERROR(INT(DATEVALUE(I3599)),IFERROR(INT(VALUE(I3599)),"bad"))))</f>
        <v/>
      </c>
      <c r="O3599">
        <f>IF(J3599="","",IF(ISNUMBER(J3599),ROUND(J3599,2),IFERROR(ROUND(VALUE(SUBSTITUTE(SUBSTITUTE(SUBSTITUTE(J3599,"$",""),",","")," ","")),2),"bad")))</f>
        <v/>
      </c>
      <c r="P3599">
        <f>IF(K3599="","",IFERROR(MATCH(IF(ISNUMBER(FIND("#",K3599)),TRIM(MID(K3599,FIND("#",K3599)+1,20)),UPPER(K3599)),'Students'!$AD$2:$AD$701,0),""))</f>
        <v/>
      </c>
      <c r="R3599">
        <f>IF(P3599="","",INDEX('Students'!$AD$2:$AD$701,P3599))</f>
        <v/>
      </c>
      <c r="S3599">
        <f>IF(H3599="OK",O3599,0)</f>
        <v/>
      </c>
      <c r="T3599">
        <f>IF(H3599="OK",N3599,"")</f>
        <v/>
      </c>
      <c r="U3599">
        <f>TRIM('Cash_Check'!C599)</f>
        <v/>
      </c>
    </row>
    <row r="3600">
      <c r="A3600" s="62">
        <f>IF(H3600="","",IF(ISNUMBER(N3600),N3600,I3600))</f>
        <v/>
      </c>
      <c r="B3600">
        <f>IF(H3600="","",U3600)</f>
        <v/>
      </c>
      <c r="C3600">
        <f>IF(H3600="","",IF(P3600="",K3600,INDEX('Students'!$A$2:$A$701,P3600)))</f>
        <v/>
      </c>
      <c r="D3600">
        <f>IF(OR(H3600="",P3600=""),"",INDEX('Students'!$B$2:$B$701,P3600))</f>
        <v/>
      </c>
      <c r="E3600">
        <f>IF(OR(H3600="",P3600=""),"",INDEX('Students'!$C$2:$C$701,P3600))</f>
        <v/>
      </c>
      <c r="F3600" s="48">
        <f>IF(H3600="","",IF(ISNUMBER(O3600),O3600,J3600))</f>
        <v/>
      </c>
      <c r="G3600">
        <f>IF(H3600="","",M3600)</f>
        <v/>
      </c>
      <c r="H3600">
        <f>IF(AND(I3600="",J3600="",K3600=""),"",IF(OR(NOT(ISNUMBER(O3600)),N(O3600)&lt;=0),"Bad amount",IF(NOT(ISNUMBER(N3600)),"Bad date",IF(P3600="","NAME NOT ON ROSTER","OK"))))</f>
        <v/>
      </c>
      <c r="I3600">
        <f>IF('Cash_Check'!A600="","",'Cash_Check'!A600)</f>
        <v/>
      </c>
      <c r="J3600">
        <f>IF('Cash_Check'!D600="","",'Cash_Check'!D600)</f>
        <v/>
      </c>
      <c r="K3600">
        <f>TRIM('Cash_Check'!B600)</f>
        <v/>
      </c>
      <c r="M3600">
        <f>IF(TRIM('Cash_Check'!E600)="","Cash/check",TRIM('Cash_Check'!E600))</f>
        <v/>
      </c>
      <c r="N3600">
        <f>IF(I3600="","",IF(ISNUMBER(I3600),INT(I3600),IFERROR(INT(DATEVALUE(I3600)),IFERROR(INT(VALUE(I3600)),"bad"))))</f>
        <v/>
      </c>
      <c r="O3600">
        <f>IF(J3600="","",IF(ISNUMBER(J3600),ROUND(J3600,2),IFERROR(ROUND(VALUE(SUBSTITUTE(SUBSTITUTE(SUBSTITUTE(J3600,"$",""),",","")," ","")),2),"bad")))</f>
        <v/>
      </c>
      <c r="P3600">
        <f>IF(K3600="","",IFERROR(MATCH(IF(ISNUMBER(FIND("#",K3600)),TRIM(MID(K3600,FIND("#",K3600)+1,20)),UPPER(K3600)),'Students'!$AD$2:$AD$701,0),""))</f>
        <v/>
      </c>
      <c r="R3600">
        <f>IF(P3600="","",INDEX('Students'!$AD$2:$AD$701,P3600))</f>
        <v/>
      </c>
      <c r="S3600">
        <f>IF(H3600="OK",O3600,0)</f>
        <v/>
      </c>
      <c r="T3600">
        <f>IF(H3600="OK",N3600,"")</f>
        <v/>
      </c>
      <c r="U3600">
        <f>TRIM('Cash_Check'!C600)</f>
        <v/>
      </c>
    </row>
    <row r="3601">
      <c r="A3601" s="62">
        <f>IF(H3601="","",IF(ISNUMBER(N3601),N3601,I3601))</f>
        <v/>
      </c>
      <c r="B3601">
        <f>IF(H3601="","",U3601)</f>
        <v/>
      </c>
      <c r="C3601">
        <f>IF(H3601="","",IF(P3601="",K3601,INDEX('Students'!$A$2:$A$701,P3601)))</f>
        <v/>
      </c>
      <c r="D3601">
        <f>IF(OR(H3601="",P3601=""),"",INDEX('Students'!$B$2:$B$701,P3601))</f>
        <v/>
      </c>
      <c r="E3601">
        <f>IF(OR(H3601="",P3601=""),"",INDEX('Students'!$C$2:$C$701,P3601))</f>
        <v/>
      </c>
      <c r="F3601" s="48">
        <f>IF(H3601="","",IF(ISNUMBER(O3601),O3601,J3601))</f>
        <v/>
      </c>
      <c r="G3601">
        <f>IF(H3601="","",M3601)</f>
        <v/>
      </c>
      <c r="H3601">
        <f>IF(AND(I3601="",J3601="",K3601=""),"",IF(OR(NOT(ISNUMBER(O3601)),N(O3601)&lt;=0),"Bad amount",IF(NOT(ISNUMBER(N3601)),"Bad date",IF(P3601="","NAME NOT ON ROSTER","OK"))))</f>
        <v/>
      </c>
      <c r="I3601">
        <f>IF('Cash_Check'!A601="","",'Cash_Check'!A601)</f>
        <v/>
      </c>
      <c r="J3601">
        <f>IF('Cash_Check'!D601="","",'Cash_Check'!D601)</f>
        <v/>
      </c>
      <c r="K3601">
        <f>TRIM('Cash_Check'!B601)</f>
        <v/>
      </c>
      <c r="M3601">
        <f>IF(TRIM('Cash_Check'!E601)="","Cash/check",TRIM('Cash_Check'!E601))</f>
        <v/>
      </c>
      <c r="N3601">
        <f>IF(I3601="","",IF(ISNUMBER(I3601),INT(I3601),IFERROR(INT(DATEVALUE(I3601)),IFERROR(INT(VALUE(I3601)),"bad"))))</f>
        <v/>
      </c>
      <c r="O3601">
        <f>IF(J3601="","",IF(ISNUMBER(J3601),ROUND(J3601,2),IFERROR(ROUND(VALUE(SUBSTITUTE(SUBSTITUTE(SUBSTITUTE(J3601,"$",""),",","")," ","")),2),"bad")))</f>
        <v/>
      </c>
      <c r="P3601">
        <f>IF(K3601="","",IFERROR(MATCH(IF(ISNUMBER(FIND("#",K3601)),TRIM(MID(K3601,FIND("#",K3601)+1,20)),UPPER(K3601)),'Students'!$AD$2:$AD$701,0),""))</f>
        <v/>
      </c>
      <c r="R3601">
        <f>IF(P3601="","",INDEX('Students'!$AD$2:$AD$701,P3601))</f>
        <v/>
      </c>
      <c r="S3601">
        <f>IF(H3601="OK",O3601,0)</f>
        <v/>
      </c>
      <c r="T3601">
        <f>IF(H3601="OK",N3601,"")</f>
        <v/>
      </c>
      <c r="U3601">
        <f>TRIM('Cash_Check'!C601)</f>
        <v/>
      </c>
    </row>
    <row r="3602">
      <c r="A3602" s="62">
        <f>IF(H3602="","",IF(ISNUMBER(N3602),N3602,I3602))</f>
        <v/>
      </c>
      <c r="B3602">
        <f>IF(H3602="","",U3602)</f>
        <v/>
      </c>
      <c r="C3602">
        <f>IF(H3602="","",IF(P3602="",K3602,INDEX('Students'!$A$2:$A$701,P3602)))</f>
        <v/>
      </c>
      <c r="D3602">
        <f>IF(OR(H3602="",P3602=""),"",INDEX('Students'!$B$2:$B$701,P3602))</f>
        <v/>
      </c>
      <c r="E3602">
        <f>IF(OR(H3602="",P3602=""),"",INDEX('Students'!$C$2:$C$701,P3602))</f>
        <v/>
      </c>
      <c r="F3602" s="48">
        <f>IF(H3602="","",IF(ISNUMBER(O3602),O3602,J3602))</f>
        <v/>
      </c>
      <c r="G3602">
        <f>IF(H3602="","",M3602)</f>
        <v/>
      </c>
      <c r="H3602">
        <f>IF(AND(I3602="",J3602="",K3602=""),"",IF(OR(NOT(ISNUMBER(O3602)),N(O3602)&lt;=0),"Bad amount",IF(NOT(ISNUMBER(N3602)),"Bad date",IF(P3602="","NAME NOT ON ROSTER","OK"))))</f>
        <v/>
      </c>
      <c r="I3602">
        <f>IF('Cash_Check'!A602="","",'Cash_Check'!A602)</f>
        <v/>
      </c>
      <c r="J3602">
        <f>IF('Cash_Check'!D602="","",'Cash_Check'!D602)</f>
        <v/>
      </c>
      <c r="K3602">
        <f>TRIM('Cash_Check'!B602)</f>
        <v/>
      </c>
      <c r="M3602">
        <f>IF(TRIM('Cash_Check'!E602)="","Cash/check",TRIM('Cash_Check'!E602))</f>
        <v/>
      </c>
      <c r="N3602">
        <f>IF(I3602="","",IF(ISNUMBER(I3602),INT(I3602),IFERROR(INT(DATEVALUE(I3602)),IFERROR(INT(VALUE(I3602)),"bad"))))</f>
        <v/>
      </c>
      <c r="O3602">
        <f>IF(J3602="","",IF(ISNUMBER(J3602),ROUND(J3602,2),IFERROR(ROUND(VALUE(SUBSTITUTE(SUBSTITUTE(SUBSTITUTE(J3602,"$",""),",","")," ","")),2),"bad")))</f>
        <v/>
      </c>
      <c r="P3602">
        <f>IF(K3602="","",IFERROR(MATCH(IF(ISNUMBER(FIND("#",K3602)),TRIM(MID(K3602,FIND("#",K3602)+1,20)),UPPER(K3602)),'Students'!$AD$2:$AD$701,0),""))</f>
        <v/>
      </c>
      <c r="R3602">
        <f>IF(P3602="","",INDEX('Students'!$AD$2:$AD$701,P3602))</f>
        <v/>
      </c>
      <c r="S3602">
        <f>IF(H3602="OK",O3602,0)</f>
        <v/>
      </c>
      <c r="T3602">
        <f>IF(H3602="OK",N3602,"")</f>
        <v/>
      </c>
      <c r="U3602">
        <f>TRIM('Cash_Check'!C602)</f>
        <v/>
      </c>
    </row>
    <row r="3603">
      <c r="A3603" s="62">
        <f>IF(H3603="","",IF(ISNUMBER(N3603),N3603,I3603))</f>
        <v/>
      </c>
      <c r="B3603">
        <f>IF(H3603="","",U3603)</f>
        <v/>
      </c>
      <c r="C3603">
        <f>IF(H3603="","",IF(P3603="",K3603,INDEX('Students'!$A$2:$A$701,P3603)))</f>
        <v/>
      </c>
      <c r="D3603">
        <f>IF(OR(H3603="",P3603=""),"",INDEX('Students'!$B$2:$B$701,P3603))</f>
        <v/>
      </c>
      <c r="E3603">
        <f>IF(OR(H3603="",P3603=""),"",INDEX('Students'!$C$2:$C$701,P3603))</f>
        <v/>
      </c>
      <c r="F3603" s="48">
        <f>IF(H3603="","",IF(ISNUMBER(O3603),O3603,J3603))</f>
        <v/>
      </c>
      <c r="G3603">
        <f>IF(H3603="","",M3603)</f>
        <v/>
      </c>
      <c r="H3603">
        <f>IF(AND(I3603="",J3603="",K3603=""),"",IF(OR(NOT(ISNUMBER(O3603)),N(O3603)&lt;=0),"Bad amount",IF(NOT(ISNUMBER(N3603)),"Bad date",IF(P3603="","NAME NOT ON ROSTER","OK"))))</f>
        <v/>
      </c>
      <c r="I3603">
        <f>IF('Cash_Check'!A603="","",'Cash_Check'!A603)</f>
        <v/>
      </c>
      <c r="J3603">
        <f>IF('Cash_Check'!D603="","",'Cash_Check'!D603)</f>
        <v/>
      </c>
      <c r="K3603">
        <f>TRIM('Cash_Check'!B603)</f>
        <v/>
      </c>
      <c r="M3603">
        <f>IF(TRIM('Cash_Check'!E603)="","Cash/check",TRIM('Cash_Check'!E603))</f>
        <v/>
      </c>
      <c r="N3603">
        <f>IF(I3603="","",IF(ISNUMBER(I3603),INT(I3603),IFERROR(INT(DATEVALUE(I3603)),IFERROR(INT(VALUE(I3603)),"bad"))))</f>
        <v/>
      </c>
      <c r="O3603">
        <f>IF(J3603="","",IF(ISNUMBER(J3603),ROUND(J3603,2),IFERROR(ROUND(VALUE(SUBSTITUTE(SUBSTITUTE(SUBSTITUTE(J3603,"$",""),",","")," ","")),2),"bad")))</f>
        <v/>
      </c>
      <c r="P3603">
        <f>IF(K3603="","",IFERROR(MATCH(IF(ISNUMBER(FIND("#",K3603)),TRIM(MID(K3603,FIND("#",K3603)+1,20)),UPPER(K3603)),'Students'!$AD$2:$AD$701,0),""))</f>
        <v/>
      </c>
      <c r="R3603">
        <f>IF(P3603="","",INDEX('Students'!$AD$2:$AD$701,P3603))</f>
        <v/>
      </c>
      <c r="S3603">
        <f>IF(H3603="OK",O3603,0)</f>
        <v/>
      </c>
      <c r="T3603">
        <f>IF(H3603="OK",N3603,"")</f>
        <v/>
      </c>
      <c r="U3603">
        <f>TRIM('Cash_Check'!C603)</f>
        <v/>
      </c>
    </row>
    <row r="3604">
      <c r="A3604" s="62">
        <f>IF(H3604="","",IF(ISNUMBER(N3604),N3604,I3604))</f>
        <v/>
      </c>
      <c r="B3604">
        <f>IF(H3604="","",U3604)</f>
        <v/>
      </c>
      <c r="C3604">
        <f>IF(H3604="","",IF(P3604="",K3604,INDEX('Students'!$A$2:$A$701,P3604)))</f>
        <v/>
      </c>
      <c r="D3604">
        <f>IF(OR(H3604="",P3604=""),"",INDEX('Students'!$B$2:$B$701,P3604))</f>
        <v/>
      </c>
      <c r="E3604">
        <f>IF(OR(H3604="",P3604=""),"",INDEX('Students'!$C$2:$C$701,P3604))</f>
        <v/>
      </c>
      <c r="F3604" s="48">
        <f>IF(H3604="","",IF(ISNUMBER(O3604),O3604,J3604))</f>
        <v/>
      </c>
      <c r="G3604">
        <f>IF(H3604="","",M3604)</f>
        <v/>
      </c>
      <c r="H3604">
        <f>IF(AND(I3604="",J3604="",K3604=""),"",IF(OR(NOT(ISNUMBER(O3604)),N(O3604)&lt;=0),"Bad amount",IF(NOT(ISNUMBER(N3604)),"Bad date",IF(P3604="","NAME NOT ON ROSTER","OK"))))</f>
        <v/>
      </c>
      <c r="I3604">
        <f>IF('Cash_Check'!A604="","",'Cash_Check'!A604)</f>
        <v/>
      </c>
      <c r="J3604">
        <f>IF('Cash_Check'!D604="","",'Cash_Check'!D604)</f>
        <v/>
      </c>
      <c r="K3604">
        <f>TRIM('Cash_Check'!B604)</f>
        <v/>
      </c>
      <c r="M3604">
        <f>IF(TRIM('Cash_Check'!E604)="","Cash/check",TRIM('Cash_Check'!E604))</f>
        <v/>
      </c>
      <c r="N3604">
        <f>IF(I3604="","",IF(ISNUMBER(I3604),INT(I3604),IFERROR(INT(DATEVALUE(I3604)),IFERROR(INT(VALUE(I3604)),"bad"))))</f>
        <v/>
      </c>
      <c r="O3604">
        <f>IF(J3604="","",IF(ISNUMBER(J3604),ROUND(J3604,2),IFERROR(ROUND(VALUE(SUBSTITUTE(SUBSTITUTE(SUBSTITUTE(J3604,"$",""),",","")," ","")),2),"bad")))</f>
        <v/>
      </c>
      <c r="P3604">
        <f>IF(K3604="","",IFERROR(MATCH(IF(ISNUMBER(FIND("#",K3604)),TRIM(MID(K3604,FIND("#",K3604)+1,20)),UPPER(K3604)),'Students'!$AD$2:$AD$701,0),""))</f>
        <v/>
      </c>
      <c r="R3604">
        <f>IF(P3604="","",INDEX('Students'!$AD$2:$AD$701,P3604))</f>
        <v/>
      </c>
      <c r="S3604">
        <f>IF(H3604="OK",O3604,0)</f>
        <v/>
      </c>
      <c r="T3604">
        <f>IF(H3604="OK",N3604,"")</f>
        <v/>
      </c>
      <c r="U3604">
        <f>TRIM('Cash_Check'!C604)</f>
        <v/>
      </c>
    </row>
    <row r="3605">
      <c r="A3605" s="62">
        <f>IF(H3605="","",IF(ISNUMBER(N3605),N3605,I3605))</f>
        <v/>
      </c>
      <c r="B3605">
        <f>IF(H3605="","",U3605)</f>
        <v/>
      </c>
      <c r="C3605">
        <f>IF(H3605="","",IF(P3605="",K3605,INDEX('Students'!$A$2:$A$701,P3605)))</f>
        <v/>
      </c>
      <c r="D3605">
        <f>IF(OR(H3605="",P3605=""),"",INDEX('Students'!$B$2:$B$701,P3605))</f>
        <v/>
      </c>
      <c r="E3605">
        <f>IF(OR(H3605="",P3605=""),"",INDEX('Students'!$C$2:$C$701,P3605))</f>
        <v/>
      </c>
      <c r="F3605" s="48">
        <f>IF(H3605="","",IF(ISNUMBER(O3605),O3605,J3605))</f>
        <v/>
      </c>
      <c r="G3605">
        <f>IF(H3605="","",M3605)</f>
        <v/>
      </c>
      <c r="H3605">
        <f>IF(AND(I3605="",J3605="",K3605=""),"",IF(OR(NOT(ISNUMBER(O3605)),N(O3605)&lt;=0),"Bad amount",IF(NOT(ISNUMBER(N3605)),"Bad date",IF(P3605="","NAME NOT ON ROSTER","OK"))))</f>
        <v/>
      </c>
      <c r="I3605">
        <f>IF('Cash_Check'!A605="","",'Cash_Check'!A605)</f>
        <v/>
      </c>
      <c r="J3605">
        <f>IF('Cash_Check'!D605="","",'Cash_Check'!D605)</f>
        <v/>
      </c>
      <c r="K3605">
        <f>TRIM('Cash_Check'!B605)</f>
        <v/>
      </c>
      <c r="M3605">
        <f>IF(TRIM('Cash_Check'!E605)="","Cash/check",TRIM('Cash_Check'!E605))</f>
        <v/>
      </c>
      <c r="N3605">
        <f>IF(I3605="","",IF(ISNUMBER(I3605),INT(I3605),IFERROR(INT(DATEVALUE(I3605)),IFERROR(INT(VALUE(I3605)),"bad"))))</f>
        <v/>
      </c>
      <c r="O3605">
        <f>IF(J3605="","",IF(ISNUMBER(J3605),ROUND(J3605,2),IFERROR(ROUND(VALUE(SUBSTITUTE(SUBSTITUTE(SUBSTITUTE(J3605,"$",""),",","")," ","")),2),"bad")))</f>
        <v/>
      </c>
      <c r="P3605">
        <f>IF(K3605="","",IFERROR(MATCH(IF(ISNUMBER(FIND("#",K3605)),TRIM(MID(K3605,FIND("#",K3605)+1,20)),UPPER(K3605)),'Students'!$AD$2:$AD$701,0),""))</f>
        <v/>
      </c>
      <c r="R3605">
        <f>IF(P3605="","",INDEX('Students'!$AD$2:$AD$701,P3605))</f>
        <v/>
      </c>
      <c r="S3605">
        <f>IF(H3605="OK",O3605,0)</f>
        <v/>
      </c>
      <c r="T3605">
        <f>IF(H3605="OK",N3605,"")</f>
        <v/>
      </c>
      <c r="U3605">
        <f>TRIM('Cash_Check'!C605)</f>
        <v/>
      </c>
    </row>
    <row r="3606">
      <c r="A3606" s="62">
        <f>IF(H3606="","",IF(ISNUMBER(N3606),N3606,I3606))</f>
        <v/>
      </c>
      <c r="B3606">
        <f>IF(H3606="","",U3606)</f>
        <v/>
      </c>
      <c r="C3606">
        <f>IF(H3606="","",IF(P3606="",K3606,INDEX('Students'!$A$2:$A$701,P3606)))</f>
        <v/>
      </c>
      <c r="D3606">
        <f>IF(OR(H3606="",P3606=""),"",INDEX('Students'!$B$2:$B$701,P3606))</f>
        <v/>
      </c>
      <c r="E3606">
        <f>IF(OR(H3606="",P3606=""),"",INDEX('Students'!$C$2:$C$701,P3606))</f>
        <v/>
      </c>
      <c r="F3606" s="48">
        <f>IF(H3606="","",IF(ISNUMBER(O3606),O3606,J3606))</f>
        <v/>
      </c>
      <c r="G3606">
        <f>IF(H3606="","",M3606)</f>
        <v/>
      </c>
      <c r="H3606">
        <f>IF(AND(I3606="",J3606="",K3606=""),"",IF(OR(NOT(ISNUMBER(O3606)),N(O3606)&lt;=0),"Bad amount",IF(NOT(ISNUMBER(N3606)),"Bad date",IF(P3606="","NAME NOT ON ROSTER","OK"))))</f>
        <v/>
      </c>
      <c r="I3606">
        <f>IF('Cash_Check'!A606="","",'Cash_Check'!A606)</f>
        <v/>
      </c>
      <c r="J3606">
        <f>IF('Cash_Check'!D606="","",'Cash_Check'!D606)</f>
        <v/>
      </c>
      <c r="K3606">
        <f>TRIM('Cash_Check'!B606)</f>
        <v/>
      </c>
      <c r="M3606">
        <f>IF(TRIM('Cash_Check'!E606)="","Cash/check",TRIM('Cash_Check'!E606))</f>
        <v/>
      </c>
      <c r="N3606">
        <f>IF(I3606="","",IF(ISNUMBER(I3606),INT(I3606),IFERROR(INT(DATEVALUE(I3606)),IFERROR(INT(VALUE(I3606)),"bad"))))</f>
        <v/>
      </c>
      <c r="O3606">
        <f>IF(J3606="","",IF(ISNUMBER(J3606),ROUND(J3606,2),IFERROR(ROUND(VALUE(SUBSTITUTE(SUBSTITUTE(SUBSTITUTE(J3606,"$",""),",","")," ","")),2),"bad")))</f>
        <v/>
      </c>
      <c r="P3606">
        <f>IF(K3606="","",IFERROR(MATCH(IF(ISNUMBER(FIND("#",K3606)),TRIM(MID(K3606,FIND("#",K3606)+1,20)),UPPER(K3606)),'Students'!$AD$2:$AD$701,0),""))</f>
        <v/>
      </c>
      <c r="R3606">
        <f>IF(P3606="","",INDEX('Students'!$AD$2:$AD$701,P3606))</f>
        <v/>
      </c>
      <c r="S3606">
        <f>IF(H3606="OK",O3606,0)</f>
        <v/>
      </c>
      <c r="T3606">
        <f>IF(H3606="OK",N3606,"")</f>
        <v/>
      </c>
      <c r="U3606">
        <f>TRIM('Cash_Check'!C606)</f>
        <v/>
      </c>
    </row>
    <row r="3607">
      <c r="A3607" s="62">
        <f>IF(H3607="","",IF(ISNUMBER(N3607),N3607,I3607))</f>
        <v/>
      </c>
      <c r="B3607">
        <f>IF(H3607="","",U3607)</f>
        <v/>
      </c>
      <c r="C3607">
        <f>IF(H3607="","",IF(P3607="",K3607,INDEX('Students'!$A$2:$A$701,P3607)))</f>
        <v/>
      </c>
      <c r="D3607">
        <f>IF(OR(H3607="",P3607=""),"",INDEX('Students'!$B$2:$B$701,P3607))</f>
        <v/>
      </c>
      <c r="E3607">
        <f>IF(OR(H3607="",P3607=""),"",INDEX('Students'!$C$2:$C$701,P3607))</f>
        <v/>
      </c>
      <c r="F3607" s="48">
        <f>IF(H3607="","",IF(ISNUMBER(O3607),O3607,J3607))</f>
        <v/>
      </c>
      <c r="G3607">
        <f>IF(H3607="","",M3607)</f>
        <v/>
      </c>
      <c r="H3607">
        <f>IF(AND(I3607="",J3607="",K3607=""),"",IF(OR(NOT(ISNUMBER(O3607)),N(O3607)&lt;=0),"Bad amount",IF(NOT(ISNUMBER(N3607)),"Bad date",IF(P3607="","NAME NOT ON ROSTER","OK"))))</f>
        <v/>
      </c>
      <c r="I3607">
        <f>IF('Cash_Check'!A607="","",'Cash_Check'!A607)</f>
        <v/>
      </c>
      <c r="J3607">
        <f>IF('Cash_Check'!D607="","",'Cash_Check'!D607)</f>
        <v/>
      </c>
      <c r="K3607">
        <f>TRIM('Cash_Check'!B607)</f>
        <v/>
      </c>
      <c r="M3607">
        <f>IF(TRIM('Cash_Check'!E607)="","Cash/check",TRIM('Cash_Check'!E607))</f>
        <v/>
      </c>
      <c r="N3607">
        <f>IF(I3607="","",IF(ISNUMBER(I3607),INT(I3607),IFERROR(INT(DATEVALUE(I3607)),IFERROR(INT(VALUE(I3607)),"bad"))))</f>
        <v/>
      </c>
      <c r="O3607">
        <f>IF(J3607="","",IF(ISNUMBER(J3607),ROUND(J3607,2),IFERROR(ROUND(VALUE(SUBSTITUTE(SUBSTITUTE(SUBSTITUTE(J3607,"$",""),",","")," ","")),2),"bad")))</f>
        <v/>
      </c>
      <c r="P3607">
        <f>IF(K3607="","",IFERROR(MATCH(IF(ISNUMBER(FIND("#",K3607)),TRIM(MID(K3607,FIND("#",K3607)+1,20)),UPPER(K3607)),'Students'!$AD$2:$AD$701,0),""))</f>
        <v/>
      </c>
      <c r="R3607">
        <f>IF(P3607="","",INDEX('Students'!$AD$2:$AD$701,P3607))</f>
        <v/>
      </c>
      <c r="S3607">
        <f>IF(H3607="OK",O3607,0)</f>
        <v/>
      </c>
      <c r="T3607">
        <f>IF(H3607="OK",N3607,"")</f>
        <v/>
      </c>
      <c r="U3607">
        <f>TRIM('Cash_Check'!C607)</f>
        <v/>
      </c>
    </row>
    <row r="3608">
      <c r="A3608" s="62">
        <f>IF(H3608="","",IF(ISNUMBER(N3608),N3608,I3608))</f>
        <v/>
      </c>
      <c r="B3608">
        <f>IF(H3608="","",U3608)</f>
        <v/>
      </c>
      <c r="C3608">
        <f>IF(H3608="","",IF(P3608="",K3608,INDEX('Students'!$A$2:$A$701,P3608)))</f>
        <v/>
      </c>
      <c r="D3608">
        <f>IF(OR(H3608="",P3608=""),"",INDEX('Students'!$B$2:$B$701,P3608))</f>
        <v/>
      </c>
      <c r="E3608">
        <f>IF(OR(H3608="",P3608=""),"",INDEX('Students'!$C$2:$C$701,P3608))</f>
        <v/>
      </c>
      <c r="F3608" s="48">
        <f>IF(H3608="","",IF(ISNUMBER(O3608),O3608,J3608))</f>
        <v/>
      </c>
      <c r="G3608">
        <f>IF(H3608="","",M3608)</f>
        <v/>
      </c>
      <c r="H3608">
        <f>IF(AND(I3608="",J3608="",K3608=""),"",IF(OR(NOT(ISNUMBER(O3608)),N(O3608)&lt;=0),"Bad amount",IF(NOT(ISNUMBER(N3608)),"Bad date",IF(P3608="","NAME NOT ON ROSTER","OK"))))</f>
        <v/>
      </c>
      <c r="I3608">
        <f>IF('Cash_Check'!A608="","",'Cash_Check'!A608)</f>
        <v/>
      </c>
      <c r="J3608">
        <f>IF('Cash_Check'!D608="","",'Cash_Check'!D608)</f>
        <v/>
      </c>
      <c r="K3608">
        <f>TRIM('Cash_Check'!B608)</f>
        <v/>
      </c>
      <c r="M3608">
        <f>IF(TRIM('Cash_Check'!E608)="","Cash/check",TRIM('Cash_Check'!E608))</f>
        <v/>
      </c>
      <c r="N3608">
        <f>IF(I3608="","",IF(ISNUMBER(I3608),INT(I3608),IFERROR(INT(DATEVALUE(I3608)),IFERROR(INT(VALUE(I3608)),"bad"))))</f>
        <v/>
      </c>
      <c r="O3608">
        <f>IF(J3608="","",IF(ISNUMBER(J3608),ROUND(J3608,2),IFERROR(ROUND(VALUE(SUBSTITUTE(SUBSTITUTE(SUBSTITUTE(J3608,"$",""),",","")," ","")),2),"bad")))</f>
        <v/>
      </c>
      <c r="P3608">
        <f>IF(K3608="","",IFERROR(MATCH(IF(ISNUMBER(FIND("#",K3608)),TRIM(MID(K3608,FIND("#",K3608)+1,20)),UPPER(K3608)),'Students'!$AD$2:$AD$701,0),""))</f>
        <v/>
      </c>
      <c r="R3608">
        <f>IF(P3608="","",INDEX('Students'!$AD$2:$AD$701,P3608))</f>
        <v/>
      </c>
      <c r="S3608">
        <f>IF(H3608="OK",O3608,0)</f>
        <v/>
      </c>
      <c r="T3608">
        <f>IF(H3608="OK",N3608,"")</f>
        <v/>
      </c>
      <c r="U3608">
        <f>TRIM('Cash_Check'!C608)</f>
        <v/>
      </c>
    </row>
    <row r="3609">
      <c r="A3609" s="62">
        <f>IF(H3609="","",IF(ISNUMBER(N3609),N3609,I3609))</f>
        <v/>
      </c>
      <c r="B3609">
        <f>IF(H3609="","",U3609)</f>
        <v/>
      </c>
      <c r="C3609">
        <f>IF(H3609="","",IF(P3609="",K3609,INDEX('Students'!$A$2:$A$701,P3609)))</f>
        <v/>
      </c>
      <c r="D3609">
        <f>IF(OR(H3609="",P3609=""),"",INDEX('Students'!$B$2:$B$701,P3609))</f>
        <v/>
      </c>
      <c r="E3609">
        <f>IF(OR(H3609="",P3609=""),"",INDEX('Students'!$C$2:$C$701,P3609))</f>
        <v/>
      </c>
      <c r="F3609" s="48">
        <f>IF(H3609="","",IF(ISNUMBER(O3609),O3609,J3609))</f>
        <v/>
      </c>
      <c r="G3609">
        <f>IF(H3609="","",M3609)</f>
        <v/>
      </c>
      <c r="H3609">
        <f>IF(AND(I3609="",J3609="",K3609=""),"",IF(OR(NOT(ISNUMBER(O3609)),N(O3609)&lt;=0),"Bad amount",IF(NOT(ISNUMBER(N3609)),"Bad date",IF(P3609="","NAME NOT ON ROSTER","OK"))))</f>
        <v/>
      </c>
      <c r="I3609">
        <f>IF('Cash_Check'!A609="","",'Cash_Check'!A609)</f>
        <v/>
      </c>
      <c r="J3609">
        <f>IF('Cash_Check'!D609="","",'Cash_Check'!D609)</f>
        <v/>
      </c>
      <c r="K3609">
        <f>TRIM('Cash_Check'!B609)</f>
        <v/>
      </c>
      <c r="M3609">
        <f>IF(TRIM('Cash_Check'!E609)="","Cash/check",TRIM('Cash_Check'!E609))</f>
        <v/>
      </c>
      <c r="N3609">
        <f>IF(I3609="","",IF(ISNUMBER(I3609),INT(I3609),IFERROR(INT(DATEVALUE(I3609)),IFERROR(INT(VALUE(I3609)),"bad"))))</f>
        <v/>
      </c>
      <c r="O3609">
        <f>IF(J3609="","",IF(ISNUMBER(J3609),ROUND(J3609,2),IFERROR(ROUND(VALUE(SUBSTITUTE(SUBSTITUTE(SUBSTITUTE(J3609,"$",""),",","")," ","")),2),"bad")))</f>
        <v/>
      </c>
      <c r="P3609">
        <f>IF(K3609="","",IFERROR(MATCH(IF(ISNUMBER(FIND("#",K3609)),TRIM(MID(K3609,FIND("#",K3609)+1,20)),UPPER(K3609)),'Students'!$AD$2:$AD$701,0),""))</f>
        <v/>
      </c>
      <c r="R3609">
        <f>IF(P3609="","",INDEX('Students'!$AD$2:$AD$701,P3609))</f>
        <v/>
      </c>
      <c r="S3609">
        <f>IF(H3609="OK",O3609,0)</f>
        <v/>
      </c>
      <c r="T3609">
        <f>IF(H3609="OK",N3609,"")</f>
        <v/>
      </c>
      <c r="U3609">
        <f>TRIM('Cash_Check'!C609)</f>
        <v/>
      </c>
    </row>
    <row r="3610">
      <c r="A3610" s="62">
        <f>IF(H3610="","",IF(ISNUMBER(N3610),N3610,I3610))</f>
        <v/>
      </c>
      <c r="B3610">
        <f>IF(H3610="","",U3610)</f>
        <v/>
      </c>
      <c r="C3610">
        <f>IF(H3610="","",IF(P3610="",K3610,INDEX('Students'!$A$2:$A$701,P3610)))</f>
        <v/>
      </c>
      <c r="D3610">
        <f>IF(OR(H3610="",P3610=""),"",INDEX('Students'!$B$2:$B$701,P3610))</f>
        <v/>
      </c>
      <c r="E3610">
        <f>IF(OR(H3610="",P3610=""),"",INDEX('Students'!$C$2:$C$701,P3610))</f>
        <v/>
      </c>
      <c r="F3610" s="48">
        <f>IF(H3610="","",IF(ISNUMBER(O3610),O3610,J3610))</f>
        <v/>
      </c>
      <c r="G3610">
        <f>IF(H3610="","",M3610)</f>
        <v/>
      </c>
      <c r="H3610">
        <f>IF(AND(I3610="",J3610="",K3610=""),"",IF(OR(NOT(ISNUMBER(O3610)),N(O3610)&lt;=0),"Bad amount",IF(NOT(ISNUMBER(N3610)),"Bad date",IF(P3610="","NAME NOT ON ROSTER","OK"))))</f>
        <v/>
      </c>
      <c r="I3610">
        <f>IF('Cash_Check'!A610="","",'Cash_Check'!A610)</f>
        <v/>
      </c>
      <c r="J3610">
        <f>IF('Cash_Check'!D610="","",'Cash_Check'!D610)</f>
        <v/>
      </c>
      <c r="K3610">
        <f>TRIM('Cash_Check'!B610)</f>
        <v/>
      </c>
      <c r="M3610">
        <f>IF(TRIM('Cash_Check'!E610)="","Cash/check",TRIM('Cash_Check'!E610))</f>
        <v/>
      </c>
      <c r="N3610">
        <f>IF(I3610="","",IF(ISNUMBER(I3610),INT(I3610),IFERROR(INT(DATEVALUE(I3610)),IFERROR(INT(VALUE(I3610)),"bad"))))</f>
        <v/>
      </c>
      <c r="O3610">
        <f>IF(J3610="","",IF(ISNUMBER(J3610),ROUND(J3610,2),IFERROR(ROUND(VALUE(SUBSTITUTE(SUBSTITUTE(SUBSTITUTE(J3610,"$",""),",","")," ","")),2),"bad")))</f>
        <v/>
      </c>
      <c r="P3610">
        <f>IF(K3610="","",IFERROR(MATCH(IF(ISNUMBER(FIND("#",K3610)),TRIM(MID(K3610,FIND("#",K3610)+1,20)),UPPER(K3610)),'Students'!$AD$2:$AD$701,0),""))</f>
        <v/>
      </c>
      <c r="R3610">
        <f>IF(P3610="","",INDEX('Students'!$AD$2:$AD$701,P3610))</f>
        <v/>
      </c>
      <c r="S3610">
        <f>IF(H3610="OK",O3610,0)</f>
        <v/>
      </c>
      <c r="T3610">
        <f>IF(H3610="OK",N3610,"")</f>
        <v/>
      </c>
      <c r="U3610">
        <f>TRIM('Cash_Check'!C610)</f>
        <v/>
      </c>
    </row>
    <row r="3611">
      <c r="A3611" s="62">
        <f>IF(H3611="","",IF(ISNUMBER(N3611),N3611,I3611))</f>
        <v/>
      </c>
      <c r="B3611">
        <f>IF(H3611="","",U3611)</f>
        <v/>
      </c>
      <c r="C3611">
        <f>IF(H3611="","",IF(P3611="",K3611,INDEX('Students'!$A$2:$A$701,P3611)))</f>
        <v/>
      </c>
      <c r="D3611">
        <f>IF(OR(H3611="",P3611=""),"",INDEX('Students'!$B$2:$B$701,P3611))</f>
        <v/>
      </c>
      <c r="E3611">
        <f>IF(OR(H3611="",P3611=""),"",INDEX('Students'!$C$2:$C$701,P3611))</f>
        <v/>
      </c>
      <c r="F3611" s="48">
        <f>IF(H3611="","",IF(ISNUMBER(O3611),O3611,J3611))</f>
        <v/>
      </c>
      <c r="G3611">
        <f>IF(H3611="","",M3611)</f>
        <v/>
      </c>
      <c r="H3611">
        <f>IF(AND(I3611="",J3611="",K3611=""),"",IF(OR(NOT(ISNUMBER(O3611)),N(O3611)&lt;=0),"Bad amount",IF(NOT(ISNUMBER(N3611)),"Bad date",IF(P3611="","NAME NOT ON ROSTER","OK"))))</f>
        <v/>
      </c>
      <c r="I3611">
        <f>IF('Cash_Check'!A611="","",'Cash_Check'!A611)</f>
        <v/>
      </c>
      <c r="J3611">
        <f>IF('Cash_Check'!D611="","",'Cash_Check'!D611)</f>
        <v/>
      </c>
      <c r="K3611">
        <f>TRIM('Cash_Check'!B611)</f>
        <v/>
      </c>
      <c r="M3611">
        <f>IF(TRIM('Cash_Check'!E611)="","Cash/check",TRIM('Cash_Check'!E611))</f>
        <v/>
      </c>
      <c r="N3611">
        <f>IF(I3611="","",IF(ISNUMBER(I3611),INT(I3611),IFERROR(INT(DATEVALUE(I3611)),IFERROR(INT(VALUE(I3611)),"bad"))))</f>
        <v/>
      </c>
      <c r="O3611">
        <f>IF(J3611="","",IF(ISNUMBER(J3611),ROUND(J3611,2),IFERROR(ROUND(VALUE(SUBSTITUTE(SUBSTITUTE(SUBSTITUTE(J3611,"$",""),",","")," ","")),2),"bad")))</f>
        <v/>
      </c>
      <c r="P3611">
        <f>IF(K3611="","",IFERROR(MATCH(IF(ISNUMBER(FIND("#",K3611)),TRIM(MID(K3611,FIND("#",K3611)+1,20)),UPPER(K3611)),'Students'!$AD$2:$AD$701,0),""))</f>
        <v/>
      </c>
      <c r="R3611">
        <f>IF(P3611="","",INDEX('Students'!$AD$2:$AD$701,P3611))</f>
        <v/>
      </c>
      <c r="S3611">
        <f>IF(H3611="OK",O3611,0)</f>
        <v/>
      </c>
      <c r="T3611">
        <f>IF(H3611="OK",N3611,"")</f>
        <v/>
      </c>
      <c r="U3611">
        <f>TRIM('Cash_Check'!C611)</f>
        <v/>
      </c>
    </row>
    <row r="3612">
      <c r="A3612" s="62">
        <f>IF(H3612="","",IF(ISNUMBER(N3612),N3612,I3612))</f>
        <v/>
      </c>
      <c r="B3612">
        <f>IF(H3612="","",U3612)</f>
        <v/>
      </c>
      <c r="C3612">
        <f>IF(H3612="","",IF(P3612="",K3612,INDEX('Students'!$A$2:$A$701,P3612)))</f>
        <v/>
      </c>
      <c r="D3612">
        <f>IF(OR(H3612="",P3612=""),"",INDEX('Students'!$B$2:$B$701,P3612))</f>
        <v/>
      </c>
      <c r="E3612">
        <f>IF(OR(H3612="",P3612=""),"",INDEX('Students'!$C$2:$C$701,P3612))</f>
        <v/>
      </c>
      <c r="F3612" s="48">
        <f>IF(H3612="","",IF(ISNUMBER(O3612),O3612,J3612))</f>
        <v/>
      </c>
      <c r="G3612">
        <f>IF(H3612="","",M3612)</f>
        <v/>
      </c>
      <c r="H3612">
        <f>IF(AND(I3612="",J3612="",K3612=""),"",IF(OR(NOT(ISNUMBER(O3612)),N(O3612)&lt;=0),"Bad amount",IF(NOT(ISNUMBER(N3612)),"Bad date",IF(P3612="","NAME NOT ON ROSTER","OK"))))</f>
        <v/>
      </c>
      <c r="I3612">
        <f>IF('Cash_Check'!A612="","",'Cash_Check'!A612)</f>
        <v/>
      </c>
      <c r="J3612">
        <f>IF('Cash_Check'!D612="","",'Cash_Check'!D612)</f>
        <v/>
      </c>
      <c r="K3612">
        <f>TRIM('Cash_Check'!B612)</f>
        <v/>
      </c>
      <c r="M3612">
        <f>IF(TRIM('Cash_Check'!E612)="","Cash/check",TRIM('Cash_Check'!E612))</f>
        <v/>
      </c>
      <c r="N3612">
        <f>IF(I3612="","",IF(ISNUMBER(I3612),INT(I3612),IFERROR(INT(DATEVALUE(I3612)),IFERROR(INT(VALUE(I3612)),"bad"))))</f>
        <v/>
      </c>
      <c r="O3612">
        <f>IF(J3612="","",IF(ISNUMBER(J3612),ROUND(J3612,2),IFERROR(ROUND(VALUE(SUBSTITUTE(SUBSTITUTE(SUBSTITUTE(J3612,"$",""),",","")," ","")),2),"bad")))</f>
        <v/>
      </c>
      <c r="P3612">
        <f>IF(K3612="","",IFERROR(MATCH(IF(ISNUMBER(FIND("#",K3612)),TRIM(MID(K3612,FIND("#",K3612)+1,20)),UPPER(K3612)),'Students'!$AD$2:$AD$701,0),""))</f>
        <v/>
      </c>
      <c r="R3612">
        <f>IF(P3612="","",INDEX('Students'!$AD$2:$AD$701,P3612))</f>
        <v/>
      </c>
      <c r="S3612">
        <f>IF(H3612="OK",O3612,0)</f>
        <v/>
      </c>
      <c r="T3612">
        <f>IF(H3612="OK",N3612,"")</f>
        <v/>
      </c>
      <c r="U3612">
        <f>TRIM('Cash_Check'!C612)</f>
        <v/>
      </c>
    </row>
    <row r="3613">
      <c r="A3613" s="62">
        <f>IF(H3613="","",IF(ISNUMBER(N3613),N3613,I3613))</f>
        <v/>
      </c>
      <c r="B3613">
        <f>IF(H3613="","",U3613)</f>
        <v/>
      </c>
      <c r="C3613">
        <f>IF(H3613="","",IF(P3613="",K3613,INDEX('Students'!$A$2:$A$701,P3613)))</f>
        <v/>
      </c>
      <c r="D3613">
        <f>IF(OR(H3613="",P3613=""),"",INDEX('Students'!$B$2:$B$701,P3613))</f>
        <v/>
      </c>
      <c r="E3613">
        <f>IF(OR(H3613="",P3613=""),"",INDEX('Students'!$C$2:$C$701,P3613))</f>
        <v/>
      </c>
      <c r="F3613" s="48">
        <f>IF(H3613="","",IF(ISNUMBER(O3613),O3613,J3613))</f>
        <v/>
      </c>
      <c r="G3613">
        <f>IF(H3613="","",M3613)</f>
        <v/>
      </c>
      <c r="H3613">
        <f>IF(AND(I3613="",J3613="",K3613=""),"",IF(OR(NOT(ISNUMBER(O3613)),N(O3613)&lt;=0),"Bad amount",IF(NOT(ISNUMBER(N3613)),"Bad date",IF(P3613="","NAME NOT ON ROSTER","OK"))))</f>
        <v/>
      </c>
      <c r="I3613">
        <f>IF('Cash_Check'!A613="","",'Cash_Check'!A613)</f>
        <v/>
      </c>
      <c r="J3613">
        <f>IF('Cash_Check'!D613="","",'Cash_Check'!D613)</f>
        <v/>
      </c>
      <c r="K3613">
        <f>TRIM('Cash_Check'!B613)</f>
        <v/>
      </c>
      <c r="M3613">
        <f>IF(TRIM('Cash_Check'!E613)="","Cash/check",TRIM('Cash_Check'!E613))</f>
        <v/>
      </c>
      <c r="N3613">
        <f>IF(I3613="","",IF(ISNUMBER(I3613),INT(I3613),IFERROR(INT(DATEVALUE(I3613)),IFERROR(INT(VALUE(I3613)),"bad"))))</f>
        <v/>
      </c>
      <c r="O3613">
        <f>IF(J3613="","",IF(ISNUMBER(J3613),ROUND(J3613,2),IFERROR(ROUND(VALUE(SUBSTITUTE(SUBSTITUTE(SUBSTITUTE(J3613,"$",""),",","")," ","")),2),"bad")))</f>
        <v/>
      </c>
      <c r="P3613">
        <f>IF(K3613="","",IFERROR(MATCH(IF(ISNUMBER(FIND("#",K3613)),TRIM(MID(K3613,FIND("#",K3613)+1,20)),UPPER(K3613)),'Students'!$AD$2:$AD$701,0),""))</f>
        <v/>
      </c>
      <c r="R3613">
        <f>IF(P3613="","",INDEX('Students'!$AD$2:$AD$701,P3613))</f>
        <v/>
      </c>
      <c r="S3613">
        <f>IF(H3613="OK",O3613,0)</f>
        <v/>
      </c>
      <c r="T3613">
        <f>IF(H3613="OK",N3613,"")</f>
        <v/>
      </c>
      <c r="U3613">
        <f>TRIM('Cash_Check'!C613)</f>
        <v/>
      </c>
    </row>
    <row r="3614">
      <c r="A3614" s="62">
        <f>IF(H3614="","",IF(ISNUMBER(N3614),N3614,I3614))</f>
        <v/>
      </c>
      <c r="B3614">
        <f>IF(H3614="","",U3614)</f>
        <v/>
      </c>
      <c r="C3614">
        <f>IF(H3614="","",IF(P3614="",K3614,INDEX('Students'!$A$2:$A$701,P3614)))</f>
        <v/>
      </c>
      <c r="D3614">
        <f>IF(OR(H3614="",P3614=""),"",INDEX('Students'!$B$2:$B$701,P3614))</f>
        <v/>
      </c>
      <c r="E3614">
        <f>IF(OR(H3614="",P3614=""),"",INDEX('Students'!$C$2:$C$701,P3614))</f>
        <v/>
      </c>
      <c r="F3614" s="48">
        <f>IF(H3614="","",IF(ISNUMBER(O3614),O3614,J3614))</f>
        <v/>
      </c>
      <c r="G3614">
        <f>IF(H3614="","",M3614)</f>
        <v/>
      </c>
      <c r="H3614">
        <f>IF(AND(I3614="",J3614="",K3614=""),"",IF(OR(NOT(ISNUMBER(O3614)),N(O3614)&lt;=0),"Bad amount",IF(NOT(ISNUMBER(N3614)),"Bad date",IF(P3614="","NAME NOT ON ROSTER","OK"))))</f>
        <v/>
      </c>
      <c r="I3614">
        <f>IF('Cash_Check'!A614="","",'Cash_Check'!A614)</f>
        <v/>
      </c>
      <c r="J3614">
        <f>IF('Cash_Check'!D614="","",'Cash_Check'!D614)</f>
        <v/>
      </c>
      <c r="K3614">
        <f>TRIM('Cash_Check'!B614)</f>
        <v/>
      </c>
      <c r="M3614">
        <f>IF(TRIM('Cash_Check'!E614)="","Cash/check",TRIM('Cash_Check'!E614))</f>
        <v/>
      </c>
      <c r="N3614">
        <f>IF(I3614="","",IF(ISNUMBER(I3614),INT(I3614),IFERROR(INT(DATEVALUE(I3614)),IFERROR(INT(VALUE(I3614)),"bad"))))</f>
        <v/>
      </c>
      <c r="O3614">
        <f>IF(J3614="","",IF(ISNUMBER(J3614),ROUND(J3614,2),IFERROR(ROUND(VALUE(SUBSTITUTE(SUBSTITUTE(SUBSTITUTE(J3614,"$",""),",","")," ","")),2),"bad")))</f>
        <v/>
      </c>
      <c r="P3614">
        <f>IF(K3614="","",IFERROR(MATCH(IF(ISNUMBER(FIND("#",K3614)),TRIM(MID(K3614,FIND("#",K3614)+1,20)),UPPER(K3614)),'Students'!$AD$2:$AD$701,0),""))</f>
        <v/>
      </c>
      <c r="R3614">
        <f>IF(P3614="","",INDEX('Students'!$AD$2:$AD$701,P3614))</f>
        <v/>
      </c>
      <c r="S3614">
        <f>IF(H3614="OK",O3614,0)</f>
        <v/>
      </c>
      <c r="T3614">
        <f>IF(H3614="OK",N3614,"")</f>
        <v/>
      </c>
      <c r="U3614">
        <f>TRIM('Cash_Check'!C614)</f>
        <v/>
      </c>
    </row>
    <row r="3615">
      <c r="A3615" s="62">
        <f>IF(H3615="","",IF(ISNUMBER(N3615),N3615,I3615))</f>
        <v/>
      </c>
      <c r="B3615">
        <f>IF(H3615="","",U3615)</f>
        <v/>
      </c>
      <c r="C3615">
        <f>IF(H3615="","",IF(P3615="",K3615,INDEX('Students'!$A$2:$A$701,P3615)))</f>
        <v/>
      </c>
      <c r="D3615">
        <f>IF(OR(H3615="",P3615=""),"",INDEX('Students'!$B$2:$B$701,P3615))</f>
        <v/>
      </c>
      <c r="E3615">
        <f>IF(OR(H3615="",P3615=""),"",INDEX('Students'!$C$2:$C$701,P3615))</f>
        <v/>
      </c>
      <c r="F3615" s="48">
        <f>IF(H3615="","",IF(ISNUMBER(O3615),O3615,J3615))</f>
        <v/>
      </c>
      <c r="G3615">
        <f>IF(H3615="","",M3615)</f>
        <v/>
      </c>
      <c r="H3615">
        <f>IF(AND(I3615="",J3615="",K3615=""),"",IF(OR(NOT(ISNUMBER(O3615)),N(O3615)&lt;=0),"Bad amount",IF(NOT(ISNUMBER(N3615)),"Bad date",IF(P3615="","NAME NOT ON ROSTER","OK"))))</f>
        <v/>
      </c>
      <c r="I3615">
        <f>IF('Cash_Check'!A615="","",'Cash_Check'!A615)</f>
        <v/>
      </c>
      <c r="J3615">
        <f>IF('Cash_Check'!D615="","",'Cash_Check'!D615)</f>
        <v/>
      </c>
      <c r="K3615">
        <f>TRIM('Cash_Check'!B615)</f>
        <v/>
      </c>
      <c r="M3615">
        <f>IF(TRIM('Cash_Check'!E615)="","Cash/check",TRIM('Cash_Check'!E615))</f>
        <v/>
      </c>
      <c r="N3615">
        <f>IF(I3615="","",IF(ISNUMBER(I3615),INT(I3615),IFERROR(INT(DATEVALUE(I3615)),IFERROR(INT(VALUE(I3615)),"bad"))))</f>
        <v/>
      </c>
      <c r="O3615">
        <f>IF(J3615="","",IF(ISNUMBER(J3615),ROUND(J3615,2),IFERROR(ROUND(VALUE(SUBSTITUTE(SUBSTITUTE(SUBSTITUTE(J3615,"$",""),",","")," ","")),2),"bad")))</f>
        <v/>
      </c>
      <c r="P3615">
        <f>IF(K3615="","",IFERROR(MATCH(IF(ISNUMBER(FIND("#",K3615)),TRIM(MID(K3615,FIND("#",K3615)+1,20)),UPPER(K3615)),'Students'!$AD$2:$AD$701,0),""))</f>
        <v/>
      </c>
      <c r="R3615">
        <f>IF(P3615="","",INDEX('Students'!$AD$2:$AD$701,P3615))</f>
        <v/>
      </c>
      <c r="S3615">
        <f>IF(H3615="OK",O3615,0)</f>
        <v/>
      </c>
      <c r="T3615">
        <f>IF(H3615="OK",N3615,"")</f>
        <v/>
      </c>
      <c r="U3615">
        <f>TRIM('Cash_Check'!C615)</f>
        <v/>
      </c>
    </row>
    <row r="3616">
      <c r="A3616" s="62">
        <f>IF(H3616="","",IF(ISNUMBER(N3616),N3616,I3616))</f>
        <v/>
      </c>
      <c r="B3616">
        <f>IF(H3616="","",U3616)</f>
        <v/>
      </c>
      <c r="C3616">
        <f>IF(H3616="","",IF(P3616="",K3616,INDEX('Students'!$A$2:$A$701,P3616)))</f>
        <v/>
      </c>
      <c r="D3616">
        <f>IF(OR(H3616="",P3616=""),"",INDEX('Students'!$B$2:$B$701,P3616))</f>
        <v/>
      </c>
      <c r="E3616">
        <f>IF(OR(H3616="",P3616=""),"",INDEX('Students'!$C$2:$C$701,P3616))</f>
        <v/>
      </c>
      <c r="F3616" s="48">
        <f>IF(H3616="","",IF(ISNUMBER(O3616),O3616,J3616))</f>
        <v/>
      </c>
      <c r="G3616">
        <f>IF(H3616="","",M3616)</f>
        <v/>
      </c>
      <c r="H3616">
        <f>IF(AND(I3616="",J3616="",K3616=""),"",IF(OR(NOT(ISNUMBER(O3616)),N(O3616)&lt;=0),"Bad amount",IF(NOT(ISNUMBER(N3616)),"Bad date",IF(P3616="","NAME NOT ON ROSTER","OK"))))</f>
        <v/>
      </c>
      <c r="I3616">
        <f>IF('Cash_Check'!A616="","",'Cash_Check'!A616)</f>
        <v/>
      </c>
      <c r="J3616">
        <f>IF('Cash_Check'!D616="","",'Cash_Check'!D616)</f>
        <v/>
      </c>
      <c r="K3616">
        <f>TRIM('Cash_Check'!B616)</f>
        <v/>
      </c>
      <c r="M3616">
        <f>IF(TRIM('Cash_Check'!E616)="","Cash/check",TRIM('Cash_Check'!E616))</f>
        <v/>
      </c>
      <c r="N3616">
        <f>IF(I3616="","",IF(ISNUMBER(I3616),INT(I3616),IFERROR(INT(DATEVALUE(I3616)),IFERROR(INT(VALUE(I3616)),"bad"))))</f>
        <v/>
      </c>
      <c r="O3616">
        <f>IF(J3616="","",IF(ISNUMBER(J3616),ROUND(J3616,2),IFERROR(ROUND(VALUE(SUBSTITUTE(SUBSTITUTE(SUBSTITUTE(J3616,"$",""),",","")," ","")),2),"bad")))</f>
        <v/>
      </c>
      <c r="P3616">
        <f>IF(K3616="","",IFERROR(MATCH(IF(ISNUMBER(FIND("#",K3616)),TRIM(MID(K3616,FIND("#",K3616)+1,20)),UPPER(K3616)),'Students'!$AD$2:$AD$701,0),""))</f>
        <v/>
      </c>
      <c r="R3616">
        <f>IF(P3616="","",INDEX('Students'!$AD$2:$AD$701,P3616))</f>
        <v/>
      </c>
      <c r="S3616">
        <f>IF(H3616="OK",O3616,0)</f>
        <v/>
      </c>
      <c r="T3616">
        <f>IF(H3616="OK",N3616,"")</f>
        <v/>
      </c>
      <c r="U3616">
        <f>TRIM('Cash_Check'!C616)</f>
        <v/>
      </c>
    </row>
    <row r="3617">
      <c r="A3617" s="62">
        <f>IF(H3617="","",IF(ISNUMBER(N3617),N3617,I3617))</f>
        <v/>
      </c>
      <c r="B3617">
        <f>IF(H3617="","",U3617)</f>
        <v/>
      </c>
      <c r="C3617">
        <f>IF(H3617="","",IF(P3617="",K3617,INDEX('Students'!$A$2:$A$701,P3617)))</f>
        <v/>
      </c>
      <c r="D3617">
        <f>IF(OR(H3617="",P3617=""),"",INDEX('Students'!$B$2:$B$701,P3617))</f>
        <v/>
      </c>
      <c r="E3617">
        <f>IF(OR(H3617="",P3617=""),"",INDEX('Students'!$C$2:$C$701,P3617))</f>
        <v/>
      </c>
      <c r="F3617" s="48">
        <f>IF(H3617="","",IF(ISNUMBER(O3617),O3617,J3617))</f>
        <v/>
      </c>
      <c r="G3617">
        <f>IF(H3617="","",M3617)</f>
        <v/>
      </c>
      <c r="H3617">
        <f>IF(AND(I3617="",J3617="",K3617=""),"",IF(OR(NOT(ISNUMBER(O3617)),N(O3617)&lt;=0),"Bad amount",IF(NOT(ISNUMBER(N3617)),"Bad date",IF(P3617="","NAME NOT ON ROSTER","OK"))))</f>
        <v/>
      </c>
      <c r="I3617">
        <f>IF('Cash_Check'!A617="","",'Cash_Check'!A617)</f>
        <v/>
      </c>
      <c r="J3617">
        <f>IF('Cash_Check'!D617="","",'Cash_Check'!D617)</f>
        <v/>
      </c>
      <c r="K3617">
        <f>TRIM('Cash_Check'!B617)</f>
        <v/>
      </c>
      <c r="M3617">
        <f>IF(TRIM('Cash_Check'!E617)="","Cash/check",TRIM('Cash_Check'!E617))</f>
        <v/>
      </c>
      <c r="N3617">
        <f>IF(I3617="","",IF(ISNUMBER(I3617),INT(I3617),IFERROR(INT(DATEVALUE(I3617)),IFERROR(INT(VALUE(I3617)),"bad"))))</f>
        <v/>
      </c>
      <c r="O3617">
        <f>IF(J3617="","",IF(ISNUMBER(J3617),ROUND(J3617,2),IFERROR(ROUND(VALUE(SUBSTITUTE(SUBSTITUTE(SUBSTITUTE(J3617,"$",""),",","")," ","")),2),"bad")))</f>
        <v/>
      </c>
      <c r="P3617">
        <f>IF(K3617="","",IFERROR(MATCH(IF(ISNUMBER(FIND("#",K3617)),TRIM(MID(K3617,FIND("#",K3617)+1,20)),UPPER(K3617)),'Students'!$AD$2:$AD$701,0),""))</f>
        <v/>
      </c>
      <c r="R3617">
        <f>IF(P3617="","",INDEX('Students'!$AD$2:$AD$701,P3617))</f>
        <v/>
      </c>
      <c r="S3617">
        <f>IF(H3617="OK",O3617,0)</f>
        <v/>
      </c>
      <c r="T3617">
        <f>IF(H3617="OK",N3617,"")</f>
        <v/>
      </c>
      <c r="U3617">
        <f>TRIM('Cash_Check'!C617)</f>
        <v/>
      </c>
    </row>
    <row r="3618">
      <c r="A3618" s="62">
        <f>IF(H3618="","",IF(ISNUMBER(N3618),N3618,I3618))</f>
        <v/>
      </c>
      <c r="B3618">
        <f>IF(H3618="","",U3618)</f>
        <v/>
      </c>
      <c r="C3618">
        <f>IF(H3618="","",IF(P3618="",K3618,INDEX('Students'!$A$2:$A$701,P3618)))</f>
        <v/>
      </c>
      <c r="D3618">
        <f>IF(OR(H3618="",P3618=""),"",INDEX('Students'!$B$2:$B$701,P3618))</f>
        <v/>
      </c>
      <c r="E3618">
        <f>IF(OR(H3618="",P3618=""),"",INDEX('Students'!$C$2:$C$701,P3618))</f>
        <v/>
      </c>
      <c r="F3618" s="48">
        <f>IF(H3618="","",IF(ISNUMBER(O3618),O3618,J3618))</f>
        <v/>
      </c>
      <c r="G3618">
        <f>IF(H3618="","",M3618)</f>
        <v/>
      </c>
      <c r="H3618">
        <f>IF(AND(I3618="",J3618="",K3618=""),"",IF(OR(NOT(ISNUMBER(O3618)),N(O3618)&lt;=0),"Bad amount",IF(NOT(ISNUMBER(N3618)),"Bad date",IF(P3618="","NAME NOT ON ROSTER","OK"))))</f>
        <v/>
      </c>
      <c r="I3618">
        <f>IF('Cash_Check'!A618="","",'Cash_Check'!A618)</f>
        <v/>
      </c>
      <c r="J3618">
        <f>IF('Cash_Check'!D618="","",'Cash_Check'!D618)</f>
        <v/>
      </c>
      <c r="K3618">
        <f>TRIM('Cash_Check'!B618)</f>
        <v/>
      </c>
      <c r="M3618">
        <f>IF(TRIM('Cash_Check'!E618)="","Cash/check",TRIM('Cash_Check'!E618))</f>
        <v/>
      </c>
      <c r="N3618">
        <f>IF(I3618="","",IF(ISNUMBER(I3618),INT(I3618),IFERROR(INT(DATEVALUE(I3618)),IFERROR(INT(VALUE(I3618)),"bad"))))</f>
        <v/>
      </c>
      <c r="O3618">
        <f>IF(J3618="","",IF(ISNUMBER(J3618),ROUND(J3618,2),IFERROR(ROUND(VALUE(SUBSTITUTE(SUBSTITUTE(SUBSTITUTE(J3618,"$",""),",","")," ","")),2),"bad")))</f>
        <v/>
      </c>
      <c r="P3618">
        <f>IF(K3618="","",IFERROR(MATCH(IF(ISNUMBER(FIND("#",K3618)),TRIM(MID(K3618,FIND("#",K3618)+1,20)),UPPER(K3618)),'Students'!$AD$2:$AD$701,0),""))</f>
        <v/>
      </c>
      <c r="R3618">
        <f>IF(P3618="","",INDEX('Students'!$AD$2:$AD$701,P3618))</f>
        <v/>
      </c>
      <c r="S3618">
        <f>IF(H3618="OK",O3618,0)</f>
        <v/>
      </c>
      <c r="T3618">
        <f>IF(H3618="OK",N3618,"")</f>
        <v/>
      </c>
      <c r="U3618">
        <f>TRIM('Cash_Check'!C618)</f>
        <v/>
      </c>
    </row>
    <row r="3619">
      <c r="A3619" s="62">
        <f>IF(H3619="","",IF(ISNUMBER(N3619),N3619,I3619))</f>
        <v/>
      </c>
      <c r="B3619">
        <f>IF(H3619="","",U3619)</f>
        <v/>
      </c>
      <c r="C3619">
        <f>IF(H3619="","",IF(P3619="",K3619,INDEX('Students'!$A$2:$A$701,P3619)))</f>
        <v/>
      </c>
      <c r="D3619">
        <f>IF(OR(H3619="",P3619=""),"",INDEX('Students'!$B$2:$B$701,P3619))</f>
        <v/>
      </c>
      <c r="E3619">
        <f>IF(OR(H3619="",P3619=""),"",INDEX('Students'!$C$2:$C$701,P3619))</f>
        <v/>
      </c>
      <c r="F3619" s="48">
        <f>IF(H3619="","",IF(ISNUMBER(O3619),O3619,J3619))</f>
        <v/>
      </c>
      <c r="G3619">
        <f>IF(H3619="","",M3619)</f>
        <v/>
      </c>
      <c r="H3619">
        <f>IF(AND(I3619="",J3619="",K3619=""),"",IF(OR(NOT(ISNUMBER(O3619)),N(O3619)&lt;=0),"Bad amount",IF(NOT(ISNUMBER(N3619)),"Bad date",IF(P3619="","NAME NOT ON ROSTER","OK"))))</f>
        <v/>
      </c>
      <c r="I3619">
        <f>IF('Cash_Check'!A619="","",'Cash_Check'!A619)</f>
        <v/>
      </c>
      <c r="J3619">
        <f>IF('Cash_Check'!D619="","",'Cash_Check'!D619)</f>
        <v/>
      </c>
      <c r="K3619">
        <f>TRIM('Cash_Check'!B619)</f>
        <v/>
      </c>
      <c r="M3619">
        <f>IF(TRIM('Cash_Check'!E619)="","Cash/check",TRIM('Cash_Check'!E619))</f>
        <v/>
      </c>
      <c r="N3619">
        <f>IF(I3619="","",IF(ISNUMBER(I3619),INT(I3619),IFERROR(INT(DATEVALUE(I3619)),IFERROR(INT(VALUE(I3619)),"bad"))))</f>
        <v/>
      </c>
      <c r="O3619">
        <f>IF(J3619="","",IF(ISNUMBER(J3619),ROUND(J3619,2),IFERROR(ROUND(VALUE(SUBSTITUTE(SUBSTITUTE(SUBSTITUTE(J3619,"$",""),",","")," ","")),2),"bad")))</f>
        <v/>
      </c>
      <c r="P3619">
        <f>IF(K3619="","",IFERROR(MATCH(IF(ISNUMBER(FIND("#",K3619)),TRIM(MID(K3619,FIND("#",K3619)+1,20)),UPPER(K3619)),'Students'!$AD$2:$AD$701,0),""))</f>
        <v/>
      </c>
      <c r="R3619">
        <f>IF(P3619="","",INDEX('Students'!$AD$2:$AD$701,P3619))</f>
        <v/>
      </c>
      <c r="S3619">
        <f>IF(H3619="OK",O3619,0)</f>
        <v/>
      </c>
      <c r="T3619">
        <f>IF(H3619="OK",N3619,"")</f>
        <v/>
      </c>
      <c r="U3619">
        <f>TRIM('Cash_Check'!C619)</f>
        <v/>
      </c>
    </row>
    <row r="3620">
      <c r="A3620" s="62">
        <f>IF(H3620="","",IF(ISNUMBER(N3620),N3620,I3620))</f>
        <v/>
      </c>
      <c r="B3620">
        <f>IF(H3620="","",U3620)</f>
        <v/>
      </c>
      <c r="C3620">
        <f>IF(H3620="","",IF(P3620="",K3620,INDEX('Students'!$A$2:$A$701,P3620)))</f>
        <v/>
      </c>
      <c r="D3620">
        <f>IF(OR(H3620="",P3620=""),"",INDEX('Students'!$B$2:$B$701,P3620))</f>
        <v/>
      </c>
      <c r="E3620">
        <f>IF(OR(H3620="",P3620=""),"",INDEX('Students'!$C$2:$C$701,P3620))</f>
        <v/>
      </c>
      <c r="F3620" s="48">
        <f>IF(H3620="","",IF(ISNUMBER(O3620),O3620,J3620))</f>
        <v/>
      </c>
      <c r="G3620">
        <f>IF(H3620="","",M3620)</f>
        <v/>
      </c>
      <c r="H3620">
        <f>IF(AND(I3620="",J3620="",K3620=""),"",IF(OR(NOT(ISNUMBER(O3620)),N(O3620)&lt;=0),"Bad amount",IF(NOT(ISNUMBER(N3620)),"Bad date",IF(P3620="","NAME NOT ON ROSTER","OK"))))</f>
        <v/>
      </c>
      <c r="I3620">
        <f>IF('Cash_Check'!A620="","",'Cash_Check'!A620)</f>
        <v/>
      </c>
      <c r="J3620">
        <f>IF('Cash_Check'!D620="","",'Cash_Check'!D620)</f>
        <v/>
      </c>
      <c r="K3620">
        <f>TRIM('Cash_Check'!B620)</f>
        <v/>
      </c>
      <c r="M3620">
        <f>IF(TRIM('Cash_Check'!E620)="","Cash/check",TRIM('Cash_Check'!E620))</f>
        <v/>
      </c>
      <c r="N3620">
        <f>IF(I3620="","",IF(ISNUMBER(I3620),INT(I3620),IFERROR(INT(DATEVALUE(I3620)),IFERROR(INT(VALUE(I3620)),"bad"))))</f>
        <v/>
      </c>
      <c r="O3620">
        <f>IF(J3620="","",IF(ISNUMBER(J3620),ROUND(J3620,2),IFERROR(ROUND(VALUE(SUBSTITUTE(SUBSTITUTE(SUBSTITUTE(J3620,"$",""),",","")," ","")),2),"bad")))</f>
        <v/>
      </c>
      <c r="P3620">
        <f>IF(K3620="","",IFERROR(MATCH(IF(ISNUMBER(FIND("#",K3620)),TRIM(MID(K3620,FIND("#",K3620)+1,20)),UPPER(K3620)),'Students'!$AD$2:$AD$701,0),""))</f>
        <v/>
      </c>
      <c r="R3620">
        <f>IF(P3620="","",INDEX('Students'!$AD$2:$AD$701,P3620))</f>
        <v/>
      </c>
      <c r="S3620">
        <f>IF(H3620="OK",O3620,0)</f>
        <v/>
      </c>
      <c r="T3620">
        <f>IF(H3620="OK",N3620,"")</f>
        <v/>
      </c>
      <c r="U3620">
        <f>TRIM('Cash_Check'!C620)</f>
        <v/>
      </c>
    </row>
    <row r="3621">
      <c r="A3621" s="62">
        <f>IF(H3621="","",IF(ISNUMBER(N3621),N3621,I3621))</f>
        <v/>
      </c>
      <c r="B3621">
        <f>IF(H3621="","",U3621)</f>
        <v/>
      </c>
      <c r="C3621">
        <f>IF(H3621="","",IF(P3621="",K3621,INDEX('Students'!$A$2:$A$701,P3621)))</f>
        <v/>
      </c>
      <c r="D3621">
        <f>IF(OR(H3621="",P3621=""),"",INDEX('Students'!$B$2:$B$701,P3621))</f>
        <v/>
      </c>
      <c r="E3621">
        <f>IF(OR(H3621="",P3621=""),"",INDEX('Students'!$C$2:$C$701,P3621))</f>
        <v/>
      </c>
      <c r="F3621" s="48">
        <f>IF(H3621="","",IF(ISNUMBER(O3621),O3621,J3621))</f>
        <v/>
      </c>
      <c r="G3621">
        <f>IF(H3621="","",M3621)</f>
        <v/>
      </c>
      <c r="H3621">
        <f>IF(AND(I3621="",J3621="",K3621=""),"",IF(OR(NOT(ISNUMBER(O3621)),N(O3621)&lt;=0),"Bad amount",IF(NOT(ISNUMBER(N3621)),"Bad date",IF(P3621="","NAME NOT ON ROSTER","OK"))))</f>
        <v/>
      </c>
      <c r="I3621">
        <f>IF('Cash_Check'!A621="","",'Cash_Check'!A621)</f>
        <v/>
      </c>
      <c r="J3621">
        <f>IF('Cash_Check'!D621="","",'Cash_Check'!D621)</f>
        <v/>
      </c>
      <c r="K3621">
        <f>TRIM('Cash_Check'!B621)</f>
        <v/>
      </c>
      <c r="M3621">
        <f>IF(TRIM('Cash_Check'!E621)="","Cash/check",TRIM('Cash_Check'!E621))</f>
        <v/>
      </c>
      <c r="N3621">
        <f>IF(I3621="","",IF(ISNUMBER(I3621),INT(I3621),IFERROR(INT(DATEVALUE(I3621)),IFERROR(INT(VALUE(I3621)),"bad"))))</f>
        <v/>
      </c>
      <c r="O3621">
        <f>IF(J3621="","",IF(ISNUMBER(J3621),ROUND(J3621,2),IFERROR(ROUND(VALUE(SUBSTITUTE(SUBSTITUTE(SUBSTITUTE(J3621,"$",""),",","")," ","")),2),"bad")))</f>
        <v/>
      </c>
      <c r="P3621">
        <f>IF(K3621="","",IFERROR(MATCH(IF(ISNUMBER(FIND("#",K3621)),TRIM(MID(K3621,FIND("#",K3621)+1,20)),UPPER(K3621)),'Students'!$AD$2:$AD$701,0),""))</f>
        <v/>
      </c>
      <c r="R3621">
        <f>IF(P3621="","",INDEX('Students'!$AD$2:$AD$701,P3621))</f>
        <v/>
      </c>
      <c r="S3621">
        <f>IF(H3621="OK",O3621,0)</f>
        <v/>
      </c>
      <c r="T3621">
        <f>IF(H3621="OK",N3621,"")</f>
        <v/>
      </c>
      <c r="U3621">
        <f>TRIM('Cash_Check'!C621)</f>
        <v/>
      </c>
    </row>
    <row r="3622">
      <c r="A3622" s="62">
        <f>IF(H3622="","",IF(ISNUMBER(N3622),N3622,I3622))</f>
        <v/>
      </c>
      <c r="B3622">
        <f>IF(H3622="","",U3622)</f>
        <v/>
      </c>
      <c r="C3622">
        <f>IF(H3622="","",IF(P3622="",K3622,INDEX('Students'!$A$2:$A$701,P3622)))</f>
        <v/>
      </c>
      <c r="D3622">
        <f>IF(OR(H3622="",P3622=""),"",INDEX('Students'!$B$2:$B$701,P3622))</f>
        <v/>
      </c>
      <c r="E3622">
        <f>IF(OR(H3622="",P3622=""),"",INDEX('Students'!$C$2:$C$701,P3622))</f>
        <v/>
      </c>
      <c r="F3622" s="48">
        <f>IF(H3622="","",IF(ISNUMBER(O3622),O3622,J3622))</f>
        <v/>
      </c>
      <c r="G3622">
        <f>IF(H3622="","",M3622)</f>
        <v/>
      </c>
      <c r="H3622">
        <f>IF(AND(I3622="",J3622="",K3622=""),"",IF(OR(NOT(ISNUMBER(O3622)),N(O3622)&lt;=0),"Bad amount",IF(NOT(ISNUMBER(N3622)),"Bad date",IF(P3622="","NAME NOT ON ROSTER","OK"))))</f>
        <v/>
      </c>
      <c r="I3622">
        <f>IF('Cash_Check'!A622="","",'Cash_Check'!A622)</f>
        <v/>
      </c>
      <c r="J3622">
        <f>IF('Cash_Check'!D622="","",'Cash_Check'!D622)</f>
        <v/>
      </c>
      <c r="K3622">
        <f>TRIM('Cash_Check'!B622)</f>
        <v/>
      </c>
      <c r="M3622">
        <f>IF(TRIM('Cash_Check'!E622)="","Cash/check",TRIM('Cash_Check'!E622))</f>
        <v/>
      </c>
      <c r="N3622">
        <f>IF(I3622="","",IF(ISNUMBER(I3622),INT(I3622),IFERROR(INT(DATEVALUE(I3622)),IFERROR(INT(VALUE(I3622)),"bad"))))</f>
        <v/>
      </c>
      <c r="O3622">
        <f>IF(J3622="","",IF(ISNUMBER(J3622),ROUND(J3622,2),IFERROR(ROUND(VALUE(SUBSTITUTE(SUBSTITUTE(SUBSTITUTE(J3622,"$",""),",","")," ","")),2),"bad")))</f>
        <v/>
      </c>
      <c r="P3622">
        <f>IF(K3622="","",IFERROR(MATCH(IF(ISNUMBER(FIND("#",K3622)),TRIM(MID(K3622,FIND("#",K3622)+1,20)),UPPER(K3622)),'Students'!$AD$2:$AD$701,0),""))</f>
        <v/>
      </c>
      <c r="R3622">
        <f>IF(P3622="","",INDEX('Students'!$AD$2:$AD$701,P3622))</f>
        <v/>
      </c>
      <c r="S3622">
        <f>IF(H3622="OK",O3622,0)</f>
        <v/>
      </c>
      <c r="T3622">
        <f>IF(H3622="OK",N3622,"")</f>
        <v/>
      </c>
      <c r="U3622">
        <f>TRIM('Cash_Check'!C622)</f>
        <v/>
      </c>
    </row>
    <row r="3623">
      <c r="A3623" s="62">
        <f>IF(H3623="","",IF(ISNUMBER(N3623),N3623,I3623))</f>
        <v/>
      </c>
      <c r="B3623">
        <f>IF(H3623="","",U3623)</f>
        <v/>
      </c>
      <c r="C3623">
        <f>IF(H3623="","",IF(P3623="",K3623,INDEX('Students'!$A$2:$A$701,P3623)))</f>
        <v/>
      </c>
      <c r="D3623">
        <f>IF(OR(H3623="",P3623=""),"",INDEX('Students'!$B$2:$B$701,P3623))</f>
        <v/>
      </c>
      <c r="E3623">
        <f>IF(OR(H3623="",P3623=""),"",INDEX('Students'!$C$2:$C$701,P3623))</f>
        <v/>
      </c>
      <c r="F3623" s="48">
        <f>IF(H3623="","",IF(ISNUMBER(O3623),O3623,J3623))</f>
        <v/>
      </c>
      <c r="G3623">
        <f>IF(H3623="","",M3623)</f>
        <v/>
      </c>
      <c r="H3623">
        <f>IF(AND(I3623="",J3623="",K3623=""),"",IF(OR(NOT(ISNUMBER(O3623)),N(O3623)&lt;=0),"Bad amount",IF(NOT(ISNUMBER(N3623)),"Bad date",IF(P3623="","NAME NOT ON ROSTER","OK"))))</f>
        <v/>
      </c>
      <c r="I3623">
        <f>IF('Cash_Check'!A623="","",'Cash_Check'!A623)</f>
        <v/>
      </c>
      <c r="J3623">
        <f>IF('Cash_Check'!D623="","",'Cash_Check'!D623)</f>
        <v/>
      </c>
      <c r="K3623">
        <f>TRIM('Cash_Check'!B623)</f>
        <v/>
      </c>
      <c r="M3623">
        <f>IF(TRIM('Cash_Check'!E623)="","Cash/check",TRIM('Cash_Check'!E623))</f>
        <v/>
      </c>
      <c r="N3623">
        <f>IF(I3623="","",IF(ISNUMBER(I3623),INT(I3623),IFERROR(INT(DATEVALUE(I3623)),IFERROR(INT(VALUE(I3623)),"bad"))))</f>
        <v/>
      </c>
      <c r="O3623">
        <f>IF(J3623="","",IF(ISNUMBER(J3623),ROUND(J3623,2),IFERROR(ROUND(VALUE(SUBSTITUTE(SUBSTITUTE(SUBSTITUTE(J3623,"$",""),",","")," ","")),2),"bad")))</f>
        <v/>
      </c>
      <c r="P3623">
        <f>IF(K3623="","",IFERROR(MATCH(IF(ISNUMBER(FIND("#",K3623)),TRIM(MID(K3623,FIND("#",K3623)+1,20)),UPPER(K3623)),'Students'!$AD$2:$AD$701,0),""))</f>
        <v/>
      </c>
      <c r="R3623">
        <f>IF(P3623="","",INDEX('Students'!$AD$2:$AD$701,P3623))</f>
        <v/>
      </c>
      <c r="S3623">
        <f>IF(H3623="OK",O3623,0)</f>
        <v/>
      </c>
      <c r="T3623">
        <f>IF(H3623="OK",N3623,"")</f>
        <v/>
      </c>
      <c r="U3623">
        <f>TRIM('Cash_Check'!C623)</f>
        <v/>
      </c>
    </row>
    <row r="3624">
      <c r="A3624" s="62">
        <f>IF(H3624="","",IF(ISNUMBER(N3624),N3624,I3624))</f>
        <v/>
      </c>
      <c r="B3624">
        <f>IF(H3624="","",U3624)</f>
        <v/>
      </c>
      <c r="C3624">
        <f>IF(H3624="","",IF(P3624="",K3624,INDEX('Students'!$A$2:$A$701,P3624)))</f>
        <v/>
      </c>
      <c r="D3624">
        <f>IF(OR(H3624="",P3624=""),"",INDEX('Students'!$B$2:$B$701,P3624))</f>
        <v/>
      </c>
      <c r="E3624">
        <f>IF(OR(H3624="",P3624=""),"",INDEX('Students'!$C$2:$C$701,P3624))</f>
        <v/>
      </c>
      <c r="F3624" s="48">
        <f>IF(H3624="","",IF(ISNUMBER(O3624),O3624,J3624))</f>
        <v/>
      </c>
      <c r="G3624">
        <f>IF(H3624="","",M3624)</f>
        <v/>
      </c>
      <c r="H3624">
        <f>IF(AND(I3624="",J3624="",K3624=""),"",IF(OR(NOT(ISNUMBER(O3624)),N(O3624)&lt;=0),"Bad amount",IF(NOT(ISNUMBER(N3624)),"Bad date",IF(P3624="","NAME NOT ON ROSTER","OK"))))</f>
        <v/>
      </c>
      <c r="I3624">
        <f>IF('Cash_Check'!A624="","",'Cash_Check'!A624)</f>
        <v/>
      </c>
      <c r="J3624">
        <f>IF('Cash_Check'!D624="","",'Cash_Check'!D624)</f>
        <v/>
      </c>
      <c r="K3624">
        <f>TRIM('Cash_Check'!B624)</f>
        <v/>
      </c>
      <c r="M3624">
        <f>IF(TRIM('Cash_Check'!E624)="","Cash/check",TRIM('Cash_Check'!E624))</f>
        <v/>
      </c>
      <c r="N3624">
        <f>IF(I3624="","",IF(ISNUMBER(I3624),INT(I3624),IFERROR(INT(DATEVALUE(I3624)),IFERROR(INT(VALUE(I3624)),"bad"))))</f>
        <v/>
      </c>
      <c r="O3624">
        <f>IF(J3624="","",IF(ISNUMBER(J3624),ROUND(J3624,2),IFERROR(ROUND(VALUE(SUBSTITUTE(SUBSTITUTE(SUBSTITUTE(J3624,"$",""),",","")," ","")),2),"bad")))</f>
        <v/>
      </c>
      <c r="P3624">
        <f>IF(K3624="","",IFERROR(MATCH(IF(ISNUMBER(FIND("#",K3624)),TRIM(MID(K3624,FIND("#",K3624)+1,20)),UPPER(K3624)),'Students'!$AD$2:$AD$701,0),""))</f>
        <v/>
      </c>
      <c r="R3624">
        <f>IF(P3624="","",INDEX('Students'!$AD$2:$AD$701,P3624))</f>
        <v/>
      </c>
      <c r="S3624">
        <f>IF(H3624="OK",O3624,0)</f>
        <v/>
      </c>
      <c r="T3624">
        <f>IF(H3624="OK",N3624,"")</f>
        <v/>
      </c>
      <c r="U3624">
        <f>TRIM('Cash_Check'!C624)</f>
        <v/>
      </c>
    </row>
    <row r="3625">
      <c r="A3625" s="62">
        <f>IF(H3625="","",IF(ISNUMBER(N3625),N3625,I3625))</f>
        <v/>
      </c>
      <c r="B3625">
        <f>IF(H3625="","",U3625)</f>
        <v/>
      </c>
      <c r="C3625">
        <f>IF(H3625="","",IF(P3625="",K3625,INDEX('Students'!$A$2:$A$701,P3625)))</f>
        <v/>
      </c>
      <c r="D3625">
        <f>IF(OR(H3625="",P3625=""),"",INDEX('Students'!$B$2:$B$701,P3625))</f>
        <v/>
      </c>
      <c r="E3625">
        <f>IF(OR(H3625="",P3625=""),"",INDEX('Students'!$C$2:$C$701,P3625))</f>
        <v/>
      </c>
      <c r="F3625" s="48">
        <f>IF(H3625="","",IF(ISNUMBER(O3625),O3625,J3625))</f>
        <v/>
      </c>
      <c r="G3625">
        <f>IF(H3625="","",M3625)</f>
        <v/>
      </c>
      <c r="H3625">
        <f>IF(AND(I3625="",J3625="",K3625=""),"",IF(OR(NOT(ISNUMBER(O3625)),N(O3625)&lt;=0),"Bad amount",IF(NOT(ISNUMBER(N3625)),"Bad date",IF(P3625="","NAME NOT ON ROSTER","OK"))))</f>
        <v/>
      </c>
      <c r="I3625">
        <f>IF('Cash_Check'!A625="","",'Cash_Check'!A625)</f>
        <v/>
      </c>
      <c r="J3625">
        <f>IF('Cash_Check'!D625="","",'Cash_Check'!D625)</f>
        <v/>
      </c>
      <c r="K3625">
        <f>TRIM('Cash_Check'!B625)</f>
        <v/>
      </c>
      <c r="M3625">
        <f>IF(TRIM('Cash_Check'!E625)="","Cash/check",TRIM('Cash_Check'!E625))</f>
        <v/>
      </c>
      <c r="N3625">
        <f>IF(I3625="","",IF(ISNUMBER(I3625),INT(I3625),IFERROR(INT(DATEVALUE(I3625)),IFERROR(INT(VALUE(I3625)),"bad"))))</f>
        <v/>
      </c>
      <c r="O3625">
        <f>IF(J3625="","",IF(ISNUMBER(J3625),ROUND(J3625,2),IFERROR(ROUND(VALUE(SUBSTITUTE(SUBSTITUTE(SUBSTITUTE(J3625,"$",""),",","")," ","")),2),"bad")))</f>
        <v/>
      </c>
      <c r="P3625">
        <f>IF(K3625="","",IFERROR(MATCH(IF(ISNUMBER(FIND("#",K3625)),TRIM(MID(K3625,FIND("#",K3625)+1,20)),UPPER(K3625)),'Students'!$AD$2:$AD$701,0),""))</f>
        <v/>
      </c>
      <c r="R3625">
        <f>IF(P3625="","",INDEX('Students'!$AD$2:$AD$701,P3625))</f>
        <v/>
      </c>
      <c r="S3625">
        <f>IF(H3625="OK",O3625,0)</f>
        <v/>
      </c>
      <c r="T3625">
        <f>IF(H3625="OK",N3625,"")</f>
        <v/>
      </c>
      <c r="U3625">
        <f>TRIM('Cash_Check'!C625)</f>
        <v/>
      </c>
    </row>
    <row r="3626">
      <c r="A3626" s="62">
        <f>IF(H3626="","",IF(ISNUMBER(N3626),N3626,I3626))</f>
        <v/>
      </c>
      <c r="B3626">
        <f>IF(H3626="","",U3626)</f>
        <v/>
      </c>
      <c r="C3626">
        <f>IF(H3626="","",IF(P3626="",K3626,INDEX('Students'!$A$2:$A$701,P3626)))</f>
        <v/>
      </c>
      <c r="D3626">
        <f>IF(OR(H3626="",P3626=""),"",INDEX('Students'!$B$2:$B$701,P3626))</f>
        <v/>
      </c>
      <c r="E3626">
        <f>IF(OR(H3626="",P3626=""),"",INDEX('Students'!$C$2:$C$701,P3626))</f>
        <v/>
      </c>
      <c r="F3626" s="48">
        <f>IF(H3626="","",IF(ISNUMBER(O3626),O3626,J3626))</f>
        <v/>
      </c>
      <c r="G3626">
        <f>IF(H3626="","",M3626)</f>
        <v/>
      </c>
      <c r="H3626">
        <f>IF(AND(I3626="",J3626="",K3626=""),"",IF(OR(NOT(ISNUMBER(O3626)),N(O3626)&lt;=0),"Bad amount",IF(NOT(ISNUMBER(N3626)),"Bad date",IF(P3626="","NAME NOT ON ROSTER","OK"))))</f>
        <v/>
      </c>
      <c r="I3626">
        <f>IF('Cash_Check'!A626="","",'Cash_Check'!A626)</f>
        <v/>
      </c>
      <c r="J3626">
        <f>IF('Cash_Check'!D626="","",'Cash_Check'!D626)</f>
        <v/>
      </c>
      <c r="K3626">
        <f>TRIM('Cash_Check'!B626)</f>
        <v/>
      </c>
      <c r="M3626">
        <f>IF(TRIM('Cash_Check'!E626)="","Cash/check",TRIM('Cash_Check'!E626))</f>
        <v/>
      </c>
      <c r="N3626">
        <f>IF(I3626="","",IF(ISNUMBER(I3626),INT(I3626),IFERROR(INT(DATEVALUE(I3626)),IFERROR(INT(VALUE(I3626)),"bad"))))</f>
        <v/>
      </c>
      <c r="O3626">
        <f>IF(J3626="","",IF(ISNUMBER(J3626),ROUND(J3626,2),IFERROR(ROUND(VALUE(SUBSTITUTE(SUBSTITUTE(SUBSTITUTE(J3626,"$",""),",","")," ","")),2),"bad")))</f>
        <v/>
      </c>
      <c r="P3626">
        <f>IF(K3626="","",IFERROR(MATCH(IF(ISNUMBER(FIND("#",K3626)),TRIM(MID(K3626,FIND("#",K3626)+1,20)),UPPER(K3626)),'Students'!$AD$2:$AD$701,0),""))</f>
        <v/>
      </c>
      <c r="R3626">
        <f>IF(P3626="","",INDEX('Students'!$AD$2:$AD$701,P3626))</f>
        <v/>
      </c>
      <c r="S3626">
        <f>IF(H3626="OK",O3626,0)</f>
        <v/>
      </c>
      <c r="T3626">
        <f>IF(H3626="OK",N3626,"")</f>
        <v/>
      </c>
      <c r="U3626">
        <f>TRIM('Cash_Check'!C626)</f>
        <v/>
      </c>
    </row>
    <row r="3627">
      <c r="A3627" s="62">
        <f>IF(H3627="","",IF(ISNUMBER(N3627),N3627,I3627))</f>
        <v/>
      </c>
      <c r="B3627">
        <f>IF(H3627="","",U3627)</f>
        <v/>
      </c>
      <c r="C3627">
        <f>IF(H3627="","",IF(P3627="",K3627,INDEX('Students'!$A$2:$A$701,P3627)))</f>
        <v/>
      </c>
      <c r="D3627">
        <f>IF(OR(H3627="",P3627=""),"",INDEX('Students'!$B$2:$B$701,P3627))</f>
        <v/>
      </c>
      <c r="E3627">
        <f>IF(OR(H3627="",P3627=""),"",INDEX('Students'!$C$2:$C$701,P3627))</f>
        <v/>
      </c>
      <c r="F3627" s="48">
        <f>IF(H3627="","",IF(ISNUMBER(O3627),O3627,J3627))</f>
        <v/>
      </c>
      <c r="G3627">
        <f>IF(H3627="","",M3627)</f>
        <v/>
      </c>
      <c r="H3627">
        <f>IF(AND(I3627="",J3627="",K3627=""),"",IF(OR(NOT(ISNUMBER(O3627)),N(O3627)&lt;=0),"Bad amount",IF(NOT(ISNUMBER(N3627)),"Bad date",IF(P3627="","NAME NOT ON ROSTER","OK"))))</f>
        <v/>
      </c>
      <c r="I3627">
        <f>IF('Cash_Check'!A627="","",'Cash_Check'!A627)</f>
        <v/>
      </c>
      <c r="J3627">
        <f>IF('Cash_Check'!D627="","",'Cash_Check'!D627)</f>
        <v/>
      </c>
      <c r="K3627">
        <f>TRIM('Cash_Check'!B627)</f>
        <v/>
      </c>
      <c r="M3627">
        <f>IF(TRIM('Cash_Check'!E627)="","Cash/check",TRIM('Cash_Check'!E627))</f>
        <v/>
      </c>
      <c r="N3627">
        <f>IF(I3627="","",IF(ISNUMBER(I3627),INT(I3627),IFERROR(INT(DATEVALUE(I3627)),IFERROR(INT(VALUE(I3627)),"bad"))))</f>
        <v/>
      </c>
      <c r="O3627">
        <f>IF(J3627="","",IF(ISNUMBER(J3627),ROUND(J3627,2),IFERROR(ROUND(VALUE(SUBSTITUTE(SUBSTITUTE(SUBSTITUTE(J3627,"$",""),",","")," ","")),2),"bad")))</f>
        <v/>
      </c>
      <c r="P3627">
        <f>IF(K3627="","",IFERROR(MATCH(IF(ISNUMBER(FIND("#",K3627)),TRIM(MID(K3627,FIND("#",K3627)+1,20)),UPPER(K3627)),'Students'!$AD$2:$AD$701,0),""))</f>
        <v/>
      </c>
      <c r="R3627">
        <f>IF(P3627="","",INDEX('Students'!$AD$2:$AD$701,P3627))</f>
        <v/>
      </c>
      <c r="S3627">
        <f>IF(H3627="OK",O3627,0)</f>
        <v/>
      </c>
      <c r="T3627">
        <f>IF(H3627="OK",N3627,"")</f>
        <v/>
      </c>
      <c r="U3627">
        <f>TRIM('Cash_Check'!C627)</f>
        <v/>
      </c>
    </row>
    <row r="3628">
      <c r="A3628" s="62">
        <f>IF(H3628="","",IF(ISNUMBER(N3628),N3628,I3628))</f>
        <v/>
      </c>
      <c r="B3628">
        <f>IF(H3628="","",U3628)</f>
        <v/>
      </c>
      <c r="C3628">
        <f>IF(H3628="","",IF(P3628="",K3628,INDEX('Students'!$A$2:$A$701,P3628)))</f>
        <v/>
      </c>
      <c r="D3628">
        <f>IF(OR(H3628="",P3628=""),"",INDEX('Students'!$B$2:$B$701,P3628))</f>
        <v/>
      </c>
      <c r="E3628">
        <f>IF(OR(H3628="",P3628=""),"",INDEX('Students'!$C$2:$C$701,P3628))</f>
        <v/>
      </c>
      <c r="F3628" s="48">
        <f>IF(H3628="","",IF(ISNUMBER(O3628),O3628,J3628))</f>
        <v/>
      </c>
      <c r="G3628">
        <f>IF(H3628="","",M3628)</f>
        <v/>
      </c>
      <c r="H3628">
        <f>IF(AND(I3628="",J3628="",K3628=""),"",IF(OR(NOT(ISNUMBER(O3628)),N(O3628)&lt;=0),"Bad amount",IF(NOT(ISNUMBER(N3628)),"Bad date",IF(P3628="","NAME NOT ON ROSTER","OK"))))</f>
        <v/>
      </c>
      <c r="I3628">
        <f>IF('Cash_Check'!A628="","",'Cash_Check'!A628)</f>
        <v/>
      </c>
      <c r="J3628">
        <f>IF('Cash_Check'!D628="","",'Cash_Check'!D628)</f>
        <v/>
      </c>
      <c r="K3628">
        <f>TRIM('Cash_Check'!B628)</f>
        <v/>
      </c>
      <c r="M3628">
        <f>IF(TRIM('Cash_Check'!E628)="","Cash/check",TRIM('Cash_Check'!E628))</f>
        <v/>
      </c>
      <c r="N3628">
        <f>IF(I3628="","",IF(ISNUMBER(I3628),INT(I3628),IFERROR(INT(DATEVALUE(I3628)),IFERROR(INT(VALUE(I3628)),"bad"))))</f>
        <v/>
      </c>
      <c r="O3628">
        <f>IF(J3628="","",IF(ISNUMBER(J3628),ROUND(J3628,2),IFERROR(ROUND(VALUE(SUBSTITUTE(SUBSTITUTE(SUBSTITUTE(J3628,"$",""),",","")," ","")),2),"bad")))</f>
        <v/>
      </c>
      <c r="P3628">
        <f>IF(K3628="","",IFERROR(MATCH(IF(ISNUMBER(FIND("#",K3628)),TRIM(MID(K3628,FIND("#",K3628)+1,20)),UPPER(K3628)),'Students'!$AD$2:$AD$701,0),""))</f>
        <v/>
      </c>
      <c r="R3628">
        <f>IF(P3628="","",INDEX('Students'!$AD$2:$AD$701,P3628))</f>
        <v/>
      </c>
      <c r="S3628">
        <f>IF(H3628="OK",O3628,0)</f>
        <v/>
      </c>
      <c r="T3628">
        <f>IF(H3628="OK",N3628,"")</f>
        <v/>
      </c>
      <c r="U3628">
        <f>TRIM('Cash_Check'!C628)</f>
        <v/>
      </c>
    </row>
    <row r="3629">
      <c r="A3629" s="62">
        <f>IF(H3629="","",IF(ISNUMBER(N3629),N3629,I3629))</f>
        <v/>
      </c>
      <c r="B3629">
        <f>IF(H3629="","",U3629)</f>
        <v/>
      </c>
      <c r="C3629">
        <f>IF(H3629="","",IF(P3629="",K3629,INDEX('Students'!$A$2:$A$701,P3629)))</f>
        <v/>
      </c>
      <c r="D3629">
        <f>IF(OR(H3629="",P3629=""),"",INDEX('Students'!$B$2:$B$701,P3629))</f>
        <v/>
      </c>
      <c r="E3629">
        <f>IF(OR(H3629="",P3629=""),"",INDEX('Students'!$C$2:$C$701,P3629))</f>
        <v/>
      </c>
      <c r="F3629" s="48">
        <f>IF(H3629="","",IF(ISNUMBER(O3629),O3629,J3629))</f>
        <v/>
      </c>
      <c r="G3629">
        <f>IF(H3629="","",M3629)</f>
        <v/>
      </c>
      <c r="H3629">
        <f>IF(AND(I3629="",J3629="",K3629=""),"",IF(OR(NOT(ISNUMBER(O3629)),N(O3629)&lt;=0),"Bad amount",IF(NOT(ISNUMBER(N3629)),"Bad date",IF(P3629="","NAME NOT ON ROSTER","OK"))))</f>
        <v/>
      </c>
      <c r="I3629">
        <f>IF('Cash_Check'!A629="","",'Cash_Check'!A629)</f>
        <v/>
      </c>
      <c r="J3629">
        <f>IF('Cash_Check'!D629="","",'Cash_Check'!D629)</f>
        <v/>
      </c>
      <c r="K3629">
        <f>TRIM('Cash_Check'!B629)</f>
        <v/>
      </c>
      <c r="M3629">
        <f>IF(TRIM('Cash_Check'!E629)="","Cash/check",TRIM('Cash_Check'!E629))</f>
        <v/>
      </c>
      <c r="N3629">
        <f>IF(I3629="","",IF(ISNUMBER(I3629),INT(I3629),IFERROR(INT(DATEVALUE(I3629)),IFERROR(INT(VALUE(I3629)),"bad"))))</f>
        <v/>
      </c>
      <c r="O3629">
        <f>IF(J3629="","",IF(ISNUMBER(J3629),ROUND(J3629,2),IFERROR(ROUND(VALUE(SUBSTITUTE(SUBSTITUTE(SUBSTITUTE(J3629,"$",""),",","")," ","")),2),"bad")))</f>
        <v/>
      </c>
      <c r="P3629">
        <f>IF(K3629="","",IFERROR(MATCH(IF(ISNUMBER(FIND("#",K3629)),TRIM(MID(K3629,FIND("#",K3629)+1,20)),UPPER(K3629)),'Students'!$AD$2:$AD$701,0),""))</f>
        <v/>
      </c>
      <c r="R3629">
        <f>IF(P3629="","",INDEX('Students'!$AD$2:$AD$701,P3629))</f>
        <v/>
      </c>
      <c r="S3629">
        <f>IF(H3629="OK",O3629,0)</f>
        <v/>
      </c>
      <c r="T3629">
        <f>IF(H3629="OK",N3629,"")</f>
        <v/>
      </c>
      <c r="U3629">
        <f>TRIM('Cash_Check'!C629)</f>
        <v/>
      </c>
    </row>
    <row r="3630">
      <c r="A3630" s="62">
        <f>IF(H3630="","",IF(ISNUMBER(N3630),N3630,I3630))</f>
        <v/>
      </c>
      <c r="B3630">
        <f>IF(H3630="","",U3630)</f>
        <v/>
      </c>
      <c r="C3630">
        <f>IF(H3630="","",IF(P3630="",K3630,INDEX('Students'!$A$2:$A$701,P3630)))</f>
        <v/>
      </c>
      <c r="D3630">
        <f>IF(OR(H3630="",P3630=""),"",INDEX('Students'!$B$2:$B$701,P3630))</f>
        <v/>
      </c>
      <c r="E3630">
        <f>IF(OR(H3630="",P3630=""),"",INDEX('Students'!$C$2:$C$701,P3630))</f>
        <v/>
      </c>
      <c r="F3630" s="48">
        <f>IF(H3630="","",IF(ISNUMBER(O3630),O3630,J3630))</f>
        <v/>
      </c>
      <c r="G3630">
        <f>IF(H3630="","",M3630)</f>
        <v/>
      </c>
      <c r="H3630">
        <f>IF(AND(I3630="",J3630="",K3630=""),"",IF(OR(NOT(ISNUMBER(O3630)),N(O3630)&lt;=0),"Bad amount",IF(NOT(ISNUMBER(N3630)),"Bad date",IF(P3630="","NAME NOT ON ROSTER","OK"))))</f>
        <v/>
      </c>
      <c r="I3630">
        <f>IF('Cash_Check'!A630="","",'Cash_Check'!A630)</f>
        <v/>
      </c>
      <c r="J3630">
        <f>IF('Cash_Check'!D630="","",'Cash_Check'!D630)</f>
        <v/>
      </c>
      <c r="K3630">
        <f>TRIM('Cash_Check'!B630)</f>
        <v/>
      </c>
      <c r="M3630">
        <f>IF(TRIM('Cash_Check'!E630)="","Cash/check",TRIM('Cash_Check'!E630))</f>
        <v/>
      </c>
      <c r="N3630">
        <f>IF(I3630="","",IF(ISNUMBER(I3630),INT(I3630),IFERROR(INT(DATEVALUE(I3630)),IFERROR(INT(VALUE(I3630)),"bad"))))</f>
        <v/>
      </c>
      <c r="O3630">
        <f>IF(J3630="","",IF(ISNUMBER(J3630),ROUND(J3630,2),IFERROR(ROUND(VALUE(SUBSTITUTE(SUBSTITUTE(SUBSTITUTE(J3630,"$",""),",","")," ","")),2),"bad")))</f>
        <v/>
      </c>
      <c r="P3630">
        <f>IF(K3630="","",IFERROR(MATCH(IF(ISNUMBER(FIND("#",K3630)),TRIM(MID(K3630,FIND("#",K3630)+1,20)),UPPER(K3630)),'Students'!$AD$2:$AD$701,0),""))</f>
        <v/>
      </c>
      <c r="R3630">
        <f>IF(P3630="","",INDEX('Students'!$AD$2:$AD$701,P3630))</f>
        <v/>
      </c>
      <c r="S3630">
        <f>IF(H3630="OK",O3630,0)</f>
        <v/>
      </c>
      <c r="T3630">
        <f>IF(H3630="OK",N3630,"")</f>
        <v/>
      </c>
      <c r="U3630">
        <f>TRIM('Cash_Check'!C630)</f>
        <v/>
      </c>
    </row>
    <row r="3631">
      <c r="A3631" s="62">
        <f>IF(H3631="","",IF(ISNUMBER(N3631),N3631,I3631))</f>
        <v/>
      </c>
      <c r="B3631">
        <f>IF(H3631="","",U3631)</f>
        <v/>
      </c>
      <c r="C3631">
        <f>IF(H3631="","",IF(P3631="",K3631,INDEX('Students'!$A$2:$A$701,P3631)))</f>
        <v/>
      </c>
      <c r="D3631">
        <f>IF(OR(H3631="",P3631=""),"",INDEX('Students'!$B$2:$B$701,P3631))</f>
        <v/>
      </c>
      <c r="E3631">
        <f>IF(OR(H3631="",P3631=""),"",INDEX('Students'!$C$2:$C$701,P3631))</f>
        <v/>
      </c>
      <c r="F3631" s="48">
        <f>IF(H3631="","",IF(ISNUMBER(O3631),O3631,J3631))</f>
        <v/>
      </c>
      <c r="G3631">
        <f>IF(H3631="","",M3631)</f>
        <v/>
      </c>
      <c r="H3631">
        <f>IF(AND(I3631="",J3631="",K3631=""),"",IF(OR(NOT(ISNUMBER(O3631)),N(O3631)&lt;=0),"Bad amount",IF(NOT(ISNUMBER(N3631)),"Bad date",IF(P3631="","NAME NOT ON ROSTER","OK"))))</f>
        <v/>
      </c>
      <c r="I3631">
        <f>IF('Cash_Check'!A631="","",'Cash_Check'!A631)</f>
        <v/>
      </c>
      <c r="J3631">
        <f>IF('Cash_Check'!D631="","",'Cash_Check'!D631)</f>
        <v/>
      </c>
      <c r="K3631">
        <f>TRIM('Cash_Check'!B631)</f>
        <v/>
      </c>
      <c r="M3631">
        <f>IF(TRIM('Cash_Check'!E631)="","Cash/check",TRIM('Cash_Check'!E631))</f>
        <v/>
      </c>
      <c r="N3631">
        <f>IF(I3631="","",IF(ISNUMBER(I3631),INT(I3631),IFERROR(INT(DATEVALUE(I3631)),IFERROR(INT(VALUE(I3631)),"bad"))))</f>
        <v/>
      </c>
      <c r="O3631">
        <f>IF(J3631="","",IF(ISNUMBER(J3631),ROUND(J3631,2),IFERROR(ROUND(VALUE(SUBSTITUTE(SUBSTITUTE(SUBSTITUTE(J3631,"$",""),",","")," ","")),2),"bad")))</f>
        <v/>
      </c>
      <c r="P3631">
        <f>IF(K3631="","",IFERROR(MATCH(IF(ISNUMBER(FIND("#",K3631)),TRIM(MID(K3631,FIND("#",K3631)+1,20)),UPPER(K3631)),'Students'!$AD$2:$AD$701,0),""))</f>
        <v/>
      </c>
      <c r="R3631">
        <f>IF(P3631="","",INDEX('Students'!$AD$2:$AD$701,P3631))</f>
        <v/>
      </c>
      <c r="S3631">
        <f>IF(H3631="OK",O3631,0)</f>
        <v/>
      </c>
      <c r="T3631">
        <f>IF(H3631="OK",N3631,"")</f>
        <v/>
      </c>
      <c r="U3631">
        <f>TRIM('Cash_Check'!C631)</f>
        <v/>
      </c>
    </row>
    <row r="3632">
      <c r="A3632" s="62">
        <f>IF(H3632="","",IF(ISNUMBER(N3632),N3632,I3632))</f>
        <v/>
      </c>
      <c r="B3632">
        <f>IF(H3632="","",U3632)</f>
        <v/>
      </c>
      <c r="C3632">
        <f>IF(H3632="","",IF(P3632="",K3632,INDEX('Students'!$A$2:$A$701,P3632)))</f>
        <v/>
      </c>
      <c r="D3632">
        <f>IF(OR(H3632="",P3632=""),"",INDEX('Students'!$B$2:$B$701,P3632))</f>
        <v/>
      </c>
      <c r="E3632">
        <f>IF(OR(H3632="",P3632=""),"",INDEX('Students'!$C$2:$C$701,P3632))</f>
        <v/>
      </c>
      <c r="F3632" s="48">
        <f>IF(H3632="","",IF(ISNUMBER(O3632),O3632,J3632))</f>
        <v/>
      </c>
      <c r="G3632">
        <f>IF(H3632="","",M3632)</f>
        <v/>
      </c>
      <c r="H3632">
        <f>IF(AND(I3632="",J3632="",K3632=""),"",IF(OR(NOT(ISNUMBER(O3632)),N(O3632)&lt;=0),"Bad amount",IF(NOT(ISNUMBER(N3632)),"Bad date",IF(P3632="","NAME NOT ON ROSTER","OK"))))</f>
        <v/>
      </c>
      <c r="I3632">
        <f>IF('Cash_Check'!A632="","",'Cash_Check'!A632)</f>
        <v/>
      </c>
      <c r="J3632">
        <f>IF('Cash_Check'!D632="","",'Cash_Check'!D632)</f>
        <v/>
      </c>
      <c r="K3632">
        <f>TRIM('Cash_Check'!B632)</f>
        <v/>
      </c>
      <c r="M3632">
        <f>IF(TRIM('Cash_Check'!E632)="","Cash/check",TRIM('Cash_Check'!E632))</f>
        <v/>
      </c>
      <c r="N3632">
        <f>IF(I3632="","",IF(ISNUMBER(I3632),INT(I3632),IFERROR(INT(DATEVALUE(I3632)),IFERROR(INT(VALUE(I3632)),"bad"))))</f>
        <v/>
      </c>
      <c r="O3632">
        <f>IF(J3632="","",IF(ISNUMBER(J3632),ROUND(J3632,2),IFERROR(ROUND(VALUE(SUBSTITUTE(SUBSTITUTE(SUBSTITUTE(J3632,"$",""),",","")," ","")),2),"bad")))</f>
        <v/>
      </c>
      <c r="P3632">
        <f>IF(K3632="","",IFERROR(MATCH(IF(ISNUMBER(FIND("#",K3632)),TRIM(MID(K3632,FIND("#",K3632)+1,20)),UPPER(K3632)),'Students'!$AD$2:$AD$701,0),""))</f>
        <v/>
      </c>
      <c r="R3632">
        <f>IF(P3632="","",INDEX('Students'!$AD$2:$AD$701,P3632))</f>
        <v/>
      </c>
      <c r="S3632">
        <f>IF(H3632="OK",O3632,0)</f>
        <v/>
      </c>
      <c r="T3632">
        <f>IF(H3632="OK",N3632,"")</f>
        <v/>
      </c>
      <c r="U3632">
        <f>TRIM('Cash_Check'!C632)</f>
        <v/>
      </c>
    </row>
    <row r="3633">
      <c r="A3633" s="62">
        <f>IF(H3633="","",IF(ISNUMBER(N3633),N3633,I3633))</f>
        <v/>
      </c>
      <c r="B3633">
        <f>IF(H3633="","",U3633)</f>
        <v/>
      </c>
      <c r="C3633">
        <f>IF(H3633="","",IF(P3633="",K3633,INDEX('Students'!$A$2:$A$701,P3633)))</f>
        <v/>
      </c>
      <c r="D3633">
        <f>IF(OR(H3633="",P3633=""),"",INDEX('Students'!$B$2:$B$701,P3633))</f>
        <v/>
      </c>
      <c r="E3633">
        <f>IF(OR(H3633="",P3633=""),"",INDEX('Students'!$C$2:$C$701,P3633))</f>
        <v/>
      </c>
      <c r="F3633" s="48">
        <f>IF(H3633="","",IF(ISNUMBER(O3633),O3633,J3633))</f>
        <v/>
      </c>
      <c r="G3633">
        <f>IF(H3633="","",M3633)</f>
        <v/>
      </c>
      <c r="H3633">
        <f>IF(AND(I3633="",J3633="",K3633=""),"",IF(OR(NOT(ISNUMBER(O3633)),N(O3633)&lt;=0),"Bad amount",IF(NOT(ISNUMBER(N3633)),"Bad date",IF(P3633="","NAME NOT ON ROSTER","OK"))))</f>
        <v/>
      </c>
      <c r="I3633">
        <f>IF('Cash_Check'!A633="","",'Cash_Check'!A633)</f>
        <v/>
      </c>
      <c r="J3633">
        <f>IF('Cash_Check'!D633="","",'Cash_Check'!D633)</f>
        <v/>
      </c>
      <c r="K3633">
        <f>TRIM('Cash_Check'!B633)</f>
        <v/>
      </c>
      <c r="M3633">
        <f>IF(TRIM('Cash_Check'!E633)="","Cash/check",TRIM('Cash_Check'!E633))</f>
        <v/>
      </c>
      <c r="N3633">
        <f>IF(I3633="","",IF(ISNUMBER(I3633),INT(I3633),IFERROR(INT(DATEVALUE(I3633)),IFERROR(INT(VALUE(I3633)),"bad"))))</f>
        <v/>
      </c>
      <c r="O3633">
        <f>IF(J3633="","",IF(ISNUMBER(J3633),ROUND(J3633,2),IFERROR(ROUND(VALUE(SUBSTITUTE(SUBSTITUTE(SUBSTITUTE(J3633,"$",""),",","")," ","")),2),"bad")))</f>
        <v/>
      </c>
      <c r="P3633">
        <f>IF(K3633="","",IFERROR(MATCH(IF(ISNUMBER(FIND("#",K3633)),TRIM(MID(K3633,FIND("#",K3633)+1,20)),UPPER(K3633)),'Students'!$AD$2:$AD$701,0),""))</f>
        <v/>
      </c>
      <c r="R3633">
        <f>IF(P3633="","",INDEX('Students'!$AD$2:$AD$701,P3633))</f>
        <v/>
      </c>
      <c r="S3633">
        <f>IF(H3633="OK",O3633,0)</f>
        <v/>
      </c>
      <c r="T3633">
        <f>IF(H3633="OK",N3633,"")</f>
        <v/>
      </c>
      <c r="U3633">
        <f>TRIM('Cash_Check'!C633)</f>
        <v/>
      </c>
    </row>
    <row r="3634">
      <c r="A3634" s="62">
        <f>IF(H3634="","",IF(ISNUMBER(N3634),N3634,I3634))</f>
        <v/>
      </c>
      <c r="B3634">
        <f>IF(H3634="","",U3634)</f>
        <v/>
      </c>
      <c r="C3634">
        <f>IF(H3634="","",IF(P3634="",K3634,INDEX('Students'!$A$2:$A$701,P3634)))</f>
        <v/>
      </c>
      <c r="D3634">
        <f>IF(OR(H3634="",P3634=""),"",INDEX('Students'!$B$2:$B$701,P3634))</f>
        <v/>
      </c>
      <c r="E3634">
        <f>IF(OR(H3634="",P3634=""),"",INDEX('Students'!$C$2:$C$701,P3634))</f>
        <v/>
      </c>
      <c r="F3634" s="48">
        <f>IF(H3634="","",IF(ISNUMBER(O3634),O3634,J3634))</f>
        <v/>
      </c>
      <c r="G3634">
        <f>IF(H3634="","",M3634)</f>
        <v/>
      </c>
      <c r="H3634">
        <f>IF(AND(I3634="",J3634="",K3634=""),"",IF(OR(NOT(ISNUMBER(O3634)),N(O3634)&lt;=0),"Bad amount",IF(NOT(ISNUMBER(N3634)),"Bad date",IF(P3634="","NAME NOT ON ROSTER","OK"))))</f>
        <v/>
      </c>
      <c r="I3634">
        <f>IF('Cash_Check'!A634="","",'Cash_Check'!A634)</f>
        <v/>
      </c>
      <c r="J3634">
        <f>IF('Cash_Check'!D634="","",'Cash_Check'!D634)</f>
        <v/>
      </c>
      <c r="K3634">
        <f>TRIM('Cash_Check'!B634)</f>
        <v/>
      </c>
      <c r="M3634">
        <f>IF(TRIM('Cash_Check'!E634)="","Cash/check",TRIM('Cash_Check'!E634))</f>
        <v/>
      </c>
      <c r="N3634">
        <f>IF(I3634="","",IF(ISNUMBER(I3634),INT(I3634),IFERROR(INT(DATEVALUE(I3634)),IFERROR(INT(VALUE(I3634)),"bad"))))</f>
        <v/>
      </c>
      <c r="O3634">
        <f>IF(J3634="","",IF(ISNUMBER(J3634),ROUND(J3634,2),IFERROR(ROUND(VALUE(SUBSTITUTE(SUBSTITUTE(SUBSTITUTE(J3634,"$",""),",","")," ","")),2),"bad")))</f>
        <v/>
      </c>
      <c r="P3634">
        <f>IF(K3634="","",IFERROR(MATCH(IF(ISNUMBER(FIND("#",K3634)),TRIM(MID(K3634,FIND("#",K3634)+1,20)),UPPER(K3634)),'Students'!$AD$2:$AD$701,0),""))</f>
        <v/>
      </c>
      <c r="R3634">
        <f>IF(P3634="","",INDEX('Students'!$AD$2:$AD$701,P3634))</f>
        <v/>
      </c>
      <c r="S3634">
        <f>IF(H3634="OK",O3634,0)</f>
        <v/>
      </c>
      <c r="T3634">
        <f>IF(H3634="OK",N3634,"")</f>
        <v/>
      </c>
      <c r="U3634">
        <f>TRIM('Cash_Check'!C634)</f>
        <v/>
      </c>
    </row>
    <row r="3635">
      <c r="A3635" s="62">
        <f>IF(H3635="","",IF(ISNUMBER(N3635),N3635,I3635))</f>
        <v/>
      </c>
      <c r="B3635">
        <f>IF(H3635="","",U3635)</f>
        <v/>
      </c>
      <c r="C3635">
        <f>IF(H3635="","",IF(P3635="",K3635,INDEX('Students'!$A$2:$A$701,P3635)))</f>
        <v/>
      </c>
      <c r="D3635">
        <f>IF(OR(H3635="",P3635=""),"",INDEX('Students'!$B$2:$B$701,P3635))</f>
        <v/>
      </c>
      <c r="E3635">
        <f>IF(OR(H3635="",P3635=""),"",INDEX('Students'!$C$2:$C$701,P3635))</f>
        <v/>
      </c>
      <c r="F3635" s="48">
        <f>IF(H3635="","",IF(ISNUMBER(O3635),O3635,J3635))</f>
        <v/>
      </c>
      <c r="G3635">
        <f>IF(H3635="","",M3635)</f>
        <v/>
      </c>
      <c r="H3635">
        <f>IF(AND(I3635="",J3635="",K3635=""),"",IF(OR(NOT(ISNUMBER(O3635)),N(O3635)&lt;=0),"Bad amount",IF(NOT(ISNUMBER(N3635)),"Bad date",IF(P3635="","NAME NOT ON ROSTER","OK"))))</f>
        <v/>
      </c>
      <c r="I3635">
        <f>IF('Cash_Check'!A635="","",'Cash_Check'!A635)</f>
        <v/>
      </c>
      <c r="J3635">
        <f>IF('Cash_Check'!D635="","",'Cash_Check'!D635)</f>
        <v/>
      </c>
      <c r="K3635">
        <f>TRIM('Cash_Check'!B635)</f>
        <v/>
      </c>
      <c r="M3635">
        <f>IF(TRIM('Cash_Check'!E635)="","Cash/check",TRIM('Cash_Check'!E635))</f>
        <v/>
      </c>
      <c r="N3635">
        <f>IF(I3635="","",IF(ISNUMBER(I3635),INT(I3635),IFERROR(INT(DATEVALUE(I3635)),IFERROR(INT(VALUE(I3635)),"bad"))))</f>
        <v/>
      </c>
      <c r="O3635">
        <f>IF(J3635="","",IF(ISNUMBER(J3635),ROUND(J3635,2),IFERROR(ROUND(VALUE(SUBSTITUTE(SUBSTITUTE(SUBSTITUTE(J3635,"$",""),",","")," ","")),2),"bad")))</f>
        <v/>
      </c>
      <c r="P3635">
        <f>IF(K3635="","",IFERROR(MATCH(IF(ISNUMBER(FIND("#",K3635)),TRIM(MID(K3635,FIND("#",K3635)+1,20)),UPPER(K3635)),'Students'!$AD$2:$AD$701,0),""))</f>
        <v/>
      </c>
      <c r="R3635">
        <f>IF(P3635="","",INDEX('Students'!$AD$2:$AD$701,P3635))</f>
        <v/>
      </c>
      <c r="S3635">
        <f>IF(H3635="OK",O3635,0)</f>
        <v/>
      </c>
      <c r="T3635">
        <f>IF(H3635="OK",N3635,"")</f>
        <v/>
      </c>
      <c r="U3635">
        <f>TRIM('Cash_Check'!C635)</f>
        <v/>
      </c>
    </row>
    <row r="3636">
      <c r="A3636" s="62">
        <f>IF(H3636="","",IF(ISNUMBER(N3636),N3636,I3636))</f>
        <v/>
      </c>
      <c r="B3636">
        <f>IF(H3636="","",U3636)</f>
        <v/>
      </c>
      <c r="C3636">
        <f>IF(H3636="","",IF(P3636="",K3636,INDEX('Students'!$A$2:$A$701,P3636)))</f>
        <v/>
      </c>
      <c r="D3636">
        <f>IF(OR(H3636="",P3636=""),"",INDEX('Students'!$B$2:$B$701,P3636))</f>
        <v/>
      </c>
      <c r="E3636">
        <f>IF(OR(H3636="",P3636=""),"",INDEX('Students'!$C$2:$C$701,P3636))</f>
        <v/>
      </c>
      <c r="F3636" s="48">
        <f>IF(H3636="","",IF(ISNUMBER(O3636),O3636,J3636))</f>
        <v/>
      </c>
      <c r="G3636">
        <f>IF(H3636="","",M3636)</f>
        <v/>
      </c>
      <c r="H3636">
        <f>IF(AND(I3636="",J3636="",K3636=""),"",IF(OR(NOT(ISNUMBER(O3636)),N(O3636)&lt;=0),"Bad amount",IF(NOT(ISNUMBER(N3636)),"Bad date",IF(P3636="","NAME NOT ON ROSTER","OK"))))</f>
        <v/>
      </c>
      <c r="I3636">
        <f>IF('Cash_Check'!A636="","",'Cash_Check'!A636)</f>
        <v/>
      </c>
      <c r="J3636">
        <f>IF('Cash_Check'!D636="","",'Cash_Check'!D636)</f>
        <v/>
      </c>
      <c r="K3636">
        <f>TRIM('Cash_Check'!B636)</f>
        <v/>
      </c>
      <c r="M3636">
        <f>IF(TRIM('Cash_Check'!E636)="","Cash/check",TRIM('Cash_Check'!E636))</f>
        <v/>
      </c>
      <c r="N3636">
        <f>IF(I3636="","",IF(ISNUMBER(I3636),INT(I3636),IFERROR(INT(DATEVALUE(I3636)),IFERROR(INT(VALUE(I3636)),"bad"))))</f>
        <v/>
      </c>
      <c r="O3636">
        <f>IF(J3636="","",IF(ISNUMBER(J3636),ROUND(J3636,2),IFERROR(ROUND(VALUE(SUBSTITUTE(SUBSTITUTE(SUBSTITUTE(J3636,"$",""),",","")," ","")),2),"bad")))</f>
        <v/>
      </c>
      <c r="P3636">
        <f>IF(K3636="","",IFERROR(MATCH(IF(ISNUMBER(FIND("#",K3636)),TRIM(MID(K3636,FIND("#",K3636)+1,20)),UPPER(K3636)),'Students'!$AD$2:$AD$701,0),""))</f>
        <v/>
      </c>
      <c r="R3636">
        <f>IF(P3636="","",INDEX('Students'!$AD$2:$AD$701,P3636))</f>
        <v/>
      </c>
      <c r="S3636">
        <f>IF(H3636="OK",O3636,0)</f>
        <v/>
      </c>
      <c r="T3636">
        <f>IF(H3636="OK",N3636,"")</f>
        <v/>
      </c>
      <c r="U3636">
        <f>TRIM('Cash_Check'!C636)</f>
        <v/>
      </c>
    </row>
    <row r="3637">
      <c r="A3637" s="62">
        <f>IF(H3637="","",IF(ISNUMBER(N3637),N3637,I3637))</f>
        <v/>
      </c>
      <c r="B3637">
        <f>IF(H3637="","",U3637)</f>
        <v/>
      </c>
      <c r="C3637">
        <f>IF(H3637="","",IF(P3637="",K3637,INDEX('Students'!$A$2:$A$701,P3637)))</f>
        <v/>
      </c>
      <c r="D3637">
        <f>IF(OR(H3637="",P3637=""),"",INDEX('Students'!$B$2:$B$701,P3637))</f>
        <v/>
      </c>
      <c r="E3637">
        <f>IF(OR(H3637="",P3637=""),"",INDEX('Students'!$C$2:$C$701,P3637))</f>
        <v/>
      </c>
      <c r="F3637" s="48">
        <f>IF(H3637="","",IF(ISNUMBER(O3637),O3637,J3637))</f>
        <v/>
      </c>
      <c r="G3637">
        <f>IF(H3637="","",M3637)</f>
        <v/>
      </c>
      <c r="H3637">
        <f>IF(AND(I3637="",J3637="",K3637=""),"",IF(OR(NOT(ISNUMBER(O3637)),N(O3637)&lt;=0),"Bad amount",IF(NOT(ISNUMBER(N3637)),"Bad date",IF(P3637="","NAME NOT ON ROSTER","OK"))))</f>
        <v/>
      </c>
      <c r="I3637">
        <f>IF('Cash_Check'!A637="","",'Cash_Check'!A637)</f>
        <v/>
      </c>
      <c r="J3637">
        <f>IF('Cash_Check'!D637="","",'Cash_Check'!D637)</f>
        <v/>
      </c>
      <c r="K3637">
        <f>TRIM('Cash_Check'!B637)</f>
        <v/>
      </c>
      <c r="M3637">
        <f>IF(TRIM('Cash_Check'!E637)="","Cash/check",TRIM('Cash_Check'!E637))</f>
        <v/>
      </c>
      <c r="N3637">
        <f>IF(I3637="","",IF(ISNUMBER(I3637),INT(I3637),IFERROR(INT(DATEVALUE(I3637)),IFERROR(INT(VALUE(I3637)),"bad"))))</f>
        <v/>
      </c>
      <c r="O3637">
        <f>IF(J3637="","",IF(ISNUMBER(J3637),ROUND(J3637,2),IFERROR(ROUND(VALUE(SUBSTITUTE(SUBSTITUTE(SUBSTITUTE(J3637,"$",""),",","")," ","")),2),"bad")))</f>
        <v/>
      </c>
      <c r="P3637">
        <f>IF(K3637="","",IFERROR(MATCH(IF(ISNUMBER(FIND("#",K3637)),TRIM(MID(K3637,FIND("#",K3637)+1,20)),UPPER(K3637)),'Students'!$AD$2:$AD$701,0),""))</f>
        <v/>
      </c>
      <c r="R3637">
        <f>IF(P3637="","",INDEX('Students'!$AD$2:$AD$701,P3637))</f>
        <v/>
      </c>
      <c r="S3637">
        <f>IF(H3637="OK",O3637,0)</f>
        <v/>
      </c>
      <c r="T3637">
        <f>IF(H3637="OK",N3637,"")</f>
        <v/>
      </c>
      <c r="U3637">
        <f>TRIM('Cash_Check'!C637)</f>
        <v/>
      </c>
    </row>
    <row r="3638">
      <c r="A3638" s="62">
        <f>IF(H3638="","",IF(ISNUMBER(N3638),N3638,I3638))</f>
        <v/>
      </c>
      <c r="B3638">
        <f>IF(H3638="","",U3638)</f>
        <v/>
      </c>
      <c r="C3638">
        <f>IF(H3638="","",IF(P3638="",K3638,INDEX('Students'!$A$2:$A$701,P3638)))</f>
        <v/>
      </c>
      <c r="D3638">
        <f>IF(OR(H3638="",P3638=""),"",INDEX('Students'!$B$2:$B$701,P3638))</f>
        <v/>
      </c>
      <c r="E3638">
        <f>IF(OR(H3638="",P3638=""),"",INDEX('Students'!$C$2:$C$701,P3638))</f>
        <v/>
      </c>
      <c r="F3638" s="48">
        <f>IF(H3638="","",IF(ISNUMBER(O3638),O3638,J3638))</f>
        <v/>
      </c>
      <c r="G3638">
        <f>IF(H3638="","",M3638)</f>
        <v/>
      </c>
      <c r="H3638">
        <f>IF(AND(I3638="",J3638="",K3638=""),"",IF(OR(NOT(ISNUMBER(O3638)),N(O3638)&lt;=0),"Bad amount",IF(NOT(ISNUMBER(N3638)),"Bad date",IF(P3638="","NAME NOT ON ROSTER","OK"))))</f>
        <v/>
      </c>
      <c r="I3638">
        <f>IF('Cash_Check'!A638="","",'Cash_Check'!A638)</f>
        <v/>
      </c>
      <c r="J3638">
        <f>IF('Cash_Check'!D638="","",'Cash_Check'!D638)</f>
        <v/>
      </c>
      <c r="K3638">
        <f>TRIM('Cash_Check'!B638)</f>
        <v/>
      </c>
      <c r="M3638">
        <f>IF(TRIM('Cash_Check'!E638)="","Cash/check",TRIM('Cash_Check'!E638))</f>
        <v/>
      </c>
      <c r="N3638">
        <f>IF(I3638="","",IF(ISNUMBER(I3638),INT(I3638),IFERROR(INT(DATEVALUE(I3638)),IFERROR(INT(VALUE(I3638)),"bad"))))</f>
        <v/>
      </c>
      <c r="O3638">
        <f>IF(J3638="","",IF(ISNUMBER(J3638),ROUND(J3638,2),IFERROR(ROUND(VALUE(SUBSTITUTE(SUBSTITUTE(SUBSTITUTE(J3638,"$",""),",","")," ","")),2),"bad")))</f>
        <v/>
      </c>
      <c r="P3638">
        <f>IF(K3638="","",IFERROR(MATCH(IF(ISNUMBER(FIND("#",K3638)),TRIM(MID(K3638,FIND("#",K3638)+1,20)),UPPER(K3638)),'Students'!$AD$2:$AD$701,0),""))</f>
        <v/>
      </c>
      <c r="R3638">
        <f>IF(P3638="","",INDEX('Students'!$AD$2:$AD$701,P3638))</f>
        <v/>
      </c>
      <c r="S3638">
        <f>IF(H3638="OK",O3638,0)</f>
        <v/>
      </c>
      <c r="T3638">
        <f>IF(H3638="OK",N3638,"")</f>
        <v/>
      </c>
      <c r="U3638">
        <f>TRIM('Cash_Check'!C638)</f>
        <v/>
      </c>
    </row>
    <row r="3639">
      <c r="A3639" s="62">
        <f>IF(H3639="","",IF(ISNUMBER(N3639),N3639,I3639))</f>
        <v/>
      </c>
      <c r="B3639">
        <f>IF(H3639="","",U3639)</f>
        <v/>
      </c>
      <c r="C3639">
        <f>IF(H3639="","",IF(P3639="",K3639,INDEX('Students'!$A$2:$A$701,P3639)))</f>
        <v/>
      </c>
      <c r="D3639">
        <f>IF(OR(H3639="",P3639=""),"",INDEX('Students'!$B$2:$B$701,P3639))</f>
        <v/>
      </c>
      <c r="E3639">
        <f>IF(OR(H3639="",P3639=""),"",INDEX('Students'!$C$2:$C$701,P3639))</f>
        <v/>
      </c>
      <c r="F3639" s="48">
        <f>IF(H3639="","",IF(ISNUMBER(O3639),O3639,J3639))</f>
        <v/>
      </c>
      <c r="G3639">
        <f>IF(H3639="","",M3639)</f>
        <v/>
      </c>
      <c r="H3639">
        <f>IF(AND(I3639="",J3639="",K3639=""),"",IF(OR(NOT(ISNUMBER(O3639)),N(O3639)&lt;=0),"Bad amount",IF(NOT(ISNUMBER(N3639)),"Bad date",IF(P3639="","NAME NOT ON ROSTER","OK"))))</f>
        <v/>
      </c>
      <c r="I3639">
        <f>IF('Cash_Check'!A639="","",'Cash_Check'!A639)</f>
        <v/>
      </c>
      <c r="J3639">
        <f>IF('Cash_Check'!D639="","",'Cash_Check'!D639)</f>
        <v/>
      </c>
      <c r="K3639">
        <f>TRIM('Cash_Check'!B639)</f>
        <v/>
      </c>
      <c r="M3639">
        <f>IF(TRIM('Cash_Check'!E639)="","Cash/check",TRIM('Cash_Check'!E639))</f>
        <v/>
      </c>
      <c r="N3639">
        <f>IF(I3639="","",IF(ISNUMBER(I3639),INT(I3639),IFERROR(INT(DATEVALUE(I3639)),IFERROR(INT(VALUE(I3639)),"bad"))))</f>
        <v/>
      </c>
      <c r="O3639">
        <f>IF(J3639="","",IF(ISNUMBER(J3639),ROUND(J3639,2),IFERROR(ROUND(VALUE(SUBSTITUTE(SUBSTITUTE(SUBSTITUTE(J3639,"$",""),",","")," ","")),2),"bad")))</f>
        <v/>
      </c>
      <c r="P3639">
        <f>IF(K3639="","",IFERROR(MATCH(IF(ISNUMBER(FIND("#",K3639)),TRIM(MID(K3639,FIND("#",K3639)+1,20)),UPPER(K3639)),'Students'!$AD$2:$AD$701,0),""))</f>
        <v/>
      </c>
      <c r="R3639">
        <f>IF(P3639="","",INDEX('Students'!$AD$2:$AD$701,P3639))</f>
        <v/>
      </c>
      <c r="S3639">
        <f>IF(H3639="OK",O3639,0)</f>
        <v/>
      </c>
      <c r="T3639">
        <f>IF(H3639="OK",N3639,"")</f>
        <v/>
      </c>
      <c r="U3639">
        <f>TRIM('Cash_Check'!C639)</f>
        <v/>
      </c>
    </row>
    <row r="3640">
      <c r="A3640" s="62">
        <f>IF(H3640="","",IF(ISNUMBER(N3640),N3640,I3640))</f>
        <v/>
      </c>
      <c r="B3640">
        <f>IF(H3640="","",U3640)</f>
        <v/>
      </c>
      <c r="C3640">
        <f>IF(H3640="","",IF(P3640="",K3640,INDEX('Students'!$A$2:$A$701,P3640)))</f>
        <v/>
      </c>
      <c r="D3640">
        <f>IF(OR(H3640="",P3640=""),"",INDEX('Students'!$B$2:$B$701,P3640))</f>
        <v/>
      </c>
      <c r="E3640">
        <f>IF(OR(H3640="",P3640=""),"",INDEX('Students'!$C$2:$C$701,P3640))</f>
        <v/>
      </c>
      <c r="F3640" s="48">
        <f>IF(H3640="","",IF(ISNUMBER(O3640),O3640,J3640))</f>
        <v/>
      </c>
      <c r="G3640">
        <f>IF(H3640="","",M3640)</f>
        <v/>
      </c>
      <c r="H3640">
        <f>IF(AND(I3640="",J3640="",K3640=""),"",IF(OR(NOT(ISNUMBER(O3640)),N(O3640)&lt;=0),"Bad amount",IF(NOT(ISNUMBER(N3640)),"Bad date",IF(P3640="","NAME NOT ON ROSTER","OK"))))</f>
        <v/>
      </c>
      <c r="I3640">
        <f>IF('Cash_Check'!A640="","",'Cash_Check'!A640)</f>
        <v/>
      </c>
      <c r="J3640">
        <f>IF('Cash_Check'!D640="","",'Cash_Check'!D640)</f>
        <v/>
      </c>
      <c r="K3640">
        <f>TRIM('Cash_Check'!B640)</f>
        <v/>
      </c>
      <c r="M3640">
        <f>IF(TRIM('Cash_Check'!E640)="","Cash/check",TRIM('Cash_Check'!E640))</f>
        <v/>
      </c>
      <c r="N3640">
        <f>IF(I3640="","",IF(ISNUMBER(I3640),INT(I3640),IFERROR(INT(DATEVALUE(I3640)),IFERROR(INT(VALUE(I3640)),"bad"))))</f>
        <v/>
      </c>
      <c r="O3640">
        <f>IF(J3640="","",IF(ISNUMBER(J3640),ROUND(J3640,2),IFERROR(ROUND(VALUE(SUBSTITUTE(SUBSTITUTE(SUBSTITUTE(J3640,"$",""),",","")," ","")),2),"bad")))</f>
        <v/>
      </c>
      <c r="P3640">
        <f>IF(K3640="","",IFERROR(MATCH(IF(ISNUMBER(FIND("#",K3640)),TRIM(MID(K3640,FIND("#",K3640)+1,20)),UPPER(K3640)),'Students'!$AD$2:$AD$701,0),""))</f>
        <v/>
      </c>
      <c r="R3640">
        <f>IF(P3640="","",INDEX('Students'!$AD$2:$AD$701,P3640))</f>
        <v/>
      </c>
      <c r="S3640">
        <f>IF(H3640="OK",O3640,0)</f>
        <v/>
      </c>
      <c r="T3640">
        <f>IF(H3640="OK",N3640,"")</f>
        <v/>
      </c>
      <c r="U3640">
        <f>TRIM('Cash_Check'!C640)</f>
        <v/>
      </c>
    </row>
    <row r="3641">
      <c r="A3641" s="62">
        <f>IF(H3641="","",IF(ISNUMBER(N3641),N3641,I3641))</f>
        <v/>
      </c>
      <c r="B3641">
        <f>IF(H3641="","",U3641)</f>
        <v/>
      </c>
      <c r="C3641">
        <f>IF(H3641="","",IF(P3641="",K3641,INDEX('Students'!$A$2:$A$701,P3641)))</f>
        <v/>
      </c>
      <c r="D3641">
        <f>IF(OR(H3641="",P3641=""),"",INDEX('Students'!$B$2:$B$701,P3641))</f>
        <v/>
      </c>
      <c r="E3641">
        <f>IF(OR(H3641="",P3641=""),"",INDEX('Students'!$C$2:$C$701,P3641))</f>
        <v/>
      </c>
      <c r="F3641" s="48">
        <f>IF(H3641="","",IF(ISNUMBER(O3641),O3641,J3641))</f>
        <v/>
      </c>
      <c r="G3641">
        <f>IF(H3641="","",M3641)</f>
        <v/>
      </c>
      <c r="H3641">
        <f>IF(AND(I3641="",J3641="",K3641=""),"",IF(OR(NOT(ISNUMBER(O3641)),N(O3641)&lt;=0),"Bad amount",IF(NOT(ISNUMBER(N3641)),"Bad date",IF(P3641="","NAME NOT ON ROSTER","OK"))))</f>
        <v/>
      </c>
      <c r="I3641">
        <f>IF('Cash_Check'!A641="","",'Cash_Check'!A641)</f>
        <v/>
      </c>
      <c r="J3641">
        <f>IF('Cash_Check'!D641="","",'Cash_Check'!D641)</f>
        <v/>
      </c>
      <c r="K3641">
        <f>TRIM('Cash_Check'!B641)</f>
        <v/>
      </c>
      <c r="M3641">
        <f>IF(TRIM('Cash_Check'!E641)="","Cash/check",TRIM('Cash_Check'!E641))</f>
        <v/>
      </c>
      <c r="N3641">
        <f>IF(I3641="","",IF(ISNUMBER(I3641),INT(I3641),IFERROR(INT(DATEVALUE(I3641)),IFERROR(INT(VALUE(I3641)),"bad"))))</f>
        <v/>
      </c>
      <c r="O3641">
        <f>IF(J3641="","",IF(ISNUMBER(J3641),ROUND(J3641,2),IFERROR(ROUND(VALUE(SUBSTITUTE(SUBSTITUTE(SUBSTITUTE(J3641,"$",""),",","")," ","")),2),"bad")))</f>
        <v/>
      </c>
      <c r="P3641">
        <f>IF(K3641="","",IFERROR(MATCH(IF(ISNUMBER(FIND("#",K3641)),TRIM(MID(K3641,FIND("#",K3641)+1,20)),UPPER(K3641)),'Students'!$AD$2:$AD$701,0),""))</f>
        <v/>
      </c>
      <c r="R3641">
        <f>IF(P3641="","",INDEX('Students'!$AD$2:$AD$701,P3641))</f>
        <v/>
      </c>
      <c r="S3641">
        <f>IF(H3641="OK",O3641,0)</f>
        <v/>
      </c>
      <c r="T3641">
        <f>IF(H3641="OK",N3641,"")</f>
        <v/>
      </c>
      <c r="U3641">
        <f>TRIM('Cash_Check'!C641)</f>
        <v/>
      </c>
    </row>
    <row r="3642">
      <c r="A3642" s="62">
        <f>IF(H3642="","",IF(ISNUMBER(N3642),N3642,I3642))</f>
        <v/>
      </c>
      <c r="B3642">
        <f>IF(H3642="","",U3642)</f>
        <v/>
      </c>
      <c r="C3642">
        <f>IF(H3642="","",IF(P3642="",K3642,INDEX('Students'!$A$2:$A$701,P3642)))</f>
        <v/>
      </c>
      <c r="D3642">
        <f>IF(OR(H3642="",P3642=""),"",INDEX('Students'!$B$2:$B$701,P3642))</f>
        <v/>
      </c>
      <c r="E3642">
        <f>IF(OR(H3642="",P3642=""),"",INDEX('Students'!$C$2:$C$701,P3642))</f>
        <v/>
      </c>
      <c r="F3642" s="48">
        <f>IF(H3642="","",IF(ISNUMBER(O3642),O3642,J3642))</f>
        <v/>
      </c>
      <c r="G3642">
        <f>IF(H3642="","",M3642)</f>
        <v/>
      </c>
      <c r="H3642">
        <f>IF(AND(I3642="",J3642="",K3642=""),"",IF(OR(NOT(ISNUMBER(O3642)),N(O3642)&lt;=0),"Bad amount",IF(NOT(ISNUMBER(N3642)),"Bad date",IF(P3642="","NAME NOT ON ROSTER","OK"))))</f>
        <v/>
      </c>
      <c r="I3642">
        <f>IF('Cash_Check'!A642="","",'Cash_Check'!A642)</f>
        <v/>
      </c>
      <c r="J3642">
        <f>IF('Cash_Check'!D642="","",'Cash_Check'!D642)</f>
        <v/>
      </c>
      <c r="K3642">
        <f>TRIM('Cash_Check'!B642)</f>
        <v/>
      </c>
      <c r="M3642">
        <f>IF(TRIM('Cash_Check'!E642)="","Cash/check",TRIM('Cash_Check'!E642))</f>
        <v/>
      </c>
      <c r="N3642">
        <f>IF(I3642="","",IF(ISNUMBER(I3642),INT(I3642),IFERROR(INT(DATEVALUE(I3642)),IFERROR(INT(VALUE(I3642)),"bad"))))</f>
        <v/>
      </c>
      <c r="O3642">
        <f>IF(J3642="","",IF(ISNUMBER(J3642),ROUND(J3642,2),IFERROR(ROUND(VALUE(SUBSTITUTE(SUBSTITUTE(SUBSTITUTE(J3642,"$",""),",","")," ","")),2),"bad")))</f>
        <v/>
      </c>
      <c r="P3642">
        <f>IF(K3642="","",IFERROR(MATCH(IF(ISNUMBER(FIND("#",K3642)),TRIM(MID(K3642,FIND("#",K3642)+1,20)),UPPER(K3642)),'Students'!$AD$2:$AD$701,0),""))</f>
        <v/>
      </c>
      <c r="R3642">
        <f>IF(P3642="","",INDEX('Students'!$AD$2:$AD$701,P3642))</f>
        <v/>
      </c>
      <c r="S3642">
        <f>IF(H3642="OK",O3642,0)</f>
        <v/>
      </c>
      <c r="T3642">
        <f>IF(H3642="OK",N3642,"")</f>
        <v/>
      </c>
      <c r="U3642">
        <f>TRIM('Cash_Check'!C642)</f>
        <v/>
      </c>
    </row>
    <row r="3643">
      <c r="A3643" s="62">
        <f>IF(H3643="","",IF(ISNUMBER(N3643),N3643,I3643))</f>
        <v/>
      </c>
      <c r="B3643">
        <f>IF(H3643="","",U3643)</f>
        <v/>
      </c>
      <c r="C3643">
        <f>IF(H3643="","",IF(P3643="",K3643,INDEX('Students'!$A$2:$A$701,P3643)))</f>
        <v/>
      </c>
      <c r="D3643">
        <f>IF(OR(H3643="",P3643=""),"",INDEX('Students'!$B$2:$B$701,P3643))</f>
        <v/>
      </c>
      <c r="E3643">
        <f>IF(OR(H3643="",P3643=""),"",INDEX('Students'!$C$2:$C$701,P3643))</f>
        <v/>
      </c>
      <c r="F3643" s="48">
        <f>IF(H3643="","",IF(ISNUMBER(O3643),O3643,J3643))</f>
        <v/>
      </c>
      <c r="G3643">
        <f>IF(H3643="","",M3643)</f>
        <v/>
      </c>
      <c r="H3643">
        <f>IF(AND(I3643="",J3643="",K3643=""),"",IF(OR(NOT(ISNUMBER(O3643)),N(O3643)&lt;=0),"Bad amount",IF(NOT(ISNUMBER(N3643)),"Bad date",IF(P3643="","NAME NOT ON ROSTER","OK"))))</f>
        <v/>
      </c>
      <c r="I3643">
        <f>IF('Cash_Check'!A643="","",'Cash_Check'!A643)</f>
        <v/>
      </c>
      <c r="J3643">
        <f>IF('Cash_Check'!D643="","",'Cash_Check'!D643)</f>
        <v/>
      </c>
      <c r="K3643">
        <f>TRIM('Cash_Check'!B643)</f>
        <v/>
      </c>
      <c r="M3643">
        <f>IF(TRIM('Cash_Check'!E643)="","Cash/check",TRIM('Cash_Check'!E643))</f>
        <v/>
      </c>
      <c r="N3643">
        <f>IF(I3643="","",IF(ISNUMBER(I3643),INT(I3643),IFERROR(INT(DATEVALUE(I3643)),IFERROR(INT(VALUE(I3643)),"bad"))))</f>
        <v/>
      </c>
      <c r="O3643">
        <f>IF(J3643="","",IF(ISNUMBER(J3643),ROUND(J3643,2),IFERROR(ROUND(VALUE(SUBSTITUTE(SUBSTITUTE(SUBSTITUTE(J3643,"$",""),",","")," ","")),2),"bad")))</f>
        <v/>
      </c>
      <c r="P3643">
        <f>IF(K3643="","",IFERROR(MATCH(IF(ISNUMBER(FIND("#",K3643)),TRIM(MID(K3643,FIND("#",K3643)+1,20)),UPPER(K3643)),'Students'!$AD$2:$AD$701,0),""))</f>
        <v/>
      </c>
      <c r="R3643">
        <f>IF(P3643="","",INDEX('Students'!$AD$2:$AD$701,P3643))</f>
        <v/>
      </c>
      <c r="S3643">
        <f>IF(H3643="OK",O3643,0)</f>
        <v/>
      </c>
      <c r="T3643">
        <f>IF(H3643="OK",N3643,"")</f>
        <v/>
      </c>
      <c r="U3643">
        <f>TRIM('Cash_Check'!C643)</f>
        <v/>
      </c>
    </row>
    <row r="3644">
      <c r="A3644" s="62">
        <f>IF(H3644="","",IF(ISNUMBER(N3644),N3644,I3644))</f>
        <v/>
      </c>
      <c r="B3644">
        <f>IF(H3644="","",U3644)</f>
        <v/>
      </c>
      <c r="C3644">
        <f>IF(H3644="","",IF(P3644="",K3644,INDEX('Students'!$A$2:$A$701,P3644)))</f>
        <v/>
      </c>
      <c r="D3644">
        <f>IF(OR(H3644="",P3644=""),"",INDEX('Students'!$B$2:$B$701,P3644))</f>
        <v/>
      </c>
      <c r="E3644">
        <f>IF(OR(H3644="",P3644=""),"",INDEX('Students'!$C$2:$C$701,P3644))</f>
        <v/>
      </c>
      <c r="F3644" s="48">
        <f>IF(H3644="","",IF(ISNUMBER(O3644),O3644,J3644))</f>
        <v/>
      </c>
      <c r="G3644">
        <f>IF(H3644="","",M3644)</f>
        <v/>
      </c>
      <c r="H3644">
        <f>IF(AND(I3644="",J3644="",K3644=""),"",IF(OR(NOT(ISNUMBER(O3644)),N(O3644)&lt;=0),"Bad amount",IF(NOT(ISNUMBER(N3644)),"Bad date",IF(P3644="","NAME NOT ON ROSTER","OK"))))</f>
        <v/>
      </c>
      <c r="I3644">
        <f>IF('Cash_Check'!A644="","",'Cash_Check'!A644)</f>
        <v/>
      </c>
      <c r="J3644">
        <f>IF('Cash_Check'!D644="","",'Cash_Check'!D644)</f>
        <v/>
      </c>
      <c r="K3644">
        <f>TRIM('Cash_Check'!B644)</f>
        <v/>
      </c>
      <c r="M3644">
        <f>IF(TRIM('Cash_Check'!E644)="","Cash/check",TRIM('Cash_Check'!E644))</f>
        <v/>
      </c>
      <c r="N3644">
        <f>IF(I3644="","",IF(ISNUMBER(I3644),INT(I3644),IFERROR(INT(DATEVALUE(I3644)),IFERROR(INT(VALUE(I3644)),"bad"))))</f>
        <v/>
      </c>
      <c r="O3644">
        <f>IF(J3644="","",IF(ISNUMBER(J3644),ROUND(J3644,2),IFERROR(ROUND(VALUE(SUBSTITUTE(SUBSTITUTE(SUBSTITUTE(J3644,"$",""),",","")," ","")),2),"bad")))</f>
        <v/>
      </c>
      <c r="P3644">
        <f>IF(K3644="","",IFERROR(MATCH(IF(ISNUMBER(FIND("#",K3644)),TRIM(MID(K3644,FIND("#",K3644)+1,20)),UPPER(K3644)),'Students'!$AD$2:$AD$701,0),""))</f>
        <v/>
      </c>
      <c r="R3644">
        <f>IF(P3644="","",INDEX('Students'!$AD$2:$AD$701,P3644))</f>
        <v/>
      </c>
      <c r="S3644">
        <f>IF(H3644="OK",O3644,0)</f>
        <v/>
      </c>
      <c r="T3644">
        <f>IF(H3644="OK",N3644,"")</f>
        <v/>
      </c>
      <c r="U3644">
        <f>TRIM('Cash_Check'!C644)</f>
        <v/>
      </c>
    </row>
    <row r="3645">
      <c r="A3645" s="62">
        <f>IF(H3645="","",IF(ISNUMBER(N3645),N3645,I3645))</f>
        <v/>
      </c>
      <c r="B3645">
        <f>IF(H3645="","",U3645)</f>
        <v/>
      </c>
      <c r="C3645">
        <f>IF(H3645="","",IF(P3645="",K3645,INDEX('Students'!$A$2:$A$701,P3645)))</f>
        <v/>
      </c>
      <c r="D3645">
        <f>IF(OR(H3645="",P3645=""),"",INDEX('Students'!$B$2:$B$701,P3645))</f>
        <v/>
      </c>
      <c r="E3645">
        <f>IF(OR(H3645="",P3645=""),"",INDEX('Students'!$C$2:$C$701,P3645))</f>
        <v/>
      </c>
      <c r="F3645" s="48">
        <f>IF(H3645="","",IF(ISNUMBER(O3645),O3645,J3645))</f>
        <v/>
      </c>
      <c r="G3645">
        <f>IF(H3645="","",M3645)</f>
        <v/>
      </c>
      <c r="H3645">
        <f>IF(AND(I3645="",J3645="",K3645=""),"",IF(OR(NOT(ISNUMBER(O3645)),N(O3645)&lt;=0),"Bad amount",IF(NOT(ISNUMBER(N3645)),"Bad date",IF(P3645="","NAME NOT ON ROSTER","OK"))))</f>
        <v/>
      </c>
      <c r="I3645">
        <f>IF('Cash_Check'!A645="","",'Cash_Check'!A645)</f>
        <v/>
      </c>
      <c r="J3645">
        <f>IF('Cash_Check'!D645="","",'Cash_Check'!D645)</f>
        <v/>
      </c>
      <c r="K3645">
        <f>TRIM('Cash_Check'!B645)</f>
        <v/>
      </c>
      <c r="M3645">
        <f>IF(TRIM('Cash_Check'!E645)="","Cash/check",TRIM('Cash_Check'!E645))</f>
        <v/>
      </c>
      <c r="N3645">
        <f>IF(I3645="","",IF(ISNUMBER(I3645),INT(I3645),IFERROR(INT(DATEVALUE(I3645)),IFERROR(INT(VALUE(I3645)),"bad"))))</f>
        <v/>
      </c>
      <c r="O3645">
        <f>IF(J3645="","",IF(ISNUMBER(J3645),ROUND(J3645,2),IFERROR(ROUND(VALUE(SUBSTITUTE(SUBSTITUTE(SUBSTITUTE(J3645,"$",""),",","")," ","")),2),"bad")))</f>
        <v/>
      </c>
      <c r="P3645">
        <f>IF(K3645="","",IFERROR(MATCH(IF(ISNUMBER(FIND("#",K3645)),TRIM(MID(K3645,FIND("#",K3645)+1,20)),UPPER(K3645)),'Students'!$AD$2:$AD$701,0),""))</f>
        <v/>
      </c>
      <c r="R3645">
        <f>IF(P3645="","",INDEX('Students'!$AD$2:$AD$701,P3645))</f>
        <v/>
      </c>
      <c r="S3645">
        <f>IF(H3645="OK",O3645,0)</f>
        <v/>
      </c>
      <c r="T3645">
        <f>IF(H3645="OK",N3645,"")</f>
        <v/>
      </c>
      <c r="U3645">
        <f>TRIM('Cash_Check'!C645)</f>
        <v/>
      </c>
    </row>
    <row r="3646">
      <c r="A3646" s="62">
        <f>IF(H3646="","",IF(ISNUMBER(N3646),N3646,I3646))</f>
        <v/>
      </c>
      <c r="B3646">
        <f>IF(H3646="","",U3646)</f>
        <v/>
      </c>
      <c r="C3646">
        <f>IF(H3646="","",IF(P3646="",K3646,INDEX('Students'!$A$2:$A$701,P3646)))</f>
        <v/>
      </c>
      <c r="D3646">
        <f>IF(OR(H3646="",P3646=""),"",INDEX('Students'!$B$2:$B$701,P3646))</f>
        <v/>
      </c>
      <c r="E3646">
        <f>IF(OR(H3646="",P3646=""),"",INDEX('Students'!$C$2:$C$701,P3646))</f>
        <v/>
      </c>
      <c r="F3646" s="48">
        <f>IF(H3646="","",IF(ISNUMBER(O3646),O3646,J3646))</f>
        <v/>
      </c>
      <c r="G3646">
        <f>IF(H3646="","",M3646)</f>
        <v/>
      </c>
      <c r="H3646">
        <f>IF(AND(I3646="",J3646="",K3646=""),"",IF(OR(NOT(ISNUMBER(O3646)),N(O3646)&lt;=0),"Bad amount",IF(NOT(ISNUMBER(N3646)),"Bad date",IF(P3646="","NAME NOT ON ROSTER","OK"))))</f>
        <v/>
      </c>
      <c r="I3646">
        <f>IF('Cash_Check'!A646="","",'Cash_Check'!A646)</f>
        <v/>
      </c>
      <c r="J3646">
        <f>IF('Cash_Check'!D646="","",'Cash_Check'!D646)</f>
        <v/>
      </c>
      <c r="K3646">
        <f>TRIM('Cash_Check'!B646)</f>
        <v/>
      </c>
      <c r="M3646">
        <f>IF(TRIM('Cash_Check'!E646)="","Cash/check",TRIM('Cash_Check'!E646))</f>
        <v/>
      </c>
      <c r="N3646">
        <f>IF(I3646="","",IF(ISNUMBER(I3646),INT(I3646),IFERROR(INT(DATEVALUE(I3646)),IFERROR(INT(VALUE(I3646)),"bad"))))</f>
        <v/>
      </c>
      <c r="O3646">
        <f>IF(J3646="","",IF(ISNUMBER(J3646),ROUND(J3646,2),IFERROR(ROUND(VALUE(SUBSTITUTE(SUBSTITUTE(SUBSTITUTE(J3646,"$",""),",","")," ","")),2),"bad")))</f>
        <v/>
      </c>
      <c r="P3646">
        <f>IF(K3646="","",IFERROR(MATCH(IF(ISNUMBER(FIND("#",K3646)),TRIM(MID(K3646,FIND("#",K3646)+1,20)),UPPER(K3646)),'Students'!$AD$2:$AD$701,0),""))</f>
        <v/>
      </c>
      <c r="R3646">
        <f>IF(P3646="","",INDEX('Students'!$AD$2:$AD$701,P3646))</f>
        <v/>
      </c>
      <c r="S3646">
        <f>IF(H3646="OK",O3646,0)</f>
        <v/>
      </c>
      <c r="T3646">
        <f>IF(H3646="OK",N3646,"")</f>
        <v/>
      </c>
      <c r="U3646">
        <f>TRIM('Cash_Check'!C646)</f>
        <v/>
      </c>
    </row>
    <row r="3647">
      <c r="A3647" s="62">
        <f>IF(H3647="","",IF(ISNUMBER(N3647),N3647,I3647))</f>
        <v/>
      </c>
      <c r="B3647">
        <f>IF(H3647="","",U3647)</f>
        <v/>
      </c>
      <c r="C3647">
        <f>IF(H3647="","",IF(P3647="",K3647,INDEX('Students'!$A$2:$A$701,P3647)))</f>
        <v/>
      </c>
      <c r="D3647">
        <f>IF(OR(H3647="",P3647=""),"",INDEX('Students'!$B$2:$B$701,P3647))</f>
        <v/>
      </c>
      <c r="E3647">
        <f>IF(OR(H3647="",P3647=""),"",INDEX('Students'!$C$2:$C$701,P3647))</f>
        <v/>
      </c>
      <c r="F3647" s="48">
        <f>IF(H3647="","",IF(ISNUMBER(O3647),O3647,J3647))</f>
        <v/>
      </c>
      <c r="G3647">
        <f>IF(H3647="","",M3647)</f>
        <v/>
      </c>
      <c r="H3647">
        <f>IF(AND(I3647="",J3647="",K3647=""),"",IF(OR(NOT(ISNUMBER(O3647)),N(O3647)&lt;=0),"Bad amount",IF(NOT(ISNUMBER(N3647)),"Bad date",IF(P3647="","NAME NOT ON ROSTER","OK"))))</f>
        <v/>
      </c>
      <c r="I3647">
        <f>IF('Cash_Check'!A647="","",'Cash_Check'!A647)</f>
        <v/>
      </c>
      <c r="J3647">
        <f>IF('Cash_Check'!D647="","",'Cash_Check'!D647)</f>
        <v/>
      </c>
      <c r="K3647">
        <f>TRIM('Cash_Check'!B647)</f>
        <v/>
      </c>
      <c r="M3647">
        <f>IF(TRIM('Cash_Check'!E647)="","Cash/check",TRIM('Cash_Check'!E647))</f>
        <v/>
      </c>
      <c r="N3647">
        <f>IF(I3647="","",IF(ISNUMBER(I3647),INT(I3647),IFERROR(INT(DATEVALUE(I3647)),IFERROR(INT(VALUE(I3647)),"bad"))))</f>
        <v/>
      </c>
      <c r="O3647">
        <f>IF(J3647="","",IF(ISNUMBER(J3647),ROUND(J3647,2),IFERROR(ROUND(VALUE(SUBSTITUTE(SUBSTITUTE(SUBSTITUTE(J3647,"$",""),",","")," ","")),2),"bad")))</f>
        <v/>
      </c>
      <c r="P3647">
        <f>IF(K3647="","",IFERROR(MATCH(IF(ISNUMBER(FIND("#",K3647)),TRIM(MID(K3647,FIND("#",K3647)+1,20)),UPPER(K3647)),'Students'!$AD$2:$AD$701,0),""))</f>
        <v/>
      </c>
      <c r="R3647">
        <f>IF(P3647="","",INDEX('Students'!$AD$2:$AD$701,P3647))</f>
        <v/>
      </c>
      <c r="S3647">
        <f>IF(H3647="OK",O3647,0)</f>
        <v/>
      </c>
      <c r="T3647">
        <f>IF(H3647="OK",N3647,"")</f>
        <v/>
      </c>
      <c r="U3647">
        <f>TRIM('Cash_Check'!C647)</f>
        <v/>
      </c>
    </row>
    <row r="3648">
      <c r="A3648" s="62">
        <f>IF(H3648="","",IF(ISNUMBER(N3648),N3648,I3648))</f>
        <v/>
      </c>
      <c r="B3648">
        <f>IF(H3648="","",U3648)</f>
        <v/>
      </c>
      <c r="C3648">
        <f>IF(H3648="","",IF(P3648="",K3648,INDEX('Students'!$A$2:$A$701,P3648)))</f>
        <v/>
      </c>
      <c r="D3648">
        <f>IF(OR(H3648="",P3648=""),"",INDEX('Students'!$B$2:$B$701,P3648))</f>
        <v/>
      </c>
      <c r="E3648">
        <f>IF(OR(H3648="",P3648=""),"",INDEX('Students'!$C$2:$C$701,P3648))</f>
        <v/>
      </c>
      <c r="F3648" s="48">
        <f>IF(H3648="","",IF(ISNUMBER(O3648),O3648,J3648))</f>
        <v/>
      </c>
      <c r="G3648">
        <f>IF(H3648="","",M3648)</f>
        <v/>
      </c>
      <c r="H3648">
        <f>IF(AND(I3648="",J3648="",K3648=""),"",IF(OR(NOT(ISNUMBER(O3648)),N(O3648)&lt;=0),"Bad amount",IF(NOT(ISNUMBER(N3648)),"Bad date",IF(P3648="","NAME NOT ON ROSTER","OK"))))</f>
        <v/>
      </c>
      <c r="I3648">
        <f>IF('Cash_Check'!A648="","",'Cash_Check'!A648)</f>
        <v/>
      </c>
      <c r="J3648">
        <f>IF('Cash_Check'!D648="","",'Cash_Check'!D648)</f>
        <v/>
      </c>
      <c r="K3648">
        <f>TRIM('Cash_Check'!B648)</f>
        <v/>
      </c>
      <c r="M3648">
        <f>IF(TRIM('Cash_Check'!E648)="","Cash/check",TRIM('Cash_Check'!E648))</f>
        <v/>
      </c>
      <c r="N3648">
        <f>IF(I3648="","",IF(ISNUMBER(I3648),INT(I3648),IFERROR(INT(DATEVALUE(I3648)),IFERROR(INT(VALUE(I3648)),"bad"))))</f>
        <v/>
      </c>
      <c r="O3648">
        <f>IF(J3648="","",IF(ISNUMBER(J3648),ROUND(J3648,2),IFERROR(ROUND(VALUE(SUBSTITUTE(SUBSTITUTE(SUBSTITUTE(J3648,"$",""),",","")," ","")),2),"bad")))</f>
        <v/>
      </c>
      <c r="P3648">
        <f>IF(K3648="","",IFERROR(MATCH(IF(ISNUMBER(FIND("#",K3648)),TRIM(MID(K3648,FIND("#",K3648)+1,20)),UPPER(K3648)),'Students'!$AD$2:$AD$701,0),""))</f>
        <v/>
      </c>
      <c r="R3648">
        <f>IF(P3648="","",INDEX('Students'!$AD$2:$AD$701,P3648))</f>
        <v/>
      </c>
      <c r="S3648">
        <f>IF(H3648="OK",O3648,0)</f>
        <v/>
      </c>
      <c r="T3648">
        <f>IF(H3648="OK",N3648,"")</f>
        <v/>
      </c>
      <c r="U3648">
        <f>TRIM('Cash_Check'!C648)</f>
        <v/>
      </c>
    </row>
    <row r="3649">
      <c r="A3649" s="62">
        <f>IF(H3649="","",IF(ISNUMBER(N3649),N3649,I3649))</f>
        <v/>
      </c>
      <c r="B3649">
        <f>IF(H3649="","",U3649)</f>
        <v/>
      </c>
      <c r="C3649">
        <f>IF(H3649="","",IF(P3649="",K3649,INDEX('Students'!$A$2:$A$701,P3649)))</f>
        <v/>
      </c>
      <c r="D3649">
        <f>IF(OR(H3649="",P3649=""),"",INDEX('Students'!$B$2:$B$701,P3649))</f>
        <v/>
      </c>
      <c r="E3649">
        <f>IF(OR(H3649="",P3649=""),"",INDEX('Students'!$C$2:$C$701,P3649))</f>
        <v/>
      </c>
      <c r="F3649" s="48">
        <f>IF(H3649="","",IF(ISNUMBER(O3649),O3649,J3649))</f>
        <v/>
      </c>
      <c r="G3649">
        <f>IF(H3649="","",M3649)</f>
        <v/>
      </c>
      <c r="H3649">
        <f>IF(AND(I3649="",J3649="",K3649=""),"",IF(OR(NOT(ISNUMBER(O3649)),N(O3649)&lt;=0),"Bad amount",IF(NOT(ISNUMBER(N3649)),"Bad date",IF(P3649="","NAME NOT ON ROSTER","OK"))))</f>
        <v/>
      </c>
      <c r="I3649">
        <f>IF('Cash_Check'!A649="","",'Cash_Check'!A649)</f>
        <v/>
      </c>
      <c r="J3649">
        <f>IF('Cash_Check'!D649="","",'Cash_Check'!D649)</f>
        <v/>
      </c>
      <c r="K3649">
        <f>TRIM('Cash_Check'!B649)</f>
        <v/>
      </c>
      <c r="M3649">
        <f>IF(TRIM('Cash_Check'!E649)="","Cash/check",TRIM('Cash_Check'!E649))</f>
        <v/>
      </c>
      <c r="N3649">
        <f>IF(I3649="","",IF(ISNUMBER(I3649),INT(I3649),IFERROR(INT(DATEVALUE(I3649)),IFERROR(INT(VALUE(I3649)),"bad"))))</f>
        <v/>
      </c>
      <c r="O3649">
        <f>IF(J3649="","",IF(ISNUMBER(J3649),ROUND(J3649,2),IFERROR(ROUND(VALUE(SUBSTITUTE(SUBSTITUTE(SUBSTITUTE(J3649,"$",""),",","")," ","")),2),"bad")))</f>
        <v/>
      </c>
      <c r="P3649">
        <f>IF(K3649="","",IFERROR(MATCH(IF(ISNUMBER(FIND("#",K3649)),TRIM(MID(K3649,FIND("#",K3649)+1,20)),UPPER(K3649)),'Students'!$AD$2:$AD$701,0),""))</f>
        <v/>
      </c>
      <c r="R3649">
        <f>IF(P3649="","",INDEX('Students'!$AD$2:$AD$701,P3649))</f>
        <v/>
      </c>
      <c r="S3649">
        <f>IF(H3649="OK",O3649,0)</f>
        <v/>
      </c>
      <c r="T3649">
        <f>IF(H3649="OK",N3649,"")</f>
        <v/>
      </c>
      <c r="U3649">
        <f>TRIM('Cash_Check'!C649)</f>
        <v/>
      </c>
    </row>
    <row r="3650">
      <c r="A3650" s="62">
        <f>IF(H3650="","",IF(ISNUMBER(N3650),N3650,I3650))</f>
        <v/>
      </c>
      <c r="B3650">
        <f>IF(H3650="","",U3650)</f>
        <v/>
      </c>
      <c r="C3650">
        <f>IF(H3650="","",IF(P3650="",K3650,INDEX('Students'!$A$2:$A$701,P3650)))</f>
        <v/>
      </c>
      <c r="D3650">
        <f>IF(OR(H3650="",P3650=""),"",INDEX('Students'!$B$2:$B$701,P3650))</f>
        <v/>
      </c>
      <c r="E3650">
        <f>IF(OR(H3650="",P3650=""),"",INDEX('Students'!$C$2:$C$701,P3650))</f>
        <v/>
      </c>
      <c r="F3650" s="48">
        <f>IF(H3650="","",IF(ISNUMBER(O3650),O3650,J3650))</f>
        <v/>
      </c>
      <c r="G3650">
        <f>IF(H3650="","",M3650)</f>
        <v/>
      </c>
      <c r="H3650">
        <f>IF(AND(I3650="",J3650="",K3650=""),"",IF(OR(NOT(ISNUMBER(O3650)),N(O3650)&lt;=0),"Bad amount",IF(NOT(ISNUMBER(N3650)),"Bad date",IF(P3650="","NAME NOT ON ROSTER","OK"))))</f>
        <v/>
      </c>
      <c r="I3650">
        <f>IF('Cash_Check'!A650="","",'Cash_Check'!A650)</f>
        <v/>
      </c>
      <c r="J3650">
        <f>IF('Cash_Check'!D650="","",'Cash_Check'!D650)</f>
        <v/>
      </c>
      <c r="K3650">
        <f>TRIM('Cash_Check'!B650)</f>
        <v/>
      </c>
      <c r="M3650">
        <f>IF(TRIM('Cash_Check'!E650)="","Cash/check",TRIM('Cash_Check'!E650))</f>
        <v/>
      </c>
      <c r="N3650">
        <f>IF(I3650="","",IF(ISNUMBER(I3650),INT(I3650),IFERROR(INT(DATEVALUE(I3650)),IFERROR(INT(VALUE(I3650)),"bad"))))</f>
        <v/>
      </c>
      <c r="O3650">
        <f>IF(J3650="","",IF(ISNUMBER(J3650),ROUND(J3650,2),IFERROR(ROUND(VALUE(SUBSTITUTE(SUBSTITUTE(SUBSTITUTE(J3650,"$",""),",","")," ","")),2),"bad")))</f>
        <v/>
      </c>
      <c r="P3650">
        <f>IF(K3650="","",IFERROR(MATCH(IF(ISNUMBER(FIND("#",K3650)),TRIM(MID(K3650,FIND("#",K3650)+1,20)),UPPER(K3650)),'Students'!$AD$2:$AD$701,0),""))</f>
        <v/>
      </c>
      <c r="R3650">
        <f>IF(P3650="","",INDEX('Students'!$AD$2:$AD$701,P3650))</f>
        <v/>
      </c>
      <c r="S3650">
        <f>IF(H3650="OK",O3650,0)</f>
        <v/>
      </c>
      <c r="T3650">
        <f>IF(H3650="OK",N3650,"")</f>
        <v/>
      </c>
      <c r="U3650">
        <f>TRIM('Cash_Check'!C650)</f>
        <v/>
      </c>
    </row>
    <row r="3651">
      <c r="A3651" s="62">
        <f>IF(H3651="","",IF(ISNUMBER(N3651),N3651,I3651))</f>
        <v/>
      </c>
      <c r="B3651">
        <f>IF(H3651="","",U3651)</f>
        <v/>
      </c>
      <c r="C3651">
        <f>IF(H3651="","",IF(P3651="",K3651,INDEX('Students'!$A$2:$A$701,P3651)))</f>
        <v/>
      </c>
      <c r="D3651">
        <f>IF(OR(H3651="",P3651=""),"",INDEX('Students'!$B$2:$B$701,P3651))</f>
        <v/>
      </c>
      <c r="E3651">
        <f>IF(OR(H3651="",P3651=""),"",INDEX('Students'!$C$2:$C$701,P3651))</f>
        <v/>
      </c>
      <c r="F3651" s="48">
        <f>IF(H3651="","",IF(ISNUMBER(O3651),O3651,J3651))</f>
        <v/>
      </c>
      <c r="G3651">
        <f>IF(H3651="","",M3651)</f>
        <v/>
      </c>
      <c r="H3651">
        <f>IF(AND(I3651="",J3651="",K3651=""),"",IF(OR(NOT(ISNUMBER(O3651)),N(O3651)&lt;=0),"Bad amount",IF(NOT(ISNUMBER(N3651)),"Bad date",IF(P3651="","NAME NOT ON ROSTER","OK"))))</f>
        <v/>
      </c>
      <c r="I3651">
        <f>IF('Cash_Check'!A651="","",'Cash_Check'!A651)</f>
        <v/>
      </c>
      <c r="J3651">
        <f>IF('Cash_Check'!D651="","",'Cash_Check'!D651)</f>
        <v/>
      </c>
      <c r="K3651">
        <f>TRIM('Cash_Check'!B651)</f>
        <v/>
      </c>
      <c r="M3651">
        <f>IF(TRIM('Cash_Check'!E651)="","Cash/check",TRIM('Cash_Check'!E651))</f>
        <v/>
      </c>
      <c r="N3651">
        <f>IF(I3651="","",IF(ISNUMBER(I3651),INT(I3651),IFERROR(INT(DATEVALUE(I3651)),IFERROR(INT(VALUE(I3651)),"bad"))))</f>
        <v/>
      </c>
      <c r="O3651">
        <f>IF(J3651="","",IF(ISNUMBER(J3651),ROUND(J3651,2),IFERROR(ROUND(VALUE(SUBSTITUTE(SUBSTITUTE(SUBSTITUTE(J3651,"$",""),",","")," ","")),2),"bad")))</f>
        <v/>
      </c>
      <c r="P3651">
        <f>IF(K3651="","",IFERROR(MATCH(IF(ISNUMBER(FIND("#",K3651)),TRIM(MID(K3651,FIND("#",K3651)+1,20)),UPPER(K3651)),'Students'!$AD$2:$AD$701,0),""))</f>
        <v/>
      </c>
      <c r="R3651">
        <f>IF(P3651="","",INDEX('Students'!$AD$2:$AD$701,P3651))</f>
        <v/>
      </c>
      <c r="S3651">
        <f>IF(H3651="OK",O3651,0)</f>
        <v/>
      </c>
      <c r="T3651">
        <f>IF(H3651="OK",N3651,"")</f>
        <v/>
      </c>
      <c r="U3651">
        <f>TRIM('Cash_Check'!C651)</f>
        <v/>
      </c>
    </row>
    <row r="3652">
      <c r="A3652" s="62">
        <f>IF(H3652="","",IF(ISNUMBER(N3652),N3652,I3652))</f>
        <v/>
      </c>
      <c r="B3652">
        <f>IF(H3652="","",U3652)</f>
        <v/>
      </c>
      <c r="C3652">
        <f>IF(H3652="","",IF(P3652="",K3652,INDEX('Students'!$A$2:$A$701,P3652)))</f>
        <v/>
      </c>
      <c r="D3652">
        <f>IF(OR(H3652="",P3652=""),"",INDEX('Students'!$B$2:$B$701,P3652))</f>
        <v/>
      </c>
      <c r="E3652">
        <f>IF(OR(H3652="",P3652=""),"",INDEX('Students'!$C$2:$C$701,P3652))</f>
        <v/>
      </c>
      <c r="F3652" s="48">
        <f>IF(H3652="","",IF(ISNUMBER(O3652),O3652,J3652))</f>
        <v/>
      </c>
      <c r="G3652">
        <f>IF(H3652="","",M3652)</f>
        <v/>
      </c>
      <c r="H3652">
        <f>IF(AND(I3652="",J3652="",K3652=""),"",IF(OR(NOT(ISNUMBER(O3652)),N(O3652)&lt;=0),"Bad amount",IF(NOT(ISNUMBER(N3652)),"Bad date",IF(P3652="","NAME NOT ON ROSTER","OK"))))</f>
        <v/>
      </c>
      <c r="I3652">
        <f>IF('Cash_Check'!A652="","",'Cash_Check'!A652)</f>
        <v/>
      </c>
      <c r="J3652">
        <f>IF('Cash_Check'!D652="","",'Cash_Check'!D652)</f>
        <v/>
      </c>
      <c r="K3652">
        <f>TRIM('Cash_Check'!B652)</f>
        <v/>
      </c>
      <c r="M3652">
        <f>IF(TRIM('Cash_Check'!E652)="","Cash/check",TRIM('Cash_Check'!E652))</f>
        <v/>
      </c>
      <c r="N3652">
        <f>IF(I3652="","",IF(ISNUMBER(I3652),INT(I3652),IFERROR(INT(DATEVALUE(I3652)),IFERROR(INT(VALUE(I3652)),"bad"))))</f>
        <v/>
      </c>
      <c r="O3652">
        <f>IF(J3652="","",IF(ISNUMBER(J3652),ROUND(J3652,2),IFERROR(ROUND(VALUE(SUBSTITUTE(SUBSTITUTE(SUBSTITUTE(J3652,"$",""),",","")," ","")),2),"bad")))</f>
        <v/>
      </c>
      <c r="P3652">
        <f>IF(K3652="","",IFERROR(MATCH(IF(ISNUMBER(FIND("#",K3652)),TRIM(MID(K3652,FIND("#",K3652)+1,20)),UPPER(K3652)),'Students'!$AD$2:$AD$701,0),""))</f>
        <v/>
      </c>
      <c r="R3652">
        <f>IF(P3652="","",INDEX('Students'!$AD$2:$AD$701,P3652))</f>
        <v/>
      </c>
      <c r="S3652">
        <f>IF(H3652="OK",O3652,0)</f>
        <v/>
      </c>
      <c r="T3652">
        <f>IF(H3652="OK",N3652,"")</f>
        <v/>
      </c>
      <c r="U3652">
        <f>TRIM('Cash_Check'!C652)</f>
        <v/>
      </c>
    </row>
    <row r="3653">
      <c r="A3653" s="62">
        <f>IF(H3653="","",IF(ISNUMBER(N3653),N3653,I3653))</f>
        <v/>
      </c>
      <c r="B3653">
        <f>IF(H3653="","",U3653)</f>
        <v/>
      </c>
      <c r="C3653">
        <f>IF(H3653="","",IF(P3653="",K3653,INDEX('Students'!$A$2:$A$701,P3653)))</f>
        <v/>
      </c>
      <c r="D3653">
        <f>IF(OR(H3653="",P3653=""),"",INDEX('Students'!$B$2:$B$701,P3653))</f>
        <v/>
      </c>
      <c r="E3653">
        <f>IF(OR(H3653="",P3653=""),"",INDEX('Students'!$C$2:$C$701,P3653))</f>
        <v/>
      </c>
      <c r="F3653" s="48">
        <f>IF(H3653="","",IF(ISNUMBER(O3653),O3653,J3653))</f>
        <v/>
      </c>
      <c r="G3653">
        <f>IF(H3653="","",M3653)</f>
        <v/>
      </c>
      <c r="H3653">
        <f>IF(AND(I3653="",J3653="",K3653=""),"",IF(OR(NOT(ISNUMBER(O3653)),N(O3653)&lt;=0),"Bad amount",IF(NOT(ISNUMBER(N3653)),"Bad date",IF(P3653="","NAME NOT ON ROSTER","OK"))))</f>
        <v/>
      </c>
      <c r="I3653">
        <f>IF('Cash_Check'!A653="","",'Cash_Check'!A653)</f>
        <v/>
      </c>
      <c r="J3653">
        <f>IF('Cash_Check'!D653="","",'Cash_Check'!D653)</f>
        <v/>
      </c>
      <c r="K3653">
        <f>TRIM('Cash_Check'!B653)</f>
        <v/>
      </c>
      <c r="M3653">
        <f>IF(TRIM('Cash_Check'!E653)="","Cash/check",TRIM('Cash_Check'!E653))</f>
        <v/>
      </c>
      <c r="N3653">
        <f>IF(I3653="","",IF(ISNUMBER(I3653),INT(I3653),IFERROR(INT(DATEVALUE(I3653)),IFERROR(INT(VALUE(I3653)),"bad"))))</f>
        <v/>
      </c>
      <c r="O3653">
        <f>IF(J3653="","",IF(ISNUMBER(J3653),ROUND(J3653,2),IFERROR(ROUND(VALUE(SUBSTITUTE(SUBSTITUTE(SUBSTITUTE(J3653,"$",""),",","")," ","")),2),"bad")))</f>
        <v/>
      </c>
      <c r="P3653">
        <f>IF(K3653="","",IFERROR(MATCH(IF(ISNUMBER(FIND("#",K3653)),TRIM(MID(K3653,FIND("#",K3653)+1,20)),UPPER(K3653)),'Students'!$AD$2:$AD$701,0),""))</f>
        <v/>
      </c>
      <c r="R3653">
        <f>IF(P3653="","",INDEX('Students'!$AD$2:$AD$701,P3653))</f>
        <v/>
      </c>
      <c r="S3653">
        <f>IF(H3653="OK",O3653,0)</f>
        <v/>
      </c>
      <c r="T3653">
        <f>IF(H3653="OK",N3653,"")</f>
        <v/>
      </c>
      <c r="U3653">
        <f>TRIM('Cash_Check'!C653)</f>
        <v/>
      </c>
    </row>
    <row r="3654">
      <c r="A3654" s="62">
        <f>IF(H3654="","",IF(ISNUMBER(N3654),N3654,I3654))</f>
        <v/>
      </c>
      <c r="B3654">
        <f>IF(H3654="","",U3654)</f>
        <v/>
      </c>
      <c r="C3654">
        <f>IF(H3654="","",IF(P3654="",K3654,INDEX('Students'!$A$2:$A$701,P3654)))</f>
        <v/>
      </c>
      <c r="D3654">
        <f>IF(OR(H3654="",P3654=""),"",INDEX('Students'!$B$2:$B$701,P3654))</f>
        <v/>
      </c>
      <c r="E3654">
        <f>IF(OR(H3654="",P3654=""),"",INDEX('Students'!$C$2:$C$701,P3654))</f>
        <v/>
      </c>
      <c r="F3654" s="48">
        <f>IF(H3654="","",IF(ISNUMBER(O3654),O3654,J3654))</f>
        <v/>
      </c>
      <c r="G3654">
        <f>IF(H3654="","",M3654)</f>
        <v/>
      </c>
      <c r="H3654">
        <f>IF(AND(I3654="",J3654="",K3654=""),"",IF(OR(NOT(ISNUMBER(O3654)),N(O3654)&lt;=0),"Bad amount",IF(NOT(ISNUMBER(N3654)),"Bad date",IF(P3654="","NAME NOT ON ROSTER","OK"))))</f>
        <v/>
      </c>
      <c r="I3654">
        <f>IF('Cash_Check'!A654="","",'Cash_Check'!A654)</f>
        <v/>
      </c>
      <c r="J3654">
        <f>IF('Cash_Check'!D654="","",'Cash_Check'!D654)</f>
        <v/>
      </c>
      <c r="K3654">
        <f>TRIM('Cash_Check'!B654)</f>
        <v/>
      </c>
      <c r="M3654">
        <f>IF(TRIM('Cash_Check'!E654)="","Cash/check",TRIM('Cash_Check'!E654))</f>
        <v/>
      </c>
      <c r="N3654">
        <f>IF(I3654="","",IF(ISNUMBER(I3654),INT(I3654),IFERROR(INT(DATEVALUE(I3654)),IFERROR(INT(VALUE(I3654)),"bad"))))</f>
        <v/>
      </c>
      <c r="O3654">
        <f>IF(J3654="","",IF(ISNUMBER(J3654),ROUND(J3654,2),IFERROR(ROUND(VALUE(SUBSTITUTE(SUBSTITUTE(SUBSTITUTE(J3654,"$",""),",","")," ","")),2),"bad")))</f>
        <v/>
      </c>
      <c r="P3654">
        <f>IF(K3654="","",IFERROR(MATCH(IF(ISNUMBER(FIND("#",K3654)),TRIM(MID(K3654,FIND("#",K3654)+1,20)),UPPER(K3654)),'Students'!$AD$2:$AD$701,0),""))</f>
        <v/>
      </c>
      <c r="R3654">
        <f>IF(P3654="","",INDEX('Students'!$AD$2:$AD$701,P3654))</f>
        <v/>
      </c>
      <c r="S3654">
        <f>IF(H3654="OK",O3654,0)</f>
        <v/>
      </c>
      <c r="T3654">
        <f>IF(H3654="OK",N3654,"")</f>
        <v/>
      </c>
      <c r="U3654">
        <f>TRIM('Cash_Check'!C654)</f>
        <v/>
      </c>
    </row>
    <row r="3655">
      <c r="A3655" s="62">
        <f>IF(H3655="","",IF(ISNUMBER(N3655),N3655,I3655))</f>
        <v/>
      </c>
      <c r="B3655">
        <f>IF(H3655="","",U3655)</f>
        <v/>
      </c>
      <c r="C3655">
        <f>IF(H3655="","",IF(P3655="",K3655,INDEX('Students'!$A$2:$A$701,P3655)))</f>
        <v/>
      </c>
      <c r="D3655">
        <f>IF(OR(H3655="",P3655=""),"",INDEX('Students'!$B$2:$B$701,P3655))</f>
        <v/>
      </c>
      <c r="E3655">
        <f>IF(OR(H3655="",P3655=""),"",INDEX('Students'!$C$2:$C$701,P3655))</f>
        <v/>
      </c>
      <c r="F3655" s="48">
        <f>IF(H3655="","",IF(ISNUMBER(O3655),O3655,J3655))</f>
        <v/>
      </c>
      <c r="G3655">
        <f>IF(H3655="","",M3655)</f>
        <v/>
      </c>
      <c r="H3655">
        <f>IF(AND(I3655="",J3655="",K3655=""),"",IF(OR(NOT(ISNUMBER(O3655)),N(O3655)&lt;=0),"Bad amount",IF(NOT(ISNUMBER(N3655)),"Bad date",IF(P3655="","NAME NOT ON ROSTER","OK"))))</f>
        <v/>
      </c>
      <c r="I3655">
        <f>IF('Cash_Check'!A655="","",'Cash_Check'!A655)</f>
        <v/>
      </c>
      <c r="J3655">
        <f>IF('Cash_Check'!D655="","",'Cash_Check'!D655)</f>
        <v/>
      </c>
      <c r="K3655">
        <f>TRIM('Cash_Check'!B655)</f>
        <v/>
      </c>
      <c r="M3655">
        <f>IF(TRIM('Cash_Check'!E655)="","Cash/check",TRIM('Cash_Check'!E655))</f>
        <v/>
      </c>
      <c r="N3655">
        <f>IF(I3655="","",IF(ISNUMBER(I3655),INT(I3655),IFERROR(INT(DATEVALUE(I3655)),IFERROR(INT(VALUE(I3655)),"bad"))))</f>
        <v/>
      </c>
      <c r="O3655">
        <f>IF(J3655="","",IF(ISNUMBER(J3655),ROUND(J3655,2),IFERROR(ROUND(VALUE(SUBSTITUTE(SUBSTITUTE(SUBSTITUTE(J3655,"$",""),",","")," ","")),2),"bad")))</f>
        <v/>
      </c>
      <c r="P3655">
        <f>IF(K3655="","",IFERROR(MATCH(IF(ISNUMBER(FIND("#",K3655)),TRIM(MID(K3655,FIND("#",K3655)+1,20)),UPPER(K3655)),'Students'!$AD$2:$AD$701,0),""))</f>
        <v/>
      </c>
      <c r="R3655">
        <f>IF(P3655="","",INDEX('Students'!$AD$2:$AD$701,P3655))</f>
        <v/>
      </c>
      <c r="S3655">
        <f>IF(H3655="OK",O3655,0)</f>
        <v/>
      </c>
      <c r="T3655">
        <f>IF(H3655="OK",N3655,"")</f>
        <v/>
      </c>
      <c r="U3655">
        <f>TRIM('Cash_Check'!C655)</f>
        <v/>
      </c>
    </row>
    <row r="3656">
      <c r="A3656" s="62">
        <f>IF(H3656="","",IF(ISNUMBER(N3656),N3656,I3656))</f>
        <v/>
      </c>
      <c r="B3656">
        <f>IF(H3656="","",U3656)</f>
        <v/>
      </c>
      <c r="C3656">
        <f>IF(H3656="","",IF(P3656="",K3656,INDEX('Students'!$A$2:$A$701,P3656)))</f>
        <v/>
      </c>
      <c r="D3656">
        <f>IF(OR(H3656="",P3656=""),"",INDEX('Students'!$B$2:$B$701,P3656))</f>
        <v/>
      </c>
      <c r="E3656">
        <f>IF(OR(H3656="",P3656=""),"",INDEX('Students'!$C$2:$C$701,P3656))</f>
        <v/>
      </c>
      <c r="F3656" s="48">
        <f>IF(H3656="","",IF(ISNUMBER(O3656),O3656,J3656))</f>
        <v/>
      </c>
      <c r="G3656">
        <f>IF(H3656="","",M3656)</f>
        <v/>
      </c>
      <c r="H3656">
        <f>IF(AND(I3656="",J3656="",K3656=""),"",IF(OR(NOT(ISNUMBER(O3656)),N(O3656)&lt;=0),"Bad amount",IF(NOT(ISNUMBER(N3656)),"Bad date",IF(P3656="","NAME NOT ON ROSTER","OK"))))</f>
        <v/>
      </c>
      <c r="I3656">
        <f>IF('Cash_Check'!A656="","",'Cash_Check'!A656)</f>
        <v/>
      </c>
      <c r="J3656">
        <f>IF('Cash_Check'!D656="","",'Cash_Check'!D656)</f>
        <v/>
      </c>
      <c r="K3656">
        <f>TRIM('Cash_Check'!B656)</f>
        <v/>
      </c>
      <c r="M3656">
        <f>IF(TRIM('Cash_Check'!E656)="","Cash/check",TRIM('Cash_Check'!E656))</f>
        <v/>
      </c>
      <c r="N3656">
        <f>IF(I3656="","",IF(ISNUMBER(I3656),INT(I3656),IFERROR(INT(DATEVALUE(I3656)),IFERROR(INT(VALUE(I3656)),"bad"))))</f>
        <v/>
      </c>
      <c r="O3656">
        <f>IF(J3656="","",IF(ISNUMBER(J3656),ROUND(J3656,2),IFERROR(ROUND(VALUE(SUBSTITUTE(SUBSTITUTE(SUBSTITUTE(J3656,"$",""),",","")," ","")),2),"bad")))</f>
        <v/>
      </c>
      <c r="P3656">
        <f>IF(K3656="","",IFERROR(MATCH(IF(ISNUMBER(FIND("#",K3656)),TRIM(MID(K3656,FIND("#",K3656)+1,20)),UPPER(K3656)),'Students'!$AD$2:$AD$701,0),""))</f>
        <v/>
      </c>
      <c r="R3656">
        <f>IF(P3656="","",INDEX('Students'!$AD$2:$AD$701,P3656))</f>
        <v/>
      </c>
      <c r="S3656">
        <f>IF(H3656="OK",O3656,0)</f>
        <v/>
      </c>
      <c r="T3656">
        <f>IF(H3656="OK",N3656,"")</f>
        <v/>
      </c>
      <c r="U3656">
        <f>TRIM('Cash_Check'!C656)</f>
        <v/>
      </c>
    </row>
    <row r="3657">
      <c r="A3657" s="62">
        <f>IF(H3657="","",IF(ISNUMBER(N3657),N3657,I3657))</f>
        <v/>
      </c>
      <c r="B3657">
        <f>IF(H3657="","",U3657)</f>
        <v/>
      </c>
      <c r="C3657">
        <f>IF(H3657="","",IF(P3657="",K3657,INDEX('Students'!$A$2:$A$701,P3657)))</f>
        <v/>
      </c>
      <c r="D3657">
        <f>IF(OR(H3657="",P3657=""),"",INDEX('Students'!$B$2:$B$701,P3657))</f>
        <v/>
      </c>
      <c r="E3657">
        <f>IF(OR(H3657="",P3657=""),"",INDEX('Students'!$C$2:$C$701,P3657))</f>
        <v/>
      </c>
      <c r="F3657" s="48">
        <f>IF(H3657="","",IF(ISNUMBER(O3657),O3657,J3657))</f>
        <v/>
      </c>
      <c r="G3657">
        <f>IF(H3657="","",M3657)</f>
        <v/>
      </c>
      <c r="H3657">
        <f>IF(AND(I3657="",J3657="",K3657=""),"",IF(OR(NOT(ISNUMBER(O3657)),N(O3657)&lt;=0),"Bad amount",IF(NOT(ISNUMBER(N3657)),"Bad date",IF(P3657="","NAME NOT ON ROSTER","OK"))))</f>
        <v/>
      </c>
      <c r="I3657">
        <f>IF('Cash_Check'!A657="","",'Cash_Check'!A657)</f>
        <v/>
      </c>
      <c r="J3657">
        <f>IF('Cash_Check'!D657="","",'Cash_Check'!D657)</f>
        <v/>
      </c>
      <c r="K3657">
        <f>TRIM('Cash_Check'!B657)</f>
        <v/>
      </c>
      <c r="M3657">
        <f>IF(TRIM('Cash_Check'!E657)="","Cash/check",TRIM('Cash_Check'!E657))</f>
        <v/>
      </c>
      <c r="N3657">
        <f>IF(I3657="","",IF(ISNUMBER(I3657),INT(I3657),IFERROR(INT(DATEVALUE(I3657)),IFERROR(INT(VALUE(I3657)),"bad"))))</f>
        <v/>
      </c>
      <c r="O3657">
        <f>IF(J3657="","",IF(ISNUMBER(J3657),ROUND(J3657,2),IFERROR(ROUND(VALUE(SUBSTITUTE(SUBSTITUTE(SUBSTITUTE(J3657,"$",""),",","")," ","")),2),"bad")))</f>
        <v/>
      </c>
      <c r="P3657">
        <f>IF(K3657="","",IFERROR(MATCH(IF(ISNUMBER(FIND("#",K3657)),TRIM(MID(K3657,FIND("#",K3657)+1,20)),UPPER(K3657)),'Students'!$AD$2:$AD$701,0),""))</f>
        <v/>
      </c>
      <c r="R3657">
        <f>IF(P3657="","",INDEX('Students'!$AD$2:$AD$701,P3657))</f>
        <v/>
      </c>
      <c r="S3657">
        <f>IF(H3657="OK",O3657,0)</f>
        <v/>
      </c>
      <c r="T3657">
        <f>IF(H3657="OK",N3657,"")</f>
        <v/>
      </c>
      <c r="U3657">
        <f>TRIM('Cash_Check'!C657)</f>
        <v/>
      </c>
    </row>
    <row r="3658">
      <c r="A3658" s="62">
        <f>IF(H3658="","",IF(ISNUMBER(N3658),N3658,I3658))</f>
        <v/>
      </c>
      <c r="B3658">
        <f>IF(H3658="","",U3658)</f>
        <v/>
      </c>
      <c r="C3658">
        <f>IF(H3658="","",IF(P3658="",K3658,INDEX('Students'!$A$2:$A$701,P3658)))</f>
        <v/>
      </c>
      <c r="D3658">
        <f>IF(OR(H3658="",P3658=""),"",INDEX('Students'!$B$2:$B$701,P3658))</f>
        <v/>
      </c>
      <c r="E3658">
        <f>IF(OR(H3658="",P3658=""),"",INDEX('Students'!$C$2:$C$701,P3658))</f>
        <v/>
      </c>
      <c r="F3658" s="48">
        <f>IF(H3658="","",IF(ISNUMBER(O3658),O3658,J3658))</f>
        <v/>
      </c>
      <c r="G3658">
        <f>IF(H3658="","",M3658)</f>
        <v/>
      </c>
      <c r="H3658">
        <f>IF(AND(I3658="",J3658="",K3658=""),"",IF(OR(NOT(ISNUMBER(O3658)),N(O3658)&lt;=0),"Bad amount",IF(NOT(ISNUMBER(N3658)),"Bad date",IF(P3658="","NAME NOT ON ROSTER","OK"))))</f>
        <v/>
      </c>
      <c r="I3658">
        <f>IF('Cash_Check'!A658="","",'Cash_Check'!A658)</f>
        <v/>
      </c>
      <c r="J3658">
        <f>IF('Cash_Check'!D658="","",'Cash_Check'!D658)</f>
        <v/>
      </c>
      <c r="K3658">
        <f>TRIM('Cash_Check'!B658)</f>
        <v/>
      </c>
      <c r="M3658">
        <f>IF(TRIM('Cash_Check'!E658)="","Cash/check",TRIM('Cash_Check'!E658))</f>
        <v/>
      </c>
      <c r="N3658">
        <f>IF(I3658="","",IF(ISNUMBER(I3658),INT(I3658),IFERROR(INT(DATEVALUE(I3658)),IFERROR(INT(VALUE(I3658)),"bad"))))</f>
        <v/>
      </c>
      <c r="O3658">
        <f>IF(J3658="","",IF(ISNUMBER(J3658),ROUND(J3658,2),IFERROR(ROUND(VALUE(SUBSTITUTE(SUBSTITUTE(SUBSTITUTE(J3658,"$",""),",","")," ","")),2),"bad")))</f>
        <v/>
      </c>
      <c r="P3658">
        <f>IF(K3658="","",IFERROR(MATCH(IF(ISNUMBER(FIND("#",K3658)),TRIM(MID(K3658,FIND("#",K3658)+1,20)),UPPER(K3658)),'Students'!$AD$2:$AD$701,0),""))</f>
        <v/>
      </c>
      <c r="R3658">
        <f>IF(P3658="","",INDEX('Students'!$AD$2:$AD$701,P3658))</f>
        <v/>
      </c>
      <c r="S3658">
        <f>IF(H3658="OK",O3658,0)</f>
        <v/>
      </c>
      <c r="T3658">
        <f>IF(H3658="OK",N3658,"")</f>
        <v/>
      </c>
      <c r="U3658">
        <f>TRIM('Cash_Check'!C658)</f>
        <v/>
      </c>
    </row>
    <row r="3659">
      <c r="A3659" s="62">
        <f>IF(H3659="","",IF(ISNUMBER(N3659),N3659,I3659))</f>
        <v/>
      </c>
      <c r="B3659">
        <f>IF(H3659="","",U3659)</f>
        <v/>
      </c>
      <c r="C3659">
        <f>IF(H3659="","",IF(P3659="",K3659,INDEX('Students'!$A$2:$A$701,P3659)))</f>
        <v/>
      </c>
      <c r="D3659">
        <f>IF(OR(H3659="",P3659=""),"",INDEX('Students'!$B$2:$B$701,P3659))</f>
        <v/>
      </c>
      <c r="E3659">
        <f>IF(OR(H3659="",P3659=""),"",INDEX('Students'!$C$2:$C$701,P3659))</f>
        <v/>
      </c>
      <c r="F3659" s="48">
        <f>IF(H3659="","",IF(ISNUMBER(O3659),O3659,J3659))</f>
        <v/>
      </c>
      <c r="G3659">
        <f>IF(H3659="","",M3659)</f>
        <v/>
      </c>
      <c r="H3659">
        <f>IF(AND(I3659="",J3659="",K3659=""),"",IF(OR(NOT(ISNUMBER(O3659)),N(O3659)&lt;=0),"Bad amount",IF(NOT(ISNUMBER(N3659)),"Bad date",IF(P3659="","NAME NOT ON ROSTER","OK"))))</f>
        <v/>
      </c>
      <c r="I3659">
        <f>IF('Cash_Check'!A659="","",'Cash_Check'!A659)</f>
        <v/>
      </c>
      <c r="J3659">
        <f>IF('Cash_Check'!D659="","",'Cash_Check'!D659)</f>
        <v/>
      </c>
      <c r="K3659">
        <f>TRIM('Cash_Check'!B659)</f>
        <v/>
      </c>
      <c r="M3659">
        <f>IF(TRIM('Cash_Check'!E659)="","Cash/check",TRIM('Cash_Check'!E659))</f>
        <v/>
      </c>
      <c r="N3659">
        <f>IF(I3659="","",IF(ISNUMBER(I3659),INT(I3659),IFERROR(INT(DATEVALUE(I3659)),IFERROR(INT(VALUE(I3659)),"bad"))))</f>
        <v/>
      </c>
      <c r="O3659">
        <f>IF(J3659="","",IF(ISNUMBER(J3659),ROUND(J3659,2),IFERROR(ROUND(VALUE(SUBSTITUTE(SUBSTITUTE(SUBSTITUTE(J3659,"$",""),",","")," ","")),2),"bad")))</f>
        <v/>
      </c>
      <c r="P3659">
        <f>IF(K3659="","",IFERROR(MATCH(IF(ISNUMBER(FIND("#",K3659)),TRIM(MID(K3659,FIND("#",K3659)+1,20)),UPPER(K3659)),'Students'!$AD$2:$AD$701,0),""))</f>
        <v/>
      </c>
      <c r="R3659">
        <f>IF(P3659="","",INDEX('Students'!$AD$2:$AD$701,P3659))</f>
        <v/>
      </c>
      <c r="S3659">
        <f>IF(H3659="OK",O3659,0)</f>
        <v/>
      </c>
      <c r="T3659">
        <f>IF(H3659="OK",N3659,"")</f>
        <v/>
      </c>
      <c r="U3659">
        <f>TRIM('Cash_Check'!C659)</f>
        <v/>
      </c>
    </row>
    <row r="3660">
      <c r="A3660" s="62">
        <f>IF(H3660="","",IF(ISNUMBER(N3660),N3660,I3660))</f>
        <v/>
      </c>
      <c r="B3660">
        <f>IF(H3660="","",U3660)</f>
        <v/>
      </c>
      <c r="C3660">
        <f>IF(H3660="","",IF(P3660="",K3660,INDEX('Students'!$A$2:$A$701,P3660)))</f>
        <v/>
      </c>
      <c r="D3660">
        <f>IF(OR(H3660="",P3660=""),"",INDEX('Students'!$B$2:$B$701,P3660))</f>
        <v/>
      </c>
      <c r="E3660">
        <f>IF(OR(H3660="",P3660=""),"",INDEX('Students'!$C$2:$C$701,P3660))</f>
        <v/>
      </c>
      <c r="F3660" s="48">
        <f>IF(H3660="","",IF(ISNUMBER(O3660),O3660,J3660))</f>
        <v/>
      </c>
      <c r="G3660">
        <f>IF(H3660="","",M3660)</f>
        <v/>
      </c>
      <c r="H3660">
        <f>IF(AND(I3660="",J3660="",K3660=""),"",IF(OR(NOT(ISNUMBER(O3660)),N(O3660)&lt;=0),"Bad amount",IF(NOT(ISNUMBER(N3660)),"Bad date",IF(P3660="","NAME NOT ON ROSTER","OK"))))</f>
        <v/>
      </c>
      <c r="I3660">
        <f>IF('Cash_Check'!A660="","",'Cash_Check'!A660)</f>
        <v/>
      </c>
      <c r="J3660">
        <f>IF('Cash_Check'!D660="","",'Cash_Check'!D660)</f>
        <v/>
      </c>
      <c r="K3660">
        <f>TRIM('Cash_Check'!B660)</f>
        <v/>
      </c>
      <c r="M3660">
        <f>IF(TRIM('Cash_Check'!E660)="","Cash/check",TRIM('Cash_Check'!E660))</f>
        <v/>
      </c>
      <c r="N3660">
        <f>IF(I3660="","",IF(ISNUMBER(I3660),INT(I3660),IFERROR(INT(DATEVALUE(I3660)),IFERROR(INT(VALUE(I3660)),"bad"))))</f>
        <v/>
      </c>
      <c r="O3660">
        <f>IF(J3660="","",IF(ISNUMBER(J3660),ROUND(J3660,2),IFERROR(ROUND(VALUE(SUBSTITUTE(SUBSTITUTE(SUBSTITUTE(J3660,"$",""),",","")," ","")),2),"bad")))</f>
        <v/>
      </c>
      <c r="P3660">
        <f>IF(K3660="","",IFERROR(MATCH(IF(ISNUMBER(FIND("#",K3660)),TRIM(MID(K3660,FIND("#",K3660)+1,20)),UPPER(K3660)),'Students'!$AD$2:$AD$701,0),""))</f>
        <v/>
      </c>
      <c r="R3660">
        <f>IF(P3660="","",INDEX('Students'!$AD$2:$AD$701,P3660))</f>
        <v/>
      </c>
      <c r="S3660">
        <f>IF(H3660="OK",O3660,0)</f>
        <v/>
      </c>
      <c r="T3660">
        <f>IF(H3660="OK",N3660,"")</f>
        <v/>
      </c>
      <c r="U3660">
        <f>TRIM('Cash_Check'!C660)</f>
        <v/>
      </c>
    </row>
    <row r="3661">
      <c r="A3661" s="62">
        <f>IF(H3661="","",IF(ISNUMBER(N3661),N3661,I3661))</f>
        <v/>
      </c>
      <c r="B3661">
        <f>IF(H3661="","",U3661)</f>
        <v/>
      </c>
      <c r="C3661">
        <f>IF(H3661="","",IF(P3661="",K3661,INDEX('Students'!$A$2:$A$701,P3661)))</f>
        <v/>
      </c>
      <c r="D3661">
        <f>IF(OR(H3661="",P3661=""),"",INDEX('Students'!$B$2:$B$701,P3661))</f>
        <v/>
      </c>
      <c r="E3661">
        <f>IF(OR(H3661="",P3661=""),"",INDEX('Students'!$C$2:$C$701,P3661))</f>
        <v/>
      </c>
      <c r="F3661" s="48">
        <f>IF(H3661="","",IF(ISNUMBER(O3661),O3661,J3661))</f>
        <v/>
      </c>
      <c r="G3661">
        <f>IF(H3661="","",M3661)</f>
        <v/>
      </c>
      <c r="H3661">
        <f>IF(AND(I3661="",J3661="",K3661=""),"",IF(OR(NOT(ISNUMBER(O3661)),N(O3661)&lt;=0),"Bad amount",IF(NOT(ISNUMBER(N3661)),"Bad date",IF(P3661="","NAME NOT ON ROSTER","OK"))))</f>
        <v/>
      </c>
      <c r="I3661">
        <f>IF('Cash_Check'!A661="","",'Cash_Check'!A661)</f>
        <v/>
      </c>
      <c r="J3661">
        <f>IF('Cash_Check'!D661="","",'Cash_Check'!D661)</f>
        <v/>
      </c>
      <c r="K3661">
        <f>TRIM('Cash_Check'!B661)</f>
        <v/>
      </c>
      <c r="M3661">
        <f>IF(TRIM('Cash_Check'!E661)="","Cash/check",TRIM('Cash_Check'!E661))</f>
        <v/>
      </c>
      <c r="N3661">
        <f>IF(I3661="","",IF(ISNUMBER(I3661),INT(I3661),IFERROR(INT(DATEVALUE(I3661)),IFERROR(INT(VALUE(I3661)),"bad"))))</f>
        <v/>
      </c>
      <c r="O3661">
        <f>IF(J3661="","",IF(ISNUMBER(J3661),ROUND(J3661,2),IFERROR(ROUND(VALUE(SUBSTITUTE(SUBSTITUTE(SUBSTITUTE(J3661,"$",""),",","")," ","")),2),"bad")))</f>
        <v/>
      </c>
      <c r="P3661">
        <f>IF(K3661="","",IFERROR(MATCH(IF(ISNUMBER(FIND("#",K3661)),TRIM(MID(K3661,FIND("#",K3661)+1,20)),UPPER(K3661)),'Students'!$AD$2:$AD$701,0),""))</f>
        <v/>
      </c>
      <c r="R3661">
        <f>IF(P3661="","",INDEX('Students'!$AD$2:$AD$701,P3661))</f>
        <v/>
      </c>
      <c r="S3661">
        <f>IF(H3661="OK",O3661,0)</f>
        <v/>
      </c>
      <c r="T3661">
        <f>IF(H3661="OK",N3661,"")</f>
        <v/>
      </c>
      <c r="U3661">
        <f>TRIM('Cash_Check'!C661)</f>
        <v/>
      </c>
    </row>
    <row r="3662">
      <c r="A3662" s="62">
        <f>IF(H3662="","",IF(ISNUMBER(N3662),N3662,I3662))</f>
        <v/>
      </c>
      <c r="B3662">
        <f>IF(H3662="","",U3662)</f>
        <v/>
      </c>
      <c r="C3662">
        <f>IF(H3662="","",IF(P3662="",K3662,INDEX('Students'!$A$2:$A$701,P3662)))</f>
        <v/>
      </c>
      <c r="D3662">
        <f>IF(OR(H3662="",P3662=""),"",INDEX('Students'!$B$2:$B$701,P3662))</f>
        <v/>
      </c>
      <c r="E3662">
        <f>IF(OR(H3662="",P3662=""),"",INDEX('Students'!$C$2:$C$701,P3662))</f>
        <v/>
      </c>
      <c r="F3662" s="48">
        <f>IF(H3662="","",IF(ISNUMBER(O3662),O3662,J3662))</f>
        <v/>
      </c>
      <c r="G3662">
        <f>IF(H3662="","",M3662)</f>
        <v/>
      </c>
      <c r="H3662">
        <f>IF(AND(I3662="",J3662="",K3662=""),"",IF(OR(NOT(ISNUMBER(O3662)),N(O3662)&lt;=0),"Bad amount",IF(NOT(ISNUMBER(N3662)),"Bad date",IF(P3662="","NAME NOT ON ROSTER","OK"))))</f>
        <v/>
      </c>
      <c r="I3662">
        <f>IF('Cash_Check'!A662="","",'Cash_Check'!A662)</f>
        <v/>
      </c>
      <c r="J3662">
        <f>IF('Cash_Check'!D662="","",'Cash_Check'!D662)</f>
        <v/>
      </c>
      <c r="K3662">
        <f>TRIM('Cash_Check'!B662)</f>
        <v/>
      </c>
      <c r="M3662">
        <f>IF(TRIM('Cash_Check'!E662)="","Cash/check",TRIM('Cash_Check'!E662))</f>
        <v/>
      </c>
      <c r="N3662">
        <f>IF(I3662="","",IF(ISNUMBER(I3662),INT(I3662),IFERROR(INT(DATEVALUE(I3662)),IFERROR(INT(VALUE(I3662)),"bad"))))</f>
        <v/>
      </c>
      <c r="O3662">
        <f>IF(J3662="","",IF(ISNUMBER(J3662),ROUND(J3662,2),IFERROR(ROUND(VALUE(SUBSTITUTE(SUBSTITUTE(SUBSTITUTE(J3662,"$",""),",","")," ","")),2),"bad")))</f>
        <v/>
      </c>
      <c r="P3662">
        <f>IF(K3662="","",IFERROR(MATCH(IF(ISNUMBER(FIND("#",K3662)),TRIM(MID(K3662,FIND("#",K3662)+1,20)),UPPER(K3662)),'Students'!$AD$2:$AD$701,0),""))</f>
        <v/>
      </c>
      <c r="R3662">
        <f>IF(P3662="","",INDEX('Students'!$AD$2:$AD$701,P3662))</f>
        <v/>
      </c>
      <c r="S3662">
        <f>IF(H3662="OK",O3662,0)</f>
        <v/>
      </c>
      <c r="T3662">
        <f>IF(H3662="OK",N3662,"")</f>
        <v/>
      </c>
      <c r="U3662">
        <f>TRIM('Cash_Check'!C662)</f>
        <v/>
      </c>
    </row>
    <row r="3663">
      <c r="A3663" s="62">
        <f>IF(H3663="","",IF(ISNUMBER(N3663),N3663,I3663))</f>
        <v/>
      </c>
      <c r="B3663">
        <f>IF(H3663="","",U3663)</f>
        <v/>
      </c>
      <c r="C3663">
        <f>IF(H3663="","",IF(P3663="",K3663,INDEX('Students'!$A$2:$A$701,P3663)))</f>
        <v/>
      </c>
      <c r="D3663">
        <f>IF(OR(H3663="",P3663=""),"",INDEX('Students'!$B$2:$B$701,P3663))</f>
        <v/>
      </c>
      <c r="E3663">
        <f>IF(OR(H3663="",P3663=""),"",INDEX('Students'!$C$2:$C$701,P3663))</f>
        <v/>
      </c>
      <c r="F3663" s="48">
        <f>IF(H3663="","",IF(ISNUMBER(O3663),O3663,J3663))</f>
        <v/>
      </c>
      <c r="G3663">
        <f>IF(H3663="","",M3663)</f>
        <v/>
      </c>
      <c r="H3663">
        <f>IF(AND(I3663="",J3663="",K3663=""),"",IF(OR(NOT(ISNUMBER(O3663)),N(O3663)&lt;=0),"Bad amount",IF(NOT(ISNUMBER(N3663)),"Bad date",IF(P3663="","NAME NOT ON ROSTER","OK"))))</f>
        <v/>
      </c>
      <c r="I3663">
        <f>IF('Cash_Check'!A663="","",'Cash_Check'!A663)</f>
        <v/>
      </c>
      <c r="J3663">
        <f>IF('Cash_Check'!D663="","",'Cash_Check'!D663)</f>
        <v/>
      </c>
      <c r="K3663">
        <f>TRIM('Cash_Check'!B663)</f>
        <v/>
      </c>
      <c r="M3663">
        <f>IF(TRIM('Cash_Check'!E663)="","Cash/check",TRIM('Cash_Check'!E663))</f>
        <v/>
      </c>
      <c r="N3663">
        <f>IF(I3663="","",IF(ISNUMBER(I3663),INT(I3663),IFERROR(INT(DATEVALUE(I3663)),IFERROR(INT(VALUE(I3663)),"bad"))))</f>
        <v/>
      </c>
      <c r="O3663">
        <f>IF(J3663="","",IF(ISNUMBER(J3663),ROUND(J3663,2),IFERROR(ROUND(VALUE(SUBSTITUTE(SUBSTITUTE(SUBSTITUTE(J3663,"$",""),",","")," ","")),2),"bad")))</f>
        <v/>
      </c>
      <c r="P3663">
        <f>IF(K3663="","",IFERROR(MATCH(IF(ISNUMBER(FIND("#",K3663)),TRIM(MID(K3663,FIND("#",K3663)+1,20)),UPPER(K3663)),'Students'!$AD$2:$AD$701,0),""))</f>
        <v/>
      </c>
      <c r="R3663">
        <f>IF(P3663="","",INDEX('Students'!$AD$2:$AD$701,P3663))</f>
        <v/>
      </c>
      <c r="S3663">
        <f>IF(H3663="OK",O3663,0)</f>
        <v/>
      </c>
      <c r="T3663">
        <f>IF(H3663="OK",N3663,"")</f>
        <v/>
      </c>
      <c r="U3663">
        <f>TRIM('Cash_Check'!C663)</f>
        <v/>
      </c>
    </row>
    <row r="3664">
      <c r="A3664" s="62">
        <f>IF(H3664="","",IF(ISNUMBER(N3664),N3664,I3664))</f>
        <v/>
      </c>
      <c r="B3664">
        <f>IF(H3664="","",U3664)</f>
        <v/>
      </c>
      <c r="C3664">
        <f>IF(H3664="","",IF(P3664="",K3664,INDEX('Students'!$A$2:$A$701,P3664)))</f>
        <v/>
      </c>
      <c r="D3664">
        <f>IF(OR(H3664="",P3664=""),"",INDEX('Students'!$B$2:$B$701,P3664))</f>
        <v/>
      </c>
      <c r="E3664">
        <f>IF(OR(H3664="",P3664=""),"",INDEX('Students'!$C$2:$C$701,P3664))</f>
        <v/>
      </c>
      <c r="F3664" s="48">
        <f>IF(H3664="","",IF(ISNUMBER(O3664),O3664,J3664))</f>
        <v/>
      </c>
      <c r="G3664">
        <f>IF(H3664="","",M3664)</f>
        <v/>
      </c>
      <c r="H3664">
        <f>IF(AND(I3664="",J3664="",K3664=""),"",IF(OR(NOT(ISNUMBER(O3664)),N(O3664)&lt;=0),"Bad amount",IF(NOT(ISNUMBER(N3664)),"Bad date",IF(P3664="","NAME NOT ON ROSTER","OK"))))</f>
        <v/>
      </c>
      <c r="I3664">
        <f>IF('Cash_Check'!A664="","",'Cash_Check'!A664)</f>
        <v/>
      </c>
      <c r="J3664">
        <f>IF('Cash_Check'!D664="","",'Cash_Check'!D664)</f>
        <v/>
      </c>
      <c r="K3664">
        <f>TRIM('Cash_Check'!B664)</f>
        <v/>
      </c>
      <c r="M3664">
        <f>IF(TRIM('Cash_Check'!E664)="","Cash/check",TRIM('Cash_Check'!E664))</f>
        <v/>
      </c>
      <c r="N3664">
        <f>IF(I3664="","",IF(ISNUMBER(I3664),INT(I3664),IFERROR(INT(DATEVALUE(I3664)),IFERROR(INT(VALUE(I3664)),"bad"))))</f>
        <v/>
      </c>
      <c r="O3664">
        <f>IF(J3664="","",IF(ISNUMBER(J3664),ROUND(J3664,2),IFERROR(ROUND(VALUE(SUBSTITUTE(SUBSTITUTE(SUBSTITUTE(J3664,"$",""),",","")," ","")),2),"bad")))</f>
        <v/>
      </c>
      <c r="P3664">
        <f>IF(K3664="","",IFERROR(MATCH(IF(ISNUMBER(FIND("#",K3664)),TRIM(MID(K3664,FIND("#",K3664)+1,20)),UPPER(K3664)),'Students'!$AD$2:$AD$701,0),""))</f>
        <v/>
      </c>
      <c r="R3664">
        <f>IF(P3664="","",INDEX('Students'!$AD$2:$AD$701,P3664))</f>
        <v/>
      </c>
      <c r="S3664">
        <f>IF(H3664="OK",O3664,0)</f>
        <v/>
      </c>
      <c r="T3664">
        <f>IF(H3664="OK",N3664,"")</f>
        <v/>
      </c>
      <c r="U3664">
        <f>TRIM('Cash_Check'!C664)</f>
        <v/>
      </c>
    </row>
    <row r="3665">
      <c r="A3665" s="62">
        <f>IF(H3665="","",IF(ISNUMBER(N3665),N3665,I3665))</f>
        <v/>
      </c>
      <c r="B3665">
        <f>IF(H3665="","",U3665)</f>
        <v/>
      </c>
      <c r="C3665">
        <f>IF(H3665="","",IF(P3665="",K3665,INDEX('Students'!$A$2:$A$701,P3665)))</f>
        <v/>
      </c>
      <c r="D3665">
        <f>IF(OR(H3665="",P3665=""),"",INDEX('Students'!$B$2:$B$701,P3665))</f>
        <v/>
      </c>
      <c r="E3665">
        <f>IF(OR(H3665="",P3665=""),"",INDEX('Students'!$C$2:$C$701,P3665))</f>
        <v/>
      </c>
      <c r="F3665" s="48">
        <f>IF(H3665="","",IF(ISNUMBER(O3665),O3665,J3665))</f>
        <v/>
      </c>
      <c r="G3665">
        <f>IF(H3665="","",M3665)</f>
        <v/>
      </c>
      <c r="H3665">
        <f>IF(AND(I3665="",J3665="",K3665=""),"",IF(OR(NOT(ISNUMBER(O3665)),N(O3665)&lt;=0),"Bad amount",IF(NOT(ISNUMBER(N3665)),"Bad date",IF(P3665="","NAME NOT ON ROSTER","OK"))))</f>
        <v/>
      </c>
      <c r="I3665">
        <f>IF('Cash_Check'!A665="","",'Cash_Check'!A665)</f>
        <v/>
      </c>
      <c r="J3665">
        <f>IF('Cash_Check'!D665="","",'Cash_Check'!D665)</f>
        <v/>
      </c>
      <c r="K3665">
        <f>TRIM('Cash_Check'!B665)</f>
        <v/>
      </c>
      <c r="M3665">
        <f>IF(TRIM('Cash_Check'!E665)="","Cash/check",TRIM('Cash_Check'!E665))</f>
        <v/>
      </c>
      <c r="N3665">
        <f>IF(I3665="","",IF(ISNUMBER(I3665),INT(I3665),IFERROR(INT(DATEVALUE(I3665)),IFERROR(INT(VALUE(I3665)),"bad"))))</f>
        <v/>
      </c>
      <c r="O3665">
        <f>IF(J3665="","",IF(ISNUMBER(J3665),ROUND(J3665,2),IFERROR(ROUND(VALUE(SUBSTITUTE(SUBSTITUTE(SUBSTITUTE(J3665,"$",""),",","")," ","")),2),"bad")))</f>
        <v/>
      </c>
      <c r="P3665">
        <f>IF(K3665="","",IFERROR(MATCH(IF(ISNUMBER(FIND("#",K3665)),TRIM(MID(K3665,FIND("#",K3665)+1,20)),UPPER(K3665)),'Students'!$AD$2:$AD$701,0),""))</f>
        <v/>
      </c>
      <c r="R3665">
        <f>IF(P3665="","",INDEX('Students'!$AD$2:$AD$701,P3665))</f>
        <v/>
      </c>
      <c r="S3665">
        <f>IF(H3665="OK",O3665,0)</f>
        <v/>
      </c>
      <c r="T3665">
        <f>IF(H3665="OK",N3665,"")</f>
        <v/>
      </c>
      <c r="U3665">
        <f>TRIM('Cash_Check'!C665)</f>
        <v/>
      </c>
    </row>
    <row r="3666">
      <c r="A3666" s="62">
        <f>IF(H3666="","",IF(ISNUMBER(N3666),N3666,I3666))</f>
        <v/>
      </c>
      <c r="B3666">
        <f>IF(H3666="","",U3666)</f>
        <v/>
      </c>
      <c r="C3666">
        <f>IF(H3666="","",IF(P3666="",K3666,INDEX('Students'!$A$2:$A$701,P3666)))</f>
        <v/>
      </c>
      <c r="D3666">
        <f>IF(OR(H3666="",P3666=""),"",INDEX('Students'!$B$2:$B$701,P3666))</f>
        <v/>
      </c>
      <c r="E3666">
        <f>IF(OR(H3666="",P3666=""),"",INDEX('Students'!$C$2:$C$701,P3666))</f>
        <v/>
      </c>
      <c r="F3666" s="48">
        <f>IF(H3666="","",IF(ISNUMBER(O3666),O3666,J3666))</f>
        <v/>
      </c>
      <c r="G3666">
        <f>IF(H3666="","",M3666)</f>
        <v/>
      </c>
      <c r="H3666">
        <f>IF(AND(I3666="",J3666="",K3666=""),"",IF(OR(NOT(ISNUMBER(O3666)),N(O3666)&lt;=0),"Bad amount",IF(NOT(ISNUMBER(N3666)),"Bad date",IF(P3666="","NAME NOT ON ROSTER","OK"))))</f>
        <v/>
      </c>
      <c r="I3666">
        <f>IF('Cash_Check'!A666="","",'Cash_Check'!A666)</f>
        <v/>
      </c>
      <c r="J3666">
        <f>IF('Cash_Check'!D666="","",'Cash_Check'!D666)</f>
        <v/>
      </c>
      <c r="K3666">
        <f>TRIM('Cash_Check'!B666)</f>
        <v/>
      </c>
      <c r="M3666">
        <f>IF(TRIM('Cash_Check'!E666)="","Cash/check",TRIM('Cash_Check'!E666))</f>
        <v/>
      </c>
      <c r="N3666">
        <f>IF(I3666="","",IF(ISNUMBER(I3666),INT(I3666),IFERROR(INT(DATEVALUE(I3666)),IFERROR(INT(VALUE(I3666)),"bad"))))</f>
        <v/>
      </c>
      <c r="O3666">
        <f>IF(J3666="","",IF(ISNUMBER(J3666),ROUND(J3666,2),IFERROR(ROUND(VALUE(SUBSTITUTE(SUBSTITUTE(SUBSTITUTE(J3666,"$",""),",","")," ","")),2),"bad")))</f>
        <v/>
      </c>
      <c r="P3666">
        <f>IF(K3666="","",IFERROR(MATCH(IF(ISNUMBER(FIND("#",K3666)),TRIM(MID(K3666,FIND("#",K3666)+1,20)),UPPER(K3666)),'Students'!$AD$2:$AD$701,0),""))</f>
        <v/>
      </c>
      <c r="R3666">
        <f>IF(P3666="","",INDEX('Students'!$AD$2:$AD$701,P3666))</f>
        <v/>
      </c>
      <c r="S3666">
        <f>IF(H3666="OK",O3666,0)</f>
        <v/>
      </c>
      <c r="T3666">
        <f>IF(H3666="OK",N3666,"")</f>
        <v/>
      </c>
      <c r="U3666">
        <f>TRIM('Cash_Check'!C666)</f>
        <v/>
      </c>
    </row>
    <row r="3667">
      <c r="A3667" s="62">
        <f>IF(H3667="","",IF(ISNUMBER(N3667),N3667,I3667))</f>
        <v/>
      </c>
      <c r="B3667">
        <f>IF(H3667="","",U3667)</f>
        <v/>
      </c>
      <c r="C3667">
        <f>IF(H3667="","",IF(P3667="",K3667,INDEX('Students'!$A$2:$A$701,P3667)))</f>
        <v/>
      </c>
      <c r="D3667">
        <f>IF(OR(H3667="",P3667=""),"",INDEX('Students'!$B$2:$B$701,P3667))</f>
        <v/>
      </c>
      <c r="E3667">
        <f>IF(OR(H3667="",P3667=""),"",INDEX('Students'!$C$2:$C$701,P3667))</f>
        <v/>
      </c>
      <c r="F3667" s="48">
        <f>IF(H3667="","",IF(ISNUMBER(O3667),O3667,J3667))</f>
        <v/>
      </c>
      <c r="G3667">
        <f>IF(H3667="","",M3667)</f>
        <v/>
      </c>
      <c r="H3667">
        <f>IF(AND(I3667="",J3667="",K3667=""),"",IF(OR(NOT(ISNUMBER(O3667)),N(O3667)&lt;=0),"Bad amount",IF(NOT(ISNUMBER(N3667)),"Bad date",IF(P3667="","NAME NOT ON ROSTER","OK"))))</f>
        <v/>
      </c>
      <c r="I3667">
        <f>IF('Cash_Check'!A667="","",'Cash_Check'!A667)</f>
        <v/>
      </c>
      <c r="J3667">
        <f>IF('Cash_Check'!D667="","",'Cash_Check'!D667)</f>
        <v/>
      </c>
      <c r="K3667">
        <f>TRIM('Cash_Check'!B667)</f>
        <v/>
      </c>
      <c r="M3667">
        <f>IF(TRIM('Cash_Check'!E667)="","Cash/check",TRIM('Cash_Check'!E667))</f>
        <v/>
      </c>
      <c r="N3667">
        <f>IF(I3667="","",IF(ISNUMBER(I3667),INT(I3667),IFERROR(INT(DATEVALUE(I3667)),IFERROR(INT(VALUE(I3667)),"bad"))))</f>
        <v/>
      </c>
      <c r="O3667">
        <f>IF(J3667="","",IF(ISNUMBER(J3667),ROUND(J3667,2),IFERROR(ROUND(VALUE(SUBSTITUTE(SUBSTITUTE(SUBSTITUTE(J3667,"$",""),",","")," ","")),2),"bad")))</f>
        <v/>
      </c>
      <c r="P3667">
        <f>IF(K3667="","",IFERROR(MATCH(IF(ISNUMBER(FIND("#",K3667)),TRIM(MID(K3667,FIND("#",K3667)+1,20)),UPPER(K3667)),'Students'!$AD$2:$AD$701,0),""))</f>
        <v/>
      </c>
      <c r="R3667">
        <f>IF(P3667="","",INDEX('Students'!$AD$2:$AD$701,P3667))</f>
        <v/>
      </c>
      <c r="S3667">
        <f>IF(H3667="OK",O3667,0)</f>
        <v/>
      </c>
      <c r="T3667">
        <f>IF(H3667="OK",N3667,"")</f>
        <v/>
      </c>
      <c r="U3667">
        <f>TRIM('Cash_Check'!C667)</f>
        <v/>
      </c>
    </row>
    <row r="3668">
      <c r="A3668" s="62">
        <f>IF(H3668="","",IF(ISNUMBER(N3668),N3668,I3668))</f>
        <v/>
      </c>
      <c r="B3668">
        <f>IF(H3668="","",U3668)</f>
        <v/>
      </c>
      <c r="C3668">
        <f>IF(H3668="","",IF(P3668="",K3668,INDEX('Students'!$A$2:$A$701,P3668)))</f>
        <v/>
      </c>
      <c r="D3668">
        <f>IF(OR(H3668="",P3668=""),"",INDEX('Students'!$B$2:$B$701,P3668))</f>
        <v/>
      </c>
      <c r="E3668">
        <f>IF(OR(H3668="",P3668=""),"",INDEX('Students'!$C$2:$C$701,P3668))</f>
        <v/>
      </c>
      <c r="F3668" s="48">
        <f>IF(H3668="","",IF(ISNUMBER(O3668),O3668,J3668))</f>
        <v/>
      </c>
      <c r="G3668">
        <f>IF(H3668="","",M3668)</f>
        <v/>
      </c>
      <c r="H3668">
        <f>IF(AND(I3668="",J3668="",K3668=""),"",IF(OR(NOT(ISNUMBER(O3668)),N(O3668)&lt;=0),"Bad amount",IF(NOT(ISNUMBER(N3668)),"Bad date",IF(P3668="","NAME NOT ON ROSTER","OK"))))</f>
        <v/>
      </c>
      <c r="I3668">
        <f>IF('Cash_Check'!A668="","",'Cash_Check'!A668)</f>
        <v/>
      </c>
      <c r="J3668">
        <f>IF('Cash_Check'!D668="","",'Cash_Check'!D668)</f>
        <v/>
      </c>
      <c r="K3668">
        <f>TRIM('Cash_Check'!B668)</f>
        <v/>
      </c>
      <c r="M3668">
        <f>IF(TRIM('Cash_Check'!E668)="","Cash/check",TRIM('Cash_Check'!E668))</f>
        <v/>
      </c>
      <c r="N3668">
        <f>IF(I3668="","",IF(ISNUMBER(I3668),INT(I3668),IFERROR(INT(DATEVALUE(I3668)),IFERROR(INT(VALUE(I3668)),"bad"))))</f>
        <v/>
      </c>
      <c r="O3668">
        <f>IF(J3668="","",IF(ISNUMBER(J3668),ROUND(J3668,2),IFERROR(ROUND(VALUE(SUBSTITUTE(SUBSTITUTE(SUBSTITUTE(J3668,"$",""),",","")," ","")),2),"bad")))</f>
        <v/>
      </c>
      <c r="P3668">
        <f>IF(K3668="","",IFERROR(MATCH(IF(ISNUMBER(FIND("#",K3668)),TRIM(MID(K3668,FIND("#",K3668)+1,20)),UPPER(K3668)),'Students'!$AD$2:$AD$701,0),""))</f>
        <v/>
      </c>
      <c r="R3668">
        <f>IF(P3668="","",INDEX('Students'!$AD$2:$AD$701,P3668))</f>
        <v/>
      </c>
      <c r="S3668">
        <f>IF(H3668="OK",O3668,0)</f>
        <v/>
      </c>
      <c r="T3668">
        <f>IF(H3668="OK",N3668,"")</f>
        <v/>
      </c>
      <c r="U3668">
        <f>TRIM('Cash_Check'!C668)</f>
        <v/>
      </c>
    </row>
    <row r="3669">
      <c r="A3669" s="62">
        <f>IF(H3669="","",IF(ISNUMBER(N3669),N3669,I3669))</f>
        <v/>
      </c>
      <c r="B3669">
        <f>IF(H3669="","",U3669)</f>
        <v/>
      </c>
      <c r="C3669">
        <f>IF(H3669="","",IF(P3669="",K3669,INDEX('Students'!$A$2:$A$701,P3669)))</f>
        <v/>
      </c>
      <c r="D3669">
        <f>IF(OR(H3669="",P3669=""),"",INDEX('Students'!$B$2:$B$701,P3669))</f>
        <v/>
      </c>
      <c r="E3669">
        <f>IF(OR(H3669="",P3669=""),"",INDEX('Students'!$C$2:$C$701,P3669))</f>
        <v/>
      </c>
      <c r="F3669" s="48">
        <f>IF(H3669="","",IF(ISNUMBER(O3669),O3669,J3669))</f>
        <v/>
      </c>
      <c r="G3669">
        <f>IF(H3669="","",M3669)</f>
        <v/>
      </c>
      <c r="H3669">
        <f>IF(AND(I3669="",J3669="",K3669=""),"",IF(OR(NOT(ISNUMBER(O3669)),N(O3669)&lt;=0),"Bad amount",IF(NOT(ISNUMBER(N3669)),"Bad date",IF(P3669="","NAME NOT ON ROSTER","OK"))))</f>
        <v/>
      </c>
      <c r="I3669">
        <f>IF('Cash_Check'!A669="","",'Cash_Check'!A669)</f>
        <v/>
      </c>
      <c r="J3669">
        <f>IF('Cash_Check'!D669="","",'Cash_Check'!D669)</f>
        <v/>
      </c>
      <c r="K3669">
        <f>TRIM('Cash_Check'!B669)</f>
        <v/>
      </c>
      <c r="M3669">
        <f>IF(TRIM('Cash_Check'!E669)="","Cash/check",TRIM('Cash_Check'!E669))</f>
        <v/>
      </c>
      <c r="N3669">
        <f>IF(I3669="","",IF(ISNUMBER(I3669),INT(I3669),IFERROR(INT(DATEVALUE(I3669)),IFERROR(INT(VALUE(I3669)),"bad"))))</f>
        <v/>
      </c>
      <c r="O3669">
        <f>IF(J3669="","",IF(ISNUMBER(J3669),ROUND(J3669,2),IFERROR(ROUND(VALUE(SUBSTITUTE(SUBSTITUTE(SUBSTITUTE(J3669,"$",""),",","")," ","")),2),"bad")))</f>
        <v/>
      </c>
      <c r="P3669">
        <f>IF(K3669="","",IFERROR(MATCH(IF(ISNUMBER(FIND("#",K3669)),TRIM(MID(K3669,FIND("#",K3669)+1,20)),UPPER(K3669)),'Students'!$AD$2:$AD$701,0),""))</f>
        <v/>
      </c>
      <c r="R3669">
        <f>IF(P3669="","",INDEX('Students'!$AD$2:$AD$701,P3669))</f>
        <v/>
      </c>
      <c r="S3669">
        <f>IF(H3669="OK",O3669,0)</f>
        <v/>
      </c>
      <c r="T3669">
        <f>IF(H3669="OK",N3669,"")</f>
        <v/>
      </c>
      <c r="U3669">
        <f>TRIM('Cash_Check'!C669)</f>
        <v/>
      </c>
    </row>
    <row r="3670">
      <c r="A3670" s="62">
        <f>IF(H3670="","",IF(ISNUMBER(N3670),N3670,I3670))</f>
        <v/>
      </c>
      <c r="B3670">
        <f>IF(H3670="","",U3670)</f>
        <v/>
      </c>
      <c r="C3670">
        <f>IF(H3670="","",IF(P3670="",K3670,INDEX('Students'!$A$2:$A$701,P3670)))</f>
        <v/>
      </c>
      <c r="D3670">
        <f>IF(OR(H3670="",P3670=""),"",INDEX('Students'!$B$2:$B$701,P3670))</f>
        <v/>
      </c>
      <c r="E3670">
        <f>IF(OR(H3670="",P3670=""),"",INDEX('Students'!$C$2:$C$701,P3670))</f>
        <v/>
      </c>
      <c r="F3670" s="48">
        <f>IF(H3670="","",IF(ISNUMBER(O3670),O3670,J3670))</f>
        <v/>
      </c>
      <c r="G3670">
        <f>IF(H3670="","",M3670)</f>
        <v/>
      </c>
      <c r="H3670">
        <f>IF(AND(I3670="",J3670="",K3670=""),"",IF(OR(NOT(ISNUMBER(O3670)),N(O3670)&lt;=0),"Bad amount",IF(NOT(ISNUMBER(N3670)),"Bad date",IF(P3670="","NAME NOT ON ROSTER","OK"))))</f>
        <v/>
      </c>
      <c r="I3670">
        <f>IF('Cash_Check'!A670="","",'Cash_Check'!A670)</f>
        <v/>
      </c>
      <c r="J3670">
        <f>IF('Cash_Check'!D670="","",'Cash_Check'!D670)</f>
        <v/>
      </c>
      <c r="K3670">
        <f>TRIM('Cash_Check'!B670)</f>
        <v/>
      </c>
      <c r="M3670">
        <f>IF(TRIM('Cash_Check'!E670)="","Cash/check",TRIM('Cash_Check'!E670))</f>
        <v/>
      </c>
      <c r="N3670">
        <f>IF(I3670="","",IF(ISNUMBER(I3670),INT(I3670),IFERROR(INT(DATEVALUE(I3670)),IFERROR(INT(VALUE(I3670)),"bad"))))</f>
        <v/>
      </c>
      <c r="O3670">
        <f>IF(J3670="","",IF(ISNUMBER(J3670),ROUND(J3670,2),IFERROR(ROUND(VALUE(SUBSTITUTE(SUBSTITUTE(SUBSTITUTE(J3670,"$",""),",","")," ","")),2),"bad")))</f>
        <v/>
      </c>
      <c r="P3670">
        <f>IF(K3670="","",IFERROR(MATCH(IF(ISNUMBER(FIND("#",K3670)),TRIM(MID(K3670,FIND("#",K3670)+1,20)),UPPER(K3670)),'Students'!$AD$2:$AD$701,0),""))</f>
        <v/>
      </c>
      <c r="R3670">
        <f>IF(P3670="","",INDEX('Students'!$AD$2:$AD$701,P3670))</f>
        <v/>
      </c>
      <c r="S3670">
        <f>IF(H3670="OK",O3670,0)</f>
        <v/>
      </c>
      <c r="T3670">
        <f>IF(H3670="OK",N3670,"")</f>
        <v/>
      </c>
      <c r="U3670">
        <f>TRIM('Cash_Check'!C670)</f>
        <v/>
      </c>
    </row>
    <row r="3671">
      <c r="A3671" s="62">
        <f>IF(H3671="","",IF(ISNUMBER(N3671),N3671,I3671))</f>
        <v/>
      </c>
      <c r="B3671">
        <f>IF(H3671="","",U3671)</f>
        <v/>
      </c>
      <c r="C3671">
        <f>IF(H3671="","",IF(P3671="",K3671,INDEX('Students'!$A$2:$A$701,P3671)))</f>
        <v/>
      </c>
      <c r="D3671">
        <f>IF(OR(H3671="",P3671=""),"",INDEX('Students'!$B$2:$B$701,P3671))</f>
        <v/>
      </c>
      <c r="E3671">
        <f>IF(OR(H3671="",P3671=""),"",INDEX('Students'!$C$2:$C$701,P3671))</f>
        <v/>
      </c>
      <c r="F3671" s="48">
        <f>IF(H3671="","",IF(ISNUMBER(O3671),O3671,J3671))</f>
        <v/>
      </c>
      <c r="G3671">
        <f>IF(H3671="","",M3671)</f>
        <v/>
      </c>
      <c r="H3671">
        <f>IF(AND(I3671="",J3671="",K3671=""),"",IF(OR(NOT(ISNUMBER(O3671)),N(O3671)&lt;=0),"Bad amount",IF(NOT(ISNUMBER(N3671)),"Bad date",IF(P3671="","NAME NOT ON ROSTER","OK"))))</f>
        <v/>
      </c>
      <c r="I3671">
        <f>IF('Cash_Check'!A671="","",'Cash_Check'!A671)</f>
        <v/>
      </c>
      <c r="J3671">
        <f>IF('Cash_Check'!D671="","",'Cash_Check'!D671)</f>
        <v/>
      </c>
      <c r="K3671">
        <f>TRIM('Cash_Check'!B671)</f>
        <v/>
      </c>
      <c r="M3671">
        <f>IF(TRIM('Cash_Check'!E671)="","Cash/check",TRIM('Cash_Check'!E671))</f>
        <v/>
      </c>
      <c r="N3671">
        <f>IF(I3671="","",IF(ISNUMBER(I3671),INT(I3671),IFERROR(INT(DATEVALUE(I3671)),IFERROR(INT(VALUE(I3671)),"bad"))))</f>
        <v/>
      </c>
      <c r="O3671">
        <f>IF(J3671="","",IF(ISNUMBER(J3671),ROUND(J3671,2),IFERROR(ROUND(VALUE(SUBSTITUTE(SUBSTITUTE(SUBSTITUTE(J3671,"$",""),",","")," ","")),2),"bad")))</f>
        <v/>
      </c>
      <c r="P3671">
        <f>IF(K3671="","",IFERROR(MATCH(IF(ISNUMBER(FIND("#",K3671)),TRIM(MID(K3671,FIND("#",K3671)+1,20)),UPPER(K3671)),'Students'!$AD$2:$AD$701,0),""))</f>
        <v/>
      </c>
      <c r="R3671">
        <f>IF(P3671="","",INDEX('Students'!$AD$2:$AD$701,P3671))</f>
        <v/>
      </c>
      <c r="S3671">
        <f>IF(H3671="OK",O3671,0)</f>
        <v/>
      </c>
      <c r="T3671">
        <f>IF(H3671="OK",N3671,"")</f>
        <v/>
      </c>
      <c r="U3671">
        <f>TRIM('Cash_Check'!C671)</f>
        <v/>
      </c>
    </row>
    <row r="3672">
      <c r="A3672" s="62">
        <f>IF(H3672="","",IF(ISNUMBER(N3672),N3672,I3672))</f>
        <v/>
      </c>
      <c r="B3672">
        <f>IF(H3672="","",U3672)</f>
        <v/>
      </c>
      <c r="C3672">
        <f>IF(H3672="","",IF(P3672="",K3672,INDEX('Students'!$A$2:$A$701,P3672)))</f>
        <v/>
      </c>
      <c r="D3672">
        <f>IF(OR(H3672="",P3672=""),"",INDEX('Students'!$B$2:$B$701,P3672))</f>
        <v/>
      </c>
      <c r="E3672">
        <f>IF(OR(H3672="",P3672=""),"",INDEX('Students'!$C$2:$C$701,P3672))</f>
        <v/>
      </c>
      <c r="F3672" s="48">
        <f>IF(H3672="","",IF(ISNUMBER(O3672),O3672,J3672))</f>
        <v/>
      </c>
      <c r="G3672">
        <f>IF(H3672="","",M3672)</f>
        <v/>
      </c>
      <c r="H3672">
        <f>IF(AND(I3672="",J3672="",K3672=""),"",IF(OR(NOT(ISNUMBER(O3672)),N(O3672)&lt;=0),"Bad amount",IF(NOT(ISNUMBER(N3672)),"Bad date",IF(P3672="","NAME NOT ON ROSTER","OK"))))</f>
        <v/>
      </c>
      <c r="I3672">
        <f>IF('Cash_Check'!A672="","",'Cash_Check'!A672)</f>
        <v/>
      </c>
      <c r="J3672">
        <f>IF('Cash_Check'!D672="","",'Cash_Check'!D672)</f>
        <v/>
      </c>
      <c r="K3672">
        <f>TRIM('Cash_Check'!B672)</f>
        <v/>
      </c>
      <c r="M3672">
        <f>IF(TRIM('Cash_Check'!E672)="","Cash/check",TRIM('Cash_Check'!E672))</f>
        <v/>
      </c>
      <c r="N3672">
        <f>IF(I3672="","",IF(ISNUMBER(I3672),INT(I3672),IFERROR(INT(DATEVALUE(I3672)),IFERROR(INT(VALUE(I3672)),"bad"))))</f>
        <v/>
      </c>
      <c r="O3672">
        <f>IF(J3672="","",IF(ISNUMBER(J3672),ROUND(J3672,2),IFERROR(ROUND(VALUE(SUBSTITUTE(SUBSTITUTE(SUBSTITUTE(J3672,"$",""),",","")," ","")),2),"bad")))</f>
        <v/>
      </c>
      <c r="P3672">
        <f>IF(K3672="","",IFERROR(MATCH(IF(ISNUMBER(FIND("#",K3672)),TRIM(MID(K3672,FIND("#",K3672)+1,20)),UPPER(K3672)),'Students'!$AD$2:$AD$701,0),""))</f>
        <v/>
      </c>
      <c r="R3672">
        <f>IF(P3672="","",INDEX('Students'!$AD$2:$AD$701,P3672))</f>
        <v/>
      </c>
      <c r="S3672">
        <f>IF(H3672="OK",O3672,0)</f>
        <v/>
      </c>
      <c r="T3672">
        <f>IF(H3672="OK",N3672,"")</f>
        <v/>
      </c>
      <c r="U3672">
        <f>TRIM('Cash_Check'!C672)</f>
        <v/>
      </c>
    </row>
    <row r="3673">
      <c r="A3673" s="62">
        <f>IF(H3673="","",IF(ISNUMBER(N3673),N3673,I3673))</f>
        <v/>
      </c>
      <c r="B3673">
        <f>IF(H3673="","",U3673)</f>
        <v/>
      </c>
      <c r="C3673">
        <f>IF(H3673="","",IF(P3673="",K3673,INDEX('Students'!$A$2:$A$701,P3673)))</f>
        <v/>
      </c>
      <c r="D3673">
        <f>IF(OR(H3673="",P3673=""),"",INDEX('Students'!$B$2:$B$701,P3673))</f>
        <v/>
      </c>
      <c r="E3673">
        <f>IF(OR(H3673="",P3673=""),"",INDEX('Students'!$C$2:$C$701,P3673))</f>
        <v/>
      </c>
      <c r="F3673" s="48">
        <f>IF(H3673="","",IF(ISNUMBER(O3673),O3673,J3673))</f>
        <v/>
      </c>
      <c r="G3673">
        <f>IF(H3673="","",M3673)</f>
        <v/>
      </c>
      <c r="H3673">
        <f>IF(AND(I3673="",J3673="",K3673=""),"",IF(OR(NOT(ISNUMBER(O3673)),N(O3673)&lt;=0),"Bad amount",IF(NOT(ISNUMBER(N3673)),"Bad date",IF(P3673="","NAME NOT ON ROSTER","OK"))))</f>
        <v/>
      </c>
      <c r="I3673">
        <f>IF('Cash_Check'!A673="","",'Cash_Check'!A673)</f>
        <v/>
      </c>
      <c r="J3673">
        <f>IF('Cash_Check'!D673="","",'Cash_Check'!D673)</f>
        <v/>
      </c>
      <c r="K3673">
        <f>TRIM('Cash_Check'!B673)</f>
        <v/>
      </c>
      <c r="M3673">
        <f>IF(TRIM('Cash_Check'!E673)="","Cash/check",TRIM('Cash_Check'!E673))</f>
        <v/>
      </c>
      <c r="N3673">
        <f>IF(I3673="","",IF(ISNUMBER(I3673),INT(I3673),IFERROR(INT(DATEVALUE(I3673)),IFERROR(INT(VALUE(I3673)),"bad"))))</f>
        <v/>
      </c>
      <c r="O3673">
        <f>IF(J3673="","",IF(ISNUMBER(J3673),ROUND(J3673,2),IFERROR(ROUND(VALUE(SUBSTITUTE(SUBSTITUTE(SUBSTITUTE(J3673,"$",""),",","")," ","")),2),"bad")))</f>
        <v/>
      </c>
      <c r="P3673">
        <f>IF(K3673="","",IFERROR(MATCH(IF(ISNUMBER(FIND("#",K3673)),TRIM(MID(K3673,FIND("#",K3673)+1,20)),UPPER(K3673)),'Students'!$AD$2:$AD$701,0),""))</f>
        <v/>
      </c>
      <c r="R3673">
        <f>IF(P3673="","",INDEX('Students'!$AD$2:$AD$701,P3673))</f>
        <v/>
      </c>
      <c r="S3673">
        <f>IF(H3673="OK",O3673,0)</f>
        <v/>
      </c>
      <c r="T3673">
        <f>IF(H3673="OK",N3673,"")</f>
        <v/>
      </c>
      <c r="U3673">
        <f>TRIM('Cash_Check'!C673)</f>
        <v/>
      </c>
    </row>
    <row r="3674">
      <c r="A3674" s="62">
        <f>IF(H3674="","",IF(ISNUMBER(N3674),N3674,I3674))</f>
        <v/>
      </c>
      <c r="B3674">
        <f>IF(H3674="","",U3674)</f>
        <v/>
      </c>
      <c r="C3674">
        <f>IF(H3674="","",IF(P3674="",K3674,INDEX('Students'!$A$2:$A$701,P3674)))</f>
        <v/>
      </c>
      <c r="D3674">
        <f>IF(OR(H3674="",P3674=""),"",INDEX('Students'!$B$2:$B$701,P3674))</f>
        <v/>
      </c>
      <c r="E3674">
        <f>IF(OR(H3674="",P3674=""),"",INDEX('Students'!$C$2:$C$701,P3674))</f>
        <v/>
      </c>
      <c r="F3674" s="48">
        <f>IF(H3674="","",IF(ISNUMBER(O3674),O3674,J3674))</f>
        <v/>
      </c>
      <c r="G3674">
        <f>IF(H3674="","",M3674)</f>
        <v/>
      </c>
      <c r="H3674">
        <f>IF(AND(I3674="",J3674="",K3674=""),"",IF(OR(NOT(ISNUMBER(O3674)),N(O3674)&lt;=0),"Bad amount",IF(NOT(ISNUMBER(N3674)),"Bad date",IF(P3674="","NAME NOT ON ROSTER","OK"))))</f>
        <v/>
      </c>
      <c r="I3674">
        <f>IF('Cash_Check'!A674="","",'Cash_Check'!A674)</f>
        <v/>
      </c>
      <c r="J3674">
        <f>IF('Cash_Check'!D674="","",'Cash_Check'!D674)</f>
        <v/>
      </c>
      <c r="K3674">
        <f>TRIM('Cash_Check'!B674)</f>
        <v/>
      </c>
      <c r="M3674">
        <f>IF(TRIM('Cash_Check'!E674)="","Cash/check",TRIM('Cash_Check'!E674))</f>
        <v/>
      </c>
      <c r="N3674">
        <f>IF(I3674="","",IF(ISNUMBER(I3674),INT(I3674),IFERROR(INT(DATEVALUE(I3674)),IFERROR(INT(VALUE(I3674)),"bad"))))</f>
        <v/>
      </c>
      <c r="O3674">
        <f>IF(J3674="","",IF(ISNUMBER(J3674),ROUND(J3674,2),IFERROR(ROUND(VALUE(SUBSTITUTE(SUBSTITUTE(SUBSTITUTE(J3674,"$",""),",","")," ","")),2),"bad")))</f>
        <v/>
      </c>
      <c r="P3674">
        <f>IF(K3674="","",IFERROR(MATCH(IF(ISNUMBER(FIND("#",K3674)),TRIM(MID(K3674,FIND("#",K3674)+1,20)),UPPER(K3674)),'Students'!$AD$2:$AD$701,0),""))</f>
        <v/>
      </c>
      <c r="R3674">
        <f>IF(P3674="","",INDEX('Students'!$AD$2:$AD$701,P3674))</f>
        <v/>
      </c>
      <c r="S3674">
        <f>IF(H3674="OK",O3674,0)</f>
        <v/>
      </c>
      <c r="T3674">
        <f>IF(H3674="OK",N3674,"")</f>
        <v/>
      </c>
      <c r="U3674">
        <f>TRIM('Cash_Check'!C674)</f>
        <v/>
      </c>
    </row>
    <row r="3675">
      <c r="A3675" s="62">
        <f>IF(H3675="","",IF(ISNUMBER(N3675),N3675,I3675))</f>
        <v/>
      </c>
      <c r="B3675">
        <f>IF(H3675="","",U3675)</f>
        <v/>
      </c>
      <c r="C3675">
        <f>IF(H3675="","",IF(P3675="",K3675,INDEX('Students'!$A$2:$A$701,P3675)))</f>
        <v/>
      </c>
      <c r="D3675">
        <f>IF(OR(H3675="",P3675=""),"",INDEX('Students'!$B$2:$B$701,P3675))</f>
        <v/>
      </c>
      <c r="E3675">
        <f>IF(OR(H3675="",P3675=""),"",INDEX('Students'!$C$2:$C$701,P3675))</f>
        <v/>
      </c>
      <c r="F3675" s="48">
        <f>IF(H3675="","",IF(ISNUMBER(O3675),O3675,J3675))</f>
        <v/>
      </c>
      <c r="G3675">
        <f>IF(H3675="","",M3675)</f>
        <v/>
      </c>
      <c r="H3675">
        <f>IF(AND(I3675="",J3675="",K3675=""),"",IF(OR(NOT(ISNUMBER(O3675)),N(O3675)&lt;=0),"Bad amount",IF(NOT(ISNUMBER(N3675)),"Bad date",IF(P3675="","NAME NOT ON ROSTER","OK"))))</f>
        <v/>
      </c>
      <c r="I3675">
        <f>IF('Cash_Check'!A675="","",'Cash_Check'!A675)</f>
        <v/>
      </c>
      <c r="J3675">
        <f>IF('Cash_Check'!D675="","",'Cash_Check'!D675)</f>
        <v/>
      </c>
      <c r="K3675">
        <f>TRIM('Cash_Check'!B675)</f>
        <v/>
      </c>
      <c r="M3675">
        <f>IF(TRIM('Cash_Check'!E675)="","Cash/check",TRIM('Cash_Check'!E675))</f>
        <v/>
      </c>
      <c r="N3675">
        <f>IF(I3675="","",IF(ISNUMBER(I3675),INT(I3675),IFERROR(INT(DATEVALUE(I3675)),IFERROR(INT(VALUE(I3675)),"bad"))))</f>
        <v/>
      </c>
      <c r="O3675">
        <f>IF(J3675="","",IF(ISNUMBER(J3675),ROUND(J3675,2),IFERROR(ROUND(VALUE(SUBSTITUTE(SUBSTITUTE(SUBSTITUTE(J3675,"$",""),",","")," ","")),2),"bad")))</f>
        <v/>
      </c>
      <c r="P3675">
        <f>IF(K3675="","",IFERROR(MATCH(IF(ISNUMBER(FIND("#",K3675)),TRIM(MID(K3675,FIND("#",K3675)+1,20)),UPPER(K3675)),'Students'!$AD$2:$AD$701,0),""))</f>
        <v/>
      </c>
      <c r="R3675">
        <f>IF(P3675="","",INDEX('Students'!$AD$2:$AD$701,P3675))</f>
        <v/>
      </c>
      <c r="S3675">
        <f>IF(H3675="OK",O3675,0)</f>
        <v/>
      </c>
      <c r="T3675">
        <f>IF(H3675="OK",N3675,"")</f>
        <v/>
      </c>
      <c r="U3675">
        <f>TRIM('Cash_Check'!C675)</f>
        <v/>
      </c>
    </row>
    <row r="3676">
      <c r="A3676" s="62">
        <f>IF(H3676="","",IF(ISNUMBER(N3676),N3676,I3676))</f>
        <v/>
      </c>
      <c r="B3676">
        <f>IF(H3676="","",U3676)</f>
        <v/>
      </c>
      <c r="C3676">
        <f>IF(H3676="","",IF(P3676="",K3676,INDEX('Students'!$A$2:$A$701,P3676)))</f>
        <v/>
      </c>
      <c r="D3676">
        <f>IF(OR(H3676="",P3676=""),"",INDEX('Students'!$B$2:$B$701,P3676))</f>
        <v/>
      </c>
      <c r="E3676">
        <f>IF(OR(H3676="",P3676=""),"",INDEX('Students'!$C$2:$C$701,P3676))</f>
        <v/>
      </c>
      <c r="F3676" s="48">
        <f>IF(H3676="","",IF(ISNUMBER(O3676),O3676,J3676))</f>
        <v/>
      </c>
      <c r="G3676">
        <f>IF(H3676="","",M3676)</f>
        <v/>
      </c>
      <c r="H3676">
        <f>IF(AND(I3676="",J3676="",K3676=""),"",IF(OR(NOT(ISNUMBER(O3676)),N(O3676)&lt;=0),"Bad amount",IF(NOT(ISNUMBER(N3676)),"Bad date",IF(P3676="","NAME NOT ON ROSTER","OK"))))</f>
        <v/>
      </c>
      <c r="I3676">
        <f>IF('Cash_Check'!A676="","",'Cash_Check'!A676)</f>
        <v/>
      </c>
      <c r="J3676">
        <f>IF('Cash_Check'!D676="","",'Cash_Check'!D676)</f>
        <v/>
      </c>
      <c r="K3676">
        <f>TRIM('Cash_Check'!B676)</f>
        <v/>
      </c>
      <c r="M3676">
        <f>IF(TRIM('Cash_Check'!E676)="","Cash/check",TRIM('Cash_Check'!E676))</f>
        <v/>
      </c>
      <c r="N3676">
        <f>IF(I3676="","",IF(ISNUMBER(I3676),INT(I3676),IFERROR(INT(DATEVALUE(I3676)),IFERROR(INT(VALUE(I3676)),"bad"))))</f>
        <v/>
      </c>
      <c r="O3676">
        <f>IF(J3676="","",IF(ISNUMBER(J3676),ROUND(J3676,2),IFERROR(ROUND(VALUE(SUBSTITUTE(SUBSTITUTE(SUBSTITUTE(J3676,"$",""),",","")," ","")),2),"bad")))</f>
        <v/>
      </c>
      <c r="P3676">
        <f>IF(K3676="","",IFERROR(MATCH(IF(ISNUMBER(FIND("#",K3676)),TRIM(MID(K3676,FIND("#",K3676)+1,20)),UPPER(K3676)),'Students'!$AD$2:$AD$701,0),""))</f>
        <v/>
      </c>
      <c r="R3676">
        <f>IF(P3676="","",INDEX('Students'!$AD$2:$AD$701,P3676))</f>
        <v/>
      </c>
      <c r="S3676">
        <f>IF(H3676="OK",O3676,0)</f>
        <v/>
      </c>
      <c r="T3676">
        <f>IF(H3676="OK",N3676,"")</f>
        <v/>
      </c>
      <c r="U3676">
        <f>TRIM('Cash_Check'!C676)</f>
        <v/>
      </c>
    </row>
    <row r="3677">
      <c r="A3677" s="62">
        <f>IF(H3677="","",IF(ISNUMBER(N3677),N3677,I3677))</f>
        <v/>
      </c>
      <c r="B3677">
        <f>IF(H3677="","",U3677)</f>
        <v/>
      </c>
      <c r="C3677">
        <f>IF(H3677="","",IF(P3677="",K3677,INDEX('Students'!$A$2:$A$701,P3677)))</f>
        <v/>
      </c>
      <c r="D3677">
        <f>IF(OR(H3677="",P3677=""),"",INDEX('Students'!$B$2:$B$701,P3677))</f>
        <v/>
      </c>
      <c r="E3677">
        <f>IF(OR(H3677="",P3677=""),"",INDEX('Students'!$C$2:$C$701,P3677))</f>
        <v/>
      </c>
      <c r="F3677" s="48">
        <f>IF(H3677="","",IF(ISNUMBER(O3677),O3677,J3677))</f>
        <v/>
      </c>
      <c r="G3677">
        <f>IF(H3677="","",M3677)</f>
        <v/>
      </c>
      <c r="H3677">
        <f>IF(AND(I3677="",J3677="",K3677=""),"",IF(OR(NOT(ISNUMBER(O3677)),N(O3677)&lt;=0),"Bad amount",IF(NOT(ISNUMBER(N3677)),"Bad date",IF(P3677="","NAME NOT ON ROSTER","OK"))))</f>
        <v/>
      </c>
      <c r="I3677">
        <f>IF('Cash_Check'!A677="","",'Cash_Check'!A677)</f>
        <v/>
      </c>
      <c r="J3677">
        <f>IF('Cash_Check'!D677="","",'Cash_Check'!D677)</f>
        <v/>
      </c>
      <c r="K3677">
        <f>TRIM('Cash_Check'!B677)</f>
        <v/>
      </c>
      <c r="M3677">
        <f>IF(TRIM('Cash_Check'!E677)="","Cash/check",TRIM('Cash_Check'!E677))</f>
        <v/>
      </c>
      <c r="N3677">
        <f>IF(I3677="","",IF(ISNUMBER(I3677),INT(I3677),IFERROR(INT(DATEVALUE(I3677)),IFERROR(INT(VALUE(I3677)),"bad"))))</f>
        <v/>
      </c>
      <c r="O3677">
        <f>IF(J3677="","",IF(ISNUMBER(J3677),ROUND(J3677,2),IFERROR(ROUND(VALUE(SUBSTITUTE(SUBSTITUTE(SUBSTITUTE(J3677,"$",""),",","")," ","")),2),"bad")))</f>
        <v/>
      </c>
      <c r="P3677">
        <f>IF(K3677="","",IFERROR(MATCH(IF(ISNUMBER(FIND("#",K3677)),TRIM(MID(K3677,FIND("#",K3677)+1,20)),UPPER(K3677)),'Students'!$AD$2:$AD$701,0),""))</f>
        <v/>
      </c>
      <c r="R3677">
        <f>IF(P3677="","",INDEX('Students'!$AD$2:$AD$701,P3677))</f>
        <v/>
      </c>
      <c r="S3677">
        <f>IF(H3677="OK",O3677,0)</f>
        <v/>
      </c>
      <c r="T3677">
        <f>IF(H3677="OK",N3677,"")</f>
        <v/>
      </c>
      <c r="U3677">
        <f>TRIM('Cash_Check'!C677)</f>
        <v/>
      </c>
    </row>
    <row r="3678">
      <c r="A3678" s="62">
        <f>IF(H3678="","",IF(ISNUMBER(N3678),N3678,I3678))</f>
        <v/>
      </c>
      <c r="B3678">
        <f>IF(H3678="","",U3678)</f>
        <v/>
      </c>
      <c r="C3678">
        <f>IF(H3678="","",IF(P3678="",K3678,INDEX('Students'!$A$2:$A$701,P3678)))</f>
        <v/>
      </c>
      <c r="D3678">
        <f>IF(OR(H3678="",P3678=""),"",INDEX('Students'!$B$2:$B$701,P3678))</f>
        <v/>
      </c>
      <c r="E3678">
        <f>IF(OR(H3678="",P3678=""),"",INDEX('Students'!$C$2:$C$701,P3678))</f>
        <v/>
      </c>
      <c r="F3678" s="48">
        <f>IF(H3678="","",IF(ISNUMBER(O3678),O3678,J3678))</f>
        <v/>
      </c>
      <c r="G3678">
        <f>IF(H3678="","",M3678)</f>
        <v/>
      </c>
      <c r="H3678">
        <f>IF(AND(I3678="",J3678="",K3678=""),"",IF(OR(NOT(ISNUMBER(O3678)),N(O3678)&lt;=0),"Bad amount",IF(NOT(ISNUMBER(N3678)),"Bad date",IF(P3678="","NAME NOT ON ROSTER","OK"))))</f>
        <v/>
      </c>
      <c r="I3678">
        <f>IF('Cash_Check'!A678="","",'Cash_Check'!A678)</f>
        <v/>
      </c>
      <c r="J3678">
        <f>IF('Cash_Check'!D678="","",'Cash_Check'!D678)</f>
        <v/>
      </c>
      <c r="K3678">
        <f>TRIM('Cash_Check'!B678)</f>
        <v/>
      </c>
      <c r="M3678">
        <f>IF(TRIM('Cash_Check'!E678)="","Cash/check",TRIM('Cash_Check'!E678))</f>
        <v/>
      </c>
      <c r="N3678">
        <f>IF(I3678="","",IF(ISNUMBER(I3678),INT(I3678),IFERROR(INT(DATEVALUE(I3678)),IFERROR(INT(VALUE(I3678)),"bad"))))</f>
        <v/>
      </c>
      <c r="O3678">
        <f>IF(J3678="","",IF(ISNUMBER(J3678),ROUND(J3678,2),IFERROR(ROUND(VALUE(SUBSTITUTE(SUBSTITUTE(SUBSTITUTE(J3678,"$",""),",","")," ","")),2),"bad")))</f>
        <v/>
      </c>
      <c r="P3678">
        <f>IF(K3678="","",IFERROR(MATCH(IF(ISNUMBER(FIND("#",K3678)),TRIM(MID(K3678,FIND("#",K3678)+1,20)),UPPER(K3678)),'Students'!$AD$2:$AD$701,0),""))</f>
        <v/>
      </c>
      <c r="R3678">
        <f>IF(P3678="","",INDEX('Students'!$AD$2:$AD$701,P3678))</f>
        <v/>
      </c>
      <c r="S3678">
        <f>IF(H3678="OK",O3678,0)</f>
        <v/>
      </c>
      <c r="T3678">
        <f>IF(H3678="OK",N3678,"")</f>
        <v/>
      </c>
      <c r="U3678">
        <f>TRIM('Cash_Check'!C678)</f>
        <v/>
      </c>
    </row>
    <row r="3679">
      <c r="A3679" s="62">
        <f>IF(H3679="","",IF(ISNUMBER(N3679),N3679,I3679))</f>
        <v/>
      </c>
      <c r="B3679">
        <f>IF(H3679="","",U3679)</f>
        <v/>
      </c>
      <c r="C3679">
        <f>IF(H3679="","",IF(P3679="",K3679,INDEX('Students'!$A$2:$A$701,P3679)))</f>
        <v/>
      </c>
      <c r="D3679">
        <f>IF(OR(H3679="",P3679=""),"",INDEX('Students'!$B$2:$B$701,P3679))</f>
        <v/>
      </c>
      <c r="E3679">
        <f>IF(OR(H3679="",P3679=""),"",INDEX('Students'!$C$2:$C$701,P3679))</f>
        <v/>
      </c>
      <c r="F3679" s="48">
        <f>IF(H3679="","",IF(ISNUMBER(O3679),O3679,J3679))</f>
        <v/>
      </c>
      <c r="G3679">
        <f>IF(H3679="","",M3679)</f>
        <v/>
      </c>
      <c r="H3679">
        <f>IF(AND(I3679="",J3679="",K3679=""),"",IF(OR(NOT(ISNUMBER(O3679)),N(O3679)&lt;=0),"Bad amount",IF(NOT(ISNUMBER(N3679)),"Bad date",IF(P3679="","NAME NOT ON ROSTER","OK"))))</f>
        <v/>
      </c>
      <c r="I3679">
        <f>IF('Cash_Check'!A679="","",'Cash_Check'!A679)</f>
        <v/>
      </c>
      <c r="J3679">
        <f>IF('Cash_Check'!D679="","",'Cash_Check'!D679)</f>
        <v/>
      </c>
      <c r="K3679">
        <f>TRIM('Cash_Check'!B679)</f>
        <v/>
      </c>
      <c r="M3679">
        <f>IF(TRIM('Cash_Check'!E679)="","Cash/check",TRIM('Cash_Check'!E679))</f>
        <v/>
      </c>
      <c r="N3679">
        <f>IF(I3679="","",IF(ISNUMBER(I3679),INT(I3679),IFERROR(INT(DATEVALUE(I3679)),IFERROR(INT(VALUE(I3679)),"bad"))))</f>
        <v/>
      </c>
      <c r="O3679">
        <f>IF(J3679="","",IF(ISNUMBER(J3679),ROUND(J3679,2),IFERROR(ROUND(VALUE(SUBSTITUTE(SUBSTITUTE(SUBSTITUTE(J3679,"$",""),",","")," ","")),2),"bad")))</f>
        <v/>
      </c>
      <c r="P3679">
        <f>IF(K3679="","",IFERROR(MATCH(IF(ISNUMBER(FIND("#",K3679)),TRIM(MID(K3679,FIND("#",K3679)+1,20)),UPPER(K3679)),'Students'!$AD$2:$AD$701,0),""))</f>
        <v/>
      </c>
      <c r="R3679">
        <f>IF(P3679="","",INDEX('Students'!$AD$2:$AD$701,P3679))</f>
        <v/>
      </c>
      <c r="S3679">
        <f>IF(H3679="OK",O3679,0)</f>
        <v/>
      </c>
      <c r="T3679">
        <f>IF(H3679="OK",N3679,"")</f>
        <v/>
      </c>
      <c r="U3679">
        <f>TRIM('Cash_Check'!C679)</f>
        <v/>
      </c>
    </row>
    <row r="3680">
      <c r="A3680" s="62">
        <f>IF(H3680="","",IF(ISNUMBER(N3680),N3680,I3680))</f>
        <v/>
      </c>
      <c r="B3680">
        <f>IF(H3680="","",U3680)</f>
        <v/>
      </c>
      <c r="C3680">
        <f>IF(H3680="","",IF(P3680="",K3680,INDEX('Students'!$A$2:$A$701,P3680)))</f>
        <v/>
      </c>
      <c r="D3680">
        <f>IF(OR(H3680="",P3680=""),"",INDEX('Students'!$B$2:$B$701,P3680))</f>
        <v/>
      </c>
      <c r="E3680">
        <f>IF(OR(H3680="",P3680=""),"",INDEX('Students'!$C$2:$C$701,P3680))</f>
        <v/>
      </c>
      <c r="F3680" s="48">
        <f>IF(H3680="","",IF(ISNUMBER(O3680),O3680,J3680))</f>
        <v/>
      </c>
      <c r="G3680">
        <f>IF(H3680="","",M3680)</f>
        <v/>
      </c>
      <c r="H3680">
        <f>IF(AND(I3680="",J3680="",K3680=""),"",IF(OR(NOT(ISNUMBER(O3680)),N(O3680)&lt;=0),"Bad amount",IF(NOT(ISNUMBER(N3680)),"Bad date",IF(P3680="","NAME NOT ON ROSTER","OK"))))</f>
        <v/>
      </c>
      <c r="I3680">
        <f>IF('Cash_Check'!A680="","",'Cash_Check'!A680)</f>
        <v/>
      </c>
      <c r="J3680">
        <f>IF('Cash_Check'!D680="","",'Cash_Check'!D680)</f>
        <v/>
      </c>
      <c r="K3680">
        <f>TRIM('Cash_Check'!B680)</f>
        <v/>
      </c>
      <c r="M3680">
        <f>IF(TRIM('Cash_Check'!E680)="","Cash/check",TRIM('Cash_Check'!E680))</f>
        <v/>
      </c>
      <c r="N3680">
        <f>IF(I3680="","",IF(ISNUMBER(I3680),INT(I3680),IFERROR(INT(DATEVALUE(I3680)),IFERROR(INT(VALUE(I3680)),"bad"))))</f>
        <v/>
      </c>
      <c r="O3680">
        <f>IF(J3680="","",IF(ISNUMBER(J3680),ROUND(J3680,2),IFERROR(ROUND(VALUE(SUBSTITUTE(SUBSTITUTE(SUBSTITUTE(J3680,"$",""),",","")," ","")),2),"bad")))</f>
        <v/>
      </c>
      <c r="P3680">
        <f>IF(K3680="","",IFERROR(MATCH(IF(ISNUMBER(FIND("#",K3680)),TRIM(MID(K3680,FIND("#",K3680)+1,20)),UPPER(K3680)),'Students'!$AD$2:$AD$701,0),""))</f>
        <v/>
      </c>
      <c r="R3680">
        <f>IF(P3680="","",INDEX('Students'!$AD$2:$AD$701,P3680))</f>
        <v/>
      </c>
      <c r="S3680">
        <f>IF(H3680="OK",O3680,0)</f>
        <v/>
      </c>
      <c r="T3680">
        <f>IF(H3680="OK",N3680,"")</f>
        <v/>
      </c>
      <c r="U3680">
        <f>TRIM('Cash_Check'!C680)</f>
        <v/>
      </c>
    </row>
    <row r="3681">
      <c r="A3681" s="62">
        <f>IF(H3681="","",IF(ISNUMBER(N3681),N3681,I3681))</f>
        <v/>
      </c>
      <c r="B3681">
        <f>IF(H3681="","",U3681)</f>
        <v/>
      </c>
      <c r="C3681">
        <f>IF(H3681="","",IF(P3681="",K3681,INDEX('Students'!$A$2:$A$701,P3681)))</f>
        <v/>
      </c>
      <c r="D3681">
        <f>IF(OR(H3681="",P3681=""),"",INDEX('Students'!$B$2:$B$701,P3681))</f>
        <v/>
      </c>
      <c r="E3681">
        <f>IF(OR(H3681="",P3681=""),"",INDEX('Students'!$C$2:$C$701,P3681))</f>
        <v/>
      </c>
      <c r="F3681" s="48">
        <f>IF(H3681="","",IF(ISNUMBER(O3681),O3681,J3681))</f>
        <v/>
      </c>
      <c r="G3681">
        <f>IF(H3681="","",M3681)</f>
        <v/>
      </c>
      <c r="H3681">
        <f>IF(AND(I3681="",J3681="",K3681=""),"",IF(OR(NOT(ISNUMBER(O3681)),N(O3681)&lt;=0),"Bad amount",IF(NOT(ISNUMBER(N3681)),"Bad date",IF(P3681="","NAME NOT ON ROSTER","OK"))))</f>
        <v/>
      </c>
      <c r="I3681">
        <f>IF('Cash_Check'!A681="","",'Cash_Check'!A681)</f>
        <v/>
      </c>
      <c r="J3681">
        <f>IF('Cash_Check'!D681="","",'Cash_Check'!D681)</f>
        <v/>
      </c>
      <c r="K3681">
        <f>TRIM('Cash_Check'!B681)</f>
        <v/>
      </c>
      <c r="M3681">
        <f>IF(TRIM('Cash_Check'!E681)="","Cash/check",TRIM('Cash_Check'!E681))</f>
        <v/>
      </c>
      <c r="N3681">
        <f>IF(I3681="","",IF(ISNUMBER(I3681),INT(I3681),IFERROR(INT(DATEVALUE(I3681)),IFERROR(INT(VALUE(I3681)),"bad"))))</f>
        <v/>
      </c>
      <c r="O3681">
        <f>IF(J3681="","",IF(ISNUMBER(J3681),ROUND(J3681,2),IFERROR(ROUND(VALUE(SUBSTITUTE(SUBSTITUTE(SUBSTITUTE(J3681,"$",""),",","")," ","")),2),"bad")))</f>
        <v/>
      </c>
      <c r="P3681">
        <f>IF(K3681="","",IFERROR(MATCH(IF(ISNUMBER(FIND("#",K3681)),TRIM(MID(K3681,FIND("#",K3681)+1,20)),UPPER(K3681)),'Students'!$AD$2:$AD$701,0),""))</f>
        <v/>
      </c>
      <c r="R3681">
        <f>IF(P3681="","",INDEX('Students'!$AD$2:$AD$701,P3681))</f>
        <v/>
      </c>
      <c r="S3681">
        <f>IF(H3681="OK",O3681,0)</f>
        <v/>
      </c>
      <c r="T3681">
        <f>IF(H3681="OK",N3681,"")</f>
        <v/>
      </c>
      <c r="U3681">
        <f>TRIM('Cash_Check'!C681)</f>
        <v/>
      </c>
    </row>
    <row r="3682">
      <c r="A3682" s="62">
        <f>IF(H3682="","",IF(ISNUMBER(N3682),N3682,I3682))</f>
        <v/>
      </c>
      <c r="B3682">
        <f>IF(H3682="","",U3682)</f>
        <v/>
      </c>
      <c r="C3682">
        <f>IF(H3682="","",IF(P3682="",K3682,INDEX('Students'!$A$2:$A$701,P3682)))</f>
        <v/>
      </c>
      <c r="D3682">
        <f>IF(OR(H3682="",P3682=""),"",INDEX('Students'!$B$2:$B$701,P3682))</f>
        <v/>
      </c>
      <c r="E3682">
        <f>IF(OR(H3682="",P3682=""),"",INDEX('Students'!$C$2:$C$701,P3682))</f>
        <v/>
      </c>
      <c r="F3682" s="48">
        <f>IF(H3682="","",IF(ISNUMBER(O3682),O3682,J3682))</f>
        <v/>
      </c>
      <c r="G3682">
        <f>IF(H3682="","",M3682)</f>
        <v/>
      </c>
      <c r="H3682">
        <f>IF(AND(I3682="",J3682="",K3682=""),"",IF(OR(NOT(ISNUMBER(O3682)),N(O3682)&lt;=0),"Bad amount",IF(NOT(ISNUMBER(N3682)),"Bad date",IF(P3682="","NAME NOT ON ROSTER","OK"))))</f>
        <v/>
      </c>
      <c r="I3682">
        <f>IF('Cash_Check'!A682="","",'Cash_Check'!A682)</f>
        <v/>
      </c>
      <c r="J3682">
        <f>IF('Cash_Check'!D682="","",'Cash_Check'!D682)</f>
        <v/>
      </c>
      <c r="K3682">
        <f>TRIM('Cash_Check'!B682)</f>
        <v/>
      </c>
      <c r="M3682">
        <f>IF(TRIM('Cash_Check'!E682)="","Cash/check",TRIM('Cash_Check'!E682))</f>
        <v/>
      </c>
      <c r="N3682">
        <f>IF(I3682="","",IF(ISNUMBER(I3682),INT(I3682),IFERROR(INT(DATEVALUE(I3682)),IFERROR(INT(VALUE(I3682)),"bad"))))</f>
        <v/>
      </c>
      <c r="O3682">
        <f>IF(J3682="","",IF(ISNUMBER(J3682),ROUND(J3682,2),IFERROR(ROUND(VALUE(SUBSTITUTE(SUBSTITUTE(SUBSTITUTE(J3682,"$",""),",","")," ","")),2),"bad")))</f>
        <v/>
      </c>
      <c r="P3682">
        <f>IF(K3682="","",IFERROR(MATCH(IF(ISNUMBER(FIND("#",K3682)),TRIM(MID(K3682,FIND("#",K3682)+1,20)),UPPER(K3682)),'Students'!$AD$2:$AD$701,0),""))</f>
        <v/>
      </c>
      <c r="R3682">
        <f>IF(P3682="","",INDEX('Students'!$AD$2:$AD$701,P3682))</f>
        <v/>
      </c>
      <c r="S3682">
        <f>IF(H3682="OK",O3682,0)</f>
        <v/>
      </c>
      <c r="T3682">
        <f>IF(H3682="OK",N3682,"")</f>
        <v/>
      </c>
      <c r="U3682">
        <f>TRIM('Cash_Check'!C682)</f>
        <v/>
      </c>
    </row>
    <row r="3683">
      <c r="A3683" s="62">
        <f>IF(H3683="","",IF(ISNUMBER(N3683),N3683,I3683))</f>
        <v/>
      </c>
      <c r="B3683">
        <f>IF(H3683="","",U3683)</f>
        <v/>
      </c>
      <c r="C3683">
        <f>IF(H3683="","",IF(P3683="",K3683,INDEX('Students'!$A$2:$A$701,P3683)))</f>
        <v/>
      </c>
      <c r="D3683">
        <f>IF(OR(H3683="",P3683=""),"",INDEX('Students'!$B$2:$B$701,P3683))</f>
        <v/>
      </c>
      <c r="E3683">
        <f>IF(OR(H3683="",P3683=""),"",INDEX('Students'!$C$2:$C$701,P3683))</f>
        <v/>
      </c>
      <c r="F3683" s="48">
        <f>IF(H3683="","",IF(ISNUMBER(O3683),O3683,J3683))</f>
        <v/>
      </c>
      <c r="G3683">
        <f>IF(H3683="","",M3683)</f>
        <v/>
      </c>
      <c r="H3683">
        <f>IF(AND(I3683="",J3683="",K3683=""),"",IF(OR(NOT(ISNUMBER(O3683)),N(O3683)&lt;=0),"Bad amount",IF(NOT(ISNUMBER(N3683)),"Bad date",IF(P3683="","NAME NOT ON ROSTER","OK"))))</f>
        <v/>
      </c>
      <c r="I3683">
        <f>IF('Cash_Check'!A683="","",'Cash_Check'!A683)</f>
        <v/>
      </c>
      <c r="J3683">
        <f>IF('Cash_Check'!D683="","",'Cash_Check'!D683)</f>
        <v/>
      </c>
      <c r="K3683">
        <f>TRIM('Cash_Check'!B683)</f>
        <v/>
      </c>
      <c r="M3683">
        <f>IF(TRIM('Cash_Check'!E683)="","Cash/check",TRIM('Cash_Check'!E683))</f>
        <v/>
      </c>
      <c r="N3683">
        <f>IF(I3683="","",IF(ISNUMBER(I3683),INT(I3683),IFERROR(INT(DATEVALUE(I3683)),IFERROR(INT(VALUE(I3683)),"bad"))))</f>
        <v/>
      </c>
      <c r="O3683">
        <f>IF(J3683="","",IF(ISNUMBER(J3683),ROUND(J3683,2),IFERROR(ROUND(VALUE(SUBSTITUTE(SUBSTITUTE(SUBSTITUTE(J3683,"$",""),",","")," ","")),2),"bad")))</f>
        <v/>
      </c>
      <c r="P3683">
        <f>IF(K3683="","",IFERROR(MATCH(IF(ISNUMBER(FIND("#",K3683)),TRIM(MID(K3683,FIND("#",K3683)+1,20)),UPPER(K3683)),'Students'!$AD$2:$AD$701,0),""))</f>
        <v/>
      </c>
      <c r="R3683">
        <f>IF(P3683="","",INDEX('Students'!$AD$2:$AD$701,P3683))</f>
        <v/>
      </c>
      <c r="S3683">
        <f>IF(H3683="OK",O3683,0)</f>
        <v/>
      </c>
      <c r="T3683">
        <f>IF(H3683="OK",N3683,"")</f>
        <v/>
      </c>
      <c r="U3683">
        <f>TRIM('Cash_Check'!C683)</f>
        <v/>
      </c>
    </row>
    <row r="3684">
      <c r="A3684" s="62">
        <f>IF(H3684="","",IF(ISNUMBER(N3684),N3684,I3684))</f>
        <v/>
      </c>
      <c r="B3684">
        <f>IF(H3684="","",U3684)</f>
        <v/>
      </c>
      <c r="C3684">
        <f>IF(H3684="","",IF(P3684="",K3684,INDEX('Students'!$A$2:$A$701,P3684)))</f>
        <v/>
      </c>
      <c r="D3684">
        <f>IF(OR(H3684="",P3684=""),"",INDEX('Students'!$B$2:$B$701,P3684))</f>
        <v/>
      </c>
      <c r="E3684">
        <f>IF(OR(H3684="",P3684=""),"",INDEX('Students'!$C$2:$C$701,P3684))</f>
        <v/>
      </c>
      <c r="F3684" s="48">
        <f>IF(H3684="","",IF(ISNUMBER(O3684),O3684,J3684))</f>
        <v/>
      </c>
      <c r="G3684">
        <f>IF(H3684="","",M3684)</f>
        <v/>
      </c>
      <c r="H3684">
        <f>IF(AND(I3684="",J3684="",K3684=""),"",IF(OR(NOT(ISNUMBER(O3684)),N(O3684)&lt;=0),"Bad amount",IF(NOT(ISNUMBER(N3684)),"Bad date",IF(P3684="","NAME NOT ON ROSTER","OK"))))</f>
        <v/>
      </c>
      <c r="I3684">
        <f>IF('Cash_Check'!A684="","",'Cash_Check'!A684)</f>
        <v/>
      </c>
      <c r="J3684">
        <f>IF('Cash_Check'!D684="","",'Cash_Check'!D684)</f>
        <v/>
      </c>
      <c r="K3684">
        <f>TRIM('Cash_Check'!B684)</f>
        <v/>
      </c>
      <c r="M3684">
        <f>IF(TRIM('Cash_Check'!E684)="","Cash/check",TRIM('Cash_Check'!E684))</f>
        <v/>
      </c>
      <c r="N3684">
        <f>IF(I3684="","",IF(ISNUMBER(I3684),INT(I3684),IFERROR(INT(DATEVALUE(I3684)),IFERROR(INT(VALUE(I3684)),"bad"))))</f>
        <v/>
      </c>
      <c r="O3684">
        <f>IF(J3684="","",IF(ISNUMBER(J3684),ROUND(J3684,2),IFERROR(ROUND(VALUE(SUBSTITUTE(SUBSTITUTE(SUBSTITUTE(J3684,"$",""),",","")," ","")),2),"bad")))</f>
        <v/>
      </c>
      <c r="P3684">
        <f>IF(K3684="","",IFERROR(MATCH(IF(ISNUMBER(FIND("#",K3684)),TRIM(MID(K3684,FIND("#",K3684)+1,20)),UPPER(K3684)),'Students'!$AD$2:$AD$701,0),""))</f>
        <v/>
      </c>
      <c r="R3684">
        <f>IF(P3684="","",INDEX('Students'!$AD$2:$AD$701,P3684))</f>
        <v/>
      </c>
      <c r="S3684">
        <f>IF(H3684="OK",O3684,0)</f>
        <v/>
      </c>
      <c r="T3684">
        <f>IF(H3684="OK",N3684,"")</f>
        <v/>
      </c>
      <c r="U3684">
        <f>TRIM('Cash_Check'!C684)</f>
        <v/>
      </c>
    </row>
    <row r="3685">
      <c r="A3685" s="62">
        <f>IF(H3685="","",IF(ISNUMBER(N3685),N3685,I3685))</f>
        <v/>
      </c>
      <c r="B3685">
        <f>IF(H3685="","",U3685)</f>
        <v/>
      </c>
      <c r="C3685">
        <f>IF(H3685="","",IF(P3685="",K3685,INDEX('Students'!$A$2:$A$701,P3685)))</f>
        <v/>
      </c>
      <c r="D3685">
        <f>IF(OR(H3685="",P3685=""),"",INDEX('Students'!$B$2:$B$701,P3685))</f>
        <v/>
      </c>
      <c r="E3685">
        <f>IF(OR(H3685="",P3685=""),"",INDEX('Students'!$C$2:$C$701,P3685))</f>
        <v/>
      </c>
      <c r="F3685" s="48">
        <f>IF(H3685="","",IF(ISNUMBER(O3685),O3685,J3685))</f>
        <v/>
      </c>
      <c r="G3685">
        <f>IF(H3685="","",M3685)</f>
        <v/>
      </c>
      <c r="H3685">
        <f>IF(AND(I3685="",J3685="",K3685=""),"",IF(OR(NOT(ISNUMBER(O3685)),N(O3685)&lt;=0),"Bad amount",IF(NOT(ISNUMBER(N3685)),"Bad date",IF(P3685="","NAME NOT ON ROSTER","OK"))))</f>
        <v/>
      </c>
      <c r="I3685">
        <f>IF('Cash_Check'!A685="","",'Cash_Check'!A685)</f>
        <v/>
      </c>
      <c r="J3685">
        <f>IF('Cash_Check'!D685="","",'Cash_Check'!D685)</f>
        <v/>
      </c>
      <c r="K3685">
        <f>TRIM('Cash_Check'!B685)</f>
        <v/>
      </c>
      <c r="M3685">
        <f>IF(TRIM('Cash_Check'!E685)="","Cash/check",TRIM('Cash_Check'!E685))</f>
        <v/>
      </c>
      <c r="N3685">
        <f>IF(I3685="","",IF(ISNUMBER(I3685),INT(I3685),IFERROR(INT(DATEVALUE(I3685)),IFERROR(INT(VALUE(I3685)),"bad"))))</f>
        <v/>
      </c>
      <c r="O3685">
        <f>IF(J3685="","",IF(ISNUMBER(J3685),ROUND(J3685,2),IFERROR(ROUND(VALUE(SUBSTITUTE(SUBSTITUTE(SUBSTITUTE(J3685,"$",""),",","")," ","")),2),"bad")))</f>
        <v/>
      </c>
      <c r="P3685">
        <f>IF(K3685="","",IFERROR(MATCH(IF(ISNUMBER(FIND("#",K3685)),TRIM(MID(K3685,FIND("#",K3685)+1,20)),UPPER(K3685)),'Students'!$AD$2:$AD$701,0),""))</f>
        <v/>
      </c>
      <c r="R3685">
        <f>IF(P3685="","",INDEX('Students'!$AD$2:$AD$701,P3685))</f>
        <v/>
      </c>
      <c r="S3685">
        <f>IF(H3685="OK",O3685,0)</f>
        <v/>
      </c>
      <c r="T3685">
        <f>IF(H3685="OK",N3685,"")</f>
        <v/>
      </c>
      <c r="U3685">
        <f>TRIM('Cash_Check'!C685)</f>
        <v/>
      </c>
    </row>
    <row r="3686">
      <c r="A3686" s="62">
        <f>IF(H3686="","",IF(ISNUMBER(N3686),N3686,I3686))</f>
        <v/>
      </c>
      <c r="B3686">
        <f>IF(H3686="","",U3686)</f>
        <v/>
      </c>
      <c r="C3686">
        <f>IF(H3686="","",IF(P3686="",K3686,INDEX('Students'!$A$2:$A$701,P3686)))</f>
        <v/>
      </c>
      <c r="D3686">
        <f>IF(OR(H3686="",P3686=""),"",INDEX('Students'!$B$2:$B$701,P3686))</f>
        <v/>
      </c>
      <c r="E3686">
        <f>IF(OR(H3686="",P3686=""),"",INDEX('Students'!$C$2:$C$701,P3686))</f>
        <v/>
      </c>
      <c r="F3686" s="48">
        <f>IF(H3686="","",IF(ISNUMBER(O3686),O3686,J3686))</f>
        <v/>
      </c>
      <c r="G3686">
        <f>IF(H3686="","",M3686)</f>
        <v/>
      </c>
      <c r="H3686">
        <f>IF(AND(I3686="",J3686="",K3686=""),"",IF(OR(NOT(ISNUMBER(O3686)),N(O3686)&lt;=0),"Bad amount",IF(NOT(ISNUMBER(N3686)),"Bad date",IF(P3686="","NAME NOT ON ROSTER","OK"))))</f>
        <v/>
      </c>
      <c r="I3686">
        <f>IF('Cash_Check'!A686="","",'Cash_Check'!A686)</f>
        <v/>
      </c>
      <c r="J3686">
        <f>IF('Cash_Check'!D686="","",'Cash_Check'!D686)</f>
        <v/>
      </c>
      <c r="K3686">
        <f>TRIM('Cash_Check'!B686)</f>
        <v/>
      </c>
      <c r="M3686">
        <f>IF(TRIM('Cash_Check'!E686)="","Cash/check",TRIM('Cash_Check'!E686))</f>
        <v/>
      </c>
      <c r="N3686">
        <f>IF(I3686="","",IF(ISNUMBER(I3686),INT(I3686),IFERROR(INT(DATEVALUE(I3686)),IFERROR(INT(VALUE(I3686)),"bad"))))</f>
        <v/>
      </c>
      <c r="O3686">
        <f>IF(J3686="","",IF(ISNUMBER(J3686),ROUND(J3686,2),IFERROR(ROUND(VALUE(SUBSTITUTE(SUBSTITUTE(SUBSTITUTE(J3686,"$",""),",","")," ","")),2),"bad")))</f>
        <v/>
      </c>
      <c r="P3686">
        <f>IF(K3686="","",IFERROR(MATCH(IF(ISNUMBER(FIND("#",K3686)),TRIM(MID(K3686,FIND("#",K3686)+1,20)),UPPER(K3686)),'Students'!$AD$2:$AD$701,0),""))</f>
        <v/>
      </c>
      <c r="R3686">
        <f>IF(P3686="","",INDEX('Students'!$AD$2:$AD$701,P3686))</f>
        <v/>
      </c>
      <c r="S3686">
        <f>IF(H3686="OK",O3686,0)</f>
        <v/>
      </c>
      <c r="T3686">
        <f>IF(H3686="OK",N3686,"")</f>
        <v/>
      </c>
      <c r="U3686">
        <f>TRIM('Cash_Check'!C686)</f>
        <v/>
      </c>
    </row>
    <row r="3687">
      <c r="A3687" s="62">
        <f>IF(H3687="","",IF(ISNUMBER(N3687),N3687,I3687))</f>
        <v/>
      </c>
      <c r="B3687">
        <f>IF(H3687="","",U3687)</f>
        <v/>
      </c>
      <c r="C3687">
        <f>IF(H3687="","",IF(P3687="",K3687,INDEX('Students'!$A$2:$A$701,P3687)))</f>
        <v/>
      </c>
      <c r="D3687">
        <f>IF(OR(H3687="",P3687=""),"",INDEX('Students'!$B$2:$B$701,P3687))</f>
        <v/>
      </c>
      <c r="E3687">
        <f>IF(OR(H3687="",P3687=""),"",INDEX('Students'!$C$2:$C$701,P3687))</f>
        <v/>
      </c>
      <c r="F3687" s="48">
        <f>IF(H3687="","",IF(ISNUMBER(O3687),O3687,J3687))</f>
        <v/>
      </c>
      <c r="G3687">
        <f>IF(H3687="","",M3687)</f>
        <v/>
      </c>
      <c r="H3687">
        <f>IF(AND(I3687="",J3687="",K3687=""),"",IF(OR(NOT(ISNUMBER(O3687)),N(O3687)&lt;=0),"Bad amount",IF(NOT(ISNUMBER(N3687)),"Bad date",IF(P3687="","NAME NOT ON ROSTER","OK"))))</f>
        <v/>
      </c>
      <c r="I3687">
        <f>IF('Cash_Check'!A687="","",'Cash_Check'!A687)</f>
        <v/>
      </c>
      <c r="J3687">
        <f>IF('Cash_Check'!D687="","",'Cash_Check'!D687)</f>
        <v/>
      </c>
      <c r="K3687">
        <f>TRIM('Cash_Check'!B687)</f>
        <v/>
      </c>
      <c r="M3687">
        <f>IF(TRIM('Cash_Check'!E687)="","Cash/check",TRIM('Cash_Check'!E687))</f>
        <v/>
      </c>
      <c r="N3687">
        <f>IF(I3687="","",IF(ISNUMBER(I3687),INT(I3687),IFERROR(INT(DATEVALUE(I3687)),IFERROR(INT(VALUE(I3687)),"bad"))))</f>
        <v/>
      </c>
      <c r="O3687">
        <f>IF(J3687="","",IF(ISNUMBER(J3687),ROUND(J3687,2),IFERROR(ROUND(VALUE(SUBSTITUTE(SUBSTITUTE(SUBSTITUTE(J3687,"$",""),",","")," ","")),2),"bad")))</f>
        <v/>
      </c>
      <c r="P3687">
        <f>IF(K3687="","",IFERROR(MATCH(IF(ISNUMBER(FIND("#",K3687)),TRIM(MID(K3687,FIND("#",K3687)+1,20)),UPPER(K3687)),'Students'!$AD$2:$AD$701,0),""))</f>
        <v/>
      </c>
      <c r="R3687">
        <f>IF(P3687="","",INDEX('Students'!$AD$2:$AD$701,P3687))</f>
        <v/>
      </c>
      <c r="S3687">
        <f>IF(H3687="OK",O3687,0)</f>
        <v/>
      </c>
      <c r="T3687">
        <f>IF(H3687="OK",N3687,"")</f>
        <v/>
      </c>
      <c r="U3687">
        <f>TRIM('Cash_Check'!C687)</f>
        <v/>
      </c>
    </row>
    <row r="3688">
      <c r="A3688" s="62">
        <f>IF(H3688="","",IF(ISNUMBER(N3688),N3688,I3688))</f>
        <v/>
      </c>
      <c r="B3688">
        <f>IF(H3688="","",U3688)</f>
        <v/>
      </c>
      <c r="C3688">
        <f>IF(H3688="","",IF(P3688="",K3688,INDEX('Students'!$A$2:$A$701,P3688)))</f>
        <v/>
      </c>
      <c r="D3688">
        <f>IF(OR(H3688="",P3688=""),"",INDEX('Students'!$B$2:$B$701,P3688))</f>
        <v/>
      </c>
      <c r="E3688">
        <f>IF(OR(H3688="",P3688=""),"",INDEX('Students'!$C$2:$C$701,P3688))</f>
        <v/>
      </c>
      <c r="F3688" s="48">
        <f>IF(H3688="","",IF(ISNUMBER(O3688),O3688,J3688))</f>
        <v/>
      </c>
      <c r="G3688">
        <f>IF(H3688="","",M3688)</f>
        <v/>
      </c>
      <c r="H3688">
        <f>IF(AND(I3688="",J3688="",K3688=""),"",IF(OR(NOT(ISNUMBER(O3688)),N(O3688)&lt;=0),"Bad amount",IF(NOT(ISNUMBER(N3688)),"Bad date",IF(P3688="","NAME NOT ON ROSTER","OK"))))</f>
        <v/>
      </c>
      <c r="I3688">
        <f>IF('Cash_Check'!A688="","",'Cash_Check'!A688)</f>
        <v/>
      </c>
      <c r="J3688">
        <f>IF('Cash_Check'!D688="","",'Cash_Check'!D688)</f>
        <v/>
      </c>
      <c r="K3688">
        <f>TRIM('Cash_Check'!B688)</f>
        <v/>
      </c>
      <c r="M3688">
        <f>IF(TRIM('Cash_Check'!E688)="","Cash/check",TRIM('Cash_Check'!E688))</f>
        <v/>
      </c>
      <c r="N3688">
        <f>IF(I3688="","",IF(ISNUMBER(I3688),INT(I3688),IFERROR(INT(DATEVALUE(I3688)),IFERROR(INT(VALUE(I3688)),"bad"))))</f>
        <v/>
      </c>
      <c r="O3688">
        <f>IF(J3688="","",IF(ISNUMBER(J3688),ROUND(J3688,2),IFERROR(ROUND(VALUE(SUBSTITUTE(SUBSTITUTE(SUBSTITUTE(J3688,"$",""),",","")," ","")),2),"bad")))</f>
        <v/>
      </c>
      <c r="P3688">
        <f>IF(K3688="","",IFERROR(MATCH(IF(ISNUMBER(FIND("#",K3688)),TRIM(MID(K3688,FIND("#",K3688)+1,20)),UPPER(K3688)),'Students'!$AD$2:$AD$701,0),""))</f>
        <v/>
      </c>
      <c r="R3688">
        <f>IF(P3688="","",INDEX('Students'!$AD$2:$AD$701,P3688))</f>
        <v/>
      </c>
      <c r="S3688">
        <f>IF(H3688="OK",O3688,0)</f>
        <v/>
      </c>
      <c r="T3688">
        <f>IF(H3688="OK",N3688,"")</f>
        <v/>
      </c>
      <c r="U3688">
        <f>TRIM('Cash_Check'!C688)</f>
        <v/>
      </c>
    </row>
    <row r="3689">
      <c r="A3689" s="62">
        <f>IF(H3689="","",IF(ISNUMBER(N3689),N3689,I3689))</f>
        <v/>
      </c>
      <c r="B3689">
        <f>IF(H3689="","",U3689)</f>
        <v/>
      </c>
      <c r="C3689">
        <f>IF(H3689="","",IF(P3689="",K3689,INDEX('Students'!$A$2:$A$701,P3689)))</f>
        <v/>
      </c>
      <c r="D3689">
        <f>IF(OR(H3689="",P3689=""),"",INDEX('Students'!$B$2:$B$701,P3689))</f>
        <v/>
      </c>
      <c r="E3689">
        <f>IF(OR(H3689="",P3689=""),"",INDEX('Students'!$C$2:$C$701,P3689))</f>
        <v/>
      </c>
      <c r="F3689" s="48">
        <f>IF(H3689="","",IF(ISNUMBER(O3689),O3689,J3689))</f>
        <v/>
      </c>
      <c r="G3689">
        <f>IF(H3689="","",M3689)</f>
        <v/>
      </c>
      <c r="H3689">
        <f>IF(AND(I3689="",J3689="",K3689=""),"",IF(OR(NOT(ISNUMBER(O3689)),N(O3689)&lt;=0),"Bad amount",IF(NOT(ISNUMBER(N3689)),"Bad date",IF(P3689="","NAME NOT ON ROSTER","OK"))))</f>
        <v/>
      </c>
      <c r="I3689">
        <f>IF('Cash_Check'!A689="","",'Cash_Check'!A689)</f>
        <v/>
      </c>
      <c r="J3689">
        <f>IF('Cash_Check'!D689="","",'Cash_Check'!D689)</f>
        <v/>
      </c>
      <c r="K3689">
        <f>TRIM('Cash_Check'!B689)</f>
        <v/>
      </c>
      <c r="M3689">
        <f>IF(TRIM('Cash_Check'!E689)="","Cash/check",TRIM('Cash_Check'!E689))</f>
        <v/>
      </c>
      <c r="N3689">
        <f>IF(I3689="","",IF(ISNUMBER(I3689),INT(I3689),IFERROR(INT(DATEVALUE(I3689)),IFERROR(INT(VALUE(I3689)),"bad"))))</f>
        <v/>
      </c>
      <c r="O3689">
        <f>IF(J3689="","",IF(ISNUMBER(J3689),ROUND(J3689,2),IFERROR(ROUND(VALUE(SUBSTITUTE(SUBSTITUTE(SUBSTITUTE(J3689,"$",""),",","")," ","")),2),"bad")))</f>
        <v/>
      </c>
      <c r="P3689">
        <f>IF(K3689="","",IFERROR(MATCH(IF(ISNUMBER(FIND("#",K3689)),TRIM(MID(K3689,FIND("#",K3689)+1,20)),UPPER(K3689)),'Students'!$AD$2:$AD$701,0),""))</f>
        <v/>
      </c>
      <c r="R3689">
        <f>IF(P3689="","",INDEX('Students'!$AD$2:$AD$701,P3689))</f>
        <v/>
      </c>
      <c r="S3689">
        <f>IF(H3689="OK",O3689,0)</f>
        <v/>
      </c>
      <c r="T3689">
        <f>IF(H3689="OK",N3689,"")</f>
        <v/>
      </c>
      <c r="U3689">
        <f>TRIM('Cash_Check'!C689)</f>
        <v/>
      </c>
    </row>
    <row r="3690">
      <c r="A3690" s="62">
        <f>IF(H3690="","",IF(ISNUMBER(N3690),N3690,I3690))</f>
        <v/>
      </c>
      <c r="B3690">
        <f>IF(H3690="","",U3690)</f>
        <v/>
      </c>
      <c r="C3690">
        <f>IF(H3690="","",IF(P3690="",K3690,INDEX('Students'!$A$2:$A$701,P3690)))</f>
        <v/>
      </c>
      <c r="D3690">
        <f>IF(OR(H3690="",P3690=""),"",INDEX('Students'!$B$2:$B$701,P3690))</f>
        <v/>
      </c>
      <c r="E3690">
        <f>IF(OR(H3690="",P3690=""),"",INDEX('Students'!$C$2:$C$701,P3690))</f>
        <v/>
      </c>
      <c r="F3690" s="48">
        <f>IF(H3690="","",IF(ISNUMBER(O3690),O3690,J3690))</f>
        <v/>
      </c>
      <c r="G3690">
        <f>IF(H3690="","",M3690)</f>
        <v/>
      </c>
      <c r="H3690">
        <f>IF(AND(I3690="",J3690="",K3690=""),"",IF(OR(NOT(ISNUMBER(O3690)),N(O3690)&lt;=0),"Bad amount",IF(NOT(ISNUMBER(N3690)),"Bad date",IF(P3690="","NAME NOT ON ROSTER","OK"))))</f>
        <v/>
      </c>
      <c r="I3690">
        <f>IF('Cash_Check'!A690="","",'Cash_Check'!A690)</f>
        <v/>
      </c>
      <c r="J3690">
        <f>IF('Cash_Check'!D690="","",'Cash_Check'!D690)</f>
        <v/>
      </c>
      <c r="K3690">
        <f>TRIM('Cash_Check'!B690)</f>
        <v/>
      </c>
      <c r="M3690">
        <f>IF(TRIM('Cash_Check'!E690)="","Cash/check",TRIM('Cash_Check'!E690))</f>
        <v/>
      </c>
      <c r="N3690">
        <f>IF(I3690="","",IF(ISNUMBER(I3690),INT(I3690),IFERROR(INT(DATEVALUE(I3690)),IFERROR(INT(VALUE(I3690)),"bad"))))</f>
        <v/>
      </c>
      <c r="O3690">
        <f>IF(J3690="","",IF(ISNUMBER(J3690),ROUND(J3690,2),IFERROR(ROUND(VALUE(SUBSTITUTE(SUBSTITUTE(SUBSTITUTE(J3690,"$",""),",","")," ","")),2),"bad")))</f>
        <v/>
      </c>
      <c r="P3690">
        <f>IF(K3690="","",IFERROR(MATCH(IF(ISNUMBER(FIND("#",K3690)),TRIM(MID(K3690,FIND("#",K3690)+1,20)),UPPER(K3690)),'Students'!$AD$2:$AD$701,0),""))</f>
        <v/>
      </c>
      <c r="R3690">
        <f>IF(P3690="","",INDEX('Students'!$AD$2:$AD$701,P3690))</f>
        <v/>
      </c>
      <c r="S3690">
        <f>IF(H3690="OK",O3690,0)</f>
        <v/>
      </c>
      <c r="T3690">
        <f>IF(H3690="OK",N3690,"")</f>
        <v/>
      </c>
      <c r="U3690">
        <f>TRIM('Cash_Check'!C690)</f>
        <v/>
      </c>
    </row>
    <row r="3691">
      <c r="A3691" s="62">
        <f>IF(H3691="","",IF(ISNUMBER(N3691),N3691,I3691))</f>
        <v/>
      </c>
      <c r="B3691">
        <f>IF(H3691="","",U3691)</f>
        <v/>
      </c>
      <c r="C3691">
        <f>IF(H3691="","",IF(P3691="",K3691,INDEX('Students'!$A$2:$A$701,P3691)))</f>
        <v/>
      </c>
      <c r="D3691">
        <f>IF(OR(H3691="",P3691=""),"",INDEX('Students'!$B$2:$B$701,P3691))</f>
        <v/>
      </c>
      <c r="E3691">
        <f>IF(OR(H3691="",P3691=""),"",INDEX('Students'!$C$2:$C$701,P3691))</f>
        <v/>
      </c>
      <c r="F3691" s="48">
        <f>IF(H3691="","",IF(ISNUMBER(O3691),O3691,J3691))</f>
        <v/>
      </c>
      <c r="G3691">
        <f>IF(H3691="","",M3691)</f>
        <v/>
      </c>
      <c r="H3691">
        <f>IF(AND(I3691="",J3691="",K3691=""),"",IF(OR(NOT(ISNUMBER(O3691)),N(O3691)&lt;=0),"Bad amount",IF(NOT(ISNUMBER(N3691)),"Bad date",IF(P3691="","NAME NOT ON ROSTER","OK"))))</f>
        <v/>
      </c>
      <c r="I3691">
        <f>IF('Cash_Check'!A691="","",'Cash_Check'!A691)</f>
        <v/>
      </c>
      <c r="J3691">
        <f>IF('Cash_Check'!D691="","",'Cash_Check'!D691)</f>
        <v/>
      </c>
      <c r="K3691">
        <f>TRIM('Cash_Check'!B691)</f>
        <v/>
      </c>
      <c r="M3691">
        <f>IF(TRIM('Cash_Check'!E691)="","Cash/check",TRIM('Cash_Check'!E691))</f>
        <v/>
      </c>
      <c r="N3691">
        <f>IF(I3691="","",IF(ISNUMBER(I3691),INT(I3691),IFERROR(INT(DATEVALUE(I3691)),IFERROR(INT(VALUE(I3691)),"bad"))))</f>
        <v/>
      </c>
      <c r="O3691">
        <f>IF(J3691="","",IF(ISNUMBER(J3691),ROUND(J3691,2),IFERROR(ROUND(VALUE(SUBSTITUTE(SUBSTITUTE(SUBSTITUTE(J3691,"$",""),",","")," ","")),2),"bad")))</f>
        <v/>
      </c>
      <c r="P3691">
        <f>IF(K3691="","",IFERROR(MATCH(IF(ISNUMBER(FIND("#",K3691)),TRIM(MID(K3691,FIND("#",K3691)+1,20)),UPPER(K3691)),'Students'!$AD$2:$AD$701,0),""))</f>
        <v/>
      </c>
      <c r="R3691">
        <f>IF(P3691="","",INDEX('Students'!$AD$2:$AD$701,P3691))</f>
        <v/>
      </c>
      <c r="S3691">
        <f>IF(H3691="OK",O3691,0)</f>
        <v/>
      </c>
      <c r="T3691">
        <f>IF(H3691="OK",N3691,"")</f>
        <v/>
      </c>
      <c r="U3691">
        <f>TRIM('Cash_Check'!C691)</f>
        <v/>
      </c>
    </row>
    <row r="3692">
      <c r="A3692" s="62">
        <f>IF(H3692="","",IF(ISNUMBER(N3692),N3692,I3692))</f>
        <v/>
      </c>
      <c r="B3692">
        <f>IF(H3692="","",U3692)</f>
        <v/>
      </c>
      <c r="C3692">
        <f>IF(H3692="","",IF(P3692="",K3692,INDEX('Students'!$A$2:$A$701,P3692)))</f>
        <v/>
      </c>
      <c r="D3692">
        <f>IF(OR(H3692="",P3692=""),"",INDEX('Students'!$B$2:$B$701,P3692))</f>
        <v/>
      </c>
      <c r="E3692">
        <f>IF(OR(H3692="",P3692=""),"",INDEX('Students'!$C$2:$C$701,P3692))</f>
        <v/>
      </c>
      <c r="F3692" s="48">
        <f>IF(H3692="","",IF(ISNUMBER(O3692),O3692,J3692))</f>
        <v/>
      </c>
      <c r="G3692">
        <f>IF(H3692="","",M3692)</f>
        <v/>
      </c>
      <c r="H3692">
        <f>IF(AND(I3692="",J3692="",K3692=""),"",IF(OR(NOT(ISNUMBER(O3692)),N(O3692)&lt;=0),"Bad amount",IF(NOT(ISNUMBER(N3692)),"Bad date",IF(P3692="","NAME NOT ON ROSTER","OK"))))</f>
        <v/>
      </c>
      <c r="I3692">
        <f>IF('Cash_Check'!A692="","",'Cash_Check'!A692)</f>
        <v/>
      </c>
      <c r="J3692">
        <f>IF('Cash_Check'!D692="","",'Cash_Check'!D692)</f>
        <v/>
      </c>
      <c r="K3692">
        <f>TRIM('Cash_Check'!B692)</f>
        <v/>
      </c>
      <c r="M3692">
        <f>IF(TRIM('Cash_Check'!E692)="","Cash/check",TRIM('Cash_Check'!E692))</f>
        <v/>
      </c>
      <c r="N3692">
        <f>IF(I3692="","",IF(ISNUMBER(I3692),INT(I3692),IFERROR(INT(DATEVALUE(I3692)),IFERROR(INT(VALUE(I3692)),"bad"))))</f>
        <v/>
      </c>
      <c r="O3692">
        <f>IF(J3692="","",IF(ISNUMBER(J3692),ROUND(J3692,2),IFERROR(ROUND(VALUE(SUBSTITUTE(SUBSTITUTE(SUBSTITUTE(J3692,"$",""),",","")," ","")),2),"bad")))</f>
        <v/>
      </c>
      <c r="P3692">
        <f>IF(K3692="","",IFERROR(MATCH(IF(ISNUMBER(FIND("#",K3692)),TRIM(MID(K3692,FIND("#",K3692)+1,20)),UPPER(K3692)),'Students'!$AD$2:$AD$701,0),""))</f>
        <v/>
      </c>
      <c r="R3692">
        <f>IF(P3692="","",INDEX('Students'!$AD$2:$AD$701,P3692))</f>
        <v/>
      </c>
      <c r="S3692">
        <f>IF(H3692="OK",O3692,0)</f>
        <v/>
      </c>
      <c r="T3692">
        <f>IF(H3692="OK",N3692,"")</f>
        <v/>
      </c>
      <c r="U3692">
        <f>TRIM('Cash_Check'!C692)</f>
        <v/>
      </c>
    </row>
    <row r="3693">
      <c r="A3693" s="62">
        <f>IF(H3693="","",IF(ISNUMBER(N3693),N3693,I3693))</f>
        <v/>
      </c>
      <c r="B3693">
        <f>IF(H3693="","",U3693)</f>
        <v/>
      </c>
      <c r="C3693">
        <f>IF(H3693="","",IF(P3693="",K3693,INDEX('Students'!$A$2:$A$701,P3693)))</f>
        <v/>
      </c>
      <c r="D3693">
        <f>IF(OR(H3693="",P3693=""),"",INDEX('Students'!$B$2:$B$701,P3693))</f>
        <v/>
      </c>
      <c r="E3693">
        <f>IF(OR(H3693="",P3693=""),"",INDEX('Students'!$C$2:$C$701,P3693))</f>
        <v/>
      </c>
      <c r="F3693" s="48">
        <f>IF(H3693="","",IF(ISNUMBER(O3693),O3693,J3693))</f>
        <v/>
      </c>
      <c r="G3693">
        <f>IF(H3693="","",M3693)</f>
        <v/>
      </c>
      <c r="H3693">
        <f>IF(AND(I3693="",J3693="",K3693=""),"",IF(OR(NOT(ISNUMBER(O3693)),N(O3693)&lt;=0),"Bad amount",IF(NOT(ISNUMBER(N3693)),"Bad date",IF(P3693="","NAME NOT ON ROSTER","OK"))))</f>
        <v/>
      </c>
      <c r="I3693">
        <f>IF('Cash_Check'!A693="","",'Cash_Check'!A693)</f>
        <v/>
      </c>
      <c r="J3693">
        <f>IF('Cash_Check'!D693="","",'Cash_Check'!D693)</f>
        <v/>
      </c>
      <c r="K3693">
        <f>TRIM('Cash_Check'!B693)</f>
        <v/>
      </c>
      <c r="M3693">
        <f>IF(TRIM('Cash_Check'!E693)="","Cash/check",TRIM('Cash_Check'!E693))</f>
        <v/>
      </c>
      <c r="N3693">
        <f>IF(I3693="","",IF(ISNUMBER(I3693),INT(I3693),IFERROR(INT(DATEVALUE(I3693)),IFERROR(INT(VALUE(I3693)),"bad"))))</f>
        <v/>
      </c>
      <c r="O3693">
        <f>IF(J3693="","",IF(ISNUMBER(J3693),ROUND(J3693,2),IFERROR(ROUND(VALUE(SUBSTITUTE(SUBSTITUTE(SUBSTITUTE(J3693,"$",""),",","")," ","")),2),"bad")))</f>
        <v/>
      </c>
      <c r="P3693">
        <f>IF(K3693="","",IFERROR(MATCH(IF(ISNUMBER(FIND("#",K3693)),TRIM(MID(K3693,FIND("#",K3693)+1,20)),UPPER(K3693)),'Students'!$AD$2:$AD$701,0),""))</f>
        <v/>
      </c>
      <c r="R3693">
        <f>IF(P3693="","",INDEX('Students'!$AD$2:$AD$701,P3693))</f>
        <v/>
      </c>
      <c r="S3693">
        <f>IF(H3693="OK",O3693,0)</f>
        <v/>
      </c>
      <c r="T3693">
        <f>IF(H3693="OK",N3693,"")</f>
        <v/>
      </c>
      <c r="U3693">
        <f>TRIM('Cash_Check'!C693)</f>
        <v/>
      </c>
    </row>
    <row r="3694">
      <c r="A3694" s="62">
        <f>IF(H3694="","",IF(ISNUMBER(N3694),N3694,I3694))</f>
        <v/>
      </c>
      <c r="B3694">
        <f>IF(H3694="","",U3694)</f>
        <v/>
      </c>
      <c r="C3694">
        <f>IF(H3694="","",IF(P3694="",K3694,INDEX('Students'!$A$2:$A$701,P3694)))</f>
        <v/>
      </c>
      <c r="D3694">
        <f>IF(OR(H3694="",P3694=""),"",INDEX('Students'!$B$2:$B$701,P3694))</f>
        <v/>
      </c>
      <c r="E3694">
        <f>IF(OR(H3694="",P3694=""),"",INDEX('Students'!$C$2:$C$701,P3694))</f>
        <v/>
      </c>
      <c r="F3694" s="48">
        <f>IF(H3694="","",IF(ISNUMBER(O3694),O3694,J3694))</f>
        <v/>
      </c>
      <c r="G3694">
        <f>IF(H3694="","",M3694)</f>
        <v/>
      </c>
      <c r="H3694">
        <f>IF(AND(I3694="",J3694="",K3694=""),"",IF(OR(NOT(ISNUMBER(O3694)),N(O3694)&lt;=0),"Bad amount",IF(NOT(ISNUMBER(N3694)),"Bad date",IF(P3694="","NAME NOT ON ROSTER","OK"))))</f>
        <v/>
      </c>
      <c r="I3694">
        <f>IF('Cash_Check'!A694="","",'Cash_Check'!A694)</f>
        <v/>
      </c>
      <c r="J3694">
        <f>IF('Cash_Check'!D694="","",'Cash_Check'!D694)</f>
        <v/>
      </c>
      <c r="K3694">
        <f>TRIM('Cash_Check'!B694)</f>
        <v/>
      </c>
      <c r="M3694">
        <f>IF(TRIM('Cash_Check'!E694)="","Cash/check",TRIM('Cash_Check'!E694))</f>
        <v/>
      </c>
      <c r="N3694">
        <f>IF(I3694="","",IF(ISNUMBER(I3694),INT(I3694),IFERROR(INT(DATEVALUE(I3694)),IFERROR(INT(VALUE(I3694)),"bad"))))</f>
        <v/>
      </c>
      <c r="O3694">
        <f>IF(J3694="","",IF(ISNUMBER(J3694),ROUND(J3694,2),IFERROR(ROUND(VALUE(SUBSTITUTE(SUBSTITUTE(SUBSTITUTE(J3694,"$",""),",","")," ","")),2),"bad")))</f>
        <v/>
      </c>
      <c r="P3694">
        <f>IF(K3694="","",IFERROR(MATCH(IF(ISNUMBER(FIND("#",K3694)),TRIM(MID(K3694,FIND("#",K3694)+1,20)),UPPER(K3694)),'Students'!$AD$2:$AD$701,0),""))</f>
        <v/>
      </c>
      <c r="R3694">
        <f>IF(P3694="","",INDEX('Students'!$AD$2:$AD$701,P3694))</f>
        <v/>
      </c>
      <c r="S3694">
        <f>IF(H3694="OK",O3694,0)</f>
        <v/>
      </c>
      <c r="T3694">
        <f>IF(H3694="OK",N3694,"")</f>
        <v/>
      </c>
      <c r="U3694">
        <f>TRIM('Cash_Check'!C694)</f>
        <v/>
      </c>
    </row>
    <row r="3695">
      <c r="A3695" s="62">
        <f>IF(H3695="","",IF(ISNUMBER(N3695),N3695,I3695))</f>
        <v/>
      </c>
      <c r="B3695">
        <f>IF(H3695="","",U3695)</f>
        <v/>
      </c>
      <c r="C3695">
        <f>IF(H3695="","",IF(P3695="",K3695,INDEX('Students'!$A$2:$A$701,P3695)))</f>
        <v/>
      </c>
      <c r="D3695">
        <f>IF(OR(H3695="",P3695=""),"",INDEX('Students'!$B$2:$B$701,P3695))</f>
        <v/>
      </c>
      <c r="E3695">
        <f>IF(OR(H3695="",P3695=""),"",INDEX('Students'!$C$2:$C$701,P3695))</f>
        <v/>
      </c>
      <c r="F3695" s="48">
        <f>IF(H3695="","",IF(ISNUMBER(O3695),O3695,J3695))</f>
        <v/>
      </c>
      <c r="G3695">
        <f>IF(H3695="","",M3695)</f>
        <v/>
      </c>
      <c r="H3695">
        <f>IF(AND(I3695="",J3695="",K3695=""),"",IF(OR(NOT(ISNUMBER(O3695)),N(O3695)&lt;=0),"Bad amount",IF(NOT(ISNUMBER(N3695)),"Bad date",IF(P3695="","NAME NOT ON ROSTER","OK"))))</f>
        <v/>
      </c>
      <c r="I3695">
        <f>IF('Cash_Check'!A695="","",'Cash_Check'!A695)</f>
        <v/>
      </c>
      <c r="J3695">
        <f>IF('Cash_Check'!D695="","",'Cash_Check'!D695)</f>
        <v/>
      </c>
      <c r="K3695">
        <f>TRIM('Cash_Check'!B695)</f>
        <v/>
      </c>
      <c r="M3695">
        <f>IF(TRIM('Cash_Check'!E695)="","Cash/check",TRIM('Cash_Check'!E695))</f>
        <v/>
      </c>
      <c r="N3695">
        <f>IF(I3695="","",IF(ISNUMBER(I3695),INT(I3695),IFERROR(INT(DATEVALUE(I3695)),IFERROR(INT(VALUE(I3695)),"bad"))))</f>
        <v/>
      </c>
      <c r="O3695">
        <f>IF(J3695="","",IF(ISNUMBER(J3695),ROUND(J3695,2),IFERROR(ROUND(VALUE(SUBSTITUTE(SUBSTITUTE(SUBSTITUTE(J3695,"$",""),",","")," ","")),2),"bad")))</f>
        <v/>
      </c>
      <c r="P3695">
        <f>IF(K3695="","",IFERROR(MATCH(IF(ISNUMBER(FIND("#",K3695)),TRIM(MID(K3695,FIND("#",K3695)+1,20)),UPPER(K3695)),'Students'!$AD$2:$AD$701,0),""))</f>
        <v/>
      </c>
      <c r="R3695">
        <f>IF(P3695="","",INDEX('Students'!$AD$2:$AD$701,P3695))</f>
        <v/>
      </c>
      <c r="S3695">
        <f>IF(H3695="OK",O3695,0)</f>
        <v/>
      </c>
      <c r="T3695">
        <f>IF(H3695="OK",N3695,"")</f>
        <v/>
      </c>
      <c r="U3695">
        <f>TRIM('Cash_Check'!C695)</f>
        <v/>
      </c>
    </row>
    <row r="3696">
      <c r="A3696" s="62">
        <f>IF(H3696="","",IF(ISNUMBER(N3696),N3696,I3696))</f>
        <v/>
      </c>
      <c r="B3696">
        <f>IF(H3696="","",U3696)</f>
        <v/>
      </c>
      <c r="C3696">
        <f>IF(H3696="","",IF(P3696="",K3696,INDEX('Students'!$A$2:$A$701,P3696)))</f>
        <v/>
      </c>
      <c r="D3696">
        <f>IF(OR(H3696="",P3696=""),"",INDEX('Students'!$B$2:$B$701,P3696))</f>
        <v/>
      </c>
      <c r="E3696">
        <f>IF(OR(H3696="",P3696=""),"",INDEX('Students'!$C$2:$C$701,P3696))</f>
        <v/>
      </c>
      <c r="F3696" s="48">
        <f>IF(H3696="","",IF(ISNUMBER(O3696),O3696,J3696))</f>
        <v/>
      </c>
      <c r="G3696">
        <f>IF(H3696="","",M3696)</f>
        <v/>
      </c>
      <c r="H3696">
        <f>IF(AND(I3696="",J3696="",K3696=""),"",IF(OR(NOT(ISNUMBER(O3696)),N(O3696)&lt;=0),"Bad amount",IF(NOT(ISNUMBER(N3696)),"Bad date",IF(P3696="","NAME NOT ON ROSTER","OK"))))</f>
        <v/>
      </c>
      <c r="I3696">
        <f>IF('Cash_Check'!A696="","",'Cash_Check'!A696)</f>
        <v/>
      </c>
      <c r="J3696">
        <f>IF('Cash_Check'!D696="","",'Cash_Check'!D696)</f>
        <v/>
      </c>
      <c r="K3696">
        <f>TRIM('Cash_Check'!B696)</f>
        <v/>
      </c>
      <c r="M3696">
        <f>IF(TRIM('Cash_Check'!E696)="","Cash/check",TRIM('Cash_Check'!E696))</f>
        <v/>
      </c>
      <c r="N3696">
        <f>IF(I3696="","",IF(ISNUMBER(I3696),INT(I3696),IFERROR(INT(DATEVALUE(I3696)),IFERROR(INT(VALUE(I3696)),"bad"))))</f>
        <v/>
      </c>
      <c r="O3696">
        <f>IF(J3696="","",IF(ISNUMBER(J3696),ROUND(J3696,2),IFERROR(ROUND(VALUE(SUBSTITUTE(SUBSTITUTE(SUBSTITUTE(J3696,"$",""),",","")," ","")),2),"bad")))</f>
        <v/>
      </c>
      <c r="P3696">
        <f>IF(K3696="","",IFERROR(MATCH(IF(ISNUMBER(FIND("#",K3696)),TRIM(MID(K3696,FIND("#",K3696)+1,20)),UPPER(K3696)),'Students'!$AD$2:$AD$701,0),""))</f>
        <v/>
      </c>
      <c r="R3696">
        <f>IF(P3696="","",INDEX('Students'!$AD$2:$AD$701,P3696))</f>
        <v/>
      </c>
      <c r="S3696">
        <f>IF(H3696="OK",O3696,0)</f>
        <v/>
      </c>
      <c r="T3696">
        <f>IF(H3696="OK",N3696,"")</f>
        <v/>
      </c>
      <c r="U3696">
        <f>TRIM('Cash_Check'!C696)</f>
        <v/>
      </c>
    </row>
    <row r="3697">
      <c r="A3697" s="62">
        <f>IF(H3697="","",IF(ISNUMBER(N3697),N3697,I3697))</f>
        <v/>
      </c>
      <c r="B3697">
        <f>IF(H3697="","",U3697)</f>
        <v/>
      </c>
      <c r="C3697">
        <f>IF(H3697="","",IF(P3697="",K3697,INDEX('Students'!$A$2:$A$701,P3697)))</f>
        <v/>
      </c>
      <c r="D3697">
        <f>IF(OR(H3697="",P3697=""),"",INDEX('Students'!$B$2:$B$701,P3697))</f>
        <v/>
      </c>
      <c r="E3697">
        <f>IF(OR(H3697="",P3697=""),"",INDEX('Students'!$C$2:$C$701,P3697))</f>
        <v/>
      </c>
      <c r="F3697" s="48">
        <f>IF(H3697="","",IF(ISNUMBER(O3697),O3697,J3697))</f>
        <v/>
      </c>
      <c r="G3697">
        <f>IF(H3697="","",M3697)</f>
        <v/>
      </c>
      <c r="H3697">
        <f>IF(AND(I3697="",J3697="",K3697=""),"",IF(OR(NOT(ISNUMBER(O3697)),N(O3697)&lt;=0),"Bad amount",IF(NOT(ISNUMBER(N3697)),"Bad date",IF(P3697="","NAME NOT ON ROSTER","OK"))))</f>
        <v/>
      </c>
      <c r="I3697">
        <f>IF('Cash_Check'!A697="","",'Cash_Check'!A697)</f>
        <v/>
      </c>
      <c r="J3697">
        <f>IF('Cash_Check'!D697="","",'Cash_Check'!D697)</f>
        <v/>
      </c>
      <c r="K3697">
        <f>TRIM('Cash_Check'!B697)</f>
        <v/>
      </c>
      <c r="M3697">
        <f>IF(TRIM('Cash_Check'!E697)="","Cash/check",TRIM('Cash_Check'!E697))</f>
        <v/>
      </c>
      <c r="N3697">
        <f>IF(I3697="","",IF(ISNUMBER(I3697),INT(I3697),IFERROR(INT(DATEVALUE(I3697)),IFERROR(INT(VALUE(I3697)),"bad"))))</f>
        <v/>
      </c>
      <c r="O3697">
        <f>IF(J3697="","",IF(ISNUMBER(J3697),ROUND(J3697,2),IFERROR(ROUND(VALUE(SUBSTITUTE(SUBSTITUTE(SUBSTITUTE(J3697,"$",""),",","")," ","")),2),"bad")))</f>
        <v/>
      </c>
      <c r="P3697">
        <f>IF(K3697="","",IFERROR(MATCH(IF(ISNUMBER(FIND("#",K3697)),TRIM(MID(K3697,FIND("#",K3697)+1,20)),UPPER(K3697)),'Students'!$AD$2:$AD$701,0),""))</f>
        <v/>
      </c>
      <c r="R3697">
        <f>IF(P3697="","",INDEX('Students'!$AD$2:$AD$701,P3697))</f>
        <v/>
      </c>
      <c r="S3697">
        <f>IF(H3697="OK",O3697,0)</f>
        <v/>
      </c>
      <c r="T3697">
        <f>IF(H3697="OK",N3697,"")</f>
        <v/>
      </c>
      <c r="U3697">
        <f>TRIM('Cash_Check'!C697)</f>
        <v/>
      </c>
    </row>
    <row r="3698">
      <c r="A3698" s="62">
        <f>IF(H3698="","",IF(ISNUMBER(N3698),N3698,I3698))</f>
        <v/>
      </c>
      <c r="B3698">
        <f>IF(H3698="","",U3698)</f>
        <v/>
      </c>
      <c r="C3698">
        <f>IF(H3698="","",IF(P3698="",K3698,INDEX('Students'!$A$2:$A$701,P3698)))</f>
        <v/>
      </c>
      <c r="D3698">
        <f>IF(OR(H3698="",P3698=""),"",INDEX('Students'!$B$2:$B$701,P3698))</f>
        <v/>
      </c>
      <c r="E3698">
        <f>IF(OR(H3698="",P3698=""),"",INDEX('Students'!$C$2:$C$701,P3698))</f>
        <v/>
      </c>
      <c r="F3698" s="48">
        <f>IF(H3698="","",IF(ISNUMBER(O3698),O3698,J3698))</f>
        <v/>
      </c>
      <c r="G3698">
        <f>IF(H3698="","",M3698)</f>
        <v/>
      </c>
      <c r="H3698">
        <f>IF(AND(I3698="",J3698="",K3698=""),"",IF(OR(NOT(ISNUMBER(O3698)),N(O3698)&lt;=0),"Bad amount",IF(NOT(ISNUMBER(N3698)),"Bad date",IF(P3698="","NAME NOT ON ROSTER","OK"))))</f>
        <v/>
      </c>
      <c r="I3698">
        <f>IF('Cash_Check'!A698="","",'Cash_Check'!A698)</f>
        <v/>
      </c>
      <c r="J3698">
        <f>IF('Cash_Check'!D698="","",'Cash_Check'!D698)</f>
        <v/>
      </c>
      <c r="K3698">
        <f>TRIM('Cash_Check'!B698)</f>
        <v/>
      </c>
      <c r="M3698">
        <f>IF(TRIM('Cash_Check'!E698)="","Cash/check",TRIM('Cash_Check'!E698))</f>
        <v/>
      </c>
      <c r="N3698">
        <f>IF(I3698="","",IF(ISNUMBER(I3698),INT(I3698),IFERROR(INT(DATEVALUE(I3698)),IFERROR(INT(VALUE(I3698)),"bad"))))</f>
        <v/>
      </c>
      <c r="O3698">
        <f>IF(J3698="","",IF(ISNUMBER(J3698),ROUND(J3698,2),IFERROR(ROUND(VALUE(SUBSTITUTE(SUBSTITUTE(SUBSTITUTE(J3698,"$",""),",","")," ","")),2),"bad")))</f>
        <v/>
      </c>
      <c r="P3698">
        <f>IF(K3698="","",IFERROR(MATCH(IF(ISNUMBER(FIND("#",K3698)),TRIM(MID(K3698,FIND("#",K3698)+1,20)),UPPER(K3698)),'Students'!$AD$2:$AD$701,0),""))</f>
        <v/>
      </c>
      <c r="R3698">
        <f>IF(P3698="","",INDEX('Students'!$AD$2:$AD$701,P3698))</f>
        <v/>
      </c>
      <c r="S3698">
        <f>IF(H3698="OK",O3698,0)</f>
        <v/>
      </c>
      <c r="T3698">
        <f>IF(H3698="OK",N3698,"")</f>
        <v/>
      </c>
      <c r="U3698">
        <f>TRIM('Cash_Check'!C698)</f>
        <v/>
      </c>
    </row>
    <row r="3699">
      <c r="A3699" s="62">
        <f>IF(H3699="","",IF(ISNUMBER(N3699),N3699,I3699))</f>
        <v/>
      </c>
      <c r="B3699">
        <f>IF(H3699="","",U3699)</f>
        <v/>
      </c>
      <c r="C3699">
        <f>IF(H3699="","",IF(P3699="",K3699,INDEX('Students'!$A$2:$A$701,P3699)))</f>
        <v/>
      </c>
      <c r="D3699">
        <f>IF(OR(H3699="",P3699=""),"",INDEX('Students'!$B$2:$B$701,P3699))</f>
        <v/>
      </c>
      <c r="E3699">
        <f>IF(OR(H3699="",P3699=""),"",INDEX('Students'!$C$2:$C$701,P3699))</f>
        <v/>
      </c>
      <c r="F3699" s="48">
        <f>IF(H3699="","",IF(ISNUMBER(O3699),O3699,J3699))</f>
        <v/>
      </c>
      <c r="G3699">
        <f>IF(H3699="","",M3699)</f>
        <v/>
      </c>
      <c r="H3699">
        <f>IF(AND(I3699="",J3699="",K3699=""),"",IF(OR(NOT(ISNUMBER(O3699)),N(O3699)&lt;=0),"Bad amount",IF(NOT(ISNUMBER(N3699)),"Bad date",IF(P3699="","NAME NOT ON ROSTER","OK"))))</f>
        <v/>
      </c>
      <c r="I3699">
        <f>IF('Cash_Check'!A699="","",'Cash_Check'!A699)</f>
        <v/>
      </c>
      <c r="J3699">
        <f>IF('Cash_Check'!D699="","",'Cash_Check'!D699)</f>
        <v/>
      </c>
      <c r="K3699">
        <f>TRIM('Cash_Check'!B699)</f>
        <v/>
      </c>
      <c r="M3699">
        <f>IF(TRIM('Cash_Check'!E699)="","Cash/check",TRIM('Cash_Check'!E699))</f>
        <v/>
      </c>
      <c r="N3699">
        <f>IF(I3699="","",IF(ISNUMBER(I3699),INT(I3699),IFERROR(INT(DATEVALUE(I3699)),IFERROR(INT(VALUE(I3699)),"bad"))))</f>
        <v/>
      </c>
      <c r="O3699">
        <f>IF(J3699="","",IF(ISNUMBER(J3699),ROUND(J3699,2),IFERROR(ROUND(VALUE(SUBSTITUTE(SUBSTITUTE(SUBSTITUTE(J3699,"$",""),",","")," ","")),2),"bad")))</f>
        <v/>
      </c>
      <c r="P3699">
        <f>IF(K3699="","",IFERROR(MATCH(IF(ISNUMBER(FIND("#",K3699)),TRIM(MID(K3699,FIND("#",K3699)+1,20)),UPPER(K3699)),'Students'!$AD$2:$AD$701,0),""))</f>
        <v/>
      </c>
      <c r="R3699">
        <f>IF(P3699="","",INDEX('Students'!$AD$2:$AD$701,P3699))</f>
        <v/>
      </c>
      <c r="S3699">
        <f>IF(H3699="OK",O3699,0)</f>
        <v/>
      </c>
      <c r="T3699">
        <f>IF(H3699="OK",N3699,"")</f>
        <v/>
      </c>
      <c r="U3699">
        <f>TRIM('Cash_Check'!C699)</f>
        <v/>
      </c>
    </row>
    <row r="3700">
      <c r="A3700" s="62">
        <f>IF(H3700="","",IF(ISNUMBER(N3700),N3700,I3700))</f>
        <v/>
      </c>
      <c r="B3700">
        <f>IF(H3700="","",U3700)</f>
        <v/>
      </c>
      <c r="C3700">
        <f>IF(H3700="","",IF(P3700="",K3700,INDEX('Students'!$A$2:$A$701,P3700)))</f>
        <v/>
      </c>
      <c r="D3700">
        <f>IF(OR(H3700="",P3700=""),"",INDEX('Students'!$B$2:$B$701,P3700))</f>
        <v/>
      </c>
      <c r="E3700">
        <f>IF(OR(H3700="",P3700=""),"",INDEX('Students'!$C$2:$C$701,P3700))</f>
        <v/>
      </c>
      <c r="F3700" s="48">
        <f>IF(H3700="","",IF(ISNUMBER(O3700),O3700,J3700))</f>
        <v/>
      </c>
      <c r="G3700">
        <f>IF(H3700="","",M3700)</f>
        <v/>
      </c>
      <c r="H3700">
        <f>IF(AND(I3700="",J3700="",K3700=""),"",IF(OR(NOT(ISNUMBER(O3700)),N(O3700)&lt;=0),"Bad amount",IF(NOT(ISNUMBER(N3700)),"Bad date",IF(P3700="","NAME NOT ON ROSTER","OK"))))</f>
        <v/>
      </c>
      <c r="I3700">
        <f>IF('Cash_Check'!A700="","",'Cash_Check'!A700)</f>
        <v/>
      </c>
      <c r="J3700">
        <f>IF('Cash_Check'!D700="","",'Cash_Check'!D700)</f>
        <v/>
      </c>
      <c r="K3700">
        <f>TRIM('Cash_Check'!B700)</f>
        <v/>
      </c>
      <c r="M3700">
        <f>IF(TRIM('Cash_Check'!E700)="","Cash/check",TRIM('Cash_Check'!E700))</f>
        <v/>
      </c>
      <c r="N3700">
        <f>IF(I3700="","",IF(ISNUMBER(I3700),INT(I3700),IFERROR(INT(DATEVALUE(I3700)),IFERROR(INT(VALUE(I3700)),"bad"))))</f>
        <v/>
      </c>
      <c r="O3700">
        <f>IF(J3700="","",IF(ISNUMBER(J3700),ROUND(J3700,2),IFERROR(ROUND(VALUE(SUBSTITUTE(SUBSTITUTE(SUBSTITUTE(J3700,"$",""),",","")," ","")),2),"bad")))</f>
        <v/>
      </c>
      <c r="P3700">
        <f>IF(K3700="","",IFERROR(MATCH(IF(ISNUMBER(FIND("#",K3700)),TRIM(MID(K3700,FIND("#",K3700)+1,20)),UPPER(K3700)),'Students'!$AD$2:$AD$701,0),""))</f>
        <v/>
      </c>
      <c r="R3700">
        <f>IF(P3700="","",INDEX('Students'!$AD$2:$AD$701,P3700))</f>
        <v/>
      </c>
      <c r="S3700">
        <f>IF(H3700="OK",O3700,0)</f>
        <v/>
      </c>
      <c r="T3700">
        <f>IF(H3700="OK",N3700,"")</f>
        <v/>
      </c>
      <c r="U3700">
        <f>TRIM('Cash_Check'!C700)</f>
        <v/>
      </c>
    </row>
    <row r="3701">
      <c r="A3701" s="62">
        <f>IF(H3701="","",IF(ISNUMBER(N3701),N3701,I3701))</f>
        <v/>
      </c>
      <c r="B3701">
        <f>IF(H3701="","",U3701)</f>
        <v/>
      </c>
      <c r="C3701">
        <f>IF(H3701="","",IF(P3701="",K3701,INDEX('Students'!$A$2:$A$701,P3701)))</f>
        <v/>
      </c>
      <c r="D3701">
        <f>IF(OR(H3701="",P3701=""),"",INDEX('Students'!$B$2:$B$701,P3701))</f>
        <v/>
      </c>
      <c r="E3701">
        <f>IF(OR(H3701="",P3701=""),"",INDEX('Students'!$C$2:$C$701,P3701))</f>
        <v/>
      </c>
      <c r="F3701" s="48">
        <f>IF(H3701="","",IF(ISNUMBER(O3701),O3701,J3701))</f>
        <v/>
      </c>
      <c r="G3701">
        <f>IF(H3701="","",M3701)</f>
        <v/>
      </c>
      <c r="H3701">
        <f>IF(AND(I3701="",J3701="",K3701=""),"",IF(OR(NOT(ISNUMBER(O3701)),N(O3701)&lt;=0),"Bad amount",IF(NOT(ISNUMBER(N3701)),"Bad date",IF(P3701="","NAME NOT ON ROSTER","OK"))))</f>
        <v/>
      </c>
      <c r="I3701">
        <f>IF('Cash_Check'!A701="","",'Cash_Check'!A701)</f>
        <v/>
      </c>
      <c r="J3701">
        <f>IF('Cash_Check'!D701="","",'Cash_Check'!D701)</f>
        <v/>
      </c>
      <c r="K3701">
        <f>TRIM('Cash_Check'!B701)</f>
        <v/>
      </c>
      <c r="M3701">
        <f>IF(TRIM('Cash_Check'!E701)="","Cash/check",TRIM('Cash_Check'!E701))</f>
        <v/>
      </c>
      <c r="N3701">
        <f>IF(I3701="","",IF(ISNUMBER(I3701),INT(I3701),IFERROR(INT(DATEVALUE(I3701)),IFERROR(INT(VALUE(I3701)),"bad"))))</f>
        <v/>
      </c>
      <c r="O3701">
        <f>IF(J3701="","",IF(ISNUMBER(J3701),ROUND(J3701,2),IFERROR(ROUND(VALUE(SUBSTITUTE(SUBSTITUTE(SUBSTITUTE(J3701,"$",""),",","")," ","")),2),"bad")))</f>
        <v/>
      </c>
      <c r="P3701">
        <f>IF(K3701="","",IFERROR(MATCH(IF(ISNUMBER(FIND("#",K3701)),TRIM(MID(K3701,FIND("#",K3701)+1,20)),UPPER(K3701)),'Students'!$AD$2:$AD$701,0),""))</f>
        <v/>
      </c>
      <c r="R3701">
        <f>IF(P3701="","",INDEX('Students'!$AD$2:$AD$701,P3701))</f>
        <v/>
      </c>
      <c r="S3701">
        <f>IF(H3701="OK",O3701,0)</f>
        <v/>
      </c>
      <c r="T3701">
        <f>IF(H3701="OK",N3701,"")</f>
        <v/>
      </c>
      <c r="U3701">
        <f>TRIM('Cash_Check'!C701)</f>
        <v/>
      </c>
    </row>
    <row r="3702">
      <c r="A3702" s="62">
        <f>IF(H3702="","",IF(ISNUMBER(N3702),N3702,I3702))</f>
        <v/>
      </c>
      <c r="B3702">
        <f>IF(H3702="","",U3702)</f>
        <v/>
      </c>
      <c r="C3702">
        <f>IF(H3702="","",IF(P3702="",K3702,INDEX('Students'!$A$2:$A$701,P3702)))</f>
        <v/>
      </c>
      <c r="D3702">
        <f>IF(OR(H3702="",P3702=""),"",INDEX('Students'!$B$2:$B$701,P3702))</f>
        <v/>
      </c>
      <c r="E3702">
        <f>IF(OR(H3702="",P3702=""),"",INDEX('Students'!$C$2:$C$701,P3702))</f>
        <v/>
      </c>
      <c r="F3702" s="48">
        <f>IF(H3702="","",IF(ISNUMBER(O3702),O3702,J3702))</f>
        <v/>
      </c>
      <c r="G3702">
        <f>IF(H3702="","",M3702)</f>
        <v/>
      </c>
      <c r="H3702">
        <f>IF(AND(I3702="",J3702="",K3702=""),"",IF(OR(NOT(ISNUMBER(O3702)),N(O3702)&lt;=0),"Bad amount",IF(NOT(ISNUMBER(N3702)),"Bad date",IF(P3702="","NAME NOT ON ROSTER","OK"))))</f>
        <v/>
      </c>
      <c r="I3702">
        <f>IF('Cash_Check'!A702="","",'Cash_Check'!A702)</f>
        <v/>
      </c>
      <c r="J3702">
        <f>IF('Cash_Check'!D702="","",'Cash_Check'!D702)</f>
        <v/>
      </c>
      <c r="K3702">
        <f>TRIM('Cash_Check'!B702)</f>
        <v/>
      </c>
      <c r="M3702">
        <f>IF(TRIM('Cash_Check'!E702)="","Cash/check",TRIM('Cash_Check'!E702))</f>
        <v/>
      </c>
      <c r="N3702">
        <f>IF(I3702="","",IF(ISNUMBER(I3702),INT(I3702),IFERROR(INT(DATEVALUE(I3702)),IFERROR(INT(VALUE(I3702)),"bad"))))</f>
        <v/>
      </c>
      <c r="O3702">
        <f>IF(J3702="","",IF(ISNUMBER(J3702),ROUND(J3702,2),IFERROR(ROUND(VALUE(SUBSTITUTE(SUBSTITUTE(SUBSTITUTE(J3702,"$",""),",","")," ","")),2),"bad")))</f>
        <v/>
      </c>
      <c r="P3702">
        <f>IF(K3702="","",IFERROR(MATCH(IF(ISNUMBER(FIND("#",K3702)),TRIM(MID(K3702,FIND("#",K3702)+1,20)),UPPER(K3702)),'Students'!$AD$2:$AD$701,0),""))</f>
        <v/>
      </c>
      <c r="R3702">
        <f>IF(P3702="","",INDEX('Students'!$AD$2:$AD$701,P3702))</f>
        <v/>
      </c>
      <c r="S3702">
        <f>IF(H3702="OK",O3702,0)</f>
        <v/>
      </c>
      <c r="T3702">
        <f>IF(H3702="OK",N3702,"")</f>
        <v/>
      </c>
      <c r="U3702">
        <f>TRIM('Cash_Check'!C702)</f>
        <v/>
      </c>
    </row>
    <row r="3703">
      <c r="A3703" s="62">
        <f>IF(H3703="","",IF(ISNUMBER(N3703),N3703,I3703))</f>
        <v/>
      </c>
      <c r="B3703">
        <f>IF(H3703="","",U3703)</f>
        <v/>
      </c>
      <c r="C3703">
        <f>IF(H3703="","",IF(P3703="",K3703,INDEX('Students'!$A$2:$A$701,P3703)))</f>
        <v/>
      </c>
      <c r="D3703">
        <f>IF(OR(H3703="",P3703=""),"",INDEX('Students'!$B$2:$B$701,P3703))</f>
        <v/>
      </c>
      <c r="E3703">
        <f>IF(OR(H3703="",P3703=""),"",INDEX('Students'!$C$2:$C$701,P3703))</f>
        <v/>
      </c>
      <c r="F3703" s="48">
        <f>IF(H3703="","",IF(ISNUMBER(O3703),O3703,J3703))</f>
        <v/>
      </c>
      <c r="G3703">
        <f>IF(H3703="","",M3703)</f>
        <v/>
      </c>
      <c r="H3703">
        <f>IF(AND(I3703="",J3703="",K3703=""),"",IF(OR(NOT(ISNUMBER(O3703)),N(O3703)&lt;=0),"Bad amount",IF(NOT(ISNUMBER(N3703)),"Bad date",IF(P3703="","NAME NOT ON ROSTER","OK"))))</f>
        <v/>
      </c>
      <c r="I3703">
        <f>IF('Cash_Check'!A703="","",'Cash_Check'!A703)</f>
        <v/>
      </c>
      <c r="J3703">
        <f>IF('Cash_Check'!D703="","",'Cash_Check'!D703)</f>
        <v/>
      </c>
      <c r="K3703">
        <f>TRIM('Cash_Check'!B703)</f>
        <v/>
      </c>
      <c r="M3703">
        <f>IF(TRIM('Cash_Check'!E703)="","Cash/check",TRIM('Cash_Check'!E703))</f>
        <v/>
      </c>
      <c r="N3703">
        <f>IF(I3703="","",IF(ISNUMBER(I3703),INT(I3703),IFERROR(INT(DATEVALUE(I3703)),IFERROR(INT(VALUE(I3703)),"bad"))))</f>
        <v/>
      </c>
      <c r="O3703">
        <f>IF(J3703="","",IF(ISNUMBER(J3703),ROUND(J3703,2),IFERROR(ROUND(VALUE(SUBSTITUTE(SUBSTITUTE(SUBSTITUTE(J3703,"$",""),",","")," ","")),2),"bad")))</f>
        <v/>
      </c>
      <c r="P3703">
        <f>IF(K3703="","",IFERROR(MATCH(IF(ISNUMBER(FIND("#",K3703)),TRIM(MID(K3703,FIND("#",K3703)+1,20)),UPPER(K3703)),'Students'!$AD$2:$AD$701,0),""))</f>
        <v/>
      </c>
      <c r="R3703">
        <f>IF(P3703="","",INDEX('Students'!$AD$2:$AD$701,P3703))</f>
        <v/>
      </c>
      <c r="S3703">
        <f>IF(H3703="OK",O3703,0)</f>
        <v/>
      </c>
      <c r="T3703">
        <f>IF(H3703="OK",N3703,"")</f>
        <v/>
      </c>
      <c r="U3703">
        <f>TRIM('Cash_Check'!C703)</f>
        <v/>
      </c>
    </row>
    <row r="3704">
      <c r="A3704" s="62">
        <f>IF(H3704="","",IF(ISNUMBER(N3704),N3704,I3704))</f>
        <v/>
      </c>
      <c r="B3704">
        <f>IF(H3704="","",U3704)</f>
        <v/>
      </c>
      <c r="C3704">
        <f>IF(H3704="","",IF(P3704="",K3704,INDEX('Students'!$A$2:$A$701,P3704)))</f>
        <v/>
      </c>
      <c r="D3704">
        <f>IF(OR(H3704="",P3704=""),"",INDEX('Students'!$B$2:$B$701,P3704))</f>
        <v/>
      </c>
      <c r="E3704">
        <f>IF(OR(H3704="",P3704=""),"",INDEX('Students'!$C$2:$C$701,P3704))</f>
        <v/>
      </c>
      <c r="F3704" s="48">
        <f>IF(H3704="","",IF(ISNUMBER(O3704),O3704,J3704))</f>
        <v/>
      </c>
      <c r="G3704">
        <f>IF(H3704="","",M3704)</f>
        <v/>
      </c>
      <c r="H3704">
        <f>IF(AND(I3704="",J3704="",K3704=""),"",IF(OR(NOT(ISNUMBER(O3704)),N(O3704)&lt;=0),"Bad amount",IF(NOT(ISNUMBER(N3704)),"Bad date",IF(P3704="","NAME NOT ON ROSTER","OK"))))</f>
        <v/>
      </c>
      <c r="I3704">
        <f>IF('Cash_Check'!A704="","",'Cash_Check'!A704)</f>
        <v/>
      </c>
      <c r="J3704">
        <f>IF('Cash_Check'!D704="","",'Cash_Check'!D704)</f>
        <v/>
      </c>
      <c r="K3704">
        <f>TRIM('Cash_Check'!B704)</f>
        <v/>
      </c>
      <c r="M3704">
        <f>IF(TRIM('Cash_Check'!E704)="","Cash/check",TRIM('Cash_Check'!E704))</f>
        <v/>
      </c>
      <c r="N3704">
        <f>IF(I3704="","",IF(ISNUMBER(I3704),INT(I3704),IFERROR(INT(DATEVALUE(I3704)),IFERROR(INT(VALUE(I3704)),"bad"))))</f>
        <v/>
      </c>
      <c r="O3704">
        <f>IF(J3704="","",IF(ISNUMBER(J3704),ROUND(J3704,2),IFERROR(ROUND(VALUE(SUBSTITUTE(SUBSTITUTE(SUBSTITUTE(J3704,"$",""),",","")," ","")),2),"bad")))</f>
        <v/>
      </c>
      <c r="P3704">
        <f>IF(K3704="","",IFERROR(MATCH(IF(ISNUMBER(FIND("#",K3704)),TRIM(MID(K3704,FIND("#",K3704)+1,20)),UPPER(K3704)),'Students'!$AD$2:$AD$701,0),""))</f>
        <v/>
      </c>
      <c r="R3704">
        <f>IF(P3704="","",INDEX('Students'!$AD$2:$AD$701,P3704))</f>
        <v/>
      </c>
      <c r="S3704">
        <f>IF(H3704="OK",O3704,0)</f>
        <v/>
      </c>
      <c r="T3704">
        <f>IF(H3704="OK",N3704,"")</f>
        <v/>
      </c>
      <c r="U3704">
        <f>TRIM('Cash_Check'!C704)</f>
        <v/>
      </c>
    </row>
    <row r="3705">
      <c r="A3705" s="62">
        <f>IF(H3705="","",IF(ISNUMBER(N3705),N3705,I3705))</f>
        <v/>
      </c>
      <c r="B3705">
        <f>IF(H3705="","",U3705)</f>
        <v/>
      </c>
      <c r="C3705">
        <f>IF(H3705="","",IF(P3705="",K3705,INDEX('Students'!$A$2:$A$701,P3705)))</f>
        <v/>
      </c>
      <c r="D3705">
        <f>IF(OR(H3705="",P3705=""),"",INDEX('Students'!$B$2:$B$701,P3705))</f>
        <v/>
      </c>
      <c r="E3705">
        <f>IF(OR(H3705="",P3705=""),"",INDEX('Students'!$C$2:$C$701,P3705))</f>
        <v/>
      </c>
      <c r="F3705" s="48">
        <f>IF(H3705="","",IF(ISNUMBER(O3705),O3705,J3705))</f>
        <v/>
      </c>
      <c r="G3705">
        <f>IF(H3705="","",M3705)</f>
        <v/>
      </c>
      <c r="H3705">
        <f>IF(AND(I3705="",J3705="",K3705=""),"",IF(OR(NOT(ISNUMBER(O3705)),N(O3705)&lt;=0),"Bad amount",IF(NOT(ISNUMBER(N3705)),"Bad date",IF(P3705="","NAME NOT ON ROSTER","OK"))))</f>
        <v/>
      </c>
      <c r="I3705">
        <f>IF('Cash_Check'!A705="","",'Cash_Check'!A705)</f>
        <v/>
      </c>
      <c r="J3705">
        <f>IF('Cash_Check'!D705="","",'Cash_Check'!D705)</f>
        <v/>
      </c>
      <c r="K3705">
        <f>TRIM('Cash_Check'!B705)</f>
        <v/>
      </c>
      <c r="M3705">
        <f>IF(TRIM('Cash_Check'!E705)="","Cash/check",TRIM('Cash_Check'!E705))</f>
        <v/>
      </c>
      <c r="N3705">
        <f>IF(I3705="","",IF(ISNUMBER(I3705),INT(I3705),IFERROR(INT(DATEVALUE(I3705)),IFERROR(INT(VALUE(I3705)),"bad"))))</f>
        <v/>
      </c>
      <c r="O3705">
        <f>IF(J3705="","",IF(ISNUMBER(J3705),ROUND(J3705,2),IFERROR(ROUND(VALUE(SUBSTITUTE(SUBSTITUTE(SUBSTITUTE(J3705,"$",""),",","")," ","")),2),"bad")))</f>
        <v/>
      </c>
      <c r="P3705">
        <f>IF(K3705="","",IFERROR(MATCH(IF(ISNUMBER(FIND("#",K3705)),TRIM(MID(K3705,FIND("#",K3705)+1,20)),UPPER(K3705)),'Students'!$AD$2:$AD$701,0),""))</f>
        <v/>
      </c>
      <c r="R3705">
        <f>IF(P3705="","",INDEX('Students'!$AD$2:$AD$701,P3705))</f>
        <v/>
      </c>
      <c r="S3705">
        <f>IF(H3705="OK",O3705,0)</f>
        <v/>
      </c>
      <c r="T3705">
        <f>IF(H3705="OK",N3705,"")</f>
        <v/>
      </c>
      <c r="U3705">
        <f>TRIM('Cash_Check'!C705)</f>
        <v/>
      </c>
    </row>
    <row r="3706">
      <c r="A3706" s="62">
        <f>IF(H3706="","",IF(ISNUMBER(N3706),N3706,I3706))</f>
        <v/>
      </c>
      <c r="B3706">
        <f>IF(H3706="","",U3706)</f>
        <v/>
      </c>
      <c r="C3706">
        <f>IF(H3706="","",IF(P3706="",K3706,INDEX('Students'!$A$2:$A$701,P3706)))</f>
        <v/>
      </c>
      <c r="D3706">
        <f>IF(OR(H3706="",P3706=""),"",INDEX('Students'!$B$2:$B$701,P3706))</f>
        <v/>
      </c>
      <c r="E3706">
        <f>IF(OR(H3706="",P3706=""),"",INDEX('Students'!$C$2:$C$701,P3706))</f>
        <v/>
      </c>
      <c r="F3706" s="48">
        <f>IF(H3706="","",IF(ISNUMBER(O3706),O3706,J3706))</f>
        <v/>
      </c>
      <c r="G3706">
        <f>IF(H3706="","",M3706)</f>
        <v/>
      </c>
      <c r="H3706">
        <f>IF(AND(I3706="",J3706="",K3706=""),"",IF(OR(NOT(ISNUMBER(O3706)),N(O3706)&lt;=0),"Bad amount",IF(NOT(ISNUMBER(N3706)),"Bad date",IF(P3706="","NAME NOT ON ROSTER","OK"))))</f>
        <v/>
      </c>
      <c r="I3706">
        <f>IF('Cash_Check'!A706="","",'Cash_Check'!A706)</f>
        <v/>
      </c>
      <c r="J3706">
        <f>IF('Cash_Check'!D706="","",'Cash_Check'!D706)</f>
        <v/>
      </c>
      <c r="K3706">
        <f>TRIM('Cash_Check'!B706)</f>
        <v/>
      </c>
      <c r="M3706">
        <f>IF(TRIM('Cash_Check'!E706)="","Cash/check",TRIM('Cash_Check'!E706))</f>
        <v/>
      </c>
      <c r="N3706">
        <f>IF(I3706="","",IF(ISNUMBER(I3706),INT(I3706),IFERROR(INT(DATEVALUE(I3706)),IFERROR(INT(VALUE(I3706)),"bad"))))</f>
        <v/>
      </c>
      <c r="O3706">
        <f>IF(J3706="","",IF(ISNUMBER(J3706),ROUND(J3706,2),IFERROR(ROUND(VALUE(SUBSTITUTE(SUBSTITUTE(SUBSTITUTE(J3706,"$",""),",","")," ","")),2),"bad")))</f>
        <v/>
      </c>
      <c r="P3706">
        <f>IF(K3706="","",IFERROR(MATCH(IF(ISNUMBER(FIND("#",K3706)),TRIM(MID(K3706,FIND("#",K3706)+1,20)),UPPER(K3706)),'Students'!$AD$2:$AD$701,0),""))</f>
        <v/>
      </c>
      <c r="R3706">
        <f>IF(P3706="","",INDEX('Students'!$AD$2:$AD$701,P3706))</f>
        <v/>
      </c>
      <c r="S3706">
        <f>IF(H3706="OK",O3706,0)</f>
        <v/>
      </c>
      <c r="T3706">
        <f>IF(H3706="OK",N3706,"")</f>
        <v/>
      </c>
      <c r="U3706">
        <f>TRIM('Cash_Check'!C706)</f>
        <v/>
      </c>
    </row>
    <row r="3707">
      <c r="A3707" s="62">
        <f>IF(H3707="","",IF(ISNUMBER(N3707),N3707,I3707))</f>
        <v/>
      </c>
      <c r="B3707">
        <f>IF(H3707="","",U3707)</f>
        <v/>
      </c>
      <c r="C3707">
        <f>IF(H3707="","",IF(P3707="",K3707,INDEX('Students'!$A$2:$A$701,P3707)))</f>
        <v/>
      </c>
      <c r="D3707">
        <f>IF(OR(H3707="",P3707=""),"",INDEX('Students'!$B$2:$B$701,P3707))</f>
        <v/>
      </c>
      <c r="E3707">
        <f>IF(OR(H3707="",P3707=""),"",INDEX('Students'!$C$2:$C$701,P3707))</f>
        <v/>
      </c>
      <c r="F3707" s="48">
        <f>IF(H3707="","",IF(ISNUMBER(O3707),O3707,J3707))</f>
        <v/>
      </c>
      <c r="G3707">
        <f>IF(H3707="","",M3707)</f>
        <v/>
      </c>
      <c r="H3707">
        <f>IF(AND(I3707="",J3707="",K3707=""),"",IF(OR(NOT(ISNUMBER(O3707)),N(O3707)&lt;=0),"Bad amount",IF(NOT(ISNUMBER(N3707)),"Bad date",IF(P3707="","NAME NOT ON ROSTER","OK"))))</f>
        <v/>
      </c>
      <c r="I3707">
        <f>IF('Cash_Check'!A707="","",'Cash_Check'!A707)</f>
        <v/>
      </c>
      <c r="J3707">
        <f>IF('Cash_Check'!D707="","",'Cash_Check'!D707)</f>
        <v/>
      </c>
      <c r="K3707">
        <f>TRIM('Cash_Check'!B707)</f>
        <v/>
      </c>
      <c r="M3707">
        <f>IF(TRIM('Cash_Check'!E707)="","Cash/check",TRIM('Cash_Check'!E707))</f>
        <v/>
      </c>
      <c r="N3707">
        <f>IF(I3707="","",IF(ISNUMBER(I3707),INT(I3707),IFERROR(INT(DATEVALUE(I3707)),IFERROR(INT(VALUE(I3707)),"bad"))))</f>
        <v/>
      </c>
      <c r="O3707">
        <f>IF(J3707="","",IF(ISNUMBER(J3707),ROUND(J3707,2),IFERROR(ROUND(VALUE(SUBSTITUTE(SUBSTITUTE(SUBSTITUTE(J3707,"$",""),",","")," ","")),2),"bad")))</f>
        <v/>
      </c>
      <c r="P3707">
        <f>IF(K3707="","",IFERROR(MATCH(IF(ISNUMBER(FIND("#",K3707)),TRIM(MID(K3707,FIND("#",K3707)+1,20)),UPPER(K3707)),'Students'!$AD$2:$AD$701,0),""))</f>
        <v/>
      </c>
      <c r="R3707">
        <f>IF(P3707="","",INDEX('Students'!$AD$2:$AD$701,P3707))</f>
        <v/>
      </c>
      <c r="S3707">
        <f>IF(H3707="OK",O3707,0)</f>
        <v/>
      </c>
      <c r="T3707">
        <f>IF(H3707="OK",N3707,"")</f>
        <v/>
      </c>
      <c r="U3707">
        <f>TRIM('Cash_Check'!C707)</f>
        <v/>
      </c>
    </row>
    <row r="3708">
      <c r="A3708" s="62">
        <f>IF(H3708="","",IF(ISNUMBER(N3708),N3708,I3708))</f>
        <v/>
      </c>
      <c r="B3708">
        <f>IF(H3708="","",U3708)</f>
        <v/>
      </c>
      <c r="C3708">
        <f>IF(H3708="","",IF(P3708="",K3708,INDEX('Students'!$A$2:$A$701,P3708)))</f>
        <v/>
      </c>
      <c r="D3708">
        <f>IF(OR(H3708="",P3708=""),"",INDEX('Students'!$B$2:$B$701,P3708))</f>
        <v/>
      </c>
      <c r="E3708">
        <f>IF(OR(H3708="",P3708=""),"",INDEX('Students'!$C$2:$C$701,P3708))</f>
        <v/>
      </c>
      <c r="F3708" s="48">
        <f>IF(H3708="","",IF(ISNUMBER(O3708),O3708,J3708))</f>
        <v/>
      </c>
      <c r="G3708">
        <f>IF(H3708="","",M3708)</f>
        <v/>
      </c>
      <c r="H3708">
        <f>IF(AND(I3708="",J3708="",K3708=""),"",IF(OR(NOT(ISNUMBER(O3708)),N(O3708)&lt;=0),"Bad amount",IF(NOT(ISNUMBER(N3708)),"Bad date",IF(P3708="","NAME NOT ON ROSTER","OK"))))</f>
        <v/>
      </c>
      <c r="I3708">
        <f>IF('Cash_Check'!A708="","",'Cash_Check'!A708)</f>
        <v/>
      </c>
      <c r="J3708">
        <f>IF('Cash_Check'!D708="","",'Cash_Check'!D708)</f>
        <v/>
      </c>
      <c r="K3708">
        <f>TRIM('Cash_Check'!B708)</f>
        <v/>
      </c>
      <c r="M3708">
        <f>IF(TRIM('Cash_Check'!E708)="","Cash/check",TRIM('Cash_Check'!E708))</f>
        <v/>
      </c>
      <c r="N3708">
        <f>IF(I3708="","",IF(ISNUMBER(I3708),INT(I3708),IFERROR(INT(DATEVALUE(I3708)),IFERROR(INT(VALUE(I3708)),"bad"))))</f>
        <v/>
      </c>
      <c r="O3708">
        <f>IF(J3708="","",IF(ISNUMBER(J3708),ROUND(J3708,2),IFERROR(ROUND(VALUE(SUBSTITUTE(SUBSTITUTE(SUBSTITUTE(J3708,"$",""),",","")," ","")),2),"bad")))</f>
        <v/>
      </c>
      <c r="P3708">
        <f>IF(K3708="","",IFERROR(MATCH(IF(ISNUMBER(FIND("#",K3708)),TRIM(MID(K3708,FIND("#",K3708)+1,20)),UPPER(K3708)),'Students'!$AD$2:$AD$701,0),""))</f>
        <v/>
      </c>
      <c r="R3708">
        <f>IF(P3708="","",INDEX('Students'!$AD$2:$AD$701,P3708))</f>
        <v/>
      </c>
      <c r="S3708">
        <f>IF(H3708="OK",O3708,0)</f>
        <v/>
      </c>
      <c r="T3708">
        <f>IF(H3708="OK",N3708,"")</f>
        <v/>
      </c>
      <c r="U3708">
        <f>TRIM('Cash_Check'!C708)</f>
        <v/>
      </c>
    </row>
    <row r="3709">
      <c r="A3709" s="62">
        <f>IF(H3709="","",IF(ISNUMBER(N3709),N3709,I3709))</f>
        <v/>
      </c>
      <c r="B3709">
        <f>IF(H3709="","",U3709)</f>
        <v/>
      </c>
      <c r="C3709">
        <f>IF(H3709="","",IF(P3709="",K3709,INDEX('Students'!$A$2:$A$701,P3709)))</f>
        <v/>
      </c>
      <c r="D3709">
        <f>IF(OR(H3709="",P3709=""),"",INDEX('Students'!$B$2:$B$701,P3709))</f>
        <v/>
      </c>
      <c r="E3709">
        <f>IF(OR(H3709="",P3709=""),"",INDEX('Students'!$C$2:$C$701,P3709))</f>
        <v/>
      </c>
      <c r="F3709" s="48">
        <f>IF(H3709="","",IF(ISNUMBER(O3709),O3709,J3709))</f>
        <v/>
      </c>
      <c r="G3709">
        <f>IF(H3709="","",M3709)</f>
        <v/>
      </c>
      <c r="H3709">
        <f>IF(AND(I3709="",J3709="",K3709=""),"",IF(OR(NOT(ISNUMBER(O3709)),N(O3709)&lt;=0),"Bad amount",IF(NOT(ISNUMBER(N3709)),"Bad date",IF(P3709="","NAME NOT ON ROSTER","OK"))))</f>
        <v/>
      </c>
      <c r="I3709">
        <f>IF('Cash_Check'!A709="","",'Cash_Check'!A709)</f>
        <v/>
      </c>
      <c r="J3709">
        <f>IF('Cash_Check'!D709="","",'Cash_Check'!D709)</f>
        <v/>
      </c>
      <c r="K3709">
        <f>TRIM('Cash_Check'!B709)</f>
        <v/>
      </c>
      <c r="M3709">
        <f>IF(TRIM('Cash_Check'!E709)="","Cash/check",TRIM('Cash_Check'!E709))</f>
        <v/>
      </c>
      <c r="N3709">
        <f>IF(I3709="","",IF(ISNUMBER(I3709),INT(I3709),IFERROR(INT(DATEVALUE(I3709)),IFERROR(INT(VALUE(I3709)),"bad"))))</f>
        <v/>
      </c>
      <c r="O3709">
        <f>IF(J3709="","",IF(ISNUMBER(J3709),ROUND(J3709,2),IFERROR(ROUND(VALUE(SUBSTITUTE(SUBSTITUTE(SUBSTITUTE(J3709,"$",""),",","")," ","")),2),"bad")))</f>
        <v/>
      </c>
      <c r="P3709">
        <f>IF(K3709="","",IFERROR(MATCH(IF(ISNUMBER(FIND("#",K3709)),TRIM(MID(K3709,FIND("#",K3709)+1,20)),UPPER(K3709)),'Students'!$AD$2:$AD$701,0),""))</f>
        <v/>
      </c>
      <c r="R3709">
        <f>IF(P3709="","",INDEX('Students'!$AD$2:$AD$701,P3709))</f>
        <v/>
      </c>
      <c r="S3709">
        <f>IF(H3709="OK",O3709,0)</f>
        <v/>
      </c>
      <c r="T3709">
        <f>IF(H3709="OK",N3709,"")</f>
        <v/>
      </c>
      <c r="U3709">
        <f>TRIM('Cash_Check'!C709)</f>
        <v/>
      </c>
    </row>
    <row r="3710">
      <c r="A3710" s="62">
        <f>IF(H3710="","",IF(ISNUMBER(N3710),N3710,I3710))</f>
        <v/>
      </c>
      <c r="B3710">
        <f>IF(H3710="","",U3710)</f>
        <v/>
      </c>
      <c r="C3710">
        <f>IF(H3710="","",IF(P3710="",K3710,INDEX('Students'!$A$2:$A$701,P3710)))</f>
        <v/>
      </c>
      <c r="D3710">
        <f>IF(OR(H3710="",P3710=""),"",INDEX('Students'!$B$2:$B$701,P3710))</f>
        <v/>
      </c>
      <c r="E3710">
        <f>IF(OR(H3710="",P3710=""),"",INDEX('Students'!$C$2:$C$701,P3710))</f>
        <v/>
      </c>
      <c r="F3710" s="48">
        <f>IF(H3710="","",IF(ISNUMBER(O3710),O3710,J3710))</f>
        <v/>
      </c>
      <c r="G3710">
        <f>IF(H3710="","",M3710)</f>
        <v/>
      </c>
      <c r="H3710">
        <f>IF(AND(I3710="",J3710="",K3710=""),"",IF(OR(NOT(ISNUMBER(O3710)),N(O3710)&lt;=0),"Bad amount",IF(NOT(ISNUMBER(N3710)),"Bad date",IF(P3710="","NAME NOT ON ROSTER","OK"))))</f>
        <v/>
      </c>
      <c r="I3710">
        <f>IF('Cash_Check'!A710="","",'Cash_Check'!A710)</f>
        <v/>
      </c>
      <c r="J3710">
        <f>IF('Cash_Check'!D710="","",'Cash_Check'!D710)</f>
        <v/>
      </c>
      <c r="K3710">
        <f>TRIM('Cash_Check'!B710)</f>
        <v/>
      </c>
      <c r="M3710">
        <f>IF(TRIM('Cash_Check'!E710)="","Cash/check",TRIM('Cash_Check'!E710))</f>
        <v/>
      </c>
      <c r="N3710">
        <f>IF(I3710="","",IF(ISNUMBER(I3710),INT(I3710),IFERROR(INT(DATEVALUE(I3710)),IFERROR(INT(VALUE(I3710)),"bad"))))</f>
        <v/>
      </c>
      <c r="O3710">
        <f>IF(J3710="","",IF(ISNUMBER(J3710),ROUND(J3710,2),IFERROR(ROUND(VALUE(SUBSTITUTE(SUBSTITUTE(SUBSTITUTE(J3710,"$",""),",","")," ","")),2),"bad")))</f>
        <v/>
      </c>
      <c r="P3710">
        <f>IF(K3710="","",IFERROR(MATCH(IF(ISNUMBER(FIND("#",K3710)),TRIM(MID(K3710,FIND("#",K3710)+1,20)),UPPER(K3710)),'Students'!$AD$2:$AD$701,0),""))</f>
        <v/>
      </c>
      <c r="R3710">
        <f>IF(P3710="","",INDEX('Students'!$AD$2:$AD$701,P3710))</f>
        <v/>
      </c>
      <c r="S3710">
        <f>IF(H3710="OK",O3710,0)</f>
        <v/>
      </c>
      <c r="T3710">
        <f>IF(H3710="OK",N3710,"")</f>
        <v/>
      </c>
      <c r="U3710">
        <f>TRIM('Cash_Check'!C710)</f>
        <v/>
      </c>
    </row>
    <row r="3711">
      <c r="A3711" s="62">
        <f>IF(H3711="","",IF(ISNUMBER(N3711),N3711,I3711))</f>
        <v/>
      </c>
      <c r="B3711">
        <f>IF(H3711="","",U3711)</f>
        <v/>
      </c>
      <c r="C3711">
        <f>IF(H3711="","",IF(P3711="",K3711,INDEX('Students'!$A$2:$A$701,P3711)))</f>
        <v/>
      </c>
      <c r="D3711">
        <f>IF(OR(H3711="",P3711=""),"",INDEX('Students'!$B$2:$B$701,P3711))</f>
        <v/>
      </c>
      <c r="E3711">
        <f>IF(OR(H3711="",P3711=""),"",INDEX('Students'!$C$2:$C$701,P3711))</f>
        <v/>
      </c>
      <c r="F3711" s="48">
        <f>IF(H3711="","",IF(ISNUMBER(O3711),O3711,J3711))</f>
        <v/>
      </c>
      <c r="G3711">
        <f>IF(H3711="","",M3711)</f>
        <v/>
      </c>
      <c r="H3711">
        <f>IF(AND(I3711="",J3711="",K3711=""),"",IF(OR(NOT(ISNUMBER(O3711)),N(O3711)&lt;=0),"Bad amount",IF(NOT(ISNUMBER(N3711)),"Bad date",IF(P3711="","NAME NOT ON ROSTER","OK"))))</f>
        <v/>
      </c>
      <c r="I3711">
        <f>IF('Cash_Check'!A711="","",'Cash_Check'!A711)</f>
        <v/>
      </c>
      <c r="J3711">
        <f>IF('Cash_Check'!D711="","",'Cash_Check'!D711)</f>
        <v/>
      </c>
      <c r="K3711">
        <f>TRIM('Cash_Check'!B711)</f>
        <v/>
      </c>
      <c r="M3711">
        <f>IF(TRIM('Cash_Check'!E711)="","Cash/check",TRIM('Cash_Check'!E711))</f>
        <v/>
      </c>
      <c r="N3711">
        <f>IF(I3711="","",IF(ISNUMBER(I3711),INT(I3711),IFERROR(INT(DATEVALUE(I3711)),IFERROR(INT(VALUE(I3711)),"bad"))))</f>
        <v/>
      </c>
      <c r="O3711">
        <f>IF(J3711="","",IF(ISNUMBER(J3711),ROUND(J3711,2),IFERROR(ROUND(VALUE(SUBSTITUTE(SUBSTITUTE(SUBSTITUTE(J3711,"$",""),",","")," ","")),2),"bad")))</f>
        <v/>
      </c>
      <c r="P3711">
        <f>IF(K3711="","",IFERROR(MATCH(IF(ISNUMBER(FIND("#",K3711)),TRIM(MID(K3711,FIND("#",K3711)+1,20)),UPPER(K3711)),'Students'!$AD$2:$AD$701,0),""))</f>
        <v/>
      </c>
      <c r="R3711">
        <f>IF(P3711="","",INDEX('Students'!$AD$2:$AD$701,P3711))</f>
        <v/>
      </c>
      <c r="S3711">
        <f>IF(H3711="OK",O3711,0)</f>
        <v/>
      </c>
      <c r="T3711">
        <f>IF(H3711="OK",N3711,"")</f>
        <v/>
      </c>
      <c r="U3711">
        <f>TRIM('Cash_Check'!C711)</f>
        <v/>
      </c>
    </row>
    <row r="3712">
      <c r="A3712" s="62">
        <f>IF(H3712="","",IF(ISNUMBER(N3712),N3712,I3712))</f>
        <v/>
      </c>
      <c r="B3712">
        <f>IF(H3712="","",U3712)</f>
        <v/>
      </c>
      <c r="C3712">
        <f>IF(H3712="","",IF(P3712="",K3712,INDEX('Students'!$A$2:$A$701,P3712)))</f>
        <v/>
      </c>
      <c r="D3712">
        <f>IF(OR(H3712="",P3712=""),"",INDEX('Students'!$B$2:$B$701,P3712))</f>
        <v/>
      </c>
      <c r="E3712">
        <f>IF(OR(H3712="",P3712=""),"",INDEX('Students'!$C$2:$C$701,P3712))</f>
        <v/>
      </c>
      <c r="F3712" s="48">
        <f>IF(H3712="","",IF(ISNUMBER(O3712),O3712,J3712))</f>
        <v/>
      </c>
      <c r="G3712">
        <f>IF(H3712="","",M3712)</f>
        <v/>
      </c>
      <c r="H3712">
        <f>IF(AND(I3712="",J3712="",K3712=""),"",IF(OR(NOT(ISNUMBER(O3712)),N(O3712)&lt;=0),"Bad amount",IF(NOT(ISNUMBER(N3712)),"Bad date",IF(P3712="","NAME NOT ON ROSTER","OK"))))</f>
        <v/>
      </c>
      <c r="I3712">
        <f>IF('Cash_Check'!A712="","",'Cash_Check'!A712)</f>
        <v/>
      </c>
      <c r="J3712">
        <f>IF('Cash_Check'!D712="","",'Cash_Check'!D712)</f>
        <v/>
      </c>
      <c r="K3712">
        <f>TRIM('Cash_Check'!B712)</f>
        <v/>
      </c>
      <c r="M3712">
        <f>IF(TRIM('Cash_Check'!E712)="","Cash/check",TRIM('Cash_Check'!E712))</f>
        <v/>
      </c>
      <c r="N3712">
        <f>IF(I3712="","",IF(ISNUMBER(I3712),INT(I3712),IFERROR(INT(DATEVALUE(I3712)),IFERROR(INT(VALUE(I3712)),"bad"))))</f>
        <v/>
      </c>
      <c r="O3712">
        <f>IF(J3712="","",IF(ISNUMBER(J3712),ROUND(J3712,2),IFERROR(ROUND(VALUE(SUBSTITUTE(SUBSTITUTE(SUBSTITUTE(J3712,"$",""),",","")," ","")),2),"bad")))</f>
        <v/>
      </c>
      <c r="P3712">
        <f>IF(K3712="","",IFERROR(MATCH(IF(ISNUMBER(FIND("#",K3712)),TRIM(MID(K3712,FIND("#",K3712)+1,20)),UPPER(K3712)),'Students'!$AD$2:$AD$701,0),""))</f>
        <v/>
      </c>
      <c r="R3712">
        <f>IF(P3712="","",INDEX('Students'!$AD$2:$AD$701,P3712))</f>
        <v/>
      </c>
      <c r="S3712">
        <f>IF(H3712="OK",O3712,0)</f>
        <v/>
      </c>
      <c r="T3712">
        <f>IF(H3712="OK",N3712,"")</f>
        <v/>
      </c>
      <c r="U3712">
        <f>TRIM('Cash_Check'!C712)</f>
        <v/>
      </c>
    </row>
    <row r="3713">
      <c r="A3713" s="62">
        <f>IF(H3713="","",IF(ISNUMBER(N3713),N3713,I3713))</f>
        <v/>
      </c>
      <c r="B3713">
        <f>IF(H3713="","",U3713)</f>
        <v/>
      </c>
      <c r="C3713">
        <f>IF(H3713="","",IF(P3713="",K3713,INDEX('Students'!$A$2:$A$701,P3713)))</f>
        <v/>
      </c>
      <c r="D3713">
        <f>IF(OR(H3713="",P3713=""),"",INDEX('Students'!$B$2:$B$701,P3713))</f>
        <v/>
      </c>
      <c r="E3713">
        <f>IF(OR(H3713="",P3713=""),"",INDEX('Students'!$C$2:$C$701,P3713))</f>
        <v/>
      </c>
      <c r="F3713" s="48">
        <f>IF(H3713="","",IF(ISNUMBER(O3713),O3713,J3713))</f>
        <v/>
      </c>
      <c r="G3713">
        <f>IF(H3713="","",M3713)</f>
        <v/>
      </c>
      <c r="H3713">
        <f>IF(AND(I3713="",J3713="",K3713=""),"",IF(OR(NOT(ISNUMBER(O3713)),N(O3713)&lt;=0),"Bad amount",IF(NOT(ISNUMBER(N3713)),"Bad date",IF(P3713="","NAME NOT ON ROSTER","OK"))))</f>
        <v/>
      </c>
      <c r="I3713">
        <f>IF('Cash_Check'!A713="","",'Cash_Check'!A713)</f>
        <v/>
      </c>
      <c r="J3713">
        <f>IF('Cash_Check'!D713="","",'Cash_Check'!D713)</f>
        <v/>
      </c>
      <c r="K3713">
        <f>TRIM('Cash_Check'!B713)</f>
        <v/>
      </c>
      <c r="M3713">
        <f>IF(TRIM('Cash_Check'!E713)="","Cash/check",TRIM('Cash_Check'!E713))</f>
        <v/>
      </c>
      <c r="N3713">
        <f>IF(I3713="","",IF(ISNUMBER(I3713),INT(I3713),IFERROR(INT(DATEVALUE(I3713)),IFERROR(INT(VALUE(I3713)),"bad"))))</f>
        <v/>
      </c>
      <c r="O3713">
        <f>IF(J3713="","",IF(ISNUMBER(J3713),ROUND(J3713,2),IFERROR(ROUND(VALUE(SUBSTITUTE(SUBSTITUTE(SUBSTITUTE(J3713,"$",""),",","")," ","")),2),"bad")))</f>
        <v/>
      </c>
      <c r="P3713">
        <f>IF(K3713="","",IFERROR(MATCH(IF(ISNUMBER(FIND("#",K3713)),TRIM(MID(K3713,FIND("#",K3713)+1,20)),UPPER(K3713)),'Students'!$AD$2:$AD$701,0),""))</f>
        <v/>
      </c>
      <c r="R3713">
        <f>IF(P3713="","",INDEX('Students'!$AD$2:$AD$701,P3713))</f>
        <v/>
      </c>
      <c r="S3713">
        <f>IF(H3713="OK",O3713,0)</f>
        <v/>
      </c>
      <c r="T3713">
        <f>IF(H3713="OK",N3713,"")</f>
        <v/>
      </c>
      <c r="U3713">
        <f>TRIM('Cash_Check'!C713)</f>
        <v/>
      </c>
    </row>
    <row r="3714">
      <c r="A3714" s="62">
        <f>IF(H3714="","",IF(ISNUMBER(N3714),N3714,I3714))</f>
        <v/>
      </c>
      <c r="B3714">
        <f>IF(H3714="","",U3714)</f>
        <v/>
      </c>
      <c r="C3714">
        <f>IF(H3714="","",IF(P3714="",K3714,INDEX('Students'!$A$2:$A$701,P3714)))</f>
        <v/>
      </c>
      <c r="D3714">
        <f>IF(OR(H3714="",P3714=""),"",INDEX('Students'!$B$2:$B$701,P3714))</f>
        <v/>
      </c>
      <c r="E3714">
        <f>IF(OR(H3714="",P3714=""),"",INDEX('Students'!$C$2:$C$701,P3714))</f>
        <v/>
      </c>
      <c r="F3714" s="48">
        <f>IF(H3714="","",IF(ISNUMBER(O3714),O3714,J3714))</f>
        <v/>
      </c>
      <c r="G3714">
        <f>IF(H3714="","",M3714)</f>
        <v/>
      </c>
      <c r="H3714">
        <f>IF(AND(I3714="",J3714="",K3714=""),"",IF(OR(NOT(ISNUMBER(O3714)),N(O3714)&lt;=0),"Bad amount",IF(NOT(ISNUMBER(N3714)),"Bad date",IF(P3714="","NAME NOT ON ROSTER","OK"))))</f>
        <v/>
      </c>
      <c r="I3714">
        <f>IF('Cash_Check'!A714="","",'Cash_Check'!A714)</f>
        <v/>
      </c>
      <c r="J3714">
        <f>IF('Cash_Check'!D714="","",'Cash_Check'!D714)</f>
        <v/>
      </c>
      <c r="K3714">
        <f>TRIM('Cash_Check'!B714)</f>
        <v/>
      </c>
      <c r="M3714">
        <f>IF(TRIM('Cash_Check'!E714)="","Cash/check",TRIM('Cash_Check'!E714))</f>
        <v/>
      </c>
      <c r="N3714">
        <f>IF(I3714="","",IF(ISNUMBER(I3714),INT(I3714),IFERROR(INT(DATEVALUE(I3714)),IFERROR(INT(VALUE(I3714)),"bad"))))</f>
        <v/>
      </c>
      <c r="O3714">
        <f>IF(J3714="","",IF(ISNUMBER(J3714),ROUND(J3714,2),IFERROR(ROUND(VALUE(SUBSTITUTE(SUBSTITUTE(SUBSTITUTE(J3714,"$",""),",","")," ","")),2),"bad")))</f>
        <v/>
      </c>
      <c r="P3714">
        <f>IF(K3714="","",IFERROR(MATCH(IF(ISNUMBER(FIND("#",K3714)),TRIM(MID(K3714,FIND("#",K3714)+1,20)),UPPER(K3714)),'Students'!$AD$2:$AD$701,0),""))</f>
        <v/>
      </c>
      <c r="R3714">
        <f>IF(P3714="","",INDEX('Students'!$AD$2:$AD$701,P3714))</f>
        <v/>
      </c>
      <c r="S3714">
        <f>IF(H3714="OK",O3714,0)</f>
        <v/>
      </c>
      <c r="T3714">
        <f>IF(H3714="OK",N3714,"")</f>
        <v/>
      </c>
      <c r="U3714">
        <f>TRIM('Cash_Check'!C714)</f>
        <v/>
      </c>
    </row>
    <row r="3715">
      <c r="A3715" s="62">
        <f>IF(H3715="","",IF(ISNUMBER(N3715),N3715,I3715))</f>
        <v/>
      </c>
      <c r="B3715">
        <f>IF(H3715="","",U3715)</f>
        <v/>
      </c>
      <c r="C3715">
        <f>IF(H3715="","",IF(P3715="",K3715,INDEX('Students'!$A$2:$A$701,P3715)))</f>
        <v/>
      </c>
      <c r="D3715">
        <f>IF(OR(H3715="",P3715=""),"",INDEX('Students'!$B$2:$B$701,P3715))</f>
        <v/>
      </c>
      <c r="E3715">
        <f>IF(OR(H3715="",P3715=""),"",INDEX('Students'!$C$2:$C$701,P3715))</f>
        <v/>
      </c>
      <c r="F3715" s="48">
        <f>IF(H3715="","",IF(ISNUMBER(O3715),O3715,J3715))</f>
        <v/>
      </c>
      <c r="G3715">
        <f>IF(H3715="","",M3715)</f>
        <v/>
      </c>
      <c r="H3715">
        <f>IF(AND(I3715="",J3715="",K3715=""),"",IF(OR(NOT(ISNUMBER(O3715)),N(O3715)&lt;=0),"Bad amount",IF(NOT(ISNUMBER(N3715)),"Bad date",IF(P3715="","NAME NOT ON ROSTER","OK"))))</f>
        <v/>
      </c>
      <c r="I3715">
        <f>IF('Cash_Check'!A715="","",'Cash_Check'!A715)</f>
        <v/>
      </c>
      <c r="J3715">
        <f>IF('Cash_Check'!D715="","",'Cash_Check'!D715)</f>
        <v/>
      </c>
      <c r="K3715">
        <f>TRIM('Cash_Check'!B715)</f>
        <v/>
      </c>
      <c r="M3715">
        <f>IF(TRIM('Cash_Check'!E715)="","Cash/check",TRIM('Cash_Check'!E715))</f>
        <v/>
      </c>
      <c r="N3715">
        <f>IF(I3715="","",IF(ISNUMBER(I3715),INT(I3715),IFERROR(INT(DATEVALUE(I3715)),IFERROR(INT(VALUE(I3715)),"bad"))))</f>
        <v/>
      </c>
      <c r="O3715">
        <f>IF(J3715="","",IF(ISNUMBER(J3715),ROUND(J3715,2),IFERROR(ROUND(VALUE(SUBSTITUTE(SUBSTITUTE(SUBSTITUTE(J3715,"$",""),",","")," ","")),2),"bad")))</f>
        <v/>
      </c>
      <c r="P3715">
        <f>IF(K3715="","",IFERROR(MATCH(IF(ISNUMBER(FIND("#",K3715)),TRIM(MID(K3715,FIND("#",K3715)+1,20)),UPPER(K3715)),'Students'!$AD$2:$AD$701,0),""))</f>
        <v/>
      </c>
      <c r="R3715">
        <f>IF(P3715="","",INDEX('Students'!$AD$2:$AD$701,P3715))</f>
        <v/>
      </c>
      <c r="S3715">
        <f>IF(H3715="OK",O3715,0)</f>
        <v/>
      </c>
      <c r="T3715">
        <f>IF(H3715="OK",N3715,"")</f>
        <v/>
      </c>
      <c r="U3715">
        <f>TRIM('Cash_Check'!C715)</f>
        <v/>
      </c>
    </row>
    <row r="3716">
      <c r="A3716" s="62">
        <f>IF(H3716="","",IF(ISNUMBER(N3716),N3716,I3716))</f>
        <v/>
      </c>
      <c r="B3716">
        <f>IF(H3716="","",U3716)</f>
        <v/>
      </c>
      <c r="C3716">
        <f>IF(H3716="","",IF(P3716="",K3716,INDEX('Students'!$A$2:$A$701,P3716)))</f>
        <v/>
      </c>
      <c r="D3716">
        <f>IF(OR(H3716="",P3716=""),"",INDEX('Students'!$B$2:$B$701,P3716))</f>
        <v/>
      </c>
      <c r="E3716">
        <f>IF(OR(H3716="",P3716=""),"",INDEX('Students'!$C$2:$C$701,P3716))</f>
        <v/>
      </c>
      <c r="F3716" s="48">
        <f>IF(H3716="","",IF(ISNUMBER(O3716),O3716,J3716))</f>
        <v/>
      </c>
      <c r="G3716">
        <f>IF(H3716="","",M3716)</f>
        <v/>
      </c>
      <c r="H3716">
        <f>IF(AND(I3716="",J3716="",K3716=""),"",IF(OR(NOT(ISNUMBER(O3716)),N(O3716)&lt;=0),"Bad amount",IF(NOT(ISNUMBER(N3716)),"Bad date",IF(P3716="","NAME NOT ON ROSTER","OK"))))</f>
        <v/>
      </c>
      <c r="I3716">
        <f>IF('Cash_Check'!A716="","",'Cash_Check'!A716)</f>
        <v/>
      </c>
      <c r="J3716">
        <f>IF('Cash_Check'!D716="","",'Cash_Check'!D716)</f>
        <v/>
      </c>
      <c r="K3716">
        <f>TRIM('Cash_Check'!B716)</f>
        <v/>
      </c>
      <c r="M3716">
        <f>IF(TRIM('Cash_Check'!E716)="","Cash/check",TRIM('Cash_Check'!E716))</f>
        <v/>
      </c>
      <c r="N3716">
        <f>IF(I3716="","",IF(ISNUMBER(I3716),INT(I3716),IFERROR(INT(DATEVALUE(I3716)),IFERROR(INT(VALUE(I3716)),"bad"))))</f>
        <v/>
      </c>
      <c r="O3716">
        <f>IF(J3716="","",IF(ISNUMBER(J3716),ROUND(J3716,2),IFERROR(ROUND(VALUE(SUBSTITUTE(SUBSTITUTE(SUBSTITUTE(J3716,"$",""),",","")," ","")),2),"bad")))</f>
        <v/>
      </c>
      <c r="P3716">
        <f>IF(K3716="","",IFERROR(MATCH(IF(ISNUMBER(FIND("#",K3716)),TRIM(MID(K3716,FIND("#",K3716)+1,20)),UPPER(K3716)),'Students'!$AD$2:$AD$701,0),""))</f>
        <v/>
      </c>
      <c r="R3716">
        <f>IF(P3716="","",INDEX('Students'!$AD$2:$AD$701,P3716))</f>
        <v/>
      </c>
      <c r="S3716">
        <f>IF(H3716="OK",O3716,0)</f>
        <v/>
      </c>
      <c r="T3716">
        <f>IF(H3716="OK",N3716,"")</f>
        <v/>
      </c>
      <c r="U3716">
        <f>TRIM('Cash_Check'!C716)</f>
        <v/>
      </c>
    </row>
    <row r="3717">
      <c r="A3717" s="62">
        <f>IF(H3717="","",IF(ISNUMBER(N3717),N3717,I3717))</f>
        <v/>
      </c>
      <c r="B3717">
        <f>IF(H3717="","",U3717)</f>
        <v/>
      </c>
      <c r="C3717">
        <f>IF(H3717="","",IF(P3717="",K3717,INDEX('Students'!$A$2:$A$701,P3717)))</f>
        <v/>
      </c>
      <c r="D3717">
        <f>IF(OR(H3717="",P3717=""),"",INDEX('Students'!$B$2:$B$701,P3717))</f>
        <v/>
      </c>
      <c r="E3717">
        <f>IF(OR(H3717="",P3717=""),"",INDEX('Students'!$C$2:$C$701,P3717))</f>
        <v/>
      </c>
      <c r="F3717" s="48">
        <f>IF(H3717="","",IF(ISNUMBER(O3717),O3717,J3717))</f>
        <v/>
      </c>
      <c r="G3717">
        <f>IF(H3717="","",M3717)</f>
        <v/>
      </c>
      <c r="H3717">
        <f>IF(AND(I3717="",J3717="",K3717=""),"",IF(OR(NOT(ISNUMBER(O3717)),N(O3717)&lt;=0),"Bad amount",IF(NOT(ISNUMBER(N3717)),"Bad date",IF(P3717="","NAME NOT ON ROSTER","OK"))))</f>
        <v/>
      </c>
      <c r="I3717">
        <f>IF('Cash_Check'!A717="","",'Cash_Check'!A717)</f>
        <v/>
      </c>
      <c r="J3717">
        <f>IF('Cash_Check'!D717="","",'Cash_Check'!D717)</f>
        <v/>
      </c>
      <c r="K3717">
        <f>TRIM('Cash_Check'!B717)</f>
        <v/>
      </c>
      <c r="M3717">
        <f>IF(TRIM('Cash_Check'!E717)="","Cash/check",TRIM('Cash_Check'!E717))</f>
        <v/>
      </c>
      <c r="N3717">
        <f>IF(I3717="","",IF(ISNUMBER(I3717),INT(I3717),IFERROR(INT(DATEVALUE(I3717)),IFERROR(INT(VALUE(I3717)),"bad"))))</f>
        <v/>
      </c>
      <c r="O3717">
        <f>IF(J3717="","",IF(ISNUMBER(J3717),ROUND(J3717,2),IFERROR(ROUND(VALUE(SUBSTITUTE(SUBSTITUTE(SUBSTITUTE(J3717,"$",""),",","")," ","")),2),"bad")))</f>
        <v/>
      </c>
      <c r="P3717">
        <f>IF(K3717="","",IFERROR(MATCH(IF(ISNUMBER(FIND("#",K3717)),TRIM(MID(K3717,FIND("#",K3717)+1,20)),UPPER(K3717)),'Students'!$AD$2:$AD$701,0),""))</f>
        <v/>
      </c>
      <c r="R3717">
        <f>IF(P3717="","",INDEX('Students'!$AD$2:$AD$701,P3717))</f>
        <v/>
      </c>
      <c r="S3717">
        <f>IF(H3717="OK",O3717,0)</f>
        <v/>
      </c>
      <c r="T3717">
        <f>IF(H3717="OK",N3717,"")</f>
        <v/>
      </c>
      <c r="U3717">
        <f>TRIM('Cash_Check'!C717)</f>
        <v/>
      </c>
    </row>
    <row r="3718">
      <c r="A3718" s="62">
        <f>IF(H3718="","",IF(ISNUMBER(N3718),N3718,I3718))</f>
        <v/>
      </c>
      <c r="B3718">
        <f>IF(H3718="","",U3718)</f>
        <v/>
      </c>
      <c r="C3718">
        <f>IF(H3718="","",IF(P3718="",K3718,INDEX('Students'!$A$2:$A$701,P3718)))</f>
        <v/>
      </c>
      <c r="D3718">
        <f>IF(OR(H3718="",P3718=""),"",INDEX('Students'!$B$2:$B$701,P3718))</f>
        <v/>
      </c>
      <c r="E3718">
        <f>IF(OR(H3718="",P3718=""),"",INDEX('Students'!$C$2:$C$701,P3718))</f>
        <v/>
      </c>
      <c r="F3718" s="48">
        <f>IF(H3718="","",IF(ISNUMBER(O3718),O3718,J3718))</f>
        <v/>
      </c>
      <c r="G3718">
        <f>IF(H3718="","",M3718)</f>
        <v/>
      </c>
      <c r="H3718">
        <f>IF(AND(I3718="",J3718="",K3718=""),"",IF(OR(NOT(ISNUMBER(O3718)),N(O3718)&lt;=0),"Bad amount",IF(NOT(ISNUMBER(N3718)),"Bad date",IF(P3718="","NAME NOT ON ROSTER","OK"))))</f>
        <v/>
      </c>
      <c r="I3718">
        <f>IF('Cash_Check'!A718="","",'Cash_Check'!A718)</f>
        <v/>
      </c>
      <c r="J3718">
        <f>IF('Cash_Check'!D718="","",'Cash_Check'!D718)</f>
        <v/>
      </c>
      <c r="K3718">
        <f>TRIM('Cash_Check'!B718)</f>
        <v/>
      </c>
      <c r="M3718">
        <f>IF(TRIM('Cash_Check'!E718)="","Cash/check",TRIM('Cash_Check'!E718))</f>
        <v/>
      </c>
      <c r="N3718">
        <f>IF(I3718="","",IF(ISNUMBER(I3718),INT(I3718),IFERROR(INT(DATEVALUE(I3718)),IFERROR(INT(VALUE(I3718)),"bad"))))</f>
        <v/>
      </c>
      <c r="O3718">
        <f>IF(J3718="","",IF(ISNUMBER(J3718),ROUND(J3718,2),IFERROR(ROUND(VALUE(SUBSTITUTE(SUBSTITUTE(SUBSTITUTE(J3718,"$",""),",","")," ","")),2),"bad")))</f>
        <v/>
      </c>
      <c r="P3718">
        <f>IF(K3718="","",IFERROR(MATCH(IF(ISNUMBER(FIND("#",K3718)),TRIM(MID(K3718,FIND("#",K3718)+1,20)),UPPER(K3718)),'Students'!$AD$2:$AD$701,0),""))</f>
        <v/>
      </c>
      <c r="R3718">
        <f>IF(P3718="","",INDEX('Students'!$AD$2:$AD$701,P3718))</f>
        <v/>
      </c>
      <c r="S3718">
        <f>IF(H3718="OK",O3718,0)</f>
        <v/>
      </c>
      <c r="T3718">
        <f>IF(H3718="OK",N3718,"")</f>
        <v/>
      </c>
      <c r="U3718">
        <f>TRIM('Cash_Check'!C718)</f>
        <v/>
      </c>
    </row>
    <row r="3719">
      <c r="A3719" s="62">
        <f>IF(H3719="","",IF(ISNUMBER(N3719),N3719,I3719))</f>
        <v/>
      </c>
      <c r="B3719">
        <f>IF(H3719="","",U3719)</f>
        <v/>
      </c>
      <c r="C3719">
        <f>IF(H3719="","",IF(P3719="",K3719,INDEX('Students'!$A$2:$A$701,P3719)))</f>
        <v/>
      </c>
      <c r="D3719">
        <f>IF(OR(H3719="",P3719=""),"",INDEX('Students'!$B$2:$B$701,P3719))</f>
        <v/>
      </c>
      <c r="E3719">
        <f>IF(OR(H3719="",P3719=""),"",INDEX('Students'!$C$2:$C$701,P3719))</f>
        <v/>
      </c>
      <c r="F3719" s="48">
        <f>IF(H3719="","",IF(ISNUMBER(O3719),O3719,J3719))</f>
        <v/>
      </c>
      <c r="G3719">
        <f>IF(H3719="","",M3719)</f>
        <v/>
      </c>
      <c r="H3719">
        <f>IF(AND(I3719="",J3719="",K3719=""),"",IF(OR(NOT(ISNUMBER(O3719)),N(O3719)&lt;=0),"Bad amount",IF(NOT(ISNUMBER(N3719)),"Bad date",IF(P3719="","NAME NOT ON ROSTER","OK"))))</f>
        <v/>
      </c>
      <c r="I3719">
        <f>IF('Cash_Check'!A719="","",'Cash_Check'!A719)</f>
        <v/>
      </c>
      <c r="J3719">
        <f>IF('Cash_Check'!D719="","",'Cash_Check'!D719)</f>
        <v/>
      </c>
      <c r="K3719">
        <f>TRIM('Cash_Check'!B719)</f>
        <v/>
      </c>
      <c r="M3719">
        <f>IF(TRIM('Cash_Check'!E719)="","Cash/check",TRIM('Cash_Check'!E719))</f>
        <v/>
      </c>
      <c r="N3719">
        <f>IF(I3719="","",IF(ISNUMBER(I3719),INT(I3719),IFERROR(INT(DATEVALUE(I3719)),IFERROR(INT(VALUE(I3719)),"bad"))))</f>
        <v/>
      </c>
      <c r="O3719">
        <f>IF(J3719="","",IF(ISNUMBER(J3719),ROUND(J3719,2),IFERROR(ROUND(VALUE(SUBSTITUTE(SUBSTITUTE(SUBSTITUTE(J3719,"$",""),",","")," ","")),2),"bad")))</f>
        <v/>
      </c>
      <c r="P3719">
        <f>IF(K3719="","",IFERROR(MATCH(IF(ISNUMBER(FIND("#",K3719)),TRIM(MID(K3719,FIND("#",K3719)+1,20)),UPPER(K3719)),'Students'!$AD$2:$AD$701,0),""))</f>
        <v/>
      </c>
      <c r="R3719">
        <f>IF(P3719="","",INDEX('Students'!$AD$2:$AD$701,P3719))</f>
        <v/>
      </c>
      <c r="S3719">
        <f>IF(H3719="OK",O3719,0)</f>
        <v/>
      </c>
      <c r="T3719">
        <f>IF(H3719="OK",N3719,"")</f>
        <v/>
      </c>
      <c r="U3719">
        <f>TRIM('Cash_Check'!C719)</f>
        <v/>
      </c>
    </row>
    <row r="3720">
      <c r="A3720" s="62">
        <f>IF(H3720="","",IF(ISNUMBER(N3720),N3720,I3720))</f>
        <v/>
      </c>
      <c r="B3720">
        <f>IF(H3720="","",U3720)</f>
        <v/>
      </c>
      <c r="C3720">
        <f>IF(H3720="","",IF(P3720="",K3720,INDEX('Students'!$A$2:$A$701,P3720)))</f>
        <v/>
      </c>
      <c r="D3720">
        <f>IF(OR(H3720="",P3720=""),"",INDEX('Students'!$B$2:$B$701,P3720))</f>
        <v/>
      </c>
      <c r="E3720">
        <f>IF(OR(H3720="",P3720=""),"",INDEX('Students'!$C$2:$C$701,P3720))</f>
        <v/>
      </c>
      <c r="F3720" s="48">
        <f>IF(H3720="","",IF(ISNUMBER(O3720),O3720,J3720))</f>
        <v/>
      </c>
      <c r="G3720">
        <f>IF(H3720="","",M3720)</f>
        <v/>
      </c>
      <c r="H3720">
        <f>IF(AND(I3720="",J3720="",K3720=""),"",IF(OR(NOT(ISNUMBER(O3720)),N(O3720)&lt;=0),"Bad amount",IF(NOT(ISNUMBER(N3720)),"Bad date",IF(P3720="","NAME NOT ON ROSTER","OK"))))</f>
        <v/>
      </c>
      <c r="I3720">
        <f>IF('Cash_Check'!A720="","",'Cash_Check'!A720)</f>
        <v/>
      </c>
      <c r="J3720">
        <f>IF('Cash_Check'!D720="","",'Cash_Check'!D720)</f>
        <v/>
      </c>
      <c r="K3720">
        <f>TRIM('Cash_Check'!B720)</f>
        <v/>
      </c>
      <c r="M3720">
        <f>IF(TRIM('Cash_Check'!E720)="","Cash/check",TRIM('Cash_Check'!E720))</f>
        <v/>
      </c>
      <c r="N3720">
        <f>IF(I3720="","",IF(ISNUMBER(I3720),INT(I3720),IFERROR(INT(DATEVALUE(I3720)),IFERROR(INT(VALUE(I3720)),"bad"))))</f>
        <v/>
      </c>
      <c r="O3720">
        <f>IF(J3720="","",IF(ISNUMBER(J3720),ROUND(J3720,2),IFERROR(ROUND(VALUE(SUBSTITUTE(SUBSTITUTE(SUBSTITUTE(J3720,"$",""),",","")," ","")),2),"bad")))</f>
        <v/>
      </c>
      <c r="P3720">
        <f>IF(K3720="","",IFERROR(MATCH(IF(ISNUMBER(FIND("#",K3720)),TRIM(MID(K3720,FIND("#",K3720)+1,20)),UPPER(K3720)),'Students'!$AD$2:$AD$701,0),""))</f>
        <v/>
      </c>
      <c r="R3720">
        <f>IF(P3720="","",INDEX('Students'!$AD$2:$AD$701,P3720))</f>
        <v/>
      </c>
      <c r="S3720">
        <f>IF(H3720="OK",O3720,0)</f>
        <v/>
      </c>
      <c r="T3720">
        <f>IF(H3720="OK",N3720,"")</f>
        <v/>
      </c>
      <c r="U3720">
        <f>TRIM('Cash_Check'!C720)</f>
        <v/>
      </c>
    </row>
    <row r="3721">
      <c r="A3721" s="62">
        <f>IF(H3721="","",IF(ISNUMBER(N3721),N3721,I3721))</f>
        <v/>
      </c>
      <c r="B3721">
        <f>IF(H3721="","",U3721)</f>
        <v/>
      </c>
      <c r="C3721">
        <f>IF(H3721="","",IF(P3721="",K3721,INDEX('Students'!$A$2:$A$701,P3721)))</f>
        <v/>
      </c>
      <c r="D3721">
        <f>IF(OR(H3721="",P3721=""),"",INDEX('Students'!$B$2:$B$701,P3721))</f>
        <v/>
      </c>
      <c r="E3721">
        <f>IF(OR(H3721="",P3721=""),"",INDEX('Students'!$C$2:$C$701,P3721))</f>
        <v/>
      </c>
      <c r="F3721" s="48">
        <f>IF(H3721="","",IF(ISNUMBER(O3721),O3721,J3721))</f>
        <v/>
      </c>
      <c r="G3721">
        <f>IF(H3721="","",M3721)</f>
        <v/>
      </c>
      <c r="H3721">
        <f>IF(AND(I3721="",J3721="",K3721=""),"",IF(OR(NOT(ISNUMBER(O3721)),N(O3721)&lt;=0),"Bad amount",IF(NOT(ISNUMBER(N3721)),"Bad date",IF(P3721="","NAME NOT ON ROSTER","OK"))))</f>
        <v/>
      </c>
      <c r="I3721">
        <f>IF('Cash_Check'!A721="","",'Cash_Check'!A721)</f>
        <v/>
      </c>
      <c r="J3721">
        <f>IF('Cash_Check'!D721="","",'Cash_Check'!D721)</f>
        <v/>
      </c>
      <c r="K3721">
        <f>TRIM('Cash_Check'!B721)</f>
        <v/>
      </c>
      <c r="M3721">
        <f>IF(TRIM('Cash_Check'!E721)="","Cash/check",TRIM('Cash_Check'!E721))</f>
        <v/>
      </c>
      <c r="N3721">
        <f>IF(I3721="","",IF(ISNUMBER(I3721),INT(I3721),IFERROR(INT(DATEVALUE(I3721)),IFERROR(INT(VALUE(I3721)),"bad"))))</f>
        <v/>
      </c>
      <c r="O3721">
        <f>IF(J3721="","",IF(ISNUMBER(J3721),ROUND(J3721,2),IFERROR(ROUND(VALUE(SUBSTITUTE(SUBSTITUTE(SUBSTITUTE(J3721,"$",""),",","")," ","")),2),"bad")))</f>
        <v/>
      </c>
      <c r="P3721">
        <f>IF(K3721="","",IFERROR(MATCH(IF(ISNUMBER(FIND("#",K3721)),TRIM(MID(K3721,FIND("#",K3721)+1,20)),UPPER(K3721)),'Students'!$AD$2:$AD$701,0),""))</f>
        <v/>
      </c>
      <c r="R3721">
        <f>IF(P3721="","",INDEX('Students'!$AD$2:$AD$701,P3721))</f>
        <v/>
      </c>
      <c r="S3721">
        <f>IF(H3721="OK",O3721,0)</f>
        <v/>
      </c>
      <c r="T3721">
        <f>IF(H3721="OK",N3721,"")</f>
        <v/>
      </c>
      <c r="U3721">
        <f>TRIM('Cash_Check'!C721)</f>
        <v/>
      </c>
    </row>
    <row r="3722">
      <c r="A3722" s="62">
        <f>IF(H3722="","",IF(ISNUMBER(N3722),N3722,I3722))</f>
        <v/>
      </c>
      <c r="B3722">
        <f>IF(H3722="","",U3722)</f>
        <v/>
      </c>
      <c r="C3722">
        <f>IF(H3722="","",IF(P3722="",K3722,INDEX('Students'!$A$2:$A$701,P3722)))</f>
        <v/>
      </c>
      <c r="D3722">
        <f>IF(OR(H3722="",P3722=""),"",INDEX('Students'!$B$2:$B$701,P3722))</f>
        <v/>
      </c>
      <c r="E3722">
        <f>IF(OR(H3722="",P3722=""),"",INDEX('Students'!$C$2:$C$701,P3722))</f>
        <v/>
      </c>
      <c r="F3722" s="48">
        <f>IF(H3722="","",IF(ISNUMBER(O3722),O3722,J3722))</f>
        <v/>
      </c>
      <c r="G3722">
        <f>IF(H3722="","",M3722)</f>
        <v/>
      </c>
      <c r="H3722">
        <f>IF(AND(I3722="",J3722="",K3722=""),"",IF(OR(NOT(ISNUMBER(O3722)),N(O3722)&lt;=0),"Bad amount",IF(NOT(ISNUMBER(N3722)),"Bad date",IF(P3722="","NAME NOT ON ROSTER","OK"))))</f>
        <v/>
      </c>
      <c r="I3722">
        <f>IF('Cash_Check'!A722="","",'Cash_Check'!A722)</f>
        <v/>
      </c>
      <c r="J3722">
        <f>IF('Cash_Check'!D722="","",'Cash_Check'!D722)</f>
        <v/>
      </c>
      <c r="K3722">
        <f>TRIM('Cash_Check'!B722)</f>
        <v/>
      </c>
      <c r="M3722">
        <f>IF(TRIM('Cash_Check'!E722)="","Cash/check",TRIM('Cash_Check'!E722))</f>
        <v/>
      </c>
      <c r="N3722">
        <f>IF(I3722="","",IF(ISNUMBER(I3722),INT(I3722),IFERROR(INT(DATEVALUE(I3722)),IFERROR(INT(VALUE(I3722)),"bad"))))</f>
        <v/>
      </c>
      <c r="O3722">
        <f>IF(J3722="","",IF(ISNUMBER(J3722),ROUND(J3722,2),IFERROR(ROUND(VALUE(SUBSTITUTE(SUBSTITUTE(SUBSTITUTE(J3722,"$",""),",","")," ","")),2),"bad")))</f>
        <v/>
      </c>
      <c r="P3722">
        <f>IF(K3722="","",IFERROR(MATCH(IF(ISNUMBER(FIND("#",K3722)),TRIM(MID(K3722,FIND("#",K3722)+1,20)),UPPER(K3722)),'Students'!$AD$2:$AD$701,0),""))</f>
        <v/>
      </c>
      <c r="R3722">
        <f>IF(P3722="","",INDEX('Students'!$AD$2:$AD$701,P3722))</f>
        <v/>
      </c>
      <c r="S3722">
        <f>IF(H3722="OK",O3722,0)</f>
        <v/>
      </c>
      <c r="T3722">
        <f>IF(H3722="OK",N3722,"")</f>
        <v/>
      </c>
      <c r="U3722">
        <f>TRIM('Cash_Check'!C722)</f>
        <v/>
      </c>
    </row>
    <row r="3723">
      <c r="A3723" s="62">
        <f>IF(H3723="","",IF(ISNUMBER(N3723),N3723,I3723))</f>
        <v/>
      </c>
      <c r="B3723">
        <f>IF(H3723="","",U3723)</f>
        <v/>
      </c>
      <c r="C3723">
        <f>IF(H3723="","",IF(P3723="",K3723,INDEX('Students'!$A$2:$A$701,P3723)))</f>
        <v/>
      </c>
      <c r="D3723">
        <f>IF(OR(H3723="",P3723=""),"",INDEX('Students'!$B$2:$B$701,P3723))</f>
        <v/>
      </c>
      <c r="E3723">
        <f>IF(OR(H3723="",P3723=""),"",INDEX('Students'!$C$2:$C$701,P3723))</f>
        <v/>
      </c>
      <c r="F3723" s="48">
        <f>IF(H3723="","",IF(ISNUMBER(O3723),O3723,J3723))</f>
        <v/>
      </c>
      <c r="G3723">
        <f>IF(H3723="","",M3723)</f>
        <v/>
      </c>
      <c r="H3723">
        <f>IF(AND(I3723="",J3723="",K3723=""),"",IF(OR(NOT(ISNUMBER(O3723)),N(O3723)&lt;=0),"Bad amount",IF(NOT(ISNUMBER(N3723)),"Bad date",IF(P3723="","NAME NOT ON ROSTER","OK"))))</f>
        <v/>
      </c>
      <c r="I3723">
        <f>IF('Cash_Check'!A723="","",'Cash_Check'!A723)</f>
        <v/>
      </c>
      <c r="J3723">
        <f>IF('Cash_Check'!D723="","",'Cash_Check'!D723)</f>
        <v/>
      </c>
      <c r="K3723">
        <f>TRIM('Cash_Check'!B723)</f>
        <v/>
      </c>
      <c r="M3723">
        <f>IF(TRIM('Cash_Check'!E723)="","Cash/check",TRIM('Cash_Check'!E723))</f>
        <v/>
      </c>
      <c r="N3723">
        <f>IF(I3723="","",IF(ISNUMBER(I3723),INT(I3723),IFERROR(INT(DATEVALUE(I3723)),IFERROR(INT(VALUE(I3723)),"bad"))))</f>
        <v/>
      </c>
      <c r="O3723">
        <f>IF(J3723="","",IF(ISNUMBER(J3723),ROUND(J3723,2),IFERROR(ROUND(VALUE(SUBSTITUTE(SUBSTITUTE(SUBSTITUTE(J3723,"$",""),",","")," ","")),2),"bad")))</f>
        <v/>
      </c>
      <c r="P3723">
        <f>IF(K3723="","",IFERROR(MATCH(IF(ISNUMBER(FIND("#",K3723)),TRIM(MID(K3723,FIND("#",K3723)+1,20)),UPPER(K3723)),'Students'!$AD$2:$AD$701,0),""))</f>
        <v/>
      </c>
      <c r="R3723">
        <f>IF(P3723="","",INDEX('Students'!$AD$2:$AD$701,P3723))</f>
        <v/>
      </c>
      <c r="S3723">
        <f>IF(H3723="OK",O3723,0)</f>
        <v/>
      </c>
      <c r="T3723">
        <f>IF(H3723="OK",N3723,"")</f>
        <v/>
      </c>
      <c r="U3723">
        <f>TRIM('Cash_Check'!C723)</f>
        <v/>
      </c>
    </row>
    <row r="3724">
      <c r="A3724" s="62">
        <f>IF(H3724="","",IF(ISNUMBER(N3724),N3724,I3724))</f>
        <v/>
      </c>
      <c r="B3724">
        <f>IF(H3724="","",U3724)</f>
        <v/>
      </c>
      <c r="C3724">
        <f>IF(H3724="","",IF(P3724="",K3724,INDEX('Students'!$A$2:$A$701,P3724)))</f>
        <v/>
      </c>
      <c r="D3724">
        <f>IF(OR(H3724="",P3724=""),"",INDEX('Students'!$B$2:$B$701,P3724))</f>
        <v/>
      </c>
      <c r="E3724">
        <f>IF(OR(H3724="",P3724=""),"",INDEX('Students'!$C$2:$C$701,P3724))</f>
        <v/>
      </c>
      <c r="F3724" s="48">
        <f>IF(H3724="","",IF(ISNUMBER(O3724),O3724,J3724))</f>
        <v/>
      </c>
      <c r="G3724">
        <f>IF(H3724="","",M3724)</f>
        <v/>
      </c>
      <c r="H3724">
        <f>IF(AND(I3724="",J3724="",K3724=""),"",IF(OR(NOT(ISNUMBER(O3724)),N(O3724)&lt;=0),"Bad amount",IF(NOT(ISNUMBER(N3724)),"Bad date",IF(P3724="","NAME NOT ON ROSTER","OK"))))</f>
        <v/>
      </c>
      <c r="I3724">
        <f>IF('Cash_Check'!A724="","",'Cash_Check'!A724)</f>
        <v/>
      </c>
      <c r="J3724">
        <f>IF('Cash_Check'!D724="","",'Cash_Check'!D724)</f>
        <v/>
      </c>
      <c r="K3724">
        <f>TRIM('Cash_Check'!B724)</f>
        <v/>
      </c>
      <c r="M3724">
        <f>IF(TRIM('Cash_Check'!E724)="","Cash/check",TRIM('Cash_Check'!E724))</f>
        <v/>
      </c>
      <c r="N3724">
        <f>IF(I3724="","",IF(ISNUMBER(I3724),INT(I3724),IFERROR(INT(DATEVALUE(I3724)),IFERROR(INT(VALUE(I3724)),"bad"))))</f>
        <v/>
      </c>
      <c r="O3724">
        <f>IF(J3724="","",IF(ISNUMBER(J3724),ROUND(J3724,2),IFERROR(ROUND(VALUE(SUBSTITUTE(SUBSTITUTE(SUBSTITUTE(J3724,"$",""),",","")," ","")),2),"bad")))</f>
        <v/>
      </c>
      <c r="P3724">
        <f>IF(K3724="","",IFERROR(MATCH(IF(ISNUMBER(FIND("#",K3724)),TRIM(MID(K3724,FIND("#",K3724)+1,20)),UPPER(K3724)),'Students'!$AD$2:$AD$701,0),""))</f>
        <v/>
      </c>
      <c r="R3724">
        <f>IF(P3724="","",INDEX('Students'!$AD$2:$AD$701,P3724))</f>
        <v/>
      </c>
      <c r="S3724">
        <f>IF(H3724="OK",O3724,0)</f>
        <v/>
      </c>
      <c r="T3724">
        <f>IF(H3724="OK",N3724,"")</f>
        <v/>
      </c>
      <c r="U3724">
        <f>TRIM('Cash_Check'!C724)</f>
        <v/>
      </c>
    </row>
    <row r="3725">
      <c r="A3725" s="62">
        <f>IF(H3725="","",IF(ISNUMBER(N3725),N3725,I3725))</f>
        <v/>
      </c>
      <c r="B3725">
        <f>IF(H3725="","",U3725)</f>
        <v/>
      </c>
      <c r="C3725">
        <f>IF(H3725="","",IF(P3725="",K3725,INDEX('Students'!$A$2:$A$701,P3725)))</f>
        <v/>
      </c>
      <c r="D3725">
        <f>IF(OR(H3725="",P3725=""),"",INDEX('Students'!$B$2:$B$701,P3725))</f>
        <v/>
      </c>
      <c r="E3725">
        <f>IF(OR(H3725="",P3725=""),"",INDEX('Students'!$C$2:$C$701,P3725))</f>
        <v/>
      </c>
      <c r="F3725" s="48">
        <f>IF(H3725="","",IF(ISNUMBER(O3725),O3725,J3725))</f>
        <v/>
      </c>
      <c r="G3725">
        <f>IF(H3725="","",M3725)</f>
        <v/>
      </c>
      <c r="H3725">
        <f>IF(AND(I3725="",J3725="",K3725=""),"",IF(OR(NOT(ISNUMBER(O3725)),N(O3725)&lt;=0),"Bad amount",IF(NOT(ISNUMBER(N3725)),"Bad date",IF(P3725="","NAME NOT ON ROSTER","OK"))))</f>
        <v/>
      </c>
      <c r="I3725">
        <f>IF('Cash_Check'!A725="","",'Cash_Check'!A725)</f>
        <v/>
      </c>
      <c r="J3725">
        <f>IF('Cash_Check'!D725="","",'Cash_Check'!D725)</f>
        <v/>
      </c>
      <c r="K3725">
        <f>TRIM('Cash_Check'!B725)</f>
        <v/>
      </c>
      <c r="M3725">
        <f>IF(TRIM('Cash_Check'!E725)="","Cash/check",TRIM('Cash_Check'!E725))</f>
        <v/>
      </c>
      <c r="N3725">
        <f>IF(I3725="","",IF(ISNUMBER(I3725),INT(I3725),IFERROR(INT(DATEVALUE(I3725)),IFERROR(INT(VALUE(I3725)),"bad"))))</f>
        <v/>
      </c>
      <c r="O3725">
        <f>IF(J3725="","",IF(ISNUMBER(J3725),ROUND(J3725,2),IFERROR(ROUND(VALUE(SUBSTITUTE(SUBSTITUTE(SUBSTITUTE(J3725,"$",""),",","")," ","")),2),"bad")))</f>
        <v/>
      </c>
      <c r="P3725">
        <f>IF(K3725="","",IFERROR(MATCH(IF(ISNUMBER(FIND("#",K3725)),TRIM(MID(K3725,FIND("#",K3725)+1,20)),UPPER(K3725)),'Students'!$AD$2:$AD$701,0),""))</f>
        <v/>
      </c>
      <c r="R3725">
        <f>IF(P3725="","",INDEX('Students'!$AD$2:$AD$701,P3725))</f>
        <v/>
      </c>
      <c r="S3725">
        <f>IF(H3725="OK",O3725,0)</f>
        <v/>
      </c>
      <c r="T3725">
        <f>IF(H3725="OK",N3725,"")</f>
        <v/>
      </c>
      <c r="U3725">
        <f>TRIM('Cash_Check'!C725)</f>
        <v/>
      </c>
    </row>
    <row r="3726">
      <c r="A3726" s="62">
        <f>IF(H3726="","",IF(ISNUMBER(N3726),N3726,I3726))</f>
        <v/>
      </c>
      <c r="B3726">
        <f>IF(H3726="","",U3726)</f>
        <v/>
      </c>
      <c r="C3726">
        <f>IF(H3726="","",IF(P3726="",K3726,INDEX('Students'!$A$2:$A$701,P3726)))</f>
        <v/>
      </c>
      <c r="D3726">
        <f>IF(OR(H3726="",P3726=""),"",INDEX('Students'!$B$2:$B$701,P3726))</f>
        <v/>
      </c>
      <c r="E3726">
        <f>IF(OR(H3726="",P3726=""),"",INDEX('Students'!$C$2:$C$701,P3726))</f>
        <v/>
      </c>
      <c r="F3726" s="48">
        <f>IF(H3726="","",IF(ISNUMBER(O3726),O3726,J3726))</f>
        <v/>
      </c>
      <c r="G3726">
        <f>IF(H3726="","",M3726)</f>
        <v/>
      </c>
      <c r="H3726">
        <f>IF(AND(I3726="",J3726="",K3726=""),"",IF(OR(NOT(ISNUMBER(O3726)),N(O3726)&lt;=0),"Bad amount",IF(NOT(ISNUMBER(N3726)),"Bad date",IF(P3726="","NAME NOT ON ROSTER","OK"))))</f>
        <v/>
      </c>
      <c r="I3726">
        <f>IF('Cash_Check'!A726="","",'Cash_Check'!A726)</f>
        <v/>
      </c>
      <c r="J3726">
        <f>IF('Cash_Check'!D726="","",'Cash_Check'!D726)</f>
        <v/>
      </c>
      <c r="K3726">
        <f>TRIM('Cash_Check'!B726)</f>
        <v/>
      </c>
      <c r="M3726">
        <f>IF(TRIM('Cash_Check'!E726)="","Cash/check",TRIM('Cash_Check'!E726))</f>
        <v/>
      </c>
      <c r="N3726">
        <f>IF(I3726="","",IF(ISNUMBER(I3726),INT(I3726),IFERROR(INT(DATEVALUE(I3726)),IFERROR(INT(VALUE(I3726)),"bad"))))</f>
        <v/>
      </c>
      <c r="O3726">
        <f>IF(J3726="","",IF(ISNUMBER(J3726),ROUND(J3726,2),IFERROR(ROUND(VALUE(SUBSTITUTE(SUBSTITUTE(SUBSTITUTE(J3726,"$",""),",","")," ","")),2),"bad")))</f>
        <v/>
      </c>
      <c r="P3726">
        <f>IF(K3726="","",IFERROR(MATCH(IF(ISNUMBER(FIND("#",K3726)),TRIM(MID(K3726,FIND("#",K3726)+1,20)),UPPER(K3726)),'Students'!$AD$2:$AD$701,0),""))</f>
        <v/>
      </c>
      <c r="R3726">
        <f>IF(P3726="","",INDEX('Students'!$AD$2:$AD$701,P3726))</f>
        <v/>
      </c>
      <c r="S3726">
        <f>IF(H3726="OK",O3726,0)</f>
        <v/>
      </c>
      <c r="T3726">
        <f>IF(H3726="OK",N3726,"")</f>
        <v/>
      </c>
      <c r="U3726">
        <f>TRIM('Cash_Check'!C726)</f>
        <v/>
      </c>
    </row>
    <row r="3727">
      <c r="A3727" s="62">
        <f>IF(H3727="","",IF(ISNUMBER(N3727),N3727,I3727))</f>
        <v/>
      </c>
      <c r="B3727">
        <f>IF(H3727="","",U3727)</f>
        <v/>
      </c>
      <c r="C3727">
        <f>IF(H3727="","",IF(P3727="",K3727,INDEX('Students'!$A$2:$A$701,P3727)))</f>
        <v/>
      </c>
      <c r="D3727">
        <f>IF(OR(H3727="",P3727=""),"",INDEX('Students'!$B$2:$B$701,P3727))</f>
        <v/>
      </c>
      <c r="E3727">
        <f>IF(OR(H3727="",P3727=""),"",INDEX('Students'!$C$2:$C$701,P3727))</f>
        <v/>
      </c>
      <c r="F3727" s="48">
        <f>IF(H3727="","",IF(ISNUMBER(O3727),O3727,J3727))</f>
        <v/>
      </c>
      <c r="G3727">
        <f>IF(H3727="","",M3727)</f>
        <v/>
      </c>
      <c r="H3727">
        <f>IF(AND(I3727="",J3727="",K3727=""),"",IF(OR(NOT(ISNUMBER(O3727)),N(O3727)&lt;=0),"Bad amount",IF(NOT(ISNUMBER(N3727)),"Bad date",IF(P3727="","NAME NOT ON ROSTER","OK"))))</f>
        <v/>
      </c>
      <c r="I3727">
        <f>IF('Cash_Check'!A727="","",'Cash_Check'!A727)</f>
        <v/>
      </c>
      <c r="J3727">
        <f>IF('Cash_Check'!D727="","",'Cash_Check'!D727)</f>
        <v/>
      </c>
      <c r="K3727">
        <f>TRIM('Cash_Check'!B727)</f>
        <v/>
      </c>
      <c r="M3727">
        <f>IF(TRIM('Cash_Check'!E727)="","Cash/check",TRIM('Cash_Check'!E727))</f>
        <v/>
      </c>
      <c r="N3727">
        <f>IF(I3727="","",IF(ISNUMBER(I3727),INT(I3727),IFERROR(INT(DATEVALUE(I3727)),IFERROR(INT(VALUE(I3727)),"bad"))))</f>
        <v/>
      </c>
      <c r="O3727">
        <f>IF(J3727="","",IF(ISNUMBER(J3727),ROUND(J3727,2),IFERROR(ROUND(VALUE(SUBSTITUTE(SUBSTITUTE(SUBSTITUTE(J3727,"$",""),",","")," ","")),2),"bad")))</f>
        <v/>
      </c>
      <c r="P3727">
        <f>IF(K3727="","",IFERROR(MATCH(IF(ISNUMBER(FIND("#",K3727)),TRIM(MID(K3727,FIND("#",K3727)+1,20)),UPPER(K3727)),'Students'!$AD$2:$AD$701,0),""))</f>
        <v/>
      </c>
      <c r="R3727">
        <f>IF(P3727="","",INDEX('Students'!$AD$2:$AD$701,P3727))</f>
        <v/>
      </c>
      <c r="S3727">
        <f>IF(H3727="OK",O3727,0)</f>
        <v/>
      </c>
      <c r="T3727">
        <f>IF(H3727="OK",N3727,"")</f>
        <v/>
      </c>
      <c r="U3727">
        <f>TRIM('Cash_Check'!C727)</f>
        <v/>
      </c>
    </row>
    <row r="3728">
      <c r="A3728" s="62">
        <f>IF(H3728="","",IF(ISNUMBER(N3728),N3728,I3728))</f>
        <v/>
      </c>
      <c r="B3728">
        <f>IF(H3728="","",U3728)</f>
        <v/>
      </c>
      <c r="C3728">
        <f>IF(H3728="","",IF(P3728="",K3728,INDEX('Students'!$A$2:$A$701,P3728)))</f>
        <v/>
      </c>
      <c r="D3728">
        <f>IF(OR(H3728="",P3728=""),"",INDEX('Students'!$B$2:$B$701,P3728))</f>
        <v/>
      </c>
      <c r="E3728">
        <f>IF(OR(H3728="",P3728=""),"",INDEX('Students'!$C$2:$C$701,P3728))</f>
        <v/>
      </c>
      <c r="F3728" s="48">
        <f>IF(H3728="","",IF(ISNUMBER(O3728),O3728,J3728))</f>
        <v/>
      </c>
      <c r="G3728">
        <f>IF(H3728="","",M3728)</f>
        <v/>
      </c>
      <c r="H3728">
        <f>IF(AND(I3728="",J3728="",K3728=""),"",IF(OR(NOT(ISNUMBER(O3728)),N(O3728)&lt;=0),"Bad amount",IF(NOT(ISNUMBER(N3728)),"Bad date",IF(P3728="","NAME NOT ON ROSTER","OK"))))</f>
        <v/>
      </c>
      <c r="I3728">
        <f>IF('Cash_Check'!A728="","",'Cash_Check'!A728)</f>
        <v/>
      </c>
      <c r="J3728">
        <f>IF('Cash_Check'!D728="","",'Cash_Check'!D728)</f>
        <v/>
      </c>
      <c r="K3728">
        <f>TRIM('Cash_Check'!B728)</f>
        <v/>
      </c>
      <c r="M3728">
        <f>IF(TRIM('Cash_Check'!E728)="","Cash/check",TRIM('Cash_Check'!E728))</f>
        <v/>
      </c>
      <c r="N3728">
        <f>IF(I3728="","",IF(ISNUMBER(I3728),INT(I3728),IFERROR(INT(DATEVALUE(I3728)),IFERROR(INT(VALUE(I3728)),"bad"))))</f>
        <v/>
      </c>
      <c r="O3728">
        <f>IF(J3728="","",IF(ISNUMBER(J3728),ROUND(J3728,2),IFERROR(ROUND(VALUE(SUBSTITUTE(SUBSTITUTE(SUBSTITUTE(J3728,"$",""),",","")," ","")),2),"bad")))</f>
        <v/>
      </c>
      <c r="P3728">
        <f>IF(K3728="","",IFERROR(MATCH(IF(ISNUMBER(FIND("#",K3728)),TRIM(MID(K3728,FIND("#",K3728)+1,20)),UPPER(K3728)),'Students'!$AD$2:$AD$701,0),""))</f>
        <v/>
      </c>
      <c r="R3728">
        <f>IF(P3728="","",INDEX('Students'!$AD$2:$AD$701,P3728))</f>
        <v/>
      </c>
      <c r="S3728">
        <f>IF(H3728="OK",O3728,0)</f>
        <v/>
      </c>
      <c r="T3728">
        <f>IF(H3728="OK",N3728,"")</f>
        <v/>
      </c>
      <c r="U3728">
        <f>TRIM('Cash_Check'!C728)</f>
        <v/>
      </c>
    </row>
    <row r="3729">
      <c r="A3729" s="62">
        <f>IF(H3729="","",IF(ISNUMBER(N3729),N3729,I3729))</f>
        <v/>
      </c>
      <c r="B3729">
        <f>IF(H3729="","",U3729)</f>
        <v/>
      </c>
      <c r="C3729">
        <f>IF(H3729="","",IF(P3729="",K3729,INDEX('Students'!$A$2:$A$701,P3729)))</f>
        <v/>
      </c>
      <c r="D3729">
        <f>IF(OR(H3729="",P3729=""),"",INDEX('Students'!$B$2:$B$701,P3729))</f>
        <v/>
      </c>
      <c r="E3729">
        <f>IF(OR(H3729="",P3729=""),"",INDEX('Students'!$C$2:$C$701,P3729))</f>
        <v/>
      </c>
      <c r="F3729" s="48">
        <f>IF(H3729="","",IF(ISNUMBER(O3729),O3729,J3729))</f>
        <v/>
      </c>
      <c r="G3729">
        <f>IF(H3729="","",M3729)</f>
        <v/>
      </c>
      <c r="H3729">
        <f>IF(AND(I3729="",J3729="",K3729=""),"",IF(OR(NOT(ISNUMBER(O3729)),N(O3729)&lt;=0),"Bad amount",IF(NOT(ISNUMBER(N3729)),"Bad date",IF(P3729="","NAME NOT ON ROSTER","OK"))))</f>
        <v/>
      </c>
      <c r="I3729">
        <f>IF('Cash_Check'!A729="","",'Cash_Check'!A729)</f>
        <v/>
      </c>
      <c r="J3729">
        <f>IF('Cash_Check'!D729="","",'Cash_Check'!D729)</f>
        <v/>
      </c>
      <c r="K3729">
        <f>TRIM('Cash_Check'!B729)</f>
        <v/>
      </c>
      <c r="M3729">
        <f>IF(TRIM('Cash_Check'!E729)="","Cash/check",TRIM('Cash_Check'!E729))</f>
        <v/>
      </c>
      <c r="N3729">
        <f>IF(I3729="","",IF(ISNUMBER(I3729),INT(I3729),IFERROR(INT(DATEVALUE(I3729)),IFERROR(INT(VALUE(I3729)),"bad"))))</f>
        <v/>
      </c>
      <c r="O3729">
        <f>IF(J3729="","",IF(ISNUMBER(J3729),ROUND(J3729,2),IFERROR(ROUND(VALUE(SUBSTITUTE(SUBSTITUTE(SUBSTITUTE(J3729,"$",""),",","")," ","")),2),"bad")))</f>
        <v/>
      </c>
      <c r="P3729">
        <f>IF(K3729="","",IFERROR(MATCH(IF(ISNUMBER(FIND("#",K3729)),TRIM(MID(K3729,FIND("#",K3729)+1,20)),UPPER(K3729)),'Students'!$AD$2:$AD$701,0),""))</f>
        <v/>
      </c>
      <c r="R3729">
        <f>IF(P3729="","",INDEX('Students'!$AD$2:$AD$701,P3729))</f>
        <v/>
      </c>
      <c r="S3729">
        <f>IF(H3729="OK",O3729,0)</f>
        <v/>
      </c>
      <c r="T3729">
        <f>IF(H3729="OK",N3729,"")</f>
        <v/>
      </c>
      <c r="U3729">
        <f>TRIM('Cash_Check'!C729)</f>
        <v/>
      </c>
    </row>
    <row r="3730">
      <c r="A3730" s="62">
        <f>IF(H3730="","",IF(ISNUMBER(N3730),N3730,I3730))</f>
        <v/>
      </c>
      <c r="B3730">
        <f>IF(H3730="","",U3730)</f>
        <v/>
      </c>
      <c r="C3730">
        <f>IF(H3730="","",IF(P3730="",K3730,INDEX('Students'!$A$2:$A$701,P3730)))</f>
        <v/>
      </c>
      <c r="D3730">
        <f>IF(OR(H3730="",P3730=""),"",INDEX('Students'!$B$2:$B$701,P3730))</f>
        <v/>
      </c>
      <c r="E3730">
        <f>IF(OR(H3730="",P3730=""),"",INDEX('Students'!$C$2:$C$701,P3730))</f>
        <v/>
      </c>
      <c r="F3730" s="48">
        <f>IF(H3730="","",IF(ISNUMBER(O3730),O3730,J3730))</f>
        <v/>
      </c>
      <c r="G3730">
        <f>IF(H3730="","",M3730)</f>
        <v/>
      </c>
      <c r="H3730">
        <f>IF(AND(I3730="",J3730="",K3730=""),"",IF(OR(NOT(ISNUMBER(O3730)),N(O3730)&lt;=0),"Bad amount",IF(NOT(ISNUMBER(N3730)),"Bad date",IF(P3730="","NAME NOT ON ROSTER","OK"))))</f>
        <v/>
      </c>
      <c r="I3730">
        <f>IF('Cash_Check'!A730="","",'Cash_Check'!A730)</f>
        <v/>
      </c>
      <c r="J3730">
        <f>IF('Cash_Check'!D730="","",'Cash_Check'!D730)</f>
        <v/>
      </c>
      <c r="K3730">
        <f>TRIM('Cash_Check'!B730)</f>
        <v/>
      </c>
      <c r="M3730">
        <f>IF(TRIM('Cash_Check'!E730)="","Cash/check",TRIM('Cash_Check'!E730))</f>
        <v/>
      </c>
      <c r="N3730">
        <f>IF(I3730="","",IF(ISNUMBER(I3730),INT(I3730),IFERROR(INT(DATEVALUE(I3730)),IFERROR(INT(VALUE(I3730)),"bad"))))</f>
        <v/>
      </c>
      <c r="O3730">
        <f>IF(J3730="","",IF(ISNUMBER(J3730),ROUND(J3730,2),IFERROR(ROUND(VALUE(SUBSTITUTE(SUBSTITUTE(SUBSTITUTE(J3730,"$",""),",","")," ","")),2),"bad")))</f>
        <v/>
      </c>
      <c r="P3730">
        <f>IF(K3730="","",IFERROR(MATCH(IF(ISNUMBER(FIND("#",K3730)),TRIM(MID(K3730,FIND("#",K3730)+1,20)),UPPER(K3730)),'Students'!$AD$2:$AD$701,0),""))</f>
        <v/>
      </c>
      <c r="R3730">
        <f>IF(P3730="","",INDEX('Students'!$AD$2:$AD$701,P3730))</f>
        <v/>
      </c>
      <c r="S3730">
        <f>IF(H3730="OK",O3730,0)</f>
        <v/>
      </c>
      <c r="T3730">
        <f>IF(H3730="OK",N3730,"")</f>
        <v/>
      </c>
      <c r="U3730">
        <f>TRIM('Cash_Check'!C730)</f>
        <v/>
      </c>
    </row>
    <row r="3731">
      <c r="A3731" s="62">
        <f>IF(H3731="","",IF(ISNUMBER(N3731),N3731,I3731))</f>
        <v/>
      </c>
      <c r="B3731">
        <f>IF(H3731="","",U3731)</f>
        <v/>
      </c>
      <c r="C3731">
        <f>IF(H3731="","",IF(P3731="",K3731,INDEX('Students'!$A$2:$A$701,P3731)))</f>
        <v/>
      </c>
      <c r="D3731">
        <f>IF(OR(H3731="",P3731=""),"",INDEX('Students'!$B$2:$B$701,P3731))</f>
        <v/>
      </c>
      <c r="E3731">
        <f>IF(OR(H3731="",P3731=""),"",INDEX('Students'!$C$2:$C$701,P3731))</f>
        <v/>
      </c>
      <c r="F3731" s="48">
        <f>IF(H3731="","",IF(ISNUMBER(O3731),O3731,J3731))</f>
        <v/>
      </c>
      <c r="G3731">
        <f>IF(H3731="","",M3731)</f>
        <v/>
      </c>
      <c r="H3731">
        <f>IF(AND(I3731="",J3731="",K3731=""),"",IF(OR(NOT(ISNUMBER(O3731)),N(O3731)&lt;=0),"Bad amount",IF(NOT(ISNUMBER(N3731)),"Bad date",IF(P3731="","NAME NOT ON ROSTER","OK"))))</f>
        <v/>
      </c>
      <c r="I3731">
        <f>IF('Cash_Check'!A731="","",'Cash_Check'!A731)</f>
        <v/>
      </c>
      <c r="J3731">
        <f>IF('Cash_Check'!D731="","",'Cash_Check'!D731)</f>
        <v/>
      </c>
      <c r="K3731">
        <f>TRIM('Cash_Check'!B731)</f>
        <v/>
      </c>
      <c r="M3731">
        <f>IF(TRIM('Cash_Check'!E731)="","Cash/check",TRIM('Cash_Check'!E731))</f>
        <v/>
      </c>
      <c r="N3731">
        <f>IF(I3731="","",IF(ISNUMBER(I3731),INT(I3731),IFERROR(INT(DATEVALUE(I3731)),IFERROR(INT(VALUE(I3731)),"bad"))))</f>
        <v/>
      </c>
      <c r="O3731">
        <f>IF(J3731="","",IF(ISNUMBER(J3731),ROUND(J3731,2),IFERROR(ROUND(VALUE(SUBSTITUTE(SUBSTITUTE(SUBSTITUTE(J3731,"$",""),",","")," ","")),2),"bad")))</f>
        <v/>
      </c>
      <c r="P3731">
        <f>IF(K3731="","",IFERROR(MATCH(IF(ISNUMBER(FIND("#",K3731)),TRIM(MID(K3731,FIND("#",K3731)+1,20)),UPPER(K3731)),'Students'!$AD$2:$AD$701,0),""))</f>
        <v/>
      </c>
      <c r="R3731">
        <f>IF(P3731="","",INDEX('Students'!$AD$2:$AD$701,P3731))</f>
        <v/>
      </c>
      <c r="S3731">
        <f>IF(H3731="OK",O3731,0)</f>
        <v/>
      </c>
      <c r="T3731">
        <f>IF(H3731="OK",N3731,"")</f>
        <v/>
      </c>
      <c r="U3731">
        <f>TRIM('Cash_Check'!C731)</f>
        <v/>
      </c>
    </row>
    <row r="3732">
      <c r="A3732" s="62">
        <f>IF(H3732="","",IF(ISNUMBER(N3732),N3732,I3732))</f>
        <v/>
      </c>
      <c r="B3732">
        <f>IF(H3732="","",U3732)</f>
        <v/>
      </c>
      <c r="C3732">
        <f>IF(H3732="","",IF(P3732="",K3732,INDEX('Students'!$A$2:$A$701,P3732)))</f>
        <v/>
      </c>
      <c r="D3732">
        <f>IF(OR(H3732="",P3732=""),"",INDEX('Students'!$B$2:$B$701,P3732))</f>
        <v/>
      </c>
      <c r="E3732">
        <f>IF(OR(H3732="",P3732=""),"",INDEX('Students'!$C$2:$C$701,P3732))</f>
        <v/>
      </c>
      <c r="F3732" s="48">
        <f>IF(H3732="","",IF(ISNUMBER(O3732),O3732,J3732))</f>
        <v/>
      </c>
      <c r="G3732">
        <f>IF(H3732="","",M3732)</f>
        <v/>
      </c>
      <c r="H3732">
        <f>IF(AND(I3732="",J3732="",K3732=""),"",IF(OR(NOT(ISNUMBER(O3732)),N(O3732)&lt;=0),"Bad amount",IF(NOT(ISNUMBER(N3732)),"Bad date",IF(P3732="","NAME NOT ON ROSTER","OK"))))</f>
        <v/>
      </c>
      <c r="I3732">
        <f>IF('Cash_Check'!A732="","",'Cash_Check'!A732)</f>
        <v/>
      </c>
      <c r="J3732">
        <f>IF('Cash_Check'!D732="","",'Cash_Check'!D732)</f>
        <v/>
      </c>
      <c r="K3732">
        <f>TRIM('Cash_Check'!B732)</f>
        <v/>
      </c>
      <c r="M3732">
        <f>IF(TRIM('Cash_Check'!E732)="","Cash/check",TRIM('Cash_Check'!E732))</f>
        <v/>
      </c>
      <c r="N3732">
        <f>IF(I3732="","",IF(ISNUMBER(I3732),INT(I3732),IFERROR(INT(DATEVALUE(I3732)),IFERROR(INT(VALUE(I3732)),"bad"))))</f>
        <v/>
      </c>
      <c r="O3732">
        <f>IF(J3732="","",IF(ISNUMBER(J3732),ROUND(J3732,2),IFERROR(ROUND(VALUE(SUBSTITUTE(SUBSTITUTE(SUBSTITUTE(J3732,"$",""),",","")," ","")),2),"bad")))</f>
        <v/>
      </c>
      <c r="P3732">
        <f>IF(K3732="","",IFERROR(MATCH(IF(ISNUMBER(FIND("#",K3732)),TRIM(MID(K3732,FIND("#",K3732)+1,20)),UPPER(K3732)),'Students'!$AD$2:$AD$701,0),""))</f>
        <v/>
      </c>
      <c r="R3732">
        <f>IF(P3732="","",INDEX('Students'!$AD$2:$AD$701,P3732))</f>
        <v/>
      </c>
      <c r="S3732">
        <f>IF(H3732="OK",O3732,0)</f>
        <v/>
      </c>
      <c r="T3732">
        <f>IF(H3732="OK",N3732,"")</f>
        <v/>
      </c>
      <c r="U3732">
        <f>TRIM('Cash_Check'!C732)</f>
        <v/>
      </c>
    </row>
    <row r="3733">
      <c r="A3733" s="62">
        <f>IF(H3733="","",IF(ISNUMBER(N3733),N3733,I3733))</f>
        <v/>
      </c>
      <c r="B3733">
        <f>IF(H3733="","",U3733)</f>
        <v/>
      </c>
      <c r="C3733">
        <f>IF(H3733="","",IF(P3733="",K3733,INDEX('Students'!$A$2:$A$701,P3733)))</f>
        <v/>
      </c>
      <c r="D3733">
        <f>IF(OR(H3733="",P3733=""),"",INDEX('Students'!$B$2:$B$701,P3733))</f>
        <v/>
      </c>
      <c r="E3733">
        <f>IF(OR(H3733="",P3733=""),"",INDEX('Students'!$C$2:$C$701,P3733))</f>
        <v/>
      </c>
      <c r="F3733" s="48">
        <f>IF(H3733="","",IF(ISNUMBER(O3733),O3733,J3733))</f>
        <v/>
      </c>
      <c r="G3733">
        <f>IF(H3733="","",M3733)</f>
        <v/>
      </c>
      <c r="H3733">
        <f>IF(AND(I3733="",J3733="",K3733=""),"",IF(OR(NOT(ISNUMBER(O3733)),N(O3733)&lt;=0),"Bad amount",IF(NOT(ISNUMBER(N3733)),"Bad date",IF(P3733="","NAME NOT ON ROSTER","OK"))))</f>
        <v/>
      </c>
      <c r="I3733">
        <f>IF('Cash_Check'!A733="","",'Cash_Check'!A733)</f>
        <v/>
      </c>
      <c r="J3733">
        <f>IF('Cash_Check'!D733="","",'Cash_Check'!D733)</f>
        <v/>
      </c>
      <c r="K3733">
        <f>TRIM('Cash_Check'!B733)</f>
        <v/>
      </c>
      <c r="M3733">
        <f>IF(TRIM('Cash_Check'!E733)="","Cash/check",TRIM('Cash_Check'!E733))</f>
        <v/>
      </c>
      <c r="N3733">
        <f>IF(I3733="","",IF(ISNUMBER(I3733),INT(I3733),IFERROR(INT(DATEVALUE(I3733)),IFERROR(INT(VALUE(I3733)),"bad"))))</f>
        <v/>
      </c>
      <c r="O3733">
        <f>IF(J3733="","",IF(ISNUMBER(J3733),ROUND(J3733,2),IFERROR(ROUND(VALUE(SUBSTITUTE(SUBSTITUTE(SUBSTITUTE(J3733,"$",""),",","")," ","")),2),"bad")))</f>
        <v/>
      </c>
      <c r="P3733">
        <f>IF(K3733="","",IFERROR(MATCH(IF(ISNUMBER(FIND("#",K3733)),TRIM(MID(K3733,FIND("#",K3733)+1,20)),UPPER(K3733)),'Students'!$AD$2:$AD$701,0),""))</f>
        <v/>
      </c>
      <c r="R3733">
        <f>IF(P3733="","",INDEX('Students'!$AD$2:$AD$701,P3733))</f>
        <v/>
      </c>
      <c r="S3733">
        <f>IF(H3733="OK",O3733,0)</f>
        <v/>
      </c>
      <c r="T3733">
        <f>IF(H3733="OK",N3733,"")</f>
        <v/>
      </c>
      <c r="U3733">
        <f>TRIM('Cash_Check'!C733)</f>
        <v/>
      </c>
    </row>
    <row r="3734">
      <c r="A3734" s="62">
        <f>IF(H3734="","",IF(ISNUMBER(N3734),N3734,I3734))</f>
        <v/>
      </c>
      <c r="B3734">
        <f>IF(H3734="","",U3734)</f>
        <v/>
      </c>
      <c r="C3734">
        <f>IF(H3734="","",IF(P3734="",K3734,INDEX('Students'!$A$2:$A$701,P3734)))</f>
        <v/>
      </c>
      <c r="D3734">
        <f>IF(OR(H3734="",P3734=""),"",INDEX('Students'!$B$2:$B$701,P3734))</f>
        <v/>
      </c>
      <c r="E3734">
        <f>IF(OR(H3734="",P3734=""),"",INDEX('Students'!$C$2:$C$701,P3734))</f>
        <v/>
      </c>
      <c r="F3734" s="48">
        <f>IF(H3734="","",IF(ISNUMBER(O3734),O3734,J3734))</f>
        <v/>
      </c>
      <c r="G3734">
        <f>IF(H3734="","",M3734)</f>
        <v/>
      </c>
      <c r="H3734">
        <f>IF(AND(I3734="",J3734="",K3734=""),"",IF(OR(NOT(ISNUMBER(O3734)),N(O3734)&lt;=0),"Bad amount",IF(NOT(ISNUMBER(N3734)),"Bad date",IF(P3734="","NAME NOT ON ROSTER","OK"))))</f>
        <v/>
      </c>
      <c r="I3734">
        <f>IF('Cash_Check'!A734="","",'Cash_Check'!A734)</f>
        <v/>
      </c>
      <c r="J3734">
        <f>IF('Cash_Check'!D734="","",'Cash_Check'!D734)</f>
        <v/>
      </c>
      <c r="K3734">
        <f>TRIM('Cash_Check'!B734)</f>
        <v/>
      </c>
      <c r="M3734">
        <f>IF(TRIM('Cash_Check'!E734)="","Cash/check",TRIM('Cash_Check'!E734))</f>
        <v/>
      </c>
      <c r="N3734">
        <f>IF(I3734="","",IF(ISNUMBER(I3734),INT(I3734),IFERROR(INT(DATEVALUE(I3734)),IFERROR(INT(VALUE(I3734)),"bad"))))</f>
        <v/>
      </c>
      <c r="O3734">
        <f>IF(J3734="","",IF(ISNUMBER(J3734),ROUND(J3734,2),IFERROR(ROUND(VALUE(SUBSTITUTE(SUBSTITUTE(SUBSTITUTE(J3734,"$",""),",","")," ","")),2),"bad")))</f>
        <v/>
      </c>
      <c r="P3734">
        <f>IF(K3734="","",IFERROR(MATCH(IF(ISNUMBER(FIND("#",K3734)),TRIM(MID(K3734,FIND("#",K3734)+1,20)),UPPER(K3734)),'Students'!$AD$2:$AD$701,0),""))</f>
        <v/>
      </c>
      <c r="R3734">
        <f>IF(P3734="","",INDEX('Students'!$AD$2:$AD$701,P3734))</f>
        <v/>
      </c>
      <c r="S3734">
        <f>IF(H3734="OK",O3734,0)</f>
        <v/>
      </c>
      <c r="T3734">
        <f>IF(H3734="OK",N3734,"")</f>
        <v/>
      </c>
      <c r="U3734">
        <f>TRIM('Cash_Check'!C734)</f>
        <v/>
      </c>
    </row>
    <row r="3735">
      <c r="A3735" s="62">
        <f>IF(H3735="","",IF(ISNUMBER(N3735),N3735,I3735))</f>
        <v/>
      </c>
      <c r="B3735">
        <f>IF(H3735="","",U3735)</f>
        <v/>
      </c>
      <c r="C3735">
        <f>IF(H3735="","",IF(P3735="",K3735,INDEX('Students'!$A$2:$A$701,P3735)))</f>
        <v/>
      </c>
      <c r="D3735">
        <f>IF(OR(H3735="",P3735=""),"",INDEX('Students'!$B$2:$B$701,P3735))</f>
        <v/>
      </c>
      <c r="E3735">
        <f>IF(OR(H3735="",P3735=""),"",INDEX('Students'!$C$2:$C$701,P3735))</f>
        <v/>
      </c>
      <c r="F3735" s="48">
        <f>IF(H3735="","",IF(ISNUMBER(O3735),O3735,J3735))</f>
        <v/>
      </c>
      <c r="G3735">
        <f>IF(H3735="","",M3735)</f>
        <v/>
      </c>
      <c r="H3735">
        <f>IF(AND(I3735="",J3735="",K3735=""),"",IF(OR(NOT(ISNUMBER(O3735)),N(O3735)&lt;=0),"Bad amount",IF(NOT(ISNUMBER(N3735)),"Bad date",IF(P3735="","NAME NOT ON ROSTER","OK"))))</f>
        <v/>
      </c>
      <c r="I3735">
        <f>IF('Cash_Check'!A735="","",'Cash_Check'!A735)</f>
        <v/>
      </c>
      <c r="J3735">
        <f>IF('Cash_Check'!D735="","",'Cash_Check'!D735)</f>
        <v/>
      </c>
      <c r="K3735">
        <f>TRIM('Cash_Check'!B735)</f>
        <v/>
      </c>
      <c r="M3735">
        <f>IF(TRIM('Cash_Check'!E735)="","Cash/check",TRIM('Cash_Check'!E735))</f>
        <v/>
      </c>
      <c r="N3735">
        <f>IF(I3735="","",IF(ISNUMBER(I3735),INT(I3735),IFERROR(INT(DATEVALUE(I3735)),IFERROR(INT(VALUE(I3735)),"bad"))))</f>
        <v/>
      </c>
      <c r="O3735">
        <f>IF(J3735="","",IF(ISNUMBER(J3735),ROUND(J3735,2),IFERROR(ROUND(VALUE(SUBSTITUTE(SUBSTITUTE(SUBSTITUTE(J3735,"$",""),",","")," ","")),2),"bad")))</f>
        <v/>
      </c>
      <c r="P3735">
        <f>IF(K3735="","",IFERROR(MATCH(IF(ISNUMBER(FIND("#",K3735)),TRIM(MID(K3735,FIND("#",K3735)+1,20)),UPPER(K3735)),'Students'!$AD$2:$AD$701,0),""))</f>
        <v/>
      </c>
      <c r="R3735">
        <f>IF(P3735="","",INDEX('Students'!$AD$2:$AD$701,P3735))</f>
        <v/>
      </c>
      <c r="S3735">
        <f>IF(H3735="OK",O3735,0)</f>
        <v/>
      </c>
      <c r="T3735">
        <f>IF(H3735="OK",N3735,"")</f>
        <v/>
      </c>
      <c r="U3735">
        <f>TRIM('Cash_Check'!C735)</f>
        <v/>
      </c>
    </row>
    <row r="3736">
      <c r="A3736" s="62">
        <f>IF(H3736="","",IF(ISNUMBER(N3736),N3736,I3736))</f>
        <v/>
      </c>
      <c r="B3736">
        <f>IF(H3736="","",U3736)</f>
        <v/>
      </c>
      <c r="C3736">
        <f>IF(H3736="","",IF(P3736="",K3736,INDEX('Students'!$A$2:$A$701,P3736)))</f>
        <v/>
      </c>
      <c r="D3736">
        <f>IF(OR(H3736="",P3736=""),"",INDEX('Students'!$B$2:$B$701,P3736))</f>
        <v/>
      </c>
      <c r="E3736">
        <f>IF(OR(H3736="",P3736=""),"",INDEX('Students'!$C$2:$C$701,P3736))</f>
        <v/>
      </c>
      <c r="F3736" s="48">
        <f>IF(H3736="","",IF(ISNUMBER(O3736),O3736,J3736))</f>
        <v/>
      </c>
      <c r="G3736">
        <f>IF(H3736="","",M3736)</f>
        <v/>
      </c>
      <c r="H3736">
        <f>IF(AND(I3736="",J3736="",K3736=""),"",IF(OR(NOT(ISNUMBER(O3736)),N(O3736)&lt;=0),"Bad amount",IF(NOT(ISNUMBER(N3736)),"Bad date",IF(P3736="","NAME NOT ON ROSTER","OK"))))</f>
        <v/>
      </c>
      <c r="I3736">
        <f>IF('Cash_Check'!A736="","",'Cash_Check'!A736)</f>
        <v/>
      </c>
      <c r="J3736">
        <f>IF('Cash_Check'!D736="","",'Cash_Check'!D736)</f>
        <v/>
      </c>
      <c r="K3736">
        <f>TRIM('Cash_Check'!B736)</f>
        <v/>
      </c>
      <c r="M3736">
        <f>IF(TRIM('Cash_Check'!E736)="","Cash/check",TRIM('Cash_Check'!E736))</f>
        <v/>
      </c>
      <c r="N3736">
        <f>IF(I3736="","",IF(ISNUMBER(I3736),INT(I3736),IFERROR(INT(DATEVALUE(I3736)),IFERROR(INT(VALUE(I3736)),"bad"))))</f>
        <v/>
      </c>
      <c r="O3736">
        <f>IF(J3736="","",IF(ISNUMBER(J3736),ROUND(J3736,2),IFERROR(ROUND(VALUE(SUBSTITUTE(SUBSTITUTE(SUBSTITUTE(J3736,"$",""),",","")," ","")),2),"bad")))</f>
        <v/>
      </c>
      <c r="P3736">
        <f>IF(K3736="","",IFERROR(MATCH(IF(ISNUMBER(FIND("#",K3736)),TRIM(MID(K3736,FIND("#",K3736)+1,20)),UPPER(K3736)),'Students'!$AD$2:$AD$701,0),""))</f>
        <v/>
      </c>
      <c r="R3736">
        <f>IF(P3736="","",INDEX('Students'!$AD$2:$AD$701,P3736))</f>
        <v/>
      </c>
      <c r="S3736">
        <f>IF(H3736="OK",O3736,0)</f>
        <v/>
      </c>
      <c r="T3736">
        <f>IF(H3736="OK",N3736,"")</f>
        <v/>
      </c>
      <c r="U3736">
        <f>TRIM('Cash_Check'!C736)</f>
        <v/>
      </c>
    </row>
    <row r="3737">
      <c r="A3737" s="62">
        <f>IF(H3737="","",IF(ISNUMBER(N3737),N3737,I3737))</f>
        <v/>
      </c>
      <c r="B3737">
        <f>IF(H3737="","",U3737)</f>
        <v/>
      </c>
      <c r="C3737">
        <f>IF(H3737="","",IF(P3737="",K3737,INDEX('Students'!$A$2:$A$701,P3737)))</f>
        <v/>
      </c>
      <c r="D3737">
        <f>IF(OR(H3737="",P3737=""),"",INDEX('Students'!$B$2:$B$701,P3737))</f>
        <v/>
      </c>
      <c r="E3737">
        <f>IF(OR(H3737="",P3737=""),"",INDEX('Students'!$C$2:$C$701,P3737))</f>
        <v/>
      </c>
      <c r="F3737" s="48">
        <f>IF(H3737="","",IF(ISNUMBER(O3737),O3737,J3737))</f>
        <v/>
      </c>
      <c r="G3737">
        <f>IF(H3737="","",M3737)</f>
        <v/>
      </c>
      <c r="H3737">
        <f>IF(AND(I3737="",J3737="",K3737=""),"",IF(OR(NOT(ISNUMBER(O3737)),N(O3737)&lt;=0),"Bad amount",IF(NOT(ISNUMBER(N3737)),"Bad date",IF(P3737="","NAME NOT ON ROSTER","OK"))))</f>
        <v/>
      </c>
      <c r="I3737">
        <f>IF('Cash_Check'!A737="","",'Cash_Check'!A737)</f>
        <v/>
      </c>
      <c r="J3737">
        <f>IF('Cash_Check'!D737="","",'Cash_Check'!D737)</f>
        <v/>
      </c>
      <c r="K3737">
        <f>TRIM('Cash_Check'!B737)</f>
        <v/>
      </c>
      <c r="M3737">
        <f>IF(TRIM('Cash_Check'!E737)="","Cash/check",TRIM('Cash_Check'!E737))</f>
        <v/>
      </c>
      <c r="N3737">
        <f>IF(I3737="","",IF(ISNUMBER(I3737),INT(I3737),IFERROR(INT(DATEVALUE(I3737)),IFERROR(INT(VALUE(I3737)),"bad"))))</f>
        <v/>
      </c>
      <c r="O3737">
        <f>IF(J3737="","",IF(ISNUMBER(J3737),ROUND(J3737,2),IFERROR(ROUND(VALUE(SUBSTITUTE(SUBSTITUTE(SUBSTITUTE(J3737,"$",""),",","")," ","")),2),"bad")))</f>
        <v/>
      </c>
      <c r="P3737">
        <f>IF(K3737="","",IFERROR(MATCH(IF(ISNUMBER(FIND("#",K3737)),TRIM(MID(K3737,FIND("#",K3737)+1,20)),UPPER(K3737)),'Students'!$AD$2:$AD$701,0),""))</f>
        <v/>
      </c>
      <c r="R3737">
        <f>IF(P3737="","",INDEX('Students'!$AD$2:$AD$701,P3737))</f>
        <v/>
      </c>
      <c r="S3737">
        <f>IF(H3737="OK",O3737,0)</f>
        <v/>
      </c>
      <c r="T3737">
        <f>IF(H3737="OK",N3737,"")</f>
        <v/>
      </c>
      <c r="U3737">
        <f>TRIM('Cash_Check'!C737)</f>
        <v/>
      </c>
    </row>
    <row r="3738">
      <c r="A3738" s="62">
        <f>IF(H3738="","",IF(ISNUMBER(N3738),N3738,I3738))</f>
        <v/>
      </c>
      <c r="B3738">
        <f>IF(H3738="","",U3738)</f>
        <v/>
      </c>
      <c r="C3738">
        <f>IF(H3738="","",IF(P3738="",K3738,INDEX('Students'!$A$2:$A$701,P3738)))</f>
        <v/>
      </c>
      <c r="D3738">
        <f>IF(OR(H3738="",P3738=""),"",INDEX('Students'!$B$2:$B$701,P3738))</f>
        <v/>
      </c>
      <c r="E3738">
        <f>IF(OR(H3738="",P3738=""),"",INDEX('Students'!$C$2:$C$701,P3738))</f>
        <v/>
      </c>
      <c r="F3738" s="48">
        <f>IF(H3738="","",IF(ISNUMBER(O3738),O3738,J3738))</f>
        <v/>
      </c>
      <c r="G3738">
        <f>IF(H3738="","",M3738)</f>
        <v/>
      </c>
      <c r="H3738">
        <f>IF(AND(I3738="",J3738="",K3738=""),"",IF(OR(NOT(ISNUMBER(O3738)),N(O3738)&lt;=0),"Bad amount",IF(NOT(ISNUMBER(N3738)),"Bad date",IF(P3738="","NAME NOT ON ROSTER","OK"))))</f>
        <v/>
      </c>
      <c r="I3738">
        <f>IF('Cash_Check'!A738="","",'Cash_Check'!A738)</f>
        <v/>
      </c>
      <c r="J3738">
        <f>IF('Cash_Check'!D738="","",'Cash_Check'!D738)</f>
        <v/>
      </c>
      <c r="K3738">
        <f>TRIM('Cash_Check'!B738)</f>
        <v/>
      </c>
      <c r="M3738">
        <f>IF(TRIM('Cash_Check'!E738)="","Cash/check",TRIM('Cash_Check'!E738))</f>
        <v/>
      </c>
      <c r="N3738">
        <f>IF(I3738="","",IF(ISNUMBER(I3738),INT(I3738),IFERROR(INT(DATEVALUE(I3738)),IFERROR(INT(VALUE(I3738)),"bad"))))</f>
        <v/>
      </c>
      <c r="O3738">
        <f>IF(J3738="","",IF(ISNUMBER(J3738),ROUND(J3738,2),IFERROR(ROUND(VALUE(SUBSTITUTE(SUBSTITUTE(SUBSTITUTE(J3738,"$",""),",","")," ","")),2),"bad")))</f>
        <v/>
      </c>
      <c r="P3738">
        <f>IF(K3738="","",IFERROR(MATCH(IF(ISNUMBER(FIND("#",K3738)),TRIM(MID(K3738,FIND("#",K3738)+1,20)),UPPER(K3738)),'Students'!$AD$2:$AD$701,0),""))</f>
        <v/>
      </c>
      <c r="R3738">
        <f>IF(P3738="","",INDEX('Students'!$AD$2:$AD$701,P3738))</f>
        <v/>
      </c>
      <c r="S3738">
        <f>IF(H3738="OK",O3738,0)</f>
        <v/>
      </c>
      <c r="T3738">
        <f>IF(H3738="OK",N3738,"")</f>
        <v/>
      </c>
      <c r="U3738">
        <f>TRIM('Cash_Check'!C738)</f>
        <v/>
      </c>
    </row>
    <row r="3739">
      <c r="A3739" s="62">
        <f>IF(H3739="","",IF(ISNUMBER(N3739),N3739,I3739))</f>
        <v/>
      </c>
      <c r="B3739">
        <f>IF(H3739="","",U3739)</f>
        <v/>
      </c>
      <c r="C3739">
        <f>IF(H3739="","",IF(P3739="",K3739,INDEX('Students'!$A$2:$A$701,P3739)))</f>
        <v/>
      </c>
      <c r="D3739">
        <f>IF(OR(H3739="",P3739=""),"",INDEX('Students'!$B$2:$B$701,P3739))</f>
        <v/>
      </c>
      <c r="E3739">
        <f>IF(OR(H3739="",P3739=""),"",INDEX('Students'!$C$2:$C$701,P3739))</f>
        <v/>
      </c>
      <c r="F3739" s="48">
        <f>IF(H3739="","",IF(ISNUMBER(O3739),O3739,J3739))</f>
        <v/>
      </c>
      <c r="G3739">
        <f>IF(H3739="","",M3739)</f>
        <v/>
      </c>
      <c r="H3739">
        <f>IF(AND(I3739="",J3739="",K3739=""),"",IF(OR(NOT(ISNUMBER(O3739)),N(O3739)&lt;=0),"Bad amount",IF(NOT(ISNUMBER(N3739)),"Bad date",IF(P3739="","NAME NOT ON ROSTER","OK"))))</f>
        <v/>
      </c>
      <c r="I3739">
        <f>IF('Cash_Check'!A739="","",'Cash_Check'!A739)</f>
        <v/>
      </c>
      <c r="J3739">
        <f>IF('Cash_Check'!D739="","",'Cash_Check'!D739)</f>
        <v/>
      </c>
      <c r="K3739">
        <f>TRIM('Cash_Check'!B739)</f>
        <v/>
      </c>
      <c r="M3739">
        <f>IF(TRIM('Cash_Check'!E739)="","Cash/check",TRIM('Cash_Check'!E739))</f>
        <v/>
      </c>
      <c r="N3739">
        <f>IF(I3739="","",IF(ISNUMBER(I3739),INT(I3739),IFERROR(INT(DATEVALUE(I3739)),IFERROR(INT(VALUE(I3739)),"bad"))))</f>
        <v/>
      </c>
      <c r="O3739">
        <f>IF(J3739="","",IF(ISNUMBER(J3739),ROUND(J3739,2),IFERROR(ROUND(VALUE(SUBSTITUTE(SUBSTITUTE(SUBSTITUTE(J3739,"$",""),",","")," ","")),2),"bad")))</f>
        <v/>
      </c>
      <c r="P3739">
        <f>IF(K3739="","",IFERROR(MATCH(IF(ISNUMBER(FIND("#",K3739)),TRIM(MID(K3739,FIND("#",K3739)+1,20)),UPPER(K3739)),'Students'!$AD$2:$AD$701,0),""))</f>
        <v/>
      </c>
      <c r="R3739">
        <f>IF(P3739="","",INDEX('Students'!$AD$2:$AD$701,P3739))</f>
        <v/>
      </c>
      <c r="S3739">
        <f>IF(H3739="OK",O3739,0)</f>
        <v/>
      </c>
      <c r="T3739">
        <f>IF(H3739="OK",N3739,"")</f>
        <v/>
      </c>
      <c r="U3739">
        <f>TRIM('Cash_Check'!C739)</f>
        <v/>
      </c>
    </row>
    <row r="3740">
      <c r="A3740" s="62">
        <f>IF(H3740="","",IF(ISNUMBER(N3740),N3740,I3740))</f>
        <v/>
      </c>
      <c r="B3740">
        <f>IF(H3740="","",U3740)</f>
        <v/>
      </c>
      <c r="C3740">
        <f>IF(H3740="","",IF(P3740="",K3740,INDEX('Students'!$A$2:$A$701,P3740)))</f>
        <v/>
      </c>
      <c r="D3740">
        <f>IF(OR(H3740="",P3740=""),"",INDEX('Students'!$B$2:$B$701,P3740))</f>
        <v/>
      </c>
      <c r="E3740">
        <f>IF(OR(H3740="",P3740=""),"",INDEX('Students'!$C$2:$C$701,P3740))</f>
        <v/>
      </c>
      <c r="F3740" s="48">
        <f>IF(H3740="","",IF(ISNUMBER(O3740),O3740,J3740))</f>
        <v/>
      </c>
      <c r="G3740">
        <f>IF(H3740="","",M3740)</f>
        <v/>
      </c>
      <c r="H3740">
        <f>IF(AND(I3740="",J3740="",K3740=""),"",IF(OR(NOT(ISNUMBER(O3740)),N(O3740)&lt;=0),"Bad amount",IF(NOT(ISNUMBER(N3740)),"Bad date",IF(P3740="","NAME NOT ON ROSTER","OK"))))</f>
        <v/>
      </c>
      <c r="I3740">
        <f>IF('Cash_Check'!A740="","",'Cash_Check'!A740)</f>
        <v/>
      </c>
      <c r="J3740">
        <f>IF('Cash_Check'!D740="","",'Cash_Check'!D740)</f>
        <v/>
      </c>
      <c r="K3740">
        <f>TRIM('Cash_Check'!B740)</f>
        <v/>
      </c>
      <c r="M3740">
        <f>IF(TRIM('Cash_Check'!E740)="","Cash/check",TRIM('Cash_Check'!E740))</f>
        <v/>
      </c>
      <c r="N3740">
        <f>IF(I3740="","",IF(ISNUMBER(I3740),INT(I3740),IFERROR(INT(DATEVALUE(I3740)),IFERROR(INT(VALUE(I3740)),"bad"))))</f>
        <v/>
      </c>
      <c r="O3740">
        <f>IF(J3740="","",IF(ISNUMBER(J3740),ROUND(J3740,2),IFERROR(ROUND(VALUE(SUBSTITUTE(SUBSTITUTE(SUBSTITUTE(J3740,"$",""),",","")," ","")),2),"bad")))</f>
        <v/>
      </c>
      <c r="P3740">
        <f>IF(K3740="","",IFERROR(MATCH(IF(ISNUMBER(FIND("#",K3740)),TRIM(MID(K3740,FIND("#",K3740)+1,20)),UPPER(K3740)),'Students'!$AD$2:$AD$701,0),""))</f>
        <v/>
      </c>
      <c r="R3740">
        <f>IF(P3740="","",INDEX('Students'!$AD$2:$AD$701,P3740))</f>
        <v/>
      </c>
      <c r="S3740">
        <f>IF(H3740="OK",O3740,0)</f>
        <v/>
      </c>
      <c r="T3740">
        <f>IF(H3740="OK",N3740,"")</f>
        <v/>
      </c>
      <c r="U3740">
        <f>TRIM('Cash_Check'!C740)</f>
        <v/>
      </c>
    </row>
    <row r="3741">
      <c r="A3741" s="62">
        <f>IF(H3741="","",IF(ISNUMBER(N3741),N3741,I3741))</f>
        <v/>
      </c>
      <c r="B3741">
        <f>IF(H3741="","",U3741)</f>
        <v/>
      </c>
      <c r="C3741">
        <f>IF(H3741="","",IF(P3741="",K3741,INDEX('Students'!$A$2:$A$701,P3741)))</f>
        <v/>
      </c>
      <c r="D3741">
        <f>IF(OR(H3741="",P3741=""),"",INDEX('Students'!$B$2:$B$701,P3741))</f>
        <v/>
      </c>
      <c r="E3741">
        <f>IF(OR(H3741="",P3741=""),"",INDEX('Students'!$C$2:$C$701,P3741))</f>
        <v/>
      </c>
      <c r="F3741" s="48">
        <f>IF(H3741="","",IF(ISNUMBER(O3741),O3741,J3741))</f>
        <v/>
      </c>
      <c r="G3741">
        <f>IF(H3741="","",M3741)</f>
        <v/>
      </c>
      <c r="H3741">
        <f>IF(AND(I3741="",J3741="",K3741=""),"",IF(OR(NOT(ISNUMBER(O3741)),N(O3741)&lt;=0),"Bad amount",IF(NOT(ISNUMBER(N3741)),"Bad date",IF(P3741="","NAME NOT ON ROSTER","OK"))))</f>
        <v/>
      </c>
      <c r="I3741">
        <f>IF('Cash_Check'!A741="","",'Cash_Check'!A741)</f>
        <v/>
      </c>
      <c r="J3741">
        <f>IF('Cash_Check'!D741="","",'Cash_Check'!D741)</f>
        <v/>
      </c>
      <c r="K3741">
        <f>TRIM('Cash_Check'!B741)</f>
        <v/>
      </c>
      <c r="M3741">
        <f>IF(TRIM('Cash_Check'!E741)="","Cash/check",TRIM('Cash_Check'!E741))</f>
        <v/>
      </c>
      <c r="N3741">
        <f>IF(I3741="","",IF(ISNUMBER(I3741),INT(I3741),IFERROR(INT(DATEVALUE(I3741)),IFERROR(INT(VALUE(I3741)),"bad"))))</f>
        <v/>
      </c>
      <c r="O3741">
        <f>IF(J3741="","",IF(ISNUMBER(J3741),ROUND(J3741,2),IFERROR(ROUND(VALUE(SUBSTITUTE(SUBSTITUTE(SUBSTITUTE(J3741,"$",""),",","")," ","")),2),"bad")))</f>
        <v/>
      </c>
      <c r="P3741">
        <f>IF(K3741="","",IFERROR(MATCH(IF(ISNUMBER(FIND("#",K3741)),TRIM(MID(K3741,FIND("#",K3741)+1,20)),UPPER(K3741)),'Students'!$AD$2:$AD$701,0),""))</f>
        <v/>
      </c>
      <c r="R3741">
        <f>IF(P3741="","",INDEX('Students'!$AD$2:$AD$701,P3741))</f>
        <v/>
      </c>
      <c r="S3741">
        <f>IF(H3741="OK",O3741,0)</f>
        <v/>
      </c>
      <c r="T3741">
        <f>IF(H3741="OK",N3741,"")</f>
        <v/>
      </c>
      <c r="U3741">
        <f>TRIM('Cash_Check'!C741)</f>
        <v/>
      </c>
    </row>
    <row r="3742">
      <c r="A3742" s="62">
        <f>IF(H3742="","",IF(ISNUMBER(N3742),N3742,I3742))</f>
        <v/>
      </c>
      <c r="B3742">
        <f>IF(H3742="","",U3742)</f>
        <v/>
      </c>
      <c r="C3742">
        <f>IF(H3742="","",IF(P3742="",K3742,INDEX('Students'!$A$2:$A$701,P3742)))</f>
        <v/>
      </c>
      <c r="D3742">
        <f>IF(OR(H3742="",P3742=""),"",INDEX('Students'!$B$2:$B$701,P3742))</f>
        <v/>
      </c>
      <c r="E3742">
        <f>IF(OR(H3742="",P3742=""),"",INDEX('Students'!$C$2:$C$701,P3742))</f>
        <v/>
      </c>
      <c r="F3742" s="48">
        <f>IF(H3742="","",IF(ISNUMBER(O3742),O3742,J3742))</f>
        <v/>
      </c>
      <c r="G3742">
        <f>IF(H3742="","",M3742)</f>
        <v/>
      </c>
      <c r="H3742">
        <f>IF(AND(I3742="",J3742="",K3742=""),"",IF(OR(NOT(ISNUMBER(O3742)),N(O3742)&lt;=0),"Bad amount",IF(NOT(ISNUMBER(N3742)),"Bad date",IF(P3742="","NAME NOT ON ROSTER","OK"))))</f>
        <v/>
      </c>
      <c r="I3742">
        <f>IF('Cash_Check'!A742="","",'Cash_Check'!A742)</f>
        <v/>
      </c>
      <c r="J3742">
        <f>IF('Cash_Check'!D742="","",'Cash_Check'!D742)</f>
        <v/>
      </c>
      <c r="K3742">
        <f>TRIM('Cash_Check'!B742)</f>
        <v/>
      </c>
      <c r="M3742">
        <f>IF(TRIM('Cash_Check'!E742)="","Cash/check",TRIM('Cash_Check'!E742))</f>
        <v/>
      </c>
      <c r="N3742">
        <f>IF(I3742="","",IF(ISNUMBER(I3742),INT(I3742),IFERROR(INT(DATEVALUE(I3742)),IFERROR(INT(VALUE(I3742)),"bad"))))</f>
        <v/>
      </c>
      <c r="O3742">
        <f>IF(J3742="","",IF(ISNUMBER(J3742),ROUND(J3742,2),IFERROR(ROUND(VALUE(SUBSTITUTE(SUBSTITUTE(SUBSTITUTE(J3742,"$",""),",","")," ","")),2),"bad")))</f>
        <v/>
      </c>
      <c r="P3742">
        <f>IF(K3742="","",IFERROR(MATCH(IF(ISNUMBER(FIND("#",K3742)),TRIM(MID(K3742,FIND("#",K3742)+1,20)),UPPER(K3742)),'Students'!$AD$2:$AD$701,0),""))</f>
        <v/>
      </c>
      <c r="R3742">
        <f>IF(P3742="","",INDEX('Students'!$AD$2:$AD$701,P3742))</f>
        <v/>
      </c>
      <c r="S3742">
        <f>IF(H3742="OK",O3742,0)</f>
        <v/>
      </c>
      <c r="T3742">
        <f>IF(H3742="OK",N3742,"")</f>
        <v/>
      </c>
      <c r="U3742">
        <f>TRIM('Cash_Check'!C742)</f>
        <v/>
      </c>
    </row>
    <row r="3743">
      <c r="A3743" s="62">
        <f>IF(H3743="","",IF(ISNUMBER(N3743),N3743,I3743))</f>
        <v/>
      </c>
      <c r="B3743">
        <f>IF(H3743="","",U3743)</f>
        <v/>
      </c>
      <c r="C3743">
        <f>IF(H3743="","",IF(P3743="",K3743,INDEX('Students'!$A$2:$A$701,P3743)))</f>
        <v/>
      </c>
      <c r="D3743">
        <f>IF(OR(H3743="",P3743=""),"",INDEX('Students'!$B$2:$B$701,P3743))</f>
        <v/>
      </c>
      <c r="E3743">
        <f>IF(OR(H3743="",P3743=""),"",INDEX('Students'!$C$2:$C$701,P3743))</f>
        <v/>
      </c>
      <c r="F3743" s="48">
        <f>IF(H3743="","",IF(ISNUMBER(O3743),O3743,J3743))</f>
        <v/>
      </c>
      <c r="G3743">
        <f>IF(H3743="","",M3743)</f>
        <v/>
      </c>
      <c r="H3743">
        <f>IF(AND(I3743="",J3743="",K3743=""),"",IF(OR(NOT(ISNUMBER(O3743)),N(O3743)&lt;=0),"Bad amount",IF(NOT(ISNUMBER(N3743)),"Bad date",IF(P3743="","NAME NOT ON ROSTER","OK"))))</f>
        <v/>
      </c>
      <c r="I3743">
        <f>IF('Cash_Check'!A743="","",'Cash_Check'!A743)</f>
        <v/>
      </c>
      <c r="J3743">
        <f>IF('Cash_Check'!D743="","",'Cash_Check'!D743)</f>
        <v/>
      </c>
      <c r="K3743">
        <f>TRIM('Cash_Check'!B743)</f>
        <v/>
      </c>
      <c r="M3743">
        <f>IF(TRIM('Cash_Check'!E743)="","Cash/check",TRIM('Cash_Check'!E743))</f>
        <v/>
      </c>
      <c r="N3743">
        <f>IF(I3743="","",IF(ISNUMBER(I3743),INT(I3743),IFERROR(INT(DATEVALUE(I3743)),IFERROR(INT(VALUE(I3743)),"bad"))))</f>
        <v/>
      </c>
      <c r="O3743">
        <f>IF(J3743="","",IF(ISNUMBER(J3743),ROUND(J3743,2),IFERROR(ROUND(VALUE(SUBSTITUTE(SUBSTITUTE(SUBSTITUTE(J3743,"$",""),",","")," ","")),2),"bad")))</f>
        <v/>
      </c>
      <c r="P3743">
        <f>IF(K3743="","",IFERROR(MATCH(IF(ISNUMBER(FIND("#",K3743)),TRIM(MID(K3743,FIND("#",K3743)+1,20)),UPPER(K3743)),'Students'!$AD$2:$AD$701,0),""))</f>
        <v/>
      </c>
      <c r="R3743">
        <f>IF(P3743="","",INDEX('Students'!$AD$2:$AD$701,P3743))</f>
        <v/>
      </c>
      <c r="S3743">
        <f>IF(H3743="OK",O3743,0)</f>
        <v/>
      </c>
      <c r="T3743">
        <f>IF(H3743="OK",N3743,"")</f>
        <v/>
      </c>
      <c r="U3743">
        <f>TRIM('Cash_Check'!C743)</f>
        <v/>
      </c>
    </row>
    <row r="3744">
      <c r="A3744" s="62">
        <f>IF(H3744="","",IF(ISNUMBER(N3744),N3744,I3744))</f>
        <v/>
      </c>
      <c r="B3744">
        <f>IF(H3744="","",U3744)</f>
        <v/>
      </c>
      <c r="C3744">
        <f>IF(H3744="","",IF(P3744="",K3744,INDEX('Students'!$A$2:$A$701,P3744)))</f>
        <v/>
      </c>
      <c r="D3744">
        <f>IF(OR(H3744="",P3744=""),"",INDEX('Students'!$B$2:$B$701,P3744))</f>
        <v/>
      </c>
      <c r="E3744">
        <f>IF(OR(H3744="",P3744=""),"",INDEX('Students'!$C$2:$C$701,P3744))</f>
        <v/>
      </c>
      <c r="F3744" s="48">
        <f>IF(H3744="","",IF(ISNUMBER(O3744),O3744,J3744))</f>
        <v/>
      </c>
      <c r="G3744">
        <f>IF(H3744="","",M3744)</f>
        <v/>
      </c>
      <c r="H3744">
        <f>IF(AND(I3744="",J3744="",K3744=""),"",IF(OR(NOT(ISNUMBER(O3744)),N(O3744)&lt;=0),"Bad amount",IF(NOT(ISNUMBER(N3744)),"Bad date",IF(P3744="","NAME NOT ON ROSTER","OK"))))</f>
        <v/>
      </c>
      <c r="I3744">
        <f>IF('Cash_Check'!A744="","",'Cash_Check'!A744)</f>
        <v/>
      </c>
      <c r="J3744">
        <f>IF('Cash_Check'!D744="","",'Cash_Check'!D744)</f>
        <v/>
      </c>
      <c r="K3744">
        <f>TRIM('Cash_Check'!B744)</f>
        <v/>
      </c>
      <c r="M3744">
        <f>IF(TRIM('Cash_Check'!E744)="","Cash/check",TRIM('Cash_Check'!E744))</f>
        <v/>
      </c>
      <c r="N3744">
        <f>IF(I3744="","",IF(ISNUMBER(I3744),INT(I3744),IFERROR(INT(DATEVALUE(I3744)),IFERROR(INT(VALUE(I3744)),"bad"))))</f>
        <v/>
      </c>
      <c r="O3744">
        <f>IF(J3744="","",IF(ISNUMBER(J3744),ROUND(J3744,2),IFERROR(ROUND(VALUE(SUBSTITUTE(SUBSTITUTE(SUBSTITUTE(J3744,"$",""),",","")," ","")),2),"bad")))</f>
        <v/>
      </c>
      <c r="P3744">
        <f>IF(K3744="","",IFERROR(MATCH(IF(ISNUMBER(FIND("#",K3744)),TRIM(MID(K3744,FIND("#",K3744)+1,20)),UPPER(K3744)),'Students'!$AD$2:$AD$701,0),""))</f>
        <v/>
      </c>
      <c r="R3744">
        <f>IF(P3744="","",INDEX('Students'!$AD$2:$AD$701,P3744))</f>
        <v/>
      </c>
      <c r="S3744">
        <f>IF(H3744="OK",O3744,0)</f>
        <v/>
      </c>
      <c r="T3744">
        <f>IF(H3744="OK",N3744,"")</f>
        <v/>
      </c>
      <c r="U3744">
        <f>TRIM('Cash_Check'!C744)</f>
        <v/>
      </c>
    </row>
    <row r="3745">
      <c r="A3745" s="62">
        <f>IF(H3745="","",IF(ISNUMBER(N3745),N3745,I3745))</f>
        <v/>
      </c>
      <c r="B3745">
        <f>IF(H3745="","",U3745)</f>
        <v/>
      </c>
      <c r="C3745">
        <f>IF(H3745="","",IF(P3745="",K3745,INDEX('Students'!$A$2:$A$701,P3745)))</f>
        <v/>
      </c>
      <c r="D3745">
        <f>IF(OR(H3745="",P3745=""),"",INDEX('Students'!$B$2:$B$701,P3745))</f>
        <v/>
      </c>
      <c r="E3745">
        <f>IF(OR(H3745="",P3745=""),"",INDEX('Students'!$C$2:$C$701,P3745))</f>
        <v/>
      </c>
      <c r="F3745" s="48">
        <f>IF(H3745="","",IF(ISNUMBER(O3745),O3745,J3745))</f>
        <v/>
      </c>
      <c r="G3745">
        <f>IF(H3745="","",M3745)</f>
        <v/>
      </c>
      <c r="H3745">
        <f>IF(AND(I3745="",J3745="",K3745=""),"",IF(OR(NOT(ISNUMBER(O3745)),N(O3745)&lt;=0),"Bad amount",IF(NOT(ISNUMBER(N3745)),"Bad date",IF(P3745="","NAME NOT ON ROSTER","OK"))))</f>
        <v/>
      </c>
      <c r="I3745">
        <f>IF('Cash_Check'!A745="","",'Cash_Check'!A745)</f>
        <v/>
      </c>
      <c r="J3745">
        <f>IF('Cash_Check'!D745="","",'Cash_Check'!D745)</f>
        <v/>
      </c>
      <c r="K3745">
        <f>TRIM('Cash_Check'!B745)</f>
        <v/>
      </c>
      <c r="M3745">
        <f>IF(TRIM('Cash_Check'!E745)="","Cash/check",TRIM('Cash_Check'!E745))</f>
        <v/>
      </c>
      <c r="N3745">
        <f>IF(I3745="","",IF(ISNUMBER(I3745),INT(I3745),IFERROR(INT(DATEVALUE(I3745)),IFERROR(INT(VALUE(I3745)),"bad"))))</f>
        <v/>
      </c>
      <c r="O3745">
        <f>IF(J3745="","",IF(ISNUMBER(J3745),ROUND(J3745,2),IFERROR(ROUND(VALUE(SUBSTITUTE(SUBSTITUTE(SUBSTITUTE(J3745,"$",""),",","")," ","")),2),"bad")))</f>
        <v/>
      </c>
      <c r="P3745">
        <f>IF(K3745="","",IFERROR(MATCH(IF(ISNUMBER(FIND("#",K3745)),TRIM(MID(K3745,FIND("#",K3745)+1,20)),UPPER(K3745)),'Students'!$AD$2:$AD$701,0),""))</f>
        <v/>
      </c>
      <c r="R3745">
        <f>IF(P3745="","",INDEX('Students'!$AD$2:$AD$701,P3745))</f>
        <v/>
      </c>
      <c r="S3745">
        <f>IF(H3745="OK",O3745,0)</f>
        <v/>
      </c>
      <c r="T3745">
        <f>IF(H3745="OK",N3745,"")</f>
        <v/>
      </c>
      <c r="U3745">
        <f>TRIM('Cash_Check'!C745)</f>
        <v/>
      </c>
    </row>
    <row r="3746">
      <c r="A3746" s="62">
        <f>IF(H3746="","",IF(ISNUMBER(N3746),N3746,I3746))</f>
        <v/>
      </c>
      <c r="B3746">
        <f>IF(H3746="","",U3746)</f>
        <v/>
      </c>
      <c r="C3746">
        <f>IF(H3746="","",IF(P3746="",K3746,INDEX('Students'!$A$2:$A$701,P3746)))</f>
        <v/>
      </c>
      <c r="D3746">
        <f>IF(OR(H3746="",P3746=""),"",INDEX('Students'!$B$2:$B$701,P3746))</f>
        <v/>
      </c>
      <c r="E3746">
        <f>IF(OR(H3746="",P3746=""),"",INDEX('Students'!$C$2:$C$701,P3746))</f>
        <v/>
      </c>
      <c r="F3746" s="48">
        <f>IF(H3746="","",IF(ISNUMBER(O3746),O3746,J3746))</f>
        <v/>
      </c>
      <c r="G3746">
        <f>IF(H3746="","",M3746)</f>
        <v/>
      </c>
      <c r="H3746">
        <f>IF(AND(I3746="",J3746="",K3746=""),"",IF(OR(NOT(ISNUMBER(O3746)),N(O3746)&lt;=0),"Bad amount",IF(NOT(ISNUMBER(N3746)),"Bad date",IF(P3746="","NAME NOT ON ROSTER","OK"))))</f>
        <v/>
      </c>
      <c r="I3746">
        <f>IF('Cash_Check'!A746="","",'Cash_Check'!A746)</f>
        <v/>
      </c>
      <c r="J3746">
        <f>IF('Cash_Check'!D746="","",'Cash_Check'!D746)</f>
        <v/>
      </c>
      <c r="K3746">
        <f>TRIM('Cash_Check'!B746)</f>
        <v/>
      </c>
      <c r="M3746">
        <f>IF(TRIM('Cash_Check'!E746)="","Cash/check",TRIM('Cash_Check'!E746))</f>
        <v/>
      </c>
      <c r="N3746">
        <f>IF(I3746="","",IF(ISNUMBER(I3746),INT(I3746),IFERROR(INT(DATEVALUE(I3746)),IFERROR(INT(VALUE(I3746)),"bad"))))</f>
        <v/>
      </c>
      <c r="O3746">
        <f>IF(J3746="","",IF(ISNUMBER(J3746),ROUND(J3746,2),IFERROR(ROUND(VALUE(SUBSTITUTE(SUBSTITUTE(SUBSTITUTE(J3746,"$",""),",","")," ","")),2),"bad")))</f>
        <v/>
      </c>
      <c r="P3746">
        <f>IF(K3746="","",IFERROR(MATCH(IF(ISNUMBER(FIND("#",K3746)),TRIM(MID(K3746,FIND("#",K3746)+1,20)),UPPER(K3746)),'Students'!$AD$2:$AD$701,0),""))</f>
        <v/>
      </c>
      <c r="R3746">
        <f>IF(P3746="","",INDEX('Students'!$AD$2:$AD$701,P3746))</f>
        <v/>
      </c>
      <c r="S3746">
        <f>IF(H3746="OK",O3746,0)</f>
        <v/>
      </c>
      <c r="T3746">
        <f>IF(H3746="OK",N3746,"")</f>
        <v/>
      </c>
      <c r="U3746">
        <f>TRIM('Cash_Check'!C746)</f>
        <v/>
      </c>
    </row>
    <row r="3747">
      <c r="A3747" s="62">
        <f>IF(H3747="","",IF(ISNUMBER(N3747),N3747,I3747))</f>
        <v/>
      </c>
      <c r="B3747">
        <f>IF(H3747="","",U3747)</f>
        <v/>
      </c>
      <c r="C3747">
        <f>IF(H3747="","",IF(P3747="",K3747,INDEX('Students'!$A$2:$A$701,P3747)))</f>
        <v/>
      </c>
      <c r="D3747">
        <f>IF(OR(H3747="",P3747=""),"",INDEX('Students'!$B$2:$B$701,P3747))</f>
        <v/>
      </c>
      <c r="E3747">
        <f>IF(OR(H3747="",P3747=""),"",INDEX('Students'!$C$2:$C$701,P3747))</f>
        <v/>
      </c>
      <c r="F3747" s="48">
        <f>IF(H3747="","",IF(ISNUMBER(O3747),O3747,J3747))</f>
        <v/>
      </c>
      <c r="G3747">
        <f>IF(H3747="","",M3747)</f>
        <v/>
      </c>
      <c r="H3747">
        <f>IF(AND(I3747="",J3747="",K3747=""),"",IF(OR(NOT(ISNUMBER(O3747)),N(O3747)&lt;=0),"Bad amount",IF(NOT(ISNUMBER(N3747)),"Bad date",IF(P3747="","NAME NOT ON ROSTER","OK"))))</f>
        <v/>
      </c>
      <c r="I3747">
        <f>IF('Cash_Check'!A747="","",'Cash_Check'!A747)</f>
        <v/>
      </c>
      <c r="J3747">
        <f>IF('Cash_Check'!D747="","",'Cash_Check'!D747)</f>
        <v/>
      </c>
      <c r="K3747">
        <f>TRIM('Cash_Check'!B747)</f>
        <v/>
      </c>
      <c r="M3747">
        <f>IF(TRIM('Cash_Check'!E747)="","Cash/check",TRIM('Cash_Check'!E747))</f>
        <v/>
      </c>
      <c r="N3747">
        <f>IF(I3747="","",IF(ISNUMBER(I3747),INT(I3747),IFERROR(INT(DATEVALUE(I3747)),IFERROR(INT(VALUE(I3747)),"bad"))))</f>
        <v/>
      </c>
      <c r="O3747">
        <f>IF(J3747="","",IF(ISNUMBER(J3747),ROUND(J3747,2),IFERROR(ROUND(VALUE(SUBSTITUTE(SUBSTITUTE(SUBSTITUTE(J3747,"$",""),",","")," ","")),2),"bad")))</f>
        <v/>
      </c>
      <c r="P3747">
        <f>IF(K3747="","",IFERROR(MATCH(IF(ISNUMBER(FIND("#",K3747)),TRIM(MID(K3747,FIND("#",K3747)+1,20)),UPPER(K3747)),'Students'!$AD$2:$AD$701,0),""))</f>
        <v/>
      </c>
      <c r="R3747">
        <f>IF(P3747="","",INDEX('Students'!$AD$2:$AD$701,P3747))</f>
        <v/>
      </c>
      <c r="S3747">
        <f>IF(H3747="OK",O3747,0)</f>
        <v/>
      </c>
      <c r="T3747">
        <f>IF(H3747="OK",N3747,"")</f>
        <v/>
      </c>
      <c r="U3747">
        <f>TRIM('Cash_Check'!C747)</f>
        <v/>
      </c>
    </row>
    <row r="3748">
      <c r="A3748" s="62">
        <f>IF(H3748="","",IF(ISNUMBER(N3748),N3748,I3748))</f>
        <v/>
      </c>
      <c r="B3748">
        <f>IF(H3748="","",U3748)</f>
        <v/>
      </c>
      <c r="C3748">
        <f>IF(H3748="","",IF(P3748="",K3748,INDEX('Students'!$A$2:$A$701,P3748)))</f>
        <v/>
      </c>
      <c r="D3748">
        <f>IF(OR(H3748="",P3748=""),"",INDEX('Students'!$B$2:$B$701,P3748))</f>
        <v/>
      </c>
      <c r="E3748">
        <f>IF(OR(H3748="",P3748=""),"",INDEX('Students'!$C$2:$C$701,P3748))</f>
        <v/>
      </c>
      <c r="F3748" s="48">
        <f>IF(H3748="","",IF(ISNUMBER(O3748),O3748,J3748))</f>
        <v/>
      </c>
      <c r="G3748">
        <f>IF(H3748="","",M3748)</f>
        <v/>
      </c>
      <c r="H3748">
        <f>IF(AND(I3748="",J3748="",K3748=""),"",IF(OR(NOT(ISNUMBER(O3748)),N(O3748)&lt;=0),"Bad amount",IF(NOT(ISNUMBER(N3748)),"Bad date",IF(P3748="","NAME NOT ON ROSTER","OK"))))</f>
        <v/>
      </c>
      <c r="I3748">
        <f>IF('Cash_Check'!A748="","",'Cash_Check'!A748)</f>
        <v/>
      </c>
      <c r="J3748">
        <f>IF('Cash_Check'!D748="","",'Cash_Check'!D748)</f>
        <v/>
      </c>
      <c r="K3748">
        <f>TRIM('Cash_Check'!B748)</f>
        <v/>
      </c>
      <c r="M3748">
        <f>IF(TRIM('Cash_Check'!E748)="","Cash/check",TRIM('Cash_Check'!E748))</f>
        <v/>
      </c>
      <c r="N3748">
        <f>IF(I3748="","",IF(ISNUMBER(I3748),INT(I3748),IFERROR(INT(DATEVALUE(I3748)),IFERROR(INT(VALUE(I3748)),"bad"))))</f>
        <v/>
      </c>
      <c r="O3748">
        <f>IF(J3748="","",IF(ISNUMBER(J3748),ROUND(J3748,2),IFERROR(ROUND(VALUE(SUBSTITUTE(SUBSTITUTE(SUBSTITUTE(J3748,"$",""),",","")," ","")),2),"bad")))</f>
        <v/>
      </c>
      <c r="P3748">
        <f>IF(K3748="","",IFERROR(MATCH(IF(ISNUMBER(FIND("#",K3748)),TRIM(MID(K3748,FIND("#",K3748)+1,20)),UPPER(K3748)),'Students'!$AD$2:$AD$701,0),""))</f>
        <v/>
      </c>
      <c r="R3748">
        <f>IF(P3748="","",INDEX('Students'!$AD$2:$AD$701,P3748))</f>
        <v/>
      </c>
      <c r="S3748">
        <f>IF(H3748="OK",O3748,0)</f>
        <v/>
      </c>
      <c r="T3748">
        <f>IF(H3748="OK",N3748,"")</f>
        <v/>
      </c>
      <c r="U3748">
        <f>TRIM('Cash_Check'!C748)</f>
        <v/>
      </c>
    </row>
    <row r="3749">
      <c r="A3749" s="62">
        <f>IF(H3749="","",IF(ISNUMBER(N3749),N3749,I3749))</f>
        <v/>
      </c>
      <c r="B3749">
        <f>IF(H3749="","",U3749)</f>
        <v/>
      </c>
      <c r="C3749">
        <f>IF(H3749="","",IF(P3749="",K3749,INDEX('Students'!$A$2:$A$701,P3749)))</f>
        <v/>
      </c>
      <c r="D3749">
        <f>IF(OR(H3749="",P3749=""),"",INDEX('Students'!$B$2:$B$701,P3749))</f>
        <v/>
      </c>
      <c r="E3749">
        <f>IF(OR(H3749="",P3749=""),"",INDEX('Students'!$C$2:$C$701,P3749))</f>
        <v/>
      </c>
      <c r="F3749" s="48">
        <f>IF(H3749="","",IF(ISNUMBER(O3749),O3749,J3749))</f>
        <v/>
      </c>
      <c r="G3749">
        <f>IF(H3749="","",M3749)</f>
        <v/>
      </c>
      <c r="H3749">
        <f>IF(AND(I3749="",J3749="",K3749=""),"",IF(OR(NOT(ISNUMBER(O3749)),N(O3749)&lt;=0),"Bad amount",IF(NOT(ISNUMBER(N3749)),"Bad date",IF(P3749="","NAME NOT ON ROSTER","OK"))))</f>
        <v/>
      </c>
      <c r="I3749">
        <f>IF('Cash_Check'!A749="","",'Cash_Check'!A749)</f>
        <v/>
      </c>
      <c r="J3749">
        <f>IF('Cash_Check'!D749="","",'Cash_Check'!D749)</f>
        <v/>
      </c>
      <c r="K3749">
        <f>TRIM('Cash_Check'!B749)</f>
        <v/>
      </c>
      <c r="M3749">
        <f>IF(TRIM('Cash_Check'!E749)="","Cash/check",TRIM('Cash_Check'!E749))</f>
        <v/>
      </c>
      <c r="N3749">
        <f>IF(I3749="","",IF(ISNUMBER(I3749),INT(I3749),IFERROR(INT(DATEVALUE(I3749)),IFERROR(INT(VALUE(I3749)),"bad"))))</f>
        <v/>
      </c>
      <c r="O3749">
        <f>IF(J3749="","",IF(ISNUMBER(J3749),ROUND(J3749,2),IFERROR(ROUND(VALUE(SUBSTITUTE(SUBSTITUTE(SUBSTITUTE(J3749,"$",""),",","")," ","")),2),"bad")))</f>
        <v/>
      </c>
      <c r="P3749">
        <f>IF(K3749="","",IFERROR(MATCH(IF(ISNUMBER(FIND("#",K3749)),TRIM(MID(K3749,FIND("#",K3749)+1,20)),UPPER(K3749)),'Students'!$AD$2:$AD$701,0),""))</f>
        <v/>
      </c>
      <c r="R3749">
        <f>IF(P3749="","",INDEX('Students'!$AD$2:$AD$701,P3749))</f>
        <v/>
      </c>
      <c r="S3749">
        <f>IF(H3749="OK",O3749,0)</f>
        <v/>
      </c>
      <c r="T3749">
        <f>IF(H3749="OK",N3749,"")</f>
        <v/>
      </c>
      <c r="U3749">
        <f>TRIM('Cash_Check'!C749)</f>
        <v/>
      </c>
    </row>
    <row r="3750">
      <c r="A3750" s="62">
        <f>IF(H3750="","",IF(ISNUMBER(N3750),N3750,I3750))</f>
        <v/>
      </c>
      <c r="B3750">
        <f>IF(H3750="","",U3750)</f>
        <v/>
      </c>
      <c r="C3750">
        <f>IF(H3750="","",IF(P3750="",K3750,INDEX('Students'!$A$2:$A$701,P3750)))</f>
        <v/>
      </c>
      <c r="D3750">
        <f>IF(OR(H3750="",P3750=""),"",INDEX('Students'!$B$2:$B$701,P3750))</f>
        <v/>
      </c>
      <c r="E3750">
        <f>IF(OR(H3750="",P3750=""),"",INDEX('Students'!$C$2:$C$701,P3750))</f>
        <v/>
      </c>
      <c r="F3750" s="48">
        <f>IF(H3750="","",IF(ISNUMBER(O3750),O3750,J3750))</f>
        <v/>
      </c>
      <c r="G3750">
        <f>IF(H3750="","",M3750)</f>
        <v/>
      </c>
      <c r="H3750">
        <f>IF(AND(I3750="",J3750="",K3750=""),"",IF(OR(NOT(ISNUMBER(O3750)),N(O3750)&lt;=0),"Bad amount",IF(NOT(ISNUMBER(N3750)),"Bad date",IF(P3750="","NAME NOT ON ROSTER","OK"))))</f>
        <v/>
      </c>
      <c r="I3750">
        <f>IF('Cash_Check'!A750="","",'Cash_Check'!A750)</f>
        <v/>
      </c>
      <c r="J3750">
        <f>IF('Cash_Check'!D750="","",'Cash_Check'!D750)</f>
        <v/>
      </c>
      <c r="K3750">
        <f>TRIM('Cash_Check'!B750)</f>
        <v/>
      </c>
      <c r="M3750">
        <f>IF(TRIM('Cash_Check'!E750)="","Cash/check",TRIM('Cash_Check'!E750))</f>
        <v/>
      </c>
      <c r="N3750">
        <f>IF(I3750="","",IF(ISNUMBER(I3750),INT(I3750),IFERROR(INT(DATEVALUE(I3750)),IFERROR(INT(VALUE(I3750)),"bad"))))</f>
        <v/>
      </c>
      <c r="O3750">
        <f>IF(J3750="","",IF(ISNUMBER(J3750),ROUND(J3750,2),IFERROR(ROUND(VALUE(SUBSTITUTE(SUBSTITUTE(SUBSTITUTE(J3750,"$",""),",","")," ","")),2),"bad")))</f>
        <v/>
      </c>
      <c r="P3750">
        <f>IF(K3750="","",IFERROR(MATCH(IF(ISNUMBER(FIND("#",K3750)),TRIM(MID(K3750,FIND("#",K3750)+1,20)),UPPER(K3750)),'Students'!$AD$2:$AD$701,0),""))</f>
        <v/>
      </c>
      <c r="R3750">
        <f>IF(P3750="","",INDEX('Students'!$AD$2:$AD$701,P3750))</f>
        <v/>
      </c>
      <c r="S3750">
        <f>IF(H3750="OK",O3750,0)</f>
        <v/>
      </c>
      <c r="T3750">
        <f>IF(H3750="OK",N3750,"")</f>
        <v/>
      </c>
      <c r="U3750">
        <f>TRIM('Cash_Check'!C750)</f>
        <v/>
      </c>
    </row>
    <row r="3751">
      <c r="A3751" s="62">
        <f>IF(H3751="","",IF(ISNUMBER(N3751),N3751,I3751))</f>
        <v/>
      </c>
      <c r="B3751">
        <f>IF(H3751="","",U3751)</f>
        <v/>
      </c>
      <c r="C3751">
        <f>IF(H3751="","",IF(P3751="",K3751,INDEX('Students'!$A$2:$A$701,P3751)))</f>
        <v/>
      </c>
      <c r="D3751">
        <f>IF(OR(H3751="",P3751=""),"",INDEX('Students'!$B$2:$B$701,P3751))</f>
        <v/>
      </c>
      <c r="E3751">
        <f>IF(OR(H3751="",P3751=""),"",INDEX('Students'!$C$2:$C$701,P3751))</f>
        <v/>
      </c>
      <c r="F3751" s="48">
        <f>IF(H3751="","",IF(ISNUMBER(O3751),O3751,J3751))</f>
        <v/>
      </c>
      <c r="G3751">
        <f>IF(H3751="","",M3751)</f>
        <v/>
      </c>
      <c r="H3751">
        <f>IF(AND(I3751="",J3751="",K3751=""),"",IF(OR(NOT(ISNUMBER(O3751)),N(O3751)&lt;=0),"Bad amount",IF(NOT(ISNUMBER(N3751)),"Bad date",IF(P3751="","NAME NOT ON ROSTER","OK"))))</f>
        <v/>
      </c>
      <c r="I3751">
        <f>IF('Cash_Check'!A751="","",'Cash_Check'!A751)</f>
        <v/>
      </c>
      <c r="J3751">
        <f>IF('Cash_Check'!D751="","",'Cash_Check'!D751)</f>
        <v/>
      </c>
      <c r="K3751">
        <f>TRIM('Cash_Check'!B751)</f>
        <v/>
      </c>
      <c r="M3751">
        <f>IF(TRIM('Cash_Check'!E751)="","Cash/check",TRIM('Cash_Check'!E751))</f>
        <v/>
      </c>
      <c r="N3751">
        <f>IF(I3751="","",IF(ISNUMBER(I3751),INT(I3751),IFERROR(INT(DATEVALUE(I3751)),IFERROR(INT(VALUE(I3751)),"bad"))))</f>
        <v/>
      </c>
      <c r="O3751">
        <f>IF(J3751="","",IF(ISNUMBER(J3751),ROUND(J3751,2),IFERROR(ROUND(VALUE(SUBSTITUTE(SUBSTITUTE(SUBSTITUTE(J3751,"$",""),",","")," ","")),2),"bad")))</f>
        <v/>
      </c>
      <c r="P3751">
        <f>IF(K3751="","",IFERROR(MATCH(IF(ISNUMBER(FIND("#",K3751)),TRIM(MID(K3751,FIND("#",K3751)+1,20)),UPPER(K3751)),'Students'!$AD$2:$AD$701,0),""))</f>
        <v/>
      </c>
      <c r="R3751">
        <f>IF(P3751="","",INDEX('Students'!$AD$2:$AD$701,P3751))</f>
        <v/>
      </c>
      <c r="S3751">
        <f>IF(H3751="OK",O3751,0)</f>
        <v/>
      </c>
      <c r="T3751">
        <f>IF(H3751="OK",N3751,"")</f>
        <v/>
      </c>
      <c r="U3751">
        <f>TRIM('Cash_Check'!C751)</f>
        <v/>
      </c>
    </row>
    <row r="3752">
      <c r="A3752" s="62">
        <f>IF(H3752="","",IF(ISNUMBER(N3752),N3752,I3752))</f>
        <v/>
      </c>
      <c r="B3752">
        <f>IF(H3752="","",U3752)</f>
        <v/>
      </c>
      <c r="C3752">
        <f>IF(H3752="","",IF(P3752="",K3752,INDEX('Students'!$A$2:$A$701,P3752)))</f>
        <v/>
      </c>
      <c r="D3752">
        <f>IF(OR(H3752="",P3752=""),"",INDEX('Students'!$B$2:$B$701,P3752))</f>
        <v/>
      </c>
      <c r="E3752">
        <f>IF(OR(H3752="",P3752=""),"",INDEX('Students'!$C$2:$C$701,P3752))</f>
        <v/>
      </c>
      <c r="F3752" s="48">
        <f>IF(H3752="","",IF(ISNUMBER(O3752),O3752,J3752))</f>
        <v/>
      </c>
      <c r="G3752">
        <f>IF(H3752="","",M3752)</f>
        <v/>
      </c>
      <c r="H3752">
        <f>IF(AND(I3752="",J3752="",K3752=""),"",IF(OR(NOT(ISNUMBER(O3752)),N(O3752)&lt;=0),"Bad amount",IF(NOT(ISNUMBER(N3752)),"Bad date",IF(P3752="","NAME NOT ON ROSTER","OK"))))</f>
        <v/>
      </c>
      <c r="I3752">
        <f>IF('Cash_Check'!A752="","",'Cash_Check'!A752)</f>
        <v/>
      </c>
      <c r="J3752">
        <f>IF('Cash_Check'!D752="","",'Cash_Check'!D752)</f>
        <v/>
      </c>
      <c r="K3752">
        <f>TRIM('Cash_Check'!B752)</f>
        <v/>
      </c>
      <c r="M3752">
        <f>IF(TRIM('Cash_Check'!E752)="","Cash/check",TRIM('Cash_Check'!E752))</f>
        <v/>
      </c>
      <c r="N3752">
        <f>IF(I3752="","",IF(ISNUMBER(I3752),INT(I3752),IFERROR(INT(DATEVALUE(I3752)),IFERROR(INT(VALUE(I3752)),"bad"))))</f>
        <v/>
      </c>
      <c r="O3752">
        <f>IF(J3752="","",IF(ISNUMBER(J3752),ROUND(J3752,2),IFERROR(ROUND(VALUE(SUBSTITUTE(SUBSTITUTE(SUBSTITUTE(J3752,"$",""),",","")," ","")),2),"bad")))</f>
        <v/>
      </c>
      <c r="P3752">
        <f>IF(K3752="","",IFERROR(MATCH(IF(ISNUMBER(FIND("#",K3752)),TRIM(MID(K3752,FIND("#",K3752)+1,20)),UPPER(K3752)),'Students'!$AD$2:$AD$701,0),""))</f>
        <v/>
      </c>
      <c r="R3752">
        <f>IF(P3752="","",INDEX('Students'!$AD$2:$AD$701,P3752))</f>
        <v/>
      </c>
      <c r="S3752">
        <f>IF(H3752="OK",O3752,0)</f>
        <v/>
      </c>
      <c r="T3752">
        <f>IF(H3752="OK",N3752,"")</f>
        <v/>
      </c>
      <c r="U3752">
        <f>TRIM('Cash_Check'!C752)</f>
        <v/>
      </c>
    </row>
    <row r="3753">
      <c r="A3753" s="62">
        <f>IF(H3753="","",IF(ISNUMBER(N3753),N3753,I3753))</f>
        <v/>
      </c>
      <c r="B3753">
        <f>IF(H3753="","",U3753)</f>
        <v/>
      </c>
      <c r="C3753">
        <f>IF(H3753="","",IF(P3753="",K3753,INDEX('Students'!$A$2:$A$701,P3753)))</f>
        <v/>
      </c>
      <c r="D3753">
        <f>IF(OR(H3753="",P3753=""),"",INDEX('Students'!$B$2:$B$701,P3753))</f>
        <v/>
      </c>
      <c r="E3753">
        <f>IF(OR(H3753="",P3753=""),"",INDEX('Students'!$C$2:$C$701,P3753))</f>
        <v/>
      </c>
      <c r="F3753" s="48">
        <f>IF(H3753="","",IF(ISNUMBER(O3753),O3753,J3753))</f>
        <v/>
      </c>
      <c r="G3753">
        <f>IF(H3753="","",M3753)</f>
        <v/>
      </c>
      <c r="H3753">
        <f>IF(AND(I3753="",J3753="",K3753=""),"",IF(OR(NOT(ISNUMBER(O3753)),N(O3753)&lt;=0),"Bad amount",IF(NOT(ISNUMBER(N3753)),"Bad date",IF(P3753="","NAME NOT ON ROSTER","OK"))))</f>
        <v/>
      </c>
      <c r="I3753">
        <f>IF('Cash_Check'!A753="","",'Cash_Check'!A753)</f>
        <v/>
      </c>
      <c r="J3753">
        <f>IF('Cash_Check'!D753="","",'Cash_Check'!D753)</f>
        <v/>
      </c>
      <c r="K3753">
        <f>TRIM('Cash_Check'!B753)</f>
        <v/>
      </c>
      <c r="M3753">
        <f>IF(TRIM('Cash_Check'!E753)="","Cash/check",TRIM('Cash_Check'!E753))</f>
        <v/>
      </c>
      <c r="N3753">
        <f>IF(I3753="","",IF(ISNUMBER(I3753),INT(I3753),IFERROR(INT(DATEVALUE(I3753)),IFERROR(INT(VALUE(I3753)),"bad"))))</f>
        <v/>
      </c>
      <c r="O3753">
        <f>IF(J3753="","",IF(ISNUMBER(J3753),ROUND(J3753,2),IFERROR(ROUND(VALUE(SUBSTITUTE(SUBSTITUTE(SUBSTITUTE(J3753,"$",""),",","")," ","")),2),"bad")))</f>
        <v/>
      </c>
      <c r="P3753">
        <f>IF(K3753="","",IFERROR(MATCH(IF(ISNUMBER(FIND("#",K3753)),TRIM(MID(K3753,FIND("#",K3753)+1,20)),UPPER(K3753)),'Students'!$AD$2:$AD$701,0),""))</f>
        <v/>
      </c>
      <c r="R3753">
        <f>IF(P3753="","",INDEX('Students'!$AD$2:$AD$701,P3753))</f>
        <v/>
      </c>
      <c r="S3753">
        <f>IF(H3753="OK",O3753,0)</f>
        <v/>
      </c>
      <c r="T3753">
        <f>IF(H3753="OK",N3753,"")</f>
        <v/>
      </c>
      <c r="U3753">
        <f>TRIM('Cash_Check'!C753)</f>
        <v/>
      </c>
    </row>
    <row r="3754">
      <c r="A3754" s="62">
        <f>IF(H3754="","",IF(ISNUMBER(N3754),N3754,I3754))</f>
        <v/>
      </c>
      <c r="B3754">
        <f>IF(H3754="","",U3754)</f>
        <v/>
      </c>
      <c r="C3754">
        <f>IF(H3754="","",IF(P3754="",K3754,INDEX('Students'!$A$2:$A$701,P3754)))</f>
        <v/>
      </c>
      <c r="D3754">
        <f>IF(OR(H3754="",P3754=""),"",INDEX('Students'!$B$2:$B$701,P3754))</f>
        <v/>
      </c>
      <c r="E3754">
        <f>IF(OR(H3754="",P3754=""),"",INDEX('Students'!$C$2:$C$701,P3754))</f>
        <v/>
      </c>
      <c r="F3754" s="48">
        <f>IF(H3754="","",IF(ISNUMBER(O3754),O3754,J3754))</f>
        <v/>
      </c>
      <c r="G3754">
        <f>IF(H3754="","",M3754)</f>
        <v/>
      </c>
      <c r="H3754">
        <f>IF(AND(I3754="",J3754="",K3754=""),"",IF(OR(NOT(ISNUMBER(O3754)),N(O3754)&lt;=0),"Bad amount",IF(NOT(ISNUMBER(N3754)),"Bad date",IF(P3754="","NAME NOT ON ROSTER","OK"))))</f>
        <v/>
      </c>
      <c r="I3754">
        <f>IF('Cash_Check'!A754="","",'Cash_Check'!A754)</f>
        <v/>
      </c>
      <c r="J3754">
        <f>IF('Cash_Check'!D754="","",'Cash_Check'!D754)</f>
        <v/>
      </c>
      <c r="K3754">
        <f>TRIM('Cash_Check'!B754)</f>
        <v/>
      </c>
      <c r="M3754">
        <f>IF(TRIM('Cash_Check'!E754)="","Cash/check",TRIM('Cash_Check'!E754))</f>
        <v/>
      </c>
      <c r="N3754">
        <f>IF(I3754="","",IF(ISNUMBER(I3754),INT(I3754),IFERROR(INT(DATEVALUE(I3754)),IFERROR(INT(VALUE(I3754)),"bad"))))</f>
        <v/>
      </c>
      <c r="O3754">
        <f>IF(J3754="","",IF(ISNUMBER(J3754),ROUND(J3754,2),IFERROR(ROUND(VALUE(SUBSTITUTE(SUBSTITUTE(SUBSTITUTE(J3754,"$",""),",","")," ","")),2),"bad")))</f>
        <v/>
      </c>
      <c r="P3754">
        <f>IF(K3754="","",IFERROR(MATCH(IF(ISNUMBER(FIND("#",K3754)),TRIM(MID(K3754,FIND("#",K3754)+1,20)),UPPER(K3754)),'Students'!$AD$2:$AD$701,0),""))</f>
        <v/>
      </c>
      <c r="R3754">
        <f>IF(P3754="","",INDEX('Students'!$AD$2:$AD$701,P3754))</f>
        <v/>
      </c>
      <c r="S3754">
        <f>IF(H3754="OK",O3754,0)</f>
        <v/>
      </c>
      <c r="T3754">
        <f>IF(H3754="OK",N3754,"")</f>
        <v/>
      </c>
      <c r="U3754">
        <f>TRIM('Cash_Check'!C754)</f>
        <v/>
      </c>
    </row>
    <row r="3755">
      <c r="A3755" s="62">
        <f>IF(H3755="","",IF(ISNUMBER(N3755),N3755,I3755))</f>
        <v/>
      </c>
      <c r="B3755">
        <f>IF(H3755="","",U3755)</f>
        <v/>
      </c>
      <c r="C3755">
        <f>IF(H3755="","",IF(P3755="",K3755,INDEX('Students'!$A$2:$A$701,P3755)))</f>
        <v/>
      </c>
      <c r="D3755">
        <f>IF(OR(H3755="",P3755=""),"",INDEX('Students'!$B$2:$B$701,P3755))</f>
        <v/>
      </c>
      <c r="E3755">
        <f>IF(OR(H3755="",P3755=""),"",INDEX('Students'!$C$2:$C$701,P3755))</f>
        <v/>
      </c>
      <c r="F3755" s="48">
        <f>IF(H3755="","",IF(ISNUMBER(O3755),O3755,J3755))</f>
        <v/>
      </c>
      <c r="G3755">
        <f>IF(H3755="","",M3755)</f>
        <v/>
      </c>
      <c r="H3755">
        <f>IF(AND(I3755="",J3755="",K3755=""),"",IF(OR(NOT(ISNUMBER(O3755)),N(O3755)&lt;=0),"Bad amount",IF(NOT(ISNUMBER(N3755)),"Bad date",IF(P3755="","NAME NOT ON ROSTER","OK"))))</f>
        <v/>
      </c>
      <c r="I3755">
        <f>IF('Cash_Check'!A755="","",'Cash_Check'!A755)</f>
        <v/>
      </c>
      <c r="J3755">
        <f>IF('Cash_Check'!D755="","",'Cash_Check'!D755)</f>
        <v/>
      </c>
      <c r="K3755">
        <f>TRIM('Cash_Check'!B755)</f>
        <v/>
      </c>
      <c r="M3755">
        <f>IF(TRIM('Cash_Check'!E755)="","Cash/check",TRIM('Cash_Check'!E755))</f>
        <v/>
      </c>
      <c r="N3755">
        <f>IF(I3755="","",IF(ISNUMBER(I3755),INT(I3755),IFERROR(INT(DATEVALUE(I3755)),IFERROR(INT(VALUE(I3755)),"bad"))))</f>
        <v/>
      </c>
      <c r="O3755">
        <f>IF(J3755="","",IF(ISNUMBER(J3755),ROUND(J3755,2),IFERROR(ROUND(VALUE(SUBSTITUTE(SUBSTITUTE(SUBSTITUTE(J3755,"$",""),",","")," ","")),2),"bad")))</f>
        <v/>
      </c>
      <c r="P3755">
        <f>IF(K3755="","",IFERROR(MATCH(IF(ISNUMBER(FIND("#",K3755)),TRIM(MID(K3755,FIND("#",K3755)+1,20)),UPPER(K3755)),'Students'!$AD$2:$AD$701,0),""))</f>
        <v/>
      </c>
      <c r="R3755">
        <f>IF(P3755="","",INDEX('Students'!$AD$2:$AD$701,P3755))</f>
        <v/>
      </c>
      <c r="S3755">
        <f>IF(H3755="OK",O3755,0)</f>
        <v/>
      </c>
      <c r="T3755">
        <f>IF(H3755="OK",N3755,"")</f>
        <v/>
      </c>
      <c r="U3755">
        <f>TRIM('Cash_Check'!C755)</f>
        <v/>
      </c>
    </row>
    <row r="3756">
      <c r="A3756" s="62">
        <f>IF(H3756="","",IF(ISNUMBER(N3756),N3756,I3756))</f>
        <v/>
      </c>
      <c r="B3756">
        <f>IF(H3756="","",U3756)</f>
        <v/>
      </c>
      <c r="C3756">
        <f>IF(H3756="","",IF(P3756="",K3756,INDEX('Students'!$A$2:$A$701,P3756)))</f>
        <v/>
      </c>
      <c r="D3756">
        <f>IF(OR(H3756="",P3756=""),"",INDEX('Students'!$B$2:$B$701,P3756))</f>
        <v/>
      </c>
      <c r="E3756">
        <f>IF(OR(H3756="",P3756=""),"",INDEX('Students'!$C$2:$C$701,P3756))</f>
        <v/>
      </c>
      <c r="F3756" s="48">
        <f>IF(H3756="","",IF(ISNUMBER(O3756),O3756,J3756))</f>
        <v/>
      </c>
      <c r="G3756">
        <f>IF(H3756="","",M3756)</f>
        <v/>
      </c>
      <c r="H3756">
        <f>IF(AND(I3756="",J3756="",K3756=""),"",IF(OR(NOT(ISNUMBER(O3756)),N(O3756)&lt;=0),"Bad amount",IF(NOT(ISNUMBER(N3756)),"Bad date",IF(P3756="","NAME NOT ON ROSTER","OK"))))</f>
        <v/>
      </c>
      <c r="I3756">
        <f>IF('Cash_Check'!A756="","",'Cash_Check'!A756)</f>
        <v/>
      </c>
      <c r="J3756">
        <f>IF('Cash_Check'!D756="","",'Cash_Check'!D756)</f>
        <v/>
      </c>
      <c r="K3756">
        <f>TRIM('Cash_Check'!B756)</f>
        <v/>
      </c>
      <c r="M3756">
        <f>IF(TRIM('Cash_Check'!E756)="","Cash/check",TRIM('Cash_Check'!E756))</f>
        <v/>
      </c>
      <c r="N3756">
        <f>IF(I3756="","",IF(ISNUMBER(I3756),INT(I3756),IFERROR(INT(DATEVALUE(I3756)),IFERROR(INT(VALUE(I3756)),"bad"))))</f>
        <v/>
      </c>
      <c r="O3756">
        <f>IF(J3756="","",IF(ISNUMBER(J3756),ROUND(J3756,2),IFERROR(ROUND(VALUE(SUBSTITUTE(SUBSTITUTE(SUBSTITUTE(J3756,"$",""),",","")," ","")),2),"bad")))</f>
        <v/>
      </c>
      <c r="P3756">
        <f>IF(K3756="","",IFERROR(MATCH(IF(ISNUMBER(FIND("#",K3756)),TRIM(MID(K3756,FIND("#",K3756)+1,20)),UPPER(K3756)),'Students'!$AD$2:$AD$701,0),""))</f>
        <v/>
      </c>
      <c r="R3756">
        <f>IF(P3756="","",INDEX('Students'!$AD$2:$AD$701,P3756))</f>
        <v/>
      </c>
      <c r="S3756">
        <f>IF(H3756="OK",O3756,0)</f>
        <v/>
      </c>
      <c r="T3756">
        <f>IF(H3756="OK",N3756,"")</f>
        <v/>
      </c>
      <c r="U3756">
        <f>TRIM('Cash_Check'!C756)</f>
        <v/>
      </c>
    </row>
    <row r="3757">
      <c r="A3757" s="62">
        <f>IF(H3757="","",IF(ISNUMBER(N3757),N3757,I3757))</f>
        <v/>
      </c>
      <c r="B3757">
        <f>IF(H3757="","",U3757)</f>
        <v/>
      </c>
      <c r="C3757">
        <f>IF(H3757="","",IF(P3757="",K3757,INDEX('Students'!$A$2:$A$701,P3757)))</f>
        <v/>
      </c>
      <c r="D3757">
        <f>IF(OR(H3757="",P3757=""),"",INDEX('Students'!$B$2:$B$701,P3757))</f>
        <v/>
      </c>
      <c r="E3757">
        <f>IF(OR(H3757="",P3757=""),"",INDEX('Students'!$C$2:$C$701,P3757))</f>
        <v/>
      </c>
      <c r="F3757" s="48">
        <f>IF(H3757="","",IF(ISNUMBER(O3757),O3757,J3757))</f>
        <v/>
      </c>
      <c r="G3757">
        <f>IF(H3757="","",M3757)</f>
        <v/>
      </c>
      <c r="H3757">
        <f>IF(AND(I3757="",J3757="",K3757=""),"",IF(OR(NOT(ISNUMBER(O3757)),N(O3757)&lt;=0),"Bad amount",IF(NOT(ISNUMBER(N3757)),"Bad date",IF(P3757="","NAME NOT ON ROSTER","OK"))))</f>
        <v/>
      </c>
      <c r="I3757">
        <f>IF('Cash_Check'!A757="","",'Cash_Check'!A757)</f>
        <v/>
      </c>
      <c r="J3757">
        <f>IF('Cash_Check'!D757="","",'Cash_Check'!D757)</f>
        <v/>
      </c>
      <c r="K3757">
        <f>TRIM('Cash_Check'!B757)</f>
        <v/>
      </c>
      <c r="M3757">
        <f>IF(TRIM('Cash_Check'!E757)="","Cash/check",TRIM('Cash_Check'!E757))</f>
        <v/>
      </c>
      <c r="N3757">
        <f>IF(I3757="","",IF(ISNUMBER(I3757),INT(I3757),IFERROR(INT(DATEVALUE(I3757)),IFERROR(INT(VALUE(I3757)),"bad"))))</f>
        <v/>
      </c>
      <c r="O3757">
        <f>IF(J3757="","",IF(ISNUMBER(J3757),ROUND(J3757,2),IFERROR(ROUND(VALUE(SUBSTITUTE(SUBSTITUTE(SUBSTITUTE(J3757,"$",""),",","")," ","")),2),"bad")))</f>
        <v/>
      </c>
      <c r="P3757">
        <f>IF(K3757="","",IFERROR(MATCH(IF(ISNUMBER(FIND("#",K3757)),TRIM(MID(K3757,FIND("#",K3757)+1,20)),UPPER(K3757)),'Students'!$AD$2:$AD$701,0),""))</f>
        <v/>
      </c>
      <c r="R3757">
        <f>IF(P3757="","",INDEX('Students'!$AD$2:$AD$701,P3757))</f>
        <v/>
      </c>
      <c r="S3757">
        <f>IF(H3757="OK",O3757,0)</f>
        <v/>
      </c>
      <c r="T3757">
        <f>IF(H3757="OK",N3757,"")</f>
        <v/>
      </c>
      <c r="U3757">
        <f>TRIM('Cash_Check'!C757)</f>
        <v/>
      </c>
    </row>
    <row r="3758">
      <c r="A3758" s="62">
        <f>IF(H3758="","",IF(ISNUMBER(N3758),N3758,I3758))</f>
        <v/>
      </c>
      <c r="B3758">
        <f>IF(H3758="","",U3758)</f>
        <v/>
      </c>
      <c r="C3758">
        <f>IF(H3758="","",IF(P3758="",K3758,INDEX('Students'!$A$2:$A$701,P3758)))</f>
        <v/>
      </c>
      <c r="D3758">
        <f>IF(OR(H3758="",P3758=""),"",INDEX('Students'!$B$2:$B$701,P3758))</f>
        <v/>
      </c>
      <c r="E3758">
        <f>IF(OR(H3758="",P3758=""),"",INDEX('Students'!$C$2:$C$701,P3758))</f>
        <v/>
      </c>
      <c r="F3758" s="48">
        <f>IF(H3758="","",IF(ISNUMBER(O3758),O3758,J3758))</f>
        <v/>
      </c>
      <c r="G3758">
        <f>IF(H3758="","",M3758)</f>
        <v/>
      </c>
      <c r="H3758">
        <f>IF(AND(I3758="",J3758="",K3758=""),"",IF(OR(NOT(ISNUMBER(O3758)),N(O3758)&lt;=0),"Bad amount",IF(NOT(ISNUMBER(N3758)),"Bad date",IF(P3758="","NAME NOT ON ROSTER","OK"))))</f>
        <v/>
      </c>
      <c r="I3758">
        <f>IF('Cash_Check'!A758="","",'Cash_Check'!A758)</f>
        <v/>
      </c>
      <c r="J3758">
        <f>IF('Cash_Check'!D758="","",'Cash_Check'!D758)</f>
        <v/>
      </c>
      <c r="K3758">
        <f>TRIM('Cash_Check'!B758)</f>
        <v/>
      </c>
      <c r="M3758">
        <f>IF(TRIM('Cash_Check'!E758)="","Cash/check",TRIM('Cash_Check'!E758))</f>
        <v/>
      </c>
      <c r="N3758">
        <f>IF(I3758="","",IF(ISNUMBER(I3758),INT(I3758),IFERROR(INT(DATEVALUE(I3758)),IFERROR(INT(VALUE(I3758)),"bad"))))</f>
        <v/>
      </c>
      <c r="O3758">
        <f>IF(J3758="","",IF(ISNUMBER(J3758),ROUND(J3758,2),IFERROR(ROUND(VALUE(SUBSTITUTE(SUBSTITUTE(SUBSTITUTE(J3758,"$",""),",","")," ","")),2),"bad")))</f>
        <v/>
      </c>
      <c r="P3758">
        <f>IF(K3758="","",IFERROR(MATCH(IF(ISNUMBER(FIND("#",K3758)),TRIM(MID(K3758,FIND("#",K3758)+1,20)),UPPER(K3758)),'Students'!$AD$2:$AD$701,0),""))</f>
        <v/>
      </c>
      <c r="R3758">
        <f>IF(P3758="","",INDEX('Students'!$AD$2:$AD$701,P3758))</f>
        <v/>
      </c>
      <c r="S3758">
        <f>IF(H3758="OK",O3758,0)</f>
        <v/>
      </c>
      <c r="T3758">
        <f>IF(H3758="OK",N3758,"")</f>
        <v/>
      </c>
      <c r="U3758">
        <f>TRIM('Cash_Check'!C758)</f>
        <v/>
      </c>
    </row>
    <row r="3759">
      <c r="A3759" s="62">
        <f>IF(H3759="","",IF(ISNUMBER(N3759),N3759,I3759))</f>
        <v/>
      </c>
      <c r="B3759">
        <f>IF(H3759="","",U3759)</f>
        <v/>
      </c>
      <c r="C3759">
        <f>IF(H3759="","",IF(P3759="",K3759,INDEX('Students'!$A$2:$A$701,P3759)))</f>
        <v/>
      </c>
      <c r="D3759">
        <f>IF(OR(H3759="",P3759=""),"",INDEX('Students'!$B$2:$B$701,P3759))</f>
        <v/>
      </c>
      <c r="E3759">
        <f>IF(OR(H3759="",P3759=""),"",INDEX('Students'!$C$2:$C$701,P3759))</f>
        <v/>
      </c>
      <c r="F3759" s="48">
        <f>IF(H3759="","",IF(ISNUMBER(O3759),O3759,J3759))</f>
        <v/>
      </c>
      <c r="G3759">
        <f>IF(H3759="","",M3759)</f>
        <v/>
      </c>
      <c r="H3759">
        <f>IF(AND(I3759="",J3759="",K3759=""),"",IF(OR(NOT(ISNUMBER(O3759)),N(O3759)&lt;=0),"Bad amount",IF(NOT(ISNUMBER(N3759)),"Bad date",IF(P3759="","NAME NOT ON ROSTER","OK"))))</f>
        <v/>
      </c>
      <c r="I3759">
        <f>IF('Cash_Check'!A759="","",'Cash_Check'!A759)</f>
        <v/>
      </c>
      <c r="J3759">
        <f>IF('Cash_Check'!D759="","",'Cash_Check'!D759)</f>
        <v/>
      </c>
      <c r="K3759">
        <f>TRIM('Cash_Check'!B759)</f>
        <v/>
      </c>
      <c r="M3759">
        <f>IF(TRIM('Cash_Check'!E759)="","Cash/check",TRIM('Cash_Check'!E759))</f>
        <v/>
      </c>
      <c r="N3759">
        <f>IF(I3759="","",IF(ISNUMBER(I3759),INT(I3759),IFERROR(INT(DATEVALUE(I3759)),IFERROR(INT(VALUE(I3759)),"bad"))))</f>
        <v/>
      </c>
      <c r="O3759">
        <f>IF(J3759="","",IF(ISNUMBER(J3759),ROUND(J3759,2),IFERROR(ROUND(VALUE(SUBSTITUTE(SUBSTITUTE(SUBSTITUTE(J3759,"$",""),",","")," ","")),2),"bad")))</f>
        <v/>
      </c>
      <c r="P3759">
        <f>IF(K3759="","",IFERROR(MATCH(IF(ISNUMBER(FIND("#",K3759)),TRIM(MID(K3759,FIND("#",K3759)+1,20)),UPPER(K3759)),'Students'!$AD$2:$AD$701,0),""))</f>
        <v/>
      </c>
      <c r="R3759">
        <f>IF(P3759="","",INDEX('Students'!$AD$2:$AD$701,P3759))</f>
        <v/>
      </c>
      <c r="S3759">
        <f>IF(H3759="OK",O3759,0)</f>
        <v/>
      </c>
      <c r="T3759">
        <f>IF(H3759="OK",N3759,"")</f>
        <v/>
      </c>
      <c r="U3759">
        <f>TRIM('Cash_Check'!C759)</f>
        <v/>
      </c>
    </row>
    <row r="3760">
      <c r="A3760" s="62">
        <f>IF(H3760="","",IF(ISNUMBER(N3760),N3760,I3760))</f>
        <v/>
      </c>
      <c r="B3760">
        <f>IF(H3760="","",U3760)</f>
        <v/>
      </c>
      <c r="C3760">
        <f>IF(H3760="","",IF(P3760="",K3760,INDEX('Students'!$A$2:$A$701,P3760)))</f>
        <v/>
      </c>
      <c r="D3760">
        <f>IF(OR(H3760="",P3760=""),"",INDEX('Students'!$B$2:$B$701,P3760))</f>
        <v/>
      </c>
      <c r="E3760">
        <f>IF(OR(H3760="",P3760=""),"",INDEX('Students'!$C$2:$C$701,P3760))</f>
        <v/>
      </c>
      <c r="F3760" s="48">
        <f>IF(H3760="","",IF(ISNUMBER(O3760),O3760,J3760))</f>
        <v/>
      </c>
      <c r="G3760">
        <f>IF(H3760="","",M3760)</f>
        <v/>
      </c>
      <c r="H3760">
        <f>IF(AND(I3760="",J3760="",K3760=""),"",IF(OR(NOT(ISNUMBER(O3760)),N(O3760)&lt;=0),"Bad amount",IF(NOT(ISNUMBER(N3760)),"Bad date",IF(P3760="","NAME NOT ON ROSTER","OK"))))</f>
        <v/>
      </c>
      <c r="I3760">
        <f>IF('Cash_Check'!A760="","",'Cash_Check'!A760)</f>
        <v/>
      </c>
      <c r="J3760">
        <f>IF('Cash_Check'!D760="","",'Cash_Check'!D760)</f>
        <v/>
      </c>
      <c r="K3760">
        <f>TRIM('Cash_Check'!B760)</f>
        <v/>
      </c>
      <c r="M3760">
        <f>IF(TRIM('Cash_Check'!E760)="","Cash/check",TRIM('Cash_Check'!E760))</f>
        <v/>
      </c>
      <c r="N3760">
        <f>IF(I3760="","",IF(ISNUMBER(I3760),INT(I3760),IFERROR(INT(DATEVALUE(I3760)),IFERROR(INT(VALUE(I3760)),"bad"))))</f>
        <v/>
      </c>
      <c r="O3760">
        <f>IF(J3760="","",IF(ISNUMBER(J3760),ROUND(J3760,2),IFERROR(ROUND(VALUE(SUBSTITUTE(SUBSTITUTE(SUBSTITUTE(J3760,"$",""),",","")," ","")),2),"bad")))</f>
        <v/>
      </c>
      <c r="P3760">
        <f>IF(K3760="","",IFERROR(MATCH(IF(ISNUMBER(FIND("#",K3760)),TRIM(MID(K3760,FIND("#",K3760)+1,20)),UPPER(K3760)),'Students'!$AD$2:$AD$701,0),""))</f>
        <v/>
      </c>
      <c r="R3760">
        <f>IF(P3760="","",INDEX('Students'!$AD$2:$AD$701,P3760))</f>
        <v/>
      </c>
      <c r="S3760">
        <f>IF(H3760="OK",O3760,0)</f>
        <v/>
      </c>
      <c r="T3760">
        <f>IF(H3760="OK",N3760,"")</f>
        <v/>
      </c>
      <c r="U3760">
        <f>TRIM('Cash_Check'!C760)</f>
        <v/>
      </c>
    </row>
    <row r="3761">
      <c r="A3761" s="62">
        <f>IF(H3761="","",IF(ISNUMBER(N3761),N3761,I3761))</f>
        <v/>
      </c>
      <c r="B3761">
        <f>IF(H3761="","",U3761)</f>
        <v/>
      </c>
      <c r="C3761">
        <f>IF(H3761="","",IF(P3761="",K3761,INDEX('Students'!$A$2:$A$701,P3761)))</f>
        <v/>
      </c>
      <c r="D3761">
        <f>IF(OR(H3761="",P3761=""),"",INDEX('Students'!$B$2:$B$701,P3761))</f>
        <v/>
      </c>
      <c r="E3761">
        <f>IF(OR(H3761="",P3761=""),"",INDEX('Students'!$C$2:$C$701,P3761))</f>
        <v/>
      </c>
      <c r="F3761" s="48">
        <f>IF(H3761="","",IF(ISNUMBER(O3761),O3761,J3761))</f>
        <v/>
      </c>
      <c r="G3761">
        <f>IF(H3761="","",M3761)</f>
        <v/>
      </c>
      <c r="H3761">
        <f>IF(AND(I3761="",J3761="",K3761=""),"",IF(OR(NOT(ISNUMBER(O3761)),N(O3761)&lt;=0),"Bad amount",IF(NOT(ISNUMBER(N3761)),"Bad date",IF(P3761="","NAME NOT ON ROSTER","OK"))))</f>
        <v/>
      </c>
      <c r="I3761">
        <f>IF('Cash_Check'!A761="","",'Cash_Check'!A761)</f>
        <v/>
      </c>
      <c r="J3761">
        <f>IF('Cash_Check'!D761="","",'Cash_Check'!D761)</f>
        <v/>
      </c>
      <c r="K3761">
        <f>TRIM('Cash_Check'!B761)</f>
        <v/>
      </c>
      <c r="M3761">
        <f>IF(TRIM('Cash_Check'!E761)="","Cash/check",TRIM('Cash_Check'!E761))</f>
        <v/>
      </c>
      <c r="N3761">
        <f>IF(I3761="","",IF(ISNUMBER(I3761),INT(I3761),IFERROR(INT(DATEVALUE(I3761)),IFERROR(INT(VALUE(I3761)),"bad"))))</f>
        <v/>
      </c>
      <c r="O3761">
        <f>IF(J3761="","",IF(ISNUMBER(J3761),ROUND(J3761,2),IFERROR(ROUND(VALUE(SUBSTITUTE(SUBSTITUTE(SUBSTITUTE(J3761,"$",""),",","")," ","")),2),"bad")))</f>
        <v/>
      </c>
      <c r="P3761">
        <f>IF(K3761="","",IFERROR(MATCH(IF(ISNUMBER(FIND("#",K3761)),TRIM(MID(K3761,FIND("#",K3761)+1,20)),UPPER(K3761)),'Students'!$AD$2:$AD$701,0),""))</f>
        <v/>
      </c>
      <c r="R3761">
        <f>IF(P3761="","",INDEX('Students'!$AD$2:$AD$701,P3761))</f>
        <v/>
      </c>
      <c r="S3761">
        <f>IF(H3761="OK",O3761,0)</f>
        <v/>
      </c>
      <c r="T3761">
        <f>IF(H3761="OK",N3761,"")</f>
        <v/>
      </c>
      <c r="U3761">
        <f>TRIM('Cash_Check'!C761)</f>
        <v/>
      </c>
    </row>
    <row r="3762">
      <c r="A3762" s="62">
        <f>IF(H3762="","",IF(ISNUMBER(N3762),N3762,I3762))</f>
        <v/>
      </c>
      <c r="B3762">
        <f>IF(H3762="","",U3762)</f>
        <v/>
      </c>
      <c r="C3762">
        <f>IF(H3762="","",IF(P3762="",K3762,INDEX('Students'!$A$2:$A$701,P3762)))</f>
        <v/>
      </c>
      <c r="D3762">
        <f>IF(OR(H3762="",P3762=""),"",INDEX('Students'!$B$2:$B$701,P3762))</f>
        <v/>
      </c>
      <c r="E3762">
        <f>IF(OR(H3762="",P3762=""),"",INDEX('Students'!$C$2:$C$701,P3762))</f>
        <v/>
      </c>
      <c r="F3762" s="48">
        <f>IF(H3762="","",IF(ISNUMBER(O3762),O3762,J3762))</f>
        <v/>
      </c>
      <c r="G3762">
        <f>IF(H3762="","",M3762)</f>
        <v/>
      </c>
      <c r="H3762">
        <f>IF(AND(I3762="",J3762="",K3762=""),"",IF(OR(NOT(ISNUMBER(O3762)),N(O3762)&lt;=0),"Bad amount",IF(NOT(ISNUMBER(N3762)),"Bad date",IF(P3762="","NAME NOT ON ROSTER","OK"))))</f>
        <v/>
      </c>
      <c r="I3762">
        <f>IF('Cash_Check'!A762="","",'Cash_Check'!A762)</f>
        <v/>
      </c>
      <c r="J3762">
        <f>IF('Cash_Check'!D762="","",'Cash_Check'!D762)</f>
        <v/>
      </c>
      <c r="K3762">
        <f>TRIM('Cash_Check'!B762)</f>
        <v/>
      </c>
      <c r="M3762">
        <f>IF(TRIM('Cash_Check'!E762)="","Cash/check",TRIM('Cash_Check'!E762))</f>
        <v/>
      </c>
      <c r="N3762">
        <f>IF(I3762="","",IF(ISNUMBER(I3762),INT(I3762),IFERROR(INT(DATEVALUE(I3762)),IFERROR(INT(VALUE(I3762)),"bad"))))</f>
        <v/>
      </c>
      <c r="O3762">
        <f>IF(J3762="","",IF(ISNUMBER(J3762),ROUND(J3762,2),IFERROR(ROUND(VALUE(SUBSTITUTE(SUBSTITUTE(SUBSTITUTE(J3762,"$",""),",","")," ","")),2),"bad")))</f>
        <v/>
      </c>
      <c r="P3762">
        <f>IF(K3762="","",IFERROR(MATCH(IF(ISNUMBER(FIND("#",K3762)),TRIM(MID(K3762,FIND("#",K3762)+1,20)),UPPER(K3762)),'Students'!$AD$2:$AD$701,0),""))</f>
        <v/>
      </c>
      <c r="R3762">
        <f>IF(P3762="","",INDEX('Students'!$AD$2:$AD$701,P3762))</f>
        <v/>
      </c>
      <c r="S3762">
        <f>IF(H3762="OK",O3762,0)</f>
        <v/>
      </c>
      <c r="T3762">
        <f>IF(H3762="OK",N3762,"")</f>
        <v/>
      </c>
      <c r="U3762">
        <f>TRIM('Cash_Check'!C762)</f>
        <v/>
      </c>
    </row>
    <row r="3763">
      <c r="A3763" s="62">
        <f>IF(H3763="","",IF(ISNUMBER(N3763),N3763,I3763))</f>
        <v/>
      </c>
      <c r="B3763">
        <f>IF(H3763="","",U3763)</f>
        <v/>
      </c>
      <c r="C3763">
        <f>IF(H3763="","",IF(P3763="",K3763,INDEX('Students'!$A$2:$A$701,P3763)))</f>
        <v/>
      </c>
      <c r="D3763">
        <f>IF(OR(H3763="",P3763=""),"",INDEX('Students'!$B$2:$B$701,P3763))</f>
        <v/>
      </c>
      <c r="E3763">
        <f>IF(OR(H3763="",P3763=""),"",INDEX('Students'!$C$2:$C$701,P3763))</f>
        <v/>
      </c>
      <c r="F3763" s="48">
        <f>IF(H3763="","",IF(ISNUMBER(O3763),O3763,J3763))</f>
        <v/>
      </c>
      <c r="G3763">
        <f>IF(H3763="","",M3763)</f>
        <v/>
      </c>
      <c r="H3763">
        <f>IF(AND(I3763="",J3763="",K3763=""),"",IF(OR(NOT(ISNUMBER(O3763)),N(O3763)&lt;=0),"Bad amount",IF(NOT(ISNUMBER(N3763)),"Bad date",IF(P3763="","NAME NOT ON ROSTER","OK"))))</f>
        <v/>
      </c>
      <c r="I3763">
        <f>IF('Cash_Check'!A763="","",'Cash_Check'!A763)</f>
        <v/>
      </c>
      <c r="J3763">
        <f>IF('Cash_Check'!D763="","",'Cash_Check'!D763)</f>
        <v/>
      </c>
      <c r="K3763">
        <f>TRIM('Cash_Check'!B763)</f>
        <v/>
      </c>
      <c r="M3763">
        <f>IF(TRIM('Cash_Check'!E763)="","Cash/check",TRIM('Cash_Check'!E763))</f>
        <v/>
      </c>
      <c r="N3763">
        <f>IF(I3763="","",IF(ISNUMBER(I3763),INT(I3763),IFERROR(INT(DATEVALUE(I3763)),IFERROR(INT(VALUE(I3763)),"bad"))))</f>
        <v/>
      </c>
      <c r="O3763">
        <f>IF(J3763="","",IF(ISNUMBER(J3763),ROUND(J3763,2),IFERROR(ROUND(VALUE(SUBSTITUTE(SUBSTITUTE(SUBSTITUTE(J3763,"$",""),",","")," ","")),2),"bad")))</f>
        <v/>
      </c>
      <c r="P3763">
        <f>IF(K3763="","",IFERROR(MATCH(IF(ISNUMBER(FIND("#",K3763)),TRIM(MID(K3763,FIND("#",K3763)+1,20)),UPPER(K3763)),'Students'!$AD$2:$AD$701,0),""))</f>
        <v/>
      </c>
      <c r="R3763">
        <f>IF(P3763="","",INDEX('Students'!$AD$2:$AD$701,P3763))</f>
        <v/>
      </c>
      <c r="S3763">
        <f>IF(H3763="OK",O3763,0)</f>
        <v/>
      </c>
      <c r="T3763">
        <f>IF(H3763="OK",N3763,"")</f>
        <v/>
      </c>
      <c r="U3763">
        <f>TRIM('Cash_Check'!C763)</f>
        <v/>
      </c>
    </row>
    <row r="3764">
      <c r="A3764" s="62">
        <f>IF(H3764="","",IF(ISNUMBER(N3764),N3764,I3764))</f>
        <v/>
      </c>
      <c r="B3764">
        <f>IF(H3764="","",U3764)</f>
        <v/>
      </c>
      <c r="C3764">
        <f>IF(H3764="","",IF(P3764="",K3764,INDEX('Students'!$A$2:$A$701,P3764)))</f>
        <v/>
      </c>
      <c r="D3764">
        <f>IF(OR(H3764="",P3764=""),"",INDEX('Students'!$B$2:$B$701,P3764))</f>
        <v/>
      </c>
      <c r="E3764">
        <f>IF(OR(H3764="",P3764=""),"",INDEX('Students'!$C$2:$C$701,P3764))</f>
        <v/>
      </c>
      <c r="F3764" s="48">
        <f>IF(H3764="","",IF(ISNUMBER(O3764),O3764,J3764))</f>
        <v/>
      </c>
      <c r="G3764">
        <f>IF(H3764="","",M3764)</f>
        <v/>
      </c>
      <c r="H3764">
        <f>IF(AND(I3764="",J3764="",K3764=""),"",IF(OR(NOT(ISNUMBER(O3764)),N(O3764)&lt;=0),"Bad amount",IF(NOT(ISNUMBER(N3764)),"Bad date",IF(P3764="","NAME NOT ON ROSTER","OK"))))</f>
        <v/>
      </c>
      <c r="I3764">
        <f>IF('Cash_Check'!A764="","",'Cash_Check'!A764)</f>
        <v/>
      </c>
      <c r="J3764">
        <f>IF('Cash_Check'!D764="","",'Cash_Check'!D764)</f>
        <v/>
      </c>
      <c r="K3764">
        <f>TRIM('Cash_Check'!B764)</f>
        <v/>
      </c>
      <c r="M3764">
        <f>IF(TRIM('Cash_Check'!E764)="","Cash/check",TRIM('Cash_Check'!E764))</f>
        <v/>
      </c>
      <c r="N3764">
        <f>IF(I3764="","",IF(ISNUMBER(I3764),INT(I3764),IFERROR(INT(DATEVALUE(I3764)),IFERROR(INT(VALUE(I3764)),"bad"))))</f>
        <v/>
      </c>
      <c r="O3764">
        <f>IF(J3764="","",IF(ISNUMBER(J3764),ROUND(J3764,2),IFERROR(ROUND(VALUE(SUBSTITUTE(SUBSTITUTE(SUBSTITUTE(J3764,"$",""),",","")," ","")),2),"bad")))</f>
        <v/>
      </c>
      <c r="P3764">
        <f>IF(K3764="","",IFERROR(MATCH(IF(ISNUMBER(FIND("#",K3764)),TRIM(MID(K3764,FIND("#",K3764)+1,20)),UPPER(K3764)),'Students'!$AD$2:$AD$701,0),""))</f>
        <v/>
      </c>
      <c r="R3764">
        <f>IF(P3764="","",INDEX('Students'!$AD$2:$AD$701,P3764))</f>
        <v/>
      </c>
      <c r="S3764">
        <f>IF(H3764="OK",O3764,0)</f>
        <v/>
      </c>
      <c r="T3764">
        <f>IF(H3764="OK",N3764,"")</f>
        <v/>
      </c>
      <c r="U3764">
        <f>TRIM('Cash_Check'!C764)</f>
        <v/>
      </c>
    </row>
    <row r="3765">
      <c r="A3765" s="62">
        <f>IF(H3765="","",IF(ISNUMBER(N3765),N3765,I3765))</f>
        <v/>
      </c>
      <c r="B3765">
        <f>IF(H3765="","",U3765)</f>
        <v/>
      </c>
      <c r="C3765">
        <f>IF(H3765="","",IF(P3765="",K3765,INDEX('Students'!$A$2:$A$701,P3765)))</f>
        <v/>
      </c>
      <c r="D3765">
        <f>IF(OR(H3765="",P3765=""),"",INDEX('Students'!$B$2:$B$701,P3765))</f>
        <v/>
      </c>
      <c r="E3765">
        <f>IF(OR(H3765="",P3765=""),"",INDEX('Students'!$C$2:$C$701,P3765))</f>
        <v/>
      </c>
      <c r="F3765" s="48">
        <f>IF(H3765="","",IF(ISNUMBER(O3765),O3765,J3765))</f>
        <v/>
      </c>
      <c r="G3765">
        <f>IF(H3765="","",M3765)</f>
        <v/>
      </c>
      <c r="H3765">
        <f>IF(AND(I3765="",J3765="",K3765=""),"",IF(OR(NOT(ISNUMBER(O3765)),N(O3765)&lt;=0),"Bad amount",IF(NOT(ISNUMBER(N3765)),"Bad date",IF(P3765="","NAME NOT ON ROSTER","OK"))))</f>
        <v/>
      </c>
      <c r="I3765">
        <f>IF('Cash_Check'!A765="","",'Cash_Check'!A765)</f>
        <v/>
      </c>
      <c r="J3765">
        <f>IF('Cash_Check'!D765="","",'Cash_Check'!D765)</f>
        <v/>
      </c>
      <c r="K3765">
        <f>TRIM('Cash_Check'!B765)</f>
        <v/>
      </c>
      <c r="M3765">
        <f>IF(TRIM('Cash_Check'!E765)="","Cash/check",TRIM('Cash_Check'!E765))</f>
        <v/>
      </c>
      <c r="N3765">
        <f>IF(I3765="","",IF(ISNUMBER(I3765),INT(I3765),IFERROR(INT(DATEVALUE(I3765)),IFERROR(INT(VALUE(I3765)),"bad"))))</f>
        <v/>
      </c>
      <c r="O3765">
        <f>IF(J3765="","",IF(ISNUMBER(J3765),ROUND(J3765,2),IFERROR(ROUND(VALUE(SUBSTITUTE(SUBSTITUTE(SUBSTITUTE(J3765,"$",""),",","")," ","")),2),"bad")))</f>
        <v/>
      </c>
      <c r="P3765">
        <f>IF(K3765="","",IFERROR(MATCH(IF(ISNUMBER(FIND("#",K3765)),TRIM(MID(K3765,FIND("#",K3765)+1,20)),UPPER(K3765)),'Students'!$AD$2:$AD$701,0),""))</f>
        <v/>
      </c>
      <c r="R3765">
        <f>IF(P3765="","",INDEX('Students'!$AD$2:$AD$701,P3765))</f>
        <v/>
      </c>
      <c r="S3765">
        <f>IF(H3765="OK",O3765,0)</f>
        <v/>
      </c>
      <c r="T3765">
        <f>IF(H3765="OK",N3765,"")</f>
        <v/>
      </c>
      <c r="U3765">
        <f>TRIM('Cash_Check'!C765)</f>
        <v/>
      </c>
    </row>
    <row r="3766">
      <c r="A3766" s="62">
        <f>IF(H3766="","",IF(ISNUMBER(N3766),N3766,I3766))</f>
        <v/>
      </c>
      <c r="B3766">
        <f>IF(H3766="","",U3766)</f>
        <v/>
      </c>
      <c r="C3766">
        <f>IF(H3766="","",IF(P3766="",K3766,INDEX('Students'!$A$2:$A$701,P3766)))</f>
        <v/>
      </c>
      <c r="D3766">
        <f>IF(OR(H3766="",P3766=""),"",INDEX('Students'!$B$2:$B$701,P3766))</f>
        <v/>
      </c>
      <c r="E3766">
        <f>IF(OR(H3766="",P3766=""),"",INDEX('Students'!$C$2:$C$701,P3766))</f>
        <v/>
      </c>
      <c r="F3766" s="48">
        <f>IF(H3766="","",IF(ISNUMBER(O3766),O3766,J3766))</f>
        <v/>
      </c>
      <c r="G3766">
        <f>IF(H3766="","",M3766)</f>
        <v/>
      </c>
      <c r="H3766">
        <f>IF(AND(I3766="",J3766="",K3766=""),"",IF(OR(NOT(ISNUMBER(O3766)),N(O3766)&lt;=0),"Bad amount",IF(NOT(ISNUMBER(N3766)),"Bad date",IF(P3766="","NAME NOT ON ROSTER","OK"))))</f>
        <v/>
      </c>
      <c r="I3766">
        <f>IF('Cash_Check'!A766="","",'Cash_Check'!A766)</f>
        <v/>
      </c>
      <c r="J3766">
        <f>IF('Cash_Check'!D766="","",'Cash_Check'!D766)</f>
        <v/>
      </c>
      <c r="K3766">
        <f>TRIM('Cash_Check'!B766)</f>
        <v/>
      </c>
      <c r="M3766">
        <f>IF(TRIM('Cash_Check'!E766)="","Cash/check",TRIM('Cash_Check'!E766))</f>
        <v/>
      </c>
      <c r="N3766">
        <f>IF(I3766="","",IF(ISNUMBER(I3766),INT(I3766),IFERROR(INT(DATEVALUE(I3766)),IFERROR(INT(VALUE(I3766)),"bad"))))</f>
        <v/>
      </c>
      <c r="O3766">
        <f>IF(J3766="","",IF(ISNUMBER(J3766),ROUND(J3766,2),IFERROR(ROUND(VALUE(SUBSTITUTE(SUBSTITUTE(SUBSTITUTE(J3766,"$",""),",","")," ","")),2),"bad")))</f>
        <v/>
      </c>
      <c r="P3766">
        <f>IF(K3766="","",IFERROR(MATCH(IF(ISNUMBER(FIND("#",K3766)),TRIM(MID(K3766,FIND("#",K3766)+1,20)),UPPER(K3766)),'Students'!$AD$2:$AD$701,0),""))</f>
        <v/>
      </c>
      <c r="R3766">
        <f>IF(P3766="","",INDEX('Students'!$AD$2:$AD$701,P3766))</f>
        <v/>
      </c>
      <c r="S3766">
        <f>IF(H3766="OK",O3766,0)</f>
        <v/>
      </c>
      <c r="T3766">
        <f>IF(H3766="OK",N3766,"")</f>
        <v/>
      </c>
      <c r="U3766">
        <f>TRIM('Cash_Check'!C766)</f>
        <v/>
      </c>
    </row>
    <row r="3767">
      <c r="A3767" s="62">
        <f>IF(H3767="","",IF(ISNUMBER(N3767),N3767,I3767))</f>
        <v/>
      </c>
      <c r="B3767">
        <f>IF(H3767="","",U3767)</f>
        <v/>
      </c>
      <c r="C3767">
        <f>IF(H3767="","",IF(P3767="",K3767,INDEX('Students'!$A$2:$A$701,P3767)))</f>
        <v/>
      </c>
      <c r="D3767">
        <f>IF(OR(H3767="",P3767=""),"",INDEX('Students'!$B$2:$B$701,P3767))</f>
        <v/>
      </c>
      <c r="E3767">
        <f>IF(OR(H3767="",P3767=""),"",INDEX('Students'!$C$2:$C$701,P3767))</f>
        <v/>
      </c>
      <c r="F3767" s="48">
        <f>IF(H3767="","",IF(ISNUMBER(O3767),O3767,J3767))</f>
        <v/>
      </c>
      <c r="G3767">
        <f>IF(H3767="","",M3767)</f>
        <v/>
      </c>
      <c r="H3767">
        <f>IF(AND(I3767="",J3767="",K3767=""),"",IF(OR(NOT(ISNUMBER(O3767)),N(O3767)&lt;=0),"Bad amount",IF(NOT(ISNUMBER(N3767)),"Bad date",IF(P3767="","NAME NOT ON ROSTER","OK"))))</f>
        <v/>
      </c>
      <c r="I3767">
        <f>IF('Cash_Check'!A767="","",'Cash_Check'!A767)</f>
        <v/>
      </c>
      <c r="J3767">
        <f>IF('Cash_Check'!D767="","",'Cash_Check'!D767)</f>
        <v/>
      </c>
      <c r="K3767">
        <f>TRIM('Cash_Check'!B767)</f>
        <v/>
      </c>
      <c r="M3767">
        <f>IF(TRIM('Cash_Check'!E767)="","Cash/check",TRIM('Cash_Check'!E767))</f>
        <v/>
      </c>
      <c r="N3767">
        <f>IF(I3767="","",IF(ISNUMBER(I3767),INT(I3767),IFERROR(INT(DATEVALUE(I3767)),IFERROR(INT(VALUE(I3767)),"bad"))))</f>
        <v/>
      </c>
      <c r="O3767">
        <f>IF(J3767="","",IF(ISNUMBER(J3767),ROUND(J3767,2),IFERROR(ROUND(VALUE(SUBSTITUTE(SUBSTITUTE(SUBSTITUTE(J3767,"$",""),",","")," ","")),2),"bad")))</f>
        <v/>
      </c>
      <c r="P3767">
        <f>IF(K3767="","",IFERROR(MATCH(IF(ISNUMBER(FIND("#",K3767)),TRIM(MID(K3767,FIND("#",K3767)+1,20)),UPPER(K3767)),'Students'!$AD$2:$AD$701,0),""))</f>
        <v/>
      </c>
      <c r="R3767">
        <f>IF(P3767="","",INDEX('Students'!$AD$2:$AD$701,P3767))</f>
        <v/>
      </c>
      <c r="S3767">
        <f>IF(H3767="OK",O3767,0)</f>
        <v/>
      </c>
      <c r="T3767">
        <f>IF(H3767="OK",N3767,"")</f>
        <v/>
      </c>
      <c r="U3767">
        <f>TRIM('Cash_Check'!C767)</f>
        <v/>
      </c>
    </row>
    <row r="3768">
      <c r="A3768" s="62">
        <f>IF(H3768="","",IF(ISNUMBER(N3768),N3768,I3768))</f>
        <v/>
      </c>
      <c r="B3768">
        <f>IF(H3768="","",U3768)</f>
        <v/>
      </c>
      <c r="C3768">
        <f>IF(H3768="","",IF(P3768="",K3768,INDEX('Students'!$A$2:$A$701,P3768)))</f>
        <v/>
      </c>
      <c r="D3768">
        <f>IF(OR(H3768="",P3768=""),"",INDEX('Students'!$B$2:$B$701,P3768))</f>
        <v/>
      </c>
      <c r="E3768">
        <f>IF(OR(H3768="",P3768=""),"",INDEX('Students'!$C$2:$C$701,P3768))</f>
        <v/>
      </c>
      <c r="F3768" s="48">
        <f>IF(H3768="","",IF(ISNUMBER(O3768),O3768,J3768))</f>
        <v/>
      </c>
      <c r="G3768">
        <f>IF(H3768="","",M3768)</f>
        <v/>
      </c>
      <c r="H3768">
        <f>IF(AND(I3768="",J3768="",K3768=""),"",IF(OR(NOT(ISNUMBER(O3768)),N(O3768)&lt;=0),"Bad amount",IF(NOT(ISNUMBER(N3768)),"Bad date",IF(P3768="","NAME NOT ON ROSTER","OK"))))</f>
        <v/>
      </c>
      <c r="I3768">
        <f>IF('Cash_Check'!A768="","",'Cash_Check'!A768)</f>
        <v/>
      </c>
      <c r="J3768">
        <f>IF('Cash_Check'!D768="","",'Cash_Check'!D768)</f>
        <v/>
      </c>
      <c r="K3768">
        <f>TRIM('Cash_Check'!B768)</f>
        <v/>
      </c>
      <c r="M3768">
        <f>IF(TRIM('Cash_Check'!E768)="","Cash/check",TRIM('Cash_Check'!E768))</f>
        <v/>
      </c>
      <c r="N3768">
        <f>IF(I3768="","",IF(ISNUMBER(I3768),INT(I3768),IFERROR(INT(DATEVALUE(I3768)),IFERROR(INT(VALUE(I3768)),"bad"))))</f>
        <v/>
      </c>
      <c r="O3768">
        <f>IF(J3768="","",IF(ISNUMBER(J3768),ROUND(J3768,2),IFERROR(ROUND(VALUE(SUBSTITUTE(SUBSTITUTE(SUBSTITUTE(J3768,"$",""),",","")," ","")),2),"bad")))</f>
        <v/>
      </c>
      <c r="P3768">
        <f>IF(K3768="","",IFERROR(MATCH(IF(ISNUMBER(FIND("#",K3768)),TRIM(MID(K3768,FIND("#",K3768)+1,20)),UPPER(K3768)),'Students'!$AD$2:$AD$701,0),""))</f>
        <v/>
      </c>
      <c r="R3768">
        <f>IF(P3768="","",INDEX('Students'!$AD$2:$AD$701,P3768))</f>
        <v/>
      </c>
      <c r="S3768">
        <f>IF(H3768="OK",O3768,0)</f>
        <v/>
      </c>
      <c r="T3768">
        <f>IF(H3768="OK",N3768,"")</f>
        <v/>
      </c>
      <c r="U3768">
        <f>TRIM('Cash_Check'!C768)</f>
        <v/>
      </c>
    </row>
    <row r="3769">
      <c r="A3769" s="62">
        <f>IF(H3769="","",IF(ISNUMBER(N3769),N3769,I3769))</f>
        <v/>
      </c>
      <c r="B3769">
        <f>IF(H3769="","",U3769)</f>
        <v/>
      </c>
      <c r="C3769">
        <f>IF(H3769="","",IF(P3769="",K3769,INDEX('Students'!$A$2:$A$701,P3769)))</f>
        <v/>
      </c>
      <c r="D3769">
        <f>IF(OR(H3769="",P3769=""),"",INDEX('Students'!$B$2:$B$701,P3769))</f>
        <v/>
      </c>
      <c r="E3769">
        <f>IF(OR(H3769="",P3769=""),"",INDEX('Students'!$C$2:$C$701,P3769))</f>
        <v/>
      </c>
      <c r="F3769" s="48">
        <f>IF(H3769="","",IF(ISNUMBER(O3769),O3769,J3769))</f>
        <v/>
      </c>
      <c r="G3769">
        <f>IF(H3769="","",M3769)</f>
        <v/>
      </c>
      <c r="H3769">
        <f>IF(AND(I3769="",J3769="",K3769=""),"",IF(OR(NOT(ISNUMBER(O3769)),N(O3769)&lt;=0),"Bad amount",IF(NOT(ISNUMBER(N3769)),"Bad date",IF(P3769="","NAME NOT ON ROSTER","OK"))))</f>
        <v/>
      </c>
      <c r="I3769">
        <f>IF('Cash_Check'!A769="","",'Cash_Check'!A769)</f>
        <v/>
      </c>
      <c r="J3769">
        <f>IF('Cash_Check'!D769="","",'Cash_Check'!D769)</f>
        <v/>
      </c>
      <c r="K3769">
        <f>TRIM('Cash_Check'!B769)</f>
        <v/>
      </c>
      <c r="M3769">
        <f>IF(TRIM('Cash_Check'!E769)="","Cash/check",TRIM('Cash_Check'!E769))</f>
        <v/>
      </c>
      <c r="N3769">
        <f>IF(I3769="","",IF(ISNUMBER(I3769),INT(I3769),IFERROR(INT(DATEVALUE(I3769)),IFERROR(INT(VALUE(I3769)),"bad"))))</f>
        <v/>
      </c>
      <c r="O3769">
        <f>IF(J3769="","",IF(ISNUMBER(J3769),ROUND(J3769,2),IFERROR(ROUND(VALUE(SUBSTITUTE(SUBSTITUTE(SUBSTITUTE(J3769,"$",""),",","")," ","")),2),"bad")))</f>
        <v/>
      </c>
      <c r="P3769">
        <f>IF(K3769="","",IFERROR(MATCH(IF(ISNUMBER(FIND("#",K3769)),TRIM(MID(K3769,FIND("#",K3769)+1,20)),UPPER(K3769)),'Students'!$AD$2:$AD$701,0),""))</f>
        <v/>
      </c>
      <c r="R3769">
        <f>IF(P3769="","",INDEX('Students'!$AD$2:$AD$701,P3769))</f>
        <v/>
      </c>
      <c r="S3769">
        <f>IF(H3769="OK",O3769,0)</f>
        <v/>
      </c>
      <c r="T3769">
        <f>IF(H3769="OK",N3769,"")</f>
        <v/>
      </c>
      <c r="U3769">
        <f>TRIM('Cash_Check'!C769)</f>
        <v/>
      </c>
    </row>
    <row r="3770">
      <c r="A3770" s="62">
        <f>IF(H3770="","",IF(ISNUMBER(N3770),N3770,I3770))</f>
        <v/>
      </c>
      <c r="B3770">
        <f>IF(H3770="","",U3770)</f>
        <v/>
      </c>
      <c r="C3770">
        <f>IF(H3770="","",IF(P3770="",K3770,INDEX('Students'!$A$2:$A$701,P3770)))</f>
        <v/>
      </c>
      <c r="D3770">
        <f>IF(OR(H3770="",P3770=""),"",INDEX('Students'!$B$2:$B$701,P3770))</f>
        <v/>
      </c>
      <c r="E3770">
        <f>IF(OR(H3770="",P3770=""),"",INDEX('Students'!$C$2:$C$701,P3770))</f>
        <v/>
      </c>
      <c r="F3770" s="48">
        <f>IF(H3770="","",IF(ISNUMBER(O3770),O3770,J3770))</f>
        <v/>
      </c>
      <c r="G3770">
        <f>IF(H3770="","",M3770)</f>
        <v/>
      </c>
      <c r="H3770">
        <f>IF(AND(I3770="",J3770="",K3770=""),"",IF(OR(NOT(ISNUMBER(O3770)),N(O3770)&lt;=0),"Bad amount",IF(NOT(ISNUMBER(N3770)),"Bad date",IF(P3770="","NAME NOT ON ROSTER","OK"))))</f>
        <v/>
      </c>
      <c r="I3770">
        <f>IF('Cash_Check'!A770="","",'Cash_Check'!A770)</f>
        <v/>
      </c>
      <c r="J3770">
        <f>IF('Cash_Check'!D770="","",'Cash_Check'!D770)</f>
        <v/>
      </c>
      <c r="K3770">
        <f>TRIM('Cash_Check'!B770)</f>
        <v/>
      </c>
      <c r="M3770">
        <f>IF(TRIM('Cash_Check'!E770)="","Cash/check",TRIM('Cash_Check'!E770))</f>
        <v/>
      </c>
      <c r="N3770">
        <f>IF(I3770="","",IF(ISNUMBER(I3770),INT(I3770),IFERROR(INT(DATEVALUE(I3770)),IFERROR(INT(VALUE(I3770)),"bad"))))</f>
        <v/>
      </c>
      <c r="O3770">
        <f>IF(J3770="","",IF(ISNUMBER(J3770),ROUND(J3770,2),IFERROR(ROUND(VALUE(SUBSTITUTE(SUBSTITUTE(SUBSTITUTE(J3770,"$",""),",","")," ","")),2),"bad")))</f>
        <v/>
      </c>
      <c r="P3770">
        <f>IF(K3770="","",IFERROR(MATCH(IF(ISNUMBER(FIND("#",K3770)),TRIM(MID(K3770,FIND("#",K3770)+1,20)),UPPER(K3770)),'Students'!$AD$2:$AD$701,0),""))</f>
        <v/>
      </c>
      <c r="R3770">
        <f>IF(P3770="","",INDEX('Students'!$AD$2:$AD$701,P3770))</f>
        <v/>
      </c>
      <c r="S3770">
        <f>IF(H3770="OK",O3770,0)</f>
        <v/>
      </c>
      <c r="T3770">
        <f>IF(H3770="OK",N3770,"")</f>
        <v/>
      </c>
      <c r="U3770">
        <f>TRIM('Cash_Check'!C770)</f>
        <v/>
      </c>
    </row>
    <row r="3771">
      <c r="A3771" s="62">
        <f>IF(H3771="","",IF(ISNUMBER(N3771),N3771,I3771))</f>
        <v/>
      </c>
      <c r="B3771">
        <f>IF(H3771="","",U3771)</f>
        <v/>
      </c>
      <c r="C3771">
        <f>IF(H3771="","",IF(P3771="",K3771,INDEX('Students'!$A$2:$A$701,P3771)))</f>
        <v/>
      </c>
      <c r="D3771">
        <f>IF(OR(H3771="",P3771=""),"",INDEX('Students'!$B$2:$B$701,P3771))</f>
        <v/>
      </c>
      <c r="E3771">
        <f>IF(OR(H3771="",P3771=""),"",INDEX('Students'!$C$2:$C$701,P3771))</f>
        <v/>
      </c>
      <c r="F3771" s="48">
        <f>IF(H3771="","",IF(ISNUMBER(O3771),O3771,J3771))</f>
        <v/>
      </c>
      <c r="G3771">
        <f>IF(H3771="","",M3771)</f>
        <v/>
      </c>
      <c r="H3771">
        <f>IF(AND(I3771="",J3771="",K3771=""),"",IF(OR(NOT(ISNUMBER(O3771)),N(O3771)&lt;=0),"Bad amount",IF(NOT(ISNUMBER(N3771)),"Bad date",IF(P3771="","NAME NOT ON ROSTER","OK"))))</f>
        <v/>
      </c>
      <c r="I3771">
        <f>IF('Cash_Check'!A771="","",'Cash_Check'!A771)</f>
        <v/>
      </c>
      <c r="J3771">
        <f>IF('Cash_Check'!D771="","",'Cash_Check'!D771)</f>
        <v/>
      </c>
      <c r="K3771">
        <f>TRIM('Cash_Check'!B771)</f>
        <v/>
      </c>
      <c r="M3771">
        <f>IF(TRIM('Cash_Check'!E771)="","Cash/check",TRIM('Cash_Check'!E771))</f>
        <v/>
      </c>
      <c r="N3771">
        <f>IF(I3771="","",IF(ISNUMBER(I3771),INT(I3771),IFERROR(INT(DATEVALUE(I3771)),IFERROR(INT(VALUE(I3771)),"bad"))))</f>
        <v/>
      </c>
      <c r="O3771">
        <f>IF(J3771="","",IF(ISNUMBER(J3771),ROUND(J3771,2),IFERROR(ROUND(VALUE(SUBSTITUTE(SUBSTITUTE(SUBSTITUTE(J3771,"$",""),",","")," ","")),2),"bad")))</f>
        <v/>
      </c>
      <c r="P3771">
        <f>IF(K3771="","",IFERROR(MATCH(IF(ISNUMBER(FIND("#",K3771)),TRIM(MID(K3771,FIND("#",K3771)+1,20)),UPPER(K3771)),'Students'!$AD$2:$AD$701,0),""))</f>
        <v/>
      </c>
      <c r="R3771">
        <f>IF(P3771="","",INDEX('Students'!$AD$2:$AD$701,P3771))</f>
        <v/>
      </c>
      <c r="S3771">
        <f>IF(H3771="OK",O3771,0)</f>
        <v/>
      </c>
      <c r="T3771">
        <f>IF(H3771="OK",N3771,"")</f>
        <v/>
      </c>
      <c r="U3771">
        <f>TRIM('Cash_Check'!C771)</f>
        <v/>
      </c>
    </row>
    <row r="3772">
      <c r="A3772" s="62">
        <f>IF(H3772="","",IF(ISNUMBER(N3772),N3772,I3772))</f>
        <v/>
      </c>
      <c r="B3772">
        <f>IF(H3772="","",U3772)</f>
        <v/>
      </c>
      <c r="C3772">
        <f>IF(H3772="","",IF(P3772="",K3772,INDEX('Students'!$A$2:$A$701,P3772)))</f>
        <v/>
      </c>
      <c r="D3772">
        <f>IF(OR(H3772="",P3772=""),"",INDEX('Students'!$B$2:$B$701,P3772))</f>
        <v/>
      </c>
      <c r="E3772">
        <f>IF(OR(H3772="",P3772=""),"",INDEX('Students'!$C$2:$C$701,P3772))</f>
        <v/>
      </c>
      <c r="F3772" s="48">
        <f>IF(H3772="","",IF(ISNUMBER(O3772),O3772,J3772))</f>
        <v/>
      </c>
      <c r="G3772">
        <f>IF(H3772="","",M3772)</f>
        <v/>
      </c>
      <c r="H3772">
        <f>IF(AND(I3772="",J3772="",K3772=""),"",IF(OR(NOT(ISNUMBER(O3772)),N(O3772)&lt;=0),"Bad amount",IF(NOT(ISNUMBER(N3772)),"Bad date",IF(P3772="","NAME NOT ON ROSTER","OK"))))</f>
        <v/>
      </c>
      <c r="I3772">
        <f>IF('Cash_Check'!A772="","",'Cash_Check'!A772)</f>
        <v/>
      </c>
      <c r="J3772">
        <f>IF('Cash_Check'!D772="","",'Cash_Check'!D772)</f>
        <v/>
      </c>
      <c r="K3772">
        <f>TRIM('Cash_Check'!B772)</f>
        <v/>
      </c>
      <c r="M3772">
        <f>IF(TRIM('Cash_Check'!E772)="","Cash/check",TRIM('Cash_Check'!E772))</f>
        <v/>
      </c>
      <c r="N3772">
        <f>IF(I3772="","",IF(ISNUMBER(I3772),INT(I3772),IFERROR(INT(DATEVALUE(I3772)),IFERROR(INT(VALUE(I3772)),"bad"))))</f>
        <v/>
      </c>
      <c r="O3772">
        <f>IF(J3772="","",IF(ISNUMBER(J3772),ROUND(J3772,2),IFERROR(ROUND(VALUE(SUBSTITUTE(SUBSTITUTE(SUBSTITUTE(J3772,"$",""),",","")," ","")),2),"bad")))</f>
        <v/>
      </c>
      <c r="P3772">
        <f>IF(K3772="","",IFERROR(MATCH(IF(ISNUMBER(FIND("#",K3772)),TRIM(MID(K3772,FIND("#",K3772)+1,20)),UPPER(K3772)),'Students'!$AD$2:$AD$701,0),""))</f>
        <v/>
      </c>
      <c r="R3772">
        <f>IF(P3772="","",INDEX('Students'!$AD$2:$AD$701,P3772))</f>
        <v/>
      </c>
      <c r="S3772">
        <f>IF(H3772="OK",O3772,0)</f>
        <v/>
      </c>
      <c r="T3772">
        <f>IF(H3772="OK",N3772,"")</f>
        <v/>
      </c>
      <c r="U3772">
        <f>TRIM('Cash_Check'!C772)</f>
        <v/>
      </c>
    </row>
    <row r="3773">
      <c r="A3773" s="62">
        <f>IF(H3773="","",IF(ISNUMBER(N3773),N3773,I3773))</f>
        <v/>
      </c>
      <c r="B3773">
        <f>IF(H3773="","",U3773)</f>
        <v/>
      </c>
      <c r="C3773">
        <f>IF(H3773="","",IF(P3773="",K3773,INDEX('Students'!$A$2:$A$701,P3773)))</f>
        <v/>
      </c>
      <c r="D3773">
        <f>IF(OR(H3773="",P3773=""),"",INDEX('Students'!$B$2:$B$701,P3773))</f>
        <v/>
      </c>
      <c r="E3773">
        <f>IF(OR(H3773="",P3773=""),"",INDEX('Students'!$C$2:$C$701,P3773))</f>
        <v/>
      </c>
      <c r="F3773" s="48">
        <f>IF(H3773="","",IF(ISNUMBER(O3773),O3773,J3773))</f>
        <v/>
      </c>
      <c r="G3773">
        <f>IF(H3773="","",M3773)</f>
        <v/>
      </c>
      <c r="H3773">
        <f>IF(AND(I3773="",J3773="",K3773=""),"",IF(OR(NOT(ISNUMBER(O3773)),N(O3773)&lt;=0),"Bad amount",IF(NOT(ISNUMBER(N3773)),"Bad date",IF(P3773="","NAME NOT ON ROSTER","OK"))))</f>
        <v/>
      </c>
      <c r="I3773">
        <f>IF('Cash_Check'!A773="","",'Cash_Check'!A773)</f>
        <v/>
      </c>
      <c r="J3773">
        <f>IF('Cash_Check'!D773="","",'Cash_Check'!D773)</f>
        <v/>
      </c>
      <c r="K3773">
        <f>TRIM('Cash_Check'!B773)</f>
        <v/>
      </c>
      <c r="M3773">
        <f>IF(TRIM('Cash_Check'!E773)="","Cash/check",TRIM('Cash_Check'!E773))</f>
        <v/>
      </c>
      <c r="N3773">
        <f>IF(I3773="","",IF(ISNUMBER(I3773),INT(I3773),IFERROR(INT(DATEVALUE(I3773)),IFERROR(INT(VALUE(I3773)),"bad"))))</f>
        <v/>
      </c>
      <c r="O3773">
        <f>IF(J3773="","",IF(ISNUMBER(J3773),ROUND(J3773,2),IFERROR(ROUND(VALUE(SUBSTITUTE(SUBSTITUTE(SUBSTITUTE(J3773,"$",""),",","")," ","")),2),"bad")))</f>
        <v/>
      </c>
      <c r="P3773">
        <f>IF(K3773="","",IFERROR(MATCH(IF(ISNUMBER(FIND("#",K3773)),TRIM(MID(K3773,FIND("#",K3773)+1,20)),UPPER(K3773)),'Students'!$AD$2:$AD$701,0),""))</f>
        <v/>
      </c>
      <c r="R3773">
        <f>IF(P3773="","",INDEX('Students'!$AD$2:$AD$701,P3773))</f>
        <v/>
      </c>
      <c r="S3773">
        <f>IF(H3773="OK",O3773,0)</f>
        <v/>
      </c>
      <c r="T3773">
        <f>IF(H3773="OK",N3773,"")</f>
        <v/>
      </c>
      <c r="U3773">
        <f>TRIM('Cash_Check'!C773)</f>
        <v/>
      </c>
    </row>
    <row r="3774">
      <c r="A3774" s="62">
        <f>IF(H3774="","",IF(ISNUMBER(N3774),N3774,I3774))</f>
        <v/>
      </c>
      <c r="B3774">
        <f>IF(H3774="","",U3774)</f>
        <v/>
      </c>
      <c r="C3774">
        <f>IF(H3774="","",IF(P3774="",K3774,INDEX('Students'!$A$2:$A$701,P3774)))</f>
        <v/>
      </c>
      <c r="D3774">
        <f>IF(OR(H3774="",P3774=""),"",INDEX('Students'!$B$2:$B$701,P3774))</f>
        <v/>
      </c>
      <c r="E3774">
        <f>IF(OR(H3774="",P3774=""),"",INDEX('Students'!$C$2:$C$701,P3774))</f>
        <v/>
      </c>
      <c r="F3774" s="48">
        <f>IF(H3774="","",IF(ISNUMBER(O3774),O3774,J3774))</f>
        <v/>
      </c>
      <c r="G3774">
        <f>IF(H3774="","",M3774)</f>
        <v/>
      </c>
      <c r="H3774">
        <f>IF(AND(I3774="",J3774="",K3774=""),"",IF(OR(NOT(ISNUMBER(O3774)),N(O3774)&lt;=0),"Bad amount",IF(NOT(ISNUMBER(N3774)),"Bad date",IF(P3774="","NAME NOT ON ROSTER","OK"))))</f>
        <v/>
      </c>
      <c r="I3774">
        <f>IF('Cash_Check'!A774="","",'Cash_Check'!A774)</f>
        <v/>
      </c>
      <c r="J3774">
        <f>IF('Cash_Check'!D774="","",'Cash_Check'!D774)</f>
        <v/>
      </c>
      <c r="K3774">
        <f>TRIM('Cash_Check'!B774)</f>
        <v/>
      </c>
      <c r="M3774">
        <f>IF(TRIM('Cash_Check'!E774)="","Cash/check",TRIM('Cash_Check'!E774))</f>
        <v/>
      </c>
      <c r="N3774">
        <f>IF(I3774="","",IF(ISNUMBER(I3774),INT(I3774),IFERROR(INT(DATEVALUE(I3774)),IFERROR(INT(VALUE(I3774)),"bad"))))</f>
        <v/>
      </c>
      <c r="O3774">
        <f>IF(J3774="","",IF(ISNUMBER(J3774),ROUND(J3774,2),IFERROR(ROUND(VALUE(SUBSTITUTE(SUBSTITUTE(SUBSTITUTE(J3774,"$",""),",","")," ","")),2),"bad")))</f>
        <v/>
      </c>
      <c r="P3774">
        <f>IF(K3774="","",IFERROR(MATCH(IF(ISNUMBER(FIND("#",K3774)),TRIM(MID(K3774,FIND("#",K3774)+1,20)),UPPER(K3774)),'Students'!$AD$2:$AD$701,0),""))</f>
        <v/>
      </c>
      <c r="R3774">
        <f>IF(P3774="","",INDEX('Students'!$AD$2:$AD$701,P3774))</f>
        <v/>
      </c>
      <c r="S3774">
        <f>IF(H3774="OK",O3774,0)</f>
        <v/>
      </c>
      <c r="T3774">
        <f>IF(H3774="OK",N3774,"")</f>
        <v/>
      </c>
      <c r="U3774">
        <f>TRIM('Cash_Check'!C774)</f>
        <v/>
      </c>
    </row>
    <row r="3775">
      <c r="A3775" s="62">
        <f>IF(H3775="","",IF(ISNUMBER(N3775),N3775,I3775))</f>
        <v/>
      </c>
      <c r="B3775">
        <f>IF(H3775="","",U3775)</f>
        <v/>
      </c>
      <c r="C3775">
        <f>IF(H3775="","",IF(P3775="",K3775,INDEX('Students'!$A$2:$A$701,P3775)))</f>
        <v/>
      </c>
      <c r="D3775">
        <f>IF(OR(H3775="",P3775=""),"",INDEX('Students'!$B$2:$B$701,P3775))</f>
        <v/>
      </c>
      <c r="E3775">
        <f>IF(OR(H3775="",P3775=""),"",INDEX('Students'!$C$2:$C$701,P3775))</f>
        <v/>
      </c>
      <c r="F3775" s="48">
        <f>IF(H3775="","",IF(ISNUMBER(O3775),O3775,J3775))</f>
        <v/>
      </c>
      <c r="G3775">
        <f>IF(H3775="","",M3775)</f>
        <v/>
      </c>
      <c r="H3775">
        <f>IF(AND(I3775="",J3775="",K3775=""),"",IF(OR(NOT(ISNUMBER(O3775)),N(O3775)&lt;=0),"Bad amount",IF(NOT(ISNUMBER(N3775)),"Bad date",IF(P3775="","NAME NOT ON ROSTER","OK"))))</f>
        <v/>
      </c>
      <c r="I3775">
        <f>IF('Cash_Check'!A775="","",'Cash_Check'!A775)</f>
        <v/>
      </c>
      <c r="J3775">
        <f>IF('Cash_Check'!D775="","",'Cash_Check'!D775)</f>
        <v/>
      </c>
      <c r="K3775">
        <f>TRIM('Cash_Check'!B775)</f>
        <v/>
      </c>
      <c r="M3775">
        <f>IF(TRIM('Cash_Check'!E775)="","Cash/check",TRIM('Cash_Check'!E775))</f>
        <v/>
      </c>
      <c r="N3775">
        <f>IF(I3775="","",IF(ISNUMBER(I3775),INT(I3775),IFERROR(INT(DATEVALUE(I3775)),IFERROR(INT(VALUE(I3775)),"bad"))))</f>
        <v/>
      </c>
      <c r="O3775">
        <f>IF(J3775="","",IF(ISNUMBER(J3775),ROUND(J3775,2),IFERROR(ROUND(VALUE(SUBSTITUTE(SUBSTITUTE(SUBSTITUTE(J3775,"$",""),",","")," ","")),2),"bad")))</f>
        <v/>
      </c>
      <c r="P3775">
        <f>IF(K3775="","",IFERROR(MATCH(IF(ISNUMBER(FIND("#",K3775)),TRIM(MID(K3775,FIND("#",K3775)+1,20)),UPPER(K3775)),'Students'!$AD$2:$AD$701,0),""))</f>
        <v/>
      </c>
      <c r="R3775">
        <f>IF(P3775="","",INDEX('Students'!$AD$2:$AD$701,P3775))</f>
        <v/>
      </c>
      <c r="S3775">
        <f>IF(H3775="OK",O3775,0)</f>
        <v/>
      </c>
      <c r="T3775">
        <f>IF(H3775="OK",N3775,"")</f>
        <v/>
      </c>
      <c r="U3775">
        <f>TRIM('Cash_Check'!C775)</f>
        <v/>
      </c>
    </row>
    <row r="3776">
      <c r="A3776" s="62">
        <f>IF(H3776="","",IF(ISNUMBER(N3776),N3776,I3776))</f>
        <v/>
      </c>
      <c r="B3776">
        <f>IF(H3776="","",U3776)</f>
        <v/>
      </c>
      <c r="C3776">
        <f>IF(H3776="","",IF(P3776="",K3776,INDEX('Students'!$A$2:$A$701,P3776)))</f>
        <v/>
      </c>
      <c r="D3776">
        <f>IF(OR(H3776="",P3776=""),"",INDEX('Students'!$B$2:$B$701,P3776))</f>
        <v/>
      </c>
      <c r="E3776">
        <f>IF(OR(H3776="",P3776=""),"",INDEX('Students'!$C$2:$C$701,P3776))</f>
        <v/>
      </c>
      <c r="F3776" s="48">
        <f>IF(H3776="","",IF(ISNUMBER(O3776),O3776,J3776))</f>
        <v/>
      </c>
      <c r="G3776">
        <f>IF(H3776="","",M3776)</f>
        <v/>
      </c>
      <c r="H3776">
        <f>IF(AND(I3776="",J3776="",K3776=""),"",IF(OR(NOT(ISNUMBER(O3776)),N(O3776)&lt;=0),"Bad amount",IF(NOT(ISNUMBER(N3776)),"Bad date",IF(P3776="","NAME NOT ON ROSTER","OK"))))</f>
        <v/>
      </c>
      <c r="I3776">
        <f>IF('Cash_Check'!A776="","",'Cash_Check'!A776)</f>
        <v/>
      </c>
      <c r="J3776">
        <f>IF('Cash_Check'!D776="","",'Cash_Check'!D776)</f>
        <v/>
      </c>
      <c r="K3776">
        <f>TRIM('Cash_Check'!B776)</f>
        <v/>
      </c>
      <c r="M3776">
        <f>IF(TRIM('Cash_Check'!E776)="","Cash/check",TRIM('Cash_Check'!E776))</f>
        <v/>
      </c>
      <c r="N3776">
        <f>IF(I3776="","",IF(ISNUMBER(I3776),INT(I3776),IFERROR(INT(DATEVALUE(I3776)),IFERROR(INT(VALUE(I3776)),"bad"))))</f>
        <v/>
      </c>
      <c r="O3776">
        <f>IF(J3776="","",IF(ISNUMBER(J3776),ROUND(J3776,2),IFERROR(ROUND(VALUE(SUBSTITUTE(SUBSTITUTE(SUBSTITUTE(J3776,"$",""),",","")," ","")),2),"bad")))</f>
        <v/>
      </c>
      <c r="P3776">
        <f>IF(K3776="","",IFERROR(MATCH(IF(ISNUMBER(FIND("#",K3776)),TRIM(MID(K3776,FIND("#",K3776)+1,20)),UPPER(K3776)),'Students'!$AD$2:$AD$701,0),""))</f>
        <v/>
      </c>
      <c r="R3776">
        <f>IF(P3776="","",INDEX('Students'!$AD$2:$AD$701,P3776))</f>
        <v/>
      </c>
      <c r="S3776">
        <f>IF(H3776="OK",O3776,0)</f>
        <v/>
      </c>
      <c r="T3776">
        <f>IF(H3776="OK",N3776,"")</f>
        <v/>
      </c>
      <c r="U3776">
        <f>TRIM('Cash_Check'!C776)</f>
        <v/>
      </c>
    </row>
    <row r="3777">
      <c r="A3777" s="62">
        <f>IF(H3777="","",IF(ISNUMBER(N3777),N3777,I3777))</f>
        <v/>
      </c>
      <c r="B3777">
        <f>IF(H3777="","",U3777)</f>
        <v/>
      </c>
      <c r="C3777">
        <f>IF(H3777="","",IF(P3777="",K3777,INDEX('Students'!$A$2:$A$701,P3777)))</f>
        <v/>
      </c>
      <c r="D3777">
        <f>IF(OR(H3777="",P3777=""),"",INDEX('Students'!$B$2:$B$701,P3777))</f>
        <v/>
      </c>
      <c r="E3777">
        <f>IF(OR(H3777="",P3777=""),"",INDEX('Students'!$C$2:$C$701,P3777))</f>
        <v/>
      </c>
      <c r="F3777" s="48">
        <f>IF(H3777="","",IF(ISNUMBER(O3777),O3777,J3777))</f>
        <v/>
      </c>
      <c r="G3777">
        <f>IF(H3777="","",M3777)</f>
        <v/>
      </c>
      <c r="H3777">
        <f>IF(AND(I3777="",J3777="",K3777=""),"",IF(OR(NOT(ISNUMBER(O3777)),N(O3777)&lt;=0),"Bad amount",IF(NOT(ISNUMBER(N3777)),"Bad date",IF(P3777="","NAME NOT ON ROSTER","OK"))))</f>
        <v/>
      </c>
      <c r="I3777">
        <f>IF('Cash_Check'!A777="","",'Cash_Check'!A777)</f>
        <v/>
      </c>
      <c r="J3777">
        <f>IF('Cash_Check'!D777="","",'Cash_Check'!D777)</f>
        <v/>
      </c>
      <c r="K3777">
        <f>TRIM('Cash_Check'!B777)</f>
        <v/>
      </c>
      <c r="M3777">
        <f>IF(TRIM('Cash_Check'!E777)="","Cash/check",TRIM('Cash_Check'!E777))</f>
        <v/>
      </c>
      <c r="N3777">
        <f>IF(I3777="","",IF(ISNUMBER(I3777),INT(I3777),IFERROR(INT(DATEVALUE(I3777)),IFERROR(INT(VALUE(I3777)),"bad"))))</f>
        <v/>
      </c>
      <c r="O3777">
        <f>IF(J3777="","",IF(ISNUMBER(J3777),ROUND(J3777,2),IFERROR(ROUND(VALUE(SUBSTITUTE(SUBSTITUTE(SUBSTITUTE(J3777,"$",""),",","")," ","")),2),"bad")))</f>
        <v/>
      </c>
      <c r="P3777">
        <f>IF(K3777="","",IFERROR(MATCH(IF(ISNUMBER(FIND("#",K3777)),TRIM(MID(K3777,FIND("#",K3777)+1,20)),UPPER(K3777)),'Students'!$AD$2:$AD$701,0),""))</f>
        <v/>
      </c>
      <c r="R3777">
        <f>IF(P3777="","",INDEX('Students'!$AD$2:$AD$701,P3777))</f>
        <v/>
      </c>
      <c r="S3777">
        <f>IF(H3777="OK",O3777,0)</f>
        <v/>
      </c>
      <c r="T3777">
        <f>IF(H3777="OK",N3777,"")</f>
        <v/>
      </c>
      <c r="U3777">
        <f>TRIM('Cash_Check'!C777)</f>
        <v/>
      </c>
    </row>
    <row r="3778">
      <c r="A3778" s="62">
        <f>IF(H3778="","",IF(ISNUMBER(N3778),N3778,I3778))</f>
        <v/>
      </c>
      <c r="B3778">
        <f>IF(H3778="","",U3778)</f>
        <v/>
      </c>
      <c r="C3778">
        <f>IF(H3778="","",IF(P3778="",K3778,INDEX('Students'!$A$2:$A$701,P3778)))</f>
        <v/>
      </c>
      <c r="D3778">
        <f>IF(OR(H3778="",P3778=""),"",INDEX('Students'!$B$2:$B$701,P3778))</f>
        <v/>
      </c>
      <c r="E3778">
        <f>IF(OR(H3778="",P3778=""),"",INDEX('Students'!$C$2:$C$701,P3778))</f>
        <v/>
      </c>
      <c r="F3778" s="48">
        <f>IF(H3778="","",IF(ISNUMBER(O3778),O3778,J3778))</f>
        <v/>
      </c>
      <c r="G3778">
        <f>IF(H3778="","",M3778)</f>
        <v/>
      </c>
      <c r="H3778">
        <f>IF(AND(I3778="",J3778="",K3778=""),"",IF(OR(NOT(ISNUMBER(O3778)),N(O3778)&lt;=0),"Bad amount",IF(NOT(ISNUMBER(N3778)),"Bad date",IF(P3778="","NAME NOT ON ROSTER","OK"))))</f>
        <v/>
      </c>
      <c r="I3778">
        <f>IF('Cash_Check'!A778="","",'Cash_Check'!A778)</f>
        <v/>
      </c>
      <c r="J3778">
        <f>IF('Cash_Check'!D778="","",'Cash_Check'!D778)</f>
        <v/>
      </c>
      <c r="K3778">
        <f>TRIM('Cash_Check'!B778)</f>
        <v/>
      </c>
      <c r="M3778">
        <f>IF(TRIM('Cash_Check'!E778)="","Cash/check",TRIM('Cash_Check'!E778))</f>
        <v/>
      </c>
      <c r="N3778">
        <f>IF(I3778="","",IF(ISNUMBER(I3778),INT(I3778),IFERROR(INT(DATEVALUE(I3778)),IFERROR(INT(VALUE(I3778)),"bad"))))</f>
        <v/>
      </c>
      <c r="O3778">
        <f>IF(J3778="","",IF(ISNUMBER(J3778),ROUND(J3778,2),IFERROR(ROUND(VALUE(SUBSTITUTE(SUBSTITUTE(SUBSTITUTE(J3778,"$",""),",","")," ","")),2),"bad")))</f>
        <v/>
      </c>
      <c r="P3778">
        <f>IF(K3778="","",IFERROR(MATCH(IF(ISNUMBER(FIND("#",K3778)),TRIM(MID(K3778,FIND("#",K3778)+1,20)),UPPER(K3778)),'Students'!$AD$2:$AD$701,0),""))</f>
        <v/>
      </c>
      <c r="R3778">
        <f>IF(P3778="","",INDEX('Students'!$AD$2:$AD$701,P3778))</f>
        <v/>
      </c>
      <c r="S3778">
        <f>IF(H3778="OK",O3778,0)</f>
        <v/>
      </c>
      <c r="T3778">
        <f>IF(H3778="OK",N3778,"")</f>
        <v/>
      </c>
      <c r="U3778">
        <f>TRIM('Cash_Check'!C778)</f>
        <v/>
      </c>
    </row>
    <row r="3779">
      <c r="A3779" s="62">
        <f>IF(H3779="","",IF(ISNUMBER(N3779),N3779,I3779))</f>
        <v/>
      </c>
      <c r="B3779">
        <f>IF(H3779="","",U3779)</f>
        <v/>
      </c>
      <c r="C3779">
        <f>IF(H3779="","",IF(P3779="",K3779,INDEX('Students'!$A$2:$A$701,P3779)))</f>
        <v/>
      </c>
      <c r="D3779">
        <f>IF(OR(H3779="",P3779=""),"",INDEX('Students'!$B$2:$B$701,P3779))</f>
        <v/>
      </c>
      <c r="E3779">
        <f>IF(OR(H3779="",P3779=""),"",INDEX('Students'!$C$2:$C$701,P3779))</f>
        <v/>
      </c>
      <c r="F3779" s="48">
        <f>IF(H3779="","",IF(ISNUMBER(O3779),O3779,J3779))</f>
        <v/>
      </c>
      <c r="G3779">
        <f>IF(H3779="","",M3779)</f>
        <v/>
      </c>
      <c r="H3779">
        <f>IF(AND(I3779="",J3779="",K3779=""),"",IF(OR(NOT(ISNUMBER(O3779)),N(O3779)&lt;=0),"Bad amount",IF(NOT(ISNUMBER(N3779)),"Bad date",IF(P3779="","NAME NOT ON ROSTER","OK"))))</f>
        <v/>
      </c>
      <c r="I3779">
        <f>IF('Cash_Check'!A779="","",'Cash_Check'!A779)</f>
        <v/>
      </c>
      <c r="J3779">
        <f>IF('Cash_Check'!D779="","",'Cash_Check'!D779)</f>
        <v/>
      </c>
      <c r="K3779">
        <f>TRIM('Cash_Check'!B779)</f>
        <v/>
      </c>
      <c r="M3779">
        <f>IF(TRIM('Cash_Check'!E779)="","Cash/check",TRIM('Cash_Check'!E779))</f>
        <v/>
      </c>
      <c r="N3779">
        <f>IF(I3779="","",IF(ISNUMBER(I3779),INT(I3779),IFERROR(INT(DATEVALUE(I3779)),IFERROR(INT(VALUE(I3779)),"bad"))))</f>
        <v/>
      </c>
      <c r="O3779">
        <f>IF(J3779="","",IF(ISNUMBER(J3779),ROUND(J3779,2),IFERROR(ROUND(VALUE(SUBSTITUTE(SUBSTITUTE(SUBSTITUTE(J3779,"$",""),",","")," ","")),2),"bad")))</f>
        <v/>
      </c>
      <c r="P3779">
        <f>IF(K3779="","",IFERROR(MATCH(IF(ISNUMBER(FIND("#",K3779)),TRIM(MID(K3779,FIND("#",K3779)+1,20)),UPPER(K3779)),'Students'!$AD$2:$AD$701,0),""))</f>
        <v/>
      </c>
      <c r="R3779">
        <f>IF(P3779="","",INDEX('Students'!$AD$2:$AD$701,P3779))</f>
        <v/>
      </c>
      <c r="S3779">
        <f>IF(H3779="OK",O3779,0)</f>
        <v/>
      </c>
      <c r="T3779">
        <f>IF(H3779="OK",N3779,"")</f>
        <v/>
      </c>
      <c r="U3779">
        <f>TRIM('Cash_Check'!C779)</f>
        <v/>
      </c>
    </row>
    <row r="3780">
      <c r="A3780" s="62">
        <f>IF(H3780="","",IF(ISNUMBER(N3780),N3780,I3780))</f>
        <v/>
      </c>
      <c r="B3780">
        <f>IF(H3780="","",U3780)</f>
        <v/>
      </c>
      <c r="C3780">
        <f>IF(H3780="","",IF(P3780="",K3780,INDEX('Students'!$A$2:$A$701,P3780)))</f>
        <v/>
      </c>
      <c r="D3780">
        <f>IF(OR(H3780="",P3780=""),"",INDEX('Students'!$B$2:$B$701,P3780))</f>
        <v/>
      </c>
      <c r="E3780">
        <f>IF(OR(H3780="",P3780=""),"",INDEX('Students'!$C$2:$C$701,P3780))</f>
        <v/>
      </c>
      <c r="F3780" s="48">
        <f>IF(H3780="","",IF(ISNUMBER(O3780),O3780,J3780))</f>
        <v/>
      </c>
      <c r="G3780">
        <f>IF(H3780="","",M3780)</f>
        <v/>
      </c>
      <c r="H3780">
        <f>IF(AND(I3780="",J3780="",K3780=""),"",IF(OR(NOT(ISNUMBER(O3780)),N(O3780)&lt;=0),"Bad amount",IF(NOT(ISNUMBER(N3780)),"Bad date",IF(P3780="","NAME NOT ON ROSTER","OK"))))</f>
        <v/>
      </c>
      <c r="I3780">
        <f>IF('Cash_Check'!A780="","",'Cash_Check'!A780)</f>
        <v/>
      </c>
      <c r="J3780">
        <f>IF('Cash_Check'!D780="","",'Cash_Check'!D780)</f>
        <v/>
      </c>
      <c r="K3780">
        <f>TRIM('Cash_Check'!B780)</f>
        <v/>
      </c>
      <c r="M3780">
        <f>IF(TRIM('Cash_Check'!E780)="","Cash/check",TRIM('Cash_Check'!E780))</f>
        <v/>
      </c>
      <c r="N3780">
        <f>IF(I3780="","",IF(ISNUMBER(I3780),INT(I3780),IFERROR(INT(DATEVALUE(I3780)),IFERROR(INT(VALUE(I3780)),"bad"))))</f>
        <v/>
      </c>
      <c r="O3780">
        <f>IF(J3780="","",IF(ISNUMBER(J3780),ROUND(J3780,2),IFERROR(ROUND(VALUE(SUBSTITUTE(SUBSTITUTE(SUBSTITUTE(J3780,"$",""),",","")," ","")),2),"bad")))</f>
        <v/>
      </c>
      <c r="P3780">
        <f>IF(K3780="","",IFERROR(MATCH(IF(ISNUMBER(FIND("#",K3780)),TRIM(MID(K3780,FIND("#",K3780)+1,20)),UPPER(K3780)),'Students'!$AD$2:$AD$701,0),""))</f>
        <v/>
      </c>
      <c r="R3780">
        <f>IF(P3780="","",INDEX('Students'!$AD$2:$AD$701,P3780))</f>
        <v/>
      </c>
      <c r="S3780">
        <f>IF(H3780="OK",O3780,0)</f>
        <v/>
      </c>
      <c r="T3780">
        <f>IF(H3780="OK",N3780,"")</f>
        <v/>
      </c>
      <c r="U3780">
        <f>TRIM('Cash_Check'!C780)</f>
        <v/>
      </c>
    </row>
    <row r="3781">
      <c r="A3781" s="62">
        <f>IF(H3781="","",IF(ISNUMBER(N3781),N3781,I3781))</f>
        <v/>
      </c>
      <c r="B3781">
        <f>IF(H3781="","",U3781)</f>
        <v/>
      </c>
      <c r="C3781">
        <f>IF(H3781="","",IF(P3781="",K3781,INDEX('Students'!$A$2:$A$701,P3781)))</f>
        <v/>
      </c>
      <c r="D3781">
        <f>IF(OR(H3781="",P3781=""),"",INDEX('Students'!$B$2:$B$701,P3781))</f>
        <v/>
      </c>
      <c r="E3781">
        <f>IF(OR(H3781="",P3781=""),"",INDEX('Students'!$C$2:$C$701,P3781))</f>
        <v/>
      </c>
      <c r="F3781" s="48">
        <f>IF(H3781="","",IF(ISNUMBER(O3781),O3781,J3781))</f>
        <v/>
      </c>
      <c r="G3781">
        <f>IF(H3781="","",M3781)</f>
        <v/>
      </c>
      <c r="H3781">
        <f>IF(AND(I3781="",J3781="",K3781=""),"",IF(OR(NOT(ISNUMBER(O3781)),N(O3781)&lt;=0),"Bad amount",IF(NOT(ISNUMBER(N3781)),"Bad date",IF(P3781="","NAME NOT ON ROSTER","OK"))))</f>
        <v/>
      </c>
      <c r="I3781">
        <f>IF('Cash_Check'!A781="","",'Cash_Check'!A781)</f>
        <v/>
      </c>
      <c r="J3781">
        <f>IF('Cash_Check'!D781="","",'Cash_Check'!D781)</f>
        <v/>
      </c>
      <c r="K3781">
        <f>TRIM('Cash_Check'!B781)</f>
        <v/>
      </c>
      <c r="M3781">
        <f>IF(TRIM('Cash_Check'!E781)="","Cash/check",TRIM('Cash_Check'!E781))</f>
        <v/>
      </c>
      <c r="N3781">
        <f>IF(I3781="","",IF(ISNUMBER(I3781),INT(I3781),IFERROR(INT(DATEVALUE(I3781)),IFERROR(INT(VALUE(I3781)),"bad"))))</f>
        <v/>
      </c>
      <c r="O3781">
        <f>IF(J3781="","",IF(ISNUMBER(J3781),ROUND(J3781,2),IFERROR(ROUND(VALUE(SUBSTITUTE(SUBSTITUTE(SUBSTITUTE(J3781,"$",""),",","")," ","")),2),"bad")))</f>
        <v/>
      </c>
      <c r="P3781">
        <f>IF(K3781="","",IFERROR(MATCH(IF(ISNUMBER(FIND("#",K3781)),TRIM(MID(K3781,FIND("#",K3781)+1,20)),UPPER(K3781)),'Students'!$AD$2:$AD$701,0),""))</f>
        <v/>
      </c>
      <c r="R3781">
        <f>IF(P3781="","",INDEX('Students'!$AD$2:$AD$701,P3781))</f>
        <v/>
      </c>
      <c r="S3781">
        <f>IF(H3781="OK",O3781,0)</f>
        <v/>
      </c>
      <c r="T3781">
        <f>IF(H3781="OK",N3781,"")</f>
        <v/>
      </c>
      <c r="U3781">
        <f>TRIM('Cash_Check'!C781)</f>
        <v/>
      </c>
    </row>
    <row r="3782">
      <c r="A3782" s="62">
        <f>IF(H3782="","",IF(ISNUMBER(N3782),N3782,I3782))</f>
        <v/>
      </c>
      <c r="B3782">
        <f>IF(H3782="","",U3782)</f>
        <v/>
      </c>
      <c r="C3782">
        <f>IF(H3782="","",IF(P3782="",K3782,INDEX('Students'!$A$2:$A$701,P3782)))</f>
        <v/>
      </c>
      <c r="D3782">
        <f>IF(OR(H3782="",P3782=""),"",INDEX('Students'!$B$2:$B$701,P3782))</f>
        <v/>
      </c>
      <c r="E3782">
        <f>IF(OR(H3782="",P3782=""),"",INDEX('Students'!$C$2:$C$701,P3782))</f>
        <v/>
      </c>
      <c r="F3782" s="48">
        <f>IF(H3782="","",IF(ISNUMBER(O3782),O3782,J3782))</f>
        <v/>
      </c>
      <c r="G3782">
        <f>IF(H3782="","",M3782)</f>
        <v/>
      </c>
      <c r="H3782">
        <f>IF(AND(I3782="",J3782="",K3782=""),"",IF(OR(NOT(ISNUMBER(O3782)),N(O3782)&lt;=0),"Bad amount",IF(NOT(ISNUMBER(N3782)),"Bad date",IF(P3782="","NAME NOT ON ROSTER","OK"))))</f>
        <v/>
      </c>
      <c r="I3782">
        <f>IF('Cash_Check'!A782="","",'Cash_Check'!A782)</f>
        <v/>
      </c>
      <c r="J3782">
        <f>IF('Cash_Check'!D782="","",'Cash_Check'!D782)</f>
        <v/>
      </c>
      <c r="K3782">
        <f>TRIM('Cash_Check'!B782)</f>
        <v/>
      </c>
      <c r="M3782">
        <f>IF(TRIM('Cash_Check'!E782)="","Cash/check",TRIM('Cash_Check'!E782))</f>
        <v/>
      </c>
      <c r="N3782">
        <f>IF(I3782="","",IF(ISNUMBER(I3782),INT(I3782),IFERROR(INT(DATEVALUE(I3782)),IFERROR(INT(VALUE(I3782)),"bad"))))</f>
        <v/>
      </c>
      <c r="O3782">
        <f>IF(J3782="","",IF(ISNUMBER(J3782),ROUND(J3782,2),IFERROR(ROUND(VALUE(SUBSTITUTE(SUBSTITUTE(SUBSTITUTE(J3782,"$",""),",","")," ","")),2),"bad")))</f>
        <v/>
      </c>
      <c r="P3782">
        <f>IF(K3782="","",IFERROR(MATCH(IF(ISNUMBER(FIND("#",K3782)),TRIM(MID(K3782,FIND("#",K3782)+1,20)),UPPER(K3782)),'Students'!$AD$2:$AD$701,0),""))</f>
        <v/>
      </c>
      <c r="R3782">
        <f>IF(P3782="","",INDEX('Students'!$AD$2:$AD$701,P3782))</f>
        <v/>
      </c>
      <c r="S3782">
        <f>IF(H3782="OK",O3782,0)</f>
        <v/>
      </c>
      <c r="T3782">
        <f>IF(H3782="OK",N3782,"")</f>
        <v/>
      </c>
      <c r="U3782">
        <f>TRIM('Cash_Check'!C782)</f>
        <v/>
      </c>
    </row>
    <row r="3783">
      <c r="A3783" s="62">
        <f>IF(H3783="","",IF(ISNUMBER(N3783),N3783,I3783))</f>
        <v/>
      </c>
      <c r="B3783">
        <f>IF(H3783="","",U3783)</f>
        <v/>
      </c>
      <c r="C3783">
        <f>IF(H3783="","",IF(P3783="",K3783,INDEX('Students'!$A$2:$A$701,P3783)))</f>
        <v/>
      </c>
      <c r="D3783">
        <f>IF(OR(H3783="",P3783=""),"",INDEX('Students'!$B$2:$B$701,P3783))</f>
        <v/>
      </c>
      <c r="E3783">
        <f>IF(OR(H3783="",P3783=""),"",INDEX('Students'!$C$2:$C$701,P3783))</f>
        <v/>
      </c>
      <c r="F3783" s="48">
        <f>IF(H3783="","",IF(ISNUMBER(O3783),O3783,J3783))</f>
        <v/>
      </c>
      <c r="G3783">
        <f>IF(H3783="","",M3783)</f>
        <v/>
      </c>
      <c r="H3783">
        <f>IF(AND(I3783="",J3783="",K3783=""),"",IF(OR(NOT(ISNUMBER(O3783)),N(O3783)&lt;=0),"Bad amount",IF(NOT(ISNUMBER(N3783)),"Bad date",IF(P3783="","NAME NOT ON ROSTER","OK"))))</f>
        <v/>
      </c>
      <c r="I3783">
        <f>IF('Cash_Check'!A783="","",'Cash_Check'!A783)</f>
        <v/>
      </c>
      <c r="J3783">
        <f>IF('Cash_Check'!D783="","",'Cash_Check'!D783)</f>
        <v/>
      </c>
      <c r="K3783">
        <f>TRIM('Cash_Check'!B783)</f>
        <v/>
      </c>
      <c r="M3783">
        <f>IF(TRIM('Cash_Check'!E783)="","Cash/check",TRIM('Cash_Check'!E783))</f>
        <v/>
      </c>
      <c r="N3783">
        <f>IF(I3783="","",IF(ISNUMBER(I3783),INT(I3783),IFERROR(INT(DATEVALUE(I3783)),IFERROR(INT(VALUE(I3783)),"bad"))))</f>
        <v/>
      </c>
      <c r="O3783">
        <f>IF(J3783="","",IF(ISNUMBER(J3783),ROUND(J3783,2),IFERROR(ROUND(VALUE(SUBSTITUTE(SUBSTITUTE(SUBSTITUTE(J3783,"$",""),",","")," ","")),2),"bad")))</f>
        <v/>
      </c>
      <c r="P3783">
        <f>IF(K3783="","",IFERROR(MATCH(IF(ISNUMBER(FIND("#",K3783)),TRIM(MID(K3783,FIND("#",K3783)+1,20)),UPPER(K3783)),'Students'!$AD$2:$AD$701,0),""))</f>
        <v/>
      </c>
      <c r="R3783">
        <f>IF(P3783="","",INDEX('Students'!$AD$2:$AD$701,P3783))</f>
        <v/>
      </c>
      <c r="S3783">
        <f>IF(H3783="OK",O3783,0)</f>
        <v/>
      </c>
      <c r="T3783">
        <f>IF(H3783="OK",N3783,"")</f>
        <v/>
      </c>
      <c r="U3783">
        <f>TRIM('Cash_Check'!C783)</f>
        <v/>
      </c>
    </row>
    <row r="3784">
      <c r="A3784" s="62">
        <f>IF(H3784="","",IF(ISNUMBER(N3784),N3784,I3784))</f>
        <v/>
      </c>
      <c r="B3784">
        <f>IF(H3784="","",U3784)</f>
        <v/>
      </c>
      <c r="C3784">
        <f>IF(H3784="","",IF(P3784="",K3784,INDEX('Students'!$A$2:$A$701,P3784)))</f>
        <v/>
      </c>
      <c r="D3784">
        <f>IF(OR(H3784="",P3784=""),"",INDEX('Students'!$B$2:$B$701,P3784))</f>
        <v/>
      </c>
      <c r="E3784">
        <f>IF(OR(H3784="",P3784=""),"",INDEX('Students'!$C$2:$C$701,P3784))</f>
        <v/>
      </c>
      <c r="F3784" s="48">
        <f>IF(H3784="","",IF(ISNUMBER(O3784),O3784,J3784))</f>
        <v/>
      </c>
      <c r="G3784">
        <f>IF(H3784="","",M3784)</f>
        <v/>
      </c>
      <c r="H3784">
        <f>IF(AND(I3784="",J3784="",K3784=""),"",IF(OR(NOT(ISNUMBER(O3784)),N(O3784)&lt;=0),"Bad amount",IF(NOT(ISNUMBER(N3784)),"Bad date",IF(P3784="","NAME NOT ON ROSTER","OK"))))</f>
        <v/>
      </c>
      <c r="I3784">
        <f>IF('Cash_Check'!A784="","",'Cash_Check'!A784)</f>
        <v/>
      </c>
      <c r="J3784">
        <f>IF('Cash_Check'!D784="","",'Cash_Check'!D784)</f>
        <v/>
      </c>
      <c r="K3784">
        <f>TRIM('Cash_Check'!B784)</f>
        <v/>
      </c>
      <c r="M3784">
        <f>IF(TRIM('Cash_Check'!E784)="","Cash/check",TRIM('Cash_Check'!E784))</f>
        <v/>
      </c>
      <c r="N3784">
        <f>IF(I3784="","",IF(ISNUMBER(I3784),INT(I3784),IFERROR(INT(DATEVALUE(I3784)),IFERROR(INT(VALUE(I3784)),"bad"))))</f>
        <v/>
      </c>
      <c r="O3784">
        <f>IF(J3784="","",IF(ISNUMBER(J3784),ROUND(J3784,2),IFERROR(ROUND(VALUE(SUBSTITUTE(SUBSTITUTE(SUBSTITUTE(J3784,"$",""),",","")," ","")),2),"bad")))</f>
        <v/>
      </c>
      <c r="P3784">
        <f>IF(K3784="","",IFERROR(MATCH(IF(ISNUMBER(FIND("#",K3784)),TRIM(MID(K3784,FIND("#",K3784)+1,20)),UPPER(K3784)),'Students'!$AD$2:$AD$701,0),""))</f>
        <v/>
      </c>
      <c r="R3784">
        <f>IF(P3784="","",INDEX('Students'!$AD$2:$AD$701,P3784))</f>
        <v/>
      </c>
      <c r="S3784">
        <f>IF(H3784="OK",O3784,0)</f>
        <v/>
      </c>
      <c r="T3784">
        <f>IF(H3784="OK",N3784,"")</f>
        <v/>
      </c>
      <c r="U3784">
        <f>TRIM('Cash_Check'!C784)</f>
        <v/>
      </c>
    </row>
    <row r="3785">
      <c r="A3785" s="62">
        <f>IF(H3785="","",IF(ISNUMBER(N3785),N3785,I3785))</f>
        <v/>
      </c>
      <c r="B3785">
        <f>IF(H3785="","",U3785)</f>
        <v/>
      </c>
      <c r="C3785">
        <f>IF(H3785="","",IF(P3785="",K3785,INDEX('Students'!$A$2:$A$701,P3785)))</f>
        <v/>
      </c>
      <c r="D3785">
        <f>IF(OR(H3785="",P3785=""),"",INDEX('Students'!$B$2:$B$701,P3785))</f>
        <v/>
      </c>
      <c r="E3785">
        <f>IF(OR(H3785="",P3785=""),"",INDEX('Students'!$C$2:$C$701,P3785))</f>
        <v/>
      </c>
      <c r="F3785" s="48">
        <f>IF(H3785="","",IF(ISNUMBER(O3785),O3785,J3785))</f>
        <v/>
      </c>
      <c r="G3785">
        <f>IF(H3785="","",M3785)</f>
        <v/>
      </c>
      <c r="H3785">
        <f>IF(AND(I3785="",J3785="",K3785=""),"",IF(OR(NOT(ISNUMBER(O3785)),N(O3785)&lt;=0),"Bad amount",IF(NOT(ISNUMBER(N3785)),"Bad date",IF(P3785="","NAME NOT ON ROSTER","OK"))))</f>
        <v/>
      </c>
      <c r="I3785">
        <f>IF('Cash_Check'!A785="","",'Cash_Check'!A785)</f>
        <v/>
      </c>
      <c r="J3785">
        <f>IF('Cash_Check'!D785="","",'Cash_Check'!D785)</f>
        <v/>
      </c>
      <c r="K3785">
        <f>TRIM('Cash_Check'!B785)</f>
        <v/>
      </c>
      <c r="M3785">
        <f>IF(TRIM('Cash_Check'!E785)="","Cash/check",TRIM('Cash_Check'!E785))</f>
        <v/>
      </c>
      <c r="N3785">
        <f>IF(I3785="","",IF(ISNUMBER(I3785),INT(I3785),IFERROR(INT(DATEVALUE(I3785)),IFERROR(INT(VALUE(I3785)),"bad"))))</f>
        <v/>
      </c>
      <c r="O3785">
        <f>IF(J3785="","",IF(ISNUMBER(J3785),ROUND(J3785,2),IFERROR(ROUND(VALUE(SUBSTITUTE(SUBSTITUTE(SUBSTITUTE(J3785,"$",""),",","")," ","")),2),"bad")))</f>
        <v/>
      </c>
      <c r="P3785">
        <f>IF(K3785="","",IFERROR(MATCH(IF(ISNUMBER(FIND("#",K3785)),TRIM(MID(K3785,FIND("#",K3785)+1,20)),UPPER(K3785)),'Students'!$AD$2:$AD$701,0),""))</f>
        <v/>
      </c>
      <c r="R3785">
        <f>IF(P3785="","",INDEX('Students'!$AD$2:$AD$701,P3785))</f>
        <v/>
      </c>
      <c r="S3785">
        <f>IF(H3785="OK",O3785,0)</f>
        <v/>
      </c>
      <c r="T3785">
        <f>IF(H3785="OK",N3785,"")</f>
        <v/>
      </c>
      <c r="U3785">
        <f>TRIM('Cash_Check'!C785)</f>
        <v/>
      </c>
    </row>
    <row r="3786">
      <c r="A3786" s="62">
        <f>IF(H3786="","",IF(ISNUMBER(N3786),N3786,I3786))</f>
        <v/>
      </c>
      <c r="B3786">
        <f>IF(H3786="","",U3786)</f>
        <v/>
      </c>
      <c r="C3786">
        <f>IF(H3786="","",IF(P3786="",K3786,INDEX('Students'!$A$2:$A$701,P3786)))</f>
        <v/>
      </c>
      <c r="D3786">
        <f>IF(OR(H3786="",P3786=""),"",INDEX('Students'!$B$2:$B$701,P3786))</f>
        <v/>
      </c>
      <c r="E3786">
        <f>IF(OR(H3786="",P3786=""),"",INDEX('Students'!$C$2:$C$701,P3786))</f>
        <v/>
      </c>
      <c r="F3786" s="48">
        <f>IF(H3786="","",IF(ISNUMBER(O3786),O3786,J3786))</f>
        <v/>
      </c>
      <c r="G3786">
        <f>IF(H3786="","",M3786)</f>
        <v/>
      </c>
      <c r="H3786">
        <f>IF(AND(I3786="",J3786="",K3786=""),"",IF(OR(NOT(ISNUMBER(O3786)),N(O3786)&lt;=0),"Bad amount",IF(NOT(ISNUMBER(N3786)),"Bad date",IF(P3786="","NAME NOT ON ROSTER","OK"))))</f>
        <v/>
      </c>
      <c r="I3786">
        <f>IF('Cash_Check'!A786="","",'Cash_Check'!A786)</f>
        <v/>
      </c>
      <c r="J3786">
        <f>IF('Cash_Check'!D786="","",'Cash_Check'!D786)</f>
        <v/>
      </c>
      <c r="K3786">
        <f>TRIM('Cash_Check'!B786)</f>
        <v/>
      </c>
      <c r="M3786">
        <f>IF(TRIM('Cash_Check'!E786)="","Cash/check",TRIM('Cash_Check'!E786))</f>
        <v/>
      </c>
      <c r="N3786">
        <f>IF(I3786="","",IF(ISNUMBER(I3786),INT(I3786),IFERROR(INT(DATEVALUE(I3786)),IFERROR(INT(VALUE(I3786)),"bad"))))</f>
        <v/>
      </c>
      <c r="O3786">
        <f>IF(J3786="","",IF(ISNUMBER(J3786),ROUND(J3786,2),IFERROR(ROUND(VALUE(SUBSTITUTE(SUBSTITUTE(SUBSTITUTE(J3786,"$",""),",","")," ","")),2),"bad")))</f>
        <v/>
      </c>
      <c r="P3786">
        <f>IF(K3786="","",IFERROR(MATCH(IF(ISNUMBER(FIND("#",K3786)),TRIM(MID(K3786,FIND("#",K3786)+1,20)),UPPER(K3786)),'Students'!$AD$2:$AD$701,0),""))</f>
        <v/>
      </c>
      <c r="R3786">
        <f>IF(P3786="","",INDEX('Students'!$AD$2:$AD$701,P3786))</f>
        <v/>
      </c>
      <c r="S3786">
        <f>IF(H3786="OK",O3786,0)</f>
        <v/>
      </c>
      <c r="T3786">
        <f>IF(H3786="OK",N3786,"")</f>
        <v/>
      </c>
      <c r="U3786">
        <f>TRIM('Cash_Check'!C786)</f>
        <v/>
      </c>
    </row>
    <row r="3787">
      <c r="A3787" s="62">
        <f>IF(H3787="","",IF(ISNUMBER(N3787),N3787,I3787))</f>
        <v/>
      </c>
      <c r="B3787">
        <f>IF(H3787="","",U3787)</f>
        <v/>
      </c>
      <c r="C3787">
        <f>IF(H3787="","",IF(P3787="",K3787,INDEX('Students'!$A$2:$A$701,P3787)))</f>
        <v/>
      </c>
      <c r="D3787">
        <f>IF(OR(H3787="",P3787=""),"",INDEX('Students'!$B$2:$B$701,P3787))</f>
        <v/>
      </c>
      <c r="E3787">
        <f>IF(OR(H3787="",P3787=""),"",INDEX('Students'!$C$2:$C$701,P3787))</f>
        <v/>
      </c>
      <c r="F3787" s="48">
        <f>IF(H3787="","",IF(ISNUMBER(O3787),O3787,J3787))</f>
        <v/>
      </c>
      <c r="G3787">
        <f>IF(H3787="","",M3787)</f>
        <v/>
      </c>
      <c r="H3787">
        <f>IF(AND(I3787="",J3787="",K3787=""),"",IF(OR(NOT(ISNUMBER(O3787)),N(O3787)&lt;=0),"Bad amount",IF(NOT(ISNUMBER(N3787)),"Bad date",IF(P3787="","NAME NOT ON ROSTER","OK"))))</f>
        <v/>
      </c>
      <c r="I3787">
        <f>IF('Cash_Check'!A787="","",'Cash_Check'!A787)</f>
        <v/>
      </c>
      <c r="J3787">
        <f>IF('Cash_Check'!D787="","",'Cash_Check'!D787)</f>
        <v/>
      </c>
      <c r="K3787">
        <f>TRIM('Cash_Check'!B787)</f>
        <v/>
      </c>
      <c r="M3787">
        <f>IF(TRIM('Cash_Check'!E787)="","Cash/check",TRIM('Cash_Check'!E787))</f>
        <v/>
      </c>
      <c r="N3787">
        <f>IF(I3787="","",IF(ISNUMBER(I3787),INT(I3787),IFERROR(INT(DATEVALUE(I3787)),IFERROR(INT(VALUE(I3787)),"bad"))))</f>
        <v/>
      </c>
      <c r="O3787">
        <f>IF(J3787="","",IF(ISNUMBER(J3787),ROUND(J3787,2),IFERROR(ROUND(VALUE(SUBSTITUTE(SUBSTITUTE(SUBSTITUTE(J3787,"$",""),",","")," ","")),2),"bad")))</f>
        <v/>
      </c>
      <c r="P3787">
        <f>IF(K3787="","",IFERROR(MATCH(IF(ISNUMBER(FIND("#",K3787)),TRIM(MID(K3787,FIND("#",K3787)+1,20)),UPPER(K3787)),'Students'!$AD$2:$AD$701,0),""))</f>
        <v/>
      </c>
      <c r="R3787">
        <f>IF(P3787="","",INDEX('Students'!$AD$2:$AD$701,P3787))</f>
        <v/>
      </c>
      <c r="S3787">
        <f>IF(H3787="OK",O3787,0)</f>
        <v/>
      </c>
      <c r="T3787">
        <f>IF(H3787="OK",N3787,"")</f>
        <v/>
      </c>
      <c r="U3787">
        <f>TRIM('Cash_Check'!C787)</f>
        <v/>
      </c>
    </row>
    <row r="3788">
      <c r="A3788" s="62">
        <f>IF(H3788="","",IF(ISNUMBER(N3788),N3788,I3788))</f>
        <v/>
      </c>
      <c r="B3788">
        <f>IF(H3788="","",U3788)</f>
        <v/>
      </c>
      <c r="C3788">
        <f>IF(H3788="","",IF(P3788="",K3788,INDEX('Students'!$A$2:$A$701,P3788)))</f>
        <v/>
      </c>
      <c r="D3788">
        <f>IF(OR(H3788="",P3788=""),"",INDEX('Students'!$B$2:$B$701,P3788))</f>
        <v/>
      </c>
      <c r="E3788">
        <f>IF(OR(H3788="",P3788=""),"",INDEX('Students'!$C$2:$C$701,P3788))</f>
        <v/>
      </c>
      <c r="F3788" s="48">
        <f>IF(H3788="","",IF(ISNUMBER(O3788),O3788,J3788))</f>
        <v/>
      </c>
      <c r="G3788">
        <f>IF(H3788="","",M3788)</f>
        <v/>
      </c>
      <c r="H3788">
        <f>IF(AND(I3788="",J3788="",K3788=""),"",IF(OR(NOT(ISNUMBER(O3788)),N(O3788)&lt;=0),"Bad amount",IF(NOT(ISNUMBER(N3788)),"Bad date",IF(P3788="","NAME NOT ON ROSTER","OK"))))</f>
        <v/>
      </c>
      <c r="I3788">
        <f>IF('Cash_Check'!A788="","",'Cash_Check'!A788)</f>
        <v/>
      </c>
      <c r="J3788">
        <f>IF('Cash_Check'!D788="","",'Cash_Check'!D788)</f>
        <v/>
      </c>
      <c r="K3788">
        <f>TRIM('Cash_Check'!B788)</f>
        <v/>
      </c>
      <c r="M3788">
        <f>IF(TRIM('Cash_Check'!E788)="","Cash/check",TRIM('Cash_Check'!E788))</f>
        <v/>
      </c>
      <c r="N3788">
        <f>IF(I3788="","",IF(ISNUMBER(I3788),INT(I3788),IFERROR(INT(DATEVALUE(I3788)),IFERROR(INT(VALUE(I3788)),"bad"))))</f>
        <v/>
      </c>
      <c r="O3788">
        <f>IF(J3788="","",IF(ISNUMBER(J3788),ROUND(J3788,2),IFERROR(ROUND(VALUE(SUBSTITUTE(SUBSTITUTE(SUBSTITUTE(J3788,"$",""),",","")," ","")),2),"bad")))</f>
        <v/>
      </c>
      <c r="P3788">
        <f>IF(K3788="","",IFERROR(MATCH(IF(ISNUMBER(FIND("#",K3788)),TRIM(MID(K3788,FIND("#",K3788)+1,20)),UPPER(K3788)),'Students'!$AD$2:$AD$701,0),""))</f>
        <v/>
      </c>
      <c r="R3788">
        <f>IF(P3788="","",INDEX('Students'!$AD$2:$AD$701,P3788))</f>
        <v/>
      </c>
      <c r="S3788">
        <f>IF(H3788="OK",O3788,0)</f>
        <v/>
      </c>
      <c r="T3788">
        <f>IF(H3788="OK",N3788,"")</f>
        <v/>
      </c>
      <c r="U3788">
        <f>TRIM('Cash_Check'!C788)</f>
        <v/>
      </c>
    </row>
    <row r="3789">
      <c r="A3789" s="62">
        <f>IF(H3789="","",IF(ISNUMBER(N3789),N3789,I3789))</f>
        <v/>
      </c>
      <c r="B3789">
        <f>IF(H3789="","",U3789)</f>
        <v/>
      </c>
      <c r="C3789">
        <f>IF(H3789="","",IF(P3789="",K3789,INDEX('Students'!$A$2:$A$701,P3789)))</f>
        <v/>
      </c>
      <c r="D3789">
        <f>IF(OR(H3789="",P3789=""),"",INDEX('Students'!$B$2:$B$701,P3789))</f>
        <v/>
      </c>
      <c r="E3789">
        <f>IF(OR(H3789="",P3789=""),"",INDEX('Students'!$C$2:$C$701,P3789))</f>
        <v/>
      </c>
      <c r="F3789" s="48">
        <f>IF(H3789="","",IF(ISNUMBER(O3789),O3789,J3789))</f>
        <v/>
      </c>
      <c r="G3789">
        <f>IF(H3789="","",M3789)</f>
        <v/>
      </c>
      <c r="H3789">
        <f>IF(AND(I3789="",J3789="",K3789=""),"",IF(OR(NOT(ISNUMBER(O3789)),N(O3789)&lt;=0),"Bad amount",IF(NOT(ISNUMBER(N3789)),"Bad date",IF(P3789="","NAME NOT ON ROSTER","OK"))))</f>
        <v/>
      </c>
      <c r="I3789">
        <f>IF('Cash_Check'!A789="","",'Cash_Check'!A789)</f>
        <v/>
      </c>
      <c r="J3789">
        <f>IF('Cash_Check'!D789="","",'Cash_Check'!D789)</f>
        <v/>
      </c>
      <c r="K3789">
        <f>TRIM('Cash_Check'!B789)</f>
        <v/>
      </c>
      <c r="M3789">
        <f>IF(TRIM('Cash_Check'!E789)="","Cash/check",TRIM('Cash_Check'!E789))</f>
        <v/>
      </c>
      <c r="N3789">
        <f>IF(I3789="","",IF(ISNUMBER(I3789),INT(I3789),IFERROR(INT(DATEVALUE(I3789)),IFERROR(INT(VALUE(I3789)),"bad"))))</f>
        <v/>
      </c>
      <c r="O3789">
        <f>IF(J3789="","",IF(ISNUMBER(J3789),ROUND(J3789,2),IFERROR(ROUND(VALUE(SUBSTITUTE(SUBSTITUTE(SUBSTITUTE(J3789,"$",""),",","")," ","")),2),"bad")))</f>
        <v/>
      </c>
      <c r="P3789">
        <f>IF(K3789="","",IFERROR(MATCH(IF(ISNUMBER(FIND("#",K3789)),TRIM(MID(K3789,FIND("#",K3789)+1,20)),UPPER(K3789)),'Students'!$AD$2:$AD$701,0),""))</f>
        <v/>
      </c>
      <c r="R3789">
        <f>IF(P3789="","",INDEX('Students'!$AD$2:$AD$701,P3789))</f>
        <v/>
      </c>
      <c r="S3789">
        <f>IF(H3789="OK",O3789,0)</f>
        <v/>
      </c>
      <c r="T3789">
        <f>IF(H3789="OK",N3789,"")</f>
        <v/>
      </c>
      <c r="U3789">
        <f>TRIM('Cash_Check'!C789)</f>
        <v/>
      </c>
    </row>
    <row r="3790">
      <c r="A3790" s="62">
        <f>IF(H3790="","",IF(ISNUMBER(N3790),N3790,I3790))</f>
        <v/>
      </c>
      <c r="B3790">
        <f>IF(H3790="","",U3790)</f>
        <v/>
      </c>
      <c r="C3790">
        <f>IF(H3790="","",IF(P3790="",K3790,INDEX('Students'!$A$2:$A$701,P3790)))</f>
        <v/>
      </c>
      <c r="D3790">
        <f>IF(OR(H3790="",P3790=""),"",INDEX('Students'!$B$2:$B$701,P3790))</f>
        <v/>
      </c>
      <c r="E3790">
        <f>IF(OR(H3790="",P3790=""),"",INDEX('Students'!$C$2:$C$701,P3790))</f>
        <v/>
      </c>
      <c r="F3790" s="48">
        <f>IF(H3790="","",IF(ISNUMBER(O3790),O3790,J3790))</f>
        <v/>
      </c>
      <c r="G3790">
        <f>IF(H3790="","",M3790)</f>
        <v/>
      </c>
      <c r="H3790">
        <f>IF(AND(I3790="",J3790="",K3790=""),"",IF(OR(NOT(ISNUMBER(O3790)),N(O3790)&lt;=0),"Bad amount",IF(NOT(ISNUMBER(N3790)),"Bad date",IF(P3790="","NAME NOT ON ROSTER","OK"))))</f>
        <v/>
      </c>
      <c r="I3790">
        <f>IF('Cash_Check'!A790="","",'Cash_Check'!A790)</f>
        <v/>
      </c>
      <c r="J3790">
        <f>IF('Cash_Check'!D790="","",'Cash_Check'!D790)</f>
        <v/>
      </c>
      <c r="K3790">
        <f>TRIM('Cash_Check'!B790)</f>
        <v/>
      </c>
      <c r="M3790">
        <f>IF(TRIM('Cash_Check'!E790)="","Cash/check",TRIM('Cash_Check'!E790))</f>
        <v/>
      </c>
      <c r="N3790">
        <f>IF(I3790="","",IF(ISNUMBER(I3790),INT(I3790),IFERROR(INT(DATEVALUE(I3790)),IFERROR(INT(VALUE(I3790)),"bad"))))</f>
        <v/>
      </c>
      <c r="O3790">
        <f>IF(J3790="","",IF(ISNUMBER(J3790),ROUND(J3790,2),IFERROR(ROUND(VALUE(SUBSTITUTE(SUBSTITUTE(SUBSTITUTE(J3790,"$",""),",","")," ","")),2),"bad")))</f>
        <v/>
      </c>
      <c r="P3790">
        <f>IF(K3790="","",IFERROR(MATCH(IF(ISNUMBER(FIND("#",K3790)),TRIM(MID(K3790,FIND("#",K3790)+1,20)),UPPER(K3790)),'Students'!$AD$2:$AD$701,0),""))</f>
        <v/>
      </c>
      <c r="R3790">
        <f>IF(P3790="","",INDEX('Students'!$AD$2:$AD$701,P3790))</f>
        <v/>
      </c>
      <c r="S3790">
        <f>IF(H3790="OK",O3790,0)</f>
        <v/>
      </c>
      <c r="T3790">
        <f>IF(H3790="OK",N3790,"")</f>
        <v/>
      </c>
      <c r="U3790">
        <f>TRIM('Cash_Check'!C790)</f>
        <v/>
      </c>
    </row>
    <row r="3791">
      <c r="A3791" s="62">
        <f>IF(H3791="","",IF(ISNUMBER(N3791),N3791,I3791))</f>
        <v/>
      </c>
      <c r="B3791">
        <f>IF(H3791="","",U3791)</f>
        <v/>
      </c>
      <c r="C3791">
        <f>IF(H3791="","",IF(P3791="",K3791,INDEX('Students'!$A$2:$A$701,P3791)))</f>
        <v/>
      </c>
      <c r="D3791">
        <f>IF(OR(H3791="",P3791=""),"",INDEX('Students'!$B$2:$B$701,P3791))</f>
        <v/>
      </c>
      <c r="E3791">
        <f>IF(OR(H3791="",P3791=""),"",INDEX('Students'!$C$2:$C$701,P3791))</f>
        <v/>
      </c>
      <c r="F3791" s="48">
        <f>IF(H3791="","",IF(ISNUMBER(O3791),O3791,J3791))</f>
        <v/>
      </c>
      <c r="G3791">
        <f>IF(H3791="","",M3791)</f>
        <v/>
      </c>
      <c r="H3791">
        <f>IF(AND(I3791="",J3791="",K3791=""),"",IF(OR(NOT(ISNUMBER(O3791)),N(O3791)&lt;=0),"Bad amount",IF(NOT(ISNUMBER(N3791)),"Bad date",IF(P3791="","NAME NOT ON ROSTER","OK"))))</f>
        <v/>
      </c>
      <c r="I3791">
        <f>IF('Cash_Check'!A791="","",'Cash_Check'!A791)</f>
        <v/>
      </c>
      <c r="J3791">
        <f>IF('Cash_Check'!D791="","",'Cash_Check'!D791)</f>
        <v/>
      </c>
      <c r="K3791">
        <f>TRIM('Cash_Check'!B791)</f>
        <v/>
      </c>
      <c r="M3791">
        <f>IF(TRIM('Cash_Check'!E791)="","Cash/check",TRIM('Cash_Check'!E791))</f>
        <v/>
      </c>
      <c r="N3791">
        <f>IF(I3791="","",IF(ISNUMBER(I3791),INT(I3791),IFERROR(INT(DATEVALUE(I3791)),IFERROR(INT(VALUE(I3791)),"bad"))))</f>
        <v/>
      </c>
      <c r="O3791">
        <f>IF(J3791="","",IF(ISNUMBER(J3791),ROUND(J3791,2),IFERROR(ROUND(VALUE(SUBSTITUTE(SUBSTITUTE(SUBSTITUTE(J3791,"$",""),",","")," ","")),2),"bad")))</f>
        <v/>
      </c>
      <c r="P3791">
        <f>IF(K3791="","",IFERROR(MATCH(IF(ISNUMBER(FIND("#",K3791)),TRIM(MID(K3791,FIND("#",K3791)+1,20)),UPPER(K3791)),'Students'!$AD$2:$AD$701,0),""))</f>
        <v/>
      </c>
      <c r="R3791">
        <f>IF(P3791="","",INDEX('Students'!$AD$2:$AD$701,P3791))</f>
        <v/>
      </c>
      <c r="S3791">
        <f>IF(H3791="OK",O3791,0)</f>
        <v/>
      </c>
      <c r="T3791">
        <f>IF(H3791="OK",N3791,"")</f>
        <v/>
      </c>
      <c r="U3791">
        <f>TRIM('Cash_Check'!C791)</f>
        <v/>
      </c>
    </row>
    <row r="3792">
      <c r="A3792" s="62">
        <f>IF(H3792="","",IF(ISNUMBER(N3792),N3792,I3792))</f>
        <v/>
      </c>
      <c r="B3792">
        <f>IF(H3792="","",U3792)</f>
        <v/>
      </c>
      <c r="C3792">
        <f>IF(H3792="","",IF(P3792="",K3792,INDEX('Students'!$A$2:$A$701,P3792)))</f>
        <v/>
      </c>
      <c r="D3792">
        <f>IF(OR(H3792="",P3792=""),"",INDEX('Students'!$B$2:$B$701,P3792))</f>
        <v/>
      </c>
      <c r="E3792">
        <f>IF(OR(H3792="",P3792=""),"",INDEX('Students'!$C$2:$C$701,P3792))</f>
        <v/>
      </c>
      <c r="F3792" s="48">
        <f>IF(H3792="","",IF(ISNUMBER(O3792),O3792,J3792))</f>
        <v/>
      </c>
      <c r="G3792">
        <f>IF(H3792="","",M3792)</f>
        <v/>
      </c>
      <c r="H3792">
        <f>IF(AND(I3792="",J3792="",K3792=""),"",IF(OR(NOT(ISNUMBER(O3792)),N(O3792)&lt;=0),"Bad amount",IF(NOT(ISNUMBER(N3792)),"Bad date",IF(P3792="","NAME NOT ON ROSTER","OK"))))</f>
        <v/>
      </c>
      <c r="I3792">
        <f>IF('Cash_Check'!A792="","",'Cash_Check'!A792)</f>
        <v/>
      </c>
      <c r="J3792">
        <f>IF('Cash_Check'!D792="","",'Cash_Check'!D792)</f>
        <v/>
      </c>
      <c r="K3792">
        <f>TRIM('Cash_Check'!B792)</f>
        <v/>
      </c>
      <c r="M3792">
        <f>IF(TRIM('Cash_Check'!E792)="","Cash/check",TRIM('Cash_Check'!E792))</f>
        <v/>
      </c>
      <c r="N3792">
        <f>IF(I3792="","",IF(ISNUMBER(I3792),INT(I3792),IFERROR(INT(DATEVALUE(I3792)),IFERROR(INT(VALUE(I3792)),"bad"))))</f>
        <v/>
      </c>
      <c r="O3792">
        <f>IF(J3792="","",IF(ISNUMBER(J3792),ROUND(J3792,2),IFERROR(ROUND(VALUE(SUBSTITUTE(SUBSTITUTE(SUBSTITUTE(J3792,"$",""),",","")," ","")),2),"bad")))</f>
        <v/>
      </c>
      <c r="P3792">
        <f>IF(K3792="","",IFERROR(MATCH(IF(ISNUMBER(FIND("#",K3792)),TRIM(MID(K3792,FIND("#",K3792)+1,20)),UPPER(K3792)),'Students'!$AD$2:$AD$701,0),""))</f>
        <v/>
      </c>
      <c r="R3792">
        <f>IF(P3792="","",INDEX('Students'!$AD$2:$AD$701,P3792))</f>
        <v/>
      </c>
      <c r="S3792">
        <f>IF(H3792="OK",O3792,0)</f>
        <v/>
      </c>
      <c r="T3792">
        <f>IF(H3792="OK",N3792,"")</f>
        <v/>
      </c>
      <c r="U3792">
        <f>TRIM('Cash_Check'!C792)</f>
        <v/>
      </c>
    </row>
    <row r="3793">
      <c r="A3793" s="62">
        <f>IF(H3793="","",IF(ISNUMBER(N3793),N3793,I3793))</f>
        <v/>
      </c>
      <c r="B3793">
        <f>IF(H3793="","",U3793)</f>
        <v/>
      </c>
      <c r="C3793">
        <f>IF(H3793="","",IF(P3793="",K3793,INDEX('Students'!$A$2:$A$701,P3793)))</f>
        <v/>
      </c>
      <c r="D3793">
        <f>IF(OR(H3793="",P3793=""),"",INDEX('Students'!$B$2:$B$701,P3793))</f>
        <v/>
      </c>
      <c r="E3793">
        <f>IF(OR(H3793="",P3793=""),"",INDEX('Students'!$C$2:$C$701,P3793))</f>
        <v/>
      </c>
      <c r="F3793" s="48">
        <f>IF(H3793="","",IF(ISNUMBER(O3793),O3793,J3793))</f>
        <v/>
      </c>
      <c r="G3793">
        <f>IF(H3793="","",M3793)</f>
        <v/>
      </c>
      <c r="H3793">
        <f>IF(AND(I3793="",J3793="",K3793=""),"",IF(OR(NOT(ISNUMBER(O3793)),N(O3793)&lt;=0),"Bad amount",IF(NOT(ISNUMBER(N3793)),"Bad date",IF(P3793="","NAME NOT ON ROSTER","OK"))))</f>
        <v/>
      </c>
      <c r="I3793">
        <f>IF('Cash_Check'!A793="","",'Cash_Check'!A793)</f>
        <v/>
      </c>
      <c r="J3793">
        <f>IF('Cash_Check'!D793="","",'Cash_Check'!D793)</f>
        <v/>
      </c>
      <c r="K3793">
        <f>TRIM('Cash_Check'!B793)</f>
        <v/>
      </c>
      <c r="M3793">
        <f>IF(TRIM('Cash_Check'!E793)="","Cash/check",TRIM('Cash_Check'!E793))</f>
        <v/>
      </c>
      <c r="N3793">
        <f>IF(I3793="","",IF(ISNUMBER(I3793),INT(I3793),IFERROR(INT(DATEVALUE(I3793)),IFERROR(INT(VALUE(I3793)),"bad"))))</f>
        <v/>
      </c>
      <c r="O3793">
        <f>IF(J3793="","",IF(ISNUMBER(J3793),ROUND(J3793,2),IFERROR(ROUND(VALUE(SUBSTITUTE(SUBSTITUTE(SUBSTITUTE(J3793,"$",""),",","")," ","")),2),"bad")))</f>
        <v/>
      </c>
      <c r="P3793">
        <f>IF(K3793="","",IFERROR(MATCH(IF(ISNUMBER(FIND("#",K3793)),TRIM(MID(K3793,FIND("#",K3793)+1,20)),UPPER(K3793)),'Students'!$AD$2:$AD$701,0),""))</f>
        <v/>
      </c>
      <c r="R3793">
        <f>IF(P3793="","",INDEX('Students'!$AD$2:$AD$701,P3793))</f>
        <v/>
      </c>
      <c r="S3793">
        <f>IF(H3793="OK",O3793,0)</f>
        <v/>
      </c>
      <c r="T3793">
        <f>IF(H3793="OK",N3793,"")</f>
        <v/>
      </c>
      <c r="U3793">
        <f>TRIM('Cash_Check'!C793)</f>
        <v/>
      </c>
    </row>
    <row r="3794">
      <c r="A3794" s="62">
        <f>IF(H3794="","",IF(ISNUMBER(N3794),N3794,I3794))</f>
        <v/>
      </c>
      <c r="B3794">
        <f>IF(H3794="","",U3794)</f>
        <v/>
      </c>
      <c r="C3794">
        <f>IF(H3794="","",IF(P3794="",K3794,INDEX('Students'!$A$2:$A$701,P3794)))</f>
        <v/>
      </c>
      <c r="D3794">
        <f>IF(OR(H3794="",P3794=""),"",INDEX('Students'!$B$2:$B$701,P3794))</f>
        <v/>
      </c>
      <c r="E3794">
        <f>IF(OR(H3794="",P3794=""),"",INDEX('Students'!$C$2:$C$701,P3794))</f>
        <v/>
      </c>
      <c r="F3794" s="48">
        <f>IF(H3794="","",IF(ISNUMBER(O3794),O3794,J3794))</f>
        <v/>
      </c>
      <c r="G3794">
        <f>IF(H3794="","",M3794)</f>
        <v/>
      </c>
      <c r="H3794">
        <f>IF(AND(I3794="",J3794="",K3794=""),"",IF(OR(NOT(ISNUMBER(O3794)),N(O3794)&lt;=0),"Bad amount",IF(NOT(ISNUMBER(N3794)),"Bad date",IF(P3794="","NAME NOT ON ROSTER","OK"))))</f>
        <v/>
      </c>
      <c r="I3794">
        <f>IF('Cash_Check'!A794="","",'Cash_Check'!A794)</f>
        <v/>
      </c>
      <c r="J3794">
        <f>IF('Cash_Check'!D794="","",'Cash_Check'!D794)</f>
        <v/>
      </c>
      <c r="K3794">
        <f>TRIM('Cash_Check'!B794)</f>
        <v/>
      </c>
      <c r="M3794">
        <f>IF(TRIM('Cash_Check'!E794)="","Cash/check",TRIM('Cash_Check'!E794))</f>
        <v/>
      </c>
      <c r="N3794">
        <f>IF(I3794="","",IF(ISNUMBER(I3794),INT(I3794),IFERROR(INT(DATEVALUE(I3794)),IFERROR(INT(VALUE(I3794)),"bad"))))</f>
        <v/>
      </c>
      <c r="O3794">
        <f>IF(J3794="","",IF(ISNUMBER(J3794),ROUND(J3794,2),IFERROR(ROUND(VALUE(SUBSTITUTE(SUBSTITUTE(SUBSTITUTE(J3794,"$",""),",","")," ","")),2),"bad")))</f>
        <v/>
      </c>
      <c r="P3794">
        <f>IF(K3794="","",IFERROR(MATCH(IF(ISNUMBER(FIND("#",K3794)),TRIM(MID(K3794,FIND("#",K3794)+1,20)),UPPER(K3794)),'Students'!$AD$2:$AD$701,0),""))</f>
        <v/>
      </c>
      <c r="R3794">
        <f>IF(P3794="","",INDEX('Students'!$AD$2:$AD$701,P3794))</f>
        <v/>
      </c>
      <c r="S3794">
        <f>IF(H3794="OK",O3794,0)</f>
        <v/>
      </c>
      <c r="T3794">
        <f>IF(H3794="OK",N3794,"")</f>
        <v/>
      </c>
      <c r="U3794">
        <f>TRIM('Cash_Check'!C794)</f>
        <v/>
      </c>
    </row>
    <row r="3795">
      <c r="A3795" s="62">
        <f>IF(H3795="","",IF(ISNUMBER(N3795),N3795,I3795))</f>
        <v/>
      </c>
      <c r="B3795">
        <f>IF(H3795="","",U3795)</f>
        <v/>
      </c>
      <c r="C3795">
        <f>IF(H3795="","",IF(P3795="",K3795,INDEX('Students'!$A$2:$A$701,P3795)))</f>
        <v/>
      </c>
      <c r="D3795">
        <f>IF(OR(H3795="",P3795=""),"",INDEX('Students'!$B$2:$B$701,P3795))</f>
        <v/>
      </c>
      <c r="E3795">
        <f>IF(OR(H3795="",P3795=""),"",INDEX('Students'!$C$2:$C$701,P3795))</f>
        <v/>
      </c>
      <c r="F3795" s="48">
        <f>IF(H3795="","",IF(ISNUMBER(O3795),O3795,J3795))</f>
        <v/>
      </c>
      <c r="G3795">
        <f>IF(H3795="","",M3795)</f>
        <v/>
      </c>
      <c r="H3795">
        <f>IF(AND(I3795="",J3795="",K3795=""),"",IF(OR(NOT(ISNUMBER(O3795)),N(O3795)&lt;=0),"Bad amount",IF(NOT(ISNUMBER(N3795)),"Bad date",IF(P3795="","NAME NOT ON ROSTER","OK"))))</f>
        <v/>
      </c>
      <c r="I3795">
        <f>IF('Cash_Check'!A795="","",'Cash_Check'!A795)</f>
        <v/>
      </c>
      <c r="J3795">
        <f>IF('Cash_Check'!D795="","",'Cash_Check'!D795)</f>
        <v/>
      </c>
      <c r="K3795">
        <f>TRIM('Cash_Check'!B795)</f>
        <v/>
      </c>
      <c r="M3795">
        <f>IF(TRIM('Cash_Check'!E795)="","Cash/check",TRIM('Cash_Check'!E795))</f>
        <v/>
      </c>
      <c r="N3795">
        <f>IF(I3795="","",IF(ISNUMBER(I3795),INT(I3795),IFERROR(INT(DATEVALUE(I3795)),IFERROR(INT(VALUE(I3795)),"bad"))))</f>
        <v/>
      </c>
      <c r="O3795">
        <f>IF(J3795="","",IF(ISNUMBER(J3795),ROUND(J3795,2),IFERROR(ROUND(VALUE(SUBSTITUTE(SUBSTITUTE(SUBSTITUTE(J3795,"$",""),",","")," ","")),2),"bad")))</f>
        <v/>
      </c>
      <c r="P3795">
        <f>IF(K3795="","",IFERROR(MATCH(IF(ISNUMBER(FIND("#",K3795)),TRIM(MID(K3795,FIND("#",K3795)+1,20)),UPPER(K3795)),'Students'!$AD$2:$AD$701,0),""))</f>
        <v/>
      </c>
      <c r="R3795">
        <f>IF(P3795="","",INDEX('Students'!$AD$2:$AD$701,P3795))</f>
        <v/>
      </c>
      <c r="S3795">
        <f>IF(H3795="OK",O3795,0)</f>
        <v/>
      </c>
      <c r="T3795">
        <f>IF(H3795="OK",N3795,"")</f>
        <v/>
      </c>
      <c r="U3795">
        <f>TRIM('Cash_Check'!C795)</f>
        <v/>
      </c>
    </row>
    <row r="3796">
      <c r="A3796" s="62">
        <f>IF(H3796="","",IF(ISNUMBER(N3796),N3796,I3796))</f>
        <v/>
      </c>
      <c r="B3796">
        <f>IF(H3796="","",U3796)</f>
        <v/>
      </c>
      <c r="C3796">
        <f>IF(H3796="","",IF(P3796="",K3796,INDEX('Students'!$A$2:$A$701,P3796)))</f>
        <v/>
      </c>
      <c r="D3796">
        <f>IF(OR(H3796="",P3796=""),"",INDEX('Students'!$B$2:$B$701,P3796))</f>
        <v/>
      </c>
      <c r="E3796">
        <f>IF(OR(H3796="",P3796=""),"",INDEX('Students'!$C$2:$C$701,P3796))</f>
        <v/>
      </c>
      <c r="F3796" s="48">
        <f>IF(H3796="","",IF(ISNUMBER(O3796),O3796,J3796))</f>
        <v/>
      </c>
      <c r="G3796">
        <f>IF(H3796="","",M3796)</f>
        <v/>
      </c>
      <c r="H3796">
        <f>IF(AND(I3796="",J3796="",K3796=""),"",IF(OR(NOT(ISNUMBER(O3796)),N(O3796)&lt;=0),"Bad amount",IF(NOT(ISNUMBER(N3796)),"Bad date",IF(P3796="","NAME NOT ON ROSTER","OK"))))</f>
        <v/>
      </c>
      <c r="I3796">
        <f>IF('Cash_Check'!A796="","",'Cash_Check'!A796)</f>
        <v/>
      </c>
      <c r="J3796">
        <f>IF('Cash_Check'!D796="","",'Cash_Check'!D796)</f>
        <v/>
      </c>
      <c r="K3796">
        <f>TRIM('Cash_Check'!B796)</f>
        <v/>
      </c>
      <c r="M3796">
        <f>IF(TRIM('Cash_Check'!E796)="","Cash/check",TRIM('Cash_Check'!E796))</f>
        <v/>
      </c>
      <c r="N3796">
        <f>IF(I3796="","",IF(ISNUMBER(I3796),INT(I3796),IFERROR(INT(DATEVALUE(I3796)),IFERROR(INT(VALUE(I3796)),"bad"))))</f>
        <v/>
      </c>
      <c r="O3796">
        <f>IF(J3796="","",IF(ISNUMBER(J3796),ROUND(J3796,2),IFERROR(ROUND(VALUE(SUBSTITUTE(SUBSTITUTE(SUBSTITUTE(J3796,"$",""),",","")," ","")),2),"bad")))</f>
        <v/>
      </c>
      <c r="P3796">
        <f>IF(K3796="","",IFERROR(MATCH(IF(ISNUMBER(FIND("#",K3796)),TRIM(MID(K3796,FIND("#",K3796)+1,20)),UPPER(K3796)),'Students'!$AD$2:$AD$701,0),""))</f>
        <v/>
      </c>
      <c r="R3796">
        <f>IF(P3796="","",INDEX('Students'!$AD$2:$AD$701,P3796))</f>
        <v/>
      </c>
      <c r="S3796">
        <f>IF(H3796="OK",O3796,0)</f>
        <v/>
      </c>
      <c r="T3796">
        <f>IF(H3796="OK",N3796,"")</f>
        <v/>
      </c>
      <c r="U3796">
        <f>TRIM('Cash_Check'!C796)</f>
        <v/>
      </c>
    </row>
    <row r="3797">
      <c r="A3797" s="62">
        <f>IF(H3797="","",IF(ISNUMBER(N3797),N3797,I3797))</f>
        <v/>
      </c>
      <c r="B3797">
        <f>IF(H3797="","",U3797)</f>
        <v/>
      </c>
      <c r="C3797">
        <f>IF(H3797="","",IF(P3797="",K3797,INDEX('Students'!$A$2:$A$701,P3797)))</f>
        <v/>
      </c>
      <c r="D3797">
        <f>IF(OR(H3797="",P3797=""),"",INDEX('Students'!$B$2:$B$701,P3797))</f>
        <v/>
      </c>
      <c r="E3797">
        <f>IF(OR(H3797="",P3797=""),"",INDEX('Students'!$C$2:$C$701,P3797))</f>
        <v/>
      </c>
      <c r="F3797" s="48">
        <f>IF(H3797="","",IF(ISNUMBER(O3797),O3797,J3797))</f>
        <v/>
      </c>
      <c r="G3797">
        <f>IF(H3797="","",M3797)</f>
        <v/>
      </c>
      <c r="H3797">
        <f>IF(AND(I3797="",J3797="",K3797=""),"",IF(OR(NOT(ISNUMBER(O3797)),N(O3797)&lt;=0),"Bad amount",IF(NOT(ISNUMBER(N3797)),"Bad date",IF(P3797="","NAME NOT ON ROSTER","OK"))))</f>
        <v/>
      </c>
      <c r="I3797">
        <f>IF('Cash_Check'!A797="","",'Cash_Check'!A797)</f>
        <v/>
      </c>
      <c r="J3797">
        <f>IF('Cash_Check'!D797="","",'Cash_Check'!D797)</f>
        <v/>
      </c>
      <c r="K3797">
        <f>TRIM('Cash_Check'!B797)</f>
        <v/>
      </c>
      <c r="M3797">
        <f>IF(TRIM('Cash_Check'!E797)="","Cash/check",TRIM('Cash_Check'!E797))</f>
        <v/>
      </c>
      <c r="N3797">
        <f>IF(I3797="","",IF(ISNUMBER(I3797),INT(I3797),IFERROR(INT(DATEVALUE(I3797)),IFERROR(INT(VALUE(I3797)),"bad"))))</f>
        <v/>
      </c>
      <c r="O3797">
        <f>IF(J3797="","",IF(ISNUMBER(J3797),ROUND(J3797,2),IFERROR(ROUND(VALUE(SUBSTITUTE(SUBSTITUTE(SUBSTITUTE(J3797,"$",""),",","")," ","")),2),"bad")))</f>
        <v/>
      </c>
      <c r="P3797">
        <f>IF(K3797="","",IFERROR(MATCH(IF(ISNUMBER(FIND("#",K3797)),TRIM(MID(K3797,FIND("#",K3797)+1,20)),UPPER(K3797)),'Students'!$AD$2:$AD$701,0),""))</f>
        <v/>
      </c>
      <c r="R3797">
        <f>IF(P3797="","",INDEX('Students'!$AD$2:$AD$701,P3797))</f>
        <v/>
      </c>
      <c r="S3797">
        <f>IF(H3797="OK",O3797,0)</f>
        <v/>
      </c>
      <c r="T3797">
        <f>IF(H3797="OK",N3797,"")</f>
        <v/>
      </c>
      <c r="U3797">
        <f>TRIM('Cash_Check'!C797)</f>
        <v/>
      </c>
    </row>
    <row r="3798">
      <c r="A3798" s="62">
        <f>IF(H3798="","",IF(ISNUMBER(N3798),N3798,I3798))</f>
        <v/>
      </c>
      <c r="B3798">
        <f>IF(H3798="","",U3798)</f>
        <v/>
      </c>
      <c r="C3798">
        <f>IF(H3798="","",IF(P3798="",K3798,INDEX('Students'!$A$2:$A$701,P3798)))</f>
        <v/>
      </c>
      <c r="D3798">
        <f>IF(OR(H3798="",P3798=""),"",INDEX('Students'!$B$2:$B$701,P3798))</f>
        <v/>
      </c>
      <c r="E3798">
        <f>IF(OR(H3798="",P3798=""),"",INDEX('Students'!$C$2:$C$701,P3798))</f>
        <v/>
      </c>
      <c r="F3798" s="48">
        <f>IF(H3798="","",IF(ISNUMBER(O3798),O3798,J3798))</f>
        <v/>
      </c>
      <c r="G3798">
        <f>IF(H3798="","",M3798)</f>
        <v/>
      </c>
      <c r="H3798">
        <f>IF(AND(I3798="",J3798="",K3798=""),"",IF(OR(NOT(ISNUMBER(O3798)),N(O3798)&lt;=0),"Bad amount",IF(NOT(ISNUMBER(N3798)),"Bad date",IF(P3798="","NAME NOT ON ROSTER","OK"))))</f>
        <v/>
      </c>
      <c r="I3798">
        <f>IF('Cash_Check'!A798="","",'Cash_Check'!A798)</f>
        <v/>
      </c>
      <c r="J3798">
        <f>IF('Cash_Check'!D798="","",'Cash_Check'!D798)</f>
        <v/>
      </c>
      <c r="K3798">
        <f>TRIM('Cash_Check'!B798)</f>
        <v/>
      </c>
      <c r="M3798">
        <f>IF(TRIM('Cash_Check'!E798)="","Cash/check",TRIM('Cash_Check'!E798))</f>
        <v/>
      </c>
      <c r="N3798">
        <f>IF(I3798="","",IF(ISNUMBER(I3798),INT(I3798),IFERROR(INT(DATEVALUE(I3798)),IFERROR(INT(VALUE(I3798)),"bad"))))</f>
        <v/>
      </c>
      <c r="O3798">
        <f>IF(J3798="","",IF(ISNUMBER(J3798),ROUND(J3798,2),IFERROR(ROUND(VALUE(SUBSTITUTE(SUBSTITUTE(SUBSTITUTE(J3798,"$",""),",","")," ","")),2),"bad")))</f>
        <v/>
      </c>
      <c r="P3798">
        <f>IF(K3798="","",IFERROR(MATCH(IF(ISNUMBER(FIND("#",K3798)),TRIM(MID(K3798,FIND("#",K3798)+1,20)),UPPER(K3798)),'Students'!$AD$2:$AD$701,0),""))</f>
        <v/>
      </c>
      <c r="R3798">
        <f>IF(P3798="","",INDEX('Students'!$AD$2:$AD$701,P3798))</f>
        <v/>
      </c>
      <c r="S3798">
        <f>IF(H3798="OK",O3798,0)</f>
        <v/>
      </c>
      <c r="T3798">
        <f>IF(H3798="OK",N3798,"")</f>
        <v/>
      </c>
      <c r="U3798">
        <f>TRIM('Cash_Check'!C798)</f>
        <v/>
      </c>
    </row>
    <row r="3799">
      <c r="A3799" s="62">
        <f>IF(H3799="","",IF(ISNUMBER(N3799),N3799,I3799))</f>
        <v/>
      </c>
      <c r="B3799">
        <f>IF(H3799="","",U3799)</f>
        <v/>
      </c>
      <c r="C3799">
        <f>IF(H3799="","",IF(P3799="",K3799,INDEX('Students'!$A$2:$A$701,P3799)))</f>
        <v/>
      </c>
      <c r="D3799">
        <f>IF(OR(H3799="",P3799=""),"",INDEX('Students'!$B$2:$B$701,P3799))</f>
        <v/>
      </c>
      <c r="E3799">
        <f>IF(OR(H3799="",P3799=""),"",INDEX('Students'!$C$2:$C$701,P3799))</f>
        <v/>
      </c>
      <c r="F3799" s="48">
        <f>IF(H3799="","",IF(ISNUMBER(O3799),O3799,J3799))</f>
        <v/>
      </c>
      <c r="G3799">
        <f>IF(H3799="","",M3799)</f>
        <v/>
      </c>
      <c r="H3799">
        <f>IF(AND(I3799="",J3799="",K3799=""),"",IF(OR(NOT(ISNUMBER(O3799)),N(O3799)&lt;=0),"Bad amount",IF(NOT(ISNUMBER(N3799)),"Bad date",IF(P3799="","NAME NOT ON ROSTER","OK"))))</f>
        <v/>
      </c>
      <c r="I3799">
        <f>IF('Cash_Check'!A799="","",'Cash_Check'!A799)</f>
        <v/>
      </c>
      <c r="J3799">
        <f>IF('Cash_Check'!D799="","",'Cash_Check'!D799)</f>
        <v/>
      </c>
      <c r="K3799">
        <f>TRIM('Cash_Check'!B799)</f>
        <v/>
      </c>
      <c r="M3799">
        <f>IF(TRIM('Cash_Check'!E799)="","Cash/check",TRIM('Cash_Check'!E799))</f>
        <v/>
      </c>
      <c r="N3799">
        <f>IF(I3799="","",IF(ISNUMBER(I3799),INT(I3799),IFERROR(INT(DATEVALUE(I3799)),IFERROR(INT(VALUE(I3799)),"bad"))))</f>
        <v/>
      </c>
      <c r="O3799">
        <f>IF(J3799="","",IF(ISNUMBER(J3799),ROUND(J3799,2),IFERROR(ROUND(VALUE(SUBSTITUTE(SUBSTITUTE(SUBSTITUTE(J3799,"$",""),",","")," ","")),2),"bad")))</f>
        <v/>
      </c>
      <c r="P3799">
        <f>IF(K3799="","",IFERROR(MATCH(IF(ISNUMBER(FIND("#",K3799)),TRIM(MID(K3799,FIND("#",K3799)+1,20)),UPPER(K3799)),'Students'!$AD$2:$AD$701,0),""))</f>
        <v/>
      </c>
      <c r="R3799">
        <f>IF(P3799="","",INDEX('Students'!$AD$2:$AD$701,P3799))</f>
        <v/>
      </c>
      <c r="S3799">
        <f>IF(H3799="OK",O3799,0)</f>
        <v/>
      </c>
      <c r="T3799">
        <f>IF(H3799="OK",N3799,"")</f>
        <v/>
      </c>
      <c r="U3799">
        <f>TRIM('Cash_Check'!C799)</f>
        <v/>
      </c>
    </row>
    <row r="3800">
      <c r="A3800" s="62">
        <f>IF(H3800="","",IF(ISNUMBER(N3800),N3800,I3800))</f>
        <v/>
      </c>
      <c r="B3800">
        <f>IF(H3800="","",U3800)</f>
        <v/>
      </c>
      <c r="C3800">
        <f>IF(H3800="","",IF(P3800="",K3800,INDEX('Students'!$A$2:$A$701,P3800)))</f>
        <v/>
      </c>
      <c r="D3800">
        <f>IF(OR(H3800="",P3800=""),"",INDEX('Students'!$B$2:$B$701,P3800))</f>
        <v/>
      </c>
      <c r="E3800">
        <f>IF(OR(H3800="",P3800=""),"",INDEX('Students'!$C$2:$C$701,P3800))</f>
        <v/>
      </c>
      <c r="F3800" s="48">
        <f>IF(H3800="","",IF(ISNUMBER(O3800),O3800,J3800))</f>
        <v/>
      </c>
      <c r="G3800">
        <f>IF(H3800="","",M3800)</f>
        <v/>
      </c>
      <c r="H3800">
        <f>IF(AND(I3800="",J3800="",K3800=""),"",IF(OR(NOT(ISNUMBER(O3800)),N(O3800)&lt;=0),"Bad amount",IF(NOT(ISNUMBER(N3800)),"Bad date",IF(P3800="","NAME NOT ON ROSTER","OK"))))</f>
        <v/>
      </c>
      <c r="I3800">
        <f>IF('Cash_Check'!A800="","",'Cash_Check'!A800)</f>
        <v/>
      </c>
      <c r="J3800">
        <f>IF('Cash_Check'!D800="","",'Cash_Check'!D800)</f>
        <v/>
      </c>
      <c r="K3800">
        <f>TRIM('Cash_Check'!B800)</f>
        <v/>
      </c>
      <c r="M3800">
        <f>IF(TRIM('Cash_Check'!E800)="","Cash/check",TRIM('Cash_Check'!E800))</f>
        <v/>
      </c>
      <c r="N3800">
        <f>IF(I3800="","",IF(ISNUMBER(I3800),INT(I3800),IFERROR(INT(DATEVALUE(I3800)),IFERROR(INT(VALUE(I3800)),"bad"))))</f>
        <v/>
      </c>
      <c r="O3800">
        <f>IF(J3800="","",IF(ISNUMBER(J3800),ROUND(J3800,2),IFERROR(ROUND(VALUE(SUBSTITUTE(SUBSTITUTE(SUBSTITUTE(J3800,"$",""),",","")," ","")),2),"bad")))</f>
        <v/>
      </c>
      <c r="P3800">
        <f>IF(K3800="","",IFERROR(MATCH(IF(ISNUMBER(FIND("#",K3800)),TRIM(MID(K3800,FIND("#",K3800)+1,20)),UPPER(K3800)),'Students'!$AD$2:$AD$701,0),""))</f>
        <v/>
      </c>
      <c r="R3800">
        <f>IF(P3800="","",INDEX('Students'!$AD$2:$AD$701,P3800))</f>
        <v/>
      </c>
      <c r="S3800">
        <f>IF(H3800="OK",O3800,0)</f>
        <v/>
      </c>
      <c r="T3800">
        <f>IF(H3800="OK",N3800,"")</f>
        <v/>
      </c>
      <c r="U3800">
        <f>TRIM('Cash_Check'!C800)</f>
        <v/>
      </c>
    </row>
    <row r="3801">
      <c r="A3801" s="62">
        <f>IF(H3801="","",IF(ISNUMBER(N3801),N3801,I3801))</f>
        <v/>
      </c>
      <c r="B3801">
        <f>IF(H3801="","",U3801)</f>
        <v/>
      </c>
      <c r="C3801">
        <f>IF(H3801="","",IF(P3801="",K3801,INDEX('Students'!$A$2:$A$701,P3801)))</f>
        <v/>
      </c>
      <c r="D3801">
        <f>IF(OR(H3801="",P3801=""),"",INDEX('Students'!$B$2:$B$701,P3801))</f>
        <v/>
      </c>
      <c r="E3801">
        <f>IF(OR(H3801="",P3801=""),"",INDEX('Students'!$C$2:$C$701,P3801))</f>
        <v/>
      </c>
      <c r="F3801" s="48">
        <f>IF(H3801="","",IF(ISNUMBER(O3801),O3801,J3801))</f>
        <v/>
      </c>
      <c r="G3801">
        <f>IF(H3801="","",M3801)</f>
        <v/>
      </c>
      <c r="H3801">
        <f>IF(AND(I3801="",J3801="",K3801=""),"",IF(OR(NOT(ISNUMBER(O3801)),N(O3801)&lt;=0),"Bad amount",IF(NOT(ISNUMBER(N3801)),"Bad date",IF(P3801="","NAME NOT ON ROSTER","OK"))))</f>
        <v/>
      </c>
      <c r="I3801">
        <f>IF('Cash_Check'!A801="","",'Cash_Check'!A801)</f>
        <v/>
      </c>
      <c r="J3801">
        <f>IF('Cash_Check'!D801="","",'Cash_Check'!D801)</f>
        <v/>
      </c>
      <c r="K3801">
        <f>TRIM('Cash_Check'!B801)</f>
        <v/>
      </c>
      <c r="M3801">
        <f>IF(TRIM('Cash_Check'!E801)="","Cash/check",TRIM('Cash_Check'!E801))</f>
        <v/>
      </c>
      <c r="N3801">
        <f>IF(I3801="","",IF(ISNUMBER(I3801),INT(I3801),IFERROR(INT(DATEVALUE(I3801)),IFERROR(INT(VALUE(I3801)),"bad"))))</f>
        <v/>
      </c>
      <c r="O3801">
        <f>IF(J3801="","",IF(ISNUMBER(J3801),ROUND(J3801,2),IFERROR(ROUND(VALUE(SUBSTITUTE(SUBSTITUTE(SUBSTITUTE(J3801,"$",""),",","")," ","")),2),"bad")))</f>
        <v/>
      </c>
      <c r="P3801">
        <f>IF(K3801="","",IFERROR(MATCH(IF(ISNUMBER(FIND("#",K3801)),TRIM(MID(K3801,FIND("#",K3801)+1,20)),UPPER(K3801)),'Students'!$AD$2:$AD$701,0),""))</f>
        <v/>
      </c>
      <c r="R3801">
        <f>IF(P3801="","",INDEX('Students'!$AD$2:$AD$701,P3801))</f>
        <v/>
      </c>
      <c r="S3801">
        <f>IF(H3801="OK",O3801,0)</f>
        <v/>
      </c>
      <c r="T3801">
        <f>IF(H3801="OK",N3801,"")</f>
        <v/>
      </c>
      <c r="U3801">
        <f>TRIM('Cash_Check'!C801)</f>
        <v/>
      </c>
    </row>
    <row r="3802">
      <c r="A3802" s="62">
        <f>IF(H3802="","",IF(ISNUMBER(N3802),N3802,I3802))</f>
        <v/>
      </c>
      <c r="B3802">
        <f>IF(H3802="","",U3802)</f>
        <v/>
      </c>
      <c r="C3802">
        <f>IF(H3802="","",IF(P3802="",K3802,INDEX('Students'!$A$2:$A$701,P3802)))</f>
        <v/>
      </c>
      <c r="D3802">
        <f>IF(OR(H3802="",P3802=""),"",INDEX('Students'!$B$2:$B$701,P3802))</f>
        <v/>
      </c>
      <c r="E3802">
        <f>IF(OR(H3802="",P3802=""),"",INDEX('Students'!$C$2:$C$701,P3802))</f>
        <v/>
      </c>
      <c r="F3802" s="48">
        <f>IF(H3802="","",IF(ISNUMBER(O3802),O3802,J3802))</f>
        <v/>
      </c>
      <c r="G3802">
        <f>IF(H3802="","",M3802)</f>
        <v/>
      </c>
      <c r="H3802">
        <f>IF(AND(I3802="",J3802="",K3802=""),"",IF(OR(NOT(ISNUMBER(O3802)),N(O3802)&lt;=0),"Bad amount",IF(NOT(ISNUMBER(N3802)),"Bad date",IF(P3802="","NAME NOT ON ROSTER","OK"))))</f>
        <v/>
      </c>
      <c r="I3802">
        <f>IF('Cash_Check'!A802="","",'Cash_Check'!A802)</f>
        <v/>
      </c>
      <c r="J3802">
        <f>IF('Cash_Check'!D802="","",'Cash_Check'!D802)</f>
        <v/>
      </c>
      <c r="K3802">
        <f>TRIM('Cash_Check'!B802)</f>
        <v/>
      </c>
      <c r="M3802">
        <f>IF(TRIM('Cash_Check'!E802)="","Cash/check",TRIM('Cash_Check'!E802))</f>
        <v/>
      </c>
      <c r="N3802">
        <f>IF(I3802="","",IF(ISNUMBER(I3802),INT(I3802),IFERROR(INT(DATEVALUE(I3802)),IFERROR(INT(VALUE(I3802)),"bad"))))</f>
        <v/>
      </c>
      <c r="O3802">
        <f>IF(J3802="","",IF(ISNUMBER(J3802),ROUND(J3802,2),IFERROR(ROUND(VALUE(SUBSTITUTE(SUBSTITUTE(SUBSTITUTE(J3802,"$",""),",","")," ","")),2),"bad")))</f>
        <v/>
      </c>
      <c r="P3802">
        <f>IF(K3802="","",IFERROR(MATCH(IF(ISNUMBER(FIND("#",K3802)),TRIM(MID(K3802,FIND("#",K3802)+1,20)),UPPER(K3802)),'Students'!$AD$2:$AD$701,0),""))</f>
        <v/>
      </c>
      <c r="R3802">
        <f>IF(P3802="","",INDEX('Students'!$AD$2:$AD$701,P3802))</f>
        <v/>
      </c>
      <c r="S3802">
        <f>IF(H3802="OK",O3802,0)</f>
        <v/>
      </c>
      <c r="T3802">
        <f>IF(H3802="OK",N3802,"")</f>
        <v/>
      </c>
      <c r="U3802">
        <f>TRIM('Cash_Check'!C802)</f>
        <v/>
      </c>
    </row>
    <row r="3803">
      <c r="A3803" s="62">
        <f>IF(H3803="","",IF(ISNUMBER(N3803),N3803,I3803))</f>
        <v/>
      </c>
      <c r="B3803">
        <f>IF(H3803="","",U3803)</f>
        <v/>
      </c>
      <c r="C3803">
        <f>IF(H3803="","",IF(P3803="",K3803,INDEX('Students'!$A$2:$A$701,P3803)))</f>
        <v/>
      </c>
      <c r="D3803">
        <f>IF(OR(H3803="",P3803=""),"",INDEX('Students'!$B$2:$B$701,P3803))</f>
        <v/>
      </c>
      <c r="E3803">
        <f>IF(OR(H3803="",P3803=""),"",INDEX('Students'!$C$2:$C$701,P3803))</f>
        <v/>
      </c>
      <c r="F3803" s="48">
        <f>IF(H3803="","",IF(ISNUMBER(O3803),O3803,J3803))</f>
        <v/>
      </c>
      <c r="G3803">
        <f>IF(H3803="","",M3803)</f>
        <v/>
      </c>
      <c r="H3803">
        <f>IF(AND(I3803="",J3803="",K3803=""),"",IF(OR(NOT(ISNUMBER(O3803)),N(O3803)&lt;=0),"Bad amount",IF(NOT(ISNUMBER(N3803)),"Bad date",IF(P3803="","NAME NOT ON ROSTER","OK"))))</f>
        <v/>
      </c>
      <c r="I3803">
        <f>IF('Cash_Check'!A803="","",'Cash_Check'!A803)</f>
        <v/>
      </c>
      <c r="J3803">
        <f>IF('Cash_Check'!D803="","",'Cash_Check'!D803)</f>
        <v/>
      </c>
      <c r="K3803">
        <f>TRIM('Cash_Check'!B803)</f>
        <v/>
      </c>
      <c r="M3803">
        <f>IF(TRIM('Cash_Check'!E803)="","Cash/check",TRIM('Cash_Check'!E803))</f>
        <v/>
      </c>
      <c r="N3803">
        <f>IF(I3803="","",IF(ISNUMBER(I3803),INT(I3803),IFERROR(INT(DATEVALUE(I3803)),IFERROR(INT(VALUE(I3803)),"bad"))))</f>
        <v/>
      </c>
      <c r="O3803">
        <f>IF(J3803="","",IF(ISNUMBER(J3803),ROUND(J3803,2),IFERROR(ROUND(VALUE(SUBSTITUTE(SUBSTITUTE(SUBSTITUTE(J3803,"$",""),",","")," ","")),2),"bad")))</f>
        <v/>
      </c>
      <c r="P3803">
        <f>IF(K3803="","",IFERROR(MATCH(IF(ISNUMBER(FIND("#",K3803)),TRIM(MID(K3803,FIND("#",K3803)+1,20)),UPPER(K3803)),'Students'!$AD$2:$AD$701,0),""))</f>
        <v/>
      </c>
      <c r="R3803">
        <f>IF(P3803="","",INDEX('Students'!$AD$2:$AD$701,P3803))</f>
        <v/>
      </c>
      <c r="S3803">
        <f>IF(H3803="OK",O3803,0)</f>
        <v/>
      </c>
      <c r="T3803">
        <f>IF(H3803="OK",N3803,"")</f>
        <v/>
      </c>
      <c r="U3803">
        <f>TRIM('Cash_Check'!C803)</f>
        <v/>
      </c>
    </row>
    <row r="3804">
      <c r="A3804" s="62">
        <f>IF(H3804="","",IF(ISNUMBER(N3804),N3804,I3804))</f>
        <v/>
      </c>
      <c r="B3804">
        <f>IF(H3804="","",U3804)</f>
        <v/>
      </c>
      <c r="C3804">
        <f>IF(H3804="","",IF(P3804="",K3804,INDEX('Students'!$A$2:$A$701,P3804)))</f>
        <v/>
      </c>
      <c r="D3804">
        <f>IF(OR(H3804="",P3804=""),"",INDEX('Students'!$B$2:$B$701,P3804))</f>
        <v/>
      </c>
      <c r="E3804">
        <f>IF(OR(H3804="",P3804=""),"",INDEX('Students'!$C$2:$C$701,P3804))</f>
        <v/>
      </c>
      <c r="F3804" s="48">
        <f>IF(H3804="","",IF(ISNUMBER(O3804),O3804,J3804))</f>
        <v/>
      </c>
      <c r="G3804">
        <f>IF(H3804="","",M3804)</f>
        <v/>
      </c>
      <c r="H3804">
        <f>IF(AND(I3804="",J3804="",K3804=""),"",IF(OR(NOT(ISNUMBER(O3804)),N(O3804)&lt;=0),"Bad amount",IF(NOT(ISNUMBER(N3804)),"Bad date",IF(P3804="","NAME NOT ON ROSTER","OK"))))</f>
        <v/>
      </c>
      <c r="I3804">
        <f>IF('Cash_Check'!A804="","",'Cash_Check'!A804)</f>
        <v/>
      </c>
      <c r="J3804">
        <f>IF('Cash_Check'!D804="","",'Cash_Check'!D804)</f>
        <v/>
      </c>
      <c r="K3804">
        <f>TRIM('Cash_Check'!B804)</f>
        <v/>
      </c>
      <c r="M3804">
        <f>IF(TRIM('Cash_Check'!E804)="","Cash/check",TRIM('Cash_Check'!E804))</f>
        <v/>
      </c>
      <c r="N3804">
        <f>IF(I3804="","",IF(ISNUMBER(I3804),INT(I3804),IFERROR(INT(DATEVALUE(I3804)),IFERROR(INT(VALUE(I3804)),"bad"))))</f>
        <v/>
      </c>
      <c r="O3804">
        <f>IF(J3804="","",IF(ISNUMBER(J3804),ROUND(J3804,2),IFERROR(ROUND(VALUE(SUBSTITUTE(SUBSTITUTE(SUBSTITUTE(J3804,"$",""),",","")," ","")),2),"bad")))</f>
        <v/>
      </c>
      <c r="P3804">
        <f>IF(K3804="","",IFERROR(MATCH(IF(ISNUMBER(FIND("#",K3804)),TRIM(MID(K3804,FIND("#",K3804)+1,20)),UPPER(K3804)),'Students'!$AD$2:$AD$701,0),""))</f>
        <v/>
      </c>
      <c r="R3804">
        <f>IF(P3804="","",INDEX('Students'!$AD$2:$AD$701,P3804))</f>
        <v/>
      </c>
      <c r="S3804">
        <f>IF(H3804="OK",O3804,0)</f>
        <v/>
      </c>
      <c r="T3804">
        <f>IF(H3804="OK",N3804,"")</f>
        <v/>
      </c>
      <c r="U3804">
        <f>TRIM('Cash_Check'!C804)</f>
        <v/>
      </c>
    </row>
    <row r="3805">
      <c r="A3805" s="62">
        <f>IF(H3805="","",IF(ISNUMBER(N3805),N3805,I3805))</f>
        <v/>
      </c>
      <c r="B3805">
        <f>IF(H3805="","",U3805)</f>
        <v/>
      </c>
      <c r="C3805">
        <f>IF(H3805="","",IF(P3805="",K3805,INDEX('Students'!$A$2:$A$701,P3805)))</f>
        <v/>
      </c>
      <c r="D3805">
        <f>IF(OR(H3805="",P3805=""),"",INDEX('Students'!$B$2:$B$701,P3805))</f>
        <v/>
      </c>
      <c r="E3805">
        <f>IF(OR(H3805="",P3805=""),"",INDEX('Students'!$C$2:$C$701,P3805))</f>
        <v/>
      </c>
      <c r="F3805" s="48">
        <f>IF(H3805="","",IF(ISNUMBER(O3805),O3805,J3805))</f>
        <v/>
      </c>
      <c r="G3805">
        <f>IF(H3805="","",M3805)</f>
        <v/>
      </c>
      <c r="H3805">
        <f>IF(AND(I3805="",J3805="",K3805=""),"",IF(OR(NOT(ISNUMBER(O3805)),N(O3805)&lt;=0),"Bad amount",IF(NOT(ISNUMBER(N3805)),"Bad date",IF(P3805="","NAME NOT ON ROSTER","OK"))))</f>
        <v/>
      </c>
      <c r="I3805">
        <f>IF('Cash_Check'!A805="","",'Cash_Check'!A805)</f>
        <v/>
      </c>
      <c r="J3805">
        <f>IF('Cash_Check'!D805="","",'Cash_Check'!D805)</f>
        <v/>
      </c>
      <c r="K3805">
        <f>TRIM('Cash_Check'!B805)</f>
        <v/>
      </c>
      <c r="M3805">
        <f>IF(TRIM('Cash_Check'!E805)="","Cash/check",TRIM('Cash_Check'!E805))</f>
        <v/>
      </c>
      <c r="N3805">
        <f>IF(I3805="","",IF(ISNUMBER(I3805),INT(I3805),IFERROR(INT(DATEVALUE(I3805)),IFERROR(INT(VALUE(I3805)),"bad"))))</f>
        <v/>
      </c>
      <c r="O3805">
        <f>IF(J3805="","",IF(ISNUMBER(J3805),ROUND(J3805,2),IFERROR(ROUND(VALUE(SUBSTITUTE(SUBSTITUTE(SUBSTITUTE(J3805,"$",""),",","")," ","")),2),"bad")))</f>
        <v/>
      </c>
      <c r="P3805">
        <f>IF(K3805="","",IFERROR(MATCH(IF(ISNUMBER(FIND("#",K3805)),TRIM(MID(K3805,FIND("#",K3805)+1,20)),UPPER(K3805)),'Students'!$AD$2:$AD$701,0),""))</f>
        <v/>
      </c>
      <c r="R3805">
        <f>IF(P3805="","",INDEX('Students'!$AD$2:$AD$701,P3805))</f>
        <v/>
      </c>
      <c r="S3805">
        <f>IF(H3805="OK",O3805,0)</f>
        <v/>
      </c>
      <c r="T3805">
        <f>IF(H3805="OK",N3805,"")</f>
        <v/>
      </c>
      <c r="U3805">
        <f>TRIM('Cash_Check'!C805)</f>
        <v/>
      </c>
    </row>
    <row r="3806">
      <c r="A3806" s="62">
        <f>IF(H3806="","",IF(ISNUMBER(N3806),N3806,I3806))</f>
        <v/>
      </c>
      <c r="B3806">
        <f>IF(H3806="","",U3806)</f>
        <v/>
      </c>
      <c r="C3806">
        <f>IF(H3806="","",IF(P3806="",K3806,INDEX('Students'!$A$2:$A$701,P3806)))</f>
        <v/>
      </c>
      <c r="D3806">
        <f>IF(OR(H3806="",P3806=""),"",INDEX('Students'!$B$2:$B$701,P3806))</f>
        <v/>
      </c>
      <c r="E3806">
        <f>IF(OR(H3806="",P3806=""),"",INDEX('Students'!$C$2:$C$701,P3806))</f>
        <v/>
      </c>
      <c r="F3806" s="48">
        <f>IF(H3806="","",IF(ISNUMBER(O3806),O3806,J3806))</f>
        <v/>
      </c>
      <c r="G3806">
        <f>IF(H3806="","",M3806)</f>
        <v/>
      </c>
      <c r="H3806">
        <f>IF(AND(I3806="",J3806="",K3806=""),"",IF(OR(NOT(ISNUMBER(O3806)),N(O3806)&lt;=0),"Bad amount",IF(NOT(ISNUMBER(N3806)),"Bad date",IF(P3806="","NAME NOT ON ROSTER","OK"))))</f>
        <v/>
      </c>
      <c r="I3806">
        <f>IF('Cash_Check'!A806="","",'Cash_Check'!A806)</f>
        <v/>
      </c>
      <c r="J3806">
        <f>IF('Cash_Check'!D806="","",'Cash_Check'!D806)</f>
        <v/>
      </c>
      <c r="K3806">
        <f>TRIM('Cash_Check'!B806)</f>
        <v/>
      </c>
      <c r="M3806">
        <f>IF(TRIM('Cash_Check'!E806)="","Cash/check",TRIM('Cash_Check'!E806))</f>
        <v/>
      </c>
      <c r="N3806">
        <f>IF(I3806="","",IF(ISNUMBER(I3806),INT(I3806),IFERROR(INT(DATEVALUE(I3806)),IFERROR(INT(VALUE(I3806)),"bad"))))</f>
        <v/>
      </c>
      <c r="O3806">
        <f>IF(J3806="","",IF(ISNUMBER(J3806),ROUND(J3806,2),IFERROR(ROUND(VALUE(SUBSTITUTE(SUBSTITUTE(SUBSTITUTE(J3806,"$",""),",","")," ","")),2),"bad")))</f>
        <v/>
      </c>
      <c r="P3806">
        <f>IF(K3806="","",IFERROR(MATCH(IF(ISNUMBER(FIND("#",K3806)),TRIM(MID(K3806,FIND("#",K3806)+1,20)),UPPER(K3806)),'Students'!$AD$2:$AD$701,0),""))</f>
        <v/>
      </c>
      <c r="R3806">
        <f>IF(P3806="","",INDEX('Students'!$AD$2:$AD$701,P3806))</f>
        <v/>
      </c>
      <c r="S3806">
        <f>IF(H3806="OK",O3806,0)</f>
        <v/>
      </c>
      <c r="T3806">
        <f>IF(H3806="OK",N3806,"")</f>
        <v/>
      </c>
      <c r="U3806">
        <f>TRIM('Cash_Check'!C806)</f>
        <v/>
      </c>
    </row>
    <row r="3807">
      <c r="A3807" s="62">
        <f>IF(H3807="","",IF(ISNUMBER(N3807),N3807,I3807))</f>
        <v/>
      </c>
      <c r="B3807">
        <f>IF(H3807="","",U3807)</f>
        <v/>
      </c>
      <c r="C3807">
        <f>IF(H3807="","",IF(P3807="",K3807,INDEX('Students'!$A$2:$A$701,P3807)))</f>
        <v/>
      </c>
      <c r="D3807">
        <f>IF(OR(H3807="",P3807=""),"",INDEX('Students'!$B$2:$B$701,P3807))</f>
        <v/>
      </c>
      <c r="E3807">
        <f>IF(OR(H3807="",P3807=""),"",INDEX('Students'!$C$2:$C$701,P3807))</f>
        <v/>
      </c>
      <c r="F3807" s="48">
        <f>IF(H3807="","",IF(ISNUMBER(O3807),O3807,J3807))</f>
        <v/>
      </c>
      <c r="G3807">
        <f>IF(H3807="","",M3807)</f>
        <v/>
      </c>
      <c r="H3807">
        <f>IF(AND(I3807="",J3807="",K3807=""),"",IF(OR(NOT(ISNUMBER(O3807)),N(O3807)&lt;=0),"Bad amount",IF(NOT(ISNUMBER(N3807)),"Bad date",IF(P3807="","NAME NOT ON ROSTER","OK"))))</f>
        <v/>
      </c>
      <c r="I3807">
        <f>IF('Cash_Check'!A807="","",'Cash_Check'!A807)</f>
        <v/>
      </c>
      <c r="J3807">
        <f>IF('Cash_Check'!D807="","",'Cash_Check'!D807)</f>
        <v/>
      </c>
      <c r="K3807">
        <f>TRIM('Cash_Check'!B807)</f>
        <v/>
      </c>
      <c r="M3807">
        <f>IF(TRIM('Cash_Check'!E807)="","Cash/check",TRIM('Cash_Check'!E807))</f>
        <v/>
      </c>
      <c r="N3807">
        <f>IF(I3807="","",IF(ISNUMBER(I3807),INT(I3807),IFERROR(INT(DATEVALUE(I3807)),IFERROR(INT(VALUE(I3807)),"bad"))))</f>
        <v/>
      </c>
      <c r="O3807">
        <f>IF(J3807="","",IF(ISNUMBER(J3807),ROUND(J3807,2),IFERROR(ROUND(VALUE(SUBSTITUTE(SUBSTITUTE(SUBSTITUTE(J3807,"$",""),",","")," ","")),2),"bad")))</f>
        <v/>
      </c>
      <c r="P3807">
        <f>IF(K3807="","",IFERROR(MATCH(IF(ISNUMBER(FIND("#",K3807)),TRIM(MID(K3807,FIND("#",K3807)+1,20)),UPPER(K3807)),'Students'!$AD$2:$AD$701,0),""))</f>
        <v/>
      </c>
      <c r="R3807">
        <f>IF(P3807="","",INDEX('Students'!$AD$2:$AD$701,P3807))</f>
        <v/>
      </c>
      <c r="S3807">
        <f>IF(H3807="OK",O3807,0)</f>
        <v/>
      </c>
      <c r="T3807">
        <f>IF(H3807="OK",N3807,"")</f>
        <v/>
      </c>
      <c r="U3807">
        <f>TRIM('Cash_Check'!C807)</f>
        <v/>
      </c>
    </row>
    <row r="3808">
      <c r="A3808" s="62">
        <f>IF(H3808="","",IF(ISNUMBER(N3808),N3808,I3808))</f>
        <v/>
      </c>
      <c r="B3808">
        <f>IF(H3808="","",U3808)</f>
        <v/>
      </c>
      <c r="C3808">
        <f>IF(H3808="","",IF(P3808="",K3808,INDEX('Students'!$A$2:$A$701,P3808)))</f>
        <v/>
      </c>
      <c r="D3808">
        <f>IF(OR(H3808="",P3808=""),"",INDEX('Students'!$B$2:$B$701,P3808))</f>
        <v/>
      </c>
      <c r="E3808">
        <f>IF(OR(H3808="",P3808=""),"",INDEX('Students'!$C$2:$C$701,P3808))</f>
        <v/>
      </c>
      <c r="F3808" s="48">
        <f>IF(H3808="","",IF(ISNUMBER(O3808),O3808,J3808))</f>
        <v/>
      </c>
      <c r="G3808">
        <f>IF(H3808="","",M3808)</f>
        <v/>
      </c>
      <c r="H3808">
        <f>IF(AND(I3808="",J3808="",K3808=""),"",IF(OR(NOT(ISNUMBER(O3808)),N(O3808)&lt;=0),"Bad amount",IF(NOT(ISNUMBER(N3808)),"Bad date",IF(P3808="","NAME NOT ON ROSTER","OK"))))</f>
        <v/>
      </c>
      <c r="I3808">
        <f>IF('Cash_Check'!A808="","",'Cash_Check'!A808)</f>
        <v/>
      </c>
      <c r="J3808">
        <f>IF('Cash_Check'!D808="","",'Cash_Check'!D808)</f>
        <v/>
      </c>
      <c r="K3808">
        <f>TRIM('Cash_Check'!B808)</f>
        <v/>
      </c>
      <c r="M3808">
        <f>IF(TRIM('Cash_Check'!E808)="","Cash/check",TRIM('Cash_Check'!E808))</f>
        <v/>
      </c>
      <c r="N3808">
        <f>IF(I3808="","",IF(ISNUMBER(I3808),INT(I3808),IFERROR(INT(DATEVALUE(I3808)),IFERROR(INT(VALUE(I3808)),"bad"))))</f>
        <v/>
      </c>
      <c r="O3808">
        <f>IF(J3808="","",IF(ISNUMBER(J3808),ROUND(J3808,2),IFERROR(ROUND(VALUE(SUBSTITUTE(SUBSTITUTE(SUBSTITUTE(J3808,"$",""),",","")," ","")),2),"bad")))</f>
        <v/>
      </c>
      <c r="P3808">
        <f>IF(K3808="","",IFERROR(MATCH(IF(ISNUMBER(FIND("#",K3808)),TRIM(MID(K3808,FIND("#",K3808)+1,20)),UPPER(K3808)),'Students'!$AD$2:$AD$701,0),""))</f>
        <v/>
      </c>
      <c r="R3808">
        <f>IF(P3808="","",INDEX('Students'!$AD$2:$AD$701,P3808))</f>
        <v/>
      </c>
      <c r="S3808">
        <f>IF(H3808="OK",O3808,0)</f>
        <v/>
      </c>
      <c r="T3808">
        <f>IF(H3808="OK",N3808,"")</f>
        <v/>
      </c>
      <c r="U3808">
        <f>TRIM('Cash_Check'!C808)</f>
        <v/>
      </c>
    </row>
    <row r="3809">
      <c r="A3809" s="62">
        <f>IF(H3809="","",IF(ISNUMBER(N3809),N3809,I3809))</f>
        <v/>
      </c>
      <c r="B3809">
        <f>IF(H3809="","",U3809)</f>
        <v/>
      </c>
      <c r="C3809">
        <f>IF(H3809="","",IF(P3809="",K3809,INDEX('Students'!$A$2:$A$701,P3809)))</f>
        <v/>
      </c>
      <c r="D3809">
        <f>IF(OR(H3809="",P3809=""),"",INDEX('Students'!$B$2:$B$701,P3809))</f>
        <v/>
      </c>
      <c r="E3809">
        <f>IF(OR(H3809="",P3809=""),"",INDEX('Students'!$C$2:$C$701,P3809))</f>
        <v/>
      </c>
      <c r="F3809" s="48">
        <f>IF(H3809="","",IF(ISNUMBER(O3809),O3809,J3809))</f>
        <v/>
      </c>
      <c r="G3809">
        <f>IF(H3809="","",M3809)</f>
        <v/>
      </c>
      <c r="H3809">
        <f>IF(AND(I3809="",J3809="",K3809=""),"",IF(OR(NOT(ISNUMBER(O3809)),N(O3809)&lt;=0),"Bad amount",IF(NOT(ISNUMBER(N3809)),"Bad date",IF(P3809="","NAME NOT ON ROSTER","OK"))))</f>
        <v/>
      </c>
      <c r="I3809">
        <f>IF('Cash_Check'!A809="","",'Cash_Check'!A809)</f>
        <v/>
      </c>
      <c r="J3809">
        <f>IF('Cash_Check'!D809="","",'Cash_Check'!D809)</f>
        <v/>
      </c>
      <c r="K3809">
        <f>TRIM('Cash_Check'!B809)</f>
        <v/>
      </c>
      <c r="M3809">
        <f>IF(TRIM('Cash_Check'!E809)="","Cash/check",TRIM('Cash_Check'!E809))</f>
        <v/>
      </c>
      <c r="N3809">
        <f>IF(I3809="","",IF(ISNUMBER(I3809),INT(I3809),IFERROR(INT(DATEVALUE(I3809)),IFERROR(INT(VALUE(I3809)),"bad"))))</f>
        <v/>
      </c>
      <c r="O3809">
        <f>IF(J3809="","",IF(ISNUMBER(J3809),ROUND(J3809,2),IFERROR(ROUND(VALUE(SUBSTITUTE(SUBSTITUTE(SUBSTITUTE(J3809,"$",""),",","")," ","")),2),"bad")))</f>
        <v/>
      </c>
      <c r="P3809">
        <f>IF(K3809="","",IFERROR(MATCH(IF(ISNUMBER(FIND("#",K3809)),TRIM(MID(K3809,FIND("#",K3809)+1,20)),UPPER(K3809)),'Students'!$AD$2:$AD$701,0),""))</f>
        <v/>
      </c>
      <c r="R3809">
        <f>IF(P3809="","",INDEX('Students'!$AD$2:$AD$701,P3809))</f>
        <v/>
      </c>
      <c r="S3809">
        <f>IF(H3809="OK",O3809,0)</f>
        <v/>
      </c>
      <c r="T3809">
        <f>IF(H3809="OK",N3809,"")</f>
        <v/>
      </c>
      <c r="U3809">
        <f>TRIM('Cash_Check'!C809)</f>
        <v/>
      </c>
    </row>
    <row r="3810">
      <c r="A3810" s="62">
        <f>IF(H3810="","",IF(ISNUMBER(N3810),N3810,I3810))</f>
        <v/>
      </c>
      <c r="B3810">
        <f>IF(H3810="","",U3810)</f>
        <v/>
      </c>
      <c r="C3810">
        <f>IF(H3810="","",IF(P3810="",K3810,INDEX('Students'!$A$2:$A$701,P3810)))</f>
        <v/>
      </c>
      <c r="D3810">
        <f>IF(OR(H3810="",P3810=""),"",INDEX('Students'!$B$2:$B$701,P3810))</f>
        <v/>
      </c>
      <c r="E3810">
        <f>IF(OR(H3810="",P3810=""),"",INDEX('Students'!$C$2:$C$701,P3810))</f>
        <v/>
      </c>
      <c r="F3810" s="48">
        <f>IF(H3810="","",IF(ISNUMBER(O3810),O3810,J3810))</f>
        <v/>
      </c>
      <c r="G3810">
        <f>IF(H3810="","",M3810)</f>
        <v/>
      </c>
      <c r="H3810">
        <f>IF(AND(I3810="",J3810="",K3810=""),"",IF(OR(NOT(ISNUMBER(O3810)),N(O3810)&lt;=0),"Bad amount",IF(NOT(ISNUMBER(N3810)),"Bad date",IF(P3810="","NAME NOT ON ROSTER","OK"))))</f>
        <v/>
      </c>
      <c r="I3810">
        <f>IF('Cash_Check'!A810="","",'Cash_Check'!A810)</f>
        <v/>
      </c>
      <c r="J3810">
        <f>IF('Cash_Check'!D810="","",'Cash_Check'!D810)</f>
        <v/>
      </c>
      <c r="K3810">
        <f>TRIM('Cash_Check'!B810)</f>
        <v/>
      </c>
      <c r="M3810">
        <f>IF(TRIM('Cash_Check'!E810)="","Cash/check",TRIM('Cash_Check'!E810))</f>
        <v/>
      </c>
      <c r="N3810">
        <f>IF(I3810="","",IF(ISNUMBER(I3810),INT(I3810),IFERROR(INT(DATEVALUE(I3810)),IFERROR(INT(VALUE(I3810)),"bad"))))</f>
        <v/>
      </c>
      <c r="O3810">
        <f>IF(J3810="","",IF(ISNUMBER(J3810),ROUND(J3810,2),IFERROR(ROUND(VALUE(SUBSTITUTE(SUBSTITUTE(SUBSTITUTE(J3810,"$",""),",","")," ","")),2),"bad")))</f>
        <v/>
      </c>
      <c r="P3810">
        <f>IF(K3810="","",IFERROR(MATCH(IF(ISNUMBER(FIND("#",K3810)),TRIM(MID(K3810,FIND("#",K3810)+1,20)),UPPER(K3810)),'Students'!$AD$2:$AD$701,0),""))</f>
        <v/>
      </c>
      <c r="R3810">
        <f>IF(P3810="","",INDEX('Students'!$AD$2:$AD$701,P3810))</f>
        <v/>
      </c>
      <c r="S3810">
        <f>IF(H3810="OK",O3810,0)</f>
        <v/>
      </c>
      <c r="T3810">
        <f>IF(H3810="OK",N3810,"")</f>
        <v/>
      </c>
      <c r="U3810">
        <f>TRIM('Cash_Check'!C810)</f>
        <v/>
      </c>
    </row>
    <row r="3811">
      <c r="A3811" s="62">
        <f>IF(H3811="","",IF(ISNUMBER(N3811),N3811,I3811))</f>
        <v/>
      </c>
      <c r="B3811">
        <f>IF(H3811="","",U3811)</f>
        <v/>
      </c>
      <c r="C3811">
        <f>IF(H3811="","",IF(P3811="",K3811,INDEX('Students'!$A$2:$A$701,P3811)))</f>
        <v/>
      </c>
      <c r="D3811">
        <f>IF(OR(H3811="",P3811=""),"",INDEX('Students'!$B$2:$B$701,P3811))</f>
        <v/>
      </c>
      <c r="E3811">
        <f>IF(OR(H3811="",P3811=""),"",INDEX('Students'!$C$2:$C$701,P3811))</f>
        <v/>
      </c>
      <c r="F3811" s="48">
        <f>IF(H3811="","",IF(ISNUMBER(O3811),O3811,J3811))</f>
        <v/>
      </c>
      <c r="G3811">
        <f>IF(H3811="","",M3811)</f>
        <v/>
      </c>
      <c r="H3811">
        <f>IF(AND(I3811="",J3811="",K3811=""),"",IF(OR(NOT(ISNUMBER(O3811)),N(O3811)&lt;=0),"Bad amount",IF(NOT(ISNUMBER(N3811)),"Bad date",IF(P3811="","NAME NOT ON ROSTER","OK"))))</f>
        <v/>
      </c>
      <c r="I3811">
        <f>IF('Cash_Check'!A811="","",'Cash_Check'!A811)</f>
        <v/>
      </c>
      <c r="J3811">
        <f>IF('Cash_Check'!D811="","",'Cash_Check'!D811)</f>
        <v/>
      </c>
      <c r="K3811">
        <f>TRIM('Cash_Check'!B811)</f>
        <v/>
      </c>
      <c r="M3811">
        <f>IF(TRIM('Cash_Check'!E811)="","Cash/check",TRIM('Cash_Check'!E811))</f>
        <v/>
      </c>
      <c r="N3811">
        <f>IF(I3811="","",IF(ISNUMBER(I3811),INT(I3811),IFERROR(INT(DATEVALUE(I3811)),IFERROR(INT(VALUE(I3811)),"bad"))))</f>
        <v/>
      </c>
      <c r="O3811">
        <f>IF(J3811="","",IF(ISNUMBER(J3811),ROUND(J3811,2),IFERROR(ROUND(VALUE(SUBSTITUTE(SUBSTITUTE(SUBSTITUTE(J3811,"$",""),",","")," ","")),2),"bad")))</f>
        <v/>
      </c>
      <c r="P3811">
        <f>IF(K3811="","",IFERROR(MATCH(IF(ISNUMBER(FIND("#",K3811)),TRIM(MID(K3811,FIND("#",K3811)+1,20)),UPPER(K3811)),'Students'!$AD$2:$AD$701,0),""))</f>
        <v/>
      </c>
      <c r="R3811">
        <f>IF(P3811="","",INDEX('Students'!$AD$2:$AD$701,P3811))</f>
        <v/>
      </c>
      <c r="S3811">
        <f>IF(H3811="OK",O3811,0)</f>
        <v/>
      </c>
      <c r="T3811">
        <f>IF(H3811="OK",N3811,"")</f>
        <v/>
      </c>
      <c r="U3811">
        <f>TRIM('Cash_Check'!C811)</f>
        <v/>
      </c>
    </row>
    <row r="3812">
      <c r="A3812" s="62">
        <f>IF(H3812="","",IF(ISNUMBER(N3812),N3812,I3812))</f>
        <v/>
      </c>
      <c r="B3812">
        <f>IF(H3812="","",U3812)</f>
        <v/>
      </c>
      <c r="C3812">
        <f>IF(H3812="","",IF(P3812="",K3812,INDEX('Students'!$A$2:$A$701,P3812)))</f>
        <v/>
      </c>
      <c r="D3812">
        <f>IF(OR(H3812="",P3812=""),"",INDEX('Students'!$B$2:$B$701,P3812))</f>
        <v/>
      </c>
      <c r="E3812">
        <f>IF(OR(H3812="",P3812=""),"",INDEX('Students'!$C$2:$C$701,P3812))</f>
        <v/>
      </c>
      <c r="F3812" s="48">
        <f>IF(H3812="","",IF(ISNUMBER(O3812),O3812,J3812))</f>
        <v/>
      </c>
      <c r="G3812">
        <f>IF(H3812="","",M3812)</f>
        <v/>
      </c>
      <c r="H3812">
        <f>IF(AND(I3812="",J3812="",K3812=""),"",IF(OR(NOT(ISNUMBER(O3812)),N(O3812)&lt;=0),"Bad amount",IF(NOT(ISNUMBER(N3812)),"Bad date",IF(P3812="","NAME NOT ON ROSTER","OK"))))</f>
        <v/>
      </c>
      <c r="I3812">
        <f>IF('Cash_Check'!A812="","",'Cash_Check'!A812)</f>
        <v/>
      </c>
      <c r="J3812">
        <f>IF('Cash_Check'!D812="","",'Cash_Check'!D812)</f>
        <v/>
      </c>
      <c r="K3812">
        <f>TRIM('Cash_Check'!B812)</f>
        <v/>
      </c>
      <c r="M3812">
        <f>IF(TRIM('Cash_Check'!E812)="","Cash/check",TRIM('Cash_Check'!E812))</f>
        <v/>
      </c>
      <c r="N3812">
        <f>IF(I3812="","",IF(ISNUMBER(I3812),INT(I3812),IFERROR(INT(DATEVALUE(I3812)),IFERROR(INT(VALUE(I3812)),"bad"))))</f>
        <v/>
      </c>
      <c r="O3812">
        <f>IF(J3812="","",IF(ISNUMBER(J3812),ROUND(J3812,2),IFERROR(ROUND(VALUE(SUBSTITUTE(SUBSTITUTE(SUBSTITUTE(J3812,"$",""),",","")," ","")),2),"bad")))</f>
        <v/>
      </c>
      <c r="P3812">
        <f>IF(K3812="","",IFERROR(MATCH(IF(ISNUMBER(FIND("#",K3812)),TRIM(MID(K3812,FIND("#",K3812)+1,20)),UPPER(K3812)),'Students'!$AD$2:$AD$701,0),""))</f>
        <v/>
      </c>
      <c r="R3812">
        <f>IF(P3812="","",INDEX('Students'!$AD$2:$AD$701,P3812))</f>
        <v/>
      </c>
      <c r="S3812">
        <f>IF(H3812="OK",O3812,0)</f>
        <v/>
      </c>
      <c r="T3812">
        <f>IF(H3812="OK",N3812,"")</f>
        <v/>
      </c>
      <c r="U3812">
        <f>TRIM('Cash_Check'!C812)</f>
        <v/>
      </c>
    </row>
    <row r="3813">
      <c r="A3813" s="62">
        <f>IF(H3813="","",IF(ISNUMBER(N3813),N3813,I3813))</f>
        <v/>
      </c>
      <c r="B3813">
        <f>IF(H3813="","",U3813)</f>
        <v/>
      </c>
      <c r="C3813">
        <f>IF(H3813="","",IF(P3813="",K3813,INDEX('Students'!$A$2:$A$701,P3813)))</f>
        <v/>
      </c>
      <c r="D3813">
        <f>IF(OR(H3813="",P3813=""),"",INDEX('Students'!$B$2:$B$701,P3813))</f>
        <v/>
      </c>
      <c r="E3813">
        <f>IF(OR(H3813="",P3813=""),"",INDEX('Students'!$C$2:$C$701,P3813))</f>
        <v/>
      </c>
      <c r="F3813" s="48">
        <f>IF(H3813="","",IF(ISNUMBER(O3813),O3813,J3813))</f>
        <v/>
      </c>
      <c r="G3813">
        <f>IF(H3813="","",M3813)</f>
        <v/>
      </c>
      <c r="H3813">
        <f>IF(AND(I3813="",J3813="",K3813=""),"",IF(OR(NOT(ISNUMBER(O3813)),N(O3813)&lt;=0),"Bad amount",IF(NOT(ISNUMBER(N3813)),"Bad date",IF(P3813="","NAME NOT ON ROSTER","OK"))))</f>
        <v/>
      </c>
      <c r="I3813">
        <f>IF('Cash_Check'!A813="","",'Cash_Check'!A813)</f>
        <v/>
      </c>
      <c r="J3813">
        <f>IF('Cash_Check'!D813="","",'Cash_Check'!D813)</f>
        <v/>
      </c>
      <c r="K3813">
        <f>TRIM('Cash_Check'!B813)</f>
        <v/>
      </c>
      <c r="M3813">
        <f>IF(TRIM('Cash_Check'!E813)="","Cash/check",TRIM('Cash_Check'!E813))</f>
        <v/>
      </c>
      <c r="N3813">
        <f>IF(I3813="","",IF(ISNUMBER(I3813),INT(I3813),IFERROR(INT(DATEVALUE(I3813)),IFERROR(INT(VALUE(I3813)),"bad"))))</f>
        <v/>
      </c>
      <c r="O3813">
        <f>IF(J3813="","",IF(ISNUMBER(J3813),ROUND(J3813,2),IFERROR(ROUND(VALUE(SUBSTITUTE(SUBSTITUTE(SUBSTITUTE(J3813,"$",""),",","")," ","")),2),"bad")))</f>
        <v/>
      </c>
      <c r="P3813">
        <f>IF(K3813="","",IFERROR(MATCH(IF(ISNUMBER(FIND("#",K3813)),TRIM(MID(K3813,FIND("#",K3813)+1,20)),UPPER(K3813)),'Students'!$AD$2:$AD$701,0),""))</f>
        <v/>
      </c>
      <c r="R3813">
        <f>IF(P3813="","",INDEX('Students'!$AD$2:$AD$701,P3813))</f>
        <v/>
      </c>
      <c r="S3813">
        <f>IF(H3813="OK",O3813,0)</f>
        <v/>
      </c>
      <c r="T3813">
        <f>IF(H3813="OK",N3813,"")</f>
        <v/>
      </c>
      <c r="U3813">
        <f>TRIM('Cash_Check'!C813)</f>
        <v/>
      </c>
    </row>
    <row r="3814">
      <c r="A3814" s="62">
        <f>IF(H3814="","",IF(ISNUMBER(N3814),N3814,I3814))</f>
        <v/>
      </c>
      <c r="B3814">
        <f>IF(H3814="","",U3814)</f>
        <v/>
      </c>
      <c r="C3814">
        <f>IF(H3814="","",IF(P3814="",K3814,INDEX('Students'!$A$2:$A$701,P3814)))</f>
        <v/>
      </c>
      <c r="D3814">
        <f>IF(OR(H3814="",P3814=""),"",INDEX('Students'!$B$2:$B$701,P3814))</f>
        <v/>
      </c>
      <c r="E3814">
        <f>IF(OR(H3814="",P3814=""),"",INDEX('Students'!$C$2:$C$701,P3814))</f>
        <v/>
      </c>
      <c r="F3814" s="48">
        <f>IF(H3814="","",IF(ISNUMBER(O3814),O3814,J3814))</f>
        <v/>
      </c>
      <c r="G3814">
        <f>IF(H3814="","",M3814)</f>
        <v/>
      </c>
      <c r="H3814">
        <f>IF(AND(I3814="",J3814="",K3814=""),"",IF(OR(NOT(ISNUMBER(O3814)),N(O3814)&lt;=0),"Bad amount",IF(NOT(ISNUMBER(N3814)),"Bad date",IF(P3814="","NAME NOT ON ROSTER","OK"))))</f>
        <v/>
      </c>
      <c r="I3814">
        <f>IF('Cash_Check'!A814="","",'Cash_Check'!A814)</f>
        <v/>
      </c>
      <c r="J3814">
        <f>IF('Cash_Check'!D814="","",'Cash_Check'!D814)</f>
        <v/>
      </c>
      <c r="K3814">
        <f>TRIM('Cash_Check'!B814)</f>
        <v/>
      </c>
      <c r="M3814">
        <f>IF(TRIM('Cash_Check'!E814)="","Cash/check",TRIM('Cash_Check'!E814))</f>
        <v/>
      </c>
      <c r="N3814">
        <f>IF(I3814="","",IF(ISNUMBER(I3814),INT(I3814),IFERROR(INT(DATEVALUE(I3814)),IFERROR(INT(VALUE(I3814)),"bad"))))</f>
        <v/>
      </c>
      <c r="O3814">
        <f>IF(J3814="","",IF(ISNUMBER(J3814),ROUND(J3814,2),IFERROR(ROUND(VALUE(SUBSTITUTE(SUBSTITUTE(SUBSTITUTE(J3814,"$",""),",","")," ","")),2),"bad")))</f>
        <v/>
      </c>
      <c r="P3814">
        <f>IF(K3814="","",IFERROR(MATCH(IF(ISNUMBER(FIND("#",K3814)),TRIM(MID(K3814,FIND("#",K3814)+1,20)),UPPER(K3814)),'Students'!$AD$2:$AD$701,0),""))</f>
        <v/>
      </c>
      <c r="R3814">
        <f>IF(P3814="","",INDEX('Students'!$AD$2:$AD$701,P3814))</f>
        <v/>
      </c>
      <c r="S3814">
        <f>IF(H3814="OK",O3814,0)</f>
        <v/>
      </c>
      <c r="T3814">
        <f>IF(H3814="OK",N3814,"")</f>
        <v/>
      </c>
      <c r="U3814">
        <f>TRIM('Cash_Check'!C814)</f>
        <v/>
      </c>
    </row>
    <row r="3815">
      <c r="A3815" s="62">
        <f>IF(H3815="","",IF(ISNUMBER(N3815),N3815,I3815))</f>
        <v/>
      </c>
      <c r="B3815">
        <f>IF(H3815="","",U3815)</f>
        <v/>
      </c>
      <c r="C3815">
        <f>IF(H3815="","",IF(P3815="",K3815,INDEX('Students'!$A$2:$A$701,P3815)))</f>
        <v/>
      </c>
      <c r="D3815">
        <f>IF(OR(H3815="",P3815=""),"",INDEX('Students'!$B$2:$B$701,P3815))</f>
        <v/>
      </c>
      <c r="E3815">
        <f>IF(OR(H3815="",P3815=""),"",INDEX('Students'!$C$2:$C$701,P3815))</f>
        <v/>
      </c>
      <c r="F3815" s="48">
        <f>IF(H3815="","",IF(ISNUMBER(O3815),O3815,J3815))</f>
        <v/>
      </c>
      <c r="G3815">
        <f>IF(H3815="","",M3815)</f>
        <v/>
      </c>
      <c r="H3815">
        <f>IF(AND(I3815="",J3815="",K3815=""),"",IF(OR(NOT(ISNUMBER(O3815)),N(O3815)&lt;=0),"Bad amount",IF(NOT(ISNUMBER(N3815)),"Bad date",IF(P3815="","NAME NOT ON ROSTER","OK"))))</f>
        <v/>
      </c>
      <c r="I3815">
        <f>IF('Cash_Check'!A815="","",'Cash_Check'!A815)</f>
        <v/>
      </c>
      <c r="J3815">
        <f>IF('Cash_Check'!D815="","",'Cash_Check'!D815)</f>
        <v/>
      </c>
      <c r="K3815">
        <f>TRIM('Cash_Check'!B815)</f>
        <v/>
      </c>
      <c r="M3815">
        <f>IF(TRIM('Cash_Check'!E815)="","Cash/check",TRIM('Cash_Check'!E815))</f>
        <v/>
      </c>
      <c r="N3815">
        <f>IF(I3815="","",IF(ISNUMBER(I3815),INT(I3815),IFERROR(INT(DATEVALUE(I3815)),IFERROR(INT(VALUE(I3815)),"bad"))))</f>
        <v/>
      </c>
      <c r="O3815">
        <f>IF(J3815="","",IF(ISNUMBER(J3815),ROUND(J3815,2),IFERROR(ROUND(VALUE(SUBSTITUTE(SUBSTITUTE(SUBSTITUTE(J3815,"$",""),",","")," ","")),2),"bad")))</f>
        <v/>
      </c>
      <c r="P3815">
        <f>IF(K3815="","",IFERROR(MATCH(IF(ISNUMBER(FIND("#",K3815)),TRIM(MID(K3815,FIND("#",K3815)+1,20)),UPPER(K3815)),'Students'!$AD$2:$AD$701,0),""))</f>
        <v/>
      </c>
      <c r="R3815">
        <f>IF(P3815="","",INDEX('Students'!$AD$2:$AD$701,P3815))</f>
        <v/>
      </c>
      <c r="S3815">
        <f>IF(H3815="OK",O3815,0)</f>
        <v/>
      </c>
      <c r="T3815">
        <f>IF(H3815="OK",N3815,"")</f>
        <v/>
      </c>
      <c r="U3815">
        <f>TRIM('Cash_Check'!C815)</f>
        <v/>
      </c>
    </row>
    <row r="3816">
      <c r="A3816" s="62">
        <f>IF(H3816="","",IF(ISNUMBER(N3816),N3816,I3816))</f>
        <v/>
      </c>
      <c r="B3816">
        <f>IF(H3816="","",U3816)</f>
        <v/>
      </c>
      <c r="C3816">
        <f>IF(H3816="","",IF(P3816="",K3816,INDEX('Students'!$A$2:$A$701,P3816)))</f>
        <v/>
      </c>
      <c r="D3816">
        <f>IF(OR(H3816="",P3816=""),"",INDEX('Students'!$B$2:$B$701,P3816))</f>
        <v/>
      </c>
      <c r="E3816">
        <f>IF(OR(H3816="",P3816=""),"",INDEX('Students'!$C$2:$C$701,P3816))</f>
        <v/>
      </c>
      <c r="F3816" s="48">
        <f>IF(H3816="","",IF(ISNUMBER(O3816),O3816,J3816))</f>
        <v/>
      </c>
      <c r="G3816">
        <f>IF(H3816="","",M3816)</f>
        <v/>
      </c>
      <c r="H3816">
        <f>IF(AND(I3816="",J3816="",K3816=""),"",IF(OR(NOT(ISNUMBER(O3816)),N(O3816)&lt;=0),"Bad amount",IF(NOT(ISNUMBER(N3816)),"Bad date",IF(P3816="","NAME NOT ON ROSTER","OK"))))</f>
        <v/>
      </c>
      <c r="I3816">
        <f>IF('Cash_Check'!A816="","",'Cash_Check'!A816)</f>
        <v/>
      </c>
      <c r="J3816">
        <f>IF('Cash_Check'!D816="","",'Cash_Check'!D816)</f>
        <v/>
      </c>
      <c r="K3816">
        <f>TRIM('Cash_Check'!B816)</f>
        <v/>
      </c>
      <c r="M3816">
        <f>IF(TRIM('Cash_Check'!E816)="","Cash/check",TRIM('Cash_Check'!E816))</f>
        <v/>
      </c>
      <c r="N3816">
        <f>IF(I3816="","",IF(ISNUMBER(I3816),INT(I3816),IFERROR(INT(DATEVALUE(I3816)),IFERROR(INT(VALUE(I3816)),"bad"))))</f>
        <v/>
      </c>
      <c r="O3816">
        <f>IF(J3816="","",IF(ISNUMBER(J3816),ROUND(J3816,2),IFERROR(ROUND(VALUE(SUBSTITUTE(SUBSTITUTE(SUBSTITUTE(J3816,"$",""),",","")," ","")),2),"bad")))</f>
        <v/>
      </c>
      <c r="P3816">
        <f>IF(K3816="","",IFERROR(MATCH(IF(ISNUMBER(FIND("#",K3816)),TRIM(MID(K3816,FIND("#",K3816)+1,20)),UPPER(K3816)),'Students'!$AD$2:$AD$701,0),""))</f>
        <v/>
      </c>
      <c r="R3816">
        <f>IF(P3816="","",INDEX('Students'!$AD$2:$AD$701,P3816))</f>
        <v/>
      </c>
      <c r="S3816">
        <f>IF(H3816="OK",O3816,0)</f>
        <v/>
      </c>
      <c r="T3816">
        <f>IF(H3816="OK",N3816,"")</f>
        <v/>
      </c>
      <c r="U3816">
        <f>TRIM('Cash_Check'!C816)</f>
        <v/>
      </c>
    </row>
    <row r="3817">
      <c r="A3817" s="62">
        <f>IF(H3817="","",IF(ISNUMBER(N3817),N3817,I3817))</f>
        <v/>
      </c>
      <c r="B3817">
        <f>IF(H3817="","",U3817)</f>
        <v/>
      </c>
      <c r="C3817">
        <f>IF(H3817="","",IF(P3817="",K3817,INDEX('Students'!$A$2:$A$701,P3817)))</f>
        <v/>
      </c>
      <c r="D3817">
        <f>IF(OR(H3817="",P3817=""),"",INDEX('Students'!$B$2:$B$701,P3817))</f>
        <v/>
      </c>
      <c r="E3817">
        <f>IF(OR(H3817="",P3817=""),"",INDEX('Students'!$C$2:$C$701,P3817))</f>
        <v/>
      </c>
      <c r="F3817" s="48">
        <f>IF(H3817="","",IF(ISNUMBER(O3817),O3817,J3817))</f>
        <v/>
      </c>
      <c r="G3817">
        <f>IF(H3817="","",M3817)</f>
        <v/>
      </c>
      <c r="H3817">
        <f>IF(AND(I3817="",J3817="",K3817=""),"",IF(OR(NOT(ISNUMBER(O3817)),N(O3817)&lt;=0),"Bad amount",IF(NOT(ISNUMBER(N3817)),"Bad date",IF(P3817="","NAME NOT ON ROSTER","OK"))))</f>
        <v/>
      </c>
      <c r="I3817">
        <f>IF('Cash_Check'!A817="","",'Cash_Check'!A817)</f>
        <v/>
      </c>
      <c r="J3817">
        <f>IF('Cash_Check'!D817="","",'Cash_Check'!D817)</f>
        <v/>
      </c>
      <c r="K3817">
        <f>TRIM('Cash_Check'!B817)</f>
        <v/>
      </c>
      <c r="M3817">
        <f>IF(TRIM('Cash_Check'!E817)="","Cash/check",TRIM('Cash_Check'!E817))</f>
        <v/>
      </c>
      <c r="N3817">
        <f>IF(I3817="","",IF(ISNUMBER(I3817),INT(I3817),IFERROR(INT(DATEVALUE(I3817)),IFERROR(INT(VALUE(I3817)),"bad"))))</f>
        <v/>
      </c>
      <c r="O3817">
        <f>IF(J3817="","",IF(ISNUMBER(J3817),ROUND(J3817,2),IFERROR(ROUND(VALUE(SUBSTITUTE(SUBSTITUTE(SUBSTITUTE(J3817,"$",""),",","")," ","")),2),"bad")))</f>
        <v/>
      </c>
      <c r="P3817">
        <f>IF(K3817="","",IFERROR(MATCH(IF(ISNUMBER(FIND("#",K3817)),TRIM(MID(K3817,FIND("#",K3817)+1,20)),UPPER(K3817)),'Students'!$AD$2:$AD$701,0),""))</f>
        <v/>
      </c>
      <c r="R3817">
        <f>IF(P3817="","",INDEX('Students'!$AD$2:$AD$701,P3817))</f>
        <v/>
      </c>
      <c r="S3817">
        <f>IF(H3817="OK",O3817,0)</f>
        <v/>
      </c>
      <c r="T3817">
        <f>IF(H3817="OK",N3817,"")</f>
        <v/>
      </c>
      <c r="U3817">
        <f>TRIM('Cash_Check'!C817)</f>
        <v/>
      </c>
    </row>
    <row r="3818">
      <c r="A3818" s="62">
        <f>IF(H3818="","",IF(ISNUMBER(N3818),N3818,I3818))</f>
        <v/>
      </c>
      <c r="B3818">
        <f>IF(H3818="","",U3818)</f>
        <v/>
      </c>
      <c r="C3818">
        <f>IF(H3818="","",IF(P3818="",K3818,INDEX('Students'!$A$2:$A$701,P3818)))</f>
        <v/>
      </c>
      <c r="D3818">
        <f>IF(OR(H3818="",P3818=""),"",INDEX('Students'!$B$2:$B$701,P3818))</f>
        <v/>
      </c>
      <c r="E3818">
        <f>IF(OR(H3818="",P3818=""),"",INDEX('Students'!$C$2:$C$701,P3818))</f>
        <v/>
      </c>
      <c r="F3818" s="48">
        <f>IF(H3818="","",IF(ISNUMBER(O3818),O3818,J3818))</f>
        <v/>
      </c>
      <c r="G3818">
        <f>IF(H3818="","",M3818)</f>
        <v/>
      </c>
      <c r="H3818">
        <f>IF(AND(I3818="",J3818="",K3818=""),"",IF(OR(NOT(ISNUMBER(O3818)),N(O3818)&lt;=0),"Bad amount",IF(NOT(ISNUMBER(N3818)),"Bad date",IF(P3818="","NAME NOT ON ROSTER","OK"))))</f>
        <v/>
      </c>
      <c r="I3818">
        <f>IF('Cash_Check'!A818="","",'Cash_Check'!A818)</f>
        <v/>
      </c>
      <c r="J3818">
        <f>IF('Cash_Check'!D818="","",'Cash_Check'!D818)</f>
        <v/>
      </c>
      <c r="K3818">
        <f>TRIM('Cash_Check'!B818)</f>
        <v/>
      </c>
      <c r="M3818">
        <f>IF(TRIM('Cash_Check'!E818)="","Cash/check",TRIM('Cash_Check'!E818))</f>
        <v/>
      </c>
      <c r="N3818">
        <f>IF(I3818="","",IF(ISNUMBER(I3818),INT(I3818),IFERROR(INT(DATEVALUE(I3818)),IFERROR(INT(VALUE(I3818)),"bad"))))</f>
        <v/>
      </c>
      <c r="O3818">
        <f>IF(J3818="","",IF(ISNUMBER(J3818),ROUND(J3818,2),IFERROR(ROUND(VALUE(SUBSTITUTE(SUBSTITUTE(SUBSTITUTE(J3818,"$",""),",","")," ","")),2),"bad")))</f>
        <v/>
      </c>
      <c r="P3818">
        <f>IF(K3818="","",IFERROR(MATCH(IF(ISNUMBER(FIND("#",K3818)),TRIM(MID(K3818,FIND("#",K3818)+1,20)),UPPER(K3818)),'Students'!$AD$2:$AD$701,0),""))</f>
        <v/>
      </c>
      <c r="R3818">
        <f>IF(P3818="","",INDEX('Students'!$AD$2:$AD$701,P3818))</f>
        <v/>
      </c>
      <c r="S3818">
        <f>IF(H3818="OK",O3818,0)</f>
        <v/>
      </c>
      <c r="T3818">
        <f>IF(H3818="OK",N3818,"")</f>
        <v/>
      </c>
      <c r="U3818">
        <f>TRIM('Cash_Check'!C818)</f>
        <v/>
      </c>
    </row>
    <row r="3819">
      <c r="A3819" s="62">
        <f>IF(H3819="","",IF(ISNUMBER(N3819),N3819,I3819))</f>
        <v/>
      </c>
      <c r="B3819">
        <f>IF(H3819="","",U3819)</f>
        <v/>
      </c>
      <c r="C3819">
        <f>IF(H3819="","",IF(P3819="",K3819,INDEX('Students'!$A$2:$A$701,P3819)))</f>
        <v/>
      </c>
      <c r="D3819">
        <f>IF(OR(H3819="",P3819=""),"",INDEX('Students'!$B$2:$B$701,P3819))</f>
        <v/>
      </c>
      <c r="E3819">
        <f>IF(OR(H3819="",P3819=""),"",INDEX('Students'!$C$2:$C$701,P3819))</f>
        <v/>
      </c>
      <c r="F3819" s="48">
        <f>IF(H3819="","",IF(ISNUMBER(O3819),O3819,J3819))</f>
        <v/>
      </c>
      <c r="G3819">
        <f>IF(H3819="","",M3819)</f>
        <v/>
      </c>
      <c r="H3819">
        <f>IF(AND(I3819="",J3819="",K3819=""),"",IF(OR(NOT(ISNUMBER(O3819)),N(O3819)&lt;=0),"Bad amount",IF(NOT(ISNUMBER(N3819)),"Bad date",IF(P3819="","NAME NOT ON ROSTER","OK"))))</f>
        <v/>
      </c>
      <c r="I3819">
        <f>IF('Cash_Check'!A819="","",'Cash_Check'!A819)</f>
        <v/>
      </c>
      <c r="J3819">
        <f>IF('Cash_Check'!D819="","",'Cash_Check'!D819)</f>
        <v/>
      </c>
      <c r="K3819">
        <f>TRIM('Cash_Check'!B819)</f>
        <v/>
      </c>
      <c r="M3819">
        <f>IF(TRIM('Cash_Check'!E819)="","Cash/check",TRIM('Cash_Check'!E819))</f>
        <v/>
      </c>
      <c r="N3819">
        <f>IF(I3819="","",IF(ISNUMBER(I3819),INT(I3819),IFERROR(INT(DATEVALUE(I3819)),IFERROR(INT(VALUE(I3819)),"bad"))))</f>
        <v/>
      </c>
      <c r="O3819">
        <f>IF(J3819="","",IF(ISNUMBER(J3819),ROUND(J3819,2),IFERROR(ROUND(VALUE(SUBSTITUTE(SUBSTITUTE(SUBSTITUTE(J3819,"$",""),",","")," ","")),2),"bad")))</f>
        <v/>
      </c>
      <c r="P3819">
        <f>IF(K3819="","",IFERROR(MATCH(IF(ISNUMBER(FIND("#",K3819)),TRIM(MID(K3819,FIND("#",K3819)+1,20)),UPPER(K3819)),'Students'!$AD$2:$AD$701,0),""))</f>
        <v/>
      </c>
      <c r="R3819">
        <f>IF(P3819="","",INDEX('Students'!$AD$2:$AD$701,P3819))</f>
        <v/>
      </c>
      <c r="S3819">
        <f>IF(H3819="OK",O3819,0)</f>
        <v/>
      </c>
      <c r="T3819">
        <f>IF(H3819="OK",N3819,"")</f>
        <v/>
      </c>
      <c r="U3819">
        <f>TRIM('Cash_Check'!C819)</f>
        <v/>
      </c>
    </row>
    <row r="3820">
      <c r="A3820" s="62">
        <f>IF(H3820="","",IF(ISNUMBER(N3820),N3820,I3820))</f>
        <v/>
      </c>
      <c r="B3820">
        <f>IF(H3820="","",U3820)</f>
        <v/>
      </c>
      <c r="C3820">
        <f>IF(H3820="","",IF(P3820="",K3820,INDEX('Students'!$A$2:$A$701,P3820)))</f>
        <v/>
      </c>
      <c r="D3820">
        <f>IF(OR(H3820="",P3820=""),"",INDEX('Students'!$B$2:$B$701,P3820))</f>
        <v/>
      </c>
      <c r="E3820">
        <f>IF(OR(H3820="",P3820=""),"",INDEX('Students'!$C$2:$C$701,P3820))</f>
        <v/>
      </c>
      <c r="F3820" s="48">
        <f>IF(H3820="","",IF(ISNUMBER(O3820),O3820,J3820))</f>
        <v/>
      </c>
      <c r="G3820">
        <f>IF(H3820="","",M3820)</f>
        <v/>
      </c>
      <c r="H3820">
        <f>IF(AND(I3820="",J3820="",K3820=""),"",IF(OR(NOT(ISNUMBER(O3820)),N(O3820)&lt;=0),"Bad amount",IF(NOT(ISNUMBER(N3820)),"Bad date",IF(P3820="","NAME NOT ON ROSTER","OK"))))</f>
        <v/>
      </c>
      <c r="I3820">
        <f>IF('Cash_Check'!A820="","",'Cash_Check'!A820)</f>
        <v/>
      </c>
      <c r="J3820">
        <f>IF('Cash_Check'!D820="","",'Cash_Check'!D820)</f>
        <v/>
      </c>
      <c r="K3820">
        <f>TRIM('Cash_Check'!B820)</f>
        <v/>
      </c>
      <c r="M3820">
        <f>IF(TRIM('Cash_Check'!E820)="","Cash/check",TRIM('Cash_Check'!E820))</f>
        <v/>
      </c>
      <c r="N3820">
        <f>IF(I3820="","",IF(ISNUMBER(I3820),INT(I3820),IFERROR(INT(DATEVALUE(I3820)),IFERROR(INT(VALUE(I3820)),"bad"))))</f>
        <v/>
      </c>
      <c r="O3820">
        <f>IF(J3820="","",IF(ISNUMBER(J3820),ROUND(J3820,2),IFERROR(ROUND(VALUE(SUBSTITUTE(SUBSTITUTE(SUBSTITUTE(J3820,"$",""),",","")," ","")),2),"bad")))</f>
        <v/>
      </c>
      <c r="P3820">
        <f>IF(K3820="","",IFERROR(MATCH(IF(ISNUMBER(FIND("#",K3820)),TRIM(MID(K3820,FIND("#",K3820)+1,20)),UPPER(K3820)),'Students'!$AD$2:$AD$701,0),""))</f>
        <v/>
      </c>
      <c r="R3820">
        <f>IF(P3820="","",INDEX('Students'!$AD$2:$AD$701,P3820))</f>
        <v/>
      </c>
      <c r="S3820">
        <f>IF(H3820="OK",O3820,0)</f>
        <v/>
      </c>
      <c r="T3820">
        <f>IF(H3820="OK",N3820,"")</f>
        <v/>
      </c>
      <c r="U3820">
        <f>TRIM('Cash_Check'!C820)</f>
        <v/>
      </c>
    </row>
    <row r="3821">
      <c r="A3821" s="62">
        <f>IF(H3821="","",IF(ISNUMBER(N3821),N3821,I3821))</f>
        <v/>
      </c>
      <c r="B3821">
        <f>IF(H3821="","",U3821)</f>
        <v/>
      </c>
      <c r="C3821">
        <f>IF(H3821="","",IF(P3821="",K3821,INDEX('Students'!$A$2:$A$701,P3821)))</f>
        <v/>
      </c>
      <c r="D3821">
        <f>IF(OR(H3821="",P3821=""),"",INDEX('Students'!$B$2:$B$701,P3821))</f>
        <v/>
      </c>
      <c r="E3821">
        <f>IF(OR(H3821="",P3821=""),"",INDEX('Students'!$C$2:$C$701,P3821))</f>
        <v/>
      </c>
      <c r="F3821" s="48">
        <f>IF(H3821="","",IF(ISNUMBER(O3821),O3821,J3821))</f>
        <v/>
      </c>
      <c r="G3821">
        <f>IF(H3821="","",M3821)</f>
        <v/>
      </c>
      <c r="H3821">
        <f>IF(AND(I3821="",J3821="",K3821=""),"",IF(OR(NOT(ISNUMBER(O3821)),N(O3821)&lt;=0),"Bad amount",IF(NOT(ISNUMBER(N3821)),"Bad date",IF(P3821="","NAME NOT ON ROSTER","OK"))))</f>
        <v/>
      </c>
      <c r="I3821">
        <f>IF('Cash_Check'!A821="","",'Cash_Check'!A821)</f>
        <v/>
      </c>
      <c r="J3821">
        <f>IF('Cash_Check'!D821="","",'Cash_Check'!D821)</f>
        <v/>
      </c>
      <c r="K3821">
        <f>TRIM('Cash_Check'!B821)</f>
        <v/>
      </c>
      <c r="M3821">
        <f>IF(TRIM('Cash_Check'!E821)="","Cash/check",TRIM('Cash_Check'!E821))</f>
        <v/>
      </c>
      <c r="N3821">
        <f>IF(I3821="","",IF(ISNUMBER(I3821),INT(I3821),IFERROR(INT(DATEVALUE(I3821)),IFERROR(INT(VALUE(I3821)),"bad"))))</f>
        <v/>
      </c>
      <c r="O3821">
        <f>IF(J3821="","",IF(ISNUMBER(J3821),ROUND(J3821,2),IFERROR(ROUND(VALUE(SUBSTITUTE(SUBSTITUTE(SUBSTITUTE(J3821,"$",""),",","")," ","")),2),"bad")))</f>
        <v/>
      </c>
      <c r="P3821">
        <f>IF(K3821="","",IFERROR(MATCH(IF(ISNUMBER(FIND("#",K3821)),TRIM(MID(K3821,FIND("#",K3821)+1,20)),UPPER(K3821)),'Students'!$AD$2:$AD$701,0),""))</f>
        <v/>
      </c>
      <c r="R3821">
        <f>IF(P3821="","",INDEX('Students'!$AD$2:$AD$701,P3821))</f>
        <v/>
      </c>
      <c r="S3821">
        <f>IF(H3821="OK",O3821,0)</f>
        <v/>
      </c>
      <c r="T3821">
        <f>IF(H3821="OK",N3821,"")</f>
        <v/>
      </c>
      <c r="U3821">
        <f>TRIM('Cash_Check'!C821)</f>
        <v/>
      </c>
    </row>
    <row r="3822">
      <c r="A3822" s="62">
        <f>IF(H3822="","",IF(ISNUMBER(N3822),N3822,I3822))</f>
        <v/>
      </c>
      <c r="B3822">
        <f>IF(H3822="","",U3822)</f>
        <v/>
      </c>
      <c r="C3822">
        <f>IF(H3822="","",IF(P3822="",K3822,INDEX('Students'!$A$2:$A$701,P3822)))</f>
        <v/>
      </c>
      <c r="D3822">
        <f>IF(OR(H3822="",P3822=""),"",INDEX('Students'!$B$2:$B$701,P3822))</f>
        <v/>
      </c>
      <c r="E3822">
        <f>IF(OR(H3822="",P3822=""),"",INDEX('Students'!$C$2:$C$701,P3822))</f>
        <v/>
      </c>
      <c r="F3822" s="48">
        <f>IF(H3822="","",IF(ISNUMBER(O3822),O3822,J3822))</f>
        <v/>
      </c>
      <c r="G3822">
        <f>IF(H3822="","",M3822)</f>
        <v/>
      </c>
      <c r="H3822">
        <f>IF(AND(I3822="",J3822="",K3822=""),"",IF(OR(NOT(ISNUMBER(O3822)),N(O3822)&lt;=0),"Bad amount",IF(NOT(ISNUMBER(N3822)),"Bad date",IF(P3822="","NAME NOT ON ROSTER","OK"))))</f>
        <v/>
      </c>
      <c r="I3822">
        <f>IF('Cash_Check'!A822="","",'Cash_Check'!A822)</f>
        <v/>
      </c>
      <c r="J3822">
        <f>IF('Cash_Check'!D822="","",'Cash_Check'!D822)</f>
        <v/>
      </c>
      <c r="K3822">
        <f>TRIM('Cash_Check'!B822)</f>
        <v/>
      </c>
      <c r="M3822">
        <f>IF(TRIM('Cash_Check'!E822)="","Cash/check",TRIM('Cash_Check'!E822))</f>
        <v/>
      </c>
      <c r="N3822">
        <f>IF(I3822="","",IF(ISNUMBER(I3822),INT(I3822),IFERROR(INT(DATEVALUE(I3822)),IFERROR(INT(VALUE(I3822)),"bad"))))</f>
        <v/>
      </c>
      <c r="O3822">
        <f>IF(J3822="","",IF(ISNUMBER(J3822),ROUND(J3822,2),IFERROR(ROUND(VALUE(SUBSTITUTE(SUBSTITUTE(SUBSTITUTE(J3822,"$",""),",","")," ","")),2),"bad")))</f>
        <v/>
      </c>
      <c r="P3822">
        <f>IF(K3822="","",IFERROR(MATCH(IF(ISNUMBER(FIND("#",K3822)),TRIM(MID(K3822,FIND("#",K3822)+1,20)),UPPER(K3822)),'Students'!$AD$2:$AD$701,0),""))</f>
        <v/>
      </c>
      <c r="R3822">
        <f>IF(P3822="","",INDEX('Students'!$AD$2:$AD$701,P3822))</f>
        <v/>
      </c>
      <c r="S3822">
        <f>IF(H3822="OK",O3822,0)</f>
        <v/>
      </c>
      <c r="T3822">
        <f>IF(H3822="OK",N3822,"")</f>
        <v/>
      </c>
      <c r="U3822">
        <f>TRIM('Cash_Check'!C822)</f>
        <v/>
      </c>
    </row>
    <row r="3823">
      <c r="A3823" s="62">
        <f>IF(H3823="","",IF(ISNUMBER(N3823),N3823,I3823))</f>
        <v/>
      </c>
      <c r="B3823">
        <f>IF(H3823="","",U3823)</f>
        <v/>
      </c>
      <c r="C3823">
        <f>IF(H3823="","",IF(P3823="",K3823,INDEX('Students'!$A$2:$A$701,P3823)))</f>
        <v/>
      </c>
      <c r="D3823">
        <f>IF(OR(H3823="",P3823=""),"",INDEX('Students'!$B$2:$B$701,P3823))</f>
        <v/>
      </c>
      <c r="E3823">
        <f>IF(OR(H3823="",P3823=""),"",INDEX('Students'!$C$2:$C$701,P3823))</f>
        <v/>
      </c>
      <c r="F3823" s="48">
        <f>IF(H3823="","",IF(ISNUMBER(O3823),O3823,J3823))</f>
        <v/>
      </c>
      <c r="G3823">
        <f>IF(H3823="","",M3823)</f>
        <v/>
      </c>
      <c r="H3823">
        <f>IF(AND(I3823="",J3823="",K3823=""),"",IF(OR(NOT(ISNUMBER(O3823)),N(O3823)&lt;=0),"Bad amount",IF(NOT(ISNUMBER(N3823)),"Bad date",IF(P3823="","NAME NOT ON ROSTER","OK"))))</f>
        <v/>
      </c>
      <c r="I3823">
        <f>IF('Cash_Check'!A823="","",'Cash_Check'!A823)</f>
        <v/>
      </c>
      <c r="J3823">
        <f>IF('Cash_Check'!D823="","",'Cash_Check'!D823)</f>
        <v/>
      </c>
      <c r="K3823">
        <f>TRIM('Cash_Check'!B823)</f>
        <v/>
      </c>
      <c r="M3823">
        <f>IF(TRIM('Cash_Check'!E823)="","Cash/check",TRIM('Cash_Check'!E823))</f>
        <v/>
      </c>
      <c r="N3823">
        <f>IF(I3823="","",IF(ISNUMBER(I3823),INT(I3823),IFERROR(INT(DATEVALUE(I3823)),IFERROR(INT(VALUE(I3823)),"bad"))))</f>
        <v/>
      </c>
      <c r="O3823">
        <f>IF(J3823="","",IF(ISNUMBER(J3823),ROUND(J3823,2),IFERROR(ROUND(VALUE(SUBSTITUTE(SUBSTITUTE(SUBSTITUTE(J3823,"$",""),",","")," ","")),2),"bad")))</f>
        <v/>
      </c>
      <c r="P3823">
        <f>IF(K3823="","",IFERROR(MATCH(IF(ISNUMBER(FIND("#",K3823)),TRIM(MID(K3823,FIND("#",K3823)+1,20)),UPPER(K3823)),'Students'!$AD$2:$AD$701,0),""))</f>
        <v/>
      </c>
      <c r="R3823">
        <f>IF(P3823="","",INDEX('Students'!$AD$2:$AD$701,P3823))</f>
        <v/>
      </c>
      <c r="S3823">
        <f>IF(H3823="OK",O3823,0)</f>
        <v/>
      </c>
      <c r="T3823">
        <f>IF(H3823="OK",N3823,"")</f>
        <v/>
      </c>
      <c r="U3823">
        <f>TRIM('Cash_Check'!C823)</f>
        <v/>
      </c>
    </row>
    <row r="3824">
      <c r="A3824" s="62">
        <f>IF(H3824="","",IF(ISNUMBER(N3824),N3824,I3824))</f>
        <v/>
      </c>
      <c r="B3824">
        <f>IF(H3824="","",U3824)</f>
        <v/>
      </c>
      <c r="C3824">
        <f>IF(H3824="","",IF(P3824="",K3824,INDEX('Students'!$A$2:$A$701,P3824)))</f>
        <v/>
      </c>
      <c r="D3824">
        <f>IF(OR(H3824="",P3824=""),"",INDEX('Students'!$B$2:$B$701,P3824))</f>
        <v/>
      </c>
      <c r="E3824">
        <f>IF(OR(H3824="",P3824=""),"",INDEX('Students'!$C$2:$C$701,P3824))</f>
        <v/>
      </c>
      <c r="F3824" s="48">
        <f>IF(H3824="","",IF(ISNUMBER(O3824),O3824,J3824))</f>
        <v/>
      </c>
      <c r="G3824">
        <f>IF(H3824="","",M3824)</f>
        <v/>
      </c>
      <c r="H3824">
        <f>IF(AND(I3824="",J3824="",K3824=""),"",IF(OR(NOT(ISNUMBER(O3824)),N(O3824)&lt;=0),"Bad amount",IF(NOT(ISNUMBER(N3824)),"Bad date",IF(P3824="","NAME NOT ON ROSTER","OK"))))</f>
        <v/>
      </c>
      <c r="I3824">
        <f>IF('Cash_Check'!A824="","",'Cash_Check'!A824)</f>
        <v/>
      </c>
      <c r="J3824">
        <f>IF('Cash_Check'!D824="","",'Cash_Check'!D824)</f>
        <v/>
      </c>
      <c r="K3824">
        <f>TRIM('Cash_Check'!B824)</f>
        <v/>
      </c>
      <c r="M3824">
        <f>IF(TRIM('Cash_Check'!E824)="","Cash/check",TRIM('Cash_Check'!E824))</f>
        <v/>
      </c>
      <c r="N3824">
        <f>IF(I3824="","",IF(ISNUMBER(I3824),INT(I3824),IFERROR(INT(DATEVALUE(I3824)),IFERROR(INT(VALUE(I3824)),"bad"))))</f>
        <v/>
      </c>
      <c r="O3824">
        <f>IF(J3824="","",IF(ISNUMBER(J3824),ROUND(J3824,2),IFERROR(ROUND(VALUE(SUBSTITUTE(SUBSTITUTE(SUBSTITUTE(J3824,"$",""),",","")," ","")),2),"bad")))</f>
        <v/>
      </c>
      <c r="P3824">
        <f>IF(K3824="","",IFERROR(MATCH(IF(ISNUMBER(FIND("#",K3824)),TRIM(MID(K3824,FIND("#",K3824)+1,20)),UPPER(K3824)),'Students'!$AD$2:$AD$701,0),""))</f>
        <v/>
      </c>
      <c r="R3824">
        <f>IF(P3824="","",INDEX('Students'!$AD$2:$AD$701,P3824))</f>
        <v/>
      </c>
      <c r="S3824">
        <f>IF(H3824="OK",O3824,0)</f>
        <v/>
      </c>
      <c r="T3824">
        <f>IF(H3824="OK",N3824,"")</f>
        <v/>
      </c>
      <c r="U3824">
        <f>TRIM('Cash_Check'!C824)</f>
        <v/>
      </c>
    </row>
    <row r="3825">
      <c r="A3825" s="62">
        <f>IF(H3825="","",IF(ISNUMBER(N3825),N3825,I3825))</f>
        <v/>
      </c>
      <c r="B3825">
        <f>IF(H3825="","",U3825)</f>
        <v/>
      </c>
      <c r="C3825">
        <f>IF(H3825="","",IF(P3825="",K3825,INDEX('Students'!$A$2:$A$701,P3825)))</f>
        <v/>
      </c>
      <c r="D3825">
        <f>IF(OR(H3825="",P3825=""),"",INDEX('Students'!$B$2:$B$701,P3825))</f>
        <v/>
      </c>
      <c r="E3825">
        <f>IF(OR(H3825="",P3825=""),"",INDEX('Students'!$C$2:$C$701,P3825))</f>
        <v/>
      </c>
      <c r="F3825" s="48">
        <f>IF(H3825="","",IF(ISNUMBER(O3825),O3825,J3825))</f>
        <v/>
      </c>
      <c r="G3825">
        <f>IF(H3825="","",M3825)</f>
        <v/>
      </c>
      <c r="H3825">
        <f>IF(AND(I3825="",J3825="",K3825=""),"",IF(OR(NOT(ISNUMBER(O3825)),N(O3825)&lt;=0),"Bad amount",IF(NOT(ISNUMBER(N3825)),"Bad date",IF(P3825="","NAME NOT ON ROSTER","OK"))))</f>
        <v/>
      </c>
      <c r="I3825">
        <f>IF('Cash_Check'!A825="","",'Cash_Check'!A825)</f>
        <v/>
      </c>
      <c r="J3825">
        <f>IF('Cash_Check'!D825="","",'Cash_Check'!D825)</f>
        <v/>
      </c>
      <c r="K3825">
        <f>TRIM('Cash_Check'!B825)</f>
        <v/>
      </c>
      <c r="M3825">
        <f>IF(TRIM('Cash_Check'!E825)="","Cash/check",TRIM('Cash_Check'!E825))</f>
        <v/>
      </c>
      <c r="N3825">
        <f>IF(I3825="","",IF(ISNUMBER(I3825),INT(I3825),IFERROR(INT(DATEVALUE(I3825)),IFERROR(INT(VALUE(I3825)),"bad"))))</f>
        <v/>
      </c>
      <c r="O3825">
        <f>IF(J3825="","",IF(ISNUMBER(J3825),ROUND(J3825,2),IFERROR(ROUND(VALUE(SUBSTITUTE(SUBSTITUTE(SUBSTITUTE(J3825,"$",""),",","")," ","")),2),"bad")))</f>
        <v/>
      </c>
      <c r="P3825">
        <f>IF(K3825="","",IFERROR(MATCH(IF(ISNUMBER(FIND("#",K3825)),TRIM(MID(K3825,FIND("#",K3825)+1,20)),UPPER(K3825)),'Students'!$AD$2:$AD$701,0),""))</f>
        <v/>
      </c>
      <c r="R3825">
        <f>IF(P3825="","",INDEX('Students'!$AD$2:$AD$701,P3825))</f>
        <v/>
      </c>
      <c r="S3825">
        <f>IF(H3825="OK",O3825,0)</f>
        <v/>
      </c>
      <c r="T3825">
        <f>IF(H3825="OK",N3825,"")</f>
        <v/>
      </c>
      <c r="U3825">
        <f>TRIM('Cash_Check'!C825)</f>
        <v/>
      </c>
    </row>
    <row r="3826">
      <c r="A3826" s="62">
        <f>IF(H3826="","",IF(ISNUMBER(N3826),N3826,I3826))</f>
        <v/>
      </c>
      <c r="B3826">
        <f>IF(H3826="","",U3826)</f>
        <v/>
      </c>
      <c r="C3826">
        <f>IF(H3826="","",IF(P3826="",K3826,INDEX('Students'!$A$2:$A$701,P3826)))</f>
        <v/>
      </c>
      <c r="D3826">
        <f>IF(OR(H3826="",P3826=""),"",INDEX('Students'!$B$2:$B$701,P3826))</f>
        <v/>
      </c>
      <c r="E3826">
        <f>IF(OR(H3826="",P3826=""),"",INDEX('Students'!$C$2:$C$701,P3826))</f>
        <v/>
      </c>
      <c r="F3826" s="48">
        <f>IF(H3826="","",IF(ISNUMBER(O3826),O3826,J3826))</f>
        <v/>
      </c>
      <c r="G3826">
        <f>IF(H3826="","",M3826)</f>
        <v/>
      </c>
      <c r="H3826">
        <f>IF(AND(I3826="",J3826="",K3826=""),"",IF(OR(NOT(ISNUMBER(O3826)),N(O3826)&lt;=0),"Bad amount",IF(NOT(ISNUMBER(N3826)),"Bad date",IF(P3826="","NAME NOT ON ROSTER","OK"))))</f>
        <v/>
      </c>
      <c r="I3826">
        <f>IF('Cash_Check'!A826="","",'Cash_Check'!A826)</f>
        <v/>
      </c>
      <c r="J3826">
        <f>IF('Cash_Check'!D826="","",'Cash_Check'!D826)</f>
        <v/>
      </c>
      <c r="K3826">
        <f>TRIM('Cash_Check'!B826)</f>
        <v/>
      </c>
      <c r="M3826">
        <f>IF(TRIM('Cash_Check'!E826)="","Cash/check",TRIM('Cash_Check'!E826))</f>
        <v/>
      </c>
      <c r="N3826">
        <f>IF(I3826="","",IF(ISNUMBER(I3826),INT(I3826),IFERROR(INT(DATEVALUE(I3826)),IFERROR(INT(VALUE(I3826)),"bad"))))</f>
        <v/>
      </c>
      <c r="O3826">
        <f>IF(J3826="","",IF(ISNUMBER(J3826),ROUND(J3826,2),IFERROR(ROUND(VALUE(SUBSTITUTE(SUBSTITUTE(SUBSTITUTE(J3826,"$",""),",","")," ","")),2),"bad")))</f>
        <v/>
      </c>
      <c r="P3826">
        <f>IF(K3826="","",IFERROR(MATCH(IF(ISNUMBER(FIND("#",K3826)),TRIM(MID(K3826,FIND("#",K3826)+1,20)),UPPER(K3826)),'Students'!$AD$2:$AD$701,0),""))</f>
        <v/>
      </c>
      <c r="R3826">
        <f>IF(P3826="","",INDEX('Students'!$AD$2:$AD$701,P3826))</f>
        <v/>
      </c>
      <c r="S3826">
        <f>IF(H3826="OK",O3826,0)</f>
        <v/>
      </c>
      <c r="T3826">
        <f>IF(H3826="OK",N3826,"")</f>
        <v/>
      </c>
      <c r="U3826">
        <f>TRIM('Cash_Check'!C826)</f>
        <v/>
      </c>
    </row>
    <row r="3827">
      <c r="A3827" s="62">
        <f>IF(H3827="","",IF(ISNUMBER(N3827),N3827,I3827))</f>
        <v/>
      </c>
      <c r="B3827">
        <f>IF(H3827="","",U3827)</f>
        <v/>
      </c>
      <c r="C3827">
        <f>IF(H3827="","",IF(P3827="",K3827,INDEX('Students'!$A$2:$A$701,P3827)))</f>
        <v/>
      </c>
      <c r="D3827">
        <f>IF(OR(H3827="",P3827=""),"",INDEX('Students'!$B$2:$B$701,P3827))</f>
        <v/>
      </c>
      <c r="E3827">
        <f>IF(OR(H3827="",P3827=""),"",INDEX('Students'!$C$2:$C$701,P3827))</f>
        <v/>
      </c>
      <c r="F3827" s="48">
        <f>IF(H3827="","",IF(ISNUMBER(O3827),O3827,J3827))</f>
        <v/>
      </c>
      <c r="G3827">
        <f>IF(H3827="","",M3827)</f>
        <v/>
      </c>
      <c r="H3827">
        <f>IF(AND(I3827="",J3827="",K3827=""),"",IF(OR(NOT(ISNUMBER(O3827)),N(O3827)&lt;=0),"Bad amount",IF(NOT(ISNUMBER(N3827)),"Bad date",IF(P3827="","NAME NOT ON ROSTER","OK"))))</f>
        <v/>
      </c>
      <c r="I3827">
        <f>IF('Cash_Check'!A827="","",'Cash_Check'!A827)</f>
        <v/>
      </c>
      <c r="J3827">
        <f>IF('Cash_Check'!D827="","",'Cash_Check'!D827)</f>
        <v/>
      </c>
      <c r="K3827">
        <f>TRIM('Cash_Check'!B827)</f>
        <v/>
      </c>
      <c r="M3827">
        <f>IF(TRIM('Cash_Check'!E827)="","Cash/check",TRIM('Cash_Check'!E827))</f>
        <v/>
      </c>
      <c r="N3827">
        <f>IF(I3827="","",IF(ISNUMBER(I3827),INT(I3827),IFERROR(INT(DATEVALUE(I3827)),IFERROR(INT(VALUE(I3827)),"bad"))))</f>
        <v/>
      </c>
      <c r="O3827">
        <f>IF(J3827="","",IF(ISNUMBER(J3827),ROUND(J3827,2),IFERROR(ROUND(VALUE(SUBSTITUTE(SUBSTITUTE(SUBSTITUTE(J3827,"$",""),",","")," ","")),2),"bad")))</f>
        <v/>
      </c>
      <c r="P3827">
        <f>IF(K3827="","",IFERROR(MATCH(IF(ISNUMBER(FIND("#",K3827)),TRIM(MID(K3827,FIND("#",K3827)+1,20)),UPPER(K3827)),'Students'!$AD$2:$AD$701,0),""))</f>
        <v/>
      </c>
      <c r="R3827">
        <f>IF(P3827="","",INDEX('Students'!$AD$2:$AD$701,P3827))</f>
        <v/>
      </c>
      <c r="S3827">
        <f>IF(H3827="OK",O3827,0)</f>
        <v/>
      </c>
      <c r="T3827">
        <f>IF(H3827="OK",N3827,"")</f>
        <v/>
      </c>
      <c r="U3827">
        <f>TRIM('Cash_Check'!C827)</f>
        <v/>
      </c>
    </row>
    <row r="3828">
      <c r="A3828" s="62">
        <f>IF(H3828="","",IF(ISNUMBER(N3828),N3828,I3828))</f>
        <v/>
      </c>
      <c r="B3828">
        <f>IF(H3828="","",U3828)</f>
        <v/>
      </c>
      <c r="C3828">
        <f>IF(H3828="","",IF(P3828="",K3828,INDEX('Students'!$A$2:$A$701,P3828)))</f>
        <v/>
      </c>
      <c r="D3828">
        <f>IF(OR(H3828="",P3828=""),"",INDEX('Students'!$B$2:$B$701,P3828))</f>
        <v/>
      </c>
      <c r="E3828">
        <f>IF(OR(H3828="",P3828=""),"",INDEX('Students'!$C$2:$C$701,P3828))</f>
        <v/>
      </c>
      <c r="F3828" s="48">
        <f>IF(H3828="","",IF(ISNUMBER(O3828),O3828,J3828))</f>
        <v/>
      </c>
      <c r="G3828">
        <f>IF(H3828="","",M3828)</f>
        <v/>
      </c>
      <c r="H3828">
        <f>IF(AND(I3828="",J3828="",K3828=""),"",IF(OR(NOT(ISNUMBER(O3828)),N(O3828)&lt;=0),"Bad amount",IF(NOT(ISNUMBER(N3828)),"Bad date",IF(P3828="","NAME NOT ON ROSTER","OK"))))</f>
        <v/>
      </c>
      <c r="I3828">
        <f>IF('Cash_Check'!A828="","",'Cash_Check'!A828)</f>
        <v/>
      </c>
      <c r="J3828">
        <f>IF('Cash_Check'!D828="","",'Cash_Check'!D828)</f>
        <v/>
      </c>
      <c r="K3828">
        <f>TRIM('Cash_Check'!B828)</f>
        <v/>
      </c>
      <c r="M3828">
        <f>IF(TRIM('Cash_Check'!E828)="","Cash/check",TRIM('Cash_Check'!E828))</f>
        <v/>
      </c>
      <c r="N3828">
        <f>IF(I3828="","",IF(ISNUMBER(I3828),INT(I3828),IFERROR(INT(DATEVALUE(I3828)),IFERROR(INT(VALUE(I3828)),"bad"))))</f>
        <v/>
      </c>
      <c r="O3828">
        <f>IF(J3828="","",IF(ISNUMBER(J3828),ROUND(J3828,2),IFERROR(ROUND(VALUE(SUBSTITUTE(SUBSTITUTE(SUBSTITUTE(J3828,"$",""),",","")," ","")),2),"bad")))</f>
        <v/>
      </c>
      <c r="P3828">
        <f>IF(K3828="","",IFERROR(MATCH(IF(ISNUMBER(FIND("#",K3828)),TRIM(MID(K3828,FIND("#",K3828)+1,20)),UPPER(K3828)),'Students'!$AD$2:$AD$701,0),""))</f>
        <v/>
      </c>
      <c r="R3828">
        <f>IF(P3828="","",INDEX('Students'!$AD$2:$AD$701,P3828))</f>
        <v/>
      </c>
      <c r="S3828">
        <f>IF(H3828="OK",O3828,0)</f>
        <v/>
      </c>
      <c r="T3828">
        <f>IF(H3828="OK",N3828,"")</f>
        <v/>
      </c>
      <c r="U3828">
        <f>TRIM('Cash_Check'!C828)</f>
        <v/>
      </c>
    </row>
    <row r="3829">
      <c r="A3829" s="62">
        <f>IF(H3829="","",IF(ISNUMBER(N3829),N3829,I3829))</f>
        <v/>
      </c>
      <c r="B3829">
        <f>IF(H3829="","",U3829)</f>
        <v/>
      </c>
      <c r="C3829">
        <f>IF(H3829="","",IF(P3829="",K3829,INDEX('Students'!$A$2:$A$701,P3829)))</f>
        <v/>
      </c>
      <c r="D3829">
        <f>IF(OR(H3829="",P3829=""),"",INDEX('Students'!$B$2:$B$701,P3829))</f>
        <v/>
      </c>
      <c r="E3829">
        <f>IF(OR(H3829="",P3829=""),"",INDEX('Students'!$C$2:$C$701,P3829))</f>
        <v/>
      </c>
      <c r="F3829" s="48">
        <f>IF(H3829="","",IF(ISNUMBER(O3829),O3829,J3829))</f>
        <v/>
      </c>
      <c r="G3829">
        <f>IF(H3829="","",M3829)</f>
        <v/>
      </c>
      <c r="H3829">
        <f>IF(AND(I3829="",J3829="",K3829=""),"",IF(OR(NOT(ISNUMBER(O3829)),N(O3829)&lt;=0),"Bad amount",IF(NOT(ISNUMBER(N3829)),"Bad date",IF(P3829="","NAME NOT ON ROSTER","OK"))))</f>
        <v/>
      </c>
      <c r="I3829">
        <f>IF('Cash_Check'!A829="","",'Cash_Check'!A829)</f>
        <v/>
      </c>
      <c r="J3829">
        <f>IF('Cash_Check'!D829="","",'Cash_Check'!D829)</f>
        <v/>
      </c>
      <c r="K3829">
        <f>TRIM('Cash_Check'!B829)</f>
        <v/>
      </c>
      <c r="M3829">
        <f>IF(TRIM('Cash_Check'!E829)="","Cash/check",TRIM('Cash_Check'!E829))</f>
        <v/>
      </c>
      <c r="N3829">
        <f>IF(I3829="","",IF(ISNUMBER(I3829),INT(I3829),IFERROR(INT(DATEVALUE(I3829)),IFERROR(INT(VALUE(I3829)),"bad"))))</f>
        <v/>
      </c>
      <c r="O3829">
        <f>IF(J3829="","",IF(ISNUMBER(J3829),ROUND(J3829,2),IFERROR(ROUND(VALUE(SUBSTITUTE(SUBSTITUTE(SUBSTITUTE(J3829,"$",""),",","")," ","")),2),"bad")))</f>
        <v/>
      </c>
      <c r="P3829">
        <f>IF(K3829="","",IFERROR(MATCH(IF(ISNUMBER(FIND("#",K3829)),TRIM(MID(K3829,FIND("#",K3829)+1,20)),UPPER(K3829)),'Students'!$AD$2:$AD$701,0),""))</f>
        <v/>
      </c>
      <c r="R3829">
        <f>IF(P3829="","",INDEX('Students'!$AD$2:$AD$701,P3829))</f>
        <v/>
      </c>
      <c r="S3829">
        <f>IF(H3829="OK",O3829,0)</f>
        <v/>
      </c>
      <c r="T3829">
        <f>IF(H3829="OK",N3829,"")</f>
        <v/>
      </c>
      <c r="U3829">
        <f>TRIM('Cash_Check'!C829)</f>
        <v/>
      </c>
    </row>
    <row r="3830">
      <c r="A3830" s="62">
        <f>IF(H3830="","",IF(ISNUMBER(N3830),N3830,I3830))</f>
        <v/>
      </c>
      <c r="B3830">
        <f>IF(H3830="","",U3830)</f>
        <v/>
      </c>
      <c r="C3830">
        <f>IF(H3830="","",IF(P3830="",K3830,INDEX('Students'!$A$2:$A$701,P3830)))</f>
        <v/>
      </c>
      <c r="D3830">
        <f>IF(OR(H3830="",P3830=""),"",INDEX('Students'!$B$2:$B$701,P3830))</f>
        <v/>
      </c>
      <c r="E3830">
        <f>IF(OR(H3830="",P3830=""),"",INDEX('Students'!$C$2:$C$701,P3830))</f>
        <v/>
      </c>
      <c r="F3830" s="48">
        <f>IF(H3830="","",IF(ISNUMBER(O3830),O3830,J3830))</f>
        <v/>
      </c>
      <c r="G3830">
        <f>IF(H3830="","",M3830)</f>
        <v/>
      </c>
      <c r="H3830">
        <f>IF(AND(I3830="",J3830="",K3830=""),"",IF(OR(NOT(ISNUMBER(O3830)),N(O3830)&lt;=0),"Bad amount",IF(NOT(ISNUMBER(N3830)),"Bad date",IF(P3830="","NAME NOT ON ROSTER","OK"))))</f>
        <v/>
      </c>
      <c r="I3830">
        <f>IF('Cash_Check'!A830="","",'Cash_Check'!A830)</f>
        <v/>
      </c>
      <c r="J3830">
        <f>IF('Cash_Check'!D830="","",'Cash_Check'!D830)</f>
        <v/>
      </c>
      <c r="K3830">
        <f>TRIM('Cash_Check'!B830)</f>
        <v/>
      </c>
      <c r="M3830">
        <f>IF(TRIM('Cash_Check'!E830)="","Cash/check",TRIM('Cash_Check'!E830))</f>
        <v/>
      </c>
      <c r="N3830">
        <f>IF(I3830="","",IF(ISNUMBER(I3830),INT(I3830),IFERROR(INT(DATEVALUE(I3830)),IFERROR(INT(VALUE(I3830)),"bad"))))</f>
        <v/>
      </c>
      <c r="O3830">
        <f>IF(J3830="","",IF(ISNUMBER(J3830),ROUND(J3830,2),IFERROR(ROUND(VALUE(SUBSTITUTE(SUBSTITUTE(SUBSTITUTE(J3830,"$",""),",","")," ","")),2),"bad")))</f>
        <v/>
      </c>
      <c r="P3830">
        <f>IF(K3830="","",IFERROR(MATCH(IF(ISNUMBER(FIND("#",K3830)),TRIM(MID(K3830,FIND("#",K3830)+1,20)),UPPER(K3830)),'Students'!$AD$2:$AD$701,0),""))</f>
        <v/>
      </c>
      <c r="R3830">
        <f>IF(P3830="","",INDEX('Students'!$AD$2:$AD$701,P3830))</f>
        <v/>
      </c>
      <c r="S3830">
        <f>IF(H3830="OK",O3830,0)</f>
        <v/>
      </c>
      <c r="T3830">
        <f>IF(H3830="OK",N3830,"")</f>
        <v/>
      </c>
      <c r="U3830">
        <f>TRIM('Cash_Check'!C830)</f>
        <v/>
      </c>
    </row>
    <row r="3831">
      <c r="A3831" s="62">
        <f>IF(H3831="","",IF(ISNUMBER(N3831),N3831,I3831))</f>
        <v/>
      </c>
      <c r="B3831">
        <f>IF(H3831="","",U3831)</f>
        <v/>
      </c>
      <c r="C3831">
        <f>IF(H3831="","",IF(P3831="",K3831,INDEX('Students'!$A$2:$A$701,P3831)))</f>
        <v/>
      </c>
      <c r="D3831">
        <f>IF(OR(H3831="",P3831=""),"",INDEX('Students'!$B$2:$B$701,P3831))</f>
        <v/>
      </c>
      <c r="E3831">
        <f>IF(OR(H3831="",P3831=""),"",INDEX('Students'!$C$2:$C$701,P3831))</f>
        <v/>
      </c>
      <c r="F3831" s="48">
        <f>IF(H3831="","",IF(ISNUMBER(O3831),O3831,J3831))</f>
        <v/>
      </c>
      <c r="G3831">
        <f>IF(H3831="","",M3831)</f>
        <v/>
      </c>
      <c r="H3831">
        <f>IF(AND(I3831="",J3831="",K3831=""),"",IF(OR(NOT(ISNUMBER(O3831)),N(O3831)&lt;=0),"Bad amount",IF(NOT(ISNUMBER(N3831)),"Bad date",IF(P3831="","NAME NOT ON ROSTER","OK"))))</f>
        <v/>
      </c>
      <c r="I3831">
        <f>IF('Cash_Check'!A831="","",'Cash_Check'!A831)</f>
        <v/>
      </c>
      <c r="J3831">
        <f>IF('Cash_Check'!D831="","",'Cash_Check'!D831)</f>
        <v/>
      </c>
      <c r="K3831">
        <f>TRIM('Cash_Check'!B831)</f>
        <v/>
      </c>
      <c r="M3831">
        <f>IF(TRIM('Cash_Check'!E831)="","Cash/check",TRIM('Cash_Check'!E831))</f>
        <v/>
      </c>
      <c r="N3831">
        <f>IF(I3831="","",IF(ISNUMBER(I3831),INT(I3831),IFERROR(INT(DATEVALUE(I3831)),IFERROR(INT(VALUE(I3831)),"bad"))))</f>
        <v/>
      </c>
      <c r="O3831">
        <f>IF(J3831="","",IF(ISNUMBER(J3831),ROUND(J3831,2),IFERROR(ROUND(VALUE(SUBSTITUTE(SUBSTITUTE(SUBSTITUTE(J3831,"$",""),",","")," ","")),2),"bad")))</f>
        <v/>
      </c>
      <c r="P3831">
        <f>IF(K3831="","",IFERROR(MATCH(IF(ISNUMBER(FIND("#",K3831)),TRIM(MID(K3831,FIND("#",K3831)+1,20)),UPPER(K3831)),'Students'!$AD$2:$AD$701,0),""))</f>
        <v/>
      </c>
      <c r="R3831">
        <f>IF(P3831="","",INDEX('Students'!$AD$2:$AD$701,P3831))</f>
        <v/>
      </c>
      <c r="S3831">
        <f>IF(H3831="OK",O3831,0)</f>
        <v/>
      </c>
      <c r="T3831">
        <f>IF(H3831="OK",N3831,"")</f>
        <v/>
      </c>
      <c r="U3831">
        <f>TRIM('Cash_Check'!C831)</f>
        <v/>
      </c>
    </row>
    <row r="3832">
      <c r="A3832" s="62">
        <f>IF(H3832="","",IF(ISNUMBER(N3832),N3832,I3832))</f>
        <v/>
      </c>
      <c r="B3832">
        <f>IF(H3832="","",U3832)</f>
        <v/>
      </c>
      <c r="C3832">
        <f>IF(H3832="","",IF(P3832="",K3832,INDEX('Students'!$A$2:$A$701,P3832)))</f>
        <v/>
      </c>
      <c r="D3832">
        <f>IF(OR(H3832="",P3832=""),"",INDEX('Students'!$B$2:$B$701,P3832))</f>
        <v/>
      </c>
      <c r="E3832">
        <f>IF(OR(H3832="",P3832=""),"",INDEX('Students'!$C$2:$C$701,P3832))</f>
        <v/>
      </c>
      <c r="F3832" s="48">
        <f>IF(H3832="","",IF(ISNUMBER(O3832),O3832,J3832))</f>
        <v/>
      </c>
      <c r="G3832">
        <f>IF(H3832="","",M3832)</f>
        <v/>
      </c>
      <c r="H3832">
        <f>IF(AND(I3832="",J3832="",K3832=""),"",IF(OR(NOT(ISNUMBER(O3832)),N(O3832)&lt;=0),"Bad amount",IF(NOT(ISNUMBER(N3832)),"Bad date",IF(P3832="","NAME NOT ON ROSTER","OK"))))</f>
        <v/>
      </c>
      <c r="I3832">
        <f>IF('Cash_Check'!A832="","",'Cash_Check'!A832)</f>
        <v/>
      </c>
      <c r="J3832">
        <f>IF('Cash_Check'!D832="","",'Cash_Check'!D832)</f>
        <v/>
      </c>
      <c r="K3832">
        <f>TRIM('Cash_Check'!B832)</f>
        <v/>
      </c>
      <c r="M3832">
        <f>IF(TRIM('Cash_Check'!E832)="","Cash/check",TRIM('Cash_Check'!E832))</f>
        <v/>
      </c>
      <c r="N3832">
        <f>IF(I3832="","",IF(ISNUMBER(I3832),INT(I3832),IFERROR(INT(DATEVALUE(I3832)),IFERROR(INT(VALUE(I3832)),"bad"))))</f>
        <v/>
      </c>
      <c r="O3832">
        <f>IF(J3832="","",IF(ISNUMBER(J3832),ROUND(J3832,2),IFERROR(ROUND(VALUE(SUBSTITUTE(SUBSTITUTE(SUBSTITUTE(J3832,"$",""),",","")," ","")),2),"bad")))</f>
        <v/>
      </c>
      <c r="P3832">
        <f>IF(K3832="","",IFERROR(MATCH(IF(ISNUMBER(FIND("#",K3832)),TRIM(MID(K3832,FIND("#",K3832)+1,20)),UPPER(K3832)),'Students'!$AD$2:$AD$701,0),""))</f>
        <v/>
      </c>
      <c r="R3832">
        <f>IF(P3832="","",INDEX('Students'!$AD$2:$AD$701,P3832))</f>
        <v/>
      </c>
      <c r="S3832">
        <f>IF(H3832="OK",O3832,0)</f>
        <v/>
      </c>
      <c r="T3832">
        <f>IF(H3832="OK",N3832,"")</f>
        <v/>
      </c>
      <c r="U3832">
        <f>TRIM('Cash_Check'!C832)</f>
        <v/>
      </c>
    </row>
    <row r="3833">
      <c r="A3833" s="62">
        <f>IF(H3833="","",IF(ISNUMBER(N3833),N3833,I3833))</f>
        <v/>
      </c>
      <c r="B3833">
        <f>IF(H3833="","",U3833)</f>
        <v/>
      </c>
      <c r="C3833">
        <f>IF(H3833="","",IF(P3833="",K3833,INDEX('Students'!$A$2:$A$701,P3833)))</f>
        <v/>
      </c>
      <c r="D3833">
        <f>IF(OR(H3833="",P3833=""),"",INDEX('Students'!$B$2:$B$701,P3833))</f>
        <v/>
      </c>
      <c r="E3833">
        <f>IF(OR(H3833="",P3833=""),"",INDEX('Students'!$C$2:$C$701,P3833))</f>
        <v/>
      </c>
      <c r="F3833" s="48">
        <f>IF(H3833="","",IF(ISNUMBER(O3833),O3833,J3833))</f>
        <v/>
      </c>
      <c r="G3833">
        <f>IF(H3833="","",M3833)</f>
        <v/>
      </c>
      <c r="H3833">
        <f>IF(AND(I3833="",J3833="",K3833=""),"",IF(OR(NOT(ISNUMBER(O3833)),N(O3833)&lt;=0),"Bad amount",IF(NOT(ISNUMBER(N3833)),"Bad date",IF(P3833="","NAME NOT ON ROSTER","OK"))))</f>
        <v/>
      </c>
      <c r="I3833">
        <f>IF('Cash_Check'!A833="","",'Cash_Check'!A833)</f>
        <v/>
      </c>
      <c r="J3833">
        <f>IF('Cash_Check'!D833="","",'Cash_Check'!D833)</f>
        <v/>
      </c>
      <c r="K3833">
        <f>TRIM('Cash_Check'!B833)</f>
        <v/>
      </c>
      <c r="M3833">
        <f>IF(TRIM('Cash_Check'!E833)="","Cash/check",TRIM('Cash_Check'!E833))</f>
        <v/>
      </c>
      <c r="N3833">
        <f>IF(I3833="","",IF(ISNUMBER(I3833),INT(I3833),IFERROR(INT(DATEVALUE(I3833)),IFERROR(INT(VALUE(I3833)),"bad"))))</f>
        <v/>
      </c>
      <c r="O3833">
        <f>IF(J3833="","",IF(ISNUMBER(J3833),ROUND(J3833,2),IFERROR(ROUND(VALUE(SUBSTITUTE(SUBSTITUTE(SUBSTITUTE(J3833,"$",""),",","")," ","")),2),"bad")))</f>
        <v/>
      </c>
      <c r="P3833">
        <f>IF(K3833="","",IFERROR(MATCH(IF(ISNUMBER(FIND("#",K3833)),TRIM(MID(K3833,FIND("#",K3833)+1,20)),UPPER(K3833)),'Students'!$AD$2:$AD$701,0),""))</f>
        <v/>
      </c>
      <c r="R3833">
        <f>IF(P3833="","",INDEX('Students'!$AD$2:$AD$701,P3833))</f>
        <v/>
      </c>
      <c r="S3833">
        <f>IF(H3833="OK",O3833,0)</f>
        <v/>
      </c>
      <c r="T3833">
        <f>IF(H3833="OK",N3833,"")</f>
        <v/>
      </c>
      <c r="U3833">
        <f>TRIM('Cash_Check'!C833)</f>
        <v/>
      </c>
    </row>
    <row r="3834">
      <c r="A3834" s="62">
        <f>IF(H3834="","",IF(ISNUMBER(N3834),N3834,I3834))</f>
        <v/>
      </c>
      <c r="B3834">
        <f>IF(H3834="","",U3834)</f>
        <v/>
      </c>
      <c r="C3834">
        <f>IF(H3834="","",IF(P3834="",K3834,INDEX('Students'!$A$2:$A$701,P3834)))</f>
        <v/>
      </c>
      <c r="D3834">
        <f>IF(OR(H3834="",P3834=""),"",INDEX('Students'!$B$2:$B$701,P3834))</f>
        <v/>
      </c>
      <c r="E3834">
        <f>IF(OR(H3834="",P3834=""),"",INDEX('Students'!$C$2:$C$701,P3834))</f>
        <v/>
      </c>
      <c r="F3834" s="48">
        <f>IF(H3834="","",IF(ISNUMBER(O3834),O3834,J3834))</f>
        <v/>
      </c>
      <c r="G3834">
        <f>IF(H3834="","",M3834)</f>
        <v/>
      </c>
      <c r="H3834">
        <f>IF(AND(I3834="",J3834="",K3834=""),"",IF(OR(NOT(ISNUMBER(O3834)),N(O3834)&lt;=0),"Bad amount",IF(NOT(ISNUMBER(N3834)),"Bad date",IF(P3834="","NAME NOT ON ROSTER","OK"))))</f>
        <v/>
      </c>
      <c r="I3834">
        <f>IF('Cash_Check'!A834="","",'Cash_Check'!A834)</f>
        <v/>
      </c>
      <c r="J3834">
        <f>IF('Cash_Check'!D834="","",'Cash_Check'!D834)</f>
        <v/>
      </c>
      <c r="K3834">
        <f>TRIM('Cash_Check'!B834)</f>
        <v/>
      </c>
      <c r="M3834">
        <f>IF(TRIM('Cash_Check'!E834)="","Cash/check",TRIM('Cash_Check'!E834))</f>
        <v/>
      </c>
      <c r="N3834">
        <f>IF(I3834="","",IF(ISNUMBER(I3834),INT(I3834),IFERROR(INT(DATEVALUE(I3834)),IFERROR(INT(VALUE(I3834)),"bad"))))</f>
        <v/>
      </c>
      <c r="O3834">
        <f>IF(J3834="","",IF(ISNUMBER(J3834),ROUND(J3834,2),IFERROR(ROUND(VALUE(SUBSTITUTE(SUBSTITUTE(SUBSTITUTE(J3834,"$",""),",","")," ","")),2),"bad")))</f>
        <v/>
      </c>
      <c r="P3834">
        <f>IF(K3834="","",IFERROR(MATCH(IF(ISNUMBER(FIND("#",K3834)),TRIM(MID(K3834,FIND("#",K3834)+1,20)),UPPER(K3834)),'Students'!$AD$2:$AD$701,0),""))</f>
        <v/>
      </c>
      <c r="R3834">
        <f>IF(P3834="","",INDEX('Students'!$AD$2:$AD$701,P3834))</f>
        <v/>
      </c>
      <c r="S3834">
        <f>IF(H3834="OK",O3834,0)</f>
        <v/>
      </c>
      <c r="T3834">
        <f>IF(H3834="OK",N3834,"")</f>
        <v/>
      </c>
      <c r="U3834">
        <f>TRIM('Cash_Check'!C834)</f>
        <v/>
      </c>
    </row>
    <row r="3835">
      <c r="A3835" s="62">
        <f>IF(H3835="","",IF(ISNUMBER(N3835),N3835,I3835))</f>
        <v/>
      </c>
      <c r="B3835">
        <f>IF(H3835="","",U3835)</f>
        <v/>
      </c>
      <c r="C3835">
        <f>IF(H3835="","",IF(P3835="",K3835,INDEX('Students'!$A$2:$A$701,P3835)))</f>
        <v/>
      </c>
      <c r="D3835">
        <f>IF(OR(H3835="",P3835=""),"",INDEX('Students'!$B$2:$B$701,P3835))</f>
        <v/>
      </c>
      <c r="E3835">
        <f>IF(OR(H3835="",P3835=""),"",INDEX('Students'!$C$2:$C$701,P3835))</f>
        <v/>
      </c>
      <c r="F3835" s="48">
        <f>IF(H3835="","",IF(ISNUMBER(O3835),O3835,J3835))</f>
        <v/>
      </c>
      <c r="G3835">
        <f>IF(H3835="","",M3835)</f>
        <v/>
      </c>
      <c r="H3835">
        <f>IF(AND(I3835="",J3835="",K3835=""),"",IF(OR(NOT(ISNUMBER(O3835)),N(O3835)&lt;=0),"Bad amount",IF(NOT(ISNUMBER(N3835)),"Bad date",IF(P3835="","NAME NOT ON ROSTER","OK"))))</f>
        <v/>
      </c>
      <c r="I3835">
        <f>IF('Cash_Check'!A835="","",'Cash_Check'!A835)</f>
        <v/>
      </c>
      <c r="J3835">
        <f>IF('Cash_Check'!D835="","",'Cash_Check'!D835)</f>
        <v/>
      </c>
      <c r="K3835">
        <f>TRIM('Cash_Check'!B835)</f>
        <v/>
      </c>
      <c r="M3835">
        <f>IF(TRIM('Cash_Check'!E835)="","Cash/check",TRIM('Cash_Check'!E835))</f>
        <v/>
      </c>
      <c r="N3835">
        <f>IF(I3835="","",IF(ISNUMBER(I3835),INT(I3835),IFERROR(INT(DATEVALUE(I3835)),IFERROR(INT(VALUE(I3835)),"bad"))))</f>
        <v/>
      </c>
      <c r="O3835">
        <f>IF(J3835="","",IF(ISNUMBER(J3835),ROUND(J3835,2),IFERROR(ROUND(VALUE(SUBSTITUTE(SUBSTITUTE(SUBSTITUTE(J3835,"$",""),",","")," ","")),2),"bad")))</f>
        <v/>
      </c>
      <c r="P3835">
        <f>IF(K3835="","",IFERROR(MATCH(IF(ISNUMBER(FIND("#",K3835)),TRIM(MID(K3835,FIND("#",K3835)+1,20)),UPPER(K3835)),'Students'!$AD$2:$AD$701,0),""))</f>
        <v/>
      </c>
      <c r="R3835">
        <f>IF(P3835="","",INDEX('Students'!$AD$2:$AD$701,P3835))</f>
        <v/>
      </c>
      <c r="S3835">
        <f>IF(H3835="OK",O3835,0)</f>
        <v/>
      </c>
      <c r="T3835">
        <f>IF(H3835="OK",N3835,"")</f>
        <v/>
      </c>
      <c r="U3835">
        <f>TRIM('Cash_Check'!C835)</f>
        <v/>
      </c>
    </row>
    <row r="3836">
      <c r="A3836" s="62">
        <f>IF(H3836="","",IF(ISNUMBER(N3836),N3836,I3836))</f>
        <v/>
      </c>
      <c r="B3836">
        <f>IF(H3836="","",U3836)</f>
        <v/>
      </c>
      <c r="C3836">
        <f>IF(H3836="","",IF(P3836="",K3836,INDEX('Students'!$A$2:$A$701,P3836)))</f>
        <v/>
      </c>
      <c r="D3836">
        <f>IF(OR(H3836="",P3836=""),"",INDEX('Students'!$B$2:$B$701,P3836))</f>
        <v/>
      </c>
      <c r="E3836">
        <f>IF(OR(H3836="",P3836=""),"",INDEX('Students'!$C$2:$C$701,P3836))</f>
        <v/>
      </c>
      <c r="F3836" s="48">
        <f>IF(H3836="","",IF(ISNUMBER(O3836),O3836,J3836))</f>
        <v/>
      </c>
      <c r="G3836">
        <f>IF(H3836="","",M3836)</f>
        <v/>
      </c>
      <c r="H3836">
        <f>IF(AND(I3836="",J3836="",K3836=""),"",IF(OR(NOT(ISNUMBER(O3836)),N(O3836)&lt;=0),"Bad amount",IF(NOT(ISNUMBER(N3836)),"Bad date",IF(P3836="","NAME NOT ON ROSTER","OK"))))</f>
        <v/>
      </c>
      <c r="I3836">
        <f>IF('Cash_Check'!A836="","",'Cash_Check'!A836)</f>
        <v/>
      </c>
      <c r="J3836">
        <f>IF('Cash_Check'!D836="","",'Cash_Check'!D836)</f>
        <v/>
      </c>
      <c r="K3836">
        <f>TRIM('Cash_Check'!B836)</f>
        <v/>
      </c>
      <c r="M3836">
        <f>IF(TRIM('Cash_Check'!E836)="","Cash/check",TRIM('Cash_Check'!E836))</f>
        <v/>
      </c>
      <c r="N3836">
        <f>IF(I3836="","",IF(ISNUMBER(I3836),INT(I3836),IFERROR(INT(DATEVALUE(I3836)),IFERROR(INT(VALUE(I3836)),"bad"))))</f>
        <v/>
      </c>
      <c r="O3836">
        <f>IF(J3836="","",IF(ISNUMBER(J3836),ROUND(J3836,2),IFERROR(ROUND(VALUE(SUBSTITUTE(SUBSTITUTE(SUBSTITUTE(J3836,"$",""),",","")," ","")),2),"bad")))</f>
        <v/>
      </c>
      <c r="P3836">
        <f>IF(K3836="","",IFERROR(MATCH(IF(ISNUMBER(FIND("#",K3836)),TRIM(MID(K3836,FIND("#",K3836)+1,20)),UPPER(K3836)),'Students'!$AD$2:$AD$701,0),""))</f>
        <v/>
      </c>
      <c r="R3836">
        <f>IF(P3836="","",INDEX('Students'!$AD$2:$AD$701,P3836))</f>
        <v/>
      </c>
      <c r="S3836">
        <f>IF(H3836="OK",O3836,0)</f>
        <v/>
      </c>
      <c r="T3836">
        <f>IF(H3836="OK",N3836,"")</f>
        <v/>
      </c>
      <c r="U3836">
        <f>TRIM('Cash_Check'!C836)</f>
        <v/>
      </c>
    </row>
    <row r="3837">
      <c r="A3837" s="62">
        <f>IF(H3837="","",IF(ISNUMBER(N3837),N3837,I3837))</f>
        <v/>
      </c>
      <c r="B3837">
        <f>IF(H3837="","",U3837)</f>
        <v/>
      </c>
      <c r="C3837">
        <f>IF(H3837="","",IF(P3837="",K3837,INDEX('Students'!$A$2:$A$701,P3837)))</f>
        <v/>
      </c>
      <c r="D3837">
        <f>IF(OR(H3837="",P3837=""),"",INDEX('Students'!$B$2:$B$701,P3837))</f>
        <v/>
      </c>
      <c r="E3837">
        <f>IF(OR(H3837="",P3837=""),"",INDEX('Students'!$C$2:$C$701,P3837))</f>
        <v/>
      </c>
      <c r="F3837" s="48">
        <f>IF(H3837="","",IF(ISNUMBER(O3837),O3837,J3837))</f>
        <v/>
      </c>
      <c r="G3837">
        <f>IF(H3837="","",M3837)</f>
        <v/>
      </c>
      <c r="H3837">
        <f>IF(AND(I3837="",J3837="",K3837=""),"",IF(OR(NOT(ISNUMBER(O3837)),N(O3837)&lt;=0),"Bad amount",IF(NOT(ISNUMBER(N3837)),"Bad date",IF(P3837="","NAME NOT ON ROSTER","OK"))))</f>
        <v/>
      </c>
      <c r="I3837">
        <f>IF('Cash_Check'!A837="","",'Cash_Check'!A837)</f>
        <v/>
      </c>
      <c r="J3837">
        <f>IF('Cash_Check'!D837="","",'Cash_Check'!D837)</f>
        <v/>
      </c>
      <c r="K3837">
        <f>TRIM('Cash_Check'!B837)</f>
        <v/>
      </c>
      <c r="M3837">
        <f>IF(TRIM('Cash_Check'!E837)="","Cash/check",TRIM('Cash_Check'!E837))</f>
        <v/>
      </c>
      <c r="N3837">
        <f>IF(I3837="","",IF(ISNUMBER(I3837),INT(I3837),IFERROR(INT(DATEVALUE(I3837)),IFERROR(INT(VALUE(I3837)),"bad"))))</f>
        <v/>
      </c>
      <c r="O3837">
        <f>IF(J3837="","",IF(ISNUMBER(J3837),ROUND(J3837,2),IFERROR(ROUND(VALUE(SUBSTITUTE(SUBSTITUTE(SUBSTITUTE(J3837,"$",""),",","")," ","")),2),"bad")))</f>
        <v/>
      </c>
      <c r="P3837">
        <f>IF(K3837="","",IFERROR(MATCH(IF(ISNUMBER(FIND("#",K3837)),TRIM(MID(K3837,FIND("#",K3837)+1,20)),UPPER(K3837)),'Students'!$AD$2:$AD$701,0),""))</f>
        <v/>
      </c>
      <c r="R3837">
        <f>IF(P3837="","",INDEX('Students'!$AD$2:$AD$701,P3837))</f>
        <v/>
      </c>
      <c r="S3837">
        <f>IF(H3837="OK",O3837,0)</f>
        <v/>
      </c>
      <c r="T3837">
        <f>IF(H3837="OK",N3837,"")</f>
        <v/>
      </c>
      <c r="U3837">
        <f>TRIM('Cash_Check'!C837)</f>
        <v/>
      </c>
    </row>
    <row r="3838">
      <c r="A3838" s="62">
        <f>IF(H3838="","",IF(ISNUMBER(N3838),N3838,I3838))</f>
        <v/>
      </c>
      <c r="B3838">
        <f>IF(H3838="","",U3838)</f>
        <v/>
      </c>
      <c r="C3838">
        <f>IF(H3838="","",IF(P3838="",K3838,INDEX('Students'!$A$2:$A$701,P3838)))</f>
        <v/>
      </c>
      <c r="D3838">
        <f>IF(OR(H3838="",P3838=""),"",INDEX('Students'!$B$2:$B$701,P3838))</f>
        <v/>
      </c>
      <c r="E3838">
        <f>IF(OR(H3838="",P3838=""),"",INDEX('Students'!$C$2:$C$701,P3838))</f>
        <v/>
      </c>
      <c r="F3838" s="48">
        <f>IF(H3838="","",IF(ISNUMBER(O3838),O3838,J3838))</f>
        <v/>
      </c>
      <c r="G3838">
        <f>IF(H3838="","",M3838)</f>
        <v/>
      </c>
      <c r="H3838">
        <f>IF(AND(I3838="",J3838="",K3838=""),"",IF(OR(NOT(ISNUMBER(O3838)),N(O3838)&lt;=0),"Bad amount",IF(NOT(ISNUMBER(N3838)),"Bad date",IF(P3838="","NAME NOT ON ROSTER","OK"))))</f>
        <v/>
      </c>
      <c r="I3838">
        <f>IF('Cash_Check'!A838="","",'Cash_Check'!A838)</f>
        <v/>
      </c>
      <c r="J3838">
        <f>IF('Cash_Check'!D838="","",'Cash_Check'!D838)</f>
        <v/>
      </c>
      <c r="K3838">
        <f>TRIM('Cash_Check'!B838)</f>
        <v/>
      </c>
      <c r="M3838">
        <f>IF(TRIM('Cash_Check'!E838)="","Cash/check",TRIM('Cash_Check'!E838))</f>
        <v/>
      </c>
      <c r="N3838">
        <f>IF(I3838="","",IF(ISNUMBER(I3838),INT(I3838),IFERROR(INT(DATEVALUE(I3838)),IFERROR(INT(VALUE(I3838)),"bad"))))</f>
        <v/>
      </c>
      <c r="O3838">
        <f>IF(J3838="","",IF(ISNUMBER(J3838),ROUND(J3838,2),IFERROR(ROUND(VALUE(SUBSTITUTE(SUBSTITUTE(SUBSTITUTE(J3838,"$",""),",","")," ","")),2),"bad")))</f>
        <v/>
      </c>
      <c r="P3838">
        <f>IF(K3838="","",IFERROR(MATCH(IF(ISNUMBER(FIND("#",K3838)),TRIM(MID(K3838,FIND("#",K3838)+1,20)),UPPER(K3838)),'Students'!$AD$2:$AD$701,0),""))</f>
        <v/>
      </c>
      <c r="R3838">
        <f>IF(P3838="","",INDEX('Students'!$AD$2:$AD$701,P3838))</f>
        <v/>
      </c>
      <c r="S3838">
        <f>IF(H3838="OK",O3838,0)</f>
        <v/>
      </c>
      <c r="T3838">
        <f>IF(H3838="OK",N3838,"")</f>
        <v/>
      </c>
      <c r="U3838">
        <f>TRIM('Cash_Check'!C838)</f>
        <v/>
      </c>
    </row>
    <row r="3839">
      <c r="A3839" s="62">
        <f>IF(H3839="","",IF(ISNUMBER(N3839),N3839,I3839))</f>
        <v/>
      </c>
      <c r="B3839">
        <f>IF(H3839="","",U3839)</f>
        <v/>
      </c>
      <c r="C3839">
        <f>IF(H3839="","",IF(P3839="",K3839,INDEX('Students'!$A$2:$A$701,P3839)))</f>
        <v/>
      </c>
      <c r="D3839">
        <f>IF(OR(H3839="",P3839=""),"",INDEX('Students'!$B$2:$B$701,P3839))</f>
        <v/>
      </c>
      <c r="E3839">
        <f>IF(OR(H3839="",P3839=""),"",INDEX('Students'!$C$2:$C$701,P3839))</f>
        <v/>
      </c>
      <c r="F3839" s="48">
        <f>IF(H3839="","",IF(ISNUMBER(O3839),O3839,J3839))</f>
        <v/>
      </c>
      <c r="G3839">
        <f>IF(H3839="","",M3839)</f>
        <v/>
      </c>
      <c r="H3839">
        <f>IF(AND(I3839="",J3839="",K3839=""),"",IF(OR(NOT(ISNUMBER(O3839)),N(O3839)&lt;=0),"Bad amount",IF(NOT(ISNUMBER(N3839)),"Bad date",IF(P3839="","NAME NOT ON ROSTER","OK"))))</f>
        <v/>
      </c>
      <c r="I3839">
        <f>IF('Cash_Check'!A839="","",'Cash_Check'!A839)</f>
        <v/>
      </c>
      <c r="J3839">
        <f>IF('Cash_Check'!D839="","",'Cash_Check'!D839)</f>
        <v/>
      </c>
      <c r="K3839">
        <f>TRIM('Cash_Check'!B839)</f>
        <v/>
      </c>
      <c r="M3839">
        <f>IF(TRIM('Cash_Check'!E839)="","Cash/check",TRIM('Cash_Check'!E839))</f>
        <v/>
      </c>
      <c r="N3839">
        <f>IF(I3839="","",IF(ISNUMBER(I3839),INT(I3839),IFERROR(INT(DATEVALUE(I3839)),IFERROR(INT(VALUE(I3839)),"bad"))))</f>
        <v/>
      </c>
      <c r="O3839">
        <f>IF(J3839="","",IF(ISNUMBER(J3839),ROUND(J3839,2),IFERROR(ROUND(VALUE(SUBSTITUTE(SUBSTITUTE(SUBSTITUTE(J3839,"$",""),",","")," ","")),2),"bad")))</f>
        <v/>
      </c>
      <c r="P3839">
        <f>IF(K3839="","",IFERROR(MATCH(IF(ISNUMBER(FIND("#",K3839)),TRIM(MID(K3839,FIND("#",K3839)+1,20)),UPPER(K3839)),'Students'!$AD$2:$AD$701,0),""))</f>
        <v/>
      </c>
      <c r="R3839">
        <f>IF(P3839="","",INDEX('Students'!$AD$2:$AD$701,P3839))</f>
        <v/>
      </c>
      <c r="S3839">
        <f>IF(H3839="OK",O3839,0)</f>
        <v/>
      </c>
      <c r="T3839">
        <f>IF(H3839="OK",N3839,"")</f>
        <v/>
      </c>
      <c r="U3839">
        <f>TRIM('Cash_Check'!C839)</f>
        <v/>
      </c>
    </row>
    <row r="3840">
      <c r="A3840" s="62">
        <f>IF(H3840="","",IF(ISNUMBER(N3840),N3840,I3840))</f>
        <v/>
      </c>
      <c r="B3840">
        <f>IF(H3840="","",U3840)</f>
        <v/>
      </c>
      <c r="C3840">
        <f>IF(H3840="","",IF(P3840="",K3840,INDEX('Students'!$A$2:$A$701,P3840)))</f>
        <v/>
      </c>
      <c r="D3840">
        <f>IF(OR(H3840="",P3840=""),"",INDEX('Students'!$B$2:$B$701,P3840))</f>
        <v/>
      </c>
      <c r="E3840">
        <f>IF(OR(H3840="",P3840=""),"",INDEX('Students'!$C$2:$C$701,P3840))</f>
        <v/>
      </c>
      <c r="F3840" s="48">
        <f>IF(H3840="","",IF(ISNUMBER(O3840),O3840,J3840))</f>
        <v/>
      </c>
      <c r="G3840">
        <f>IF(H3840="","",M3840)</f>
        <v/>
      </c>
      <c r="H3840">
        <f>IF(AND(I3840="",J3840="",K3840=""),"",IF(OR(NOT(ISNUMBER(O3840)),N(O3840)&lt;=0),"Bad amount",IF(NOT(ISNUMBER(N3840)),"Bad date",IF(P3840="","NAME NOT ON ROSTER","OK"))))</f>
        <v/>
      </c>
      <c r="I3840">
        <f>IF('Cash_Check'!A840="","",'Cash_Check'!A840)</f>
        <v/>
      </c>
      <c r="J3840">
        <f>IF('Cash_Check'!D840="","",'Cash_Check'!D840)</f>
        <v/>
      </c>
      <c r="K3840">
        <f>TRIM('Cash_Check'!B840)</f>
        <v/>
      </c>
      <c r="M3840">
        <f>IF(TRIM('Cash_Check'!E840)="","Cash/check",TRIM('Cash_Check'!E840))</f>
        <v/>
      </c>
      <c r="N3840">
        <f>IF(I3840="","",IF(ISNUMBER(I3840),INT(I3840),IFERROR(INT(DATEVALUE(I3840)),IFERROR(INT(VALUE(I3840)),"bad"))))</f>
        <v/>
      </c>
      <c r="O3840">
        <f>IF(J3840="","",IF(ISNUMBER(J3840),ROUND(J3840,2),IFERROR(ROUND(VALUE(SUBSTITUTE(SUBSTITUTE(SUBSTITUTE(J3840,"$",""),",","")," ","")),2),"bad")))</f>
        <v/>
      </c>
      <c r="P3840">
        <f>IF(K3840="","",IFERROR(MATCH(IF(ISNUMBER(FIND("#",K3840)),TRIM(MID(K3840,FIND("#",K3840)+1,20)),UPPER(K3840)),'Students'!$AD$2:$AD$701,0),""))</f>
        <v/>
      </c>
      <c r="R3840">
        <f>IF(P3840="","",INDEX('Students'!$AD$2:$AD$701,P3840))</f>
        <v/>
      </c>
      <c r="S3840">
        <f>IF(H3840="OK",O3840,0)</f>
        <v/>
      </c>
      <c r="T3840">
        <f>IF(H3840="OK",N3840,"")</f>
        <v/>
      </c>
      <c r="U3840">
        <f>TRIM('Cash_Check'!C840)</f>
        <v/>
      </c>
    </row>
    <row r="3841">
      <c r="A3841" s="62">
        <f>IF(H3841="","",IF(ISNUMBER(N3841),N3841,I3841))</f>
        <v/>
      </c>
      <c r="B3841">
        <f>IF(H3841="","",U3841)</f>
        <v/>
      </c>
      <c r="C3841">
        <f>IF(H3841="","",IF(P3841="",K3841,INDEX('Students'!$A$2:$A$701,P3841)))</f>
        <v/>
      </c>
      <c r="D3841">
        <f>IF(OR(H3841="",P3841=""),"",INDEX('Students'!$B$2:$B$701,P3841))</f>
        <v/>
      </c>
      <c r="E3841">
        <f>IF(OR(H3841="",P3841=""),"",INDEX('Students'!$C$2:$C$701,P3841))</f>
        <v/>
      </c>
      <c r="F3841" s="48">
        <f>IF(H3841="","",IF(ISNUMBER(O3841),O3841,J3841))</f>
        <v/>
      </c>
      <c r="G3841">
        <f>IF(H3841="","",M3841)</f>
        <v/>
      </c>
      <c r="H3841">
        <f>IF(AND(I3841="",J3841="",K3841=""),"",IF(OR(NOT(ISNUMBER(O3841)),N(O3841)&lt;=0),"Bad amount",IF(NOT(ISNUMBER(N3841)),"Bad date",IF(P3841="","NAME NOT ON ROSTER","OK"))))</f>
        <v/>
      </c>
      <c r="I3841">
        <f>IF('Cash_Check'!A841="","",'Cash_Check'!A841)</f>
        <v/>
      </c>
      <c r="J3841">
        <f>IF('Cash_Check'!D841="","",'Cash_Check'!D841)</f>
        <v/>
      </c>
      <c r="K3841">
        <f>TRIM('Cash_Check'!B841)</f>
        <v/>
      </c>
      <c r="M3841">
        <f>IF(TRIM('Cash_Check'!E841)="","Cash/check",TRIM('Cash_Check'!E841))</f>
        <v/>
      </c>
      <c r="N3841">
        <f>IF(I3841="","",IF(ISNUMBER(I3841),INT(I3841),IFERROR(INT(DATEVALUE(I3841)),IFERROR(INT(VALUE(I3841)),"bad"))))</f>
        <v/>
      </c>
      <c r="O3841">
        <f>IF(J3841="","",IF(ISNUMBER(J3841),ROUND(J3841,2),IFERROR(ROUND(VALUE(SUBSTITUTE(SUBSTITUTE(SUBSTITUTE(J3841,"$",""),",","")," ","")),2),"bad")))</f>
        <v/>
      </c>
      <c r="P3841">
        <f>IF(K3841="","",IFERROR(MATCH(IF(ISNUMBER(FIND("#",K3841)),TRIM(MID(K3841,FIND("#",K3841)+1,20)),UPPER(K3841)),'Students'!$AD$2:$AD$701,0),""))</f>
        <v/>
      </c>
      <c r="R3841">
        <f>IF(P3841="","",INDEX('Students'!$AD$2:$AD$701,P3841))</f>
        <v/>
      </c>
      <c r="S3841">
        <f>IF(H3841="OK",O3841,0)</f>
        <v/>
      </c>
      <c r="T3841">
        <f>IF(H3841="OK",N3841,"")</f>
        <v/>
      </c>
      <c r="U3841">
        <f>TRIM('Cash_Check'!C841)</f>
        <v/>
      </c>
    </row>
    <row r="3842">
      <c r="A3842" s="62">
        <f>IF(H3842="","",IF(ISNUMBER(N3842),N3842,I3842))</f>
        <v/>
      </c>
      <c r="B3842">
        <f>IF(H3842="","",U3842)</f>
        <v/>
      </c>
      <c r="C3842">
        <f>IF(H3842="","",IF(P3842="",K3842,INDEX('Students'!$A$2:$A$701,P3842)))</f>
        <v/>
      </c>
      <c r="D3842">
        <f>IF(OR(H3842="",P3842=""),"",INDEX('Students'!$B$2:$B$701,P3842))</f>
        <v/>
      </c>
      <c r="E3842">
        <f>IF(OR(H3842="",P3842=""),"",INDEX('Students'!$C$2:$C$701,P3842))</f>
        <v/>
      </c>
      <c r="F3842" s="48">
        <f>IF(H3842="","",IF(ISNUMBER(O3842),O3842,J3842))</f>
        <v/>
      </c>
      <c r="G3842">
        <f>IF(H3842="","",M3842)</f>
        <v/>
      </c>
      <c r="H3842">
        <f>IF(AND(I3842="",J3842="",K3842=""),"",IF(OR(NOT(ISNUMBER(O3842)),N(O3842)&lt;=0),"Bad amount",IF(NOT(ISNUMBER(N3842)),"Bad date",IF(P3842="","NAME NOT ON ROSTER","OK"))))</f>
        <v/>
      </c>
      <c r="I3842">
        <f>IF('Cash_Check'!A842="","",'Cash_Check'!A842)</f>
        <v/>
      </c>
      <c r="J3842">
        <f>IF('Cash_Check'!D842="","",'Cash_Check'!D842)</f>
        <v/>
      </c>
      <c r="K3842">
        <f>TRIM('Cash_Check'!B842)</f>
        <v/>
      </c>
      <c r="M3842">
        <f>IF(TRIM('Cash_Check'!E842)="","Cash/check",TRIM('Cash_Check'!E842))</f>
        <v/>
      </c>
      <c r="N3842">
        <f>IF(I3842="","",IF(ISNUMBER(I3842),INT(I3842),IFERROR(INT(DATEVALUE(I3842)),IFERROR(INT(VALUE(I3842)),"bad"))))</f>
        <v/>
      </c>
      <c r="O3842">
        <f>IF(J3842="","",IF(ISNUMBER(J3842),ROUND(J3842,2),IFERROR(ROUND(VALUE(SUBSTITUTE(SUBSTITUTE(SUBSTITUTE(J3842,"$",""),",","")," ","")),2),"bad")))</f>
        <v/>
      </c>
      <c r="P3842">
        <f>IF(K3842="","",IFERROR(MATCH(IF(ISNUMBER(FIND("#",K3842)),TRIM(MID(K3842,FIND("#",K3842)+1,20)),UPPER(K3842)),'Students'!$AD$2:$AD$701,0),""))</f>
        <v/>
      </c>
      <c r="R3842">
        <f>IF(P3842="","",INDEX('Students'!$AD$2:$AD$701,P3842))</f>
        <v/>
      </c>
      <c r="S3842">
        <f>IF(H3842="OK",O3842,0)</f>
        <v/>
      </c>
      <c r="T3842">
        <f>IF(H3842="OK",N3842,"")</f>
        <v/>
      </c>
      <c r="U3842">
        <f>TRIM('Cash_Check'!C842)</f>
        <v/>
      </c>
    </row>
    <row r="3843">
      <c r="A3843" s="62">
        <f>IF(H3843="","",IF(ISNUMBER(N3843),N3843,I3843))</f>
        <v/>
      </c>
      <c r="B3843">
        <f>IF(H3843="","",U3843)</f>
        <v/>
      </c>
      <c r="C3843">
        <f>IF(H3843="","",IF(P3843="",K3843,INDEX('Students'!$A$2:$A$701,P3843)))</f>
        <v/>
      </c>
      <c r="D3843">
        <f>IF(OR(H3843="",P3843=""),"",INDEX('Students'!$B$2:$B$701,P3843))</f>
        <v/>
      </c>
      <c r="E3843">
        <f>IF(OR(H3843="",P3843=""),"",INDEX('Students'!$C$2:$C$701,P3843))</f>
        <v/>
      </c>
      <c r="F3843" s="48">
        <f>IF(H3843="","",IF(ISNUMBER(O3843),O3843,J3843))</f>
        <v/>
      </c>
      <c r="G3843">
        <f>IF(H3843="","",M3843)</f>
        <v/>
      </c>
      <c r="H3843">
        <f>IF(AND(I3843="",J3843="",K3843=""),"",IF(OR(NOT(ISNUMBER(O3843)),N(O3843)&lt;=0),"Bad amount",IF(NOT(ISNUMBER(N3843)),"Bad date",IF(P3843="","NAME NOT ON ROSTER","OK"))))</f>
        <v/>
      </c>
      <c r="I3843">
        <f>IF('Cash_Check'!A843="","",'Cash_Check'!A843)</f>
        <v/>
      </c>
      <c r="J3843">
        <f>IF('Cash_Check'!D843="","",'Cash_Check'!D843)</f>
        <v/>
      </c>
      <c r="K3843">
        <f>TRIM('Cash_Check'!B843)</f>
        <v/>
      </c>
      <c r="M3843">
        <f>IF(TRIM('Cash_Check'!E843)="","Cash/check",TRIM('Cash_Check'!E843))</f>
        <v/>
      </c>
      <c r="N3843">
        <f>IF(I3843="","",IF(ISNUMBER(I3843),INT(I3843),IFERROR(INT(DATEVALUE(I3843)),IFERROR(INT(VALUE(I3843)),"bad"))))</f>
        <v/>
      </c>
      <c r="O3843">
        <f>IF(J3843="","",IF(ISNUMBER(J3843),ROUND(J3843,2),IFERROR(ROUND(VALUE(SUBSTITUTE(SUBSTITUTE(SUBSTITUTE(J3843,"$",""),",","")," ","")),2),"bad")))</f>
        <v/>
      </c>
      <c r="P3843">
        <f>IF(K3843="","",IFERROR(MATCH(IF(ISNUMBER(FIND("#",K3843)),TRIM(MID(K3843,FIND("#",K3843)+1,20)),UPPER(K3843)),'Students'!$AD$2:$AD$701,0),""))</f>
        <v/>
      </c>
      <c r="R3843">
        <f>IF(P3843="","",INDEX('Students'!$AD$2:$AD$701,P3843))</f>
        <v/>
      </c>
      <c r="S3843">
        <f>IF(H3843="OK",O3843,0)</f>
        <v/>
      </c>
      <c r="T3843">
        <f>IF(H3843="OK",N3843,"")</f>
        <v/>
      </c>
      <c r="U3843">
        <f>TRIM('Cash_Check'!C843)</f>
        <v/>
      </c>
    </row>
    <row r="3844">
      <c r="A3844" s="62">
        <f>IF(H3844="","",IF(ISNUMBER(N3844),N3844,I3844))</f>
        <v/>
      </c>
      <c r="B3844">
        <f>IF(H3844="","",U3844)</f>
        <v/>
      </c>
      <c r="C3844">
        <f>IF(H3844="","",IF(P3844="",K3844,INDEX('Students'!$A$2:$A$701,P3844)))</f>
        <v/>
      </c>
      <c r="D3844">
        <f>IF(OR(H3844="",P3844=""),"",INDEX('Students'!$B$2:$B$701,P3844))</f>
        <v/>
      </c>
      <c r="E3844">
        <f>IF(OR(H3844="",P3844=""),"",INDEX('Students'!$C$2:$C$701,P3844))</f>
        <v/>
      </c>
      <c r="F3844" s="48">
        <f>IF(H3844="","",IF(ISNUMBER(O3844),O3844,J3844))</f>
        <v/>
      </c>
      <c r="G3844">
        <f>IF(H3844="","",M3844)</f>
        <v/>
      </c>
      <c r="H3844">
        <f>IF(AND(I3844="",J3844="",K3844=""),"",IF(OR(NOT(ISNUMBER(O3844)),N(O3844)&lt;=0),"Bad amount",IF(NOT(ISNUMBER(N3844)),"Bad date",IF(P3844="","NAME NOT ON ROSTER","OK"))))</f>
        <v/>
      </c>
      <c r="I3844">
        <f>IF('Cash_Check'!A844="","",'Cash_Check'!A844)</f>
        <v/>
      </c>
      <c r="J3844">
        <f>IF('Cash_Check'!D844="","",'Cash_Check'!D844)</f>
        <v/>
      </c>
      <c r="K3844">
        <f>TRIM('Cash_Check'!B844)</f>
        <v/>
      </c>
      <c r="M3844">
        <f>IF(TRIM('Cash_Check'!E844)="","Cash/check",TRIM('Cash_Check'!E844))</f>
        <v/>
      </c>
      <c r="N3844">
        <f>IF(I3844="","",IF(ISNUMBER(I3844),INT(I3844),IFERROR(INT(DATEVALUE(I3844)),IFERROR(INT(VALUE(I3844)),"bad"))))</f>
        <v/>
      </c>
      <c r="O3844">
        <f>IF(J3844="","",IF(ISNUMBER(J3844),ROUND(J3844,2),IFERROR(ROUND(VALUE(SUBSTITUTE(SUBSTITUTE(SUBSTITUTE(J3844,"$",""),",","")," ","")),2),"bad")))</f>
        <v/>
      </c>
      <c r="P3844">
        <f>IF(K3844="","",IFERROR(MATCH(IF(ISNUMBER(FIND("#",K3844)),TRIM(MID(K3844,FIND("#",K3844)+1,20)),UPPER(K3844)),'Students'!$AD$2:$AD$701,0),""))</f>
        <v/>
      </c>
      <c r="R3844">
        <f>IF(P3844="","",INDEX('Students'!$AD$2:$AD$701,P3844))</f>
        <v/>
      </c>
      <c r="S3844">
        <f>IF(H3844="OK",O3844,0)</f>
        <v/>
      </c>
      <c r="T3844">
        <f>IF(H3844="OK",N3844,"")</f>
        <v/>
      </c>
      <c r="U3844">
        <f>TRIM('Cash_Check'!C844)</f>
        <v/>
      </c>
    </row>
    <row r="3845">
      <c r="A3845" s="62">
        <f>IF(H3845="","",IF(ISNUMBER(N3845),N3845,I3845))</f>
        <v/>
      </c>
      <c r="B3845">
        <f>IF(H3845="","",U3845)</f>
        <v/>
      </c>
      <c r="C3845">
        <f>IF(H3845="","",IF(P3845="",K3845,INDEX('Students'!$A$2:$A$701,P3845)))</f>
        <v/>
      </c>
      <c r="D3845">
        <f>IF(OR(H3845="",P3845=""),"",INDEX('Students'!$B$2:$B$701,P3845))</f>
        <v/>
      </c>
      <c r="E3845">
        <f>IF(OR(H3845="",P3845=""),"",INDEX('Students'!$C$2:$C$701,P3845))</f>
        <v/>
      </c>
      <c r="F3845" s="48">
        <f>IF(H3845="","",IF(ISNUMBER(O3845),O3845,J3845))</f>
        <v/>
      </c>
      <c r="G3845">
        <f>IF(H3845="","",M3845)</f>
        <v/>
      </c>
      <c r="H3845">
        <f>IF(AND(I3845="",J3845="",K3845=""),"",IF(OR(NOT(ISNUMBER(O3845)),N(O3845)&lt;=0),"Bad amount",IF(NOT(ISNUMBER(N3845)),"Bad date",IF(P3845="","NAME NOT ON ROSTER","OK"))))</f>
        <v/>
      </c>
      <c r="I3845">
        <f>IF('Cash_Check'!A845="","",'Cash_Check'!A845)</f>
        <v/>
      </c>
      <c r="J3845">
        <f>IF('Cash_Check'!D845="","",'Cash_Check'!D845)</f>
        <v/>
      </c>
      <c r="K3845">
        <f>TRIM('Cash_Check'!B845)</f>
        <v/>
      </c>
      <c r="M3845">
        <f>IF(TRIM('Cash_Check'!E845)="","Cash/check",TRIM('Cash_Check'!E845))</f>
        <v/>
      </c>
      <c r="N3845">
        <f>IF(I3845="","",IF(ISNUMBER(I3845),INT(I3845),IFERROR(INT(DATEVALUE(I3845)),IFERROR(INT(VALUE(I3845)),"bad"))))</f>
        <v/>
      </c>
      <c r="O3845">
        <f>IF(J3845="","",IF(ISNUMBER(J3845),ROUND(J3845,2),IFERROR(ROUND(VALUE(SUBSTITUTE(SUBSTITUTE(SUBSTITUTE(J3845,"$",""),",","")," ","")),2),"bad")))</f>
        <v/>
      </c>
      <c r="P3845">
        <f>IF(K3845="","",IFERROR(MATCH(IF(ISNUMBER(FIND("#",K3845)),TRIM(MID(K3845,FIND("#",K3845)+1,20)),UPPER(K3845)),'Students'!$AD$2:$AD$701,0),""))</f>
        <v/>
      </c>
      <c r="R3845">
        <f>IF(P3845="","",INDEX('Students'!$AD$2:$AD$701,P3845))</f>
        <v/>
      </c>
      <c r="S3845">
        <f>IF(H3845="OK",O3845,0)</f>
        <v/>
      </c>
      <c r="T3845">
        <f>IF(H3845="OK",N3845,"")</f>
        <v/>
      </c>
      <c r="U3845">
        <f>TRIM('Cash_Check'!C845)</f>
        <v/>
      </c>
    </row>
    <row r="3846">
      <c r="A3846" s="62">
        <f>IF(H3846="","",IF(ISNUMBER(N3846),N3846,I3846))</f>
        <v/>
      </c>
      <c r="B3846">
        <f>IF(H3846="","",U3846)</f>
        <v/>
      </c>
      <c r="C3846">
        <f>IF(H3846="","",IF(P3846="",K3846,INDEX('Students'!$A$2:$A$701,P3846)))</f>
        <v/>
      </c>
      <c r="D3846">
        <f>IF(OR(H3846="",P3846=""),"",INDEX('Students'!$B$2:$B$701,P3846))</f>
        <v/>
      </c>
      <c r="E3846">
        <f>IF(OR(H3846="",P3846=""),"",INDEX('Students'!$C$2:$C$701,P3846))</f>
        <v/>
      </c>
      <c r="F3846" s="48">
        <f>IF(H3846="","",IF(ISNUMBER(O3846),O3846,J3846))</f>
        <v/>
      </c>
      <c r="G3846">
        <f>IF(H3846="","",M3846)</f>
        <v/>
      </c>
      <c r="H3846">
        <f>IF(AND(I3846="",J3846="",K3846=""),"",IF(OR(NOT(ISNUMBER(O3846)),N(O3846)&lt;=0),"Bad amount",IF(NOT(ISNUMBER(N3846)),"Bad date",IF(P3846="","NAME NOT ON ROSTER","OK"))))</f>
        <v/>
      </c>
      <c r="I3846">
        <f>IF('Cash_Check'!A846="","",'Cash_Check'!A846)</f>
        <v/>
      </c>
      <c r="J3846">
        <f>IF('Cash_Check'!D846="","",'Cash_Check'!D846)</f>
        <v/>
      </c>
      <c r="K3846">
        <f>TRIM('Cash_Check'!B846)</f>
        <v/>
      </c>
      <c r="M3846">
        <f>IF(TRIM('Cash_Check'!E846)="","Cash/check",TRIM('Cash_Check'!E846))</f>
        <v/>
      </c>
      <c r="N3846">
        <f>IF(I3846="","",IF(ISNUMBER(I3846),INT(I3846),IFERROR(INT(DATEVALUE(I3846)),IFERROR(INT(VALUE(I3846)),"bad"))))</f>
        <v/>
      </c>
      <c r="O3846">
        <f>IF(J3846="","",IF(ISNUMBER(J3846),ROUND(J3846,2),IFERROR(ROUND(VALUE(SUBSTITUTE(SUBSTITUTE(SUBSTITUTE(J3846,"$",""),",","")," ","")),2),"bad")))</f>
        <v/>
      </c>
      <c r="P3846">
        <f>IF(K3846="","",IFERROR(MATCH(IF(ISNUMBER(FIND("#",K3846)),TRIM(MID(K3846,FIND("#",K3846)+1,20)),UPPER(K3846)),'Students'!$AD$2:$AD$701,0),""))</f>
        <v/>
      </c>
      <c r="R3846">
        <f>IF(P3846="","",INDEX('Students'!$AD$2:$AD$701,P3846))</f>
        <v/>
      </c>
      <c r="S3846">
        <f>IF(H3846="OK",O3846,0)</f>
        <v/>
      </c>
      <c r="T3846">
        <f>IF(H3846="OK",N3846,"")</f>
        <v/>
      </c>
      <c r="U3846">
        <f>TRIM('Cash_Check'!C846)</f>
        <v/>
      </c>
    </row>
    <row r="3847">
      <c r="A3847" s="62">
        <f>IF(H3847="","",IF(ISNUMBER(N3847),N3847,I3847))</f>
        <v/>
      </c>
      <c r="B3847">
        <f>IF(H3847="","",U3847)</f>
        <v/>
      </c>
      <c r="C3847">
        <f>IF(H3847="","",IF(P3847="",K3847,INDEX('Students'!$A$2:$A$701,P3847)))</f>
        <v/>
      </c>
      <c r="D3847">
        <f>IF(OR(H3847="",P3847=""),"",INDEX('Students'!$B$2:$B$701,P3847))</f>
        <v/>
      </c>
      <c r="E3847">
        <f>IF(OR(H3847="",P3847=""),"",INDEX('Students'!$C$2:$C$701,P3847))</f>
        <v/>
      </c>
      <c r="F3847" s="48">
        <f>IF(H3847="","",IF(ISNUMBER(O3847),O3847,J3847))</f>
        <v/>
      </c>
      <c r="G3847">
        <f>IF(H3847="","",M3847)</f>
        <v/>
      </c>
      <c r="H3847">
        <f>IF(AND(I3847="",J3847="",K3847=""),"",IF(OR(NOT(ISNUMBER(O3847)),N(O3847)&lt;=0),"Bad amount",IF(NOT(ISNUMBER(N3847)),"Bad date",IF(P3847="","NAME NOT ON ROSTER","OK"))))</f>
        <v/>
      </c>
      <c r="I3847">
        <f>IF('Cash_Check'!A847="","",'Cash_Check'!A847)</f>
        <v/>
      </c>
      <c r="J3847">
        <f>IF('Cash_Check'!D847="","",'Cash_Check'!D847)</f>
        <v/>
      </c>
      <c r="K3847">
        <f>TRIM('Cash_Check'!B847)</f>
        <v/>
      </c>
      <c r="M3847">
        <f>IF(TRIM('Cash_Check'!E847)="","Cash/check",TRIM('Cash_Check'!E847))</f>
        <v/>
      </c>
      <c r="N3847">
        <f>IF(I3847="","",IF(ISNUMBER(I3847),INT(I3847),IFERROR(INT(DATEVALUE(I3847)),IFERROR(INT(VALUE(I3847)),"bad"))))</f>
        <v/>
      </c>
      <c r="O3847">
        <f>IF(J3847="","",IF(ISNUMBER(J3847),ROUND(J3847,2),IFERROR(ROUND(VALUE(SUBSTITUTE(SUBSTITUTE(SUBSTITUTE(J3847,"$",""),",","")," ","")),2),"bad")))</f>
        <v/>
      </c>
      <c r="P3847">
        <f>IF(K3847="","",IFERROR(MATCH(IF(ISNUMBER(FIND("#",K3847)),TRIM(MID(K3847,FIND("#",K3847)+1,20)),UPPER(K3847)),'Students'!$AD$2:$AD$701,0),""))</f>
        <v/>
      </c>
      <c r="R3847">
        <f>IF(P3847="","",INDEX('Students'!$AD$2:$AD$701,P3847))</f>
        <v/>
      </c>
      <c r="S3847">
        <f>IF(H3847="OK",O3847,0)</f>
        <v/>
      </c>
      <c r="T3847">
        <f>IF(H3847="OK",N3847,"")</f>
        <v/>
      </c>
      <c r="U3847">
        <f>TRIM('Cash_Check'!C847)</f>
        <v/>
      </c>
    </row>
    <row r="3848">
      <c r="A3848" s="62">
        <f>IF(H3848="","",IF(ISNUMBER(N3848),N3848,I3848))</f>
        <v/>
      </c>
      <c r="B3848">
        <f>IF(H3848="","",U3848)</f>
        <v/>
      </c>
      <c r="C3848">
        <f>IF(H3848="","",IF(P3848="",K3848,INDEX('Students'!$A$2:$A$701,P3848)))</f>
        <v/>
      </c>
      <c r="D3848">
        <f>IF(OR(H3848="",P3848=""),"",INDEX('Students'!$B$2:$B$701,P3848))</f>
        <v/>
      </c>
      <c r="E3848">
        <f>IF(OR(H3848="",P3848=""),"",INDEX('Students'!$C$2:$C$701,P3848))</f>
        <v/>
      </c>
      <c r="F3848" s="48">
        <f>IF(H3848="","",IF(ISNUMBER(O3848),O3848,J3848))</f>
        <v/>
      </c>
      <c r="G3848">
        <f>IF(H3848="","",M3848)</f>
        <v/>
      </c>
      <c r="H3848">
        <f>IF(AND(I3848="",J3848="",K3848=""),"",IF(OR(NOT(ISNUMBER(O3848)),N(O3848)&lt;=0),"Bad amount",IF(NOT(ISNUMBER(N3848)),"Bad date",IF(P3848="","NAME NOT ON ROSTER","OK"))))</f>
        <v/>
      </c>
      <c r="I3848">
        <f>IF('Cash_Check'!A848="","",'Cash_Check'!A848)</f>
        <v/>
      </c>
      <c r="J3848">
        <f>IF('Cash_Check'!D848="","",'Cash_Check'!D848)</f>
        <v/>
      </c>
      <c r="K3848">
        <f>TRIM('Cash_Check'!B848)</f>
        <v/>
      </c>
      <c r="M3848">
        <f>IF(TRIM('Cash_Check'!E848)="","Cash/check",TRIM('Cash_Check'!E848))</f>
        <v/>
      </c>
      <c r="N3848">
        <f>IF(I3848="","",IF(ISNUMBER(I3848),INT(I3848),IFERROR(INT(DATEVALUE(I3848)),IFERROR(INT(VALUE(I3848)),"bad"))))</f>
        <v/>
      </c>
      <c r="O3848">
        <f>IF(J3848="","",IF(ISNUMBER(J3848),ROUND(J3848,2),IFERROR(ROUND(VALUE(SUBSTITUTE(SUBSTITUTE(SUBSTITUTE(J3848,"$",""),",","")," ","")),2),"bad")))</f>
        <v/>
      </c>
      <c r="P3848">
        <f>IF(K3848="","",IFERROR(MATCH(IF(ISNUMBER(FIND("#",K3848)),TRIM(MID(K3848,FIND("#",K3848)+1,20)),UPPER(K3848)),'Students'!$AD$2:$AD$701,0),""))</f>
        <v/>
      </c>
      <c r="R3848">
        <f>IF(P3848="","",INDEX('Students'!$AD$2:$AD$701,P3848))</f>
        <v/>
      </c>
      <c r="S3848">
        <f>IF(H3848="OK",O3848,0)</f>
        <v/>
      </c>
      <c r="T3848">
        <f>IF(H3848="OK",N3848,"")</f>
        <v/>
      </c>
      <c r="U3848">
        <f>TRIM('Cash_Check'!C848)</f>
        <v/>
      </c>
    </row>
    <row r="3849">
      <c r="A3849" s="62">
        <f>IF(H3849="","",IF(ISNUMBER(N3849),N3849,I3849))</f>
        <v/>
      </c>
      <c r="B3849">
        <f>IF(H3849="","",U3849)</f>
        <v/>
      </c>
      <c r="C3849">
        <f>IF(H3849="","",IF(P3849="",K3849,INDEX('Students'!$A$2:$A$701,P3849)))</f>
        <v/>
      </c>
      <c r="D3849">
        <f>IF(OR(H3849="",P3849=""),"",INDEX('Students'!$B$2:$B$701,P3849))</f>
        <v/>
      </c>
      <c r="E3849">
        <f>IF(OR(H3849="",P3849=""),"",INDEX('Students'!$C$2:$C$701,P3849))</f>
        <v/>
      </c>
      <c r="F3849" s="48">
        <f>IF(H3849="","",IF(ISNUMBER(O3849),O3849,J3849))</f>
        <v/>
      </c>
      <c r="G3849">
        <f>IF(H3849="","",M3849)</f>
        <v/>
      </c>
      <c r="H3849">
        <f>IF(AND(I3849="",J3849="",K3849=""),"",IF(OR(NOT(ISNUMBER(O3849)),N(O3849)&lt;=0),"Bad amount",IF(NOT(ISNUMBER(N3849)),"Bad date",IF(P3849="","NAME NOT ON ROSTER","OK"))))</f>
        <v/>
      </c>
      <c r="I3849">
        <f>IF('Cash_Check'!A849="","",'Cash_Check'!A849)</f>
        <v/>
      </c>
      <c r="J3849">
        <f>IF('Cash_Check'!D849="","",'Cash_Check'!D849)</f>
        <v/>
      </c>
      <c r="K3849">
        <f>TRIM('Cash_Check'!B849)</f>
        <v/>
      </c>
      <c r="M3849">
        <f>IF(TRIM('Cash_Check'!E849)="","Cash/check",TRIM('Cash_Check'!E849))</f>
        <v/>
      </c>
      <c r="N3849">
        <f>IF(I3849="","",IF(ISNUMBER(I3849),INT(I3849),IFERROR(INT(DATEVALUE(I3849)),IFERROR(INT(VALUE(I3849)),"bad"))))</f>
        <v/>
      </c>
      <c r="O3849">
        <f>IF(J3849="","",IF(ISNUMBER(J3849),ROUND(J3849,2),IFERROR(ROUND(VALUE(SUBSTITUTE(SUBSTITUTE(SUBSTITUTE(J3849,"$",""),",","")," ","")),2),"bad")))</f>
        <v/>
      </c>
      <c r="P3849">
        <f>IF(K3849="","",IFERROR(MATCH(IF(ISNUMBER(FIND("#",K3849)),TRIM(MID(K3849,FIND("#",K3849)+1,20)),UPPER(K3849)),'Students'!$AD$2:$AD$701,0),""))</f>
        <v/>
      </c>
      <c r="R3849">
        <f>IF(P3849="","",INDEX('Students'!$AD$2:$AD$701,P3849))</f>
        <v/>
      </c>
      <c r="S3849">
        <f>IF(H3849="OK",O3849,0)</f>
        <v/>
      </c>
      <c r="T3849">
        <f>IF(H3849="OK",N3849,"")</f>
        <v/>
      </c>
      <c r="U3849">
        <f>TRIM('Cash_Check'!C849)</f>
        <v/>
      </c>
    </row>
    <row r="3850">
      <c r="A3850" s="62">
        <f>IF(H3850="","",IF(ISNUMBER(N3850),N3850,I3850))</f>
        <v/>
      </c>
      <c r="B3850">
        <f>IF(H3850="","",U3850)</f>
        <v/>
      </c>
      <c r="C3850">
        <f>IF(H3850="","",IF(P3850="",K3850,INDEX('Students'!$A$2:$A$701,P3850)))</f>
        <v/>
      </c>
      <c r="D3850">
        <f>IF(OR(H3850="",P3850=""),"",INDEX('Students'!$B$2:$B$701,P3850))</f>
        <v/>
      </c>
      <c r="E3850">
        <f>IF(OR(H3850="",P3850=""),"",INDEX('Students'!$C$2:$C$701,P3850))</f>
        <v/>
      </c>
      <c r="F3850" s="48">
        <f>IF(H3850="","",IF(ISNUMBER(O3850),O3850,J3850))</f>
        <v/>
      </c>
      <c r="G3850">
        <f>IF(H3850="","",M3850)</f>
        <v/>
      </c>
      <c r="H3850">
        <f>IF(AND(I3850="",J3850="",K3850=""),"",IF(OR(NOT(ISNUMBER(O3850)),N(O3850)&lt;=0),"Bad amount",IF(NOT(ISNUMBER(N3850)),"Bad date",IF(P3850="","NAME NOT ON ROSTER","OK"))))</f>
        <v/>
      </c>
      <c r="I3850">
        <f>IF('Cash_Check'!A850="","",'Cash_Check'!A850)</f>
        <v/>
      </c>
      <c r="J3850">
        <f>IF('Cash_Check'!D850="","",'Cash_Check'!D850)</f>
        <v/>
      </c>
      <c r="K3850">
        <f>TRIM('Cash_Check'!B850)</f>
        <v/>
      </c>
      <c r="M3850">
        <f>IF(TRIM('Cash_Check'!E850)="","Cash/check",TRIM('Cash_Check'!E850))</f>
        <v/>
      </c>
      <c r="N3850">
        <f>IF(I3850="","",IF(ISNUMBER(I3850),INT(I3850),IFERROR(INT(DATEVALUE(I3850)),IFERROR(INT(VALUE(I3850)),"bad"))))</f>
        <v/>
      </c>
      <c r="O3850">
        <f>IF(J3850="","",IF(ISNUMBER(J3850),ROUND(J3850,2),IFERROR(ROUND(VALUE(SUBSTITUTE(SUBSTITUTE(SUBSTITUTE(J3850,"$",""),",","")," ","")),2),"bad")))</f>
        <v/>
      </c>
      <c r="P3850">
        <f>IF(K3850="","",IFERROR(MATCH(IF(ISNUMBER(FIND("#",K3850)),TRIM(MID(K3850,FIND("#",K3850)+1,20)),UPPER(K3850)),'Students'!$AD$2:$AD$701,0),""))</f>
        <v/>
      </c>
      <c r="R3850">
        <f>IF(P3850="","",INDEX('Students'!$AD$2:$AD$701,P3850))</f>
        <v/>
      </c>
      <c r="S3850">
        <f>IF(H3850="OK",O3850,0)</f>
        <v/>
      </c>
      <c r="T3850">
        <f>IF(H3850="OK",N3850,"")</f>
        <v/>
      </c>
      <c r="U3850">
        <f>TRIM('Cash_Check'!C850)</f>
        <v/>
      </c>
    </row>
    <row r="3851">
      <c r="A3851" s="62">
        <f>IF(H3851="","",IF(ISNUMBER(N3851),N3851,I3851))</f>
        <v/>
      </c>
      <c r="B3851">
        <f>IF(H3851="","",U3851)</f>
        <v/>
      </c>
      <c r="C3851">
        <f>IF(H3851="","",IF(P3851="",K3851,INDEX('Students'!$A$2:$A$701,P3851)))</f>
        <v/>
      </c>
      <c r="D3851">
        <f>IF(OR(H3851="",P3851=""),"",INDEX('Students'!$B$2:$B$701,P3851))</f>
        <v/>
      </c>
      <c r="E3851">
        <f>IF(OR(H3851="",P3851=""),"",INDEX('Students'!$C$2:$C$701,P3851))</f>
        <v/>
      </c>
      <c r="F3851" s="48">
        <f>IF(H3851="","",IF(ISNUMBER(O3851),O3851,J3851))</f>
        <v/>
      </c>
      <c r="G3851">
        <f>IF(H3851="","",M3851)</f>
        <v/>
      </c>
      <c r="H3851">
        <f>IF(AND(I3851="",J3851="",K3851=""),"",IF(OR(NOT(ISNUMBER(O3851)),N(O3851)&lt;=0),"Bad amount",IF(NOT(ISNUMBER(N3851)),"Bad date",IF(P3851="","NAME NOT ON ROSTER","OK"))))</f>
        <v/>
      </c>
      <c r="I3851">
        <f>IF('Cash_Check'!A851="","",'Cash_Check'!A851)</f>
        <v/>
      </c>
      <c r="J3851">
        <f>IF('Cash_Check'!D851="","",'Cash_Check'!D851)</f>
        <v/>
      </c>
      <c r="K3851">
        <f>TRIM('Cash_Check'!B851)</f>
        <v/>
      </c>
      <c r="M3851">
        <f>IF(TRIM('Cash_Check'!E851)="","Cash/check",TRIM('Cash_Check'!E851))</f>
        <v/>
      </c>
      <c r="N3851">
        <f>IF(I3851="","",IF(ISNUMBER(I3851),INT(I3851),IFERROR(INT(DATEVALUE(I3851)),IFERROR(INT(VALUE(I3851)),"bad"))))</f>
        <v/>
      </c>
      <c r="O3851">
        <f>IF(J3851="","",IF(ISNUMBER(J3851),ROUND(J3851,2),IFERROR(ROUND(VALUE(SUBSTITUTE(SUBSTITUTE(SUBSTITUTE(J3851,"$",""),",","")," ","")),2),"bad")))</f>
        <v/>
      </c>
      <c r="P3851">
        <f>IF(K3851="","",IFERROR(MATCH(IF(ISNUMBER(FIND("#",K3851)),TRIM(MID(K3851,FIND("#",K3851)+1,20)),UPPER(K3851)),'Students'!$AD$2:$AD$701,0),""))</f>
        <v/>
      </c>
      <c r="R3851">
        <f>IF(P3851="","",INDEX('Students'!$AD$2:$AD$701,P3851))</f>
        <v/>
      </c>
      <c r="S3851">
        <f>IF(H3851="OK",O3851,0)</f>
        <v/>
      </c>
      <c r="T3851">
        <f>IF(H3851="OK",N3851,"")</f>
        <v/>
      </c>
      <c r="U3851">
        <f>TRIM('Cash_Check'!C851)</f>
        <v/>
      </c>
    </row>
    <row r="3852">
      <c r="A3852" s="62">
        <f>IF(H3852="","",IF(ISNUMBER(N3852),N3852,I3852))</f>
        <v/>
      </c>
      <c r="B3852">
        <f>IF(H3852="","",U3852)</f>
        <v/>
      </c>
      <c r="C3852">
        <f>IF(H3852="","",IF(P3852="",K3852,INDEX('Students'!$A$2:$A$701,P3852)))</f>
        <v/>
      </c>
      <c r="D3852">
        <f>IF(OR(H3852="",P3852=""),"",INDEX('Students'!$B$2:$B$701,P3852))</f>
        <v/>
      </c>
      <c r="E3852">
        <f>IF(OR(H3852="",P3852=""),"",INDEX('Students'!$C$2:$C$701,P3852))</f>
        <v/>
      </c>
      <c r="F3852" s="48">
        <f>IF(H3852="","",IF(ISNUMBER(O3852),O3852,J3852))</f>
        <v/>
      </c>
      <c r="G3852">
        <f>IF(H3852="","",M3852)</f>
        <v/>
      </c>
      <c r="H3852">
        <f>IF(AND(I3852="",J3852="",K3852=""),"",IF(OR(NOT(ISNUMBER(O3852)),N(O3852)&lt;=0),"Bad amount",IF(NOT(ISNUMBER(N3852)),"Bad date",IF(P3852="","NAME NOT ON ROSTER","OK"))))</f>
        <v/>
      </c>
      <c r="I3852">
        <f>IF('Cash_Check'!A852="","",'Cash_Check'!A852)</f>
        <v/>
      </c>
      <c r="J3852">
        <f>IF('Cash_Check'!D852="","",'Cash_Check'!D852)</f>
        <v/>
      </c>
      <c r="K3852">
        <f>TRIM('Cash_Check'!B852)</f>
        <v/>
      </c>
      <c r="M3852">
        <f>IF(TRIM('Cash_Check'!E852)="","Cash/check",TRIM('Cash_Check'!E852))</f>
        <v/>
      </c>
      <c r="N3852">
        <f>IF(I3852="","",IF(ISNUMBER(I3852),INT(I3852),IFERROR(INT(DATEVALUE(I3852)),IFERROR(INT(VALUE(I3852)),"bad"))))</f>
        <v/>
      </c>
      <c r="O3852">
        <f>IF(J3852="","",IF(ISNUMBER(J3852),ROUND(J3852,2),IFERROR(ROUND(VALUE(SUBSTITUTE(SUBSTITUTE(SUBSTITUTE(J3852,"$",""),",","")," ","")),2),"bad")))</f>
        <v/>
      </c>
      <c r="P3852">
        <f>IF(K3852="","",IFERROR(MATCH(IF(ISNUMBER(FIND("#",K3852)),TRIM(MID(K3852,FIND("#",K3852)+1,20)),UPPER(K3852)),'Students'!$AD$2:$AD$701,0),""))</f>
        <v/>
      </c>
      <c r="R3852">
        <f>IF(P3852="","",INDEX('Students'!$AD$2:$AD$701,P3852))</f>
        <v/>
      </c>
      <c r="S3852">
        <f>IF(H3852="OK",O3852,0)</f>
        <v/>
      </c>
      <c r="T3852">
        <f>IF(H3852="OK",N3852,"")</f>
        <v/>
      </c>
      <c r="U3852">
        <f>TRIM('Cash_Check'!C852)</f>
        <v/>
      </c>
    </row>
    <row r="3853">
      <c r="A3853" s="62">
        <f>IF(H3853="","",IF(ISNUMBER(N3853),N3853,I3853))</f>
        <v/>
      </c>
      <c r="B3853">
        <f>IF(H3853="","",U3853)</f>
        <v/>
      </c>
      <c r="C3853">
        <f>IF(H3853="","",IF(P3853="",K3853,INDEX('Students'!$A$2:$A$701,P3853)))</f>
        <v/>
      </c>
      <c r="D3853">
        <f>IF(OR(H3853="",P3853=""),"",INDEX('Students'!$B$2:$B$701,P3853))</f>
        <v/>
      </c>
      <c r="E3853">
        <f>IF(OR(H3853="",P3853=""),"",INDEX('Students'!$C$2:$C$701,P3853))</f>
        <v/>
      </c>
      <c r="F3853" s="48">
        <f>IF(H3853="","",IF(ISNUMBER(O3853),O3853,J3853))</f>
        <v/>
      </c>
      <c r="G3853">
        <f>IF(H3853="","",M3853)</f>
        <v/>
      </c>
      <c r="H3853">
        <f>IF(AND(I3853="",J3853="",K3853=""),"",IF(OR(NOT(ISNUMBER(O3853)),N(O3853)&lt;=0),"Bad amount",IF(NOT(ISNUMBER(N3853)),"Bad date",IF(P3853="","NAME NOT ON ROSTER","OK"))))</f>
        <v/>
      </c>
      <c r="I3853">
        <f>IF('Cash_Check'!A853="","",'Cash_Check'!A853)</f>
        <v/>
      </c>
      <c r="J3853">
        <f>IF('Cash_Check'!D853="","",'Cash_Check'!D853)</f>
        <v/>
      </c>
      <c r="K3853">
        <f>TRIM('Cash_Check'!B853)</f>
        <v/>
      </c>
      <c r="M3853">
        <f>IF(TRIM('Cash_Check'!E853)="","Cash/check",TRIM('Cash_Check'!E853))</f>
        <v/>
      </c>
      <c r="N3853">
        <f>IF(I3853="","",IF(ISNUMBER(I3853),INT(I3853),IFERROR(INT(DATEVALUE(I3853)),IFERROR(INT(VALUE(I3853)),"bad"))))</f>
        <v/>
      </c>
      <c r="O3853">
        <f>IF(J3853="","",IF(ISNUMBER(J3853),ROUND(J3853,2),IFERROR(ROUND(VALUE(SUBSTITUTE(SUBSTITUTE(SUBSTITUTE(J3853,"$",""),",","")," ","")),2),"bad")))</f>
        <v/>
      </c>
      <c r="P3853">
        <f>IF(K3853="","",IFERROR(MATCH(IF(ISNUMBER(FIND("#",K3853)),TRIM(MID(K3853,FIND("#",K3853)+1,20)),UPPER(K3853)),'Students'!$AD$2:$AD$701,0),""))</f>
        <v/>
      </c>
      <c r="R3853">
        <f>IF(P3853="","",INDEX('Students'!$AD$2:$AD$701,P3853))</f>
        <v/>
      </c>
      <c r="S3853">
        <f>IF(H3853="OK",O3853,0)</f>
        <v/>
      </c>
      <c r="T3853">
        <f>IF(H3853="OK",N3853,"")</f>
        <v/>
      </c>
      <c r="U3853">
        <f>TRIM('Cash_Check'!C853)</f>
        <v/>
      </c>
    </row>
    <row r="3854">
      <c r="A3854" s="62">
        <f>IF(H3854="","",IF(ISNUMBER(N3854),N3854,I3854))</f>
        <v/>
      </c>
      <c r="B3854">
        <f>IF(H3854="","",U3854)</f>
        <v/>
      </c>
      <c r="C3854">
        <f>IF(H3854="","",IF(P3854="",K3854,INDEX('Students'!$A$2:$A$701,P3854)))</f>
        <v/>
      </c>
      <c r="D3854">
        <f>IF(OR(H3854="",P3854=""),"",INDEX('Students'!$B$2:$B$701,P3854))</f>
        <v/>
      </c>
      <c r="E3854">
        <f>IF(OR(H3854="",P3854=""),"",INDEX('Students'!$C$2:$C$701,P3854))</f>
        <v/>
      </c>
      <c r="F3854" s="48">
        <f>IF(H3854="","",IF(ISNUMBER(O3854),O3854,J3854))</f>
        <v/>
      </c>
      <c r="G3854">
        <f>IF(H3854="","",M3854)</f>
        <v/>
      </c>
      <c r="H3854">
        <f>IF(AND(I3854="",J3854="",K3854=""),"",IF(OR(NOT(ISNUMBER(O3854)),N(O3854)&lt;=0),"Bad amount",IF(NOT(ISNUMBER(N3854)),"Bad date",IF(P3854="","NAME NOT ON ROSTER","OK"))))</f>
        <v/>
      </c>
      <c r="I3854">
        <f>IF('Cash_Check'!A854="","",'Cash_Check'!A854)</f>
        <v/>
      </c>
      <c r="J3854">
        <f>IF('Cash_Check'!D854="","",'Cash_Check'!D854)</f>
        <v/>
      </c>
      <c r="K3854">
        <f>TRIM('Cash_Check'!B854)</f>
        <v/>
      </c>
      <c r="M3854">
        <f>IF(TRIM('Cash_Check'!E854)="","Cash/check",TRIM('Cash_Check'!E854))</f>
        <v/>
      </c>
      <c r="N3854">
        <f>IF(I3854="","",IF(ISNUMBER(I3854),INT(I3854),IFERROR(INT(DATEVALUE(I3854)),IFERROR(INT(VALUE(I3854)),"bad"))))</f>
        <v/>
      </c>
      <c r="O3854">
        <f>IF(J3854="","",IF(ISNUMBER(J3854),ROUND(J3854,2),IFERROR(ROUND(VALUE(SUBSTITUTE(SUBSTITUTE(SUBSTITUTE(J3854,"$",""),",","")," ","")),2),"bad")))</f>
        <v/>
      </c>
      <c r="P3854">
        <f>IF(K3854="","",IFERROR(MATCH(IF(ISNUMBER(FIND("#",K3854)),TRIM(MID(K3854,FIND("#",K3854)+1,20)),UPPER(K3854)),'Students'!$AD$2:$AD$701,0),""))</f>
        <v/>
      </c>
      <c r="R3854">
        <f>IF(P3854="","",INDEX('Students'!$AD$2:$AD$701,P3854))</f>
        <v/>
      </c>
      <c r="S3854">
        <f>IF(H3854="OK",O3854,0)</f>
        <v/>
      </c>
      <c r="T3854">
        <f>IF(H3854="OK",N3854,"")</f>
        <v/>
      </c>
      <c r="U3854">
        <f>TRIM('Cash_Check'!C854)</f>
        <v/>
      </c>
    </row>
    <row r="3855">
      <c r="A3855" s="62">
        <f>IF(H3855="","",IF(ISNUMBER(N3855),N3855,I3855))</f>
        <v/>
      </c>
      <c r="B3855">
        <f>IF(H3855="","",U3855)</f>
        <v/>
      </c>
      <c r="C3855">
        <f>IF(H3855="","",IF(P3855="",K3855,INDEX('Students'!$A$2:$A$701,P3855)))</f>
        <v/>
      </c>
      <c r="D3855">
        <f>IF(OR(H3855="",P3855=""),"",INDEX('Students'!$B$2:$B$701,P3855))</f>
        <v/>
      </c>
      <c r="E3855">
        <f>IF(OR(H3855="",P3855=""),"",INDEX('Students'!$C$2:$C$701,P3855))</f>
        <v/>
      </c>
      <c r="F3855" s="48">
        <f>IF(H3855="","",IF(ISNUMBER(O3855),O3855,J3855))</f>
        <v/>
      </c>
      <c r="G3855">
        <f>IF(H3855="","",M3855)</f>
        <v/>
      </c>
      <c r="H3855">
        <f>IF(AND(I3855="",J3855="",K3855=""),"",IF(OR(NOT(ISNUMBER(O3855)),N(O3855)&lt;=0),"Bad amount",IF(NOT(ISNUMBER(N3855)),"Bad date",IF(P3855="","NAME NOT ON ROSTER","OK"))))</f>
        <v/>
      </c>
      <c r="I3855">
        <f>IF('Cash_Check'!A855="","",'Cash_Check'!A855)</f>
        <v/>
      </c>
      <c r="J3855">
        <f>IF('Cash_Check'!D855="","",'Cash_Check'!D855)</f>
        <v/>
      </c>
      <c r="K3855">
        <f>TRIM('Cash_Check'!B855)</f>
        <v/>
      </c>
      <c r="M3855">
        <f>IF(TRIM('Cash_Check'!E855)="","Cash/check",TRIM('Cash_Check'!E855))</f>
        <v/>
      </c>
      <c r="N3855">
        <f>IF(I3855="","",IF(ISNUMBER(I3855),INT(I3855),IFERROR(INT(DATEVALUE(I3855)),IFERROR(INT(VALUE(I3855)),"bad"))))</f>
        <v/>
      </c>
      <c r="O3855">
        <f>IF(J3855="","",IF(ISNUMBER(J3855),ROUND(J3855,2),IFERROR(ROUND(VALUE(SUBSTITUTE(SUBSTITUTE(SUBSTITUTE(J3855,"$",""),",","")," ","")),2),"bad")))</f>
        <v/>
      </c>
      <c r="P3855">
        <f>IF(K3855="","",IFERROR(MATCH(IF(ISNUMBER(FIND("#",K3855)),TRIM(MID(K3855,FIND("#",K3855)+1,20)),UPPER(K3855)),'Students'!$AD$2:$AD$701,0),""))</f>
        <v/>
      </c>
      <c r="R3855">
        <f>IF(P3855="","",INDEX('Students'!$AD$2:$AD$701,P3855))</f>
        <v/>
      </c>
      <c r="S3855">
        <f>IF(H3855="OK",O3855,0)</f>
        <v/>
      </c>
      <c r="T3855">
        <f>IF(H3855="OK",N3855,"")</f>
        <v/>
      </c>
      <c r="U3855">
        <f>TRIM('Cash_Check'!C855)</f>
        <v/>
      </c>
    </row>
    <row r="3856">
      <c r="A3856" s="62">
        <f>IF(H3856="","",IF(ISNUMBER(N3856),N3856,I3856))</f>
        <v/>
      </c>
      <c r="B3856">
        <f>IF(H3856="","",U3856)</f>
        <v/>
      </c>
      <c r="C3856">
        <f>IF(H3856="","",IF(P3856="",K3856,INDEX('Students'!$A$2:$A$701,P3856)))</f>
        <v/>
      </c>
      <c r="D3856">
        <f>IF(OR(H3856="",P3856=""),"",INDEX('Students'!$B$2:$B$701,P3856))</f>
        <v/>
      </c>
      <c r="E3856">
        <f>IF(OR(H3856="",P3856=""),"",INDEX('Students'!$C$2:$C$701,P3856))</f>
        <v/>
      </c>
      <c r="F3856" s="48">
        <f>IF(H3856="","",IF(ISNUMBER(O3856),O3856,J3856))</f>
        <v/>
      </c>
      <c r="G3856">
        <f>IF(H3856="","",M3856)</f>
        <v/>
      </c>
      <c r="H3856">
        <f>IF(AND(I3856="",J3856="",K3856=""),"",IF(OR(NOT(ISNUMBER(O3856)),N(O3856)&lt;=0),"Bad amount",IF(NOT(ISNUMBER(N3856)),"Bad date",IF(P3856="","NAME NOT ON ROSTER","OK"))))</f>
        <v/>
      </c>
      <c r="I3856">
        <f>IF('Cash_Check'!A856="","",'Cash_Check'!A856)</f>
        <v/>
      </c>
      <c r="J3856">
        <f>IF('Cash_Check'!D856="","",'Cash_Check'!D856)</f>
        <v/>
      </c>
      <c r="K3856">
        <f>TRIM('Cash_Check'!B856)</f>
        <v/>
      </c>
      <c r="M3856">
        <f>IF(TRIM('Cash_Check'!E856)="","Cash/check",TRIM('Cash_Check'!E856))</f>
        <v/>
      </c>
      <c r="N3856">
        <f>IF(I3856="","",IF(ISNUMBER(I3856),INT(I3856),IFERROR(INT(DATEVALUE(I3856)),IFERROR(INT(VALUE(I3856)),"bad"))))</f>
        <v/>
      </c>
      <c r="O3856">
        <f>IF(J3856="","",IF(ISNUMBER(J3856),ROUND(J3856,2),IFERROR(ROUND(VALUE(SUBSTITUTE(SUBSTITUTE(SUBSTITUTE(J3856,"$",""),",","")," ","")),2),"bad")))</f>
        <v/>
      </c>
      <c r="P3856">
        <f>IF(K3856="","",IFERROR(MATCH(IF(ISNUMBER(FIND("#",K3856)),TRIM(MID(K3856,FIND("#",K3856)+1,20)),UPPER(K3856)),'Students'!$AD$2:$AD$701,0),""))</f>
        <v/>
      </c>
      <c r="R3856">
        <f>IF(P3856="","",INDEX('Students'!$AD$2:$AD$701,P3856))</f>
        <v/>
      </c>
      <c r="S3856">
        <f>IF(H3856="OK",O3856,0)</f>
        <v/>
      </c>
      <c r="T3856">
        <f>IF(H3856="OK",N3856,"")</f>
        <v/>
      </c>
      <c r="U3856">
        <f>TRIM('Cash_Check'!C856)</f>
        <v/>
      </c>
    </row>
    <row r="3857">
      <c r="A3857" s="62">
        <f>IF(H3857="","",IF(ISNUMBER(N3857),N3857,I3857))</f>
        <v/>
      </c>
      <c r="B3857">
        <f>IF(H3857="","",U3857)</f>
        <v/>
      </c>
      <c r="C3857">
        <f>IF(H3857="","",IF(P3857="",K3857,INDEX('Students'!$A$2:$A$701,P3857)))</f>
        <v/>
      </c>
      <c r="D3857">
        <f>IF(OR(H3857="",P3857=""),"",INDEX('Students'!$B$2:$B$701,P3857))</f>
        <v/>
      </c>
      <c r="E3857">
        <f>IF(OR(H3857="",P3857=""),"",INDEX('Students'!$C$2:$C$701,P3857))</f>
        <v/>
      </c>
      <c r="F3857" s="48">
        <f>IF(H3857="","",IF(ISNUMBER(O3857),O3857,J3857))</f>
        <v/>
      </c>
      <c r="G3857">
        <f>IF(H3857="","",M3857)</f>
        <v/>
      </c>
      <c r="H3857">
        <f>IF(AND(I3857="",J3857="",K3857=""),"",IF(OR(NOT(ISNUMBER(O3857)),N(O3857)&lt;=0),"Bad amount",IF(NOT(ISNUMBER(N3857)),"Bad date",IF(P3857="","NAME NOT ON ROSTER","OK"))))</f>
        <v/>
      </c>
      <c r="I3857">
        <f>IF('Cash_Check'!A857="","",'Cash_Check'!A857)</f>
        <v/>
      </c>
      <c r="J3857">
        <f>IF('Cash_Check'!D857="","",'Cash_Check'!D857)</f>
        <v/>
      </c>
      <c r="K3857">
        <f>TRIM('Cash_Check'!B857)</f>
        <v/>
      </c>
      <c r="M3857">
        <f>IF(TRIM('Cash_Check'!E857)="","Cash/check",TRIM('Cash_Check'!E857))</f>
        <v/>
      </c>
      <c r="N3857">
        <f>IF(I3857="","",IF(ISNUMBER(I3857),INT(I3857),IFERROR(INT(DATEVALUE(I3857)),IFERROR(INT(VALUE(I3857)),"bad"))))</f>
        <v/>
      </c>
      <c r="O3857">
        <f>IF(J3857="","",IF(ISNUMBER(J3857),ROUND(J3857,2),IFERROR(ROUND(VALUE(SUBSTITUTE(SUBSTITUTE(SUBSTITUTE(J3857,"$",""),",","")," ","")),2),"bad")))</f>
        <v/>
      </c>
      <c r="P3857">
        <f>IF(K3857="","",IFERROR(MATCH(IF(ISNUMBER(FIND("#",K3857)),TRIM(MID(K3857,FIND("#",K3857)+1,20)),UPPER(K3857)),'Students'!$AD$2:$AD$701,0),""))</f>
        <v/>
      </c>
      <c r="R3857">
        <f>IF(P3857="","",INDEX('Students'!$AD$2:$AD$701,P3857))</f>
        <v/>
      </c>
      <c r="S3857">
        <f>IF(H3857="OK",O3857,0)</f>
        <v/>
      </c>
      <c r="T3857">
        <f>IF(H3857="OK",N3857,"")</f>
        <v/>
      </c>
      <c r="U3857">
        <f>TRIM('Cash_Check'!C857)</f>
        <v/>
      </c>
    </row>
    <row r="3858">
      <c r="A3858" s="62">
        <f>IF(H3858="","",IF(ISNUMBER(N3858),N3858,I3858))</f>
        <v/>
      </c>
      <c r="B3858">
        <f>IF(H3858="","",U3858)</f>
        <v/>
      </c>
      <c r="C3858">
        <f>IF(H3858="","",IF(P3858="",K3858,INDEX('Students'!$A$2:$A$701,P3858)))</f>
        <v/>
      </c>
      <c r="D3858">
        <f>IF(OR(H3858="",P3858=""),"",INDEX('Students'!$B$2:$B$701,P3858))</f>
        <v/>
      </c>
      <c r="E3858">
        <f>IF(OR(H3858="",P3858=""),"",INDEX('Students'!$C$2:$C$701,P3858))</f>
        <v/>
      </c>
      <c r="F3858" s="48">
        <f>IF(H3858="","",IF(ISNUMBER(O3858),O3858,J3858))</f>
        <v/>
      </c>
      <c r="G3858">
        <f>IF(H3858="","",M3858)</f>
        <v/>
      </c>
      <c r="H3858">
        <f>IF(AND(I3858="",J3858="",K3858=""),"",IF(OR(NOT(ISNUMBER(O3858)),N(O3858)&lt;=0),"Bad amount",IF(NOT(ISNUMBER(N3858)),"Bad date",IF(P3858="","NAME NOT ON ROSTER","OK"))))</f>
        <v/>
      </c>
      <c r="I3858">
        <f>IF('Cash_Check'!A858="","",'Cash_Check'!A858)</f>
        <v/>
      </c>
      <c r="J3858">
        <f>IF('Cash_Check'!D858="","",'Cash_Check'!D858)</f>
        <v/>
      </c>
      <c r="K3858">
        <f>TRIM('Cash_Check'!B858)</f>
        <v/>
      </c>
      <c r="M3858">
        <f>IF(TRIM('Cash_Check'!E858)="","Cash/check",TRIM('Cash_Check'!E858))</f>
        <v/>
      </c>
      <c r="N3858">
        <f>IF(I3858="","",IF(ISNUMBER(I3858),INT(I3858),IFERROR(INT(DATEVALUE(I3858)),IFERROR(INT(VALUE(I3858)),"bad"))))</f>
        <v/>
      </c>
      <c r="O3858">
        <f>IF(J3858="","",IF(ISNUMBER(J3858),ROUND(J3858,2),IFERROR(ROUND(VALUE(SUBSTITUTE(SUBSTITUTE(SUBSTITUTE(J3858,"$",""),",","")," ","")),2),"bad")))</f>
        <v/>
      </c>
      <c r="P3858">
        <f>IF(K3858="","",IFERROR(MATCH(IF(ISNUMBER(FIND("#",K3858)),TRIM(MID(K3858,FIND("#",K3858)+1,20)),UPPER(K3858)),'Students'!$AD$2:$AD$701,0),""))</f>
        <v/>
      </c>
      <c r="R3858">
        <f>IF(P3858="","",INDEX('Students'!$AD$2:$AD$701,P3858))</f>
        <v/>
      </c>
      <c r="S3858">
        <f>IF(H3858="OK",O3858,0)</f>
        <v/>
      </c>
      <c r="T3858">
        <f>IF(H3858="OK",N3858,"")</f>
        <v/>
      </c>
      <c r="U3858">
        <f>TRIM('Cash_Check'!C858)</f>
        <v/>
      </c>
    </row>
    <row r="3859">
      <c r="A3859" s="62">
        <f>IF(H3859="","",IF(ISNUMBER(N3859),N3859,I3859))</f>
        <v/>
      </c>
      <c r="B3859">
        <f>IF(H3859="","",U3859)</f>
        <v/>
      </c>
      <c r="C3859">
        <f>IF(H3859="","",IF(P3859="",K3859,INDEX('Students'!$A$2:$A$701,P3859)))</f>
        <v/>
      </c>
      <c r="D3859">
        <f>IF(OR(H3859="",P3859=""),"",INDEX('Students'!$B$2:$B$701,P3859))</f>
        <v/>
      </c>
      <c r="E3859">
        <f>IF(OR(H3859="",P3859=""),"",INDEX('Students'!$C$2:$C$701,P3859))</f>
        <v/>
      </c>
      <c r="F3859" s="48">
        <f>IF(H3859="","",IF(ISNUMBER(O3859),O3859,J3859))</f>
        <v/>
      </c>
      <c r="G3859">
        <f>IF(H3859="","",M3859)</f>
        <v/>
      </c>
      <c r="H3859">
        <f>IF(AND(I3859="",J3859="",K3859=""),"",IF(OR(NOT(ISNUMBER(O3859)),N(O3859)&lt;=0),"Bad amount",IF(NOT(ISNUMBER(N3859)),"Bad date",IF(P3859="","NAME NOT ON ROSTER","OK"))))</f>
        <v/>
      </c>
      <c r="I3859">
        <f>IF('Cash_Check'!A859="","",'Cash_Check'!A859)</f>
        <v/>
      </c>
      <c r="J3859">
        <f>IF('Cash_Check'!D859="","",'Cash_Check'!D859)</f>
        <v/>
      </c>
      <c r="K3859">
        <f>TRIM('Cash_Check'!B859)</f>
        <v/>
      </c>
      <c r="M3859">
        <f>IF(TRIM('Cash_Check'!E859)="","Cash/check",TRIM('Cash_Check'!E859))</f>
        <v/>
      </c>
      <c r="N3859">
        <f>IF(I3859="","",IF(ISNUMBER(I3859),INT(I3859),IFERROR(INT(DATEVALUE(I3859)),IFERROR(INT(VALUE(I3859)),"bad"))))</f>
        <v/>
      </c>
      <c r="O3859">
        <f>IF(J3859="","",IF(ISNUMBER(J3859),ROUND(J3859,2),IFERROR(ROUND(VALUE(SUBSTITUTE(SUBSTITUTE(SUBSTITUTE(J3859,"$",""),",","")," ","")),2),"bad")))</f>
        <v/>
      </c>
      <c r="P3859">
        <f>IF(K3859="","",IFERROR(MATCH(IF(ISNUMBER(FIND("#",K3859)),TRIM(MID(K3859,FIND("#",K3859)+1,20)),UPPER(K3859)),'Students'!$AD$2:$AD$701,0),""))</f>
        <v/>
      </c>
      <c r="R3859">
        <f>IF(P3859="","",INDEX('Students'!$AD$2:$AD$701,P3859))</f>
        <v/>
      </c>
      <c r="S3859">
        <f>IF(H3859="OK",O3859,0)</f>
        <v/>
      </c>
      <c r="T3859">
        <f>IF(H3859="OK",N3859,"")</f>
        <v/>
      </c>
      <c r="U3859">
        <f>TRIM('Cash_Check'!C859)</f>
        <v/>
      </c>
    </row>
    <row r="3860">
      <c r="A3860" s="62">
        <f>IF(H3860="","",IF(ISNUMBER(N3860),N3860,I3860))</f>
        <v/>
      </c>
      <c r="B3860">
        <f>IF(H3860="","",U3860)</f>
        <v/>
      </c>
      <c r="C3860">
        <f>IF(H3860="","",IF(P3860="",K3860,INDEX('Students'!$A$2:$A$701,P3860)))</f>
        <v/>
      </c>
      <c r="D3860">
        <f>IF(OR(H3860="",P3860=""),"",INDEX('Students'!$B$2:$B$701,P3860))</f>
        <v/>
      </c>
      <c r="E3860">
        <f>IF(OR(H3860="",P3860=""),"",INDEX('Students'!$C$2:$C$701,P3860))</f>
        <v/>
      </c>
      <c r="F3860" s="48">
        <f>IF(H3860="","",IF(ISNUMBER(O3860),O3860,J3860))</f>
        <v/>
      </c>
      <c r="G3860">
        <f>IF(H3860="","",M3860)</f>
        <v/>
      </c>
      <c r="H3860">
        <f>IF(AND(I3860="",J3860="",K3860=""),"",IF(OR(NOT(ISNUMBER(O3860)),N(O3860)&lt;=0),"Bad amount",IF(NOT(ISNUMBER(N3860)),"Bad date",IF(P3860="","NAME NOT ON ROSTER","OK"))))</f>
        <v/>
      </c>
      <c r="I3860">
        <f>IF('Cash_Check'!A860="","",'Cash_Check'!A860)</f>
        <v/>
      </c>
      <c r="J3860">
        <f>IF('Cash_Check'!D860="","",'Cash_Check'!D860)</f>
        <v/>
      </c>
      <c r="K3860">
        <f>TRIM('Cash_Check'!B860)</f>
        <v/>
      </c>
      <c r="M3860">
        <f>IF(TRIM('Cash_Check'!E860)="","Cash/check",TRIM('Cash_Check'!E860))</f>
        <v/>
      </c>
      <c r="N3860">
        <f>IF(I3860="","",IF(ISNUMBER(I3860),INT(I3860),IFERROR(INT(DATEVALUE(I3860)),IFERROR(INT(VALUE(I3860)),"bad"))))</f>
        <v/>
      </c>
      <c r="O3860">
        <f>IF(J3860="","",IF(ISNUMBER(J3860),ROUND(J3860,2),IFERROR(ROUND(VALUE(SUBSTITUTE(SUBSTITUTE(SUBSTITUTE(J3860,"$",""),",","")," ","")),2),"bad")))</f>
        <v/>
      </c>
      <c r="P3860">
        <f>IF(K3860="","",IFERROR(MATCH(IF(ISNUMBER(FIND("#",K3860)),TRIM(MID(K3860,FIND("#",K3860)+1,20)),UPPER(K3860)),'Students'!$AD$2:$AD$701,0),""))</f>
        <v/>
      </c>
      <c r="R3860">
        <f>IF(P3860="","",INDEX('Students'!$AD$2:$AD$701,P3860))</f>
        <v/>
      </c>
      <c r="S3860">
        <f>IF(H3860="OK",O3860,0)</f>
        <v/>
      </c>
      <c r="T3860">
        <f>IF(H3860="OK",N3860,"")</f>
        <v/>
      </c>
      <c r="U3860">
        <f>TRIM('Cash_Check'!C860)</f>
        <v/>
      </c>
    </row>
    <row r="3861">
      <c r="A3861" s="62">
        <f>IF(H3861="","",IF(ISNUMBER(N3861),N3861,I3861))</f>
        <v/>
      </c>
      <c r="B3861">
        <f>IF(H3861="","",U3861)</f>
        <v/>
      </c>
      <c r="C3861">
        <f>IF(H3861="","",IF(P3861="",K3861,INDEX('Students'!$A$2:$A$701,P3861)))</f>
        <v/>
      </c>
      <c r="D3861">
        <f>IF(OR(H3861="",P3861=""),"",INDEX('Students'!$B$2:$B$701,P3861))</f>
        <v/>
      </c>
      <c r="E3861">
        <f>IF(OR(H3861="",P3861=""),"",INDEX('Students'!$C$2:$C$701,P3861))</f>
        <v/>
      </c>
      <c r="F3861" s="48">
        <f>IF(H3861="","",IF(ISNUMBER(O3861),O3861,J3861))</f>
        <v/>
      </c>
      <c r="G3861">
        <f>IF(H3861="","",M3861)</f>
        <v/>
      </c>
      <c r="H3861">
        <f>IF(AND(I3861="",J3861="",K3861=""),"",IF(OR(NOT(ISNUMBER(O3861)),N(O3861)&lt;=0),"Bad amount",IF(NOT(ISNUMBER(N3861)),"Bad date",IF(P3861="","NAME NOT ON ROSTER","OK"))))</f>
        <v/>
      </c>
      <c r="I3861">
        <f>IF('Cash_Check'!A861="","",'Cash_Check'!A861)</f>
        <v/>
      </c>
      <c r="J3861">
        <f>IF('Cash_Check'!D861="","",'Cash_Check'!D861)</f>
        <v/>
      </c>
      <c r="K3861">
        <f>TRIM('Cash_Check'!B861)</f>
        <v/>
      </c>
      <c r="M3861">
        <f>IF(TRIM('Cash_Check'!E861)="","Cash/check",TRIM('Cash_Check'!E861))</f>
        <v/>
      </c>
      <c r="N3861">
        <f>IF(I3861="","",IF(ISNUMBER(I3861),INT(I3861),IFERROR(INT(DATEVALUE(I3861)),IFERROR(INT(VALUE(I3861)),"bad"))))</f>
        <v/>
      </c>
      <c r="O3861">
        <f>IF(J3861="","",IF(ISNUMBER(J3861),ROUND(J3861,2),IFERROR(ROUND(VALUE(SUBSTITUTE(SUBSTITUTE(SUBSTITUTE(J3861,"$",""),",","")," ","")),2),"bad")))</f>
        <v/>
      </c>
      <c r="P3861">
        <f>IF(K3861="","",IFERROR(MATCH(IF(ISNUMBER(FIND("#",K3861)),TRIM(MID(K3861,FIND("#",K3861)+1,20)),UPPER(K3861)),'Students'!$AD$2:$AD$701,0),""))</f>
        <v/>
      </c>
      <c r="R3861">
        <f>IF(P3861="","",INDEX('Students'!$AD$2:$AD$701,P3861))</f>
        <v/>
      </c>
      <c r="S3861">
        <f>IF(H3861="OK",O3861,0)</f>
        <v/>
      </c>
      <c r="T3861">
        <f>IF(H3861="OK",N3861,"")</f>
        <v/>
      </c>
      <c r="U3861">
        <f>TRIM('Cash_Check'!C861)</f>
        <v/>
      </c>
    </row>
    <row r="3862">
      <c r="A3862" s="62">
        <f>IF(H3862="","",IF(ISNUMBER(N3862),N3862,I3862))</f>
        <v/>
      </c>
      <c r="B3862">
        <f>IF(H3862="","",U3862)</f>
        <v/>
      </c>
      <c r="C3862">
        <f>IF(H3862="","",IF(P3862="",K3862,INDEX('Students'!$A$2:$A$701,P3862)))</f>
        <v/>
      </c>
      <c r="D3862">
        <f>IF(OR(H3862="",P3862=""),"",INDEX('Students'!$B$2:$B$701,P3862))</f>
        <v/>
      </c>
      <c r="E3862">
        <f>IF(OR(H3862="",P3862=""),"",INDEX('Students'!$C$2:$C$701,P3862))</f>
        <v/>
      </c>
      <c r="F3862" s="48">
        <f>IF(H3862="","",IF(ISNUMBER(O3862),O3862,J3862))</f>
        <v/>
      </c>
      <c r="G3862">
        <f>IF(H3862="","",M3862)</f>
        <v/>
      </c>
      <c r="H3862">
        <f>IF(AND(I3862="",J3862="",K3862=""),"",IF(OR(NOT(ISNUMBER(O3862)),N(O3862)&lt;=0),"Bad amount",IF(NOT(ISNUMBER(N3862)),"Bad date",IF(P3862="","NAME NOT ON ROSTER","OK"))))</f>
        <v/>
      </c>
      <c r="I3862">
        <f>IF('Cash_Check'!A862="","",'Cash_Check'!A862)</f>
        <v/>
      </c>
      <c r="J3862">
        <f>IF('Cash_Check'!D862="","",'Cash_Check'!D862)</f>
        <v/>
      </c>
      <c r="K3862">
        <f>TRIM('Cash_Check'!B862)</f>
        <v/>
      </c>
      <c r="M3862">
        <f>IF(TRIM('Cash_Check'!E862)="","Cash/check",TRIM('Cash_Check'!E862))</f>
        <v/>
      </c>
      <c r="N3862">
        <f>IF(I3862="","",IF(ISNUMBER(I3862),INT(I3862),IFERROR(INT(DATEVALUE(I3862)),IFERROR(INT(VALUE(I3862)),"bad"))))</f>
        <v/>
      </c>
      <c r="O3862">
        <f>IF(J3862="","",IF(ISNUMBER(J3862),ROUND(J3862,2),IFERROR(ROUND(VALUE(SUBSTITUTE(SUBSTITUTE(SUBSTITUTE(J3862,"$",""),",","")," ","")),2),"bad")))</f>
        <v/>
      </c>
      <c r="P3862">
        <f>IF(K3862="","",IFERROR(MATCH(IF(ISNUMBER(FIND("#",K3862)),TRIM(MID(K3862,FIND("#",K3862)+1,20)),UPPER(K3862)),'Students'!$AD$2:$AD$701,0),""))</f>
        <v/>
      </c>
      <c r="R3862">
        <f>IF(P3862="","",INDEX('Students'!$AD$2:$AD$701,P3862))</f>
        <v/>
      </c>
      <c r="S3862">
        <f>IF(H3862="OK",O3862,0)</f>
        <v/>
      </c>
      <c r="T3862">
        <f>IF(H3862="OK",N3862,"")</f>
        <v/>
      </c>
      <c r="U3862">
        <f>TRIM('Cash_Check'!C862)</f>
        <v/>
      </c>
    </row>
    <row r="3863">
      <c r="A3863" s="62">
        <f>IF(H3863="","",IF(ISNUMBER(N3863),N3863,I3863))</f>
        <v/>
      </c>
      <c r="B3863">
        <f>IF(H3863="","",U3863)</f>
        <v/>
      </c>
      <c r="C3863">
        <f>IF(H3863="","",IF(P3863="",K3863,INDEX('Students'!$A$2:$A$701,P3863)))</f>
        <v/>
      </c>
      <c r="D3863">
        <f>IF(OR(H3863="",P3863=""),"",INDEX('Students'!$B$2:$B$701,P3863))</f>
        <v/>
      </c>
      <c r="E3863">
        <f>IF(OR(H3863="",P3863=""),"",INDEX('Students'!$C$2:$C$701,P3863))</f>
        <v/>
      </c>
      <c r="F3863" s="48">
        <f>IF(H3863="","",IF(ISNUMBER(O3863),O3863,J3863))</f>
        <v/>
      </c>
      <c r="G3863">
        <f>IF(H3863="","",M3863)</f>
        <v/>
      </c>
      <c r="H3863">
        <f>IF(AND(I3863="",J3863="",K3863=""),"",IF(OR(NOT(ISNUMBER(O3863)),N(O3863)&lt;=0),"Bad amount",IF(NOT(ISNUMBER(N3863)),"Bad date",IF(P3863="","NAME NOT ON ROSTER","OK"))))</f>
        <v/>
      </c>
      <c r="I3863">
        <f>IF('Cash_Check'!A863="","",'Cash_Check'!A863)</f>
        <v/>
      </c>
      <c r="J3863">
        <f>IF('Cash_Check'!D863="","",'Cash_Check'!D863)</f>
        <v/>
      </c>
      <c r="K3863">
        <f>TRIM('Cash_Check'!B863)</f>
        <v/>
      </c>
      <c r="M3863">
        <f>IF(TRIM('Cash_Check'!E863)="","Cash/check",TRIM('Cash_Check'!E863))</f>
        <v/>
      </c>
      <c r="N3863">
        <f>IF(I3863="","",IF(ISNUMBER(I3863),INT(I3863),IFERROR(INT(DATEVALUE(I3863)),IFERROR(INT(VALUE(I3863)),"bad"))))</f>
        <v/>
      </c>
      <c r="O3863">
        <f>IF(J3863="","",IF(ISNUMBER(J3863),ROUND(J3863,2),IFERROR(ROUND(VALUE(SUBSTITUTE(SUBSTITUTE(SUBSTITUTE(J3863,"$",""),",","")," ","")),2),"bad")))</f>
        <v/>
      </c>
      <c r="P3863">
        <f>IF(K3863="","",IFERROR(MATCH(IF(ISNUMBER(FIND("#",K3863)),TRIM(MID(K3863,FIND("#",K3863)+1,20)),UPPER(K3863)),'Students'!$AD$2:$AD$701,0),""))</f>
        <v/>
      </c>
      <c r="R3863">
        <f>IF(P3863="","",INDEX('Students'!$AD$2:$AD$701,P3863))</f>
        <v/>
      </c>
      <c r="S3863">
        <f>IF(H3863="OK",O3863,0)</f>
        <v/>
      </c>
      <c r="T3863">
        <f>IF(H3863="OK",N3863,"")</f>
        <v/>
      </c>
      <c r="U3863">
        <f>TRIM('Cash_Check'!C863)</f>
        <v/>
      </c>
    </row>
    <row r="3864">
      <c r="A3864" s="62">
        <f>IF(H3864="","",IF(ISNUMBER(N3864),N3864,I3864))</f>
        <v/>
      </c>
      <c r="B3864">
        <f>IF(H3864="","",U3864)</f>
        <v/>
      </c>
      <c r="C3864">
        <f>IF(H3864="","",IF(P3864="",K3864,INDEX('Students'!$A$2:$A$701,P3864)))</f>
        <v/>
      </c>
      <c r="D3864">
        <f>IF(OR(H3864="",P3864=""),"",INDEX('Students'!$B$2:$B$701,P3864))</f>
        <v/>
      </c>
      <c r="E3864">
        <f>IF(OR(H3864="",P3864=""),"",INDEX('Students'!$C$2:$C$701,P3864))</f>
        <v/>
      </c>
      <c r="F3864" s="48">
        <f>IF(H3864="","",IF(ISNUMBER(O3864),O3864,J3864))</f>
        <v/>
      </c>
      <c r="G3864">
        <f>IF(H3864="","",M3864)</f>
        <v/>
      </c>
      <c r="H3864">
        <f>IF(AND(I3864="",J3864="",K3864=""),"",IF(OR(NOT(ISNUMBER(O3864)),N(O3864)&lt;=0),"Bad amount",IF(NOT(ISNUMBER(N3864)),"Bad date",IF(P3864="","NAME NOT ON ROSTER","OK"))))</f>
        <v/>
      </c>
      <c r="I3864">
        <f>IF('Cash_Check'!A864="","",'Cash_Check'!A864)</f>
        <v/>
      </c>
      <c r="J3864">
        <f>IF('Cash_Check'!D864="","",'Cash_Check'!D864)</f>
        <v/>
      </c>
      <c r="K3864">
        <f>TRIM('Cash_Check'!B864)</f>
        <v/>
      </c>
      <c r="M3864">
        <f>IF(TRIM('Cash_Check'!E864)="","Cash/check",TRIM('Cash_Check'!E864))</f>
        <v/>
      </c>
      <c r="N3864">
        <f>IF(I3864="","",IF(ISNUMBER(I3864),INT(I3864),IFERROR(INT(DATEVALUE(I3864)),IFERROR(INT(VALUE(I3864)),"bad"))))</f>
        <v/>
      </c>
      <c r="O3864">
        <f>IF(J3864="","",IF(ISNUMBER(J3864),ROUND(J3864,2),IFERROR(ROUND(VALUE(SUBSTITUTE(SUBSTITUTE(SUBSTITUTE(J3864,"$",""),",","")," ","")),2),"bad")))</f>
        <v/>
      </c>
      <c r="P3864">
        <f>IF(K3864="","",IFERROR(MATCH(IF(ISNUMBER(FIND("#",K3864)),TRIM(MID(K3864,FIND("#",K3864)+1,20)),UPPER(K3864)),'Students'!$AD$2:$AD$701,0),""))</f>
        <v/>
      </c>
      <c r="R3864">
        <f>IF(P3864="","",INDEX('Students'!$AD$2:$AD$701,P3864))</f>
        <v/>
      </c>
      <c r="S3864">
        <f>IF(H3864="OK",O3864,0)</f>
        <v/>
      </c>
      <c r="T3864">
        <f>IF(H3864="OK",N3864,"")</f>
        <v/>
      </c>
      <c r="U3864">
        <f>TRIM('Cash_Check'!C864)</f>
        <v/>
      </c>
    </row>
    <row r="3865">
      <c r="A3865" s="62">
        <f>IF(H3865="","",IF(ISNUMBER(N3865),N3865,I3865))</f>
        <v/>
      </c>
      <c r="B3865">
        <f>IF(H3865="","",U3865)</f>
        <v/>
      </c>
      <c r="C3865">
        <f>IF(H3865="","",IF(P3865="",K3865,INDEX('Students'!$A$2:$A$701,P3865)))</f>
        <v/>
      </c>
      <c r="D3865">
        <f>IF(OR(H3865="",P3865=""),"",INDEX('Students'!$B$2:$B$701,P3865))</f>
        <v/>
      </c>
      <c r="E3865">
        <f>IF(OR(H3865="",P3865=""),"",INDEX('Students'!$C$2:$C$701,P3865))</f>
        <v/>
      </c>
      <c r="F3865" s="48">
        <f>IF(H3865="","",IF(ISNUMBER(O3865),O3865,J3865))</f>
        <v/>
      </c>
      <c r="G3865">
        <f>IF(H3865="","",M3865)</f>
        <v/>
      </c>
      <c r="H3865">
        <f>IF(AND(I3865="",J3865="",K3865=""),"",IF(OR(NOT(ISNUMBER(O3865)),N(O3865)&lt;=0),"Bad amount",IF(NOT(ISNUMBER(N3865)),"Bad date",IF(P3865="","NAME NOT ON ROSTER","OK"))))</f>
        <v/>
      </c>
      <c r="I3865">
        <f>IF('Cash_Check'!A865="","",'Cash_Check'!A865)</f>
        <v/>
      </c>
      <c r="J3865">
        <f>IF('Cash_Check'!D865="","",'Cash_Check'!D865)</f>
        <v/>
      </c>
      <c r="K3865">
        <f>TRIM('Cash_Check'!B865)</f>
        <v/>
      </c>
      <c r="M3865">
        <f>IF(TRIM('Cash_Check'!E865)="","Cash/check",TRIM('Cash_Check'!E865))</f>
        <v/>
      </c>
      <c r="N3865">
        <f>IF(I3865="","",IF(ISNUMBER(I3865),INT(I3865),IFERROR(INT(DATEVALUE(I3865)),IFERROR(INT(VALUE(I3865)),"bad"))))</f>
        <v/>
      </c>
      <c r="O3865">
        <f>IF(J3865="","",IF(ISNUMBER(J3865),ROUND(J3865,2),IFERROR(ROUND(VALUE(SUBSTITUTE(SUBSTITUTE(SUBSTITUTE(J3865,"$",""),",","")," ","")),2),"bad")))</f>
        <v/>
      </c>
      <c r="P3865">
        <f>IF(K3865="","",IFERROR(MATCH(IF(ISNUMBER(FIND("#",K3865)),TRIM(MID(K3865,FIND("#",K3865)+1,20)),UPPER(K3865)),'Students'!$AD$2:$AD$701,0),""))</f>
        <v/>
      </c>
      <c r="R3865">
        <f>IF(P3865="","",INDEX('Students'!$AD$2:$AD$701,P3865))</f>
        <v/>
      </c>
      <c r="S3865">
        <f>IF(H3865="OK",O3865,0)</f>
        <v/>
      </c>
      <c r="T3865">
        <f>IF(H3865="OK",N3865,"")</f>
        <v/>
      </c>
      <c r="U3865">
        <f>TRIM('Cash_Check'!C865)</f>
        <v/>
      </c>
    </row>
    <row r="3866">
      <c r="A3866" s="62">
        <f>IF(H3866="","",IF(ISNUMBER(N3866),N3866,I3866))</f>
        <v/>
      </c>
      <c r="B3866">
        <f>IF(H3866="","",U3866)</f>
        <v/>
      </c>
      <c r="C3866">
        <f>IF(H3866="","",IF(P3866="",K3866,INDEX('Students'!$A$2:$A$701,P3866)))</f>
        <v/>
      </c>
      <c r="D3866">
        <f>IF(OR(H3866="",P3866=""),"",INDEX('Students'!$B$2:$B$701,P3866))</f>
        <v/>
      </c>
      <c r="E3866">
        <f>IF(OR(H3866="",P3866=""),"",INDEX('Students'!$C$2:$C$701,P3866))</f>
        <v/>
      </c>
      <c r="F3866" s="48">
        <f>IF(H3866="","",IF(ISNUMBER(O3866),O3866,J3866))</f>
        <v/>
      </c>
      <c r="G3866">
        <f>IF(H3866="","",M3866)</f>
        <v/>
      </c>
      <c r="H3866">
        <f>IF(AND(I3866="",J3866="",K3866=""),"",IF(OR(NOT(ISNUMBER(O3866)),N(O3866)&lt;=0),"Bad amount",IF(NOT(ISNUMBER(N3866)),"Bad date",IF(P3866="","NAME NOT ON ROSTER","OK"))))</f>
        <v/>
      </c>
      <c r="I3866">
        <f>IF('Cash_Check'!A866="","",'Cash_Check'!A866)</f>
        <v/>
      </c>
      <c r="J3866">
        <f>IF('Cash_Check'!D866="","",'Cash_Check'!D866)</f>
        <v/>
      </c>
      <c r="K3866">
        <f>TRIM('Cash_Check'!B866)</f>
        <v/>
      </c>
      <c r="M3866">
        <f>IF(TRIM('Cash_Check'!E866)="","Cash/check",TRIM('Cash_Check'!E866))</f>
        <v/>
      </c>
      <c r="N3866">
        <f>IF(I3866="","",IF(ISNUMBER(I3866),INT(I3866),IFERROR(INT(DATEVALUE(I3866)),IFERROR(INT(VALUE(I3866)),"bad"))))</f>
        <v/>
      </c>
      <c r="O3866">
        <f>IF(J3866="","",IF(ISNUMBER(J3866),ROUND(J3866,2),IFERROR(ROUND(VALUE(SUBSTITUTE(SUBSTITUTE(SUBSTITUTE(J3866,"$",""),",","")," ","")),2),"bad")))</f>
        <v/>
      </c>
      <c r="P3866">
        <f>IF(K3866="","",IFERROR(MATCH(IF(ISNUMBER(FIND("#",K3866)),TRIM(MID(K3866,FIND("#",K3866)+1,20)),UPPER(K3866)),'Students'!$AD$2:$AD$701,0),""))</f>
        <v/>
      </c>
      <c r="R3866">
        <f>IF(P3866="","",INDEX('Students'!$AD$2:$AD$701,P3866))</f>
        <v/>
      </c>
      <c r="S3866">
        <f>IF(H3866="OK",O3866,0)</f>
        <v/>
      </c>
      <c r="T3866">
        <f>IF(H3866="OK",N3866,"")</f>
        <v/>
      </c>
      <c r="U3866">
        <f>TRIM('Cash_Check'!C866)</f>
        <v/>
      </c>
    </row>
    <row r="3867">
      <c r="A3867" s="62">
        <f>IF(H3867="","",IF(ISNUMBER(N3867),N3867,I3867))</f>
        <v/>
      </c>
      <c r="B3867">
        <f>IF(H3867="","",U3867)</f>
        <v/>
      </c>
      <c r="C3867">
        <f>IF(H3867="","",IF(P3867="",K3867,INDEX('Students'!$A$2:$A$701,P3867)))</f>
        <v/>
      </c>
      <c r="D3867">
        <f>IF(OR(H3867="",P3867=""),"",INDEX('Students'!$B$2:$B$701,P3867))</f>
        <v/>
      </c>
      <c r="E3867">
        <f>IF(OR(H3867="",P3867=""),"",INDEX('Students'!$C$2:$C$701,P3867))</f>
        <v/>
      </c>
      <c r="F3867" s="48">
        <f>IF(H3867="","",IF(ISNUMBER(O3867),O3867,J3867))</f>
        <v/>
      </c>
      <c r="G3867">
        <f>IF(H3867="","",M3867)</f>
        <v/>
      </c>
      <c r="H3867">
        <f>IF(AND(I3867="",J3867="",K3867=""),"",IF(OR(NOT(ISNUMBER(O3867)),N(O3867)&lt;=0),"Bad amount",IF(NOT(ISNUMBER(N3867)),"Bad date",IF(P3867="","NAME NOT ON ROSTER","OK"))))</f>
        <v/>
      </c>
      <c r="I3867">
        <f>IF('Cash_Check'!A867="","",'Cash_Check'!A867)</f>
        <v/>
      </c>
      <c r="J3867">
        <f>IF('Cash_Check'!D867="","",'Cash_Check'!D867)</f>
        <v/>
      </c>
      <c r="K3867">
        <f>TRIM('Cash_Check'!B867)</f>
        <v/>
      </c>
      <c r="M3867">
        <f>IF(TRIM('Cash_Check'!E867)="","Cash/check",TRIM('Cash_Check'!E867))</f>
        <v/>
      </c>
      <c r="N3867">
        <f>IF(I3867="","",IF(ISNUMBER(I3867),INT(I3867),IFERROR(INT(DATEVALUE(I3867)),IFERROR(INT(VALUE(I3867)),"bad"))))</f>
        <v/>
      </c>
      <c r="O3867">
        <f>IF(J3867="","",IF(ISNUMBER(J3867),ROUND(J3867,2),IFERROR(ROUND(VALUE(SUBSTITUTE(SUBSTITUTE(SUBSTITUTE(J3867,"$",""),",","")," ","")),2),"bad")))</f>
        <v/>
      </c>
      <c r="P3867">
        <f>IF(K3867="","",IFERROR(MATCH(IF(ISNUMBER(FIND("#",K3867)),TRIM(MID(K3867,FIND("#",K3867)+1,20)),UPPER(K3867)),'Students'!$AD$2:$AD$701,0),""))</f>
        <v/>
      </c>
      <c r="R3867">
        <f>IF(P3867="","",INDEX('Students'!$AD$2:$AD$701,P3867))</f>
        <v/>
      </c>
      <c r="S3867">
        <f>IF(H3867="OK",O3867,0)</f>
        <v/>
      </c>
      <c r="T3867">
        <f>IF(H3867="OK",N3867,"")</f>
        <v/>
      </c>
      <c r="U3867">
        <f>TRIM('Cash_Check'!C867)</f>
        <v/>
      </c>
    </row>
    <row r="3868">
      <c r="A3868" s="62">
        <f>IF(H3868="","",IF(ISNUMBER(N3868),N3868,I3868))</f>
        <v/>
      </c>
      <c r="B3868">
        <f>IF(H3868="","",U3868)</f>
        <v/>
      </c>
      <c r="C3868">
        <f>IF(H3868="","",IF(P3868="",K3868,INDEX('Students'!$A$2:$A$701,P3868)))</f>
        <v/>
      </c>
      <c r="D3868">
        <f>IF(OR(H3868="",P3868=""),"",INDEX('Students'!$B$2:$B$701,P3868))</f>
        <v/>
      </c>
      <c r="E3868">
        <f>IF(OR(H3868="",P3868=""),"",INDEX('Students'!$C$2:$C$701,P3868))</f>
        <v/>
      </c>
      <c r="F3868" s="48">
        <f>IF(H3868="","",IF(ISNUMBER(O3868),O3868,J3868))</f>
        <v/>
      </c>
      <c r="G3868">
        <f>IF(H3868="","",M3868)</f>
        <v/>
      </c>
      <c r="H3868">
        <f>IF(AND(I3868="",J3868="",K3868=""),"",IF(OR(NOT(ISNUMBER(O3868)),N(O3868)&lt;=0),"Bad amount",IF(NOT(ISNUMBER(N3868)),"Bad date",IF(P3868="","NAME NOT ON ROSTER","OK"))))</f>
        <v/>
      </c>
      <c r="I3868">
        <f>IF('Cash_Check'!A868="","",'Cash_Check'!A868)</f>
        <v/>
      </c>
      <c r="J3868">
        <f>IF('Cash_Check'!D868="","",'Cash_Check'!D868)</f>
        <v/>
      </c>
      <c r="K3868">
        <f>TRIM('Cash_Check'!B868)</f>
        <v/>
      </c>
      <c r="M3868">
        <f>IF(TRIM('Cash_Check'!E868)="","Cash/check",TRIM('Cash_Check'!E868))</f>
        <v/>
      </c>
      <c r="N3868">
        <f>IF(I3868="","",IF(ISNUMBER(I3868),INT(I3868),IFERROR(INT(DATEVALUE(I3868)),IFERROR(INT(VALUE(I3868)),"bad"))))</f>
        <v/>
      </c>
      <c r="O3868">
        <f>IF(J3868="","",IF(ISNUMBER(J3868),ROUND(J3868,2),IFERROR(ROUND(VALUE(SUBSTITUTE(SUBSTITUTE(SUBSTITUTE(J3868,"$",""),",","")," ","")),2),"bad")))</f>
        <v/>
      </c>
      <c r="P3868">
        <f>IF(K3868="","",IFERROR(MATCH(IF(ISNUMBER(FIND("#",K3868)),TRIM(MID(K3868,FIND("#",K3868)+1,20)),UPPER(K3868)),'Students'!$AD$2:$AD$701,0),""))</f>
        <v/>
      </c>
      <c r="R3868">
        <f>IF(P3868="","",INDEX('Students'!$AD$2:$AD$701,P3868))</f>
        <v/>
      </c>
      <c r="S3868">
        <f>IF(H3868="OK",O3868,0)</f>
        <v/>
      </c>
      <c r="T3868">
        <f>IF(H3868="OK",N3868,"")</f>
        <v/>
      </c>
      <c r="U3868">
        <f>TRIM('Cash_Check'!C868)</f>
        <v/>
      </c>
    </row>
    <row r="3869">
      <c r="A3869" s="62">
        <f>IF(H3869="","",IF(ISNUMBER(N3869),N3869,I3869))</f>
        <v/>
      </c>
      <c r="B3869">
        <f>IF(H3869="","",U3869)</f>
        <v/>
      </c>
      <c r="C3869">
        <f>IF(H3869="","",IF(P3869="",K3869,INDEX('Students'!$A$2:$A$701,P3869)))</f>
        <v/>
      </c>
      <c r="D3869">
        <f>IF(OR(H3869="",P3869=""),"",INDEX('Students'!$B$2:$B$701,P3869))</f>
        <v/>
      </c>
      <c r="E3869">
        <f>IF(OR(H3869="",P3869=""),"",INDEX('Students'!$C$2:$C$701,P3869))</f>
        <v/>
      </c>
      <c r="F3869" s="48">
        <f>IF(H3869="","",IF(ISNUMBER(O3869),O3869,J3869))</f>
        <v/>
      </c>
      <c r="G3869">
        <f>IF(H3869="","",M3869)</f>
        <v/>
      </c>
      <c r="H3869">
        <f>IF(AND(I3869="",J3869="",K3869=""),"",IF(OR(NOT(ISNUMBER(O3869)),N(O3869)&lt;=0),"Bad amount",IF(NOT(ISNUMBER(N3869)),"Bad date",IF(P3869="","NAME NOT ON ROSTER","OK"))))</f>
        <v/>
      </c>
      <c r="I3869">
        <f>IF('Cash_Check'!A869="","",'Cash_Check'!A869)</f>
        <v/>
      </c>
      <c r="J3869">
        <f>IF('Cash_Check'!D869="","",'Cash_Check'!D869)</f>
        <v/>
      </c>
      <c r="K3869">
        <f>TRIM('Cash_Check'!B869)</f>
        <v/>
      </c>
      <c r="M3869">
        <f>IF(TRIM('Cash_Check'!E869)="","Cash/check",TRIM('Cash_Check'!E869))</f>
        <v/>
      </c>
      <c r="N3869">
        <f>IF(I3869="","",IF(ISNUMBER(I3869),INT(I3869),IFERROR(INT(DATEVALUE(I3869)),IFERROR(INT(VALUE(I3869)),"bad"))))</f>
        <v/>
      </c>
      <c r="O3869">
        <f>IF(J3869="","",IF(ISNUMBER(J3869),ROUND(J3869,2),IFERROR(ROUND(VALUE(SUBSTITUTE(SUBSTITUTE(SUBSTITUTE(J3869,"$",""),",","")," ","")),2),"bad")))</f>
        <v/>
      </c>
      <c r="P3869">
        <f>IF(K3869="","",IFERROR(MATCH(IF(ISNUMBER(FIND("#",K3869)),TRIM(MID(K3869,FIND("#",K3869)+1,20)),UPPER(K3869)),'Students'!$AD$2:$AD$701,0),""))</f>
        <v/>
      </c>
      <c r="R3869">
        <f>IF(P3869="","",INDEX('Students'!$AD$2:$AD$701,P3869))</f>
        <v/>
      </c>
      <c r="S3869">
        <f>IF(H3869="OK",O3869,0)</f>
        <v/>
      </c>
      <c r="T3869">
        <f>IF(H3869="OK",N3869,"")</f>
        <v/>
      </c>
      <c r="U3869">
        <f>TRIM('Cash_Check'!C869)</f>
        <v/>
      </c>
    </row>
    <row r="3870">
      <c r="A3870" s="62">
        <f>IF(H3870="","",IF(ISNUMBER(N3870),N3870,I3870))</f>
        <v/>
      </c>
      <c r="B3870">
        <f>IF(H3870="","",U3870)</f>
        <v/>
      </c>
      <c r="C3870">
        <f>IF(H3870="","",IF(P3870="",K3870,INDEX('Students'!$A$2:$A$701,P3870)))</f>
        <v/>
      </c>
      <c r="D3870">
        <f>IF(OR(H3870="",P3870=""),"",INDEX('Students'!$B$2:$B$701,P3870))</f>
        <v/>
      </c>
      <c r="E3870">
        <f>IF(OR(H3870="",P3870=""),"",INDEX('Students'!$C$2:$C$701,P3870))</f>
        <v/>
      </c>
      <c r="F3870" s="48">
        <f>IF(H3870="","",IF(ISNUMBER(O3870),O3870,J3870))</f>
        <v/>
      </c>
      <c r="G3870">
        <f>IF(H3870="","",M3870)</f>
        <v/>
      </c>
      <c r="H3870">
        <f>IF(AND(I3870="",J3870="",K3870=""),"",IF(OR(NOT(ISNUMBER(O3870)),N(O3870)&lt;=0),"Bad amount",IF(NOT(ISNUMBER(N3870)),"Bad date",IF(P3870="","NAME NOT ON ROSTER","OK"))))</f>
        <v/>
      </c>
      <c r="I3870">
        <f>IF('Cash_Check'!A870="","",'Cash_Check'!A870)</f>
        <v/>
      </c>
      <c r="J3870">
        <f>IF('Cash_Check'!D870="","",'Cash_Check'!D870)</f>
        <v/>
      </c>
      <c r="K3870">
        <f>TRIM('Cash_Check'!B870)</f>
        <v/>
      </c>
      <c r="M3870">
        <f>IF(TRIM('Cash_Check'!E870)="","Cash/check",TRIM('Cash_Check'!E870))</f>
        <v/>
      </c>
      <c r="N3870">
        <f>IF(I3870="","",IF(ISNUMBER(I3870),INT(I3870),IFERROR(INT(DATEVALUE(I3870)),IFERROR(INT(VALUE(I3870)),"bad"))))</f>
        <v/>
      </c>
      <c r="O3870">
        <f>IF(J3870="","",IF(ISNUMBER(J3870),ROUND(J3870,2),IFERROR(ROUND(VALUE(SUBSTITUTE(SUBSTITUTE(SUBSTITUTE(J3870,"$",""),",","")," ","")),2),"bad")))</f>
        <v/>
      </c>
      <c r="P3870">
        <f>IF(K3870="","",IFERROR(MATCH(IF(ISNUMBER(FIND("#",K3870)),TRIM(MID(K3870,FIND("#",K3870)+1,20)),UPPER(K3870)),'Students'!$AD$2:$AD$701,0),""))</f>
        <v/>
      </c>
      <c r="R3870">
        <f>IF(P3870="","",INDEX('Students'!$AD$2:$AD$701,P3870))</f>
        <v/>
      </c>
      <c r="S3870">
        <f>IF(H3870="OK",O3870,0)</f>
        <v/>
      </c>
      <c r="T3870">
        <f>IF(H3870="OK",N3870,"")</f>
        <v/>
      </c>
      <c r="U3870">
        <f>TRIM('Cash_Check'!C870)</f>
        <v/>
      </c>
    </row>
    <row r="3871">
      <c r="A3871" s="62">
        <f>IF(H3871="","",IF(ISNUMBER(N3871),N3871,I3871))</f>
        <v/>
      </c>
      <c r="B3871">
        <f>IF(H3871="","",U3871)</f>
        <v/>
      </c>
      <c r="C3871">
        <f>IF(H3871="","",IF(P3871="",K3871,INDEX('Students'!$A$2:$A$701,P3871)))</f>
        <v/>
      </c>
      <c r="D3871">
        <f>IF(OR(H3871="",P3871=""),"",INDEX('Students'!$B$2:$B$701,P3871))</f>
        <v/>
      </c>
      <c r="E3871">
        <f>IF(OR(H3871="",P3871=""),"",INDEX('Students'!$C$2:$C$701,P3871))</f>
        <v/>
      </c>
      <c r="F3871" s="48">
        <f>IF(H3871="","",IF(ISNUMBER(O3871),O3871,J3871))</f>
        <v/>
      </c>
      <c r="G3871">
        <f>IF(H3871="","",M3871)</f>
        <v/>
      </c>
      <c r="H3871">
        <f>IF(AND(I3871="",J3871="",K3871=""),"",IF(OR(NOT(ISNUMBER(O3871)),N(O3871)&lt;=0),"Bad amount",IF(NOT(ISNUMBER(N3871)),"Bad date",IF(P3871="","NAME NOT ON ROSTER","OK"))))</f>
        <v/>
      </c>
      <c r="I3871">
        <f>IF('Cash_Check'!A871="","",'Cash_Check'!A871)</f>
        <v/>
      </c>
      <c r="J3871">
        <f>IF('Cash_Check'!D871="","",'Cash_Check'!D871)</f>
        <v/>
      </c>
      <c r="K3871">
        <f>TRIM('Cash_Check'!B871)</f>
        <v/>
      </c>
      <c r="M3871">
        <f>IF(TRIM('Cash_Check'!E871)="","Cash/check",TRIM('Cash_Check'!E871))</f>
        <v/>
      </c>
      <c r="N3871">
        <f>IF(I3871="","",IF(ISNUMBER(I3871),INT(I3871),IFERROR(INT(DATEVALUE(I3871)),IFERROR(INT(VALUE(I3871)),"bad"))))</f>
        <v/>
      </c>
      <c r="O3871">
        <f>IF(J3871="","",IF(ISNUMBER(J3871),ROUND(J3871,2),IFERROR(ROUND(VALUE(SUBSTITUTE(SUBSTITUTE(SUBSTITUTE(J3871,"$",""),",","")," ","")),2),"bad")))</f>
        <v/>
      </c>
      <c r="P3871">
        <f>IF(K3871="","",IFERROR(MATCH(IF(ISNUMBER(FIND("#",K3871)),TRIM(MID(K3871,FIND("#",K3871)+1,20)),UPPER(K3871)),'Students'!$AD$2:$AD$701,0),""))</f>
        <v/>
      </c>
      <c r="R3871">
        <f>IF(P3871="","",INDEX('Students'!$AD$2:$AD$701,P3871))</f>
        <v/>
      </c>
      <c r="S3871">
        <f>IF(H3871="OK",O3871,0)</f>
        <v/>
      </c>
      <c r="T3871">
        <f>IF(H3871="OK",N3871,"")</f>
        <v/>
      </c>
      <c r="U3871">
        <f>TRIM('Cash_Check'!C871)</f>
        <v/>
      </c>
    </row>
    <row r="3872">
      <c r="A3872" s="62">
        <f>IF(H3872="","",IF(ISNUMBER(N3872),N3872,I3872))</f>
        <v/>
      </c>
      <c r="B3872">
        <f>IF(H3872="","",U3872)</f>
        <v/>
      </c>
      <c r="C3872">
        <f>IF(H3872="","",IF(P3872="",K3872,INDEX('Students'!$A$2:$A$701,P3872)))</f>
        <v/>
      </c>
      <c r="D3872">
        <f>IF(OR(H3872="",P3872=""),"",INDEX('Students'!$B$2:$B$701,P3872))</f>
        <v/>
      </c>
      <c r="E3872">
        <f>IF(OR(H3872="",P3872=""),"",INDEX('Students'!$C$2:$C$701,P3872))</f>
        <v/>
      </c>
      <c r="F3872" s="48">
        <f>IF(H3872="","",IF(ISNUMBER(O3872),O3872,J3872))</f>
        <v/>
      </c>
      <c r="G3872">
        <f>IF(H3872="","",M3872)</f>
        <v/>
      </c>
      <c r="H3872">
        <f>IF(AND(I3872="",J3872="",K3872=""),"",IF(OR(NOT(ISNUMBER(O3872)),N(O3872)&lt;=0),"Bad amount",IF(NOT(ISNUMBER(N3872)),"Bad date",IF(P3872="","NAME NOT ON ROSTER","OK"))))</f>
        <v/>
      </c>
      <c r="I3872">
        <f>IF('Cash_Check'!A872="","",'Cash_Check'!A872)</f>
        <v/>
      </c>
      <c r="J3872">
        <f>IF('Cash_Check'!D872="","",'Cash_Check'!D872)</f>
        <v/>
      </c>
      <c r="K3872">
        <f>TRIM('Cash_Check'!B872)</f>
        <v/>
      </c>
      <c r="M3872">
        <f>IF(TRIM('Cash_Check'!E872)="","Cash/check",TRIM('Cash_Check'!E872))</f>
        <v/>
      </c>
      <c r="N3872">
        <f>IF(I3872="","",IF(ISNUMBER(I3872),INT(I3872),IFERROR(INT(DATEVALUE(I3872)),IFERROR(INT(VALUE(I3872)),"bad"))))</f>
        <v/>
      </c>
      <c r="O3872">
        <f>IF(J3872="","",IF(ISNUMBER(J3872),ROUND(J3872,2),IFERROR(ROUND(VALUE(SUBSTITUTE(SUBSTITUTE(SUBSTITUTE(J3872,"$",""),",","")," ","")),2),"bad")))</f>
        <v/>
      </c>
      <c r="P3872">
        <f>IF(K3872="","",IFERROR(MATCH(IF(ISNUMBER(FIND("#",K3872)),TRIM(MID(K3872,FIND("#",K3872)+1,20)),UPPER(K3872)),'Students'!$AD$2:$AD$701,0),""))</f>
        <v/>
      </c>
      <c r="R3872">
        <f>IF(P3872="","",INDEX('Students'!$AD$2:$AD$701,P3872))</f>
        <v/>
      </c>
      <c r="S3872">
        <f>IF(H3872="OK",O3872,0)</f>
        <v/>
      </c>
      <c r="T3872">
        <f>IF(H3872="OK",N3872,"")</f>
        <v/>
      </c>
      <c r="U3872">
        <f>TRIM('Cash_Check'!C872)</f>
        <v/>
      </c>
    </row>
    <row r="3873">
      <c r="A3873" s="62">
        <f>IF(H3873="","",IF(ISNUMBER(N3873),N3873,I3873))</f>
        <v/>
      </c>
      <c r="B3873">
        <f>IF(H3873="","",U3873)</f>
        <v/>
      </c>
      <c r="C3873">
        <f>IF(H3873="","",IF(P3873="",K3873,INDEX('Students'!$A$2:$A$701,P3873)))</f>
        <v/>
      </c>
      <c r="D3873">
        <f>IF(OR(H3873="",P3873=""),"",INDEX('Students'!$B$2:$B$701,P3873))</f>
        <v/>
      </c>
      <c r="E3873">
        <f>IF(OR(H3873="",P3873=""),"",INDEX('Students'!$C$2:$C$701,P3873))</f>
        <v/>
      </c>
      <c r="F3873" s="48">
        <f>IF(H3873="","",IF(ISNUMBER(O3873),O3873,J3873))</f>
        <v/>
      </c>
      <c r="G3873">
        <f>IF(H3873="","",M3873)</f>
        <v/>
      </c>
      <c r="H3873">
        <f>IF(AND(I3873="",J3873="",K3873=""),"",IF(OR(NOT(ISNUMBER(O3873)),N(O3873)&lt;=0),"Bad amount",IF(NOT(ISNUMBER(N3873)),"Bad date",IF(P3873="","NAME NOT ON ROSTER","OK"))))</f>
        <v/>
      </c>
      <c r="I3873">
        <f>IF('Cash_Check'!A873="","",'Cash_Check'!A873)</f>
        <v/>
      </c>
      <c r="J3873">
        <f>IF('Cash_Check'!D873="","",'Cash_Check'!D873)</f>
        <v/>
      </c>
      <c r="K3873">
        <f>TRIM('Cash_Check'!B873)</f>
        <v/>
      </c>
      <c r="M3873">
        <f>IF(TRIM('Cash_Check'!E873)="","Cash/check",TRIM('Cash_Check'!E873))</f>
        <v/>
      </c>
      <c r="N3873">
        <f>IF(I3873="","",IF(ISNUMBER(I3873),INT(I3873),IFERROR(INT(DATEVALUE(I3873)),IFERROR(INT(VALUE(I3873)),"bad"))))</f>
        <v/>
      </c>
      <c r="O3873">
        <f>IF(J3873="","",IF(ISNUMBER(J3873),ROUND(J3873,2),IFERROR(ROUND(VALUE(SUBSTITUTE(SUBSTITUTE(SUBSTITUTE(J3873,"$",""),",","")," ","")),2),"bad")))</f>
        <v/>
      </c>
      <c r="P3873">
        <f>IF(K3873="","",IFERROR(MATCH(IF(ISNUMBER(FIND("#",K3873)),TRIM(MID(K3873,FIND("#",K3873)+1,20)),UPPER(K3873)),'Students'!$AD$2:$AD$701,0),""))</f>
        <v/>
      </c>
      <c r="R3873">
        <f>IF(P3873="","",INDEX('Students'!$AD$2:$AD$701,P3873))</f>
        <v/>
      </c>
      <c r="S3873">
        <f>IF(H3873="OK",O3873,0)</f>
        <v/>
      </c>
      <c r="T3873">
        <f>IF(H3873="OK",N3873,"")</f>
        <v/>
      </c>
      <c r="U3873">
        <f>TRIM('Cash_Check'!C873)</f>
        <v/>
      </c>
    </row>
    <row r="3874">
      <c r="A3874" s="62">
        <f>IF(H3874="","",IF(ISNUMBER(N3874),N3874,I3874))</f>
        <v/>
      </c>
      <c r="B3874">
        <f>IF(H3874="","",U3874)</f>
        <v/>
      </c>
      <c r="C3874">
        <f>IF(H3874="","",IF(P3874="",K3874,INDEX('Students'!$A$2:$A$701,P3874)))</f>
        <v/>
      </c>
      <c r="D3874">
        <f>IF(OR(H3874="",P3874=""),"",INDEX('Students'!$B$2:$B$701,P3874))</f>
        <v/>
      </c>
      <c r="E3874">
        <f>IF(OR(H3874="",P3874=""),"",INDEX('Students'!$C$2:$C$701,P3874))</f>
        <v/>
      </c>
      <c r="F3874" s="48">
        <f>IF(H3874="","",IF(ISNUMBER(O3874),O3874,J3874))</f>
        <v/>
      </c>
      <c r="G3874">
        <f>IF(H3874="","",M3874)</f>
        <v/>
      </c>
      <c r="H3874">
        <f>IF(AND(I3874="",J3874="",K3874=""),"",IF(OR(NOT(ISNUMBER(O3874)),N(O3874)&lt;=0),"Bad amount",IF(NOT(ISNUMBER(N3874)),"Bad date",IF(P3874="","NAME NOT ON ROSTER","OK"))))</f>
        <v/>
      </c>
      <c r="I3874">
        <f>IF('Cash_Check'!A874="","",'Cash_Check'!A874)</f>
        <v/>
      </c>
      <c r="J3874">
        <f>IF('Cash_Check'!D874="","",'Cash_Check'!D874)</f>
        <v/>
      </c>
      <c r="K3874">
        <f>TRIM('Cash_Check'!B874)</f>
        <v/>
      </c>
      <c r="M3874">
        <f>IF(TRIM('Cash_Check'!E874)="","Cash/check",TRIM('Cash_Check'!E874))</f>
        <v/>
      </c>
      <c r="N3874">
        <f>IF(I3874="","",IF(ISNUMBER(I3874),INT(I3874),IFERROR(INT(DATEVALUE(I3874)),IFERROR(INT(VALUE(I3874)),"bad"))))</f>
        <v/>
      </c>
      <c r="O3874">
        <f>IF(J3874="","",IF(ISNUMBER(J3874),ROUND(J3874,2),IFERROR(ROUND(VALUE(SUBSTITUTE(SUBSTITUTE(SUBSTITUTE(J3874,"$",""),",","")," ","")),2),"bad")))</f>
        <v/>
      </c>
      <c r="P3874">
        <f>IF(K3874="","",IFERROR(MATCH(IF(ISNUMBER(FIND("#",K3874)),TRIM(MID(K3874,FIND("#",K3874)+1,20)),UPPER(K3874)),'Students'!$AD$2:$AD$701,0),""))</f>
        <v/>
      </c>
      <c r="R3874">
        <f>IF(P3874="","",INDEX('Students'!$AD$2:$AD$701,P3874))</f>
        <v/>
      </c>
      <c r="S3874">
        <f>IF(H3874="OK",O3874,0)</f>
        <v/>
      </c>
      <c r="T3874">
        <f>IF(H3874="OK",N3874,"")</f>
        <v/>
      </c>
      <c r="U3874">
        <f>TRIM('Cash_Check'!C874)</f>
        <v/>
      </c>
    </row>
    <row r="3875">
      <c r="A3875" s="62">
        <f>IF(H3875="","",IF(ISNUMBER(N3875),N3875,I3875))</f>
        <v/>
      </c>
      <c r="B3875">
        <f>IF(H3875="","",U3875)</f>
        <v/>
      </c>
      <c r="C3875">
        <f>IF(H3875="","",IF(P3875="",K3875,INDEX('Students'!$A$2:$A$701,P3875)))</f>
        <v/>
      </c>
      <c r="D3875">
        <f>IF(OR(H3875="",P3875=""),"",INDEX('Students'!$B$2:$B$701,P3875))</f>
        <v/>
      </c>
      <c r="E3875">
        <f>IF(OR(H3875="",P3875=""),"",INDEX('Students'!$C$2:$C$701,P3875))</f>
        <v/>
      </c>
      <c r="F3875" s="48">
        <f>IF(H3875="","",IF(ISNUMBER(O3875),O3875,J3875))</f>
        <v/>
      </c>
      <c r="G3875">
        <f>IF(H3875="","",M3875)</f>
        <v/>
      </c>
      <c r="H3875">
        <f>IF(AND(I3875="",J3875="",K3875=""),"",IF(OR(NOT(ISNUMBER(O3875)),N(O3875)&lt;=0),"Bad amount",IF(NOT(ISNUMBER(N3875)),"Bad date",IF(P3875="","NAME NOT ON ROSTER","OK"))))</f>
        <v/>
      </c>
      <c r="I3875">
        <f>IF('Cash_Check'!A875="","",'Cash_Check'!A875)</f>
        <v/>
      </c>
      <c r="J3875">
        <f>IF('Cash_Check'!D875="","",'Cash_Check'!D875)</f>
        <v/>
      </c>
      <c r="K3875">
        <f>TRIM('Cash_Check'!B875)</f>
        <v/>
      </c>
      <c r="M3875">
        <f>IF(TRIM('Cash_Check'!E875)="","Cash/check",TRIM('Cash_Check'!E875))</f>
        <v/>
      </c>
      <c r="N3875">
        <f>IF(I3875="","",IF(ISNUMBER(I3875),INT(I3875),IFERROR(INT(DATEVALUE(I3875)),IFERROR(INT(VALUE(I3875)),"bad"))))</f>
        <v/>
      </c>
      <c r="O3875">
        <f>IF(J3875="","",IF(ISNUMBER(J3875),ROUND(J3875,2),IFERROR(ROUND(VALUE(SUBSTITUTE(SUBSTITUTE(SUBSTITUTE(J3875,"$",""),",","")," ","")),2),"bad")))</f>
        <v/>
      </c>
      <c r="P3875">
        <f>IF(K3875="","",IFERROR(MATCH(IF(ISNUMBER(FIND("#",K3875)),TRIM(MID(K3875,FIND("#",K3875)+1,20)),UPPER(K3875)),'Students'!$AD$2:$AD$701,0),""))</f>
        <v/>
      </c>
      <c r="R3875">
        <f>IF(P3875="","",INDEX('Students'!$AD$2:$AD$701,P3875))</f>
        <v/>
      </c>
      <c r="S3875">
        <f>IF(H3875="OK",O3875,0)</f>
        <v/>
      </c>
      <c r="T3875">
        <f>IF(H3875="OK",N3875,"")</f>
        <v/>
      </c>
      <c r="U3875">
        <f>TRIM('Cash_Check'!C875)</f>
        <v/>
      </c>
    </row>
    <row r="3876">
      <c r="A3876" s="62">
        <f>IF(H3876="","",IF(ISNUMBER(N3876),N3876,I3876))</f>
        <v/>
      </c>
      <c r="B3876">
        <f>IF(H3876="","",U3876)</f>
        <v/>
      </c>
      <c r="C3876">
        <f>IF(H3876="","",IF(P3876="",K3876,INDEX('Students'!$A$2:$A$701,P3876)))</f>
        <v/>
      </c>
      <c r="D3876">
        <f>IF(OR(H3876="",P3876=""),"",INDEX('Students'!$B$2:$B$701,P3876))</f>
        <v/>
      </c>
      <c r="E3876">
        <f>IF(OR(H3876="",P3876=""),"",INDEX('Students'!$C$2:$C$701,P3876))</f>
        <v/>
      </c>
      <c r="F3876" s="48">
        <f>IF(H3876="","",IF(ISNUMBER(O3876),O3876,J3876))</f>
        <v/>
      </c>
      <c r="G3876">
        <f>IF(H3876="","",M3876)</f>
        <v/>
      </c>
      <c r="H3876">
        <f>IF(AND(I3876="",J3876="",K3876=""),"",IF(OR(NOT(ISNUMBER(O3876)),N(O3876)&lt;=0),"Bad amount",IF(NOT(ISNUMBER(N3876)),"Bad date",IF(P3876="","NAME NOT ON ROSTER","OK"))))</f>
        <v/>
      </c>
      <c r="I3876">
        <f>IF('Cash_Check'!A876="","",'Cash_Check'!A876)</f>
        <v/>
      </c>
      <c r="J3876">
        <f>IF('Cash_Check'!D876="","",'Cash_Check'!D876)</f>
        <v/>
      </c>
      <c r="K3876">
        <f>TRIM('Cash_Check'!B876)</f>
        <v/>
      </c>
      <c r="M3876">
        <f>IF(TRIM('Cash_Check'!E876)="","Cash/check",TRIM('Cash_Check'!E876))</f>
        <v/>
      </c>
      <c r="N3876">
        <f>IF(I3876="","",IF(ISNUMBER(I3876),INT(I3876),IFERROR(INT(DATEVALUE(I3876)),IFERROR(INT(VALUE(I3876)),"bad"))))</f>
        <v/>
      </c>
      <c r="O3876">
        <f>IF(J3876="","",IF(ISNUMBER(J3876),ROUND(J3876,2),IFERROR(ROUND(VALUE(SUBSTITUTE(SUBSTITUTE(SUBSTITUTE(J3876,"$",""),",","")," ","")),2),"bad")))</f>
        <v/>
      </c>
      <c r="P3876">
        <f>IF(K3876="","",IFERROR(MATCH(IF(ISNUMBER(FIND("#",K3876)),TRIM(MID(K3876,FIND("#",K3876)+1,20)),UPPER(K3876)),'Students'!$AD$2:$AD$701,0),""))</f>
        <v/>
      </c>
      <c r="R3876">
        <f>IF(P3876="","",INDEX('Students'!$AD$2:$AD$701,P3876))</f>
        <v/>
      </c>
      <c r="S3876">
        <f>IF(H3876="OK",O3876,0)</f>
        <v/>
      </c>
      <c r="T3876">
        <f>IF(H3876="OK",N3876,"")</f>
        <v/>
      </c>
      <c r="U3876">
        <f>TRIM('Cash_Check'!C876)</f>
        <v/>
      </c>
    </row>
    <row r="3877">
      <c r="A3877" s="62">
        <f>IF(H3877="","",IF(ISNUMBER(N3877),N3877,I3877))</f>
        <v/>
      </c>
      <c r="B3877">
        <f>IF(H3877="","",U3877)</f>
        <v/>
      </c>
      <c r="C3877">
        <f>IF(H3877="","",IF(P3877="",K3877,INDEX('Students'!$A$2:$A$701,P3877)))</f>
        <v/>
      </c>
      <c r="D3877">
        <f>IF(OR(H3877="",P3877=""),"",INDEX('Students'!$B$2:$B$701,P3877))</f>
        <v/>
      </c>
      <c r="E3877">
        <f>IF(OR(H3877="",P3877=""),"",INDEX('Students'!$C$2:$C$701,P3877))</f>
        <v/>
      </c>
      <c r="F3877" s="48">
        <f>IF(H3877="","",IF(ISNUMBER(O3877),O3877,J3877))</f>
        <v/>
      </c>
      <c r="G3877">
        <f>IF(H3877="","",M3877)</f>
        <v/>
      </c>
      <c r="H3877">
        <f>IF(AND(I3877="",J3877="",K3877=""),"",IF(OR(NOT(ISNUMBER(O3877)),N(O3877)&lt;=0),"Bad amount",IF(NOT(ISNUMBER(N3877)),"Bad date",IF(P3877="","NAME NOT ON ROSTER","OK"))))</f>
        <v/>
      </c>
      <c r="I3877">
        <f>IF('Cash_Check'!A877="","",'Cash_Check'!A877)</f>
        <v/>
      </c>
      <c r="J3877">
        <f>IF('Cash_Check'!D877="","",'Cash_Check'!D877)</f>
        <v/>
      </c>
      <c r="K3877">
        <f>TRIM('Cash_Check'!B877)</f>
        <v/>
      </c>
      <c r="M3877">
        <f>IF(TRIM('Cash_Check'!E877)="","Cash/check",TRIM('Cash_Check'!E877))</f>
        <v/>
      </c>
      <c r="N3877">
        <f>IF(I3877="","",IF(ISNUMBER(I3877),INT(I3877),IFERROR(INT(DATEVALUE(I3877)),IFERROR(INT(VALUE(I3877)),"bad"))))</f>
        <v/>
      </c>
      <c r="O3877">
        <f>IF(J3877="","",IF(ISNUMBER(J3877),ROUND(J3877,2),IFERROR(ROUND(VALUE(SUBSTITUTE(SUBSTITUTE(SUBSTITUTE(J3877,"$",""),",","")," ","")),2),"bad")))</f>
        <v/>
      </c>
      <c r="P3877">
        <f>IF(K3877="","",IFERROR(MATCH(IF(ISNUMBER(FIND("#",K3877)),TRIM(MID(K3877,FIND("#",K3877)+1,20)),UPPER(K3877)),'Students'!$AD$2:$AD$701,0),""))</f>
        <v/>
      </c>
      <c r="R3877">
        <f>IF(P3877="","",INDEX('Students'!$AD$2:$AD$701,P3877))</f>
        <v/>
      </c>
      <c r="S3877">
        <f>IF(H3877="OK",O3877,0)</f>
        <v/>
      </c>
      <c r="T3877">
        <f>IF(H3877="OK",N3877,"")</f>
        <v/>
      </c>
      <c r="U3877">
        <f>TRIM('Cash_Check'!C877)</f>
        <v/>
      </c>
    </row>
    <row r="3878">
      <c r="A3878" s="62">
        <f>IF(H3878="","",IF(ISNUMBER(N3878),N3878,I3878))</f>
        <v/>
      </c>
      <c r="B3878">
        <f>IF(H3878="","",U3878)</f>
        <v/>
      </c>
      <c r="C3878">
        <f>IF(H3878="","",IF(P3878="",K3878,INDEX('Students'!$A$2:$A$701,P3878)))</f>
        <v/>
      </c>
      <c r="D3878">
        <f>IF(OR(H3878="",P3878=""),"",INDEX('Students'!$B$2:$B$701,P3878))</f>
        <v/>
      </c>
      <c r="E3878">
        <f>IF(OR(H3878="",P3878=""),"",INDEX('Students'!$C$2:$C$701,P3878))</f>
        <v/>
      </c>
      <c r="F3878" s="48">
        <f>IF(H3878="","",IF(ISNUMBER(O3878),O3878,J3878))</f>
        <v/>
      </c>
      <c r="G3878">
        <f>IF(H3878="","",M3878)</f>
        <v/>
      </c>
      <c r="H3878">
        <f>IF(AND(I3878="",J3878="",K3878=""),"",IF(OR(NOT(ISNUMBER(O3878)),N(O3878)&lt;=0),"Bad amount",IF(NOT(ISNUMBER(N3878)),"Bad date",IF(P3878="","NAME NOT ON ROSTER","OK"))))</f>
        <v/>
      </c>
      <c r="I3878">
        <f>IF('Cash_Check'!A878="","",'Cash_Check'!A878)</f>
        <v/>
      </c>
      <c r="J3878">
        <f>IF('Cash_Check'!D878="","",'Cash_Check'!D878)</f>
        <v/>
      </c>
      <c r="K3878">
        <f>TRIM('Cash_Check'!B878)</f>
        <v/>
      </c>
      <c r="M3878">
        <f>IF(TRIM('Cash_Check'!E878)="","Cash/check",TRIM('Cash_Check'!E878))</f>
        <v/>
      </c>
      <c r="N3878">
        <f>IF(I3878="","",IF(ISNUMBER(I3878),INT(I3878),IFERROR(INT(DATEVALUE(I3878)),IFERROR(INT(VALUE(I3878)),"bad"))))</f>
        <v/>
      </c>
      <c r="O3878">
        <f>IF(J3878="","",IF(ISNUMBER(J3878),ROUND(J3878,2),IFERROR(ROUND(VALUE(SUBSTITUTE(SUBSTITUTE(SUBSTITUTE(J3878,"$",""),",","")," ","")),2),"bad")))</f>
        <v/>
      </c>
      <c r="P3878">
        <f>IF(K3878="","",IFERROR(MATCH(IF(ISNUMBER(FIND("#",K3878)),TRIM(MID(K3878,FIND("#",K3878)+1,20)),UPPER(K3878)),'Students'!$AD$2:$AD$701,0),""))</f>
        <v/>
      </c>
      <c r="R3878">
        <f>IF(P3878="","",INDEX('Students'!$AD$2:$AD$701,P3878))</f>
        <v/>
      </c>
      <c r="S3878">
        <f>IF(H3878="OK",O3878,0)</f>
        <v/>
      </c>
      <c r="T3878">
        <f>IF(H3878="OK",N3878,"")</f>
        <v/>
      </c>
      <c r="U3878">
        <f>TRIM('Cash_Check'!C878)</f>
        <v/>
      </c>
    </row>
    <row r="3879">
      <c r="A3879" s="62">
        <f>IF(H3879="","",IF(ISNUMBER(N3879),N3879,I3879))</f>
        <v/>
      </c>
      <c r="B3879">
        <f>IF(H3879="","",U3879)</f>
        <v/>
      </c>
      <c r="C3879">
        <f>IF(H3879="","",IF(P3879="",K3879,INDEX('Students'!$A$2:$A$701,P3879)))</f>
        <v/>
      </c>
      <c r="D3879">
        <f>IF(OR(H3879="",P3879=""),"",INDEX('Students'!$B$2:$B$701,P3879))</f>
        <v/>
      </c>
      <c r="E3879">
        <f>IF(OR(H3879="",P3879=""),"",INDEX('Students'!$C$2:$C$701,P3879))</f>
        <v/>
      </c>
      <c r="F3879" s="48">
        <f>IF(H3879="","",IF(ISNUMBER(O3879),O3879,J3879))</f>
        <v/>
      </c>
      <c r="G3879">
        <f>IF(H3879="","",M3879)</f>
        <v/>
      </c>
      <c r="H3879">
        <f>IF(AND(I3879="",J3879="",K3879=""),"",IF(OR(NOT(ISNUMBER(O3879)),N(O3879)&lt;=0),"Bad amount",IF(NOT(ISNUMBER(N3879)),"Bad date",IF(P3879="","NAME NOT ON ROSTER","OK"))))</f>
        <v/>
      </c>
      <c r="I3879">
        <f>IF('Cash_Check'!A879="","",'Cash_Check'!A879)</f>
        <v/>
      </c>
      <c r="J3879">
        <f>IF('Cash_Check'!D879="","",'Cash_Check'!D879)</f>
        <v/>
      </c>
      <c r="K3879">
        <f>TRIM('Cash_Check'!B879)</f>
        <v/>
      </c>
      <c r="M3879">
        <f>IF(TRIM('Cash_Check'!E879)="","Cash/check",TRIM('Cash_Check'!E879))</f>
        <v/>
      </c>
      <c r="N3879">
        <f>IF(I3879="","",IF(ISNUMBER(I3879),INT(I3879),IFERROR(INT(DATEVALUE(I3879)),IFERROR(INT(VALUE(I3879)),"bad"))))</f>
        <v/>
      </c>
      <c r="O3879">
        <f>IF(J3879="","",IF(ISNUMBER(J3879),ROUND(J3879,2),IFERROR(ROUND(VALUE(SUBSTITUTE(SUBSTITUTE(SUBSTITUTE(J3879,"$",""),",","")," ","")),2),"bad")))</f>
        <v/>
      </c>
      <c r="P3879">
        <f>IF(K3879="","",IFERROR(MATCH(IF(ISNUMBER(FIND("#",K3879)),TRIM(MID(K3879,FIND("#",K3879)+1,20)),UPPER(K3879)),'Students'!$AD$2:$AD$701,0),""))</f>
        <v/>
      </c>
      <c r="R3879">
        <f>IF(P3879="","",INDEX('Students'!$AD$2:$AD$701,P3879))</f>
        <v/>
      </c>
      <c r="S3879">
        <f>IF(H3879="OK",O3879,0)</f>
        <v/>
      </c>
      <c r="T3879">
        <f>IF(H3879="OK",N3879,"")</f>
        <v/>
      </c>
      <c r="U3879">
        <f>TRIM('Cash_Check'!C879)</f>
        <v/>
      </c>
    </row>
    <row r="3880">
      <c r="A3880" s="62">
        <f>IF(H3880="","",IF(ISNUMBER(N3880),N3880,I3880))</f>
        <v/>
      </c>
      <c r="B3880">
        <f>IF(H3880="","",U3880)</f>
        <v/>
      </c>
      <c r="C3880">
        <f>IF(H3880="","",IF(P3880="",K3880,INDEX('Students'!$A$2:$A$701,P3880)))</f>
        <v/>
      </c>
      <c r="D3880">
        <f>IF(OR(H3880="",P3880=""),"",INDEX('Students'!$B$2:$B$701,P3880))</f>
        <v/>
      </c>
      <c r="E3880">
        <f>IF(OR(H3880="",P3880=""),"",INDEX('Students'!$C$2:$C$701,P3880))</f>
        <v/>
      </c>
      <c r="F3880" s="48">
        <f>IF(H3880="","",IF(ISNUMBER(O3880),O3880,J3880))</f>
        <v/>
      </c>
      <c r="G3880">
        <f>IF(H3880="","",M3880)</f>
        <v/>
      </c>
      <c r="H3880">
        <f>IF(AND(I3880="",J3880="",K3880=""),"",IF(OR(NOT(ISNUMBER(O3880)),N(O3880)&lt;=0),"Bad amount",IF(NOT(ISNUMBER(N3880)),"Bad date",IF(P3880="","NAME NOT ON ROSTER","OK"))))</f>
        <v/>
      </c>
      <c r="I3880">
        <f>IF('Cash_Check'!A880="","",'Cash_Check'!A880)</f>
        <v/>
      </c>
      <c r="J3880">
        <f>IF('Cash_Check'!D880="","",'Cash_Check'!D880)</f>
        <v/>
      </c>
      <c r="K3880">
        <f>TRIM('Cash_Check'!B880)</f>
        <v/>
      </c>
      <c r="M3880">
        <f>IF(TRIM('Cash_Check'!E880)="","Cash/check",TRIM('Cash_Check'!E880))</f>
        <v/>
      </c>
      <c r="N3880">
        <f>IF(I3880="","",IF(ISNUMBER(I3880),INT(I3880),IFERROR(INT(DATEVALUE(I3880)),IFERROR(INT(VALUE(I3880)),"bad"))))</f>
        <v/>
      </c>
      <c r="O3880">
        <f>IF(J3880="","",IF(ISNUMBER(J3880),ROUND(J3880,2),IFERROR(ROUND(VALUE(SUBSTITUTE(SUBSTITUTE(SUBSTITUTE(J3880,"$",""),",","")," ","")),2),"bad")))</f>
        <v/>
      </c>
      <c r="P3880">
        <f>IF(K3880="","",IFERROR(MATCH(IF(ISNUMBER(FIND("#",K3880)),TRIM(MID(K3880,FIND("#",K3880)+1,20)),UPPER(K3880)),'Students'!$AD$2:$AD$701,0),""))</f>
        <v/>
      </c>
      <c r="R3880">
        <f>IF(P3880="","",INDEX('Students'!$AD$2:$AD$701,P3880))</f>
        <v/>
      </c>
      <c r="S3880">
        <f>IF(H3880="OK",O3880,0)</f>
        <v/>
      </c>
      <c r="T3880">
        <f>IF(H3880="OK",N3880,"")</f>
        <v/>
      </c>
      <c r="U3880">
        <f>TRIM('Cash_Check'!C880)</f>
        <v/>
      </c>
    </row>
    <row r="3881">
      <c r="A3881" s="62">
        <f>IF(H3881="","",IF(ISNUMBER(N3881),N3881,I3881))</f>
        <v/>
      </c>
      <c r="B3881">
        <f>IF(H3881="","",U3881)</f>
        <v/>
      </c>
      <c r="C3881">
        <f>IF(H3881="","",IF(P3881="",K3881,INDEX('Students'!$A$2:$A$701,P3881)))</f>
        <v/>
      </c>
      <c r="D3881">
        <f>IF(OR(H3881="",P3881=""),"",INDEX('Students'!$B$2:$B$701,P3881))</f>
        <v/>
      </c>
      <c r="E3881">
        <f>IF(OR(H3881="",P3881=""),"",INDEX('Students'!$C$2:$C$701,P3881))</f>
        <v/>
      </c>
      <c r="F3881" s="48">
        <f>IF(H3881="","",IF(ISNUMBER(O3881),O3881,J3881))</f>
        <v/>
      </c>
      <c r="G3881">
        <f>IF(H3881="","",M3881)</f>
        <v/>
      </c>
      <c r="H3881">
        <f>IF(AND(I3881="",J3881="",K3881=""),"",IF(OR(NOT(ISNUMBER(O3881)),N(O3881)&lt;=0),"Bad amount",IF(NOT(ISNUMBER(N3881)),"Bad date",IF(P3881="","NAME NOT ON ROSTER","OK"))))</f>
        <v/>
      </c>
      <c r="I3881">
        <f>IF('Cash_Check'!A881="","",'Cash_Check'!A881)</f>
        <v/>
      </c>
      <c r="J3881">
        <f>IF('Cash_Check'!D881="","",'Cash_Check'!D881)</f>
        <v/>
      </c>
      <c r="K3881">
        <f>TRIM('Cash_Check'!B881)</f>
        <v/>
      </c>
      <c r="M3881">
        <f>IF(TRIM('Cash_Check'!E881)="","Cash/check",TRIM('Cash_Check'!E881))</f>
        <v/>
      </c>
      <c r="N3881">
        <f>IF(I3881="","",IF(ISNUMBER(I3881),INT(I3881),IFERROR(INT(DATEVALUE(I3881)),IFERROR(INT(VALUE(I3881)),"bad"))))</f>
        <v/>
      </c>
      <c r="O3881">
        <f>IF(J3881="","",IF(ISNUMBER(J3881),ROUND(J3881,2),IFERROR(ROUND(VALUE(SUBSTITUTE(SUBSTITUTE(SUBSTITUTE(J3881,"$",""),",","")," ","")),2),"bad")))</f>
        <v/>
      </c>
      <c r="P3881">
        <f>IF(K3881="","",IFERROR(MATCH(IF(ISNUMBER(FIND("#",K3881)),TRIM(MID(K3881,FIND("#",K3881)+1,20)),UPPER(K3881)),'Students'!$AD$2:$AD$701,0),""))</f>
        <v/>
      </c>
      <c r="R3881">
        <f>IF(P3881="","",INDEX('Students'!$AD$2:$AD$701,P3881))</f>
        <v/>
      </c>
      <c r="S3881">
        <f>IF(H3881="OK",O3881,0)</f>
        <v/>
      </c>
      <c r="T3881">
        <f>IF(H3881="OK",N3881,"")</f>
        <v/>
      </c>
      <c r="U3881">
        <f>TRIM('Cash_Check'!C881)</f>
        <v/>
      </c>
    </row>
    <row r="3882">
      <c r="A3882" s="62">
        <f>IF(H3882="","",IF(ISNUMBER(N3882),N3882,I3882))</f>
        <v/>
      </c>
      <c r="B3882">
        <f>IF(H3882="","",U3882)</f>
        <v/>
      </c>
      <c r="C3882">
        <f>IF(H3882="","",IF(P3882="",K3882,INDEX('Students'!$A$2:$A$701,P3882)))</f>
        <v/>
      </c>
      <c r="D3882">
        <f>IF(OR(H3882="",P3882=""),"",INDEX('Students'!$B$2:$B$701,P3882))</f>
        <v/>
      </c>
      <c r="E3882">
        <f>IF(OR(H3882="",P3882=""),"",INDEX('Students'!$C$2:$C$701,P3882))</f>
        <v/>
      </c>
      <c r="F3882" s="48">
        <f>IF(H3882="","",IF(ISNUMBER(O3882),O3882,J3882))</f>
        <v/>
      </c>
      <c r="G3882">
        <f>IF(H3882="","",M3882)</f>
        <v/>
      </c>
      <c r="H3882">
        <f>IF(AND(I3882="",J3882="",K3882=""),"",IF(OR(NOT(ISNUMBER(O3882)),N(O3882)&lt;=0),"Bad amount",IF(NOT(ISNUMBER(N3882)),"Bad date",IF(P3882="","NAME NOT ON ROSTER","OK"))))</f>
        <v/>
      </c>
      <c r="I3882">
        <f>IF('Cash_Check'!A882="","",'Cash_Check'!A882)</f>
        <v/>
      </c>
      <c r="J3882">
        <f>IF('Cash_Check'!D882="","",'Cash_Check'!D882)</f>
        <v/>
      </c>
      <c r="K3882">
        <f>TRIM('Cash_Check'!B882)</f>
        <v/>
      </c>
      <c r="M3882">
        <f>IF(TRIM('Cash_Check'!E882)="","Cash/check",TRIM('Cash_Check'!E882))</f>
        <v/>
      </c>
      <c r="N3882">
        <f>IF(I3882="","",IF(ISNUMBER(I3882),INT(I3882),IFERROR(INT(DATEVALUE(I3882)),IFERROR(INT(VALUE(I3882)),"bad"))))</f>
        <v/>
      </c>
      <c r="O3882">
        <f>IF(J3882="","",IF(ISNUMBER(J3882),ROUND(J3882,2),IFERROR(ROUND(VALUE(SUBSTITUTE(SUBSTITUTE(SUBSTITUTE(J3882,"$",""),",","")," ","")),2),"bad")))</f>
        <v/>
      </c>
      <c r="P3882">
        <f>IF(K3882="","",IFERROR(MATCH(IF(ISNUMBER(FIND("#",K3882)),TRIM(MID(K3882,FIND("#",K3882)+1,20)),UPPER(K3882)),'Students'!$AD$2:$AD$701,0),""))</f>
        <v/>
      </c>
      <c r="R3882">
        <f>IF(P3882="","",INDEX('Students'!$AD$2:$AD$701,P3882))</f>
        <v/>
      </c>
      <c r="S3882">
        <f>IF(H3882="OK",O3882,0)</f>
        <v/>
      </c>
      <c r="T3882">
        <f>IF(H3882="OK",N3882,"")</f>
        <v/>
      </c>
      <c r="U3882">
        <f>TRIM('Cash_Check'!C882)</f>
        <v/>
      </c>
    </row>
    <row r="3883">
      <c r="A3883" s="62">
        <f>IF(H3883="","",IF(ISNUMBER(N3883),N3883,I3883))</f>
        <v/>
      </c>
      <c r="B3883">
        <f>IF(H3883="","",U3883)</f>
        <v/>
      </c>
      <c r="C3883">
        <f>IF(H3883="","",IF(P3883="",K3883,INDEX('Students'!$A$2:$A$701,P3883)))</f>
        <v/>
      </c>
      <c r="D3883">
        <f>IF(OR(H3883="",P3883=""),"",INDEX('Students'!$B$2:$B$701,P3883))</f>
        <v/>
      </c>
      <c r="E3883">
        <f>IF(OR(H3883="",P3883=""),"",INDEX('Students'!$C$2:$C$701,P3883))</f>
        <v/>
      </c>
      <c r="F3883" s="48">
        <f>IF(H3883="","",IF(ISNUMBER(O3883),O3883,J3883))</f>
        <v/>
      </c>
      <c r="G3883">
        <f>IF(H3883="","",M3883)</f>
        <v/>
      </c>
      <c r="H3883">
        <f>IF(AND(I3883="",J3883="",K3883=""),"",IF(OR(NOT(ISNUMBER(O3883)),N(O3883)&lt;=0),"Bad amount",IF(NOT(ISNUMBER(N3883)),"Bad date",IF(P3883="","NAME NOT ON ROSTER","OK"))))</f>
        <v/>
      </c>
      <c r="I3883">
        <f>IF('Cash_Check'!A883="","",'Cash_Check'!A883)</f>
        <v/>
      </c>
      <c r="J3883">
        <f>IF('Cash_Check'!D883="","",'Cash_Check'!D883)</f>
        <v/>
      </c>
      <c r="K3883">
        <f>TRIM('Cash_Check'!B883)</f>
        <v/>
      </c>
      <c r="M3883">
        <f>IF(TRIM('Cash_Check'!E883)="","Cash/check",TRIM('Cash_Check'!E883))</f>
        <v/>
      </c>
      <c r="N3883">
        <f>IF(I3883="","",IF(ISNUMBER(I3883),INT(I3883),IFERROR(INT(DATEVALUE(I3883)),IFERROR(INT(VALUE(I3883)),"bad"))))</f>
        <v/>
      </c>
      <c r="O3883">
        <f>IF(J3883="","",IF(ISNUMBER(J3883),ROUND(J3883,2),IFERROR(ROUND(VALUE(SUBSTITUTE(SUBSTITUTE(SUBSTITUTE(J3883,"$",""),",","")," ","")),2),"bad")))</f>
        <v/>
      </c>
      <c r="P3883">
        <f>IF(K3883="","",IFERROR(MATCH(IF(ISNUMBER(FIND("#",K3883)),TRIM(MID(K3883,FIND("#",K3883)+1,20)),UPPER(K3883)),'Students'!$AD$2:$AD$701,0),""))</f>
        <v/>
      </c>
      <c r="R3883">
        <f>IF(P3883="","",INDEX('Students'!$AD$2:$AD$701,P3883))</f>
        <v/>
      </c>
      <c r="S3883">
        <f>IF(H3883="OK",O3883,0)</f>
        <v/>
      </c>
      <c r="T3883">
        <f>IF(H3883="OK",N3883,"")</f>
        <v/>
      </c>
      <c r="U3883">
        <f>TRIM('Cash_Check'!C883)</f>
        <v/>
      </c>
    </row>
    <row r="3884">
      <c r="A3884" s="62">
        <f>IF(H3884="","",IF(ISNUMBER(N3884),N3884,I3884))</f>
        <v/>
      </c>
      <c r="B3884">
        <f>IF(H3884="","",U3884)</f>
        <v/>
      </c>
      <c r="C3884">
        <f>IF(H3884="","",IF(P3884="",K3884,INDEX('Students'!$A$2:$A$701,P3884)))</f>
        <v/>
      </c>
      <c r="D3884">
        <f>IF(OR(H3884="",P3884=""),"",INDEX('Students'!$B$2:$B$701,P3884))</f>
        <v/>
      </c>
      <c r="E3884">
        <f>IF(OR(H3884="",P3884=""),"",INDEX('Students'!$C$2:$C$701,P3884))</f>
        <v/>
      </c>
      <c r="F3884" s="48">
        <f>IF(H3884="","",IF(ISNUMBER(O3884),O3884,J3884))</f>
        <v/>
      </c>
      <c r="G3884">
        <f>IF(H3884="","",M3884)</f>
        <v/>
      </c>
      <c r="H3884">
        <f>IF(AND(I3884="",J3884="",K3884=""),"",IF(OR(NOT(ISNUMBER(O3884)),N(O3884)&lt;=0),"Bad amount",IF(NOT(ISNUMBER(N3884)),"Bad date",IF(P3884="","NAME NOT ON ROSTER","OK"))))</f>
        <v/>
      </c>
      <c r="I3884">
        <f>IF('Cash_Check'!A884="","",'Cash_Check'!A884)</f>
        <v/>
      </c>
      <c r="J3884">
        <f>IF('Cash_Check'!D884="","",'Cash_Check'!D884)</f>
        <v/>
      </c>
      <c r="K3884">
        <f>TRIM('Cash_Check'!B884)</f>
        <v/>
      </c>
      <c r="M3884">
        <f>IF(TRIM('Cash_Check'!E884)="","Cash/check",TRIM('Cash_Check'!E884))</f>
        <v/>
      </c>
      <c r="N3884">
        <f>IF(I3884="","",IF(ISNUMBER(I3884),INT(I3884),IFERROR(INT(DATEVALUE(I3884)),IFERROR(INT(VALUE(I3884)),"bad"))))</f>
        <v/>
      </c>
      <c r="O3884">
        <f>IF(J3884="","",IF(ISNUMBER(J3884),ROUND(J3884,2),IFERROR(ROUND(VALUE(SUBSTITUTE(SUBSTITUTE(SUBSTITUTE(J3884,"$",""),",","")," ","")),2),"bad")))</f>
        <v/>
      </c>
      <c r="P3884">
        <f>IF(K3884="","",IFERROR(MATCH(IF(ISNUMBER(FIND("#",K3884)),TRIM(MID(K3884,FIND("#",K3884)+1,20)),UPPER(K3884)),'Students'!$AD$2:$AD$701,0),""))</f>
        <v/>
      </c>
      <c r="R3884">
        <f>IF(P3884="","",INDEX('Students'!$AD$2:$AD$701,P3884))</f>
        <v/>
      </c>
      <c r="S3884">
        <f>IF(H3884="OK",O3884,0)</f>
        <v/>
      </c>
      <c r="T3884">
        <f>IF(H3884="OK",N3884,"")</f>
        <v/>
      </c>
      <c r="U3884">
        <f>TRIM('Cash_Check'!C884)</f>
        <v/>
      </c>
    </row>
    <row r="3885">
      <c r="A3885" s="62">
        <f>IF(H3885="","",IF(ISNUMBER(N3885),N3885,I3885))</f>
        <v/>
      </c>
      <c r="B3885">
        <f>IF(H3885="","",U3885)</f>
        <v/>
      </c>
      <c r="C3885">
        <f>IF(H3885="","",IF(P3885="",K3885,INDEX('Students'!$A$2:$A$701,P3885)))</f>
        <v/>
      </c>
      <c r="D3885">
        <f>IF(OR(H3885="",P3885=""),"",INDEX('Students'!$B$2:$B$701,P3885))</f>
        <v/>
      </c>
      <c r="E3885">
        <f>IF(OR(H3885="",P3885=""),"",INDEX('Students'!$C$2:$C$701,P3885))</f>
        <v/>
      </c>
      <c r="F3885" s="48">
        <f>IF(H3885="","",IF(ISNUMBER(O3885),O3885,J3885))</f>
        <v/>
      </c>
      <c r="G3885">
        <f>IF(H3885="","",M3885)</f>
        <v/>
      </c>
      <c r="H3885">
        <f>IF(AND(I3885="",J3885="",K3885=""),"",IF(OR(NOT(ISNUMBER(O3885)),N(O3885)&lt;=0),"Bad amount",IF(NOT(ISNUMBER(N3885)),"Bad date",IF(P3885="","NAME NOT ON ROSTER","OK"))))</f>
        <v/>
      </c>
      <c r="I3885">
        <f>IF('Cash_Check'!A885="","",'Cash_Check'!A885)</f>
        <v/>
      </c>
      <c r="J3885">
        <f>IF('Cash_Check'!D885="","",'Cash_Check'!D885)</f>
        <v/>
      </c>
      <c r="K3885">
        <f>TRIM('Cash_Check'!B885)</f>
        <v/>
      </c>
      <c r="M3885">
        <f>IF(TRIM('Cash_Check'!E885)="","Cash/check",TRIM('Cash_Check'!E885))</f>
        <v/>
      </c>
      <c r="N3885">
        <f>IF(I3885="","",IF(ISNUMBER(I3885),INT(I3885),IFERROR(INT(DATEVALUE(I3885)),IFERROR(INT(VALUE(I3885)),"bad"))))</f>
        <v/>
      </c>
      <c r="O3885">
        <f>IF(J3885="","",IF(ISNUMBER(J3885),ROUND(J3885,2),IFERROR(ROUND(VALUE(SUBSTITUTE(SUBSTITUTE(SUBSTITUTE(J3885,"$",""),",","")," ","")),2),"bad")))</f>
        <v/>
      </c>
      <c r="P3885">
        <f>IF(K3885="","",IFERROR(MATCH(IF(ISNUMBER(FIND("#",K3885)),TRIM(MID(K3885,FIND("#",K3885)+1,20)),UPPER(K3885)),'Students'!$AD$2:$AD$701,0),""))</f>
        <v/>
      </c>
      <c r="R3885">
        <f>IF(P3885="","",INDEX('Students'!$AD$2:$AD$701,P3885))</f>
        <v/>
      </c>
      <c r="S3885">
        <f>IF(H3885="OK",O3885,0)</f>
        <v/>
      </c>
      <c r="T3885">
        <f>IF(H3885="OK",N3885,"")</f>
        <v/>
      </c>
      <c r="U3885">
        <f>TRIM('Cash_Check'!C885)</f>
        <v/>
      </c>
    </row>
    <row r="3886">
      <c r="A3886" s="62">
        <f>IF(H3886="","",IF(ISNUMBER(N3886),N3886,I3886))</f>
        <v/>
      </c>
      <c r="B3886">
        <f>IF(H3886="","",U3886)</f>
        <v/>
      </c>
      <c r="C3886">
        <f>IF(H3886="","",IF(P3886="",K3886,INDEX('Students'!$A$2:$A$701,P3886)))</f>
        <v/>
      </c>
      <c r="D3886">
        <f>IF(OR(H3886="",P3886=""),"",INDEX('Students'!$B$2:$B$701,P3886))</f>
        <v/>
      </c>
      <c r="E3886">
        <f>IF(OR(H3886="",P3886=""),"",INDEX('Students'!$C$2:$C$701,P3886))</f>
        <v/>
      </c>
      <c r="F3886" s="48">
        <f>IF(H3886="","",IF(ISNUMBER(O3886),O3886,J3886))</f>
        <v/>
      </c>
      <c r="G3886">
        <f>IF(H3886="","",M3886)</f>
        <v/>
      </c>
      <c r="H3886">
        <f>IF(AND(I3886="",J3886="",K3886=""),"",IF(OR(NOT(ISNUMBER(O3886)),N(O3886)&lt;=0),"Bad amount",IF(NOT(ISNUMBER(N3886)),"Bad date",IF(P3886="","NAME NOT ON ROSTER","OK"))))</f>
        <v/>
      </c>
      <c r="I3886">
        <f>IF('Cash_Check'!A886="","",'Cash_Check'!A886)</f>
        <v/>
      </c>
      <c r="J3886">
        <f>IF('Cash_Check'!D886="","",'Cash_Check'!D886)</f>
        <v/>
      </c>
      <c r="K3886">
        <f>TRIM('Cash_Check'!B886)</f>
        <v/>
      </c>
      <c r="M3886">
        <f>IF(TRIM('Cash_Check'!E886)="","Cash/check",TRIM('Cash_Check'!E886))</f>
        <v/>
      </c>
      <c r="N3886">
        <f>IF(I3886="","",IF(ISNUMBER(I3886),INT(I3886),IFERROR(INT(DATEVALUE(I3886)),IFERROR(INT(VALUE(I3886)),"bad"))))</f>
        <v/>
      </c>
      <c r="O3886">
        <f>IF(J3886="","",IF(ISNUMBER(J3886),ROUND(J3886,2),IFERROR(ROUND(VALUE(SUBSTITUTE(SUBSTITUTE(SUBSTITUTE(J3886,"$",""),",","")," ","")),2),"bad")))</f>
        <v/>
      </c>
      <c r="P3886">
        <f>IF(K3886="","",IFERROR(MATCH(IF(ISNUMBER(FIND("#",K3886)),TRIM(MID(K3886,FIND("#",K3886)+1,20)),UPPER(K3886)),'Students'!$AD$2:$AD$701,0),""))</f>
        <v/>
      </c>
      <c r="R3886">
        <f>IF(P3886="","",INDEX('Students'!$AD$2:$AD$701,P3886))</f>
        <v/>
      </c>
      <c r="S3886">
        <f>IF(H3886="OK",O3886,0)</f>
        <v/>
      </c>
      <c r="T3886">
        <f>IF(H3886="OK",N3886,"")</f>
        <v/>
      </c>
      <c r="U3886">
        <f>TRIM('Cash_Check'!C886)</f>
        <v/>
      </c>
    </row>
    <row r="3887">
      <c r="A3887" s="62">
        <f>IF(H3887="","",IF(ISNUMBER(N3887),N3887,I3887))</f>
        <v/>
      </c>
      <c r="B3887">
        <f>IF(H3887="","",U3887)</f>
        <v/>
      </c>
      <c r="C3887">
        <f>IF(H3887="","",IF(P3887="",K3887,INDEX('Students'!$A$2:$A$701,P3887)))</f>
        <v/>
      </c>
      <c r="D3887">
        <f>IF(OR(H3887="",P3887=""),"",INDEX('Students'!$B$2:$B$701,P3887))</f>
        <v/>
      </c>
      <c r="E3887">
        <f>IF(OR(H3887="",P3887=""),"",INDEX('Students'!$C$2:$C$701,P3887))</f>
        <v/>
      </c>
      <c r="F3887" s="48">
        <f>IF(H3887="","",IF(ISNUMBER(O3887),O3887,J3887))</f>
        <v/>
      </c>
      <c r="G3887">
        <f>IF(H3887="","",M3887)</f>
        <v/>
      </c>
      <c r="H3887">
        <f>IF(AND(I3887="",J3887="",K3887=""),"",IF(OR(NOT(ISNUMBER(O3887)),N(O3887)&lt;=0),"Bad amount",IF(NOT(ISNUMBER(N3887)),"Bad date",IF(P3887="","NAME NOT ON ROSTER","OK"))))</f>
        <v/>
      </c>
      <c r="I3887">
        <f>IF('Cash_Check'!A887="","",'Cash_Check'!A887)</f>
        <v/>
      </c>
      <c r="J3887">
        <f>IF('Cash_Check'!D887="","",'Cash_Check'!D887)</f>
        <v/>
      </c>
      <c r="K3887">
        <f>TRIM('Cash_Check'!B887)</f>
        <v/>
      </c>
      <c r="M3887">
        <f>IF(TRIM('Cash_Check'!E887)="","Cash/check",TRIM('Cash_Check'!E887))</f>
        <v/>
      </c>
      <c r="N3887">
        <f>IF(I3887="","",IF(ISNUMBER(I3887),INT(I3887),IFERROR(INT(DATEVALUE(I3887)),IFERROR(INT(VALUE(I3887)),"bad"))))</f>
        <v/>
      </c>
      <c r="O3887">
        <f>IF(J3887="","",IF(ISNUMBER(J3887),ROUND(J3887,2),IFERROR(ROUND(VALUE(SUBSTITUTE(SUBSTITUTE(SUBSTITUTE(J3887,"$",""),",","")," ","")),2),"bad")))</f>
        <v/>
      </c>
      <c r="P3887">
        <f>IF(K3887="","",IFERROR(MATCH(IF(ISNUMBER(FIND("#",K3887)),TRIM(MID(K3887,FIND("#",K3887)+1,20)),UPPER(K3887)),'Students'!$AD$2:$AD$701,0),""))</f>
        <v/>
      </c>
      <c r="R3887">
        <f>IF(P3887="","",INDEX('Students'!$AD$2:$AD$701,P3887))</f>
        <v/>
      </c>
      <c r="S3887">
        <f>IF(H3887="OK",O3887,0)</f>
        <v/>
      </c>
      <c r="T3887">
        <f>IF(H3887="OK",N3887,"")</f>
        <v/>
      </c>
      <c r="U3887">
        <f>TRIM('Cash_Check'!C887)</f>
        <v/>
      </c>
    </row>
    <row r="3888">
      <c r="A3888" s="62">
        <f>IF(H3888="","",IF(ISNUMBER(N3888),N3888,I3888))</f>
        <v/>
      </c>
      <c r="B3888">
        <f>IF(H3888="","",U3888)</f>
        <v/>
      </c>
      <c r="C3888">
        <f>IF(H3888="","",IF(P3888="",K3888,INDEX('Students'!$A$2:$A$701,P3888)))</f>
        <v/>
      </c>
      <c r="D3888">
        <f>IF(OR(H3888="",P3888=""),"",INDEX('Students'!$B$2:$B$701,P3888))</f>
        <v/>
      </c>
      <c r="E3888">
        <f>IF(OR(H3888="",P3888=""),"",INDEX('Students'!$C$2:$C$701,P3888))</f>
        <v/>
      </c>
      <c r="F3888" s="48">
        <f>IF(H3888="","",IF(ISNUMBER(O3888),O3888,J3888))</f>
        <v/>
      </c>
      <c r="G3888">
        <f>IF(H3888="","",M3888)</f>
        <v/>
      </c>
      <c r="H3888">
        <f>IF(AND(I3888="",J3888="",K3888=""),"",IF(OR(NOT(ISNUMBER(O3888)),N(O3888)&lt;=0),"Bad amount",IF(NOT(ISNUMBER(N3888)),"Bad date",IF(P3888="","NAME NOT ON ROSTER","OK"))))</f>
        <v/>
      </c>
      <c r="I3888">
        <f>IF('Cash_Check'!A888="","",'Cash_Check'!A888)</f>
        <v/>
      </c>
      <c r="J3888">
        <f>IF('Cash_Check'!D888="","",'Cash_Check'!D888)</f>
        <v/>
      </c>
      <c r="K3888">
        <f>TRIM('Cash_Check'!B888)</f>
        <v/>
      </c>
      <c r="M3888">
        <f>IF(TRIM('Cash_Check'!E888)="","Cash/check",TRIM('Cash_Check'!E888))</f>
        <v/>
      </c>
      <c r="N3888">
        <f>IF(I3888="","",IF(ISNUMBER(I3888),INT(I3888),IFERROR(INT(DATEVALUE(I3888)),IFERROR(INT(VALUE(I3888)),"bad"))))</f>
        <v/>
      </c>
      <c r="O3888">
        <f>IF(J3888="","",IF(ISNUMBER(J3888),ROUND(J3888,2),IFERROR(ROUND(VALUE(SUBSTITUTE(SUBSTITUTE(SUBSTITUTE(J3888,"$",""),",","")," ","")),2),"bad")))</f>
        <v/>
      </c>
      <c r="P3888">
        <f>IF(K3888="","",IFERROR(MATCH(IF(ISNUMBER(FIND("#",K3888)),TRIM(MID(K3888,FIND("#",K3888)+1,20)),UPPER(K3888)),'Students'!$AD$2:$AD$701,0),""))</f>
        <v/>
      </c>
      <c r="R3888">
        <f>IF(P3888="","",INDEX('Students'!$AD$2:$AD$701,P3888))</f>
        <v/>
      </c>
      <c r="S3888">
        <f>IF(H3888="OK",O3888,0)</f>
        <v/>
      </c>
      <c r="T3888">
        <f>IF(H3888="OK",N3888,"")</f>
        <v/>
      </c>
      <c r="U3888">
        <f>TRIM('Cash_Check'!C888)</f>
        <v/>
      </c>
    </row>
    <row r="3889">
      <c r="A3889" s="62">
        <f>IF(H3889="","",IF(ISNUMBER(N3889),N3889,I3889))</f>
        <v/>
      </c>
      <c r="B3889">
        <f>IF(H3889="","",U3889)</f>
        <v/>
      </c>
      <c r="C3889">
        <f>IF(H3889="","",IF(P3889="",K3889,INDEX('Students'!$A$2:$A$701,P3889)))</f>
        <v/>
      </c>
      <c r="D3889">
        <f>IF(OR(H3889="",P3889=""),"",INDEX('Students'!$B$2:$B$701,P3889))</f>
        <v/>
      </c>
      <c r="E3889">
        <f>IF(OR(H3889="",P3889=""),"",INDEX('Students'!$C$2:$C$701,P3889))</f>
        <v/>
      </c>
      <c r="F3889" s="48">
        <f>IF(H3889="","",IF(ISNUMBER(O3889),O3889,J3889))</f>
        <v/>
      </c>
      <c r="G3889">
        <f>IF(H3889="","",M3889)</f>
        <v/>
      </c>
      <c r="H3889">
        <f>IF(AND(I3889="",J3889="",K3889=""),"",IF(OR(NOT(ISNUMBER(O3889)),N(O3889)&lt;=0),"Bad amount",IF(NOT(ISNUMBER(N3889)),"Bad date",IF(P3889="","NAME NOT ON ROSTER","OK"))))</f>
        <v/>
      </c>
      <c r="I3889">
        <f>IF('Cash_Check'!A889="","",'Cash_Check'!A889)</f>
        <v/>
      </c>
      <c r="J3889">
        <f>IF('Cash_Check'!D889="","",'Cash_Check'!D889)</f>
        <v/>
      </c>
      <c r="K3889">
        <f>TRIM('Cash_Check'!B889)</f>
        <v/>
      </c>
      <c r="M3889">
        <f>IF(TRIM('Cash_Check'!E889)="","Cash/check",TRIM('Cash_Check'!E889))</f>
        <v/>
      </c>
      <c r="N3889">
        <f>IF(I3889="","",IF(ISNUMBER(I3889),INT(I3889),IFERROR(INT(DATEVALUE(I3889)),IFERROR(INT(VALUE(I3889)),"bad"))))</f>
        <v/>
      </c>
      <c r="O3889">
        <f>IF(J3889="","",IF(ISNUMBER(J3889),ROUND(J3889,2),IFERROR(ROUND(VALUE(SUBSTITUTE(SUBSTITUTE(SUBSTITUTE(J3889,"$",""),",","")," ","")),2),"bad")))</f>
        <v/>
      </c>
      <c r="P3889">
        <f>IF(K3889="","",IFERROR(MATCH(IF(ISNUMBER(FIND("#",K3889)),TRIM(MID(K3889,FIND("#",K3889)+1,20)),UPPER(K3889)),'Students'!$AD$2:$AD$701,0),""))</f>
        <v/>
      </c>
      <c r="R3889">
        <f>IF(P3889="","",INDEX('Students'!$AD$2:$AD$701,P3889))</f>
        <v/>
      </c>
      <c r="S3889">
        <f>IF(H3889="OK",O3889,0)</f>
        <v/>
      </c>
      <c r="T3889">
        <f>IF(H3889="OK",N3889,"")</f>
        <v/>
      </c>
      <c r="U3889">
        <f>TRIM('Cash_Check'!C889)</f>
        <v/>
      </c>
    </row>
    <row r="3890">
      <c r="A3890" s="62">
        <f>IF(H3890="","",IF(ISNUMBER(N3890),N3890,I3890))</f>
        <v/>
      </c>
      <c r="B3890">
        <f>IF(H3890="","",U3890)</f>
        <v/>
      </c>
      <c r="C3890">
        <f>IF(H3890="","",IF(P3890="",K3890,INDEX('Students'!$A$2:$A$701,P3890)))</f>
        <v/>
      </c>
      <c r="D3890">
        <f>IF(OR(H3890="",P3890=""),"",INDEX('Students'!$B$2:$B$701,P3890))</f>
        <v/>
      </c>
      <c r="E3890">
        <f>IF(OR(H3890="",P3890=""),"",INDEX('Students'!$C$2:$C$701,P3890))</f>
        <v/>
      </c>
      <c r="F3890" s="48">
        <f>IF(H3890="","",IF(ISNUMBER(O3890),O3890,J3890))</f>
        <v/>
      </c>
      <c r="G3890">
        <f>IF(H3890="","",M3890)</f>
        <v/>
      </c>
      <c r="H3890">
        <f>IF(AND(I3890="",J3890="",K3890=""),"",IF(OR(NOT(ISNUMBER(O3890)),N(O3890)&lt;=0),"Bad amount",IF(NOT(ISNUMBER(N3890)),"Bad date",IF(P3890="","NAME NOT ON ROSTER","OK"))))</f>
        <v/>
      </c>
      <c r="I3890">
        <f>IF('Cash_Check'!A890="","",'Cash_Check'!A890)</f>
        <v/>
      </c>
      <c r="J3890">
        <f>IF('Cash_Check'!D890="","",'Cash_Check'!D890)</f>
        <v/>
      </c>
      <c r="K3890">
        <f>TRIM('Cash_Check'!B890)</f>
        <v/>
      </c>
      <c r="M3890">
        <f>IF(TRIM('Cash_Check'!E890)="","Cash/check",TRIM('Cash_Check'!E890))</f>
        <v/>
      </c>
      <c r="N3890">
        <f>IF(I3890="","",IF(ISNUMBER(I3890),INT(I3890),IFERROR(INT(DATEVALUE(I3890)),IFERROR(INT(VALUE(I3890)),"bad"))))</f>
        <v/>
      </c>
      <c r="O3890">
        <f>IF(J3890="","",IF(ISNUMBER(J3890),ROUND(J3890,2),IFERROR(ROUND(VALUE(SUBSTITUTE(SUBSTITUTE(SUBSTITUTE(J3890,"$",""),",","")," ","")),2),"bad")))</f>
        <v/>
      </c>
      <c r="P3890">
        <f>IF(K3890="","",IFERROR(MATCH(IF(ISNUMBER(FIND("#",K3890)),TRIM(MID(K3890,FIND("#",K3890)+1,20)),UPPER(K3890)),'Students'!$AD$2:$AD$701,0),""))</f>
        <v/>
      </c>
      <c r="R3890">
        <f>IF(P3890="","",INDEX('Students'!$AD$2:$AD$701,P3890))</f>
        <v/>
      </c>
      <c r="S3890">
        <f>IF(H3890="OK",O3890,0)</f>
        <v/>
      </c>
      <c r="T3890">
        <f>IF(H3890="OK",N3890,"")</f>
        <v/>
      </c>
      <c r="U3890">
        <f>TRIM('Cash_Check'!C890)</f>
        <v/>
      </c>
    </row>
    <row r="3891">
      <c r="A3891" s="62">
        <f>IF(H3891="","",IF(ISNUMBER(N3891),N3891,I3891))</f>
        <v/>
      </c>
      <c r="B3891">
        <f>IF(H3891="","",U3891)</f>
        <v/>
      </c>
      <c r="C3891">
        <f>IF(H3891="","",IF(P3891="",K3891,INDEX('Students'!$A$2:$A$701,P3891)))</f>
        <v/>
      </c>
      <c r="D3891">
        <f>IF(OR(H3891="",P3891=""),"",INDEX('Students'!$B$2:$B$701,P3891))</f>
        <v/>
      </c>
      <c r="E3891">
        <f>IF(OR(H3891="",P3891=""),"",INDEX('Students'!$C$2:$C$701,P3891))</f>
        <v/>
      </c>
      <c r="F3891" s="48">
        <f>IF(H3891="","",IF(ISNUMBER(O3891),O3891,J3891))</f>
        <v/>
      </c>
      <c r="G3891">
        <f>IF(H3891="","",M3891)</f>
        <v/>
      </c>
      <c r="H3891">
        <f>IF(AND(I3891="",J3891="",K3891=""),"",IF(OR(NOT(ISNUMBER(O3891)),N(O3891)&lt;=0),"Bad amount",IF(NOT(ISNUMBER(N3891)),"Bad date",IF(P3891="","NAME NOT ON ROSTER","OK"))))</f>
        <v/>
      </c>
      <c r="I3891">
        <f>IF('Cash_Check'!A891="","",'Cash_Check'!A891)</f>
        <v/>
      </c>
      <c r="J3891">
        <f>IF('Cash_Check'!D891="","",'Cash_Check'!D891)</f>
        <v/>
      </c>
      <c r="K3891">
        <f>TRIM('Cash_Check'!B891)</f>
        <v/>
      </c>
      <c r="M3891">
        <f>IF(TRIM('Cash_Check'!E891)="","Cash/check",TRIM('Cash_Check'!E891))</f>
        <v/>
      </c>
      <c r="N3891">
        <f>IF(I3891="","",IF(ISNUMBER(I3891),INT(I3891),IFERROR(INT(DATEVALUE(I3891)),IFERROR(INT(VALUE(I3891)),"bad"))))</f>
        <v/>
      </c>
      <c r="O3891">
        <f>IF(J3891="","",IF(ISNUMBER(J3891),ROUND(J3891,2),IFERROR(ROUND(VALUE(SUBSTITUTE(SUBSTITUTE(SUBSTITUTE(J3891,"$",""),",","")," ","")),2),"bad")))</f>
        <v/>
      </c>
      <c r="P3891">
        <f>IF(K3891="","",IFERROR(MATCH(IF(ISNUMBER(FIND("#",K3891)),TRIM(MID(K3891,FIND("#",K3891)+1,20)),UPPER(K3891)),'Students'!$AD$2:$AD$701,0),""))</f>
        <v/>
      </c>
      <c r="R3891">
        <f>IF(P3891="","",INDEX('Students'!$AD$2:$AD$701,P3891))</f>
        <v/>
      </c>
      <c r="S3891">
        <f>IF(H3891="OK",O3891,0)</f>
        <v/>
      </c>
      <c r="T3891">
        <f>IF(H3891="OK",N3891,"")</f>
        <v/>
      </c>
      <c r="U3891">
        <f>TRIM('Cash_Check'!C891)</f>
        <v/>
      </c>
    </row>
    <row r="3892">
      <c r="A3892" s="62">
        <f>IF(H3892="","",IF(ISNUMBER(N3892),N3892,I3892))</f>
        <v/>
      </c>
      <c r="B3892">
        <f>IF(H3892="","",U3892)</f>
        <v/>
      </c>
      <c r="C3892">
        <f>IF(H3892="","",IF(P3892="",K3892,INDEX('Students'!$A$2:$A$701,P3892)))</f>
        <v/>
      </c>
      <c r="D3892">
        <f>IF(OR(H3892="",P3892=""),"",INDEX('Students'!$B$2:$B$701,P3892))</f>
        <v/>
      </c>
      <c r="E3892">
        <f>IF(OR(H3892="",P3892=""),"",INDEX('Students'!$C$2:$C$701,P3892))</f>
        <v/>
      </c>
      <c r="F3892" s="48">
        <f>IF(H3892="","",IF(ISNUMBER(O3892),O3892,J3892))</f>
        <v/>
      </c>
      <c r="G3892">
        <f>IF(H3892="","",M3892)</f>
        <v/>
      </c>
      <c r="H3892">
        <f>IF(AND(I3892="",J3892="",K3892=""),"",IF(OR(NOT(ISNUMBER(O3892)),N(O3892)&lt;=0),"Bad amount",IF(NOT(ISNUMBER(N3892)),"Bad date",IF(P3892="","NAME NOT ON ROSTER","OK"))))</f>
        <v/>
      </c>
      <c r="I3892">
        <f>IF('Cash_Check'!A892="","",'Cash_Check'!A892)</f>
        <v/>
      </c>
      <c r="J3892">
        <f>IF('Cash_Check'!D892="","",'Cash_Check'!D892)</f>
        <v/>
      </c>
      <c r="K3892">
        <f>TRIM('Cash_Check'!B892)</f>
        <v/>
      </c>
      <c r="M3892">
        <f>IF(TRIM('Cash_Check'!E892)="","Cash/check",TRIM('Cash_Check'!E892))</f>
        <v/>
      </c>
      <c r="N3892">
        <f>IF(I3892="","",IF(ISNUMBER(I3892),INT(I3892),IFERROR(INT(DATEVALUE(I3892)),IFERROR(INT(VALUE(I3892)),"bad"))))</f>
        <v/>
      </c>
      <c r="O3892">
        <f>IF(J3892="","",IF(ISNUMBER(J3892),ROUND(J3892,2),IFERROR(ROUND(VALUE(SUBSTITUTE(SUBSTITUTE(SUBSTITUTE(J3892,"$",""),",","")," ","")),2),"bad")))</f>
        <v/>
      </c>
      <c r="P3892">
        <f>IF(K3892="","",IFERROR(MATCH(IF(ISNUMBER(FIND("#",K3892)),TRIM(MID(K3892,FIND("#",K3892)+1,20)),UPPER(K3892)),'Students'!$AD$2:$AD$701,0),""))</f>
        <v/>
      </c>
      <c r="R3892">
        <f>IF(P3892="","",INDEX('Students'!$AD$2:$AD$701,P3892))</f>
        <v/>
      </c>
      <c r="S3892">
        <f>IF(H3892="OK",O3892,0)</f>
        <v/>
      </c>
      <c r="T3892">
        <f>IF(H3892="OK",N3892,"")</f>
        <v/>
      </c>
      <c r="U3892">
        <f>TRIM('Cash_Check'!C892)</f>
        <v/>
      </c>
    </row>
    <row r="3893">
      <c r="A3893" s="62">
        <f>IF(H3893="","",IF(ISNUMBER(N3893),N3893,I3893))</f>
        <v/>
      </c>
      <c r="B3893">
        <f>IF(H3893="","",U3893)</f>
        <v/>
      </c>
      <c r="C3893">
        <f>IF(H3893="","",IF(P3893="",K3893,INDEX('Students'!$A$2:$A$701,P3893)))</f>
        <v/>
      </c>
      <c r="D3893">
        <f>IF(OR(H3893="",P3893=""),"",INDEX('Students'!$B$2:$B$701,P3893))</f>
        <v/>
      </c>
      <c r="E3893">
        <f>IF(OR(H3893="",P3893=""),"",INDEX('Students'!$C$2:$C$701,P3893))</f>
        <v/>
      </c>
      <c r="F3893" s="48">
        <f>IF(H3893="","",IF(ISNUMBER(O3893),O3893,J3893))</f>
        <v/>
      </c>
      <c r="G3893">
        <f>IF(H3893="","",M3893)</f>
        <v/>
      </c>
      <c r="H3893">
        <f>IF(AND(I3893="",J3893="",K3893=""),"",IF(OR(NOT(ISNUMBER(O3893)),N(O3893)&lt;=0),"Bad amount",IF(NOT(ISNUMBER(N3893)),"Bad date",IF(P3893="","NAME NOT ON ROSTER","OK"))))</f>
        <v/>
      </c>
      <c r="I3893">
        <f>IF('Cash_Check'!A893="","",'Cash_Check'!A893)</f>
        <v/>
      </c>
      <c r="J3893">
        <f>IF('Cash_Check'!D893="","",'Cash_Check'!D893)</f>
        <v/>
      </c>
      <c r="K3893">
        <f>TRIM('Cash_Check'!B893)</f>
        <v/>
      </c>
      <c r="M3893">
        <f>IF(TRIM('Cash_Check'!E893)="","Cash/check",TRIM('Cash_Check'!E893))</f>
        <v/>
      </c>
      <c r="N3893">
        <f>IF(I3893="","",IF(ISNUMBER(I3893),INT(I3893),IFERROR(INT(DATEVALUE(I3893)),IFERROR(INT(VALUE(I3893)),"bad"))))</f>
        <v/>
      </c>
      <c r="O3893">
        <f>IF(J3893="","",IF(ISNUMBER(J3893),ROUND(J3893,2),IFERROR(ROUND(VALUE(SUBSTITUTE(SUBSTITUTE(SUBSTITUTE(J3893,"$",""),",","")," ","")),2),"bad")))</f>
        <v/>
      </c>
      <c r="P3893">
        <f>IF(K3893="","",IFERROR(MATCH(IF(ISNUMBER(FIND("#",K3893)),TRIM(MID(K3893,FIND("#",K3893)+1,20)),UPPER(K3893)),'Students'!$AD$2:$AD$701,0),""))</f>
        <v/>
      </c>
      <c r="R3893">
        <f>IF(P3893="","",INDEX('Students'!$AD$2:$AD$701,P3893))</f>
        <v/>
      </c>
      <c r="S3893">
        <f>IF(H3893="OK",O3893,0)</f>
        <v/>
      </c>
      <c r="T3893">
        <f>IF(H3893="OK",N3893,"")</f>
        <v/>
      </c>
      <c r="U3893">
        <f>TRIM('Cash_Check'!C893)</f>
        <v/>
      </c>
    </row>
    <row r="3894">
      <c r="A3894" s="62">
        <f>IF(H3894="","",IF(ISNUMBER(N3894),N3894,I3894))</f>
        <v/>
      </c>
      <c r="B3894">
        <f>IF(H3894="","",U3894)</f>
        <v/>
      </c>
      <c r="C3894">
        <f>IF(H3894="","",IF(P3894="",K3894,INDEX('Students'!$A$2:$A$701,P3894)))</f>
        <v/>
      </c>
      <c r="D3894">
        <f>IF(OR(H3894="",P3894=""),"",INDEX('Students'!$B$2:$B$701,P3894))</f>
        <v/>
      </c>
      <c r="E3894">
        <f>IF(OR(H3894="",P3894=""),"",INDEX('Students'!$C$2:$C$701,P3894))</f>
        <v/>
      </c>
      <c r="F3894" s="48">
        <f>IF(H3894="","",IF(ISNUMBER(O3894),O3894,J3894))</f>
        <v/>
      </c>
      <c r="G3894">
        <f>IF(H3894="","",M3894)</f>
        <v/>
      </c>
      <c r="H3894">
        <f>IF(AND(I3894="",J3894="",K3894=""),"",IF(OR(NOT(ISNUMBER(O3894)),N(O3894)&lt;=0),"Bad amount",IF(NOT(ISNUMBER(N3894)),"Bad date",IF(P3894="","NAME NOT ON ROSTER","OK"))))</f>
        <v/>
      </c>
      <c r="I3894">
        <f>IF('Cash_Check'!A894="","",'Cash_Check'!A894)</f>
        <v/>
      </c>
      <c r="J3894">
        <f>IF('Cash_Check'!D894="","",'Cash_Check'!D894)</f>
        <v/>
      </c>
      <c r="K3894">
        <f>TRIM('Cash_Check'!B894)</f>
        <v/>
      </c>
      <c r="M3894">
        <f>IF(TRIM('Cash_Check'!E894)="","Cash/check",TRIM('Cash_Check'!E894))</f>
        <v/>
      </c>
      <c r="N3894">
        <f>IF(I3894="","",IF(ISNUMBER(I3894),INT(I3894),IFERROR(INT(DATEVALUE(I3894)),IFERROR(INT(VALUE(I3894)),"bad"))))</f>
        <v/>
      </c>
      <c r="O3894">
        <f>IF(J3894="","",IF(ISNUMBER(J3894),ROUND(J3894,2),IFERROR(ROUND(VALUE(SUBSTITUTE(SUBSTITUTE(SUBSTITUTE(J3894,"$",""),",","")," ","")),2),"bad")))</f>
        <v/>
      </c>
      <c r="P3894">
        <f>IF(K3894="","",IFERROR(MATCH(IF(ISNUMBER(FIND("#",K3894)),TRIM(MID(K3894,FIND("#",K3894)+1,20)),UPPER(K3894)),'Students'!$AD$2:$AD$701,0),""))</f>
        <v/>
      </c>
      <c r="R3894">
        <f>IF(P3894="","",INDEX('Students'!$AD$2:$AD$701,P3894))</f>
        <v/>
      </c>
      <c r="S3894">
        <f>IF(H3894="OK",O3894,0)</f>
        <v/>
      </c>
      <c r="T3894">
        <f>IF(H3894="OK",N3894,"")</f>
        <v/>
      </c>
      <c r="U3894">
        <f>TRIM('Cash_Check'!C894)</f>
        <v/>
      </c>
    </row>
    <row r="3895">
      <c r="A3895" s="62">
        <f>IF(H3895="","",IF(ISNUMBER(N3895),N3895,I3895))</f>
        <v/>
      </c>
      <c r="B3895">
        <f>IF(H3895="","",U3895)</f>
        <v/>
      </c>
      <c r="C3895">
        <f>IF(H3895="","",IF(P3895="",K3895,INDEX('Students'!$A$2:$A$701,P3895)))</f>
        <v/>
      </c>
      <c r="D3895">
        <f>IF(OR(H3895="",P3895=""),"",INDEX('Students'!$B$2:$B$701,P3895))</f>
        <v/>
      </c>
      <c r="E3895">
        <f>IF(OR(H3895="",P3895=""),"",INDEX('Students'!$C$2:$C$701,P3895))</f>
        <v/>
      </c>
      <c r="F3895" s="48">
        <f>IF(H3895="","",IF(ISNUMBER(O3895),O3895,J3895))</f>
        <v/>
      </c>
      <c r="G3895">
        <f>IF(H3895="","",M3895)</f>
        <v/>
      </c>
      <c r="H3895">
        <f>IF(AND(I3895="",J3895="",K3895=""),"",IF(OR(NOT(ISNUMBER(O3895)),N(O3895)&lt;=0),"Bad amount",IF(NOT(ISNUMBER(N3895)),"Bad date",IF(P3895="","NAME NOT ON ROSTER","OK"))))</f>
        <v/>
      </c>
      <c r="I3895">
        <f>IF('Cash_Check'!A895="","",'Cash_Check'!A895)</f>
        <v/>
      </c>
      <c r="J3895">
        <f>IF('Cash_Check'!D895="","",'Cash_Check'!D895)</f>
        <v/>
      </c>
      <c r="K3895">
        <f>TRIM('Cash_Check'!B895)</f>
        <v/>
      </c>
      <c r="M3895">
        <f>IF(TRIM('Cash_Check'!E895)="","Cash/check",TRIM('Cash_Check'!E895))</f>
        <v/>
      </c>
      <c r="N3895">
        <f>IF(I3895="","",IF(ISNUMBER(I3895),INT(I3895),IFERROR(INT(DATEVALUE(I3895)),IFERROR(INT(VALUE(I3895)),"bad"))))</f>
        <v/>
      </c>
      <c r="O3895">
        <f>IF(J3895="","",IF(ISNUMBER(J3895),ROUND(J3895,2),IFERROR(ROUND(VALUE(SUBSTITUTE(SUBSTITUTE(SUBSTITUTE(J3895,"$",""),",","")," ","")),2),"bad")))</f>
        <v/>
      </c>
      <c r="P3895">
        <f>IF(K3895="","",IFERROR(MATCH(IF(ISNUMBER(FIND("#",K3895)),TRIM(MID(K3895,FIND("#",K3895)+1,20)),UPPER(K3895)),'Students'!$AD$2:$AD$701,0),""))</f>
        <v/>
      </c>
      <c r="R3895">
        <f>IF(P3895="","",INDEX('Students'!$AD$2:$AD$701,P3895))</f>
        <v/>
      </c>
      <c r="S3895">
        <f>IF(H3895="OK",O3895,0)</f>
        <v/>
      </c>
      <c r="T3895">
        <f>IF(H3895="OK",N3895,"")</f>
        <v/>
      </c>
      <c r="U3895">
        <f>TRIM('Cash_Check'!C895)</f>
        <v/>
      </c>
    </row>
    <row r="3896">
      <c r="A3896" s="62">
        <f>IF(H3896="","",IF(ISNUMBER(N3896),N3896,I3896))</f>
        <v/>
      </c>
      <c r="B3896">
        <f>IF(H3896="","",U3896)</f>
        <v/>
      </c>
      <c r="C3896">
        <f>IF(H3896="","",IF(P3896="",K3896,INDEX('Students'!$A$2:$A$701,P3896)))</f>
        <v/>
      </c>
      <c r="D3896">
        <f>IF(OR(H3896="",P3896=""),"",INDEX('Students'!$B$2:$B$701,P3896))</f>
        <v/>
      </c>
      <c r="E3896">
        <f>IF(OR(H3896="",P3896=""),"",INDEX('Students'!$C$2:$C$701,P3896))</f>
        <v/>
      </c>
      <c r="F3896" s="48">
        <f>IF(H3896="","",IF(ISNUMBER(O3896),O3896,J3896))</f>
        <v/>
      </c>
      <c r="G3896">
        <f>IF(H3896="","",M3896)</f>
        <v/>
      </c>
      <c r="H3896">
        <f>IF(AND(I3896="",J3896="",K3896=""),"",IF(OR(NOT(ISNUMBER(O3896)),N(O3896)&lt;=0),"Bad amount",IF(NOT(ISNUMBER(N3896)),"Bad date",IF(P3896="","NAME NOT ON ROSTER","OK"))))</f>
        <v/>
      </c>
      <c r="I3896">
        <f>IF('Cash_Check'!A896="","",'Cash_Check'!A896)</f>
        <v/>
      </c>
      <c r="J3896">
        <f>IF('Cash_Check'!D896="","",'Cash_Check'!D896)</f>
        <v/>
      </c>
      <c r="K3896">
        <f>TRIM('Cash_Check'!B896)</f>
        <v/>
      </c>
      <c r="M3896">
        <f>IF(TRIM('Cash_Check'!E896)="","Cash/check",TRIM('Cash_Check'!E896))</f>
        <v/>
      </c>
      <c r="N3896">
        <f>IF(I3896="","",IF(ISNUMBER(I3896),INT(I3896),IFERROR(INT(DATEVALUE(I3896)),IFERROR(INT(VALUE(I3896)),"bad"))))</f>
        <v/>
      </c>
      <c r="O3896">
        <f>IF(J3896="","",IF(ISNUMBER(J3896),ROUND(J3896,2),IFERROR(ROUND(VALUE(SUBSTITUTE(SUBSTITUTE(SUBSTITUTE(J3896,"$",""),",","")," ","")),2),"bad")))</f>
        <v/>
      </c>
      <c r="P3896">
        <f>IF(K3896="","",IFERROR(MATCH(IF(ISNUMBER(FIND("#",K3896)),TRIM(MID(K3896,FIND("#",K3896)+1,20)),UPPER(K3896)),'Students'!$AD$2:$AD$701,0),""))</f>
        <v/>
      </c>
      <c r="R3896">
        <f>IF(P3896="","",INDEX('Students'!$AD$2:$AD$701,P3896))</f>
        <v/>
      </c>
      <c r="S3896">
        <f>IF(H3896="OK",O3896,0)</f>
        <v/>
      </c>
      <c r="T3896">
        <f>IF(H3896="OK",N3896,"")</f>
        <v/>
      </c>
      <c r="U3896">
        <f>TRIM('Cash_Check'!C896)</f>
        <v/>
      </c>
    </row>
    <row r="3897">
      <c r="A3897" s="62">
        <f>IF(H3897="","",IF(ISNUMBER(N3897),N3897,I3897))</f>
        <v/>
      </c>
      <c r="B3897">
        <f>IF(H3897="","",U3897)</f>
        <v/>
      </c>
      <c r="C3897">
        <f>IF(H3897="","",IF(P3897="",K3897,INDEX('Students'!$A$2:$A$701,P3897)))</f>
        <v/>
      </c>
      <c r="D3897">
        <f>IF(OR(H3897="",P3897=""),"",INDEX('Students'!$B$2:$B$701,P3897))</f>
        <v/>
      </c>
      <c r="E3897">
        <f>IF(OR(H3897="",P3897=""),"",INDEX('Students'!$C$2:$C$701,P3897))</f>
        <v/>
      </c>
      <c r="F3897" s="48">
        <f>IF(H3897="","",IF(ISNUMBER(O3897),O3897,J3897))</f>
        <v/>
      </c>
      <c r="G3897">
        <f>IF(H3897="","",M3897)</f>
        <v/>
      </c>
      <c r="H3897">
        <f>IF(AND(I3897="",J3897="",K3897=""),"",IF(OR(NOT(ISNUMBER(O3897)),N(O3897)&lt;=0),"Bad amount",IF(NOT(ISNUMBER(N3897)),"Bad date",IF(P3897="","NAME NOT ON ROSTER","OK"))))</f>
        <v/>
      </c>
      <c r="I3897">
        <f>IF('Cash_Check'!A897="","",'Cash_Check'!A897)</f>
        <v/>
      </c>
      <c r="J3897">
        <f>IF('Cash_Check'!D897="","",'Cash_Check'!D897)</f>
        <v/>
      </c>
      <c r="K3897">
        <f>TRIM('Cash_Check'!B897)</f>
        <v/>
      </c>
      <c r="M3897">
        <f>IF(TRIM('Cash_Check'!E897)="","Cash/check",TRIM('Cash_Check'!E897))</f>
        <v/>
      </c>
      <c r="N3897">
        <f>IF(I3897="","",IF(ISNUMBER(I3897),INT(I3897),IFERROR(INT(DATEVALUE(I3897)),IFERROR(INT(VALUE(I3897)),"bad"))))</f>
        <v/>
      </c>
      <c r="O3897">
        <f>IF(J3897="","",IF(ISNUMBER(J3897),ROUND(J3897,2),IFERROR(ROUND(VALUE(SUBSTITUTE(SUBSTITUTE(SUBSTITUTE(J3897,"$",""),",","")," ","")),2),"bad")))</f>
        <v/>
      </c>
      <c r="P3897">
        <f>IF(K3897="","",IFERROR(MATCH(IF(ISNUMBER(FIND("#",K3897)),TRIM(MID(K3897,FIND("#",K3897)+1,20)),UPPER(K3897)),'Students'!$AD$2:$AD$701,0),""))</f>
        <v/>
      </c>
      <c r="R3897">
        <f>IF(P3897="","",INDEX('Students'!$AD$2:$AD$701,P3897))</f>
        <v/>
      </c>
      <c r="S3897">
        <f>IF(H3897="OK",O3897,0)</f>
        <v/>
      </c>
      <c r="T3897">
        <f>IF(H3897="OK",N3897,"")</f>
        <v/>
      </c>
      <c r="U3897">
        <f>TRIM('Cash_Check'!C897)</f>
        <v/>
      </c>
    </row>
    <row r="3898">
      <c r="A3898" s="62">
        <f>IF(H3898="","",IF(ISNUMBER(N3898),N3898,I3898))</f>
        <v/>
      </c>
      <c r="B3898">
        <f>IF(H3898="","",U3898)</f>
        <v/>
      </c>
      <c r="C3898">
        <f>IF(H3898="","",IF(P3898="",K3898,INDEX('Students'!$A$2:$A$701,P3898)))</f>
        <v/>
      </c>
      <c r="D3898">
        <f>IF(OR(H3898="",P3898=""),"",INDEX('Students'!$B$2:$B$701,P3898))</f>
        <v/>
      </c>
      <c r="E3898">
        <f>IF(OR(H3898="",P3898=""),"",INDEX('Students'!$C$2:$C$701,P3898))</f>
        <v/>
      </c>
      <c r="F3898" s="48">
        <f>IF(H3898="","",IF(ISNUMBER(O3898),O3898,J3898))</f>
        <v/>
      </c>
      <c r="G3898">
        <f>IF(H3898="","",M3898)</f>
        <v/>
      </c>
      <c r="H3898">
        <f>IF(AND(I3898="",J3898="",K3898=""),"",IF(OR(NOT(ISNUMBER(O3898)),N(O3898)&lt;=0),"Bad amount",IF(NOT(ISNUMBER(N3898)),"Bad date",IF(P3898="","NAME NOT ON ROSTER","OK"))))</f>
        <v/>
      </c>
      <c r="I3898">
        <f>IF('Cash_Check'!A898="","",'Cash_Check'!A898)</f>
        <v/>
      </c>
      <c r="J3898">
        <f>IF('Cash_Check'!D898="","",'Cash_Check'!D898)</f>
        <v/>
      </c>
      <c r="K3898">
        <f>TRIM('Cash_Check'!B898)</f>
        <v/>
      </c>
      <c r="M3898">
        <f>IF(TRIM('Cash_Check'!E898)="","Cash/check",TRIM('Cash_Check'!E898))</f>
        <v/>
      </c>
      <c r="N3898">
        <f>IF(I3898="","",IF(ISNUMBER(I3898),INT(I3898),IFERROR(INT(DATEVALUE(I3898)),IFERROR(INT(VALUE(I3898)),"bad"))))</f>
        <v/>
      </c>
      <c r="O3898">
        <f>IF(J3898="","",IF(ISNUMBER(J3898),ROUND(J3898,2),IFERROR(ROUND(VALUE(SUBSTITUTE(SUBSTITUTE(SUBSTITUTE(J3898,"$",""),",","")," ","")),2),"bad")))</f>
        <v/>
      </c>
      <c r="P3898">
        <f>IF(K3898="","",IFERROR(MATCH(IF(ISNUMBER(FIND("#",K3898)),TRIM(MID(K3898,FIND("#",K3898)+1,20)),UPPER(K3898)),'Students'!$AD$2:$AD$701,0),""))</f>
        <v/>
      </c>
      <c r="R3898">
        <f>IF(P3898="","",INDEX('Students'!$AD$2:$AD$701,P3898))</f>
        <v/>
      </c>
      <c r="S3898">
        <f>IF(H3898="OK",O3898,0)</f>
        <v/>
      </c>
      <c r="T3898">
        <f>IF(H3898="OK",N3898,"")</f>
        <v/>
      </c>
      <c r="U3898">
        <f>TRIM('Cash_Check'!C898)</f>
        <v/>
      </c>
    </row>
    <row r="3899">
      <c r="A3899" s="62">
        <f>IF(H3899="","",IF(ISNUMBER(N3899),N3899,I3899))</f>
        <v/>
      </c>
      <c r="B3899">
        <f>IF(H3899="","",U3899)</f>
        <v/>
      </c>
      <c r="C3899">
        <f>IF(H3899="","",IF(P3899="",K3899,INDEX('Students'!$A$2:$A$701,P3899)))</f>
        <v/>
      </c>
      <c r="D3899">
        <f>IF(OR(H3899="",P3899=""),"",INDEX('Students'!$B$2:$B$701,P3899))</f>
        <v/>
      </c>
      <c r="E3899">
        <f>IF(OR(H3899="",P3899=""),"",INDEX('Students'!$C$2:$C$701,P3899))</f>
        <v/>
      </c>
      <c r="F3899" s="48">
        <f>IF(H3899="","",IF(ISNUMBER(O3899),O3899,J3899))</f>
        <v/>
      </c>
      <c r="G3899">
        <f>IF(H3899="","",M3899)</f>
        <v/>
      </c>
      <c r="H3899">
        <f>IF(AND(I3899="",J3899="",K3899=""),"",IF(OR(NOT(ISNUMBER(O3899)),N(O3899)&lt;=0),"Bad amount",IF(NOT(ISNUMBER(N3899)),"Bad date",IF(P3899="","NAME NOT ON ROSTER","OK"))))</f>
        <v/>
      </c>
      <c r="I3899">
        <f>IF('Cash_Check'!A899="","",'Cash_Check'!A899)</f>
        <v/>
      </c>
      <c r="J3899">
        <f>IF('Cash_Check'!D899="","",'Cash_Check'!D899)</f>
        <v/>
      </c>
      <c r="K3899">
        <f>TRIM('Cash_Check'!B899)</f>
        <v/>
      </c>
      <c r="M3899">
        <f>IF(TRIM('Cash_Check'!E899)="","Cash/check",TRIM('Cash_Check'!E899))</f>
        <v/>
      </c>
      <c r="N3899">
        <f>IF(I3899="","",IF(ISNUMBER(I3899),INT(I3899),IFERROR(INT(DATEVALUE(I3899)),IFERROR(INT(VALUE(I3899)),"bad"))))</f>
        <v/>
      </c>
      <c r="O3899">
        <f>IF(J3899="","",IF(ISNUMBER(J3899),ROUND(J3899,2),IFERROR(ROUND(VALUE(SUBSTITUTE(SUBSTITUTE(SUBSTITUTE(J3899,"$",""),",","")," ","")),2),"bad")))</f>
        <v/>
      </c>
      <c r="P3899">
        <f>IF(K3899="","",IFERROR(MATCH(IF(ISNUMBER(FIND("#",K3899)),TRIM(MID(K3899,FIND("#",K3899)+1,20)),UPPER(K3899)),'Students'!$AD$2:$AD$701,0),""))</f>
        <v/>
      </c>
      <c r="R3899">
        <f>IF(P3899="","",INDEX('Students'!$AD$2:$AD$701,P3899))</f>
        <v/>
      </c>
      <c r="S3899">
        <f>IF(H3899="OK",O3899,0)</f>
        <v/>
      </c>
      <c r="T3899">
        <f>IF(H3899="OK",N3899,"")</f>
        <v/>
      </c>
      <c r="U3899">
        <f>TRIM('Cash_Check'!C899)</f>
        <v/>
      </c>
    </row>
    <row r="3900">
      <c r="A3900" s="62">
        <f>IF(H3900="","",IF(ISNUMBER(N3900),N3900,I3900))</f>
        <v/>
      </c>
      <c r="B3900">
        <f>IF(H3900="","",U3900)</f>
        <v/>
      </c>
      <c r="C3900">
        <f>IF(H3900="","",IF(P3900="",K3900,INDEX('Students'!$A$2:$A$701,P3900)))</f>
        <v/>
      </c>
      <c r="D3900">
        <f>IF(OR(H3900="",P3900=""),"",INDEX('Students'!$B$2:$B$701,P3900))</f>
        <v/>
      </c>
      <c r="E3900">
        <f>IF(OR(H3900="",P3900=""),"",INDEX('Students'!$C$2:$C$701,P3900))</f>
        <v/>
      </c>
      <c r="F3900" s="48">
        <f>IF(H3900="","",IF(ISNUMBER(O3900),O3900,J3900))</f>
        <v/>
      </c>
      <c r="G3900">
        <f>IF(H3900="","",M3900)</f>
        <v/>
      </c>
      <c r="H3900">
        <f>IF(AND(I3900="",J3900="",K3900=""),"",IF(OR(NOT(ISNUMBER(O3900)),N(O3900)&lt;=0),"Bad amount",IF(NOT(ISNUMBER(N3900)),"Bad date",IF(P3900="","NAME NOT ON ROSTER","OK"))))</f>
        <v/>
      </c>
      <c r="I3900">
        <f>IF('Cash_Check'!A900="","",'Cash_Check'!A900)</f>
        <v/>
      </c>
      <c r="J3900">
        <f>IF('Cash_Check'!D900="","",'Cash_Check'!D900)</f>
        <v/>
      </c>
      <c r="K3900">
        <f>TRIM('Cash_Check'!B900)</f>
        <v/>
      </c>
      <c r="M3900">
        <f>IF(TRIM('Cash_Check'!E900)="","Cash/check",TRIM('Cash_Check'!E900))</f>
        <v/>
      </c>
      <c r="N3900">
        <f>IF(I3900="","",IF(ISNUMBER(I3900),INT(I3900),IFERROR(INT(DATEVALUE(I3900)),IFERROR(INT(VALUE(I3900)),"bad"))))</f>
        <v/>
      </c>
      <c r="O3900">
        <f>IF(J3900="","",IF(ISNUMBER(J3900),ROUND(J3900,2),IFERROR(ROUND(VALUE(SUBSTITUTE(SUBSTITUTE(SUBSTITUTE(J3900,"$",""),",","")," ","")),2),"bad")))</f>
        <v/>
      </c>
      <c r="P3900">
        <f>IF(K3900="","",IFERROR(MATCH(IF(ISNUMBER(FIND("#",K3900)),TRIM(MID(K3900,FIND("#",K3900)+1,20)),UPPER(K3900)),'Students'!$AD$2:$AD$701,0),""))</f>
        <v/>
      </c>
      <c r="R3900">
        <f>IF(P3900="","",INDEX('Students'!$AD$2:$AD$701,P3900))</f>
        <v/>
      </c>
      <c r="S3900">
        <f>IF(H3900="OK",O3900,0)</f>
        <v/>
      </c>
      <c r="T3900">
        <f>IF(H3900="OK",N3900,"")</f>
        <v/>
      </c>
      <c r="U3900">
        <f>TRIM('Cash_Check'!C900)</f>
        <v/>
      </c>
    </row>
    <row r="3901">
      <c r="A3901" s="62">
        <f>IF(H3901="","",IF(ISNUMBER(N3901),N3901,I3901))</f>
        <v/>
      </c>
      <c r="B3901">
        <f>IF(H3901="","",U3901)</f>
        <v/>
      </c>
      <c r="C3901">
        <f>IF(H3901="","",IF(P3901="",K3901,INDEX('Students'!$A$2:$A$701,P3901)))</f>
        <v/>
      </c>
      <c r="D3901">
        <f>IF(OR(H3901="",P3901=""),"",INDEX('Students'!$B$2:$B$701,P3901))</f>
        <v/>
      </c>
      <c r="E3901">
        <f>IF(OR(H3901="",P3901=""),"",INDEX('Students'!$C$2:$C$701,P3901))</f>
        <v/>
      </c>
      <c r="F3901" s="48">
        <f>IF(H3901="","",IF(ISNUMBER(O3901),O3901,J3901))</f>
        <v/>
      </c>
      <c r="G3901">
        <f>IF(H3901="","",M3901)</f>
        <v/>
      </c>
      <c r="H3901">
        <f>IF(AND(I3901="",J3901="",K3901=""),"",IF(OR(NOT(ISNUMBER(O3901)),N(O3901)&lt;=0),"Bad amount",IF(NOT(ISNUMBER(N3901)),"Bad date",IF(P3901="","NAME NOT ON ROSTER","OK"))))</f>
        <v/>
      </c>
      <c r="I3901">
        <f>IF('Cash_Check'!A901="","",'Cash_Check'!A901)</f>
        <v/>
      </c>
      <c r="J3901">
        <f>IF('Cash_Check'!D901="","",'Cash_Check'!D901)</f>
        <v/>
      </c>
      <c r="K3901">
        <f>TRIM('Cash_Check'!B901)</f>
        <v/>
      </c>
      <c r="M3901">
        <f>IF(TRIM('Cash_Check'!E901)="","Cash/check",TRIM('Cash_Check'!E901))</f>
        <v/>
      </c>
      <c r="N3901">
        <f>IF(I3901="","",IF(ISNUMBER(I3901),INT(I3901),IFERROR(INT(DATEVALUE(I3901)),IFERROR(INT(VALUE(I3901)),"bad"))))</f>
        <v/>
      </c>
      <c r="O3901">
        <f>IF(J3901="","",IF(ISNUMBER(J3901),ROUND(J3901,2),IFERROR(ROUND(VALUE(SUBSTITUTE(SUBSTITUTE(SUBSTITUTE(J3901,"$",""),",","")," ","")),2),"bad")))</f>
        <v/>
      </c>
      <c r="P3901">
        <f>IF(K3901="","",IFERROR(MATCH(IF(ISNUMBER(FIND("#",K3901)),TRIM(MID(K3901,FIND("#",K3901)+1,20)),UPPER(K3901)),'Students'!$AD$2:$AD$701,0),""))</f>
        <v/>
      </c>
      <c r="R3901">
        <f>IF(P3901="","",INDEX('Students'!$AD$2:$AD$701,P3901))</f>
        <v/>
      </c>
      <c r="S3901">
        <f>IF(H3901="OK",O3901,0)</f>
        <v/>
      </c>
      <c r="T3901">
        <f>IF(H3901="OK",N3901,"")</f>
        <v/>
      </c>
      <c r="U3901">
        <f>TRIM('Cash_Check'!C901)</f>
        <v/>
      </c>
    </row>
    <row r="3902">
      <c r="A3902" s="62">
        <f>IF(H3902="","",IF(ISNUMBER(N3902),N3902,I3902))</f>
        <v/>
      </c>
      <c r="B3902">
        <f>IF(H3902="","",U3902)</f>
        <v/>
      </c>
      <c r="C3902">
        <f>IF(H3902="","",IF(P3902="",K3902,INDEX('Students'!$A$2:$A$701,P3902)))</f>
        <v/>
      </c>
      <c r="D3902">
        <f>IF(OR(H3902="",P3902=""),"",INDEX('Students'!$B$2:$B$701,P3902))</f>
        <v/>
      </c>
      <c r="E3902">
        <f>IF(OR(H3902="",P3902=""),"",INDEX('Students'!$C$2:$C$701,P3902))</f>
        <v/>
      </c>
      <c r="F3902" s="48">
        <f>IF(H3902="","",IF(ISNUMBER(O3902),O3902,J3902))</f>
        <v/>
      </c>
      <c r="G3902">
        <f>IF(H3902="","",M3902)</f>
        <v/>
      </c>
      <c r="H3902">
        <f>IF(AND(I3902="",J3902="",K3902=""),"",IF(OR(NOT(ISNUMBER(O3902)),N(O3902)&lt;=0),"Bad amount",IF(NOT(ISNUMBER(N3902)),"Bad date",IF(P3902="","NAME NOT ON ROSTER","OK"))))</f>
        <v/>
      </c>
      <c r="I3902">
        <f>IF('Cash_Check'!A902="","",'Cash_Check'!A902)</f>
        <v/>
      </c>
      <c r="J3902">
        <f>IF('Cash_Check'!D902="","",'Cash_Check'!D902)</f>
        <v/>
      </c>
      <c r="K3902">
        <f>TRIM('Cash_Check'!B902)</f>
        <v/>
      </c>
      <c r="M3902">
        <f>IF(TRIM('Cash_Check'!E902)="","Cash/check",TRIM('Cash_Check'!E902))</f>
        <v/>
      </c>
      <c r="N3902">
        <f>IF(I3902="","",IF(ISNUMBER(I3902),INT(I3902),IFERROR(INT(DATEVALUE(I3902)),IFERROR(INT(VALUE(I3902)),"bad"))))</f>
        <v/>
      </c>
      <c r="O3902">
        <f>IF(J3902="","",IF(ISNUMBER(J3902),ROUND(J3902,2),IFERROR(ROUND(VALUE(SUBSTITUTE(SUBSTITUTE(SUBSTITUTE(J3902,"$",""),",","")," ","")),2),"bad")))</f>
        <v/>
      </c>
      <c r="P3902">
        <f>IF(K3902="","",IFERROR(MATCH(IF(ISNUMBER(FIND("#",K3902)),TRIM(MID(K3902,FIND("#",K3902)+1,20)),UPPER(K3902)),'Students'!$AD$2:$AD$701,0),""))</f>
        <v/>
      </c>
      <c r="R3902">
        <f>IF(P3902="","",INDEX('Students'!$AD$2:$AD$701,P3902))</f>
        <v/>
      </c>
      <c r="S3902">
        <f>IF(H3902="OK",O3902,0)</f>
        <v/>
      </c>
      <c r="T3902">
        <f>IF(H3902="OK",N3902,"")</f>
        <v/>
      </c>
      <c r="U3902">
        <f>TRIM('Cash_Check'!C902)</f>
        <v/>
      </c>
    </row>
    <row r="3903">
      <c r="A3903" s="62">
        <f>IF(H3903="","",IF(ISNUMBER(N3903),N3903,I3903))</f>
        <v/>
      </c>
      <c r="B3903">
        <f>IF(H3903="","",U3903)</f>
        <v/>
      </c>
      <c r="C3903">
        <f>IF(H3903="","",IF(P3903="",K3903,INDEX('Students'!$A$2:$A$701,P3903)))</f>
        <v/>
      </c>
      <c r="D3903">
        <f>IF(OR(H3903="",P3903=""),"",INDEX('Students'!$B$2:$B$701,P3903))</f>
        <v/>
      </c>
      <c r="E3903">
        <f>IF(OR(H3903="",P3903=""),"",INDEX('Students'!$C$2:$C$701,P3903))</f>
        <v/>
      </c>
      <c r="F3903" s="48">
        <f>IF(H3903="","",IF(ISNUMBER(O3903),O3903,J3903))</f>
        <v/>
      </c>
      <c r="G3903">
        <f>IF(H3903="","",M3903)</f>
        <v/>
      </c>
      <c r="H3903">
        <f>IF(AND(I3903="",J3903="",K3903=""),"",IF(OR(NOT(ISNUMBER(O3903)),N(O3903)&lt;=0),"Bad amount",IF(NOT(ISNUMBER(N3903)),"Bad date",IF(P3903="","NAME NOT ON ROSTER","OK"))))</f>
        <v/>
      </c>
      <c r="I3903">
        <f>IF('Cash_Check'!A903="","",'Cash_Check'!A903)</f>
        <v/>
      </c>
      <c r="J3903">
        <f>IF('Cash_Check'!D903="","",'Cash_Check'!D903)</f>
        <v/>
      </c>
      <c r="K3903">
        <f>TRIM('Cash_Check'!B903)</f>
        <v/>
      </c>
      <c r="M3903">
        <f>IF(TRIM('Cash_Check'!E903)="","Cash/check",TRIM('Cash_Check'!E903))</f>
        <v/>
      </c>
      <c r="N3903">
        <f>IF(I3903="","",IF(ISNUMBER(I3903),INT(I3903),IFERROR(INT(DATEVALUE(I3903)),IFERROR(INT(VALUE(I3903)),"bad"))))</f>
        <v/>
      </c>
      <c r="O3903">
        <f>IF(J3903="","",IF(ISNUMBER(J3903),ROUND(J3903,2),IFERROR(ROUND(VALUE(SUBSTITUTE(SUBSTITUTE(SUBSTITUTE(J3903,"$",""),",","")," ","")),2),"bad")))</f>
        <v/>
      </c>
      <c r="P3903">
        <f>IF(K3903="","",IFERROR(MATCH(IF(ISNUMBER(FIND("#",K3903)),TRIM(MID(K3903,FIND("#",K3903)+1,20)),UPPER(K3903)),'Students'!$AD$2:$AD$701,0),""))</f>
        <v/>
      </c>
      <c r="R3903">
        <f>IF(P3903="","",INDEX('Students'!$AD$2:$AD$701,P3903))</f>
        <v/>
      </c>
      <c r="S3903">
        <f>IF(H3903="OK",O3903,0)</f>
        <v/>
      </c>
      <c r="T3903">
        <f>IF(H3903="OK",N3903,"")</f>
        <v/>
      </c>
      <c r="U3903">
        <f>TRIM('Cash_Check'!C903)</f>
        <v/>
      </c>
    </row>
    <row r="3904">
      <c r="A3904" s="62">
        <f>IF(H3904="","",IF(ISNUMBER(N3904),N3904,I3904))</f>
        <v/>
      </c>
      <c r="B3904">
        <f>IF(H3904="","",U3904)</f>
        <v/>
      </c>
      <c r="C3904">
        <f>IF(H3904="","",IF(P3904="",K3904,INDEX('Students'!$A$2:$A$701,P3904)))</f>
        <v/>
      </c>
      <c r="D3904">
        <f>IF(OR(H3904="",P3904=""),"",INDEX('Students'!$B$2:$B$701,P3904))</f>
        <v/>
      </c>
      <c r="E3904">
        <f>IF(OR(H3904="",P3904=""),"",INDEX('Students'!$C$2:$C$701,P3904))</f>
        <v/>
      </c>
      <c r="F3904" s="48">
        <f>IF(H3904="","",IF(ISNUMBER(O3904),O3904,J3904))</f>
        <v/>
      </c>
      <c r="G3904">
        <f>IF(H3904="","",M3904)</f>
        <v/>
      </c>
      <c r="H3904">
        <f>IF(AND(I3904="",J3904="",K3904=""),"",IF(OR(NOT(ISNUMBER(O3904)),N(O3904)&lt;=0),"Bad amount",IF(NOT(ISNUMBER(N3904)),"Bad date",IF(P3904="","NAME NOT ON ROSTER","OK"))))</f>
        <v/>
      </c>
      <c r="I3904">
        <f>IF('Cash_Check'!A904="","",'Cash_Check'!A904)</f>
        <v/>
      </c>
      <c r="J3904">
        <f>IF('Cash_Check'!D904="","",'Cash_Check'!D904)</f>
        <v/>
      </c>
      <c r="K3904">
        <f>TRIM('Cash_Check'!B904)</f>
        <v/>
      </c>
      <c r="M3904">
        <f>IF(TRIM('Cash_Check'!E904)="","Cash/check",TRIM('Cash_Check'!E904))</f>
        <v/>
      </c>
      <c r="N3904">
        <f>IF(I3904="","",IF(ISNUMBER(I3904),INT(I3904),IFERROR(INT(DATEVALUE(I3904)),IFERROR(INT(VALUE(I3904)),"bad"))))</f>
        <v/>
      </c>
      <c r="O3904">
        <f>IF(J3904="","",IF(ISNUMBER(J3904),ROUND(J3904,2),IFERROR(ROUND(VALUE(SUBSTITUTE(SUBSTITUTE(SUBSTITUTE(J3904,"$",""),",","")," ","")),2),"bad")))</f>
        <v/>
      </c>
      <c r="P3904">
        <f>IF(K3904="","",IFERROR(MATCH(IF(ISNUMBER(FIND("#",K3904)),TRIM(MID(K3904,FIND("#",K3904)+1,20)),UPPER(K3904)),'Students'!$AD$2:$AD$701,0),""))</f>
        <v/>
      </c>
      <c r="R3904">
        <f>IF(P3904="","",INDEX('Students'!$AD$2:$AD$701,P3904))</f>
        <v/>
      </c>
      <c r="S3904">
        <f>IF(H3904="OK",O3904,0)</f>
        <v/>
      </c>
      <c r="T3904">
        <f>IF(H3904="OK",N3904,"")</f>
        <v/>
      </c>
      <c r="U3904">
        <f>TRIM('Cash_Check'!C904)</f>
        <v/>
      </c>
    </row>
    <row r="3905">
      <c r="A3905" s="62">
        <f>IF(H3905="","",IF(ISNUMBER(N3905),N3905,I3905))</f>
        <v/>
      </c>
      <c r="B3905">
        <f>IF(H3905="","",U3905)</f>
        <v/>
      </c>
      <c r="C3905">
        <f>IF(H3905="","",IF(P3905="",K3905,INDEX('Students'!$A$2:$A$701,P3905)))</f>
        <v/>
      </c>
      <c r="D3905">
        <f>IF(OR(H3905="",P3905=""),"",INDEX('Students'!$B$2:$B$701,P3905))</f>
        <v/>
      </c>
      <c r="E3905">
        <f>IF(OR(H3905="",P3905=""),"",INDEX('Students'!$C$2:$C$701,P3905))</f>
        <v/>
      </c>
      <c r="F3905" s="48">
        <f>IF(H3905="","",IF(ISNUMBER(O3905),O3905,J3905))</f>
        <v/>
      </c>
      <c r="G3905">
        <f>IF(H3905="","",M3905)</f>
        <v/>
      </c>
      <c r="H3905">
        <f>IF(AND(I3905="",J3905="",K3905=""),"",IF(OR(NOT(ISNUMBER(O3905)),N(O3905)&lt;=0),"Bad amount",IF(NOT(ISNUMBER(N3905)),"Bad date",IF(P3905="","NAME NOT ON ROSTER","OK"))))</f>
        <v/>
      </c>
      <c r="I3905">
        <f>IF('Cash_Check'!A905="","",'Cash_Check'!A905)</f>
        <v/>
      </c>
      <c r="J3905">
        <f>IF('Cash_Check'!D905="","",'Cash_Check'!D905)</f>
        <v/>
      </c>
      <c r="K3905">
        <f>TRIM('Cash_Check'!B905)</f>
        <v/>
      </c>
      <c r="M3905">
        <f>IF(TRIM('Cash_Check'!E905)="","Cash/check",TRIM('Cash_Check'!E905))</f>
        <v/>
      </c>
      <c r="N3905">
        <f>IF(I3905="","",IF(ISNUMBER(I3905),INT(I3905),IFERROR(INT(DATEVALUE(I3905)),IFERROR(INT(VALUE(I3905)),"bad"))))</f>
        <v/>
      </c>
      <c r="O3905">
        <f>IF(J3905="","",IF(ISNUMBER(J3905),ROUND(J3905,2),IFERROR(ROUND(VALUE(SUBSTITUTE(SUBSTITUTE(SUBSTITUTE(J3905,"$",""),",","")," ","")),2),"bad")))</f>
        <v/>
      </c>
      <c r="P3905">
        <f>IF(K3905="","",IFERROR(MATCH(IF(ISNUMBER(FIND("#",K3905)),TRIM(MID(K3905,FIND("#",K3905)+1,20)),UPPER(K3905)),'Students'!$AD$2:$AD$701,0),""))</f>
        <v/>
      </c>
      <c r="R3905">
        <f>IF(P3905="","",INDEX('Students'!$AD$2:$AD$701,P3905))</f>
        <v/>
      </c>
      <c r="S3905">
        <f>IF(H3905="OK",O3905,0)</f>
        <v/>
      </c>
      <c r="T3905">
        <f>IF(H3905="OK",N3905,"")</f>
        <v/>
      </c>
      <c r="U3905">
        <f>TRIM('Cash_Check'!C905)</f>
        <v/>
      </c>
    </row>
    <row r="3906">
      <c r="A3906" s="62">
        <f>IF(H3906="","",IF(ISNUMBER(N3906),N3906,I3906))</f>
        <v/>
      </c>
      <c r="B3906">
        <f>IF(H3906="","",U3906)</f>
        <v/>
      </c>
      <c r="C3906">
        <f>IF(H3906="","",IF(P3906="",K3906,INDEX('Students'!$A$2:$A$701,P3906)))</f>
        <v/>
      </c>
      <c r="D3906">
        <f>IF(OR(H3906="",P3906=""),"",INDEX('Students'!$B$2:$B$701,P3906))</f>
        <v/>
      </c>
      <c r="E3906">
        <f>IF(OR(H3906="",P3906=""),"",INDEX('Students'!$C$2:$C$701,P3906))</f>
        <v/>
      </c>
      <c r="F3906" s="48">
        <f>IF(H3906="","",IF(ISNUMBER(O3906),O3906,J3906))</f>
        <v/>
      </c>
      <c r="G3906">
        <f>IF(H3906="","",M3906)</f>
        <v/>
      </c>
      <c r="H3906">
        <f>IF(AND(I3906="",J3906="",K3906=""),"",IF(OR(NOT(ISNUMBER(O3906)),N(O3906)&lt;=0),"Bad amount",IF(NOT(ISNUMBER(N3906)),"Bad date",IF(P3906="","NAME NOT ON ROSTER","OK"))))</f>
        <v/>
      </c>
      <c r="I3906">
        <f>IF('Cash_Check'!A906="","",'Cash_Check'!A906)</f>
        <v/>
      </c>
      <c r="J3906">
        <f>IF('Cash_Check'!D906="","",'Cash_Check'!D906)</f>
        <v/>
      </c>
      <c r="K3906">
        <f>TRIM('Cash_Check'!B906)</f>
        <v/>
      </c>
      <c r="M3906">
        <f>IF(TRIM('Cash_Check'!E906)="","Cash/check",TRIM('Cash_Check'!E906))</f>
        <v/>
      </c>
      <c r="N3906">
        <f>IF(I3906="","",IF(ISNUMBER(I3906),INT(I3906),IFERROR(INT(DATEVALUE(I3906)),IFERROR(INT(VALUE(I3906)),"bad"))))</f>
        <v/>
      </c>
      <c r="O3906">
        <f>IF(J3906="","",IF(ISNUMBER(J3906),ROUND(J3906,2),IFERROR(ROUND(VALUE(SUBSTITUTE(SUBSTITUTE(SUBSTITUTE(J3906,"$",""),",","")," ","")),2),"bad")))</f>
        <v/>
      </c>
      <c r="P3906">
        <f>IF(K3906="","",IFERROR(MATCH(IF(ISNUMBER(FIND("#",K3906)),TRIM(MID(K3906,FIND("#",K3906)+1,20)),UPPER(K3906)),'Students'!$AD$2:$AD$701,0),""))</f>
        <v/>
      </c>
      <c r="R3906">
        <f>IF(P3906="","",INDEX('Students'!$AD$2:$AD$701,P3906))</f>
        <v/>
      </c>
      <c r="S3906">
        <f>IF(H3906="OK",O3906,0)</f>
        <v/>
      </c>
      <c r="T3906">
        <f>IF(H3906="OK",N3906,"")</f>
        <v/>
      </c>
      <c r="U3906">
        <f>TRIM('Cash_Check'!C906)</f>
        <v/>
      </c>
    </row>
    <row r="3907">
      <c r="A3907" s="62">
        <f>IF(H3907="","",IF(ISNUMBER(N3907),N3907,I3907))</f>
        <v/>
      </c>
      <c r="B3907">
        <f>IF(H3907="","",U3907)</f>
        <v/>
      </c>
      <c r="C3907">
        <f>IF(H3907="","",IF(P3907="",K3907,INDEX('Students'!$A$2:$A$701,P3907)))</f>
        <v/>
      </c>
      <c r="D3907">
        <f>IF(OR(H3907="",P3907=""),"",INDEX('Students'!$B$2:$B$701,P3907))</f>
        <v/>
      </c>
      <c r="E3907">
        <f>IF(OR(H3907="",P3907=""),"",INDEX('Students'!$C$2:$C$701,P3907))</f>
        <v/>
      </c>
      <c r="F3907" s="48">
        <f>IF(H3907="","",IF(ISNUMBER(O3907),O3907,J3907))</f>
        <v/>
      </c>
      <c r="G3907">
        <f>IF(H3907="","",M3907)</f>
        <v/>
      </c>
      <c r="H3907">
        <f>IF(AND(I3907="",J3907="",K3907=""),"",IF(OR(NOT(ISNUMBER(O3907)),N(O3907)&lt;=0),"Bad amount",IF(NOT(ISNUMBER(N3907)),"Bad date",IF(P3907="","NAME NOT ON ROSTER","OK"))))</f>
        <v/>
      </c>
      <c r="I3907">
        <f>IF('Cash_Check'!A907="","",'Cash_Check'!A907)</f>
        <v/>
      </c>
      <c r="J3907">
        <f>IF('Cash_Check'!D907="","",'Cash_Check'!D907)</f>
        <v/>
      </c>
      <c r="K3907">
        <f>TRIM('Cash_Check'!B907)</f>
        <v/>
      </c>
      <c r="M3907">
        <f>IF(TRIM('Cash_Check'!E907)="","Cash/check",TRIM('Cash_Check'!E907))</f>
        <v/>
      </c>
      <c r="N3907">
        <f>IF(I3907="","",IF(ISNUMBER(I3907),INT(I3907),IFERROR(INT(DATEVALUE(I3907)),IFERROR(INT(VALUE(I3907)),"bad"))))</f>
        <v/>
      </c>
      <c r="O3907">
        <f>IF(J3907="","",IF(ISNUMBER(J3907),ROUND(J3907,2),IFERROR(ROUND(VALUE(SUBSTITUTE(SUBSTITUTE(SUBSTITUTE(J3907,"$",""),",","")," ","")),2),"bad")))</f>
        <v/>
      </c>
      <c r="P3907">
        <f>IF(K3907="","",IFERROR(MATCH(IF(ISNUMBER(FIND("#",K3907)),TRIM(MID(K3907,FIND("#",K3907)+1,20)),UPPER(K3907)),'Students'!$AD$2:$AD$701,0),""))</f>
        <v/>
      </c>
      <c r="R3907">
        <f>IF(P3907="","",INDEX('Students'!$AD$2:$AD$701,P3907))</f>
        <v/>
      </c>
      <c r="S3907">
        <f>IF(H3907="OK",O3907,0)</f>
        <v/>
      </c>
      <c r="T3907">
        <f>IF(H3907="OK",N3907,"")</f>
        <v/>
      </c>
      <c r="U3907">
        <f>TRIM('Cash_Check'!C907)</f>
        <v/>
      </c>
    </row>
    <row r="3908">
      <c r="A3908" s="62">
        <f>IF(H3908="","",IF(ISNUMBER(N3908),N3908,I3908))</f>
        <v/>
      </c>
      <c r="B3908">
        <f>IF(H3908="","",U3908)</f>
        <v/>
      </c>
      <c r="C3908">
        <f>IF(H3908="","",IF(P3908="",K3908,INDEX('Students'!$A$2:$A$701,P3908)))</f>
        <v/>
      </c>
      <c r="D3908">
        <f>IF(OR(H3908="",P3908=""),"",INDEX('Students'!$B$2:$B$701,P3908))</f>
        <v/>
      </c>
      <c r="E3908">
        <f>IF(OR(H3908="",P3908=""),"",INDEX('Students'!$C$2:$C$701,P3908))</f>
        <v/>
      </c>
      <c r="F3908" s="48">
        <f>IF(H3908="","",IF(ISNUMBER(O3908),O3908,J3908))</f>
        <v/>
      </c>
      <c r="G3908">
        <f>IF(H3908="","",M3908)</f>
        <v/>
      </c>
      <c r="H3908">
        <f>IF(AND(I3908="",J3908="",K3908=""),"",IF(OR(NOT(ISNUMBER(O3908)),N(O3908)&lt;=0),"Bad amount",IF(NOT(ISNUMBER(N3908)),"Bad date",IF(P3908="","NAME NOT ON ROSTER","OK"))))</f>
        <v/>
      </c>
      <c r="I3908">
        <f>IF('Cash_Check'!A908="","",'Cash_Check'!A908)</f>
        <v/>
      </c>
      <c r="J3908">
        <f>IF('Cash_Check'!D908="","",'Cash_Check'!D908)</f>
        <v/>
      </c>
      <c r="K3908">
        <f>TRIM('Cash_Check'!B908)</f>
        <v/>
      </c>
      <c r="M3908">
        <f>IF(TRIM('Cash_Check'!E908)="","Cash/check",TRIM('Cash_Check'!E908))</f>
        <v/>
      </c>
      <c r="N3908">
        <f>IF(I3908="","",IF(ISNUMBER(I3908),INT(I3908),IFERROR(INT(DATEVALUE(I3908)),IFERROR(INT(VALUE(I3908)),"bad"))))</f>
        <v/>
      </c>
      <c r="O3908">
        <f>IF(J3908="","",IF(ISNUMBER(J3908),ROUND(J3908,2),IFERROR(ROUND(VALUE(SUBSTITUTE(SUBSTITUTE(SUBSTITUTE(J3908,"$",""),",","")," ","")),2),"bad")))</f>
        <v/>
      </c>
      <c r="P3908">
        <f>IF(K3908="","",IFERROR(MATCH(IF(ISNUMBER(FIND("#",K3908)),TRIM(MID(K3908,FIND("#",K3908)+1,20)),UPPER(K3908)),'Students'!$AD$2:$AD$701,0),""))</f>
        <v/>
      </c>
      <c r="R3908">
        <f>IF(P3908="","",INDEX('Students'!$AD$2:$AD$701,P3908))</f>
        <v/>
      </c>
      <c r="S3908">
        <f>IF(H3908="OK",O3908,0)</f>
        <v/>
      </c>
      <c r="T3908">
        <f>IF(H3908="OK",N3908,"")</f>
        <v/>
      </c>
      <c r="U3908">
        <f>TRIM('Cash_Check'!C908)</f>
        <v/>
      </c>
    </row>
    <row r="3909">
      <c r="A3909" s="62">
        <f>IF(H3909="","",IF(ISNUMBER(N3909),N3909,I3909))</f>
        <v/>
      </c>
      <c r="B3909">
        <f>IF(H3909="","",U3909)</f>
        <v/>
      </c>
      <c r="C3909">
        <f>IF(H3909="","",IF(P3909="",K3909,INDEX('Students'!$A$2:$A$701,P3909)))</f>
        <v/>
      </c>
      <c r="D3909">
        <f>IF(OR(H3909="",P3909=""),"",INDEX('Students'!$B$2:$B$701,P3909))</f>
        <v/>
      </c>
      <c r="E3909">
        <f>IF(OR(H3909="",P3909=""),"",INDEX('Students'!$C$2:$C$701,P3909))</f>
        <v/>
      </c>
      <c r="F3909" s="48">
        <f>IF(H3909="","",IF(ISNUMBER(O3909),O3909,J3909))</f>
        <v/>
      </c>
      <c r="G3909">
        <f>IF(H3909="","",M3909)</f>
        <v/>
      </c>
      <c r="H3909">
        <f>IF(AND(I3909="",J3909="",K3909=""),"",IF(OR(NOT(ISNUMBER(O3909)),N(O3909)&lt;=0),"Bad amount",IF(NOT(ISNUMBER(N3909)),"Bad date",IF(P3909="","NAME NOT ON ROSTER","OK"))))</f>
        <v/>
      </c>
      <c r="I3909">
        <f>IF('Cash_Check'!A909="","",'Cash_Check'!A909)</f>
        <v/>
      </c>
      <c r="J3909">
        <f>IF('Cash_Check'!D909="","",'Cash_Check'!D909)</f>
        <v/>
      </c>
      <c r="K3909">
        <f>TRIM('Cash_Check'!B909)</f>
        <v/>
      </c>
      <c r="M3909">
        <f>IF(TRIM('Cash_Check'!E909)="","Cash/check",TRIM('Cash_Check'!E909))</f>
        <v/>
      </c>
      <c r="N3909">
        <f>IF(I3909="","",IF(ISNUMBER(I3909),INT(I3909),IFERROR(INT(DATEVALUE(I3909)),IFERROR(INT(VALUE(I3909)),"bad"))))</f>
        <v/>
      </c>
      <c r="O3909">
        <f>IF(J3909="","",IF(ISNUMBER(J3909),ROUND(J3909,2),IFERROR(ROUND(VALUE(SUBSTITUTE(SUBSTITUTE(SUBSTITUTE(J3909,"$",""),",","")," ","")),2),"bad")))</f>
        <v/>
      </c>
      <c r="P3909">
        <f>IF(K3909="","",IFERROR(MATCH(IF(ISNUMBER(FIND("#",K3909)),TRIM(MID(K3909,FIND("#",K3909)+1,20)),UPPER(K3909)),'Students'!$AD$2:$AD$701,0),""))</f>
        <v/>
      </c>
      <c r="R3909">
        <f>IF(P3909="","",INDEX('Students'!$AD$2:$AD$701,P3909))</f>
        <v/>
      </c>
      <c r="S3909">
        <f>IF(H3909="OK",O3909,0)</f>
        <v/>
      </c>
      <c r="T3909">
        <f>IF(H3909="OK",N3909,"")</f>
        <v/>
      </c>
      <c r="U3909">
        <f>TRIM('Cash_Check'!C909)</f>
        <v/>
      </c>
    </row>
    <row r="3910">
      <c r="A3910" s="62">
        <f>IF(H3910="","",IF(ISNUMBER(N3910),N3910,I3910))</f>
        <v/>
      </c>
      <c r="B3910">
        <f>IF(H3910="","",U3910)</f>
        <v/>
      </c>
      <c r="C3910">
        <f>IF(H3910="","",IF(P3910="",K3910,INDEX('Students'!$A$2:$A$701,P3910)))</f>
        <v/>
      </c>
      <c r="D3910">
        <f>IF(OR(H3910="",P3910=""),"",INDEX('Students'!$B$2:$B$701,P3910))</f>
        <v/>
      </c>
      <c r="E3910">
        <f>IF(OR(H3910="",P3910=""),"",INDEX('Students'!$C$2:$C$701,P3910))</f>
        <v/>
      </c>
      <c r="F3910" s="48">
        <f>IF(H3910="","",IF(ISNUMBER(O3910),O3910,J3910))</f>
        <v/>
      </c>
      <c r="G3910">
        <f>IF(H3910="","",M3910)</f>
        <v/>
      </c>
      <c r="H3910">
        <f>IF(AND(I3910="",J3910="",K3910=""),"",IF(OR(NOT(ISNUMBER(O3910)),N(O3910)&lt;=0),"Bad amount",IF(NOT(ISNUMBER(N3910)),"Bad date",IF(P3910="","NAME NOT ON ROSTER","OK"))))</f>
        <v/>
      </c>
      <c r="I3910">
        <f>IF('Cash_Check'!A910="","",'Cash_Check'!A910)</f>
        <v/>
      </c>
      <c r="J3910">
        <f>IF('Cash_Check'!D910="","",'Cash_Check'!D910)</f>
        <v/>
      </c>
      <c r="K3910">
        <f>TRIM('Cash_Check'!B910)</f>
        <v/>
      </c>
      <c r="M3910">
        <f>IF(TRIM('Cash_Check'!E910)="","Cash/check",TRIM('Cash_Check'!E910))</f>
        <v/>
      </c>
      <c r="N3910">
        <f>IF(I3910="","",IF(ISNUMBER(I3910),INT(I3910),IFERROR(INT(DATEVALUE(I3910)),IFERROR(INT(VALUE(I3910)),"bad"))))</f>
        <v/>
      </c>
      <c r="O3910">
        <f>IF(J3910="","",IF(ISNUMBER(J3910),ROUND(J3910,2),IFERROR(ROUND(VALUE(SUBSTITUTE(SUBSTITUTE(SUBSTITUTE(J3910,"$",""),",","")," ","")),2),"bad")))</f>
        <v/>
      </c>
      <c r="P3910">
        <f>IF(K3910="","",IFERROR(MATCH(IF(ISNUMBER(FIND("#",K3910)),TRIM(MID(K3910,FIND("#",K3910)+1,20)),UPPER(K3910)),'Students'!$AD$2:$AD$701,0),""))</f>
        <v/>
      </c>
      <c r="R3910">
        <f>IF(P3910="","",INDEX('Students'!$AD$2:$AD$701,P3910))</f>
        <v/>
      </c>
      <c r="S3910">
        <f>IF(H3910="OK",O3910,0)</f>
        <v/>
      </c>
      <c r="T3910">
        <f>IF(H3910="OK",N3910,"")</f>
        <v/>
      </c>
      <c r="U3910">
        <f>TRIM('Cash_Check'!C910)</f>
        <v/>
      </c>
    </row>
    <row r="3911">
      <c r="A3911" s="62">
        <f>IF(H3911="","",IF(ISNUMBER(N3911),N3911,I3911))</f>
        <v/>
      </c>
      <c r="B3911">
        <f>IF(H3911="","",U3911)</f>
        <v/>
      </c>
      <c r="C3911">
        <f>IF(H3911="","",IF(P3911="",K3911,INDEX('Students'!$A$2:$A$701,P3911)))</f>
        <v/>
      </c>
      <c r="D3911">
        <f>IF(OR(H3911="",P3911=""),"",INDEX('Students'!$B$2:$B$701,P3911))</f>
        <v/>
      </c>
      <c r="E3911">
        <f>IF(OR(H3911="",P3911=""),"",INDEX('Students'!$C$2:$C$701,P3911))</f>
        <v/>
      </c>
      <c r="F3911" s="48">
        <f>IF(H3911="","",IF(ISNUMBER(O3911),O3911,J3911))</f>
        <v/>
      </c>
      <c r="G3911">
        <f>IF(H3911="","",M3911)</f>
        <v/>
      </c>
      <c r="H3911">
        <f>IF(AND(I3911="",J3911="",K3911=""),"",IF(OR(NOT(ISNUMBER(O3911)),N(O3911)&lt;=0),"Bad amount",IF(NOT(ISNUMBER(N3911)),"Bad date",IF(P3911="","NAME NOT ON ROSTER","OK"))))</f>
        <v/>
      </c>
      <c r="I3911">
        <f>IF('Cash_Check'!A911="","",'Cash_Check'!A911)</f>
        <v/>
      </c>
      <c r="J3911">
        <f>IF('Cash_Check'!D911="","",'Cash_Check'!D911)</f>
        <v/>
      </c>
      <c r="K3911">
        <f>TRIM('Cash_Check'!B911)</f>
        <v/>
      </c>
      <c r="M3911">
        <f>IF(TRIM('Cash_Check'!E911)="","Cash/check",TRIM('Cash_Check'!E911))</f>
        <v/>
      </c>
      <c r="N3911">
        <f>IF(I3911="","",IF(ISNUMBER(I3911),INT(I3911),IFERROR(INT(DATEVALUE(I3911)),IFERROR(INT(VALUE(I3911)),"bad"))))</f>
        <v/>
      </c>
      <c r="O3911">
        <f>IF(J3911="","",IF(ISNUMBER(J3911),ROUND(J3911,2),IFERROR(ROUND(VALUE(SUBSTITUTE(SUBSTITUTE(SUBSTITUTE(J3911,"$",""),",","")," ","")),2),"bad")))</f>
        <v/>
      </c>
      <c r="P3911">
        <f>IF(K3911="","",IFERROR(MATCH(IF(ISNUMBER(FIND("#",K3911)),TRIM(MID(K3911,FIND("#",K3911)+1,20)),UPPER(K3911)),'Students'!$AD$2:$AD$701,0),""))</f>
        <v/>
      </c>
      <c r="R3911">
        <f>IF(P3911="","",INDEX('Students'!$AD$2:$AD$701,P3911))</f>
        <v/>
      </c>
      <c r="S3911">
        <f>IF(H3911="OK",O3911,0)</f>
        <v/>
      </c>
      <c r="T3911">
        <f>IF(H3911="OK",N3911,"")</f>
        <v/>
      </c>
      <c r="U3911">
        <f>TRIM('Cash_Check'!C911)</f>
        <v/>
      </c>
    </row>
    <row r="3912">
      <c r="A3912" s="62">
        <f>IF(H3912="","",IF(ISNUMBER(N3912),N3912,I3912))</f>
        <v/>
      </c>
      <c r="B3912">
        <f>IF(H3912="","",U3912)</f>
        <v/>
      </c>
      <c r="C3912">
        <f>IF(H3912="","",IF(P3912="",K3912,INDEX('Students'!$A$2:$A$701,P3912)))</f>
        <v/>
      </c>
      <c r="D3912">
        <f>IF(OR(H3912="",P3912=""),"",INDEX('Students'!$B$2:$B$701,P3912))</f>
        <v/>
      </c>
      <c r="E3912">
        <f>IF(OR(H3912="",P3912=""),"",INDEX('Students'!$C$2:$C$701,P3912))</f>
        <v/>
      </c>
      <c r="F3912" s="48">
        <f>IF(H3912="","",IF(ISNUMBER(O3912),O3912,J3912))</f>
        <v/>
      </c>
      <c r="G3912">
        <f>IF(H3912="","",M3912)</f>
        <v/>
      </c>
      <c r="H3912">
        <f>IF(AND(I3912="",J3912="",K3912=""),"",IF(OR(NOT(ISNUMBER(O3912)),N(O3912)&lt;=0),"Bad amount",IF(NOT(ISNUMBER(N3912)),"Bad date",IF(P3912="","NAME NOT ON ROSTER","OK"))))</f>
        <v/>
      </c>
      <c r="I3912">
        <f>IF('Cash_Check'!A912="","",'Cash_Check'!A912)</f>
        <v/>
      </c>
      <c r="J3912">
        <f>IF('Cash_Check'!D912="","",'Cash_Check'!D912)</f>
        <v/>
      </c>
      <c r="K3912">
        <f>TRIM('Cash_Check'!B912)</f>
        <v/>
      </c>
      <c r="M3912">
        <f>IF(TRIM('Cash_Check'!E912)="","Cash/check",TRIM('Cash_Check'!E912))</f>
        <v/>
      </c>
      <c r="N3912">
        <f>IF(I3912="","",IF(ISNUMBER(I3912),INT(I3912),IFERROR(INT(DATEVALUE(I3912)),IFERROR(INT(VALUE(I3912)),"bad"))))</f>
        <v/>
      </c>
      <c r="O3912">
        <f>IF(J3912="","",IF(ISNUMBER(J3912),ROUND(J3912,2),IFERROR(ROUND(VALUE(SUBSTITUTE(SUBSTITUTE(SUBSTITUTE(J3912,"$",""),",","")," ","")),2),"bad")))</f>
        <v/>
      </c>
      <c r="P3912">
        <f>IF(K3912="","",IFERROR(MATCH(IF(ISNUMBER(FIND("#",K3912)),TRIM(MID(K3912,FIND("#",K3912)+1,20)),UPPER(K3912)),'Students'!$AD$2:$AD$701,0),""))</f>
        <v/>
      </c>
      <c r="R3912">
        <f>IF(P3912="","",INDEX('Students'!$AD$2:$AD$701,P3912))</f>
        <v/>
      </c>
      <c r="S3912">
        <f>IF(H3912="OK",O3912,0)</f>
        <v/>
      </c>
      <c r="T3912">
        <f>IF(H3912="OK",N3912,"")</f>
        <v/>
      </c>
      <c r="U3912">
        <f>TRIM('Cash_Check'!C912)</f>
        <v/>
      </c>
    </row>
    <row r="3913">
      <c r="A3913" s="62">
        <f>IF(H3913="","",IF(ISNUMBER(N3913),N3913,I3913))</f>
        <v/>
      </c>
      <c r="B3913">
        <f>IF(H3913="","",U3913)</f>
        <v/>
      </c>
      <c r="C3913">
        <f>IF(H3913="","",IF(P3913="",K3913,INDEX('Students'!$A$2:$A$701,P3913)))</f>
        <v/>
      </c>
      <c r="D3913">
        <f>IF(OR(H3913="",P3913=""),"",INDEX('Students'!$B$2:$B$701,P3913))</f>
        <v/>
      </c>
      <c r="E3913">
        <f>IF(OR(H3913="",P3913=""),"",INDEX('Students'!$C$2:$C$701,P3913))</f>
        <v/>
      </c>
      <c r="F3913" s="48">
        <f>IF(H3913="","",IF(ISNUMBER(O3913),O3913,J3913))</f>
        <v/>
      </c>
      <c r="G3913">
        <f>IF(H3913="","",M3913)</f>
        <v/>
      </c>
      <c r="H3913">
        <f>IF(AND(I3913="",J3913="",K3913=""),"",IF(OR(NOT(ISNUMBER(O3913)),N(O3913)&lt;=0),"Bad amount",IF(NOT(ISNUMBER(N3913)),"Bad date",IF(P3913="","NAME NOT ON ROSTER","OK"))))</f>
        <v/>
      </c>
      <c r="I3913">
        <f>IF('Cash_Check'!A913="","",'Cash_Check'!A913)</f>
        <v/>
      </c>
      <c r="J3913">
        <f>IF('Cash_Check'!D913="","",'Cash_Check'!D913)</f>
        <v/>
      </c>
      <c r="K3913">
        <f>TRIM('Cash_Check'!B913)</f>
        <v/>
      </c>
      <c r="M3913">
        <f>IF(TRIM('Cash_Check'!E913)="","Cash/check",TRIM('Cash_Check'!E913))</f>
        <v/>
      </c>
      <c r="N3913">
        <f>IF(I3913="","",IF(ISNUMBER(I3913),INT(I3913),IFERROR(INT(DATEVALUE(I3913)),IFERROR(INT(VALUE(I3913)),"bad"))))</f>
        <v/>
      </c>
      <c r="O3913">
        <f>IF(J3913="","",IF(ISNUMBER(J3913),ROUND(J3913,2),IFERROR(ROUND(VALUE(SUBSTITUTE(SUBSTITUTE(SUBSTITUTE(J3913,"$",""),",","")," ","")),2),"bad")))</f>
        <v/>
      </c>
      <c r="P3913">
        <f>IF(K3913="","",IFERROR(MATCH(IF(ISNUMBER(FIND("#",K3913)),TRIM(MID(K3913,FIND("#",K3913)+1,20)),UPPER(K3913)),'Students'!$AD$2:$AD$701,0),""))</f>
        <v/>
      </c>
      <c r="R3913">
        <f>IF(P3913="","",INDEX('Students'!$AD$2:$AD$701,P3913))</f>
        <v/>
      </c>
      <c r="S3913">
        <f>IF(H3913="OK",O3913,0)</f>
        <v/>
      </c>
      <c r="T3913">
        <f>IF(H3913="OK",N3913,"")</f>
        <v/>
      </c>
      <c r="U3913">
        <f>TRIM('Cash_Check'!C913)</f>
        <v/>
      </c>
    </row>
    <row r="3914">
      <c r="A3914" s="62">
        <f>IF(H3914="","",IF(ISNUMBER(N3914),N3914,I3914))</f>
        <v/>
      </c>
      <c r="B3914">
        <f>IF(H3914="","",U3914)</f>
        <v/>
      </c>
      <c r="C3914">
        <f>IF(H3914="","",IF(P3914="",K3914,INDEX('Students'!$A$2:$A$701,P3914)))</f>
        <v/>
      </c>
      <c r="D3914">
        <f>IF(OR(H3914="",P3914=""),"",INDEX('Students'!$B$2:$B$701,P3914))</f>
        <v/>
      </c>
      <c r="E3914">
        <f>IF(OR(H3914="",P3914=""),"",INDEX('Students'!$C$2:$C$701,P3914))</f>
        <v/>
      </c>
      <c r="F3914" s="48">
        <f>IF(H3914="","",IF(ISNUMBER(O3914),O3914,J3914))</f>
        <v/>
      </c>
      <c r="G3914">
        <f>IF(H3914="","",M3914)</f>
        <v/>
      </c>
      <c r="H3914">
        <f>IF(AND(I3914="",J3914="",K3914=""),"",IF(OR(NOT(ISNUMBER(O3914)),N(O3914)&lt;=0),"Bad amount",IF(NOT(ISNUMBER(N3914)),"Bad date",IF(P3914="","NAME NOT ON ROSTER","OK"))))</f>
        <v/>
      </c>
      <c r="I3914">
        <f>IF('Cash_Check'!A914="","",'Cash_Check'!A914)</f>
        <v/>
      </c>
      <c r="J3914">
        <f>IF('Cash_Check'!D914="","",'Cash_Check'!D914)</f>
        <v/>
      </c>
      <c r="K3914">
        <f>TRIM('Cash_Check'!B914)</f>
        <v/>
      </c>
      <c r="M3914">
        <f>IF(TRIM('Cash_Check'!E914)="","Cash/check",TRIM('Cash_Check'!E914))</f>
        <v/>
      </c>
      <c r="N3914">
        <f>IF(I3914="","",IF(ISNUMBER(I3914),INT(I3914),IFERROR(INT(DATEVALUE(I3914)),IFERROR(INT(VALUE(I3914)),"bad"))))</f>
        <v/>
      </c>
      <c r="O3914">
        <f>IF(J3914="","",IF(ISNUMBER(J3914),ROUND(J3914,2),IFERROR(ROUND(VALUE(SUBSTITUTE(SUBSTITUTE(SUBSTITUTE(J3914,"$",""),",","")," ","")),2),"bad")))</f>
        <v/>
      </c>
      <c r="P3914">
        <f>IF(K3914="","",IFERROR(MATCH(IF(ISNUMBER(FIND("#",K3914)),TRIM(MID(K3914,FIND("#",K3914)+1,20)),UPPER(K3914)),'Students'!$AD$2:$AD$701,0),""))</f>
        <v/>
      </c>
      <c r="R3914">
        <f>IF(P3914="","",INDEX('Students'!$AD$2:$AD$701,P3914))</f>
        <v/>
      </c>
      <c r="S3914">
        <f>IF(H3914="OK",O3914,0)</f>
        <v/>
      </c>
      <c r="T3914">
        <f>IF(H3914="OK",N3914,"")</f>
        <v/>
      </c>
      <c r="U3914">
        <f>TRIM('Cash_Check'!C914)</f>
        <v/>
      </c>
    </row>
    <row r="3915">
      <c r="A3915" s="62">
        <f>IF(H3915="","",IF(ISNUMBER(N3915),N3915,I3915))</f>
        <v/>
      </c>
      <c r="B3915">
        <f>IF(H3915="","",U3915)</f>
        <v/>
      </c>
      <c r="C3915">
        <f>IF(H3915="","",IF(P3915="",K3915,INDEX('Students'!$A$2:$A$701,P3915)))</f>
        <v/>
      </c>
      <c r="D3915">
        <f>IF(OR(H3915="",P3915=""),"",INDEX('Students'!$B$2:$B$701,P3915))</f>
        <v/>
      </c>
      <c r="E3915">
        <f>IF(OR(H3915="",P3915=""),"",INDEX('Students'!$C$2:$C$701,P3915))</f>
        <v/>
      </c>
      <c r="F3915" s="48">
        <f>IF(H3915="","",IF(ISNUMBER(O3915),O3915,J3915))</f>
        <v/>
      </c>
      <c r="G3915">
        <f>IF(H3915="","",M3915)</f>
        <v/>
      </c>
      <c r="H3915">
        <f>IF(AND(I3915="",J3915="",K3915=""),"",IF(OR(NOT(ISNUMBER(O3915)),N(O3915)&lt;=0),"Bad amount",IF(NOT(ISNUMBER(N3915)),"Bad date",IF(P3915="","NAME NOT ON ROSTER","OK"))))</f>
        <v/>
      </c>
      <c r="I3915">
        <f>IF('Cash_Check'!A915="","",'Cash_Check'!A915)</f>
        <v/>
      </c>
      <c r="J3915">
        <f>IF('Cash_Check'!D915="","",'Cash_Check'!D915)</f>
        <v/>
      </c>
      <c r="K3915">
        <f>TRIM('Cash_Check'!B915)</f>
        <v/>
      </c>
      <c r="M3915">
        <f>IF(TRIM('Cash_Check'!E915)="","Cash/check",TRIM('Cash_Check'!E915))</f>
        <v/>
      </c>
      <c r="N3915">
        <f>IF(I3915="","",IF(ISNUMBER(I3915),INT(I3915),IFERROR(INT(DATEVALUE(I3915)),IFERROR(INT(VALUE(I3915)),"bad"))))</f>
        <v/>
      </c>
      <c r="O3915">
        <f>IF(J3915="","",IF(ISNUMBER(J3915),ROUND(J3915,2),IFERROR(ROUND(VALUE(SUBSTITUTE(SUBSTITUTE(SUBSTITUTE(J3915,"$",""),",","")," ","")),2),"bad")))</f>
        <v/>
      </c>
      <c r="P3915">
        <f>IF(K3915="","",IFERROR(MATCH(IF(ISNUMBER(FIND("#",K3915)),TRIM(MID(K3915,FIND("#",K3915)+1,20)),UPPER(K3915)),'Students'!$AD$2:$AD$701,0),""))</f>
        <v/>
      </c>
      <c r="R3915">
        <f>IF(P3915="","",INDEX('Students'!$AD$2:$AD$701,P3915))</f>
        <v/>
      </c>
      <c r="S3915">
        <f>IF(H3915="OK",O3915,0)</f>
        <v/>
      </c>
      <c r="T3915">
        <f>IF(H3915="OK",N3915,"")</f>
        <v/>
      </c>
      <c r="U3915">
        <f>TRIM('Cash_Check'!C915)</f>
        <v/>
      </c>
    </row>
    <row r="3916">
      <c r="A3916" s="62">
        <f>IF(H3916="","",IF(ISNUMBER(N3916),N3916,I3916))</f>
        <v/>
      </c>
      <c r="B3916">
        <f>IF(H3916="","",U3916)</f>
        <v/>
      </c>
      <c r="C3916">
        <f>IF(H3916="","",IF(P3916="",K3916,INDEX('Students'!$A$2:$A$701,P3916)))</f>
        <v/>
      </c>
      <c r="D3916">
        <f>IF(OR(H3916="",P3916=""),"",INDEX('Students'!$B$2:$B$701,P3916))</f>
        <v/>
      </c>
      <c r="E3916">
        <f>IF(OR(H3916="",P3916=""),"",INDEX('Students'!$C$2:$C$701,P3916))</f>
        <v/>
      </c>
      <c r="F3916" s="48">
        <f>IF(H3916="","",IF(ISNUMBER(O3916),O3916,J3916))</f>
        <v/>
      </c>
      <c r="G3916">
        <f>IF(H3916="","",M3916)</f>
        <v/>
      </c>
      <c r="H3916">
        <f>IF(AND(I3916="",J3916="",K3916=""),"",IF(OR(NOT(ISNUMBER(O3916)),N(O3916)&lt;=0),"Bad amount",IF(NOT(ISNUMBER(N3916)),"Bad date",IF(P3916="","NAME NOT ON ROSTER","OK"))))</f>
        <v/>
      </c>
      <c r="I3916">
        <f>IF('Cash_Check'!A916="","",'Cash_Check'!A916)</f>
        <v/>
      </c>
      <c r="J3916">
        <f>IF('Cash_Check'!D916="","",'Cash_Check'!D916)</f>
        <v/>
      </c>
      <c r="K3916">
        <f>TRIM('Cash_Check'!B916)</f>
        <v/>
      </c>
      <c r="M3916">
        <f>IF(TRIM('Cash_Check'!E916)="","Cash/check",TRIM('Cash_Check'!E916))</f>
        <v/>
      </c>
      <c r="N3916">
        <f>IF(I3916="","",IF(ISNUMBER(I3916),INT(I3916),IFERROR(INT(DATEVALUE(I3916)),IFERROR(INT(VALUE(I3916)),"bad"))))</f>
        <v/>
      </c>
      <c r="O3916">
        <f>IF(J3916="","",IF(ISNUMBER(J3916),ROUND(J3916,2),IFERROR(ROUND(VALUE(SUBSTITUTE(SUBSTITUTE(SUBSTITUTE(J3916,"$",""),",","")," ","")),2),"bad")))</f>
        <v/>
      </c>
      <c r="P3916">
        <f>IF(K3916="","",IFERROR(MATCH(IF(ISNUMBER(FIND("#",K3916)),TRIM(MID(K3916,FIND("#",K3916)+1,20)),UPPER(K3916)),'Students'!$AD$2:$AD$701,0),""))</f>
        <v/>
      </c>
      <c r="R3916">
        <f>IF(P3916="","",INDEX('Students'!$AD$2:$AD$701,P3916))</f>
        <v/>
      </c>
      <c r="S3916">
        <f>IF(H3916="OK",O3916,0)</f>
        <v/>
      </c>
      <c r="T3916">
        <f>IF(H3916="OK",N3916,"")</f>
        <v/>
      </c>
      <c r="U3916">
        <f>TRIM('Cash_Check'!C916)</f>
        <v/>
      </c>
    </row>
    <row r="3917">
      <c r="A3917" s="62">
        <f>IF(H3917="","",IF(ISNUMBER(N3917),N3917,I3917))</f>
        <v/>
      </c>
      <c r="B3917">
        <f>IF(H3917="","",U3917)</f>
        <v/>
      </c>
      <c r="C3917">
        <f>IF(H3917="","",IF(P3917="",K3917,INDEX('Students'!$A$2:$A$701,P3917)))</f>
        <v/>
      </c>
      <c r="D3917">
        <f>IF(OR(H3917="",P3917=""),"",INDEX('Students'!$B$2:$B$701,P3917))</f>
        <v/>
      </c>
      <c r="E3917">
        <f>IF(OR(H3917="",P3917=""),"",INDEX('Students'!$C$2:$C$701,P3917))</f>
        <v/>
      </c>
      <c r="F3917" s="48">
        <f>IF(H3917="","",IF(ISNUMBER(O3917),O3917,J3917))</f>
        <v/>
      </c>
      <c r="G3917">
        <f>IF(H3917="","",M3917)</f>
        <v/>
      </c>
      <c r="H3917">
        <f>IF(AND(I3917="",J3917="",K3917=""),"",IF(OR(NOT(ISNUMBER(O3917)),N(O3917)&lt;=0),"Bad amount",IF(NOT(ISNUMBER(N3917)),"Bad date",IF(P3917="","NAME NOT ON ROSTER","OK"))))</f>
        <v/>
      </c>
      <c r="I3917">
        <f>IF('Cash_Check'!A917="","",'Cash_Check'!A917)</f>
        <v/>
      </c>
      <c r="J3917">
        <f>IF('Cash_Check'!D917="","",'Cash_Check'!D917)</f>
        <v/>
      </c>
      <c r="K3917">
        <f>TRIM('Cash_Check'!B917)</f>
        <v/>
      </c>
      <c r="M3917">
        <f>IF(TRIM('Cash_Check'!E917)="","Cash/check",TRIM('Cash_Check'!E917))</f>
        <v/>
      </c>
      <c r="N3917">
        <f>IF(I3917="","",IF(ISNUMBER(I3917),INT(I3917),IFERROR(INT(DATEVALUE(I3917)),IFERROR(INT(VALUE(I3917)),"bad"))))</f>
        <v/>
      </c>
      <c r="O3917">
        <f>IF(J3917="","",IF(ISNUMBER(J3917),ROUND(J3917,2),IFERROR(ROUND(VALUE(SUBSTITUTE(SUBSTITUTE(SUBSTITUTE(J3917,"$",""),",","")," ","")),2),"bad")))</f>
        <v/>
      </c>
      <c r="P3917">
        <f>IF(K3917="","",IFERROR(MATCH(IF(ISNUMBER(FIND("#",K3917)),TRIM(MID(K3917,FIND("#",K3917)+1,20)),UPPER(K3917)),'Students'!$AD$2:$AD$701,0),""))</f>
        <v/>
      </c>
      <c r="R3917">
        <f>IF(P3917="","",INDEX('Students'!$AD$2:$AD$701,P3917))</f>
        <v/>
      </c>
      <c r="S3917">
        <f>IF(H3917="OK",O3917,0)</f>
        <v/>
      </c>
      <c r="T3917">
        <f>IF(H3917="OK",N3917,"")</f>
        <v/>
      </c>
      <c r="U3917">
        <f>TRIM('Cash_Check'!C917)</f>
        <v/>
      </c>
    </row>
    <row r="3918">
      <c r="A3918" s="62">
        <f>IF(H3918="","",IF(ISNUMBER(N3918),N3918,I3918))</f>
        <v/>
      </c>
      <c r="B3918">
        <f>IF(H3918="","",U3918)</f>
        <v/>
      </c>
      <c r="C3918">
        <f>IF(H3918="","",IF(P3918="",K3918,INDEX('Students'!$A$2:$A$701,P3918)))</f>
        <v/>
      </c>
      <c r="D3918">
        <f>IF(OR(H3918="",P3918=""),"",INDEX('Students'!$B$2:$B$701,P3918))</f>
        <v/>
      </c>
      <c r="E3918">
        <f>IF(OR(H3918="",P3918=""),"",INDEX('Students'!$C$2:$C$701,P3918))</f>
        <v/>
      </c>
      <c r="F3918" s="48">
        <f>IF(H3918="","",IF(ISNUMBER(O3918),O3918,J3918))</f>
        <v/>
      </c>
      <c r="G3918">
        <f>IF(H3918="","",M3918)</f>
        <v/>
      </c>
      <c r="H3918">
        <f>IF(AND(I3918="",J3918="",K3918=""),"",IF(OR(NOT(ISNUMBER(O3918)),N(O3918)&lt;=0),"Bad amount",IF(NOT(ISNUMBER(N3918)),"Bad date",IF(P3918="","NAME NOT ON ROSTER","OK"))))</f>
        <v/>
      </c>
      <c r="I3918">
        <f>IF('Cash_Check'!A918="","",'Cash_Check'!A918)</f>
        <v/>
      </c>
      <c r="J3918">
        <f>IF('Cash_Check'!D918="","",'Cash_Check'!D918)</f>
        <v/>
      </c>
      <c r="K3918">
        <f>TRIM('Cash_Check'!B918)</f>
        <v/>
      </c>
      <c r="M3918">
        <f>IF(TRIM('Cash_Check'!E918)="","Cash/check",TRIM('Cash_Check'!E918))</f>
        <v/>
      </c>
      <c r="N3918">
        <f>IF(I3918="","",IF(ISNUMBER(I3918),INT(I3918),IFERROR(INT(DATEVALUE(I3918)),IFERROR(INT(VALUE(I3918)),"bad"))))</f>
        <v/>
      </c>
      <c r="O3918">
        <f>IF(J3918="","",IF(ISNUMBER(J3918),ROUND(J3918,2),IFERROR(ROUND(VALUE(SUBSTITUTE(SUBSTITUTE(SUBSTITUTE(J3918,"$",""),",","")," ","")),2),"bad")))</f>
        <v/>
      </c>
      <c r="P3918">
        <f>IF(K3918="","",IFERROR(MATCH(IF(ISNUMBER(FIND("#",K3918)),TRIM(MID(K3918,FIND("#",K3918)+1,20)),UPPER(K3918)),'Students'!$AD$2:$AD$701,0),""))</f>
        <v/>
      </c>
      <c r="R3918">
        <f>IF(P3918="","",INDEX('Students'!$AD$2:$AD$701,P3918))</f>
        <v/>
      </c>
      <c r="S3918">
        <f>IF(H3918="OK",O3918,0)</f>
        <v/>
      </c>
      <c r="T3918">
        <f>IF(H3918="OK",N3918,"")</f>
        <v/>
      </c>
      <c r="U3918">
        <f>TRIM('Cash_Check'!C918)</f>
        <v/>
      </c>
    </row>
    <row r="3919">
      <c r="A3919" s="62">
        <f>IF(H3919="","",IF(ISNUMBER(N3919),N3919,I3919))</f>
        <v/>
      </c>
      <c r="B3919">
        <f>IF(H3919="","",U3919)</f>
        <v/>
      </c>
      <c r="C3919">
        <f>IF(H3919="","",IF(P3919="",K3919,INDEX('Students'!$A$2:$A$701,P3919)))</f>
        <v/>
      </c>
      <c r="D3919">
        <f>IF(OR(H3919="",P3919=""),"",INDEX('Students'!$B$2:$B$701,P3919))</f>
        <v/>
      </c>
      <c r="E3919">
        <f>IF(OR(H3919="",P3919=""),"",INDEX('Students'!$C$2:$C$701,P3919))</f>
        <v/>
      </c>
      <c r="F3919" s="48">
        <f>IF(H3919="","",IF(ISNUMBER(O3919),O3919,J3919))</f>
        <v/>
      </c>
      <c r="G3919">
        <f>IF(H3919="","",M3919)</f>
        <v/>
      </c>
      <c r="H3919">
        <f>IF(AND(I3919="",J3919="",K3919=""),"",IF(OR(NOT(ISNUMBER(O3919)),N(O3919)&lt;=0),"Bad amount",IF(NOT(ISNUMBER(N3919)),"Bad date",IF(P3919="","NAME NOT ON ROSTER","OK"))))</f>
        <v/>
      </c>
      <c r="I3919">
        <f>IF('Cash_Check'!A919="","",'Cash_Check'!A919)</f>
        <v/>
      </c>
      <c r="J3919">
        <f>IF('Cash_Check'!D919="","",'Cash_Check'!D919)</f>
        <v/>
      </c>
      <c r="K3919">
        <f>TRIM('Cash_Check'!B919)</f>
        <v/>
      </c>
      <c r="M3919">
        <f>IF(TRIM('Cash_Check'!E919)="","Cash/check",TRIM('Cash_Check'!E919))</f>
        <v/>
      </c>
      <c r="N3919">
        <f>IF(I3919="","",IF(ISNUMBER(I3919),INT(I3919),IFERROR(INT(DATEVALUE(I3919)),IFERROR(INT(VALUE(I3919)),"bad"))))</f>
        <v/>
      </c>
      <c r="O3919">
        <f>IF(J3919="","",IF(ISNUMBER(J3919),ROUND(J3919,2),IFERROR(ROUND(VALUE(SUBSTITUTE(SUBSTITUTE(SUBSTITUTE(J3919,"$",""),",","")," ","")),2),"bad")))</f>
        <v/>
      </c>
      <c r="P3919">
        <f>IF(K3919="","",IFERROR(MATCH(IF(ISNUMBER(FIND("#",K3919)),TRIM(MID(K3919,FIND("#",K3919)+1,20)),UPPER(K3919)),'Students'!$AD$2:$AD$701,0),""))</f>
        <v/>
      </c>
      <c r="R3919">
        <f>IF(P3919="","",INDEX('Students'!$AD$2:$AD$701,P3919))</f>
        <v/>
      </c>
      <c r="S3919">
        <f>IF(H3919="OK",O3919,0)</f>
        <v/>
      </c>
      <c r="T3919">
        <f>IF(H3919="OK",N3919,"")</f>
        <v/>
      </c>
      <c r="U3919">
        <f>TRIM('Cash_Check'!C919)</f>
        <v/>
      </c>
    </row>
    <row r="3920">
      <c r="A3920" s="62">
        <f>IF(H3920="","",IF(ISNUMBER(N3920),N3920,I3920))</f>
        <v/>
      </c>
      <c r="B3920">
        <f>IF(H3920="","",U3920)</f>
        <v/>
      </c>
      <c r="C3920">
        <f>IF(H3920="","",IF(P3920="",K3920,INDEX('Students'!$A$2:$A$701,P3920)))</f>
        <v/>
      </c>
      <c r="D3920">
        <f>IF(OR(H3920="",P3920=""),"",INDEX('Students'!$B$2:$B$701,P3920))</f>
        <v/>
      </c>
      <c r="E3920">
        <f>IF(OR(H3920="",P3920=""),"",INDEX('Students'!$C$2:$C$701,P3920))</f>
        <v/>
      </c>
      <c r="F3920" s="48">
        <f>IF(H3920="","",IF(ISNUMBER(O3920),O3920,J3920))</f>
        <v/>
      </c>
      <c r="G3920">
        <f>IF(H3920="","",M3920)</f>
        <v/>
      </c>
      <c r="H3920">
        <f>IF(AND(I3920="",J3920="",K3920=""),"",IF(OR(NOT(ISNUMBER(O3920)),N(O3920)&lt;=0),"Bad amount",IF(NOT(ISNUMBER(N3920)),"Bad date",IF(P3920="","NAME NOT ON ROSTER","OK"))))</f>
        <v/>
      </c>
      <c r="I3920">
        <f>IF('Cash_Check'!A920="","",'Cash_Check'!A920)</f>
        <v/>
      </c>
      <c r="J3920">
        <f>IF('Cash_Check'!D920="","",'Cash_Check'!D920)</f>
        <v/>
      </c>
      <c r="K3920">
        <f>TRIM('Cash_Check'!B920)</f>
        <v/>
      </c>
      <c r="M3920">
        <f>IF(TRIM('Cash_Check'!E920)="","Cash/check",TRIM('Cash_Check'!E920))</f>
        <v/>
      </c>
      <c r="N3920">
        <f>IF(I3920="","",IF(ISNUMBER(I3920),INT(I3920),IFERROR(INT(DATEVALUE(I3920)),IFERROR(INT(VALUE(I3920)),"bad"))))</f>
        <v/>
      </c>
      <c r="O3920">
        <f>IF(J3920="","",IF(ISNUMBER(J3920),ROUND(J3920,2),IFERROR(ROUND(VALUE(SUBSTITUTE(SUBSTITUTE(SUBSTITUTE(J3920,"$",""),",","")," ","")),2),"bad")))</f>
        <v/>
      </c>
      <c r="P3920">
        <f>IF(K3920="","",IFERROR(MATCH(IF(ISNUMBER(FIND("#",K3920)),TRIM(MID(K3920,FIND("#",K3920)+1,20)),UPPER(K3920)),'Students'!$AD$2:$AD$701,0),""))</f>
        <v/>
      </c>
      <c r="R3920">
        <f>IF(P3920="","",INDEX('Students'!$AD$2:$AD$701,P3920))</f>
        <v/>
      </c>
      <c r="S3920">
        <f>IF(H3920="OK",O3920,0)</f>
        <v/>
      </c>
      <c r="T3920">
        <f>IF(H3920="OK",N3920,"")</f>
        <v/>
      </c>
      <c r="U3920">
        <f>TRIM('Cash_Check'!C920)</f>
        <v/>
      </c>
    </row>
    <row r="3921">
      <c r="A3921" s="62">
        <f>IF(H3921="","",IF(ISNUMBER(N3921),N3921,I3921))</f>
        <v/>
      </c>
      <c r="B3921">
        <f>IF(H3921="","",U3921)</f>
        <v/>
      </c>
      <c r="C3921">
        <f>IF(H3921="","",IF(P3921="",K3921,INDEX('Students'!$A$2:$A$701,P3921)))</f>
        <v/>
      </c>
      <c r="D3921">
        <f>IF(OR(H3921="",P3921=""),"",INDEX('Students'!$B$2:$B$701,P3921))</f>
        <v/>
      </c>
      <c r="E3921">
        <f>IF(OR(H3921="",P3921=""),"",INDEX('Students'!$C$2:$C$701,P3921))</f>
        <v/>
      </c>
      <c r="F3921" s="48">
        <f>IF(H3921="","",IF(ISNUMBER(O3921),O3921,J3921))</f>
        <v/>
      </c>
      <c r="G3921">
        <f>IF(H3921="","",M3921)</f>
        <v/>
      </c>
      <c r="H3921">
        <f>IF(AND(I3921="",J3921="",K3921=""),"",IF(OR(NOT(ISNUMBER(O3921)),N(O3921)&lt;=0),"Bad amount",IF(NOT(ISNUMBER(N3921)),"Bad date",IF(P3921="","NAME NOT ON ROSTER","OK"))))</f>
        <v/>
      </c>
      <c r="I3921">
        <f>IF('Cash_Check'!A921="","",'Cash_Check'!A921)</f>
        <v/>
      </c>
      <c r="J3921">
        <f>IF('Cash_Check'!D921="","",'Cash_Check'!D921)</f>
        <v/>
      </c>
      <c r="K3921">
        <f>TRIM('Cash_Check'!B921)</f>
        <v/>
      </c>
      <c r="M3921">
        <f>IF(TRIM('Cash_Check'!E921)="","Cash/check",TRIM('Cash_Check'!E921))</f>
        <v/>
      </c>
      <c r="N3921">
        <f>IF(I3921="","",IF(ISNUMBER(I3921),INT(I3921),IFERROR(INT(DATEVALUE(I3921)),IFERROR(INT(VALUE(I3921)),"bad"))))</f>
        <v/>
      </c>
      <c r="O3921">
        <f>IF(J3921="","",IF(ISNUMBER(J3921),ROUND(J3921,2),IFERROR(ROUND(VALUE(SUBSTITUTE(SUBSTITUTE(SUBSTITUTE(J3921,"$",""),",","")," ","")),2),"bad")))</f>
        <v/>
      </c>
      <c r="P3921">
        <f>IF(K3921="","",IFERROR(MATCH(IF(ISNUMBER(FIND("#",K3921)),TRIM(MID(K3921,FIND("#",K3921)+1,20)),UPPER(K3921)),'Students'!$AD$2:$AD$701,0),""))</f>
        <v/>
      </c>
      <c r="R3921">
        <f>IF(P3921="","",INDEX('Students'!$AD$2:$AD$701,P3921))</f>
        <v/>
      </c>
      <c r="S3921">
        <f>IF(H3921="OK",O3921,0)</f>
        <v/>
      </c>
      <c r="T3921">
        <f>IF(H3921="OK",N3921,"")</f>
        <v/>
      </c>
      <c r="U3921">
        <f>TRIM('Cash_Check'!C921)</f>
        <v/>
      </c>
    </row>
    <row r="3922">
      <c r="A3922" s="62">
        <f>IF(H3922="","",IF(ISNUMBER(N3922),N3922,I3922))</f>
        <v/>
      </c>
      <c r="B3922">
        <f>IF(H3922="","",U3922)</f>
        <v/>
      </c>
      <c r="C3922">
        <f>IF(H3922="","",IF(P3922="",K3922,INDEX('Students'!$A$2:$A$701,P3922)))</f>
        <v/>
      </c>
      <c r="D3922">
        <f>IF(OR(H3922="",P3922=""),"",INDEX('Students'!$B$2:$B$701,P3922))</f>
        <v/>
      </c>
      <c r="E3922">
        <f>IF(OR(H3922="",P3922=""),"",INDEX('Students'!$C$2:$C$701,P3922))</f>
        <v/>
      </c>
      <c r="F3922" s="48">
        <f>IF(H3922="","",IF(ISNUMBER(O3922),O3922,J3922))</f>
        <v/>
      </c>
      <c r="G3922">
        <f>IF(H3922="","",M3922)</f>
        <v/>
      </c>
      <c r="H3922">
        <f>IF(AND(I3922="",J3922="",K3922=""),"",IF(OR(NOT(ISNUMBER(O3922)),N(O3922)&lt;=0),"Bad amount",IF(NOT(ISNUMBER(N3922)),"Bad date",IF(P3922="","NAME NOT ON ROSTER","OK"))))</f>
        <v/>
      </c>
      <c r="I3922">
        <f>IF('Cash_Check'!A922="","",'Cash_Check'!A922)</f>
        <v/>
      </c>
      <c r="J3922">
        <f>IF('Cash_Check'!D922="","",'Cash_Check'!D922)</f>
        <v/>
      </c>
      <c r="K3922">
        <f>TRIM('Cash_Check'!B922)</f>
        <v/>
      </c>
      <c r="M3922">
        <f>IF(TRIM('Cash_Check'!E922)="","Cash/check",TRIM('Cash_Check'!E922))</f>
        <v/>
      </c>
      <c r="N3922">
        <f>IF(I3922="","",IF(ISNUMBER(I3922),INT(I3922),IFERROR(INT(DATEVALUE(I3922)),IFERROR(INT(VALUE(I3922)),"bad"))))</f>
        <v/>
      </c>
      <c r="O3922">
        <f>IF(J3922="","",IF(ISNUMBER(J3922),ROUND(J3922,2),IFERROR(ROUND(VALUE(SUBSTITUTE(SUBSTITUTE(SUBSTITUTE(J3922,"$",""),",","")," ","")),2),"bad")))</f>
        <v/>
      </c>
      <c r="P3922">
        <f>IF(K3922="","",IFERROR(MATCH(IF(ISNUMBER(FIND("#",K3922)),TRIM(MID(K3922,FIND("#",K3922)+1,20)),UPPER(K3922)),'Students'!$AD$2:$AD$701,0),""))</f>
        <v/>
      </c>
      <c r="R3922">
        <f>IF(P3922="","",INDEX('Students'!$AD$2:$AD$701,P3922))</f>
        <v/>
      </c>
      <c r="S3922">
        <f>IF(H3922="OK",O3922,0)</f>
        <v/>
      </c>
      <c r="T3922">
        <f>IF(H3922="OK",N3922,"")</f>
        <v/>
      </c>
      <c r="U3922">
        <f>TRIM('Cash_Check'!C922)</f>
        <v/>
      </c>
    </row>
    <row r="3923">
      <c r="A3923" s="62">
        <f>IF(H3923="","",IF(ISNUMBER(N3923),N3923,I3923))</f>
        <v/>
      </c>
      <c r="B3923">
        <f>IF(H3923="","",U3923)</f>
        <v/>
      </c>
      <c r="C3923">
        <f>IF(H3923="","",IF(P3923="",K3923,INDEX('Students'!$A$2:$A$701,P3923)))</f>
        <v/>
      </c>
      <c r="D3923">
        <f>IF(OR(H3923="",P3923=""),"",INDEX('Students'!$B$2:$B$701,P3923))</f>
        <v/>
      </c>
      <c r="E3923">
        <f>IF(OR(H3923="",P3923=""),"",INDEX('Students'!$C$2:$C$701,P3923))</f>
        <v/>
      </c>
      <c r="F3923" s="48">
        <f>IF(H3923="","",IF(ISNUMBER(O3923),O3923,J3923))</f>
        <v/>
      </c>
      <c r="G3923">
        <f>IF(H3923="","",M3923)</f>
        <v/>
      </c>
      <c r="H3923">
        <f>IF(AND(I3923="",J3923="",K3923=""),"",IF(OR(NOT(ISNUMBER(O3923)),N(O3923)&lt;=0),"Bad amount",IF(NOT(ISNUMBER(N3923)),"Bad date",IF(P3923="","NAME NOT ON ROSTER","OK"))))</f>
        <v/>
      </c>
      <c r="I3923">
        <f>IF('Cash_Check'!A923="","",'Cash_Check'!A923)</f>
        <v/>
      </c>
      <c r="J3923">
        <f>IF('Cash_Check'!D923="","",'Cash_Check'!D923)</f>
        <v/>
      </c>
      <c r="K3923">
        <f>TRIM('Cash_Check'!B923)</f>
        <v/>
      </c>
      <c r="M3923">
        <f>IF(TRIM('Cash_Check'!E923)="","Cash/check",TRIM('Cash_Check'!E923))</f>
        <v/>
      </c>
      <c r="N3923">
        <f>IF(I3923="","",IF(ISNUMBER(I3923),INT(I3923),IFERROR(INT(DATEVALUE(I3923)),IFERROR(INT(VALUE(I3923)),"bad"))))</f>
        <v/>
      </c>
      <c r="O3923">
        <f>IF(J3923="","",IF(ISNUMBER(J3923),ROUND(J3923,2),IFERROR(ROUND(VALUE(SUBSTITUTE(SUBSTITUTE(SUBSTITUTE(J3923,"$",""),",","")," ","")),2),"bad")))</f>
        <v/>
      </c>
      <c r="P3923">
        <f>IF(K3923="","",IFERROR(MATCH(IF(ISNUMBER(FIND("#",K3923)),TRIM(MID(K3923,FIND("#",K3923)+1,20)),UPPER(K3923)),'Students'!$AD$2:$AD$701,0),""))</f>
        <v/>
      </c>
      <c r="R3923">
        <f>IF(P3923="","",INDEX('Students'!$AD$2:$AD$701,P3923))</f>
        <v/>
      </c>
      <c r="S3923">
        <f>IF(H3923="OK",O3923,0)</f>
        <v/>
      </c>
      <c r="T3923">
        <f>IF(H3923="OK",N3923,"")</f>
        <v/>
      </c>
      <c r="U3923">
        <f>TRIM('Cash_Check'!C923)</f>
        <v/>
      </c>
    </row>
    <row r="3924">
      <c r="A3924" s="62">
        <f>IF(H3924="","",IF(ISNUMBER(N3924),N3924,I3924))</f>
        <v/>
      </c>
      <c r="B3924">
        <f>IF(H3924="","",U3924)</f>
        <v/>
      </c>
      <c r="C3924">
        <f>IF(H3924="","",IF(P3924="",K3924,INDEX('Students'!$A$2:$A$701,P3924)))</f>
        <v/>
      </c>
      <c r="D3924">
        <f>IF(OR(H3924="",P3924=""),"",INDEX('Students'!$B$2:$B$701,P3924))</f>
        <v/>
      </c>
      <c r="E3924">
        <f>IF(OR(H3924="",P3924=""),"",INDEX('Students'!$C$2:$C$701,P3924))</f>
        <v/>
      </c>
      <c r="F3924" s="48">
        <f>IF(H3924="","",IF(ISNUMBER(O3924),O3924,J3924))</f>
        <v/>
      </c>
      <c r="G3924">
        <f>IF(H3924="","",M3924)</f>
        <v/>
      </c>
      <c r="H3924">
        <f>IF(AND(I3924="",J3924="",K3924=""),"",IF(OR(NOT(ISNUMBER(O3924)),N(O3924)&lt;=0),"Bad amount",IF(NOT(ISNUMBER(N3924)),"Bad date",IF(P3924="","NAME NOT ON ROSTER","OK"))))</f>
        <v/>
      </c>
      <c r="I3924">
        <f>IF('Cash_Check'!A924="","",'Cash_Check'!A924)</f>
        <v/>
      </c>
      <c r="J3924">
        <f>IF('Cash_Check'!D924="","",'Cash_Check'!D924)</f>
        <v/>
      </c>
      <c r="K3924">
        <f>TRIM('Cash_Check'!B924)</f>
        <v/>
      </c>
      <c r="M3924">
        <f>IF(TRIM('Cash_Check'!E924)="","Cash/check",TRIM('Cash_Check'!E924))</f>
        <v/>
      </c>
      <c r="N3924">
        <f>IF(I3924="","",IF(ISNUMBER(I3924),INT(I3924),IFERROR(INT(DATEVALUE(I3924)),IFERROR(INT(VALUE(I3924)),"bad"))))</f>
        <v/>
      </c>
      <c r="O3924">
        <f>IF(J3924="","",IF(ISNUMBER(J3924),ROUND(J3924,2),IFERROR(ROUND(VALUE(SUBSTITUTE(SUBSTITUTE(SUBSTITUTE(J3924,"$",""),",","")," ","")),2),"bad")))</f>
        <v/>
      </c>
      <c r="P3924">
        <f>IF(K3924="","",IFERROR(MATCH(IF(ISNUMBER(FIND("#",K3924)),TRIM(MID(K3924,FIND("#",K3924)+1,20)),UPPER(K3924)),'Students'!$AD$2:$AD$701,0),""))</f>
        <v/>
      </c>
      <c r="R3924">
        <f>IF(P3924="","",INDEX('Students'!$AD$2:$AD$701,P3924))</f>
        <v/>
      </c>
      <c r="S3924">
        <f>IF(H3924="OK",O3924,0)</f>
        <v/>
      </c>
      <c r="T3924">
        <f>IF(H3924="OK",N3924,"")</f>
        <v/>
      </c>
      <c r="U3924">
        <f>TRIM('Cash_Check'!C924)</f>
        <v/>
      </c>
    </row>
    <row r="3925">
      <c r="A3925" s="62">
        <f>IF(H3925="","",IF(ISNUMBER(N3925),N3925,I3925))</f>
        <v/>
      </c>
      <c r="B3925">
        <f>IF(H3925="","",U3925)</f>
        <v/>
      </c>
      <c r="C3925">
        <f>IF(H3925="","",IF(P3925="",K3925,INDEX('Students'!$A$2:$A$701,P3925)))</f>
        <v/>
      </c>
      <c r="D3925">
        <f>IF(OR(H3925="",P3925=""),"",INDEX('Students'!$B$2:$B$701,P3925))</f>
        <v/>
      </c>
      <c r="E3925">
        <f>IF(OR(H3925="",P3925=""),"",INDEX('Students'!$C$2:$C$701,P3925))</f>
        <v/>
      </c>
      <c r="F3925" s="48">
        <f>IF(H3925="","",IF(ISNUMBER(O3925),O3925,J3925))</f>
        <v/>
      </c>
      <c r="G3925">
        <f>IF(H3925="","",M3925)</f>
        <v/>
      </c>
      <c r="H3925">
        <f>IF(AND(I3925="",J3925="",K3925=""),"",IF(OR(NOT(ISNUMBER(O3925)),N(O3925)&lt;=0),"Bad amount",IF(NOT(ISNUMBER(N3925)),"Bad date",IF(P3925="","NAME NOT ON ROSTER","OK"))))</f>
        <v/>
      </c>
      <c r="I3925">
        <f>IF('Cash_Check'!A925="","",'Cash_Check'!A925)</f>
        <v/>
      </c>
      <c r="J3925">
        <f>IF('Cash_Check'!D925="","",'Cash_Check'!D925)</f>
        <v/>
      </c>
      <c r="K3925">
        <f>TRIM('Cash_Check'!B925)</f>
        <v/>
      </c>
      <c r="M3925">
        <f>IF(TRIM('Cash_Check'!E925)="","Cash/check",TRIM('Cash_Check'!E925))</f>
        <v/>
      </c>
      <c r="N3925">
        <f>IF(I3925="","",IF(ISNUMBER(I3925),INT(I3925),IFERROR(INT(DATEVALUE(I3925)),IFERROR(INT(VALUE(I3925)),"bad"))))</f>
        <v/>
      </c>
      <c r="O3925">
        <f>IF(J3925="","",IF(ISNUMBER(J3925),ROUND(J3925,2),IFERROR(ROUND(VALUE(SUBSTITUTE(SUBSTITUTE(SUBSTITUTE(J3925,"$",""),",","")," ","")),2),"bad")))</f>
        <v/>
      </c>
      <c r="P3925">
        <f>IF(K3925="","",IFERROR(MATCH(IF(ISNUMBER(FIND("#",K3925)),TRIM(MID(K3925,FIND("#",K3925)+1,20)),UPPER(K3925)),'Students'!$AD$2:$AD$701,0),""))</f>
        <v/>
      </c>
      <c r="R3925">
        <f>IF(P3925="","",INDEX('Students'!$AD$2:$AD$701,P3925))</f>
        <v/>
      </c>
      <c r="S3925">
        <f>IF(H3925="OK",O3925,0)</f>
        <v/>
      </c>
      <c r="T3925">
        <f>IF(H3925="OK",N3925,"")</f>
        <v/>
      </c>
      <c r="U3925">
        <f>TRIM('Cash_Check'!C925)</f>
        <v/>
      </c>
    </row>
    <row r="3926">
      <c r="A3926" s="62">
        <f>IF(H3926="","",IF(ISNUMBER(N3926),N3926,I3926))</f>
        <v/>
      </c>
      <c r="B3926">
        <f>IF(H3926="","",U3926)</f>
        <v/>
      </c>
      <c r="C3926">
        <f>IF(H3926="","",IF(P3926="",K3926,INDEX('Students'!$A$2:$A$701,P3926)))</f>
        <v/>
      </c>
      <c r="D3926">
        <f>IF(OR(H3926="",P3926=""),"",INDEX('Students'!$B$2:$B$701,P3926))</f>
        <v/>
      </c>
      <c r="E3926">
        <f>IF(OR(H3926="",P3926=""),"",INDEX('Students'!$C$2:$C$701,P3926))</f>
        <v/>
      </c>
      <c r="F3926" s="48">
        <f>IF(H3926="","",IF(ISNUMBER(O3926),O3926,J3926))</f>
        <v/>
      </c>
      <c r="G3926">
        <f>IF(H3926="","",M3926)</f>
        <v/>
      </c>
      <c r="H3926">
        <f>IF(AND(I3926="",J3926="",K3926=""),"",IF(OR(NOT(ISNUMBER(O3926)),N(O3926)&lt;=0),"Bad amount",IF(NOT(ISNUMBER(N3926)),"Bad date",IF(P3926="","NAME NOT ON ROSTER","OK"))))</f>
        <v/>
      </c>
      <c r="I3926">
        <f>IF('Cash_Check'!A926="","",'Cash_Check'!A926)</f>
        <v/>
      </c>
      <c r="J3926">
        <f>IF('Cash_Check'!D926="","",'Cash_Check'!D926)</f>
        <v/>
      </c>
      <c r="K3926">
        <f>TRIM('Cash_Check'!B926)</f>
        <v/>
      </c>
      <c r="M3926">
        <f>IF(TRIM('Cash_Check'!E926)="","Cash/check",TRIM('Cash_Check'!E926))</f>
        <v/>
      </c>
      <c r="N3926">
        <f>IF(I3926="","",IF(ISNUMBER(I3926),INT(I3926),IFERROR(INT(DATEVALUE(I3926)),IFERROR(INT(VALUE(I3926)),"bad"))))</f>
        <v/>
      </c>
      <c r="O3926">
        <f>IF(J3926="","",IF(ISNUMBER(J3926),ROUND(J3926,2),IFERROR(ROUND(VALUE(SUBSTITUTE(SUBSTITUTE(SUBSTITUTE(J3926,"$",""),",","")," ","")),2),"bad")))</f>
        <v/>
      </c>
      <c r="P3926">
        <f>IF(K3926="","",IFERROR(MATCH(IF(ISNUMBER(FIND("#",K3926)),TRIM(MID(K3926,FIND("#",K3926)+1,20)),UPPER(K3926)),'Students'!$AD$2:$AD$701,0),""))</f>
        <v/>
      </c>
      <c r="R3926">
        <f>IF(P3926="","",INDEX('Students'!$AD$2:$AD$701,P3926))</f>
        <v/>
      </c>
      <c r="S3926">
        <f>IF(H3926="OK",O3926,0)</f>
        <v/>
      </c>
      <c r="T3926">
        <f>IF(H3926="OK",N3926,"")</f>
        <v/>
      </c>
      <c r="U3926">
        <f>TRIM('Cash_Check'!C926)</f>
        <v/>
      </c>
    </row>
    <row r="3927">
      <c r="A3927" s="62">
        <f>IF(H3927="","",IF(ISNUMBER(N3927),N3927,I3927))</f>
        <v/>
      </c>
      <c r="B3927">
        <f>IF(H3927="","",U3927)</f>
        <v/>
      </c>
      <c r="C3927">
        <f>IF(H3927="","",IF(P3927="",K3927,INDEX('Students'!$A$2:$A$701,P3927)))</f>
        <v/>
      </c>
      <c r="D3927">
        <f>IF(OR(H3927="",P3927=""),"",INDEX('Students'!$B$2:$B$701,P3927))</f>
        <v/>
      </c>
      <c r="E3927">
        <f>IF(OR(H3927="",P3927=""),"",INDEX('Students'!$C$2:$C$701,P3927))</f>
        <v/>
      </c>
      <c r="F3927" s="48">
        <f>IF(H3927="","",IF(ISNUMBER(O3927),O3927,J3927))</f>
        <v/>
      </c>
      <c r="G3927">
        <f>IF(H3927="","",M3927)</f>
        <v/>
      </c>
      <c r="H3927">
        <f>IF(AND(I3927="",J3927="",K3927=""),"",IF(OR(NOT(ISNUMBER(O3927)),N(O3927)&lt;=0),"Bad amount",IF(NOT(ISNUMBER(N3927)),"Bad date",IF(P3927="","NAME NOT ON ROSTER","OK"))))</f>
        <v/>
      </c>
      <c r="I3927">
        <f>IF('Cash_Check'!A927="","",'Cash_Check'!A927)</f>
        <v/>
      </c>
      <c r="J3927">
        <f>IF('Cash_Check'!D927="","",'Cash_Check'!D927)</f>
        <v/>
      </c>
      <c r="K3927">
        <f>TRIM('Cash_Check'!B927)</f>
        <v/>
      </c>
      <c r="M3927">
        <f>IF(TRIM('Cash_Check'!E927)="","Cash/check",TRIM('Cash_Check'!E927))</f>
        <v/>
      </c>
      <c r="N3927">
        <f>IF(I3927="","",IF(ISNUMBER(I3927),INT(I3927),IFERROR(INT(DATEVALUE(I3927)),IFERROR(INT(VALUE(I3927)),"bad"))))</f>
        <v/>
      </c>
      <c r="O3927">
        <f>IF(J3927="","",IF(ISNUMBER(J3927),ROUND(J3927,2),IFERROR(ROUND(VALUE(SUBSTITUTE(SUBSTITUTE(SUBSTITUTE(J3927,"$",""),",","")," ","")),2),"bad")))</f>
        <v/>
      </c>
      <c r="P3927">
        <f>IF(K3927="","",IFERROR(MATCH(IF(ISNUMBER(FIND("#",K3927)),TRIM(MID(K3927,FIND("#",K3927)+1,20)),UPPER(K3927)),'Students'!$AD$2:$AD$701,0),""))</f>
        <v/>
      </c>
      <c r="R3927">
        <f>IF(P3927="","",INDEX('Students'!$AD$2:$AD$701,P3927))</f>
        <v/>
      </c>
      <c r="S3927">
        <f>IF(H3927="OK",O3927,0)</f>
        <v/>
      </c>
      <c r="T3927">
        <f>IF(H3927="OK",N3927,"")</f>
        <v/>
      </c>
      <c r="U3927">
        <f>TRIM('Cash_Check'!C927)</f>
        <v/>
      </c>
    </row>
    <row r="3928">
      <c r="A3928" s="62">
        <f>IF(H3928="","",IF(ISNUMBER(N3928),N3928,I3928))</f>
        <v/>
      </c>
      <c r="B3928">
        <f>IF(H3928="","",U3928)</f>
        <v/>
      </c>
      <c r="C3928">
        <f>IF(H3928="","",IF(P3928="",K3928,INDEX('Students'!$A$2:$A$701,P3928)))</f>
        <v/>
      </c>
      <c r="D3928">
        <f>IF(OR(H3928="",P3928=""),"",INDEX('Students'!$B$2:$B$701,P3928))</f>
        <v/>
      </c>
      <c r="E3928">
        <f>IF(OR(H3928="",P3928=""),"",INDEX('Students'!$C$2:$C$701,P3928))</f>
        <v/>
      </c>
      <c r="F3928" s="48">
        <f>IF(H3928="","",IF(ISNUMBER(O3928),O3928,J3928))</f>
        <v/>
      </c>
      <c r="G3928">
        <f>IF(H3928="","",M3928)</f>
        <v/>
      </c>
      <c r="H3928">
        <f>IF(AND(I3928="",J3928="",K3928=""),"",IF(OR(NOT(ISNUMBER(O3928)),N(O3928)&lt;=0),"Bad amount",IF(NOT(ISNUMBER(N3928)),"Bad date",IF(P3928="","NAME NOT ON ROSTER","OK"))))</f>
        <v/>
      </c>
      <c r="I3928">
        <f>IF('Cash_Check'!A928="","",'Cash_Check'!A928)</f>
        <v/>
      </c>
      <c r="J3928">
        <f>IF('Cash_Check'!D928="","",'Cash_Check'!D928)</f>
        <v/>
      </c>
      <c r="K3928">
        <f>TRIM('Cash_Check'!B928)</f>
        <v/>
      </c>
      <c r="M3928">
        <f>IF(TRIM('Cash_Check'!E928)="","Cash/check",TRIM('Cash_Check'!E928))</f>
        <v/>
      </c>
      <c r="N3928">
        <f>IF(I3928="","",IF(ISNUMBER(I3928),INT(I3928),IFERROR(INT(DATEVALUE(I3928)),IFERROR(INT(VALUE(I3928)),"bad"))))</f>
        <v/>
      </c>
      <c r="O3928">
        <f>IF(J3928="","",IF(ISNUMBER(J3928),ROUND(J3928,2),IFERROR(ROUND(VALUE(SUBSTITUTE(SUBSTITUTE(SUBSTITUTE(J3928,"$",""),",","")," ","")),2),"bad")))</f>
        <v/>
      </c>
      <c r="P3928">
        <f>IF(K3928="","",IFERROR(MATCH(IF(ISNUMBER(FIND("#",K3928)),TRIM(MID(K3928,FIND("#",K3928)+1,20)),UPPER(K3928)),'Students'!$AD$2:$AD$701,0),""))</f>
        <v/>
      </c>
      <c r="R3928">
        <f>IF(P3928="","",INDEX('Students'!$AD$2:$AD$701,P3928))</f>
        <v/>
      </c>
      <c r="S3928">
        <f>IF(H3928="OK",O3928,0)</f>
        <v/>
      </c>
      <c r="T3928">
        <f>IF(H3928="OK",N3928,"")</f>
        <v/>
      </c>
      <c r="U3928">
        <f>TRIM('Cash_Check'!C928)</f>
        <v/>
      </c>
    </row>
    <row r="3929">
      <c r="A3929" s="62">
        <f>IF(H3929="","",IF(ISNUMBER(N3929),N3929,I3929))</f>
        <v/>
      </c>
      <c r="B3929">
        <f>IF(H3929="","",U3929)</f>
        <v/>
      </c>
      <c r="C3929">
        <f>IF(H3929="","",IF(P3929="",K3929,INDEX('Students'!$A$2:$A$701,P3929)))</f>
        <v/>
      </c>
      <c r="D3929">
        <f>IF(OR(H3929="",P3929=""),"",INDEX('Students'!$B$2:$B$701,P3929))</f>
        <v/>
      </c>
      <c r="E3929">
        <f>IF(OR(H3929="",P3929=""),"",INDEX('Students'!$C$2:$C$701,P3929))</f>
        <v/>
      </c>
      <c r="F3929" s="48">
        <f>IF(H3929="","",IF(ISNUMBER(O3929),O3929,J3929))</f>
        <v/>
      </c>
      <c r="G3929">
        <f>IF(H3929="","",M3929)</f>
        <v/>
      </c>
      <c r="H3929">
        <f>IF(AND(I3929="",J3929="",K3929=""),"",IF(OR(NOT(ISNUMBER(O3929)),N(O3929)&lt;=0),"Bad amount",IF(NOT(ISNUMBER(N3929)),"Bad date",IF(P3929="","NAME NOT ON ROSTER","OK"))))</f>
        <v/>
      </c>
      <c r="I3929">
        <f>IF('Cash_Check'!A929="","",'Cash_Check'!A929)</f>
        <v/>
      </c>
      <c r="J3929">
        <f>IF('Cash_Check'!D929="","",'Cash_Check'!D929)</f>
        <v/>
      </c>
      <c r="K3929">
        <f>TRIM('Cash_Check'!B929)</f>
        <v/>
      </c>
      <c r="M3929">
        <f>IF(TRIM('Cash_Check'!E929)="","Cash/check",TRIM('Cash_Check'!E929))</f>
        <v/>
      </c>
      <c r="N3929">
        <f>IF(I3929="","",IF(ISNUMBER(I3929),INT(I3929),IFERROR(INT(DATEVALUE(I3929)),IFERROR(INT(VALUE(I3929)),"bad"))))</f>
        <v/>
      </c>
      <c r="O3929">
        <f>IF(J3929="","",IF(ISNUMBER(J3929),ROUND(J3929,2),IFERROR(ROUND(VALUE(SUBSTITUTE(SUBSTITUTE(SUBSTITUTE(J3929,"$",""),",","")," ","")),2),"bad")))</f>
        <v/>
      </c>
      <c r="P3929">
        <f>IF(K3929="","",IFERROR(MATCH(IF(ISNUMBER(FIND("#",K3929)),TRIM(MID(K3929,FIND("#",K3929)+1,20)),UPPER(K3929)),'Students'!$AD$2:$AD$701,0),""))</f>
        <v/>
      </c>
      <c r="R3929">
        <f>IF(P3929="","",INDEX('Students'!$AD$2:$AD$701,P3929))</f>
        <v/>
      </c>
      <c r="S3929">
        <f>IF(H3929="OK",O3929,0)</f>
        <v/>
      </c>
      <c r="T3929">
        <f>IF(H3929="OK",N3929,"")</f>
        <v/>
      </c>
      <c r="U3929">
        <f>TRIM('Cash_Check'!C929)</f>
        <v/>
      </c>
    </row>
    <row r="3930">
      <c r="A3930" s="62">
        <f>IF(H3930="","",IF(ISNUMBER(N3930),N3930,I3930))</f>
        <v/>
      </c>
      <c r="B3930">
        <f>IF(H3930="","",U3930)</f>
        <v/>
      </c>
      <c r="C3930">
        <f>IF(H3930="","",IF(P3930="",K3930,INDEX('Students'!$A$2:$A$701,P3930)))</f>
        <v/>
      </c>
      <c r="D3930">
        <f>IF(OR(H3930="",P3930=""),"",INDEX('Students'!$B$2:$B$701,P3930))</f>
        <v/>
      </c>
      <c r="E3930">
        <f>IF(OR(H3930="",P3930=""),"",INDEX('Students'!$C$2:$C$701,P3930))</f>
        <v/>
      </c>
      <c r="F3930" s="48">
        <f>IF(H3930="","",IF(ISNUMBER(O3930),O3930,J3930))</f>
        <v/>
      </c>
      <c r="G3930">
        <f>IF(H3930="","",M3930)</f>
        <v/>
      </c>
      <c r="H3930">
        <f>IF(AND(I3930="",J3930="",K3930=""),"",IF(OR(NOT(ISNUMBER(O3930)),N(O3930)&lt;=0),"Bad amount",IF(NOT(ISNUMBER(N3930)),"Bad date",IF(P3930="","NAME NOT ON ROSTER","OK"))))</f>
        <v/>
      </c>
      <c r="I3930">
        <f>IF('Cash_Check'!A930="","",'Cash_Check'!A930)</f>
        <v/>
      </c>
      <c r="J3930">
        <f>IF('Cash_Check'!D930="","",'Cash_Check'!D930)</f>
        <v/>
      </c>
      <c r="K3930">
        <f>TRIM('Cash_Check'!B930)</f>
        <v/>
      </c>
      <c r="M3930">
        <f>IF(TRIM('Cash_Check'!E930)="","Cash/check",TRIM('Cash_Check'!E930))</f>
        <v/>
      </c>
      <c r="N3930">
        <f>IF(I3930="","",IF(ISNUMBER(I3930),INT(I3930),IFERROR(INT(DATEVALUE(I3930)),IFERROR(INT(VALUE(I3930)),"bad"))))</f>
        <v/>
      </c>
      <c r="O3930">
        <f>IF(J3930="","",IF(ISNUMBER(J3930),ROUND(J3930,2),IFERROR(ROUND(VALUE(SUBSTITUTE(SUBSTITUTE(SUBSTITUTE(J3930,"$",""),",","")," ","")),2),"bad")))</f>
        <v/>
      </c>
      <c r="P3930">
        <f>IF(K3930="","",IFERROR(MATCH(IF(ISNUMBER(FIND("#",K3930)),TRIM(MID(K3930,FIND("#",K3930)+1,20)),UPPER(K3930)),'Students'!$AD$2:$AD$701,0),""))</f>
        <v/>
      </c>
      <c r="R3930">
        <f>IF(P3930="","",INDEX('Students'!$AD$2:$AD$701,P3930))</f>
        <v/>
      </c>
      <c r="S3930">
        <f>IF(H3930="OK",O3930,0)</f>
        <v/>
      </c>
      <c r="T3930">
        <f>IF(H3930="OK",N3930,"")</f>
        <v/>
      </c>
      <c r="U3930">
        <f>TRIM('Cash_Check'!C930)</f>
        <v/>
      </c>
    </row>
    <row r="3931">
      <c r="A3931" s="62">
        <f>IF(H3931="","",IF(ISNUMBER(N3931),N3931,I3931))</f>
        <v/>
      </c>
      <c r="B3931">
        <f>IF(H3931="","",U3931)</f>
        <v/>
      </c>
      <c r="C3931">
        <f>IF(H3931="","",IF(P3931="",K3931,INDEX('Students'!$A$2:$A$701,P3931)))</f>
        <v/>
      </c>
      <c r="D3931">
        <f>IF(OR(H3931="",P3931=""),"",INDEX('Students'!$B$2:$B$701,P3931))</f>
        <v/>
      </c>
      <c r="E3931">
        <f>IF(OR(H3931="",P3931=""),"",INDEX('Students'!$C$2:$C$701,P3931))</f>
        <v/>
      </c>
      <c r="F3931" s="48">
        <f>IF(H3931="","",IF(ISNUMBER(O3931),O3931,J3931))</f>
        <v/>
      </c>
      <c r="G3931">
        <f>IF(H3931="","",M3931)</f>
        <v/>
      </c>
      <c r="H3931">
        <f>IF(AND(I3931="",J3931="",K3931=""),"",IF(OR(NOT(ISNUMBER(O3931)),N(O3931)&lt;=0),"Bad amount",IF(NOT(ISNUMBER(N3931)),"Bad date",IF(P3931="","NAME NOT ON ROSTER","OK"))))</f>
        <v/>
      </c>
      <c r="I3931">
        <f>IF('Cash_Check'!A931="","",'Cash_Check'!A931)</f>
        <v/>
      </c>
      <c r="J3931">
        <f>IF('Cash_Check'!D931="","",'Cash_Check'!D931)</f>
        <v/>
      </c>
      <c r="K3931">
        <f>TRIM('Cash_Check'!B931)</f>
        <v/>
      </c>
      <c r="M3931">
        <f>IF(TRIM('Cash_Check'!E931)="","Cash/check",TRIM('Cash_Check'!E931))</f>
        <v/>
      </c>
      <c r="N3931">
        <f>IF(I3931="","",IF(ISNUMBER(I3931),INT(I3931),IFERROR(INT(DATEVALUE(I3931)),IFERROR(INT(VALUE(I3931)),"bad"))))</f>
        <v/>
      </c>
      <c r="O3931">
        <f>IF(J3931="","",IF(ISNUMBER(J3931),ROUND(J3931,2),IFERROR(ROUND(VALUE(SUBSTITUTE(SUBSTITUTE(SUBSTITUTE(J3931,"$",""),",","")," ","")),2),"bad")))</f>
        <v/>
      </c>
      <c r="P3931">
        <f>IF(K3931="","",IFERROR(MATCH(IF(ISNUMBER(FIND("#",K3931)),TRIM(MID(K3931,FIND("#",K3931)+1,20)),UPPER(K3931)),'Students'!$AD$2:$AD$701,0),""))</f>
        <v/>
      </c>
      <c r="R3931">
        <f>IF(P3931="","",INDEX('Students'!$AD$2:$AD$701,P3931))</f>
        <v/>
      </c>
      <c r="S3931">
        <f>IF(H3931="OK",O3931,0)</f>
        <v/>
      </c>
      <c r="T3931">
        <f>IF(H3931="OK",N3931,"")</f>
        <v/>
      </c>
      <c r="U3931">
        <f>TRIM('Cash_Check'!C931)</f>
        <v/>
      </c>
    </row>
    <row r="3932">
      <c r="A3932" s="62">
        <f>IF(H3932="","",IF(ISNUMBER(N3932),N3932,I3932))</f>
        <v/>
      </c>
      <c r="B3932">
        <f>IF(H3932="","",U3932)</f>
        <v/>
      </c>
      <c r="C3932">
        <f>IF(H3932="","",IF(P3932="",K3932,INDEX('Students'!$A$2:$A$701,P3932)))</f>
        <v/>
      </c>
      <c r="D3932">
        <f>IF(OR(H3932="",P3932=""),"",INDEX('Students'!$B$2:$B$701,P3932))</f>
        <v/>
      </c>
      <c r="E3932">
        <f>IF(OR(H3932="",P3932=""),"",INDEX('Students'!$C$2:$C$701,P3932))</f>
        <v/>
      </c>
      <c r="F3932" s="48">
        <f>IF(H3932="","",IF(ISNUMBER(O3932),O3932,J3932))</f>
        <v/>
      </c>
      <c r="G3932">
        <f>IF(H3932="","",M3932)</f>
        <v/>
      </c>
      <c r="H3932">
        <f>IF(AND(I3932="",J3932="",K3932=""),"",IF(OR(NOT(ISNUMBER(O3932)),N(O3932)&lt;=0),"Bad amount",IF(NOT(ISNUMBER(N3932)),"Bad date",IF(P3932="","NAME NOT ON ROSTER","OK"))))</f>
        <v/>
      </c>
      <c r="I3932">
        <f>IF('Cash_Check'!A932="","",'Cash_Check'!A932)</f>
        <v/>
      </c>
      <c r="J3932">
        <f>IF('Cash_Check'!D932="","",'Cash_Check'!D932)</f>
        <v/>
      </c>
      <c r="K3932">
        <f>TRIM('Cash_Check'!B932)</f>
        <v/>
      </c>
      <c r="M3932">
        <f>IF(TRIM('Cash_Check'!E932)="","Cash/check",TRIM('Cash_Check'!E932))</f>
        <v/>
      </c>
      <c r="N3932">
        <f>IF(I3932="","",IF(ISNUMBER(I3932),INT(I3932),IFERROR(INT(DATEVALUE(I3932)),IFERROR(INT(VALUE(I3932)),"bad"))))</f>
        <v/>
      </c>
      <c r="O3932">
        <f>IF(J3932="","",IF(ISNUMBER(J3932),ROUND(J3932,2),IFERROR(ROUND(VALUE(SUBSTITUTE(SUBSTITUTE(SUBSTITUTE(J3932,"$",""),",","")," ","")),2),"bad")))</f>
        <v/>
      </c>
      <c r="P3932">
        <f>IF(K3932="","",IFERROR(MATCH(IF(ISNUMBER(FIND("#",K3932)),TRIM(MID(K3932,FIND("#",K3932)+1,20)),UPPER(K3932)),'Students'!$AD$2:$AD$701,0),""))</f>
        <v/>
      </c>
      <c r="R3932">
        <f>IF(P3932="","",INDEX('Students'!$AD$2:$AD$701,P3932))</f>
        <v/>
      </c>
      <c r="S3932">
        <f>IF(H3932="OK",O3932,0)</f>
        <v/>
      </c>
      <c r="T3932">
        <f>IF(H3932="OK",N3932,"")</f>
        <v/>
      </c>
      <c r="U3932">
        <f>TRIM('Cash_Check'!C932)</f>
        <v/>
      </c>
    </row>
    <row r="3933">
      <c r="A3933" s="62">
        <f>IF(H3933="","",IF(ISNUMBER(N3933),N3933,I3933))</f>
        <v/>
      </c>
      <c r="B3933">
        <f>IF(H3933="","",U3933)</f>
        <v/>
      </c>
      <c r="C3933">
        <f>IF(H3933="","",IF(P3933="",K3933,INDEX('Students'!$A$2:$A$701,P3933)))</f>
        <v/>
      </c>
      <c r="D3933">
        <f>IF(OR(H3933="",P3933=""),"",INDEX('Students'!$B$2:$B$701,P3933))</f>
        <v/>
      </c>
      <c r="E3933">
        <f>IF(OR(H3933="",P3933=""),"",INDEX('Students'!$C$2:$C$701,P3933))</f>
        <v/>
      </c>
      <c r="F3933" s="48">
        <f>IF(H3933="","",IF(ISNUMBER(O3933),O3933,J3933))</f>
        <v/>
      </c>
      <c r="G3933">
        <f>IF(H3933="","",M3933)</f>
        <v/>
      </c>
      <c r="H3933">
        <f>IF(AND(I3933="",J3933="",K3933=""),"",IF(OR(NOT(ISNUMBER(O3933)),N(O3933)&lt;=0),"Bad amount",IF(NOT(ISNUMBER(N3933)),"Bad date",IF(P3933="","NAME NOT ON ROSTER","OK"))))</f>
        <v/>
      </c>
      <c r="I3933">
        <f>IF('Cash_Check'!A933="","",'Cash_Check'!A933)</f>
        <v/>
      </c>
      <c r="J3933">
        <f>IF('Cash_Check'!D933="","",'Cash_Check'!D933)</f>
        <v/>
      </c>
      <c r="K3933">
        <f>TRIM('Cash_Check'!B933)</f>
        <v/>
      </c>
      <c r="M3933">
        <f>IF(TRIM('Cash_Check'!E933)="","Cash/check",TRIM('Cash_Check'!E933))</f>
        <v/>
      </c>
      <c r="N3933">
        <f>IF(I3933="","",IF(ISNUMBER(I3933),INT(I3933),IFERROR(INT(DATEVALUE(I3933)),IFERROR(INT(VALUE(I3933)),"bad"))))</f>
        <v/>
      </c>
      <c r="O3933">
        <f>IF(J3933="","",IF(ISNUMBER(J3933),ROUND(J3933,2),IFERROR(ROUND(VALUE(SUBSTITUTE(SUBSTITUTE(SUBSTITUTE(J3933,"$",""),",","")," ","")),2),"bad")))</f>
        <v/>
      </c>
      <c r="P3933">
        <f>IF(K3933="","",IFERROR(MATCH(IF(ISNUMBER(FIND("#",K3933)),TRIM(MID(K3933,FIND("#",K3933)+1,20)),UPPER(K3933)),'Students'!$AD$2:$AD$701,0),""))</f>
        <v/>
      </c>
      <c r="R3933">
        <f>IF(P3933="","",INDEX('Students'!$AD$2:$AD$701,P3933))</f>
        <v/>
      </c>
      <c r="S3933">
        <f>IF(H3933="OK",O3933,0)</f>
        <v/>
      </c>
      <c r="T3933">
        <f>IF(H3933="OK",N3933,"")</f>
        <v/>
      </c>
      <c r="U3933">
        <f>TRIM('Cash_Check'!C933)</f>
        <v/>
      </c>
    </row>
    <row r="3934">
      <c r="A3934" s="62">
        <f>IF(H3934="","",IF(ISNUMBER(N3934),N3934,I3934))</f>
        <v/>
      </c>
      <c r="B3934">
        <f>IF(H3934="","",U3934)</f>
        <v/>
      </c>
      <c r="C3934">
        <f>IF(H3934="","",IF(P3934="",K3934,INDEX('Students'!$A$2:$A$701,P3934)))</f>
        <v/>
      </c>
      <c r="D3934">
        <f>IF(OR(H3934="",P3934=""),"",INDEX('Students'!$B$2:$B$701,P3934))</f>
        <v/>
      </c>
      <c r="E3934">
        <f>IF(OR(H3934="",P3934=""),"",INDEX('Students'!$C$2:$C$701,P3934))</f>
        <v/>
      </c>
      <c r="F3934" s="48">
        <f>IF(H3934="","",IF(ISNUMBER(O3934),O3934,J3934))</f>
        <v/>
      </c>
      <c r="G3934">
        <f>IF(H3934="","",M3934)</f>
        <v/>
      </c>
      <c r="H3934">
        <f>IF(AND(I3934="",J3934="",K3934=""),"",IF(OR(NOT(ISNUMBER(O3934)),N(O3934)&lt;=0),"Bad amount",IF(NOT(ISNUMBER(N3934)),"Bad date",IF(P3934="","NAME NOT ON ROSTER","OK"))))</f>
        <v/>
      </c>
      <c r="I3934">
        <f>IF('Cash_Check'!A934="","",'Cash_Check'!A934)</f>
        <v/>
      </c>
      <c r="J3934">
        <f>IF('Cash_Check'!D934="","",'Cash_Check'!D934)</f>
        <v/>
      </c>
      <c r="K3934">
        <f>TRIM('Cash_Check'!B934)</f>
        <v/>
      </c>
      <c r="M3934">
        <f>IF(TRIM('Cash_Check'!E934)="","Cash/check",TRIM('Cash_Check'!E934))</f>
        <v/>
      </c>
      <c r="N3934">
        <f>IF(I3934="","",IF(ISNUMBER(I3934),INT(I3934),IFERROR(INT(DATEVALUE(I3934)),IFERROR(INT(VALUE(I3934)),"bad"))))</f>
        <v/>
      </c>
      <c r="O3934">
        <f>IF(J3934="","",IF(ISNUMBER(J3934),ROUND(J3934,2),IFERROR(ROUND(VALUE(SUBSTITUTE(SUBSTITUTE(SUBSTITUTE(J3934,"$",""),",","")," ","")),2),"bad")))</f>
        <v/>
      </c>
      <c r="P3934">
        <f>IF(K3934="","",IFERROR(MATCH(IF(ISNUMBER(FIND("#",K3934)),TRIM(MID(K3934,FIND("#",K3934)+1,20)),UPPER(K3934)),'Students'!$AD$2:$AD$701,0),""))</f>
        <v/>
      </c>
      <c r="R3934">
        <f>IF(P3934="","",INDEX('Students'!$AD$2:$AD$701,P3934))</f>
        <v/>
      </c>
      <c r="S3934">
        <f>IF(H3934="OK",O3934,0)</f>
        <v/>
      </c>
      <c r="T3934">
        <f>IF(H3934="OK",N3934,"")</f>
        <v/>
      </c>
      <c r="U3934">
        <f>TRIM('Cash_Check'!C934)</f>
        <v/>
      </c>
    </row>
    <row r="3935">
      <c r="A3935" s="62">
        <f>IF(H3935="","",IF(ISNUMBER(N3935),N3935,I3935))</f>
        <v/>
      </c>
      <c r="B3935">
        <f>IF(H3935="","",U3935)</f>
        <v/>
      </c>
      <c r="C3935">
        <f>IF(H3935="","",IF(P3935="",K3935,INDEX('Students'!$A$2:$A$701,P3935)))</f>
        <v/>
      </c>
      <c r="D3935">
        <f>IF(OR(H3935="",P3935=""),"",INDEX('Students'!$B$2:$B$701,P3935))</f>
        <v/>
      </c>
      <c r="E3935">
        <f>IF(OR(H3935="",P3935=""),"",INDEX('Students'!$C$2:$C$701,P3935))</f>
        <v/>
      </c>
      <c r="F3935" s="48">
        <f>IF(H3935="","",IF(ISNUMBER(O3935),O3935,J3935))</f>
        <v/>
      </c>
      <c r="G3935">
        <f>IF(H3935="","",M3935)</f>
        <v/>
      </c>
      <c r="H3935">
        <f>IF(AND(I3935="",J3935="",K3935=""),"",IF(OR(NOT(ISNUMBER(O3935)),N(O3935)&lt;=0),"Bad amount",IF(NOT(ISNUMBER(N3935)),"Bad date",IF(P3935="","NAME NOT ON ROSTER","OK"))))</f>
        <v/>
      </c>
      <c r="I3935">
        <f>IF('Cash_Check'!A935="","",'Cash_Check'!A935)</f>
        <v/>
      </c>
      <c r="J3935">
        <f>IF('Cash_Check'!D935="","",'Cash_Check'!D935)</f>
        <v/>
      </c>
      <c r="K3935">
        <f>TRIM('Cash_Check'!B935)</f>
        <v/>
      </c>
      <c r="M3935">
        <f>IF(TRIM('Cash_Check'!E935)="","Cash/check",TRIM('Cash_Check'!E935))</f>
        <v/>
      </c>
      <c r="N3935">
        <f>IF(I3935="","",IF(ISNUMBER(I3935),INT(I3935),IFERROR(INT(DATEVALUE(I3935)),IFERROR(INT(VALUE(I3935)),"bad"))))</f>
        <v/>
      </c>
      <c r="O3935">
        <f>IF(J3935="","",IF(ISNUMBER(J3935),ROUND(J3935,2),IFERROR(ROUND(VALUE(SUBSTITUTE(SUBSTITUTE(SUBSTITUTE(J3935,"$",""),",","")," ","")),2),"bad")))</f>
        <v/>
      </c>
      <c r="P3935">
        <f>IF(K3935="","",IFERROR(MATCH(IF(ISNUMBER(FIND("#",K3935)),TRIM(MID(K3935,FIND("#",K3935)+1,20)),UPPER(K3935)),'Students'!$AD$2:$AD$701,0),""))</f>
        <v/>
      </c>
      <c r="R3935">
        <f>IF(P3935="","",INDEX('Students'!$AD$2:$AD$701,P3935))</f>
        <v/>
      </c>
      <c r="S3935">
        <f>IF(H3935="OK",O3935,0)</f>
        <v/>
      </c>
      <c r="T3935">
        <f>IF(H3935="OK",N3935,"")</f>
        <v/>
      </c>
      <c r="U3935">
        <f>TRIM('Cash_Check'!C935)</f>
        <v/>
      </c>
    </row>
    <row r="3936">
      <c r="A3936" s="62">
        <f>IF(H3936="","",IF(ISNUMBER(N3936),N3936,I3936))</f>
        <v/>
      </c>
      <c r="B3936">
        <f>IF(H3936="","",U3936)</f>
        <v/>
      </c>
      <c r="C3936">
        <f>IF(H3936="","",IF(P3936="",K3936,INDEX('Students'!$A$2:$A$701,P3936)))</f>
        <v/>
      </c>
      <c r="D3936">
        <f>IF(OR(H3936="",P3936=""),"",INDEX('Students'!$B$2:$B$701,P3936))</f>
        <v/>
      </c>
      <c r="E3936">
        <f>IF(OR(H3936="",P3936=""),"",INDEX('Students'!$C$2:$C$701,P3936))</f>
        <v/>
      </c>
      <c r="F3936" s="48">
        <f>IF(H3936="","",IF(ISNUMBER(O3936),O3936,J3936))</f>
        <v/>
      </c>
      <c r="G3936">
        <f>IF(H3936="","",M3936)</f>
        <v/>
      </c>
      <c r="H3936">
        <f>IF(AND(I3936="",J3936="",K3936=""),"",IF(OR(NOT(ISNUMBER(O3936)),N(O3936)&lt;=0),"Bad amount",IF(NOT(ISNUMBER(N3936)),"Bad date",IF(P3936="","NAME NOT ON ROSTER","OK"))))</f>
        <v/>
      </c>
      <c r="I3936">
        <f>IF('Cash_Check'!A936="","",'Cash_Check'!A936)</f>
        <v/>
      </c>
      <c r="J3936">
        <f>IF('Cash_Check'!D936="","",'Cash_Check'!D936)</f>
        <v/>
      </c>
      <c r="K3936">
        <f>TRIM('Cash_Check'!B936)</f>
        <v/>
      </c>
      <c r="M3936">
        <f>IF(TRIM('Cash_Check'!E936)="","Cash/check",TRIM('Cash_Check'!E936))</f>
        <v/>
      </c>
      <c r="N3936">
        <f>IF(I3936="","",IF(ISNUMBER(I3936),INT(I3936),IFERROR(INT(DATEVALUE(I3936)),IFERROR(INT(VALUE(I3936)),"bad"))))</f>
        <v/>
      </c>
      <c r="O3936">
        <f>IF(J3936="","",IF(ISNUMBER(J3936),ROUND(J3936,2),IFERROR(ROUND(VALUE(SUBSTITUTE(SUBSTITUTE(SUBSTITUTE(J3936,"$",""),",","")," ","")),2),"bad")))</f>
        <v/>
      </c>
      <c r="P3936">
        <f>IF(K3936="","",IFERROR(MATCH(IF(ISNUMBER(FIND("#",K3936)),TRIM(MID(K3936,FIND("#",K3936)+1,20)),UPPER(K3936)),'Students'!$AD$2:$AD$701,0),""))</f>
        <v/>
      </c>
      <c r="R3936">
        <f>IF(P3936="","",INDEX('Students'!$AD$2:$AD$701,P3936))</f>
        <v/>
      </c>
      <c r="S3936">
        <f>IF(H3936="OK",O3936,0)</f>
        <v/>
      </c>
      <c r="T3936">
        <f>IF(H3936="OK",N3936,"")</f>
        <v/>
      </c>
      <c r="U3936">
        <f>TRIM('Cash_Check'!C936)</f>
        <v/>
      </c>
    </row>
    <row r="3937">
      <c r="A3937" s="62">
        <f>IF(H3937="","",IF(ISNUMBER(N3937),N3937,I3937))</f>
        <v/>
      </c>
      <c r="B3937">
        <f>IF(H3937="","",U3937)</f>
        <v/>
      </c>
      <c r="C3937">
        <f>IF(H3937="","",IF(P3937="",K3937,INDEX('Students'!$A$2:$A$701,P3937)))</f>
        <v/>
      </c>
      <c r="D3937">
        <f>IF(OR(H3937="",P3937=""),"",INDEX('Students'!$B$2:$B$701,P3937))</f>
        <v/>
      </c>
      <c r="E3937">
        <f>IF(OR(H3937="",P3937=""),"",INDEX('Students'!$C$2:$C$701,P3937))</f>
        <v/>
      </c>
      <c r="F3937" s="48">
        <f>IF(H3937="","",IF(ISNUMBER(O3937),O3937,J3937))</f>
        <v/>
      </c>
      <c r="G3937">
        <f>IF(H3937="","",M3937)</f>
        <v/>
      </c>
      <c r="H3937">
        <f>IF(AND(I3937="",J3937="",K3937=""),"",IF(OR(NOT(ISNUMBER(O3937)),N(O3937)&lt;=0),"Bad amount",IF(NOT(ISNUMBER(N3937)),"Bad date",IF(P3937="","NAME NOT ON ROSTER","OK"))))</f>
        <v/>
      </c>
      <c r="I3937">
        <f>IF('Cash_Check'!A937="","",'Cash_Check'!A937)</f>
        <v/>
      </c>
      <c r="J3937">
        <f>IF('Cash_Check'!D937="","",'Cash_Check'!D937)</f>
        <v/>
      </c>
      <c r="K3937">
        <f>TRIM('Cash_Check'!B937)</f>
        <v/>
      </c>
      <c r="M3937">
        <f>IF(TRIM('Cash_Check'!E937)="","Cash/check",TRIM('Cash_Check'!E937))</f>
        <v/>
      </c>
      <c r="N3937">
        <f>IF(I3937="","",IF(ISNUMBER(I3937),INT(I3937),IFERROR(INT(DATEVALUE(I3937)),IFERROR(INT(VALUE(I3937)),"bad"))))</f>
        <v/>
      </c>
      <c r="O3937">
        <f>IF(J3937="","",IF(ISNUMBER(J3937),ROUND(J3937,2),IFERROR(ROUND(VALUE(SUBSTITUTE(SUBSTITUTE(SUBSTITUTE(J3937,"$",""),",","")," ","")),2),"bad")))</f>
        <v/>
      </c>
      <c r="P3937">
        <f>IF(K3937="","",IFERROR(MATCH(IF(ISNUMBER(FIND("#",K3937)),TRIM(MID(K3937,FIND("#",K3937)+1,20)),UPPER(K3937)),'Students'!$AD$2:$AD$701,0),""))</f>
        <v/>
      </c>
      <c r="R3937">
        <f>IF(P3937="","",INDEX('Students'!$AD$2:$AD$701,P3937))</f>
        <v/>
      </c>
      <c r="S3937">
        <f>IF(H3937="OK",O3937,0)</f>
        <v/>
      </c>
      <c r="T3937">
        <f>IF(H3937="OK",N3937,"")</f>
        <v/>
      </c>
      <c r="U3937">
        <f>TRIM('Cash_Check'!C937)</f>
        <v/>
      </c>
    </row>
    <row r="3938">
      <c r="A3938" s="62">
        <f>IF(H3938="","",IF(ISNUMBER(N3938),N3938,I3938))</f>
        <v/>
      </c>
      <c r="B3938">
        <f>IF(H3938="","",U3938)</f>
        <v/>
      </c>
      <c r="C3938">
        <f>IF(H3938="","",IF(P3938="",K3938,INDEX('Students'!$A$2:$A$701,P3938)))</f>
        <v/>
      </c>
      <c r="D3938">
        <f>IF(OR(H3938="",P3938=""),"",INDEX('Students'!$B$2:$B$701,P3938))</f>
        <v/>
      </c>
      <c r="E3938">
        <f>IF(OR(H3938="",P3938=""),"",INDEX('Students'!$C$2:$C$701,P3938))</f>
        <v/>
      </c>
      <c r="F3938" s="48">
        <f>IF(H3938="","",IF(ISNUMBER(O3938),O3938,J3938))</f>
        <v/>
      </c>
      <c r="G3938">
        <f>IF(H3938="","",M3938)</f>
        <v/>
      </c>
      <c r="H3938">
        <f>IF(AND(I3938="",J3938="",K3938=""),"",IF(OR(NOT(ISNUMBER(O3938)),N(O3938)&lt;=0),"Bad amount",IF(NOT(ISNUMBER(N3938)),"Bad date",IF(P3938="","NAME NOT ON ROSTER","OK"))))</f>
        <v/>
      </c>
      <c r="I3938">
        <f>IF('Cash_Check'!A938="","",'Cash_Check'!A938)</f>
        <v/>
      </c>
      <c r="J3938">
        <f>IF('Cash_Check'!D938="","",'Cash_Check'!D938)</f>
        <v/>
      </c>
      <c r="K3938">
        <f>TRIM('Cash_Check'!B938)</f>
        <v/>
      </c>
      <c r="M3938">
        <f>IF(TRIM('Cash_Check'!E938)="","Cash/check",TRIM('Cash_Check'!E938))</f>
        <v/>
      </c>
      <c r="N3938">
        <f>IF(I3938="","",IF(ISNUMBER(I3938),INT(I3938),IFERROR(INT(DATEVALUE(I3938)),IFERROR(INT(VALUE(I3938)),"bad"))))</f>
        <v/>
      </c>
      <c r="O3938">
        <f>IF(J3938="","",IF(ISNUMBER(J3938),ROUND(J3938,2),IFERROR(ROUND(VALUE(SUBSTITUTE(SUBSTITUTE(SUBSTITUTE(J3938,"$",""),",","")," ","")),2),"bad")))</f>
        <v/>
      </c>
      <c r="P3938">
        <f>IF(K3938="","",IFERROR(MATCH(IF(ISNUMBER(FIND("#",K3938)),TRIM(MID(K3938,FIND("#",K3938)+1,20)),UPPER(K3938)),'Students'!$AD$2:$AD$701,0),""))</f>
        <v/>
      </c>
      <c r="R3938">
        <f>IF(P3938="","",INDEX('Students'!$AD$2:$AD$701,P3938))</f>
        <v/>
      </c>
      <c r="S3938">
        <f>IF(H3938="OK",O3938,0)</f>
        <v/>
      </c>
      <c r="T3938">
        <f>IF(H3938="OK",N3938,"")</f>
        <v/>
      </c>
      <c r="U3938">
        <f>TRIM('Cash_Check'!C938)</f>
        <v/>
      </c>
    </row>
    <row r="3939">
      <c r="A3939" s="62">
        <f>IF(H3939="","",IF(ISNUMBER(N3939),N3939,I3939))</f>
        <v/>
      </c>
      <c r="B3939">
        <f>IF(H3939="","",U3939)</f>
        <v/>
      </c>
      <c r="C3939">
        <f>IF(H3939="","",IF(P3939="",K3939,INDEX('Students'!$A$2:$A$701,P3939)))</f>
        <v/>
      </c>
      <c r="D3939">
        <f>IF(OR(H3939="",P3939=""),"",INDEX('Students'!$B$2:$B$701,P3939))</f>
        <v/>
      </c>
      <c r="E3939">
        <f>IF(OR(H3939="",P3939=""),"",INDEX('Students'!$C$2:$C$701,P3939))</f>
        <v/>
      </c>
      <c r="F3939" s="48">
        <f>IF(H3939="","",IF(ISNUMBER(O3939),O3939,J3939))</f>
        <v/>
      </c>
      <c r="G3939">
        <f>IF(H3939="","",M3939)</f>
        <v/>
      </c>
      <c r="H3939">
        <f>IF(AND(I3939="",J3939="",K3939=""),"",IF(OR(NOT(ISNUMBER(O3939)),N(O3939)&lt;=0),"Bad amount",IF(NOT(ISNUMBER(N3939)),"Bad date",IF(P3939="","NAME NOT ON ROSTER","OK"))))</f>
        <v/>
      </c>
      <c r="I3939">
        <f>IF('Cash_Check'!A939="","",'Cash_Check'!A939)</f>
        <v/>
      </c>
      <c r="J3939">
        <f>IF('Cash_Check'!D939="","",'Cash_Check'!D939)</f>
        <v/>
      </c>
      <c r="K3939">
        <f>TRIM('Cash_Check'!B939)</f>
        <v/>
      </c>
      <c r="M3939">
        <f>IF(TRIM('Cash_Check'!E939)="","Cash/check",TRIM('Cash_Check'!E939))</f>
        <v/>
      </c>
      <c r="N3939">
        <f>IF(I3939="","",IF(ISNUMBER(I3939),INT(I3939),IFERROR(INT(DATEVALUE(I3939)),IFERROR(INT(VALUE(I3939)),"bad"))))</f>
        <v/>
      </c>
      <c r="O3939">
        <f>IF(J3939="","",IF(ISNUMBER(J3939),ROUND(J3939,2),IFERROR(ROUND(VALUE(SUBSTITUTE(SUBSTITUTE(SUBSTITUTE(J3939,"$",""),",","")," ","")),2),"bad")))</f>
        <v/>
      </c>
      <c r="P3939">
        <f>IF(K3939="","",IFERROR(MATCH(IF(ISNUMBER(FIND("#",K3939)),TRIM(MID(K3939,FIND("#",K3939)+1,20)),UPPER(K3939)),'Students'!$AD$2:$AD$701,0),""))</f>
        <v/>
      </c>
      <c r="R3939">
        <f>IF(P3939="","",INDEX('Students'!$AD$2:$AD$701,P3939))</f>
        <v/>
      </c>
      <c r="S3939">
        <f>IF(H3939="OK",O3939,0)</f>
        <v/>
      </c>
      <c r="T3939">
        <f>IF(H3939="OK",N3939,"")</f>
        <v/>
      </c>
      <c r="U3939">
        <f>TRIM('Cash_Check'!C939)</f>
        <v/>
      </c>
    </row>
    <row r="3940">
      <c r="A3940" s="62">
        <f>IF(H3940="","",IF(ISNUMBER(N3940),N3940,I3940))</f>
        <v/>
      </c>
      <c r="B3940">
        <f>IF(H3940="","",U3940)</f>
        <v/>
      </c>
      <c r="C3940">
        <f>IF(H3940="","",IF(P3940="",K3940,INDEX('Students'!$A$2:$A$701,P3940)))</f>
        <v/>
      </c>
      <c r="D3940">
        <f>IF(OR(H3940="",P3940=""),"",INDEX('Students'!$B$2:$B$701,P3940))</f>
        <v/>
      </c>
      <c r="E3940">
        <f>IF(OR(H3940="",P3940=""),"",INDEX('Students'!$C$2:$C$701,P3940))</f>
        <v/>
      </c>
      <c r="F3940" s="48">
        <f>IF(H3940="","",IF(ISNUMBER(O3940),O3940,J3940))</f>
        <v/>
      </c>
      <c r="G3940">
        <f>IF(H3940="","",M3940)</f>
        <v/>
      </c>
      <c r="H3940">
        <f>IF(AND(I3940="",J3940="",K3940=""),"",IF(OR(NOT(ISNUMBER(O3940)),N(O3940)&lt;=0),"Bad amount",IF(NOT(ISNUMBER(N3940)),"Bad date",IF(P3940="","NAME NOT ON ROSTER","OK"))))</f>
        <v/>
      </c>
      <c r="I3940">
        <f>IF('Cash_Check'!A940="","",'Cash_Check'!A940)</f>
        <v/>
      </c>
      <c r="J3940">
        <f>IF('Cash_Check'!D940="","",'Cash_Check'!D940)</f>
        <v/>
      </c>
      <c r="K3940">
        <f>TRIM('Cash_Check'!B940)</f>
        <v/>
      </c>
      <c r="M3940">
        <f>IF(TRIM('Cash_Check'!E940)="","Cash/check",TRIM('Cash_Check'!E940))</f>
        <v/>
      </c>
      <c r="N3940">
        <f>IF(I3940="","",IF(ISNUMBER(I3940),INT(I3940),IFERROR(INT(DATEVALUE(I3940)),IFERROR(INT(VALUE(I3940)),"bad"))))</f>
        <v/>
      </c>
      <c r="O3940">
        <f>IF(J3940="","",IF(ISNUMBER(J3940),ROUND(J3940,2),IFERROR(ROUND(VALUE(SUBSTITUTE(SUBSTITUTE(SUBSTITUTE(J3940,"$",""),",","")," ","")),2),"bad")))</f>
        <v/>
      </c>
      <c r="P3940">
        <f>IF(K3940="","",IFERROR(MATCH(IF(ISNUMBER(FIND("#",K3940)),TRIM(MID(K3940,FIND("#",K3940)+1,20)),UPPER(K3940)),'Students'!$AD$2:$AD$701,0),""))</f>
        <v/>
      </c>
      <c r="R3940">
        <f>IF(P3940="","",INDEX('Students'!$AD$2:$AD$701,P3940))</f>
        <v/>
      </c>
      <c r="S3940">
        <f>IF(H3940="OK",O3940,0)</f>
        <v/>
      </c>
      <c r="T3940">
        <f>IF(H3940="OK",N3940,"")</f>
        <v/>
      </c>
      <c r="U3940">
        <f>TRIM('Cash_Check'!C940)</f>
        <v/>
      </c>
    </row>
    <row r="3941">
      <c r="A3941" s="62">
        <f>IF(H3941="","",IF(ISNUMBER(N3941),N3941,I3941))</f>
        <v/>
      </c>
      <c r="B3941">
        <f>IF(H3941="","",U3941)</f>
        <v/>
      </c>
      <c r="C3941">
        <f>IF(H3941="","",IF(P3941="",K3941,INDEX('Students'!$A$2:$A$701,P3941)))</f>
        <v/>
      </c>
      <c r="D3941">
        <f>IF(OR(H3941="",P3941=""),"",INDEX('Students'!$B$2:$B$701,P3941))</f>
        <v/>
      </c>
      <c r="E3941">
        <f>IF(OR(H3941="",P3941=""),"",INDEX('Students'!$C$2:$C$701,P3941))</f>
        <v/>
      </c>
      <c r="F3941" s="48">
        <f>IF(H3941="","",IF(ISNUMBER(O3941),O3941,J3941))</f>
        <v/>
      </c>
      <c r="G3941">
        <f>IF(H3941="","",M3941)</f>
        <v/>
      </c>
      <c r="H3941">
        <f>IF(AND(I3941="",J3941="",K3941=""),"",IF(OR(NOT(ISNUMBER(O3941)),N(O3941)&lt;=0),"Bad amount",IF(NOT(ISNUMBER(N3941)),"Bad date",IF(P3941="","NAME NOT ON ROSTER","OK"))))</f>
        <v/>
      </c>
      <c r="I3941">
        <f>IF('Cash_Check'!A941="","",'Cash_Check'!A941)</f>
        <v/>
      </c>
      <c r="J3941">
        <f>IF('Cash_Check'!D941="","",'Cash_Check'!D941)</f>
        <v/>
      </c>
      <c r="K3941">
        <f>TRIM('Cash_Check'!B941)</f>
        <v/>
      </c>
      <c r="M3941">
        <f>IF(TRIM('Cash_Check'!E941)="","Cash/check",TRIM('Cash_Check'!E941))</f>
        <v/>
      </c>
      <c r="N3941">
        <f>IF(I3941="","",IF(ISNUMBER(I3941),INT(I3941),IFERROR(INT(DATEVALUE(I3941)),IFERROR(INT(VALUE(I3941)),"bad"))))</f>
        <v/>
      </c>
      <c r="O3941">
        <f>IF(J3941="","",IF(ISNUMBER(J3941),ROUND(J3941,2),IFERROR(ROUND(VALUE(SUBSTITUTE(SUBSTITUTE(SUBSTITUTE(J3941,"$",""),",","")," ","")),2),"bad")))</f>
        <v/>
      </c>
      <c r="P3941">
        <f>IF(K3941="","",IFERROR(MATCH(IF(ISNUMBER(FIND("#",K3941)),TRIM(MID(K3941,FIND("#",K3941)+1,20)),UPPER(K3941)),'Students'!$AD$2:$AD$701,0),""))</f>
        <v/>
      </c>
      <c r="R3941">
        <f>IF(P3941="","",INDEX('Students'!$AD$2:$AD$701,P3941))</f>
        <v/>
      </c>
      <c r="S3941">
        <f>IF(H3941="OK",O3941,0)</f>
        <v/>
      </c>
      <c r="T3941">
        <f>IF(H3941="OK",N3941,"")</f>
        <v/>
      </c>
      <c r="U3941">
        <f>TRIM('Cash_Check'!C941)</f>
        <v/>
      </c>
    </row>
    <row r="3942">
      <c r="A3942" s="62">
        <f>IF(H3942="","",IF(ISNUMBER(N3942),N3942,I3942))</f>
        <v/>
      </c>
      <c r="B3942">
        <f>IF(H3942="","",U3942)</f>
        <v/>
      </c>
      <c r="C3942">
        <f>IF(H3942="","",IF(P3942="",K3942,INDEX('Students'!$A$2:$A$701,P3942)))</f>
        <v/>
      </c>
      <c r="D3942">
        <f>IF(OR(H3942="",P3942=""),"",INDEX('Students'!$B$2:$B$701,P3942))</f>
        <v/>
      </c>
      <c r="E3942">
        <f>IF(OR(H3942="",P3942=""),"",INDEX('Students'!$C$2:$C$701,P3942))</f>
        <v/>
      </c>
      <c r="F3942" s="48">
        <f>IF(H3942="","",IF(ISNUMBER(O3942),O3942,J3942))</f>
        <v/>
      </c>
      <c r="G3942">
        <f>IF(H3942="","",M3942)</f>
        <v/>
      </c>
      <c r="H3942">
        <f>IF(AND(I3942="",J3942="",K3942=""),"",IF(OR(NOT(ISNUMBER(O3942)),N(O3942)&lt;=0),"Bad amount",IF(NOT(ISNUMBER(N3942)),"Bad date",IF(P3942="","NAME NOT ON ROSTER","OK"))))</f>
        <v/>
      </c>
      <c r="I3942">
        <f>IF('Cash_Check'!A942="","",'Cash_Check'!A942)</f>
        <v/>
      </c>
      <c r="J3942">
        <f>IF('Cash_Check'!D942="","",'Cash_Check'!D942)</f>
        <v/>
      </c>
      <c r="K3942">
        <f>TRIM('Cash_Check'!B942)</f>
        <v/>
      </c>
      <c r="M3942">
        <f>IF(TRIM('Cash_Check'!E942)="","Cash/check",TRIM('Cash_Check'!E942))</f>
        <v/>
      </c>
      <c r="N3942">
        <f>IF(I3942="","",IF(ISNUMBER(I3942),INT(I3942),IFERROR(INT(DATEVALUE(I3942)),IFERROR(INT(VALUE(I3942)),"bad"))))</f>
        <v/>
      </c>
      <c r="O3942">
        <f>IF(J3942="","",IF(ISNUMBER(J3942),ROUND(J3942,2),IFERROR(ROUND(VALUE(SUBSTITUTE(SUBSTITUTE(SUBSTITUTE(J3942,"$",""),",","")," ","")),2),"bad")))</f>
        <v/>
      </c>
      <c r="P3942">
        <f>IF(K3942="","",IFERROR(MATCH(IF(ISNUMBER(FIND("#",K3942)),TRIM(MID(K3942,FIND("#",K3942)+1,20)),UPPER(K3942)),'Students'!$AD$2:$AD$701,0),""))</f>
        <v/>
      </c>
      <c r="R3942">
        <f>IF(P3942="","",INDEX('Students'!$AD$2:$AD$701,P3942))</f>
        <v/>
      </c>
      <c r="S3942">
        <f>IF(H3942="OK",O3942,0)</f>
        <v/>
      </c>
      <c r="T3942">
        <f>IF(H3942="OK",N3942,"")</f>
        <v/>
      </c>
      <c r="U3942">
        <f>TRIM('Cash_Check'!C942)</f>
        <v/>
      </c>
    </row>
    <row r="3943">
      <c r="A3943" s="62">
        <f>IF(H3943="","",IF(ISNUMBER(N3943),N3943,I3943))</f>
        <v/>
      </c>
      <c r="B3943">
        <f>IF(H3943="","",U3943)</f>
        <v/>
      </c>
      <c r="C3943">
        <f>IF(H3943="","",IF(P3943="",K3943,INDEX('Students'!$A$2:$A$701,P3943)))</f>
        <v/>
      </c>
      <c r="D3943">
        <f>IF(OR(H3943="",P3943=""),"",INDEX('Students'!$B$2:$B$701,P3943))</f>
        <v/>
      </c>
      <c r="E3943">
        <f>IF(OR(H3943="",P3943=""),"",INDEX('Students'!$C$2:$C$701,P3943))</f>
        <v/>
      </c>
      <c r="F3943" s="48">
        <f>IF(H3943="","",IF(ISNUMBER(O3943),O3943,J3943))</f>
        <v/>
      </c>
      <c r="G3943">
        <f>IF(H3943="","",M3943)</f>
        <v/>
      </c>
      <c r="H3943">
        <f>IF(AND(I3943="",J3943="",K3943=""),"",IF(OR(NOT(ISNUMBER(O3943)),N(O3943)&lt;=0),"Bad amount",IF(NOT(ISNUMBER(N3943)),"Bad date",IF(P3943="","NAME NOT ON ROSTER","OK"))))</f>
        <v/>
      </c>
      <c r="I3943">
        <f>IF('Cash_Check'!A943="","",'Cash_Check'!A943)</f>
        <v/>
      </c>
      <c r="J3943">
        <f>IF('Cash_Check'!D943="","",'Cash_Check'!D943)</f>
        <v/>
      </c>
      <c r="K3943">
        <f>TRIM('Cash_Check'!B943)</f>
        <v/>
      </c>
      <c r="M3943">
        <f>IF(TRIM('Cash_Check'!E943)="","Cash/check",TRIM('Cash_Check'!E943))</f>
        <v/>
      </c>
      <c r="N3943">
        <f>IF(I3943="","",IF(ISNUMBER(I3943),INT(I3943),IFERROR(INT(DATEVALUE(I3943)),IFERROR(INT(VALUE(I3943)),"bad"))))</f>
        <v/>
      </c>
      <c r="O3943">
        <f>IF(J3943="","",IF(ISNUMBER(J3943),ROUND(J3943,2),IFERROR(ROUND(VALUE(SUBSTITUTE(SUBSTITUTE(SUBSTITUTE(J3943,"$",""),",","")," ","")),2),"bad")))</f>
        <v/>
      </c>
      <c r="P3943">
        <f>IF(K3943="","",IFERROR(MATCH(IF(ISNUMBER(FIND("#",K3943)),TRIM(MID(K3943,FIND("#",K3943)+1,20)),UPPER(K3943)),'Students'!$AD$2:$AD$701,0),""))</f>
        <v/>
      </c>
      <c r="R3943">
        <f>IF(P3943="","",INDEX('Students'!$AD$2:$AD$701,P3943))</f>
        <v/>
      </c>
      <c r="S3943">
        <f>IF(H3943="OK",O3943,0)</f>
        <v/>
      </c>
      <c r="T3943">
        <f>IF(H3943="OK",N3943,"")</f>
        <v/>
      </c>
      <c r="U3943">
        <f>TRIM('Cash_Check'!C943)</f>
        <v/>
      </c>
    </row>
    <row r="3944">
      <c r="A3944" s="62">
        <f>IF(H3944="","",IF(ISNUMBER(N3944),N3944,I3944))</f>
        <v/>
      </c>
      <c r="B3944">
        <f>IF(H3944="","",U3944)</f>
        <v/>
      </c>
      <c r="C3944">
        <f>IF(H3944="","",IF(P3944="",K3944,INDEX('Students'!$A$2:$A$701,P3944)))</f>
        <v/>
      </c>
      <c r="D3944">
        <f>IF(OR(H3944="",P3944=""),"",INDEX('Students'!$B$2:$B$701,P3944))</f>
        <v/>
      </c>
      <c r="E3944">
        <f>IF(OR(H3944="",P3944=""),"",INDEX('Students'!$C$2:$C$701,P3944))</f>
        <v/>
      </c>
      <c r="F3944" s="48">
        <f>IF(H3944="","",IF(ISNUMBER(O3944),O3944,J3944))</f>
        <v/>
      </c>
      <c r="G3944">
        <f>IF(H3944="","",M3944)</f>
        <v/>
      </c>
      <c r="H3944">
        <f>IF(AND(I3944="",J3944="",K3944=""),"",IF(OR(NOT(ISNUMBER(O3944)),N(O3944)&lt;=0),"Bad amount",IF(NOT(ISNUMBER(N3944)),"Bad date",IF(P3944="","NAME NOT ON ROSTER","OK"))))</f>
        <v/>
      </c>
      <c r="I3944">
        <f>IF('Cash_Check'!A944="","",'Cash_Check'!A944)</f>
        <v/>
      </c>
      <c r="J3944">
        <f>IF('Cash_Check'!D944="","",'Cash_Check'!D944)</f>
        <v/>
      </c>
      <c r="K3944">
        <f>TRIM('Cash_Check'!B944)</f>
        <v/>
      </c>
      <c r="M3944">
        <f>IF(TRIM('Cash_Check'!E944)="","Cash/check",TRIM('Cash_Check'!E944))</f>
        <v/>
      </c>
      <c r="N3944">
        <f>IF(I3944="","",IF(ISNUMBER(I3944),INT(I3944),IFERROR(INT(DATEVALUE(I3944)),IFERROR(INT(VALUE(I3944)),"bad"))))</f>
        <v/>
      </c>
      <c r="O3944">
        <f>IF(J3944="","",IF(ISNUMBER(J3944),ROUND(J3944,2),IFERROR(ROUND(VALUE(SUBSTITUTE(SUBSTITUTE(SUBSTITUTE(J3944,"$",""),",","")," ","")),2),"bad")))</f>
        <v/>
      </c>
      <c r="P3944">
        <f>IF(K3944="","",IFERROR(MATCH(IF(ISNUMBER(FIND("#",K3944)),TRIM(MID(K3944,FIND("#",K3944)+1,20)),UPPER(K3944)),'Students'!$AD$2:$AD$701,0),""))</f>
        <v/>
      </c>
      <c r="R3944">
        <f>IF(P3944="","",INDEX('Students'!$AD$2:$AD$701,P3944))</f>
        <v/>
      </c>
      <c r="S3944">
        <f>IF(H3944="OK",O3944,0)</f>
        <v/>
      </c>
      <c r="T3944">
        <f>IF(H3944="OK",N3944,"")</f>
        <v/>
      </c>
      <c r="U3944">
        <f>TRIM('Cash_Check'!C944)</f>
        <v/>
      </c>
    </row>
    <row r="3945">
      <c r="A3945" s="62">
        <f>IF(H3945="","",IF(ISNUMBER(N3945),N3945,I3945))</f>
        <v/>
      </c>
      <c r="B3945">
        <f>IF(H3945="","",U3945)</f>
        <v/>
      </c>
      <c r="C3945">
        <f>IF(H3945="","",IF(P3945="",K3945,INDEX('Students'!$A$2:$A$701,P3945)))</f>
        <v/>
      </c>
      <c r="D3945">
        <f>IF(OR(H3945="",P3945=""),"",INDEX('Students'!$B$2:$B$701,P3945))</f>
        <v/>
      </c>
      <c r="E3945">
        <f>IF(OR(H3945="",P3945=""),"",INDEX('Students'!$C$2:$C$701,P3945))</f>
        <v/>
      </c>
      <c r="F3945" s="48">
        <f>IF(H3945="","",IF(ISNUMBER(O3945),O3945,J3945))</f>
        <v/>
      </c>
      <c r="G3945">
        <f>IF(H3945="","",M3945)</f>
        <v/>
      </c>
      <c r="H3945">
        <f>IF(AND(I3945="",J3945="",K3945=""),"",IF(OR(NOT(ISNUMBER(O3945)),N(O3945)&lt;=0),"Bad amount",IF(NOT(ISNUMBER(N3945)),"Bad date",IF(P3945="","NAME NOT ON ROSTER","OK"))))</f>
        <v/>
      </c>
      <c r="I3945">
        <f>IF('Cash_Check'!A945="","",'Cash_Check'!A945)</f>
        <v/>
      </c>
      <c r="J3945">
        <f>IF('Cash_Check'!D945="","",'Cash_Check'!D945)</f>
        <v/>
      </c>
      <c r="K3945">
        <f>TRIM('Cash_Check'!B945)</f>
        <v/>
      </c>
      <c r="M3945">
        <f>IF(TRIM('Cash_Check'!E945)="","Cash/check",TRIM('Cash_Check'!E945))</f>
        <v/>
      </c>
      <c r="N3945">
        <f>IF(I3945="","",IF(ISNUMBER(I3945),INT(I3945),IFERROR(INT(DATEVALUE(I3945)),IFERROR(INT(VALUE(I3945)),"bad"))))</f>
        <v/>
      </c>
      <c r="O3945">
        <f>IF(J3945="","",IF(ISNUMBER(J3945),ROUND(J3945,2),IFERROR(ROUND(VALUE(SUBSTITUTE(SUBSTITUTE(SUBSTITUTE(J3945,"$",""),",","")," ","")),2),"bad")))</f>
        <v/>
      </c>
      <c r="P3945">
        <f>IF(K3945="","",IFERROR(MATCH(IF(ISNUMBER(FIND("#",K3945)),TRIM(MID(K3945,FIND("#",K3945)+1,20)),UPPER(K3945)),'Students'!$AD$2:$AD$701,0),""))</f>
        <v/>
      </c>
      <c r="R3945">
        <f>IF(P3945="","",INDEX('Students'!$AD$2:$AD$701,P3945))</f>
        <v/>
      </c>
      <c r="S3945">
        <f>IF(H3945="OK",O3945,0)</f>
        <v/>
      </c>
      <c r="T3945">
        <f>IF(H3945="OK",N3945,"")</f>
        <v/>
      </c>
      <c r="U3945">
        <f>TRIM('Cash_Check'!C945)</f>
        <v/>
      </c>
    </row>
    <row r="3946">
      <c r="A3946" s="62">
        <f>IF(H3946="","",IF(ISNUMBER(N3946),N3946,I3946))</f>
        <v/>
      </c>
      <c r="B3946">
        <f>IF(H3946="","",U3946)</f>
        <v/>
      </c>
      <c r="C3946">
        <f>IF(H3946="","",IF(P3946="",K3946,INDEX('Students'!$A$2:$A$701,P3946)))</f>
        <v/>
      </c>
      <c r="D3946">
        <f>IF(OR(H3946="",P3946=""),"",INDEX('Students'!$B$2:$B$701,P3946))</f>
        <v/>
      </c>
      <c r="E3946">
        <f>IF(OR(H3946="",P3946=""),"",INDEX('Students'!$C$2:$C$701,P3946))</f>
        <v/>
      </c>
      <c r="F3946" s="48">
        <f>IF(H3946="","",IF(ISNUMBER(O3946),O3946,J3946))</f>
        <v/>
      </c>
      <c r="G3946">
        <f>IF(H3946="","",M3946)</f>
        <v/>
      </c>
      <c r="H3946">
        <f>IF(AND(I3946="",J3946="",K3946=""),"",IF(OR(NOT(ISNUMBER(O3946)),N(O3946)&lt;=0),"Bad amount",IF(NOT(ISNUMBER(N3946)),"Bad date",IF(P3946="","NAME NOT ON ROSTER","OK"))))</f>
        <v/>
      </c>
      <c r="I3946">
        <f>IF('Cash_Check'!A946="","",'Cash_Check'!A946)</f>
        <v/>
      </c>
      <c r="J3946">
        <f>IF('Cash_Check'!D946="","",'Cash_Check'!D946)</f>
        <v/>
      </c>
      <c r="K3946">
        <f>TRIM('Cash_Check'!B946)</f>
        <v/>
      </c>
      <c r="M3946">
        <f>IF(TRIM('Cash_Check'!E946)="","Cash/check",TRIM('Cash_Check'!E946))</f>
        <v/>
      </c>
      <c r="N3946">
        <f>IF(I3946="","",IF(ISNUMBER(I3946),INT(I3946),IFERROR(INT(DATEVALUE(I3946)),IFERROR(INT(VALUE(I3946)),"bad"))))</f>
        <v/>
      </c>
      <c r="O3946">
        <f>IF(J3946="","",IF(ISNUMBER(J3946),ROUND(J3946,2),IFERROR(ROUND(VALUE(SUBSTITUTE(SUBSTITUTE(SUBSTITUTE(J3946,"$",""),",","")," ","")),2),"bad")))</f>
        <v/>
      </c>
      <c r="P3946">
        <f>IF(K3946="","",IFERROR(MATCH(IF(ISNUMBER(FIND("#",K3946)),TRIM(MID(K3946,FIND("#",K3946)+1,20)),UPPER(K3946)),'Students'!$AD$2:$AD$701,0),""))</f>
        <v/>
      </c>
      <c r="R3946">
        <f>IF(P3946="","",INDEX('Students'!$AD$2:$AD$701,P3946))</f>
        <v/>
      </c>
      <c r="S3946">
        <f>IF(H3946="OK",O3946,0)</f>
        <v/>
      </c>
      <c r="T3946">
        <f>IF(H3946="OK",N3946,"")</f>
        <v/>
      </c>
      <c r="U3946">
        <f>TRIM('Cash_Check'!C946)</f>
        <v/>
      </c>
    </row>
    <row r="3947">
      <c r="A3947" s="62">
        <f>IF(H3947="","",IF(ISNUMBER(N3947),N3947,I3947))</f>
        <v/>
      </c>
      <c r="B3947">
        <f>IF(H3947="","",U3947)</f>
        <v/>
      </c>
      <c r="C3947">
        <f>IF(H3947="","",IF(P3947="",K3947,INDEX('Students'!$A$2:$A$701,P3947)))</f>
        <v/>
      </c>
      <c r="D3947">
        <f>IF(OR(H3947="",P3947=""),"",INDEX('Students'!$B$2:$B$701,P3947))</f>
        <v/>
      </c>
      <c r="E3947">
        <f>IF(OR(H3947="",P3947=""),"",INDEX('Students'!$C$2:$C$701,P3947))</f>
        <v/>
      </c>
      <c r="F3947" s="48">
        <f>IF(H3947="","",IF(ISNUMBER(O3947),O3947,J3947))</f>
        <v/>
      </c>
      <c r="G3947">
        <f>IF(H3947="","",M3947)</f>
        <v/>
      </c>
      <c r="H3947">
        <f>IF(AND(I3947="",J3947="",K3947=""),"",IF(OR(NOT(ISNUMBER(O3947)),N(O3947)&lt;=0),"Bad amount",IF(NOT(ISNUMBER(N3947)),"Bad date",IF(P3947="","NAME NOT ON ROSTER","OK"))))</f>
        <v/>
      </c>
      <c r="I3947">
        <f>IF('Cash_Check'!A947="","",'Cash_Check'!A947)</f>
        <v/>
      </c>
      <c r="J3947">
        <f>IF('Cash_Check'!D947="","",'Cash_Check'!D947)</f>
        <v/>
      </c>
      <c r="K3947">
        <f>TRIM('Cash_Check'!B947)</f>
        <v/>
      </c>
      <c r="M3947">
        <f>IF(TRIM('Cash_Check'!E947)="","Cash/check",TRIM('Cash_Check'!E947))</f>
        <v/>
      </c>
      <c r="N3947">
        <f>IF(I3947="","",IF(ISNUMBER(I3947),INT(I3947),IFERROR(INT(DATEVALUE(I3947)),IFERROR(INT(VALUE(I3947)),"bad"))))</f>
        <v/>
      </c>
      <c r="O3947">
        <f>IF(J3947="","",IF(ISNUMBER(J3947),ROUND(J3947,2),IFERROR(ROUND(VALUE(SUBSTITUTE(SUBSTITUTE(SUBSTITUTE(J3947,"$",""),",","")," ","")),2),"bad")))</f>
        <v/>
      </c>
      <c r="P3947">
        <f>IF(K3947="","",IFERROR(MATCH(IF(ISNUMBER(FIND("#",K3947)),TRIM(MID(K3947,FIND("#",K3947)+1,20)),UPPER(K3947)),'Students'!$AD$2:$AD$701,0),""))</f>
        <v/>
      </c>
      <c r="R3947">
        <f>IF(P3947="","",INDEX('Students'!$AD$2:$AD$701,P3947))</f>
        <v/>
      </c>
      <c r="S3947">
        <f>IF(H3947="OK",O3947,0)</f>
        <v/>
      </c>
      <c r="T3947">
        <f>IF(H3947="OK",N3947,"")</f>
        <v/>
      </c>
      <c r="U3947">
        <f>TRIM('Cash_Check'!C947)</f>
        <v/>
      </c>
    </row>
    <row r="3948">
      <c r="A3948" s="62">
        <f>IF(H3948="","",IF(ISNUMBER(N3948),N3948,I3948))</f>
        <v/>
      </c>
      <c r="B3948">
        <f>IF(H3948="","",U3948)</f>
        <v/>
      </c>
      <c r="C3948">
        <f>IF(H3948="","",IF(P3948="",K3948,INDEX('Students'!$A$2:$A$701,P3948)))</f>
        <v/>
      </c>
      <c r="D3948">
        <f>IF(OR(H3948="",P3948=""),"",INDEX('Students'!$B$2:$B$701,P3948))</f>
        <v/>
      </c>
      <c r="E3948">
        <f>IF(OR(H3948="",P3948=""),"",INDEX('Students'!$C$2:$C$701,P3948))</f>
        <v/>
      </c>
      <c r="F3948" s="48">
        <f>IF(H3948="","",IF(ISNUMBER(O3948),O3948,J3948))</f>
        <v/>
      </c>
      <c r="G3948">
        <f>IF(H3948="","",M3948)</f>
        <v/>
      </c>
      <c r="H3948">
        <f>IF(AND(I3948="",J3948="",K3948=""),"",IF(OR(NOT(ISNUMBER(O3948)),N(O3948)&lt;=0),"Bad amount",IF(NOT(ISNUMBER(N3948)),"Bad date",IF(P3948="","NAME NOT ON ROSTER","OK"))))</f>
        <v/>
      </c>
      <c r="I3948">
        <f>IF('Cash_Check'!A948="","",'Cash_Check'!A948)</f>
        <v/>
      </c>
      <c r="J3948">
        <f>IF('Cash_Check'!D948="","",'Cash_Check'!D948)</f>
        <v/>
      </c>
      <c r="K3948">
        <f>TRIM('Cash_Check'!B948)</f>
        <v/>
      </c>
      <c r="M3948">
        <f>IF(TRIM('Cash_Check'!E948)="","Cash/check",TRIM('Cash_Check'!E948))</f>
        <v/>
      </c>
      <c r="N3948">
        <f>IF(I3948="","",IF(ISNUMBER(I3948),INT(I3948),IFERROR(INT(DATEVALUE(I3948)),IFERROR(INT(VALUE(I3948)),"bad"))))</f>
        <v/>
      </c>
      <c r="O3948">
        <f>IF(J3948="","",IF(ISNUMBER(J3948),ROUND(J3948,2),IFERROR(ROUND(VALUE(SUBSTITUTE(SUBSTITUTE(SUBSTITUTE(J3948,"$",""),",","")," ","")),2),"bad")))</f>
        <v/>
      </c>
      <c r="P3948">
        <f>IF(K3948="","",IFERROR(MATCH(IF(ISNUMBER(FIND("#",K3948)),TRIM(MID(K3948,FIND("#",K3948)+1,20)),UPPER(K3948)),'Students'!$AD$2:$AD$701,0),""))</f>
        <v/>
      </c>
      <c r="R3948">
        <f>IF(P3948="","",INDEX('Students'!$AD$2:$AD$701,P3948))</f>
        <v/>
      </c>
      <c r="S3948">
        <f>IF(H3948="OK",O3948,0)</f>
        <v/>
      </c>
      <c r="T3948">
        <f>IF(H3948="OK",N3948,"")</f>
        <v/>
      </c>
      <c r="U3948">
        <f>TRIM('Cash_Check'!C948)</f>
        <v/>
      </c>
    </row>
    <row r="3949">
      <c r="A3949" s="62">
        <f>IF(H3949="","",IF(ISNUMBER(N3949),N3949,I3949))</f>
        <v/>
      </c>
      <c r="B3949">
        <f>IF(H3949="","",U3949)</f>
        <v/>
      </c>
      <c r="C3949">
        <f>IF(H3949="","",IF(P3949="",K3949,INDEX('Students'!$A$2:$A$701,P3949)))</f>
        <v/>
      </c>
      <c r="D3949">
        <f>IF(OR(H3949="",P3949=""),"",INDEX('Students'!$B$2:$B$701,P3949))</f>
        <v/>
      </c>
      <c r="E3949">
        <f>IF(OR(H3949="",P3949=""),"",INDEX('Students'!$C$2:$C$701,P3949))</f>
        <v/>
      </c>
      <c r="F3949" s="48">
        <f>IF(H3949="","",IF(ISNUMBER(O3949),O3949,J3949))</f>
        <v/>
      </c>
      <c r="G3949">
        <f>IF(H3949="","",M3949)</f>
        <v/>
      </c>
      <c r="H3949">
        <f>IF(AND(I3949="",J3949="",K3949=""),"",IF(OR(NOT(ISNUMBER(O3949)),N(O3949)&lt;=0),"Bad amount",IF(NOT(ISNUMBER(N3949)),"Bad date",IF(P3949="","NAME NOT ON ROSTER","OK"))))</f>
        <v/>
      </c>
      <c r="I3949">
        <f>IF('Cash_Check'!A949="","",'Cash_Check'!A949)</f>
        <v/>
      </c>
      <c r="J3949">
        <f>IF('Cash_Check'!D949="","",'Cash_Check'!D949)</f>
        <v/>
      </c>
      <c r="K3949">
        <f>TRIM('Cash_Check'!B949)</f>
        <v/>
      </c>
      <c r="M3949">
        <f>IF(TRIM('Cash_Check'!E949)="","Cash/check",TRIM('Cash_Check'!E949))</f>
        <v/>
      </c>
      <c r="N3949">
        <f>IF(I3949="","",IF(ISNUMBER(I3949),INT(I3949),IFERROR(INT(DATEVALUE(I3949)),IFERROR(INT(VALUE(I3949)),"bad"))))</f>
        <v/>
      </c>
      <c r="O3949">
        <f>IF(J3949="","",IF(ISNUMBER(J3949),ROUND(J3949,2),IFERROR(ROUND(VALUE(SUBSTITUTE(SUBSTITUTE(SUBSTITUTE(J3949,"$",""),",","")," ","")),2),"bad")))</f>
        <v/>
      </c>
      <c r="P3949">
        <f>IF(K3949="","",IFERROR(MATCH(IF(ISNUMBER(FIND("#",K3949)),TRIM(MID(K3949,FIND("#",K3949)+1,20)),UPPER(K3949)),'Students'!$AD$2:$AD$701,0),""))</f>
        <v/>
      </c>
      <c r="R3949">
        <f>IF(P3949="","",INDEX('Students'!$AD$2:$AD$701,P3949))</f>
        <v/>
      </c>
      <c r="S3949">
        <f>IF(H3949="OK",O3949,0)</f>
        <v/>
      </c>
      <c r="T3949">
        <f>IF(H3949="OK",N3949,"")</f>
        <v/>
      </c>
      <c r="U3949">
        <f>TRIM('Cash_Check'!C949)</f>
        <v/>
      </c>
    </row>
    <row r="3950">
      <c r="A3950" s="62">
        <f>IF(H3950="","",IF(ISNUMBER(N3950),N3950,I3950))</f>
        <v/>
      </c>
      <c r="B3950">
        <f>IF(H3950="","",U3950)</f>
        <v/>
      </c>
      <c r="C3950">
        <f>IF(H3950="","",IF(P3950="",K3950,INDEX('Students'!$A$2:$A$701,P3950)))</f>
        <v/>
      </c>
      <c r="D3950">
        <f>IF(OR(H3950="",P3950=""),"",INDEX('Students'!$B$2:$B$701,P3950))</f>
        <v/>
      </c>
      <c r="E3950">
        <f>IF(OR(H3950="",P3950=""),"",INDEX('Students'!$C$2:$C$701,P3950))</f>
        <v/>
      </c>
      <c r="F3950" s="48">
        <f>IF(H3950="","",IF(ISNUMBER(O3950),O3950,J3950))</f>
        <v/>
      </c>
      <c r="G3950">
        <f>IF(H3950="","",M3950)</f>
        <v/>
      </c>
      <c r="H3950">
        <f>IF(AND(I3950="",J3950="",K3950=""),"",IF(OR(NOT(ISNUMBER(O3950)),N(O3950)&lt;=0),"Bad amount",IF(NOT(ISNUMBER(N3950)),"Bad date",IF(P3950="","NAME NOT ON ROSTER","OK"))))</f>
        <v/>
      </c>
      <c r="I3950">
        <f>IF('Cash_Check'!A950="","",'Cash_Check'!A950)</f>
        <v/>
      </c>
      <c r="J3950">
        <f>IF('Cash_Check'!D950="","",'Cash_Check'!D950)</f>
        <v/>
      </c>
      <c r="K3950">
        <f>TRIM('Cash_Check'!B950)</f>
        <v/>
      </c>
      <c r="M3950">
        <f>IF(TRIM('Cash_Check'!E950)="","Cash/check",TRIM('Cash_Check'!E950))</f>
        <v/>
      </c>
      <c r="N3950">
        <f>IF(I3950="","",IF(ISNUMBER(I3950),INT(I3950),IFERROR(INT(DATEVALUE(I3950)),IFERROR(INT(VALUE(I3950)),"bad"))))</f>
        <v/>
      </c>
      <c r="O3950">
        <f>IF(J3950="","",IF(ISNUMBER(J3950),ROUND(J3950,2),IFERROR(ROUND(VALUE(SUBSTITUTE(SUBSTITUTE(SUBSTITUTE(J3950,"$",""),",","")," ","")),2),"bad")))</f>
        <v/>
      </c>
      <c r="P3950">
        <f>IF(K3950="","",IFERROR(MATCH(IF(ISNUMBER(FIND("#",K3950)),TRIM(MID(K3950,FIND("#",K3950)+1,20)),UPPER(K3950)),'Students'!$AD$2:$AD$701,0),""))</f>
        <v/>
      </c>
      <c r="R3950">
        <f>IF(P3950="","",INDEX('Students'!$AD$2:$AD$701,P3950))</f>
        <v/>
      </c>
      <c r="S3950">
        <f>IF(H3950="OK",O3950,0)</f>
        <v/>
      </c>
      <c r="T3950">
        <f>IF(H3950="OK",N3950,"")</f>
        <v/>
      </c>
      <c r="U3950">
        <f>TRIM('Cash_Check'!C950)</f>
        <v/>
      </c>
    </row>
    <row r="3951">
      <c r="A3951" s="62">
        <f>IF(H3951="","",IF(ISNUMBER(N3951),N3951,I3951))</f>
        <v/>
      </c>
      <c r="B3951">
        <f>IF(H3951="","",U3951)</f>
        <v/>
      </c>
      <c r="C3951">
        <f>IF(H3951="","",IF(P3951="",K3951,INDEX('Students'!$A$2:$A$701,P3951)))</f>
        <v/>
      </c>
      <c r="D3951">
        <f>IF(OR(H3951="",P3951=""),"",INDEX('Students'!$B$2:$B$701,P3951))</f>
        <v/>
      </c>
      <c r="E3951">
        <f>IF(OR(H3951="",P3951=""),"",INDEX('Students'!$C$2:$C$701,P3951))</f>
        <v/>
      </c>
      <c r="F3951" s="48">
        <f>IF(H3951="","",IF(ISNUMBER(O3951),O3951,J3951))</f>
        <v/>
      </c>
      <c r="G3951">
        <f>IF(H3951="","",M3951)</f>
        <v/>
      </c>
      <c r="H3951">
        <f>IF(AND(I3951="",J3951="",K3951=""),"",IF(OR(NOT(ISNUMBER(O3951)),N(O3951)&lt;=0),"Bad amount",IF(NOT(ISNUMBER(N3951)),"Bad date",IF(P3951="","NAME NOT ON ROSTER","OK"))))</f>
        <v/>
      </c>
      <c r="I3951">
        <f>IF('Cash_Check'!A951="","",'Cash_Check'!A951)</f>
        <v/>
      </c>
      <c r="J3951">
        <f>IF('Cash_Check'!D951="","",'Cash_Check'!D951)</f>
        <v/>
      </c>
      <c r="K3951">
        <f>TRIM('Cash_Check'!B951)</f>
        <v/>
      </c>
      <c r="M3951">
        <f>IF(TRIM('Cash_Check'!E951)="","Cash/check",TRIM('Cash_Check'!E951))</f>
        <v/>
      </c>
      <c r="N3951">
        <f>IF(I3951="","",IF(ISNUMBER(I3951),INT(I3951),IFERROR(INT(DATEVALUE(I3951)),IFERROR(INT(VALUE(I3951)),"bad"))))</f>
        <v/>
      </c>
      <c r="O3951">
        <f>IF(J3951="","",IF(ISNUMBER(J3951),ROUND(J3951,2),IFERROR(ROUND(VALUE(SUBSTITUTE(SUBSTITUTE(SUBSTITUTE(J3951,"$",""),",","")," ","")),2),"bad")))</f>
        <v/>
      </c>
      <c r="P3951">
        <f>IF(K3951="","",IFERROR(MATCH(IF(ISNUMBER(FIND("#",K3951)),TRIM(MID(K3951,FIND("#",K3951)+1,20)),UPPER(K3951)),'Students'!$AD$2:$AD$701,0),""))</f>
        <v/>
      </c>
      <c r="R3951">
        <f>IF(P3951="","",INDEX('Students'!$AD$2:$AD$701,P3951))</f>
        <v/>
      </c>
      <c r="S3951">
        <f>IF(H3951="OK",O3951,0)</f>
        <v/>
      </c>
      <c r="T3951">
        <f>IF(H3951="OK",N3951,"")</f>
        <v/>
      </c>
      <c r="U3951">
        <f>TRIM('Cash_Check'!C951)</f>
        <v/>
      </c>
    </row>
    <row r="3952">
      <c r="A3952" s="62">
        <f>IF(H3952="","",IF(ISNUMBER(N3952),N3952,I3952))</f>
        <v/>
      </c>
      <c r="B3952">
        <f>IF(H3952="","",U3952)</f>
        <v/>
      </c>
      <c r="C3952">
        <f>IF(H3952="","",IF(P3952="",K3952,INDEX('Students'!$A$2:$A$701,P3952)))</f>
        <v/>
      </c>
      <c r="D3952">
        <f>IF(OR(H3952="",P3952=""),"",INDEX('Students'!$B$2:$B$701,P3952))</f>
        <v/>
      </c>
      <c r="E3952">
        <f>IF(OR(H3952="",P3952=""),"",INDEX('Students'!$C$2:$C$701,P3952))</f>
        <v/>
      </c>
      <c r="F3952" s="48">
        <f>IF(H3952="","",IF(ISNUMBER(O3952),O3952,J3952))</f>
        <v/>
      </c>
      <c r="G3952">
        <f>IF(H3952="","",M3952)</f>
        <v/>
      </c>
      <c r="H3952">
        <f>IF(AND(I3952="",J3952="",K3952=""),"",IF(OR(NOT(ISNUMBER(O3952)),N(O3952)&lt;=0),"Bad amount",IF(NOT(ISNUMBER(N3952)),"Bad date",IF(P3952="","NAME NOT ON ROSTER","OK"))))</f>
        <v/>
      </c>
      <c r="I3952">
        <f>IF('Cash_Check'!A952="","",'Cash_Check'!A952)</f>
        <v/>
      </c>
      <c r="J3952">
        <f>IF('Cash_Check'!D952="","",'Cash_Check'!D952)</f>
        <v/>
      </c>
      <c r="K3952">
        <f>TRIM('Cash_Check'!B952)</f>
        <v/>
      </c>
      <c r="M3952">
        <f>IF(TRIM('Cash_Check'!E952)="","Cash/check",TRIM('Cash_Check'!E952))</f>
        <v/>
      </c>
      <c r="N3952">
        <f>IF(I3952="","",IF(ISNUMBER(I3952),INT(I3952),IFERROR(INT(DATEVALUE(I3952)),IFERROR(INT(VALUE(I3952)),"bad"))))</f>
        <v/>
      </c>
      <c r="O3952">
        <f>IF(J3952="","",IF(ISNUMBER(J3952),ROUND(J3952,2),IFERROR(ROUND(VALUE(SUBSTITUTE(SUBSTITUTE(SUBSTITUTE(J3952,"$",""),",","")," ","")),2),"bad")))</f>
        <v/>
      </c>
      <c r="P3952">
        <f>IF(K3952="","",IFERROR(MATCH(IF(ISNUMBER(FIND("#",K3952)),TRIM(MID(K3952,FIND("#",K3952)+1,20)),UPPER(K3952)),'Students'!$AD$2:$AD$701,0),""))</f>
        <v/>
      </c>
      <c r="R3952">
        <f>IF(P3952="","",INDEX('Students'!$AD$2:$AD$701,P3952))</f>
        <v/>
      </c>
      <c r="S3952">
        <f>IF(H3952="OK",O3952,0)</f>
        <v/>
      </c>
      <c r="T3952">
        <f>IF(H3952="OK",N3952,"")</f>
        <v/>
      </c>
      <c r="U3952">
        <f>TRIM('Cash_Check'!C952)</f>
        <v/>
      </c>
    </row>
    <row r="3953">
      <c r="A3953" s="62">
        <f>IF(H3953="","",IF(ISNUMBER(N3953),N3953,I3953))</f>
        <v/>
      </c>
      <c r="B3953">
        <f>IF(H3953="","",U3953)</f>
        <v/>
      </c>
      <c r="C3953">
        <f>IF(H3953="","",IF(P3953="",K3953,INDEX('Students'!$A$2:$A$701,P3953)))</f>
        <v/>
      </c>
      <c r="D3953">
        <f>IF(OR(H3953="",P3953=""),"",INDEX('Students'!$B$2:$B$701,P3953))</f>
        <v/>
      </c>
      <c r="E3953">
        <f>IF(OR(H3953="",P3953=""),"",INDEX('Students'!$C$2:$C$701,P3953))</f>
        <v/>
      </c>
      <c r="F3953" s="48">
        <f>IF(H3953="","",IF(ISNUMBER(O3953),O3953,J3953))</f>
        <v/>
      </c>
      <c r="G3953">
        <f>IF(H3953="","",M3953)</f>
        <v/>
      </c>
      <c r="H3953">
        <f>IF(AND(I3953="",J3953="",K3953=""),"",IF(OR(NOT(ISNUMBER(O3953)),N(O3953)&lt;=0),"Bad amount",IF(NOT(ISNUMBER(N3953)),"Bad date",IF(P3953="","NAME NOT ON ROSTER","OK"))))</f>
        <v/>
      </c>
      <c r="I3953">
        <f>IF('Cash_Check'!A953="","",'Cash_Check'!A953)</f>
        <v/>
      </c>
      <c r="J3953">
        <f>IF('Cash_Check'!D953="","",'Cash_Check'!D953)</f>
        <v/>
      </c>
      <c r="K3953">
        <f>TRIM('Cash_Check'!B953)</f>
        <v/>
      </c>
      <c r="M3953">
        <f>IF(TRIM('Cash_Check'!E953)="","Cash/check",TRIM('Cash_Check'!E953))</f>
        <v/>
      </c>
      <c r="N3953">
        <f>IF(I3953="","",IF(ISNUMBER(I3953),INT(I3953),IFERROR(INT(DATEVALUE(I3953)),IFERROR(INT(VALUE(I3953)),"bad"))))</f>
        <v/>
      </c>
      <c r="O3953">
        <f>IF(J3953="","",IF(ISNUMBER(J3953),ROUND(J3953,2),IFERROR(ROUND(VALUE(SUBSTITUTE(SUBSTITUTE(SUBSTITUTE(J3953,"$",""),",","")," ","")),2),"bad")))</f>
        <v/>
      </c>
      <c r="P3953">
        <f>IF(K3953="","",IFERROR(MATCH(IF(ISNUMBER(FIND("#",K3953)),TRIM(MID(K3953,FIND("#",K3953)+1,20)),UPPER(K3953)),'Students'!$AD$2:$AD$701,0),""))</f>
        <v/>
      </c>
      <c r="R3953">
        <f>IF(P3953="","",INDEX('Students'!$AD$2:$AD$701,P3953))</f>
        <v/>
      </c>
      <c r="S3953">
        <f>IF(H3953="OK",O3953,0)</f>
        <v/>
      </c>
      <c r="T3953">
        <f>IF(H3953="OK",N3953,"")</f>
        <v/>
      </c>
      <c r="U3953">
        <f>TRIM('Cash_Check'!C953)</f>
        <v/>
      </c>
    </row>
    <row r="3954">
      <c r="A3954" s="62">
        <f>IF(H3954="","",IF(ISNUMBER(N3954),N3954,I3954))</f>
        <v/>
      </c>
      <c r="B3954">
        <f>IF(H3954="","",U3954)</f>
        <v/>
      </c>
      <c r="C3954">
        <f>IF(H3954="","",IF(P3954="",K3954,INDEX('Students'!$A$2:$A$701,P3954)))</f>
        <v/>
      </c>
      <c r="D3954">
        <f>IF(OR(H3954="",P3954=""),"",INDEX('Students'!$B$2:$B$701,P3954))</f>
        <v/>
      </c>
      <c r="E3954">
        <f>IF(OR(H3954="",P3954=""),"",INDEX('Students'!$C$2:$C$701,P3954))</f>
        <v/>
      </c>
      <c r="F3954" s="48">
        <f>IF(H3954="","",IF(ISNUMBER(O3954),O3954,J3954))</f>
        <v/>
      </c>
      <c r="G3954">
        <f>IF(H3954="","",M3954)</f>
        <v/>
      </c>
      <c r="H3954">
        <f>IF(AND(I3954="",J3954="",K3954=""),"",IF(OR(NOT(ISNUMBER(O3954)),N(O3954)&lt;=0),"Bad amount",IF(NOT(ISNUMBER(N3954)),"Bad date",IF(P3954="","NAME NOT ON ROSTER","OK"))))</f>
        <v/>
      </c>
      <c r="I3954">
        <f>IF('Cash_Check'!A954="","",'Cash_Check'!A954)</f>
        <v/>
      </c>
      <c r="J3954">
        <f>IF('Cash_Check'!D954="","",'Cash_Check'!D954)</f>
        <v/>
      </c>
      <c r="K3954">
        <f>TRIM('Cash_Check'!B954)</f>
        <v/>
      </c>
      <c r="M3954">
        <f>IF(TRIM('Cash_Check'!E954)="","Cash/check",TRIM('Cash_Check'!E954))</f>
        <v/>
      </c>
      <c r="N3954">
        <f>IF(I3954="","",IF(ISNUMBER(I3954),INT(I3954),IFERROR(INT(DATEVALUE(I3954)),IFERROR(INT(VALUE(I3954)),"bad"))))</f>
        <v/>
      </c>
      <c r="O3954">
        <f>IF(J3954="","",IF(ISNUMBER(J3954),ROUND(J3954,2),IFERROR(ROUND(VALUE(SUBSTITUTE(SUBSTITUTE(SUBSTITUTE(J3954,"$",""),",","")," ","")),2),"bad")))</f>
        <v/>
      </c>
      <c r="P3954">
        <f>IF(K3954="","",IFERROR(MATCH(IF(ISNUMBER(FIND("#",K3954)),TRIM(MID(K3954,FIND("#",K3954)+1,20)),UPPER(K3954)),'Students'!$AD$2:$AD$701,0),""))</f>
        <v/>
      </c>
      <c r="R3954">
        <f>IF(P3954="","",INDEX('Students'!$AD$2:$AD$701,P3954))</f>
        <v/>
      </c>
      <c r="S3954">
        <f>IF(H3954="OK",O3954,0)</f>
        <v/>
      </c>
      <c r="T3954">
        <f>IF(H3954="OK",N3954,"")</f>
        <v/>
      </c>
      <c r="U3954">
        <f>TRIM('Cash_Check'!C954)</f>
        <v/>
      </c>
    </row>
    <row r="3955">
      <c r="A3955" s="62">
        <f>IF(H3955="","",IF(ISNUMBER(N3955),N3955,I3955))</f>
        <v/>
      </c>
      <c r="B3955">
        <f>IF(H3955="","",U3955)</f>
        <v/>
      </c>
      <c r="C3955">
        <f>IF(H3955="","",IF(P3955="",K3955,INDEX('Students'!$A$2:$A$701,P3955)))</f>
        <v/>
      </c>
      <c r="D3955">
        <f>IF(OR(H3955="",P3955=""),"",INDEX('Students'!$B$2:$B$701,P3955))</f>
        <v/>
      </c>
      <c r="E3955">
        <f>IF(OR(H3955="",P3955=""),"",INDEX('Students'!$C$2:$C$701,P3955))</f>
        <v/>
      </c>
      <c r="F3955" s="48">
        <f>IF(H3955="","",IF(ISNUMBER(O3955),O3955,J3955))</f>
        <v/>
      </c>
      <c r="G3955">
        <f>IF(H3955="","",M3955)</f>
        <v/>
      </c>
      <c r="H3955">
        <f>IF(AND(I3955="",J3955="",K3955=""),"",IF(OR(NOT(ISNUMBER(O3955)),N(O3955)&lt;=0),"Bad amount",IF(NOT(ISNUMBER(N3955)),"Bad date",IF(P3955="","NAME NOT ON ROSTER","OK"))))</f>
        <v/>
      </c>
      <c r="I3955">
        <f>IF('Cash_Check'!A955="","",'Cash_Check'!A955)</f>
        <v/>
      </c>
      <c r="J3955">
        <f>IF('Cash_Check'!D955="","",'Cash_Check'!D955)</f>
        <v/>
      </c>
      <c r="K3955">
        <f>TRIM('Cash_Check'!B955)</f>
        <v/>
      </c>
      <c r="M3955">
        <f>IF(TRIM('Cash_Check'!E955)="","Cash/check",TRIM('Cash_Check'!E955))</f>
        <v/>
      </c>
      <c r="N3955">
        <f>IF(I3955="","",IF(ISNUMBER(I3955),INT(I3955),IFERROR(INT(DATEVALUE(I3955)),IFERROR(INT(VALUE(I3955)),"bad"))))</f>
        <v/>
      </c>
      <c r="O3955">
        <f>IF(J3955="","",IF(ISNUMBER(J3955),ROUND(J3955,2),IFERROR(ROUND(VALUE(SUBSTITUTE(SUBSTITUTE(SUBSTITUTE(J3955,"$",""),",","")," ","")),2),"bad")))</f>
        <v/>
      </c>
      <c r="P3955">
        <f>IF(K3955="","",IFERROR(MATCH(IF(ISNUMBER(FIND("#",K3955)),TRIM(MID(K3955,FIND("#",K3955)+1,20)),UPPER(K3955)),'Students'!$AD$2:$AD$701,0),""))</f>
        <v/>
      </c>
      <c r="R3955">
        <f>IF(P3955="","",INDEX('Students'!$AD$2:$AD$701,P3955))</f>
        <v/>
      </c>
      <c r="S3955">
        <f>IF(H3955="OK",O3955,0)</f>
        <v/>
      </c>
      <c r="T3955">
        <f>IF(H3955="OK",N3955,"")</f>
        <v/>
      </c>
      <c r="U3955">
        <f>TRIM('Cash_Check'!C955)</f>
        <v/>
      </c>
    </row>
    <row r="3956">
      <c r="A3956" s="62">
        <f>IF(H3956="","",IF(ISNUMBER(N3956),N3956,I3956))</f>
        <v/>
      </c>
      <c r="B3956">
        <f>IF(H3956="","",U3956)</f>
        <v/>
      </c>
      <c r="C3956">
        <f>IF(H3956="","",IF(P3956="",K3956,INDEX('Students'!$A$2:$A$701,P3956)))</f>
        <v/>
      </c>
      <c r="D3956">
        <f>IF(OR(H3956="",P3956=""),"",INDEX('Students'!$B$2:$B$701,P3956))</f>
        <v/>
      </c>
      <c r="E3956">
        <f>IF(OR(H3956="",P3956=""),"",INDEX('Students'!$C$2:$C$701,P3956))</f>
        <v/>
      </c>
      <c r="F3956" s="48">
        <f>IF(H3956="","",IF(ISNUMBER(O3956),O3956,J3956))</f>
        <v/>
      </c>
      <c r="G3956">
        <f>IF(H3956="","",M3956)</f>
        <v/>
      </c>
      <c r="H3956">
        <f>IF(AND(I3956="",J3956="",K3956=""),"",IF(OR(NOT(ISNUMBER(O3956)),N(O3956)&lt;=0),"Bad amount",IF(NOT(ISNUMBER(N3956)),"Bad date",IF(P3956="","NAME NOT ON ROSTER","OK"))))</f>
        <v/>
      </c>
      <c r="I3956">
        <f>IF('Cash_Check'!A956="","",'Cash_Check'!A956)</f>
        <v/>
      </c>
      <c r="J3956">
        <f>IF('Cash_Check'!D956="","",'Cash_Check'!D956)</f>
        <v/>
      </c>
      <c r="K3956">
        <f>TRIM('Cash_Check'!B956)</f>
        <v/>
      </c>
      <c r="M3956">
        <f>IF(TRIM('Cash_Check'!E956)="","Cash/check",TRIM('Cash_Check'!E956))</f>
        <v/>
      </c>
      <c r="N3956">
        <f>IF(I3956="","",IF(ISNUMBER(I3956),INT(I3956),IFERROR(INT(DATEVALUE(I3956)),IFERROR(INT(VALUE(I3956)),"bad"))))</f>
        <v/>
      </c>
      <c r="O3956">
        <f>IF(J3956="","",IF(ISNUMBER(J3956),ROUND(J3956,2),IFERROR(ROUND(VALUE(SUBSTITUTE(SUBSTITUTE(SUBSTITUTE(J3956,"$",""),",","")," ","")),2),"bad")))</f>
        <v/>
      </c>
      <c r="P3956">
        <f>IF(K3956="","",IFERROR(MATCH(IF(ISNUMBER(FIND("#",K3956)),TRIM(MID(K3956,FIND("#",K3956)+1,20)),UPPER(K3956)),'Students'!$AD$2:$AD$701,0),""))</f>
        <v/>
      </c>
      <c r="R3956">
        <f>IF(P3956="","",INDEX('Students'!$AD$2:$AD$701,P3956))</f>
        <v/>
      </c>
      <c r="S3956">
        <f>IF(H3956="OK",O3956,0)</f>
        <v/>
      </c>
      <c r="T3956">
        <f>IF(H3956="OK",N3956,"")</f>
        <v/>
      </c>
      <c r="U3956">
        <f>TRIM('Cash_Check'!C956)</f>
        <v/>
      </c>
    </row>
    <row r="3957">
      <c r="A3957" s="62">
        <f>IF(H3957="","",IF(ISNUMBER(N3957),N3957,I3957))</f>
        <v/>
      </c>
      <c r="B3957">
        <f>IF(H3957="","",U3957)</f>
        <v/>
      </c>
      <c r="C3957">
        <f>IF(H3957="","",IF(P3957="",K3957,INDEX('Students'!$A$2:$A$701,P3957)))</f>
        <v/>
      </c>
      <c r="D3957">
        <f>IF(OR(H3957="",P3957=""),"",INDEX('Students'!$B$2:$B$701,P3957))</f>
        <v/>
      </c>
      <c r="E3957">
        <f>IF(OR(H3957="",P3957=""),"",INDEX('Students'!$C$2:$C$701,P3957))</f>
        <v/>
      </c>
      <c r="F3957" s="48">
        <f>IF(H3957="","",IF(ISNUMBER(O3957),O3957,J3957))</f>
        <v/>
      </c>
      <c r="G3957">
        <f>IF(H3957="","",M3957)</f>
        <v/>
      </c>
      <c r="H3957">
        <f>IF(AND(I3957="",J3957="",K3957=""),"",IF(OR(NOT(ISNUMBER(O3957)),N(O3957)&lt;=0),"Bad amount",IF(NOT(ISNUMBER(N3957)),"Bad date",IF(P3957="","NAME NOT ON ROSTER","OK"))))</f>
        <v/>
      </c>
      <c r="I3957">
        <f>IF('Cash_Check'!A957="","",'Cash_Check'!A957)</f>
        <v/>
      </c>
      <c r="J3957">
        <f>IF('Cash_Check'!D957="","",'Cash_Check'!D957)</f>
        <v/>
      </c>
      <c r="K3957">
        <f>TRIM('Cash_Check'!B957)</f>
        <v/>
      </c>
      <c r="M3957">
        <f>IF(TRIM('Cash_Check'!E957)="","Cash/check",TRIM('Cash_Check'!E957))</f>
        <v/>
      </c>
      <c r="N3957">
        <f>IF(I3957="","",IF(ISNUMBER(I3957),INT(I3957),IFERROR(INT(DATEVALUE(I3957)),IFERROR(INT(VALUE(I3957)),"bad"))))</f>
        <v/>
      </c>
      <c r="O3957">
        <f>IF(J3957="","",IF(ISNUMBER(J3957),ROUND(J3957,2),IFERROR(ROUND(VALUE(SUBSTITUTE(SUBSTITUTE(SUBSTITUTE(J3957,"$",""),",","")," ","")),2),"bad")))</f>
        <v/>
      </c>
      <c r="P3957">
        <f>IF(K3957="","",IFERROR(MATCH(IF(ISNUMBER(FIND("#",K3957)),TRIM(MID(K3957,FIND("#",K3957)+1,20)),UPPER(K3957)),'Students'!$AD$2:$AD$701,0),""))</f>
        <v/>
      </c>
      <c r="R3957">
        <f>IF(P3957="","",INDEX('Students'!$AD$2:$AD$701,P3957))</f>
        <v/>
      </c>
      <c r="S3957">
        <f>IF(H3957="OK",O3957,0)</f>
        <v/>
      </c>
      <c r="T3957">
        <f>IF(H3957="OK",N3957,"")</f>
        <v/>
      </c>
      <c r="U3957">
        <f>TRIM('Cash_Check'!C957)</f>
        <v/>
      </c>
    </row>
    <row r="3958">
      <c r="A3958" s="62">
        <f>IF(H3958="","",IF(ISNUMBER(N3958),N3958,I3958))</f>
        <v/>
      </c>
      <c r="B3958">
        <f>IF(H3958="","",U3958)</f>
        <v/>
      </c>
      <c r="C3958">
        <f>IF(H3958="","",IF(P3958="",K3958,INDEX('Students'!$A$2:$A$701,P3958)))</f>
        <v/>
      </c>
      <c r="D3958">
        <f>IF(OR(H3958="",P3958=""),"",INDEX('Students'!$B$2:$B$701,P3958))</f>
        <v/>
      </c>
      <c r="E3958">
        <f>IF(OR(H3958="",P3958=""),"",INDEX('Students'!$C$2:$C$701,P3958))</f>
        <v/>
      </c>
      <c r="F3958" s="48">
        <f>IF(H3958="","",IF(ISNUMBER(O3958),O3958,J3958))</f>
        <v/>
      </c>
      <c r="G3958">
        <f>IF(H3958="","",M3958)</f>
        <v/>
      </c>
      <c r="H3958">
        <f>IF(AND(I3958="",J3958="",K3958=""),"",IF(OR(NOT(ISNUMBER(O3958)),N(O3958)&lt;=0),"Bad amount",IF(NOT(ISNUMBER(N3958)),"Bad date",IF(P3958="","NAME NOT ON ROSTER","OK"))))</f>
        <v/>
      </c>
      <c r="I3958">
        <f>IF('Cash_Check'!A958="","",'Cash_Check'!A958)</f>
        <v/>
      </c>
      <c r="J3958">
        <f>IF('Cash_Check'!D958="","",'Cash_Check'!D958)</f>
        <v/>
      </c>
      <c r="K3958">
        <f>TRIM('Cash_Check'!B958)</f>
        <v/>
      </c>
      <c r="M3958">
        <f>IF(TRIM('Cash_Check'!E958)="","Cash/check",TRIM('Cash_Check'!E958))</f>
        <v/>
      </c>
      <c r="N3958">
        <f>IF(I3958="","",IF(ISNUMBER(I3958),INT(I3958),IFERROR(INT(DATEVALUE(I3958)),IFERROR(INT(VALUE(I3958)),"bad"))))</f>
        <v/>
      </c>
      <c r="O3958">
        <f>IF(J3958="","",IF(ISNUMBER(J3958),ROUND(J3958,2),IFERROR(ROUND(VALUE(SUBSTITUTE(SUBSTITUTE(SUBSTITUTE(J3958,"$",""),",","")," ","")),2),"bad")))</f>
        <v/>
      </c>
      <c r="P3958">
        <f>IF(K3958="","",IFERROR(MATCH(IF(ISNUMBER(FIND("#",K3958)),TRIM(MID(K3958,FIND("#",K3958)+1,20)),UPPER(K3958)),'Students'!$AD$2:$AD$701,0),""))</f>
        <v/>
      </c>
      <c r="R3958">
        <f>IF(P3958="","",INDEX('Students'!$AD$2:$AD$701,P3958))</f>
        <v/>
      </c>
      <c r="S3958">
        <f>IF(H3958="OK",O3958,0)</f>
        <v/>
      </c>
      <c r="T3958">
        <f>IF(H3958="OK",N3958,"")</f>
        <v/>
      </c>
      <c r="U3958">
        <f>TRIM('Cash_Check'!C958)</f>
        <v/>
      </c>
    </row>
    <row r="3959">
      <c r="A3959" s="62">
        <f>IF(H3959="","",IF(ISNUMBER(N3959),N3959,I3959))</f>
        <v/>
      </c>
      <c r="B3959">
        <f>IF(H3959="","",U3959)</f>
        <v/>
      </c>
      <c r="C3959">
        <f>IF(H3959="","",IF(P3959="",K3959,INDEX('Students'!$A$2:$A$701,P3959)))</f>
        <v/>
      </c>
      <c r="D3959">
        <f>IF(OR(H3959="",P3959=""),"",INDEX('Students'!$B$2:$B$701,P3959))</f>
        <v/>
      </c>
      <c r="E3959">
        <f>IF(OR(H3959="",P3959=""),"",INDEX('Students'!$C$2:$C$701,P3959))</f>
        <v/>
      </c>
      <c r="F3959" s="48">
        <f>IF(H3959="","",IF(ISNUMBER(O3959),O3959,J3959))</f>
        <v/>
      </c>
      <c r="G3959">
        <f>IF(H3959="","",M3959)</f>
        <v/>
      </c>
      <c r="H3959">
        <f>IF(AND(I3959="",J3959="",K3959=""),"",IF(OR(NOT(ISNUMBER(O3959)),N(O3959)&lt;=0),"Bad amount",IF(NOT(ISNUMBER(N3959)),"Bad date",IF(P3959="","NAME NOT ON ROSTER","OK"))))</f>
        <v/>
      </c>
      <c r="I3959">
        <f>IF('Cash_Check'!A959="","",'Cash_Check'!A959)</f>
        <v/>
      </c>
      <c r="J3959">
        <f>IF('Cash_Check'!D959="","",'Cash_Check'!D959)</f>
        <v/>
      </c>
      <c r="K3959">
        <f>TRIM('Cash_Check'!B959)</f>
        <v/>
      </c>
      <c r="M3959">
        <f>IF(TRIM('Cash_Check'!E959)="","Cash/check",TRIM('Cash_Check'!E959))</f>
        <v/>
      </c>
      <c r="N3959">
        <f>IF(I3959="","",IF(ISNUMBER(I3959),INT(I3959),IFERROR(INT(DATEVALUE(I3959)),IFERROR(INT(VALUE(I3959)),"bad"))))</f>
        <v/>
      </c>
      <c r="O3959">
        <f>IF(J3959="","",IF(ISNUMBER(J3959),ROUND(J3959,2),IFERROR(ROUND(VALUE(SUBSTITUTE(SUBSTITUTE(SUBSTITUTE(J3959,"$",""),",","")," ","")),2),"bad")))</f>
        <v/>
      </c>
      <c r="P3959">
        <f>IF(K3959="","",IFERROR(MATCH(IF(ISNUMBER(FIND("#",K3959)),TRIM(MID(K3959,FIND("#",K3959)+1,20)),UPPER(K3959)),'Students'!$AD$2:$AD$701,0),""))</f>
        <v/>
      </c>
      <c r="R3959">
        <f>IF(P3959="","",INDEX('Students'!$AD$2:$AD$701,P3959))</f>
        <v/>
      </c>
      <c r="S3959">
        <f>IF(H3959="OK",O3959,0)</f>
        <v/>
      </c>
      <c r="T3959">
        <f>IF(H3959="OK",N3959,"")</f>
        <v/>
      </c>
      <c r="U3959">
        <f>TRIM('Cash_Check'!C959)</f>
        <v/>
      </c>
    </row>
    <row r="3960">
      <c r="A3960" s="62">
        <f>IF(H3960="","",IF(ISNUMBER(N3960),N3960,I3960))</f>
        <v/>
      </c>
      <c r="B3960">
        <f>IF(H3960="","",U3960)</f>
        <v/>
      </c>
      <c r="C3960">
        <f>IF(H3960="","",IF(P3960="",K3960,INDEX('Students'!$A$2:$A$701,P3960)))</f>
        <v/>
      </c>
      <c r="D3960">
        <f>IF(OR(H3960="",P3960=""),"",INDEX('Students'!$B$2:$B$701,P3960))</f>
        <v/>
      </c>
      <c r="E3960">
        <f>IF(OR(H3960="",P3960=""),"",INDEX('Students'!$C$2:$C$701,P3960))</f>
        <v/>
      </c>
      <c r="F3960" s="48">
        <f>IF(H3960="","",IF(ISNUMBER(O3960),O3960,J3960))</f>
        <v/>
      </c>
      <c r="G3960">
        <f>IF(H3960="","",M3960)</f>
        <v/>
      </c>
      <c r="H3960">
        <f>IF(AND(I3960="",J3960="",K3960=""),"",IF(OR(NOT(ISNUMBER(O3960)),N(O3960)&lt;=0),"Bad amount",IF(NOT(ISNUMBER(N3960)),"Bad date",IF(P3960="","NAME NOT ON ROSTER","OK"))))</f>
        <v/>
      </c>
      <c r="I3960">
        <f>IF('Cash_Check'!A960="","",'Cash_Check'!A960)</f>
        <v/>
      </c>
      <c r="J3960">
        <f>IF('Cash_Check'!D960="","",'Cash_Check'!D960)</f>
        <v/>
      </c>
      <c r="K3960">
        <f>TRIM('Cash_Check'!B960)</f>
        <v/>
      </c>
      <c r="M3960">
        <f>IF(TRIM('Cash_Check'!E960)="","Cash/check",TRIM('Cash_Check'!E960))</f>
        <v/>
      </c>
      <c r="N3960">
        <f>IF(I3960="","",IF(ISNUMBER(I3960),INT(I3960),IFERROR(INT(DATEVALUE(I3960)),IFERROR(INT(VALUE(I3960)),"bad"))))</f>
        <v/>
      </c>
      <c r="O3960">
        <f>IF(J3960="","",IF(ISNUMBER(J3960),ROUND(J3960,2),IFERROR(ROUND(VALUE(SUBSTITUTE(SUBSTITUTE(SUBSTITUTE(J3960,"$",""),",","")," ","")),2),"bad")))</f>
        <v/>
      </c>
      <c r="P3960">
        <f>IF(K3960="","",IFERROR(MATCH(IF(ISNUMBER(FIND("#",K3960)),TRIM(MID(K3960,FIND("#",K3960)+1,20)),UPPER(K3960)),'Students'!$AD$2:$AD$701,0),""))</f>
        <v/>
      </c>
      <c r="R3960">
        <f>IF(P3960="","",INDEX('Students'!$AD$2:$AD$701,P3960))</f>
        <v/>
      </c>
      <c r="S3960">
        <f>IF(H3960="OK",O3960,0)</f>
        <v/>
      </c>
      <c r="T3960">
        <f>IF(H3960="OK",N3960,"")</f>
        <v/>
      </c>
      <c r="U3960">
        <f>TRIM('Cash_Check'!C960)</f>
        <v/>
      </c>
    </row>
    <row r="3961">
      <c r="A3961" s="62">
        <f>IF(H3961="","",IF(ISNUMBER(N3961),N3961,I3961))</f>
        <v/>
      </c>
      <c r="B3961">
        <f>IF(H3961="","",U3961)</f>
        <v/>
      </c>
      <c r="C3961">
        <f>IF(H3961="","",IF(P3961="",K3961,INDEX('Students'!$A$2:$A$701,P3961)))</f>
        <v/>
      </c>
      <c r="D3961">
        <f>IF(OR(H3961="",P3961=""),"",INDEX('Students'!$B$2:$B$701,P3961))</f>
        <v/>
      </c>
      <c r="E3961">
        <f>IF(OR(H3961="",P3961=""),"",INDEX('Students'!$C$2:$C$701,P3961))</f>
        <v/>
      </c>
      <c r="F3961" s="48">
        <f>IF(H3961="","",IF(ISNUMBER(O3961),O3961,J3961))</f>
        <v/>
      </c>
      <c r="G3961">
        <f>IF(H3961="","",M3961)</f>
        <v/>
      </c>
      <c r="H3961">
        <f>IF(AND(I3961="",J3961="",K3961=""),"",IF(OR(NOT(ISNUMBER(O3961)),N(O3961)&lt;=0),"Bad amount",IF(NOT(ISNUMBER(N3961)),"Bad date",IF(P3961="","NAME NOT ON ROSTER","OK"))))</f>
        <v/>
      </c>
      <c r="I3961">
        <f>IF('Cash_Check'!A961="","",'Cash_Check'!A961)</f>
        <v/>
      </c>
      <c r="J3961">
        <f>IF('Cash_Check'!D961="","",'Cash_Check'!D961)</f>
        <v/>
      </c>
      <c r="K3961">
        <f>TRIM('Cash_Check'!B961)</f>
        <v/>
      </c>
      <c r="M3961">
        <f>IF(TRIM('Cash_Check'!E961)="","Cash/check",TRIM('Cash_Check'!E961))</f>
        <v/>
      </c>
      <c r="N3961">
        <f>IF(I3961="","",IF(ISNUMBER(I3961),INT(I3961),IFERROR(INT(DATEVALUE(I3961)),IFERROR(INT(VALUE(I3961)),"bad"))))</f>
        <v/>
      </c>
      <c r="O3961">
        <f>IF(J3961="","",IF(ISNUMBER(J3961),ROUND(J3961,2),IFERROR(ROUND(VALUE(SUBSTITUTE(SUBSTITUTE(SUBSTITUTE(J3961,"$",""),",","")," ","")),2),"bad")))</f>
        <v/>
      </c>
      <c r="P3961">
        <f>IF(K3961="","",IFERROR(MATCH(IF(ISNUMBER(FIND("#",K3961)),TRIM(MID(K3961,FIND("#",K3961)+1,20)),UPPER(K3961)),'Students'!$AD$2:$AD$701,0),""))</f>
        <v/>
      </c>
      <c r="R3961">
        <f>IF(P3961="","",INDEX('Students'!$AD$2:$AD$701,P3961))</f>
        <v/>
      </c>
      <c r="S3961">
        <f>IF(H3961="OK",O3961,0)</f>
        <v/>
      </c>
      <c r="T3961">
        <f>IF(H3961="OK",N3961,"")</f>
        <v/>
      </c>
      <c r="U3961">
        <f>TRIM('Cash_Check'!C961)</f>
        <v/>
      </c>
    </row>
    <row r="3962">
      <c r="A3962" s="62">
        <f>IF(H3962="","",IF(ISNUMBER(N3962),N3962,I3962))</f>
        <v/>
      </c>
      <c r="B3962">
        <f>IF(H3962="","",U3962)</f>
        <v/>
      </c>
      <c r="C3962">
        <f>IF(H3962="","",IF(P3962="",K3962,INDEX('Students'!$A$2:$A$701,P3962)))</f>
        <v/>
      </c>
      <c r="D3962">
        <f>IF(OR(H3962="",P3962=""),"",INDEX('Students'!$B$2:$B$701,P3962))</f>
        <v/>
      </c>
      <c r="E3962">
        <f>IF(OR(H3962="",P3962=""),"",INDEX('Students'!$C$2:$C$701,P3962))</f>
        <v/>
      </c>
      <c r="F3962" s="48">
        <f>IF(H3962="","",IF(ISNUMBER(O3962),O3962,J3962))</f>
        <v/>
      </c>
      <c r="G3962">
        <f>IF(H3962="","",M3962)</f>
        <v/>
      </c>
      <c r="H3962">
        <f>IF(AND(I3962="",J3962="",K3962=""),"",IF(OR(NOT(ISNUMBER(O3962)),N(O3962)&lt;=0),"Bad amount",IF(NOT(ISNUMBER(N3962)),"Bad date",IF(P3962="","NAME NOT ON ROSTER","OK"))))</f>
        <v/>
      </c>
      <c r="I3962">
        <f>IF('Cash_Check'!A962="","",'Cash_Check'!A962)</f>
        <v/>
      </c>
      <c r="J3962">
        <f>IF('Cash_Check'!D962="","",'Cash_Check'!D962)</f>
        <v/>
      </c>
      <c r="K3962">
        <f>TRIM('Cash_Check'!B962)</f>
        <v/>
      </c>
      <c r="M3962">
        <f>IF(TRIM('Cash_Check'!E962)="","Cash/check",TRIM('Cash_Check'!E962))</f>
        <v/>
      </c>
      <c r="N3962">
        <f>IF(I3962="","",IF(ISNUMBER(I3962),INT(I3962),IFERROR(INT(DATEVALUE(I3962)),IFERROR(INT(VALUE(I3962)),"bad"))))</f>
        <v/>
      </c>
      <c r="O3962">
        <f>IF(J3962="","",IF(ISNUMBER(J3962),ROUND(J3962,2),IFERROR(ROUND(VALUE(SUBSTITUTE(SUBSTITUTE(SUBSTITUTE(J3962,"$",""),",","")," ","")),2),"bad")))</f>
        <v/>
      </c>
      <c r="P3962">
        <f>IF(K3962="","",IFERROR(MATCH(IF(ISNUMBER(FIND("#",K3962)),TRIM(MID(K3962,FIND("#",K3962)+1,20)),UPPER(K3962)),'Students'!$AD$2:$AD$701,0),""))</f>
        <v/>
      </c>
      <c r="R3962">
        <f>IF(P3962="","",INDEX('Students'!$AD$2:$AD$701,P3962))</f>
        <v/>
      </c>
      <c r="S3962">
        <f>IF(H3962="OK",O3962,0)</f>
        <v/>
      </c>
      <c r="T3962">
        <f>IF(H3962="OK",N3962,"")</f>
        <v/>
      </c>
      <c r="U3962">
        <f>TRIM('Cash_Check'!C962)</f>
        <v/>
      </c>
    </row>
    <row r="3963">
      <c r="A3963" s="62">
        <f>IF(H3963="","",IF(ISNUMBER(N3963),N3963,I3963))</f>
        <v/>
      </c>
      <c r="B3963">
        <f>IF(H3963="","",U3963)</f>
        <v/>
      </c>
      <c r="C3963">
        <f>IF(H3963="","",IF(P3963="",K3963,INDEX('Students'!$A$2:$A$701,P3963)))</f>
        <v/>
      </c>
      <c r="D3963">
        <f>IF(OR(H3963="",P3963=""),"",INDEX('Students'!$B$2:$B$701,P3963))</f>
        <v/>
      </c>
      <c r="E3963">
        <f>IF(OR(H3963="",P3963=""),"",INDEX('Students'!$C$2:$C$701,P3963))</f>
        <v/>
      </c>
      <c r="F3963" s="48">
        <f>IF(H3963="","",IF(ISNUMBER(O3963),O3963,J3963))</f>
        <v/>
      </c>
      <c r="G3963">
        <f>IF(H3963="","",M3963)</f>
        <v/>
      </c>
      <c r="H3963">
        <f>IF(AND(I3963="",J3963="",K3963=""),"",IF(OR(NOT(ISNUMBER(O3963)),N(O3963)&lt;=0),"Bad amount",IF(NOT(ISNUMBER(N3963)),"Bad date",IF(P3963="","NAME NOT ON ROSTER","OK"))))</f>
        <v/>
      </c>
      <c r="I3963">
        <f>IF('Cash_Check'!A963="","",'Cash_Check'!A963)</f>
        <v/>
      </c>
      <c r="J3963">
        <f>IF('Cash_Check'!D963="","",'Cash_Check'!D963)</f>
        <v/>
      </c>
      <c r="K3963">
        <f>TRIM('Cash_Check'!B963)</f>
        <v/>
      </c>
      <c r="M3963">
        <f>IF(TRIM('Cash_Check'!E963)="","Cash/check",TRIM('Cash_Check'!E963))</f>
        <v/>
      </c>
      <c r="N3963">
        <f>IF(I3963="","",IF(ISNUMBER(I3963),INT(I3963),IFERROR(INT(DATEVALUE(I3963)),IFERROR(INT(VALUE(I3963)),"bad"))))</f>
        <v/>
      </c>
      <c r="O3963">
        <f>IF(J3963="","",IF(ISNUMBER(J3963),ROUND(J3963,2),IFERROR(ROUND(VALUE(SUBSTITUTE(SUBSTITUTE(SUBSTITUTE(J3963,"$",""),",","")," ","")),2),"bad")))</f>
        <v/>
      </c>
      <c r="P3963">
        <f>IF(K3963="","",IFERROR(MATCH(IF(ISNUMBER(FIND("#",K3963)),TRIM(MID(K3963,FIND("#",K3963)+1,20)),UPPER(K3963)),'Students'!$AD$2:$AD$701,0),""))</f>
        <v/>
      </c>
      <c r="R3963">
        <f>IF(P3963="","",INDEX('Students'!$AD$2:$AD$701,P3963))</f>
        <v/>
      </c>
      <c r="S3963">
        <f>IF(H3963="OK",O3963,0)</f>
        <v/>
      </c>
      <c r="T3963">
        <f>IF(H3963="OK",N3963,"")</f>
        <v/>
      </c>
      <c r="U3963">
        <f>TRIM('Cash_Check'!C963)</f>
        <v/>
      </c>
    </row>
    <row r="3964">
      <c r="A3964" s="62">
        <f>IF(H3964="","",IF(ISNUMBER(N3964),N3964,I3964))</f>
        <v/>
      </c>
      <c r="B3964">
        <f>IF(H3964="","",U3964)</f>
        <v/>
      </c>
      <c r="C3964">
        <f>IF(H3964="","",IF(P3964="",K3964,INDEX('Students'!$A$2:$A$701,P3964)))</f>
        <v/>
      </c>
      <c r="D3964">
        <f>IF(OR(H3964="",P3964=""),"",INDEX('Students'!$B$2:$B$701,P3964))</f>
        <v/>
      </c>
      <c r="E3964">
        <f>IF(OR(H3964="",P3964=""),"",INDEX('Students'!$C$2:$C$701,P3964))</f>
        <v/>
      </c>
      <c r="F3964" s="48">
        <f>IF(H3964="","",IF(ISNUMBER(O3964),O3964,J3964))</f>
        <v/>
      </c>
      <c r="G3964">
        <f>IF(H3964="","",M3964)</f>
        <v/>
      </c>
      <c r="H3964">
        <f>IF(AND(I3964="",J3964="",K3964=""),"",IF(OR(NOT(ISNUMBER(O3964)),N(O3964)&lt;=0),"Bad amount",IF(NOT(ISNUMBER(N3964)),"Bad date",IF(P3964="","NAME NOT ON ROSTER","OK"))))</f>
        <v/>
      </c>
      <c r="I3964">
        <f>IF('Cash_Check'!A964="","",'Cash_Check'!A964)</f>
        <v/>
      </c>
      <c r="J3964">
        <f>IF('Cash_Check'!D964="","",'Cash_Check'!D964)</f>
        <v/>
      </c>
      <c r="K3964">
        <f>TRIM('Cash_Check'!B964)</f>
        <v/>
      </c>
      <c r="M3964">
        <f>IF(TRIM('Cash_Check'!E964)="","Cash/check",TRIM('Cash_Check'!E964))</f>
        <v/>
      </c>
      <c r="N3964">
        <f>IF(I3964="","",IF(ISNUMBER(I3964),INT(I3964),IFERROR(INT(DATEVALUE(I3964)),IFERROR(INT(VALUE(I3964)),"bad"))))</f>
        <v/>
      </c>
      <c r="O3964">
        <f>IF(J3964="","",IF(ISNUMBER(J3964),ROUND(J3964,2),IFERROR(ROUND(VALUE(SUBSTITUTE(SUBSTITUTE(SUBSTITUTE(J3964,"$",""),",","")," ","")),2),"bad")))</f>
        <v/>
      </c>
      <c r="P3964">
        <f>IF(K3964="","",IFERROR(MATCH(IF(ISNUMBER(FIND("#",K3964)),TRIM(MID(K3964,FIND("#",K3964)+1,20)),UPPER(K3964)),'Students'!$AD$2:$AD$701,0),""))</f>
        <v/>
      </c>
      <c r="R3964">
        <f>IF(P3964="","",INDEX('Students'!$AD$2:$AD$701,P3964))</f>
        <v/>
      </c>
      <c r="S3964">
        <f>IF(H3964="OK",O3964,0)</f>
        <v/>
      </c>
      <c r="T3964">
        <f>IF(H3964="OK",N3964,"")</f>
        <v/>
      </c>
      <c r="U3964">
        <f>TRIM('Cash_Check'!C964)</f>
        <v/>
      </c>
    </row>
    <row r="3965">
      <c r="A3965" s="62">
        <f>IF(H3965="","",IF(ISNUMBER(N3965),N3965,I3965))</f>
        <v/>
      </c>
      <c r="B3965">
        <f>IF(H3965="","",U3965)</f>
        <v/>
      </c>
      <c r="C3965">
        <f>IF(H3965="","",IF(P3965="",K3965,INDEX('Students'!$A$2:$A$701,P3965)))</f>
        <v/>
      </c>
      <c r="D3965">
        <f>IF(OR(H3965="",P3965=""),"",INDEX('Students'!$B$2:$B$701,P3965))</f>
        <v/>
      </c>
      <c r="E3965">
        <f>IF(OR(H3965="",P3965=""),"",INDEX('Students'!$C$2:$C$701,P3965))</f>
        <v/>
      </c>
      <c r="F3965" s="48">
        <f>IF(H3965="","",IF(ISNUMBER(O3965),O3965,J3965))</f>
        <v/>
      </c>
      <c r="G3965">
        <f>IF(H3965="","",M3965)</f>
        <v/>
      </c>
      <c r="H3965">
        <f>IF(AND(I3965="",J3965="",K3965=""),"",IF(OR(NOT(ISNUMBER(O3965)),N(O3965)&lt;=0),"Bad amount",IF(NOT(ISNUMBER(N3965)),"Bad date",IF(P3965="","NAME NOT ON ROSTER","OK"))))</f>
        <v/>
      </c>
      <c r="I3965">
        <f>IF('Cash_Check'!A965="","",'Cash_Check'!A965)</f>
        <v/>
      </c>
      <c r="J3965">
        <f>IF('Cash_Check'!D965="","",'Cash_Check'!D965)</f>
        <v/>
      </c>
      <c r="K3965">
        <f>TRIM('Cash_Check'!B965)</f>
        <v/>
      </c>
      <c r="M3965">
        <f>IF(TRIM('Cash_Check'!E965)="","Cash/check",TRIM('Cash_Check'!E965))</f>
        <v/>
      </c>
      <c r="N3965">
        <f>IF(I3965="","",IF(ISNUMBER(I3965),INT(I3965),IFERROR(INT(DATEVALUE(I3965)),IFERROR(INT(VALUE(I3965)),"bad"))))</f>
        <v/>
      </c>
      <c r="O3965">
        <f>IF(J3965="","",IF(ISNUMBER(J3965),ROUND(J3965,2),IFERROR(ROUND(VALUE(SUBSTITUTE(SUBSTITUTE(SUBSTITUTE(J3965,"$",""),",","")," ","")),2),"bad")))</f>
        <v/>
      </c>
      <c r="P3965">
        <f>IF(K3965="","",IFERROR(MATCH(IF(ISNUMBER(FIND("#",K3965)),TRIM(MID(K3965,FIND("#",K3965)+1,20)),UPPER(K3965)),'Students'!$AD$2:$AD$701,0),""))</f>
        <v/>
      </c>
      <c r="R3965">
        <f>IF(P3965="","",INDEX('Students'!$AD$2:$AD$701,P3965))</f>
        <v/>
      </c>
      <c r="S3965">
        <f>IF(H3965="OK",O3965,0)</f>
        <v/>
      </c>
      <c r="T3965">
        <f>IF(H3965="OK",N3965,"")</f>
        <v/>
      </c>
      <c r="U3965">
        <f>TRIM('Cash_Check'!C965)</f>
        <v/>
      </c>
    </row>
    <row r="3966">
      <c r="A3966" s="62">
        <f>IF(H3966="","",IF(ISNUMBER(N3966),N3966,I3966))</f>
        <v/>
      </c>
      <c r="B3966">
        <f>IF(H3966="","",U3966)</f>
        <v/>
      </c>
      <c r="C3966">
        <f>IF(H3966="","",IF(P3966="",K3966,INDEX('Students'!$A$2:$A$701,P3966)))</f>
        <v/>
      </c>
      <c r="D3966">
        <f>IF(OR(H3966="",P3966=""),"",INDEX('Students'!$B$2:$B$701,P3966))</f>
        <v/>
      </c>
      <c r="E3966">
        <f>IF(OR(H3966="",P3966=""),"",INDEX('Students'!$C$2:$C$701,P3966))</f>
        <v/>
      </c>
      <c r="F3966" s="48">
        <f>IF(H3966="","",IF(ISNUMBER(O3966),O3966,J3966))</f>
        <v/>
      </c>
      <c r="G3966">
        <f>IF(H3966="","",M3966)</f>
        <v/>
      </c>
      <c r="H3966">
        <f>IF(AND(I3966="",J3966="",K3966=""),"",IF(OR(NOT(ISNUMBER(O3966)),N(O3966)&lt;=0),"Bad amount",IF(NOT(ISNUMBER(N3966)),"Bad date",IF(P3966="","NAME NOT ON ROSTER","OK"))))</f>
        <v/>
      </c>
      <c r="I3966">
        <f>IF('Cash_Check'!A966="","",'Cash_Check'!A966)</f>
        <v/>
      </c>
      <c r="J3966">
        <f>IF('Cash_Check'!D966="","",'Cash_Check'!D966)</f>
        <v/>
      </c>
      <c r="K3966">
        <f>TRIM('Cash_Check'!B966)</f>
        <v/>
      </c>
      <c r="M3966">
        <f>IF(TRIM('Cash_Check'!E966)="","Cash/check",TRIM('Cash_Check'!E966))</f>
        <v/>
      </c>
      <c r="N3966">
        <f>IF(I3966="","",IF(ISNUMBER(I3966),INT(I3966),IFERROR(INT(DATEVALUE(I3966)),IFERROR(INT(VALUE(I3966)),"bad"))))</f>
        <v/>
      </c>
      <c r="O3966">
        <f>IF(J3966="","",IF(ISNUMBER(J3966),ROUND(J3966,2),IFERROR(ROUND(VALUE(SUBSTITUTE(SUBSTITUTE(SUBSTITUTE(J3966,"$",""),",","")," ","")),2),"bad")))</f>
        <v/>
      </c>
      <c r="P3966">
        <f>IF(K3966="","",IFERROR(MATCH(IF(ISNUMBER(FIND("#",K3966)),TRIM(MID(K3966,FIND("#",K3966)+1,20)),UPPER(K3966)),'Students'!$AD$2:$AD$701,0),""))</f>
        <v/>
      </c>
      <c r="R3966">
        <f>IF(P3966="","",INDEX('Students'!$AD$2:$AD$701,P3966))</f>
        <v/>
      </c>
      <c r="S3966">
        <f>IF(H3966="OK",O3966,0)</f>
        <v/>
      </c>
      <c r="T3966">
        <f>IF(H3966="OK",N3966,"")</f>
        <v/>
      </c>
      <c r="U3966">
        <f>TRIM('Cash_Check'!C966)</f>
        <v/>
      </c>
    </row>
    <row r="3967">
      <c r="A3967" s="62">
        <f>IF(H3967="","",IF(ISNUMBER(N3967),N3967,I3967))</f>
        <v/>
      </c>
      <c r="B3967">
        <f>IF(H3967="","",U3967)</f>
        <v/>
      </c>
      <c r="C3967">
        <f>IF(H3967="","",IF(P3967="",K3967,INDEX('Students'!$A$2:$A$701,P3967)))</f>
        <v/>
      </c>
      <c r="D3967">
        <f>IF(OR(H3967="",P3967=""),"",INDEX('Students'!$B$2:$B$701,P3967))</f>
        <v/>
      </c>
      <c r="E3967">
        <f>IF(OR(H3967="",P3967=""),"",INDEX('Students'!$C$2:$C$701,P3967))</f>
        <v/>
      </c>
      <c r="F3967" s="48">
        <f>IF(H3967="","",IF(ISNUMBER(O3967),O3967,J3967))</f>
        <v/>
      </c>
      <c r="G3967">
        <f>IF(H3967="","",M3967)</f>
        <v/>
      </c>
      <c r="H3967">
        <f>IF(AND(I3967="",J3967="",K3967=""),"",IF(OR(NOT(ISNUMBER(O3967)),N(O3967)&lt;=0),"Bad amount",IF(NOT(ISNUMBER(N3967)),"Bad date",IF(P3967="","NAME NOT ON ROSTER","OK"))))</f>
        <v/>
      </c>
      <c r="I3967">
        <f>IF('Cash_Check'!A967="","",'Cash_Check'!A967)</f>
        <v/>
      </c>
      <c r="J3967">
        <f>IF('Cash_Check'!D967="","",'Cash_Check'!D967)</f>
        <v/>
      </c>
      <c r="K3967">
        <f>TRIM('Cash_Check'!B967)</f>
        <v/>
      </c>
      <c r="M3967">
        <f>IF(TRIM('Cash_Check'!E967)="","Cash/check",TRIM('Cash_Check'!E967))</f>
        <v/>
      </c>
      <c r="N3967">
        <f>IF(I3967="","",IF(ISNUMBER(I3967),INT(I3967),IFERROR(INT(DATEVALUE(I3967)),IFERROR(INT(VALUE(I3967)),"bad"))))</f>
        <v/>
      </c>
      <c r="O3967">
        <f>IF(J3967="","",IF(ISNUMBER(J3967),ROUND(J3967,2),IFERROR(ROUND(VALUE(SUBSTITUTE(SUBSTITUTE(SUBSTITUTE(J3967,"$",""),",","")," ","")),2),"bad")))</f>
        <v/>
      </c>
      <c r="P3967">
        <f>IF(K3967="","",IFERROR(MATCH(IF(ISNUMBER(FIND("#",K3967)),TRIM(MID(K3967,FIND("#",K3967)+1,20)),UPPER(K3967)),'Students'!$AD$2:$AD$701,0),""))</f>
        <v/>
      </c>
      <c r="R3967">
        <f>IF(P3967="","",INDEX('Students'!$AD$2:$AD$701,P3967))</f>
        <v/>
      </c>
      <c r="S3967">
        <f>IF(H3967="OK",O3967,0)</f>
        <v/>
      </c>
      <c r="T3967">
        <f>IF(H3967="OK",N3967,"")</f>
        <v/>
      </c>
      <c r="U3967">
        <f>TRIM('Cash_Check'!C967)</f>
        <v/>
      </c>
    </row>
    <row r="3968">
      <c r="A3968" s="62">
        <f>IF(H3968="","",IF(ISNUMBER(N3968),N3968,I3968))</f>
        <v/>
      </c>
      <c r="B3968">
        <f>IF(H3968="","",U3968)</f>
        <v/>
      </c>
      <c r="C3968">
        <f>IF(H3968="","",IF(P3968="",K3968,INDEX('Students'!$A$2:$A$701,P3968)))</f>
        <v/>
      </c>
      <c r="D3968">
        <f>IF(OR(H3968="",P3968=""),"",INDEX('Students'!$B$2:$B$701,P3968))</f>
        <v/>
      </c>
      <c r="E3968">
        <f>IF(OR(H3968="",P3968=""),"",INDEX('Students'!$C$2:$C$701,P3968))</f>
        <v/>
      </c>
      <c r="F3968" s="48">
        <f>IF(H3968="","",IF(ISNUMBER(O3968),O3968,J3968))</f>
        <v/>
      </c>
      <c r="G3968">
        <f>IF(H3968="","",M3968)</f>
        <v/>
      </c>
      <c r="H3968">
        <f>IF(AND(I3968="",J3968="",K3968=""),"",IF(OR(NOT(ISNUMBER(O3968)),N(O3968)&lt;=0),"Bad amount",IF(NOT(ISNUMBER(N3968)),"Bad date",IF(P3968="","NAME NOT ON ROSTER","OK"))))</f>
        <v/>
      </c>
      <c r="I3968">
        <f>IF('Cash_Check'!A968="","",'Cash_Check'!A968)</f>
        <v/>
      </c>
      <c r="J3968">
        <f>IF('Cash_Check'!D968="","",'Cash_Check'!D968)</f>
        <v/>
      </c>
      <c r="K3968">
        <f>TRIM('Cash_Check'!B968)</f>
        <v/>
      </c>
      <c r="M3968">
        <f>IF(TRIM('Cash_Check'!E968)="","Cash/check",TRIM('Cash_Check'!E968))</f>
        <v/>
      </c>
      <c r="N3968">
        <f>IF(I3968="","",IF(ISNUMBER(I3968),INT(I3968),IFERROR(INT(DATEVALUE(I3968)),IFERROR(INT(VALUE(I3968)),"bad"))))</f>
        <v/>
      </c>
      <c r="O3968">
        <f>IF(J3968="","",IF(ISNUMBER(J3968),ROUND(J3968,2),IFERROR(ROUND(VALUE(SUBSTITUTE(SUBSTITUTE(SUBSTITUTE(J3968,"$",""),",","")," ","")),2),"bad")))</f>
        <v/>
      </c>
      <c r="P3968">
        <f>IF(K3968="","",IFERROR(MATCH(IF(ISNUMBER(FIND("#",K3968)),TRIM(MID(K3968,FIND("#",K3968)+1,20)),UPPER(K3968)),'Students'!$AD$2:$AD$701,0),""))</f>
        <v/>
      </c>
      <c r="R3968">
        <f>IF(P3968="","",INDEX('Students'!$AD$2:$AD$701,P3968))</f>
        <v/>
      </c>
      <c r="S3968">
        <f>IF(H3968="OK",O3968,0)</f>
        <v/>
      </c>
      <c r="T3968">
        <f>IF(H3968="OK",N3968,"")</f>
        <v/>
      </c>
      <c r="U3968">
        <f>TRIM('Cash_Check'!C968)</f>
        <v/>
      </c>
    </row>
    <row r="3969">
      <c r="A3969" s="62">
        <f>IF(H3969="","",IF(ISNUMBER(N3969),N3969,I3969))</f>
        <v/>
      </c>
      <c r="B3969">
        <f>IF(H3969="","",U3969)</f>
        <v/>
      </c>
      <c r="C3969">
        <f>IF(H3969="","",IF(P3969="",K3969,INDEX('Students'!$A$2:$A$701,P3969)))</f>
        <v/>
      </c>
      <c r="D3969">
        <f>IF(OR(H3969="",P3969=""),"",INDEX('Students'!$B$2:$B$701,P3969))</f>
        <v/>
      </c>
      <c r="E3969">
        <f>IF(OR(H3969="",P3969=""),"",INDEX('Students'!$C$2:$C$701,P3969))</f>
        <v/>
      </c>
      <c r="F3969" s="48">
        <f>IF(H3969="","",IF(ISNUMBER(O3969),O3969,J3969))</f>
        <v/>
      </c>
      <c r="G3969">
        <f>IF(H3969="","",M3969)</f>
        <v/>
      </c>
      <c r="H3969">
        <f>IF(AND(I3969="",J3969="",K3969=""),"",IF(OR(NOT(ISNUMBER(O3969)),N(O3969)&lt;=0),"Bad amount",IF(NOT(ISNUMBER(N3969)),"Bad date",IF(P3969="","NAME NOT ON ROSTER","OK"))))</f>
        <v/>
      </c>
      <c r="I3969">
        <f>IF('Cash_Check'!A969="","",'Cash_Check'!A969)</f>
        <v/>
      </c>
      <c r="J3969">
        <f>IF('Cash_Check'!D969="","",'Cash_Check'!D969)</f>
        <v/>
      </c>
      <c r="K3969">
        <f>TRIM('Cash_Check'!B969)</f>
        <v/>
      </c>
      <c r="M3969">
        <f>IF(TRIM('Cash_Check'!E969)="","Cash/check",TRIM('Cash_Check'!E969))</f>
        <v/>
      </c>
      <c r="N3969">
        <f>IF(I3969="","",IF(ISNUMBER(I3969),INT(I3969),IFERROR(INT(DATEVALUE(I3969)),IFERROR(INT(VALUE(I3969)),"bad"))))</f>
        <v/>
      </c>
      <c r="O3969">
        <f>IF(J3969="","",IF(ISNUMBER(J3969),ROUND(J3969,2),IFERROR(ROUND(VALUE(SUBSTITUTE(SUBSTITUTE(SUBSTITUTE(J3969,"$",""),",","")," ","")),2),"bad")))</f>
        <v/>
      </c>
      <c r="P3969">
        <f>IF(K3969="","",IFERROR(MATCH(IF(ISNUMBER(FIND("#",K3969)),TRIM(MID(K3969,FIND("#",K3969)+1,20)),UPPER(K3969)),'Students'!$AD$2:$AD$701,0),""))</f>
        <v/>
      </c>
      <c r="R3969">
        <f>IF(P3969="","",INDEX('Students'!$AD$2:$AD$701,P3969))</f>
        <v/>
      </c>
      <c r="S3969">
        <f>IF(H3969="OK",O3969,0)</f>
        <v/>
      </c>
      <c r="T3969">
        <f>IF(H3969="OK",N3969,"")</f>
        <v/>
      </c>
      <c r="U3969">
        <f>TRIM('Cash_Check'!C969)</f>
        <v/>
      </c>
    </row>
    <row r="3970">
      <c r="A3970" s="62">
        <f>IF(H3970="","",IF(ISNUMBER(N3970),N3970,I3970))</f>
        <v/>
      </c>
      <c r="B3970">
        <f>IF(H3970="","",U3970)</f>
        <v/>
      </c>
      <c r="C3970">
        <f>IF(H3970="","",IF(P3970="",K3970,INDEX('Students'!$A$2:$A$701,P3970)))</f>
        <v/>
      </c>
      <c r="D3970">
        <f>IF(OR(H3970="",P3970=""),"",INDEX('Students'!$B$2:$B$701,P3970))</f>
        <v/>
      </c>
      <c r="E3970">
        <f>IF(OR(H3970="",P3970=""),"",INDEX('Students'!$C$2:$C$701,P3970))</f>
        <v/>
      </c>
      <c r="F3970" s="48">
        <f>IF(H3970="","",IF(ISNUMBER(O3970),O3970,J3970))</f>
        <v/>
      </c>
      <c r="G3970">
        <f>IF(H3970="","",M3970)</f>
        <v/>
      </c>
      <c r="H3970">
        <f>IF(AND(I3970="",J3970="",K3970=""),"",IF(OR(NOT(ISNUMBER(O3970)),N(O3970)&lt;=0),"Bad amount",IF(NOT(ISNUMBER(N3970)),"Bad date",IF(P3970="","NAME NOT ON ROSTER","OK"))))</f>
        <v/>
      </c>
      <c r="I3970">
        <f>IF('Cash_Check'!A970="","",'Cash_Check'!A970)</f>
        <v/>
      </c>
      <c r="J3970">
        <f>IF('Cash_Check'!D970="","",'Cash_Check'!D970)</f>
        <v/>
      </c>
      <c r="K3970">
        <f>TRIM('Cash_Check'!B970)</f>
        <v/>
      </c>
      <c r="M3970">
        <f>IF(TRIM('Cash_Check'!E970)="","Cash/check",TRIM('Cash_Check'!E970))</f>
        <v/>
      </c>
      <c r="N3970">
        <f>IF(I3970="","",IF(ISNUMBER(I3970),INT(I3970),IFERROR(INT(DATEVALUE(I3970)),IFERROR(INT(VALUE(I3970)),"bad"))))</f>
        <v/>
      </c>
      <c r="O3970">
        <f>IF(J3970="","",IF(ISNUMBER(J3970),ROUND(J3970,2),IFERROR(ROUND(VALUE(SUBSTITUTE(SUBSTITUTE(SUBSTITUTE(J3970,"$",""),",","")," ","")),2),"bad")))</f>
        <v/>
      </c>
      <c r="P3970">
        <f>IF(K3970="","",IFERROR(MATCH(IF(ISNUMBER(FIND("#",K3970)),TRIM(MID(K3970,FIND("#",K3970)+1,20)),UPPER(K3970)),'Students'!$AD$2:$AD$701,0),""))</f>
        <v/>
      </c>
      <c r="R3970">
        <f>IF(P3970="","",INDEX('Students'!$AD$2:$AD$701,P3970))</f>
        <v/>
      </c>
      <c r="S3970">
        <f>IF(H3970="OK",O3970,0)</f>
        <v/>
      </c>
      <c r="T3970">
        <f>IF(H3970="OK",N3970,"")</f>
        <v/>
      </c>
      <c r="U3970">
        <f>TRIM('Cash_Check'!C970)</f>
        <v/>
      </c>
    </row>
    <row r="3971">
      <c r="A3971" s="62">
        <f>IF(H3971="","",IF(ISNUMBER(N3971),N3971,I3971))</f>
        <v/>
      </c>
      <c r="B3971">
        <f>IF(H3971="","",U3971)</f>
        <v/>
      </c>
      <c r="C3971">
        <f>IF(H3971="","",IF(P3971="",K3971,INDEX('Students'!$A$2:$A$701,P3971)))</f>
        <v/>
      </c>
      <c r="D3971">
        <f>IF(OR(H3971="",P3971=""),"",INDEX('Students'!$B$2:$B$701,P3971))</f>
        <v/>
      </c>
      <c r="E3971">
        <f>IF(OR(H3971="",P3971=""),"",INDEX('Students'!$C$2:$C$701,P3971))</f>
        <v/>
      </c>
      <c r="F3971" s="48">
        <f>IF(H3971="","",IF(ISNUMBER(O3971),O3971,J3971))</f>
        <v/>
      </c>
      <c r="G3971">
        <f>IF(H3971="","",M3971)</f>
        <v/>
      </c>
      <c r="H3971">
        <f>IF(AND(I3971="",J3971="",K3971=""),"",IF(OR(NOT(ISNUMBER(O3971)),N(O3971)&lt;=0),"Bad amount",IF(NOT(ISNUMBER(N3971)),"Bad date",IF(P3971="","NAME NOT ON ROSTER","OK"))))</f>
        <v/>
      </c>
      <c r="I3971">
        <f>IF('Cash_Check'!A971="","",'Cash_Check'!A971)</f>
        <v/>
      </c>
      <c r="J3971">
        <f>IF('Cash_Check'!D971="","",'Cash_Check'!D971)</f>
        <v/>
      </c>
      <c r="K3971">
        <f>TRIM('Cash_Check'!B971)</f>
        <v/>
      </c>
      <c r="M3971">
        <f>IF(TRIM('Cash_Check'!E971)="","Cash/check",TRIM('Cash_Check'!E971))</f>
        <v/>
      </c>
      <c r="N3971">
        <f>IF(I3971="","",IF(ISNUMBER(I3971),INT(I3971),IFERROR(INT(DATEVALUE(I3971)),IFERROR(INT(VALUE(I3971)),"bad"))))</f>
        <v/>
      </c>
      <c r="O3971">
        <f>IF(J3971="","",IF(ISNUMBER(J3971),ROUND(J3971,2),IFERROR(ROUND(VALUE(SUBSTITUTE(SUBSTITUTE(SUBSTITUTE(J3971,"$",""),",","")," ","")),2),"bad")))</f>
        <v/>
      </c>
      <c r="P3971">
        <f>IF(K3971="","",IFERROR(MATCH(IF(ISNUMBER(FIND("#",K3971)),TRIM(MID(K3971,FIND("#",K3971)+1,20)),UPPER(K3971)),'Students'!$AD$2:$AD$701,0),""))</f>
        <v/>
      </c>
      <c r="R3971">
        <f>IF(P3971="","",INDEX('Students'!$AD$2:$AD$701,P3971))</f>
        <v/>
      </c>
      <c r="S3971">
        <f>IF(H3971="OK",O3971,0)</f>
        <v/>
      </c>
      <c r="T3971">
        <f>IF(H3971="OK",N3971,"")</f>
        <v/>
      </c>
      <c r="U3971">
        <f>TRIM('Cash_Check'!C971)</f>
        <v/>
      </c>
    </row>
    <row r="3972">
      <c r="A3972" s="62">
        <f>IF(H3972="","",IF(ISNUMBER(N3972),N3972,I3972))</f>
        <v/>
      </c>
      <c r="B3972">
        <f>IF(H3972="","",U3972)</f>
        <v/>
      </c>
      <c r="C3972">
        <f>IF(H3972="","",IF(P3972="",K3972,INDEX('Students'!$A$2:$A$701,P3972)))</f>
        <v/>
      </c>
      <c r="D3972">
        <f>IF(OR(H3972="",P3972=""),"",INDEX('Students'!$B$2:$B$701,P3972))</f>
        <v/>
      </c>
      <c r="E3972">
        <f>IF(OR(H3972="",P3972=""),"",INDEX('Students'!$C$2:$C$701,P3972))</f>
        <v/>
      </c>
      <c r="F3972" s="48">
        <f>IF(H3972="","",IF(ISNUMBER(O3972),O3972,J3972))</f>
        <v/>
      </c>
      <c r="G3972">
        <f>IF(H3972="","",M3972)</f>
        <v/>
      </c>
      <c r="H3972">
        <f>IF(AND(I3972="",J3972="",K3972=""),"",IF(OR(NOT(ISNUMBER(O3972)),N(O3972)&lt;=0),"Bad amount",IF(NOT(ISNUMBER(N3972)),"Bad date",IF(P3972="","NAME NOT ON ROSTER","OK"))))</f>
        <v/>
      </c>
      <c r="I3972">
        <f>IF('Cash_Check'!A972="","",'Cash_Check'!A972)</f>
        <v/>
      </c>
      <c r="J3972">
        <f>IF('Cash_Check'!D972="","",'Cash_Check'!D972)</f>
        <v/>
      </c>
      <c r="K3972">
        <f>TRIM('Cash_Check'!B972)</f>
        <v/>
      </c>
      <c r="M3972">
        <f>IF(TRIM('Cash_Check'!E972)="","Cash/check",TRIM('Cash_Check'!E972))</f>
        <v/>
      </c>
      <c r="N3972">
        <f>IF(I3972="","",IF(ISNUMBER(I3972),INT(I3972),IFERROR(INT(DATEVALUE(I3972)),IFERROR(INT(VALUE(I3972)),"bad"))))</f>
        <v/>
      </c>
      <c r="O3972">
        <f>IF(J3972="","",IF(ISNUMBER(J3972),ROUND(J3972,2),IFERROR(ROUND(VALUE(SUBSTITUTE(SUBSTITUTE(SUBSTITUTE(J3972,"$",""),",","")," ","")),2),"bad")))</f>
        <v/>
      </c>
      <c r="P3972">
        <f>IF(K3972="","",IFERROR(MATCH(IF(ISNUMBER(FIND("#",K3972)),TRIM(MID(K3972,FIND("#",K3972)+1,20)),UPPER(K3972)),'Students'!$AD$2:$AD$701,0),""))</f>
        <v/>
      </c>
      <c r="R3972">
        <f>IF(P3972="","",INDEX('Students'!$AD$2:$AD$701,P3972))</f>
        <v/>
      </c>
      <c r="S3972">
        <f>IF(H3972="OK",O3972,0)</f>
        <v/>
      </c>
      <c r="T3972">
        <f>IF(H3972="OK",N3972,"")</f>
        <v/>
      </c>
      <c r="U3972">
        <f>TRIM('Cash_Check'!C972)</f>
        <v/>
      </c>
    </row>
    <row r="3973">
      <c r="A3973" s="62">
        <f>IF(H3973="","",IF(ISNUMBER(N3973),N3973,I3973))</f>
        <v/>
      </c>
      <c r="B3973">
        <f>IF(H3973="","",U3973)</f>
        <v/>
      </c>
      <c r="C3973">
        <f>IF(H3973="","",IF(P3973="",K3973,INDEX('Students'!$A$2:$A$701,P3973)))</f>
        <v/>
      </c>
      <c r="D3973">
        <f>IF(OR(H3973="",P3973=""),"",INDEX('Students'!$B$2:$B$701,P3973))</f>
        <v/>
      </c>
      <c r="E3973">
        <f>IF(OR(H3973="",P3973=""),"",INDEX('Students'!$C$2:$C$701,P3973))</f>
        <v/>
      </c>
      <c r="F3973" s="48">
        <f>IF(H3973="","",IF(ISNUMBER(O3973),O3973,J3973))</f>
        <v/>
      </c>
      <c r="G3973">
        <f>IF(H3973="","",M3973)</f>
        <v/>
      </c>
      <c r="H3973">
        <f>IF(AND(I3973="",J3973="",K3973=""),"",IF(OR(NOT(ISNUMBER(O3973)),N(O3973)&lt;=0),"Bad amount",IF(NOT(ISNUMBER(N3973)),"Bad date",IF(P3973="","NAME NOT ON ROSTER","OK"))))</f>
        <v/>
      </c>
      <c r="I3973">
        <f>IF('Cash_Check'!A973="","",'Cash_Check'!A973)</f>
        <v/>
      </c>
      <c r="J3973">
        <f>IF('Cash_Check'!D973="","",'Cash_Check'!D973)</f>
        <v/>
      </c>
      <c r="K3973">
        <f>TRIM('Cash_Check'!B973)</f>
        <v/>
      </c>
      <c r="M3973">
        <f>IF(TRIM('Cash_Check'!E973)="","Cash/check",TRIM('Cash_Check'!E973))</f>
        <v/>
      </c>
      <c r="N3973">
        <f>IF(I3973="","",IF(ISNUMBER(I3973),INT(I3973),IFERROR(INT(DATEVALUE(I3973)),IFERROR(INT(VALUE(I3973)),"bad"))))</f>
        <v/>
      </c>
      <c r="O3973">
        <f>IF(J3973="","",IF(ISNUMBER(J3973),ROUND(J3973,2),IFERROR(ROUND(VALUE(SUBSTITUTE(SUBSTITUTE(SUBSTITUTE(J3973,"$",""),",","")," ","")),2),"bad")))</f>
        <v/>
      </c>
      <c r="P3973">
        <f>IF(K3973="","",IFERROR(MATCH(IF(ISNUMBER(FIND("#",K3973)),TRIM(MID(K3973,FIND("#",K3973)+1,20)),UPPER(K3973)),'Students'!$AD$2:$AD$701,0),""))</f>
        <v/>
      </c>
      <c r="R3973">
        <f>IF(P3973="","",INDEX('Students'!$AD$2:$AD$701,P3973))</f>
        <v/>
      </c>
      <c r="S3973">
        <f>IF(H3973="OK",O3973,0)</f>
        <v/>
      </c>
      <c r="T3973">
        <f>IF(H3973="OK",N3973,"")</f>
        <v/>
      </c>
      <c r="U3973">
        <f>TRIM('Cash_Check'!C973)</f>
        <v/>
      </c>
    </row>
    <row r="3974">
      <c r="A3974" s="62">
        <f>IF(H3974="","",IF(ISNUMBER(N3974),N3974,I3974))</f>
        <v/>
      </c>
      <c r="B3974">
        <f>IF(H3974="","",U3974)</f>
        <v/>
      </c>
      <c r="C3974">
        <f>IF(H3974="","",IF(P3974="",K3974,INDEX('Students'!$A$2:$A$701,P3974)))</f>
        <v/>
      </c>
      <c r="D3974">
        <f>IF(OR(H3974="",P3974=""),"",INDEX('Students'!$B$2:$B$701,P3974))</f>
        <v/>
      </c>
      <c r="E3974">
        <f>IF(OR(H3974="",P3974=""),"",INDEX('Students'!$C$2:$C$701,P3974))</f>
        <v/>
      </c>
      <c r="F3974" s="48">
        <f>IF(H3974="","",IF(ISNUMBER(O3974),O3974,J3974))</f>
        <v/>
      </c>
      <c r="G3974">
        <f>IF(H3974="","",M3974)</f>
        <v/>
      </c>
      <c r="H3974">
        <f>IF(AND(I3974="",J3974="",K3974=""),"",IF(OR(NOT(ISNUMBER(O3974)),N(O3974)&lt;=0),"Bad amount",IF(NOT(ISNUMBER(N3974)),"Bad date",IF(P3974="","NAME NOT ON ROSTER","OK"))))</f>
        <v/>
      </c>
      <c r="I3974">
        <f>IF('Cash_Check'!A974="","",'Cash_Check'!A974)</f>
        <v/>
      </c>
      <c r="J3974">
        <f>IF('Cash_Check'!D974="","",'Cash_Check'!D974)</f>
        <v/>
      </c>
      <c r="K3974">
        <f>TRIM('Cash_Check'!B974)</f>
        <v/>
      </c>
      <c r="M3974">
        <f>IF(TRIM('Cash_Check'!E974)="","Cash/check",TRIM('Cash_Check'!E974))</f>
        <v/>
      </c>
      <c r="N3974">
        <f>IF(I3974="","",IF(ISNUMBER(I3974),INT(I3974),IFERROR(INT(DATEVALUE(I3974)),IFERROR(INT(VALUE(I3974)),"bad"))))</f>
        <v/>
      </c>
      <c r="O3974">
        <f>IF(J3974="","",IF(ISNUMBER(J3974),ROUND(J3974,2),IFERROR(ROUND(VALUE(SUBSTITUTE(SUBSTITUTE(SUBSTITUTE(J3974,"$",""),",","")," ","")),2),"bad")))</f>
        <v/>
      </c>
      <c r="P3974">
        <f>IF(K3974="","",IFERROR(MATCH(IF(ISNUMBER(FIND("#",K3974)),TRIM(MID(K3974,FIND("#",K3974)+1,20)),UPPER(K3974)),'Students'!$AD$2:$AD$701,0),""))</f>
        <v/>
      </c>
      <c r="R3974">
        <f>IF(P3974="","",INDEX('Students'!$AD$2:$AD$701,P3974))</f>
        <v/>
      </c>
      <c r="S3974">
        <f>IF(H3974="OK",O3974,0)</f>
        <v/>
      </c>
      <c r="T3974">
        <f>IF(H3974="OK",N3974,"")</f>
        <v/>
      </c>
      <c r="U3974">
        <f>TRIM('Cash_Check'!C974)</f>
        <v/>
      </c>
    </row>
    <row r="3975">
      <c r="A3975" s="62">
        <f>IF(H3975="","",IF(ISNUMBER(N3975),N3975,I3975))</f>
        <v/>
      </c>
      <c r="B3975">
        <f>IF(H3975="","",U3975)</f>
        <v/>
      </c>
      <c r="C3975">
        <f>IF(H3975="","",IF(P3975="",K3975,INDEX('Students'!$A$2:$A$701,P3975)))</f>
        <v/>
      </c>
      <c r="D3975">
        <f>IF(OR(H3975="",P3975=""),"",INDEX('Students'!$B$2:$B$701,P3975))</f>
        <v/>
      </c>
      <c r="E3975">
        <f>IF(OR(H3975="",P3975=""),"",INDEX('Students'!$C$2:$C$701,P3975))</f>
        <v/>
      </c>
      <c r="F3975" s="48">
        <f>IF(H3975="","",IF(ISNUMBER(O3975),O3975,J3975))</f>
        <v/>
      </c>
      <c r="G3975">
        <f>IF(H3975="","",M3975)</f>
        <v/>
      </c>
      <c r="H3975">
        <f>IF(AND(I3975="",J3975="",K3975=""),"",IF(OR(NOT(ISNUMBER(O3975)),N(O3975)&lt;=0),"Bad amount",IF(NOT(ISNUMBER(N3975)),"Bad date",IF(P3975="","NAME NOT ON ROSTER","OK"))))</f>
        <v/>
      </c>
      <c r="I3975">
        <f>IF('Cash_Check'!A975="","",'Cash_Check'!A975)</f>
        <v/>
      </c>
      <c r="J3975">
        <f>IF('Cash_Check'!D975="","",'Cash_Check'!D975)</f>
        <v/>
      </c>
      <c r="K3975">
        <f>TRIM('Cash_Check'!B975)</f>
        <v/>
      </c>
      <c r="M3975">
        <f>IF(TRIM('Cash_Check'!E975)="","Cash/check",TRIM('Cash_Check'!E975))</f>
        <v/>
      </c>
      <c r="N3975">
        <f>IF(I3975="","",IF(ISNUMBER(I3975),INT(I3975),IFERROR(INT(DATEVALUE(I3975)),IFERROR(INT(VALUE(I3975)),"bad"))))</f>
        <v/>
      </c>
      <c r="O3975">
        <f>IF(J3975="","",IF(ISNUMBER(J3975),ROUND(J3975,2),IFERROR(ROUND(VALUE(SUBSTITUTE(SUBSTITUTE(SUBSTITUTE(J3975,"$",""),",","")," ","")),2),"bad")))</f>
        <v/>
      </c>
      <c r="P3975">
        <f>IF(K3975="","",IFERROR(MATCH(IF(ISNUMBER(FIND("#",K3975)),TRIM(MID(K3975,FIND("#",K3975)+1,20)),UPPER(K3975)),'Students'!$AD$2:$AD$701,0),""))</f>
        <v/>
      </c>
      <c r="R3975">
        <f>IF(P3975="","",INDEX('Students'!$AD$2:$AD$701,P3975))</f>
        <v/>
      </c>
      <c r="S3975">
        <f>IF(H3975="OK",O3975,0)</f>
        <v/>
      </c>
      <c r="T3975">
        <f>IF(H3975="OK",N3975,"")</f>
        <v/>
      </c>
      <c r="U3975">
        <f>TRIM('Cash_Check'!C975)</f>
        <v/>
      </c>
    </row>
    <row r="3976">
      <c r="A3976" s="62">
        <f>IF(H3976="","",IF(ISNUMBER(N3976),N3976,I3976))</f>
        <v/>
      </c>
      <c r="B3976">
        <f>IF(H3976="","",U3976)</f>
        <v/>
      </c>
      <c r="C3976">
        <f>IF(H3976="","",IF(P3976="",K3976,INDEX('Students'!$A$2:$A$701,P3976)))</f>
        <v/>
      </c>
      <c r="D3976">
        <f>IF(OR(H3976="",P3976=""),"",INDEX('Students'!$B$2:$B$701,P3976))</f>
        <v/>
      </c>
      <c r="E3976">
        <f>IF(OR(H3976="",P3976=""),"",INDEX('Students'!$C$2:$C$701,P3976))</f>
        <v/>
      </c>
      <c r="F3976" s="48">
        <f>IF(H3976="","",IF(ISNUMBER(O3976),O3976,J3976))</f>
        <v/>
      </c>
      <c r="G3976">
        <f>IF(H3976="","",M3976)</f>
        <v/>
      </c>
      <c r="H3976">
        <f>IF(AND(I3976="",J3976="",K3976=""),"",IF(OR(NOT(ISNUMBER(O3976)),N(O3976)&lt;=0),"Bad amount",IF(NOT(ISNUMBER(N3976)),"Bad date",IF(P3976="","NAME NOT ON ROSTER","OK"))))</f>
        <v/>
      </c>
      <c r="I3976">
        <f>IF('Cash_Check'!A976="","",'Cash_Check'!A976)</f>
        <v/>
      </c>
      <c r="J3976">
        <f>IF('Cash_Check'!D976="","",'Cash_Check'!D976)</f>
        <v/>
      </c>
      <c r="K3976">
        <f>TRIM('Cash_Check'!B976)</f>
        <v/>
      </c>
      <c r="M3976">
        <f>IF(TRIM('Cash_Check'!E976)="","Cash/check",TRIM('Cash_Check'!E976))</f>
        <v/>
      </c>
      <c r="N3976">
        <f>IF(I3976="","",IF(ISNUMBER(I3976),INT(I3976),IFERROR(INT(DATEVALUE(I3976)),IFERROR(INT(VALUE(I3976)),"bad"))))</f>
        <v/>
      </c>
      <c r="O3976">
        <f>IF(J3976="","",IF(ISNUMBER(J3976),ROUND(J3976,2),IFERROR(ROUND(VALUE(SUBSTITUTE(SUBSTITUTE(SUBSTITUTE(J3976,"$",""),",","")," ","")),2),"bad")))</f>
        <v/>
      </c>
      <c r="P3976">
        <f>IF(K3976="","",IFERROR(MATCH(IF(ISNUMBER(FIND("#",K3976)),TRIM(MID(K3976,FIND("#",K3976)+1,20)),UPPER(K3976)),'Students'!$AD$2:$AD$701,0),""))</f>
        <v/>
      </c>
      <c r="R3976">
        <f>IF(P3976="","",INDEX('Students'!$AD$2:$AD$701,P3976))</f>
        <v/>
      </c>
      <c r="S3976">
        <f>IF(H3976="OK",O3976,0)</f>
        <v/>
      </c>
      <c r="T3976">
        <f>IF(H3976="OK",N3976,"")</f>
        <v/>
      </c>
      <c r="U3976">
        <f>TRIM('Cash_Check'!C976)</f>
        <v/>
      </c>
    </row>
    <row r="3977">
      <c r="A3977" s="62">
        <f>IF(H3977="","",IF(ISNUMBER(N3977),N3977,I3977))</f>
        <v/>
      </c>
      <c r="B3977">
        <f>IF(H3977="","",U3977)</f>
        <v/>
      </c>
      <c r="C3977">
        <f>IF(H3977="","",IF(P3977="",K3977,INDEX('Students'!$A$2:$A$701,P3977)))</f>
        <v/>
      </c>
      <c r="D3977">
        <f>IF(OR(H3977="",P3977=""),"",INDEX('Students'!$B$2:$B$701,P3977))</f>
        <v/>
      </c>
      <c r="E3977">
        <f>IF(OR(H3977="",P3977=""),"",INDEX('Students'!$C$2:$C$701,P3977))</f>
        <v/>
      </c>
      <c r="F3977" s="48">
        <f>IF(H3977="","",IF(ISNUMBER(O3977),O3977,J3977))</f>
        <v/>
      </c>
      <c r="G3977">
        <f>IF(H3977="","",M3977)</f>
        <v/>
      </c>
      <c r="H3977">
        <f>IF(AND(I3977="",J3977="",K3977=""),"",IF(OR(NOT(ISNUMBER(O3977)),N(O3977)&lt;=0),"Bad amount",IF(NOT(ISNUMBER(N3977)),"Bad date",IF(P3977="","NAME NOT ON ROSTER","OK"))))</f>
        <v/>
      </c>
      <c r="I3977">
        <f>IF('Cash_Check'!A977="","",'Cash_Check'!A977)</f>
        <v/>
      </c>
      <c r="J3977">
        <f>IF('Cash_Check'!D977="","",'Cash_Check'!D977)</f>
        <v/>
      </c>
      <c r="K3977">
        <f>TRIM('Cash_Check'!B977)</f>
        <v/>
      </c>
      <c r="M3977">
        <f>IF(TRIM('Cash_Check'!E977)="","Cash/check",TRIM('Cash_Check'!E977))</f>
        <v/>
      </c>
      <c r="N3977">
        <f>IF(I3977="","",IF(ISNUMBER(I3977),INT(I3977),IFERROR(INT(DATEVALUE(I3977)),IFERROR(INT(VALUE(I3977)),"bad"))))</f>
        <v/>
      </c>
      <c r="O3977">
        <f>IF(J3977="","",IF(ISNUMBER(J3977),ROUND(J3977,2),IFERROR(ROUND(VALUE(SUBSTITUTE(SUBSTITUTE(SUBSTITUTE(J3977,"$",""),",","")," ","")),2),"bad")))</f>
        <v/>
      </c>
      <c r="P3977">
        <f>IF(K3977="","",IFERROR(MATCH(IF(ISNUMBER(FIND("#",K3977)),TRIM(MID(K3977,FIND("#",K3977)+1,20)),UPPER(K3977)),'Students'!$AD$2:$AD$701,0),""))</f>
        <v/>
      </c>
      <c r="R3977">
        <f>IF(P3977="","",INDEX('Students'!$AD$2:$AD$701,P3977))</f>
        <v/>
      </c>
      <c r="S3977">
        <f>IF(H3977="OK",O3977,0)</f>
        <v/>
      </c>
      <c r="T3977">
        <f>IF(H3977="OK",N3977,"")</f>
        <v/>
      </c>
      <c r="U3977">
        <f>TRIM('Cash_Check'!C977)</f>
        <v/>
      </c>
    </row>
    <row r="3978">
      <c r="A3978" s="62">
        <f>IF(H3978="","",IF(ISNUMBER(N3978),N3978,I3978))</f>
        <v/>
      </c>
      <c r="B3978">
        <f>IF(H3978="","",U3978)</f>
        <v/>
      </c>
      <c r="C3978">
        <f>IF(H3978="","",IF(P3978="",K3978,INDEX('Students'!$A$2:$A$701,P3978)))</f>
        <v/>
      </c>
      <c r="D3978">
        <f>IF(OR(H3978="",P3978=""),"",INDEX('Students'!$B$2:$B$701,P3978))</f>
        <v/>
      </c>
      <c r="E3978">
        <f>IF(OR(H3978="",P3978=""),"",INDEX('Students'!$C$2:$C$701,P3978))</f>
        <v/>
      </c>
      <c r="F3978" s="48">
        <f>IF(H3978="","",IF(ISNUMBER(O3978),O3978,J3978))</f>
        <v/>
      </c>
      <c r="G3978">
        <f>IF(H3978="","",M3978)</f>
        <v/>
      </c>
      <c r="H3978">
        <f>IF(AND(I3978="",J3978="",K3978=""),"",IF(OR(NOT(ISNUMBER(O3978)),N(O3978)&lt;=0),"Bad amount",IF(NOT(ISNUMBER(N3978)),"Bad date",IF(P3978="","NAME NOT ON ROSTER","OK"))))</f>
        <v/>
      </c>
      <c r="I3978">
        <f>IF('Cash_Check'!A978="","",'Cash_Check'!A978)</f>
        <v/>
      </c>
      <c r="J3978">
        <f>IF('Cash_Check'!D978="","",'Cash_Check'!D978)</f>
        <v/>
      </c>
      <c r="K3978">
        <f>TRIM('Cash_Check'!B978)</f>
        <v/>
      </c>
      <c r="M3978">
        <f>IF(TRIM('Cash_Check'!E978)="","Cash/check",TRIM('Cash_Check'!E978))</f>
        <v/>
      </c>
      <c r="N3978">
        <f>IF(I3978="","",IF(ISNUMBER(I3978),INT(I3978),IFERROR(INT(DATEVALUE(I3978)),IFERROR(INT(VALUE(I3978)),"bad"))))</f>
        <v/>
      </c>
      <c r="O3978">
        <f>IF(J3978="","",IF(ISNUMBER(J3978),ROUND(J3978,2),IFERROR(ROUND(VALUE(SUBSTITUTE(SUBSTITUTE(SUBSTITUTE(J3978,"$",""),",","")," ","")),2),"bad")))</f>
        <v/>
      </c>
      <c r="P3978">
        <f>IF(K3978="","",IFERROR(MATCH(IF(ISNUMBER(FIND("#",K3978)),TRIM(MID(K3978,FIND("#",K3978)+1,20)),UPPER(K3978)),'Students'!$AD$2:$AD$701,0),""))</f>
        <v/>
      </c>
      <c r="R3978">
        <f>IF(P3978="","",INDEX('Students'!$AD$2:$AD$701,P3978))</f>
        <v/>
      </c>
      <c r="S3978">
        <f>IF(H3978="OK",O3978,0)</f>
        <v/>
      </c>
      <c r="T3978">
        <f>IF(H3978="OK",N3978,"")</f>
        <v/>
      </c>
      <c r="U3978">
        <f>TRIM('Cash_Check'!C978)</f>
        <v/>
      </c>
    </row>
    <row r="3979">
      <c r="A3979" s="62">
        <f>IF(H3979="","",IF(ISNUMBER(N3979),N3979,I3979))</f>
        <v/>
      </c>
      <c r="B3979">
        <f>IF(H3979="","",U3979)</f>
        <v/>
      </c>
      <c r="C3979">
        <f>IF(H3979="","",IF(P3979="",K3979,INDEX('Students'!$A$2:$A$701,P3979)))</f>
        <v/>
      </c>
      <c r="D3979">
        <f>IF(OR(H3979="",P3979=""),"",INDEX('Students'!$B$2:$B$701,P3979))</f>
        <v/>
      </c>
      <c r="E3979">
        <f>IF(OR(H3979="",P3979=""),"",INDEX('Students'!$C$2:$C$701,P3979))</f>
        <v/>
      </c>
      <c r="F3979" s="48">
        <f>IF(H3979="","",IF(ISNUMBER(O3979),O3979,J3979))</f>
        <v/>
      </c>
      <c r="G3979">
        <f>IF(H3979="","",M3979)</f>
        <v/>
      </c>
      <c r="H3979">
        <f>IF(AND(I3979="",J3979="",K3979=""),"",IF(OR(NOT(ISNUMBER(O3979)),N(O3979)&lt;=0),"Bad amount",IF(NOT(ISNUMBER(N3979)),"Bad date",IF(P3979="","NAME NOT ON ROSTER","OK"))))</f>
        <v/>
      </c>
      <c r="I3979">
        <f>IF('Cash_Check'!A979="","",'Cash_Check'!A979)</f>
        <v/>
      </c>
      <c r="J3979">
        <f>IF('Cash_Check'!D979="","",'Cash_Check'!D979)</f>
        <v/>
      </c>
      <c r="K3979">
        <f>TRIM('Cash_Check'!B979)</f>
        <v/>
      </c>
      <c r="M3979">
        <f>IF(TRIM('Cash_Check'!E979)="","Cash/check",TRIM('Cash_Check'!E979))</f>
        <v/>
      </c>
      <c r="N3979">
        <f>IF(I3979="","",IF(ISNUMBER(I3979),INT(I3979),IFERROR(INT(DATEVALUE(I3979)),IFERROR(INT(VALUE(I3979)),"bad"))))</f>
        <v/>
      </c>
      <c r="O3979">
        <f>IF(J3979="","",IF(ISNUMBER(J3979),ROUND(J3979,2),IFERROR(ROUND(VALUE(SUBSTITUTE(SUBSTITUTE(SUBSTITUTE(J3979,"$",""),",","")," ","")),2),"bad")))</f>
        <v/>
      </c>
      <c r="P3979">
        <f>IF(K3979="","",IFERROR(MATCH(IF(ISNUMBER(FIND("#",K3979)),TRIM(MID(K3979,FIND("#",K3979)+1,20)),UPPER(K3979)),'Students'!$AD$2:$AD$701,0),""))</f>
        <v/>
      </c>
      <c r="R3979">
        <f>IF(P3979="","",INDEX('Students'!$AD$2:$AD$701,P3979))</f>
        <v/>
      </c>
      <c r="S3979">
        <f>IF(H3979="OK",O3979,0)</f>
        <v/>
      </c>
      <c r="T3979">
        <f>IF(H3979="OK",N3979,"")</f>
        <v/>
      </c>
      <c r="U3979">
        <f>TRIM('Cash_Check'!C979)</f>
        <v/>
      </c>
    </row>
    <row r="3980">
      <c r="A3980" s="62">
        <f>IF(H3980="","",IF(ISNUMBER(N3980),N3980,I3980))</f>
        <v/>
      </c>
      <c r="B3980">
        <f>IF(H3980="","",U3980)</f>
        <v/>
      </c>
      <c r="C3980">
        <f>IF(H3980="","",IF(P3980="",K3980,INDEX('Students'!$A$2:$A$701,P3980)))</f>
        <v/>
      </c>
      <c r="D3980">
        <f>IF(OR(H3980="",P3980=""),"",INDEX('Students'!$B$2:$B$701,P3980))</f>
        <v/>
      </c>
      <c r="E3980">
        <f>IF(OR(H3980="",P3980=""),"",INDEX('Students'!$C$2:$C$701,P3980))</f>
        <v/>
      </c>
      <c r="F3980" s="48">
        <f>IF(H3980="","",IF(ISNUMBER(O3980),O3980,J3980))</f>
        <v/>
      </c>
      <c r="G3980">
        <f>IF(H3980="","",M3980)</f>
        <v/>
      </c>
      <c r="H3980">
        <f>IF(AND(I3980="",J3980="",K3980=""),"",IF(OR(NOT(ISNUMBER(O3980)),N(O3980)&lt;=0),"Bad amount",IF(NOT(ISNUMBER(N3980)),"Bad date",IF(P3980="","NAME NOT ON ROSTER","OK"))))</f>
        <v/>
      </c>
      <c r="I3980">
        <f>IF('Cash_Check'!A980="","",'Cash_Check'!A980)</f>
        <v/>
      </c>
      <c r="J3980">
        <f>IF('Cash_Check'!D980="","",'Cash_Check'!D980)</f>
        <v/>
      </c>
      <c r="K3980">
        <f>TRIM('Cash_Check'!B980)</f>
        <v/>
      </c>
      <c r="M3980">
        <f>IF(TRIM('Cash_Check'!E980)="","Cash/check",TRIM('Cash_Check'!E980))</f>
        <v/>
      </c>
      <c r="N3980">
        <f>IF(I3980="","",IF(ISNUMBER(I3980),INT(I3980),IFERROR(INT(DATEVALUE(I3980)),IFERROR(INT(VALUE(I3980)),"bad"))))</f>
        <v/>
      </c>
      <c r="O3980">
        <f>IF(J3980="","",IF(ISNUMBER(J3980),ROUND(J3980,2),IFERROR(ROUND(VALUE(SUBSTITUTE(SUBSTITUTE(SUBSTITUTE(J3980,"$",""),",","")," ","")),2),"bad")))</f>
        <v/>
      </c>
      <c r="P3980">
        <f>IF(K3980="","",IFERROR(MATCH(IF(ISNUMBER(FIND("#",K3980)),TRIM(MID(K3980,FIND("#",K3980)+1,20)),UPPER(K3980)),'Students'!$AD$2:$AD$701,0),""))</f>
        <v/>
      </c>
      <c r="R3980">
        <f>IF(P3980="","",INDEX('Students'!$AD$2:$AD$701,P3980))</f>
        <v/>
      </c>
      <c r="S3980">
        <f>IF(H3980="OK",O3980,0)</f>
        <v/>
      </c>
      <c r="T3980">
        <f>IF(H3980="OK",N3980,"")</f>
        <v/>
      </c>
      <c r="U3980">
        <f>TRIM('Cash_Check'!C980)</f>
        <v/>
      </c>
    </row>
    <row r="3981">
      <c r="A3981" s="62">
        <f>IF(H3981="","",IF(ISNUMBER(N3981),N3981,I3981))</f>
        <v/>
      </c>
      <c r="B3981">
        <f>IF(H3981="","",U3981)</f>
        <v/>
      </c>
      <c r="C3981">
        <f>IF(H3981="","",IF(P3981="",K3981,INDEX('Students'!$A$2:$A$701,P3981)))</f>
        <v/>
      </c>
      <c r="D3981">
        <f>IF(OR(H3981="",P3981=""),"",INDEX('Students'!$B$2:$B$701,P3981))</f>
        <v/>
      </c>
      <c r="E3981">
        <f>IF(OR(H3981="",P3981=""),"",INDEX('Students'!$C$2:$C$701,P3981))</f>
        <v/>
      </c>
      <c r="F3981" s="48">
        <f>IF(H3981="","",IF(ISNUMBER(O3981),O3981,J3981))</f>
        <v/>
      </c>
      <c r="G3981">
        <f>IF(H3981="","",M3981)</f>
        <v/>
      </c>
      <c r="H3981">
        <f>IF(AND(I3981="",J3981="",K3981=""),"",IF(OR(NOT(ISNUMBER(O3981)),N(O3981)&lt;=0),"Bad amount",IF(NOT(ISNUMBER(N3981)),"Bad date",IF(P3981="","NAME NOT ON ROSTER","OK"))))</f>
        <v/>
      </c>
      <c r="I3981">
        <f>IF('Cash_Check'!A981="","",'Cash_Check'!A981)</f>
        <v/>
      </c>
      <c r="J3981">
        <f>IF('Cash_Check'!D981="","",'Cash_Check'!D981)</f>
        <v/>
      </c>
      <c r="K3981">
        <f>TRIM('Cash_Check'!B981)</f>
        <v/>
      </c>
      <c r="M3981">
        <f>IF(TRIM('Cash_Check'!E981)="","Cash/check",TRIM('Cash_Check'!E981))</f>
        <v/>
      </c>
      <c r="N3981">
        <f>IF(I3981="","",IF(ISNUMBER(I3981),INT(I3981),IFERROR(INT(DATEVALUE(I3981)),IFERROR(INT(VALUE(I3981)),"bad"))))</f>
        <v/>
      </c>
      <c r="O3981">
        <f>IF(J3981="","",IF(ISNUMBER(J3981),ROUND(J3981,2),IFERROR(ROUND(VALUE(SUBSTITUTE(SUBSTITUTE(SUBSTITUTE(J3981,"$",""),",","")," ","")),2),"bad")))</f>
        <v/>
      </c>
      <c r="P3981">
        <f>IF(K3981="","",IFERROR(MATCH(IF(ISNUMBER(FIND("#",K3981)),TRIM(MID(K3981,FIND("#",K3981)+1,20)),UPPER(K3981)),'Students'!$AD$2:$AD$701,0),""))</f>
        <v/>
      </c>
      <c r="R3981">
        <f>IF(P3981="","",INDEX('Students'!$AD$2:$AD$701,P3981))</f>
        <v/>
      </c>
      <c r="S3981">
        <f>IF(H3981="OK",O3981,0)</f>
        <v/>
      </c>
      <c r="T3981">
        <f>IF(H3981="OK",N3981,"")</f>
        <v/>
      </c>
      <c r="U3981">
        <f>TRIM('Cash_Check'!C981)</f>
        <v/>
      </c>
    </row>
    <row r="3982">
      <c r="A3982" s="62">
        <f>IF(H3982="","",IF(ISNUMBER(N3982),N3982,I3982))</f>
        <v/>
      </c>
      <c r="B3982">
        <f>IF(H3982="","",U3982)</f>
        <v/>
      </c>
      <c r="C3982">
        <f>IF(H3982="","",IF(P3982="",K3982,INDEX('Students'!$A$2:$A$701,P3982)))</f>
        <v/>
      </c>
      <c r="D3982">
        <f>IF(OR(H3982="",P3982=""),"",INDEX('Students'!$B$2:$B$701,P3982))</f>
        <v/>
      </c>
      <c r="E3982">
        <f>IF(OR(H3982="",P3982=""),"",INDEX('Students'!$C$2:$C$701,P3982))</f>
        <v/>
      </c>
      <c r="F3982" s="48">
        <f>IF(H3982="","",IF(ISNUMBER(O3982),O3982,J3982))</f>
        <v/>
      </c>
      <c r="G3982">
        <f>IF(H3982="","",M3982)</f>
        <v/>
      </c>
      <c r="H3982">
        <f>IF(AND(I3982="",J3982="",K3982=""),"",IF(OR(NOT(ISNUMBER(O3982)),N(O3982)&lt;=0),"Bad amount",IF(NOT(ISNUMBER(N3982)),"Bad date",IF(P3982="","NAME NOT ON ROSTER","OK"))))</f>
        <v/>
      </c>
      <c r="I3982">
        <f>IF('Cash_Check'!A982="","",'Cash_Check'!A982)</f>
        <v/>
      </c>
      <c r="J3982">
        <f>IF('Cash_Check'!D982="","",'Cash_Check'!D982)</f>
        <v/>
      </c>
      <c r="K3982">
        <f>TRIM('Cash_Check'!B982)</f>
        <v/>
      </c>
      <c r="M3982">
        <f>IF(TRIM('Cash_Check'!E982)="","Cash/check",TRIM('Cash_Check'!E982))</f>
        <v/>
      </c>
      <c r="N3982">
        <f>IF(I3982="","",IF(ISNUMBER(I3982),INT(I3982),IFERROR(INT(DATEVALUE(I3982)),IFERROR(INT(VALUE(I3982)),"bad"))))</f>
        <v/>
      </c>
      <c r="O3982">
        <f>IF(J3982="","",IF(ISNUMBER(J3982),ROUND(J3982,2),IFERROR(ROUND(VALUE(SUBSTITUTE(SUBSTITUTE(SUBSTITUTE(J3982,"$",""),",","")," ","")),2),"bad")))</f>
        <v/>
      </c>
      <c r="P3982">
        <f>IF(K3982="","",IFERROR(MATCH(IF(ISNUMBER(FIND("#",K3982)),TRIM(MID(K3982,FIND("#",K3982)+1,20)),UPPER(K3982)),'Students'!$AD$2:$AD$701,0),""))</f>
        <v/>
      </c>
      <c r="R3982">
        <f>IF(P3982="","",INDEX('Students'!$AD$2:$AD$701,P3982))</f>
        <v/>
      </c>
      <c r="S3982">
        <f>IF(H3982="OK",O3982,0)</f>
        <v/>
      </c>
      <c r="T3982">
        <f>IF(H3982="OK",N3982,"")</f>
        <v/>
      </c>
      <c r="U3982">
        <f>TRIM('Cash_Check'!C982)</f>
        <v/>
      </c>
    </row>
    <row r="3983">
      <c r="A3983" s="62">
        <f>IF(H3983="","",IF(ISNUMBER(N3983),N3983,I3983))</f>
        <v/>
      </c>
      <c r="B3983">
        <f>IF(H3983="","",U3983)</f>
        <v/>
      </c>
      <c r="C3983">
        <f>IF(H3983="","",IF(P3983="",K3983,INDEX('Students'!$A$2:$A$701,P3983)))</f>
        <v/>
      </c>
      <c r="D3983">
        <f>IF(OR(H3983="",P3983=""),"",INDEX('Students'!$B$2:$B$701,P3983))</f>
        <v/>
      </c>
      <c r="E3983">
        <f>IF(OR(H3983="",P3983=""),"",INDEX('Students'!$C$2:$C$701,P3983))</f>
        <v/>
      </c>
      <c r="F3983" s="48">
        <f>IF(H3983="","",IF(ISNUMBER(O3983),O3983,J3983))</f>
        <v/>
      </c>
      <c r="G3983">
        <f>IF(H3983="","",M3983)</f>
        <v/>
      </c>
      <c r="H3983">
        <f>IF(AND(I3983="",J3983="",K3983=""),"",IF(OR(NOT(ISNUMBER(O3983)),N(O3983)&lt;=0),"Bad amount",IF(NOT(ISNUMBER(N3983)),"Bad date",IF(P3983="","NAME NOT ON ROSTER","OK"))))</f>
        <v/>
      </c>
      <c r="I3983">
        <f>IF('Cash_Check'!A983="","",'Cash_Check'!A983)</f>
        <v/>
      </c>
      <c r="J3983">
        <f>IF('Cash_Check'!D983="","",'Cash_Check'!D983)</f>
        <v/>
      </c>
      <c r="K3983">
        <f>TRIM('Cash_Check'!B983)</f>
        <v/>
      </c>
      <c r="M3983">
        <f>IF(TRIM('Cash_Check'!E983)="","Cash/check",TRIM('Cash_Check'!E983))</f>
        <v/>
      </c>
      <c r="N3983">
        <f>IF(I3983="","",IF(ISNUMBER(I3983),INT(I3983),IFERROR(INT(DATEVALUE(I3983)),IFERROR(INT(VALUE(I3983)),"bad"))))</f>
        <v/>
      </c>
      <c r="O3983">
        <f>IF(J3983="","",IF(ISNUMBER(J3983),ROUND(J3983,2),IFERROR(ROUND(VALUE(SUBSTITUTE(SUBSTITUTE(SUBSTITUTE(J3983,"$",""),",","")," ","")),2),"bad")))</f>
        <v/>
      </c>
      <c r="P3983">
        <f>IF(K3983="","",IFERROR(MATCH(IF(ISNUMBER(FIND("#",K3983)),TRIM(MID(K3983,FIND("#",K3983)+1,20)),UPPER(K3983)),'Students'!$AD$2:$AD$701,0),""))</f>
        <v/>
      </c>
      <c r="R3983">
        <f>IF(P3983="","",INDEX('Students'!$AD$2:$AD$701,P3983))</f>
        <v/>
      </c>
      <c r="S3983">
        <f>IF(H3983="OK",O3983,0)</f>
        <v/>
      </c>
      <c r="T3983">
        <f>IF(H3983="OK",N3983,"")</f>
        <v/>
      </c>
      <c r="U3983">
        <f>TRIM('Cash_Check'!C983)</f>
        <v/>
      </c>
    </row>
    <row r="3984">
      <c r="A3984" s="62">
        <f>IF(H3984="","",IF(ISNUMBER(N3984),N3984,I3984))</f>
        <v/>
      </c>
      <c r="B3984">
        <f>IF(H3984="","",U3984)</f>
        <v/>
      </c>
      <c r="C3984">
        <f>IF(H3984="","",IF(P3984="",K3984,INDEX('Students'!$A$2:$A$701,P3984)))</f>
        <v/>
      </c>
      <c r="D3984">
        <f>IF(OR(H3984="",P3984=""),"",INDEX('Students'!$B$2:$B$701,P3984))</f>
        <v/>
      </c>
      <c r="E3984">
        <f>IF(OR(H3984="",P3984=""),"",INDEX('Students'!$C$2:$C$701,P3984))</f>
        <v/>
      </c>
      <c r="F3984" s="48">
        <f>IF(H3984="","",IF(ISNUMBER(O3984),O3984,J3984))</f>
        <v/>
      </c>
      <c r="G3984">
        <f>IF(H3984="","",M3984)</f>
        <v/>
      </c>
      <c r="H3984">
        <f>IF(AND(I3984="",J3984="",K3984=""),"",IF(OR(NOT(ISNUMBER(O3984)),N(O3984)&lt;=0),"Bad amount",IF(NOT(ISNUMBER(N3984)),"Bad date",IF(P3984="","NAME NOT ON ROSTER","OK"))))</f>
        <v/>
      </c>
      <c r="I3984">
        <f>IF('Cash_Check'!A984="","",'Cash_Check'!A984)</f>
        <v/>
      </c>
      <c r="J3984">
        <f>IF('Cash_Check'!D984="","",'Cash_Check'!D984)</f>
        <v/>
      </c>
      <c r="K3984">
        <f>TRIM('Cash_Check'!B984)</f>
        <v/>
      </c>
      <c r="M3984">
        <f>IF(TRIM('Cash_Check'!E984)="","Cash/check",TRIM('Cash_Check'!E984))</f>
        <v/>
      </c>
      <c r="N3984">
        <f>IF(I3984="","",IF(ISNUMBER(I3984),INT(I3984),IFERROR(INT(DATEVALUE(I3984)),IFERROR(INT(VALUE(I3984)),"bad"))))</f>
        <v/>
      </c>
      <c r="O3984">
        <f>IF(J3984="","",IF(ISNUMBER(J3984),ROUND(J3984,2),IFERROR(ROUND(VALUE(SUBSTITUTE(SUBSTITUTE(SUBSTITUTE(J3984,"$",""),",","")," ","")),2),"bad")))</f>
        <v/>
      </c>
      <c r="P3984">
        <f>IF(K3984="","",IFERROR(MATCH(IF(ISNUMBER(FIND("#",K3984)),TRIM(MID(K3984,FIND("#",K3984)+1,20)),UPPER(K3984)),'Students'!$AD$2:$AD$701,0),""))</f>
        <v/>
      </c>
      <c r="R3984">
        <f>IF(P3984="","",INDEX('Students'!$AD$2:$AD$701,P3984))</f>
        <v/>
      </c>
      <c r="S3984">
        <f>IF(H3984="OK",O3984,0)</f>
        <v/>
      </c>
      <c r="T3984">
        <f>IF(H3984="OK",N3984,"")</f>
        <v/>
      </c>
      <c r="U3984">
        <f>TRIM('Cash_Check'!C984)</f>
        <v/>
      </c>
    </row>
    <row r="3985">
      <c r="A3985" s="62">
        <f>IF(H3985="","",IF(ISNUMBER(N3985),N3985,I3985))</f>
        <v/>
      </c>
      <c r="B3985">
        <f>IF(H3985="","",U3985)</f>
        <v/>
      </c>
      <c r="C3985">
        <f>IF(H3985="","",IF(P3985="",K3985,INDEX('Students'!$A$2:$A$701,P3985)))</f>
        <v/>
      </c>
      <c r="D3985">
        <f>IF(OR(H3985="",P3985=""),"",INDEX('Students'!$B$2:$B$701,P3985))</f>
        <v/>
      </c>
      <c r="E3985">
        <f>IF(OR(H3985="",P3985=""),"",INDEX('Students'!$C$2:$C$701,P3985))</f>
        <v/>
      </c>
      <c r="F3985" s="48">
        <f>IF(H3985="","",IF(ISNUMBER(O3985),O3985,J3985))</f>
        <v/>
      </c>
      <c r="G3985">
        <f>IF(H3985="","",M3985)</f>
        <v/>
      </c>
      <c r="H3985">
        <f>IF(AND(I3985="",J3985="",K3985=""),"",IF(OR(NOT(ISNUMBER(O3985)),N(O3985)&lt;=0),"Bad amount",IF(NOT(ISNUMBER(N3985)),"Bad date",IF(P3985="","NAME NOT ON ROSTER","OK"))))</f>
        <v/>
      </c>
      <c r="I3985">
        <f>IF('Cash_Check'!A985="","",'Cash_Check'!A985)</f>
        <v/>
      </c>
      <c r="J3985">
        <f>IF('Cash_Check'!D985="","",'Cash_Check'!D985)</f>
        <v/>
      </c>
      <c r="K3985">
        <f>TRIM('Cash_Check'!B985)</f>
        <v/>
      </c>
      <c r="M3985">
        <f>IF(TRIM('Cash_Check'!E985)="","Cash/check",TRIM('Cash_Check'!E985))</f>
        <v/>
      </c>
      <c r="N3985">
        <f>IF(I3985="","",IF(ISNUMBER(I3985),INT(I3985),IFERROR(INT(DATEVALUE(I3985)),IFERROR(INT(VALUE(I3985)),"bad"))))</f>
        <v/>
      </c>
      <c r="O3985">
        <f>IF(J3985="","",IF(ISNUMBER(J3985),ROUND(J3985,2),IFERROR(ROUND(VALUE(SUBSTITUTE(SUBSTITUTE(SUBSTITUTE(J3985,"$",""),",","")," ","")),2),"bad")))</f>
        <v/>
      </c>
      <c r="P3985">
        <f>IF(K3985="","",IFERROR(MATCH(IF(ISNUMBER(FIND("#",K3985)),TRIM(MID(K3985,FIND("#",K3985)+1,20)),UPPER(K3985)),'Students'!$AD$2:$AD$701,0),""))</f>
        <v/>
      </c>
      <c r="R3985">
        <f>IF(P3985="","",INDEX('Students'!$AD$2:$AD$701,P3985))</f>
        <v/>
      </c>
      <c r="S3985">
        <f>IF(H3985="OK",O3985,0)</f>
        <v/>
      </c>
      <c r="T3985">
        <f>IF(H3985="OK",N3985,"")</f>
        <v/>
      </c>
      <c r="U3985">
        <f>TRIM('Cash_Check'!C985)</f>
        <v/>
      </c>
    </row>
    <row r="3986">
      <c r="A3986" s="62">
        <f>IF(H3986="","",IF(ISNUMBER(N3986),N3986,I3986))</f>
        <v/>
      </c>
      <c r="B3986">
        <f>IF(H3986="","",U3986)</f>
        <v/>
      </c>
      <c r="C3986">
        <f>IF(H3986="","",IF(P3986="",K3986,INDEX('Students'!$A$2:$A$701,P3986)))</f>
        <v/>
      </c>
      <c r="D3986">
        <f>IF(OR(H3986="",P3986=""),"",INDEX('Students'!$B$2:$B$701,P3986))</f>
        <v/>
      </c>
      <c r="E3986">
        <f>IF(OR(H3986="",P3986=""),"",INDEX('Students'!$C$2:$C$701,P3986))</f>
        <v/>
      </c>
      <c r="F3986" s="48">
        <f>IF(H3986="","",IF(ISNUMBER(O3986),O3986,J3986))</f>
        <v/>
      </c>
      <c r="G3986">
        <f>IF(H3986="","",M3986)</f>
        <v/>
      </c>
      <c r="H3986">
        <f>IF(AND(I3986="",J3986="",K3986=""),"",IF(OR(NOT(ISNUMBER(O3986)),N(O3986)&lt;=0),"Bad amount",IF(NOT(ISNUMBER(N3986)),"Bad date",IF(P3986="","NAME NOT ON ROSTER","OK"))))</f>
        <v/>
      </c>
      <c r="I3986">
        <f>IF('Cash_Check'!A986="","",'Cash_Check'!A986)</f>
        <v/>
      </c>
      <c r="J3986">
        <f>IF('Cash_Check'!D986="","",'Cash_Check'!D986)</f>
        <v/>
      </c>
      <c r="K3986">
        <f>TRIM('Cash_Check'!B986)</f>
        <v/>
      </c>
      <c r="M3986">
        <f>IF(TRIM('Cash_Check'!E986)="","Cash/check",TRIM('Cash_Check'!E986))</f>
        <v/>
      </c>
      <c r="N3986">
        <f>IF(I3986="","",IF(ISNUMBER(I3986),INT(I3986),IFERROR(INT(DATEVALUE(I3986)),IFERROR(INT(VALUE(I3986)),"bad"))))</f>
        <v/>
      </c>
      <c r="O3986">
        <f>IF(J3986="","",IF(ISNUMBER(J3986),ROUND(J3986,2),IFERROR(ROUND(VALUE(SUBSTITUTE(SUBSTITUTE(SUBSTITUTE(J3986,"$",""),",","")," ","")),2),"bad")))</f>
        <v/>
      </c>
      <c r="P3986">
        <f>IF(K3986="","",IFERROR(MATCH(IF(ISNUMBER(FIND("#",K3986)),TRIM(MID(K3986,FIND("#",K3986)+1,20)),UPPER(K3986)),'Students'!$AD$2:$AD$701,0),""))</f>
        <v/>
      </c>
      <c r="R3986">
        <f>IF(P3986="","",INDEX('Students'!$AD$2:$AD$701,P3986))</f>
        <v/>
      </c>
      <c r="S3986">
        <f>IF(H3986="OK",O3986,0)</f>
        <v/>
      </c>
      <c r="T3986">
        <f>IF(H3986="OK",N3986,"")</f>
        <v/>
      </c>
      <c r="U3986">
        <f>TRIM('Cash_Check'!C986)</f>
        <v/>
      </c>
    </row>
    <row r="3987">
      <c r="A3987" s="62">
        <f>IF(H3987="","",IF(ISNUMBER(N3987),N3987,I3987))</f>
        <v/>
      </c>
      <c r="B3987">
        <f>IF(H3987="","",U3987)</f>
        <v/>
      </c>
      <c r="C3987">
        <f>IF(H3987="","",IF(P3987="",K3987,INDEX('Students'!$A$2:$A$701,P3987)))</f>
        <v/>
      </c>
      <c r="D3987">
        <f>IF(OR(H3987="",P3987=""),"",INDEX('Students'!$B$2:$B$701,P3987))</f>
        <v/>
      </c>
      <c r="E3987">
        <f>IF(OR(H3987="",P3987=""),"",INDEX('Students'!$C$2:$C$701,P3987))</f>
        <v/>
      </c>
      <c r="F3987" s="48">
        <f>IF(H3987="","",IF(ISNUMBER(O3987),O3987,J3987))</f>
        <v/>
      </c>
      <c r="G3987">
        <f>IF(H3987="","",M3987)</f>
        <v/>
      </c>
      <c r="H3987">
        <f>IF(AND(I3987="",J3987="",K3987=""),"",IF(OR(NOT(ISNUMBER(O3987)),N(O3987)&lt;=0),"Bad amount",IF(NOT(ISNUMBER(N3987)),"Bad date",IF(P3987="","NAME NOT ON ROSTER","OK"))))</f>
        <v/>
      </c>
      <c r="I3987">
        <f>IF('Cash_Check'!A987="","",'Cash_Check'!A987)</f>
        <v/>
      </c>
      <c r="J3987">
        <f>IF('Cash_Check'!D987="","",'Cash_Check'!D987)</f>
        <v/>
      </c>
      <c r="K3987">
        <f>TRIM('Cash_Check'!B987)</f>
        <v/>
      </c>
      <c r="M3987">
        <f>IF(TRIM('Cash_Check'!E987)="","Cash/check",TRIM('Cash_Check'!E987))</f>
        <v/>
      </c>
      <c r="N3987">
        <f>IF(I3987="","",IF(ISNUMBER(I3987),INT(I3987),IFERROR(INT(DATEVALUE(I3987)),IFERROR(INT(VALUE(I3987)),"bad"))))</f>
        <v/>
      </c>
      <c r="O3987">
        <f>IF(J3987="","",IF(ISNUMBER(J3987),ROUND(J3987,2),IFERROR(ROUND(VALUE(SUBSTITUTE(SUBSTITUTE(SUBSTITUTE(J3987,"$",""),",","")," ","")),2),"bad")))</f>
        <v/>
      </c>
      <c r="P3987">
        <f>IF(K3987="","",IFERROR(MATCH(IF(ISNUMBER(FIND("#",K3987)),TRIM(MID(K3987,FIND("#",K3987)+1,20)),UPPER(K3987)),'Students'!$AD$2:$AD$701,0),""))</f>
        <v/>
      </c>
      <c r="R3987">
        <f>IF(P3987="","",INDEX('Students'!$AD$2:$AD$701,P3987))</f>
        <v/>
      </c>
      <c r="S3987">
        <f>IF(H3987="OK",O3987,0)</f>
        <v/>
      </c>
      <c r="T3987">
        <f>IF(H3987="OK",N3987,"")</f>
        <v/>
      </c>
      <c r="U3987">
        <f>TRIM('Cash_Check'!C987)</f>
        <v/>
      </c>
    </row>
    <row r="3988">
      <c r="A3988" s="62">
        <f>IF(H3988="","",IF(ISNUMBER(N3988),N3988,I3988))</f>
        <v/>
      </c>
      <c r="B3988">
        <f>IF(H3988="","",U3988)</f>
        <v/>
      </c>
      <c r="C3988">
        <f>IF(H3988="","",IF(P3988="",K3988,INDEX('Students'!$A$2:$A$701,P3988)))</f>
        <v/>
      </c>
      <c r="D3988">
        <f>IF(OR(H3988="",P3988=""),"",INDEX('Students'!$B$2:$B$701,P3988))</f>
        <v/>
      </c>
      <c r="E3988">
        <f>IF(OR(H3988="",P3988=""),"",INDEX('Students'!$C$2:$C$701,P3988))</f>
        <v/>
      </c>
      <c r="F3988" s="48">
        <f>IF(H3988="","",IF(ISNUMBER(O3988),O3988,J3988))</f>
        <v/>
      </c>
      <c r="G3988">
        <f>IF(H3988="","",M3988)</f>
        <v/>
      </c>
      <c r="H3988">
        <f>IF(AND(I3988="",J3988="",K3988=""),"",IF(OR(NOT(ISNUMBER(O3988)),N(O3988)&lt;=0),"Bad amount",IF(NOT(ISNUMBER(N3988)),"Bad date",IF(P3988="","NAME NOT ON ROSTER","OK"))))</f>
        <v/>
      </c>
      <c r="I3988">
        <f>IF('Cash_Check'!A988="","",'Cash_Check'!A988)</f>
        <v/>
      </c>
      <c r="J3988">
        <f>IF('Cash_Check'!D988="","",'Cash_Check'!D988)</f>
        <v/>
      </c>
      <c r="K3988">
        <f>TRIM('Cash_Check'!B988)</f>
        <v/>
      </c>
      <c r="M3988">
        <f>IF(TRIM('Cash_Check'!E988)="","Cash/check",TRIM('Cash_Check'!E988))</f>
        <v/>
      </c>
      <c r="N3988">
        <f>IF(I3988="","",IF(ISNUMBER(I3988),INT(I3988),IFERROR(INT(DATEVALUE(I3988)),IFERROR(INT(VALUE(I3988)),"bad"))))</f>
        <v/>
      </c>
      <c r="O3988">
        <f>IF(J3988="","",IF(ISNUMBER(J3988),ROUND(J3988,2),IFERROR(ROUND(VALUE(SUBSTITUTE(SUBSTITUTE(SUBSTITUTE(J3988,"$",""),",","")," ","")),2),"bad")))</f>
        <v/>
      </c>
      <c r="P3988">
        <f>IF(K3988="","",IFERROR(MATCH(IF(ISNUMBER(FIND("#",K3988)),TRIM(MID(K3988,FIND("#",K3988)+1,20)),UPPER(K3988)),'Students'!$AD$2:$AD$701,0),""))</f>
        <v/>
      </c>
      <c r="R3988">
        <f>IF(P3988="","",INDEX('Students'!$AD$2:$AD$701,P3988))</f>
        <v/>
      </c>
      <c r="S3988">
        <f>IF(H3988="OK",O3988,0)</f>
        <v/>
      </c>
      <c r="T3988">
        <f>IF(H3988="OK",N3988,"")</f>
        <v/>
      </c>
      <c r="U3988">
        <f>TRIM('Cash_Check'!C988)</f>
        <v/>
      </c>
    </row>
    <row r="3989">
      <c r="A3989" s="62">
        <f>IF(H3989="","",IF(ISNUMBER(N3989),N3989,I3989))</f>
        <v/>
      </c>
      <c r="B3989">
        <f>IF(H3989="","",U3989)</f>
        <v/>
      </c>
      <c r="C3989">
        <f>IF(H3989="","",IF(P3989="",K3989,INDEX('Students'!$A$2:$A$701,P3989)))</f>
        <v/>
      </c>
      <c r="D3989">
        <f>IF(OR(H3989="",P3989=""),"",INDEX('Students'!$B$2:$B$701,P3989))</f>
        <v/>
      </c>
      <c r="E3989">
        <f>IF(OR(H3989="",P3989=""),"",INDEX('Students'!$C$2:$C$701,P3989))</f>
        <v/>
      </c>
      <c r="F3989" s="48">
        <f>IF(H3989="","",IF(ISNUMBER(O3989),O3989,J3989))</f>
        <v/>
      </c>
      <c r="G3989">
        <f>IF(H3989="","",M3989)</f>
        <v/>
      </c>
      <c r="H3989">
        <f>IF(AND(I3989="",J3989="",K3989=""),"",IF(OR(NOT(ISNUMBER(O3989)),N(O3989)&lt;=0),"Bad amount",IF(NOT(ISNUMBER(N3989)),"Bad date",IF(P3989="","NAME NOT ON ROSTER","OK"))))</f>
        <v/>
      </c>
      <c r="I3989">
        <f>IF('Cash_Check'!A989="","",'Cash_Check'!A989)</f>
        <v/>
      </c>
      <c r="J3989">
        <f>IF('Cash_Check'!D989="","",'Cash_Check'!D989)</f>
        <v/>
      </c>
      <c r="K3989">
        <f>TRIM('Cash_Check'!B989)</f>
        <v/>
      </c>
      <c r="M3989">
        <f>IF(TRIM('Cash_Check'!E989)="","Cash/check",TRIM('Cash_Check'!E989))</f>
        <v/>
      </c>
      <c r="N3989">
        <f>IF(I3989="","",IF(ISNUMBER(I3989),INT(I3989),IFERROR(INT(DATEVALUE(I3989)),IFERROR(INT(VALUE(I3989)),"bad"))))</f>
        <v/>
      </c>
      <c r="O3989">
        <f>IF(J3989="","",IF(ISNUMBER(J3989),ROUND(J3989,2),IFERROR(ROUND(VALUE(SUBSTITUTE(SUBSTITUTE(SUBSTITUTE(J3989,"$",""),",","")," ","")),2),"bad")))</f>
        <v/>
      </c>
      <c r="P3989">
        <f>IF(K3989="","",IFERROR(MATCH(IF(ISNUMBER(FIND("#",K3989)),TRIM(MID(K3989,FIND("#",K3989)+1,20)),UPPER(K3989)),'Students'!$AD$2:$AD$701,0),""))</f>
        <v/>
      </c>
      <c r="R3989">
        <f>IF(P3989="","",INDEX('Students'!$AD$2:$AD$701,P3989))</f>
        <v/>
      </c>
      <c r="S3989">
        <f>IF(H3989="OK",O3989,0)</f>
        <v/>
      </c>
      <c r="T3989">
        <f>IF(H3989="OK",N3989,"")</f>
        <v/>
      </c>
      <c r="U3989">
        <f>TRIM('Cash_Check'!C989)</f>
        <v/>
      </c>
    </row>
    <row r="3990">
      <c r="A3990" s="62">
        <f>IF(H3990="","",IF(ISNUMBER(N3990),N3990,I3990))</f>
        <v/>
      </c>
      <c r="B3990">
        <f>IF(H3990="","",U3990)</f>
        <v/>
      </c>
      <c r="C3990">
        <f>IF(H3990="","",IF(P3990="",K3990,INDEX('Students'!$A$2:$A$701,P3990)))</f>
        <v/>
      </c>
      <c r="D3990">
        <f>IF(OR(H3990="",P3990=""),"",INDEX('Students'!$B$2:$B$701,P3990))</f>
        <v/>
      </c>
      <c r="E3990">
        <f>IF(OR(H3990="",P3990=""),"",INDEX('Students'!$C$2:$C$701,P3990))</f>
        <v/>
      </c>
      <c r="F3990" s="48">
        <f>IF(H3990="","",IF(ISNUMBER(O3990),O3990,J3990))</f>
        <v/>
      </c>
      <c r="G3990">
        <f>IF(H3990="","",M3990)</f>
        <v/>
      </c>
      <c r="H3990">
        <f>IF(AND(I3990="",J3990="",K3990=""),"",IF(OR(NOT(ISNUMBER(O3990)),N(O3990)&lt;=0),"Bad amount",IF(NOT(ISNUMBER(N3990)),"Bad date",IF(P3990="","NAME NOT ON ROSTER","OK"))))</f>
        <v/>
      </c>
      <c r="I3990">
        <f>IF('Cash_Check'!A990="","",'Cash_Check'!A990)</f>
        <v/>
      </c>
      <c r="J3990">
        <f>IF('Cash_Check'!D990="","",'Cash_Check'!D990)</f>
        <v/>
      </c>
      <c r="K3990">
        <f>TRIM('Cash_Check'!B990)</f>
        <v/>
      </c>
      <c r="M3990">
        <f>IF(TRIM('Cash_Check'!E990)="","Cash/check",TRIM('Cash_Check'!E990))</f>
        <v/>
      </c>
      <c r="N3990">
        <f>IF(I3990="","",IF(ISNUMBER(I3990),INT(I3990),IFERROR(INT(DATEVALUE(I3990)),IFERROR(INT(VALUE(I3990)),"bad"))))</f>
        <v/>
      </c>
      <c r="O3990">
        <f>IF(J3990="","",IF(ISNUMBER(J3990),ROUND(J3990,2),IFERROR(ROUND(VALUE(SUBSTITUTE(SUBSTITUTE(SUBSTITUTE(J3990,"$",""),",","")," ","")),2),"bad")))</f>
        <v/>
      </c>
      <c r="P3990">
        <f>IF(K3990="","",IFERROR(MATCH(IF(ISNUMBER(FIND("#",K3990)),TRIM(MID(K3990,FIND("#",K3990)+1,20)),UPPER(K3990)),'Students'!$AD$2:$AD$701,0),""))</f>
        <v/>
      </c>
      <c r="R3990">
        <f>IF(P3990="","",INDEX('Students'!$AD$2:$AD$701,P3990))</f>
        <v/>
      </c>
      <c r="S3990">
        <f>IF(H3990="OK",O3990,0)</f>
        <v/>
      </c>
      <c r="T3990">
        <f>IF(H3990="OK",N3990,"")</f>
        <v/>
      </c>
      <c r="U3990">
        <f>TRIM('Cash_Check'!C990)</f>
        <v/>
      </c>
    </row>
    <row r="3991">
      <c r="A3991" s="62">
        <f>IF(H3991="","",IF(ISNUMBER(N3991),N3991,I3991))</f>
        <v/>
      </c>
      <c r="B3991">
        <f>IF(H3991="","",U3991)</f>
        <v/>
      </c>
      <c r="C3991">
        <f>IF(H3991="","",IF(P3991="",K3991,INDEX('Students'!$A$2:$A$701,P3991)))</f>
        <v/>
      </c>
      <c r="D3991">
        <f>IF(OR(H3991="",P3991=""),"",INDEX('Students'!$B$2:$B$701,P3991))</f>
        <v/>
      </c>
      <c r="E3991">
        <f>IF(OR(H3991="",P3991=""),"",INDEX('Students'!$C$2:$C$701,P3991))</f>
        <v/>
      </c>
      <c r="F3991" s="48">
        <f>IF(H3991="","",IF(ISNUMBER(O3991),O3991,J3991))</f>
        <v/>
      </c>
      <c r="G3991">
        <f>IF(H3991="","",M3991)</f>
        <v/>
      </c>
      <c r="H3991">
        <f>IF(AND(I3991="",J3991="",K3991=""),"",IF(OR(NOT(ISNUMBER(O3991)),N(O3991)&lt;=0),"Bad amount",IF(NOT(ISNUMBER(N3991)),"Bad date",IF(P3991="","NAME NOT ON ROSTER","OK"))))</f>
        <v/>
      </c>
      <c r="I3991">
        <f>IF('Cash_Check'!A991="","",'Cash_Check'!A991)</f>
        <v/>
      </c>
      <c r="J3991">
        <f>IF('Cash_Check'!D991="","",'Cash_Check'!D991)</f>
        <v/>
      </c>
      <c r="K3991">
        <f>TRIM('Cash_Check'!B991)</f>
        <v/>
      </c>
      <c r="M3991">
        <f>IF(TRIM('Cash_Check'!E991)="","Cash/check",TRIM('Cash_Check'!E991))</f>
        <v/>
      </c>
      <c r="N3991">
        <f>IF(I3991="","",IF(ISNUMBER(I3991),INT(I3991),IFERROR(INT(DATEVALUE(I3991)),IFERROR(INT(VALUE(I3991)),"bad"))))</f>
        <v/>
      </c>
      <c r="O3991">
        <f>IF(J3991="","",IF(ISNUMBER(J3991),ROUND(J3991,2),IFERROR(ROUND(VALUE(SUBSTITUTE(SUBSTITUTE(SUBSTITUTE(J3991,"$",""),",","")," ","")),2),"bad")))</f>
        <v/>
      </c>
      <c r="P3991">
        <f>IF(K3991="","",IFERROR(MATCH(IF(ISNUMBER(FIND("#",K3991)),TRIM(MID(K3991,FIND("#",K3991)+1,20)),UPPER(K3991)),'Students'!$AD$2:$AD$701,0),""))</f>
        <v/>
      </c>
      <c r="R3991">
        <f>IF(P3991="","",INDEX('Students'!$AD$2:$AD$701,P3991))</f>
        <v/>
      </c>
      <c r="S3991">
        <f>IF(H3991="OK",O3991,0)</f>
        <v/>
      </c>
      <c r="T3991">
        <f>IF(H3991="OK",N3991,"")</f>
        <v/>
      </c>
      <c r="U3991">
        <f>TRIM('Cash_Check'!C991)</f>
        <v/>
      </c>
    </row>
    <row r="3992">
      <c r="A3992" s="62">
        <f>IF(H3992="","",IF(ISNUMBER(N3992),N3992,I3992))</f>
        <v/>
      </c>
      <c r="B3992">
        <f>IF(H3992="","",U3992)</f>
        <v/>
      </c>
      <c r="C3992">
        <f>IF(H3992="","",IF(P3992="",K3992,INDEX('Students'!$A$2:$A$701,P3992)))</f>
        <v/>
      </c>
      <c r="D3992">
        <f>IF(OR(H3992="",P3992=""),"",INDEX('Students'!$B$2:$B$701,P3992))</f>
        <v/>
      </c>
      <c r="E3992">
        <f>IF(OR(H3992="",P3992=""),"",INDEX('Students'!$C$2:$C$701,P3992))</f>
        <v/>
      </c>
      <c r="F3992" s="48">
        <f>IF(H3992="","",IF(ISNUMBER(O3992),O3992,J3992))</f>
        <v/>
      </c>
      <c r="G3992">
        <f>IF(H3992="","",M3992)</f>
        <v/>
      </c>
      <c r="H3992">
        <f>IF(AND(I3992="",J3992="",K3992=""),"",IF(OR(NOT(ISNUMBER(O3992)),N(O3992)&lt;=0),"Bad amount",IF(NOT(ISNUMBER(N3992)),"Bad date",IF(P3992="","NAME NOT ON ROSTER","OK"))))</f>
        <v/>
      </c>
      <c r="I3992">
        <f>IF('Cash_Check'!A992="","",'Cash_Check'!A992)</f>
        <v/>
      </c>
      <c r="J3992">
        <f>IF('Cash_Check'!D992="","",'Cash_Check'!D992)</f>
        <v/>
      </c>
      <c r="K3992">
        <f>TRIM('Cash_Check'!B992)</f>
        <v/>
      </c>
      <c r="M3992">
        <f>IF(TRIM('Cash_Check'!E992)="","Cash/check",TRIM('Cash_Check'!E992))</f>
        <v/>
      </c>
      <c r="N3992">
        <f>IF(I3992="","",IF(ISNUMBER(I3992),INT(I3992),IFERROR(INT(DATEVALUE(I3992)),IFERROR(INT(VALUE(I3992)),"bad"))))</f>
        <v/>
      </c>
      <c r="O3992">
        <f>IF(J3992="","",IF(ISNUMBER(J3992),ROUND(J3992,2),IFERROR(ROUND(VALUE(SUBSTITUTE(SUBSTITUTE(SUBSTITUTE(J3992,"$",""),",","")," ","")),2),"bad")))</f>
        <v/>
      </c>
      <c r="P3992">
        <f>IF(K3992="","",IFERROR(MATCH(IF(ISNUMBER(FIND("#",K3992)),TRIM(MID(K3992,FIND("#",K3992)+1,20)),UPPER(K3992)),'Students'!$AD$2:$AD$701,0),""))</f>
        <v/>
      </c>
      <c r="R3992">
        <f>IF(P3992="","",INDEX('Students'!$AD$2:$AD$701,P3992))</f>
        <v/>
      </c>
      <c r="S3992">
        <f>IF(H3992="OK",O3992,0)</f>
        <v/>
      </c>
      <c r="T3992">
        <f>IF(H3992="OK",N3992,"")</f>
        <v/>
      </c>
      <c r="U3992">
        <f>TRIM('Cash_Check'!C992)</f>
        <v/>
      </c>
    </row>
    <row r="3993">
      <c r="A3993" s="62">
        <f>IF(H3993="","",IF(ISNUMBER(N3993),N3993,I3993))</f>
        <v/>
      </c>
      <c r="B3993">
        <f>IF(H3993="","",U3993)</f>
        <v/>
      </c>
      <c r="C3993">
        <f>IF(H3993="","",IF(P3993="",K3993,INDEX('Students'!$A$2:$A$701,P3993)))</f>
        <v/>
      </c>
      <c r="D3993">
        <f>IF(OR(H3993="",P3993=""),"",INDEX('Students'!$B$2:$B$701,P3993))</f>
        <v/>
      </c>
      <c r="E3993">
        <f>IF(OR(H3993="",P3993=""),"",INDEX('Students'!$C$2:$C$701,P3993))</f>
        <v/>
      </c>
      <c r="F3993" s="48">
        <f>IF(H3993="","",IF(ISNUMBER(O3993),O3993,J3993))</f>
        <v/>
      </c>
      <c r="G3993">
        <f>IF(H3993="","",M3993)</f>
        <v/>
      </c>
      <c r="H3993">
        <f>IF(AND(I3993="",J3993="",K3993=""),"",IF(OR(NOT(ISNUMBER(O3993)),N(O3993)&lt;=0),"Bad amount",IF(NOT(ISNUMBER(N3993)),"Bad date",IF(P3993="","NAME NOT ON ROSTER","OK"))))</f>
        <v/>
      </c>
      <c r="I3993">
        <f>IF('Cash_Check'!A993="","",'Cash_Check'!A993)</f>
        <v/>
      </c>
      <c r="J3993">
        <f>IF('Cash_Check'!D993="","",'Cash_Check'!D993)</f>
        <v/>
      </c>
      <c r="K3993">
        <f>TRIM('Cash_Check'!B993)</f>
        <v/>
      </c>
      <c r="M3993">
        <f>IF(TRIM('Cash_Check'!E993)="","Cash/check",TRIM('Cash_Check'!E993))</f>
        <v/>
      </c>
      <c r="N3993">
        <f>IF(I3993="","",IF(ISNUMBER(I3993),INT(I3993),IFERROR(INT(DATEVALUE(I3993)),IFERROR(INT(VALUE(I3993)),"bad"))))</f>
        <v/>
      </c>
      <c r="O3993">
        <f>IF(J3993="","",IF(ISNUMBER(J3993),ROUND(J3993,2),IFERROR(ROUND(VALUE(SUBSTITUTE(SUBSTITUTE(SUBSTITUTE(J3993,"$",""),",","")," ","")),2),"bad")))</f>
        <v/>
      </c>
      <c r="P3993">
        <f>IF(K3993="","",IFERROR(MATCH(IF(ISNUMBER(FIND("#",K3993)),TRIM(MID(K3993,FIND("#",K3993)+1,20)),UPPER(K3993)),'Students'!$AD$2:$AD$701,0),""))</f>
        <v/>
      </c>
      <c r="R3993">
        <f>IF(P3993="","",INDEX('Students'!$AD$2:$AD$701,P3993))</f>
        <v/>
      </c>
      <c r="S3993">
        <f>IF(H3993="OK",O3993,0)</f>
        <v/>
      </c>
      <c r="T3993">
        <f>IF(H3993="OK",N3993,"")</f>
        <v/>
      </c>
      <c r="U3993">
        <f>TRIM('Cash_Check'!C993)</f>
        <v/>
      </c>
    </row>
    <row r="3994">
      <c r="A3994" s="62">
        <f>IF(H3994="","",IF(ISNUMBER(N3994),N3994,I3994))</f>
        <v/>
      </c>
      <c r="B3994">
        <f>IF(H3994="","",U3994)</f>
        <v/>
      </c>
      <c r="C3994">
        <f>IF(H3994="","",IF(P3994="",K3994,INDEX('Students'!$A$2:$A$701,P3994)))</f>
        <v/>
      </c>
      <c r="D3994">
        <f>IF(OR(H3994="",P3994=""),"",INDEX('Students'!$B$2:$B$701,P3994))</f>
        <v/>
      </c>
      <c r="E3994">
        <f>IF(OR(H3994="",P3994=""),"",INDEX('Students'!$C$2:$C$701,P3994))</f>
        <v/>
      </c>
      <c r="F3994" s="48">
        <f>IF(H3994="","",IF(ISNUMBER(O3994),O3994,J3994))</f>
        <v/>
      </c>
      <c r="G3994">
        <f>IF(H3994="","",M3994)</f>
        <v/>
      </c>
      <c r="H3994">
        <f>IF(AND(I3994="",J3994="",K3994=""),"",IF(OR(NOT(ISNUMBER(O3994)),N(O3994)&lt;=0),"Bad amount",IF(NOT(ISNUMBER(N3994)),"Bad date",IF(P3994="","NAME NOT ON ROSTER","OK"))))</f>
        <v/>
      </c>
      <c r="I3994">
        <f>IF('Cash_Check'!A994="","",'Cash_Check'!A994)</f>
        <v/>
      </c>
      <c r="J3994">
        <f>IF('Cash_Check'!D994="","",'Cash_Check'!D994)</f>
        <v/>
      </c>
      <c r="K3994">
        <f>TRIM('Cash_Check'!B994)</f>
        <v/>
      </c>
      <c r="M3994">
        <f>IF(TRIM('Cash_Check'!E994)="","Cash/check",TRIM('Cash_Check'!E994))</f>
        <v/>
      </c>
      <c r="N3994">
        <f>IF(I3994="","",IF(ISNUMBER(I3994),INT(I3994),IFERROR(INT(DATEVALUE(I3994)),IFERROR(INT(VALUE(I3994)),"bad"))))</f>
        <v/>
      </c>
      <c r="O3994">
        <f>IF(J3994="","",IF(ISNUMBER(J3994),ROUND(J3994,2),IFERROR(ROUND(VALUE(SUBSTITUTE(SUBSTITUTE(SUBSTITUTE(J3994,"$",""),",","")," ","")),2),"bad")))</f>
        <v/>
      </c>
      <c r="P3994">
        <f>IF(K3994="","",IFERROR(MATCH(IF(ISNUMBER(FIND("#",K3994)),TRIM(MID(K3994,FIND("#",K3994)+1,20)),UPPER(K3994)),'Students'!$AD$2:$AD$701,0),""))</f>
        <v/>
      </c>
      <c r="R3994">
        <f>IF(P3994="","",INDEX('Students'!$AD$2:$AD$701,P3994))</f>
        <v/>
      </c>
      <c r="S3994">
        <f>IF(H3994="OK",O3994,0)</f>
        <v/>
      </c>
      <c r="T3994">
        <f>IF(H3994="OK",N3994,"")</f>
        <v/>
      </c>
      <c r="U3994">
        <f>TRIM('Cash_Check'!C994)</f>
        <v/>
      </c>
    </row>
    <row r="3995">
      <c r="A3995" s="62">
        <f>IF(H3995="","",IF(ISNUMBER(N3995),N3995,I3995))</f>
        <v/>
      </c>
      <c r="B3995">
        <f>IF(H3995="","",U3995)</f>
        <v/>
      </c>
      <c r="C3995">
        <f>IF(H3995="","",IF(P3995="",K3995,INDEX('Students'!$A$2:$A$701,P3995)))</f>
        <v/>
      </c>
      <c r="D3995">
        <f>IF(OR(H3995="",P3995=""),"",INDEX('Students'!$B$2:$B$701,P3995))</f>
        <v/>
      </c>
      <c r="E3995">
        <f>IF(OR(H3995="",P3995=""),"",INDEX('Students'!$C$2:$C$701,P3995))</f>
        <v/>
      </c>
      <c r="F3995" s="48">
        <f>IF(H3995="","",IF(ISNUMBER(O3995),O3995,J3995))</f>
        <v/>
      </c>
      <c r="G3995">
        <f>IF(H3995="","",M3995)</f>
        <v/>
      </c>
      <c r="H3995">
        <f>IF(AND(I3995="",J3995="",K3995=""),"",IF(OR(NOT(ISNUMBER(O3995)),N(O3995)&lt;=0),"Bad amount",IF(NOT(ISNUMBER(N3995)),"Bad date",IF(P3995="","NAME NOT ON ROSTER","OK"))))</f>
        <v/>
      </c>
      <c r="I3995">
        <f>IF('Cash_Check'!A995="","",'Cash_Check'!A995)</f>
        <v/>
      </c>
      <c r="J3995">
        <f>IF('Cash_Check'!D995="","",'Cash_Check'!D995)</f>
        <v/>
      </c>
      <c r="K3995">
        <f>TRIM('Cash_Check'!B995)</f>
        <v/>
      </c>
      <c r="M3995">
        <f>IF(TRIM('Cash_Check'!E995)="","Cash/check",TRIM('Cash_Check'!E995))</f>
        <v/>
      </c>
      <c r="N3995">
        <f>IF(I3995="","",IF(ISNUMBER(I3995),INT(I3995),IFERROR(INT(DATEVALUE(I3995)),IFERROR(INT(VALUE(I3995)),"bad"))))</f>
        <v/>
      </c>
      <c r="O3995">
        <f>IF(J3995="","",IF(ISNUMBER(J3995),ROUND(J3995,2),IFERROR(ROUND(VALUE(SUBSTITUTE(SUBSTITUTE(SUBSTITUTE(J3995,"$",""),",","")," ","")),2),"bad")))</f>
        <v/>
      </c>
      <c r="P3995">
        <f>IF(K3995="","",IFERROR(MATCH(IF(ISNUMBER(FIND("#",K3995)),TRIM(MID(K3995,FIND("#",K3995)+1,20)),UPPER(K3995)),'Students'!$AD$2:$AD$701,0),""))</f>
        <v/>
      </c>
      <c r="R3995">
        <f>IF(P3995="","",INDEX('Students'!$AD$2:$AD$701,P3995))</f>
        <v/>
      </c>
      <c r="S3995">
        <f>IF(H3995="OK",O3995,0)</f>
        <v/>
      </c>
      <c r="T3995">
        <f>IF(H3995="OK",N3995,"")</f>
        <v/>
      </c>
      <c r="U3995">
        <f>TRIM('Cash_Check'!C995)</f>
        <v/>
      </c>
    </row>
    <row r="3996">
      <c r="A3996" s="62">
        <f>IF(H3996="","",IF(ISNUMBER(N3996),N3996,I3996))</f>
        <v/>
      </c>
      <c r="B3996">
        <f>IF(H3996="","",U3996)</f>
        <v/>
      </c>
      <c r="C3996">
        <f>IF(H3996="","",IF(P3996="",K3996,INDEX('Students'!$A$2:$A$701,P3996)))</f>
        <v/>
      </c>
      <c r="D3996">
        <f>IF(OR(H3996="",P3996=""),"",INDEX('Students'!$B$2:$B$701,P3996))</f>
        <v/>
      </c>
      <c r="E3996">
        <f>IF(OR(H3996="",P3996=""),"",INDEX('Students'!$C$2:$C$701,P3996))</f>
        <v/>
      </c>
      <c r="F3996" s="48">
        <f>IF(H3996="","",IF(ISNUMBER(O3996),O3996,J3996))</f>
        <v/>
      </c>
      <c r="G3996">
        <f>IF(H3996="","",M3996)</f>
        <v/>
      </c>
      <c r="H3996">
        <f>IF(AND(I3996="",J3996="",K3996=""),"",IF(OR(NOT(ISNUMBER(O3996)),N(O3996)&lt;=0),"Bad amount",IF(NOT(ISNUMBER(N3996)),"Bad date",IF(P3996="","NAME NOT ON ROSTER","OK"))))</f>
        <v/>
      </c>
      <c r="I3996">
        <f>IF('Cash_Check'!A996="","",'Cash_Check'!A996)</f>
        <v/>
      </c>
      <c r="J3996">
        <f>IF('Cash_Check'!D996="","",'Cash_Check'!D996)</f>
        <v/>
      </c>
      <c r="K3996">
        <f>TRIM('Cash_Check'!B996)</f>
        <v/>
      </c>
      <c r="M3996">
        <f>IF(TRIM('Cash_Check'!E996)="","Cash/check",TRIM('Cash_Check'!E996))</f>
        <v/>
      </c>
      <c r="N3996">
        <f>IF(I3996="","",IF(ISNUMBER(I3996),INT(I3996),IFERROR(INT(DATEVALUE(I3996)),IFERROR(INT(VALUE(I3996)),"bad"))))</f>
        <v/>
      </c>
      <c r="O3996">
        <f>IF(J3996="","",IF(ISNUMBER(J3996),ROUND(J3996,2),IFERROR(ROUND(VALUE(SUBSTITUTE(SUBSTITUTE(SUBSTITUTE(J3996,"$",""),",","")," ","")),2),"bad")))</f>
        <v/>
      </c>
      <c r="P3996">
        <f>IF(K3996="","",IFERROR(MATCH(IF(ISNUMBER(FIND("#",K3996)),TRIM(MID(K3996,FIND("#",K3996)+1,20)),UPPER(K3996)),'Students'!$AD$2:$AD$701,0),""))</f>
        <v/>
      </c>
      <c r="R3996">
        <f>IF(P3996="","",INDEX('Students'!$AD$2:$AD$701,P3996))</f>
        <v/>
      </c>
      <c r="S3996">
        <f>IF(H3996="OK",O3996,0)</f>
        <v/>
      </c>
      <c r="T3996">
        <f>IF(H3996="OK",N3996,"")</f>
        <v/>
      </c>
      <c r="U3996">
        <f>TRIM('Cash_Check'!C996)</f>
        <v/>
      </c>
    </row>
    <row r="3997">
      <c r="A3997" s="62">
        <f>IF(H3997="","",IF(ISNUMBER(N3997),N3997,I3997))</f>
        <v/>
      </c>
      <c r="B3997">
        <f>IF(H3997="","",U3997)</f>
        <v/>
      </c>
      <c r="C3997">
        <f>IF(H3997="","",IF(P3997="",K3997,INDEX('Students'!$A$2:$A$701,P3997)))</f>
        <v/>
      </c>
      <c r="D3997">
        <f>IF(OR(H3997="",P3997=""),"",INDEX('Students'!$B$2:$B$701,P3997))</f>
        <v/>
      </c>
      <c r="E3997">
        <f>IF(OR(H3997="",P3997=""),"",INDEX('Students'!$C$2:$C$701,P3997))</f>
        <v/>
      </c>
      <c r="F3997" s="48">
        <f>IF(H3997="","",IF(ISNUMBER(O3997),O3997,J3997))</f>
        <v/>
      </c>
      <c r="G3997">
        <f>IF(H3997="","",M3997)</f>
        <v/>
      </c>
      <c r="H3997">
        <f>IF(AND(I3997="",J3997="",K3997=""),"",IF(OR(NOT(ISNUMBER(O3997)),N(O3997)&lt;=0),"Bad amount",IF(NOT(ISNUMBER(N3997)),"Bad date",IF(P3997="","NAME NOT ON ROSTER","OK"))))</f>
        <v/>
      </c>
      <c r="I3997">
        <f>IF('Cash_Check'!A997="","",'Cash_Check'!A997)</f>
        <v/>
      </c>
      <c r="J3997">
        <f>IF('Cash_Check'!D997="","",'Cash_Check'!D997)</f>
        <v/>
      </c>
      <c r="K3997">
        <f>TRIM('Cash_Check'!B997)</f>
        <v/>
      </c>
      <c r="M3997">
        <f>IF(TRIM('Cash_Check'!E997)="","Cash/check",TRIM('Cash_Check'!E997))</f>
        <v/>
      </c>
      <c r="N3997">
        <f>IF(I3997="","",IF(ISNUMBER(I3997),INT(I3997),IFERROR(INT(DATEVALUE(I3997)),IFERROR(INT(VALUE(I3997)),"bad"))))</f>
        <v/>
      </c>
      <c r="O3997">
        <f>IF(J3997="","",IF(ISNUMBER(J3997),ROUND(J3997,2),IFERROR(ROUND(VALUE(SUBSTITUTE(SUBSTITUTE(SUBSTITUTE(J3997,"$",""),",","")," ","")),2),"bad")))</f>
        <v/>
      </c>
      <c r="P3997">
        <f>IF(K3997="","",IFERROR(MATCH(IF(ISNUMBER(FIND("#",K3997)),TRIM(MID(K3997,FIND("#",K3997)+1,20)),UPPER(K3997)),'Students'!$AD$2:$AD$701,0),""))</f>
        <v/>
      </c>
      <c r="R3997">
        <f>IF(P3997="","",INDEX('Students'!$AD$2:$AD$701,P3997))</f>
        <v/>
      </c>
      <c r="S3997">
        <f>IF(H3997="OK",O3997,0)</f>
        <v/>
      </c>
      <c r="T3997">
        <f>IF(H3997="OK",N3997,"")</f>
        <v/>
      </c>
      <c r="U3997">
        <f>TRIM('Cash_Check'!C997)</f>
        <v/>
      </c>
    </row>
    <row r="3998">
      <c r="A3998" s="62">
        <f>IF(H3998="","",IF(ISNUMBER(N3998),N3998,I3998))</f>
        <v/>
      </c>
      <c r="B3998">
        <f>IF(H3998="","",U3998)</f>
        <v/>
      </c>
      <c r="C3998">
        <f>IF(H3998="","",IF(P3998="",K3998,INDEX('Students'!$A$2:$A$701,P3998)))</f>
        <v/>
      </c>
      <c r="D3998">
        <f>IF(OR(H3998="",P3998=""),"",INDEX('Students'!$B$2:$B$701,P3998))</f>
        <v/>
      </c>
      <c r="E3998">
        <f>IF(OR(H3998="",P3998=""),"",INDEX('Students'!$C$2:$C$701,P3998))</f>
        <v/>
      </c>
      <c r="F3998" s="48">
        <f>IF(H3998="","",IF(ISNUMBER(O3998),O3998,J3998))</f>
        <v/>
      </c>
      <c r="G3998">
        <f>IF(H3998="","",M3998)</f>
        <v/>
      </c>
      <c r="H3998">
        <f>IF(AND(I3998="",J3998="",K3998=""),"",IF(OR(NOT(ISNUMBER(O3998)),N(O3998)&lt;=0),"Bad amount",IF(NOT(ISNUMBER(N3998)),"Bad date",IF(P3998="","NAME NOT ON ROSTER","OK"))))</f>
        <v/>
      </c>
      <c r="I3998">
        <f>IF('Cash_Check'!A998="","",'Cash_Check'!A998)</f>
        <v/>
      </c>
      <c r="J3998">
        <f>IF('Cash_Check'!D998="","",'Cash_Check'!D998)</f>
        <v/>
      </c>
      <c r="K3998">
        <f>TRIM('Cash_Check'!B998)</f>
        <v/>
      </c>
      <c r="M3998">
        <f>IF(TRIM('Cash_Check'!E998)="","Cash/check",TRIM('Cash_Check'!E998))</f>
        <v/>
      </c>
      <c r="N3998">
        <f>IF(I3998="","",IF(ISNUMBER(I3998),INT(I3998),IFERROR(INT(DATEVALUE(I3998)),IFERROR(INT(VALUE(I3998)),"bad"))))</f>
        <v/>
      </c>
      <c r="O3998">
        <f>IF(J3998="","",IF(ISNUMBER(J3998),ROUND(J3998,2),IFERROR(ROUND(VALUE(SUBSTITUTE(SUBSTITUTE(SUBSTITUTE(J3998,"$",""),",","")," ","")),2),"bad")))</f>
        <v/>
      </c>
      <c r="P3998">
        <f>IF(K3998="","",IFERROR(MATCH(IF(ISNUMBER(FIND("#",K3998)),TRIM(MID(K3998,FIND("#",K3998)+1,20)),UPPER(K3998)),'Students'!$AD$2:$AD$701,0),""))</f>
        <v/>
      </c>
      <c r="R3998">
        <f>IF(P3998="","",INDEX('Students'!$AD$2:$AD$701,P3998))</f>
        <v/>
      </c>
      <c r="S3998">
        <f>IF(H3998="OK",O3998,0)</f>
        <v/>
      </c>
      <c r="T3998">
        <f>IF(H3998="OK",N3998,"")</f>
        <v/>
      </c>
      <c r="U3998">
        <f>TRIM('Cash_Check'!C998)</f>
        <v/>
      </c>
    </row>
    <row r="3999">
      <c r="A3999" s="62">
        <f>IF(H3999="","",IF(ISNUMBER(N3999),N3999,I3999))</f>
        <v/>
      </c>
      <c r="B3999">
        <f>IF(H3999="","",U3999)</f>
        <v/>
      </c>
      <c r="C3999">
        <f>IF(H3999="","",IF(P3999="",K3999,INDEX('Students'!$A$2:$A$701,P3999)))</f>
        <v/>
      </c>
      <c r="D3999">
        <f>IF(OR(H3999="",P3999=""),"",INDEX('Students'!$B$2:$B$701,P3999))</f>
        <v/>
      </c>
      <c r="E3999">
        <f>IF(OR(H3999="",P3999=""),"",INDEX('Students'!$C$2:$C$701,P3999))</f>
        <v/>
      </c>
      <c r="F3999" s="48">
        <f>IF(H3999="","",IF(ISNUMBER(O3999),O3999,J3999))</f>
        <v/>
      </c>
      <c r="G3999">
        <f>IF(H3999="","",M3999)</f>
        <v/>
      </c>
      <c r="H3999">
        <f>IF(AND(I3999="",J3999="",K3999=""),"",IF(OR(NOT(ISNUMBER(O3999)),N(O3999)&lt;=0),"Bad amount",IF(NOT(ISNUMBER(N3999)),"Bad date",IF(P3999="","NAME NOT ON ROSTER","OK"))))</f>
        <v/>
      </c>
      <c r="I3999">
        <f>IF('Cash_Check'!A999="","",'Cash_Check'!A999)</f>
        <v/>
      </c>
      <c r="J3999">
        <f>IF('Cash_Check'!D999="","",'Cash_Check'!D999)</f>
        <v/>
      </c>
      <c r="K3999">
        <f>TRIM('Cash_Check'!B999)</f>
        <v/>
      </c>
      <c r="M3999">
        <f>IF(TRIM('Cash_Check'!E999)="","Cash/check",TRIM('Cash_Check'!E999))</f>
        <v/>
      </c>
      <c r="N3999">
        <f>IF(I3999="","",IF(ISNUMBER(I3999),INT(I3999),IFERROR(INT(DATEVALUE(I3999)),IFERROR(INT(VALUE(I3999)),"bad"))))</f>
        <v/>
      </c>
      <c r="O3999">
        <f>IF(J3999="","",IF(ISNUMBER(J3999),ROUND(J3999,2),IFERROR(ROUND(VALUE(SUBSTITUTE(SUBSTITUTE(SUBSTITUTE(J3999,"$",""),",","")," ","")),2),"bad")))</f>
        <v/>
      </c>
      <c r="P3999">
        <f>IF(K3999="","",IFERROR(MATCH(IF(ISNUMBER(FIND("#",K3999)),TRIM(MID(K3999,FIND("#",K3999)+1,20)),UPPER(K3999)),'Students'!$AD$2:$AD$701,0),""))</f>
        <v/>
      </c>
      <c r="R3999">
        <f>IF(P3999="","",INDEX('Students'!$AD$2:$AD$701,P3999))</f>
        <v/>
      </c>
      <c r="S3999">
        <f>IF(H3999="OK",O3999,0)</f>
        <v/>
      </c>
      <c r="T3999">
        <f>IF(H3999="OK",N3999,"")</f>
        <v/>
      </c>
      <c r="U3999">
        <f>TRIM('Cash_Check'!C999)</f>
        <v/>
      </c>
    </row>
    <row r="4000">
      <c r="A4000" s="62">
        <f>IF(H4000="","",IF(ISNUMBER(N4000),N4000,I4000))</f>
        <v/>
      </c>
      <c r="B4000">
        <f>IF(H4000="","",U4000)</f>
        <v/>
      </c>
      <c r="C4000">
        <f>IF(H4000="","",IF(P4000="",K4000,INDEX('Students'!$A$2:$A$701,P4000)))</f>
        <v/>
      </c>
      <c r="D4000">
        <f>IF(OR(H4000="",P4000=""),"",INDEX('Students'!$B$2:$B$701,P4000))</f>
        <v/>
      </c>
      <c r="E4000">
        <f>IF(OR(H4000="",P4000=""),"",INDEX('Students'!$C$2:$C$701,P4000))</f>
        <v/>
      </c>
      <c r="F4000" s="48">
        <f>IF(H4000="","",IF(ISNUMBER(O4000),O4000,J4000))</f>
        <v/>
      </c>
      <c r="G4000">
        <f>IF(H4000="","",M4000)</f>
        <v/>
      </c>
      <c r="H4000">
        <f>IF(AND(I4000="",J4000="",K4000=""),"",IF(OR(NOT(ISNUMBER(O4000)),N(O4000)&lt;=0),"Bad amount",IF(NOT(ISNUMBER(N4000)),"Bad date",IF(P4000="","NAME NOT ON ROSTER","OK"))))</f>
        <v/>
      </c>
      <c r="I4000">
        <f>IF('Cash_Check'!A1000="","",'Cash_Check'!A1000)</f>
        <v/>
      </c>
      <c r="J4000">
        <f>IF('Cash_Check'!D1000="","",'Cash_Check'!D1000)</f>
        <v/>
      </c>
      <c r="K4000">
        <f>TRIM('Cash_Check'!B1000)</f>
        <v/>
      </c>
      <c r="M4000">
        <f>IF(TRIM('Cash_Check'!E1000)="","Cash/check",TRIM('Cash_Check'!E1000))</f>
        <v/>
      </c>
      <c r="N4000">
        <f>IF(I4000="","",IF(ISNUMBER(I4000),INT(I4000),IFERROR(INT(DATEVALUE(I4000)),IFERROR(INT(VALUE(I4000)),"bad"))))</f>
        <v/>
      </c>
      <c r="O4000">
        <f>IF(J4000="","",IF(ISNUMBER(J4000),ROUND(J4000,2),IFERROR(ROUND(VALUE(SUBSTITUTE(SUBSTITUTE(SUBSTITUTE(J4000,"$",""),",","")," ","")),2),"bad")))</f>
        <v/>
      </c>
      <c r="P4000">
        <f>IF(K4000="","",IFERROR(MATCH(IF(ISNUMBER(FIND("#",K4000)),TRIM(MID(K4000,FIND("#",K4000)+1,20)),UPPER(K4000)),'Students'!$AD$2:$AD$701,0),""))</f>
        <v/>
      </c>
      <c r="R4000">
        <f>IF(P4000="","",INDEX('Students'!$AD$2:$AD$701,P4000))</f>
        <v/>
      </c>
      <c r="S4000">
        <f>IF(H4000="OK",O4000,0)</f>
        <v/>
      </c>
      <c r="T4000">
        <f>IF(H4000="OK",N4000,"")</f>
        <v/>
      </c>
      <c r="U4000">
        <f>TRIM('Cash_Check'!C1000)</f>
        <v/>
      </c>
    </row>
    <row r="4001">
      <c r="A4001" s="62">
        <f>IF(H4001="","",IF(ISNUMBER(N4001),N4001,I4001))</f>
        <v/>
      </c>
      <c r="B4001">
        <f>IF(H4001="","",U4001)</f>
        <v/>
      </c>
      <c r="C4001">
        <f>IF(H4001="","",IF(P4001="",K4001,INDEX('Students'!$A$2:$A$701,P4001)))</f>
        <v/>
      </c>
      <c r="D4001">
        <f>IF(OR(H4001="",P4001=""),"",INDEX('Students'!$B$2:$B$701,P4001))</f>
        <v/>
      </c>
      <c r="E4001">
        <f>IF(OR(H4001="",P4001=""),"",INDEX('Students'!$C$2:$C$701,P4001))</f>
        <v/>
      </c>
      <c r="F4001" s="48">
        <f>IF(H4001="","",IF(ISNUMBER(O4001),O4001,J4001))</f>
        <v/>
      </c>
      <c r="G4001">
        <f>IF(H4001="","",M4001)</f>
        <v/>
      </c>
      <c r="H4001">
        <f>IF(AND(I4001="",J4001="",K4001=""),"",IF(OR(NOT(ISNUMBER(O4001)),N(O4001)&lt;=0),"Bad amount",IF(NOT(ISNUMBER(N4001)),"Bad date",IF(P4001="","NAME NOT ON ROSTER","OK"))))</f>
        <v/>
      </c>
      <c r="I4001">
        <f>IF('Cash_Check'!A1001="","",'Cash_Check'!A1001)</f>
        <v/>
      </c>
      <c r="J4001">
        <f>IF('Cash_Check'!D1001="","",'Cash_Check'!D1001)</f>
        <v/>
      </c>
      <c r="K4001">
        <f>TRIM('Cash_Check'!B1001)</f>
        <v/>
      </c>
      <c r="M4001">
        <f>IF(TRIM('Cash_Check'!E1001)="","Cash/check",TRIM('Cash_Check'!E1001))</f>
        <v/>
      </c>
      <c r="N4001">
        <f>IF(I4001="","",IF(ISNUMBER(I4001),INT(I4001),IFERROR(INT(DATEVALUE(I4001)),IFERROR(INT(VALUE(I4001)),"bad"))))</f>
        <v/>
      </c>
      <c r="O4001">
        <f>IF(J4001="","",IF(ISNUMBER(J4001),ROUND(J4001,2),IFERROR(ROUND(VALUE(SUBSTITUTE(SUBSTITUTE(SUBSTITUTE(J4001,"$",""),",","")," ","")),2),"bad")))</f>
        <v/>
      </c>
      <c r="P4001">
        <f>IF(K4001="","",IFERROR(MATCH(IF(ISNUMBER(FIND("#",K4001)),TRIM(MID(K4001,FIND("#",K4001)+1,20)),UPPER(K4001)),'Students'!$AD$2:$AD$701,0),""))</f>
        <v/>
      </c>
      <c r="R4001">
        <f>IF(P4001="","",INDEX('Students'!$AD$2:$AD$701,P4001))</f>
        <v/>
      </c>
      <c r="S4001">
        <f>IF(H4001="OK",O4001,0)</f>
        <v/>
      </c>
      <c r="T4001">
        <f>IF(H4001="OK",N4001,"")</f>
        <v/>
      </c>
      <c r="U4001">
        <f>TRIM('Cash_Check'!C1001)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H4001"/>
  <conditionalFormatting sqref="A2:H4001">
    <cfRule type="expression" priority="1" dxfId="4">
      <formula>AND($H2&lt;&gt;"",$H2&lt;&gt;"OK",LEFT($H2,9)&lt;&gt;"Duplicate")</formula>
    </cfRule>
    <cfRule type="expression" priority="2" dxfId="1">
      <formula>$H2&lt;&gt;""</formula>
    </cfRule>
  </conditionalFormatting>
  <pageMargins left="0.75" right="0.75" top="1" bottom="1" header="0.5" footer="0.5"/>
  <pageSetup orientation="landscape" fitToHeight="0" fitToWidth="1"/>
  <headerFooter>
    <oddHeader/>
    <oddFooter>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F2B705"/>
    <outlinePr summaryBelow="1" summaryRight="1"/>
    <pageSetUpPr/>
  </sheetPr>
  <dimension ref="B1:C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0" customWidth="1" min="3" max="3"/>
  </cols>
  <sheetData>
    <row r="1" ht="30" customHeight="1">
      <c r="B1" s="63" t="inlineStr">
        <is>
          <t>HOW TO USE (about 5 minutes a day)</t>
        </is>
      </c>
    </row>
    <row r="3" ht="32" customHeight="1">
      <c r="B3" s="64" t="inlineStr">
        <is>
          <t>Setup</t>
        </is>
      </c>
      <c r="C3" s="65" t="inlineStr">
        <is>
          <t>Settings: check goal and dates. Roster: paste First, Last, Grade, Teacher starting at B2 (IDs in column A are fixed).</t>
        </is>
      </c>
    </row>
    <row r="4" ht="32" customHeight="1">
      <c r="B4" s="64" t="inlineStr">
        <is>
          <t>1</t>
        </is>
      </c>
      <c r="C4" s="65" t="inlineStr">
        <is>
          <t>OneCause_Paste: click A1, Ctrl+A, Delete, then paste the full OneCause export at A1.</t>
        </is>
      </c>
    </row>
    <row r="5" ht="32" customHeight="1">
      <c r="B5" s="64" t="inlineStr">
        <is>
          <t>2</t>
        </is>
      </c>
      <c r="C5" s="65" t="inlineStr">
        <is>
          <t>Cash_Check: one row per cash/check gift (date, pick the student, amount).</t>
        </is>
      </c>
    </row>
    <row r="6" ht="32" customHeight="1">
      <c r="B6" s="64" t="inlineStr">
        <is>
          <t>3</t>
        </is>
      </c>
      <c r="C6" s="65" t="inlineStr">
        <is>
          <t>All Donations: rows in red need a fix. NAME NOT ON ROSTER → type the name exactly as OneCause spells it in Roster column F.</t>
        </is>
      </c>
    </row>
    <row r="7" ht="32" customHeight="1">
      <c r="B7" s="64" t="inlineStr">
        <is>
          <t>4</t>
        </is>
      </c>
      <c r="C7" s="65" t="inlineStr">
        <is>
          <t>Daily Challenges: each day's winner is calculated for you (details below the table).</t>
        </is>
      </c>
    </row>
    <row r="8" ht="32" customHeight="1">
      <c r="B8" s="64" t="inlineStr">
        <is>
          <t>5</t>
        </is>
      </c>
      <c r="C8" s="65" t="inlineStr">
        <is>
          <t>Save. Put the Dashboard tab on the TV (Ctrl+F1 hides the ribbon).</t>
        </is>
      </c>
    </row>
    <row r="9" ht="32" customHeight="1">
      <c r="B9" s="64" t="inlineStr">
        <is>
          <t>Look up</t>
        </is>
      </c>
      <c r="C9" s="65" t="inlineStr">
        <is>
          <t>Who donated → All Donations   •   teacher/class &amp; grade → By Class   •   by day → By Day   •   each student → Students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">
    <mergeCell ref="B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F6FD0"/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2" customWidth="1" min="3" max="3"/>
    <col width="12" customWidth="1" min="4" max="4"/>
    <col width="40" customWidth="1" min="5" max="5"/>
    <col width="14" customWidth="1" min="6" max="6"/>
    <col width="52" customWidth="1" min="7" max="7"/>
    <col hidden="1" width="13" customWidth="1" min="10" max="10"/>
    <col hidden="1" width="13" customWidth="1" min="11" max="11"/>
  </cols>
  <sheetData>
    <row r="1" ht="30" customHeight="1">
      <c r="A1" s="31" t="inlineStr">
        <is>
          <t>SETTINGS</t>
        </is>
      </c>
    </row>
    <row r="2">
      <c r="A2" s="32" t="inlineStr">
        <is>
          <t>Sand cells are editable.</t>
        </is>
      </c>
    </row>
    <row r="3">
      <c r="A3" s="34" t="inlineStr">
        <is>
          <t>School</t>
        </is>
      </c>
      <c r="B3" s="66" t="inlineStr">
        <is>
          <t>San Juan del Rio Catholic School</t>
        </is>
      </c>
      <c r="J3" t="inlineStr">
        <is>
          <t>P3</t>
        </is>
      </c>
      <c r="K3" t="inlineStr">
        <is>
          <t>Cash</t>
        </is>
      </c>
    </row>
    <row r="4">
      <c r="A4" s="34" t="inlineStr">
        <is>
          <t>Campaign name</t>
        </is>
      </c>
      <c r="B4" s="66" t="inlineStr">
        <is>
          <t>Saints Run Wild</t>
        </is>
      </c>
      <c r="J4" t="inlineStr">
        <is>
          <t>P4</t>
        </is>
      </c>
      <c r="K4" t="inlineStr">
        <is>
          <t>Check</t>
        </is>
      </c>
    </row>
    <row r="5">
      <c r="A5" s="34" t="inlineStr">
        <is>
          <t>Year</t>
        </is>
      </c>
      <c r="B5" s="67" t="n">
        <v>2026</v>
      </c>
      <c r="J5" t="inlineStr">
        <is>
          <t>K</t>
        </is>
      </c>
      <c r="K5" t="inlineStr">
        <is>
          <t>Other</t>
        </is>
      </c>
    </row>
    <row r="6">
      <c r="A6" s="34" t="inlineStr">
        <is>
          <t>Goal ($)</t>
        </is>
      </c>
      <c r="B6" s="68" t="n">
        <v>65000</v>
      </c>
      <c r="J6" t="inlineStr">
        <is>
          <t>1</t>
        </is>
      </c>
    </row>
    <row r="7">
      <c r="A7" s="34" t="inlineStr">
        <is>
          <t>Stretch goal ($)</t>
        </is>
      </c>
      <c r="B7" s="68" t="n">
        <v>60000</v>
      </c>
      <c r="J7" t="inlineStr">
        <is>
          <t>2</t>
        </is>
      </c>
    </row>
    <row r="8">
      <c r="A8" s="34" t="inlineStr">
        <is>
          <t>Stretch goal prize</t>
        </is>
      </c>
      <c r="B8" s="66" t="inlineStr">
        <is>
          <t>Father Peter &amp; Mrs. Rhodes get SLIMED!</t>
        </is>
      </c>
      <c r="J8" t="inlineStr">
        <is>
          <t>3</t>
        </is>
      </c>
    </row>
    <row r="9">
      <c r="A9" s="34" t="inlineStr">
        <is>
          <t>First day</t>
        </is>
      </c>
      <c r="B9" s="69" t="n">
        <v>46325</v>
      </c>
      <c r="J9" t="inlineStr">
        <is>
          <t>4</t>
        </is>
      </c>
    </row>
    <row r="10">
      <c r="A10" s="34" t="inlineStr">
        <is>
          <t>Last day (Fun Run)</t>
        </is>
      </c>
      <c r="B10" s="69" t="n">
        <v>46339</v>
      </c>
      <c r="J10" t="inlineStr">
        <is>
          <t>5</t>
        </is>
      </c>
    </row>
    <row r="11">
      <c r="A11" s="34" t="inlineStr">
        <is>
          <t>'As of' date (leave blank)</t>
        </is>
      </c>
      <c r="B11" s="69" t="n">
        <v>46339</v>
      </c>
      <c r="J11" t="inlineStr">
        <is>
          <t>6</t>
        </is>
      </c>
    </row>
    <row r="12">
      <c r="J12" t="inlineStr">
        <is>
          <t>7</t>
        </is>
      </c>
    </row>
    <row r="13" ht="30" customHeight="1">
      <c r="A13" s="33" t="inlineStr">
        <is>
          <t>OneCause field</t>
        </is>
      </c>
      <c r="B13" s="33" t="inlineStr">
        <is>
          <t>Header in the export</t>
        </is>
      </c>
      <c r="C13" s="33" t="inlineStr">
        <is>
          <t>Found in col</t>
        </is>
      </c>
      <c r="D13" s="33" t="inlineStr">
        <is>
          <t>Status</t>
        </is>
      </c>
      <c r="J13" t="inlineStr">
        <is>
          <t>8</t>
        </is>
      </c>
    </row>
    <row r="14">
      <c r="A14" s="35" t="inlineStr">
        <is>
          <t>Date</t>
        </is>
      </c>
      <c r="B14" s="70" t="inlineStr">
        <is>
          <t>Transaction Date</t>
        </is>
      </c>
      <c r="C14" s="71">
        <f>IF(TRIM(B14)="",0,IFERROR(MATCH(TRIM(B14),'OneCause_Paste'!$1:$1,0),0))</f>
        <v/>
      </c>
      <c r="D14" s="72">
        <f>IF(C14&gt;0,"✔ found",IF(TRIM(B14)="","(not used)","✖ not found"))</f>
        <v/>
      </c>
    </row>
    <row r="15">
      <c r="A15" s="35" t="inlineStr">
        <is>
          <t>Amount</t>
        </is>
      </c>
      <c r="B15" s="70" t="inlineStr">
        <is>
          <t>Amount</t>
        </is>
      </c>
      <c r="C15" s="71">
        <f>IF(TRIM(B15)="",0,IFERROR(MATCH(TRIM(B15),'OneCause_Paste'!$1:$1,0),0))</f>
        <v/>
      </c>
      <c r="D15" s="72">
        <f>IF(C15&gt;0,"✔ found",IF(TRIM(B15)="","(not used)","✖ not found"))</f>
        <v/>
      </c>
    </row>
    <row r="16">
      <c r="A16" s="35" t="inlineStr">
        <is>
          <t>Student name</t>
        </is>
      </c>
      <c r="B16" s="70" t="inlineStr">
        <is>
          <t>Participant Name</t>
        </is>
      </c>
      <c r="C16" s="71">
        <f>IF(TRIM(B16)="",0,IFERROR(MATCH(TRIM(B16),'OneCause_Paste'!$1:$1,0),0))</f>
        <v/>
      </c>
      <c r="D16" s="72">
        <f>IF(C16&gt;0,"✔ found",IF(TRIM(B16)="","(not used)","✖ not found"))</f>
        <v/>
      </c>
    </row>
    <row r="17">
      <c r="A17" s="35" t="inlineStr">
        <is>
          <t>Donor name</t>
        </is>
      </c>
      <c r="B17" s="70" t="inlineStr">
        <is>
          <t>Donor Name</t>
        </is>
      </c>
      <c r="C17" s="71">
        <f>IF(TRIM(B17)="",0,IFERROR(MATCH(TRIM(B17),'OneCause_Paste'!$1:$1,0),0))</f>
        <v/>
      </c>
      <c r="D17" s="72">
        <f>IF(C17&gt;0,"✔ found",IF(TRIM(B17)="","(not used)","✖ not found"))</f>
        <v/>
      </c>
    </row>
    <row r="18">
      <c r="A18" s="35" t="inlineStr">
        <is>
          <t>Transaction ID</t>
        </is>
      </c>
      <c r="B18" s="70" t="inlineStr">
        <is>
          <t>Transaction ID</t>
        </is>
      </c>
      <c r="C18" s="71">
        <f>IF(TRIM(B18)="",0,IFERROR(MATCH(TRIM(B18),'OneCause_Paste'!$1:$1,0),0))</f>
        <v/>
      </c>
      <c r="D18" s="72">
        <f>IF(C18&gt;0,"✔ found",IF(TRIM(B18)="","(not used)","✖ not found"))</f>
        <v/>
      </c>
    </row>
    <row r="19">
      <c r="A19" s="35" t="inlineStr">
        <is>
          <t>Payment type</t>
        </is>
      </c>
      <c r="B19" s="70" t="inlineStr">
        <is>
          <t>Payment Method</t>
        </is>
      </c>
      <c r="C19" s="71">
        <f>IF(TRIM(B19)="",0,IFERROR(MATCH(TRIM(B19),'OneCause_Paste'!$1:$1,0),0))</f>
        <v/>
      </c>
      <c r="D19" s="72">
        <f>IF(C19&gt;0,"✔ found",IF(TRIM(B19)="","(not used)","✖ not found"))</f>
        <v/>
      </c>
    </row>
    <row r="22" ht="30" customHeight="1">
      <c r="A22" s="33" t="inlineStr">
        <is>
          <t>Day</t>
        </is>
      </c>
      <c r="B22" s="33" t="inlineStr">
        <is>
          <t>Challenge</t>
        </is>
      </c>
      <c r="C22" s="33" t="inlineStr">
        <is>
          <t>Start</t>
        </is>
      </c>
      <c r="D22" s="33" t="inlineStr">
        <is>
          <t>End</t>
        </is>
      </c>
      <c r="E22" s="33" t="inlineStr">
        <is>
          <t>Reward</t>
        </is>
      </c>
      <c r="F22" s="33" t="inlineStr">
        <is>
          <t>Min $ / Target</t>
        </is>
      </c>
      <c r="G22" s="33" t="inlineStr">
        <is>
          <t>How it's scored</t>
        </is>
      </c>
    </row>
    <row r="23">
      <c r="A23" s="70" t="inlineStr">
        <is>
          <t>Wk1 Fri</t>
        </is>
      </c>
      <c r="B23" s="70" t="inlineStr">
        <is>
          <t>Kickoff Weekend Challenge</t>
        </is>
      </c>
      <c r="C23" s="73" t="n">
        <v>46325</v>
      </c>
      <c r="D23" s="73" t="n">
        <v>46327</v>
      </c>
      <c r="E23" s="70" t="inlineStr">
        <is>
          <t>Top class in every grade wins</t>
        </is>
      </c>
      <c r="F23" s="70" t="n"/>
      <c r="G23" s="74" t="inlineStr">
        <is>
          <t>Most $ per class, winner in each grade</t>
        </is>
      </c>
    </row>
    <row r="24">
      <c r="A24" s="70" t="inlineStr">
        <is>
          <t>Wk1 Mon</t>
        </is>
      </c>
      <c r="B24" s="70" t="inlineStr">
        <is>
          <t>Monday Blues</t>
        </is>
      </c>
      <c r="C24" s="73" t="n">
        <v>46328</v>
      </c>
      <c r="D24" s="73" t="n">
        <v>46328</v>
      </c>
      <c r="E24" s="70" t="inlineStr">
        <is>
          <t>Turn the blues into green</t>
        </is>
      </c>
      <c r="F24" s="70" t="n"/>
      <c r="G24" s="74" t="inlineStr">
        <is>
          <t>No winner to calculate</t>
        </is>
      </c>
    </row>
    <row r="25">
      <c r="A25" s="70" t="inlineStr">
        <is>
          <t>Wk1 Tue</t>
        </is>
      </c>
      <c r="B25" s="70" t="inlineStr">
        <is>
          <t>$20 Tuesday</t>
        </is>
      </c>
      <c r="C25" s="73" t="n">
        <v>46329</v>
      </c>
      <c r="D25" s="73" t="n">
        <v>46329</v>
      </c>
      <c r="E25" s="70" t="inlineStr">
        <is>
          <t>Silly string the teacher</t>
        </is>
      </c>
      <c r="F25" s="70" t="n">
        <v>20</v>
      </c>
      <c r="G25" s="74" t="inlineStr">
        <is>
          <t>Highest % of class with a gift of at least Min $ during the dates</t>
        </is>
      </c>
    </row>
    <row r="26">
      <c r="A26" s="70" t="inlineStr">
        <is>
          <t>Wk1 Wed</t>
        </is>
      </c>
      <c r="B26" s="70" t="inlineStr">
        <is>
          <t>Wild Card Wednesday</t>
        </is>
      </c>
      <c r="C26" s="73" t="n">
        <v>46330</v>
      </c>
      <c r="D26" s="73" t="n">
        <v>46330</v>
      </c>
      <c r="E26" s="70" t="inlineStr">
        <is>
          <t>10 Wild Card winners</t>
        </is>
      </c>
      <c r="F26" s="70" t="n">
        <v>10</v>
      </c>
      <c r="G26" s="74" t="inlineStr">
        <is>
          <t>Students with a gift that day are eligible; draw Target names</t>
        </is>
      </c>
    </row>
    <row r="27">
      <c r="A27" s="70" t="inlineStr">
        <is>
          <t>Wk1 Thu</t>
        </is>
      </c>
      <c r="B27" s="70" t="inlineStr">
        <is>
          <t>Classroom Showdown</t>
        </is>
      </c>
      <c r="C27" s="73" t="n">
        <v>46331</v>
      </c>
      <c r="D27" s="73" t="n">
        <v>46331</v>
      </c>
      <c r="E27" s="70" t="inlineStr">
        <is>
          <t>Doughnuts for the class, coffee for the teacher</t>
        </is>
      </c>
      <c r="F27" s="70" t="n"/>
      <c r="G27" s="74" t="inlineStr">
        <is>
          <t>Highest % of class that has donated (campaign to date)</t>
        </is>
      </c>
    </row>
    <row r="28">
      <c r="A28" s="70" t="inlineStr">
        <is>
          <t>Wk2 Fri</t>
        </is>
      </c>
      <c r="B28" s="70" t="inlineStr">
        <is>
          <t>Weekend Challenge</t>
        </is>
      </c>
      <c r="C28" s="73" t="n">
        <v>46332</v>
      </c>
      <c r="D28" s="73" t="n">
        <v>46334</v>
      </c>
      <c r="E28" s="70" t="inlineStr">
        <is>
          <t>Top fundraiser in every class pies a teacher</t>
        </is>
      </c>
      <c r="F28" s="70" t="n"/>
      <c r="G28" s="74" t="inlineStr">
        <is>
          <t>Top student $ in each class during the dates</t>
        </is>
      </c>
    </row>
    <row r="29">
      <c r="A29" s="70" t="inlineStr">
        <is>
          <t>Wk2 Mon</t>
        </is>
      </c>
      <c r="B29" s="70" t="inlineStr">
        <is>
          <t>Grade vs. Grade</t>
        </is>
      </c>
      <c r="C29" s="73" t="n">
        <v>46335</v>
      </c>
      <c r="D29" s="73" t="n">
        <v>46335</v>
      </c>
      <c r="E29" s="70" t="inlineStr">
        <is>
          <t>Pizza lunch for the winning grade</t>
        </is>
      </c>
      <c r="F29" s="70" t="n"/>
      <c r="G29" s="74" t="inlineStr">
        <is>
          <t>Grade with the most $ during the dates</t>
        </is>
      </c>
    </row>
    <row r="30">
      <c r="A30" s="70" t="inlineStr">
        <is>
          <t>Wk2 Tue</t>
        </is>
      </c>
      <c r="B30" s="70" t="inlineStr">
        <is>
          <t>50% Participation</t>
        </is>
      </c>
      <c r="C30" s="73" t="n">
        <v>46336</v>
      </c>
      <c r="D30" s="73" t="n">
        <v>46336</v>
      </c>
      <c r="E30" s="70" t="inlineStr">
        <is>
          <t>Mrs. Rhodes &amp; Mrs. Sites dress up</t>
        </is>
      </c>
      <c r="F30" s="70" t="n">
        <v>0.5</v>
      </c>
      <c r="G30" s="74" t="inlineStr">
        <is>
          <t>School participation reaches Target (0.5 = 50%)</t>
        </is>
      </c>
    </row>
    <row r="31">
      <c r="A31" s="70" t="inlineStr">
        <is>
          <t>Wk2 Wed</t>
        </is>
      </c>
      <c r="B31" s="70" t="inlineStr">
        <is>
          <t>Veterans Day (no school)</t>
        </is>
      </c>
      <c r="C31" s="73" t="n">
        <v>46337</v>
      </c>
      <c r="D31" s="73" t="n">
        <v>46337</v>
      </c>
      <c r="E31" s="70" t="inlineStr">
        <is>
          <t>Thank you, Veterans!</t>
        </is>
      </c>
      <c r="F31" s="70" t="n"/>
      <c r="G31" s="74" t="inlineStr">
        <is>
          <t>No winner to calculate</t>
        </is>
      </c>
    </row>
    <row r="32">
      <c r="A32" s="70" t="inlineStr">
        <is>
          <t>Wk2 Thu</t>
        </is>
      </c>
      <c r="B32" s="70" t="inlineStr">
        <is>
          <t>Mystery Day</t>
        </is>
      </c>
      <c r="C32" s="73" t="n">
        <v>46338</v>
      </c>
      <c r="D32" s="73" t="n">
        <v>46338</v>
      </c>
      <c r="E32" s="70" t="inlineStr">
        <is>
          <t>The final WILD push</t>
        </is>
      </c>
      <c r="F32" s="70" t="n"/>
      <c r="G32" s="74" t="inlineStr">
        <is>
          <t>No winner to calculate</t>
        </is>
      </c>
    </row>
    <row r="33">
      <c r="A33" s="70" t="inlineStr">
        <is>
          <t>Wk2 Fri</t>
        </is>
      </c>
      <c r="B33" s="70" t="inlineStr">
        <is>
          <t>Run Wild Fun Run!</t>
        </is>
      </c>
      <c r="C33" s="73" t="n">
        <v>46339</v>
      </c>
      <c r="D33" s="73" t="n">
        <v>46339</v>
      </c>
      <c r="E33" s="70" t="inlineStr">
        <is>
          <t>Celebrate!</t>
        </is>
      </c>
      <c r="F33" s="70" t="n"/>
      <c r="G33" s="74" t="inlineStr">
        <is>
          <t>No winner to calculate</t>
        </is>
      </c>
    </row>
    <row r="34">
      <c r="A34" s="70" t="inlineStr">
        <is>
          <t>All</t>
        </is>
      </c>
      <c r="B34" s="70" t="inlineStr">
        <is>
          <t>Ultimate Wild Goal</t>
        </is>
      </c>
      <c r="C34" s="73" t="n">
        <v>46325</v>
      </c>
      <c r="D34" s="73" t="n">
        <v>46339</v>
      </c>
      <c r="E34" s="70" t="inlineStr">
        <is>
          <t>Father Peter &amp; Mrs. Rhodes get SLIMED</t>
        </is>
      </c>
      <c r="F34" s="70" t="n">
        <v>60000</v>
      </c>
      <c r="G34" s="74" t="inlineStr">
        <is>
          <t>School total reaches Target $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F6FD0"/>
    <outlinePr summaryBelow="1" summaryRight="1"/>
    <pageSetUpPr/>
  </sheetPr>
  <dimension ref="A1:G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8" customWidth="1" min="4" max="4"/>
    <col width="22" customWidth="1" min="5" max="5"/>
    <col width="30" customWidth="1" min="6" max="6"/>
    <col width="26" customWidth="1" min="7" max="7"/>
  </cols>
  <sheetData>
    <row r="1" ht="30" customHeight="1">
      <c r="A1" s="33" t="inlineStr">
        <is>
          <t>ID</t>
        </is>
      </c>
      <c r="B1" s="33" t="inlineStr">
        <is>
          <t>First name</t>
        </is>
      </c>
      <c r="C1" s="33" t="inlineStr">
        <is>
          <t>Last name</t>
        </is>
      </c>
      <c r="D1" s="33" t="inlineStr">
        <is>
          <t>Grade</t>
        </is>
      </c>
      <c r="E1" s="33" t="inlineStr">
        <is>
          <t>Teacher</t>
        </is>
      </c>
      <c r="F1" s="33" t="inlineStr">
        <is>
          <t>OneCause name (only if different)</t>
        </is>
      </c>
      <c r="G1" s="33" t="inlineStr">
        <is>
          <t>Class (auto)</t>
        </is>
      </c>
    </row>
    <row r="2">
      <c r="A2" s="75" t="inlineStr">
        <is>
          <t>S0001</t>
        </is>
      </c>
      <c r="B2" s="76" t="inlineStr">
        <is>
          <t>Diego</t>
        </is>
      </c>
      <c r="C2" s="76" t="inlineStr">
        <is>
          <t>Morales</t>
        </is>
      </c>
      <c r="D2" s="77" t="inlineStr">
        <is>
          <t>P3</t>
        </is>
      </c>
      <c r="E2" s="76" t="inlineStr">
        <is>
          <t>Ms. Alvarez</t>
        </is>
      </c>
      <c r="F2" s="76" t="n"/>
      <c r="G2" s="75">
        <f>IF(TRIM(E2)="","",TRIM(E2)&amp;" – "&amp;D2)</f>
        <v/>
      </c>
    </row>
    <row r="3">
      <c r="A3" s="75" t="inlineStr">
        <is>
          <t>S0002</t>
        </is>
      </c>
      <c r="B3" s="76" t="inlineStr">
        <is>
          <t>Nora</t>
        </is>
      </c>
      <c r="C3" s="76" t="inlineStr">
        <is>
          <t>Patel</t>
        </is>
      </c>
      <c r="D3" s="77" t="inlineStr">
        <is>
          <t>P3</t>
        </is>
      </c>
      <c r="E3" s="76" t="inlineStr">
        <is>
          <t>Ms. Alvarez</t>
        </is>
      </c>
      <c r="F3" s="76" t="n"/>
      <c r="G3" s="75">
        <f>IF(TRIM(E3)="","",TRIM(E3)&amp;" – "&amp;D3)</f>
        <v/>
      </c>
    </row>
    <row r="4">
      <c r="A4" s="75" t="inlineStr">
        <is>
          <t>S0003</t>
        </is>
      </c>
      <c r="B4" s="76" t="inlineStr">
        <is>
          <t>Thomas</t>
        </is>
      </c>
      <c r="C4" s="76" t="inlineStr">
        <is>
          <t>Williams</t>
        </is>
      </c>
      <c r="D4" s="77" t="inlineStr">
        <is>
          <t>P3</t>
        </is>
      </c>
      <c r="E4" s="76" t="inlineStr">
        <is>
          <t>Ms. Alvarez</t>
        </is>
      </c>
      <c r="F4" s="76" t="n"/>
      <c r="G4" s="75">
        <f>IF(TRIM(E4)="","",TRIM(E4)&amp;" – "&amp;D4)</f>
        <v/>
      </c>
    </row>
    <row r="5">
      <c r="A5" s="75" t="inlineStr">
        <is>
          <t>S0004</t>
        </is>
      </c>
      <c r="B5" s="76" t="inlineStr">
        <is>
          <t>Mia</t>
        </is>
      </c>
      <c r="C5" s="76" t="inlineStr">
        <is>
          <t>Byrne</t>
        </is>
      </c>
      <c r="D5" s="77" t="inlineStr">
        <is>
          <t>P3</t>
        </is>
      </c>
      <c r="E5" s="76" t="inlineStr">
        <is>
          <t>Ms. Alvarez</t>
        </is>
      </c>
      <c r="F5" s="76" t="inlineStr">
        <is>
          <t>Bobby Tables</t>
        </is>
      </c>
      <c r="G5" s="75">
        <f>IF(TRIM(E5)="","",TRIM(E5)&amp;" – "&amp;D5)</f>
        <v/>
      </c>
    </row>
    <row r="6">
      <c r="A6" s="75" t="inlineStr">
        <is>
          <t>S0005</t>
        </is>
      </c>
      <c r="B6" s="76" t="inlineStr">
        <is>
          <t>Nicolas</t>
        </is>
      </c>
      <c r="C6" s="76" t="inlineStr">
        <is>
          <t>Sullivan</t>
        </is>
      </c>
      <c r="D6" s="77" t="inlineStr">
        <is>
          <t>P3</t>
        </is>
      </c>
      <c r="E6" s="76" t="inlineStr">
        <is>
          <t>Ms. Alvarez</t>
        </is>
      </c>
      <c r="F6" s="76" t="n"/>
      <c r="G6" s="75">
        <f>IF(TRIM(E6)="","",TRIM(E6)&amp;" – "&amp;D6)</f>
        <v/>
      </c>
    </row>
    <row r="7">
      <c r="A7" s="75" t="inlineStr">
        <is>
          <t>S0006</t>
        </is>
      </c>
      <c r="B7" s="76" t="inlineStr">
        <is>
          <t>Grace</t>
        </is>
      </c>
      <c r="C7" s="76" t="inlineStr">
        <is>
          <t>Kelly</t>
        </is>
      </c>
      <c r="D7" s="77" t="inlineStr">
        <is>
          <t>P3</t>
        </is>
      </c>
      <c r="E7" s="76" t="inlineStr">
        <is>
          <t>Ms. Alvarez</t>
        </is>
      </c>
      <c r="F7" s="76" t="n"/>
      <c r="G7" s="75">
        <f>IF(TRIM(E7)="","",TRIM(E7)&amp;" – "&amp;D7)</f>
        <v/>
      </c>
    </row>
    <row r="8">
      <c r="A8" s="75" t="inlineStr">
        <is>
          <t>S0007</t>
        </is>
      </c>
      <c r="B8" s="76" t="inlineStr">
        <is>
          <t>Adrian</t>
        </is>
      </c>
      <c r="C8" s="76" t="inlineStr">
        <is>
          <t>Nguyen</t>
        </is>
      </c>
      <c r="D8" s="77" t="inlineStr">
        <is>
          <t>P3</t>
        </is>
      </c>
      <c r="E8" s="76" t="inlineStr">
        <is>
          <t>Ms. Alvarez</t>
        </is>
      </c>
      <c r="F8" s="76" t="n"/>
      <c r="G8" s="75">
        <f>IF(TRIM(E8)="","",TRIM(E8)&amp;" – "&amp;D8)</f>
        <v/>
      </c>
    </row>
    <row r="9">
      <c r="A9" s="75" t="inlineStr">
        <is>
          <t>S0008</t>
        </is>
      </c>
      <c r="B9" s="76" t="inlineStr">
        <is>
          <t>Julian</t>
        </is>
      </c>
      <c r="C9" s="76" t="inlineStr">
        <is>
          <t>Castillo</t>
        </is>
      </c>
      <c r="D9" s="77" t="inlineStr">
        <is>
          <t>P3</t>
        </is>
      </c>
      <c r="E9" s="76" t="inlineStr">
        <is>
          <t>Ms. Alvarez</t>
        </is>
      </c>
      <c r="F9" s="76" t="n"/>
      <c r="G9" s="75">
        <f>IF(TRIM(E9)="","",TRIM(E9)&amp;" – "&amp;D9)</f>
        <v/>
      </c>
    </row>
    <row r="10">
      <c r="A10" s="75" t="inlineStr">
        <is>
          <t>S0009</t>
        </is>
      </c>
      <c r="B10" s="76" t="inlineStr">
        <is>
          <t>James</t>
        </is>
      </c>
      <c r="C10" s="76" t="inlineStr">
        <is>
          <t>Garcia</t>
        </is>
      </c>
      <c r="D10" s="77" t="inlineStr">
        <is>
          <t>P3</t>
        </is>
      </c>
      <c r="E10" s="76" t="inlineStr">
        <is>
          <t>Ms. Alvarez</t>
        </is>
      </c>
      <c r="F10" s="76" t="n"/>
      <c r="G10" s="75">
        <f>IF(TRIM(E10)="","",TRIM(E10)&amp;" – "&amp;D10)</f>
        <v/>
      </c>
    </row>
    <row r="11">
      <c r="A11" s="75" t="inlineStr">
        <is>
          <t>S0010</t>
        </is>
      </c>
      <c r="B11" s="76" t="inlineStr">
        <is>
          <t>Nicolas</t>
        </is>
      </c>
      <c r="C11" s="76" t="inlineStr">
        <is>
          <t>Johnson</t>
        </is>
      </c>
      <c r="D11" s="77" t="inlineStr">
        <is>
          <t>P3</t>
        </is>
      </c>
      <c r="E11" s="76" t="inlineStr">
        <is>
          <t>Ms. Alvarez</t>
        </is>
      </c>
      <c r="F11" s="76" t="n"/>
      <c r="G11" s="75">
        <f>IF(TRIM(E11)="","",TRIM(E11)&amp;" – "&amp;D11)</f>
        <v/>
      </c>
    </row>
    <row r="12">
      <c r="A12" s="75" t="inlineStr">
        <is>
          <t>S0011</t>
        </is>
      </c>
      <c r="B12" s="76" t="inlineStr">
        <is>
          <t>Diego</t>
        </is>
      </c>
      <c r="C12" s="76" t="inlineStr">
        <is>
          <t>Reyes</t>
        </is>
      </c>
      <c r="D12" s="77" t="inlineStr">
        <is>
          <t>P3</t>
        </is>
      </c>
      <c r="E12" s="76" t="inlineStr">
        <is>
          <t>Ms. Alvarez</t>
        </is>
      </c>
      <c r="F12" s="76" t="n"/>
      <c r="G12" s="75">
        <f>IF(TRIM(E12)="","",TRIM(E12)&amp;" – "&amp;D12)</f>
        <v/>
      </c>
    </row>
    <row r="13">
      <c r="A13" s="75" t="inlineStr">
        <is>
          <t>S0012</t>
        </is>
      </c>
      <c r="B13" s="76" t="inlineStr">
        <is>
          <t>Valentina</t>
        </is>
      </c>
      <c r="C13" s="76" t="inlineStr">
        <is>
          <t>Castillo</t>
        </is>
      </c>
      <c r="D13" s="77" t="inlineStr">
        <is>
          <t>P3</t>
        </is>
      </c>
      <c r="E13" s="76" t="inlineStr">
        <is>
          <t>Ms. Alvarez</t>
        </is>
      </c>
      <c r="F13" s="76" t="n"/>
      <c r="G13" s="75">
        <f>IF(TRIM(E13)="","",TRIM(E13)&amp;" – "&amp;D13)</f>
        <v/>
      </c>
    </row>
    <row r="14">
      <c r="A14" s="75" t="inlineStr">
        <is>
          <t>S0013</t>
        </is>
      </c>
      <c r="B14" s="76" t="inlineStr">
        <is>
          <t>Sofia</t>
        </is>
      </c>
      <c r="C14" s="76" t="inlineStr">
        <is>
          <t>Nguyen</t>
        </is>
      </c>
      <c r="D14" s="77" t="inlineStr">
        <is>
          <t>P3</t>
        </is>
      </c>
      <c r="E14" s="76" t="inlineStr">
        <is>
          <t>Ms. Alvarez</t>
        </is>
      </c>
      <c r="F14" s="76" t="n"/>
      <c r="G14" s="75">
        <f>IF(TRIM(E14)="","",TRIM(E14)&amp;" – "&amp;D14)</f>
        <v/>
      </c>
    </row>
    <row r="15">
      <c r="A15" s="75" t="inlineStr">
        <is>
          <t>S0014</t>
        </is>
      </c>
      <c r="B15" s="76" t="inlineStr">
        <is>
          <t>Evelyn</t>
        </is>
      </c>
      <c r="C15" s="76" t="inlineStr">
        <is>
          <t>Torres</t>
        </is>
      </c>
      <c r="D15" s="77" t="inlineStr">
        <is>
          <t>P3</t>
        </is>
      </c>
      <c r="E15" s="76" t="inlineStr">
        <is>
          <t>Ms. Alvarez</t>
        </is>
      </c>
      <c r="F15" s="76" t="n"/>
      <c r="G15" s="75">
        <f>IF(TRIM(E15)="","",TRIM(E15)&amp;" – "&amp;D15)</f>
        <v/>
      </c>
    </row>
    <row r="16">
      <c r="A16" s="75" t="inlineStr">
        <is>
          <t>S0015</t>
        </is>
      </c>
      <c r="B16" s="76" t="inlineStr">
        <is>
          <t>Daniel</t>
        </is>
      </c>
      <c r="C16" s="76" t="inlineStr">
        <is>
          <t>Gomez</t>
        </is>
      </c>
      <c r="D16" s="77" t="inlineStr">
        <is>
          <t>P3</t>
        </is>
      </c>
      <c r="E16" s="76" t="inlineStr">
        <is>
          <t>Ms. Alvarez</t>
        </is>
      </c>
      <c r="F16" s="76" t="n"/>
      <c r="G16" s="75">
        <f>IF(TRIM(E16)="","",TRIM(E16)&amp;" – "&amp;D16)</f>
        <v/>
      </c>
    </row>
    <row r="17">
      <c r="A17" s="75" t="inlineStr">
        <is>
          <t>S0016</t>
        </is>
      </c>
      <c r="B17" s="76" t="inlineStr">
        <is>
          <t>Luna</t>
        </is>
      </c>
      <c r="C17" s="76" t="inlineStr">
        <is>
          <t>Gutierrez</t>
        </is>
      </c>
      <c r="D17" s="77" t="inlineStr">
        <is>
          <t>P3</t>
        </is>
      </c>
      <c r="E17" s="76" t="inlineStr">
        <is>
          <t>Ms. Alvarez</t>
        </is>
      </c>
      <c r="F17" s="76" t="n"/>
      <c r="G17" s="75">
        <f>IF(TRIM(E17)="","",TRIM(E17)&amp;" – "&amp;D17)</f>
        <v/>
      </c>
    </row>
    <row r="18">
      <c r="A18" s="75" t="inlineStr">
        <is>
          <t>S0017</t>
        </is>
      </c>
      <c r="B18" s="76" t="inlineStr">
        <is>
          <t>Chloe</t>
        </is>
      </c>
      <c r="C18" s="76" t="inlineStr">
        <is>
          <t>Patel</t>
        </is>
      </c>
      <c r="D18" s="77" t="inlineStr">
        <is>
          <t>P3</t>
        </is>
      </c>
      <c r="E18" s="76" t="inlineStr">
        <is>
          <t>Mrs. Bennett</t>
        </is>
      </c>
      <c r="F18" s="76" t="n"/>
      <c r="G18" s="75">
        <f>IF(TRIM(E18)="","",TRIM(E18)&amp;" – "&amp;D18)</f>
        <v/>
      </c>
    </row>
    <row r="19">
      <c r="A19" s="75" t="inlineStr">
        <is>
          <t>S0018</t>
        </is>
      </c>
      <c r="B19" s="76" t="inlineStr">
        <is>
          <t>Elena</t>
        </is>
      </c>
      <c r="C19" s="76" t="inlineStr">
        <is>
          <t>Smith</t>
        </is>
      </c>
      <c r="D19" s="77" t="inlineStr">
        <is>
          <t>P3</t>
        </is>
      </c>
      <c r="E19" s="76" t="inlineStr">
        <is>
          <t>Mrs. Bennett</t>
        </is>
      </c>
      <c r="F19" s="76" t="n"/>
      <c r="G19" s="75">
        <f>IF(TRIM(E19)="","",TRIM(E19)&amp;" – "&amp;D19)</f>
        <v/>
      </c>
    </row>
    <row r="20">
      <c r="A20" s="75" t="inlineStr">
        <is>
          <t>S0019</t>
        </is>
      </c>
      <c r="B20" s="76" t="inlineStr">
        <is>
          <t>Leo</t>
        </is>
      </c>
      <c r="C20" s="76" t="inlineStr">
        <is>
          <t>Johnson</t>
        </is>
      </c>
      <c r="D20" s="77" t="inlineStr">
        <is>
          <t>P3</t>
        </is>
      </c>
      <c r="E20" s="76" t="inlineStr">
        <is>
          <t>Mrs. Bennett</t>
        </is>
      </c>
      <c r="F20" s="76" t="n"/>
      <c r="G20" s="75">
        <f>IF(TRIM(E20)="","",TRIM(E20)&amp;" – "&amp;D20)</f>
        <v/>
      </c>
    </row>
    <row r="21">
      <c r="A21" s="75" t="inlineStr">
        <is>
          <t>S0020</t>
        </is>
      </c>
      <c r="B21" s="76" t="inlineStr">
        <is>
          <t>Adrian</t>
        </is>
      </c>
      <c r="C21" s="76" t="inlineStr">
        <is>
          <t>Murphy</t>
        </is>
      </c>
      <c r="D21" s="77" t="inlineStr">
        <is>
          <t>P3</t>
        </is>
      </c>
      <c r="E21" s="76" t="inlineStr">
        <is>
          <t>Mrs. Bennett</t>
        </is>
      </c>
      <c r="F21" s="76" t="n"/>
      <c r="G21" s="75">
        <f>IF(TRIM(E21)="","",TRIM(E21)&amp;" – "&amp;D21)</f>
        <v/>
      </c>
    </row>
    <row r="22">
      <c r="A22" s="75" t="inlineStr">
        <is>
          <t>S0021</t>
        </is>
      </c>
      <c r="B22" s="76" t="inlineStr">
        <is>
          <t>Harper</t>
        </is>
      </c>
      <c r="C22" s="76" t="inlineStr">
        <is>
          <t>Reyes</t>
        </is>
      </c>
      <c r="D22" s="77" t="inlineStr">
        <is>
          <t>P3</t>
        </is>
      </c>
      <c r="E22" s="76" t="inlineStr">
        <is>
          <t>Mrs. Bennett</t>
        </is>
      </c>
      <c r="F22" s="76" t="n"/>
      <c r="G22" s="75">
        <f>IF(TRIM(E22)="","",TRIM(E22)&amp;" – "&amp;D22)</f>
        <v/>
      </c>
    </row>
    <row r="23">
      <c r="A23" s="75" t="inlineStr">
        <is>
          <t>S0022</t>
        </is>
      </c>
      <c r="B23" s="76" t="inlineStr">
        <is>
          <t>Joseph</t>
        </is>
      </c>
      <c r="C23" s="76" t="inlineStr">
        <is>
          <t>Gonzalez</t>
        </is>
      </c>
      <c r="D23" s="77" t="inlineStr">
        <is>
          <t>P3</t>
        </is>
      </c>
      <c r="E23" s="76" t="inlineStr">
        <is>
          <t>Mrs. Bennett</t>
        </is>
      </c>
      <c r="F23" s="76" t="n"/>
      <c r="G23" s="75">
        <f>IF(TRIM(E23)="","",TRIM(E23)&amp;" – "&amp;D23)</f>
        <v/>
      </c>
    </row>
    <row r="24">
      <c r="A24" s="75" t="inlineStr">
        <is>
          <t>S0023</t>
        </is>
      </c>
      <c r="B24" s="76" t="inlineStr">
        <is>
          <t>Thomas</t>
        </is>
      </c>
      <c r="C24" s="76" t="inlineStr">
        <is>
          <t>Kelly</t>
        </is>
      </c>
      <c r="D24" s="77" t="inlineStr">
        <is>
          <t>P3</t>
        </is>
      </c>
      <c r="E24" s="76" t="inlineStr">
        <is>
          <t>Mrs. Bennett</t>
        </is>
      </c>
      <c r="F24" s="76" t="n"/>
      <c r="G24" s="75">
        <f>IF(TRIM(E24)="","",TRIM(E24)&amp;" – "&amp;D24)</f>
        <v/>
      </c>
    </row>
    <row r="25">
      <c r="A25" s="75" t="inlineStr">
        <is>
          <t>S0024</t>
        </is>
      </c>
      <c r="B25" s="76" t="inlineStr">
        <is>
          <t>Henry</t>
        </is>
      </c>
      <c r="C25" s="76" t="inlineStr">
        <is>
          <t>Martinez</t>
        </is>
      </c>
      <c r="D25" s="77" t="inlineStr">
        <is>
          <t>P3</t>
        </is>
      </c>
      <c r="E25" s="76" t="inlineStr">
        <is>
          <t>Mrs. Bennett</t>
        </is>
      </c>
      <c r="F25" s="76" t="n"/>
      <c r="G25" s="75">
        <f>IF(TRIM(E25)="","",TRIM(E25)&amp;" – "&amp;D25)</f>
        <v/>
      </c>
    </row>
    <row r="26">
      <c r="A26" s="75" t="inlineStr">
        <is>
          <t>S0025</t>
        </is>
      </c>
      <c r="B26" s="76" t="inlineStr">
        <is>
          <t>Gabriel</t>
        </is>
      </c>
      <c r="C26" s="76" t="inlineStr">
        <is>
          <t>Chavez</t>
        </is>
      </c>
      <c r="D26" s="77" t="inlineStr">
        <is>
          <t>P3</t>
        </is>
      </c>
      <c r="E26" s="76" t="inlineStr">
        <is>
          <t>Mrs. Bennett</t>
        </is>
      </c>
      <c r="F26" s="76" t="n"/>
      <c r="G26" s="75">
        <f>IF(TRIM(E26)="","",TRIM(E26)&amp;" – "&amp;D26)</f>
        <v/>
      </c>
    </row>
    <row r="27">
      <c r="A27" s="75" t="inlineStr">
        <is>
          <t>S0026</t>
        </is>
      </c>
      <c r="B27" s="76" t="inlineStr">
        <is>
          <t>Joseph</t>
        </is>
      </c>
      <c r="C27" s="76" t="inlineStr">
        <is>
          <t>Mendoza</t>
        </is>
      </c>
      <c r="D27" s="77" t="inlineStr">
        <is>
          <t>P3</t>
        </is>
      </c>
      <c r="E27" s="76" t="inlineStr">
        <is>
          <t>Mrs. Bennett</t>
        </is>
      </c>
      <c r="F27" s="76" t="n"/>
      <c r="G27" s="75">
        <f>IF(TRIM(E27)="","",TRIM(E27)&amp;" – "&amp;D27)</f>
        <v/>
      </c>
    </row>
    <row r="28">
      <c r="A28" s="75" t="inlineStr">
        <is>
          <t>S0027</t>
        </is>
      </c>
      <c r="B28" s="76" t="inlineStr">
        <is>
          <t>Lucas</t>
        </is>
      </c>
      <c r="C28" s="76" t="inlineStr">
        <is>
          <t>Ruiz</t>
        </is>
      </c>
      <c r="D28" s="77" t="inlineStr">
        <is>
          <t>P3</t>
        </is>
      </c>
      <c r="E28" s="76" t="inlineStr">
        <is>
          <t>Mrs. Bennett</t>
        </is>
      </c>
      <c r="F28" s="76" t="n"/>
      <c r="G28" s="75">
        <f>IF(TRIM(E28)="","",TRIM(E28)&amp;" – "&amp;D28)</f>
        <v/>
      </c>
    </row>
    <row r="29">
      <c r="A29" s="75" t="inlineStr">
        <is>
          <t>S0028</t>
        </is>
      </c>
      <c r="B29" s="76" t="inlineStr">
        <is>
          <t>Julian</t>
        </is>
      </c>
      <c r="C29" s="76" t="inlineStr">
        <is>
          <t>Sullivan</t>
        </is>
      </c>
      <c r="D29" s="77" t="inlineStr">
        <is>
          <t>P3</t>
        </is>
      </c>
      <c r="E29" s="76" t="inlineStr">
        <is>
          <t>Mrs. Bennett</t>
        </is>
      </c>
      <c r="F29" s="76" t="n"/>
      <c r="G29" s="75">
        <f>IF(TRIM(E29)="","",TRIM(E29)&amp;" – "&amp;D29)</f>
        <v/>
      </c>
    </row>
    <row r="30">
      <c r="A30" s="75" t="inlineStr">
        <is>
          <t>S0029</t>
        </is>
      </c>
      <c r="B30" s="76" t="inlineStr">
        <is>
          <t>David</t>
        </is>
      </c>
      <c r="C30" s="76" t="inlineStr">
        <is>
          <t>Brown</t>
        </is>
      </c>
      <c r="D30" s="77" t="inlineStr">
        <is>
          <t>P3</t>
        </is>
      </c>
      <c r="E30" s="76" t="inlineStr">
        <is>
          <t>Mrs. Bennett</t>
        </is>
      </c>
      <c r="F30" s="76" t="n"/>
      <c r="G30" s="75">
        <f>IF(TRIM(E30)="","",TRIM(E30)&amp;" – "&amp;D30)</f>
        <v/>
      </c>
    </row>
    <row r="31">
      <c r="A31" s="75" t="inlineStr">
        <is>
          <t>S0030</t>
        </is>
      </c>
      <c r="B31" s="76" t="inlineStr">
        <is>
          <t>Samuel</t>
        </is>
      </c>
      <c r="C31" s="76" t="inlineStr">
        <is>
          <t>Patel</t>
        </is>
      </c>
      <c r="D31" s="77" t="inlineStr">
        <is>
          <t>P3</t>
        </is>
      </c>
      <c r="E31" s="76" t="inlineStr">
        <is>
          <t>Mrs. Bennett</t>
        </is>
      </c>
      <c r="F31" s="76" t="n"/>
      <c r="G31" s="75">
        <f>IF(TRIM(E31)="","",TRIM(E31)&amp;" – "&amp;D31)</f>
        <v/>
      </c>
    </row>
    <row r="32">
      <c r="A32" s="75" t="inlineStr">
        <is>
          <t>S0031</t>
        </is>
      </c>
      <c r="B32" s="76" t="inlineStr">
        <is>
          <t>Maya</t>
        </is>
      </c>
      <c r="C32" s="76" t="inlineStr">
        <is>
          <t>Nguyen</t>
        </is>
      </c>
      <c r="D32" s="77" t="inlineStr">
        <is>
          <t>P3</t>
        </is>
      </c>
      <c r="E32" s="76" t="inlineStr">
        <is>
          <t>Mrs. Bennett</t>
        </is>
      </c>
      <c r="F32" s="76" t="n"/>
      <c r="G32" s="75">
        <f>IF(TRIM(E32)="","",TRIM(E32)&amp;" – "&amp;D32)</f>
        <v/>
      </c>
    </row>
    <row r="33">
      <c r="A33" s="75" t="inlineStr">
        <is>
          <t>S0032</t>
        </is>
      </c>
      <c r="B33" s="76" t="inlineStr">
        <is>
          <t>Daniel</t>
        </is>
      </c>
      <c r="C33" s="76" t="inlineStr">
        <is>
          <t>O'Brien</t>
        </is>
      </c>
      <c r="D33" s="77" t="inlineStr">
        <is>
          <t>P3</t>
        </is>
      </c>
      <c r="E33" s="76" t="inlineStr">
        <is>
          <t>Mrs. Bennett</t>
        </is>
      </c>
      <c r="F33" s="76" t="n"/>
      <c r="G33" s="75">
        <f>IF(TRIM(E33)="","",TRIM(E33)&amp;" – "&amp;D33)</f>
        <v/>
      </c>
    </row>
    <row r="34">
      <c r="A34" s="75" t="inlineStr">
        <is>
          <t>S0033</t>
        </is>
      </c>
      <c r="B34" s="76" t="inlineStr">
        <is>
          <t>Amelia</t>
        </is>
      </c>
      <c r="C34" s="76" t="inlineStr">
        <is>
          <t>Alvarez</t>
        </is>
      </c>
      <c r="D34" s="77" t="inlineStr">
        <is>
          <t>P4</t>
        </is>
      </c>
      <c r="E34" s="76" t="inlineStr">
        <is>
          <t>Mr. Carter</t>
        </is>
      </c>
      <c r="F34" s="76" t="n"/>
      <c r="G34" s="75">
        <f>IF(TRIM(E34)="","",TRIM(E34)&amp;" – "&amp;D34)</f>
        <v/>
      </c>
    </row>
    <row r="35">
      <c r="A35" s="75" t="inlineStr">
        <is>
          <t>S0034</t>
        </is>
      </c>
      <c r="B35" s="76" t="inlineStr">
        <is>
          <t>Ella</t>
        </is>
      </c>
      <c r="C35" s="76" t="inlineStr">
        <is>
          <t>Kim</t>
        </is>
      </c>
      <c r="D35" s="77" t="inlineStr">
        <is>
          <t>P4</t>
        </is>
      </c>
      <c r="E35" s="76" t="inlineStr">
        <is>
          <t>Mr. Carter</t>
        </is>
      </c>
      <c r="F35" s="76" t="n"/>
      <c r="G35" s="75">
        <f>IF(TRIM(E35)="","",TRIM(E35)&amp;" – "&amp;D35)</f>
        <v/>
      </c>
    </row>
    <row r="36">
      <c r="A36" s="75" t="inlineStr">
        <is>
          <t>S0035</t>
        </is>
      </c>
      <c r="B36" s="76" t="inlineStr">
        <is>
          <t>Nora</t>
        </is>
      </c>
      <c r="C36" s="76" t="inlineStr">
        <is>
          <t>O'Brien</t>
        </is>
      </c>
      <c r="D36" s="77" t="inlineStr">
        <is>
          <t>P4</t>
        </is>
      </c>
      <c r="E36" s="76" t="inlineStr">
        <is>
          <t>Mr. Carter</t>
        </is>
      </c>
      <c r="F36" s="76" t="n"/>
      <c r="G36" s="75">
        <f>IF(TRIM(E36)="","",TRIM(E36)&amp;" – "&amp;D36)</f>
        <v/>
      </c>
    </row>
    <row r="37">
      <c r="A37" s="75" t="inlineStr">
        <is>
          <t>S0036</t>
        </is>
      </c>
      <c r="B37" s="76" t="inlineStr">
        <is>
          <t>Mateo</t>
        </is>
      </c>
      <c r="C37" s="76" t="inlineStr">
        <is>
          <t>Kelly</t>
        </is>
      </c>
      <c r="D37" s="77" t="inlineStr">
        <is>
          <t>P4</t>
        </is>
      </c>
      <c r="E37" s="76" t="inlineStr">
        <is>
          <t>Mr. Carter</t>
        </is>
      </c>
      <c r="F37" s="76" t="n"/>
      <c r="G37" s="75">
        <f>IF(TRIM(E37)="","",TRIM(E37)&amp;" – "&amp;D37)</f>
        <v/>
      </c>
    </row>
    <row r="38">
      <c r="A38" s="75" t="inlineStr">
        <is>
          <t>S0037</t>
        </is>
      </c>
      <c r="B38" s="76" t="inlineStr">
        <is>
          <t>Mia</t>
        </is>
      </c>
      <c r="C38" s="76" t="inlineStr">
        <is>
          <t>Rodriguez</t>
        </is>
      </c>
      <c r="D38" s="77" t="inlineStr">
        <is>
          <t>P4</t>
        </is>
      </c>
      <c r="E38" s="76" t="inlineStr">
        <is>
          <t>Mr. Carter</t>
        </is>
      </c>
      <c r="F38" s="76" t="n"/>
      <c r="G38" s="75">
        <f>IF(TRIM(E38)="","",TRIM(E38)&amp;" – "&amp;D38)</f>
        <v/>
      </c>
    </row>
    <row r="39">
      <c r="A39" s="75" t="inlineStr">
        <is>
          <t>S0038</t>
        </is>
      </c>
      <c r="B39" s="76" t="inlineStr">
        <is>
          <t>Santiago</t>
        </is>
      </c>
      <c r="C39" s="76" t="inlineStr">
        <is>
          <t>O'Brien</t>
        </is>
      </c>
      <c r="D39" s="77" t="inlineStr">
        <is>
          <t>P4</t>
        </is>
      </c>
      <c r="E39" s="76" t="inlineStr">
        <is>
          <t>Mr. Carter</t>
        </is>
      </c>
      <c r="F39" s="76" t="n"/>
      <c r="G39" s="75">
        <f>IF(TRIM(E39)="","",TRIM(E39)&amp;" – "&amp;D39)</f>
        <v/>
      </c>
    </row>
    <row r="40">
      <c r="A40" s="75" t="inlineStr">
        <is>
          <t>S0039</t>
        </is>
      </c>
      <c r="B40" s="76" t="inlineStr">
        <is>
          <t>Clara</t>
        </is>
      </c>
      <c r="C40" s="76" t="inlineStr">
        <is>
          <t>Williams</t>
        </is>
      </c>
      <c r="D40" s="77" t="inlineStr">
        <is>
          <t>P4</t>
        </is>
      </c>
      <c r="E40" s="76" t="inlineStr">
        <is>
          <t>Mr. Carter</t>
        </is>
      </c>
      <c r="F40" s="76" t="n"/>
      <c r="G40" s="75">
        <f>IF(TRIM(E40)="","",TRIM(E40)&amp;" – "&amp;D40)</f>
        <v/>
      </c>
    </row>
    <row r="41">
      <c r="A41" s="75" t="inlineStr">
        <is>
          <t>S0040</t>
        </is>
      </c>
      <c r="B41" s="76" t="inlineStr">
        <is>
          <t>Nicolas</t>
        </is>
      </c>
      <c r="C41" s="76" t="inlineStr">
        <is>
          <t>Mendoza</t>
        </is>
      </c>
      <c r="D41" s="77" t="inlineStr">
        <is>
          <t>P4</t>
        </is>
      </c>
      <c r="E41" s="76" t="inlineStr">
        <is>
          <t>Mr. Carter</t>
        </is>
      </c>
      <c r="F41" s="76" t="n"/>
      <c r="G41" s="75">
        <f>IF(TRIM(E41)="","",TRIM(E41)&amp;" – "&amp;D41)</f>
        <v/>
      </c>
    </row>
    <row r="42">
      <c r="A42" s="75" t="inlineStr">
        <is>
          <t>S0041</t>
        </is>
      </c>
      <c r="B42" s="76" t="inlineStr">
        <is>
          <t>Zoe</t>
        </is>
      </c>
      <c r="C42" s="76" t="inlineStr">
        <is>
          <t>Gonzalez</t>
        </is>
      </c>
      <c r="D42" s="77" t="inlineStr">
        <is>
          <t>P4</t>
        </is>
      </c>
      <c r="E42" s="76" t="inlineStr">
        <is>
          <t>Mr. Carter</t>
        </is>
      </c>
      <c r="F42" s="76" t="n"/>
      <c r="G42" s="75">
        <f>IF(TRIM(E42)="","",TRIM(E42)&amp;" – "&amp;D42)</f>
        <v/>
      </c>
    </row>
    <row r="43">
      <c r="A43" s="75" t="inlineStr">
        <is>
          <t>S0042</t>
        </is>
      </c>
      <c r="B43" s="76" t="inlineStr">
        <is>
          <t>Zoe</t>
        </is>
      </c>
      <c r="C43" s="76" t="inlineStr">
        <is>
          <t>Flores</t>
        </is>
      </c>
      <c r="D43" s="77" t="inlineStr">
        <is>
          <t>P4</t>
        </is>
      </c>
      <c r="E43" s="76" t="inlineStr">
        <is>
          <t>Mr. Carter</t>
        </is>
      </c>
      <c r="F43" s="76" t="n"/>
      <c r="G43" s="75">
        <f>IF(TRIM(E43)="","",TRIM(E43)&amp;" – "&amp;D43)</f>
        <v/>
      </c>
    </row>
    <row r="44">
      <c r="A44" s="75" t="inlineStr">
        <is>
          <t>S0043</t>
        </is>
      </c>
      <c r="B44" s="76" t="inlineStr">
        <is>
          <t>Diego</t>
        </is>
      </c>
      <c r="C44" s="76" t="inlineStr">
        <is>
          <t>Vasquez</t>
        </is>
      </c>
      <c r="D44" s="77" t="inlineStr">
        <is>
          <t>P4</t>
        </is>
      </c>
      <c r="E44" s="76" t="inlineStr">
        <is>
          <t>Mr. Carter</t>
        </is>
      </c>
      <c r="F44" s="76" t="n"/>
      <c r="G44" s="75">
        <f>IF(TRIM(E44)="","",TRIM(E44)&amp;" – "&amp;D44)</f>
        <v/>
      </c>
    </row>
    <row r="45">
      <c r="A45" s="75" t="inlineStr">
        <is>
          <t>S0044</t>
        </is>
      </c>
      <c r="B45" s="76" t="inlineStr">
        <is>
          <t>Zoe</t>
        </is>
      </c>
      <c r="C45" s="76" t="inlineStr">
        <is>
          <t>Murphy</t>
        </is>
      </c>
      <c r="D45" s="77" t="inlineStr">
        <is>
          <t>P4</t>
        </is>
      </c>
      <c r="E45" s="76" t="inlineStr">
        <is>
          <t>Mr. Carter</t>
        </is>
      </c>
      <c r="F45" s="76" t="n"/>
      <c r="G45" s="75">
        <f>IF(TRIM(E45)="","",TRIM(E45)&amp;" – "&amp;D45)</f>
        <v/>
      </c>
    </row>
    <row r="46">
      <c r="A46" s="75" t="inlineStr">
        <is>
          <t>S0045</t>
        </is>
      </c>
      <c r="B46" s="76" t="inlineStr">
        <is>
          <t>Amelia</t>
        </is>
      </c>
      <c r="C46" s="76" t="inlineStr">
        <is>
          <t>Sullivan</t>
        </is>
      </c>
      <c r="D46" s="77" t="inlineStr">
        <is>
          <t>P4</t>
        </is>
      </c>
      <c r="E46" s="76" t="inlineStr">
        <is>
          <t>Mr. Carter</t>
        </is>
      </c>
      <c r="F46" s="76" t="n"/>
      <c r="G46" s="75">
        <f>IF(TRIM(E46)="","",TRIM(E46)&amp;" – "&amp;D46)</f>
        <v/>
      </c>
    </row>
    <row r="47">
      <c r="A47" s="75" t="inlineStr">
        <is>
          <t>S0046</t>
        </is>
      </c>
      <c r="B47" s="76" t="inlineStr">
        <is>
          <t>Daniel</t>
        </is>
      </c>
      <c r="C47" s="76" t="inlineStr">
        <is>
          <t>Cruz</t>
        </is>
      </c>
      <c r="D47" s="77" t="inlineStr">
        <is>
          <t>P4</t>
        </is>
      </c>
      <c r="E47" s="76" t="inlineStr">
        <is>
          <t>Mr. Carter</t>
        </is>
      </c>
      <c r="F47" s="76" t="n"/>
      <c r="G47" s="75">
        <f>IF(TRIM(E47)="","",TRIM(E47)&amp;" – "&amp;D47)</f>
        <v/>
      </c>
    </row>
    <row r="48">
      <c r="A48" s="75" t="inlineStr">
        <is>
          <t>S0047</t>
        </is>
      </c>
      <c r="B48" s="76" t="inlineStr">
        <is>
          <t>Adrian</t>
        </is>
      </c>
      <c r="C48" s="76" t="inlineStr">
        <is>
          <t>Patel</t>
        </is>
      </c>
      <c r="D48" s="77" t="inlineStr">
        <is>
          <t>P4</t>
        </is>
      </c>
      <c r="E48" s="76" t="inlineStr">
        <is>
          <t>Mr. Carter</t>
        </is>
      </c>
      <c r="F48" s="76" t="n"/>
      <c r="G48" s="75">
        <f>IF(TRIM(E48)="","",TRIM(E48)&amp;" – "&amp;D48)</f>
        <v/>
      </c>
    </row>
    <row r="49">
      <c r="A49" s="75" t="inlineStr">
        <is>
          <t>S0048</t>
        </is>
      </c>
      <c r="B49" s="76" t="inlineStr">
        <is>
          <t>Zoe</t>
        </is>
      </c>
      <c r="C49" s="76" t="inlineStr">
        <is>
          <t>Ruiz</t>
        </is>
      </c>
      <c r="D49" s="77" t="inlineStr">
        <is>
          <t>P4</t>
        </is>
      </c>
      <c r="E49" s="76" t="inlineStr">
        <is>
          <t>Mr. Carter</t>
        </is>
      </c>
      <c r="F49" s="76" t="n"/>
      <c r="G49" s="75">
        <f>IF(TRIM(E49)="","",TRIM(E49)&amp;" – "&amp;D49)</f>
        <v/>
      </c>
    </row>
    <row r="50">
      <c r="A50" s="75" t="inlineStr">
        <is>
          <t>S0049</t>
        </is>
      </c>
      <c r="B50" s="76" t="inlineStr">
        <is>
          <t>Samuel</t>
        </is>
      </c>
      <c r="C50" s="76" t="inlineStr">
        <is>
          <t>Ramirez</t>
        </is>
      </c>
      <c r="D50" s="77" t="inlineStr">
        <is>
          <t>P4</t>
        </is>
      </c>
      <c r="E50" s="76" t="inlineStr">
        <is>
          <t>Mrs. Dominguez</t>
        </is>
      </c>
      <c r="F50" s="76" t="n"/>
      <c r="G50" s="75">
        <f>IF(TRIM(E50)="","",TRIM(E50)&amp;" – "&amp;D50)</f>
        <v/>
      </c>
    </row>
    <row r="51">
      <c r="A51" s="75" t="inlineStr">
        <is>
          <t>S0050</t>
        </is>
      </c>
      <c r="B51" s="76" t="inlineStr">
        <is>
          <t>Harper</t>
        </is>
      </c>
      <c r="C51" s="76" t="inlineStr">
        <is>
          <t>Diaz</t>
        </is>
      </c>
      <c r="D51" s="77" t="inlineStr">
        <is>
          <t>P4</t>
        </is>
      </c>
      <c r="E51" s="76" t="inlineStr">
        <is>
          <t>Mrs. Dominguez</t>
        </is>
      </c>
      <c r="F51" s="76" t="n"/>
      <c r="G51" s="75">
        <f>IF(TRIM(E51)="","",TRIM(E51)&amp;" – "&amp;D51)</f>
        <v/>
      </c>
    </row>
    <row r="52">
      <c r="A52" s="75" t="inlineStr">
        <is>
          <t>S0051</t>
        </is>
      </c>
      <c r="B52" s="76" t="inlineStr">
        <is>
          <t>Sofia</t>
        </is>
      </c>
      <c r="C52" s="76" t="inlineStr">
        <is>
          <t>Lopez</t>
        </is>
      </c>
      <c r="D52" s="77" t="inlineStr">
        <is>
          <t>P4</t>
        </is>
      </c>
      <c r="E52" s="76" t="inlineStr">
        <is>
          <t>Mrs. Dominguez</t>
        </is>
      </c>
      <c r="F52" s="76" t="n"/>
      <c r="G52" s="75">
        <f>IF(TRIM(E52)="","",TRIM(E52)&amp;" – "&amp;D52)</f>
        <v/>
      </c>
    </row>
    <row r="53">
      <c r="A53" s="75" t="inlineStr">
        <is>
          <t>S0052</t>
        </is>
      </c>
      <c r="B53" s="76" t="inlineStr">
        <is>
          <t>Liam</t>
        </is>
      </c>
      <c r="C53" s="76" t="inlineStr">
        <is>
          <t>Byrne</t>
        </is>
      </c>
      <c r="D53" s="77" t="inlineStr">
        <is>
          <t>P4</t>
        </is>
      </c>
      <c r="E53" s="76" t="inlineStr">
        <is>
          <t>Mrs. Dominguez</t>
        </is>
      </c>
      <c r="F53" s="76" t="n"/>
      <c r="G53" s="75">
        <f>IF(TRIM(E53)="","",TRIM(E53)&amp;" – "&amp;D53)</f>
        <v/>
      </c>
    </row>
    <row r="54">
      <c r="A54" s="75" t="inlineStr">
        <is>
          <t>S0053</t>
        </is>
      </c>
      <c r="B54" s="76" t="inlineStr">
        <is>
          <t>Joseph</t>
        </is>
      </c>
      <c r="C54" s="76" t="inlineStr">
        <is>
          <t>O'Brien</t>
        </is>
      </c>
      <c r="D54" s="77" t="inlineStr">
        <is>
          <t>P4</t>
        </is>
      </c>
      <c r="E54" s="76" t="inlineStr">
        <is>
          <t>Mrs. Dominguez</t>
        </is>
      </c>
      <c r="F54" s="76" t="n"/>
      <c r="G54" s="75">
        <f>IF(TRIM(E54)="","",TRIM(E54)&amp;" – "&amp;D54)</f>
        <v/>
      </c>
    </row>
    <row r="55">
      <c r="A55" s="75" t="inlineStr">
        <is>
          <t>S0054</t>
        </is>
      </c>
      <c r="B55" s="76" t="inlineStr">
        <is>
          <t>David</t>
        </is>
      </c>
      <c r="C55" s="76" t="inlineStr">
        <is>
          <t>Chavez</t>
        </is>
      </c>
      <c r="D55" s="77" t="inlineStr">
        <is>
          <t>P4</t>
        </is>
      </c>
      <c r="E55" s="76" t="inlineStr">
        <is>
          <t>Mrs. Dominguez</t>
        </is>
      </c>
      <c r="F55" s="76" t="n"/>
      <c r="G55" s="75">
        <f>IF(TRIM(E55)="","",TRIM(E55)&amp;" – "&amp;D55)</f>
        <v/>
      </c>
    </row>
    <row r="56">
      <c r="A56" s="75" t="inlineStr">
        <is>
          <t>S0055</t>
        </is>
      </c>
      <c r="B56" s="76" t="inlineStr">
        <is>
          <t>Ava</t>
        </is>
      </c>
      <c r="C56" s="76" t="inlineStr">
        <is>
          <t>Gomez</t>
        </is>
      </c>
      <c r="D56" s="77" t="inlineStr">
        <is>
          <t>P4</t>
        </is>
      </c>
      <c r="E56" s="76" t="inlineStr">
        <is>
          <t>Mrs. Dominguez</t>
        </is>
      </c>
      <c r="F56" s="76" t="n"/>
      <c r="G56" s="75">
        <f>IF(TRIM(E56)="","",TRIM(E56)&amp;" – "&amp;D56)</f>
        <v/>
      </c>
    </row>
    <row r="57">
      <c r="A57" s="75" t="inlineStr">
        <is>
          <t>S0056</t>
        </is>
      </c>
      <c r="B57" s="76" t="inlineStr">
        <is>
          <t>David</t>
        </is>
      </c>
      <c r="C57" s="76" t="inlineStr">
        <is>
          <t>Vasquez</t>
        </is>
      </c>
      <c r="D57" s="77" t="inlineStr">
        <is>
          <t>P4</t>
        </is>
      </c>
      <c r="E57" s="76" t="inlineStr">
        <is>
          <t>Mrs. Dominguez</t>
        </is>
      </c>
      <c r="F57" s="76" t="n"/>
      <c r="G57" s="75">
        <f>IF(TRIM(E57)="","",TRIM(E57)&amp;" – "&amp;D57)</f>
        <v/>
      </c>
    </row>
    <row r="58">
      <c r="A58" s="75" t="inlineStr">
        <is>
          <t>S0057</t>
        </is>
      </c>
      <c r="B58" s="76" t="inlineStr">
        <is>
          <t>Nora</t>
        </is>
      </c>
      <c r="C58" s="76" t="inlineStr">
        <is>
          <t>Nguyen</t>
        </is>
      </c>
      <c r="D58" s="77" t="inlineStr">
        <is>
          <t>P4</t>
        </is>
      </c>
      <c r="E58" s="76" t="inlineStr">
        <is>
          <t>Mrs. Dominguez</t>
        </is>
      </c>
      <c r="F58" s="76" t="n"/>
      <c r="G58" s="75">
        <f>IF(TRIM(E58)="","",TRIM(E58)&amp;" – "&amp;D58)</f>
        <v/>
      </c>
    </row>
    <row r="59">
      <c r="A59" s="75" t="inlineStr">
        <is>
          <t>S0058</t>
        </is>
      </c>
      <c r="B59" s="76" t="inlineStr">
        <is>
          <t>Samuel</t>
        </is>
      </c>
      <c r="C59" s="76" t="inlineStr">
        <is>
          <t>Sullivan</t>
        </is>
      </c>
      <c r="D59" s="77" t="inlineStr">
        <is>
          <t>P4</t>
        </is>
      </c>
      <c r="E59" s="76" t="inlineStr">
        <is>
          <t>Mrs. Dominguez</t>
        </is>
      </c>
      <c r="F59" s="76" t="n"/>
      <c r="G59" s="75">
        <f>IF(TRIM(E59)="","",TRIM(E59)&amp;" – "&amp;D59)</f>
        <v/>
      </c>
    </row>
    <row r="60">
      <c r="A60" s="75" t="inlineStr">
        <is>
          <t>S0059</t>
        </is>
      </c>
      <c r="B60" s="76" t="inlineStr">
        <is>
          <t>Clara</t>
        </is>
      </c>
      <c r="C60" s="76" t="inlineStr">
        <is>
          <t>Lopez</t>
        </is>
      </c>
      <c r="D60" s="77" t="inlineStr">
        <is>
          <t>P4</t>
        </is>
      </c>
      <c r="E60" s="76" t="inlineStr">
        <is>
          <t>Mrs. Dominguez</t>
        </is>
      </c>
      <c r="F60" s="76" t="n"/>
      <c r="G60" s="75">
        <f>IF(TRIM(E60)="","",TRIM(E60)&amp;" – "&amp;D60)</f>
        <v/>
      </c>
    </row>
    <row r="61">
      <c r="A61" s="75" t="inlineStr">
        <is>
          <t>S0060</t>
        </is>
      </c>
      <c r="B61" s="76" t="inlineStr">
        <is>
          <t>Harper</t>
        </is>
      </c>
      <c r="C61" s="76" t="inlineStr">
        <is>
          <t>Morales</t>
        </is>
      </c>
      <c r="D61" s="77" t="inlineStr">
        <is>
          <t>P4</t>
        </is>
      </c>
      <c r="E61" s="76" t="inlineStr">
        <is>
          <t>Mrs. Dominguez</t>
        </is>
      </c>
      <c r="F61" s="76" t="n"/>
      <c r="G61" s="75">
        <f>IF(TRIM(E61)="","",TRIM(E61)&amp;" – "&amp;D61)</f>
        <v/>
      </c>
    </row>
    <row r="62">
      <c r="A62" s="75" t="inlineStr">
        <is>
          <t>S0061</t>
        </is>
      </c>
      <c r="B62" s="76" t="inlineStr">
        <is>
          <t>Joseph</t>
        </is>
      </c>
      <c r="C62" s="76" t="inlineStr">
        <is>
          <t>Williams</t>
        </is>
      </c>
      <c r="D62" s="77" t="inlineStr">
        <is>
          <t>P4</t>
        </is>
      </c>
      <c r="E62" s="76" t="inlineStr">
        <is>
          <t>Mrs. Dominguez</t>
        </is>
      </c>
      <c r="F62" s="76" t="n"/>
      <c r="G62" s="75">
        <f>IF(TRIM(E62)="","",TRIM(E62)&amp;" – "&amp;D62)</f>
        <v/>
      </c>
    </row>
    <row r="63">
      <c r="A63" s="75" t="inlineStr">
        <is>
          <t>S0062</t>
        </is>
      </c>
      <c r="B63" s="76" t="inlineStr">
        <is>
          <t>Lily</t>
        </is>
      </c>
      <c r="C63" s="76" t="inlineStr">
        <is>
          <t>Patel</t>
        </is>
      </c>
      <c r="D63" s="77" t="inlineStr">
        <is>
          <t>P4</t>
        </is>
      </c>
      <c r="E63" s="76" t="inlineStr">
        <is>
          <t>Mrs. Dominguez</t>
        </is>
      </c>
      <c r="F63" s="76" t="n"/>
      <c r="G63" s="75">
        <f>IF(TRIM(E63)="","",TRIM(E63)&amp;" – "&amp;D63)</f>
        <v/>
      </c>
    </row>
    <row r="64">
      <c r="A64" s="75" t="inlineStr">
        <is>
          <t>S0063</t>
        </is>
      </c>
      <c r="B64" s="76" t="inlineStr">
        <is>
          <t>Amelia</t>
        </is>
      </c>
      <c r="C64" s="76" t="inlineStr">
        <is>
          <t>Castillo</t>
        </is>
      </c>
      <c r="D64" s="77" t="inlineStr">
        <is>
          <t>P4</t>
        </is>
      </c>
      <c r="E64" s="76" t="inlineStr">
        <is>
          <t>Mrs. Dominguez</t>
        </is>
      </c>
      <c r="F64" s="76" t="n"/>
      <c r="G64" s="75">
        <f>IF(TRIM(E64)="","",TRIM(E64)&amp;" – "&amp;D64)</f>
        <v/>
      </c>
    </row>
    <row r="65">
      <c r="A65" s="75" t="inlineStr">
        <is>
          <t>S0064</t>
        </is>
      </c>
      <c r="B65" s="76" t="inlineStr">
        <is>
          <t>Noah</t>
        </is>
      </c>
      <c r="C65" s="76" t="inlineStr">
        <is>
          <t>Mendoza</t>
        </is>
      </c>
      <c r="D65" s="77" t="inlineStr">
        <is>
          <t>P4</t>
        </is>
      </c>
      <c r="E65" s="76" t="inlineStr">
        <is>
          <t>Mrs. Dominguez</t>
        </is>
      </c>
      <c r="F65" s="76" t="n"/>
      <c r="G65" s="75">
        <f>IF(TRIM(E65)="","",TRIM(E65)&amp;" – "&amp;D65)</f>
        <v/>
      </c>
    </row>
    <row r="66">
      <c r="A66" s="75" t="inlineStr">
        <is>
          <t>S0065</t>
        </is>
      </c>
      <c r="B66" s="76" t="inlineStr">
        <is>
          <t>Zoe</t>
        </is>
      </c>
      <c r="C66" s="76" t="inlineStr">
        <is>
          <t>Smith</t>
        </is>
      </c>
      <c r="D66" s="77" t="inlineStr">
        <is>
          <t>K</t>
        </is>
      </c>
      <c r="E66" s="76" t="inlineStr">
        <is>
          <t>Ms. Ellison</t>
        </is>
      </c>
      <c r="F66" s="76" t="n"/>
      <c r="G66" s="75">
        <f>IF(TRIM(E66)="","",TRIM(E66)&amp;" – "&amp;D66)</f>
        <v/>
      </c>
    </row>
    <row r="67">
      <c r="A67" s="75" t="inlineStr">
        <is>
          <t>S0066</t>
        </is>
      </c>
      <c r="B67" s="76" t="inlineStr">
        <is>
          <t>Thomas</t>
        </is>
      </c>
      <c r="C67" s="76" t="inlineStr">
        <is>
          <t>Diaz</t>
        </is>
      </c>
      <c r="D67" s="77" t="inlineStr">
        <is>
          <t>K</t>
        </is>
      </c>
      <c r="E67" s="76" t="inlineStr">
        <is>
          <t>Ms. Ellison</t>
        </is>
      </c>
      <c r="F67" s="76" t="n"/>
      <c r="G67" s="75">
        <f>IF(TRIM(E67)="","",TRIM(E67)&amp;" – "&amp;D67)</f>
        <v/>
      </c>
    </row>
    <row r="68">
      <c r="A68" s="75" t="inlineStr">
        <is>
          <t>S0067</t>
        </is>
      </c>
      <c r="B68" s="76" t="inlineStr">
        <is>
          <t>Valentina</t>
        </is>
      </c>
      <c r="C68" s="76" t="inlineStr">
        <is>
          <t>Ramirez</t>
        </is>
      </c>
      <c r="D68" s="77" t="inlineStr">
        <is>
          <t>K</t>
        </is>
      </c>
      <c r="E68" s="76" t="inlineStr">
        <is>
          <t>Ms. Ellison</t>
        </is>
      </c>
      <c r="F68" s="76" t="n"/>
      <c r="G68" s="75">
        <f>IF(TRIM(E68)="","",TRIM(E68)&amp;" – "&amp;D68)</f>
        <v/>
      </c>
    </row>
    <row r="69">
      <c r="A69" s="75" t="inlineStr">
        <is>
          <t>S0068</t>
        </is>
      </c>
      <c r="B69" s="76" t="inlineStr">
        <is>
          <t>Grace</t>
        </is>
      </c>
      <c r="C69" s="76" t="inlineStr">
        <is>
          <t>Gonzalez</t>
        </is>
      </c>
      <c r="D69" s="77" t="inlineStr">
        <is>
          <t>K</t>
        </is>
      </c>
      <c r="E69" s="76" t="inlineStr">
        <is>
          <t>Ms. Ellison</t>
        </is>
      </c>
      <c r="F69" s="76" t="n"/>
      <c r="G69" s="75">
        <f>IF(TRIM(E69)="","",TRIM(E69)&amp;" – "&amp;D69)</f>
        <v/>
      </c>
    </row>
    <row r="70">
      <c r="A70" s="75" t="inlineStr">
        <is>
          <t>S0069</t>
        </is>
      </c>
      <c r="B70" s="76" t="inlineStr">
        <is>
          <t>Lily</t>
        </is>
      </c>
      <c r="C70" s="76" t="inlineStr">
        <is>
          <t>Garcia</t>
        </is>
      </c>
      <c r="D70" s="77" t="inlineStr">
        <is>
          <t>K</t>
        </is>
      </c>
      <c r="E70" s="76" t="inlineStr">
        <is>
          <t>Ms. Ellison</t>
        </is>
      </c>
      <c r="F70" s="76" t="n"/>
      <c r="G70" s="75">
        <f>IF(TRIM(E70)="","",TRIM(E70)&amp;" – "&amp;D70)</f>
        <v/>
      </c>
    </row>
    <row r="71">
      <c r="A71" s="75" t="inlineStr">
        <is>
          <t>S0070</t>
        </is>
      </c>
      <c r="B71" s="76" t="inlineStr">
        <is>
          <t>Lucas</t>
        </is>
      </c>
      <c r="C71" s="76" t="inlineStr">
        <is>
          <t>Garcia</t>
        </is>
      </c>
      <c r="D71" s="77" t="inlineStr">
        <is>
          <t>K</t>
        </is>
      </c>
      <c r="E71" s="76" t="inlineStr">
        <is>
          <t>Ms. Ellison</t>
        </is>
      </c>
      <c r="F71" s="76" t="n"/>
      <c r="G71" s="75">
        <f>IF(TRIM(E71)="","",TRIM(E71)&amp;" – "&amp;D71)</f>
        <v/>
      </c>
    </row>
    <row r="72">
      <c r="A72" s="75" t="inlineStr">
        <is>
          <t>S0071</t>
        </is>
      </c>
      <c r="B72" s="76" t="inlineStr">
        <is>
          <t>Lily</t>
        </is>
      </c>
      <c r="C72" s="76" t="inlineStr">
        <is>
          <t>Walsh</t>
        </is>
      </c>
      <c r="D72" s="77" t="inlineStr">
        <is>
          <t>K</t>
        </is>
      </c>
      <c r="E72" s="76" t="inlineStr">
        <is>
          <t>Ms. Ellison</t>
        </is>
      </c>
      <c r="F72" s="76" t="n"/>
      <c r="G72" s="75">
        <f>IF(TRIM(E72)="","",TRIM(E72)&amp;" – "&amp;D72)</f>
        <v/>
      </c>
    </row>
    <row r="73">
      <c r="A73" s="75" t="inlineStr">
        <is>
          <t>S0072</t>
        </is>
      </c>
      <c r="B73" s="76" t="inlineStr">
        <is>
          <t>Aria</t>
        </is>
      </c>
      <c r="C73" s="76" t="inlineStr">
        <is>
          <t>Johnson</t>
        </is>
      </c>
      <c r="D73" s="77" t="inlineStr">
        <is>
          <t>K</t>
        </is>
      </c>
      <c r="E73" s="76" t="inlineStr">
        <is>
          <t>Ms. Ellison</t>
        </is>
      </c>
      <c r="F73" s="76" t="n"/>
      <c r="G73" s="75">
        <f>IF(TRIM(E73)="","",TRIM(E73)&amp;" – "&amp;D73)</f>
        <v/>
      </c>
    </row>
    <row r="74">
      <c r="A74" s="75" t="inlineStr">
        <is>
          <t>S0073</t>
        </is>
      </c>
      <c r="B74" s="76" t="inlineStr">
        <is>
          <t>Nicolas</t>
        </is>
      </c>
      <c r="C74" s="76" t="inlineStr">
        <is>
          <t>Ramirez</t>
        </is>
      </c>
      <c r="D74" s="77" t="inlineStr">
        <is>
          <t>K</t>
        </is>
      </c>
      <c r="E74" s="76" t="inlineStr">
        <is>
          <t>Ms. Ellison</t>
        </is>
      </c>
      <c r="F74" s="76" t="n"/>
      <c r="G74" s="75">
        <f>IF(TRIM(E74)="","",TRIM(E74)&amp;" – "&amp;D74)</f>
        <v/>
      </c>
    </row>
    <row r="75">
      <c r="A75" s="75" t="inlineStr">
        <is>
          <t>S0074</t>
        </is>
      </c>
      <c r="B75" s="76" t="inlineStr">
        <is>
          <t>James</t>
        </is>
      </c>
      <c r="C75" s="76" t="inlineStr">
        <is>
          <t>Brown</t>
        </is>
      </c>
      <c r="D75" s="77" t="inlineStr">
        <is>
          <t>K</t>
        </is>
      </c>
      <c r="E75" s="76" t="inlineStr">
        <is>
          <t>Ms. Ellison</t>
        </is>
      </c>
      <c r="F75" s="76" t="n"/>
      <c r="G75" s="75">
        <f>IF(TRIM(E75)="","",TRIM(E75)&amp;" – "&amp;D75)</f>
        <v/>
      </c>
    </row>
    <row r="76">
      <c r="A76" s="75" t="inlineStr">
        <is>
          <t>S0075</t>
        </is>
      </c>
      <c r="B76" s="76" t="inlineStr">
        <is>
          <t>Nicolas</t>
        </is>
      </c>
      <c r="C76" s="76" t="inlineStr">
        <is>
          <t>Lopez</t>
        </is>
      </c>
      <c r="D76" s="77" t="inlineStr">
        <is>
          <t>K</t>
        </is>
      </c>
      <c r="E76" s="76" t="inlineStr">
        <is>
          <t>Ms. Ellison</t>
        </is>
      </c>
      <c r="F76" s="76" t="n"/>
      <c r="G76" s="75">
        <f>IF(TRIM(E76)="","",TRIM(E76)&amp;" – "&amp;D76)</f>
        <v/>
      </c>
    </row>
    <row r="77">
      <c r="A77" s="75" t="inlineStr">
        <is>
          <t>S0076</t>
        </is>
      </c>
      <c r="B77" s="76" t="inlineStr">
        <is>
          <t>Aria</t>
        </is>
      </c>
      <c r="C77" s="76" t="inlineStr">
        <is>
          <t>Diaz</t>
        </is>
      </c>
      <c r="D77" s="77" t="inlineStr">
        <is>
          <t>K</t>
        </is>
      </c>
      <c r="E77" s="76" t="inlineStr">
        <is>
          <t>Ms. Ellison</t>
        </is>
      </c>
      <c r="F77" s="76" t="n"/>
      <c r="G77" s="75">
        <f>IF(TRIM(E77)="","",TRIM(E77)&amp;" – "&amp;D77)</f>
        <v/>
      </c>
    </row>
    <row r="78">
      <c r="A78" s="75" t="inlineStr">
        <is>
          <t>S0077</t>
        </is>
      </c>
      <c r="B78" s="76" t="inlineStr">
        <is>
          <t>Clara</t>
        </is>
      </c>
      <c r="C78" s="76" t="inlineStr">
        <is>
          <t>Gutierrez</t>
        </is>
      </c>
      <c r="D78" s="77" t="inlineStr">
        <is>
          <t>K</t>
        </is>
      </c>
      <c r="E78" s="76" t="inlineStr">
        <is>
          <t>Ms. Ellison</t>
        </is>
      </c>
      <c r="F78" s="76" t="n"/>
      <c r="G78" s="75">
        <f>IF(TRIM(E78)="","",TRIM(E78)&amp;" – "&amp;D78)</f>
        <v/>
      </c>
    </row>
    <row r="79">
      <c r="A79" s="75" t="inlineStr">
        <is>
          <t>S0078</t>
        </is>
      </c>
      <c r="B79" s="76" t="inlineStr">
        <is>
          <t>Liam</t>
        </is>
      </c>
      <c r="C79" s="76" t="inlineStr">
        <is>
          <t>Garcia</t>
        </is>
      </c>
      <c r="D79" s="77" t="inlineStr">
        <is>
          <t>K</t>
        </is>
      </c>
      <c r="E79" s="76" t="inlineStr">
        <is>
          <t>Ms. Ellison</t>
        </is>
      </c>
      <c r="F79" s="76" t="n"/>
      <c r="G79" s="75">
        <f>IF(TRIM(E79)="","",TRIM(E79)&amp;" – "&amp;D79)</f>
        <v/>
      </c>
    </row>
    <row r="80">
      <c r="A80" s="75" t="inlineStr">
        <is>
          <t>S0079</t>
        </is>
      </c>
      <c r="B80" s="76" t="inlineStr">
        <is>
          <t>Evelyn</t>
        </is>
      </c>
      <c r="C80" s="76" t="inlineStr">
        <is>
          <t>Walsh</t>
        </is>
      </c>
      <c r="D80" s="77" t="inlineStr">
        <is>
          <t>K</t>
        </is>
      </c>
      <c r="E80" s="76" t="inlineStr">
        <is>
          <t>Ms. Ellison</t>
        </is>
      </c>
      <c r="F80" s="76" t="n"/>
      <c r="G80" s="75">
        <f>IF(TRIM(E80)="","",TRIM(E80)&amp;" – "&amp;D80)</f>
        <v/>
      </c>
    </row>
    <row r="81">
      <c r="A81" s="75" t="inlineStr">
        <is>
          <t>S0080</t>
        </is>
      </c>
      <c r="B81" s="76" t="inlineStr">
        <is>
          <t>Ella</t>
        </is>
      </c>
      <c r="C81" s="76" t="inlineStr">
        <is>
          <t>Nguyen</t>
        </is>
      </c>
      <c r="D81" s="77" t="inlineStr">
        <is>
          <t>K</t>
        </is>
      </c>
      <c r="E81" s="76" t="inlineStr">
        <is>
          <t>Ms. Ellison</t>
        </is>
      </c>
      <c r="F81" s="76" t="n"/>
      <c r="G81" s="75">
        <f>IF(TRIM(E81)="","",TRIM(E81)&amp;" – "&amp;D81)</f>
        <v/>
      </c>
    </row>
    <row r="82">
      <c r="A82" s="75" t="inlineStr">
        <is>
          <t>S0081</t>
        </is>
      </c>
      <c r="B82" s="76" t="inlineStr">
        <is>
          <t>Emma</t>
        </is>
      </c>
      <c r="C82" s="76" t="inlineStr">
        <is>
          <t>Murphy</t>
        </is>
      </c>
      <c r="D82" s="77" t="inlineStr">
        <is>
          <t>K</t>
        </is>
      </c>
      <c r="E82" s="76" t="inlineStr">
        <is>
          <t>Ms. Ellison</t>
        </is>
      </c>
      <c r="F82" s="76" t="n"/>
      <c r="G82" s="75">
        <f>IF(TRIM(E82)="","",TRIM(E82)&amp;" – "&amp;D82)</f>
        <v/>
      </c>
    </row>
    <row r="83">
      <c r="A83" s="75" t="inlineStr">
        <is>
          <t>S0082</t>
        </is>
      </c>
      <c r="B83" s="76" t="inlineStr">
        <is>
          <t>Mia</t>
        </is>
      </c>
      <c r="C83" s="76" t="inlineStr">
        <is>
          <t>Kim</t>
        </is>
      </c>
      <c r="D83" s="77" t="inlineStr">
        <is>
          <t>K</t>
        </is>
      </c>
      <c r="E83" s="76" t="inlineStr">
        <is>
          <t>Ms. Ellison</t>
        </is>
      </c>
      <c r="F83" s="76" t="n"/>
      <c r="G83" s="75">
        <f>IF(TRIM(E83)="","",TRIM(E83)&amp;" – "&amp;D83)</f>
        <v/>
      </c>
    </row>
    <row r="84">
      <c r="A84" s="75" t="inlineStr">
        <is>
          <t>S0083</t>
        </is>
      </c>
      <c r="B84" s="76" t="inlineStr">
        <is>
          <t>Julian</t>
        </is>
      </c>
      <c r="C84" s="76" t="inlineStr">
        <is>
          <t>Rodriguez</t>
        </is>
      </c>
      <c r="D84" s="77" t="inlineStr">
        <is>
          <t>K</t>
        </is>
      </c>
      <c r="E84" s="76" t="inlineStr">
        <is>
          <t>Ms. Ellison</t>
        </is>
      </c>
      <c r="F84" s="76" t="n"/>
      <c r="G84" s="75">
        <f>IF(TRIM(E84)="","",TRIM(E84)&amp;" – "&amp;D84)</f>
        <v/>
      </c>
    </row>
    <row r="85">
      <c r="A85" s="75" t="inlineStr">
        <is>
          <t>S0084</t>
        </is>
      </c>
      <c r="B85" s="76" t="inlineStr">
        <is>
          <t>Maya</t>
        </is>
      </c>
      <c r="C85" s="76" t="inlineStr">
        <is>
          <t>Patel</t>
        </is>
      </c>
      <c r="D85" s="77" t="inlineStr">
        <is>
          <t>K</t>
        </is>
      </c>
      <c r="E85" s="76" t="inlineStr">
        <is>
          <t>Ms. Ellison</t>
        </is>
      </c>
      <c r="F85" s="76" t="n"/>
      <c r="G85" s="75">
        <f>IF(TRIM(E85)="","",TRIM(E85)&amp;" – "&amp;D85)</f>
        <v/>
      </c>
    </row>
    <row r="86">
      <c r="A86" s="75" t="inlineStr">
        <is>
          <t>S0085</t>
        </is>
      </c>
      <c r="B86" s="76" t="inlineStr">
        <is>
          <t>Harper</t>
        </is>
      </c>
      <c r="C86" s="76" t="inlineStr">
        <is>
          <t>Johnson</t>
        </is>
      </c>
      <c r="D86" s="77" t="inlineStr">
        <is>
          <t>K</t>
        </is>
      </c>
      <c r="E86" s="76" t="inlineStr">
        <is>
          <t>Mrs. Fischer</t>
        </is>
      </c>
      <c r="F86" s="76" t="n"/>
      <c r="G86" s="75">
        <f>IF(TRIM(E86)="","",TRIM(E86)&amp;" – "&amp;D86)</f>
        <v/>
      </c>
    </row>
    <row r="87">
      <c r="A87" s="75" t="inlineStr">
        <is>
          <t>S0086</t>
        </is>
      </c>
      <c r="B87" s="76" t="inlineStr">
        <is>
          <t>Grace</t>
        </is>
      </c>
      <c r="C87" s="76" t="inlineStr">
        <is>
          <t>Perez</t>
        </is>
      </c>
      <c r="D87" s="77" t="inlineStr">
        <is>
          <t>K</t>
        </is>
      </c>
      <c r="E87" s="76" t="inlineStr">
        <is>
          <t>Mrs. Fischer</t>
        </is>
      </c>
      <c r="F87" s="76" t="n"/>
      <c r="G87" s="75">
        <f>IF(TRIM(E87)="","",TRIM(E87)&amp;" – "&amp;D87)</f>
        <v/>
      </c>
    </row>
    <row r="88">
      <c r="A88" s="75" t="inlineStr">
        <is>
          <t>S0087</t>
        </is>
      </c>
      <c r="B88" s="76" t="inlineStr">
        <is>
          <t>Emma</t>
        </is>
      </c>
      <c r="C88" s="76" t="inlineStr">
        <is>
          <t>Walsh</t>
        </is>
      </c>
      <c r="D88" s="77" t="inlineStr">
        <is>
          <t>K</t>
        </is>
      </c>
      <c r="E88" s="76" t="inlineStr">
        <is>
          <t>Mrs. Fischer</t>
        </is>
      </c>
      <c r="F88" s="76" t="n"/>
      <c r="G88" s="75">
        <f>IF(TRIM(E88)="","",TRIM(E88)&amp;" – "&amp;D88)</f>
        <v/>
      </c>
    </row>
    <row r="89">
      <c r="A89" s="75" t="inlineStr">
        <is>
          <t>S0088</t>
        </is>
      </c>
      <c r="B89" s="76" t="inlineStr">
        <is>
          <t>Henry</t>
        </is>
      </c>
      <c r="C89" s="76" t="inlineStr">
        <is>
          <t>Patel</t>
        </is>
      </c>
      <c r="D89" s="77" t="inlineStr">
        <is>
          <t>K</t>
        </is>
      </c>
      <c r="E89" s="76" t="inlineStr">
        <is>
          <t>Mrs. Fischer</t>
        </is>
      </c>
      <c r="F89" s="76" t="n"/>
      <c r="G89" s="75">
        <f>IF(TRIM(E89)="","",TRIM(E89)&amp;" – "&amp;D89)</f>
        <v/>
      </c>
    </row>
    <row r="90">
      <c r="A90" s="75" t="inlineStr">
        <is>
          <t>S0089</t>
        </is>
      </c>
      <c r="B90" s="76" t="inlineStr">
        <is>
          <t>Grace</t>
        </is>
      </c>
      <c r="C90" s="76" t="inlineStr">
        <is>
          <t>Ramos</t>
        </is>
      </c>
      <c r="D90" s="77" t="inlineStr">
        <is>
          <t>K</t>
        </is>
      </c>
      <c r="E90" s="76" t="inlineStr">
        <is>
          <t>Mrs. Fischer</t>
        </is>
      </c>
      <c r="F90" s="76" t="n"/>
      <c r="G90" s="75">
        <f>IF(TRIM(E90)="","",TRIM(E90)&amp;" – "&amp;D90)</f>
        <v/>
      </c>
    </row>
    <row r="91">
      <c r="A91" s="75" t="inlineStr">
        <is>
          <t>S0090</t>
        </is>
      </c>
      <c r="B91" s="76" t="inlineStr">
        <is>
          <t>Liam</t>
        </is>
      </c>
      <c r="C91" s="76" t="inlineStr">
        <is>
          <t>O'Brien</t>
        </is>
      </c>
      <c r="D91" s="77" t="inlineStr">
        <is>
          <t>K</t>
        </is>
      </c>
      <c r="E91" s="76" t="inlineStr">
        <is>
          <t>Mrs. Fischer</t>
        </is>
      </c>
      <c r="F91" s="76" t="n"/>
      <c r="G91" s="75">
        <f>IF(TRIM(E91)="","",TRIM(E91)&amp;" – "&amp;D91)</f>
        <v/>
      </c>
    </row>
    <row r="92">
      <c r="A92" s="75" t="inlineStr">
        <is>
          <t>S0091</t>
        </is>
      </c>
      <c r="B92" s="76" t="inlineStr">
        <is>
          <t>Ava</t>
        </is>
      </c>
      <c r="C92" s="76" t="inlineStr">
        <is>
          <t>Ramos</t>
        </is>
      </c>
      <c r="D92" s="77" t="inlineStr">
        <is>
          <t>K</t>
        </is>
      </c>
      <c r="E92" s="76" t="inlineStr">
        <is>
          <t>Mrs. Fischer</t>
        </is>
      </c>
      <c r="F92" s="76" t="n"/>
      <c r="G92" s="75">
        <f>IF(TRIM(E92)="","",TRIM(E92)&amp;" – "&amp;D92)</f>
        <v/>
      </c>
    </row>
    <row r="93">
      <c r="A93" s="75" t="inlineStr">
        <is>
          <t>S0092</t>
        </is>
      </c>
      <c r="B93" s="76" t="inlineStr">
        <is>
          <t>Sofia</t>
        </is>
      </c>
      <c r="C93" s="76" t="inlineStr">
        <is>
          <t>Williams</t>
        </is>
      </c>
      <c r="D93" s="77" t="inlineStr">
        <is>
          <t>K</t>
        </is>
      </c>
      <c r="E93" s="76" t="inlineStr">
        <is>
          <t>Mrs. Fischer</t>
        </is>
      </c>
      <c r="F93" s="76" t="n"/>
      <c r="G93" s="75">
        <f>IF(TRIM(E93)="","",TRIM(E93)&amp;" – "&amp;D93)</f>
        <v/>
      </c>
    </row>
    <row r="94">
      <c r="A94" s="75" t="inlineStr">
        <is>
          <t>S0093</t>
        </is>
      </c>
      <c r="B94" s="76" t="inlineStr">
        <is>
          <t>Chloe</t>
        </is>
      </c>
      <c r="C94" s="76" t="inlineStr">
        <is>
          <t>Smith</t>
        </is>
      </c>
      <c r="D94" s="77" t="inlineStr">
        <is>
          <t>K</t>
        </is>
      </c>
      <c r="E94" s="76" t="inlineStr">
        <is>
          <t>Mrs. Fischer</t>
        </is>
      </c>
      <c r="F94" s="76" t="n"/>
      <c r="G94" s="75">
        <f>IF(TRIM(E94)="","",TRIM(E94)&amp;" – "&amp;D94)</f>
        <v/>
      </c>
    </row>
    <row r="95">
      <c r="A95" s="75" t="inlineStr">
        <is>
          <t>S0094</t>
        </is>
      </c>
      <c r="B95" s="76" t="inlineStr">
        <is>
          <t>Santiago</t>
        </is>
      </c>
      <c r="C95" s="76" t="inlineStr">
        <is>
          <t>Gutierrez</t>
        </is>
      </c>
      <c r="D95" s="77" t="inlineStr">
        <is>
          <t>K</t>
        </is>
      </c>
      <c r="E95" s="76" t="inlineStr">
        <is>
          <t>Mrs. Fischer</t>
        </is>
      </c>
      <c r="F95" s="76" t="n"/>
      <c r="G95" s="75">
        <f>IF(TRIM(E95)="","",TRIM(E95)&amp;" – "&amp;D95)</f>
        <v/>
      </c>
    </row>
    <row r="96">
      <c r="A96" s="75" t="inlineStr">
        <is>
          <t>S0095</t>
        </is>
      </c>
      <c r="B96" s="76" t="inlineStr">
        <is>
          <t>Thomas</t>
        </is>
      </c>
      <c r="C96" s="76" t="inlineStr">
        <is>
          <t>Gutierrez</t>
        </is>
      </c>
      <c r="D96" s="77" t="inlineStr">
        <is>
          <t>K</t>
        </is>
      </c>
      <c r="E96" s="76" t="inlineStr">
        <is>
          <t>Mrs. Fischer</t>
        </is>
      </c>
      <c r="F96" s="76" t="n"/>
      <c r="G96" s="75">
        <f>IF(TRIM(E96)="","",TRIM(E96)&amp;" – "&amp;D96)</f>
        <v/>
      </c>
    </row>
    <row r="97">
      <c r="A97" s="75" t="inlineStr">
        <is>
          <t>S0096</t>
        </is>
      </c>
      <c r="B97" s="76" t="inlineStr">
        <is>
          <t>Mateo</t>
        </is>
      </c>
      <c r="C97" s="76" t="inlineStr">
        <is>
          <t>Martinez</t>
        </is>
      </c>
      <c r="D97" s="77" t="inlineStr">
        <is>
          <t>K</t>
        </is>
      </c>
      <c r="E97" s="76" t="inlineStr">
        <is>
          <t>Mrs. Fischer</t>
        </is>
      </c>
      <c r="F97" s="76" t="n"/>
      <c r="G97" s="75">
        <f>IF(TRIM(E97)="","",TRIM(E97)&amp;" – "&amp;D97)</f>
        <v/>
      </c>
    </row>
    <row r="98">
      <c r="A98" s="75" t="inlineStr">
        <is>
          <t>S0097</t>
        </is>
      </c>
      <c r="B98" s="76" t="inlineStr">
        <is>
          <t>Nora</t>
        </is>
      </c>
      <c r="C98" s="76" t="inlineStr">
        <is>
          <t>Kim</t>
        </is>
      </c>
      <c r="D98" s="77" t="inlineStr">
        <is>
          <t>K</t>
        </is>
      </c>
      <c r="E98" s="76" t="inlineStr">
        <is>
          <t>Mrs. Fischer</t>
        </is>
      </c>
      <c r="F98" s="76" t="n"/>
      <c r="G98" s="75">
        <f>IF(TRIM(E98)="","",TRIM(E98)&amp;" – "&amp;D98)</f>
        <v/>
      </c>
    </row>
    <row r="99">
      <c r="A99" s="75" t="inlineStr">
        <is>
          <t>S0098</t>
        </is>
      </c>
      <c r="B99" s="76" t="inlineStr">
        <is>
          <t>Evelyn</t>
        </is>
      </c>
      <c r="C99" s="76" t="inlineStr">
        <is>
          <t>Cruz</t>
        </is>
      </c>
      <c r="D99" s="77" t="inlineStr">
        <is>
          <t>K</t>
        </is>
      </c>
      <c r="E99" s="76" t="inlineStr">
        <is>
          <t>Mrs. Fischer</t>
        </is>
      </c>
      <c r="F99" s="76" t="n"/>
      <c r="G99" s="75">
        <f>IF(TRIM(E99)="","",TRIM(E99)&amp;" – "&amp;D99)</f>
        <v/>
      </c>
    </row>
    <row r="100">
      <c r="A100" s="75" t="inlineStr">
        <is>
          <t>S0099</t>
        </is>
      </c>
      <c r="B100" s="76" t="inlineStr">
        <is>
          <t>Lily</t>
        </is>
      </c>
      <c r="C100" s="76" t="inlineStr">
        <is>
          <t>Morales</t>
        </is>
      </c>
      <c r="D100" s="77" t="inlineStr">
        <is>
          <t>K</t>
        </is>
      </c>
      <c r="E100" s="76" t="inlineStr">
        <is>
          <t>Mrs. Fischer</t>
        </is>
      </c>
      <c r="F100" s="76" t="n"/>
      <c r="G100" s="75">
        <f>IF(TRIM(E100)="","",TRIM(E100)&amp;" – "&amp;D100)</f>
        <v/>
      </c>
    </row>
    <row r="101">
      <c r="A101" s="75" t="inlineStr">
        <is>
          <t>S0100</t>
        </is>
      </c>
      <c r="B101" s="76" t="inlineStr">
        <is>
          <t>Diego</t>
        </is>
      </c>
      <c r="C101" s="76" t="inlineStr">
        <is>
          <t>Nguyen</t>
        </is>
      </c>
      <c r="D101" s="77" t="inlineStr">
        <is>
          <t>K</t>
        </is>
      </c>
      <c r="E101" s="76" t="inlineStr">
        <is>
          <t>Mrs. Fischer</t>
        </is>
      </c>
      <c r="F101" s="76" t="n"/>
      <c r="G101" s="75">
        <f>IF(TRIM(E101)="","",TRIM(E101)&amp;" – "&amp;D101)</f>
        <v/>
      </c>
    </row>
    <row r="102">
      <c r="A102" s="75" t="inlineStr">
        <is>
          <t>S0101</t>
        </is>
      </c>
      <c r="B102" s="76" t="inlineStr">
        <is>
          <t>Joseph</t>
        </is>
      </c>
      <c r="C102" s="76" t="inlineStr">
        <is>
          <t>Kelly</t>
        </is>
      </c>
      <c r="D102" s="77" t="inlineStr">
        <is>
          <t>K</t>
        </is>
      </c>
      <c r="E102" s="76" t="inlineStr">
        <is>
          <t>Mrs. Fischer</t>
        </is>
      </c>
      <c r="F102" s="76" t="n"/>
      <c r="G102" s="75">
        <f>IF(TRIM(E102)="","",TRIM(E102)&amp;" – "&amp;D102)</f>
        <v/>
      </c>
    </row>
    <row r="103">
      <c r="A103" s="75" t="inlineStr">
        <is>
          <t>S0102</t>
        </is>
      </c>
      <c r="B103" s="76" t="inlineStr">
        <is>
          <t>Nicolas</t>
        </is>
      </c>
      <c r="C103" s="76" t="inlineStr">
        <is>
          <t>Perez</t>
        </is>
      </c>
      <c r="D103" s="77" t="inlineStr">
        <is>
          <t>K</t>
        </is>
      </c>
      <c r="E103" s="76" t="inlineStr">
        <is>
          <t>Mrs. Fischer</t>
        </is>
      </c>
      <c r="F103" s="76" t="n"/>
      <c r="G103" s="75">
        <f>IF(TRIM(E103)="","",TRIM(E103)&amp;" – "&amp;D103)</f>
        <v/>
      </c>
    </row>
    <row r="104">
      <c r="A104" s="75" t="inlineStr">
        <is>
          <t>S0103</t>
        </is>
      </c>
      <c r="B104" s="76" t="inlineStr">
        <is>
          <t>Liam</t>
        </is>
      </c>
      <c r="C104" s="76" t="inlineStr">
        <is>
          <t>Walsh</t>
        </is>
      </c>
      <c r="D104" s="77" t="inlineStr">
        <is>
          <t>K</t>
        </is>
      </c>
      <c r="E104" s="76" t="inlineStr">
        <is>
          <t>Mrs. Fischer</t>
        </is>
      </c>
      <c r="F104" s="76" t="n"/>
      <c r="G104" s="75">
        <f>IF(TRIM(E104)="","",TRIM(E104)&amp;" – "&amp;D104)</f>
        <v/>
      </c>
    </row>
    <row r="105">
      <c r="A105" s="75" t="inlineStr">
        <is>
          <t>S0104</t>
        </is>
      </c>
      <c r="B105" s="76" t="inlineStr">
        <is>
          <t>Isaac</t>
        </is>
      </c>
      <c r="C105" s="76" t="inlineStr">
        <is>
          <t>Torres</t>
        </is>
      </c>
      <c r="D105" s="77" t="inlineStr">
        <is>
          <t>K</t>
        </is>
      </c>
      <c r="E105" s="76" t="inlineStr">
        <is>
          <t>Mrs. Fischer</t>
        </is>
      </c>
      <c r="F105" s="76" t="n"/>
      <c r="G105" s="75">
        <f>IF(TRIM(E105)="","",TRIM(E105)&amp;" – "&amp;D105)</f>
        <v/>
      </c>
    </row>
    <row r="106">
      <c r="A106" s="75" t="inlineStr">
        <is>
          <t>S0105</t>
        </is>
      </c>
      <c r="B106" s="76" t="inlineStr">
        <is>
          <t>Samuel</t>
        </is>
      </c>
      <c r="C106" s="76" t="inlineStr">
        <is>
          <t>Ryan</t>
        </is>
      </c>
      <c r="D106" s="77" t="inlineStr">
        <is>
          <t>1</t>
        </is>
      </c>
      <c r="E106" s="76" t="inlineStr">
        <is>
          <t>Mr. Galloway</t>
        </is>
      </c>
      <c r="F106" s="76" t="n"/>
      <c r="G106" s="75">
        <f>IF(TRIM(E106)="","",TRIM(E106)&amp;" – "&amp;D106)</f>
        <v/>
      </c>
    </row>
    <row r="107">
      <c r="A107" s="75" t="inlineStr">
        <is>
          <t>S0106</t>
        </is>
      </c>
      <c r="B107" s="76" t="inlineStr">
        <is>
          <t>Leo</t>
        </is>
      </c>
      <c r="C107" s="76" t="inlineStr">
        <is>
          <t>Vasquez</t>
        </is>
      </c>
      <c r="D107" s="77" t="inlineStr">
        <is>
          <t>1</t>
        </is>
      </c>
      <c r="E107" s="76" t="inlineStr">
        <is>
          <t>Mr. Galloway</t>
        </is>
      </c>
      <c r="F107" s="76" t="n"/>
      <c r="G107" s="75">
        <f>IF(TRIM(E107)="","",TRIM(E107)&amp;" – "&amp;D107)</f>
        <v/>
      </c>
    </row>
    <row r="108">
      <c r="A108" s="75" t="inlineStr">
        <is>
          <t>S0107</t>
        </is>
      </c>
      <c r="B108" s="76" t="inlineStr">
        <is>
          <t>Maya</t>
        </is>
      </c>
      <c r="C108" s="76" t="inlineStr">
        <is>
          <t>Flores</t>
        </is>
      </c>
      <c r="D108" s="77" t="inlineStr">
        <is>
          <t>1</t>
        </is>
      </c>
      <c r="E108" s="76" t="inlineStr">
        <is>
          <t>Mr. Galloway</t>
        </is>
      </c>
      <c r="F108" s="76" t="n"/>
      <c r="G108" s="75">
        <f>IF(TRIM(E108)="","",TRIM(E108)&amp;" – "&amp;D108)</f>
        <v/>
      </c>
    </row>
    <row r="109">
      <c r="A109" s="75" t="inlineStr">
        <is>
          <t>S0108</t>
        </is>
      </c>
      <c r="B109" s="76" t="inlineStr">
        <is>
          <t>Camila</t>
        </is>
      </c>
      <c r="C109" s="76" t="inlineStr">
        <is>
          <t>Sullivan</t>
        </is>
      </c>
      <c r="D109" s="77" t="inlineStr">
        <is>
          <t>1</t>
        </is>
      </c>
      <c r="E109" s="76" t="inlineStr">
        <is>
          <t>Mr. Galloway</t>
        </is>
      </c>
      <c r="F109" s="76" t="n"/>
      <c r="G109" s="75">
        <f>IF(TRIM(E109)="","",TRIM(E109)&amp;" – "&amp;D109)</f>
        <v/>
      </c>
    </row>
    <row r="110">
      <c r="A110" s="75" t="inlineStr">
        <is>
          <t>S0109</t>
        </is>
      </c>
      <c r="B110" s="76" t="inlineStr">
        <is>
          <t>Daniel</t>
        </is>
      </c>
      <c r="C110" s="76" t="inlineStr">
        <is>
          <t>Lopez</t>
        </is>
      </c>
      <c r="D110" s="77" t="inlineStr">
        <is>
          <t>1</t>
        </is>
      </c>
      <c r="E110" s="76" t="inlineStr">
        <is>
          <t>Mr. Galloway</t>
        </is>
      </c>
      <c r="F110" s="76" t="n"/>
      <c r="G110" s="75">
        <f>IF(TRIM(E110)="","",TRIM(E110)&amp;" – "&amp;D110)</f>
        <v/>
      </c>
    </row>
    <row r="111">
      <c r="A111" s="75" t="inlineStr">
        <is>
          <t>S0110</t>
        </is>
      </c>
      <c r="B111" s="76" t="inlineStr">
        <is>
          <t>Ava</t>
        </is>
      </c>
      <c r="C111" s="76" t="inlineStr">
        <is>
          <t>Sanchez</t>
        </is>
      </c>
      <c r="D111" s="77" t="inlineStr">
        <is>
          <t>1</t>
        </is>
      </c>
      <c r="E111" s="76" t="inlineStr">
        <is>
          <t>Mr. Galloway</t>
        </is>
      </c>
      <c r="F111" s="76" t="n"/>
      <c r="G111" s="75">
        <f>IF(TRIM(E111)="","",TRIM(E111)&amp;" – "&amp;D111)</f>
        <v/>
      </c>
    </row>
    <row r="112">
      <c r="A112" s="75" t="inlineStr">
        <is>
          <t>S0111</t>
        </is>
      </c>
      <c r="B112" s="76" t="inlineStr">
        <is>
          <t>Isabella</t>
        </is>
      </c>
      <c r="C112" s="76" t="inlineStr">
        <is>
          <t>Murphy</t>
        </is>
      </c>
      <c r="D112" s="77" t="inlineStr">
        <is>
          <t>1</t>
        </is>
      </c>
      <c r="E112" s="76" t="inlineStr">
        <is>
          <t>Mr. Galloway</t>
        </is>
      </c>
      <c r="F112" s="76" t="n"/>
      <c r="G112" s="75">
        <f>IF(TRIM(E112)="","",TRIM(E112)&amp;" – "&amp;D112)</f>
        <v/>
      </c>
    </row>
    <row r="113">
      <c r="A113" s="75" t="inlineStr">
        <is>
          <t>S0112</t>
        </is>
      </c>
      <c r="B113" s="76" t="inlineStr">
        <is>
          <t>Santiago</t>
        </is>
      </c>
      <c r="C113" s="76" t="inlineStr">
        <is>
          <t>Castillo</t>
        </is>
      </c>
      <c r="D113" s="77" t="inlineStr">
        <is>
          <t>1</t>
        </is>
      </c>
      <c r="E113" s="76" t="inlineStr">
        <is>
          <t>Mr. Galloway</t>
        </is>
      </c>
      <c r="F113" s="76" t="n"/>
      <c r="G113" s="75">
        <f>IF(TRIM(E113)="","",TRIM(E113)&amp;" – "&amp;D113)</f>
        <v/>
      </c>
    </row>
    <row r="114">
      <c r="A114" s="75" t="inlineStr">
        <is>
          <t>S0113</t>
        </is>
      </c>
      <c r="B114" s="76" t="inlineStr">
        <is>
          <t>Thomas</t>
        </is>
      </c>
      <c r="C114" s="76" t="inlineStr">
        <is>
          <t>Ramirez</t>
        </is>
      </c>
      <c r="D114" s="77" t="inlineStr">
        <is>
          <t>1</t>
        </is>
      </c>
      <c r="E114" s="76" t="inlineStr">
        <is>
          <t>Mr. Galloway</t>
        </is>
      </c>
      <c r="F114" s="76" t="n"/>
      <c r="G114" s="75">
        <f>IF(TRIM(E114)="","",TRIM(E114)&amp;" – "&amp;D114)</f>
        <v/>
      </c>
    </row>
    <row r="115">
      <c r="A115" s="75" t="inlineStr">
        <is>
          <t>S0114</t>
        </is>
      </c>
      <c r="B115" s="76" t="inlineStr">
        <is>
          <t>Zoe</t>
        </is>
      </c>
      <c r="C115" s="76" t="inlineStr">
        <is>
          <t>Martinez</t>
        </is>
      </c>
      <c r="D115" s="77" t="inlineStr">
        <is>
          <t>1</t>
        </is>
      </c>
      <c r="E115" s="76" t="inlineStr">
        <is>
          <t>Mr. Galloway</t>
        </is>
      </c>
      <c r="F115" s="76" t="n"/>
      <c r="G115" s="75">
        <f>IF(TRIM(E115)="","",TRIM(E115)&amp;" – "&amp;D115)</f>
        <v/>
      </c>
    </row>
    <row r="116">
      <c r="A116" s="75" t="inlineStr">
        <is>
          <t>S0115</t>
        </is>
      </c>
      <c r="B116" s="76" t="inlineStr">
        <is>
          <t>Emma</t>
        </is>
      </c>
      <c r="C116" s="76" t="inlineStr">
        <is>
          <t>O'Brien</t>
        </is>
      </c>
      <c r="D116" s="77" t="inlineStr">
        <is>
          <t>1</t>
        </is>
      </c>
      <c r="E116" s="76" t="inlineStr">
        <is>
          <t>Mr. Galloway</t>
        </is>
      </c>
      <c r="F116" s="76" t="n"/>
      <c r="G116" s="75">
        <f>IF(TRIM(E116)="","",TRIM(E116)&amp;" – "&amp;D116)</f>
        <v/>
      </c>
    </row>
    <row r="117">
      <c r="A117" s="75" t="inlineStr">
        <is>
          <t>S0116</t>
        </is>
      </c>
      <c r="B117" s="76" t="inlineStr">
        <is>
          <t>Elijah</t>
        </is>
      </c>
      <c r="C117" s="76" t="inlineStr">
        <is>
          <t>O'Brien</t>
        </is>
      </c>
      <c r="D117" s="77" t="inlineStr">
        <is>
          <t>1</t>
        </is>
      </c>
      <c r="E117" s="76" t="inlineStr">
        <is>
          <t>Mr. Galloway</t>
        </is>
      </c>
      <c r="F117" s="76" t="n"/>
      <c r="G117" s="75">
        <f>IF(TRIM(E117)="","",TRIM(E117)&amp;" – "&amp;D117)</f>
        <v/>
      </c>
    </row>
    <row r="118">
      <c r="A118" s="75" t="inlineStr">
        <is>
          <t>S0117</t>
        </is>
      </c>
      <c r="B118" s="76" t="inlineStr">
        <is>
          <t>Emma</t>
        </is>
      </c>
      <c r="C118" s="76" t="inlineStr">
        <is>
          <t>Perez</t>
        </is>
      </c>
      <c r="D118" s="77" t="inlineStr">
        <is>
          <t>1</t>
        </is>
      </c>
      <c r="E118" s="76" t="inlineStr">
        <is>
          <t>Mr. Galloway</t>
        </is>
      </c>
      <c r="F118" s="76" t="n"/>
      <c r="G118" s="75">
        <f>IF(TRIM(E118)="","",TRIM(E118)&amp;" – "&amp;D118)</f>
        <v/>
      </c>
    </row>
    <row r="119">
      <c r="A119" s="75" t="inlineStr">
        <is>
          <t>S0118</t>
        </is>
      </c>
      <c r="B119" s="76" t="inlineStr">
        <is>
          <t>Clara</t>
        </is>
      </c>
      <c r="C119" s="76" t="inlineStr">
        <is>
          <t>Sanchez</t>
        </is>
      </c>
      <c r="D119" s="77" t="inlineStr">
        <is>
          <t>1</t>
        </is>
      </c>
      <c r="E119" s="76" t="inlineStr">
        <is>
          <t>Mr. Galloway</t>
        </is>
      </c>
      <c r="F119" s="76" t="n"/>
      <c r="G119" s="75">
        <f>IF(TRIM(E119)="","",TRIM(E119)&amp;" – "&amp;D119)</f>
        <v/>
      </c>
    </row>
    <row r="120">
      <c r="A120" s="75" t="inlineStr">
        <is>
          <t>S0119</t>
        </is>
      </c>
      <c r="B120" s="76" t="inlineStr">
        <is>
          <t>Chloe</t>
        </is>
      </c>
      <c r="C120" s="76" t="inlineStr">
        <is>
          <t>Diaz</t>
        </is>
      </c>
      <c r="D120" s="77" t="inlineStr">
        <is>
          <t>1</t>
        </is>
      </c>
      <c r="E120" s="76" t="inlineStr">
        <is>
          <t>Mr. Galloway</t>
        </is>
      </c>
      <c r="F120" s="76" t="n"/>
      <c r="G120" s="75">
        <f>IF(TRIM(E120)="","",TRIM(E120)&amp;" – "&amp;D120)</f>
        <v/>
      </c>
    </row>
    <row r="121">
      <c r="A121" s="75" t="inlineStr">
        <is>
          <t>S0120</t>
        </is>
      </c>
      <c r="B121" s="76" t="inlineStr">
        <is>
          <t>Samuel</t>
        </is>
      </c>
      <c r="C121" s="76" t="inlineStr">
        <is>
          <t>Murphy</t>
        </is>
      </c>
      <c r="D121" s="77" t="inlineStr">
        <is>
          <t>1</t>
        </is>
      </c>
      <c r="E121" s="76" t="inlineStr">
        <is>
          <t>Mr. Galloway</t>
        </is>
      </c>
      <c r="F121" s="76" t="n"/>
      <c r="G121" s="75">
        <f>IF(TRIM(E121)="","",TRIM(E121)&amp;" – "&amp;D121)</f>
        <v/>
      </c>
    </row>
    <row r="122">
      <c r="A122" s="75" t="inlineStr">
        <is>
          <t>S0121</t>
        </is>
      </c>
      <c r="B122" s="76" t="inlineStr">
        <is>
          <t>Grace</t>
        </is>
      </c>
      <c r="C122" s="76" t="inlineStr">
        <is>
          <t>Johnson</t>
        </is>
      </c>
      <c r="D122" s="77" t="inlineStr">
        <is>
          <t>1</t>
        </is>
      </c>
      <c r="E122" s="76" t="inlineStr">
        <is>
          <t>Mr. Galloway</t>
        </is>
      </c>
      <c r="F122" s="76" t="n"/>
      <c r="G122" s="75">
        <f>IF(TRIM(E122)="","",TRIM(E122)&amp;" – "&amp;D122)</f>
        <v/>
      </c>
    </row>
    <row r="123">
      <c r="A123" s="75" t="inlineStr">
        <is>
          <t>S0122</t>
        </is>
      </c>
      <c r="B123" s="76" t="inlineStr">
        <is>
          <t>Chloe</t>
        </is>
      </c>
      <c r="C123" s="76" t="inlineStr">
        <is>
          <t>Cruz</t>
        </is>
      </c>
      <c r="D123" s="77" t="inlineStr">
        <is>
          <t>1</t>
        </is>
      </c>
      <c r="E123" s="76" t="inlineStr">
        <is>
          <t>Mr. Galloway</t>
        </is>
      </c>
      <c r="F123" s="76" t="n"/>
      <c r="G123" s="75">
        <f>IF(TRIM(E123)="","",TRIM(E123)&amp;" – "&amp;D123)</f>
        <v/>
      </c>
    </row>
    <row r="124">
      <c r="A124" s="75" t="inlineStr">
        <is>
          <t>S0123</t>
        </is>
      </c>
      <c r="B124" s="76" t="inlineStr">
        <is>
          <t>Noah</t>
        </is>
      </c>
      <c r="C124" s="76" t="inlineStr">
        <is>
          <t>Gutierrez</t>
        </is>
      </c>
      <c r="D124" s="77" t="inlineStr">
        <is>
          <t>1</t>
        </is>
      </c>
      <c r="E124" s="76" t="inlineStr">
        <is>
          <t>Mr. Galloway</t>
        </is>
      </c>
      <c r="F124" s="76" t="n"/>
      <c r="G124" s="75">
        <f>IF(TRIM(E124)="","",TRIM(E124)&amp;" – "&amp;D124)</f>
        <v/>
      </c>
    </row>
    <row r="125">
      <c r="A125" s="75" t="inlineStr">
        <is>
          <t>S0124</t>
        </is>
      </c>
      <c r="B125" s="76" t="inlineStr">
        <is>
          <t>Noah</t>
        </is>
      </c>
      <c r="C125" s="76" t="inlineStr">
        <is>
          <t>Gomez</t>
        </is>
      </c>
      <c r="D125" s="77" t="inlineStr">
        <is>
          <t>1</t>
        </is>
      </c>
      <c r="E125" s="76" t="inlineStr">
        <is>
          <t>Mr. Galloway</t>
        </is>
      </c>
      <c r="F125" s="76" t="n"/>
      <c r="G125" s="75">
        <f>IF(TRIM(E125)="","",TRIM(E125)&amp;" – "&amp;D125)</f>
        <v/>
      </c>
    </row>
    <row r="126">
      <c r="A126" s="75" t="inlineStr">
        <is>
          <t>S0125</t>
        </is>
      </c>
      <c r="B126" s="76" t="inlineStr">
        <is>
          <t>Joseph</t>
        </is>
      </c>
      <c r="C126" s="76" t="inlineStr">
        <is>
          <t>Nguyen</t>
        </is>
      </c>
      <c r="D126" s="77" t="inlineStr">
        <is>
          <t>1</t>
        </is>
      </c>
      <c r="E126" s="76" t="inlineStr">
        <is>
          <t>Mrs. Hayes</t>
        </is>
      </c>
      <c r="F126" s="76" t="n"/>
      <c r="G126" s="75">
        <f>IF(TRIM(E126)="","",TRIM(E126)&amp;" – "&amp;D126)</f>
        <v/>
      </c>
    </row>
    <row r="127">
      <c r="A127" s="75" t="inlineStr">
        <is>
          <t>S0126</t>
        </is>
      </c>
      <c r="B127" s="76" t="inlineStr">
        <is>
          <t>Grace</t>
        </is>
      </c>
      <c r="C127" s="76" t="inlineStr">
        <is>
          <t>Reyes</t>
        </is>
      </c>
      <c r="D127" s="77" t="inlineStr">
        <is>
          <t>1</t>
        </is>
      </c>
      <c r="E127" s="76" t="inlineStr">
        <is>
          <t>Mrs. Hayes</t>
        </is>
      </c>
      <c r="F127" s="76" t="n"/>
      <c r="G127" s="75">
        <f>IF(TRIM(E127)="","",TRIM(E127)&amp;" – "&amp;D127)</f>
        <v/>
      </c>
    </row>
    <row r="128">
      <c r="A128" s="75" t="inlineStr">
        <is>
          <t>S0127</t>
        </is>
      </c>
      <c r="B128" s="76" t="inlineStr">
        <is>
          <t>Joseph</t>
        </is>
      </c>
      <c r="C128" s="76" t="inlineStr">
        <is>
          <t>Sanchez</t>
        </is>
      </c>
      <c r="D128" s="77" t="inlineStr">
        <is>
          <t>1</t>
        </is>
      </c>
      <c r="E128" s="76" t="inlineStr">
        <is>
          <t>Mrs. Hayes</t>
        </is>
      </c>
      <c r="F128" s="76" t="n"/>
      <c r="G128" s="75">
        <f>IF(TRIM(E128)="","",TRIM(E128)&amp;" – "&amp;D128)</f>
        <v/>
      </c>
    </row>
    <row r="129">
      <c r="A129" s="75" t="inlineStr">
        <is>
          <t>S0128</t>
        </is>
      </c>
      <c r="B129" s="76" t="inlineStr">
        <is>
          <t>Evelyn</t>
        </is>
      </c>
      <c r="C129" s="76" t="inlineStr">
        <is>
          <t>O'Brien</t>
        </is>
      </c>
      <c r="D129" s="77" t="inlineStr">
        <is>
          <t>1</t>
        </is>
      </c>
      <c r="E129" s="76" t="inlineStr">
        <is>
          <t>Mrs. Hayes</t>
        </is>
      </c>
      <c r="F129" s="76" t="n"/>
      <c r="G129" s="75">
        <f>IF(TRIM(E129)="","",TRIM(E129)&amp;" – "&amp;D129)</f>
        <v/>
      </c>
    </row>
    <row r="130">
      <c r="A130" s="75" t="inlineStr">
        <is>
          <t>S0129</t>
        </is>
      </c>
      <c r="B130" s="76" t="inlineStr">
        <is>
          <t>Zoe</t>
        </is>
      </c>
      <c r="C130" s="76" t="inlineStr">
        <is>
          <t>Castillo</t>
        </is>
      </c>
      <c r="D130" s="77" t="inlineStr">
        <is>
          <t>1</t>
        </is>
      </c>
      <c r="E130" s="76" t="inlineStr">
        <is>
          <t>Mrs. Hayes</t>
        </is>
      </c>
      <c r="F130" s="76" t="n"/>
      <c r="G130" s="75">
        <f>IF(TRIM(E130)="","",TRIM(E130)&amp;" – "&amp;D130)</f>
        <v/>
      </c>
    </row>
    <row r="131">
      <c r="A131" s="75" t="inlineStr">
        <is>
          <t>S0130</t>
        </is>
      </c>
      <c r="B131" s="76" t="inlineStr">
        <is>
          <t>Diego</t>
        </is>
      </c>
      <c r="C131" s="76" t="inlineStr">
        <is>
          <t>O'Brien</t>
        </is>
      </c>
      <c r="D131" s="77" t="inlineStr">
        <is>
          <t>1</t>
        </is>
      </c>
      <c r="E131" s="76" t="inlineStr">
        <is>
          <t>Mrs. Hayes</t>
        </is>
      </c>
      <c r="F131" s="76" t="n"/>
      <c r="G131" s="75">
        <f>IF(TRIM(E131)="","",TRIM(E131)&amp;" – "&amp;D131)</f>
        <v/>
      </c>
    </row>
    <row r="132">
      <c r="A132" s="75" t="inlineStr">
        <is>
          <t>S0131</t>
        </is>
      </c>
      <c r="B132" s="76" t="inlineStr">
        <is>
          <t>Isaac</t>
        </is>
      </c>
      <c r="C132" s="76" t="inlineStr">
        <is>
          <t>Diaz</t>
        </is>
      </c>
      <c r="D132" s="77" t="inlineStr">
        <is>
          <t>1</t>
        </is>
      </c>
      <c r="E132" s="76" t="inlineStr">
        <is>
          <t>Mrs. Hayes</t>
        </is>
      </c>
      <c r="F132" s="76" t="n"/>
      <c r="G132" s="75">
        <f>IF(TRIM(E132)="","",TRIM(E132)&amp;" – "&amp;D132)</f>
        <v/>
      </c>
    </row>
    <row r="133">
      <c r="A133" s="75" t="inlineStr">
        <is>
          <t>S0132</t>
        </is>
      </c>
      <c r="B133" s="76" t="inlineStr">
        <is>
          <t>Valentina</t>
        </is>
      </c>
      <c r="C133" s="76" t="inlineStr">
        <is>
          <t>Torres</t>
        </is>
      </c>
      <c r="D133" s="77" t="inlineStr">
        <is>
          <t>1</t>
        </is>
      </c>
      <c r="E133" s="76" t="inlineStr">
        <is>
          <t>Mrs. Hayes</t>
        </is>
      </c>
      <c r="F133" s="76" t="n"/>
      <c r="G133" s="75">
        <f>IF(TRIM(E133)="","",TRIM(E133)&amp;" – "&amp;D133)</f>
        <v/>
      </c>
    </row>
    <row r="134">
      <c r="A134" s="75" t="inlineStr">
        <is>
          <t>S0133</t>
        </is>
      </c>
      <c r="B134" s="76" t="inlineStr">
        <is>
          <t>Mia</t>
        </is>
      </c>
      <c r="C134" s="76" t="inlineStr">
        <is>
          <t>Garcia</t>
        </is>
      </c>
      <c r="D134" s="77" t="inlineStr">
        <is>
          <t>1</t>
        </is>
      </c>
      <c r="E134" s="76" t="inlineStr">
        <is>
          <t>Mrs. Hayes</t>
        </is>
      </c>
      <c r="F134" s="76" t="n"/>
      <c r="G134" s="75">
        <f>IF(TRIM(E134)="","",TRIM(E134)&amp;" – "&amp;D134)</f>
        <v/>
      </c>
    </row>
    <row r="135">
      <c r="A135" s="75" t="inlineStr">
        <is>
          <t>S0134</t>
        </is>
      </c>
      <c r="B135" s="76" t="inlineStr">
        <is>
          <t>Lucas</t>
        </is>
      </c>
      <c r="C135" s="76" t="inlineStr">
        <is>
          <t>Vasquez</t>
        </is>
      </c>
      <c r="D135" s="77" t="inlineStr">
        <is>
          <t>1</t>
        </is>
      </c>
      <c r="E135" s="76" t="inlineStr">
        <is>
          <t>Mrs. Hayes</t>
        </is>
      </c>
      <c r="F135" s="76" t="n"/>
      <c r="G135" s="75">
        <f>IF(TRIM(E135)="","",TRIM(E135)&amp;" – "&amp;D135)</f>
        <v/>
      </c>
    </row>
    <row r="136">
      <c r="A136" s="75" t="inlineStr">
        <is>
          <t>S0135</t>
        </is>
      </c>
      <c r="B136" s="76" t="inlineStr">
        <is>
          <t>Thomas</t>
        </is>
      </c>
      <c r="C136" s="76" t="inlineStr">
        <is>
          <t>Ortiz</t>
        </is>
      </c>
      <c r="D136" s="77" t="inlineStr">
        <is>
          <t>1</t>
        </is>
      </c>
      <c r="E136" s="76" t="inlineStr">
        <is>
          <t>Mrs. Hayes</t>
        </is>
      </c>
      <c r="F136" s="76" t="n"/>
      <c r="G136" s="75">
        <f>IF(TRIM(E136)="","",TRIM(E136)&amp;" – "&amp;D136)</f>
        <v/>
      </c>
    </row>
    <row r="137">
      <c r="A137" s="75" t="inlineStr">
        <is>
          <t>S0136</t>
        </is>
      </c>
      <c r="B137" s="76" t="inlineStr">
        <is>
          <t>Grace</t>
        </is>
      </c>
      <c r="C137" s="76" t="inlineStr">
        <is>
          <t>Murphy</t>
        </is>
      </c>
      <c r="D137" s="77" t="inlineStr">
        <is>
          <t>1</t>
        </is>
      </c>
      <c r="E137" s="76" t="inlineStr">
        <is>
          <t>Mrs. Hayes</t>
        </is>
      </c>
      <c r="F137" s="76" t="n"/>
      <c r="G137" s="75">
        <f>IF(TRIM(E137)="","",TRIM(E137)&amp;" – "&amp;D137)</f>
        <v/>
      </c>
    </row>
    <row r="138">
      <c r="A138" s="75" t="inlineStr">
        <is>
          <t>S0137</t>
        </is>
      </c>
      <c r="B138" s="76" t="inlineStr">
        <is>
          <t>Mateo</t>
        </is>
      </c>
      <c r="C138" s="76" t="inlineStr">
        <is>
          <t>Gutierrez</t>
        </is>
      </c>
      <c r="D138" s="77" t="inlineStr">
        <is>
          <t>1</t>
        </is>
      </c>
      <c r="E138" s="76" t="inlineStr">
        <is>
          <t>Mrs. Hayes</t>
        </is>
      </c>
      <c r="F138" s="76" t="n"/>
      <c r="G138" s="75">
        <f>IF(TRIM(E138)="","",TRIM(E138)&amp;" – "&amp;D138)</f>
        <v/>
      </c>
    </row>
    <row r="139">
      <c r="A139" s="75" t="inlineStr">
        <is>
          <t>S0138</t>
        </is>
      </c>
      <c r="B139" s="76" t="inlineStr">
        <is>
          <t>Olivia</t>
        </is>
      </c>
      <c r="C139" s="76" t="inlineStr">
        <is>
          <t>Gutierrez</t>
        </is>
      </c>
      <c r="D139" s="77" t="inlineStr">
        <is>
          <t>1</t>
        </is>
      </c>
      <c r="E139" s="76" t="inlineStr">
        <is>
          <t>Mrs. Hayes</t>
        </is>
      </c>
      <c r="F139" s="76" t="n"/>
      <c r="G139" s="75">
        <f>IF(TRIM(E139)="","",TRIM(E139)&amp;" – "&amp;D139)</f>
        <v/>
      </c>
    </row>
    <row r="140">
      <c r="A140" s="75" t="inlineStr">
        <is>
          <t>S0139</t>
        </is>
      </c>
      <c r="B140" s="76" t="inlineStr">
        <is>
          <t>Adrian</t>
        </is>
      </c>
      <c r="C140" s="76" t="inlineStr">
        <is>
          <t>Kelly</t>
        </is>
      </c>
      <c r="D140" s="77" t="inlineStr">
        <is>
          <t>1</t>
        </is>
      </c>
      <c r="E140" s="76" t="inlineStr">
        <is>
          <t>Mrs. Hayes</t>
        </is>
      </c>
      <c r="F140" s="76" t="n"/>
      <c r="G140" s="75">
        <f>IF(TRIM(E140)="","",TRIM(E140)&amp;" – "&amp;D140)</f>
        <v/>
      </c>
    </row>
    <row r="141">
      <c r="A141" s="75" t="inlineStr">
        <is>
          <t>S0140</t>
        </is>
      </c>
      <c r="B141" s="76" t="inlineStr">
        <is>
          <t>Aria</t>
        </is>
      </c>
      <c r="C141" s="76" t="inlineStr">
        <is>
          <t>Torres</t>
        </is>
      </c>
      <c r="D141" s="77" t="inlineStr">
        <is>
          <t>1</t>
        </is>
      </c>
      <c r="E141" s="76" t="inlineStr">
        <is>
          <t>Mrs. Hayes</t>
        </is>
      </c>
      <c r="F141" s="76" t="n"/>
      <c r="G141" s="75">
        <f>IF(TRIM(E141)="","",TRIM(E141)&amp;" – "&amp;D141)</f>
        <v/>
      </c>
    </row>
    <row r="142">
      <c r="A142" s="75" t="inlineStr">
        <is>
          <t>S0141</t>
        </is>
      </c>
      <c r="B142" s="76" t="inlineStr">
        <is>
          <t>Diego</t>
        </is>
      </c>
      <c r="C142" s="76" t="inlineStr">
        <is>
          <t>Ryan</t>
        </is>
      </c>
      <c r="D142" s="77" t="inlineStr">
        <is>
          <t>1</t>
        </is>
      </c>
      <c r="E142" s="76" t="inlineStr">
        <is>
          <t>Mrs. Hayes</t>
        </is>
      </c>
      <c r="F142" s="76" t="n"/>
      <c r="G142" s="75">
        <f>IF(TRIM(E142)="","",TRIM(E142)&amp;" – "&amp;D142)</f>
        <v/>
      </c>
    </row>
    <row r="143">
      <c r="A143" s="75" t="inlineStr">
        <is>
          <t>S0142</t>
        </is>
      </c>
      <c r="B143" s="76" t="inlineStr">
        <is>
          <t>Benjamin</t>
        </is>
      </c>
      <c r="C143" s="76" t="inlineStr">
        <is>
          <t>Sullivan</t>
        </is>
      </c>
      <c r="D143" s="77" t="inlineStr">
        <is>
          <t>1</t>
        </is>
      </c>
      <c r="E143" s="76" t="inlineStr">
        <is>
          <t>Mrs. Hayes</t>
        </is>
      </c>
      <c r="F143" s="76" t="n"/>
      <c r="G143" s="75">
        <f>IF(TRIM(E143)="","",TRIM(E143)&amp;" – "&amp;D143)</f>
        <v/>
      </c>
    </row>
    <row r="144">
      <c r="A144" s="75" t="inlineStr">
        <is>
          <t>S0143</t>
        </is>
      </c>
      <c r="B144" s="76" t="inlineStr">
        <is>
          <t>Ella</t>
        </is>
      </c>
      <c r="C144" s="76" t="inlineStr">
        <is>
          <t>Torres</t>
        </is>
      </c>
      <c r="D144" s="77" t="inlineStr">
        <is>
          <t>1</t>
        </is>
      </c>
      <c r="E144" s="76" t="inlineStr">
        <is>
          <t>Mrs. Hayes</t>
        </is>
      </c>
      <c r="F144" s="76" t="n"/>
      <c r="G144" s="75">
        <f>IF(TRIM(E144)="","",TRIM(E144)&amp;" – "&amp;D144)</f>
        <v/>
      </c>
    </row>
    <row r="145">
      <c r="A145" s="75" t="inlineStr">
        <is>
          <t>S0144</t>
        </is>
      </c>
      <c r="B145" s="76" t="inlineStr">
        <is>
          <t>Ella</t>
        </is>
      </c>
      <c r="C145" s="76" t="inlineStr">
        <is>
          <t>Reyes</t>
        </is>
      </c>
      <c r="D145" s="77" t="inlineStr">
        <is>
          <t>1</t>
        </is>
      </c>
      <c r="E145" s="76" t="inlineStr">
        <is>
          <t>Mrs. Hayes</t>
        </is>
      </c>
      <c r="F145" s="76" t="n"/>
      <c r="G145" s="75">
        <f>IF(TRIM(E145)="","",TRIM(E145)&amp;" – "&amp;D145)</f>
        <v/>
      </c>
    </row>
    <row r="146">
      <c r="A146" s="75" t="inlineStr">
        <is>
          <t>S0145</t>
        </is>
      </c>
      <c r="B146" s="76" t="inlineStr">
        <is>
          <t>Ella</t>
        </is>
      </c>
      <c r="C146" s="76" t="inlineStr">
        <is>
          <t>Diaz</t>
        </is>
      </c>
      <c r="D146" s="77" t="inlineStr">
        <is>
          <t>2</t>
        </is>
      </c>
      <c r="E146" s="76" t="inlineStr">
        <is>
          <t>Ms. Ingram</t>
        </is>
      </c>
      <c r="F146" s="76" t="n"/>
      <c r="G146" s="75">
        <f>IF(TRIM(E146)="","",TRIM(E146)&amp;" – "&amp;D146)</f>
        <v/>
      </c>
    </row>
    <row r="147">
      <c r="A147" s="75" t="inlineStr">
        <is>
          <t>S0146</t>
        </is>
      </c>
      <c r="B147" s="76" t="inlineStr">
        <is>
          <t>Clara</t>
        </is>
      </c>
      <c r="C147" s="76" t="inlineStr">
        <is>
          <t>Sullivan</t>
        </is>
      </c>
      <c r="D147" s="77" t="inlineStr">
        <is>
          <t>2</t>
        </is>
      </c>
      <c r="E147" s="76" t="inlineStr">
        <is>
          <t>Ms. Ingram</t>
        </is>
      </c>
      <c r="F147" s="76" t="n"/>
      <c r="G147" s="75">
        <f>IF(TRIM(E147)="","",TRIM(E147)&amp;" – "&amp;D147)</f>
        <v/>
      </c>
    </row>
    <row r="148">
      <c r="A148" s="75" t="inlineStr">
        <is>
          <t>S0147</t>
        </is>
      </c>
      <c r="B148" s="76" t="inlineStr">
        <is>
          <t>Emma</t>
        </is>
      </c>
      <c r="C148" s="76" t="inlineStr">
        <is>
          <t>Williams</t>
        </is>
      </c>
      <c r="D148" s="77" t="inlineStr">
        <is>
          <t>2</t>
        </is>
      </c>
      <c r="E148" s="76" t="inlineStr">
        <is>
          <t>Ms. Ingram</t>
        </is>
      </c>
      <c r="F148" s="76" t="n"/>
      <c r="G148" s="75">
        <f>IF(TRIM(E148)="","",TRIM(E148)&amp;" – "&amp;D148)</f>
        <v/>
      </c>
    </row>
    <row r="149">
      <c r="A149" s="75" t="inlineStr">
        <is>
          <t>S0148</t>
        </is>
      </c>
      <c r="B149" s="76" t="inlineStr">
        <is>
          <t>Amelia</t>
        </is>
      </c>
      <c r="C149" s="76" t="inlineStr">
        <is>
          <t>Williams</t>
        </is>
      </c>
      <c r="D149" s="77" t="inlineStr">
        <is>
          <t>2</t>
        </is>
      </c>
      <c r="E149" s="76" t="inlineStr">
        <is>
          <t>Ms. Ingram</t>
        </is>
      </c>
      <c r="F149" s="76" t="n"/>
      <c r="G149" s="75">
        <f>IF(TRIM(E149)="","",TRIM(E149)&amp;" – "&amp;D149)</f>
        <v/>
      </c>
    </row>
    <row r="150">
      <c r="A150" s="75" t="inlineStr">
        <is>
          <t>S0149</t>
        </is>
      </c>
      <c r="B150" s="76" t="inlineStr">
        <is>
          <t>Samuel</t>
        </is>
      </c>
      <c r="C150" s="76" t="inlineStr">
        <is>
          <t>Perez</t>
        </is>
      </c>
      <c r="D150" s="77" t="inlineStr">
        <is>
          <t>2</t>
        </is>
      </c>
      <c r="E150" s="76" t="inlineStr">
        <is>
          <t>Ms. Ingram</t>
        </is>
      </c>
      <c r="F150" s="76" t="n"/>
      <c r="G150" s="75">
        <f>IF(TRIM(E150)="","",TRIM(E150)&amp;" – "&amp;D150)</f>
        <v/>
      </c>
    </row>
    <row r="151">
      <c r="A151" s="75" t="inlineStr">
        <is>
          <t>S0150</t>
        </is>
      </c>
      <c r="B151" s="76" t="inlineStr">
        <is>
          <t>Valentina</t>
        </is>
      </c>
      <c r="C151" s="76" t="inlineStr">
        <is>
          <t>Hernandez</t>
        </is>
      </c>
      <c r="D151" s="77" t="inlineStr">
        <is>
          <t>2</t>
        </is>
      </c>
      <c r="E151" s="76" t="inlineStr">
        <is>
          <t>Ms. Ingram</t>
        </is>
      </c>
      <c r="F151" s="76" t="n"/>
      <c r="G151" s="75">
        <f>IF(TRIM(E151)="","",TRIM(E151)&amp;" – "&amp;D151)</f>
        <v/>
      </c>
    </row>
    <row r="152">
      <c r="A152" s="75" t="inlineStr">
        <is>
          <t>S0151</t>
        </is>
      </c>
      <c r="B152" s="76" t="inlineStr">
        <is>
          <t>Luna</t>
        </is>
      </c>
      <c r="C152" s="76" t="inlineStr">
        <is>
          <t>Sanchez</t>
        </is>
      </c>
      <c r="D152" s="77" t="inlineStr">
        <is>
          <t>2</t>
        </is>
      </c>
      <c r="E152" s="76" t="inlineStr">
        <is>
          <t>Ms. Ingram</t>
        </is>
      </c>
      <c r="F152" s="76" t="n"/>
      <c r="G152" s="75">
        <f>IF(TRIM(E152)="","",TRIM(E152)&amp;" – "&amp;D152)</f>
        <v/>
      </c>
    </row>
    <row r="153">
      <c r="A153" s="75" t="inlineStr">
        <is>
          <t>S0152</t>
        </is>
      </c>
      <c r="B153" s="76" t="inlineStr">
        <is>
          <t>Nora</t>
        </is>
      </c>
      <c r="C153" s="76" t="inlineStr">
        <is>
          <t>Morales</t>
        </is>
      </c>
      <c r="D153" s="77" t="inlineStr">
        <is>
          <t>2</t>
        </is>
      </c>
      <c r="E153" s="76" t="inlineStr">
        <is>
          <t>Ms. Ingram</t>
        </is>
      </c>
      <c r="F153" s="76" t="n"/>
      <c r="G153" s="75">
        <f>IF(TRIM(E153)="","",TRIM(E153)&amp;" – "&amp;D153)</f>
        <v/>
      </c>
    </row>
    <row r="154">
      <c r="A154" s="75" t="inlineStr">
        <is>
          <t>S0153</t>
        </is>
      </c>
      <c r="B154" s="76" t="inlineStr">
        <is>
          <t>Benjamin</t>
        </is>
      </c>
      <c r="C154" s="76" t="inlineStr">
        <is>
          <t>Walsh</t>
        </is>
      </c>
      <c r="D154" s="77" t="inlineStr">
        <is>
          <t>2</t>
        </is>
      </c>
      <c r="E154" s="76" t="inlineStr">
        <is>
          <t>Ms. Ingram</t>
        </is>
      </c>
      <c r="F154" s="76" t="n"/>
      <c r="G154" s="75">
        <f>IF(TRIM(E154)="","",TRIM(E154)&amp;" – "&amp;D154)</f>
        <v/>
      </c>
    </row>
    <row r="155">
      <c r="A155" s="75" t="inlineStr">
        <is>
          <t>S0154</t>
        </is>
      </c>
      <c r="B155" s="76" t="inlineStr">
        <is>
          <t>Camila</t>
        </is>
      </c>
      <c r="C155" s="76" t="inlineStr">
        <is>
          <t>Reyes</t>
        </is>
      </c>
      <c r="D155" s="77" t="inlineStr">
        <is>
          <t>2</t>
        </is>
      </c>
      <c r="E155" s="76" t="inlineStr">
        <is>
          <t>Ms. Ingram</t>
        </is>
      </c>
      <c r="F155" s="76" t="n"/>
      <c r="G155" s="75">
        <f>IF(TRIM(E155)="","",TRIM(E155)&amp;" – "&amp;D155)</f>
        <v/>
      </c>
    </row>
    <row r="156">
      <c r="A156" s="75" t="inlineStr">
        <is>
          <t>S0155</t>
        </is>
      </c>
      <c r="B156" s="76" t="inlineStr">
        <is>
          <t>Evelyn</t>
        </is>
      </c>
      <c r="C156" s="76" t="inlineStr">
        <is>
          <t>Perez</t>
        </is>
      </c>
      <c r="D156" s="77" t="inlineStr">
        <is>
          <t>2</t>
        </is>
      </c>
      <c r="E156" s="76" t="inlineStr">
        <is>
          <t>Ms. Ingram</t>
        </is>
      </c>
      <c r="F156" s="76" t="n"/>
      <c r="G156" s="75">
        <f>IF(TRIM(E156)="","",TRIM(E156)&amp;" – "&amp;D156)</f>
        <v/>
      </c>
    </row>
    <row r="157">
      <c r="A157" s="75" t="inlineStr">
        <is>
          <t>S0156</t>
        </is>
      </c>
      <c r="B157" s="76" t="inlineStr">
        <is>
          <t>Amelia</t>
        </is>
      </c>
      <c r="C157" s="76" t="inlineStr">
        <is>
          <t>Gomez</t>
        </is>
      </c>
      <c r="D157" s="77" t="inlineStr">
        <is>
          <t>2</t>
        </is>
      </c>
      <c r="E157" s="76" t="inlineStr">
        <is>
          <t>Ms. Ingram</t>
        </is>
      </c>
      <c r="F157" s="76" t="n"/>
      <c r="G157" s="75">
        <f>IF(TRIM(E157)="","",TRIM(E157)&amp;" – "&amp;D157)</f>
        <v/>
      </c>
    </row>
    <row r="158">
      <c r="A158" s="75" t="inlineStr">
        <is>
          <t>S0157</t>
        </is>
      </c>
      <c r="B158" s="76" t="inlineStr">
        <is>
          <t>Camila</t>
        </is>
      </c>
      <c r="C158" s="76" t="inlineStr">
        <is>
          <t>Garcia</t>
        </is>
      </c>
      <c r="D158" s="77" t="inlineStr">
        <is>
          <t>2</t>
        </is>
      </c>
      <c r="E158" s="76" t="inlineStr">
        <is>
          <t>Ms. Ingram</t>
        </is>
      </c>
      <c r="F158" s="76" t="n"/>
      <c r="G158" s="75">
        <f>IF(TRIM(E158)="","",TRIM(E158)&amp;" – "&amp;D158)</f>
        <v/>
      </c>
    </row>
    <row r="159">
      <c r="A159" s="75" t="inlineStr">
        <is>
          <t>S0158</t>
        </is>
      </c>
      <c r="B159" s="76" t="inlineStr">
        <is>
          <t>Grace</t>
        </is>
      </c>
      <c r="C159" s="76" t="inlineStr">
        <is>
          <t>Gomez</t>
        </is>
      </c>
      <c r="D159" s="77" t="inlineStr">
        <is>
          <t>2</t>
        </is>
      </c>
      <c r="E159" s="76" t="inlineStr">
        <is>
          <t>Ms. Ingram</t>
        </is>
      </c>
      <c r="F159" s="76" t="n"/>
      <c r="G159" s="75">
        <f>IF(TRIM(E159)="","",TRIM(E159)&amp;" – "&amp;D159)</f>
        <v/>
      </c>
    </row>
    <row r="160">
      <c r="A160" s="75" t="inlineStr">
        <is>
          <t>S0159</t>
        </is>
      </c>
      <c r="B160" s="76" t="inlineStr">
        <is>
          <t>Grace</t>
        </is>
      </c>
      <c r="C160" s="76" t="inlineStr">
        <is>
          <t>Garcia</t>
        </is>
      </c>
      <c r="D160" s="77" t="inlineStr">
        <is>
          <t>2</t>
        </is>
      </c>
      <c r="E160" s="76" t="inlineStr">
        <is>
          <t>Ms. Ingram</t>
        </is>
      </c>
      <c r="F160" s="76" t="n"/>
      <c r="G160" s="75">
        <f>IF(TRIM(E160)="","",TRIM(E160)&amp;" – "&amp;D160)</f>
        <v/>
      </c>
    </row>
    <row r="161">
      <c r="A161" s="75" t="inlineStr">
        <is>
          <t>S0160</t>
        </is>
      </c>
      <c r="B161" s="76" t="inlineStr">
        <is>
          <t>Santiago</t>
        </is>
      </c>
      <c r="C161" s="76" t="inlineStr">
        <is>
          <t>Williams</t>
        </is>
      </c>
      <c r="D161" s="77" t="inlineStr">
        <is>
          <t>2</t>
        </is>
      </c>
      <c r="E161" s="76" t="inlineStr">
        <is>
          <t>Ms. Ingram</t>
        </is>
      </c>
      <c r="F161" s="76" t="n"/>
      <c r="G161" s="75">
        <f>IF(TRIM(E161)="","",TRIM(E161)&amp;" – "&amp;D161)</f>
        <v/>
      </c>
    </row>
    <row r="162">
      <c r="A162" s="75" t="inlineStr">
        <is>
          <t>S0161</t>
        </is>
      </c>
      <c r="B162" s="76" t="inlineStr">
        <is>
          <t>James</t>
        </is>
      </c>
      <c r="C162" s="76" t="inlineStr">
        <is>
          <t>Martinez</t>
        </is>
      </c>
      <c r="D162" s="77" t="inlineStr">
        <is>
          <t>2</t>
        </is>
      </c>
      <c r="E162" s="76" t="inlineStr">
        <is>
          <t>Ms. Ingram</t>
        </is>
      </c>
      <c r="F162" s="76" t="n"/>
      <c r="G162" s="75">
        <f>IF(TRIM(E162)="","",TRIM(E162)&amp;" – "&amp;D162)</f>
        <v/>
      </c>
    </row>
    <row r="163">
      <c r="A163" s="75" t="inlineStr">
        <is>
          <t>S0162</t>
        </is>
      </c>
      <c r="B163" s="76" t="inlineStr">
        <is>
          <t>Henry</t>
        </is>
      </c>
      <c r="C163" s="76" t="inlineStr">
        <is>
          <t>Brown</t>
        </is>
      </c>
      <c r="D163" s="77" t="inlineStr">
        <is>
          <t>2</t>
        </is>
      </c>
      <c r="E163" s="76" t="inlineStr">
        <is>
          <t>Ms. Ingram</t>
        </is>
      </c>
      <c r="F163" s="76" t="n"/>
      <c r="G163" s="75">
        <f>IF(TRIM(E163)="","",TRIM(E163)&amp;" – "&amp;D163)</f>
        <v/>
      </c>
    </row>
    <row r="164">
      <c r="A164" s="75" t="inlineStr">
        <is>
          <t>S0163</t>
        </is>
      </c>
      <c r="B164" s="76" t="inlineStr">
        <is>
          <t>Valentina</t>
        </is>
      </c>
      <c r="C164" s="76" t="inlineStr">
        <is>
          <t>Sullivan</t>
        </is>
      </c>
      <c r="D164" s="77" t="inlineStr">
        <is>
          <t>2</t>
        </is>
      </c>
      <c r="E164" s="76" t="inlineStr">
        <is>
          <t>Ms. Ingram</t>
        </is>
      </c>
      <c r="F164" s="76" t="n"/>
      <c r="G164" s="75">
        <f>IF(TRIM(E164)="","",TRIM(E164)&amp;" – "&amp;D164)</f>
        <v/>
      </c>
    </row>
    <row r="165">
      <c r="A165" s="75" t="inlineStr">
        <is>
          <t>S0164</t>
        </is>
      </c>
      <c r="B165" s="76" t="inlineStr">
        <is>
          <t>Ella</t>
        </is>
      </c>
      <c r="C165" s="76" t="inlineStr">
        <is>
          <t>Gutierrez</t>
        </is>
      </c>
      <c r="D165" s="77" t="inlineStr">
        <is>
          <t>2</t>
        </is>
      </c>
      <c r="E165" s="76" t="inlineStr">
        <is>
          <t>Ms. Ingram</t>
        </is>
      </c>
      <c r="F165" s="76" t="n"/>
      <c r="G165" s="75">
        <f>IF(TRIM(E165)="","",TRIM(E165)&amp;" – "&amp;D165)</f>
        <v/>
      </c>
    </row>
    <row r="166">
      <c r="A166" s="75" t="inlineStr">
        <is>
          <t>S0165</t>
        </is>
      </c>
      <c r="B166" s="76" t="inlineStr">
        <is>
          <t>Evelyn</t>
        </is>
      </c>
      <c r="C166" s="76" t="inlineStr">
        <is>
          <t>Vasquez</t>
        </is>
      </c>
      <c r="D166" s="77" t="inlineStr">
        <is>
          <t>2</t>
        </is>
      </c>
      <c r="E166" s="76" t="inlineStr">
        <is>
          <t>Mrs. Jensen</t>
        </is>
      </c>
      <c r="F166" s="76" t="n"/>
      <c r="G166" s="75">
        <f>IF(TRIM(E166)="","",TRIM(E166)&amp;" – "&amp;D166)</f>
        <v/>
      </c>
    </row>
    <row r="167">
      <c r="A167" s="75" t="inlineStr">
        <is>
          <t>S0166</t>
        </is>
      </c>
      <c r="B167" s="76" t="inlineStr">
        <is>
          <t>Maya</t>
        </is>
      </c>
      <c r="C167" s="76" t="inlineStr">
        <is>
          <t>Ryan</t>
        </is>
      </c>
      <c r="D167" s="77" t="inlineStr">
        <is>
          <t>2</t>
        </is>
      </c>
      <c r="E167" s="76" t="inlineStr">
        <is>
          <t>Mrs. Jensen</t>
        </is>
      </c>
      <c r="F167" s="76" t="n"/>
      <c r="G167" s="75">
        <f>IF(TRIM(E167)="","",TRIM(E167)&amp;" – "&amp;D167)</f>
        <v/>
      </c>
    </row>
    <row r="168">
      <c r="A168" s="75" t="inlineStr">
        <is>
          <t>S0167</t>
        </is>
      </c>
      <c r="B168" s="76" t="inlineStr">
        <is>
          <t>Isabella</t>
        </is>
      </c>
      <c r="C168" s="76" t="inlineStr">
        <is>
          <t>Ruiz</t>
        </is>
      </c>
      <c r="D168" s="77" t="inlineStr">
        <is>
          <t>2</t>
        </is>
      </c>
      <c r="E168" s="76" t="inlineStr">
        <is>
          <t>Mrs. Jensen</t>
        </is>
      </c>
      <c r="F168" s="76" t="n"/>
      <c r="G168" s="75">
        <f>IF(TRIM(E168)="","",TRIM(E168)&amp;" – "&amp;D168)</f>
        <v/>
      </c>
    </row>
    <row r="169">
      <c r="A169" s="75" t="inlineStr">
        <is>
          <t>S0168</t>
        </is>
      </c>
      <c r="B169" s="76" t="inlineStr">
        <is>
          <t>Evelyn</t>
        </is>
      </c>
      <c r="C169" s="76" t="inlineStr">
        <is>
          <t>Byrne</t>
        </is>
      </c>
      <c r="D169" s="77" t="inlineStr">
        <is>
          <t>2</t>
        </is>
      </c>
      <c r="E169" s="76" t="inlineStr">
        <is>
          <t>Mrs. Jensen</t>
        </is>
      </c>
      <c r="F169" s="76" t="n"/>
      <c r="G169" s="75">
        <f>IF(TRIM(E169)="","",TRIM(E169)&amp;" – "&amp;D169)</f>
        <v/>
      </c>
    </row>
    <row r="170">
      <c r="A170" s="75" t="inlineStr">
        <is>
          <t>S0169</t>
        </is>
      </c>
      <c r="B170" s="76" t="inlineStr">
        <is>
          <t>Elijah</t>
        </is>
      </c>
      <c r="C170" s="76" t="inlineStr">
        <is>
          <t>Byrne</t>
        </is>
      </c>
      <c r="D170" s="77" t="inlineStr">
        <is>
          <t>2</t>
        </is>
      </c>
      <c r="E170" s="76" t="inlineStr">
        <is>
          <t>Mrs. Jensen</t>
        </is>
      </c>
      <c r="F170" s="76" t="n"/>
      <c r="G170" s="75">
        <f>IF(TRIM(E170)="","",TRIM(E170)&amp;" – "&amp;D170)</f>
        <v/>
      </c>
    </row>
    <row r="171">
      <c r="A171" s="75" t="inlineStr">
        <is>
          <t>S0170</t>
        </is>
      </c>
      <c r="B171" s="76" t="inlineStr">
        <is>
          <t>Diego</t>
        </is>
      </c>
      <c r="C171" s="76" t="inlineStr">
        <is>
          <t>Chavez</t>
        </is>
      </c>
      <c r="D171" s="77" t="inlineStr">
        <is>
          <t>2</t>
        </is>
      </c>
      <c r="E171" s="76" t="inlineStr">
        <is>
          <t>Mrs. Jensen</t>
        </is>
      </c>
      <c r="F171" s="76" t="n"/>
      <c r="G171" s="75">
        <f>IF(TRIM(E171)="","",TRIM(E171)&amp;" – "&amp;D171)</f>
        <v/>
      </c>
    </row>
    <row r="172">
      <c r="A172" s="75" t="inlineStr">
        <is>
          <t>S0171</t>
        </is>
      </c>
      <c r="B172" s="76" t="inlineStr">
        <is>
          <t>Nora</t>
        </is>
      </c>
      <c r="C172" s="76" t="inlineStr">
        <is>
          <t>Gomez</t>
        </is>
      </c>
      <c r="D172" s="77" t="inlineStr">
        <is>
          <t>2</t>
        </is>
      </c>
      <c r="E172" s="76" t="inlineStr">
        <is>
          <t>Mrs. Jensen</t>
        </is>
      </c>
      <c r="F172" s="76" t="n"/>
      <c r="G172" s="75">
        <f>IF(TRIM(E172)="","",TRIM(E172)&amp;" – "&amp;D172)</f>
        <v/>
      </c>
    </row>
    <row r="173">
      <c r="A173" s="75" t="inlineStr">
        <is>
          <t>S0172</t>
        </is>
      </c>
      <c r="B173" s="76" t="inlineStr">
        <is>
          <t>Chloe</t>
        </is>
      </c>
      <c r="C173" s="76" t="inlineStr">
        <is>
          <t>Reyes</t>
        </is>
      </c>
      <c r="D173" s="77" t="inlineStr">
        <is>
          <t>2</t>
        </is>
      </c>
      <c r="E173" s="76" t="inlineStr">
        <is>
          <t>Mrs. Jensen</t>
        </is>
      </c>
      <c r="F173" s="76" t="n"/>
      <c r="G173" s="75">
        <f>IF(TRIM(E173)="","",TRIM(E173)&amp;" – "&amp;D173)</f>
        <v/>
      </c>
    </row>
    <row r="174">
      <c r="A174" s="75" t="inlineStr">
        <is>
          <t>S0173</t>
        </is>
      </c>
      <c r="B174" s="76" t="inlineStr">
        <is>
          <t>Luna</t>
        </is>
      </c>
      <c r="C174" s="76" t="inlineStr">
        <is>
          <t>Hernandez</t>
        </is>
      </c>
      <c r="D174" s="77" t="inlineStr">
        <is>
          <t>2</t>
        </is>
      </c>
      <c r="E174" s="76" t="inlineStr">
        <is>
          <t>Mrs. Jensen</t>
        </is>
      </c>
      <c r="F174" s="76" t="n"/>
      <c r="G174" s="75">
        <f>IF(TRIM(E174)="","",TRIM(E174)&amp;" – "&amp;D174)</f>
        <v/>
      </c>
    </row>
    <row r="175">
      <c r="A175" s="75" t="inlineStr">
        <is>
          <t>S0174</t>
        </is>
      </c>
      <c r="B175" s="76" t="inlineStr">
        <is>
          <t>Samuel</t>
        </is>
      </c>
      <c r="C175" s="76" t="inlineStr">
        <is>
          <t>Martinez</t>
        </is>
      </c>
      <c r="D175" s="77" t="inlineStr">
        <is>
          <t>2</t>
        </is>
      </c>
      <c r="E175" s="76" t="inlineStr">
        <is>
          <t>Mrs. Jensen</t>
        </is>
      </c>
      <c r="F175" s="76" t="n"/>
      <c r="G175" s="75">
        <f>IF(TRIM(E175)="","",TRIM(E175)&amp;" – "&amp;D175)</f>
        <v/>
      </c>
    </row>
    <row r="176">
      <c r="A176" s="75" t="inlineStr">
        <is>
          <t>S0175</t>
        </is>
      </c>
      <c r="B176" s="76" t="inlineStr">
        <is>
          <t>Harper</t>
        </is>
      </c>
      <c r="C176" s="76" t="inlineStr">
        <is>
          <t>Ortiz</t>
        </is>
      </c>
      <c r="D176" s="77" t="inlineStr">
        <is>
          <t>2</t>
        </is>
      </c>
      <c r="E176" s="76" t="inlineStr">
        <is>
          <t>Mrs. Jensen</t>
        </is>
      </c>
      <c r="F176" s="76" t="n"/>
      <c r="G176" s="75">
        <f>IF(TRIM(E176)="","",TRIM(E176)&amp;" – "&amp;D176)</f>
        <v/>
      </c>
    </row>
    <row r="177">
      <c r="A177" s="75" t="inlineStr">
        <is>
          <t>S0176</t>
        </is>
      </c>
      <c r="B177" s="76" t="inlineStr">
        <is>
          <t>Harper</t>
        </is>
      </c>
      <c r="C177" s="76" t="inlineStr">
        <is>
          <t>Brown</t>
        </is>
      </c>
      <c r="D177" s="77" t="inlineStr">
        <is>
          <t>2</t>
        </is>
      </c>
      <c r="E177" s="76" t="inlineStr">
        <is>
          <t>Mrs. Jensen</t>
        </is>
      </c>
      <c r="F177" s="76" t="n"/>
      <c r="G177" s="75">
        <f>IF(TRIM(E177)="","",TRIM(E177)&amp;" – "&amp;D177)</f>
        <v/>
      </c>
    </row>
    <row r="178">
      <c r="A178" s="75" t="inlineStr">
        <is>
          <t>S0177</t>
        </is>
      </c>
      <c r="B178" s="76" t="inlineStr">
        <is>
          <t>Henry</t>
        </is>
      </c>
      <c r="C178" s="76" t="inlineStr">
        <is>
          <t>Alvarez</t>
        </is>
      </c>
      <c r="D178" s="77" t="inlineStr">
        <is>
          <t>2</t>
        </is>
      </c>
      <c r="E178" s="76" t="inlineStr">
        <is>
          <t>Mrs. Jensen</t>
        </is>
      </c>
      <c r="F178" s="76" t="n"/>
      <c r="G178" s="75">
        <f>IF(TRIM(E178)="","",TRIM(E178)&amp;" – "&amp;D178)</f>
        <v/>
      </c>
    </row>
    <row r="179">
      <c r="A179" s="75" t="inlineStr">
        <is>
          <t>S0178</t>
        </is>
      </c>
      <c r="B179" s="76" t="inlineStr">
        <is>
          <t>Mateo</t>
        </is>
      </c>
      <c r="C179" s="76" t="inlineStr">
        <is>
          <t>Murphy</t>
        </is>
      </c>
      <c r="D179" s="77" t="inlineStr">
        <is>
          <t>2</t>
        </is>
      </c>
      <c r="E179" s="76" t="inlineStr">
        <is>
          <t>Mrs. Jensen</t>
        </is>
      </c>
      <c r="F179" s="76" t="n"/>
      <c r="G179" s="75">
        <f>IF(TRIM(E179)="","",TRIM(E179)&amp;" – "&amp;D179)</f>
        <v/>
      </c>
    </row>
    <row r="180">
      <c r="A180" s="75" t="inlineStr">
        <is>
          <t>S0179</t>
        </is>
      </c>
      <c r="B180" s="76" t="inlineStr">
        <is>
          <t>Leo</t>
        </is>
      </c>
      <c r="C180" s="76" t="inlineStr">
        <is>
          <t>Ramirez</t>
        </is>
      </c>
      <c r="D180" s="77" t="inlineStr">
        <is>
          <t>2</t>
        </is>
      </c>
      <c r="E180" s="76" t="inlineStr">
        <is>
          <t>Mrs. Jensen</t>
        </is>
      </c>
      <c r="F180" s="76" t="n"/>
      <c r="G180" s="75">
        <f>IF(TRIM(E180)="","",TRIM(E180)&amp;" – "&amp;D180)</f>
        <v/>
      </c>
    </row>
    <row r="181">
      <c r="A181" s="75" t="inlineStr">
        <is>
          <t>S0180</t>
        </is>
      </c>
      <c r="B181" s="76" t="inlineStr">
        <is>
          <t>Adrian</t>
        </is>
      </c>
      <c r="C181" s="76" t="inlineStr">
        <is>
          <t>Hernandez</t>
        </is>
      </c>
      <c r="D181" s="77" t="inlineStr">
        <is>
          <t>2</t>
        </is>
      </c>
      <c r="E181" s="76" t="inlineStr">
        <is>
          <t>Mrs. Jensen</t>
        </is>
      </c>
      <c r="F181" s="76" t="n"/>
      <c r="G181" s="75">
        <f>IF(TRIM(E181)="","",TRIM(E181)&amp;" – "&amp;D181)</f>
        <v/>
      </c>
    </row>
    <row r="182">
      <c r="A182" s="75" t="inlineStr">
        <is>
          <t>S0181</t>
        </is>
      </c>
      <c r="B182" s="76" t="inlineStr">
        <is>
          <t>Diego</t>
        </is>
      </c>
      <c r="C182" s="76" t="inlineStr">
        <is>
          <t>Perez</t>
        </is>
      </c>
      <c r="D182" s="77" t="inlineStr">
        <is>
          <t>2</t>
        </is>
      </c>
      <c r="E182" s="76" t="inlineStr">
        <is>
          <t>Mrs. Jensen</t>
        </is>
      </c>
      <c r="F182" s="76" t="n"/>
      <c r="G182" s="75">
        <f>IF(TRIM(E182)="","",TRIM(E182)&amp;" – "&amp;D182)</f>
        <v/>
      </c>
    </row>
    <row r="183">
      <c r="A183" s="75" t="inlineStr">
        <is>
          <t>S0182</t>
        </is>
      </c>
      <c r="B183" s="76" t="inlineStr">
        <is>
          <t>Nicolas</t>
        </is>
      </c>
      <c r="C183" s="76" t="inlineStr">
        <is>
          <t>Brown</t>
        </is>
      </c>
      <c r="D183" s="77" t="inlineStr">
        <is>
          <t>2</t>
        </is>
      </c>
      <c r="E183" s="76" t="inlineStr">
        <is>
          <t>Mrs. Jensen</t>
        </is>
      </c>
      <c r="F183" s="76" t="n"/>
      <c r="G183" s="75">
        <f>IF(TRIM(E183)="","",TRIM(E183)&amp;" – "&amp;D183)</f>
        <v/>
      </c>
    </row>
    <row r="184">
      <c r="A184" s="75" t="inlineStr">
        <is>
          <t>S0183</t>
        </is>
      </c>
      <c r="B184" s="76" t="inlineStr">
        <is>
          <t>Diego</t>
        </is>
      </c>
      <c r="C184" s="76" t="inlineStr">
        <is>
          <t>Lopez</t>
        </is>
      </c>
      <c r="D184" s="77" t="inlineStr">
        <is>
          <t>2</t>
        </is>
      </c>
      <c r="E184" s="76" t="inlineStr">
        <is>
          <t>Mrs. Jensen</t>
        </is>
      </c>
      <c r="F184" s="76" t="n"/>
      <c r="G184" s="75">
        <f>IF(TRIM(E184)="","",TRIM(E184)&amp;" – "&amp;D184)</f>
        <v/>
      </c>
    </row>
    <row r="185">
      <c r="A185" s="75" t="inlineStr">
        <is>
          <t>S0184</t>
        </is>
      </c>
      <c r="B185" s="76" t="inlineStr">
        <is>
          <t>Luna</t>
        </is>
      </c>
      <c r="C185" s="76" t="inlineStr">
        <is>
          <t>Byrne</t>
        </is>
      </c>
      <c r="D185" s="77" t="inlineStr">
        <is>
          <t>2</t>
        </is>
      </c>
      <c r="E185" s="76" t="inlineStr">
        <is>
          <t>Mrs. Jensen</t>
        </is>
      </c>
      <c r="F185" s="76" t="n"/>
      <c r="G185" s="75">
        <f>IF(TRIM(E185)="","",TRIM(E185)&amp;" – "&amp;D185)</f>
        <v/>
      </c>
    </row>
    <row r="186">
      <c r="A186" s="75" t="inlineStr">
        <is>
          <t>S0185</t>
        </is>
      </c>
      <c r="B186" s="76" t="inlineStr">
        <is>
          <t>Thomas</t>
        </is>
      </c>
      <c r="C186" s="76" t="inlineStr">
        <is>
          <t>Cruz</t>
        </is>
      </c>
      <c r="D186" s="77" t="inlineStr">
        <is>
          <t>3</t>
        </is>
      </c>
      <c r="E186" s="76" t="inlineStr">
        <is>
          <t>Mr. Kowalski</t>
        </is>
      </c>
      <c r="F186" s="76" t="n"/>
      <c r="G186" s="75">
        <f>IF(TRIM(E186)="","",TRIM(E186)&amp;" – "&amp;D186)</f>
        <v/>
      </c>
    </row>
    <row r="187">
      <c r="A187" s="75" t="inlineStr">
        <is>
          <t>S0186</t>
        </is>
      </c>
      <c r="B187" s="76" t="inlineStr">
        <is>
          <t>Mateo</t>
        </is>
      </c>
      <c r="C187" s="76" t="inlineStr">
        <is>
          <t>Mendoza</t>
        </is>
      </c>
      <c r="D187" s="77" t="inlineStr">
        <is>
          <t>3</t>
        </is>
      </c>
      <c r="E187" s="76" t="inlineStr">
        <is>
          <t>Mr. Kowalski</t>
        </is>
      </c>
      <c r="F187" s="76" t="n"/>
      <c r="G187" s="75">
        <f>IF(TRIM(E187)="","",TRIM(E187)&amp;" – "&amp;D187)</f>
        <v/>
      </c>
    </row>
    <row r="188">
      <c r="A188" s="75" t="inlineStr">
        <is>
          <t>S0187</t>
        </is>
      </c>
      <c r="B188" s="76" t="inlineStr">
        <is>
          <t>Luna</t>
        </is>
      </c>
      <c r="C188" s="76" t="inlineStr">
        <is>
          <t>Alvarez</t>
        </is>
      </c>
      <c r="D188" s="77" t="inlineStr">
        <is>
          <t>3</t>
        </is>
      </c>
      <c r="E188" s="76" t="inlineStr">
        <is>
          <t>Mr. Kowalski</t>
        </is>
      </c>
      <c r="F188" s="76" t="n"/>
      <c r="G188" s="75">
        <f>IF(TRIM(E188)="","",TRIM(E188)&amp;" – "&amp;D188)</f>
        <v/>
      </c>
    </row>
    <row r="189">
      <c r="A189" s="75" t="inlineStr">
        <is>
          <t>S0188</t>
        </is>
      </c>
      <c r="B189" s="76" t="inlineStr">
        <is>
          <t>Chloe</t>
        </is>
      </c>
      <c r="C189" s="76" t="inlineStr">
        <is>
          <t>Ramos</t>
        </is>
      </c>
      <c r="D189" s="77" t="inlineStr">
        <is>
          <t>3</t>
        </is>
      </c>
      <c r="E189" s="76" t="inlineStr">
        <is>
          <t>Mr. Kowalski</t>
        </is>
      </c>
      <c r="F189" s="76" t="n"/>
      <c r="G189" s="75">
        <f>IF(TRIM(E189)="","",TRIM(E189)&amp;" – "&amp;D189)</f>
        <v/>
      </c>
    </row>
    <row r="190">
      <c r="A190" s="75" t="inlineStr">
        <is>
          <t>S0189</t>
        </is>
      </c>
      <c r="B190" s="76" t="inlineStr">
        <is>
          <t>James</t>
        </is>
      </c>
      <c r="C190" s="76" t="inlineStr">
        <is>
          <t>Alvarez</t>
        </is>
      </c>
      <c r="D190" s="77" t="inlineStr">
        <is>
          <t>3</t>
        </is>
      </c>
      <c r="E190" s="76" t="inlineStr">
        <is>
          <t>Mr. Kowalski</t>
        </is>
      </c>
      <c r="F190" s="76" t="n"/>
      <c r="G190" s="75">
        <f>IF(TRIM(E190)="","",TRIM(E190)&amp;" – "&amp;D190)</f>
        <v/>
      </c>
    </row>
    <row r="191">
      <c r="A191" s="75" t="inlineStr">
        <is>
          <t>S0190</t>
        </is>
      </c>
      <c r="B191" s="76" t="inlineStr">
        <is>
          <t>Clara</t>
        </is>
      </c>
      <c r="C191" s="76" t="inlineStr">
        <is>
          <t>Flores</t>
        </is>
      </c>
      <c r="D191" s="77" t="inlineStr">
        <is>
          <t>3</t>
        </is>
      </c>
      <c r="E191" s="76" t="inlineStr">
        <is>
          <t>Mr. Kowalski</t>
        </is>
      </c>
      <c r="F191" s="76" t="n"/>
      <c r="G191" s="75">
        <f>IF(TRIM(E191)="","",TRIM(E191)&amp;" – "&amp;D191)</f>
        <v/>
      </c>
    </row>
    <row r="192">
      <c r="A192" s="75" t="inlineStr">
        <is>
          <t>S0191</t>
        </is>
      </c>
      <c r="B192" s="76" t="inlineStr">
        <is>
          <t>Emma</t>
        </is>
      </c>
      <c r="C192" s="76" t="inlineStr">
        <is>
          <t>Sanchez</t>
        </is>
      </c>
      <c r="D192" s="77" t="inlineStr">
        <is>
          <t>3</t>
        </is>
      </c>
      <c r="E192" s="76" t="inlineStr">
        <is>
          <t>Mr. Kowalski</t>
        </is>
      </c>
      <c r="F192" s="76" t="n"/>
      <c r="G192" s="75">
        <f>IF(TRIM(E192)="","",TRIM(E192)&amp;" – "&amp;D192)</f>
        <v/>
      </c>
    </row>
    <row r="193">
      <c r="A193" s="75" t="inlineStr">
        <is>
          <t>S0192</t>
        </is>
      </c>
      <c r="B193" s="76" t="inlineStr">
        <is>
          <t>Aria</t>
        </is>
      </c>
      <c r="C193" s="76" t="inlineStr">
        <is>
          <t>Martinez</t>
        </is>
      </c>
      <c r="D193" s="77" t="inlineStr">
        <is>
          <t>3</t>
        </is>
      </c>
      <c r="E193" s="76" t="inlineStr">
        <is>
          <t>Mr. Kowalski</t>
        </is>
      </c>
      <c r="F193" s="76" t="n"/>
      <c r="G193" s="75">
        <f>IF(TRIM(E193)="","",TRIM(E193)&amp;" – "&amp;D193)</f>
        <v/>
      </c>
    </row>
    <row r="194">
      <c r="A194" s="75" t="inlineStr">
        <is>
          <t>S0193</t>
        </is>
      </c>
      <c r="B194" s="76" t="inlineStr">
        <is>
          <t>Clara</t>
        </is>
      </c>
      <c r="C194" s="76" t="inlineStr">
        <is>
          <t>Murphy</t>
        </is>
      </c>
      <c r="D194" s="77" t="inlineStr">
        <is>
          <t>3</t>
        </is>
      </c>
      <c r="E194" s="76" t="inlineStr">
        <is>
          <t>Mr. Kowalski</t>
        </is>
      </c>
      <c r="F194" s="76" t="n"/>
      <c r="G194" s="75">
        <f>IF(TRIM(E194)="","",TRIM(E194)&amp;" – "&amp;D194)</f>
        <v/>
      </c>
    </row>
    <row r="195">
      <c r="A195" s="75" t="inlineStr">
        <is>
          <t>S0194</t>
        </is>
      </c>
      <c r="B195" s="76" t="inlineStr">
        <is>
          <t>Adrian</t>
        </is>
      </c>
      <c r="C195" s="76" t="inlineStr">
        <is>
          <t>Ruiz</t>
        </is>
      </c>
      <c r="D195" s="77" t="inlineStr">
        <is>
          <t>3</t>
        </is>
      </c>
      <c r="E195" s="76" t="inlineStr">
        <is>
          <t>Mr. Kowalski</t>
        </is>
      </c>
      <c r="F195" s="76" t="n"/>
      <c r="G195" s="75">
        <f>IF(TRIM(E195)="","",TRIM(E195)&amp;" – "&amp;D195)</f>
        <v/>
      </c>
    </row>
    <row r="196">
      <c r="A196" s="75" t="inlineStr">
        <is>
          <t>S0195</t>
        </is>
      </c>
      <c r="B196" s="76" t="inlineStr">
        <is>
          <t>Amelia</t>
        </is>
      </c>
      <c r="C196" s="76" t="inlineStr">
        <is>
          <t>Gonzalez</t>
        </is>
      </c>
      <c r="D196" s="77" t="inlineStr">
        <is>
          <t>3</t>
        </is>
      </c>
      <c r="E196" s="76" t="inlineStr">
        <is>
          <t>Mr. Kowalski</t>
        </is>
      </c>
      <c r="F196" s="76" t="n"/>
      <c r="G196" s="75">
        <f>IF(TRIM(E196)="","",TRIM(E196)&amp;" – "&amp;D196)</f>
        <v/>
      </c>
    </row>
    <row r="197">
      <c r="A197" s="75" t="inlineStr">
        <is>
          <t>S0196</t>
        </is>
      </c>
      <c r="B197" s="76" t="inlineStr">
        <is>
          <t>Mia</t>
        </is>
      </c>
      <c r="C197" s="76" t="inlineStr">
        <is>
          <t>Martinez</t>
        </is>
      </c>
      <c r="D197" s="77" t="inlineStr">
        <is>
          <t>3</t>
        </is>
      </c>
      <c r="E197" s="76" t="inlineStr">
        <is>
          <t>Mr. Kowalski</t>
        </is>
      </c>
      <c r="F197" s="76" t="n"/>
      <c r="G197" s="75">
        <f>IF(TRIM(E197)="","",TRIM(E197)&amp;" – "&amp;D197)</f>
        <v/>
      </c>
    </row>
    <row r="198">
      <c r="A198" s="75" t="inlineStr">
        <is>
          <t>S0197</t>
        </is>
      </c>
      <c r="B198" s="76" t="inlineStr">
        <is>
          <t>Mateo</t>
        </is>
      </c>
      <c r="C198" s="76" t="inlineStr">
        <is>
          <t>Diaz</t>
        </is>
      </c>
      <c r="D198" s="77" t="inlineStr">
        <is>
          <t>3</t>
        </is>
      </c>
      <c r="E198" s="76" t="inlineStr">
        <is>
          <t>Mr. Kowalski</t>
        </is>
      </c>
      <c r="F198" s="76" t="n"/>
      <c r="G198" s="75">
        <f>IF(TRIM(E198)="","",TRIM(E198)&amp;" – "&amp;D198)</f>
        <v/>
      </c>
    </row>
    <row r="199">
      <c r="A199" s="75" t="inlineStr">
        <is>
          <t>S0198</t>
        </is>
      </c>
      <c r="B199" s="76" t="inlineStr">
        <is>
          <t>Aria</t>
        </is>
      </c>
      <c r="C199" s="76" t="inlineStr">
        <is>
          <t>Kim</t>
        </is>
      </c>
      <c r="D199" s="77" t="inlineStr">
        <is>
          <t>3</t>
        </is>
      </c>
      <c r="E199" s="76" t="inlineStr">
        <is>
          <t>Mr. Kowalski</t>
        </is>
      </c>
      <c r="F199" s="76" t="n"/>
      <c r="G199" s="75">
        <f>IF(TRIM(E199)="","",TRIM(E199)&amp;" – "&amp;D199)</f>
        <v/>
      </c>
    </row>
    <row r="200">
      <c r="A200" s="75" t="inlineStr">
        <is>
          <t>S0199</t>
        </is>
      </c>
      <c r="B200" s="76" t="inlineStr">
        <is>
          <t>Evelyn</t>
        </is>
      </c>
      <c r="C200" s="76" t="inlineStr">
        <is>
          <t>Rodriguez</t>
        </is>
      </c>
      <c r="D200" s="77" t="inlineStr">
        <is>
          <t>3</t>
        </is>
      </c>
      <c r="E200" s="76" t="inlineStr">
        <is>
          <t>Mr. Kowalski</t>
        </is>
      </c>
      <c r="F200" s="76" t="n"/>
      <c r="G200" s="75">
        <f>IF(TRIM(E200)="","",TRIM(E200)&amp;" – "&amp;D200)</f>
        <v/>
      </c>
    </row>
    <row r="201">
      <c r="A201" s="75" t="inlineStr">
        <is>
          <t>S0200</t>
        </is>
      </c>
      <c r="B201" s="76" t="inlineStr">
        <is>
          <t>Elena</t>
        </is>
      </c>
      <c r="C201" s="76" t="inlineStr">
        <is>
          <t>Walsh</t>
        </is>
      </c>
      <c r="D201" s="77" t="inlineStr">
        <is>
          <t>3</t>
        </is>
      </c>
      <c r="E201" s="76" t="inlineStr">
        <is>
          <t>Mr. Kowalski</t>
        </is>
      </c>
      <c r="F201" s="76" t="n"/>
      <c r="G201" s="75">
        <f>IF(TRIM(E201)="","",TRIM(E201)&amp;" – "&amp;D201)</f>
        <v/>
      </c>
    </row>
    <row r="202">
      <c r="A202" s="75" t="inlineStr">
        <is>
          <t>S0201</t>
        </is>
      </c>
      <c r="B202" s="76" t="inlineStr">
        <is>
          <t>Lucas</t>
        </is>
      </c>
      <c r="C202" s="76" t="inlineStr">
        <is>
          <t>Sanchez</t>
        </is>
      </c>
      <c r="D202" s="77" t="inlineStr">
        <is>
          <t>3</t>
        </is>
      </c>
      <c r="E202" s="76" t="inlineStr">
        <is>
          <t>Mr. Kowalski</t>
        </is>
      </c>
      <c r="F202" s="76" t="n"/>
      <c r="G202" s="75">
        <f>IF(TRIM(E202)="","",TRIM(E202)&amp;" – "&amp;D202)</f>
        <v/>
      </c>
    </row>
    <row r="203">
      <c r="A203" s="75" t="inlineStr">
        <is>
          <t>S0202</t>
        </is>
      </c>
      <c r="B203" s="76" t="inlineStr">
        <is>
          <t>Adrian</t>
        </is>
      </c>
      <c r="C203" s="76" t="inlineStr">
        <is>
          <t>Lopez</t>
        </is>
      </c>
      <c r="D203" s="77" t="inlineStr">
        <is>
          <t>3</t>
        </is>
      </c>
      <c r="E203" s="76" t="inlineStr">
        <is>
          <t>Mr. Kowalski</t>
        </is>
      </c>
      <c r="F203" s="76" t="n"/>
      <c r="G203" s="75">
        <f>IF(TRIM(E203)="","",TRIM(E203)&amp;" – "&amp;D203)</f>
        <v/>
      </c>
    </row>
    <row r="204">
      <c r="A204" s="75" t="inlineStr">
        <is>
          <t>S0203</t>
        </is>
      </c>
      <c r="B204" s="76" t="inlineStr">
        <is>
          <t>Thomas</t>
        </is>
      </c>
      <c r="C204" s="76" t="inlineStr">
        <is>
          <t>Patel</t>
        </is>
      </c>
      <c r="D204" s="77" t="inlineStr">
        <is>
          <t>3</t>
        </is>
      </c>
      <c r="E204" s="76" t="inlineStr">
        <is>
          <t>Mr. Kowalski</t>
        </is>
      </c>
      <c r="F204" s="76" t="n"/>
      <c r="G204" s="75">
        <f>IF(TRIM(E204)="","",TRIM(E204)&amp;" – "&amp;D204)</f>
        <v/>
      </c>
    </row>
    <row r="205">
      <c r="A205" s="75" t="inlineStr">
        <is>
          <t>S0204</t>
        </is>
      </c>
      <c r="B205" s="76" t="inlineStr">
        <is>
          <t>Amelia</t>
        </is>
      </c>
      <c r="C205" s="76" t="inlineStr">
        <is>
          <t>Ortiz</t>
        </is>
      </c>
      <c r="D205" s="77" t="inlineStr">
        <is>
          <t>3</t>
        </is>
      </c>
      <c r="E205" s="76" t="inlineStr">
        <is>
          <t>Mr. Kowalski</t>
        </is>
      </c>
      <c r="F205" s="76" t="n"/>
      <c r="G205" s="75">
        <f>IF(TRIM(E205)="","",TRIM(E205)&amp;" – "&amp;D205)</f>
        <v/>
      </c>
    </row>
    <row r="206">
      <c r="A206" s="75" t="inlineStr">
        <is>
          <t>S0205</t>
        </is>
      </c>
      <c r="B206" s="76" t="inlineStr">
        <is>
          <t>Elena</t>
        </is>
      </c>
      <c r="C206" s="76" t="inlineStr">
        <is>
          <t>O'Brien</t>
        </is>
      </c>
      <c r="D206" s="77" t="inlineStr">
        <is>
          <t>3</t>
        </is>
      </c>
      <c r="E206" s="76" t="inlineStr">
        <is>
          <t>Mrs. Lindqvist</t>
        </is>
      </c>
      <c r="F206" s="76" t="n"/>
      <c r="G206" s="75">
        <f>IF(TRIM(E206)="","",TRIM(E206)&amp;" – "&amp;D206)</f>
        <v/>
      </c>
    </row>
    <row r="207">
      <c r="A207" s="75" t="inlineStr">
        <is>
          <t>S0206</t>
        </is>
      </c>
      <c r="B207" s="76" t="inlineStr">
        <is>
          <t>Evelyn</t>
        </is>
      </c>
      <c r="C207" s="76" t="inlineStr">
        <is>
          <t>Hernandez</t>
        </is>
      </c>
      <c r="D207" s="77" t="inlineStr">
        <is>
          <t>3</t>
        </is>
      </c>
      <c r="E207" s="76" t="inlineStr">
        <is>
          <t>Mrs. Lindqvist</t>
        </is>
      </c>
      <c r="F207" s="76" t="n"/>
      <c r="G207" s="75">
        <f>IF(TRIM(E207)="","",TRIM(E207)&amp;" – "&amp;D207)</f>
        <v/>
      </c>
    </row>
    <row r="208">
      <c r="A208" s="75" t="inlineStr">
        <is>
          <t>S0207</t>
        </is>
      </c>
      <c r="B208" s="76" t="inlineStr">
        <is>
          <t>Clara</t>
        </is>
      </c>
      <c r="C208" s="76" t="inlineStr">
        <is>
          <t>Garcia</t>
        </is>
      </c>
      <c r="D208" s="77" t="inlineStr">
        <is>
          <t>3</t>
        </is>
      </c>
      <c r="E208" s="76" t="inlineStr">
        <is>
          <t>Mrs. Lindqvist</t>
        </is>
      </c>
      <c r="F208" s="76" t="n"/>
      <c r="G208" s="75">
        <f>IF(TRIM(E208)="","",TRIM(E208)&amp;" – "&amp;D208)</f>
        <v/>
      </c>
    </row>
    <row r="209">
      <c r="A209" s="75" t="inlineStr">
        <is>
          <t>S0208</t>
        </is>
      </c>
      <c r="B209" s="76" t="inlineStr">
        <is>
          <t>Elena</t>
        </is>
      </c>
      <c r="C209" s="76" t="inlineStr">
        <is>
          <t>Rivera</t>
        </is>
      </c>
      <c r="D209" s="77" t="inlineStr">
        <is>
          <t>3</t>
        </is>
      </c>
      <c r="E209" s="76" t="inlineStr">
        <is>
          <t>Mrs. Lindqvist</t>
        </is>
      </c>
      <c r="F209" s="76" t="n"/>
      <c r="G209" s="75">
        <f>IF(TRIM(E209)="","",TRIM(E209)&amp;" – "&amp;D209)</f>
        <v/>
      </c>
    </row>
    <row r="210">
      <c r="A210" s="75" t="inlineStr">
        <is>
          <t>S0209</t>
        </is>
      </c>
      <c r="B210" s="76" t="inlineStr">
        <is>
          <t>Zoe</t>
        </is>
      </c>
      <c r="C210" s="76" t="inlineStr">
        <is>
          <t>Hernandez</t>
        </is>
      </c>
      <c r="D210" s="77" t="inlineStr">
        <is>
          <t>3</t>
        </is>
      </c>
      <c r="E210" s="76" t="inlineStr">
        <is>
          <t>Mrs. Lindqvist</t>
        </is>
      </c>
      <c r="F210" s="76" t="n"/>
      <c r="G210" s="75">
        <f>IF(TRIM(E210)="","",TRIM(E210)&amp;" – "&amp;D210)</f>
        <v/>
      </c>
    </row>
    <row r="211">
      <c r="A211" s="75" t="inlineStr">
        <is>
          <t>S0210</t>
        </is>
      </c>
      <c r="B211" s="76" t="inlineStr">
        <is>
          <t>Mia</t>
        </is>
      </c>
      <c r="C211" s="76" t="inlineStr">
        <is>
          <t>Patel</t>
        </is>
      </c>
      <c r="D211" s="77" t="inlineStr">
        <is>
          <t>3</t>
        </is>
      </c>
      <c r="E211" s="76" t="inlineStr">
        <is>
          <t>Mrs. Lindqvist</t>
        </is>
      </c>
      <c r="F211" s="76" t="n"/>
      <c r="G211" s="75">
        <f>IF(TRIM(E211)="","",TRIM(E211)&amp;" – "&amp;D211)</f>
        <v/>
      </c>
    </row>
    <row r="212">
      <c r="A212" s="75" t="inlineStr">
        <is>
          <t>S0211</t>
        </is>
      </c>
      <c r="B212" s="76" t="inlineStr">
        <is>
          <t>Liam</t>
        </is>
      </c>
      <c r="C212" s="76" t="inlineStr">
        <is>
          <t>Ruiz</t>
        </is>
      </c>
      <c r="D212" s="77" t="inlineStr">
        <is>
          <t>3</t>
        </is>
      </c>
      <c r="E212" s="76" t="inlineStr">
        <is>
          <t>Mrs. Lindqvist</t>
        </is>
      </c>
      <c r="F212" s="76" t="n"/>
      <c r="G212" s="75">
        <f>IF(TRIM(E212)="","",TRIM(E212)&amp;" – "&amp;D212)</f>
        <v/>
      </c>
    </row>
    <row r="213">
      <c r="A213" s="75" t="inlineStr">
        <is>
          <t>S0212</t>
        </is>
      </c>
      <c r="B213" s="76" t="inlineStr">
        <is>
          <t>Gabriel</t>
        </is>
      </c>
      <c r="C213" s="76" t="inlineStr">
        <is>
          <t>Flores</t>
        </is>
      </c>
      <c r="D213" s="77" t="inlineStr">
        <is>
          <t>3</t>
        </is>
      </c>
      <c r="E213" s="76" t="inlineStr">
        <is>
          <t>Mrs. Lindqvist</t>
        </is>
      </c>
      <c r="F213" s="76" t="n"/>
      <c r="G213" s="75">
        <f>IF(TRIM(E213)="","",TRIM(E213)&amp;" – "&amp;D213)</f>
        <v/>
      </c>
    </row>
    <row r="214">
      <c r="A214" s="75" t="inlineStr">
        <is>
          <t>S0213</t>
        </is>
      </c>
      <c r="B214" s="76" t="inlineStr">
        <is>
          <t>Adrian</t>
        </is>
      </c>
      <c r="C214" s="76" t="inlineStr">
        <is>
          <t>Diaz</t>
        </is>
      </c>
      <c r="D214" s="77" t="inlineStr">
        <is>
          <t>3</t>
        </is>
      </c>
      <c r="E214" s="76" t="inlineStr">
        <is>
          <t>Mrs. Lindqvist</t>
        </is>
      </c>
      <c r="F214" s="76" t="n"/>
      <c r="G214" s="75">
        <f>IF(TRIM(E214)="","",TRIM(E214)&amp;" – "&amp;D214)</f>
        <v/>
      </c>
    </row>
    <row r="215">
      <c r="A215" s="75" t="inlineStr">
        <is>
          <t>S0214</t>
        </is>
      </c>
      <c r="B215" s="76" t="inlineStr">
        <is>
          <t>Gabriel</t>
        </is>
      </c>
      <c r="C215" s="76" t="inlineStr">
        <is>
          <t>Gutierrez</t>
        </is>
      </c>
      <c r="D215" s="77" t="inlineStr">
        <is>
          <t>3</t>
        </is>
      </c>
      <c r="E215" s="76" t="inlineStr">
        <is>
          <t>Mrs. Lindqvist</t>
        </is>
      </c>
      <c r="F215" s="76" t="n"/>
      <c r="G215" s="75">
        <f>IF(TRIM(E215)="","",TRIM(E215)&amp;" – "&amp;D215)</f>
        <v/>
      </c>
    </row>
    <row r="216">
      <c r="A216" s="75" t="inlineStr">
        <is>
          <t>S0215</t>
        </is>
      </c>
      <c r="B216" s="76" t="inlineStr">
        <is>
          <t>Joseph</t>
        </is>
      </c>
      <c r="C216" s="76" t="inlineStr">
        <is>
          <t>Vasquez</t>
        </is>
      </c>
      <c r="D216" s="77" t="inlineStr">
        <is>
          <t>3</t>
        </is>
      </c>
      <c r="E216" s="76" t="inlineStr">
        <is>
          <t>Mrs. Lindqvist</t>
        </is>
      </c>
      <c r="F216" s="76" t="n"/>
      <c r="G216" s="75">
        <f>IF(TRIM(E216)="","",TRIM(E216)&amp;" – "&amp;D216)</f>
        <v/>
      </c>
    </row>
    <row r="217">
      <c r="A217" s="75" t="inlineStr">
        <is>
          <t>S0216</t>
        </is>
      </c>
      <c r="B217" s="76" t="inlineStr">
        <is>
          <t>Adrian</t>
        </is>
      </c>
      <c r="C217" s="76" t="inlineStr">
        <is>
          <t>Kim</t>
        </is>
      </c>
      <c r="D217" s="77" t="inlineStr">
        <is>
          <t>3</t>
        </is>
      </c>
      <c r="E217" s="76" t="inlineStr">
        <is>
          <t>Mrs. Lindqvist</t>
        </is>
      </c>
      <c r="F217" s="76" t="n"/>
      <c r="G217" s="75">
        <f>IF(TRIM(E217)="","",TRIM(E217)&amp;" – "&amp;D217)</f>
        <v/>
      </c>
    </row>
    <row r="218">
      <c r="A218" s="75" t="inlineStr">
        <is>
          <t>S0217</t>
        </is>
      </c>
      <c r="B218" s="76" t="inlineStr">
        <is>
          <t>Julian</t>
        </is>
      </c>
      <c r="C218" s="76" t="inlineStr">
        <is>
          <t>Cruz</t>
        </is>
      </c>
      <c r="D218" s="77" t="inlineStr">
        <is>
          <t>3</t>
        </is>
      </c>
      <c r="E218" s="76" t="inlineStr">
        <is>
          <t>Mrs. Lindqvist</t>
        </is>
      </c>
      <c r="F218" s="76" t="n"/>
      <c r="G218" s="75">
        <f>IF(TRIM(E218)="","",TRIM(E218)&amp;" – "&amp;D218)</f>
        <v/>
      </c>
    </row>
    <row r="219">
      <c r="A219" s="75" t="inlineStr">
        <is>
          <t>S0218</t>
        </is>
      </c>
      <c r="B219" s="76" t="inlineStr">
        <is>
          <t>Ava</t>
        </is>
      </c>
      <c r="C219" s="76" t="inlineStr">
        <is>
          <t>Perez</t>
        </is>
      </c>
      <c r="D219" s="77" t="inlineStr">
        <is>
          <t>3</t>
        </is>
      </c>
      <c r="E219" s="76" t="inlineStr">
        <is>
          <t>Mrs. Lindqvist</t>
        </is>
      </c>
      <c r="F219" s="76" t="n"/>
      <c r="G219" s="75">
        <f>IF(TRIM(E219)="","",TRIM(E219)&amp;" – "&amp;D219)</f>
        <v/>
      </c>
    </row>
    <row r="220">
      <c r="A220" s="75" t="inlineStr">
        <is>
          <t>S0219</t>
        </is>
      </c>
      <c r="B220" s="76" t="inlineStr">
        <is>
          <t>Elena</t>
        </is>
      </c>
      <c r="C220" s="76" t="inlineStr">
        <is>
          <t>Alvarez</t>
        </is>
      </c>
      <c r="D220" s="77" t="inlineStr">
        <is>
          <t>3</t>
        </is>
      </c>
      <c r="E220" s="76" t="inlineStr">
        <is>
          <t>Mrs. Lindqvist</t>
        </is>
      </c>
      <c r="F220" s="76" t="n"/>
      <c r="G220" s="75">
        <f>IF(TRIM(E220)="","",TRIM(E220)&amp;" – "&amp;D220)</f>
        <v/>
      </c>
    </row>
    <row r="221">
      <c r="A221" s="75" t="inlineStr">
        <is>
          <t>S0220</t>
        </is>
      </c>
      <c r="B221" s="76" t="inlineStr">
        <is>
          <t>Liam</t>
        </is>
      </c>
      <c r="C221" s="76" t="inlineStr">
        <is>
          <t>Nguyen</t>
        </is>
      </c>
      <c r="D221" s="77" t="inlineStr">
        <is>
          <t>3</t>
        </is>
      </c>
      <c r="E221" s="76" t="inlineStr">
        <is>
          <t>Mrs. Lindqvist</t>
        </is>
      </c>
      <c r="F221" s="76" t="n"/>
      <c r="G221" s="75">
        <f>IF(TRIM(E221)="","",TRIM(E221)&amp;" – "&amp;D221)</f>
        <v/>
      </c>
    </row>
    <row r="222">
      <c r="A222" s="75" t="inlineStr">
        <is>
          <t>S0221</t>
        </is>
      </c>
      <c r="B222" s="76" t="inlineStr">
        <is>
          <t>Sofia</t>
        </is>
      </c>
      <c r="C222" s="76" t="inlineStr">
        <is>
          <t>Gutierrez</t>
        </is>
      </c>
      <c r="D222" s="77" t="inlineStr">
        <is>
          <t>3</t>
        </is>
      </c>
      <c r="E222" s="76" t="inlineStr">
        <is>
          <t>Mrs. Lindqvist</t>
        </is>
      </c>
      <c r="F222" s="76" t="n"/>
      <c r="G222" s="75">
        <f>IF(TRIM(E222)="","",TRIM(E222)&amp;" – "&amp;D222)</f>
        <v/>
      </c>
    </row>
    <row r="223">
      <c r="A223" s="75" t="inlineStr">
        <is>
          <t>S0222</t>
        </is>
      </c>
      <c r="B223" s="76" t="inlineStr">
        <is>
          <t>Isaac</t>
        </is>
      </c>
      <c r="C223" s="76" t="inlineStr">
        <is>
          <t>Alvarez</t>
        </is>
      </c>
      <c r="D223" s="77" t="inlineStr">
        <is>
          <t>3</t>
        </is>
      </c>
      <c r="E223" s="76" t="inlineStr">
        <is>
          <t>Mrs. Lindqvist</t>
        </is>
      </c>
      <c r="F223" s="76" t="n"/>
      <c r="G223" s="75">
        <f>IF(TRIM(E223)="","",TRIM(E223)&amp;" – "&amp;D223)</f>
        <v/>
      </c>
    </row>
    <row r="224">
      <c r="A224" s="75" t="inlineStr">
        <is>
          <t>S0223</t>
        </is>
      </c>
      <c r="B224" s="76" t="inlineStr">
        <is>
          <t>Isabella</t>
        </is>
      </c>
      <c r="C224" s="76" t="inlineStr">
        <is>
          <t>Sanchez</t>
        </is>
      </c>
      <c r="D224" s="77" t="inlineStr">
        <is>
          <t>3</t>
        </is>
      </c>
      <c r="E224" s="76" t="inlineStr">
        <is>
          <t>Mrs. Lindqvist</t>
        </is>
      </c>
      <c r="F224" s="76" t="n"/>
      <c r="G224" s="75">
        <f>IF(TRIM(E224)="","",TRIM(E224)&amp;" – "&amp;D224)</f>
        <v/>
      </c>
    </row>
    <row r="225">
      <c r="A225" s="75" t="inlineStr">
        <is>
          <t>S0224</t>
        </is>
      </c>
      <c r="B225" s="76" t="inlineStr">
        <is>
          <t>Lucas</t>
        </is>
      </c>
      <c r="C225" s="76" t="inlineStr">
        <is>
          <t>Cruz</t>
        </is>
      </c>
      <c r="D225" s="77" t="inlineStr">
        <is>
          <t>3</t>
        </is>
      </c>
      <c r="E225" s="76" t="inlineStr">
        <is>
          <t>Mrs. Lindqvist</t>
        </is>
      </c>
      <c r="F225" s="76" t="n"/>
      <c r="G225" s="75">
        <f>IF(TRIM(E225)="","",TRIM(E225)&amp;" – "&amp;D225)</f>
        <v/>
      </c>
    </row>
    <row r="226">
      <c r="A226" s="75" t="inlineStr">
        <is>
          <t>S0225</t>
        </is>
      </c>
      <c r="B226" s="76" t="inlineStr">
        <is>
          <t>Gabriel</t>
        </is>
      </c>
      <c r="C226" s="76" t="inlineStr">
        <is>
          <t>Murphy</t>
        </is>
      </c>
      <c r="D226" s="77" t="inlineStr">
        <is>
          <t>4</t>
        </is>
      </c>
      <c r="E226" s="76" t="inlineStr">
        <is>
          <t>Ms. Moreau</t>
        </is>
      </c>
      <c r="F226" s="76" t="n"/>
      <c r="G226" s="75">
        <f>IF(TRIM(E226)="","",TRIM(E226)&amp;" – "&amp;D226)</f>
        <v/>
      </c>
    </row>
    <row r="227">
      <c r="A227" s="75" t="inlineStr">
        <is>
          <t>S0226</t>
        </is>
      </c>
      <c r="B227" s="76" t="inlineStr">
        <is>
          <t>Amelia</t>
        </is>
      </c>
      <c r="C227" s="76" t="inlineStr">
        <is>
          <t>Rodriguez</t>
        </is>
      </c>
      <c r="D227" s="77" t="inlineStr">
        <is>
          <t>4</t>
        </is>
      </c>
      <c r="E227" s="76" t="inlineStr">
        <is>
          <t>Ms. Moreau</t>
        </is>
      </c>
      <c r="F227" s="76" t="n"/>
      <c r="G227" s="75">
        <f>IF(TRIM(E227)="","",TRIM(E227)&amp;" – "&amp;D227)</f>
        <v/>
      </c>
    </row>
    <row r="228">
      <c r="A228" s="75" t="inlineStr">
        <is>
          <t>S0227</t>
        </is>
      </c>
      <c r="B228" s="76" t="inlineStr">
        <is>
          <t>Valentina</t>
        </is>
      </c>
      <c r="C228" s="76" t="inlineStr">
        <is>
          <t>Martinez</t>
        </is>
      </c>
      <c r="D228" s="77" t="inlineStr">
        <is>
          <t>4</t>
        </is>
      </c>
      <c r="E228" s="76" t="inlineStr">
        <is>
          <t>Ms. Moreau</t>
        </is>
      </c>
      <c r="F228" s="76" t="n"/>
      <c r="G228" s="75">
        <f>IF(TRIM(E228)="","",TRIM(E228)&amp;" – "&amp;D228)</f>
        <v/>
      </c>
    </row>
    <row r="229">
      <c r="A229" s="75" t="inlineStr">
        <is>
          <t>S0228</t>
        </is>
      </c>
      <c r="B229" s="76" t="inlineStr">
        <is>
          <t>Ella</t>
        </is>
      </c>
      <c r="C229" s="76" t="inlineStr">
        <is>
          <t>Lopez</t>
        </is>
      </c>
      <c r="D229" s="77" t="inlineStr">
        <is>
          <t>4</t>
        </is>
      </c>
      <c r="E229" s="76" t="inlineStr">
        <is>
          <t>Ms. Moreau</t>
        </is>
      </c>
      <c r="F229" s="76" t="n"/>
      <c r="G229" s="75">
        <f>IF(TRIM(E229)="","",TRIM(E229)&amp;" – "&amp;D229)</f>
        <v/>
      </c>
    </row>
    <row r="230">
      <c r="A230" s="75" t="inlineStr">
        <is>
          <t>S0229</t>
        </is>
      </c>
      <c r="B230" s="76" t="inlineStr">
        <is>
          <t>Daniel</t>
        </is>
      </c>
      <c r="C230" s="76" t="inlineStr">
        <is>
          <t>Ramos</t>
        </is>
      </c>
      <c r="D230" s="77" t="inlineStr">
        <is>
          <t>4</t>
        </is>
      </c>
      <c r="E230" s="76" t="inlineStr">
        <is>
          <t>Ms. Moreau</t>
        </is>
      </c>
      <c r="F230" s="76" t="n"/>
      <c r="G230" s="75">
        <f>IF(TRIM(E230)="","",TRIM(E230)&amp;" – "&amp;D230)</f>
        <v/>
      </c>
    </row>
    <row r="231">
      <c r="A231" s="75" t="inlineStr">
        <is>
          <t>S0230</t>
        </is>
      </c>
      <c r="B231" s="76" t="inlineStr">
        <is>
          <t>Aria</t>
        </is>
      </c>
      <c r="C231" s="76" t="inlineStr">
        <is>
          <t>O'Brien</t>
        </is>
      </c>
      <c r="D231" s="77" t="inlineStr">
        <is>
          <t>4</t>
        </is>
      </c>
      <c r="E231" s="76" t="inlineStr">
        <is>
          <t>Ms. Moreau</t>
        </is>
      </c>
      <c r="F231" s="76" t="n"/>
      <c r="G231" s="75">
        <f>IF(TRIM(E231)="","",TRIM(E231)&amp;" – "&amp;D231)</f>
        <v/>
      </c>
    </row>
    <row r="232">
      <c r="A232" s="75" t="inlineStr">
        <is>
          <t>S0231</t>
        </is>
      </c>
      <c r="B232" s="76" t="inlineStr">
        <is>
          <t>Thomas</t>
        </is>
      </c>
      <c r="C232" s="76" t="inlineStr">
        <is>
          <t>Perez</t>
        </is>
      </c>
      <c r="D232" s="77" t="inlineStr">
        <is>
          <t>4</t>
        </is>
      </c>
      <c r="E232" s="76" t="inlineStr">
        <is>
          <t>Ms. Moreau</t>
        </is>
      </c>
      <c r="F232" s="76" t="n"/>
      <c r="G232" s="75">
        <f>IF(TRIM(E232)="","",TRIM(E232)&amp;" – "&amp;D232)</f>
        <v/>
      </c>
    </row>
    <row r="233">
      <c r="A233" s="75" t="inlineStr">
        <is>
          <t>S0232</t>
        </is>
      </c>
      <c r="B233" s="76" t="inlineStr">
        <is>
          <t>Nora</t>
        </is>
      </c>
      <c r="C233" s="76" t="inlineStr">
        <is>
          <t>Williams</t>
        </is>
      </c>
      <c r="D233" s="77" t="inlineStr">
        <is>
          <t>4</t>
        </is>
      </c>
      <c r="E233" s="76" t="inlineStr">
        <is>
          <t>Ms. Moreau</t>
        </is>
      </c>
      <c r="F233" s="76" t="n"/>
      <c r="G233" s="75">
        <f>IF(TRIM(E233)="","",TRIM(E233)&amp;" – "&amp;D233)</f>
        <v/>
      </c>
    </row>
    <row r="234">
      <c r="A234" s="75" t="inlineStr">
        <is>
          <t>S0233</t>
        </is>
      </c>
      <c r="B234" s="76" t="inlineStr">
        <is>
          <t>Lucas</t>
        </is>
      </c>
      <c r="C234" s="76" t="inlineStr">
        <is>
          <t>Gonzalez</t>
        </is>
      </c>
      <c r="D234" s="77" t="inlineStr">
        <is>
          <t>4</t>
        </is>
      </c>
      <c r="E234" s="76" t="inlineStr">
        <is>
          <t>Ms. Moreau</t>
        </is>
      </c>
      <c r="F234" s="76" t="n"/>
      <c r="G234" s="75">
        <f>IF(TRIM(E234)="","",TRIM(E234)&amp;" – "&amp;D234)</f>
        <v/>
      </c>
    </row>
    <row r="235">
      <c r="A235" s="75" t="inlineStr">
        <is>
          <t>S0234</t>
        </is>
      </c>
      <c r="B235" s="76" t="inlineStr">
        <is>
          <t>Chloe</t>
        </is>
      </c>
      <c r="C235" s="76" t="inlineStr">
        <is>
          <t>Ortiz</t>
        </is>
      </c>
      <c r="D235" s="77" t="inlineStr">
        <is>
          <t>4</t>
        </is>
      </c>
      <c r="E235" s="76" t="inlineStr">
        <is>
          <t>Ms. Moreau</t>
        </is>
      </c>
      <c r="F235" s="76" t="n"/>
      <c r="G235" s="75">
        <f>IF(TRIM(E235)="","",TRIM(E235)&amp;" – "&amp;D235)</f>
        <v/>
      </c>
    </row>
    <row r="236">
      <c r="A236" s="75" t="inlineStr">
        <is>
          <t>S0235</t>
        </is>
      </c>
      <c r="B236" s="76" t="inlineStr">
        <is>
          <t>Adrian</t>
        </is>
      </c>
      <c r="C236" s="76" t="inlineStr">
        <is>
          <t>Gomez</t>
        </is>
      </c>
      <c r="D236" s="77" t="inlineStr">
        <is>
          <t>4</t>
        </is>
      </c>
      <c r="E236" s="76" t="inlineStr">
        <is>
          <t>Ms. Moreau</t>
        </is>
      </c>
      <c r="F236" s="76" t="n"/>
      <c r="G236" s="75">
        <f>IF(TRIM(E236)="","",TRIM(E236)&amp;" – "&amp;D236)</f>
        <v/>
      </c>
    </row>
    <row r="237">
      <c r="A237" s="75" t="inlineStr">
        <is>
          <t>S0236</t>
        </is>
      </c>
      <c r="B237" s="76" t="inlineStr">
        <is>
          <t>Henry</t>
        </is>
      </c>
      <c r="C237" s="76" t="inlineStr">
        <is>
          <t>Lopez</t>
        </is>
      </c>
      <c r="D237" s="77" t="inlineStr">
        <is>
          <t>4</t>
        </is>
      </c>
      <c r="E237" s="76" t="inlineStr">
        <is>
          <t>Ms. Moreau</t>
        </is>
      </c>
      <c r="F237" s="76" t="n"/>
      <c r="G237" s="75">
        <f>IF(TRIM(E237)="","",TRIM(E237)&amp;" – "&amp;D237)</f>
        <v/>
      </c>
    </row>
    <row r="238">
      <c r="A238" s="75" t="inlineStr">
        <is>
          <t>S0237</t>
        </is>
      </c>
      <c r="B238" s="76" t="inlineStr">
        <is>
          <t>Julian</t>
        </is>
      </c>
      <c r="C238" s="76" t="inlineStr">
        <is>
          <t>Ramirez</t>
        </is>
      </c>
      <c r="D238" s="77" t="inlineStr">
        <is>
          <t>4</t>
        </is>
      </c>
      <c r="E238" s="76" t="inlineStr">
        <is>
          <t>Ms. Moreau</t>
        </is>
      </c>
      <c r="F238" s="76" t="n"/>
      <c r="G238" s="75">
        <f>IF(TRIM(E238)="","",TRIM(E238)&amp;" – "&amp;D238)</f>
        <v/>
      </c>
    </row>
    <row r="239">
      <c r="A239" s="75" t="inlineStr">
        <is>
          <t>S0238</t>
        </is>
      </c>
      <c r="B239" s="76" t="inlineStr">
        <is>
          <t>Olivia</t>
        </is>
      </c>
      <c r="C239" s="76" t="inlineStr">
        <is>
          <t>Reyes</t>
        </is>
      </c>
      <c r="D239" s="77" t="inlineStr">
        <is>
          <t>4</t>
        </is>
      </c>
      <c r="E239" s="76" t="inlineStr">
        <is>
          <t>Ms. Moreau</t>
        </is>
      </c>
      <c r="F239" s="76" t="n"/>
      <c r="G239" s="75">
        <f>IF(TRIM(E239)="","",TRIM(E239)&amp;" – "&amp;D239)</f>
        <v/>
      </c>
    </row>
    <row r="240">
      <c r="A240" s="75" t="inlineStr">
        <is>
          <t>S0239</t>
        </is>
      </c>
      <c r="B240" s="76" t="inlineStr">
        <is>
          <t>Harper</t>
        </is>
      </c>
      <c r="C240" s="76" t="inlineStr">
        <is>
          <t>Murphy</t>
        </is>
      </c>
      <c r="D240" s="77" t="inlineStr">
        <is>
          <t>4</t>
        </is>
      </c>
      <c r="E240" s="76" t="inlineStr">
        <is>
          <t>Ms. Moreau</t>
        </is>
      </c>
      <c r="F240" s="76" t="n"/>
      <c r="G240" s="75">
        <f>IF(TRIM(E240)="","",TRIM(E240)&amp;" – "&amp;D240)</f>
        <v/>
      </c>
    </row>
    <row r="241">
      <c r="A241" s="75" t="inlineStr">
        <is>
          <t>S0240</t>
        </is>
      </c>
      <c r="B241" s="76" t="inlineStr">
        <is>
          <t>Harper</t>
        </is>
      </c>
      <c r="C241" s="76" t="inlineStr">
        <is>
          <t>Gutierrez</t>
        </is>
      </c>
      <c r="D241" s="77" t="inlineStr">
        <is>
          <t>4</t>
        </is>
      </c>
      <c r="E241" s="76" t="inlineStr">
        <is>
          <t>Ms. Moreau</t>
        </is>
      </c>
      <c r="F241" s="76" t="n"/>
      <c r="G241" s="75">
        <f>IF(TRIM(E241)="","",TRIM(E241)&amp;" – "&amp;D241)</f>
        <v/>
      </c>
    </row>
    <row r="242">
      <c r="A242" s="75" t="inlineStr">
        <is>
          <t>S0241</t>
        </is>
      </c>
      <c r="B242" s="76" t="inlineStr">
        <is>
          <t>Emma</t>
        </is>
      </c>
      <c r="C242" s="76" t="inlineStr">
        <is>
          <t>Ramos</t>
        </is>
      </c>
      <c r="D242" s="77" t="inlineStr">
        <is>
          <t>4</t>
        </is>
      </c>
      <c r="E242" s="76" t="inlineStr">
        <is>
          <t>Ms. Moreau</t>
        </is>
      </c>
      <c r="F242" s="76" t="n"/>
      <c r="G242" s="75">
        <f>IF(TRIM(E242)="","",TRIM(E242)&amp;" – "&amp;D242)</f>
        <v/>
      </c>
    </row>
    <row r="243">
      <c r="A243" s="75" t="inlineStr">
        <is>
          <t>S0242</t>
        </is>
      </c>
      <c r="B243" s="76" t="inlineStr">
        <is>
          <t>Ava</t>
        </is>
      </c>
      <c r="C243" s="76" t="inlineStr">
        <is>
          <t>Garcia</t>
        </is>
      </c>
      <c r="D243" s="77" t="inlineStr">
        <is>
          <t>4</t>
        </is>
      </c>
      <c r="E243" s="76" t="inlineStr">
        <is>
          <t>Ms. Moreau</t>
        </is>
      </c>
      <c r="F243" s="76" t="n"/>
      <c r="G243" s="75">
        <f>IF(TRIM(E243)="","",TRIM(E243)&amp;" – "&amp;D243)</f>
        <v/>
      </c>
    </row>
    <row r="244">
      <c r="A244" s="75" t="inlineStr">
        <is>
          <t>S0243</t>
        </is>
      </c>
      <c r="B244" s="76" t="inlineStr">
        <is>
          <t>Maya</t>
        </is>
      </c>
      <c r="C244" s="76" t="inlineStr">
        <is>
          <t>Kim</t>
        </is>
      </c>
      <c r="D244" s="77" t="inlineStr">
        <is>
          <t>4</t>
        </is>
      </c>
      <c r="E244" s="76" t="inlineStr">
        <is>
          <t>Ms. Moreau</t>
        </is>
      </c>
      <c r="F244" s="76" t="n"/>
      <c r="G244" s="75">
        <f>IF(TRIM(E244)="","",TRIM(E244)&amp;" – "&amp;D244)</f>
        <v/>
      </c>
    </row>
    <row r="245">
      <c r="A245" s="75" t="inlineStr">
        <is>
          <t>S0244</t>
        </is>
      </c>
      <c r="B245" s="76" t="inlineStr">
        <is>
          <t>Samuel</t>
        </is>
      </c>
      <c r="C245" s="76" t="inlineStr">
        <is>
          <t>Gutierrez</t>
        </is>
      </c>
      <c r="D245" s="77" t="inlineStr">
        <is>
          <t>4</t>
        </is>
      </c>
      <c r="E245" s="76" t="inlineStr">
        <is>
          <t>Ms. Moreau</t>
        </is>
      </c>
      <c r="F245" s="76" t="n"/>
      <c r="G245" s="75">
        <f>IF(TRIM(E245)="","",TRIM(E245)&amp;" – "&amp;D245)</f>
        <v/>
      </c>
    </row>
    <row r="246">
      <c r="A246" s="75" t="inlineStr">
        <is>
          <t>S0245</t>
        </is>
      </c>
      <c r="B246" s="76" t="inlineStr">
        <is>
          <t>Aria</t>
        </is>
      </c>
      <c r="C246" s="76" t="inlineStr">
        <is>
          <t>Perez</t>
        </is>
      </c>
      <c r="D246" s="77" t="inlineStr">
        <is>
          <t>4</t>
        </is>
      </c>
      <c r="E246" s="76" t="inlineStr">
        <is>
          <t>Mrs. Novak</t>
        </is>
      </c>
      <c r="F246" s="76" t="n"/>
      <c r="G246" s="75">
        <f>IF(TRIM(E246)="","",TRIM(E246)&amp;" – "&amp;D246)</f>
        <v/>
      </c>
    </row>
    <row r="247">
      <c r="A247" s="75" t="inlineStr">
        <is>
          <t>S0246</t>
        </is>
      </c>
      <c r="B247" s="76" t="inlineStr">
        <is>
          <t>Isaac</t>
        </is>
      </c>
      <c r="C247" s="76" t="inlineStr">
        <is>
          <t>Martinez</t>
        </is>
      </c>
      <c r="D247" s="77" t="inlineStr">
        <is>
          <t>4</t>
        </is>
      </c>
      <c r="E247" s="76" t="inlineStr">
        <is>
          <t>Mrs. Novak</t>
        </is>
      </c>
      <c r="F247" s="76" t="n"/>
      <c r="G247" s="75">
        <f>IF(TRIM(E247)="","",TRIM(E247)&amp;" – "&amp;D247)</f>
        <v/>
      </c>
    </row>
    <row r="248">
      <c r="A248" s="75" t="inlineStr">
        <is>
          <t>S0247</t>
        </is>
      </c>
      <c r="B248" s="76" t="inlineStr">
        <is>
          <t>Noah</t>
        </is>
      </c>
      <c r="C248" s="76" t="inlineStr">
        <is>
          <t>Morales</t>
        </is>
      </c>
      <c r="D248" s="77" t="inlineStr">
        <is>
          <t>4</t>
        </is>
      </c>
      <c r="E248" s="76" t="inlineStr">
        <is>
          <t>Mrs. Novak</t>
        </is>
      </c>
      <c r="F248" s="76" t="n"/>
      <c r="G248" s="75">
        <f>IF(TRIM(E248)="","",TRIM(E248)&amp;" – "&amp;D248)</f>
        <v/>
      </c>
    </row>
    <row r="249">
      <c r="A249" s="75" t="inlineStr">
        <is>
          <t>S0248</t>
        </is>
      </c>
      <c r="B249" s="76" t="inlineStr">
        <is>
          <t>Aria</t>
        </is>
      </c>
      <c r="C249" s="76" t="inlineStr">
        <is>
          <t>Gonzalez</t>
        </is>
      </c>
      <c r="D249" s="77" t="inlineStr">
        <is>
          <t>4</t>
        </is>
      </c>
      <c r="E249" s="76" t="inlineStr">
        <is>
          <t>Mrs. Novak</t>
        </is>
      </c>
      <c r="F249" s="76" t="n"/>
      <c r="G249" s="75">
        <f>IF(TRIM(E249)="","",TRIM(E249)&amp;" – "&amp;D249)</f>
        <v/>
      </c>
    </row>
    <row r="250">
      <c r="A250" s="75" t="inlineStr">
        <is>
          <t>S0249</t>
        </is>
      </c>
      <c r="B250" s="76" t="inlineStr">
        <is>
          <t>Olivia</t>
        </is>
      </c>
      <c r="C250" s="76" t="inlineStr">
        <is>
          <t>Martinez</t>
        </is>
      </c>
      <c r="D250" s="77" t="inlineStr">
        <is>
          <t>4</t>
        </is>
      </c>
      <c r="E250" s="76" t="inlineStr">
        <is>
          <t>Mrs. Novak</t>
        </is>
      </c>
      <c r="F250" s="76" t="n"/>
      <c r="G250" s="75">
        <f>IF(TRIM(E250)="","",TRIM(E250)&amp;" – "&amp;D250)</f>
        <v/>
      </c>
    </row>
    <row r="251">
      <c r="A251" s="75" t="inlineStr">
        <is>
          <t>S0250</t>
        </is>
      </c>
      <c r="B251" s="76" t="inlineStr">
        <is>
          <t>Diego</t>
        </is>
      </c>
      <c r="C251" s="76" t="inlineStr">
        <is>
          <t>Patel</t>
        </is>
      </c>
      <c r="D251" s="77" t="inlineStr">
        <is>
          <t>4</t>
        </is>
      </c>
      <c r="E251" s="76" t="inlineStr">
        <is>
          <t>Mrs. Novak</t>
        </is>
      </c>
      <c r="F251" s="76" t="n"/>
      <c r="G251" s="75">
        <f>IF(TRIM(E251)="","",TRIM(E251)&amp;" – "&amp;D251)</f>
        <v/>
      </c>
    </row>
    <row r="252">
      <c r="A252" s="75" t="inlineStr">
        <is>
          <t>S0251</t>
        </is>
      </c>
      <c r="B252" s="76" t="inlineStr">
        <is>
          <t>Gabriel</t>
        </is>
      </c>
      <c r="C252" s="76" t="inlineStr">
        <is>
          <t>Smith</t>
        </is>
      </c>
      <c r="D252" s="77" t="inlineStr">
        <is>
          <t>4</t>
        </is>
      </c>
      <c r="E252" s="76" t="inlineStr">
        <is>
          <t>Mrs. Novak</t>
        </is>
      </c>
      <c r="F252" s="76" t="n"/>
      <c r="G252" s="75">
        <f>IF(TRIM(E252)="","",TRIM(E252)&amp;" – "&amp;D252)</f>
        <v/>
      </c>
    </row>
    <row r="253">
      <c r="A253" s="75" t="inlineStr">
        <is>
          <t>S0252</t>
        </is>
      </c>
      <c r="B253" s="76" t="inlineStr">
        <is>
          <t>Gabriel</t>
        </is>
      </c>
      <c r="C253" s="76" t="inlineStr">
        <is>
          <t>Cruz</t>
        </is>
      </c>
      <c r="D253" s="77" t="inlineStr">
        <is>
          <t>4</t>
        </is>
      </c>
      <c r="E253" s="76" t="inlineStr">
        <is>
          <t>Mrs. Novak</t>
        </is>
      </c>
      <c r="F253" s="76" t="n"/>
      <c r="G253" s="75">
        <f>IF(TRIM(E253)="","",TRIM(E253)&amp;" – "&amp;D253)</f>
        <v/>
      </c>
    </row>
    <row r="254">
      <c r="A254" s="75" t="inlineStr">
        <is>
          <t>S0253</t>
        </is>
      </c>
      <c r="B254" s="76" t="inlineStr">
        <is>
          <t>Elijah</t>
        </is>
      </c>
      <c r="C254" s="76" t="inlineStr">
        <is>
          <t>Murphy</t>
        </is>
      </c>
      <c r="D254" s="77" t="inlineStr">
        <is>
          <t>4</t>
        </is>
      </c>
      <c r="E254" s="76" t="inlineStr">
        <is>
          <t>Mrs. Novak</t>
        </is>
      </c>
      <c r="F254" s="76" t="n"/>
      <c r="G254" s="75">
        <f>IF(TRIM(E254)="","",TRIM(E254)&amp;" – "&amp;D254)</f>
        <v/>
      </c>
    </row>
    <row r="255">
      <c r="A255" s="75" t="inlineStr">
        <is>
          <t>S0254</t>
        </is>
      </c>
      <c r="B255" s="76" t="inlineStr">
        <is>
          <t>Nicolas</t>
        </is>
      </c>
      <c r="C255" s="76" t="inlineStr">
        <is>
          <t>Rivera</t>
        </is>
      </c>
      <c r="D255" s="77" t="inlineStr">
        <is>
          <t>4</t>
        </is>
      </c>
      <c r="E255" s="76" t="inlineStr">
        <is>
          <t>Mrs. Novak</t>
        </is>
      </c>
      <c r="F255" s="76" t="n"/>
      <c r="G255" s="75">
        <f>IF(TRIM(E255)="","",TRIM(E255)&amp;" – "&amp;D255)</f>
        <v/>
      </c>
    </row>
    <row r="256">
      <c r="A256" s="75" t="inlineStr">
        <is>
          <t>S0255</t>
        </is>
      </c>
      <c r="B256" s="76" t="inlineStr">
        <is>
          <t>Evelyn</t>
        </is>
      </c>
      <c r="C256" s="76" t="inlineStr">
        <is>
          <t>Nguyen</t>
        </is>
      </c>
      <c r="D256" s="77" t="inlineStr">
        <is>
          <t>4</t>
        </is>
      </c>
      <c r="E256" s="76" t="inlineStr">
        <is>
          <t>Mrs. Novak</t>
        </is>
      </c>
      <c r="F256" s="76" t="n"/>
      <c r="G256" s="75">
        <f>IF(TRIM(E256)="","",TRIM(E256)&amp;" – "&amp;D256)</f>
        <v/>
      </c>
    </row>
    <row r="257">
      <c r="A257" s="75" t="inlineStr">
        <is>
          <t>S0256</t>
        </is>
      </c>
      <c r="B257" s="76" t="inlineStr">
        <is>
          <t>Valentina</t>
        </is>
      </c>
      <c r="C257" s="76" t="inlineStr">
        <is>
          <t>Smith</t>
        </is>
      </c>
      <c r="D257" s="77" t="inlineStr">
        <is>
          <t>4</t>
        </is>
      </c>
      <c r="E257" s="76" t="inlineStr">
        <is>
          <t>Mrs. Novak</t>
        </is>
      </c>
      <c r="F257" s="76" t="n"/>
      <c r="G257" s="75">
        <f>IF(TRIM(E257)="","",TRIM(E257)&amp;" – "&amp;D257)</f>
        <v/>
      </c>
    </row>
    <row r="258">
      <c r="A258" s="75" t="inlineStr">
        <is>
          <t>S0257</t>
        </is>
      </c>
      <c r="B258" s="76" t="inlineStr">
        <is>
          <t>Chloe</t>
        </is>
      </c>
      <c r="C258" s="76" t="inlineStr">
        <is>
          <t>Gomez</t>
        </is>
      </c>
      <c r="D258" s="77" t="inlineStr">
        <is>
          <t>4</t>
        </is>
      </c>
      <c r="E258" s="76" t="inlineStr">
        <is>
          <t>Mrs. Novak</t>
        </is>
      </c>
      <c r="F258" s="76" t="n"/>
      <c r="G258" s="75">
        <f>IF(TRIM(E258)="","",TRIM(E258)&amp;" – "&amp;D258)</f>
        <v/>
      </c>
    </row>
    <row r="259">
      <c r="A259" s="75" t="inlineStr">
        <is>
          <t>S0258</t>
        </is>
      </c>
      <c r="B259" s="76" t="inlineStr">
        <is>
          <t>Nicolas</t>
        </is>
      </c>
      <c r="C259" s="76" t="inlineStr">
        <is>
          <t>Cruz</t>
        </is>
      </c>
      <c r="D259" s="77" t="inlineStr">
        <is>
          <t>4</t>
        </is>
      </c>
      <c r="E259" s="76" t="inlineStr">
        <is>
          <t>Mrs. Novak</t>
        </is>
      </c>
      <c r="F259" s="76" t="n"/>
      <c r="G259" s="75">
        <f>IF(TRIM(E259)="","",TRIM(E259)&amp;" – "&amp;D259)</f>
        <v/>
      </c>
    </row>
    <row r="260">
      <c r="A260" s="75" t="inlineStr">
        <is>
          <t>S0259</t>
        </is>
      </c>
      <c r="B260" s="76" t="inlineStr">
        <is>
          <t>Thomas</t>
        </is>
      </c>
      <c r="C260" s="76" t="inlineStr">
        <is>
          <t>Brown</t>
        </is>
      </c>
      <c r="D260" s="77" t="inlineStr">
        <is>
          <t>4</t>
        </is>
      </c>
      <c r="E260" s="76" t="inlineStr">
        <is>
          <t>Mrs. Novak</t>
        </is>
      </c>
      <c r="F260" s="76" t="n"/>
      <c r="G260" s="75">
        <f>IF(TRIM(E260)="","",TRIM(E260)&amp;" – "&amp;D260)</f>
        <v/>
      </c>
    </row>
    <row r="261">
      <c r="A261" s="75" t="inlineStr">
        <is>
          <t>S0260</t>
        </is>
      </c>
      <c r="B261" s="76" t="inlineStr">
        <is>
          <t>Luna</t>
        </is>
      </c>
      <c r="C261" s="76" t="inlineStr">
        <is>
          <t>Kim</t>
        </is>
      </c>
      <c r="D261" s="77" t="inlineStr">
        <is>
          <t>4</t>
        </is>
      </c>
      <c r="E261" s="76" t="inlineStr">
        <is>
          <t>Mrs. Novak</t>
        </is>
      </c>
      <c r="F261" s="76" t="n"/>
      <c r="G261" s="75">
        <f>IF(TRIM(E261)="","",TRIM(E261)&amp;" – "&amp;D261)</f>
        <v/>
      </c>
    </row>
    <row r="262">
      <c r="A262" s="75" t="inlineStr">
        <is>
          <t>S0261</t>
        </is>
      </c>
      <c r="B262" s="76" t="inlineStr">
        <is>
          <t>Adrian</t>
        </is>
      </c>
      <c r="C262" s="76" t="inlineStr">
        <is>
          <t>O'Brien</t>
        </is>
      </c>
      <c r="D262" s="77" t="inlineStr">
        <is>
          <t>4</t>
        </is>
      </c>
      <c r="E262" s="76" t="inlineStr">
        <is>
          <t>Mrs. Novak</t>
        </is>
      </c>
      <c r="F262" s="76" t="n"/>
      <c r="G262" s="75">
        <f>IF(TRIM(E262)="","",TRIM(E262)&amp;" – "&amp;D262)</f>
        <v/>
      </c>
    </row>
    <row r="263">
      <c r="A263" s="75" t="inlineStr">
        <is>
          <t>S0262</t>
        </is>
      </c>
      <c r="B263" s="76" t="inlineStr">
        <is>
          <t>James</t>
        </is>
      </c>
      <c r="C263" s="76" t="inlineStr">
        <is>
          <t>Gutierrez</t>
        </is>
      </c>
      <c r="D263" s="77" t="inlineStr">
        <is>
          <t>4</t>
        </is>
      </c>
      <c r="E263" s="76" t="inlineStr">
        <is>
          <t>Mrs. Novak</t>
        </is>
      </c>
      <c r="F263" s="76" t="n"/>
      <c r="G263" s="75">
        <f>IF(TRIM(E263)="","",TRIM(E263)&amp;" – "&amp;D263)</f>
        <v/>
      </c>
    </row>
    <row r="264">
      <c r="A264" s="75" t="inlineStr">
        <is>
          <t>S0263</t>
        </is>
      </c>
      <c r="B264" s="76" t="inlineStr">
        <is>
          <t>Joseph</t>
        </is>
      </c>
      <c r="C264" s="76" t="inlineStr">
        <is>
          <t>Walsh</t>
        </is>
      </c>
      <c r="D264" s="77" t="inlineStr">
        <is>
          <t>4</t>
        </is>
      </c>
      <c r="E264" s="76" t="inlineStr">
        <is>
          <t>Mrs. Novak</t>
        </is>
      </c>
      <c r="F264" s="76" t="n"/>
      <c r="G264" s="75">
        <f>IF(TRIM(E264)="","",TRIM(E264)&amp;" – "&amp;D264)</f>
        <v/>
      </c>
    </row>
    <row r="265">
      <c r="A265" s="75" t="inlineStr">
        <is>
          <t>S0264</t>
        </is>
      </c>
      <c r="B265" s="76" t="inlineStr">
        <is>
          <t>Luna</t>
        </is>
      </c>
      <c r="C265" s="76" t="inlineStr">
        <is>
          <t>Johnson</t>
        </is>
      </c>
      <c r="D265" s="77" t="inlineStr">
        <is>
          <t>4</t>
        </is>
      </c>
      <c r="E265" s="76" t="inlineStr">
        <is>
          <t>Mrs. Novak</t>
        </is>
      </c>
      <c r="F265" s="76" t="n"/>
      <c r="G265" s="75">
        <f>IF(TRIM(E265)="","",TRIM(E265)&amp;" – "&amp;D265)</f>
        <v/>
      </c>
    </row>
    <row r="266">
      <c r="A266" s="75" t="inlineStr">
        <is>
          <t>S0265</t>
        </is>
      </c>
      <c r="B266" s="76" t="inlineStr">
        <is>
          <t>Camila</t>
        </is>
      </c>
      <c r="C266" s="76" t="inlineStr">
        <is>
          <t>Johnson</t>
        </is>
      </c>
      <c r="D266" s="77" t="inlineStr">
        <is>
          <t>5</t>
        </is>
      </c>
      <c r="E266" s="76" t="inlineStr">
        <is>
          <t>Mr. Okafor</t>
        </is>
      </c>
      <c r="F266" s="76" t="n"/>
      <c r="G266" s="75">
        <f>IF(TRIM(E266)="","",TRIM(E266)&amp;" – "&amp;D266)</f>
        <v/>
      </c>
    </row>
    <row r="267">
      <c r="A267" s="75" t="inlineStr">
        <is>
          <t>S0266</t>
        </is>
      </c>
      <c r="B267" s="76" t="inlineStr">
        <is>
          <t>David</t>
        </is>
      </c>
      <c r="C267" s="76" t="inlineStr">
        <is>
          <t>Cruz</t>
        </is>
      </c>
      <c r="D267" s="77" t="inlineStr">
        <is>
          <t>5</t>
        </is>
      </c>
      <c r="E267" s="76" t="inlineStr">
        <is>
          <t>Mr. Okafor</t>
        </is>
      </c>
      <c r="F267" s="76" t="n"/>
      <c r="G267" s="75">
        <f>IF(TRIM(E267)="","",TRIM(E267)&amp;" – "&amp;D267)</f>
        <v/>
      </c>
    </row>
    <row r="268">
      <c r="A268" s="75" t="inlineStr">
        <is>
          <t>S0267</t>
        </is>
      </c>
      <c r="B268" s="76" t="inlineStr">
        <is>
          <t>Amelia</t>
        </is>
      </c>
      <c r="C268" s="76" t="inlineStr">
        <is>
          <t>Flores</t>
        </is>
      </c>
      <c r="D268" s="77" t="inlineStr">
        <is>
          <t>5</t>
        </is>
      </c>
      <c r="E268" s="76" t="inlineStr">
        <is>
          <t>Mr. Okafor</t>
        </is>
      </c>
      <c r="F268" s="76" t="n"/>
      <c r="G268" s="75">
        <f>IF(TRIM(E268)="","",TRIM(E268)&amp;" – "&amp;D268)</f>
        <v/>
      </c>
    </row>
    <row r="269">
      <c r="A269" s="75" t="inlineStr">
        <is>
          <t>S0268</t>
        </is>
      </c>
      <c r="B269" s="76" t="inlineStr">
        <is>
          <t>Olivia</t>
        </is>
      </c>
      <c r="C269" s="76" t="inlineStr">
        <is>
          <t>Morales</t>
        </is>
      </c>
      <c r="D269" s="77" t="inlineStr">
        <is>
          <t>5</t>
        </is>
      </c>
      <c r="E269" s="76" t="inlineStr">
        <is>
          <t>Mr. Okafor</t>
        </is>
      </c>
      <c r="F269" s="76" t="n"/>
      <c r="G269" s="75">
        <f>IF(TRIM(E269)="","",TRIM(E269)&amp;" – "&amp;D269)</f>
        <v/>
      </c>
    </row>
    <row r="270">
      <c r="A270" s="75" t="inlineStr">
        <is>
          <t>S0269</t>
        </is>
      </c>
      <c r="B270" s="76" t="inlineStr">
        <is>
          <t>Adrian</t>
        </is>
      </c>
      <c r="C270" s="76" t="inlineStr">
        <is>
          <t>Ortiz</t>
        </is>
      </c>
      <c r="D270" s="77" t="inlineStr">
        <is>
          <t>5</t>
        </is>
      </c>
      <c r="E270" s="76" t="inlineStr">
        <is>
          <t>Mr. Okafor</t>
        </is>
      </c>
      <c r="F270" s="76" t="n"/>
      <c r="G270" s="75">
        <f>IF(TRIM(E270)="","",TRIM(E270)&amp;" – "&amp;D270)</f>
        <v/>
      </c>
    </row>
    <row r="271">
      <c r="A271" s="75" t="inlineStr">
        <is>
          <t>S0270</t>
        </is>
      </c>
      <c r="B271" s="76" t="inlineStr">
        <is>
          <t>Daniel</t>
        </is>
      </c>
      <c r="C271" s="76" t="inlineStr">
        <is>
          <t>Morales</t>
        </is>
      </c>
      <c r="D271" s="77" t="inlineStr">
        <is>
          <t>5</t>
        </is>
      </c>
      <c r="E271" s="76" t="inlineStr">
        <is>
          <t>Mr. Okafor</t>
        </is>
      </c>
      <c r="F271" s="76" t="n"/>
      <c r="G271" s="75">
        <f>IF(TRIM(E271)="","",TRIM(E271)&amp;" – "&amp;D271)</f>
        <v/>
      </c>
    </row>
    <row r="272">
      <c r="A272" s="75" t="inlineStr">
        <is>
          <t>S0271</t>
        </is>
      </c>
      <c r="B272" s="76" t="inlineStr">
        <is>
          <t>Noah</t>
        </is>
      </c>
      <c r="C272" s="76" t="inlineStr">
        <is>
          <t>Ramirez</t>
        </is>
      </c>
      <c r="D272" s="77" t="inlineStr">
        <is>
          <t>5</t>
        </is>
      </c>
      <c r="E272" s="76" t="inlineStr">
        <is>
          <t>Mr. Okafor</t>
        </is>
      </c>
      <c r="F272" s="76" t="n"/>
      <c r="G272" s="75">
        <f>IF(TRIM(E272)="","",TRIM(E272)&amp;" – "&amp;D272)</f>
        <v/>
      </c>
    </row>
    <row r="273">
      <c r="A273" s="75" t="inlineStr">
        <is>
          <t>S0272</t>
        </is>
      </c>
      <c r="B273" s="76" t="inlineStr">
        <is>
          <t>Joseph</t>
        </is>
      </c>
      <c r="C273" s="76" t="inlineStr">
        <is>
          <t>Flores</t>
        </is>
      </c>
      <c r="D273" s="77" t="inlineStr">
        <is>
          <t>5</t>
        </is>
      </c>
      <c r="E273" s="76" t="inlineStr">
        <is>
          <t>Mr. Okafor</t>
        </is>
      </c>
      <c r="F273" s="76" t="n"/>
      <c r="G273" s="75">
        <f>IF(TRIM(E273)="","",TRIM(E273)&amp;" – "&amp;D273)</f>
        <v/>
      </c>
    </row>
    <row r="274">
      <c r="A274" s="75" t="inlineStr">
        <is>
          <t>S0273</t>
        </is>
      </c>
      <c r="B274" s="76" t="inlineStr">
        <is>
          <t>Grace</t>
        </is>
      </c>
      <c r="C274" s="76" t="inlineStr">
        <is>
          <t>Walsh</t>
        </is>
      </c>
      <c r="D274" s="77" t="inlineStr">
        <is>
          <t>5</t>
        </is>
      </c>
      <c r="E274" s="76" t="inlineStr">
        <is>
          <t>Mr. Okafor</t>
        </is>
      </c>
      <c r="F274" s="76" t="n"/>
      <c r="G274" s="75">
        <f>IF(TRIM(E274)="","",TRIM(E274)&amp;" – "&amp;D274)</f>
        <v/>
      </c>
    </row>
    <row r="275">
      <c r="A275" s="75" t="inlineStr">
        <is>
          <t>S0274</t>
        </is>
      </c>
      <c r="B275" s="76" t="inlineStr">
        <is>
          <t>Chloe</t>
        </is>
      </c>
      <c r="C275" s="76" t="inlineStr">
        <is>
          <t>Torres</t>
        </is>
      </c>
      <c r="D275" s="77" t="inlineStr">
        <is>
          <t>5</t>
        </is>
      </c>
      <c r="E275" s="76" t="inlineStr">
        <is>
          <t>Mr. Okafor</t>
        </is>
      </c>
      <c r="F275" s="76" t="n"/>
      <c r="G275" s="75">
        <f>IF(TRIM(E275)="","",TRIM(E275)&amp;" – "&amp;D275)</f>
        <v/>
      </c>
    </row>
    <row r="276">
      <c r="A276" s="75" t="inlineStr">
        <is>
          <t>S0275</t>
        </is>
      </c>
      <c r="B276" s="76" t="inlineStr">
        <is>
          <t>Liam</t>
        </is>
      </c>
      <c r="C276" s="76" t="inlineStr">
        <is>
          <t>Castillo</t>
        </is>
      </c>
      <c r="D276" s="77" t="inlineStr">
        <is>
          <t>5</t>
        </is>
      </c>
      <c r="E276" s="76" t="inlineStr">
        <is>
          <t>Mr. Okafor</t>
        </is>
      </c>
      <c r="F276" s="76" t="n"/>
      <c r="G276" s="75">
        <f>IF(TRIM(E276)="","",TRIM(E276)&amp;" – "&amp;D276)</f>
        <v/>
      </c>
    </row>
    <row r="277">
      <c r="A277" s="75" t="inlineStr">
        <is>
          <t>S0276</t>
        </is>
      </c>
      <c r="B277" s="76" t="inlineStr">
        <is>
          <t>Ella</t>
        </is>
      </c>
      <c r="C277" s="76" t="inlineStr">
        <is>
          <t>Rodriguez</t>
        </is>
      </c>
      <c r="D277" s="77" t="inlineStr">
        <is>
          <t>5</t>
        </is>
      </c>
      <c r="E277" s="76" t="inlineStr">
        <is>
          <t>Mr. Okafor</t>
        </is>
      </c>
      <c r="F277" s="76" t="n"/>
      <c r="G277" s="75">
        <f>IF(TRIM(E277)="","",TRIM(E277)&amp;" – "&amp;D277)</f>
        <v/>
      </c>
    </row>
    <row r="278">
      <c r="A278" s="75" t="inlineStr">
        <is>
          <t>S0277</t>
        </is>
      </c>
      <c r="B278" s="76" t="inlineStr">
        <is>
          <t>Samuel</t>
        </is>
      </c>
      <c r="C278" s="76" t="inlineStr">
        <is>
          <t>Diaz</t>
        </is>
      </c>
      <c r="D278" s="77" t="inlineStr">
        <is>
          <t>5</t>
        </is>
      </c>
      <c r="E278" s="76" t="inlineStr">
        <is>
          <t>Mr. Okafor</t>
        </is>
      </c>
      <c r="F278" s="76" t="n"/>
      <c r="G278" s="75">
        <f>IF(TRIM(E278)="","",TRIM(E278)&amp;" – "&amp;D278)</f>
        <v/>
      </c>
    </row>
    <row r="279">
      <c r="A279" s="75" t="inlineStr">
        <is>
          <t>S0278</t>
        </is>
      </c>
      <c r="B279" s="76" t="inlineStr">
        <is>
          <t>Leo</t>
        </is>
      </c>
      <c r="C279" s="76" t="inlineStr">
        <is>
          <t>Brown</t>
        </is>
      </c>
      <c r="D279" s="77" t="inlineStr">
        <is>
          <t>5</t>
        </is>
      </c>
      <c r="E279" s="76" t="inlineStr">
        <is>
          <t>Mr. Okafor</t>
        </is>
      </c>
      <c r="F279" s="76" t="n"/>
      <c r="G279" s="75">
        <f>IF(TRIM(E279)="","",TRIM(E279)&amp;" – "&amp;D279)</f>
        <v/>
      </c>
    </row>
    <row r="280">
      <c r="A280" s="75" t="inlineStr">
        <is>
          <t>S0279</t>
        </is>
      </c>
      <c r="B280" s="76" t="inlineStr">
        <is>
          <t>Evelyn</t>
        </is>
      </c>
      <c r="C280" s="76" t="inlineStr">
        <is>
          <t>Diaz</t>
        </is>
      </c>
      <c r="D280" s="77" t="inlineStr">
        <is>
          <t>5</t>
        </is>
      </c>
      <c r="E280" s="76" t="inlineStr">
        <is>
          <t>Mr. Okafor</t>
        </is>
      </c>
      <c r="F280" s="76" t="n"/>
      <c r="G280" s="75">
        <f>IF(TRIM(E280)="","",TRIM(E280)&amp;" – "&amp;D280)</f>
        <v/>
      </c>
    </row>
    <row r="281">
      <c r="A281" s="75" t="inlineStr">
        <is>
          <t>S0280</t>
        </is>
      </c>
      <c r="B281" s="76" t="inlineStr">
        <is>
          <t>Lily</t>
        </is>
      </c>
      <c r="C281" s="76" t="inlineStr">
        <is>
          <t>Gomez</t>
        </is>
      </c>
      <c r="D281" s="77" t="inlineStr">
        <is>
          <t>5</t>
        </is>
      </c>
      <c r="E281" s="76" t="inlineStr">
        <is>
          <t>Mr. Okafor</t>
        </is>
      </c>
      <c r="F281" s="76" t="n"/>
      <c r="G281" s="75">
        <f>IF(TRIM(E281)="","",TRIM(E281)&amp;" – "&amp;D281)</f>
        <v/>
      </c>
    </row>
    <row r="282">
      <c r="A282" s="75" t="inlineStr">
        <is>
          <t>S0281</t>
        </is>
      </c>
      <c r="B282" s="76" t="inlineStr">
        <is>
          <t>Liam</t>
        </is>
      </c>
      <c r="C282" s="76" t="inlineStr">
        <is>
          <t>Murphy</t>
        </is>
      </c>
      <c r="D282" s="77" t="inlineStr">
        <is>
          <t>5</t>
        </is>
      </c>
      <c r="E282" s="76" t="inlineStr">
        <is>
          <t>Mr. Okafor</t>
        </is>
      </c>
      <c r="F282" s="76" t="n"/>
      <c r="G282" s="75">
        <f>IF(TRIM(E282)="","",TRIM(E282)&amp;" – "&amp;D282)</f>
        <v/>
      </c>
    </row>
    <row r="283">
      <c r="A283" s="75" t="inlineStr">
        <is>
          <t>S0282</t>
        </is>
      </c>
      <c r="B283" s="76" t="inlineStr">
        <is>
          <t>Elena</t>
        </is>
      </c>
      <c r="C283" s="76" t="inlineStr">
        <is>
          <t>Diaz</t>
        </is>
      </c>
      <c r="D283" s="77" t="inlineStr">
        <is>
          <t>5</t>
        </is>
      </c>
      <c r="E283" s="76" t="inlineStr">
        <is>
          <t>Mr. Okafor</t>
        </is>
      </c>
      <c r="F283" s="76" t="n"/>
      <c r="G283" s="75">
        <f>IF(TRIM(E283)="","",TRIM(E283)&amp;" – "&amp;D283)</f>
        <v/>
      </c>
    </row>
    <row r="284">
      <c r="A284" s="75" t="inlineStr">
        <is>
          <t>S0283</t>
        </is>
      </c>
      <c r="B284" s="76" t="inlineStr">
        <is>
          <t>Mia</t>
        </is>
      </c>
      <c r="C284" s="76" t="inlineStr">
        <is>
          <t>Ortiz</t>
        </is>
      </c>
      <c r="D284" s="77" t="inlineStr">
        <is>
          <t>5</t>
        </is>
      </c>
      <c r="E284" s="76" t="inlineStr">
        <is>
          <t>Mr. Okafor</t>
        </is>
      </c>
      <c r="F284" s="76" t="n"/>
      <c r="G284" s="75">
        <f>IF(TRIM(E284)="","",TRIM(E284)&amp;" – "&amp;D284)</f>
        <v/>
      </c>
    </row>
    <row r="285">
      <c r="A285" s="75" t="inlineStr">
        <is>
          <t>S0284</t>
        </is>
      </c>
      <c r="B285" s="76" t="inlineStr">
        <is>
          <t>Liam</t>
        </is>
      </c>
      <c r="C285" s="76" t="inlineStr">
        <is>
          <t>Sullivan</t>
        </is>
      </c>
      <c r="D285" s="77" t="inlineStr">
        <is>
          <t>5</t>
        </is>
      </c>
      <c r="E285" s="76" t="inlineStr">
        <is>
          <t>Mr. Okafor</t>
        </is>
      </c>
      <c r="F285" s="76" t="n"/>
      <c r="G285" s="75">
        <f>IF(TRIM(E285)="","",TRIM(E285)&amp;" – "&amp;D285)</f>
        <v/>
      </c>
    </row>
    <row r="286">
      <c r="A286" s="75" t="inlineStr">
        <is>
          <t>S0285</t>
        </is>
      </c>
      <c r="B286" s="76" t="inlineStr">
        <is>
          <t>Diego</t>
        </is>
      </c>
      <c r="C286" s="76" t="inlineStr">
        <is>
          <t>Diaz</t>
        </is>
      </c>
      <c r="D286" s="77" t="inlineStr">
        <is>
          <t>5</t>
        </is>
      </c>
      <c r="E286" s="76" t="inlineStr">
        <is>
          <t>Mrs. Pruitt</t>
        </is>
      </c>
      <c r="F286" s="76" t="n"/>
      <c r="G286" s="75">
        <f>IF(TRIM(E286)="","",TRIM(E286)&amp;" – "&amp;D286)</f>
        <v/>
      </c>
    </row>
    <row r="287">
      <c r="A287" s="75" t="inlineStr">
        <is>
          <t>S0286</t>
        </is>
      </c>
      <c r="B287" s="76" t="inlineStr">
        <is>
          <t>Harper</t>
        </is>
      </c>
      <c r="C287" s="76" t="inlineStr">
        <is>
          <t>Kelly</t>
        </is>
      </c>
      <c r="D287" s="77" t="inlineStr">
        <is>
          <t>5</t>
        </is>
      </c>
      <c r="E287" s="76" t="inlineStr">
        <is>
          <t>Mrs. Pruitt</t>
        </is>
      </c>
      <c r="F287" s="76" t="n"/>
      <c r="G287" s="75">
        <f>IF(TRIM(E287)="","",TRIM(E287)&amp;" – "&amp;D287)</f>
        <v/>
      </c>
    </row>
    <row r="288">
      <c r="A288" s="75" t="inlineStr">
        <is>
          <t>S0287</t>
        </is>
      </c>
      <c r="B288" s="76" t="inlineStr">
        <is>
          <t>Joseph</t>
        </is>
      </c>
      <c r="C288" s="76" t="inlineStr">
        <is>
          <t>Ruiz</t>
        </is>
      </c>
      <c r="D288" s="77" t="inlineStr">
        <is>
          <t>5</t>
        </is>
      </c>
      <c r="E288" s="76" t="inlineStr">
        <is>
          <t>Mrs. Pruitt</t>
        </is>
      </c>
      <c r="F288" s="76" t="n"/>
      <c r="G288" s="75">
        <f>IF(TRIM(E288)="","",TRIM(E288)&amp;" – "&amp;D288)</f>
        <v/>
      </c>
    </row>
    <row r="289">
      <c r="A289" s="75" t="inlineStr">
        <is>
          <t>S0288</t>
        </is>
      </c>
      <c r="B289" s="76" t="inlineStr">
        <is>
          <t>Daniel</t>
        </is>
      </c>
      <c r="C289" s="76" t="inlineStr">
        <is>
          <t>Martinez</t>
        </is>
      </c>
      <c r="D289" s="77" t="inlineStr">
        <is>
          <t>5</t>
        </is>
      </c>
      <c r="E289" s="76" t="inlineStr">
        <is>
          <t>Mrs. Pruitt</t>
        </is>
      </c>
      <c r="F289" s="76" t="n"/>
      <c r="G289" s="75">
        <f>IF(TRIM(E289)="","",TRIM(E289)&amp;" – "&amp;D289)</f>
        <v/>
      </c>
    </row>
    <row r="290">
      <c r="A290" s="75" t="inlineStr">
        <is>
          <t>S0289</t>
        </is>
      </c>
      <c r="B290" s="76" t="inlineStr">
        <is>
          <t>Grace</t>
        </is>
      </c>
      <c r="C290" s="76" t="inlineStr">
        <is>
          <t>Ortiz</t>
        </is>
      </c>
      <c r="D290" s="77" t="inlineStr">
        <is>
          <t>5</t>
        </is>
      </c>
      <c r="E290" s="76" t="inlineStr">
        <is>
          <t>Mrs. Pruitt</t>
        </is>
      </c>
      <c r="F290" s="76" t="n"/>
      <c r="G290" s="75">
        <f>IF(TRIM(E290)="","",TRIM(E290)&amp;" – "&amp;D290)</f>
        <v/>
      </c>
    </row>
    <row r="291">
      <c r="A291" s="75" t="inlineStr">
        <is>
          <t>S0290</t>
        </is>
      </c>
      <c r="B291" s="76" t="inlineStr">
        <is>
          <t>Valentina</t>
        </is>
      </c>
      <c r="C291" s="76" t="inlineStr">
        <is>
          <t>Nguyen</t>
        </is>
      </c>
      <c r="D291" s="77" t="inlineStr">
        <is>
          <t>5</t>
        </is>
      </c>
      <c r="E291" s="76" t="inlineStr">
        <is>
          <t>Mrs. Pruitt</t>
        </is>
      </c>
      <c r="F291" s="76" t="n"/>
      <c r="G291" s="75">
        <f>IF(TRIM(E291)="","",TRIM(E291)&amp;" – "&amp;D291)</f>
        <v/>
      </c>
    </row>
    <row r="292">
      <c r="A292" s="75" t="inlineStr">
        <is>
          <t>S0291</t>
        </is>
      </c>
      <c r="B292" s="76" t="inlineStr">
        <is>
          <t>Elena</t>
        </is>
      </c>
      <c r="C292" s="76" t="inlineStr">
        <is>
          <t>Murphy</t>
        </is>
      </c>
      <c r="D292" s="77" t="inlineStr">
        <is>
          <t>5</t>
        </is>
      </c>
      <c r="E292" s="76" t="inlineStr">
        <is>
          <t>Mrs. Pruitt</t>
        </is>
      </c>
      <c r="F292" s="76" t="n"/>
      <c r="G292" s="75">
        <f>IF(TRIM(E292)="","",TRIM(E292)&amp;" – "&amp;D292)</f>
        <v/>
      </c>
    </row>
    <row r="293">
      <c r="A293" s="75" t="inlineStr">
        <is>
          <t>S0292</t>
        </is>
      </c>
      <c r="B293" s="76" t="inlineStr">
        <is>
          <t>Santiago</t>
        </is>
      </c>
      <c r="C293" s="76" t="inlineStr">
        <is>
          <t>Ruiz</t>
        </is>
      </c>
      <c r="D293" s="77" t="inlineStr">
        <is>
          <t>5</t>
        </is>
      </c>
      <c r="E293" s="76" t="inlineStr">
        <is>
          <t>Mrs. Pruitt</t>
        </is>
      </c>
      <c r="F293" s="76" t="n"/>
      <c r="G293" s="75">
        <f>IF(TRIM(E293)="","",TRIM(E293)&amp;" – "&amp;D293)</f>
        <v/>
      </c>
    </row>
    <row r="294">
      <c r="A294" s="75" t="inlineStr">
        <is>
          <t>S0293</t>
        </is>
      </c>
      <c r="B294" s="76" t="inlineStr">
        <is>
          <t>Noah</t>
        </is>
      </c>
      <c r="C294" s="76" t="inlineStr">
        <is>
          <t>Garcia</t>
        </is>
      </c>
      <c r="D294" s="77" t="inlineStr">
        <is>
          <t>5</t>
        </is>
      </c>
      <c r="E294" s="76" t="inlineStr">
        <is>
          <t>Mrs. Pruitt</t>
        </is>
      </c>
      <c r="F294" s="76" t="n"/>
      <c r="G294" s="75">
        <f>IF(TRIM(E294)="","",TRIM(E294)&amp;" – "&amp;D294)</f>
        <v/>
      </c>
    </row>
    <row r="295">
      <c r="A295" s="75" t="inlineStr">
        <is>
          <t>S0294</t>
        </is>
      </c>
      <c r="B295" s="76" t="inlineStr">
        <is>
          <t>Leo</t>
        </is>
      </c>
      <c r="C295" s="76" t="inlineStr">
        <is>
          <t>Walsh</t>
        </is>
      </c>
      <c r="D295" s="77" t="inlineStr">
        <is>
          <t>5</t>
        </is>
      </c>
      <c r="E295" s="76" t="inlineStr">
        <is>
          <t>Mrs. Pruitt</t>
        </is>
      </c>
      <c r="F295" s="76" t="n"/>
      <c r="G295" s="75">
        <f>IF(TRIM(E295)="","",TRIM(E295)&amp;" – "&amp;D295)</f>
        <v/>
      </c>
    </row>
    <row r="296">
      <c r="A296" s="75" t="inlineStr">
        <is>
          <t>S0295</t>
        </is>
      </c>
      <c r="B296" s="76" t="inlineStr">
        <is>
          <t>Thomas</t>
        </is>
      </c>
      <c r="C296" s="76" t="inlineStr">
        <is>
          <t>Ryan</t>
        </is>
      </c>
      <c r="D296" s="77" t="inlineStr">
        <is>
          <t>5</t>
        </is>
      </c>
      <c r="E296" s="76" t="inlineStr">
        <is>
          <t>Mrs. Pruitt</t>
        </is>
      </c>
      <c r="F296" s="76" t="n"/>
      <c r="G296" s="75">
        <f>IF(TRIM(E296)="","",TRIM(E296)&amp;" – "&amp;D296)</f>
        <v/>
      </c>
    </row>
    <row r="297">
      <c r="A297" s="75" t="inlineStr">
        <is>
          <t>S0296</t>
        </is>
      </c>
      <c r="B297" s="76" t="inlineStr">
        <is>
          <t>Grace</t>
        </is>
      </c>
      <c r="C297" s="76" t="inlineStr">
        <is>
          <t>Kim</t>
        </is>
      </c>
      <c r="D297" s="77" t="inlineStr">
        <is>
          <t>5</t>
        </is>
      </c>
      <c r="E297" s="76" t="inlineStr">
        <is>
          <t>Mrs. Pruitt</t>
        </is>
      </c>
      <c r="F297" s="76" t="n"/>
      <c r="G297" s="75">
        <f>IF(TRIM(E297)="","",TRIM(E297)&amp;" – "&amp;D297)</f>
        <v/>
      </c>
    </row>
    <row r="298">
      <c r="A298" s="75" t="inlineStr">
        <is>
          <t>S0297</t>
        </is>
      </c>
      <c r="B298" s="76" t="inlineStr">
        <is>
          <t>Zoe</t>
        </is>
      </c>
      <c r="C298" s="76" t="inlineStr">
        <is>
          <t>Ortiz</t>
        </is>
      </c>
      <c r="D298" s="77" t="inlineStr">
        <is>
          <t>5</t>
        </is>
      </c>
      <c r="E298" s="76" t="inlineStr">
        <is>
          <t>Mrs. Pruitt</t>
        </is>
      </c>
      <c r="F298" s="76" t="n"/>
      <c r="G298" s="75">
        <f>IF(TRIM(E298)="","",TRIM(E298)&amp;" – "&amp;D298)</f>
        <v/>
      </c>
    </row>
    <row r="299">
      <c r="A299" s="75" t="inlineStr">
        <is>
          <t>S0298</t>
        </is>
      </c>
      <c r="B299" s="76" t="inlineStr">
        <is>
          <t>Mia</t>
        </is>
      </c>
      <c r="C299" s="76" t="inlineStr">
        <is>
          <t>Brown</t>
        </is>
      </c>
      <c r="D299" s="77" t="inlineStr">
        <is>
          <t>5</t>
        </is>
      </c>
      <c r="E299" s="76" t="inlineStr">
        <is>
          <t>Mrs. Pruitt</t>
        </is>
      </c>
      <c r="F299" s="76" t="n"/>
      <c r="G299" s="75">
        <f>IF(TRIM(E299)="","",TRIM(E299)&amp;" – "&amp;D299)</f>
        <v/>
      </c>
    </row>
    <row r="300">
      <c r="A300" s="75" t="inlineStr">
        <is>
          <t>S0299</t>
        </is>
      </c>
      <c r="B300" s="76" t="inlineStr">
        <is>
          <t>Clara</t>
        </is>
      </c>
      <c r="C300" s="76" t="inlineStr">
        <is>
          <t>Diaz</t>
        </is>
      </c>
      <c r="D300" s="77" t="inlineStr">
        <is>
          <t>5</t>
        </is>
      </c>
      <c r="E300" s="76" t="inlineStr">
        <is>
          <t>Mrs. Pruitt</t>
        </is>
      </c>
      <c r="F300" s="76" t="n"/>
      <c r="G300" s="75">
        <f>IF(TRIM(E300)="","",TRIM(E300)&amp;" – "&amp;D300)</f>
        <v/>
      </c>
    </row>
    <row r="301">
      <c r="A301" s="75" t="inlineStr">
        <is>
          <t>S0300</t>
        </is>
      </c>
      <c r="B301" s="76" t="inlineStr">
        <is>
          <t>Evelyn</t>
        </is>
      </c>
      <c r="C301" s="76" t="inlineStr">
        <is>
          <t>Martinez</t>
        </is>
      </c>
      <c r="D301" s="77" t="inlineStr">
        <is>
          <t>5</t>
        </is>
      </c>
      <c r="E301" s="76" t="inlineStr">
        <is>
          <t>Mrs. Pruitt</t>
        </is>
      </c>
      <c r="F301" s="76" t="n"/>
      <c r="G301" s="75">
        <f>IF(TRIM(E301)="","",TRIM(E301)&amp;" – "&amp;D301)</f>
        <v/>
      </c>
    </row>
    <row r="302">
      <c r="A302" s="75" t="inlineStr">
        <is>
          <t>S0301</t>
        </is>
      </c>
      <c r="B302" s="76" t="inlineStr">
        <is>
          <t>Elijah</t>
        </is>
      </c>
      <c r="C302" s="76" t="inlineStr">
        <is>
          <t>Vasquez</t>
        </is>
      </c>
      <c r="D302" s="77" t="inlineStr">
        <is>
          <t>5</t>
        </is>
      </c>
      <c r="E302" s="76" t="inlineStr">
        <is>
          <t>Mrs. Pruitt</t>
        </is>
      </c>
      <c r="F302" s="76" t="n"/>
      <c r="G302" s="75">
        <f>IF(TRIM(E302)="","",TRIM(E302)&amp;" – "&amp;D302)</f>
        <v/>
      </c>
    </row>
    <row r="303">
      <c r="A303" s="75" t="inlineStr">
        <is>
          <t>S0302</t>
        </is>
      </c>
      <c r="B303" s="76" t="inlineStr">
        <is>
          <t>Nora</t>
        </is>
      </c>
      <c r="C303" s="76" t="inlineStr">
        <is>
          <t>Diaz</t>
        </is>
      </c>
      <c r="D303" s="77" t="inlineStr">
        <is>
          <t>5</t>
        </is>
      </c>
      <c r="E303" s="76" t="inlineStr">
        <is>
          <t>Mrs. Pruitt</t>
        </is>
      </c>
      <c r="F303" s="76" t="n"/>
      <c r="G303" s="75">
        <f>IF(TRIM(E303)="","",TRIM(E303)&amp;" – "&amp;D303)</f>
        <v/>
      </c>
    </row>
    <row r="304">
      <c r="A304" s="75" t="inlineStr">
        <is>
          <t>S0303</t>
        </is>
      </c>
      <c r="B304" s="76" t="inlineStr">
        <is>
          <t>Nicolas</t>
        </is>
      </c>
      <c r="C304" s="76" t="inlineStr">
        <is>
          <t>Chavez</t>
        </is>
      </c>
      <c r="D304" s="77" t="inlineStr">
        <is>
          <t>5</t>
        </is>
      </c>
      <c r="E304" s="76" t="inlineStr">
        <is>
          <t>Mrs. Pruitt</t>
        </is>
      </c>
      <c r="F304" s="76" t="n"/>
      <c r="G304" s="75">
        <f>IF(TRIM(E304)="","",TRIM(E304)&amp;" – "&amp;D304)</f>
        <v/>
      </c>
    </row>
    <row r="305">
      <c r="A305" s="75" t="inlineStr">
        <is>
          <t>S0304</t>
        </is>
      </c>
      <c r="B305" s="76" t="inlineStr">
        <is>
          <t>Lucas</t>
        </is>
      </c>
      <c r="C305" s="76" t="inlineStr">
        <is>
          <t>Sullivan</t>
        </is>
      </c>
      <c r="D305" s="77" t="inlineStr">
        <is>
          <t>5</t>
        </is>
      </c>
      <c r="E305" s="76" t="inlineStr">
        <is>
          <t>Mrs. Pruitt</t>
        </is>
      </c>
      <c r="F305" s="76" t="n"/>
      <c r="G305" s="75">
        <f>IF(TRIM(E305)="","",TRIM(E305)&amp;" – "&amp;D305)</f>
        <v/>
      </c>
    </row>
    <row r="306">
      <c r="A306" s="75" t="inlineStr">
        <is>
          <t>S0305</t>
        </is>
      </c>
      <c r="B306" s="76" t="inlineStr">
        <is>
          <t>Ava</t>
        </is>
      </c>
      <c r="C306" s="76" t="inlineStr">
        <is>
          <t>Murphy</t>
        </is>
      </c>
      <c r="D306" s="77" t="inlineStr">
        <is>
          <t>6</t>
        </is>
      </c>
      <c r="E306" s="76" t="inlineStr">
        <is>
          <t>Ms. Quinlan</t>
        </is>
      </c>
      <c r="F306" s="76" t="n"/>
      <c r="G306" s="75">
        <f>IF(TRIM(E306)="","",TRIM(E306)&amp;" – "&amp;D306)</f>
        <v/>
      </c>
    </row>
    <row r="307">
      <c r="A307" s="75" t="inlineStr">
        <is>
          <t>S0306</t>
        </is>
      </c>
      <c r="B307" s="76" t="inlineStr">
        <is>
          <t>Liam</t>
        </is>
      </c>
      <c r="C307" s="76" t="inlineStr">
        <is>
          <t>Ortiz</t>
        </is>
      </c>
      <c r="D307" s="77" t="inlineStr">
        <is>
          <t>6</t>
        </is>
      </c>
      <c r="E307" s="76" t="inlineStr">
        <is>
          <t>Ms. Quinlan</t>
        </is>
      </c>
      <c r="F307" s="76" t="n"/>
      <c r="G307" s="75">
        <f>IF(TRIM(E307)="","",TRIM(E307)&amp;" – "&amp;D307)</f>
        <v/>
      </c>
    </row>
    <row r="308">
      <c r="A308" s="75" t="inlineStr">
        <is>
          <t>S0307</t>
        </is>
      </c>
      <c r="B308" s="76" t="inlineStr">
        <is>
          <t>Mia</t>
        </is>
      </c>
      <c r="C308" s="76" t="inlineStr">
        <is>
          <t>Vasquez</t>
        </is>
      </c>
      <c r="D308" s="77" t="inlineStr">
        <is>
          <t>6</t>
        </is>
      </c>
      <c r="E308" s="76" t="inlineStr">
        <is>
          <t>Ms. Quinlan</t>
        </is>
      </c>
      <c r="F308" s="76" t="n"/>
      <c r="G308" s="75">
        <f>IF(TRIM(E308)="","",TRIM(E308)&amp;" – "&amp;D308)</f>
        <v/>
      </c>
    </row>
    <row r="309">
      <c r="A309" s="75" t="inlineStr">
        <is>
          <t>S0308</t>
        </is>
      </c>
      <c r="B309" s="76" t="inlineStr">
        <is>
          <t>Olivia</t>
        </is>
      </c>
      <c r="C309" s="76" t="inlineStr">
        <is>
          <t>Cruz</t>
        </is>
      </c>
      <c r="D309" s="77" t="inlineStr">
        <is>
          <t>6</t>
        </is>
      </c>
      <c r="E309" s="76" t="inlineStr">
        <is>
          <t>Ms. Quinlan</t>
        </is>
      </c>
      <c r="F309" s="76" t="n"/>
      <c r="G309" s="75">
        <f>IF(TRIM(E309)="","",TRIM(E309)&amp;" – "&amp;D309)</f>
        <v/>
      </c>
    </row>
    <row r="310">
      <c r="A310" s="75" t="inlineStr">
        <is>
          <t>S0309</t>
        </is>
      </c>
      <c r="B310" s="76" t="inlineStr">
        <is>
          <t>Lucas</t>
        </is>
      </c>
      <c r="C310" s="76" t="inlineStr">
        <is>
          <t>Kelly</t>
        </is>
      </c>
      <c r="D310" s="77" t="inlineStr">
        <is>
          <t>6</t>
        </is>
      </c>
      <c r="E310" s="76" t="inlineStr">
        <is>
          <t>Ms. Quinlan</t>
        </is>
      </c>
      <c r="F310" s="76" t="n"/>
      <c r="G310" s="75">
        <f>IF(TRIM(E310)="","",TRIM(E310)&amp;" – "&amp;D310)</f>
        <v/>
      </c>
    </row>
    <row r="311">
      <c r="A311" s="75" t="inlineStr">
        <is>
          <t>S0310</t>
        </is>
      </c>
      <c r="B311" s="76" t="inlineStr">
        <is>
          <t>Grace</t>
        </is>
      </c>
      <c r="C311" s="76" t="inlineStr">
        <is>
          <t>O'Brien</t>
        </is>
      </c>
      <c r="D311" s="77" t="inlineStr">
        <is>
          <t>6</t>
        </is>
      </c>
      <c r="E311" s="76" t="inlineStr">
        <is>
          <t>Ms. Quinlan</t>
        </is>
      </c>
      <c r="F311" s="76" t="n"/>
      <c r="G311" s="75">
        <f>IF(TRIM(E311)="","",TRIM(E311)&amp;" – "&amp;D311)</f>
        <v/>
      </c>
    </row>
    <row r="312">
      <c r="A312" s="75" t="inlineStr">
        <is>
          <t>S0311</t>
        </is>
      </c>
      <c r="B312" s="76" t="inlineStr">
        <is>
          <t>Grace</t>
        </is>
      </c>
      <c r="C312" s="76" t="inlineStr">
        <is>
          <t>Lopez</t>
        </is>
      </c>
      <c r="D312" s="77" t="inlineStr">
        <is>
          <t>6</t>
        </is>
      </c>
      <c r="E312" s="76" t="inlineStr">
        <is>
          <t>Ms. Quinlan</t>
        </is>
      </c>
      <c r="F312" s="76" t="n"/>
      <c r="G312" s="75">
        <f>IF(TRIM(E312)="","",TRIM(E312)&amp;" – "&amp;D312)</f>
        <v/>
      </c>
    </row>
    <row r="313">
      <c r="A313" s="75" t="inlineStr">
        <is>
          <t>S0312</t>
        </is>
      </c>
      <c r="B313" s="76" t="inlineStr">
        <is>
          <t>Noah</t>
        </is>
      </c>
      <c r="C313" s="76" t="inlineStr">
        <is>
          <t>Sullivan</t>
        </is>
      </c>
      <c r="D313" s="77" t="inlineStr">
        <is>
          <t>6</t>
        </is>
      </c>
      <c r="E313" s="76" t="inlineStr">
        <is>
          <t>Ms. Quinlan</t>
        </is>
      </c>
      <c r="F313" s="76" t="n"/>
      <c r="G313" s="75">
        <f>IF(TRIM(E313)="","",TRIM(E313)&amp;" – "&amp;D313)</f>
        <v/>
      </c>
    </row>
    <row r="314">
      <c r="A314" s="75" t="inlineStr">
        <is>
          <t>S0313</t>
        </is>
      </c>
      <c r="B314" s="76" t="inlineStr">
        <is>
          <t>Nora</t>
        </is>
      </c>
      <c r="C314" s="76" t="inlineStr">
        <is>
          <t>Flores</t>
        </is>
      </c>
      <c r="D314" s="77" t="inlineStr">
        <is>
          <t>6</t>
        </is>
      </c>
      <c r="E314" s="76" t="inlineStr">
        <is>
          <t>Ms. Quinlan</t>
        </is>
      </c>
      <c r="F314" s="76" t="n"/>
      <c r="G314" s="75">
        <f>IF(TRIM(E314)="","",TRIM(E314)&amp;" – "&amp;D314)</f>
        <v/>
      </c>
    </row>
    <row r="315">
      <c r="A315" s="75" t="inlineStr">
        <is>
          <t>S0314</t>
        </is>
      </c>
      <c r="B315" s="76" t="inlineStr">
        <is>
          <t>Leo</t>
        </is>
      </c>
      <c r="C315" s="76" t="inlineStr">
        <is>
          <t>Gutierrez</t>
        </is>
      </c>
      <c r="D315" s="77" t="inlineStr">
        <is>
          <t>6</t>
        </is>
      </c>
      <c r="E315" s="76" t="inlineStr">
        <is>
          <t>Ms. Quinlan</t>
        </is>
      </c>
      <c r="F315" s="76" t="n"/>
      <c r="G315" s="75">
        <f>IF(TRIM(E315)="","",TRIM(E315)&amp;" – "&amp;D315)</f>
        <v/>
      </c>
    </row>
    <row r="316">
      <c r="A316" s="75" t="inlineStr">
        <is>
          <t>S0315</t>
        </is>
      </c>
      <c r="B316" s="76" t="inlineStr">
        <is>
          <t>Zoe</t>
        </is>
      </c>
      <c r="C316" s="76" t="inlineStr">
        <is>
          <t>Gomez</t>
        </is>
      </c>
      <c r="D316" s="77" t="inlineStr">
        <is>
          <t>6</t>
        </is>
      </c>
      <c r="E316" s="76" t="inlineStr">
        <is>
          <t>Ms. Quinlan</t>
        </is>
      </c>
      <c r="F316" s="76" t="n"/>
      <c r="G316" s="75">
        <f>IF(TRIM(E316)="","",TRIM(E316)&amp;" – "&amp;D316)</f>
        <v/>
      </c>
    </row>
    <row r="317">
      <c r="A317" s="75" t="inlineStr">
        <is>
          <t>S0316</t>
        </is>
      </c>
      <c r="B317" s="76" t="inlineStr">
        <is>
          <t>David</t>
        </is>
      </c>
      <c r="C317" s="76" t="inlineStr">
        <is>
          <t>Morales</t>
        </is>
      </c>
      <c r="D317" s="77" t="inlineStr">
        <is>
          <t>6</t>
        </is>
      </c>
      <c r="E317" s="76" t="inlineStr">
        <is>
          <t>Ms. Quinlan</t>
        </is>
      </c>
      <c r="F317" s="76" t="n"/>
      <c r="G317" s="75">
        <f>IF(TRIM(E317)="","",TRIM(E317)&amp;" – "&amp;D317)</f>
        <v/>
      </c>
    </row>
    <row r="318">
      <c r="A318" s="75" t="inlineStr">
        <is>
          <t>S0317</t>
        </is>
      </c>
      <c r="B318" s="76" t="inlineStr">
        <is>
          <t>Amelia</t>
        </is>
      </c>
      <c r="C318" s="76" t="inlineStr">
        <is>
          <t>Lopez</t>
        </is>
      </c>
      <c r="D318" s="77" t="inlineStr">
        <is>
          <t>6</t>
        </is>
      </c>
      <c r="E318" s="76" t="inlineStr">
        <is>
          <t>Ms. Quinlan</t>
        </is>
      </c>
      <c r="F318" s="76" t="n"/>
      <c r="G318" s="75">
        <f>IF(TRIM(E318)="","",TRIM(E318)&amp;" – "&amp;D318)</f>
        <v/>
      </c>
    </row>
    <row r="319">
      <c r="A319" s="75" t="inlineStr">
        <is>
          <t>S0318</t>
        </is>
      </c>
      <c r="B319" s="76" t="inlineStr">
        <is>
          <t>Thomas</t>
        </is>
      </c>
      <c r="C319" s="76" t="inlineStr">
        <is>
          <t>Nguyen</t>
        </is>
      </c>
      <c r="D319" s="77" t="inlineStr">
        <is>
          <t>6</t>
        </is>
      </c>
      <c r="E319" s="76" t="inlineStr">
        <is>
          <t>Ms. Quinlan</t>
        </is>
      </c>
      <c r="F319" s="76" t="n"/>
      <c r="G319" s="75">
        <f>IF(TRIM(E319)="","",TRIM(E319)&amp;" – "&amp;D319)</f>
        <v/>
      </c>
    </row>
    <row r="320">
      <c r="A320" s="75" t="inlineStr">
        <is>
          <t>S0319</t>
        </is>
      </c>
      <c r="B320" s="76" t="inlineStr">
        <is>
          <t>Emma</t>
        </is>
      </c>
      <c r="C320" s="76" t="inlineStr">
        <is>
          <t>Martinez</t>
        </is>
      </c>
      <c r="D320" s="77" t="inlineStr">
        <is>
          <t>6</t>
        </is>
      </c>
      <c r="E320" s="76" t="inlineStr">
        <is>
          <t>Ms. Quinlan</t>
        </is>
      </c>
      <c r="F320" s="76" t="n"/>
      <c r="G320" s="75">
        <f>IF(TRIM(E320)="","",TRIM(E320)&amp;" – "&amp;D320)</f>
        <v/>
      </c>
    </row>
    <row r="321">
      <c r="A321" s="75" t="inlineStr">
        <is>
          <t>S0320</t>
        </is>
      </c>
      <c r="B321" s="76" t="inlineStr">
        <is>
          <t>Zoe</t>
        </is>
      </c>
      <c r="C321" s="76" t="inlineStr">
        <is>
          <t>Chavez</t>
        </is>
      </c>
      <c r="D321" s="77" t="inlineStr">
        <is>
          <t>6</t>
        </is>
      </c>
      <c r="E321" s="76" t="inlineStr">
        <is>
          <t>Ms. Quinlan</t>
        </is>
      </c>
      <c r="F321" s="76" t="n"/>
      <c r="G321" s="75">
        <f>IF(TRIM(E321)="","",TRIM(E321)&amp;" – "&amp;D321)</f>
        <v/>
      </c>
    </row>
    <row r="322">
      <c r="A322" s="75" t="inlineStr">
        <is>
          <t>S0321</t>
        </is>
      </c>
      <c r="B322" s="76" t="inlineStr">
        <is>
          <t>Amelia</t>
        </is>
      </c>
      <c r="C322" s="76" t="inlineStr">
        <is>
          <t>Vasquez</t>
        </is>
      </c>
      <c r="D322" s="77" t="inlineStr">
        <is>
          <t>6</t>
        </is>
      </c>
      <c r="E322" s="76" t="inlineStr">
        <is>
          <t>Ms. Quinlan</t>
        </is>
      </c>
      <c r="F322" s="76" t="n"/>
      <c r="G322" s="75">
        <f>IF(TRIM(E322)="","",TRIM(E322)&amp;" – "&amp;D322)</f>
        <v/>
      </c>
    </row>
    <row r="323">
      <c r="A323" s="75" t="inlineStr">
        <is>
          <t>S0322</t>
        </is>
      </c>
      <c r="B323" s="76" t="inlineStr">
        <is>
          <t>Ava</t>
        </is>
      </c>
      <c r="C323" s="76" t="inlineStr">
        <is>
          <t>Chavez</t>
        </is>
      </c>
      <c r="D323" s="77" t="inlineStr">
        <is>
          <t>6</t>
        </is>
      </c>
      <c r="E323" s="76" t="inlineStr">
        <is>
          <t>Ms. Quinlan</t>
        </is>
      </c>
      <c r="F323" s="76" t="n"/>
      <c r="G323" s="75">
        <f>IF(TRIM(E323)="","",TRIM(E323)&amp;" – "&amp;D323)</f>
        <v/>
      </c>
    </row>
    <row r="324">
      <c r="A324" s="75" t="inlineStr">
        <is>
          <t>S0323</t>
        </is>
      </c>
      <c r="B324" s="76" t="inlineStr">
        <is>
          <t>Benjamin</t>
        </is>
      </c>
      <c r="C324" s="76" t="inlineStr">
        <is>
          <t>Patel</t>
        </is>
      </c>
      <c r="D324" s="77" t="inlineStr">
        <is>
          <t>6</t>
        </is>
      </c>
      <c r="E324" s="76" t="inlineStr">
        <is>
          <t>Ms. Quinlan</t>
        </is>
      </c>
      <c r="F324" s="76" t="n"/>
      <c r="G324" s="75">
        <f>IF(TRIM(E324)="","",TRIM(E324)&amp;" – "&amp;D324)</f>
        <v/>
      </c>
    </row>
    <row r="325">
      <c r="A325" s="75" t="inlineStr">
        <is>
          <t>S0324</t>
        </is>
      </c>
      <c r="B325" s="76" t="inlineStr">
        <is>
          <t>Elijah</t>
        </is>
      </c>
      <c r="C325" s="76" t="inlineStr">
        <is>
          <t>Walsh</t>
        </is>
      </c>
      <c r="D325" s="77" t="inlineStr">
        <is>
          <t>6</t>
        </is>
      </c>
      <c r="E325" s="76" t="inlineStr">
        <is>
          <t>Ms. Quinlan</t>
        </is>
      </c>
      <c r="F325" s="76" t="n"/>
      <c r="G325" s="75">
        <f>IF(TRIM(E325)="","",TRIM(E325)&amp;" – "&amp;D325)</f>
        <v/>
      </c>
    </row>
    <row r="326">
      <c r="A326" s="75" t="inlineStr">
        <is>
          <t>S0325</t>
        </is>
      </c>
      <c r="B326" s="76" t="inlineStr">
        <is>
          <t>Santiago</t>
        </is>
      </c>
      <c r="C326" s="76" t="inlineStr">
        <is>
          <t>Alvarez</t>
        </is>
      </c>
      <c r="D326" s="77" t="inlineStr">
        <is>
          <t>6</t>
        </is>
      </c>
      <c r="E326" s="76" t="inlineStr">
        <is>
          <t>Mrs. Ravel</t>
        </is>
      </c>
      <c r="F326" s="76" t="n"/>
      <c r="G326" s="75">
        <f>IF(TRIM(E326)="","",TRIM(E326)&amp;" – "&amp;D326)</f>
        <v/>
      </c>
    </row>
    <row r="327">
      <c r="A327" s="75" t="inlineStr">
        <is>
          <t>S0326</t>
        </is>
      </c>
      <c r="B327" s="76" t="inlineStr">
        <is>
          <t>Camila</t>
        </is>
      </c>
      <c r="C327" s="76" t="inlineStr">
        <is>
          <t>Patel</t>
        </is>
      </c>
      <c r="D327" s="77" t="inlineStr">
        <is>
          <t>6</t>
        </is>
      </c>
      <c r="E327" s="76" t="inlineStr">
        <is>
          <t>Mrs. Ravel</t>
        </is>
      </c>
      <c r="F327" s="76" t="n"/>
      <c r="G327" s="75">
        <f>IF(TRIM(E327)="","",TRIM(E327)&amp;" – "&amp;D327)</f>
        <v/>
      </c>
    </row>
    <row r="328">
      <c r="A328" s="75" t="inlineStr">
        <is>
          <t>S0327</t>
        </is>
      </c>
      <c r="B328" s="76" t="inlineStr">
        <is>
          <t>Aria</t>
        </is>
      </c>
      <c r="C328" s="76" t="inlineStr">
        <is>
          <t>Cruz</t>
        </is>
      </c>
      <c r="D328" s="77" t="inlineStr">
        <is>
          <t>6</t>
        </is>
      </c>
      <c r="E328" s="76" t="inlineStr">
        <is>
          <t>Mrs. Ravel</t>
        </is>
      </c>
      <c r="F328" s="76" t="n"/>
      <c r="G328" s="75">
        <f>IF(TRIM(E328)="","",TRIM(E328)&amp;" – "&amp;D328)</f>
        <v/>
      </c>
    </row>
    <row r="329">
      <c r="A329" s="75" t="inlineStr">
        <is>
          <t>S0328</t>
        </is>
      </c>
      <c r="B329" s="76" t="inlineStr">
        <is>
          <t>Zoe</t>
        </is>
      </c>
      <c r="C329" s="76" t="inlineStr">
        <is>
          <t>Ryan</t>
        </is>
      </c>
      <c r="D329" s="77" t="inlineStr">
        <is>
          <t>6</t>
        </is>
      </c>
      <c r="E329" s="76" t="inlineStr">
        <is>
          <t>Mrs. Ravel</t>
        </is>
      </c>
      <c r="F329" s="76" t="n"/>
      <c r="G329" s="75">
        <f>IF(TRIM(E329)="","",TRIM(E329)&amp;" – "&amp;D329)</f>
        <v/>
      </c>
    </row>
    <row r="330">
      <c r="A330" s="75" t="inlineStr">
        <is>
          <t>S0329</t>
        </is>
      </c>
      <c r="B330" s="76" t="inlineStr">
        <is>
          <t>Lucas</t>
        </is>
      </c>
      <c r="C330" s="76" t="inlineStr">
        <is>
          <t>Patel</t>
        </is>
      </c>
      <c r="D330" s="77" t="inlineStr">
        <is>
          <t>6</t>
        </is>
      </c>
      <c r="E330" s="76" t="inlineStr">
        <is>
          <t>Mrs. Ravel</t>
        </is>
      </c>
      <c r="F330" s="76" t="n"/>
      <c r="G330" s="75">
        <f>IF(TRIM(E330)="","",TRIM(E330)&amp;" – "&amp;D330)</f>
        <v/>
      </c>
    </row>
    <row r="331">
      <c r="A331" s="75" t="inlineStr">
        <is>
          <t>S0330</t>
        </is>
      </c>
      <c r="B331" s="76" t="inlineStr">
        <is>
          <t>Isaac</t>
        </is>
      </c>
      <c r="C331" s="76" t="inlineStr">
        <is>
          <t>Byrne</t>
        </is>
      </c>
      <c r="D331" s="77" t="inlineStr">
        <is>
          <t>6</t>
        </is>
      </c>
      <c r="E331" s="76" t="inlineStr">
        <is>
          <t>Mrs. Ravel</t>
        </is>
      </c>
      <c r="F331" s="76" t="n"/>
      <c r="G331" s="75">
        <f>IF(TRIM(E331)="","",TRIM(E331)&amp;" – "&amp;D331)</f>
        <v/>
      </c>
    </row>
    <row r="332">
      <c r="A332" s="75" t="inlineStr">
        <is>
          <t>S0331</t>
        </is>
      </c>
      <c r="B332" s="76" t="inlineStr">
        <is>
          <t>Evelyn</t>
        </is>
      </c>
      <c r="C332" s="76" t="inlineStr">
        <is>
          <t>Ortiz</t>
        </is>
      </c>
      <c r="D332" s="77" t="inlineStr">
        <is>
          <t>6</t>
        </is>
      </c>
      <c r="E332" s="76" t="inlineStr">
        <is>
          <t>Mrs. Ravel</t>
        </is>
      </c>
      <c r="F332" s="76" t="n"/>
      <c r="G332" s="75">
        <f>IF(TRIM(E332)="","",TRIM(E332)&amp;" – "&amp;D332)</f>
        <v/>
      </c>
    </row>
    <row r="333">
      <c r="A333" s="75" t="inlineStr">
        <is>
          <t>S0332</t>
        </is>
      </c>
      <c r="B333" s="76" t="inlineStr">
        <is>
          <t>Gabriel</t>
        </is>
      </c>
      <c r="C333" s="76" t="inlineStr">
        <is>
          <t>Sanchez</t>
        </is>
      </c>
      <c r="D333" s="77" t="inlineStr">
        <is>
          <t>6</t>
        </is>
      </c>
      <c r="E333" s="76" t="inlineStr">
        <is>
          <t>Mrs. Ravel</t>
        </is>
      </c>
      <c r="F333" s="76" t="n"/>
      <c r="G333" s="75">
        <f>IF(TRIM(E333)="","",TRIM(E333)&amp;" – "&amp;D333)</f>
        <v/>
      </c>
    </row>
    <row r="334">
      <c r="A334" s="75" t="inlineStr">
        <is>
          <t>S0333</t>
        </is>
      </c>
      <c r="B334" s="76" t="inlineStr">
        <is>
          <t>Isaac</t>
        </is>
      </c>
      <c r="C334" s="76" t="inlineStr">
        <is>
          <t>O'Brien</t>
        </is>
      </c>
      <c r="D334" s="77" t="inlineStr">
        <is>
          <t>6</t>
        </is>
      </c>
      <c r="E334" s="76" t="inlineStr">
        <is>
          <t>Mrs. Ravel</t>
        </is>
      </c>
      <c r="F334" s="76" t="n"/>
      <c r="G334" s="75">
        <f>IF(TRIM(E334)="","",TRIM(E334)&amp;" – "&amp;D334)</f>
        <v/>
      </c>
    </row>
    <row r="335">
      <c r="A335" s="75" t="inlineStr">
        <is>
          <t>S0334</t>
        </is>
      </c>
      <c r="B335" s="76" t="inlineStr">
        <is>
          <t>Chloe</t>
        </is>
      </c>
      <c r="C335" s="76" t="inlineStr">
        <is>
          <t>Williams</t>
        </is>
      </c>
      <c r="D335" s="77" t="inlineStr">
        <is>
          <t>6</t>
        </is>
      </c>
      <c r="E335" s="76" t="inlineStr">
        <is>
          <t>Mrs. Ravel</t>
        </is>
      </c>
      <c r="F335" s="76" t="n"/>
      <c r="G335" s="75">
        <f>IF(TRIM(E335)="","",TRIM(E335)&amp;" – "&amp;D335)</f>
        <v/>
      </c>
    </row>
    <row r="336">
      <c r="A336" s="75" t="inlineStr">
        <is>
          <t>S0335</t>
        </is>
      </c>
      <c r="B336" s="76" t="inlineStr">
        <is>
          <t>Maya</t>
        </is>
      </c>
      <c r="C336" s="76" t="inlineStr">
        <is>
          <t>Torres</t>
        </is>
      </c>
      <c r="D336" s="77" t="inlineStr">
        <is>
          <t>6</t>
        </is>
      </c>
      <c r="E336" s="76" t="inlineStr">
        <is>
          <t>Mrs. Ravel</t>
        </is>
      </c>
      <c r="F336" s="76" t="n"/>
      <c r="G336" s="75">
        <f>IF(TRIM(E336)="","",TRIM(E336)&amp;" – "&amp;D336)</f>
        <v/>
      </c>
    </row>
    <row r="337">
      <c r="A337" s="75" t="inlineStr">
        <is>
          <t>S0336</t>
        </is>
      </c>
      <c r="B337" s="76" t="inlineStr">
        <is>
          <t>Mateo</t>
        </is>
      </c>
      <c r="C337" s="76" t="inlineStr">
        <is>
          <t>Vasquez</t>
        </is>
      </c>
      <c r="D337" s="77" t="inlineStr">
        <is>
          <t>6</t>
        </is>
      </c>
      <c r="E337" s="76" t="inlineStr">
        <is>
          <t>Mrs. Ravel</t>
        </is>
      </c>
      <c r="F337" s="76" t="n"/>
      <c r="G337" s="75">
        <f>IF(TRIM(E337)="","",TRIM(E337)&amp;" – "&amp;D337)</f>
        <v/>
      </c>
    </row>
    <row r="338">
      <c r="A338" s="75" t="inlineStr">
        <is>
          <t>S0337</t>
        </is>
      </c>
      <c r="B338" s="76" t="inlineStr">
        <is>
          <t>James</t>
        </is>
      </c>
      <c r="C338" s="76" t="inlineStr">
        <is>
          <t>Torres</t>
        </is>
      </c>
      <c r="D338" s="77" t="inlineStr">
        <is>
          <t>6</t>
        </is>
      </c>
      <c r="E338" s="76" t="inlineStr">
        <is>
          <t>Mrs. Ravel</t>
        </is>
      </c>
      <c r="F338" s="76" t="n"/>
      <c r="G338" s="75">
        <f>IF(TRIM(E338)="","",TRIM(E338)&amp;" – "&amp;D338)</f>
        <v/>
      </c>
    </row>
    <row r="339">
      <c r="A339" s="75" t="inlineStr">
        <is>
          <t>S0338</t>
        </is>
      </c>
      <c r="B339" s="76" t="inlineStr">
        <is>
          <t>Isaac</t>
        </is>
      </c>
      <c r="C339" s="76" t="inlineStr">
        <is>
          <t>Rodriguez</t>
        </is>
      </c>
      <c r="D339" s="77" t="inlineStr">
        <is>
          <t>6</t>
        </is>
      </c>
      <c r="E339" s="76" t="inlineStr">
        <is>
          <t>Mrs. Ravel</t>
        </is>
      </c>
      <c r="F339" s="76" t="n"/>
      <c r="G339" s="75">
        <f>IF(TRIM(E339)="","",TRIM(E339)&amp;" – "&amp;D339)</f>
        <v/>
      </c>
    </row>
    <row r="340">
      <c r="A340" s="75" t="inlineStr">
        <is>
          <t>S0339</t>
        </is>
      </c>
      <c r="B340" s="76" t="inlineStr">
        <is>
          <t>Nora</t>
        </is>
      </c>
      <c r="C340" s="76" t="inlineStr">
        <is>
          <t>Torres</t>
        </is>
      </c>
      <c r="D340" s="77" t="inlineStr">
        <is>
          <t>6</t>
        </is>
      </c>
      <c r="E340" s="76" t="inlineStr">
        <is>
          <t>Mrs. Ravel</t>
        </is>
      </c>
      <c r="F340" s="76" t="n"/>
      <c r="G340" s="75">
        <f>IF(TRIM(E340)="","",TRIM(E340)&amp;" – "&amp;D340)</f>
        <v/>
      </c>
    </row>
    <row r="341">
      <c r="A341" s="75" t="inlineStr">
        <is>
          <t>S0340</t>
        </is>
      </c>
      <c r="B341" s="76" t="inlineStr">
        <is>
          <t>Benjamin</t>
        </is>
      </c>
      <c r="C341" s="76" t="inlineStr">
        <is>
          <t>Nguyen</t>
        </is>
      </c>
      <c r="D341" s="77" t="inlineStr">
        <is>
          <t>6</t>
        </is>
      </c>
      <c r="E341" s="76" t="inlineStr">
        <is>
          <t>Mrs. Ravel</t>
        </is>
      </c>
      <c r="F341" s="76" t="n"/>
      <c r="G341" s="75">
        <f>IF(TRIM(E341)="","",TRIM(E341)&amp;" – "&amp;D341)</f>
        <v/>
      </c>
    </row>
    <row r="342">
      <c r="A342" s="75" t="inlineStr">
        <is>
          <t>S0341</t>
        </is>
      </c>
      <c r="B342" s="76" t="inlineStr">
        <is>
          <t>Emma</t>
        </is>
      </c>
      <c r="C342" s="76" t="inlineStr">
        <is>
          <t>Sullivan</t>
        </is>
      </c>
      <c r="D342" s="77" t="inlineStr">
        <is>
          <t>6</t>
        </is>
      </c>
      <c r="E342" s="76" t="inlineStr">
        <is>
          <t>Mrs. Ravel</t>
        </is>
      </c>
      <c r="F342" s="76" t="n"/>
      <c r="G342" s="75">
        <f>IF(TRIM(E342)="","",TRIM(E342)&amp;" – "&amp;D342)</f>
        <v/>
      </c>
    </row>
    <row r="343">
      <c r="A343" s="75" t="inlineStr">
        <is>
          <t>S0342</t>
        </is>
      </c>
      <c r="B343" s="76" t="inlineStr">
        <is>
          <t>Evelyn</t>
        </is>
      </c>
      <c r="C343" s="76" t="inlineStr">
        <is>
          <t>Chavez</t>
        </is>
      </c>
      <c r="D343" s="77" t="inlineStr">
        <is>
          <t>6</t>
        </is>
      </c>
      <c r="E343" s="76" t="inlineStr">
        <is>
          <t>Mrs. Ravel</t>
        </is>
      </c>
      <c r="F343" s="76" t="n"/>
      <c r="G343" s="75">
        <f>IF(TRIM(E343)="","",TRIM(E343)&amp;" – "&amp;D343)</f>
        <v/>
      </c>
    </row>
    <row r="344">
      <c r="A344" s="75" t="inlineStr">
        <is>
          <t>S0343</t>
        </is>
      </c>
      <c r="B344" s="76" t="inlineStr">
        <is>
          <t>Thomas</t>
        </is>
      </c>
      <c r="C344" s="76" t="inlineStr">
        <is>
          <t>Ruiz</t>
        </is>
      </c>
      <c r="D344" s="77" t="inlineStr">
        <is>
          <t>6</t>
        </is>
      </c>
      <c r="E344" s="76" t="inlineStr">
        <is>
          <t>Mrs. Ravel</t>
        </is>
      </c>
      <c r="F344" s="76" t="n"/>
      <c r="G344" s="75">
        <f>IF(TRIM(E344)="","",TRIM(E344)&amp;" – "&amp;D344)</f>
        <v/>
      </c>
    </row>
    <row r="345">
      <c r="A345" s="75" t="inlineStr">
        <is>
          <t>S0344</t>
        </is>
      </c>
      <c r="B345" s="76" t="inlineStr">
        <is>
          <t>Aria</t>
        </is>
      </c>
      <c r="C345" s="76" t="inlineStr">
        <is>
          <t>Ryan</t>
        </is>
      </c>
      <c r="D345" s="77" t="inlineStr">
        <is>
          <t>6</t>
        </is>
      </c>
      <c r="E345" s="76" t="inlineStr">
        <is>
          <t>Mrs. Ravel</t>
        </is>
      </c>
      <c r="F345" s="76" t="n"/>
      <c r="G345" s="75">
        <f>IF(TRIM(E345)="","",TRIM(E345)&amp;" – "&amp;D345)</f>
        <v/>
      </c>
    </row>
    <row r="346">
      <c r="A346" s="75" t="inlineStr">
        <is>
          <t>S0345</t>
        </is>
      </c>
      <c r="B346" s="76" t="inlineStr">
        <is>
          <t>Aria</t>
        </is>
      </c>
      <c r="C346" s="76" t="inlineStr">
        <is>
          <t>Ramirez</t>
        </is>
      </c>
      <c r="D346" s="77" t="inlineStr">
        <is>
          <t>7</t>
        </is>
      </c>
      <c r="E346" s="76" t="inlineStr">
        <is>
          <t>Mr. Stanton</t>
        </is>
      </c>
      <c r="F346" s="76" t="n"/>
      <c r="G346" s="75">
        <f>IF(TRIM(E346)="","",TRIM(E346)&amp;" – "&amp;D346)</f>
        <v/>
      </c>
    </row>
    <row r="347">
      <c r="A347" s="75" t="inlineStr">
        <is>
          <t>S0346</t>
        </is>
      </c>
      <c r="B347" s="76" t="inlineStr">
        <is>
          <t>Adrian</t>
        </is>
      </c>
      <c r="C347" s="76" t="inlineStr">
        <is>
          <t>Gonzalez</t>
        </is>
      </c>
      <c r="D347" s="77" t="inlineStr">
        <is>
          <t>7</t>
        </is>
      </c>
      <c r="E347" s="76" t="inlineStr">
        <is>
          <t>Mr. Stanton</t>
        </is>
      </c>
      <c r="F347" s="76" t="n"/>
      <c r="G347" s="75">
        <f>IF(TRIM(E347)="","",TRIM(E347)&amp;" – "&amp;D347)</f>
        <v/>
      </c>
    </row>
    <row r="348">
      <c r="A348" s="75" t="inlineStr">
        <is>
          <t>S0347</t>
        </is>
      </c>
      <c r="B348" s="76" t="inlineStr">
        <is>
          <t>Liam</t>
        </is>
      </c>
      <c r="C348" s="76" t="inlineStr">
        <is>
          <t>Rodriguez</t>
        </is>
      </c>
      <c r="D348" s="77" t="inlineStr">
        <is>
          <t>7</t>
        </is>
      </c>
      <c r="E348" s="76" t="inlineStr">
        <is>
          <t>Mr. Stanton</t>
        </is>
      </c>
      <c r="F348" s="76" t="n"/>
      <c r="G348" s="75">
        <f>IF(TRIM(E348)="","",TRIM(E348)&amp;" – "&amp;D348)</f>
        <v/>
      </c>
    </row>
    <row r="349">
      <c r="A349" s="75" t="inlineStr">
        <is>
          <t>S0348</t>
        </is>
      </c>
      <c r="B349" s="76" t="inlineStr">
        <is>
          <t>Clara</t>
        </is>
      </c>
      <c r="C349" s="76" t="inlineStr">
        <is>
          <t>Kelly</t>
        </is>
      </c>
      <c r="D349" s="77" t="inlineStr">
        <is>
          <t>7</t>
        </is>
      </c>
      <c r="E349" s="76" t="inlineStr">
        <is>
          <t>Mr. Stanton</t>
        </is>
      </c>
      <c r="F349" s="76" t="n"/>
      <c r="G349" s="75">
        <f>IF(TRIM(E349)="","",TRIM(E349)&amp;" – "&amp;D349)</f>
        <v/>
      </c>
    </row>
    <row r="350">
      <c r="A350" s="75" t="inlineStr">
        <is>
          <t>S0349</t>
        </is>
      </c>
      <c r="B350" s="76" t="inlineStr">
        <is>
          <t>Santiago</t>
        </is>
      </c>
      <c r="C350" s="76" t="inlineStr">
        <is>
          <t>Lopez</t>
        </is>
      </c>
      <c r="D350" s="77" t="inlineStr">
        <is>
          <t>7</t>
        </is>
      </c>
      <c r="E350" s="76" t="inlineStr">
        <is>
          <t>Mr. Stanton</t>
        </is>
      </c>
      <c r="F350" s="76" t="n"/>
      <c r="G350" s="75">
        <f>IF(TRIM(E350)="","",TRIM(E350)&amp;" – "&amp;D350)</f>
        <v/>
      </c>
    </row>
    <row r="351">
      <c r="A351" s="75" t="inlineStr">
        <is>
          <t>S0350</t>
        </is>
      </c>
      <c r="B351" s="76" t="inlineStr">
        <is>
          <t>Benjamin</t>
        </is>
      </c>
      <c r="C351" s="76" t="inlineStr">
        <is>
          <t>Cruz</t>
        </is>
      </c>
      <c r="D351" s="77" t="inlineStr">
        <is>
          <t>7</t>
        </is>
      </c>
      <c r="E351" s="76" t="inlineStr">
        <is>
          <t>Mr. Stanton</t>
        </is>
      </c>
      <c r="F351" s="76" t="n"/>
      <c r="G351" s="75">
        <f>IF(TRIM(E351)="","",TRIM(E351)&amp;" – "&amp;D351)</f>
        <v/>
      </c>
    </row>
    <row r="352">
      <c r="A352" s="75" t="inlineStr">
        <is>
          <t>S0351</t>
        </is>
      </c>
      <c r="B352" s="76" t="inlineStr">
        <is>
          <t>Noah</t>
        </is>
      </c>
      <c r="C352" s="76" t="inlineStr">
        <is>
          <t>Rodriguez</t>
        </is>
      </c>
      <c r="D352" s="77" t="inlineStr">
        <is>
          <t>7</t>
        </is>
      </c>
      <c r="E352" s="76" t="inlineStr">
        <is>
          <t>Mr. Stanton</t>
        </is>
      </c>
      <c r="F352" s="76" t="n"/>
      <c r="G352" s="75">
        <f>IF(TRIM(E352)="","",TRIM(E352)&amp;" – "&amp;D352)</f>
        <v/>
      </c>
    </row>
    <row r="353">
      <c r="A353" s="75" t="inlineStr">
        <is>
          <t>S0352</t>
        </is>
      </c>
      <c r="B353" s="76" t="inlineStr">
        <is>
          <t>Benjamin</t>
        </is>
      </c>
      <c r="C353" s="76" t="inlineStr">
        <is>
          <t>Murphy</t>
        </is>
      </c>
      <c r="D353" s="77" t="inlineStr">
        <is>
          <t>7</t>
        </is>
      </c>
      <c r="E353" s="76" t="inlineStr">
        <is>
          <t>Mr. Stanton</t>
        </is>
      </c>
      <c r="F353" s="76" t="n"/>
      <c r="G353" s="75">
        <f>IF(TRIM(E353)="","",TRIM(E353)&amp;" – "&amp;D353)</f>
        <v/>
      </c>
    </row>
    <row r="354">
      <c r="A354" s="75" t="inlineStr">
        <is>
          <t>S0353</t>
        </is>
      </c>
      <c r="B354" s="76" t="inlineStr">
        <is>
          <t>Luna</t>
        </is>
      </c>
      <c r="C354" s="76" t="inlineStr">
        <is>
          <t>Rodriguez</t>
        </is>
      </c>
      <c r="D354" s="77" t="inlineStr">
        <is>
          <t>7</t>
        </is>
      </c>
      <c r="E354" s="76" t="inlineStr">
        <is>
          <t>Mr. Stanton</t>
        </is>
      </c>
      <c r="F354" s="76" t="n"/>
      <c r="G354" s="75">
        <f>IF(TRIM(E354)="","",TRIM(E354)&amp;" – "&amp;D354)</f>
        <v/>
      </c>
    </row>
    <row r="355">
      <c r="A355" s="75" t="inlineStr">
        <is>
          <t>S0354</t>
        </is>
      </c>
      <c r="B355" s="76" t="inlineStr">
        <is>
          <t>Joseph</t>
        </is>
      </c>
      <c r="C355" s="76" t="inlineStr">
        <is>
          <t>Perez</t>
        </is>
      </c>
      <c r="D355" s="77" t="inlineStr">
        <is>
          <t>7</t>
        </is>
      </c>
      <c r="E355" s="76" t="inlineStr">
        <is>
          <t>Mr. Stanton</t>
        </is>
      </c>
      <c r="F355" s="76" t="n"/>
      <c r="G355" s="75">
        <f>IF(TRIM(E355)="","",TRIM(E355)&amp;" – "&amp;D355)</f>
        <v/>
      </c>
    </row>
    <row r="356">
      <c r="A356" s="75" t="inlineStr">
        <is>
          <t>S0355</t>
        </is>
      </c>
      <c r="B356" s="76" t="inlineStr">
        <is>
          <t>Noah</t>
        </is>
      </c>
      <c r="C356" s="76" t="inlineStr">
        <is>
          <t>Hernandez</t>
        </is>
      </c>
      <c r="D356" s="77" t="inlineStr">
        <is>
          <t>7</t>
        </is>
      </c>
      <c r="E356" s="76" t="inlineStr">
        <is>
          <t>Mr. Stanton</t>
        </is>
      </c>
      <c r="F356" s="76" t="n"/>
      <c r="G356" s="75">
        <f>IF(TRIM(E356)="","",TRIM(E356)&amp;" – "&amp;D356)</f>
        <v/>
      </c>
    </row>
    <row r="357">
      <c r="A357" s="75" t="inlineStr">
        <is>
          <t>S0356</t>
        </is>
      </c>
      <c r="B357" s="76" t="inlineStr">
        <is>
          <t>Noah</t>
        </is>
      </c>
      <c r="C357" s="76" t="inlineStr">
        <is>
          <t>Gonzalez</t>
        </is>
      </c>
      <c r="D357" s="77" t="inlineStr">
        <is>
          <t>7</t>
        </is>
      </c>
      <c r="E357" s="76" t="inlineStr">
        <is>
          <t>Mr. Stanton</t>
        </is>
      </c>
      <c r="F357" s="76" t="n"/>
      <c r="G357" s="75">
        <f>IF(TRIM(E357)="","",TRIM(E357)&amp;" – "&amp;D357)</f>
        <v/>
      </c>
    </row>
    <row r="358">
      <c r="A358" s="75" t="inlineStr">
        <is>
          <t>S0357</t>
        </is>
      </c>
      <c r="B358" s="76" t="inlineStr">
        <is>
          <t>Grace</t>
        </is>
      </c>
      <c r="C358" s="76" t="inlineStr">
        <is>
          <t>Ryan</t>
        </is>
      </c>
      <c r="D358" s="77" t="inlineStr">
        <is>
          <t>7</t>
        </is>
      </c>
      <c r="E358" s="76" t="inlineStr">
        <is>
          <t>Mr. Stanton</t>
        </is>
      </c>
      <c r="F358" s="76" t="n"/>
      <c r="G358" s="75">
        <f>IF(TRIM(E358)="","",TRIM(E358)&amp;" – "&amp;D358)</f>
        <v/>
      </c>
    </row>
    <row r="359">
      <c r="A359" s="75" t="inlineStr">
        <is>
          <t>S0358</t>
        </is>
      </c>
      <c r="B359" s="76" t="inlineStr">
        <is>
          <t>David</t>
        </is>
      </c>
      <c r="C359" s="76" t="inlineStr">
        <is>
          <t>Murphy</t>
        </is>
      </c>
      <c r="D359" s="77" t="inlineStr">
        <is>
          <t>7</t>
        </is>
      </c>
      <c r="E359" s="76" t="inlineStr">
        <is>
          <t>Mr. Stanton</t>
        </is>
      </c>
      <c r="F359" s="76" t="n"/>
      <c r="G359" s="75">
        <f>IF(TRIM(E359)="","",TRIM(E359)&amp;" – "&amp;D359)</f>
        <v/>
      </c>
    </row>
    <row r="360">
      <c r="A360" s="75" t="inlineStr">
        <is>
          <t>S0359</t>
        </is>
      </c>
      <c r="B360" s="76" t="inlineStr">
        <is>
          <t>Mateo</t>
        </is>
      </c>
      <c r="C360" s="76" t="inlineStr">
        <is>
          <t>Cruz</t>
        </is>
      </c>
      <c r="D360" s="77" t="inlineStr">
        <is>
          <t>7</t>
        </is>
      </c>
      <c r="E360" s="76" t="inlineStr">
        <is>
          <t>Mr. Stanton</t>
        </is>
      </c>
      <c r="F360" s="76" t="n"/>
      <c r="G360" s="75">
        <f>IF(TRIM(E360)="","",TRIM(E360)&amp;" – "&amp;D360)</f>
        <v/>
      </c>
    </row>
    <row r="361">
      <c r="A361" s="75" t="inlineStr">
        <is>
          <t>S0360</t>
        </is>
      </c>
      <c r="B361" s="76" t="inlineStr">
        <is>
          <t>Evelyn</t>
        </is>
      </c>
      <c r="C361" s="76" t="inlineStr">
        <is>
          <t>Gonzalez</t>
        </is>
      </c>
      <c r="D361" s="77" t="inlineStr">
        <is>
          <t>7</t>
        </is>
      </c>
      <c r="E361" s="76" t="inlineStr">
        <is>
          <t>Mr. Stanton</t>
        </is>
      </c>
      <c r="F361" s="76" t="n"/>
      <c r="G361" s="75">
        <f>IF(TRIM(E361)="","",TRIM(E361)&amp;" – "&amp;D361)</f>
        <v/>
      </c>
    </row>
    <row r="362">
      <c r="A362" s="75" t="inlineStr">
        <is>
          <t>S0361</t>
        </is>
      </c>
      <c r="B362" s="76" t="inlineStr">
        <is>
          <t>Nora</t>
        </is>
      </c>
      <c r="C362" s="76" t="inlineStr">
        <is>
          <t>Lopez</t>
        </is>
      </c>
      <c r="D362" s="77" t="inlineStr">
        <is>
          <t>7</t>
        </is>
      </c>
      <c r="E362" s="76" t="inlineStr">
        <is>
          <t>Mr. Stanton</t>
        </is>
      </c>
      <c r="F362" s="76" t="n"/>
      <c r="G362" s="75">
        <f>IF(TRIM(E362)="","",TRIM(E362)&amp;" – "&amp;D362)</f>
        <v/>
      </c>
    </row>
    <row r="363">
      <c r="A363" s="75" t="inlineStr">
        <is>
          <t>S0362</t>
        </is>
      </c>
      <c r="B363" s="76" t="inlineStr">
        <is>
          <t>Zoe</t>
        </is>
      </c>
      <c r="C363" s="76" t="inlineStr">
        <is>
          <t>Garcia</t>
        </is>
      </c>
      <c r="D363" s="77" t="inlineStr">
        <is>
          <t>7</t>
        </is>
      </c>
      <c r="E363" s="76" t="inlineStr">
        <is>
          <t>Mr. Stanton</t>
        </is>
      </c>
      <c r="F363" s="76" t="n"/>
      <c r="G363" s="75">
        <f>IF(TRIM(E363)="","",TRIM(E363)&amp;" – "&amp;D363)</f>
        <v/>
      </c>
    </row>
    <row r="364">
      <c r="A364" s="75" t="inlineStr">
        <is>
          <t>S0363</t>
        </is>
      </c>
      <c r="B364" s="76" t="inlineStr">
        <is>
          <t>Luna</t>
        </is>
      </c>
      <c r="C364" s="76" t="inlineStr">
        <is>
          <t>Walsh</t>
        </is>
      </c>
      <c r="D364" s="77" t="inlineStr">
        <is>
          <t>7</t>
        </is>
      </c>
      <c r="E364" s="76" t="inlineStr">
        <is>
          <t>Mr. Stanton</t>
        </is>
      </c>
      <c r="F364" s="76" t="n"/>
      <c r="G364" s="75">
        <f>IF(TRIM(E364)="","",TRIM(E364)&amp;" – "&amp;D364)</f>
        <v/>
      </c>
    </row>
    <row r="365">
      <c r="A365" s="75" t="inlineStr">
        <is>
          <t>S0364</t>
        </is>
      </c>
      <c r="B365" s="76" t="inlineStr">
        <is>
          <t>Mateo</t>
        </is>
      </c>
      <c r="C365" s="76" t="inlineStr">
        <is>
          <t>Perez</t>
        </is>
      </c>
      <c r="D365" s="77" t="inlineStr">
        <is>
          <t>7</t>
        </is>
      </c>
      <c r="E365" s="76" t="inlineStr">
        <is>
          <t>Mr. Stanton</t>
        </is>
      </c>
      <c r="F365" s="76" t="n"/>
      <c r="G365" s="75">
        <f>IF(TRIM(E365)="","",TRIM(E365)&amp;" – "&amp;D365)</f>
        <v/>
      </c>
    </row>
    <row r="366">
      <c r="A366" s="75" t="inlineStr">
        <is>
          <t>S0365</t>
        </is>
      </c>
      <c r="B366" s="76" t="inlineStr">
        <is>
          <t>Nora</t>
        </is>
      </c>
      <c r="C366" s="76" t="inlineStr">
        <is>
          <t>Ramirez</t>
        </is>
      </c>
      <c r="D366" s="77" t="inlineStr">
        <is>
          <t>7</t>
        </is>
      </c>
      <c r="E366" s="76" t="inlineStr">
        <is>
          <t>Mrs. Thorne</t>
        </is>
      </c>
      <c r="F366" s="76" t="n"/>
      <c r="G366" s="75">
        <f>IF(TRIM(E366)="","",TRIM(E366)&amp;" – "&amp;D366)</f>
        <v/>
      </c>
    </row>
    <row r="367">
      <c r="A367" s="75" t="inlineStr">
        <is>
          <t>S0366</t>
        </is>
      </c>
      <c r="B367" s="76" t="inlineStr">
        <is>
          <t>Lucas</t>
        </is>
      </c>
      <c r="C367" s="76" t="inlineStr">
        <is>
          <t>Mendoza</t>
        </is>
      </c>
      <c r="D367" s="77" t="inlineStr">
        <is>
          <t>7</t>
        </is>
      </c>
      <c r="E367" s="76" t="inlineStr">
        <is>
          <t>Mrs. Thorne</t>
        </is>
      </c>
      <c r="F367" s="76" t="n"/>
      <c r="G367" s="75">
        <f>IF(TRIM(E367)="","",TRIM(E367)&amp;" – "&amp;D367)</f>
        <v/>
      </c>
    </row>
    <row r="368">
      <c r="A368" s="75" t="inlineStr">
        <is>
          <t>S0367</t>
        </is>
      </c>
      <c r="B368" s="76" t="inlineStr">
        <is>
          <t>Clara</t>
        </is>
      </c>
      <c r="C368" s="76" t="inlineStr">
        <is>
          <t>Mendoza</t>
        </is>
      </c>
      <c r="D368" s="77" t="inlineStr">
        <is>
          <t>7</t>
        </is>
      </c>
      <c r="E368" s="76" t="inlineStr">
        <is>
          <t>Mrs. Thorne</t>
        </is>
      </c>
      <c r="F368" s="76" t="n"/>
      <c r="G368" s="75">
        <f>IF(TRIM(E368)="","",TRIM(E368)&amp;" – "&amp;D368)</f>
        <v/>
      </c>
    </row>
    <row r="369">
      <c r="A369" s="75" t="inlineStr">
        <is>
          <t>S0368</t>
        </is>
      </c>
      <c r="B369" s="76" t="inlineStr">
        <is>
          <t>James</t>
        </is>
      </c>
      <c r="C369" s="76" t="inlineStr">
        <is>
          <t>Flores</t>
        </is>
      </c>
      <c r="D369" s="77" t="inlineStr">
        <is>
          <t>7</t>
        </is>
      </c>
      <c r="E369" s="76" t="inlineStr">
        <is>
          <t>Mrs. Thorne</t>
        </is>
      </c>
      <c r="F369" s="76" t="n"/>
      <c r="G369" s="75">
        <f>IF(TRIM(E369)="","",TRIM(E369)&amp;" – "&amp;D369)</f>
        <v/>
      </c>
    </row>
    <row r="370">
      <c r="A370" s="75" t="inlineStr">
        <is>
          <t>S0369</t>
        </is>
      </c>
      <c r="B370" s="76" t="inlineStr">
        <is>
          <t>Clara</t>
        </is>
      </c>
      <c r="C370" s="76" t="inlineStr">
        <is>
          <t>Nguyen</t>
        </is>
      </c>
      <c r="D370" s="77" t="inlineStr">
        <is>
          <t>7</t>
        </is>
      </c>
      <c r="E370" s="76" t="inlineStr">
        <is>
          <t>Mrs. Thorne</t>
        </is>
      </c>
      <c r="F370" s="76" t="n"/>
      <c r="G370" s="75">
        <f>IF(TRIM(E370)="","",TRIM(E370)&amp;" – "&amp;D370)</f>
        <v/>
      </c>
    </row>
    <row r="371">
      <c r="A371" s="75" t="inlineStr">
        <is>
          <t>S0370</t>
        </is>
      </c>
      <c r="B371" s="76" t="inlineStr">
        <is>
          <t>Elijah</t>
        </is>
      </c>
      <c r="C371" s="76" t="inlineStr">
        <is>
          <t>Chavez</t>
        </is>
      </c>
      <c r="D371" s="77" t="inlineStr">
        <is>
          <t>7</t>
        </is>
      </c>
      <c r="E371" s="76" t="inlineStr">
        <is>
          <t>Mrs. Thorne</t>
        </is>
      </c>
      <c r="F371" s="76" t="n"/>
      <c r="G371" s="75">
        <f>IF(TRIM(E371)="","",TRIM(E371)&amp;" – "&amp;D371)</f>
        <v/>
      </c>
    </row>
    <row r="372">
      <c r="A372" s="75" t="inlineStr">
        <is>
          <t>S0371</t>
        </is>
      </c>
      <c r="B372" s="76" t="inlineStr">
        <is>
          <t>Olivia</t>
        </is>
      </c>
      <c r="C372" s="76" t="inlineStr">
        <is>
          <t>Murphy</t>
        </is>
      </c>
      <c r="D372" s="77" t="inlineStr">
        <is>
          <t>7</t>
        </is>
      </c>
      <c r="E372" s="76" t="inlineStr">
        <is>
          <t>Mrs. Thorne</t>
        </is>
      </c>
      <c r="F372" s="76" t="n"/>
      <c r="G372" s="75">
        <f>IF(TRIM(E372)="","",TRIM(E372)&amp;" – "&amp;D372)</f>
        <v/>
      </c>
    </row>
    <row r="373">
      <c r="A373" s="75" t="inlineStr">
        <is>
          <t>S0372</t>
        </is>
      </c>
      <c r="B373" s="76" t="inlineStr">
        <is>
          <t>Samuel</t>
        </is>
      </c>
      <c r="C373" s="76" t="inlineStr">
        <is>
          <t>Mendoza</t>
        </is>
      </c>
      <c r="D373" s="77" t="inlineStr">
        <is>
          <t>7</t>
        </is>
      </c>
      <c r="E373" s="76" t="inlineStr">
        <is>
          <t>Mrs. Thorne</t>
        </is>
      </c>
      <c r="F373" s="76" t="n"/>
      <c r="G373" s="75">
        <f>IF(TRIM(E373)="","",TRIM(E373)&amp;" – "&amp;D373)</f>
        <v/>
      </c>
    </row>
    <row r="374">
      <c r="A374" s="75" t="inlineStr">
        <is>
          <t>S0373</t>
        </is>
      </c>
      <c r="B374" s="76" t="inlineStr">
        <is>
          <t>Joseph</t>
        </is>
      </c>
      <c r="C374" s="76" t="inlineStr">
        <is>
          <t>Chavez</t>
        </is>
      </c>
      <c r="D374" s="77" t="inlineStr">
        <is>
          <t>7</t>
        </is>
      </c>
      <c r="E374" s="76" t="inlineStr">
        <is>
          <t>Mrs. Thorne</t>
        </is>
      </c>
      <c r="F374" s="76" t="n"/>
      <c r="G374" s="75">
        <f>IF(TRIM(E374)="","",TRIM(E374)&amp;" – "&amp;D374)</f>
        <v/>
      </c>
    </row>
    <row r="375">
      <c r="A375" s="75" t="inlineStr">
        <is>
          <t>S0374</t>
        </is>
      </c>
      <c r="B375" s="76" t="inlineStr">
        <is>
          <t>Elijah</t>
        </is>
      </c>
      <c r="C375" s="76" t="inlineStr">
        <is>
          <t>Cruz</t>
        </is>
      </c>
      <c r="D375" s="77" t="inlineStr">
        <is>
          <t>7</t>
        </is>
      </c>
      <c r="E375" s="76" t="inlineStr">
        <is>
          <t>Mrs. Thorne</t>
        </is>
      </c>
      <c r="F375" s="76" t="n"/>
      <c r="G375" s="75">
        <f>IF(TRIM(E375)="","",TRIM(E375)&amp;" – "&amp;D375)</f>
        <v/>
      </c>
    </row>
    <row r="376">
      <c r="A376" s="75" t="inlineStr">
        <is>
          <t>S0375</t>
        </is>
      </c>
      <c r="B376" s="76" t="inlineStr">
        <is>
          <t>Elena</t>
        </is>
      </c>
      <c r="C376" s="76" t="inlineStr">
        <is>
          <t>Castillo</t>
        </is>
      </c>
      <c r="D376" s="77" t="inlineStr">
        <is>
          <t>7</t>
        </is>
      </c>
      <c r="E376" s="76" t="inlineStr">
        <is>
          <t>Mrs. Thorne</t>
        </is>
      </c>
      <c r="F376" s="76" t="n"/>
      <c r="G376" s="75">
        <f>IF(TRIM(E376)="","",TRIM(E376)&amp;" – "&amp;D376)</f>
        <v/>
      </c>
    </row>
    <row r="377">
      <c r="A377" s="75" t="inlineStr">
        <is>
          <t>S0376</t>
        </is>
      </c>
      <c r="B377" s="76" t="inlineStr">
        <is>
          <t>Adrian</t>
        </is>
      </c>
      <c r="C377" s="76" t="inlineStr">
        <is>
          <t>Byrne</t>
        </is>
      </c>
      <c r="D377" s="77" t="inlineStr">
        <is>
          <t>7</t>
        </is>
      </c>
      <c r="E377" s="76" t="inlineStr">
        <is>
          <t>Mrs. Thorne</t>
        </is>
      </c>
      <c r="F377" s="76" t="n"/>
      <c r="G377" s="75">
        <f>IF(TRIM(E377)="","",TRIM(E377)&amp;" – "&amp;D377)</f>
        <v/>
      </c>
    </row>
    <row r="378">
      <c r="A378" s="75" t="inlineStr">
        <is>
          <t>S0377</t>
        </is>
      </c>
      <c r="B378" s="76" t="inlineStr">
        <is>
          <t>Zoe</t>
        </is>
      </c>
      <c r="C378" s="76" t="inlineStr">
        <is>
          <t>Johnson</t>
        </is>
      </c>
      <c r="D378" s="77" t="inlineStr">
        <is>
          <t>7</t>
        </is>
      </c>
      <c r="E378" s="76" t="inlineStr">
        <is>
          <t>Mrs. Thorne</t>
        </is>
      </c>
      <c r="F378" s="76" t="n"/>
      <c r="G378" s="75">
        <f>IF(TRIM(E378)="","",TRIM(E378)&amp;" – "&amp;D378)</f>
        <v/>
      </c>
    </row>
    <row r="379">
      <c r="A379" s="75" t="inlineStr">
        <is>
          <t>S0378</t>
        </is>
      </c>
      <c r="B379" s="76" t="inlineStr">
        <is>
          <t>Elijah</t>
        </is>
      </c>
      <c r="C379" s="76" t="inlineStr">
        <is>
          <t>Ramirez</t>
        </is>
      </c>
      <c r="D379" s="77" t="inlineStr">
        <is>
          <t>7</t>
        </is>
      </c>
      <c r="E379" s="76" t="inlineStr">
        <is>
          <t>Mrs. Thorne</t>
        </is>
      </c>
      <c r="F379" s="76" t="n"/>
      <c r="G379" s="75">
        <f>IF(TRIM(E379)="","",TRIM(E379)&amp;" – "&amp;D379)</f>
        <v/>
      </c>
    </row>
    <row r="380">
      <c r="A380" s="75" t="inlineStr">
        <is>
          <t>S0379</t>
        </is>
      </c>
      <c r="B380" s="76" t="inlineStr">
        <is>
          <t>Diego</t>
        </is>
      </c>
      <c r="C380" s="76" t="inlineStr">
        <is>
          <t>Johnson</t>
        </is>
      </c>
      <c r="D380" s="77" t="inlineStr">
        <is>
          <t>7</t>
        </is>
      </c>
      <c r="E380" s="76" t="inlineStr">
        <is>
          <t>Mrs. Thorne</t>
        </is>
      </c>
      <c r="F380" s="76" t="n"/>
      <c r="G380" s="75">
        <f>IF(TRIM(E380)="","",TRIM(E380)&amp;" – "&amp;D380)</f>
        <v/>
      </c>
    </row>
    <row r="381">
      <c r="A381" s="75" t="inlineStr">
        <is>
          <t>S0380</t>
        </is>
      </c>
      <c r="B381" s="76" t="inlineStr">
        <is>
          <t>Luna</t>
        </is>
      </c>
      <c r="C381" s="76" t="inlineStr">
        <is>
          <t>Ryan</t>
        </is>
      </c>
      <c r="D381" s="77" t="inlineStr">
        <is>
          <t>7</t>
        </is>
      </c>
      <c r="E381" s="76" t="inlineStr">
        <is>
          <t>Mrs. Thorne</t>
        </is>
      </c>
      <c r="F381" s="76" t="n"/>
      <c r="G381" s="75">
        <f>IF(TRIM(E381)="","",TRIM(E381)&amp;" – "&amp;D381)</f>
        <v/>
      </c>
    </row>
    <row r="382">
      <c r="A382" s="75" t="inlineStr">
        <is>
          <t>S0381</t>
        </is>
      </c>
      <c r="B382" s="76" t="inlineStr">
        <is>
          <t>Olivia</t>
        </is>
      </c>
      <c r="C382" s="76" t="inlineStr">
        <is>
          <t>Brown</t>
        </is>
      </c>
      <c r="D382" s="77" t="inlineStr">
        <is>
          <t>7</t>
        </is>
      </c>
      <c r="E382" s="76" t="inlineStr">
        <is>
          <t>Mrs. Thorne</t>
        </is>
      </c>
      <c r="F382" s="76" t="n"/>
      <c r="G382" s="75">
        <f>IF(TRIM(E382)="","",TRIM(E382)&amp;" – "&amp;D382)</f>
        <v/>
      </c>
    </row>
    <row r="383">
      <c r="A383" s="75" t="inlineStr">
        <is>
          <t>S0382</t>
        </is>
      </c>
      <c r="B383" s="76" t="inlineStr">
        <is>
          <t>Noah</t>
        </is>
      </c>
      <c r="C383" s="76" t="inlineStr">
        <is>
          <t>Torres</t>
        </is>
      </c>
      <c r="D383" s="77" t="inlineStr">
        <is>
          <t>7</t>
        </is>
      </c>
      <c r="E383" s="76" t="inlineStr">
        <is>
          <t>Mrs. Thorne</t>
        </is>
      </c>
      <c r="F383" s="76" t="n"/>
      <c r="G383" s="75">
        <f>IF(TRIM(E383)="","",TRIM(E383)&amp;" – "&amp;D383)</f>
        <v/>
      </c>
    </row>
    <row r="384">
      <c r="A384" s="75" t="inlineStr">
        <is>
          <t>S0383</t>
        </is>
      </c>
      <c r="B384" s="76" t="inlineStr">
        <is>
          <t>Thomas</t>
        </is>
      </c>
      <c r="C384" s="76" t="inlineStr">
        <is>
          <t>Mendoza</t>
        </is>
      </c>
      <c r="D384" s="77" t="inlineStr">
        <is>
          <t>7</t>
        </is>
      </c>
      <c r="E384" s="76" t="inlineStr">
        <is>
          <t>Mrs. Thorne</t>
        </is>
      </c>
      <c r="F384" s="76" t="n"/>
      <c r="G384" s="75">
        <f>IF(TRIM(E384)="","",TRIM(E384)&amp;" – "&amp;D384)</f>
        <v/>
      </c>
    </row>
    <row r="385">
      <c r="A385" s="75" t="inlineStr">
        <is>
          <t>S0384</t>
        </is>
      </c>
      <c r="B385" s="76" t="inlineStr">
        <is>
          <t>Ava</t>
        </is>
      </c>
      <c r="C385" s="76" t="inlineStr">
        <is>
          <t>Mendoza</t>
        </is>
      </c>
      <c r="D385" s="77" t="inlineStr">
        <is>
          <t>7</t>
        </is>
      </c>
      <c r="E385" s="76" t="inlineStr">
        <is>
          <t>Mrs. Thorne</t>
        </is>
      </c>
      <c r="F385" s="76" t="n"/>
      <c r="G385" s="75">
        <f>IF(TRIM(E385)="","",TRIM(E385)&amp;" – "&amp;D385)</f>
        <v/>
      </c>
    </row>
    <row r="386">
      <c r="A386" s="75" t="inlineStr">
        <is>
          <t>S0385</t>
        </is>
      </c>
      <c r="B386" s="76" t="inlineStr">
        <is>
          <t>Mateo</t>
        </is>
      </c>
      <c r="C386" s="76" t="inlineStr">
        <is>
          <t>Sullivan</t>
        </is>
      </c>
      <c r="D386" s="77" t="inlineStr">
        <is>
          <t>8</t>
        </is>
      </c>
      <c r="E386" s="76" t="inlineStr">
        <is>
          <t>Ms. Underwood</t>
        </is>
      </c>
      <c r="F386" s="76" t="n"/>
      <c r="G386" s="75">
        <f>IF(TRIM(E386)="","",TRIM(E386)&amp;" – "&amp;D386)</f>
        <v/>
      </c>
    </row>
    <row r="387">
      <c r="A387" s="75" t="inlineStr">
        <is>
          <t>S0386</t>
        </is>
      </c>
      <c r="B387" s="76" t="inlineStr">
        <is>
          <t>Liam</t>
        </is>
      </c>
      <c r="C387" s="76" t="inlineStr">
        <is>
          <t>Diaz</t>
        </is>
      </c>
      <c r="D387" s="77" t="inlineStr">
        <is>
          <t>8</t>
        </is>
      </c>
      <c r="E387" s="76" t="inlineStr">
        <is>
          <t>Ms. Underwood</t>
        </is>
      </c>
      <c r="F387" s="76" t="n"/>
      <c r="G387" s="75">
        <f>IF(TRIM(E387)="","",TRIM(E387)&amp;" – "&amp;D387)</f>
        <v/>
      </c>
    </row>
    <row r="388">
      <c r="A388" s="75" t="inlineStr">
        <is>
          <t>S0387</t>
        </is>
      </c>
      <c r="B388" s="76" t="inlineStr">
        <is>
          <t>Harper</t>
        </is>
      </c>
      <c r="C388" s="76" t="inlineStr">
        <is>
          <t>Chavez</t>
        </is>
      </c>
      <c r="D388" s="77" t="inlineStr">
        <is>
          <t>8</t>
        </is>
      </c>
      <c r="E388" s="76" t="inlineStr">
        <is>
          <t>Ms. Underwood</t>
        </is>
      </c>
      <c r="F388" s="76" t="n"/>
      <c r="G388" s="75">
        <f>IF(TRIM(E388)="","",TRIM(E388)&amp;" – "&amp;D388)</f>
        <v/>
      </c>
    </row>
    <row r="389">
      <c r="A389" s="75" t="inlineStr">
        <is>
          <t>S0388</t>
        </is>
      </c>
      <c r="B389" s="76" t="inlineStr">
        <is>
          <t>Daniel</t>
        </is>
      </c>
      <c r="C389" s="76" t="inlineStr">
        <is>
          <t>Garcia</t>
        </is>
      </c>
      <c r="D389" s="77" t="inlineStr">
        <is>
          <t>8</t>
        </is>
      </c>
      <c r="E389" s="76" t="inlineStr">
        <is>
          <t>Ms. Underwood</t>
        </is>
      </c>
      <c r="F389" s="76" t="n"/>
      <c r="G389" s="75">
        <f>IF(TRIM(E389)="","",TRIM(E389)&amp;" – "&amp;D389)</f>
        <v/>
      </c>
    </row>
    <row r="390">
      <c r="A390" s="75" t="inlineStr">
        <is>
          <t>S0389</t>
        </is>
      </c>
      <c r="B390" s="76" t="inlineStr">
        <is>
          <t>Zoe</t>
        </is>
      </c>
      <c r="C390" s="76" t="inlineStr">
        <is>
          <t>O'Brien</t>
        </is>
      </c>
      <c r="D390" s="77" t="inlineStr">
        <is>
          <t>8</t>
        </is>
      </c>
      <c r="E390" s="76" t="inlineStr">
        <is>
          <t>Ms. Underwood</t>
        </is>
      </c>
      <c r="F390" s="76" t="n"/>
      <c r="G390" s="75">
        <f>IF(TRIM(E390)="","",TRIM(E390)&amp;" – "&amp;D390)</f>
        <v/>
      </c>
    </row>
    <row r="391">
      <c r="A391" s="75" t="inlineStr">
        <is>
          <t>S0390</t>
        </is>
      </c>
      <c r="B391" s="76" t="inlineStr">
        <is>
          <t>Joseph</t>
        </is>
      </c>
      <c r="C391" s="76" t="inlineStr">
        <is>
          <t>Diaz</t>
        </is>
      </c>
      <c r="D391" s="77" t="inlineStr">
        <is>
          <t>8</t>
        </is>
      </c>
      <c r="E391" s="76" t="inlineStr">
        <is>
          <t>Ms. Underwood</t>
        </is>
      </c>
      <c r="F391" s="76" t="n"/>
      <c r="G391" s="75">
        <f>IF(TRIM(E391)="","",TRIM(E391)&amp;" – "&amp;D391)</f>
        <v/>
      </c>
    </row>
    <row r="392">
      <c r="A392" s="75" t="inlineStr">
        <is>
          <t>S0391</t>
        </is>
      </c>
      <c r="B392" s="76" t="inlineStr">
        <is>
          <t>Luna</t>
        </is>
      </c>
      <c r="C392" s="76" t="inlineStr">
        <is>
          <t>Nguyen</t>
        </is>
      </c>
      <c r="D392" s="77" t="inlineStr">
        <is>
          <t>8</t>
        </is>
      </c>
      <c r="E392" s="76" t="inlineStr">
        <is>
          <t>Ms. Underwood</t>
        </is>
      </c>
      <c r="F392" s="76" t="n"/>
      <c r="G392" s="75">
        <f>IF(TRIM(E392)="","",TRIM(E392)&amp;" – "&amp;D392)</f>
        <v/>
      </c>
    </row>
    <row r="393">
      <c r="A393" s="75" t="inlineStr">
        <is>
          <t>S0392</t>
        </is>
      </c>
      <c r="B393" s="76" t="inlineStr">
        <is>
          <t>Mia</t>
        </is>
      </c>
      <c r="C393" s="76" t="inlineStr">
        <is>
          <t>Gutierrez</t>
        </is>
      </c>
      <c r="D393" s="77" t="inlineStr">
        <is>
          <t>8</t>
        </is>
      </c>
      <c r="E393" s="76" t="inlineStr">
        <is>
          <t>Ms. Underwood</t>
        </is>
      </c>
      <c r="F393" s="76" t="n"/>
      <c r="G393" s="75">
        <f>IF(TRIM(E393)="","",TRIM(E393)&amp;" – "&amp;D393)</f>
        <v/>
      </c>
    </row>
    <row r="394">
      <c r="A394" s="75" t="inlineStr">
        <is>
          <t>S0393</t>
        </is>
      </c>
      <c r="B394" s="76" t="inlineStr">
        <is>
          <t>Joseph</t>
        </is>
      </c>
      <c r="C394" s="76" t="inlineStr">
        <is>
          <t>Ramos</t>
        </is>
      </c>
      <c r="D394" s="77" t="inlineStr">
        <is>
          <t>8</t>
        </is>
      </c>
      <c r="E394" s="76" t="inlineStr">
        <is>
          <t>Ms. Underwood</t>
        </is>
      </c>
      <c r="F394" s="76" t="n"/>
      <c r="G394" s="75">
        <f>IF(TRIM(E394)="","",TRIM(E394)&amp;" – "&amp;D394)</f>
        <v/>
      </c>
    </row>
    <row r="395">
      <c r="A395" s="75" t="inlineStr">
        <is>
          <t>S0394</t>
        </is>
      </c>
      <c r="B395" s="76" t="inlineStr">
        <is>
          <t>Maya</t>
        </is>
      </c>
      <c r="C395" s="76" t="inlineStr">
        <is>
          <t>Walsh</t>
        </is>
      </c>
      <c r="D395" s="77" t="inlineStr">
        <is>
          <t>8</t>
        </is>
      </c>
      <c r="E395" s="76" t="inlineStr">
        <is>
          <t>Ms. Underwood</t>
        </is>
      </c>
      <c r="F395" s="76" t="n"/>
      <c r="G395" s="75">
        <f>IF(TRIM(E395)="","",TRIM(E395)&amp;" – "&amp;D395)</f>
        <v/>
      </c>
    </row>
    <row r="396">
      <c r="A396" s="75" t="inlineStr">
        <is>
          <t>S0395</t>
        </is>
      </c>
      <c r="B396" s="76" t="inlineStr">
        <is>
          <t>Santiago</t>
        </is>
      </c>
      <c r="C396" s="76" t="inlineStr">
        <is>
          <t>Sullivan</t>
        </is>
      </c>
      <c r="D396" s="77" t="inlineStr">
        <is>
          <t>8</t>
        </is>
      </c>
      <c r="E396" s="76" t="inlineStr">
        <is>
          <t>Ms. Underwood</t>
        </is>
      </c>
      <c r="F396" s="76" t="n"/>
      <c r="G396" s="75">
        <f>IF(TRIM(E396)="","",TRIM(E396)&amp;" – "&amp;D396)</f>
        <v/>
      </c>
    </row>
    <row r="397">
      <c r="A397" s="75" t="inlineStr">
        <is>
          <t>S0396</t>
        </is>
      </c>
      <c r="B397" s="76" t="inlineStr">
        <is>
          <t>Evelyn</t>
        </is>
      </c>
      <c r="C397" s="76" t="inlineStr">
        <is>
          <t>Gomez</t>
        </is>
      </c>
      <c r="D397" s="77" t="inlineStr">
        <is>
          <t>8</t>
        </is>
      </c>
      <c r="E397" s="76" t="inlineStr">
        <is>
          <t>Ms. Underwood</t>
        </is>
      </c>
      <c r="F397" s="76" t="n"/>
      <c r="G397" s="75">
        <f>IF(TRIM(E397)="","",TRIM(E397)&amp;" – "&amp;D397)</f>
        <v/>
      </c>
    </row>
    <row r="398">
      <c r="A398" s="75" t="inlineStr">
        <is>
          <t>S0397</t>
        </is>
      </c>
      <c r="B398" s="76" t="inlineStr">
        <is>
          <t>Joseph</t>
        </is>
      </c>
      <c r="C398" s="76" t="inlineStr">
        <is>
          <t>Gutierrez</t>
        </is>
      </c>
      <c r="D398" s="77" t="inlineStr">
        <is>
          <t>8</t>
        </is>
      </c>
      <c r="E398" s="76" t="inlineStr">
        <is>
          <t>Ms. Underwood</t>
        </is>
      </c>
      <c r="F398" s="76" t="n"/>
      <c r="G398" s="75">
        <f>IF(TRIM(E398)="","",TRIM(E398)&amp;" – "&amp;D398)</f>
        <v/>
      </c>
    </row>
    <row r="399">
      <c r="A399" s="75" t="inlineStr">
        <is>
          <t>S0398</t>
        </is>
      </c>
      <c r="B399" s="76" t="inlineStr">
        <is>
          <t>Isaac</t>
        </is>
      </c>
      <c r="C399" s="76" t="inlineStr">
        <is>
          <t>Williams</t>
        </is>
      </c>
      <c r="D399" s="77" t="inlineStr">
        <is>
          <t>8</t>
        </is>
      </c>
      <c r="E399" s="76" t="inlineStr">
        <is>
          <t>Ms. Underwood</t>
        </is>
      </c>
      <c r="F399" s="76" t="n"/>
      <c r="G399" s="75">
        <f>IF(TRIM(E399)="","",TRIM(E399)&amp;" – "&amp;D399)</f>
        <v/>
      </c>
    </row>
    <row r="400">
      <c r="A400" s="75" t="inlineStr">
        <is>
          <t>S0399</t>
        </is>
      </c>
      <c r="B400" s="76" t="inlineStr">
        <is>
          <t>Benjamin</t>
        </is>
      </c>
      <c r="C400" s="76" t="inlineStr">
        <is>
          <t>Reyes</t>
        </is>
      </c>
      <c r="D400" s="77" t="inlineStr">
        <is>
          <t>8</t>
        </is>
      </c>
      <c r="E400" s="76" t="inlineStr">
        <is>
          <t>Ms. Underwood</t>
        </is>
      </c>
      <c r="F400" s="76" t="n"/>
      <c r="G400" s="75">
        <f>IF(TRIM(E400)="","",TRIM(E400)&amp;" – "&amp;D400)</f>
        <v/>
      </c>
    </row>
    <row r="401">
      <c r="A401" s="75" t="inlineStr">
        <is>
          <t>S0400</t>
        </is>
      </c>
      <c r="B401" s="76" t="inlineStr">
        <is>
          <t>Isabella</t>
        </is>
      </c>
      <c r="C401" s="76" t="inlineStr">
        <is>
          <t>Johnson</t>
        </is>
      </c>
      <c r="D401" s="77" t="inlineStr">
        <is>
          <t>8</t>
        </is>
      </c>
      <c r="E401" s="76" t="inlineStr">
        <is>
          <t>Ms. Underwood</t>
        </is>
      </c>
      <c r="F401" s="76" t="n"/>
      <c r="G401" s="75">
        <f>IF(TRIM(E401)="","",TRIM(E401)&amp;" – "&amp;D401)</f>
        <v/>
      </c>
    </row>
    <row r="402">
      <c r="A402" s="75" t="inlineStr">
        <is>
          <t>S0401</t>
        </is>
      </c>
      <c r="B402" s="76" t="inlineStr">
        <is>
          <t>Julian</t>
        </is>
      </c>
      <c r="C402" s="76" t="inlineStr">
        <is>
          <t>Lopez</t>
        </is>
      </c>
      <c r="D402" s="77" t="inlineStr">
        <is>
          <t>8</t>
        </is>
      </c>
      <c r="E402" s="76" t="inlineStr">
        <is>
          <t>Ms. Underwood</t>
        </is>
      </c>
      <c r="F402" s="76" t="n"/>
      <c r="G402" s="75">
        <f>IF(TRIM(E402)="","",TRIM(E402)&amp;" – "&amp;D402)</f>
        <v/>
      </c>
    </row>
    <row r="403">
      <c r="A403" s="75" t="inlineStr">
        <is>
          <t>S0402</t>
        </is>
      </c>
      <c r="B403" s="76" t="inlineStr">
        <is>
          <t>Camila</t>
        </is>
      </c>
      <c r="C403" s="76" t="inlineStr">
        <is>
          <t>O'Brien</t>
        </is>
      </c>
      <c r="D403" s="77" t="inlineStr">
        <is>
          <t>8</t>
        </is>
      </c>
      <c r="E403" s="76" t="inlineStr">
        <is>
          <t>Ms. Underwood</t>
        </is>
      </c>
      <c r="F403" s="76" t="n"/>
      <c r="G403" s="75">
        <f>IF(TRIM(E403)="","",TRIM(E403)&amp;" – "&amp;D403)</f>
        <v/>
      </c>
    </row>
    <row r="404">
      <c r="A404" s="75" t="inlineStr">
        <is>
          <t>S0403</t>
        </is>
      </c>
      <c r="B404" s="76" t="inlineStr">
        <is>
          <t>Lily</t>
        </is>
      </c>
      <c r="C404" s="76" t="inlineStr">
        <is>
          <t>Kelly</t>
        </is>
      </c>
      <c r="D404" s="77" t="inlineStr">
        <is>
          <t>8</t>
        </is>
      </c>
      <c r="E404" s="76" t="inlineStr">
        <is>
          <t>Ms. Underwood</t>
        </is>
      </c>
      <c r="F404" s="76" t="n"/>
      <c r="G404" s="75">
        <f>IF(TRIM(E404)="","",TRIM(E404)&amp;" – "&amp;D404)</f>
        <v/>
      </c>
    </row>
    <row r="405">
      <c r="A405" s="75" t="inlineStr">
        <is>
          <t>S0404</t>
        </is>
      </c>
      <c r="B405" s="76" t="inlineStr">
        <is>
          <t>Valentina</t>
        </is>
      </c>
      <c r="C405" s="76" t="inlineStr">
        <is>
          <t>Ramos</t>
        </is>
      </c>
      <c r="D405" s="77" t="inlineStr">
        <is>
          <t>8</t>
        </is>
      </c>
      <c r="E405" s="76" t="inlineStr">
        <is>
          <t>Ms. Underwood</t>
        </is>
      </c>
      <c r="F405" s="76" t="n"/>
      <c r="G405" s="75">
        <f>IF(TRIM(E405)="","",TRIM(E405)&amp;" – "&amp;D405)</f>
        <v/>
      </c>
    </row>
    <row r="406">
      <c r="A406" s="75" t="inlineStr">
        <is>
          <t>S0405</t>
        </is>
      </c>
      <c r="B406" s="76" t="inlineStr">
        <is>
          <t>Joseph</t>
        </is>
      </c>
      <c r="C406" s="76" t="inlineStr">
        <is>
          <t>Ryan</t>
        </is>
      </c>
      <c r="D406" s="77" t="inlineStr">
        <is>
          <t>8</t>
        </is>
      </c>
      <c r="E406" s="76" t="inlineStr">
        <is>
          <t>Mrs. Valdez</t>
        </is>
      </c>
      <c r="F406" s="76" t="n"/>
      <c r="G406" s="75">
        <f>IF(TRIM(E406)="","",TRIM(E406)&amp;" – "&amp;D406)</f>
        <v/>
      </c>
    </row>
    <row r="407">
      <c r="A407" s="75" t="inlineStr">
        <is>
          <t>S0406</t>
        </is>
      </c>
      <c r="B407" s="76" t="inlineStr">
        <is>
          <t>Mateo</t>
        </is>
      </c>
      <c r="C407" s="76" t="inlineStr">
        <is>
          <t>Gonzalez</t>
        </is>
      </c>
      <c r="D407" s="77" t="inlineStr">
        <is>
          <t>8</t>
        </is>
      </c>
      <c r="E407" s="76" t="inlineStr">
        <is>
          <t>Mrs. Valdez</t>
        </is>
      </c>
      <c r="F407" s="76" t="n"/>
      <c r="G407" s="75">
        <f>IF(TRIM(E407)="","",TRIM(E407)&amp;" – "&amp;D407)</f>
        <v/>
      </c>
    </row>
    <row r="408">
      <c r="A408" s="75" t="inlineStr">
        <is>
          <t>S0407</t>
        </is>
      </c>
      <c r="B408" s="76" t="inlineStr">
        <is>
          <t>Mateo</t>
        </is>
      </c>
      <c r="C408" s="76" t="inlineStr">
        <is>
          <t>Williams</t>
        </is>
      </c>
      <c r="D408" s="77" t="inlineStr">
        <is>
          <t>8</t>
        </is>
      </c>
      <c r="E408" s="76" t="inlineStr">
        <is>
          <t>Mrs. Valdez</t>
        </is>
      </c>
      <c r="F408" s="76" t="n"/>
      <c r="G408" s="75">
        <f>IF(TRIM(E408)="","",TRIM(E408)&amp;" – "&amp;D408)</f>
        <v/>
      </c>
    </row>
    <row r="409">
      <c r="A409" s="75" t="inlineStr">
        <is>
          <t>S0408</t>
        </is>
      </c>
      <c r="B409" s="76" t="inlineStr">
        <is>
          <t>Daniel</t>
        </is>
      </c>
      <c r="C409" s="76" t="inlineStr">
        <is>
          <t>Johnson</t>
        </is>
      </c>
      <c r="D409" s="77" t="inlineStr">
        <is>
          <t>8</t>
        </is>
      </c>
      <c r="E409" s="76" t="inlineStr">
        <is>
          <t>Mrs. Valdez</t>
        </is>
      </c>
      <c r="F409" s="76" t="n"/>
      <c r="G409" s="75">
        <f>IF(TRIM(E409)="","",TRIM(E409)&amp;" – "&amp;D409)</f>
        <v/>
      </c>
    </row>
    <row r="410">
      <c r="A410" s="75" t="inlineStr">
        <is>
          <t>S0409</t>
        </is>
      </c>
      <c r="B410" s="76" t="inlineStr">
        <is>
          <t>Amelia</t>
        </is>
      </c>
      <c r="C410" s="76" t="inlineStr">
        <is>
          <t>Martinez</t>
        </is>
      </c>
      <c r="D410" s="77" t="inlineStr">
        <is>
          <t>8</t>
        </is>
      </c>
      <c r="E410" s="76" t="inlineStr">
        <is>
          <t>Mrs. Valdez</t>
        </is>
      </c>
      <c r="F410" s="76" t="n"/>
      <c r="G410" s="75">
        <f>IF(TRIM(E410)="","",TRIM(E410)&amp;" – "&amp;D410)</f>
        <v/>
      </c>
    </row>
    <row r="411">
      <c r="A411" s="75" t="inlineStr">
        <is>
          <t>S0410</t>
        </is>
      </c>
      <c r="B411" s="76" t="inlineStr">
        <is>
          <t>Isabella</t>
        </is>
      </c>
      <c r="C411" s="76" t="inlineStr">
        <is>
          <t>Smith</t>
        </is>
      </c>
      <c r="D411" s="77" t="inlineStr">
        <is>
          <t>8</t>
        </is>
      </c>
      <c r="E411" s="76" t="inlineStr">
        <is>
          <t>Mrs. Valdez</t>
        </is>
      </c>
      <c r="F411" s="76" t="n"/>
      <c r="G411" s="75">
        <f>IF(TRIM(E411)="","",TRIM(E411)&amp;" – "&amp;D411)</f>
        <v/>
      </c>
    </row>
    <row r="412">
      <c r="A412" s="75" t="inlineStr">
        <is>
          <t>S0411</t>
        </is>
      </c>
      <c r="B412" s="76" t="inlineStr">
        <is>
          <t>Maya</t>
        </is>
      </c>
      <c r="C412" s="76" t="inlineStr">
        <is>
          <t>O'Brien</t>
        </is>
      </c>
      <c r="D412" s="77" t="inlineStr">
        <is>
          <t>8</t>
        </is>
      </c>
      <c r="E412" s="76" t="inlineStr">
        <is>
          <t>Mrs. Valdez</t>
        </is>
      </c>
      <c r="F412" s="76" t="n"/>
      <c r="G412" s="75">
        <f>IF(TRIM(E412)="","",TRIM(E412)&amp;" – "&amp;D412)</f>
        <v/>
      </c>
    </row>
    <row r="413">
      <c r="A413" s="75" t="inlineStr">
        <is>
          <t>S0412</t>
        </is>
      </c>
      <c r="B413" s="76" t="inlineStr">
        <is>
          <t>Diego</t>
        </is>
      </c>
      <c r="C413" s="76" t="inlineStr">
        <is>
          <t>Ortiz</t>
        </is>
      </c>
      <c r="D413" s="77" t="inlineStr">
        <is>
          <t>8</t>
        </is>
      </c>
      <c r="E413" s="76" t="inlineStr">
        <is>
          <t>Mrs. Valdez</t>
        </is>
      </c>
      <c r="F413" s="76" t="n"/>
      <c r="G413" s="75">
        <f>IF(TRIM(E413)="","",TRIM(E413)&amp;" – "&amp;D413)</f>
        <v/>
      </c>
    </row>
    <row r="414">
      <c r="A414" s="75" t="inlineStr">
        <is>
          <t>S0413</t>
        </is>
      </c>
      <c r="B414" s="76" t="inlineStr">
        <is>
          <t>Liam</t>
        </is>
      </c>
      <c r="C414" s="76" t="inlineStr">
        <is>
          <t>Cruz</t>
        </is>
      </c>
      <c r="D414" s="77" t="inlineStr">
        <is>
          <t>8</t>
        </is>
      </c>
      <c r="E414" s="76" t="inlineStr">
        <is>
          <t>Mrs. Valdez</t>
        </is>
      </c>
      <c r="F414" s="76" t="n"/>
      <c r="G414" s="75">
        <f>IF(TRIM(E414)="","",TRIM(E414)&amp;" – "&amp;D414)</f>
        <v/>
      </c>
    </row>
    <row r="415">
      <c r="A415" s="75" t="inlineStr">
        <is>
          <t>S0414</t>
        </is>
      </c>
      <c r="B415" s="76" t="inlineStr">
        <is>
          <t>Zoe</t>
        </is>
      </c>
      <c r="C415" s="76" t="inlineStr">
        <is>
          <t>Rivera</t>
        </is>
      </c>
      <c r="D415" s="77" t="inlineStr">
        <is>
          <t>8</t>
        </is>
      </c>
      <c r="E415" s="76" t="inlineStr">
        <is>
          <t>Mrs. Valdez</t>
        </is>
      </c>
      <c r="F415" s="76" t="n"/>
      <c r="G415" s="75">
        <f>IF(TRIM(E415)="","",TRIM(E415)&amp;" – "&amp;D415)</f>
        <v/>
      </c>
    </row>
    <row r="416">
      <c r="A416" s="75" t="inlineStr">
        <is>
          <t>S0415</t>
        </is>
      </c>
      <c r="B416" s="76" t="inlineStr">
        <is>
          <t>James</t>
        </is>
      </c>
      <c r="C416" s="76" t="inlineStr">
        <is>
          <t>Ruiz</t>
        </is>
      </c>
      <c r="D416" s="77" t="inlineStr">
        <is>
          <t>8</t>
        </is>
      </c>
      <c r="E416" s="76" t="inlineStr">
        <is>
          <t>Mrs. Valdez</t>
        </is>
      </c>
      <c r="F416" s="76" t="n"/>
      <c r="G416" s="75">
        <f>IF(TRIM(E416)="","",TRIM(E416)&amp;" – "&amp;D416)</f>
        <v/>
      </c>
    </row>
    <row r="417">
      <c r="A417" s="75" t="inlineStr">
        <is>
          <t>S0416</t>
        </is>
      </c>
      <c r="B417" s="76" t="inlineStr">
        <is>
          <t>James</t>
        </is>
      </c>
      <c r="C417" s="76" t="inlineStr">
        <is>
          <t>Patel</t>
        </is>
      </c>
      <c r="D417" s="77" t="inlineStr">
        <is>
          <t>8</t>
        </is>
      </c>
      <c r="E417" s="76" t="inlineStr">
        <is>
          <t>Mrs. Valdez</t>
        </is>
      </c>
      <c r="F417" s="76" t="n"/>
      <c r="G417" s="75">
        <f>IF(TRIM(E417)="","",TRIM(E417)&amp;" – "&amp;D417)</f>
        <v/>
      </c>
    </row>
    <row r="418">
      <c r="A418" s="75" t="inlineStr">
        <is>
          <t>S0417</t>
        </is>
      </c>
      <c r="B418" s="76" t="inlineStr">
        <is>
          <t>Evelyn</t>
        </is>
      </c>
      <c r="C418" s="76" t="inlineStr">
        <is>
          <t>Alvarez</t>
        </is>
      </c>
      <c r="D418" s="77" t="inlineStr">
        <is>
          <t>8</t>
        </is>
      </c>
      <c r="E418" s="76" t="inlineStr">
        <is>
          <t>Mrs. Valdez</t>
        </is>
      </c>
      <c r="F418" s="76" t="n"/>
      <c r="G418" s="75">
        <f>IF(TRIM(E418)="","",TRIM(E418)&amp;" – "&amp;D418)</f>
        <v/>
      </c>
    </row>
    <row r="419">
      <c r="A419" s="75" t="inlineStr">
        <is>
          <t>S0418</t>
        </is>
      </c>
      <c r="B419" s="76" t="inlineStr">
        <is>
          <t>Isabella</t>
        </is>
      </c>
      <c r="C419" s="76" t="inlineStr">
        <is>
          <t>Nguyen</t>
        </is>
      </c>
      <c r="D419" s="77" t="inlineStr">
        <is>
          <t>8</t>
        </is>
      </c>
      <c r="E419" s="76" t="inlineStr">
        <is>
          <t>Mrs. Valdez</t>
        </is>
      </c>
      <c r="F419" s="76" t="n"/>
      <c r="G419" s="75">
        <f>IF(TRIM(E419)="","",TRIM(E419)&amp;" – "&amp;D419)</f>
        <v/>
      </c>
    </row>
    <row r="420">
      <c r="A420" s="75" t="inlineStr">
        <is>
          <t>S0419</t>
        </is>
      </c>
      <c r="B420" s="76" t="inlineStr">
        <is>
          <t>James</t>
        </is>
      </c>
      <c r="C420" s="76" t="inlineStr">
        <is>
          <t>Byrne</t>
        </is>
      </c>
      <c r="D420" s="77" t="inlineStr">
        <is>
          <t>8</t>
        </is>
      </c>
      <c r="E420" s="76" t="inlineStr">
        <is>
          <t>Mrs. Valdez</t>
        </is>
      </c>
      <c r="F420" s="76" t="n"/>
      <c r="G420" s="75">
        <f>IF(TRIM(E420)="","",TRIM(E420)&amp;" – "&amp;D420)</f>
        <v/>
      </c>
    </row>
    <row r="421">
      <c r="A421" s="75" t="inlineStr">
        <is>
          <t>S0420</t>
        </is>
      </c>
      <c r="B421" s="76" t="inlineStr">
        <is>
          <t>Noah</t>
        </is>
      </c>
      <c r="C421" s="76" t="inlineStr">
        <is>
          <t>Castillo</t>
        </is>
      </c>
      <c r="D421" s="77" t="inlineStr">
        <is>
          <t>8</t>
        </is>
      </c>
      <c r="E421" s="76" t="inlineStr">
        <is>
          <t>Mrs. Valdez</t>
        </is>
      </c>
      <c r="F421" s="76" t="n"/>
      <c r="G421" s="75">
        <f>IF(TRIM(E421)="","",TRIM(E421)&amp;" – "&amp;D421)</f>
        <v/>
      </c>
    </row>
    <row r="422">
      <c r="A422" s="75" t="inlineStr">
        <is>
          <t>S0421</t>
        </is>
      </c>
      <c r="B422" s="76" t="inlineStr">
        <is>
          <t>Ava</t>
        </is>
      </c>
      <c r="C422" s="76" t="inlineStr">
        <is>
          <t>Brown</t>
        </is>
      </c>
      <c r="D422" s="77" t="inlineStr">
        <is>
          <t>8</t>
        </is>
      </c>
      <c r="E422" s="76" t="inlineStr">
        <is>
          <t>Mrs. Valdez</t>
        </is>
      </c>
      <c r="F422" s="76" t="n"/>
      <c r="G422" s="75">
        <f>IF(TRIM(E422)="","",TRIM(E422)&amp;" – "&amp;D422)</f>
        <v/>
      </c>
    </row>
    <row r="423">
      <c r="A423" s="75" t="inlineStr">
        <is>
          <t>S0422</t>
        </is>
      </c>
      <c r="B423" s="76" t="inlineStr">
        <is>
          <t>Julian</t>
        </is>
      </c>
      <c r="C423" s="76" t="inlineStr">
        <is>
          <t>Kim</t>
        </is>
      </c>
      <c r="D423" s="77" t="inlineStr">
        <is>
          <t>8</t>
        </is>
      </c>
      <c r="E423" s="76" t="inlineStr">
        <is>
          <t>Mrs. Valdez</t>
        </is>
      </c>
      <c r="F423" s="76" t="n"/>
      <c r="G423" s="75">
        <f>IF(TRIM(E423)="","",TRIM(E423)&amp;" – "&amp;D423)</f>
        <v/>
      </c>
    </row>
    <row r="424">
      <c r="A424" s="75" t="inlineStr">
        <is>
          <t>S0423</t>
        </is>
      </c>
      <c r="B424" s="76" t="inlineStr">
        <is>
          <t>Julian</t>
        </is>
      </c>
      <c r="C424" s="76" t="inlineStr">
        <is>
          <t>Ramos</t>
        </is>
      </c>
      <c r="D424" s="77" t="inlineStr">
        <is>
          <t>8</t>
        </is>
      </c>
      <c r="E424" s="76" t="inlineStr">
        <is>
          <t>Mrs. Valdez</t>
        </is>
      </c>
      <c r="F424" s="76" t="n"/>
      <c r="G424" s="75">
        <f>IF(TRIM(E424)="","",TRIM(E424)&amp;" – "&amp;D424)</f>
        <v/>
      </c>
    </row>
    <row r="425">
      <c r="A425" s="75" t="inlineStr">
        <is>
          <t>S0424</t>
        </is>
      </c>
      <c r="B425" s="76" t="inlineStr">
        <is>
          <t>Mateo</t>
        </is>
      </c>
      <c r="C425" s="76" t="inlineStr">
        <is>
          <t>Nguyen</t>
        </is>
      </c>
      <c r="D425" s="77" t="inlineStr">
        <is>
          <t>8</t>
        </is>
      </c>
      <c r="E425" s="76" t="inlineStr">
        <is>
          <t>Mrs. Valdez</t>
        </is>
      </c>
      <c r="F425" s="76" t="n"/>
      <c r="G425" s="75">
        <f>IF(TRIM(E425)="","",TRIM(E425)&amp;" – "&amp;D425)</f>
        <v/>
      </c>
    </row>
    <row r="426">
      <c r="A426" s="75" t="inlineStr">
        <is>
          <t>S0425</t>
        </is>
      </c>
      <c r="B426" s="76" t="n"/>
      <c r="C426" s="76" t="n"/>
      <c r="D426" s="77" t="n"/>
      <c r="E426" s="76" t="n"/>
      <c r="F426" s="76" t="n"/>
      <c r="G426" s="75">
        <f>IF(TRIM(E426)="","",TRIM(E426)&amp;" – "&amp;D426)</f>
        <v/>
      </c>
    </row>
    <row r="427">
      <c r="A427" s="75" t="inlineStr">
        <is>
          <t>S0426</t>
        </is>
      </c>
      <c r="B427" s="76" t="n"/>
      <c r="C427" s="76" t="n"/>
      <c r="D427" s="77" t="n"/>
      <c r="E427" s="76" t="n"/>
      <c r="F427" s="76" t="n"/>
      <c r="G427" s="75">
        <f>IF(TRIM(E427)="","",TRIM(E427)&amp;" – "&amp;D427)</f>
        <v/>
      </c>
    </row>
    <row r="428">
      <c r="A428" s="75" t="inlineStr">
        <is>
          <t>S0427</t>
        </is>
      </c>
      <c r="B428" s="76" t="n"/>
      <c r="C428" s="76" t="n"/>
      <c r="D428" s="77" t="n"/>
      <c r="E428" s="76" t="n"/>
      <c r="F428" s="76" t="n"/>
      <c r="G428" s="75">
        <f>IF(TRIM(E428)="","",TRIM(E428)&amp;" – "&amp;D428)</f>
        <v/>
      </c>
    </row>
    <row r="429">
      <c r="A429" s="75" t="inlineStr">
        <is>
          <t>S0428</t>
        </is>
      </c>
      <c r="B429" s="76" t="n"/>
      <c r="C429" s="76" t="n"/>
      <c r="D429" s="77" t="n"/>
      <c r="E429" s="76" t="n"/>
      <c r="F429" s="76" t="n"/>
      <c r="G429" s="75">
        <f>IF(TRIM(E429)="","",TRIM(E429)&amp;" – "&amp;D429)</f>
        <v/>
      </c>
    </row>
    <row r="430">
      <c r="A430" s="75" t="inlineStr">
        <is>
          <t>S0429</t>
        </is>
      </c>
      <c r="B430" s="76" t="n"/>
      <c r="C430" s="76" t="n"/>
      <c r="D430" s="77" t="n"/>
      <c r="E430" s="76" t="n"/>
      <c r="F430" s="76" t="n"/>
      <c r="G430" s="75">
        <f>IF(TRIM(E430)="","",TRIM(E430)&amp;" – "&amp;D430)</f>
        <v/>
      </c>
    </row>
    <row r="431">
      <c r="A431" s="75" t="inlineStr">
        <is>
          <t>S0430</t>
        </is>
      </c>
      <c r="B431" s="76" t="n"/>
      <c r="C431" s="76" t="n"/>
      <c r="D431" s="77" t="n"/>
      <c r="E431" s="76" t="n"/>
      <c r="F431" s="76" t="n"/>
      <c r="G431" s="75">
        <f>IF(TRIM(E431)="","",TRIM(E431)&amp;" – "&amp;D431)</f>
        <v/>
      </c>
    </row>
    <row r="432">
      <c r="A432" s="75" t="inlineStr">
        <is>
          <t>S0431</t>
        </is>
      </c>
      <c r="B432" s="76" t="n"/>
      <c r="C432" s="76" t="n"/>
      <c r="D432" s="77" t="n"/>
      <c r="E432" s="76" t="n"/>
      <c r="F432" s="76" t="n"/>
      <c r="G432" s="75">
        <f>IF(TRIM(E432)="","",TRIM(E432)&amp;" – "&amp;D432)</f>
        <v/>
      </c>
    </row>
    <row r="433">
      <c r="A433" s="75" t="inlineStr">
        <is>
          <t>S0432</t>
        </is>
      </c>
      <c r="B433" s="76" t="n"/>
      <c r="C433" s="76" t="n"/>
      <c r="D433" s="77" t="n"/>
      <c r="E433" s="76" t="n"/>
      <c r="F433" s="76" t="n"/>
      <c r="G433" s="75">
        <f>IF(TRIM(E433)="","",TRIM(E433)&amp;" – "&amp;D433)</f>
        <v/>
      </c>
    </row>
    <row r="434">
      <c r="A434" s="75" t="inlineStr">
        <is>
          <t>S0433</t>
        </is>
      </c>
      <c r="B434" s="76" t="n"/>
      <c r="C434" s="76" t="n"/>
      <c r="D434" s="77" t="n"/>
      <c r="E434" s="76" t="n"/>
      <c r="F434" s="76" t="n"/>
      <c r="G434" s="75">
        <f>IF(TRIM(E434)="","",TRIM(E434)&amp;" – "&amp;D434)</f>
        <v/>
      </c>
    </row>
    <row r="435">
      <c r="A435" s="75" t="inlineStr">
        <is>
          <t>S0434</t>
        </is>
      </c>
      <c r="B435" s="76" t="n"/>
      <c r="C435" s="76" t="n"/>
      <c r="D435" s="77" t="n"/>
      <c r="E435" s="76" t="n"/>
      <c r="F435" s="76" t="n"/>
      <c r="G435" s="75">
        <f>IF(TRIM(E435)="","",TRIM(E435)&amp;" – "&amp;D435)</f>
        <v/>
      </c>
    </row>
    <row r="436">
      <c r="A436" s="75" t="inlineStr">
        <is>
          <t>S0435</t>
        </is>
      </c>
      <c r="B436" s="76" t="n"/>
      <c r="C436" s="76" t="n"/>
      <c r="D436" s="77" t="n"/>
      <c r="E436" s="76" t="n"/>
      <c r="F436" s="76" t="n"/>
      <c r="G436" s="75">
        <f>IF(TRIM(E436)="","",TRIM(E436)&amp;" – "&amp;D436)</f>
        <v/>
      </c>
    </row>
    <row r="437">
      <c r="A437" s="75" t="inlineStr">
        <is>
          <t>S0436</t>
        </is>
      </c>
      <c r="B437" s="76" t="n"/>
      <c r="C437" s="76" t="n"/>
      <c r="D437" s="77" t="n"/>
      <c r="E437" s="76" t="n"/>
      <c r="F437" s="76" t="n"/>
      <c r="G437" s="75">
        <f>IF(TRIM(E437)="","",TRIM(E437)&amp;" – "&amp;D437)</f>
        <v/>
      </c>
    </row>
    <row r="438">
      <c r="A438" s="75" t="inlineStr">
        <is>
          <t>S0437</t>
        </is>
      </c>
      <c r="B438" s="76" t="n"/>
      <c r="C438" s="76" t="n"/>
      <c r="D438" s="77" t="n"/>
      <c r="E438" s="76" t="n"/>
      <c r="F438" s="76" t="n"/>
      <c r="G438" s="75">
        <f>IF(TRIM(E438)="","",TRIM(E438)&amp;" – "&amp;D438)</f>
        <v/>
      </c>
    </row>
    <row r="439">
      <c r="A439" s="75" t="inlineStr">
        <is>
          <t>S0438</t>
        </is>
      </c>
      <c r="B439" s="76" t="n"/>
      <c r="C439" s="76" t="n"/>
      <c r="D439" s="77" t="n"/>
      <c r="E439" s="76" t="n"/>
      <c r="F439" s="76" t="n"/>
      <c r="G439" s="75">
        <f>IF(TRIM(E439)="","",TRIM(E439)&amp;" – "&amp;D439)</f>
        <v/>
      </c>
    </row>
    <row r="440">
      <c r="A440" s="75" t="inlineStr">
        <is>
          <t>S0439</t>
        </is>
      </c>
      <c r="B440" s="76" t="n"/>
      <c r="C440" s="76" t="n"/>
      <c r="D440" s="77" t="n"/>
      <c r="E440" s="76" t="n"/>
      <c r="F440" s="76" t="n"/>
      <c r="G440" s="75">
        <f>IF(TRIM(E440)="","",TRIM(E440)&amp;" – "&amp;D440)</f>
        <v/>
      </c>
    </row>
    <row r="441">
      <c r="A441" s="75" t="inlineStr">
        <is>
          <t>S0440</t>
        </is>
      </c>
      <c r="B441" s="76" t="n"/>
      <c r="C441" s="76" t="n"/>
      <c r="D441" s="77" t="n"/>
      <c r="E441" s="76" t="n"/>
      <c r="F441" s="76" t="n"/>
      <c r="G441" s="75">
        <f>IF(TRIM(E441)="","",TRIM(E441)&amp;" – "&amp;D441)</f>
        <v/>
      </c>
    </row>
    <row r="442">
      <c r="A442" s="75" t="inlineStr">
        <is>
          <t>S0441</t>
        </is>
      </c>
      <c r="B442" s="76" t="n"/>
      <c r="C442" s="76" t="n"/>
      <c r="D442" s="77" t="n"/>
      <c r="E442" s="76" t="n"/>
      <c r="F442" s="76" t="n"/>
      <c r="G442" s="75">
        <f>IF(TRIM(E442)="","",TRIM(E442)&amp;" – "&amp;D442)</f>
        <v/>
      </c>
    </row>
    <row r="443">
      <c r="A443" s="75" t="inlineStr">
        <is>
          <t>S0442</t>
        </is>
      </c>
      <c r="B443" s="76" t="n"/>
      <c r="C443" s="76" t="n"/>
      <c r="D443" s="77" t="n"/>
      <c r="E443" s="76" t="n"/>
      <c r="F443" s="76" t="n"/>
      <c r="G443" s="75">
        <f>IF(TRIM(E443)="","",TRIM(E443)&amp;" – "&amp;D443)</f>
        <v/>
      </c>
    </row>
    <row r="444">
      <c r="A444" s="75" t="inlineStr">
        <is>
          <t>S0443</t>
        </is>
      </c>
      <c r="B444" s="76" t="n"/>
      <c r="C444" s="76" t="n"/>
      <c r="D444" s="77" t="n"/>
      <c r="E444" s="76" t="n"/>
      <c r="F444" s="76" t="n"/>
      <c r="G444" s="75">
        <f>IF(TRIM(E444)="","",TRIM(E444)&amp;" – "&amp;D444)</f>
        <v/>
      </c>
    </row>
    <row r="445">
      <c r="A445" s="75" t="inlineStr">
        <is>
          <t>S0444</t>
        </is>
      </c>
      <c r="B445" s="76" t="n"/>
      <c r="C445" s="76" t="n"/>
      <c r="D445" s="77" t="n"/>
      <c r="E445" s="76" t="n"/>
      <c r="F445" s="76" t="n"/>
      <c r="G445" s="75">
        <f>IF(TRIM(E445)="","",TRIM(E445)&amp;" – "&amp;D445)</f>
        <v/>
      </c>
    </row>
    <row r="446">
      <c r="A446" s="75" t="inlineStr">
        <is>
          <t>S0445</t>
        </is>
      </c>
      <c r="B446" s="76" t="n"/>
      <c r="C446" s="76" t="n"/>
      <c r="D446" s="77" t="n"/>
      <c r="E446" s="76" t="n"/>
      <c r="F446" s="76" t="n"/>
      <c r="G446" s="75">
        <f>IF(TRIM(E446)="","",TRIM(E446)&amp;" – "&amp;D446)</f>
        <v/>
      </c>
    </row>
    <row r="447">
      <c r="A447" s="75" t="inlineStr">
        <is>
          <t>S0446</t>
        </is>
      </c>
      <c r="B447" s="76" t="n"/>
      <c r="C447" s="76" t="n"/>
      <c r="D447" s="77" t="n"/>
      <c r="E447" s="76" t="n"/>
      <c r="F447" s="76" t="n"/>
      <c r="G447" s="75">
        <f>IF(TRIM(E447)="","",TRIM(E447)&amp;" – "&amp;D447)</f>
        <v/>
      </c>
    </row>
    <row r="448">
      <c r="A448" s="75" t="inlineStr">
        <is>
          <t>S0447</t>
        </is>
      </c>
      <c r="B448" s="76" t="n"/>
      <c r="C448" s="76" t="n"/>
      <c r="D448" s="77" t="n"/>
      <c r="E448" s="76" t="n"/>
      <c r="F448" s="76" t="n"/>
      <c r="G448" s="75">
        <f>IF(TRIM(E448)="","",TRIM(E448)&amp;" – "&amp;D448)</f>
        <v/>
      </c>
    </row>
    <row r="449">
      <c r="A449" s="75" t="inlineStr">
        <is>
          <t>S0448</t>
        </is>
      </c>
      <c r="B449" s="76" t="n"/>
      <c r="C449" s="76" t="n"/>
      <c r="D449" s="77" t="n"/>
      <c r="E449" s="76" t="n"/>
      <c r="F449" s="76" t="n"/>
      <c r="G449" s="75">
        <f>IF(TRIM(E449)="","",TRIM(E449)&amp;" – "&amp;D449)</f>
        <v/>
      </c>
    </row>
    <row r="450">
      <c r="A450" s="75" t="inlineStr">
        <is>
          <t>S0449</t>
        </is>
      </c>
      <c r="B450" s="76" t="n"/>
      <c r="C450" s="76" t="n"/>
      <c r="D450" s="77" t="n"/>
      <c r="E450" s="76" t="n"/>
      <c r="F450" s="76" t="n"/>
      <c r="G450" s="75">
        <f>IF(TRIM(E450)="","",TRIM(E450)&amp;" – "&amp;D450)</f>
        <v/>
      </c>
    </row>
    <row r="451">
      <c r="A451" s="75" t="inlineStr">
        <is>
          <t>S0450</t>
        </is>
      </c>
      <c r="B451" s="76" t="n"/>
      <c r="C451" s="76" t="n"/>
      <c r="D451" s="77" t="n"/>
      <c r="E451" s="76" t="n"/>
      <c r="F451" s="76" t="n"/>
      <c r="G451" s="75">
        <f>IF(TRIM(E451)="","",TRIM(E451)&amp;" – "&amp;D451)</f>
        <v/>
      </c>
    </row>
    <row r="452">
      <c r="A452" s="75" t="inlineStr">
        <is>
          <t>S0451</t>
        </is>
      </c>
      <c r="B452" s="76" t="n"/>
      <c r="C452" s="76" t="n"/>
      <c r="D452" s="77" t="n"/>
      <c r="E452" s="76" t="n"/>
      <c r="F452" s="76" t="n"/>
      <c r="G452" s="75">
        <f>IF(TRIM(E452)="","",TRIM(E452)&amp;" – "&amp;D452)</f>
        <v/>
      </c>
    </row>
    <row r="453">
      <c r="A453" s="75" t="inlineStr">
        <is>
          <t>S0452</t>
        </is>
      </c>
      <c r="B453" s="76" t="n"/>
      <c r="C453" s="76" t="n"/>
      <c r="D453" s="77" t="n"/>
      <c r="E453" s="76" t="n"/>
      <c r="F453" s="76" t="n"/>
      <c r="G453" s="75">
        <f>IF(TRIM(E453)="","",TRIM(E453)&amp;" – "&amp;D453)</f>
        <v/>
      </c>
    </row>
    <row r="454">
      <c r="A454" s="75" t="inlineStr">
        <is>
          <t>S0453</t>
        </is>
      </c>
      <c r="B454" s="76" t="n"/>
      <c r="C454" s="76" t="n"/>
      <c r="D454" s="77" t="n"/>
      <c r="E454" s="76" t="n"/>
      <c r="F454" s="76" t="n"/>
      <c r="G454" s="75">
        <f>IF(TRIM(E454)="","",TRIM(E454)&amp;" – "&amp;D454)</f>
        <v/>
      </c>
    </row>
    <row r="455">
      <c r="A455" s="75" t="inlineStr">
        <is>
          <t>S0454</t>
        </is>
      </c>
      <c r="B455" s="76" t="n"/>
      <c r="C455" s="76" t="n"/>
      <c r="D455" s="77" t="n"/>
      <c r="E455" s="76" t="n"/>
      <c r="F455" s="76" t="n"/>
      <c r="G455" s="75">
        <f>IF(TRIM(E455)="","",TRIM(E455)&amp;" – "&amp;D455)</f>
        <v/>
      </c>
    </row>
    <row r="456">
      <c r="A456" s="75" t="inlineStr">
        <is>
          <t>S0455</t>
        </is>
      </c>
      <c r="B456" s="76" t="n"/>
      <c r="C456" s="76" t="n"/>
      <c r="D456" s="77" t="n"/>
      <c r="E456" s="76" t="n"/>
      <c r="F456" s="76" t="n"/>
      <c r="G456" s="75">
        <f>IF(TRIM(E456)="","",TRIM(E456)&amp;" – "&amp;D456)</f>
        <v/>
      </c>
    </row>
    <row r="457">
      <c r="A457" s="75" t="inlineStr">
        <is>
          <t>S0456</t>
        </is>
      </c>
      <c r="B457" s="76" t="n"/>
      <c r="C457" s="76" t="n"/>
      <c r="D457" s="77" t="n"/>
      <c r="E457" s="76" t="n"/>
      <c r="F457" s="76" t="n"/>
      <c r="G457" s="75">
        <f>IF(TRIM(E457)="","",TRIM(E457)&amp;" – "&amp;D457)</f>
        <v/>
      </c>
    </row>
    <row r="458">
      <c r="A458" s="75" t="inlineStr">
        <is>
          <t>S0457</t>
        </is>
      </c>
      <c r="B458" s="76" t="n"/>
      <c r="C458" s="76" t="n"/>
      <c r="D458" s="77" t="n"/>
      <c r="E458" s="76" t="n"/>
      <c r="F458" s="76" t="n"/>
      <c r="G458" s="75">
        <f>IF(TRIM(E458)="","",TRIM(E458)&amp;" – "&amp;D458)</f>
        <v/>
      </c>
    </row>
    <row r="459">
      <c r="A459" s="75" t="inlineStr">
        <is>
          <t>S0458</t>
        </is>
      </c>
      <c r="B459" s="76" t="n"/>
      <c r="C459" s="76" t="n"/>
      <c r="D459" s="77" t="n"/>
      <c r="E459" s="76" t="n"/>
      <c r="F459" s="76" t="n"/>
      <c r="G459" s="75">
        <f>IF(TRIM(E459)="","",TRIM(E459)&amp;" – "&amp;D459)</f>
        <v/>
      </c>
    </row>
    <row r="460">
      <c r="A460" s="75" t="inlineStr">
        <is>
          <t>S0459</t>
        </is>
      </c>
      <c r="B460" s="76" t="n"/>
      <c r="C460" s="76" t="n"/>
      <c r="D460" s="77" t="n"/>
      <c r="E460" s="76" t="n"/>
      <c r="F460" s="76" t="n"/>
      <c r="G460" s="75">
        <f>IF(TRIM(E460)="","",TRIM(E460)&amp;" – "&amp;D460)</f>
        <v/>
      </c>
    </row>
    <row r="461">
      <c r="A461" s="75" t="inlineStr">
        <is>
          <t>S0460</t>
        </is>
      </c>
      <c r="B461" s="76" t="n"/>
      <c r="C461" s="76" t="n"/>
      <c r="D461" s="77" t="n"/>
      <c r="E461" s="76" t="n"/>
      <c r="F461" s="76" t="n"/>
      <c r="G461" s="75">
        <f>IF(TRIM(E461)="","",TRIM(E461)&amp;" – "&amp;D461)</f>
        <v/>
      </c>
    </row>
    <row r="462">
      <c r="A462" s="75" t="inlineStr">
        <is>
          <t>S0461</t>
        </is>
      </c>
      <c r="B462" s="76" t="n"/>
      <c r="C462" s="76" t="n"/>
      <c r="D462" s="77" t="n"/>
      <c r="E462" s="76" t="n"/>
      <c r="F462" s="76" t="n"/>
      <c r="G462" s="75">
        <f>IF(TRIM(E462)="","",TRIM(E462)&amp;" – "&amp;D462)</f>
        <v/>
      </c>
    </row>
    <row r="463">
      <c r="A463" s="75" t="inlineStr">
        <is>
          <t>S0462</t>
        </is>
      </c>
      <c r="B463" s="76" t="n"/>
      <c r="C463" s="76" t="n"/>
      <c r="D463" s="77" t="n"/>
      <c r="E463" s="76" t="n"/>
      <c r="F463" s="76" t="n"/>
      <c r="G463" s="75">
        <f>IF(TRIM(E463)="","",TRIM(E463)&amp;" – "&amp;D463)</f>
        <v/>
      </c>
    </row>
    <row r="464">
      <c r="A464" s="75" t="inlineStr">
        <is>
          <t>S0463</t>
        </is>
      </c>
      <c r="B464" s="76" t="n"/>
      <c r="C464" s="76" t="n"/>
      <c r="D464" s="77" t="n"/>
      <c r="E464" s="76" t="n"/>
      <c r="F464" s="76" t="n"/>
      <c r="G464" s="75">
        <f>IF(TRIM(E464)="","",TRIM(E464)&amp;" – "&amp;D464)</f>
        <v/>
      </c>
    </row>
    <row r="465">
      <c r="A465" s="75" t="inlineStr">
        <is>
          <t>S0464</t>
        </is>
      </c>
      <c r="B465" s="76" t="n"/>
      <c r="C465" s="76" t="n"/>
      <c r="D465" s="77" t="n"/>
      <c r="E465" s="76" t="n"/>
      <c r="F465" s="76" t="n"/>
      <c r="G465" s="75">
        <f>IF(TRIM(E465)="","",TRIM(E465)&amp;" – "&amp;D465)</f>
        <v/>
      </c>
    </row>
    <row r="466">
      <c r="A466" s="75" t="inlineStr">
        <is>
          <t>S0465</t>
        </is>
      </c>
      <c r="B466" s="76" t="n"/>
      <c r="C466" s="76" t="n"/>
      <c r="D466" s="77" t="n"/>
      <c r="E466" s="76" t="n"/>
      <c r="F466" s="76" t="n"/>
      <c r="G466" s="75">
        <f>IF(TRIM(E466)="","",TRIM(E466)&amp;" – "&amp;D466)</f>
        <v/>
      </c>
    </row>
    <row r="467">
      <c r="A467" s="75" t="inlineStr">
        <is>
          <t>S0466</t>
        </is>
      </c>
      <c r="B467" s="76" t="n"/>
      <c r="C467" s="76" t="n"/>
      <c r="D467" s="77" t="n"/>
      <c r="E467" s="76" t="n"/>
      <c r="F467" s="76" t="n"/>
      <c r="G467" s="75">
        <f>IF(TRIM(E467)="","",TRIM(E467)&amp;" – "&amp;D467)</f>
        <v/>
      </c>
    </row>
    <row r="468">
      <c r="A468" s="75" t="inlineStr">
        <is>
          <t>S0467</t>
        </is>
      </c>
      <c r="B468" s="76" t="n"/>
      <c r="C468" s="76" t="n"/>
      <c r="D468" s="77" t="n"/>
      <c r="E468" s="76" t="n"/>
      <c r="F468" s="76" t="n"/>
      <c r="G468" s="75">
        <f>IF(TRIM(E468)="","",TRIM(E468)&amp;" – "&amp;D468)</f>
        <v/>
      </c>
    </row>
    <row r="469">
      <c r="A469" s="75" t="inlineStr">
        <is>
          <t>S0468</t>
        </is>
      </c>
      <c r="B469" s="76" t="n"/>
      <c r="C469" s="76" t="n"/>
      <c r="D469" s="77" t="n"/>
      <c r="E469" s="76" t="n"/>
      <c r="F469" s="76" t="n"/>
      <c r="G469" s="75">
        <f>IF(TRIM(E469)="","",TRIM(E469)&amp;" – "&amp;D469)</f>
        <v/>
      </c>
    </row>
    <row r="470">
      <c r="A470" s="75" t="inlineStr">
        <is>
          <t>S0469</t>
        </is>
      </c>
      <c r="B470" s="76" t="n"/>
      <c r="C470" s="76" t="n"/>
      <c r="D470" s="77" t="n"/>
      <c r="E470" s="76" t="n"/>
      <c r="F470" s="76" t="n"/>
      <c r="G470" s="75">
        <f>IF(TRIM(E470)="","",TRIM(E470)&amp;" – "&amp;D470)</f>
        <v/>
      </c>
    </row>
    <row r="471">
      <c r="A471" s="75" t="inlineStr">
        <is>
          <t>S0470</t>
        </is>
      </c>
      <c r="B471" s="76" t="n"/>
      <c r="C471" s="76" t="n"/>
      <c r="D471" s="77" t="n"/>
      <c r="E471" s="76" t="n"/>
      <c r="F471" s="76" t="n"/>
      <c r="G471" s="75">
        <f>IF(TRIM(E471)="","",TRIM(E471)&amp;" – "&amp;D471)</f>
        <v/>
      </c>
    </row>
    <row r="472">
      <c r="A472" s="75" t="inlineStr">
        <is>
          <t>S0471</t>
        </is>
      </c>
      <c r="B472" s="76" t="n"/>
      <c r="C472" s="76" t="n"/>
      <c r="D472" s="77" t="n"/>
      <c r="E472" s="76" t="n"/>
      <c r="F472" s="76" t="n"/>
      <c r="G472" s="75">
        <f>IF(TRIM(E472)="","",TRIM(E472)&amp;" – "&amp;D472)</f>
        <v/>
      </c>
    </row>
    <row r="473">
      <c r="A473" s="75" t="inlineStr">
        <is>
          <t>S0472</t>
        </is>
      </c>
      <c r="B473" s="76" t="n"/>
      <c r="C473" s="76" t="n"/>
      <c r="D473" s="77" t="n"/>
      <c r="E473" s="76" t="n"/>
      <c r="F473" s="76" t="n"/>
      <c r="G473" s="75">
        <f>IF(TRIM(E473)="","",TRIM(E473)&amp;" – "&amp;D473)</f>
        <v/>
      </c>
    </row>
    <row r="474">
      <c r="A474" s="75" t="inlineStr">
        <is>
          <t>S0473</t>
        </is>
      </c>
      <c r="B474" s="76" t="n"/>
      <c r="C474" s="76" t="n"/>
      <c r="D474" s="77" t="n"/>
      <c r="E474" s="76" t="n"/>
      <c r="F474" s="76" t="n"/>
      <c r="G474" s="75">
        <f>IF(TRIM(E474)="","",TRIM(E474)&amp;" – "&amp;D474)</f>
        <v/>
      </c>
    </row>
    <row r="475">
      <c r="A475" s="75" t="inlineStr">
        <is>
          <t>S0474</t>
        </is>
      </c>
      <c r="B475" s="76" t="n"/>
      <c r="C475" s="76" t="n"/>
      <c r="D475" s="77" t="n"/>
      <c r="E475" s="76" t="n"/>
      <c r="F475" s="76" t="n"/>
      <c r="G475" s="75">
        <f>IF(TRIM(E475)="","",TRIM(E475)&amp;" – "&amp;D475)</f>
        <v/>
      </c>
    </row>
    <row r="476">
      <c r="A476" s="75" t="inlineStr">
        <is>
          <t>S0475</t>
        </is>
      </c>
      <c r="B476" s="76" t="n"/>
      <c r="C476" s="76" t="n"/>
      <c r="D476" s="77" t="n"/>
      <c r="E476" s="76" t="n"/>
      <c r="F476" s="76" t="n"/>
      <c r="G476" s="75">
        <f>IF(TRIM(E476)="","",TRIM(E476)&amp;" – "&amp;D476)</f>
        <v/>
      </c>
    </row>
    <row r="477">
      <c r="A477" s="75" t="inlineStr">
        <is>
          <t>S0476</t>
        </is>
      </c>
      <c r="B477" s="76" t="n"/>
      <c r="C477" s="76" t="n"/>
      <c r="D477" s="77" t="n"/>
      <c r="E477" s="76" t="n"/>
      <c r="F477" s="76" t="n"/>
      <c r="G477" s="75">
        <f>IF(TRIM(E477)="","",TRIM(E477)&amp;" – "&amp;D477)</f>
        <v/>
      </c>
    </row>
    <row r="478">
      <c r="A478" s="75" t="inlineStr">
        <is>
          <t>S0477</t>
        </is>
      </c>
      <c r="B478" s="76" t="n"/>
      <c r="C478" s="76" t="n"/>
      <c r="D478" s="77" t="n"/>
      <c r="E478" s="76" t="n"/>
      <c r="F478" s="76" t="n"/>
      <c r="G478" s="75">
        <f>IF(TRIM(E478)="","",TRIM(E478)&amp;" – "&amp;D478)</f>
        <v/>
      </c>
    </row>
    <row r="479">
      <c r="A479" s="75" t="inlineStr">
        <is>
          <t>S0478</t>
        </is>
      </c>
      <c r="B479" s="76" t="n"/>
      <c r="C479" s="76" t="n"/>
      <c r="D479" s="77" t="n"/>
      <c r="E479" s="76" t="n"/>
      <c r="F479" s="76" t="n"/>
      <c r="G479" s="75">
        <f>IF(TRIM(E479)="","",TRIM(E479)&amp;" – "&amp;D479)</f>
        <v/>
      </c>
    </row>
    <row r="480">
      <c r="A480" s="75" t="inlineStr">
        <is>
          <t>S0479</t>
        </is>
      </c>
      <c r="B480" s="76" t="n"/>
      <c r="C480" s="76" t="n"/>
      <c r="D480" s="77" t="n"/>
      <c r="E480" s="76" t="n"/>
      <c r="F480" s="76" t="n"/>
      <c r="G480" s="75">
        <f>IF(TRIM(E480)="","",TRIM(E480)&amp;" – "&amp;D480)</f>
        <v/>
      </c>
    </row>
    <row r="481">
      <c r="A481" s="75" t="inlineStr">
        <is>
          <t>S0480</t>
        </is>
      </c>
      <c r="B481" s="76" t="n"/>
      <c r="C481" s="76" t="n"/>
      <c r="D481" s="77" t="n"/>
      <c r="E481" s="76" t="n"/>
      <c r="F481" s="76" t="n"/>
      <c r="G481" s="75">
        <f>IF(TRIM(E481)="","",TRIM(E481)&amp;" – "&amp;D481)</f>
        <v/>
      </c>
    </row>
    <row r="482">
      <c r="A482" s="75" t="inlineStr">
        <is>
          <t>S0481</t>
        </is>
      </c>
      <c r="B482" s="76" t="n"/>
      <c r="C482" s="76" t="n"/>
      <c r="D482" s="77" t="n"/>
      <c r="E482" s="76" t="n"/>
      <c r="F482" s="76" t="n"/>
      <c r="G482" s="75">
        <f>IF(TRIM(E482)="","",TRIM(E482)&amp;" – "&amp;D482)</f>
        <v/>
      </c>
    </row>
    <row r="483">
      <c r="A483" s="75" t="inlineStr">
        <is>
          <t>S0482</t>
        </is>
      </c>
      <c r="B483" s="76" t="n"/>
      <c r="C483" s="76" t="n"/>
      <c r="D483" s="77" t="n"/>
      <c r="E483" s="76" t="n"/>
      <c r="F483" s="76" t="n"/>
      <c r="G483" s="75">
        <f>IF(TRIM(E483)="","",TRIM(E483)&amp;" – "&amp;D483)</f>
        <v/>
      </c>
    </row>
    <row r="484">
      <c r="A484" s="75" t="inlineStr">
        <is>
          <t>S0483</t>
        </is>
      </c>
      <c r="B484" s="76" t="n"/>
      <c r="C484" s="76" t="n"/>
      <c r="D484" s="77" t="n"/>
      <c r="E484" s="76" t="n"/>
      <c r="F484" s="76" t="n"/>
      <c r="G484" s="75">
        <f>IF(TRIM(E484)="","",TRIM(E484)&amp;" – "&amp;D484)</f>
        <v/>
      </c>
    </row>
    <row r="485">
      <c r="A485" s="75" t="inlineStr">
        <is>
          <t>S0484</t>
        </is>
      </c>
      <c r="B485" s="76" t="n"/>
      <c r="C485" s="76" t="n"/>
      <c r="D485" s="77" t="n"/>
      <c r="E485" s="76" t="n"/>
      <c r="F485" s="76" t="n"/>
      <c r="G485" s="75">
        <f>IF(TRIM(E485)="","",TRIM(E485)&amp;" – "&amp;D485)</f>
        <v/>
      </c>
    </row>
    <row r="486">
      <c r="A486" s="75" t="inlineStr">
        <is>
          <t>S0485</t>
        </is>
      </c>
      <c r="B486" s="76" t="n"/>
      <c r="C486" s="76" t="n"/>
      <c r="D486" s="77" t="n"/>
      <c r="E486" s="76" t="n"/>
      <c r="F486" s="76" t="n"/>
      <c r="G486" s="75">
        <f>IF(TRIM(E486)="","",TRIM(E486)&amp;" – "&amp;D486)</f>
        <v/>
      </c>
    </row>
    <row r="487">
      <c r="A487" s="75" t="inlineStr">
        <is>
          <t>S0486</t>
        </is>
      </c>
      <c r="B487" s="76" t="n"/>
      <c r="C487" s="76" t="n"/>
      <c r="D487" s="77" t="n"/>
      <c r="E487" s="76" t="n"/>
      <c r="F487" s="76" t="n"/>
      <c r="G487" s="75">
        <f>IF(TRIM(E487)="","",TRIM(E487)&amp;" – "&amp;D487)</f>
        <v/>
      </c>
    </row>
    <row r="488">
      <c r="A488" s="75" t="inlineStr">
        <is>
          <t>S0487</t>
        </is>
      </c>
      <c r="B488" s="76" t="n"/>
      <c r="C488" s="76" t="n"/>
      <c r="D488" s="77" t="n"/>
      <c r="E488" s="76" t="n"/>
      <c r="F488" s="76" t="n"/>
      <c r="G488" s="75">
        <f>IF(TRIM(E488)="","",TRIM(E488)&amp;" – "&amp;D488)</f>
        <v/>
      </c>
    </row>
    <row r="489">
      <c r="A489" s="75" t="inlineStr">
        <is>
          <t>S0488</t>
        </is>
      </c>
      <c r="B489" s="76" t="n"/>
      <c r="C489" s="76" t="n"/>
      <c r="D489" s="77" t="n"/>
      <c r="E489" s="76" t="n"/>
      <c r="F489" s="76" t="n"/>
      <c r="G489" s="75">
        <f>IF(TRIM(E489)="","",TRIM(E489)&amp;" – "&amp;D489)</f>
        <v/>
      </c>
    </row>
    <row r="490">
      <c r="A490" s="75" t="inlineStr">
        <is>
          <t>S0489</t>
        </is>
      </c>
      <c r="B490" s="76" t="n"/>
      <c r="C490" s="76" t="n"/>
      <c r="D490" s="77" t="n"/>
      <c r="E490" s="76" t="n"/>
      <c r="F490" s="76" t="n"/>
      <c r="G490" s="75">
        <f>IF(TRIM(E490)="","",TRIM(E490)&amp;" – "&amp;D490)</f>
        <v/>
      </c>
    </row>
    <row r="491">
      <c r="A491" s="75" t="inlineStr">
        <is>
          <t>S0490</t>
        </is>
      </c>
      <c r="B491" s="76" t="n"/>
      <c r="C491" s="76" t="n"/>
      <c r="D491" s="77" t="n"/>
      <c r="E491" s="76" t="n"/>
      <c r="F491" s="76" t="n"/>
      <c r="G491" s="75">
        <f>IF(TRIM(E491)="","",TRIM(E491)&amp;" – "&amp;D491)</f>
        <v/>
      </c>
    </row>
    <row r="492">
      <c r="A492" s="75" t="inlineStr">
        <is>
          <t>S0491</t>
        </is>
      </c>
      <c r="B492" s="76" t="n"/>
      <c r="C492" s="76" t="n"/>
      <c r="D492" s="77" t="n"/>
      <c r="E492" s="76" t="n"/>
      <c r="F492" s="76" t="n"/>
      <c r="G492" s="75">
        <f>IF(TRIM(E492)="","",TRIM(E492)&amp;" – "&amp;D492)</f>
        <v/>
      </c>
    </row>
    <row r="493">
      <c r="A493" s="75" t="inlineStr">
        <is>
          <t>S0492</t>
        </is>
      </c>
      <c r="B493" s="76" t="n"/>
      <c r="C493" s="76" t="n"/>
      <c r="D493" s="77" t="n"/>
      <c r="E493" s="76" t="n"/>
      <c r="F493" s="76" t="n"/>
      <c r="G493" s="75">
        <f>IF(TRIM(E493)="","",TRIM(E493)&amp;" – "&amp;D493)</f>
        <v/>
      </c>
    </row>
    <row r="494">
      <c r="A494" s="75" t="inlineStr">
        <is>
          <t>S0493</t>
        </is>
      </c>
      <c r="B494" s="76" t="n"/>
      <c r="C494" s="76" t="n"/>
      <c r="D494" s="77" t="n"/>
      <c r="E494" s="76" t="n"/>
      <c r="F494" s="76" t="n"/>
      <c r="G494" s="75">
        <f>IF(TRIM(E494)="","",TRIM(E494)&amp;" – "&amp;D494)</f>
        <v/>
      </c>
    </row>
    <row r="495">
      <c r="A495" s="75" t="inlineStr">
        <is>
          <t>S0494</t>
        </is>
      </c>
      <c r="B495" s="76" t="n"/>
      <c r="C495" s="76" t="n"/>
      <c r="D495" s="77" t="n"/>
      <c r="E495" s="76" t="n"/>
      <c r="F495" s="76" t="n"/>
      <c r="G495" s="75">
        <f>IF(TRIM(E495)="","",TRIM(E495)&amp;" – "&amp;D495)</f>
        <v/>
      </c>
    </row>
    <row r="496">
      <c r="A496" s="75" t="inlineStr">
        <is>
          <t>S0495</t>
        </is>
      </c>
      <c r="B496" s="76" t="n"/>
      <c r="C496" s="76" t="n"/>
      <c r="D496" s="77" t="n"/>
      <c r="E496" s="76" t="n"/>
      <c r="F496" s="76" t="n"/>
      <c r="G496" s="75">
        <f>IF(TRIM(E496)="","",TRIM(E496)&amp;" – "&amp;D496)</f>
        <v/>
      </c>
    </row>
    <row r="497">
      <c r="A497" s="75" t="inlineStr">
        <is>
          <t>S0496</t>
        </is>
      </c>
      <c r="B497" s="76" t="n"/>
      <c r="C497" s="76" t="n"/>
      <c r="D497" s="77" t="n"/>
      <c r="E497" s="76" t="n"/>
      <c r="F497" s="76" t="n"/>
      <c r="G497" s="75">
        <f>IF(TRIM(E497)="","",TRIM(E497)&amp;" – "&amp;D497)</f>
        <v/>
      </c>
    </row>
    <row r="498">
      <c r="A498" s="75" t="inlineStr">
        <is>
          <t>S0497</t>
        </is>
      </c>
      <c r="B498" s="76" t="n"/>
      <c r="C498" s="76" t="n"/>
      <c r="D498" s="77" t="n"/>
      <c r="E498" s="76" t="n"/>
      <c r="F498" s="76" t="n"/>
      <c r="G498" s="75">
        <f>IF(TRIM(E498)="","",TRIM(E498)&amp;" – "&amp;D498)</f>
        <v/>
      </c>
    </row>
    <row r="499">
      <c r="A499" s="75" t="inlineStr">
        <is>
          <t>S0498</t>
        </is>
      </c>
      <c r="B499" s="76" t="n"/>
      <c r="C499" s="76" t="n"/>
      <c r="D499" s="77" t="n"/>
      <c r="E499" s="76" t="n"/>
      <c r="F499" s="76" t="n"/>
      <c r="G499" s="75">
        <f>IF(TRIM(E499)="","",TRIM(E499)&amp;" – "&amp;D499)</f>
        <v/>
      </c>
    </row>
    <row r="500">
      <c r="A500" s="75" t="inlineStr">
        <is>
          <t>S0499</t>
        </is>
      </c>
      <c r="B500" s="76" t="n"/>
      <c r="C500" s="76" t="n"/>
      <c r="D500" s="77" t="n"/>
      <c r="E500" s="76" t="n"/>
      <c r="F500" s="76" t="n"/>
      <c r="G500" s="75">
        <f>IF(TRIM(E500)="","",TRIM(E500)&amp;" – "&amp;D500)</f>
        <v/>
      </c>
    </row>
    <row r="501">
      <c r="A501" s="75" t="inlineStr">
        <is>
          <t>S0500</t>
        </is>
      </c>
      <c r="B501" s="76" t="n"/>
      <c r="C501" s="76" t="n"/>
      <c r="D501" s="77" t="n"/>
      <c r="E501" s="76" t="n"/>
      <c r="F501" s="76" t="n"/>
      <c r="G501" s="75">
        <f>IF(TRIM(E501)="","",TRIM(E501)&amp;" – "&amp;D501)</f>
        <v/>
      </c>
    </row>
    <row r="502">
      <c r="A502" s="75" t="inlineStr">
        <is>
          <t>S0501</t>
        </is>
      </c>
      <c r="B502" s="76" t="n"/>
      <c r="C502" s="76" t="n"/>
      <c r="D502" s="77" t="n"/>
      <c r="E502" s="76" t="n"/>
      <c r="F502" s="76" t="n"/>
      <c r="G502" s="75">
        <f>IF(TRIM(E502)="","",TRIM(E502)&amp;" – "&amp;D502)</f>
        <v/>
      </c>
    </row>
    <row r="503">
      <c r="A503" s="75" t="inlineStr">
        <is>
          <t>S0502</t>
        </is>
      </c>
      <c r="B503" s="76" t="n"/>
      <c r="C503" s="76" t="n"/>
      <c r="D503" s="77" t="n"/>
      <c r="E503" s="76" t="n"/>
      <c r="F503" s="76" t="n"/>
      <c r="G503" s="75">
        <f>IF(TRIM(E503)="","",TRIM(E503)&amp;" – "&amp;D503)</f>
        <v/>
      </c>
    </row>
    <row r="504">
      <c r="A504" s="75" t="inlineStr">
        <is>
          <t>S0503</t>
        </is>
      </c>
      <c r="B504" s="76" t="n"/>
      <c r="C504" s="76" t="n"/>
      <c r="D504" s="77" t="n"/>
      <c r="E504" s="76" t="n"/>
      <c r="F504" s="76" t="n"/>
      <c r="G504" s="75">
        <f>IF(TRIM(E504)="","",TRIM(E504)&amp;" – "&amp;D504)</f>
        <v/>
      </c>
    </row>
    <row r="505">
      <c r="A505" s="75" t="inlineStr">
        <is>
          <t>S0504</t>
        </is>
      </c>
      <c r="B505" s="76" t="n"/>
      <c r="C505" s="76" t="n"/>
      <c r="D505" s="77" t="n"/>
      <c r="E505" s="76" t="n"/>
      <c r="F505" s="76" t="n"/>
      <c r="G505" s="75">
        <f>IF(TRIM(E505)="","",TRIM(E505)&amp;" – "&amp;D505)</f>
        <v/>
      </c>
    </row>
    <row r="506">
      <c r="A506" s="75" t="inlineStr">
        <is>
          <t>S0505</t>
        </is>
      </c>
      <c r="B506" s="76" t="n"/>
      <c r="C506" s="76" t="n"/>
      <c r="D506" s="77" t="n"/>
      <c r="E506" s="76" t="n"/>
      <c r="F506" s="76" t="n"/>
      <c r="G506" s="75">
        <f>IF(TRIM(E506)="","",TRIM(E506)&amp;" – "&amp;D506)</f>
        <v/>
      </c>
    </row>
    <row r="507">
      <c r="A507" s="75" t="inlineStr">
        <is>
          <t>S0506</t>
        </is>
      </c>
      <c r="B507" s="76" t="n"/>
      <c r="C507" s="76" t="n"/>
      <c r="D507" s="77" t="n"/>
      <c r="E507" s="76" t="n"/>
      <c r="F507" s="76" t="n"/>
      <c r="G507" s="75">
        <f>IF(TRIM(E507)="","",TRIM(E507)&amp;" – "&amp;D507)</f>
        <v/>
      </c>
    </row>
    <row r="508">
      <c r="A508" s="75" t="inlineStr">
        <is>
          <t>S0507</t>
        </is>
      </c>
      <c r="B508" s="76" t="n"/>
      <c r="C508" s="76" t="n"/>
      <c r="D508" s="77" t="n"/>
      <c r="E508" s="76" t="n"/>
      <c r="F508" s="76" t="n"/>
      <c r="G508" s="75">
        <f>IF(TRIM(E508)="","",TRIM(E508)&amp;" – "&amp;D508)</f>
        <v/>
      </c>
    </row>
    <row r="509">
      <c r="A509" s="75" t="inlineStr">
        <is>
          <t>S0508</t>
        </is>
      </c>
      <c r="B509" s="76" t="n"/>
      <c r="C509" s="76" t="n"/>
      <c r="D509" s="77" t="n"/>
      <c r="E509" s="76" t="n"/>
      <c r="F509" s="76" t="n"/>
      <c r="G509" s="75">
        <f>IF(TRIM(E509)="","",TRIM(E509)&amp;" – "&amp;D509)</f>
        <v/>
      </c>
    </row>
    <row r="510">
      <c r="A510" s="75" t="inlineStr">
        <is>
          <t>S0509</t>
        </is>
      </c>
      <c r="B510" s="76" t="n"/>
      <c r="C510" s="76" t="n"/>
      <c r="D510" s="77" t="n"/>
      <c r="E510" s="76" t="n"/>
      <c r="F510" s="76" t="n"/>
      <c r="G510" s="75">
        <f>IF(TRIM(E510)="","",TRIM(E510)&amp;" – "&amp;D510)</f>
        <v/>
      </c>
    </row>
    <row r="511">
      <c r="A511" s="75" t="inlineStr">
        <is>
          <t>S0510</t>
        </is>
      </c>
      <c r="B511" s="76" t="n"/>
      <c r="C511" s="76" t="n"/>
      <c r="D511" s="77" t="n"/>
      <c r="E511" s="76" t="n"/>
      <c r="F511" s="76" t="n"/>
      <c r="G511" s="75">
        <f>IF(TRIM(E511)="","",TRIM(E511)&amp;" – "&amp;D511)</f>
        <v/>
      </c>
    </row>
    <row r="512">
      <c r="A512" s="75" t="inlineStr">
        <is>
          <t>S0511</t>
        </is>
      </c>
      <c r="B512" s="76" t="n"/>
      <c r="C512" s="76" t="n"/>
      <c r="D512" s="77" t="n"/>
      <c r="E512" s="76" t="n"/>
      <c r="F512" s="76" t="n"/>
      <c r="G512" s="75">
        <f>IF(TRIM(E512)="","",TRIM(E512)&amp;" – "&amp;D512)</f>
        <v/>
      </c>
    </row>
    <row r="513">
      <c r="A513" s="75" t="inlineStr">
        <is>
          <t>S0512</t>
        </is>
      </c>
      <c r="B513" s="76" t="n"/>
      <c r="C513" s="76" t="n"/>
      <c r="D513" s="77" t="n"/>
      <c r="E513" s="76" t="n"/>
      <c r="F513" s="76" t="n"/>
      <c r="G513" s="75">
        <f>IF(TRIM(E513)="","",TRIM(E513)&amp;" – "&amp;D513)</f>
        <v/>
      </c>
    </row>
    <row r="514">
      <c r="A514" s="75" t="inlineStr">
        <is>
          <t>S0513</t>
        </is>
      </c>
      <c r="B514" s="76" t="n"/>
      <c r="C514" s="76" t="n"/>
      <c r="D514" s="77" t="n"/>
      <c r="E514" s="76" t="n"/>
      <c r="F514" s="76" t="n"/>
      <c r="G514" s="75">
        <f>IF(TRIM(E514)="","",TRIM(E514)&amp;" – "&amp;D514)</f>
        <v/>
      </c>
    </row>
    <row r="515">
      <c r="A515" s="75" t="inlineStr">
        <is>
          <t>S0514</t>
        </is>
      </c>
      <c r="B515" s="76" t="n"/>
      <c r="C515" s="76" t="n"/>
      <c r="D515" s="77" t="n"/>
      <c r="E515" s="76" t="n"/>
      <c r="F515" s="76" t="n"/>
      <c r="G515" s="75">
        <f>IF(TRIM(E515)="","",TRIM(E515)&amp;" – "&amp;D515)</f>
        <v/>
      </c>
    </row>
    <row r="516">
      <c r="A516" s="75" t="inlineStr">
        <is>
          <t>S0515</t>
        </is>
      </c>
      <c r="B516" s="76" t="n"/>
      <c r="C516" s="76" t="n"/>
      <c r="D516" s="77" t="n"/>
      <c r="E516" s="76" t="n"/>
      <c r="F516" s="76" t="n"/>
      <c r="G516" s="75">
        <f>IF(TRIM(E516)="","",TRIM(E516)&amp;" – "&amp;D516)</f>
        <v/>
      </c>
    </row>
    <row r="517">
      <c r="A517" s="75" t="inlineStr">
        <is>
          <t>S0516</t>
        </is>
      </c>
      <c r="B517" s="76" t="n"/>
      <c r="C517" s="76" t="n"/>
      <c r="D517" s="77" t="n"/>
      <c r="E517" s="76" t="n"/>
      <c r="F517" s="76" t="n"/>
      <c r="G517" s="75">
        <f>IF(TRIM(E517)="","",TRIM(E517)&amp;" – "&amp;D517)</f>
        <v/>
      </c>
    </row>
    <row r="518">
      <c r="A518" s="75" t="inlineStr">
        <is>
          <t>S0517</t>
        </is>
      </c>
      <c r="B518" s="76" t="n"/>
      <c r="C518" s="76" t="n"/>
      <c r="D518" s="77" t="n"/>
      <c r="E518" s="76" t="n"/>
      <c r="F518" s="76" t="n"/>
      <c r="G518" s="75">
        <f>IF(TRIM(E518)="","",TRIM(E518)&amp;" – "&amp;D518)</f>
        <v/>
      </c>
    </row>
    <row r="519">
      <c r="A519" s="75" t="inlineStr">
        <is>
          <t>S0518</t>
        </is>
      </c>
      <c r="B519" s="76" t="n"/>
      <c r="C519" s="76" t="n"/>
      <c r="D519" s="77" t="n"/>
      <c r="E519" s="76" t="n"/>
      <c r="F519" s="76" t="n"/>
      <c r="G519" s="75">
        <f>IF(TRIM(E519)="","",TRIM(E519)&amp;" – "&amp;D519)</f>
        <v/>
      </c>
    </row>
    <row r="520">
      <c r="A520" s="75" t="inlineStr">
        <is>
          <t>S0519</t>
        </is>
      </c>
      <c r="B520" s="76" t="n"/>
      <c r="C520" s="76" t="n"/>
      <c r="D520" s="77" t="n"/>
      <c r="E520" s="76" t="n"/>
      <c r="F520" s="76" t="n"/>
      <c r="G520" s="75">
        <f>IF(TRIM(E520)="","",TRIM(E520)&amp;" – "&amp;D520)</f>
        <v/>
      </c>
    </row>
    <row r="521">
      <c r="A521" s="75" t="inlineStr">
        <is>
          <t>S0520</t>
        </is>
      </c>
      <c r="B521" s="76" t="n"/>
      <c r="C521" s="76" t="n"/>
      <c r="D521" s="77" t="n"/>
      <c r="E521" s="76" t="n"/>
      <c r="F521" s="76" t="n"/>
      <c r="G521" s="75">
        <f>IF(TRIM(E521)="","",TRIM(E521)&amp;" – "&amp;D521)</f>
        <v/>
      </c>
    </row>
    <row r="522">
      <c r="A522" s="75" t="inlineStr">
        <is>
          <t>S0521</t>
        </is>
      </c>
      <c r="B522" s="76" t="n"/>
      <c r="C522" s="76" t="n"/>
      <c r="D522" s="77" t="n"/>
      <c r="E522" s="76" t="n"/>
      <c r="F522" s="76" t="n"/>
      <c r="G522" s="75">
        <f>IF(TRIM(E522)="","",TRIM(E522)&amp;" – "&amp;D522)</f>
        <v/>
      </c>
    </row>
    <row r="523">
      <c r="A523" s="75" t="inlineStr">
        <is>
          <t>S0522</t>
        </is>
      </c>
      <c r="B523" s="76" t="n"/>
      <c r="C523" s="76" t="n"/>
      <c r="D523" s="77" t="n"/>
      <c r="E523" s="76" t="n"/>
      <c r="F523" s="76" t="n"/>
      <c r="G523" s="75">
        <f>IF(TRIM(E523)="","",TRIM(E523)&amp;" – "&amp;D523)</f>
        <v/>
      </c>
    </row>
    <row r="524">
      <c r="A524" s="75" t="inlineStr">
        <is>
          <t>S0523</t>
        </is>
      </c>
      <c r="B524" s="76" t="n"/>
      <c r="C524" s="76" t="n"/>
      <c r="D524" s="77" t="n"/>
      <c r="E524" s="76" t="n"/>
      <c r="F524" s="76" t="n"/>
      <c r="G524" s="75">
        <f>IF(TRIM(E524)="","",TRIM(E524)&amp;" – "&amp;D524)</f>
        <v/>
      </c>
    </row>
    <row r="525">
      <c r="A525" s="75" t="inlineStr">
        <is>
          <t>S0524</t>
        </is>
      </c>
      <c r="B525" s="76" t="n"/>
      <c r="C525" s="76" t="n"/>
      <c r="D525" s="77" t="n"/>
      <c r="E525" s="76" t="n"/>
      <c r="F525" s="76" t="n"/>
      <c r="G525" s="75">
        <f>IF(TRIM(E525)="","",TRIM(E525)&amp;" – "&amp;D525)</f>
        <v/>
      </c>
    </row>
    <row r="526">
      <c r="A526" s="75" t="inlineStr">
        <is>
          <t>S0525</t>
        </is>
      </c>
      <c r="B526" s="76" t="n"/>
      <c r="C526" s="76" t="n"/>
      <c r="D526" s="77" t="n"/>
      <c r="E526" s="76" t="n"/>
      <c r="F526" s="76" t="n"/>
      <c r="G526" s="75">
        <f>IF(TRIM(E526)="","",TRIM(E526)&amp;" – "&amp;D526)</f>
        <v/>
      </c>
    </row>
    <row r="527">
      <c r="A527" s="75" t="inlineStr">
        <is>
          <t>S0526</t>
        </is>
      </c>
      <c r="B527" s="76" t="n"/>
      <c r="C527" s="76" t="n"/>
      <c r="D527" s="77" t="n"/>
      <c r="E527" s="76" t="n"/>
      <c r="F527" s="76" t="n"/>
      <c r="G527" s="75">
        <f>IF(TRIM(E527)="","",TRIM(E527)&amp;" – "&amp;D527)</f>
        <v/>
      </c>
    </row>
    <row r="528">
      <c r="A528" s="75" t="inlineStr">
        <is>
          <t>S0527</t>
        </is>
      </c>
      <c r="B528" s="76" t="n"/>
      <c r="C528" s="76" t="n"/>
      <c r="D528" s="77" t="n"/>
      <c r="E528" s="76" t="n"/>
      <c r="F528" s="76" t="n"/>
      <c r="G528" s="75">
        <f>IF(TRIM(E528)="","",TRIM(E528)&amp;" – "&amp;D528)</f>
        <v/>
      </c>
    </row>
    <row r="529">
      <c r="A529" s="75" t="inlineStr">
        <is>
          <t>S0528</t>
        </is>
      </c>
      <c r="B529" s="76" t="n"/>
      <c r="C529" s="76" t="n"/>
      <c r="D529" s="77" t="n"/>
      <c r="E529" s="76" t="n"/>
      <c r="F529" s="76" t="n"/>
      <c r="G529" s="75">
        <f>IF(TRIM(E529)="","",TRIM(E529)&amp;" – "&amp;D529)</f>
        <v/>
      </c>
    </row>
    <row r="530">
      <c r="A530" s="75" t="inlineStr">
        <is>
          <t>S0529</t>
        </is>
      </c>
      <c r="B530" s="76" t="n"/>
      <c r="C530" s="76" t="n"/>
      <c r="D530" s="77" t="n"/>
      <c r="E530" s="76" t="n"/>
      <c r="F530" s="76" t="n"/>
      <c r="G530" s="75">
        <f>IF(TRIM(E530)="","",TRIM(E530)&amp;" – "&amp;D530)</f>
        <v/>
      </c>
    </row>
    <row r="531">
      <c r="A531" s="75" t="inlineStr">
        <is>
          <t>S0530</t>
        </is>
      </c>
      <c r="B531" s="76" t="n"/>
      <c r="C531" s="76" t="n"/>
      <c r="D531" s="77" t="n"/>
      <c r="E531" s="76" t="n"/>
      <c r="F531" s="76" t="n"/>
      <c r="G531" s="75">
        <f>IF(TRIM(E531)="","",TRIM(E531)&amp;" – "&amp;D531)</f>
        <v/>
      </c>
    </row>
    <row r="532">
      <c r="A532" s="75" t="inlineStr">
        <is>
          <t>S0531</t>
        </is>
      </c>
      <c r="B532" s="76" t="n"/>
      <c r="C532" s="76" t="n"/>
      <c r="D532" s="77" t="n"/>
      <c r="E532" s="76" t="n"/>
      <c r="F532" s="76" t="n"/>
      <c r="G532" s="75">
        <f>IF(TRIM(E532)="","",TRIM(E532)&amp;" – "&amp;D532)</f>
        <v/>
      </c>
    </row>
    <row r="533">
      <c r="A533" s="75" t="inlineStr">
        <is>
          <t>S0532</t>
        </is>
      </c>
      <c r="B533" s="76" t="n"/>
      <c r="C533" s="76" t="n"/>
      <c r="D533" s="77" t="n"/>
      <c r="E533" s="76" t="n"/>
      <c r="F533" s="76" t="n"/>
      <c r="G533" s="75">
        <f>IF(TRIM(E533)="","",TRIM(E533)&amp;" – "&amp;D533)</f>
        <v/>
      </c>
    </row>
    <row r="534">
      <c r="A534" s="75" t="inlineStr">
        <is>
          <t>S0533</t>
        </is>
      </c>
      <c r="B534" s="76" t="n"/>
      <c r="C534" s="76" t="n"/>
      <c r="D534" s="77" t="n"/>
      <c r="E534" s="76" t="n"/>
      <c r="F534" s="76" t="n"/>
      <c r="G534" s="75">
        <f>IF(TRIM(E534)="","",TRIM(E534)&amp;" – "&amp;D534)</f>
        <v/>
      </c>
    </row>
    <row r="535">
      <c r="A535" s="75" t="inlineStr">
        <is>
          <t>S0534</t>
        </is>
      </c>
      <c r="B535" s="76" t="n"/>
      <c r="C535" s="76" t="n"/>
      <c r="D535" s="77" t="n"/>
      <c r="E535" s="76" t="n"/>
      <c r="F535" s="76" t="n"/>
      <c r="G535" s="75">
        <f>IF(TRIM(E535)="","",TRIM(E535)&amp;" – "&amp;D535)</f>
        <v/>
      </c>
    </row>
    <row r="536">
      <c r="A536" s="75" t="inlineStr">
        <is>
          <t>S0535</t>
        </is>
      </c>
      <c r="B536" s="76" t="n"/>
      <c r="C536" s="76" t="n"/>
      <c r="D536" s="77" t="n"/>
      <c r="E536" s="76" t="n"/>
      <c r="F536" s="76" t="n"/>
      <c r="G536" s="75">
        <f>IF(TRIM(E536)="","",TRIM(E536)&amp;" – "&amp;D536)</f>
        <v/>
      </c>
    </row>
    <row r="537">
      <c r="A537" s="75" t="inlineStr">
        <is>
          <t>S0536</t>
        </is>
      </c>
      <c r="B537" s="76" t="n"/>
      <c r="C537" s="76" t="n"/>
      <c r="D537" s="77" t="n"/>
      <c r="E537" s="76" t="n"/>
      <c r="F537" s="76" t="n"/>
      <c r="G537" s="75">
        <f>IF(TRIM(E537)="","",TRIM(E537)&amp;" – "&amp;D537)</f>
        <v/>
      </c>
    </row>
    <row r="538">
      <c r="A538" s="75" t="inlineStr">
        <is>
          <t>S0537</t>
        </is>
      </c>
      <c r="B538" s="76" t="n"/>
      <c r="C538" s="76" t="n"/>
      <c r="D538" s="77" t="n"/>
      <c r="E538" s="76" t="n"/>
      <c r="F538" s="76" t="n"/>
      <c r="G538" s="75">
        <f>IF(TRIM(E538)="","",TRIM(E538)&amp;" – "&amp;D538)</f>
        <v/>
      </c>
    </row>
    <row r="539">
      <c r="A539" s="75" t="inlineStr">
        <is>
          <t>S0538</t>
        </is>
      </c>
      <c r="B539" s="76" t="n"/>
      <c r="C539" s="76" t="n"/>
      <c r="D539" s="77" t="n"/>
      <c r="E539" s="76" t="n"/>
      <c r="F539" s="76" t="n"/>
      <c r="G539" s="75">
        <f>IF(TRIM(E539)="","",TRIM(E539)&amp;" – "&amp;D539)</f>
        <v/>
      </c>
    </row>
    <row r="540">
      <c r="A540" s="75" t="inlineStr">
        <is>
          <t>S0539</t>
        </is>
      </c>
      <c r="B540" s="76" t="n"/>
      <c r="C540" s="76" t="n"/>
      <c r="D540" s="77" t="n"/>
      <c r="E540" s="76" t="n"/>
      <c r="F540" s="76" t="n"/>
      <c r="G540" s="75">
        <f>IF(TRIM(E540)="","",TRIM(E540)&amp;" – "&amp;D540)</f>
        <v/>
      </c>
    </row>
    <row r="541">
      <c r="A541" s="75" t="inlineStr">
        <is>
          <t>S0540</t>
        </is>
      </c>
      <c r="B541" s="76" t="n"/>
      <c r="C541" s="76" t="n"/>
      <c r="D541" s="77" t="n"/>
      <c r="E541" s="76" t="n"/>
      <c r="F541" s="76" t="n"/>
      <c r="G541" s="75">
        <f>IF(TRIM(E541)="","",TRIM(E541)&amp;" – "&amp;D541)</f>
        <v/>
      </c>
    </row>
    <row r="542">
      <c r="A542" s="75" t="inlineStr">
        <is>
          <t>S0541</t>
        </is>
      </c>
      <c r="B542" s="76" t="n"/>
      <c r="C542" s="76" t="n"/>
      <c r="D542" s="77" t="n"/>
      <c r="E542" s="76" t="n"/>
      <c r="F542" s="76" t="n"/>
      <c r="G542" s="75">
        <f>IF(TRIM(E542)="","",TRIM(E542)&amp;" – "&amp;D542)</f>
        <v/>
      </c>
    </row>
    <row r="543">
      <c r="A543" s="75" t="inlineStr">
        <is>
          <t>S0542</t>
        </is>
      </c>
      <c r="B543" s="76" t="n"/>
      <c r="C543" s="76" t="n"/>
      <c r="D543" s="77" t="n"/>
      <c r="E543" s="76" t="n"/>
      <c r="F543" s="76" t="n"/>
      <c r="G543" s="75">
        <f>IF(TRIM(E543)="","",TRIM(E543)&amp;" – "&amp;D543)</f>
        <v/>
      </c>
    </row>
    <row r="544">
      <c r="A544" s="75" t="inlineStr">
        <is>
          <t>S0543</t>
        </is>
      </c>
      <c r="B544" s="76" t="n"/>
      <c r="C544" s="76" t="n"/>
      <c r="D544" s="77" t="n"/>
      <c r="E544" s="76" t="n"/>
      <c r="F544" s="76" t="n"/>
      <c r="G544" s="75">
        <f>IF(TRIM(E544)="","",TRIM(E544)&amp;" – "&amp;D544)</f>
        <v/>
      </c>
    </row>
    <row r="545">
      <c r="A545" s="75" t="inlineStr">
        <is>
          <t>S0544</t>
        </is>
      </c>
      <c r="B545" s="76" t="n"/>
      <c r="C545" s="76" t="n"/>
      <c r="D545" s="77" t="n"/>
      <c r="E545" s="76" t="n"/>
      <c r="F545" s="76" t="n"/>
      <c r="G545" s="75">
        <f>IF(TRIM(E545)="","",TRIM(E545)&amp;" – "&amp;D545)</f>
        <v/>
      </c>
    </row>
    <row r="546">
      <c r="A546" s="75" t="inlineStr">
        <is>
          <t>S0545</t>
        </is>
      </c>
      <c r="B546" s="76" t="n"/>
      <c r="C546" s="76" t="n"/>
      <c r="D546" s="77" t="n"/>
      <c r="E546" s="76" t="n"/>
      <c r="F546" s="76" t="n"/>
      <c r="G546" s="75">
        <f>IF(TRIM(E546)="","",TRIM(E546)&amp;" – "&amp;D546)</f>
        <v/>
      </c>
    </row>
    <row r="547">
      <c r="A547" s="75" t="inlineStr">
        <is>
          <t>S0546</t>
        </is>
      </c>
      <c r="B547" s="76" t="n"/>
      <c r="C547" s="76" t="n"/>
      <c r="D547" s="77" t="n"/>
      <c r="E547" s="76" t="n"/>
      <c r="F547" s="76" t="n"/>
      <c r="G547" s="75">
        <f>IF(TRIM(E547)="","",TRIM(E547)&amp;" – "&amp;D547)</f>
        <v/>
      </c>
    </row>
    <row r="548">
      <c r="A548" s="75" t="inlineStr">
        <is>
          <t>S0547</t>
        </is>
      </c>
      <c r="B548" s="76" t="n"/>
      <c r="C548" s="76" t="n"/>
      <c r="D548" s="77" t="n"/>
      <c r="E548" s="76" t="n"/>
      <c r="F548" s="76" t="n"/>
      <c r="G548" s="75">
        <f>IF(TRIM(E548)="","",TRIM(E548)&amp;" – "&amp;D548)</f>
        <v/>
      </c>
    </row>
    <row r="549">
      <c r="A549" s="75" t="inlineStr">
        <is>
          <t>S0548</t>
        </is>
      </c>
      <c r="B549" s="76" t="n"/>
      <c r="C549" s="76" t="n"/>
      <c r="D549" s="77" t="n"/>
      <c r="E549" s="76" t="n"/>
      <c r="F549" s="76" t="n"/>
      <c r="G549" s="75">
        <f>IF(TRIM(E549)="","",TRIM(E549)&amp;" – "&amp;D549)</f>
        <v/>
      </c>
    </row>
    <row r="550">
      <c r="A550" s="75" t="inlineStr">
        <is>
          <t>S0549</t>
        </is>
      </c>
      <c r="B550" s="76" t="n"/>
      <c r="C550" s="76" t="n"/>
      <c r="D550" s="77" t="n"/>
      <c r="E550" s="76" t="n"/>
      <c r="F550" s="76" t="n"/>
      <c r="G550" s="75">
        <f>IF(TRIM(E550)="","",TRIM(E550)&amp;" – "&amp;D550)</f>
        <v/>
      </c>
    </row>
    <row r="551">
      <c r="A551" s="75" t="inlineStr">
        <is>
          <t>S0550</t>
        </is>
      </c>
      <c r="B551" s="76" t="n"/>
      <c r="C551" s="76" t="n"/>
      <c r="D551" s="77" t="n"/>
      <c r="E551" s="76" t="n"/>
      <c r="F551" s="76" t="n"/>
      <c r="G551" s="75">
        <f>IF(TRIM(E551)="","",TRIM(E551)&amp;" – "&amp;D551)</f>
        <v/>
      </c>
    </row>
    <row r="552">
      <c r="A552" s="75" t="inlineStr">
        <is>
          <t>S0551</t>
        </is>
      </c>
      <c r="B552" s="76" t="n"/>
      <c r="C552" s="76" t="n"/>
      <c r="D552" s="77" t="n"/>
      <c r="E552" s="76" t="n"/>
      <c r="F552" s="76" t="n"/>
      <c r="G552" s="75">
        <f>IF(TRIM(E552)="","",TRIM(E552)&amp;" – "&amp;D552)</f>
        <v/>
      </c>
    </row>
    <row r="553">
      <c r="A553" s="75" t="inlineStr">
        <is>
          <t>S0552</t>
        </is>
      </c>
      <c r="B553" s="76" t="n"/>
      <c r="C553" s="76" t="n"/>
      <c r="D553" s="77" t="n"/>
      <c r="E553" s="76" t="n"/>
      <c r="F553" s="76" t="n"/>
      <c r="G553" s="75">
        <f>IF(TRIM(E553)="","",TRIM(E553)&amp;" – "&amp;D553)</f>
        <v/>
      </c>
    </row>
    <row r="554">
      <c r="A554" s="75" t="inlineStr">
        <is>
          <t>S0553</t>
        </is>
      </c>
      <c r="B554" s="76" t="n"/>
      <c r="C554" s="76" t="n"/>
      <c r="D554" s="77" t="n"/>
      <c r="E554" s="76" t="n"/>
      <c r="F554" s="76" t="n"/>
      <c r="G554" s="75">
        <f>IF(TRIM(E554)="","",TRIM(E554)&amp;" – "&amp;D554)</f>
        <v/>
      </c>
    </row>
    <row r="555">
      <c r="A555" s="75" t="inlineStr">
        <is>
          <t>S0554</t>
        </is>
      </c>
      <c r="B555" s="76" t="n"/>
      <c r="C555" s="76" t="n"/>
      <c r="D555" s="77" t="n"/>
      <c r="E555" s="76" t="n"/>
      <c r="F555" s="76" t="n"/>
      <c r="G555" s="75">
        <f>IF(TRIM(E555)="","",TRIM(E555)&amp;" – "&amp;D555)</f>
        <v/>
      </c>
    </row>
    <row r="556">
      <c r="A556" s="75" t="inlineStr">
        <is>
          <t>S0555</t>
        </is>
      </c>
      <c r="B556" s="76" t="n"/>
      <c r="C556" s="76" t="n"/>
      <c r="D556" s="77" t="n"/>
      <c r="E556" s="76" t="n"/>
      <c r="F556" s="76" t="n"/>
      <c r="G556" s="75">
        <f>IF(TRIM(E556)="","",TRIM(E556)&amp;" – "&amp;D556)</f>
        <v/>
      </c>
    </row>
    <row r="557">
      <c r="A557" s="75" t="inlineStr">
        <is>
          <t>S0556</t>
        </is>
      </c>
      <c r="B557" s="76" t="n"/>
      <c r="C557" s="76" t="n"/>
      <c r="D557" s="77" t="n"/>
      <c r="E557" s="76" t="n"/>
      <c r="F557" s="76" t="n"/>
      <c r="G557" s="75">
        <f>IF(TRIM(E557)="","",TRIM(E557)&amp;" – "&amp;D557)</f>
        <v/>
      </c>
    </row>
    <row r="558">
      <c r="A558" s="75" t="inlineStr">
        <is>
          <t>S0557</t>
        </is>
      </c>
      <c r="B558" s="76" t="n"/>
      <c r="C558" s="76" t="n"/>
      <c r="D558" s="77" t="n"/>
      <c r="E558" s="76" t="n"/>
      <c r="F558" s="76" t="n"/>
      <c r="G558" s="75">
        <f>IF(TRIM(E558)="","",TRIM(E558)&amp;" – "&amp;D558)</f>
        <v/>
      </c>
    </row>
    <row r="559">
      <c r="A559" s="75" t="inlineStr">
        <is>
          <t>S0558</t>
        </is>
      </c>
      <c r="B559" s="76" t="n"/>
      <c r="C559" s="76" t="n"/>
      <c r="D559" s="77" t="n"/>
      <c r="E559" s="76" t="n"/>
      <c r="F559" s="76" t="n"/>
      <c r="G559" s="75">
        <f>IF(TRIM(E559)="","",TRIM(E559)&amp;" – "&amp;D559)</f>
        <v/>
      </c>
    </row>
    <row r="560">
      <c r="A560" s="75" t="inlineStr">
        <is>
          <t>S0559</t>
        </is>
      </c>
      <c r="B560" s="76" t="n"/>
      <c r="C560" s="76" t="n"/>
      <c r="D560" s="77" t="n"/>
      <c r="E560" s="76" t="n"/>
      <c r="F560" s="76" t="n"/>
      <c r="G560" s="75">
        <f>IF(TRIM(E560)="","",TRIM(E560)&amp;" – "&amp;D560)</f>
        <v/>
      </c>
    </row>
    <row r="561">
      <c r="A561" s="75" t="inlineStr">
        <is>
          <t>S0560</t>
        </is>
      </c>
      <c r="B561" s="76" t="n"/>
      <c r="C561" s="76" t="n"/>
      <c r="D561" s="77" t="n"/>
      <c r="E561" s="76" t="n"/>
      <c r="F561" s="76" t="n"/>
      <c r="G561" s="75">
        <f>IF(TRIM(E561)="","",TRIM(E561)&amp;" – "&amp;D561)</f>
        <v/>
      </c>
    </row>
    <row r="562">
      <c r="A562" s="75" t="inlineStr">
        <is>
          <t>S0561</t>
        </is>
      </c>
      <c r="B562" s="76" t="n"/>
      <c r="C562" s="76" t="n"/>
      <c r="D562" s="77" t="n"/>
      <c r="E562" s="76" t="n"/>
      <c r="F562" s="76" t="n"/>
      <c r="G562" s="75">
        <f>IF(TRIM(E562)="","",TRIM(E562)&amp;" – "&amp;D562)</f>
        <v/>
      </c>
    </row>
    <row r="563">
      <c r="A563" s="75" t="inlineStr">
        <is>
          <t>S0562</t>
        </is>
      </c>
      <c r="B563" s="76" t="n"/>
      <c r="C563" s="76" t="n"/>
      <c r="D563" s="77" t="n"/>
      <c r="E563" s="76" t="n"/>
      <c r="F563" s="76" t="n"/>
      <c r="G563" s="75">
        <f>IF(TRIM(E563)="","",TRIM(E563)&amp;" – "&amp;D563)</f>
        <v/>
      </c>
    </row>
    <row r="564">
      <c r="A564" s="75" t="inlineStr">
        <is>
          <t>S0563</t>
        </is>
      </c>
      <c r="B564" s="76" t="n"/>
      <c r="C564" s="76" t="n"/>
      <c r="D564" s="77" t="n"/>
      <c r="E564" s="76" t="n"/>
      <c r="F564" s="76" t="n"/>
      <c r="G564" s="75">
        <f>IF(TRIM(E564)="","",TRIM(E564)&amp;" – "&amp;D564)</f>
        <v/>
      </c>
    </row>
    <row r="565">
      <c r="A565" s="75" t="inlineStr">
        <is>
          <t>S0564</t>
        </is>
      </c>
      <c r="B565" s="76" t="n"/>
      <c r="C565" s="76" t="n"/>
      <c r="D565" s="77" t="n"/>
      <c r="E565" s="76" t="n"/>
      <c r="F565" s="76" t="n"/>
      <c r="G565" s="75">
        <f>IF(TRIM(E565)="","",TRIM(E565)&amp;" – "&amp;D565)</f>
        <v/>
      </c>
    </row>
    <row r="566">
      <c r="A566" s="75" t="inlineStr">
        <is>
          <t>S0565</t>
        </is>
      </c>
      <c r="B566" s="76" t="n"/>
      <c r="C566" s="76" t="n"/>
      <c r="D566" s="77" t="n"/>
      <c r="E566" s="76" t="n"/>
      <c r="F566" s="76" t="n"/>
      <c r="G566" s="75">
        <f>IF(TRIM(E566)="","",TRIM(E566)&amp;" – "&amp;D566)</f>
        <v/>
      </c>
    </row>
    <row r="567">
      <c r="A567" s="75" t="inlineStr">
        <is>
          <t>S0566</t>
        </is>
      </c>
      <c r="B567" s="76" t="n"/>
      <c r="C567" s="76" t="n"/>
      <c r="D567" s="77" t="n"/>
      <c r="E567" s="76" t="n"/>
      <c r="F567" s="76" t="n"/>
      <c r="G567" s="75">
        <f>IF(TRIM(E567)="","",TRIM(E567)&amp;" – "&amp;D567)</f>
        <v/>
      </c>
    </row>
    <row r="568">
      <c r="A568" s="75" t="inlineStr">
        <is>
          <t>S0567</t>
        </is>
      </c>
      <c r="B568" s="76" t="n"/>
      <c r="C568" s="76" t="n"/>
      <c r="D568" s="77" t="n"/>
      <c r="E568" s="76" t="n"/>
      <c r="F568" s="76" t="n"/>
      <c r="G568" s="75">
        <f>IF(TRIM(E568)="","",TRIM(E568)&amp;" – "&amp;D568)</f>
        <v/>
      </c>
    </row>
    <row r="569">
      <c r="A569" s="75" t="inlineStr">
        <is>
          <t>S0568</t>
        </is>
      </c>
      <c r="B569" s="76" t="n"/>
      <c r="C569" s="76" t="n"/>
      <c r="D569" s="77" t="n"/>
      <c r="E569" s="76" t="n"/>
      <c r="F569" s="76" t="n"/>
      <c r="G569" s="75">
        <f>IF(TRIM(E569)="","",TRIM(E569)&amp;" – "&amp;D569)</f>
        <v/>
      </c>
    </row>
    <row r="570">
      <c r="A570" s="75" t="inlineStr">
        <is>
          <t>S0569</t>
        </is>
      </c>
      <c r="B570" s="76" t="n"/>
      <c r="C570" s="76" t="n"/>
      <c r="D570" s="77" t="n"/>
      <c r="E570" s="76" t="n"/>
      <c r="F570" s="76" t="n"/>
      <c r="G570" s="75">
        <f>IF(TRIM(E570)="","",TRIM(E570)&amp;" – "&amp;D570)</f>
        <v/>
      </c>
    </row>
    <row r="571">
      <c r="A571" s="75" t="inlineStr">
        <is>
          <t>S0570</t>
        </is>
      </c>
      <c r="B571" s="76" t="n"/>
      <c r="C571" s="76" t="n"/>
      <c r="D571" s="77" t="n"/>
      <c r="E571" s="76" t="n"/>
      <c r="F571" s="76" t="n"/>
      <c r="G571" s="75">
        <f>IF(TRIM(E571)="","",TRIM(E571)&amp;" – "&amp;D571)</f>
        <v/>
      </c>
    </row>
    <row r="572">
      <c r="A572" s="75" t="inlineStr">
        <is>
          <t>S0571</t>
        </is>
      </c>
      <c r="B572" s="76" t="n"/>
      <c r="C572" s="76" t="n"/>
      <c r="D572" s="77" t="n"/>
      <c r="E572" s="76" t="n"/>
      <c r="F572" s="76" t="n"/>
      <c r="G572" s="75">
        <f>IF(TRIM(E572)="","",TRIM(E572)&amp;" – "&amp;D572)</f>
        <v/>
      </c>
    </row>
    <row r="573">
      <c r="A573" s="75" t="inlineStr">
        <is>
          <t>S0572</t>
        </is>
      </c>
      <c r="B573" s="76" t="n"/>
      <c r="C573" s="76" t="n"/>
      <c r="D573" s="77" t="n"/>
      <c r="E573" s="76" t="n"/>
      <c r="F573" s="76" t="n"/>
      <c r="G573" s="75">
        <f>IF(TRIM(E573)="","",TRIM(E573)&amp;" – "&amp;D573)</f>
        <v/>
      </c>
    </row>
    <row r="574">
      <c r="A574" s="75" t="inlineStr">
        <is>
          <t>S0573</t>
        </is>
      </c>
      <c r="B574" s="76" t="n"/>
      <c r="C574" s="76" t="n"/>
      <c r="D574" s="77" t="n"/>
      <c r="E574" s="76" t="n"/>
      <c r="F574" s="76" t="n"/>
      <c r="G574" s="75">
        <f>IF(TRIM(E574)="","",TRIM(E574)&amp;" – "&amp;D574)</f>
        <v/>
      </c>
    </row>
    <row r="575">
      <c r="A575" s="75" t="inlineStr">
        <is>
          <t>S0574</t>
        </is>
      </c>
      <c r="B575" s="76" t="n"/>
      <c r="C575" s="76" t="n"/>
      <c r="D575" s="77" t="n"/>
      <c r="E575" s="76" t="n"/>
      <c r="F575" s="76" t="n"/>
      <c r="G575" s="75">
        <f>IF(TRIM(E575)="","",TRIM(E575)&amp;" – "&amp;D575)</f>
        <v/>
      </c>
    </row>
    <row r="576">
      <c r="A576" s="75" t="inlineStr">
        <is>
          <t>S0575</t>
        </is>
      </c>
      <c r="B576" s="76" t="n"/>
      <c r="C576" s="76" t="n"/>
      <c r="D576" s="77" t="n"/>
      <c r="E576" s="76" t="n"/>
      <c r="F576" s="76" t="n"/>
      <c r="G576" s="75">
        <f>IF(TRIM(E576)="","",TRIM(E576)&amp;" – "&amp;D576)</f>
        <v/>
      </c>
    </row>
    <row r="577">
      <c r="A577" s="75" t="inlineStr">
        <is>
          <t>S0576</t>
        </is>
      </c>
      <c r="B577" s="76" t="n"/>
      <c r="C577" s="76" t="n"/>
      <c r="D577" s="77" t="n"/>
      <c r="E577" s="76" t="n"/>
      <c r="F577" s="76" t="n"/>
      <c r="G577" s="75">
        <f>IF(TRIM(E577)="","",TRIM(E577)&amp;" – "&amp;D577)</f>
        <v/>
      </c>
    </row>
    <row r="578">
      <c r="A578" s="75" t="inlineStr">
        <is>
          <t>S0577</t>
        </is>
      </c>
      <c r="B578" s="76" t="n"/>
      <c r="C578" s="76" t="n"/>
      <c r="D578" s="77" t="n"/>
      <c r="E578" s="76" t="n"/>
      <c r="F578" s="76" t="n"/>
      <c r="G578" s="75">
        <f>IF(TRIM(E578)="","",TRIM(E578)&amp;" – "&amp;D578)</f>
        <v/>
      </c>
    </row>
    <row r="579">
      <c r="A579" s="75" t="inlineStr">
        <is>
          <t>S0578</t>
        </is>
      </c>
      <c r="B579" s="76" t="n"/>
      <c r="C579" s="76" t="n"/>
      <c r="D579" s="77" t="n"/>
      <c r="E579" s="76" t="n"/>
      <c r="F579" s="76" t="n"/>
      <c r="G579" s="75">
        <f>IF(TRIM(E579)="","",TRIM(E579)&amp;" – "&amp;D579)</f>
        <v/>
      </c>
    </row>
    <row r="580">
      <c r="A580" s="75" t="inlineStr">
        <is>
          <t>S0579</t>
        </is>
      </c>
      <c r="B580" s="76" t="n"/>
      <c r="C580" s="76" t="n"/>
      <c r="D580" s="77" t="n"/>
      <c r="E580" s="76" t="n"/>
      <c r="F580" s="76" t="n"/>
      <c r="G580" s="75">
        <f>IF(TRIM(E580)="","",TRIM(E580)&amp;" – "&amp;D580)</f>
        <v/>
      </c>
    </row>
    <row r="581">
      <c r="A581" s="75" t="inlineStr">
        <is>
          <t>S0580</t>
        </is>
      </c>
      <c r="B581" s="76" t="n"/>
      <c r="C581" s="76" t="n"/>
      <c r="D581" s="77" t="n"/>
      <c r="E581" s="76" t="n"/>
      <c r="F581" s="76" t="n"/>
      <c r="G581" s="75">
        <f>IF(TRIM(E581)="","",TRIM(E581)&amp;" – "&amp;D581)</f>
        <v/>
      </c>
    </row>
    <row r="582">
      <c r="A582" s="75" t="inlineStr">
        <is>
          <t>S0581</t>
        </is>
      </c>
      <c r="B582" s="76" t="n"/>
      <c r="C582" s="76" t="n"/>
      <c r="D582" s="77" t="n"/>
      <c r="E582" s="76" t="n"/>
      <c r="F582" s="76" t="n"/>
      <c r="G582" s="75">
        <f>IF(TRIM(E582)="","",TRIM(E582)&amp;" – "&amp;D582)</f>
        <v/>
      </c>
    </row>
    <row r="583">
      <c r="A583" s="75" t="inlineStr">
        <is>
          <t>S0582</t>
        </is>
      </c>
      <c r="B583" s="76" t="n"/>
      <c r="C583" s="76" t="n"/>
      <c r="D583" s="77" t="n"/>
      <c r="E583" s="76" t="n"/>
      <c r="F583" s="76" t="n"/>
      <c r="G583" s="75">
        <f>IF(TRIM(E583)="","",TRIM(E583)&amp;" – "&amp;D583)</f>
        <v/>
      </c>
    </row>
    <row r="584">
      <c r="A584" s="75" t="inlineStr">
        <is>
          <t>S0583</t>
        </is>
      </c>
      <c r="B584" s="76" t="n"/>
      <c r="C584" s="76" t="n"/>
      <c r="D584" s="77" t="n"/>
      <c r="E584" s="76" t="n"/>
      <c r="F584" s="76" t="n"/>
      <c r="G584" s="75">
        <f>IF(TRIM(E584)="","",TRIM(E584)&amp;" – "&amp;D584)</f>
        <v/>
      </c>
    </row>
    <row r="585">
      <c r="A585" s="75" t="inlineStr">
        <is>
          <t>S0584</t>
        </is>
      </c>
      <c r="B585" s="76" t="n"/>
      <c r="C585" s="76" t="n"/>
      <c r="D585" s="77" t="n"/>
      <c r="E585" s="76" t="n"/>
      <c r="F585" s="76" t="n"/>
      <c r="G585" s="75">
        <f>IF(TRIM(E585)="","",TRIM(E585)&amp;" – "&amp;D585)</f>
        <v/>
      </c>
    </row>
    <row r="586">
      <c r="A586" s="75" t="inlineStr">
        <is>
          <t>S0585</t>
        </is>
      </c>
      <c r="B586" s="76" t="n"/>
      <c r="C586" s="76" t="n"/>
      <c r="D586" s="77" t="n"/>
      <c r="E586" s="76" t="n"/>
      <c r="F586" s="76" t="n"/>
      <c r="G586" s="75">
        <f>IF(TRIM(E586)="","",TRIM(E586)&amp;" – "&amp;D586)</f>
        <v/>
      </c>
    </row>
    <row r="587">
      <c r="A587" s="75" t="inlineStr">
        <is>
          <t>S0586</t>
        </is>
      </c>
      <c r="B587" s="76" t="n"/>
      <c r="C587" s="76" t="n"/>
      <c r="D587" s="77" t="n"/>
      <c r="E587" s="76" t="n"/>
      <c r="F587" s="76" t="n"/>
      <c r="G587" s="75">
        <f>IF(TRIM(E587)="","",TRIM(E587)&amp;" – "&amp;D587)</f>
        <v/>
      </c>
    </row>
    <row r="588">
      <c r="A588" s="75" t="inlineStr">
        <is>
          <t>S0587</t>
        </is>
      </c>
      <c r="B588" s="76" t="n"/>
      <c r="C588" s="76" t="n"/>
      <c r="D588" s="77" t="n"/>
      <c r="E588" s="76" t="n"/>
      <c r="F588" s="76" t="n"/>
      <c r="G588" s="75">
        <f>IF(TRIM(E588)="","",TRIM(E588)&amp;" – "&amp;D588)</f>
        <v/>
      </c>
    </row>
    <row r="589">
      <c r="A589" s="75" t="inlineStr">
        <is>
          <t>S0588</t>
        </is>
      </c>
      <c r="B589" s="76" t="n"/>
      <c r="C589" s="76" t="n"/>
      <c r="D589" s="77" t="n"/>
      <c r="E589" s="76" t="n"/>
      <c r="F589" s="76" t="n"/>
      <c r="G589" s="75">
        <f>IF(TRIM(E589)="","",TRIM(E589)&amp;" – "&amp;D589)</f>
        <v/>
      </c>
    </row>
    <row r="590">
      <c r="A590" s="75" t="inlineStr">
        <is>
          <t>S0589</t>
        </is>
      </c>
      <c r="B590" s="76" t="n"/>
      <c r="C590" s="76" t="n"/>
      <c r="D590" s="77" t="n"/>
      <c r="E590" s="76" t="n"/>
      <c r="F590" s="76" t="n"/>
      <c r="G590" s="75">
        <f>IF(TRIM(E590)="","",TRIM(E590)&amp;" – "&amp;D590)</f>
        <v/>
      </c>
    </row>
    <row r="591">
      <c r="A591" s="75" t="inlineStr">
        <is>
          <t>S0590</t>
        </is>
      </c>
      <c r="B591" s="76" t="n"/>
      <c r="C591" s="76" t="n"/>
      <c r="D591" s="77" t="n"/>
      <c r="E591" s="76" t="n"/>
      <c r="F591" s="76" t="n"/>
      <c r="G591" s="75">
        <f>IF(TRIM(E591)="","",TRIM(E591)&amp;" – "&amp;D591)</f>
        <v/>
      </c>
    </row>
    <row r="592">
      <c r="A592" s="75" t="inlineStr">
        <is>
          <t>S0591</t>
        </is>
      </c>
      <c r="B592" s="76" t="n"/>
      <c r="C592" s="76" t="n"/>
      <c r="D592" s="77" t="n"/>
      <c r="E592" s="76" t="n"/>
      <c r="F592" s="76" t="n"/>
      <c r="G592" s="75">
        <f>IF(TRIM(E592)="","",TRIM(E592)&amp;" – "&amp;D592)</f>
        <v/>
      </c>
    </row>
    <row r="593">
      <c r="A593" s="75" t="inlineStr">
        <is>
          <t>S0592</t>
        </is>
      </c>
      <c r="B593" s="76" t="n"/>
      <c r="C593" s="76" t="n"/>
      <c r="D593" s="77" t="n"/>
      <c r="E593" s="76" t="n"/>
      <c r="F593" s="76" t="n"/>
      <c r="G593" s="75">
        <f>IF(TRIM(E593)="","",TRIM(E593)&amp;" – "&amp;D593)</f>
        <v/>
      </c>
    </row>
    <row r="594">
      <c r="A594" s="75" t="inlineStr">
        <is>
          <t>S0593</t>
        </is>
      </c>
      <c r="B594" s="76" t="n"/>
      <c r="C594" s="76" t="n"/>
      <c r="D594" s="77" t="n"/>
      <c r="E594" s="76" t="n"/>
      <c r="F594" s="76" t="n"/>
      <c r="G594" s="75">
        <f>IF(TRIM(E594)="","",TRIM(E594)&amp;" – "&amp;D594)</f>
        <v/>
      </c>
    </row>
    <row r="595">
      <c r="A595" s="75" t="inlineStr">
        <is>
          <t>S0594</t>
        </is>
      </c>
      <c r="B595" s="76" t="n"/>
      <c r="C595" s="76" t="n"/>
      <c r="D595" s="77" t="n"/>
      <c r="E595" s="76" t="n"/>
      <c r="F595" s="76" t="n"/>
      <c r="G595" s="75">
        <f>IF(TRIM(E595)="","",TRIM(E595)&amp;" – "&amp;D595)</f>
        <v/>
      </c>
    </row>
    <row r="596">
      <c r="A596" s="75" t="inlineStr">
        <is>
          <t>S0595</t>
        </is>
      </c>
      <c r="B596" s="76" t="n"/>
      <c r="C596" s="76" t="n"/>
      <c r="D596" s="77" t="n"/>
      <c r="E596" s="76" t="n"/>
      <c r="F596" s="76" t="n"/>
      <c r="G596" s="75">
        <f>IF(TRIM(E596)="","",TRIM(E596)&amp;" – "&amp;D596)</f>
        <v/>
      </c>
    </row>
    <row r="597">
      <c r="A597" s="75" t="inlineStr">
        <is>
          <t>S0596</t>
        </is>
      </c>
      <c r="B597" s="76" t="n"/>
      <c r="C597" s="76" t="n"/>
      <c r="D597" s="77" t="n"/>
      <c r="E597" s="76" t="n"/>
      <c r="F597" s="76" t="n"/>
      <c r="G597" s="75">
        <f>IF(TRIM(E597)="","",TRIM(E597)&amp;" – "&amp;D597)</f>
        <v/>
      </c>
    </row>
    <row r="598">
      <c r="A598" s="75" t="inlineStr">
        <is>
          <t>S0597</t>
        </is>
      </c>
      <c r="B598" s="76" t="n"/>
      <c r="C598" s="76" t="n"/>
      <c r="D598" s="77" t="n"/>
      <c r="E598" s="76" t="n"/>
      <c r="F598" s="76" t="n"/>
      <c r="G598" s="75">
        <f>IF(TRIM(E598)="","",TRIM(E598)&amp;" – "&amp;D598)</f>
        <v/>
      </c>
    </row>
    <row r="599">
      <c r="A599" s="75" t="inlineStr">
        <is>
          <t>S0598</t>
        </is>
      </c>
      <c r="B599" s="76" t="n"/>
      <c r="C599" s="76" t="n"/>
      <c r="D599" s="77" t="n"/>
      <c r="E599" s="76" t="n"/>
      <c r="F599" s="76" t="n"/>
      <c r="G599" s="75">
        <f>IF(TRIM(E599)="","",TRIM(E599)&amp;" – "&amp;D599)</f>
        <v/>
      </c>
    </row>
    <row r="600">
      <c r="A600" s="75" t="inlineStr">
        <is>
          <t>S0599</t>
        </is>
      </c>
      <c r="B600" s="76" t="n"/>
      <c r="C600" s="76" t="n"/>
      <c r="D600" s="77" t="n"/>
      <c r="E600" s="76" t="n"/>
      <c r="F600" s="76" t="n"/>
      <c r="G600" s="75">
        <f>IF(TRIM(E600)="","",TRIM(E600)&amp;" – "&amp;D600)</f>
        <v/>
      </c>
    </row>
    <row r="601">
      <c r="A601" s="75" t="inlineStr">
        <is>
          <t>S0600</t>
        </is>
      </c>
      <c r="B601" s="76" t="n"/>
      <c r="C601" s="76" t="n"/>
      <c r="D601" s="77" t="n"/>
      <c r="E601" s="76" t="n"/>
      <c r="F601" s="76" t="n"/>
      <c r="G601" s="75">
        <f>IF(TRIM(E601)="","",TRIM(E601)&amp;" – "&amp;D601)</f>
        <v/>
      </c>
    </row>
    <row r="602">
      <c r="A602" s="75" t="inlineStr">
        <is>
          <t>S0601</t>
        </is>
      </c>
      <c r="B602" s="76" t="n"/>
      <c r="C602" s="76" t="n"/>
      <c r="D602" s="77" t="n"/>
      <c r="E602" s="76" t="n"/>
      <c r="F602" s="76" t="n"/>
      <c r="G602" s="75">
        <f>IF(TRIM(E602)="","",TRIM(E602)&amp;" – "&amp;D602)</f>
        <v/>
      </c>
    </row>
    <row r="603">
      <c r="A603" s="75" t="inlineStr">
        <is>
          <t>S0602</t>
        </is>
      </c>
      <c r="B603" s="76" t="n"/>
      <c r="C603" s="76" t="n"/>
      <c r="D603" s="77" t="n"/>
      <c r="E603" s="76" t="n"/>
      <c r="F603" s="76" t="n"/>
      <c r="G603" s="75">
        <f>IF(TRIM(E603)="","",TRIM(E603)&amp;" – "&amp;D603)</f>
        <v/>
      </c>
    </row>
    <row r="604">
      <c r="A604" s="75" t="inlineStr">
        <is>
          <t>S0603</t>
        </is>
      </c>
      <c r="B604" s="76" t="n"/>
      <c r="C604" s="76" t="n"/>
      <c r="D604" s="77" t="n"/>
      <c r="E604" s="76" t="n"/>
      <c r="F604" s="76" t="n"/>
      <c r="G604" s="75">
        <f>IF(TRIM(E604)="","",TRIM(E604)&amp;" – "&amp;D604)</f>
        <v/>
      </c>
    </row>
    <row r="605">
      <c r="A605" s="75" t="inlineStr">
        <is>
          <t>S0604</t>
        </is>
      </c>
      <c r="B605" s="76" t="n"/>
      <c r="C605" s="76" t="n"/>
      <c r="D605" s="77" t="n"/>
      <c r="E605" s="76" t="n"/>
      <c r="F605" s="76" t="n"/>
      <c r="G605" s="75">
        <f>IF(TRIM(E605)="","",TRIM(E605)&amp;" – "&amp;D605)</f>
        <v/>
      </c>
    </row>
    <row r="606">
      <c r="A606" s="75" t="inlineStr">
        <is>
          <t>S0605</t>
        </is>
      </c>
      <c r="B606" s="76" t="n"/>
      <c r="C606" s="76" t="n"/>
      <c r="D606" s="77" t="n"/>
      <c r="E606" s="76" t="n"/>
      <c r="F606" s="76" t="n"/>
      <c r="G606" s="75">
        <f>IF(TRIM(E606)="","",TRIM(E606)&amp;" – "&amp;D606)</f>
        <v/>
      </c>
    </row>
    <row r="607">
      <c r="A607" s="75" t="inlineStr">
        <is>
          <t>S0606</t>
        </is>
      </c>
      <c r="B607" s="76" t="n"/>
      <c r="C607" s="76" t="n"/>
      <c r="D607" s="77" t="n"/>
      <c r="E607" s="76" t="n"/>
      <c r="F607" s="76" t="n"/>
      <c r="G607" s="75">
        <f>IF(TRIM(E607)="","",TRIM(E607)&amp;" – "&amp;D607)</f>
        <v/>
      </c>
    </row>
    <row r="608">
      <c r="A608" s="75" t="inlineStr">
        <is>
          <t>S0607</t>
        </is>
      </c>
      <c r="B608" s="76" t="n"/>
      <c r="C608" s="76" t="n"/>
      <c r="D608" s="77" t="n"/>
      <c r="E608" s="76" t="n"/>
      <c r="F608" s="76" t="n"/>
      <c r="G608" s="75">
        <f>IF(TRIM(E608)="","",TRIM(E608)&amp;" – "&amp;D608)</f>
        <v/>
      </c>
    </row>
    <row r="609">
      <c r="A609" s="75" t="inlineStr">
        <is>
          <t>S0608</t>
        </is>
      </c>
      <c r="B609" s="76" t="n"/>
      <c r="C609" s="76" t="n"/>
      <c r="D609" s="77" t="n"/>
      <c r="E609" s="76" t="n"/>
      <c r="F609" s="76" t="n"/>
      <c r="G609" s="75">
        <f>IF(TRIM(E609)="","",TRIM(E609)&amp;" – "&amp;D609)</f>
        <v/>
      </c>
    </row>
    <row r="610">
      <c r="A610" s="75" t="inlineStr">
        <is>
          <t>S0609</t>
        </is>
      </c>
      <c r="B610" s="76" t="n"/>
      <c r="C610" s="76" t="n"/>
      <c r="D610" s="77" t="n"/>
      <c r="E610" s="76" t="n"/>
      <c r="F610" s="76" t="n"/>
      <c r="G610" s="75">
        <f>IF(TRIM(E610)="","",TRIM(E610)&amp;" – "&amp;D610)</f>
        <v/>
      </c>
    </row>
    <row r="611">
      <c r="A611" s="75" t="inlineStr">
        <is>
          <t>S0610</t>
        </is>
      </c>
      <c r="B611" s="76" t="n"/>
      <c r="C611" s="76" t="n"/>
      <c r="D611" s="77" t="n"/>
      <c r="E611" s="76" t="n"/>
      <c r="F611" s="76" t="n"/>
      <c r="G611" s="75">
        <f>IF(TRIM(E611)="","",TRIM(E611)&amp;" – "&amp;D611)</f>
        <v/>
      </c>
    </row>
    <row r="612">
      <c r="A612" s="75" t="inlineStr">
        <is>
          <t>S0611</t>
        </is>
      </c>
      <c r="B612" s="76" t="n"/>
      <c r="C612" s="76" t="n"/>
      <c r="D612" s="77" t="n"/>
      <c r="E612" s="76" t="n"/>
      <c r="F612" s="76" t="n"/>
      <c r="G612" s="75">
        <f>IF(TRIM(E612)="","",TRIM(E612)&amp;" – "&amp;D612)</f>
        <v/>
      </c>
    </row>
    <row r="613">
      <c r="A613" s="75" t="inlineStr">
        <is>
          <t>S0612</t>
        </is>
      </c>
      <c r="B613" s="76" t="n"/>
      <c r="C613" s="76" t="n"/>
      <c r="D613" s="77" t="n"/>
      <c r="E613" s="76" t="n"/>
      <c r="F613" s="76" t="n"/>
      <c r="G613" s="75">
        <f>IF(TRIM(E613)="","",TRIM(E613)&amp;" – "&amp;D613)</f>
        <v/>
      </c>
    </row>
    <row r="614">
      <c r="A614" s="75" t="inlineStr">
        <is>
          <t>S0613</t>
        </is>
      </c>
      <c r="B614" s="76" t="n"/>
      <c r="C614" s="76" t="n"/>
      <c r="D614" s="77" t="n"/>
      <c r="E614" s="76" t="n"/>
      <c r="F614" s="76" t="n"/>
      <c r="G614" s="75">
        <f>IF(TRIM(E614)="","",TRIM(E614)&amp;" – "&amp;D614)</f>
        <v/>
      </c>
    </row>
    <row r="615">
      <c r="A615" s="75" t="inlineStr">
        <is>
          <t>S0614</t>
        </is>
      </c>
      <c r="B615" s="76" t="n"/>
      <c r="C615" s="76" t="n"/>
      <c r="D615" s="77" t="n"/>
      <c r="E615" s="76" t="n"/>
      <c r="F615" s="76" t="n"/>
      <c r="G615" s="75">
        <f>IF(TRIM(E615)="","",TRIM(E615)&amp;" – "&amp;D615)</f>
        <v/>
      </c>
    </row>
    <row r="616">
      <c r="A616" s="75" t="inlineStr">
        <is>
          <t>S0615</t>
        </is>
      </c>
      <c r="B616" s="76" t="n"/>
      <c r="C616" s="76" t="n"/>
      <c r="D616" s="77" t="n"/>
      <c r="E616" s="76" t="n"/>
      <c r="F616" s="76" t="n"/>
      <c r="G616" s="75">
        <f>IF(TRIM(E616)="","",TRIM(E616)&amp;" – "&amp;D616)</f>
        <v/>
      </c>
    </row>
    <row r="617">
      <c r="A617" s="75" t="inlineStr">
        <is>
          <t>S0616</t>
        </is>
      </c>
      <c r="B617" s="76" t="n"/>
      <c r="C617" s="76" t="n"/>
      <c r="D617" s="77" t="n"/>
      <c r="E617" s="76" t="n"/>
      <c r="F617" s="76" t="n"/>
      <c r="G617" s="75">
        <f>IF(TRIM(E617)="","",TRIM(E617)&amp;" – "&amp;D617)</f>
        <v/>
      </c>
    </row>
    <row r="618">
      <c r="A618" s="75" t="inlineStr">
        <is>
          <t>S0617</t>
        </is>
      </c>
      <c r="B618" s="76" t="n"/>
      <c r="C618" s="76" t="n"/>
      <c r="D618" s="77" t="n"/>
      <c r="E618" s="76" t="n"/>
      <c r="F618" s="76" t="n"/>
      <c r="G618" s="75">
        <f>IF(TRIM(E618)="","",TRIM(E618)&amp;" – "&amp;D618)</f>
        <v/>
      </c>
    </row>
    <row r="619">
      <c r="A619" s="75" t="inlineStr">
        <is>
          <t>S0618</t>
        </is>
      </c>
      <c r="B619" s="76" t="n"/>
      <c r="C619" s="76" t="n"/>
      <c r="D619" s="77" t="n"/>
      <c r="E619" s="76" t="n"/>
      <c r="F619" s="76" t="n"/>
      <c r="G619" s="75">
        <f>IF(TRIM(E619)="","",TRIM(E619)&amp;" – "&amp;D619)</f>
        <v/>
      </c>
    </row>
    <row r="620">
      <c r="A620" s="75" t="inlineStr">
        <is>
          <t>S0619</t>
        </is>
      </c>
      <c r="B620" s="76" t="n"/>
      <c r="C620" s="76" t="n"/>
      <c r="D620" s="77" t="n"/>
      <c r="E620" s="76" t="n"/>
      <c r="F620" s="76" t="n"/>
      <c r="G620" s="75">
        <f>IF(TRIM(E620)="","",TRIM(E620)&amp;" – "&amp;D620)</f>
        <v/>
      </c>
    </row>
    <row r="621">
      <c r="A621" s="75" t="inlineStr">
        <is>
          <t>S0620</t>
        </is>
      </c>
      <c r="B621" s="76" t="n"/>
      <c r="C621" s="76" t="n"/>
      <c r="D621" s="77" t="n"/>
      <c r="E621" s="76" t="n"/>
      <c r="F621" s="76" t="n"/>
      <c r="G621" s="75">
        <f>IF(TRIM(E621)="","",TRIM(E621)&amp;" – "&amp;D621)</f>
        <v/>
      </c>
    </row>
    <row r="622">
      <c r="A622" s="75" t="inlineStr">
        <is>
          <t>S0621</t>
        </is>
      </c>
      <c r="B622" s="76" t="n"/>
      <c r="C622" s="76" t="n"/>
      <c r="D622" s="77" t="n"/>
      <c r="E622" s="76" t="n"/>
      <c r="F622" s="76" t="n"/>
      <c r="G622" s="75">
        <f>IF(TRIM(E622)="","",TRIM(E622)&amp;" – "&amp;D622)</f>
        <v/>
      </c>
    </row>
    <row r="623">
      <c r="A623" s="75" t="inlineStr">
        <is>
          <t>S0622</t>
        </is>
      </c>
      <c r="B623" s="76" t="n"/>
      <c r="C623" s="76" t="n"/>
      <c r="D623" s="77" t="n"/>
      <c r="E623" s="76" t="n"/>
      <c r="F623" s="76" t="n"/>
      <c r="G623" s="75">
        <f>IF(TRIM(E623)="","",TRIM(E623)&amp;" – "&amp;D623)</f>
        <v/>
      </c>
    </row>
    <row r="624">
      <c r="A624" s="75" t="inlineStr">
        <is>
          <t>S0623</t>
        </is>
      </c>
      <c r="B624" s="76" t="n"/>
      <c r="C624" s="76" t="n"/>
      <c r="D624" s="77" t="n"/>
      <c r="E624" s="76" t="n"/>
      <c r="F624" s="76" t="n"/>
      <c r="G624" s="75">
        <f>IF(TRIM(E624)="","",TRIM(E624)&amp;" – "&amp;D624)</f>
        <v/>
      </c>
    </row>
    <row r="625">
      <c r="A625" s="75" t="inlineStr">
        <is>
          <t>S0624</t>
        </is>
      </c>
      <c r="B625" s="76" t="n"/>
      <c r="C625" s="76" t="n"/>
      <c r="D625" s="77" t="n"/>
      <c r="E625" s="76" t="n"/>
      <c r="F625" s="76" t="n"/>
      <c r="G625" s="75">
        <f>IF(TRIM(E625)="","",TRIM(E625)&amp;" – "&amp;D625)</f>
        <v/>
      </c>
    </row>
    <row r="626">
      <c r="A626" s="75" t="inlineStr">
        <is>
          <t>S0625</t>
        </is>
      </c>
      <c r="B626" s="76" t="n"/>
      <c r="C626" s="76" t="n"/>
      <c r="D626" s="77" t="n"/>
      <c r="E626" s="76" t="n"/>
      <c r="F626" s="76" t="n"/>
      <c r="G626" s="75">
        <f>IF(TRIM(E626)="","",TRIM(E626)&amp;" – "&amp;D626)</f>
        <v/>
      </c>
    </row>
    <row r="627">
      <c r="A627" s="75" t="inlineStr">
        <is>
          <t>S0626</t>
        </is>
      </c>
      <c r="B627" s="76" t="n"/>
      <c r="C627" s="76" t="n"/>
      <c r="D627" s="77" t="n"/>
      <c r="E627" s="76" t="n"/>
      <c r="F627" s="76" t="n"/>
      <c r="G627" s="75">
        <f>IF(TRIM(E627)="","",TRIM(E627)&amp;" – "&amp;D627)</f>
        <v/>
      </c>
    </row>
    <row r="628">
      <c r="A628" s="75" t="inlineStr">
        <is>
          <t>S0627</t>
        </is>
      </c>
      <c r="B628" s="76" t="n"/>
      <c r="C628" s="76" t="n"/>
      <c r="D628" s="77" t="n"/>
      <c r="E628" s="76" t="n"/>
      <c r="F628" s="76" t="n"/>
      <c r="G628" s="75">
        <f>IF(TRIM(E628)="","",TRIM(E628)&amp;" – "&amp;D628)</f>
        <v/>
      </c>
    </row>
    <row r="629">
      <c r="A629" s="75" t="inlineStr">
        <is>
          <t>S0628</t>
        </is>
      </c>
      <c r="B629" s="76" t="n"/>
      <c r="C629" s="76" t="n"/>
      <c r="D629" s="77" t="n"/>
      <c r="E629" s="76" t="n"/>
      <c r="F629" s="76" t="n"/>
      <c r="G629" s="75">
        <f>IF(TRIM(E629)="","",TRIM(E629)&amp;" – "&amp;D629)</f>
        <v/>
      </c>
    </row>
    <row r="630">
      <c r="A630" s="75" t="inlineStr">
        <is>
          <t>S0629</t>
        </is>
      </c>
      <c r="B630" s="76" t="n"/>
      <c r="C630" s="76" t="n"/>
      <c r="D630" s="77" t="n"/>
      <c r="E630" s="76" t="n"/>
      <c r="F630" s="76" t="n"/>
      <c r="G630" s="75">
        <f>IF(TRIM(E630)="","",TRIM(E630)&amp;" – "&amp;D630)</f>
        <v/>
      </c>
    </row>
    <row r="631">
      <c r="A631" s="75" t="inlineStr">
        <is>
          <t>S0630</t>
        </is>
      </c>
      <c r="B631" s="76" t="n"/>
      <c r="C631" s="76" t="n"/>
      <c r="D631" s="77" t="n"/>
      <c r="E631" s="76" t="n"/>
      <c r="F631" s="76" t="n"/>
      <c r="G631" s="75">
        <f>IF(TRIM(E631)="","",TRIM(E631)&amp;" – "&amp;D631)</f>
        <v/>
      </c>
    </row>
    <row r="632">
      <c r="A632" s="75" t="inlineStr">
        <is>
          <t>S0631</t>
        </is>
      </c>
      <c r="B632" s="76" t="n"/>
      <c r="C632" s="76" t="n"/>
      <c r="D632" s="77" t="n"/>
      <c r="E632" s="76" t="n"/>
      <c r="F632" s="76" t="n"/>
      <c r="G632" s="75">
        <f>IF(TRIM(E632)="","",TRIM(E632)&amp;" – "&amp;D632)</f>
        <v/>
      </c>
    </row>
    <row r="633">
      <c r="A633" s="75" t="inlineStr">
        <is>
          <t>S0632</t>
        </is>
      </c>
      <c r="B633" s="76" t="n"/>
      <c r="C633" s="76" t="n"/>
      <c r="D633" s="77" t="n"/>
      <c r="E633" s="76" t="n"/>
      <c r="F633" s="76" t="n"/>
      <c r="G633" s="75">
        <f>IF(TRIM(E633)="","",TRIM(E633)&amp;" – "&amp;D633)</f>
        <v/>
      </c>
    </row>
    <row r="634">
      <c r="A634" s="75" t="inlineStr">
        <is>
          <t>S0633</t>
        </is>
      </c>
      <c r="B634" s="76" t="n"/>
      <c r="C634" s="76" t="n"/>
      <c r="D634" s="77" t="n"/>
      <c r="E634" s="76" t="n"/>
      <c r="F634" s="76" t="n"/>
      <c r="G634" s="75">
        <f>IF(TRIM(E634)="","",TRIM(E634)&amp;" – "&amp;D634)</f>
        <v/>
      </c>
    </row>
    <row r="635">
      <c r="A635" s="75" t="inlineStr">
        <is>
          <t>S0634</t>
        </is>
      </c>
      <c r="B635" s="76" t="n"/>
      <c r="C635" s="76" t="n"/>
      <c r="D635" s="77" t="n"/>
      <c r="E635" s="76" t="n"/>
      <c r="F635" s="76" t="n"/>
      <c r="G635" s="75">
        <f>IF(TRIM(E635)="","",TRIM(E635)&amp;" – "&amp;D635)</f>
        <v/>
      </c>
    </row>
    <row r="636">
      <c r="A636" s="75" t="inlineStr">
        <is>
          <t>S0635</t>
        </is>
      </c>
      <c r="B636" s="76" t="n"/>
      <c r="C636" s="76" t="n"/>
      <c r="D636" s="77" t="n"/>
      <c r="E636" s="76" t="n"/>
      <c r="F636" s="76" t="n"/>
      <c r="G636" s="75">
        <f>IF(TRIM(E636)="","",TRIM(E636)&amp;" – "&amp;D636)</f>
        <v/>
      </c>
    </row>
    <row r="637">
      <c r="A637" s="75" t="inlineStr">
        <is>
          <t>S0636</t>
        </is>
      </c>
      <c r="B637" s="76" t="n"/>
      <c r="C637" s="76" t="n"/>
      <c r="D637" s="77" t="n"/>
      <c r="E637" s="76" t="n"/>
      <c r="F637" s="76" t="n"/>
      <c r="G637" s="75">
        <f>IF(TRIM(E637)="","",TRIM(E637)&amp;" – "&amp;D637)</f>
        <v/>
      </c>
    </row>
    <row r="638">
      <c r="A638" s="75" t="inlineStr">
        <is>
          <t>S0637</t>
        </is>
      </c>
      <c r="B638" s="76" t="n"/>
      <c r="C638" s="76" t="n"/>
      <c r="D638" s="77" t="n"/>
      <c r="E638" s="76" t="n"/>
      <c r="F638" s="76" t="n"/>
      <c r="G638" s="75">
        <f>IF(TRIM(E638)="","",TRIM(E638)&amp;" – "&amp;D638)</f>
        <v/>
      </c>
    </row>
    <row r="639">
      <c r="A639" s="75" t="inlineStr">
        <is>
          <t>S0638</t>
        </is>
      </c>
      <c r="B639" s="76" t="n"/>
      <c r="C639" s="76" t="n"/>
      <c r="D639" s="77" t="n"/>
      <c r="E639" s="76" t="n"/>
      <c r="F639" s="76" t="n"/>
      <c r="G639" s="75">
        <f>IF(TRIM(E639)="","",TRIM(E639)&amp;" – "&amp;D639)</f>
        <v/>
      </c>
    </row>
    <row r="640">
      <c r="A640" s="75" t="inlineStr">
        <is>
          <t>S0639</t>
        </is>
      </c>
      <c r="B640" s="76" t="n"/>
      <c r="C640" s="76" t="n"/>
      <c r="D640" s="77" t="n"/>
      <c r="E640" s="76" t="n"/>
      <c r="F640" s="76" t="n"/>
      <c r="G640" s="75">
        <f>IF(TRIM(E640)="","",TRIM(E640)&amp;" – "&amp;D640)</f>
        <v/>
      </c>
    </row>
    <row r="641">
      <c r="A641" s="75" t="inlineStr">
        <is>
          <t>S0640</t>
        </is>
      </c>
      <c r="B641" s="76" t="n"/>
      <c r="C641" s="76" t="n"/>
      <c r="D641" s="77" t="n"/>
      <c r="E641" s="76" t="n"/>
      <c r="F641" s="76" t="n"/>
      <c r="G641" s="75">
        <f>IF(TRIM(E641)="","",TRIM(E641)&amp;" – "&amp;D641)</f>
        <v/>
      </c>
    </row>
    <row r="642">
      <c r="A642" s="75" t="inlineStr">
        <is>
          <t>S0641</t>
        </is>
      </c>
      <c r="B642" s="76" t="n"/>
      <c r="C642" s="76" t="n"/>
      <c r="D642" s="77" t="n"/>
      <c r="E642" s="76" t="n"/>
      <c r="F642" s="76" t="n"/>
      <c r="G642" s="75">
        <f>IF(TRIM(E642)="","",TRIM(E642)&amp;" – "&amp;D642)</f>
        <v/>
      </c>
    </row>
    <row r="643">
      <c r="A643" s="75" t="inlineStr">
        <is>
          <t>S0642</t>
        </is>
      </c>
      <c r="B643" s="76" t="n"/>
      <c r="C643" s="76" t="n"/>
      <c r="D643" s="77" t="n"/>
      <c r="E643" s="76" t="n"/>
      <c r="F643" s="76" t="n"/>
      <c r="G643" s="75">
        <f>IF(TRIM(E643)="","",TRIM(E643)&amp;" – "&amp;D643)</f>
        <v/>
      </c>
    </row>
    <row r="644">
      <c r="A644" s="75" t="inlineStr">
        <is>
          <t>S0643</t>
        </is>
      </c>
      <c r="B644" s="76" t="n"/>
      <c r="C644" s="76" t="n"/>
      <c r="D644" s="77" t="n"/>
      <c r="E644" s="76" t="n"/>
      <c r="F644" s="76" t="n"/>
      <c r="G644" s="75">
        <f>IF(TRIM(E644)="","",TRIM(E644)&amp;" – "&amp;D644)</f>
        <v/>
      </c>
    </row>
    <row r="645">
      <c r="A645" s="75" t="inlineStr">
        <is>
          <t>S0644</t>
        </is>
      </c>
      <c r="B645" s="76" t="n"/>
      <c r="C645" s="76" t="n"/>
      <c r="D645" s="77" t="n"/>
      <c r="E645" s="76" t="n"/>
      <c r="F645" s="76" t="n"/>
      <c r="G645" s="75">
        <f>IF(TRIM(E645)="","",TRIM(E645)&amp;" – "&amp;D645)</f>
        <v/>
      </c>
    </row>
    <row r="646">
      <c r="A646" s="75" t="inlineStr">
        <is>
          <t>S0645</t>
        </is>
      </c>
      <c r="B646" s="76" t="n"/>
      <c r="C646" s="76" t="n"/>
      <c r="D646" s="77" t="n"/>
      <c r="E646" s="76" t="n"/>
      <c r="F646" s="76" t="n"/>
      <c r="G646" s="75">
        <f>IF(TRIM(E646)="","",TRIM(E646)&amp;" – "&amp;D646)</f>
        <v/>
      </c>
    </row>
    <row r="647">
      <c r="A647" s="75" t="inlineStr">
        <is>
          <t>S0646</t>
        </is>
      </c>
      <c r="B647" s="76" t="n"/>
      <c r="C647" s="76" t="n"/>
      <c r="D647" s="77" t="n"/>
      <c r="E647" s="76" t="n"/>
      <c r="F647" s="76" t="n"/>
      <c r="G647" s="75">
        <f>IF(TRIM(E647)="","",TRIM(E647)&amp;" – "&amp;D647)</f>
        <v/>
      </c>
    </row>
    <row r="648">
      <c r="A648" s="75" t="inlineStr">
        <is>
          <t>S0647</t>
        </is>
      </c>
      <c r="B648" s="76" t="n"/>
      <c r="C648" s="76" t="n"/>
      <c r="D648" s="77" t="n"/>
      <c r="E648" s="76" t="n"/>
      <c r="F648" s="76" t="n"/>
      <c r="G648" s="75">
        <f>IF(TRIM(E648)="","",TRIM(E648)&amp;" – "&amp;D648)</f>
        <v/>
      </c>
    </row>
    <row r="649">
      <c r="A649" s="75" t="inlineStr">
        <is>
          <t>S0648</t>
        </is>
      </c>
      <c r="B649" s="76" t="n"/>
      <c r="C649" s="76" t="n"/>
      <c r="D649" s="77" t="n"/>
      <c r="E649" s="76" t="n"/>
      <c r="F649" s="76" t="n"/>
      <c r="G649" s="75">
        <f>IF(TRIM(E649)="","",TRIM(E649)&amp;" – "&amp;D649)</f>
        <v/>
      </c>
    </row>
    <row r="650">
      <c r="A650" s="75" t="inlineStr">
        <is>
          <t>S0649</t>
        </is>
      </c>
      <c r="B650" s="76" t="n"/>
      <c r="C650" s="76" t="n"/>
      <c r="D650" s="77" t="n"/>
      <c r="E650" s="76" t="n"/>
      <c r="F650" s="76" t="n"/>
      <c r="G650" s="75">
        <f>IF(TRIM(E650)="","",TRIM(E650)&amp;" – "&amp;D650)</f>
        <v/>
      </c>
    </row>
    <row r="651">
      <c r="A651" s="75" t="inlineStr">
        <is>
          <t>S0650</t>
        </is>
      </c>
      <c r="B651" s="76" t="n"/>
      <c r="C651" s="76" t="n"/>
      <c r="D651" s="77" t="n"/>
      <c r="E651" s="76" t="n"/>
      <c r="F651" s="76" t="n"/>
      <c r="G651" s="75">
        <f>IF(TRIM(E651)="","",TRIM(E651)&amp;" – "&amp;D651)</f>
        <v/>
      </c>
    </row>
    <row r="652">
      <c r="A652" s="75" t="inlineStr">
        <is>
          <t>S0651</t>
        </is>
      </c>
      <c r="B652" s="76" t="n"/>
      <c r="C652" s="76" t="n"/>
      <c r="D652" s="77" t="n"/>
      <c r="E652" s="76" t="n"/>
      <c r="F652" s="76" t="n"/>
      <c r="G652" s="75">
        <f>IF(TRIM(E652)="","",TRIM(E652)&amp;" – "&amp;D652)</f>
        <v/>
      </c>
    </row>
    <row r="653">
      <c r="A653" s="75" t="inlineStr">
        <is>
          <t>S0652</t>
        </is>
      </c>
      <c r="B653" s="76" t="n"/>
      <c r="C653" s="76" t="n"/>
      <c r="D653" s="77" t="n"/>
      <c r="E653" s="76" t="n"/>
      <c r="F653" s="76" t="n"/>
      <c r="G653" s="75">
        <f>IF(TRIM(E653)="","",TRIM(E653)&amp;" – "&amp;D653)</f>
        <v/>
      </c>
    </row>
    <row r="654">
      <c r="A654" s="75" t="inlineStr">
        <is>
          <t>S0653</t>
        </is>
      </c>
      <c r="B654" s="76" t="n"/>
      <c r="C654" s="76" t="n"/>
      <c r="D654" s="77" t="n"/>
      <c r="E654" s="76" t="n"/>
      <c r="F654" s="76" t="n"/>
      <c r="G654" s="75">
        <f>IF(TRIM(E654)="","",TRIM(E654)&amp;" – "&amp;D654)</f>
        <v/>
      </c>
    </row>
    <row r="655">
      <c r="A655" s="75" t="inlineStr">
        <is>
          <t>S0654</t>
        </is>
      </c>
      <c r="B655" s="76" t="n"/>
      <c r="C655" s="76" t="n"/>
      <c r="D655" s="77" t="n"/>
      <c r="E655" s="76" t="n"/>
      <c r="F655" s="76" t="n"/>
      <c r="G655" s="75">
        <f>IF(TRIM(E655)="","",TRIM(E655)&amp;" – "&amp;D655)</f>
        <v/>
      </c>
    </row>
    <row r="656">
      <c r="A656" s="75" t="inlineStr">
        <is>
          <t>S0655</t>
        </is>
      </c>
      <c r="B656" s="76" t="n"/>
      <c r="C656" s="76" t="n"/>
      <c r="D656" s="77" t="n"/>
      <c r="E656" s="76" t="n"/>
      <c r="F656" s="76" t="n"/>
      <c r="G656" s="75">
        <f>IF(TRIM(E656)="","",TRIM(E656)&amp;" – "&amp;D656)</f>
        <v/>
      </c>
    </row>
    <row r="657">
      <c r="A657" s="75" t="inlineStr">
        <is>
          <t>S0656</t>
        </is>
      </c>
      <c r="B657" s="76" t="n"/>
      <c r="C657" s="76" t="n"/>
      <c r="D657" s="77" t="n"/>
      <c r="E657" s="76" t="n"/>
      <c r="F657" s="76" t="n"/>
      <c r="G657" s="75">
        <f>IF(TRIM(E657)="","",TRIM(E657)&amp;" – "&amp;D657)</f>
        <v/>
      </c>
    </row>
    <row r="658">
      <c r="A658" s="75" t="inlineStr">
        <is>
          <t>S0657</t>
        </is>
      </c>
      <c r="B658" s="76" t="n"/>
      <c r="C658" s="76" t="n"/>
      <c r="D658" s="77" t="n"/>
      <c r="E658" s="76" t="n"/>
      <c r="F658" s="76" t="n"/>
      <c r="G658" s="75">
        <f>IF(TRIM(E658)="","",TRIM(E658)&amp;" – "&amp;D658)</f>
        <v/>
      </c>
    </row>
    <row r="659">
      <c r="A659" s="75" t="inlineStr">
        <is>
          <t>S0658</t>
        </is>
      </c>
      <c r="B659" s="76" t="n"/>
      <c r="C659" s="76" t="n"/>
      <c r="D659" s="77" t="n"/>
      <c r="E659" s="76" t="n"/>
      <c r="F659" s="76" t="n"/>
      <c r="G659" s="75">
        <f>IF(TRIM(E659)="","",TRIM(E659)&amp;" – "&amp;D659)</f>
        <v/>
      </c>
    </row>
    <row r="660">
      <c r="A660" s="75" t="inlineStr">
        <is>
          <t>S0659</t>
        </is>
      </c>
      <c r="B660" s="76" t="n"/>
      <c r="C660" s="76" t="n"/>
      <c r="D660" s="77" t="n"/>
      <c r="E660" s="76" t="n"/>
      <c r="F660" s="76" t="n"/>
      <c r="G660" s="75">
        <f>IF(TRIM(E660)="","",TRIM(E660)&amp;" – "&amp;D660)</f>
        <v/>
      </c>
    </row>
    <row r="661">
      <c r="A661" s="75" t="inlineStr">
        <is>
          <t>S0660</t>
        </is>
      </c>
      <c r="B661" s="76" t="n"/>
      <c r="C661" s="76" t="n"/>
      <c r="D661" s="77" t="n"/>
      <c r="E661" s="76" t="n"/>
      <c r="F661" s="76" t="n"/>
      <c r="G661" s="75">
        <f>IF(TRIM(E661)="","",TRIM(E661)&amp;" – "&amp;D661)</f>
        <v/>
      </c>
    </row>
    <row r="662">
      <c r="A662" s="75" t="inlineStr">
        <is>
          <t>S0661</t>
        </is>
      </c>
      <c r="B662" s="76" t="n"/>
      <c r="C662" s="76" t="n"/>
      <c r="D662" s="77" t="n"/>
      <c r="E662" s="76" t="n"/>
      <c r="F662" s="76" t="n"/>
      <c r="G662" s="75">
        <f>IF(TRIM(E662)="","",TRIM(E662)&amp;" – "&amp;D662)</f>
        <v/>
      </c>
    </row>
    <row r="663">
      <c r="A663" s="75" t="inlineStr">
        <is>
          <t>S0662</t>
        </is>
      </c>
      <c r="B663" s="76" t="n"/>
      <c r="C663" s="76" t="n"/>
      <c r="D663" s="77" t="n"/>
      <c r="E663" s="76" t="n"/>
      <c r="F663" s="76" t="n"/>
      <c r="G663" s="75">
        <f>IF(TRIM(E663)="","",TRIM(E663)&amp;" – "&amp;D663)</f>
        <v/>
      </c>
    </row>
    <row r="664">
      <c r="A664" s="75" t="inlineStr">
        <is>
          <t>S0663</t>
        </is>
      </c>
      <c r="B664" s="76" t="n"/>
      <c r="C664" s="76" t="n"/>
      <c r="D664" s="77" t="n"/>
      <c r="E664" s="76" t="n"/>
      <c r="F664" s="76" t="n"/>
      <c r="G664" s="75">
        <f>IF(TRIM(E664)="","",TRIM(E664)&amp;" – "&amp;D664)</f>
        <v/>
      </c>
    </row>
    <row r="665">
      <c r="A665" s="75" t="inlineStr">
        <is>
          <t>S0664</t>
        </is>
      </c>
      <c r="B665" s="76" t="n"/>
      <c r="C665" s="76" t="n"/>
      <c r="D665" s="77" t="n"/>
      <c r="E665" s="76" t="n"/>
      <c r="F665" s="76" t="n"/>
      <c r="G665" s="75">
        <f>IF(TRIM(E665)="","",TRIM(E665)&amp;" – "&amp;D665)</f>
        <v/>
      </c>
    </row>
    <row r="666">
      <c r="A666" s="75" t="inlineStr">
        <is>
          <t>S0665</t>
        </is>
      </c>
      <c r="B666" s="76" t="n"/>
      <c r="C666" s="76" t="n"/>
      <c r="D666" s="77" t="n"/>
      <c r="E666" s="76" t="n"/>
      <c r="F666" s="76" t="n"/>
      <c r="G666" s="75">
        <f>IF(TRIM(E666)="","",TRIM(E666)&amp;" – "&amp;D666)</f>
        <v/>
      </c>
    </row>
    <row r="667">
      <c r="A667" s="75" t="inlineStr">
        <is>
          <t>S0666</t>
        </is>
      </c>
      <c r="B667" s="76" t="n"/>
      <c r="C667" s="76" t="n"/>
      <c r="D667" s="77" t="n"/>
      <c r="E667" s="76" t="n"/>
      <c r="F667" s="76" t="n"/>
      <c r="G667" s="75">
        <f>IF(TRIM(E667)="","",TRIM(E667)&amp;" – "&amp;D667)</f>
        <v/>
      </c>
    </row>
    <row r="668">
      <c r="A668" s="75" t="inlineStr">
        <is>
          <t>S0667</t>
        </is>
      </c>
      <c r="B668" s="76" t="n"/>
      <c r="C668" s="76" t="n"/>
      <c r="D668" s="77" t="n"/>
      <c r="E668" s="76" t="n"/>
      <c r="F668" s="76" t="n"/>
      <c r="G668" s="75">
        <f>IF(TRIM(E668)="","",TRIM(E668)&amp;" – "&amp;D668)</f>
        <v/>
      </c>
    </row>
    <row r="669">
      <c r="A669" s="75" t="inlineStr">
        <is>
          <t>S0668</t>
        </is>
      </c>
      <c r="B669" s="76" t="n"/>
      <c r="C669" s="76" t="n"/>
      <c r="D669" s="77" t="n"/>
      <c r="E669" s="76" t="n"/>
      <c r="F669" s="76" t="n"/>
      <c r="G669" s="75">
        <f>IF(TRIM(E669)="","",TRIM(E669)&amp;" – "&amp;D669)</f>
        <v/>
      </c>
    </row>
    <row r="670">
      <c r="A670" s="75" t="inlineStr">
        <is>
          <t>S0669</t>
        </is>
      </c>
      <c r="B670" s="76" t="n"/>
      <c r="C670" s="76" t="n"/>
      <c r="D670" s="77" t="n"/>
      <c r="E670" s="76" t="n"/>
      <c r="F670" s="76" t="n"/>
      <c r="G670" s="75">
        <f>IF(TRIM(E670)="","",TRIM(E670)&amp;" – "&amp;D670)</f>
        <v/>
      </c>
    </row>
    <row r="671">
      <c r="A671" s="75" t="inlineStr">
        <is>
          <t>S0670</t>
        </is>
      </c>
      <c r="B671" s="76" t="n"/>
      <c r="C671" s="76" t="n"/>
      <c r="D671" s="77" t="n"/>
      <c r="E671" s="76" t="n"/>
      <c r="F671" s="76" t="n"/>
      <c r="G671" s="75">
        <f>IF(TRIM(E671)="","",TRIM(E671)&amp;" – "&amp;D671)</f>
        <v/>
      </c>
    </row>
    <row r="672">
      <c r="A672" s="75" t="inlineStr">
        <is>
          <t>S0671</t>
        </is>
      </c>
      <c r="B672" s="76" t="n"/>
      <c r="C672" s="76" t="n"/>
      <c r="D672" s="77" t="n"/>
      <c r="E672" s="76" t="n"/>
      <c r="F672" s="76" t="n"/>
      <c r="G672" s="75">
        <f>IF(TRIM(E672)="","",TRIM(E672)&amp;" – "&amp;D672)</f>
        <v/>
      </c>
    </row>
    <row r="673">
      <c r="A673" s="75" t="inlineStr">
        <is>
          <t>S0672</t>
        </is>
      </c>
      <c r="B673" s="76" t="n"/>
      <c r="C673" s="76" t="n"/>
      <c r="D673" s="77" t="n"/>
      <c r="E673" s="76" t="n"/>
      <c r="F673" s="76" t="n"/>
      <c r="G673" s="75">
        <f>IF(TRIM(E673)="","",TRIM(E673)&amp;" – "&amp;D673)</f>
        <v/>
      </c>
    </row>
    <row r="674">
      <c r="A674" s="75" t="inlineStr">
        <is>
          <t>S0673</t>
        </is>
      </c>
      <c r="B674" s="76" t="n"/>
      <c r="C674" s="76" t="n"/>
      <c r="D674" s="77" t="n"/>
      <c r="E674" s="76" t="n"/>
      <c r="F674" s="76" t="n"/>
      <c r="G674" s="75">
        <f>IF(TRIM(E674)="","",TRIM(E674)&amp;" – "&amp;D674)</f>
        <v/>
      </c>
    </row>
    <row r="675">
      <c r="A675" s="75" t="inlineStr">
        <is>
          <t>S0674</t>
        </is>
      </c>
      <c r="B675" s="76" t="n"/>
      <c r="C675" s="76" t="n"/>
      <c r="D675" s="77" t="n"/>
      <c r="E675" s="76" t="n"/>
      <c r="F675" s="76" t="n"/>
      <c r="G675" s="75">
        <f>IF(TRIM(E675)="","",TRIM(E675)&amp;" – "&amp;D675)</f>
        <v/>
      </c>
    </row>
    <row r="676">
      <c r="A676" s="75" t="inlineStr">
        <is>
          <t>S0675</t>
        </is>
      </c>
      <c r="B676" s="76" t="n"/>
      <c r="C676" s="76" t="n"/>
      <c r="D676" s="77" t="n"/>
      <c r="E676" s="76" t="n"/>
      <c r="F676" s="76" t="n"/>
      <c r="G676" s="75">
        <f>IF(TRIM(E676)="","",TRIM(E676)&amp;" – "&amp;D676)</f>
        <v/>
      </c>
    </row>
    <row r="677">
      <c r="A677" s="75" t="inlineStr">
        <is>
          <t>S0676</t>
        </is>
      </c>
      <c r="B677" s="76" t="n"/>
      <c r="C677" s="76" t="n"/>
      <c r="D677" s="77" t="n"/>
      <c r="E677" s="76" t="n"/>
      <c r="F677" s="76" t="n"/>
      <c r="G677" s="75">
        <f>IF(TRIM(E677)="","",TRIM(E677)&amp;" – "&amp;D677)</f>
        <v/>
      </c>
    </row>
    <row r="678">
      <c r="A678" s="75" t="inlineStr">
        <is>
          <t>S0677</t>
        </is>
      </c>
      <c r="B678" s="76" t="n"/>
      <c r="C678" s="76" t="n"/>
      <c r="D678" s="77" t="n"/>
      <c r="E678" s="76" t="n"/>
      <c r="F678" s="76" t="n"/>
      <c r="G678" s="75">
        <f>IF(TRIM(E678)="","",TRIM(E678)&amp;" – "&amp;D678)</f>
        <v/>
      </c>
    </row>
    <row r="679">
      <c r="A679" s="75" t="inlineStr">
        <is>
          <t>S0678</t>
        </is>
      </c>
      <c r="B679" s="76" t="n"/>
      <c r="C679" s="76" t="n"/>
      <c r="D679" s="77" t="n"/>
      <c r="E679" s="76" t="n"/>
      <c r="F679" s="76" t="n"/>
      <c r="G679" s="75">
        <f>IF(TRIM(E679)="","",TRIM(E679)&amp;" – "&amp;D679)</f>
        <v/>
      </c>
    </row>
    <row r="680">
      <c r="A680" s="75" t="inlineStr">
        <is>
          <t>S0679</t>
        </is>
      </c>
      <c r="B680" s="76" t="n"/>
      <c r="C680" s="76" t="n"/>
      <c r="D680" s="77" t="n"/>
      <c r="E680" s="76" t="n"/>
      <c r="F680" s="76" t="n"/>
      <c r="G680" s="75">
        <f>IF(TRIM(E680)="","",TRIM(E680)&amp;" – "&amp;D680)</f>
        <v/>
      </c>
    </row>
    <row r="681">
      <c r="A681" s="75" t="inlineStr">
        <is>
          <t>S0680</t>
        </is>
      </c>
      <c r="B681" s="76" t="n"/>
      <c r="C681" s="76" t="n"/>
      <c r="D681" s="77" t="n"/>
      <c r="E681" s="76" t="n"/>
      <c r="F681" s="76" t="n"/>
      <c r="G681" s="75">
        <f>IF(TRIM(E681)="","",TRIM(E681)&amp;" – "&amp;D681)</f>
        <v/>
      </c>
    </row>
    <row r="682">
      <c r="A682" s="75" t="inlineStr">
        <is>
          <t>S0681</t>
        </is>
      </c>
      <c r="B682" s="76" t="n"/>
      <c r="C682" s="76" t="n"/>
      <c r="D682" s="77" t="n"/>
      <c r="E682" s="76" t="n"/>
      <c r="F682" s="76" t="n"/>
      <c r="G682" s="75">
        <f>IF(TRIM(E682)="","",TRIM(E682)&amp;" – "&amp;D682)</f>
        <v/>
      </c>
    </row>
    <row r="683">
      <c r="A683" s="75" t="inlineStr">
        <is>
          <t>S0682</t>
        </is>
      </c>
      <c r="B683" s="76" t="n"/>
      <c r="C683" s="76" t="n"/>
      <c r="D683" s="77" t="n"/>
      <c r="E683" s="76" t="n"/>
      <c r="F683" s="76" t="n"/>
      <c r="G683" s="75">
        <f>IF(TRIM(E683)="","",TRIM(E683)&amp;" – "&amp;D683)</f>
        <v/>
      </c>
    </row>
    <row r="684">
      <c r="A684" s="75" t="inlineStr">
        <is>
          <t>S0683</t>
        </is>
      </c>
      <c r="B684" s="76" t="n"/>
      <c r="C684" s="76" t="n"/>
      <c r="D684" s="77" t="n"/>
      <c r="E684" s="76" t="n"/>
      <c r="F684" s="76" t="n"/>
      <c r="G684" s="75">
        <f>IF(TRIM(E684)="","",TRIM(E684)&amp;" – "&amp;D684)</f>
        <v/>
      </c>
    </row>
    <row r="685">
      <c r="A685" s="75" t="inlineStr">
        <is>
          <t>S0684</t>
        </is>
      </c>
      <c r="B685" s="76" t="n"/>
      <c r="C685" s="76" t="n"/>
      <c r="D685" s="77" t="n"/>
      <c r="E685" s="76" t="n"/>
      <c r="F685" s="76" t="n"/>
      <c r="G685" s="75">
        <f>IF(TRIM(E685)="","",TRIM(E685)&amp;" – "&amp;D685)</f>
        <v/>
      </c>
    </row>
    <row r="686">
      <c r="A686" s="75" t="inlineStr">
        <is>
          <t>S0685</t>
        </is>
      </c>
      <c r="B686" s="76" t="n"/>
      <c r="C686" s="76" t="n"/>
      <c r="D686" s="77" t="n"/>
      <c r="E686" s="76" t="n"/>
      <c r="F686" s="76" t="n"/>
      <c r="G686" s="75">
        <f>IF(TRIM(E686)="","",TRIM(E686)&amp;" – "&amp;D686)</f>
        <v/>
      </c>
    </row>
    <row r="687">
      <c r="A687" s="75" t="inlineStr">
        <is>
          <t>S0686</t>
        </is>
      </c>
      <c r="B687" s="76" t="n"/>
      <c r="C687" s="76" t="n"/>
      <c r="D687" s="77" t="n"/>
      <c r="E687" s="76" t="n"/>
      <c r="F687" s="76" t="n"/>
      <c r="G687" s="75">
        <f>IF(TRIM(E687)="","",TRIM(E687)&amp;" – "&amp;D687)</f>
        <v/>
      </c>
    </row>
    <row r="688">
      <c r="A688" s="75" t="inlineStr">
        <is>
          <t>S0687</t>
        </is>
      </c>
      <c r="B688" s="76" t="n"/>
      <c r="C688" s="76" t="n"/>
      <c r="D688" s="77" t="n"/>
      <c r="E688" s="76" t="n"/>
      <c r="F688" s="76" t="n"/>
      <c r="G688" s="75">
        <f>IF(TRIM(E688)="","",TRIM(E688)&amp;" – "&amp;D688)</f>
        <v/>
      </c>
    </row>
    <row r="689">
      <c r="A689" s="75" t="inlineStr">
        <is>
          <t>S0688</t>
        </is>
      </c>
      <c r="B689" s="76" t="n"/>
      <c r="C689" s="76" t="n"/>
      <c r="D689" s="77" t="n"/>
      <c r="E689" s="76" t="n"/>
      <c r="F689" s="76" t="n"/>
      <c r="G689" s="75">
        <f>IF(TRIM(E689)="","",TRIM(E689)&amp;" – "&amp;D689)</f>
        <v/>
      </c>
    </row>
    <row r="690">
      <c r="A690" s="75" t="inlineStr">
        <is>
          <t>S0689</t>
        </is>
      </c>
      <c r="B690" s="76" t="n"/>
      <c r="C690" s="76" t="n"/>
      <c r="D690" s="77" t="n"/>
      <c r="E690" s="76" t="n"/>
      <c r="F690" s="76" t="n"/>
      <c r="G690" s="75">
        <f>IF(TRIM(E690)="","",TRIM(E690)&amp;" – "&amp;D690)</f>
        <v/>
      </c>
    </row>
    <row r="691">
      <c r="A691" s="75" t="inlineStr">
        <is>
          <t>S0690</t>
        </is>
      </c>
      <c r="B691" s="76" t="n"/>
      <c r="C691" s="76" t="n"/>
      <c r="D691" s="77" t="n"/>
      <c r="E691" s="76" t="n"/>
      <c r="F691" s="76" t="n"/>
      <c r="G691" s="75">
        <f>IF(TRIM(E691)="","",TRIM(E691)&amp;" – "&amp;D691)</f>
        <v/>
      </c>
    </row>
    <row r="692">
      <c r="A692" s="75" t="inlineStr">
        <is>
          <t>S0691</t>
        </is>
      </c>
      <c r="B692" s="76" t="n"/>
      <c r="C692" s="76" t="n"/>
      <c r="D692" s="77" t="n"/>
      <c r="E692" s="76" t="n"/>
      <c r="F692" s="76" t="n"/>
      <c r="G692" s="75">
        <f>IF(TRIM(E692)="","",TRIM(E692)&amp;" – "&amp;D692)</f>
        <v/>
      </c>
    </row>
    <row r="693">
      <c r="A693" s="75" t="inlineStr">
        <is>
          <t>S0692</t>
        </is>
      </c>
      <c r="B693" s="76" t="n"/>
      <c r="C693" s="76" t="n"/>
      <c r="D693" s="77" t="n"/>
      <c r="E693" s="76" t="n"/>
      <c r="F693" s="76" t="n"/>
      <c r="G693" s="75">
        <f>IF(TRIM(E693)="","",TRIM(E693)&amp;" – "&amp;D693)</f>
        <v/>
      </c>
    </row>
    <row r="694">
      <c r="A694" s="75" t="inlineStr">
        <is>
          <t>S0693</t>
        </is>
      </c>
      <c r="B694" s="76" t="n"/>
      <c r="C694" s="76" t="n"/>
      <c r="D694" s="77" t="n"/>
      <c r="E694" s="76" t="n"/>
      <c r="F694" s="76" t="n"/>
      <c r="G694" s="75">
        <f>IF(TRIM(E694)="","",TRIM(E694)&amp;" – "&amp;D694)</f>
        <v/>
      </c>
    </row>
    <row r="695">
      <c r="A695" s="75" t="inlineStr">
        <is>
          <t>S0694</t>
        </is>
      </c>
      <c r="B695" s="76" t="n"/>
      <c r="C695" s="76" t="n"/>
      <c r="D695" s="77" t="n"/>
      <c r="E695" s="76" t="n"/>
      <c r="F695" s="76" t="n"/>
      <c r="G695" s="75">
        <f>IF(TRIM(E695)="","",TRIM(E695)&amp;" – "&amp;D695)</f>
        <v/>
      </c>
    </row>
    <row r="696">
      <c r="A696" s="75" t="inlineStr">
        <is>
          <t>S0695</t>
        </is>
      </c>
      <c r="B696" s="76" t="n"/>
      <c r="C696" s="76" t="n"/>
      <c r="D696" s="77" t="n"/>
      <c r="E696" s="76" t="n"/>
      <c r="F696" s="76" t="n"/>
      <c r="G696" s="75">
        <f>IF(TRIM(E696)="","",TRIM(E696)&amp;" – "&amp;D696)</f>
        <v/>
      </c>
    </row>
    <row r="697">
      <c r="A697" s="75" t="inlineStr">
        <is>
          <t>S0696</t>
        </is>
      </c>
      <c r="B697" s="76" t="n"/>
      <c r="C697" s="76" t="n"/>
      <c r="D697" s="77" t="n"/>
      <c r="E697" s="76" t="n"/>
      <c r="F697" s="76" t="n"/>
      <c r="G697" s="75">
        <f>IF(TRIM(E697)="","",TRIM(E697)&amp;" – "&amp;D697)</f>
        <v/>
      </c>
    </row>
    <row r="698">
      <c r="A698" s="75" t="inlineStr">
        <is>
          <t>S0697</t>
        </is>
      </c>
      <c r="B698" s="76" t="n"/>
      <c r="C698" s="76" t="n"/>
      <c r="D698" s="77" t="n"/>
      <c r="E698" s="76" t="n"/>
      <c r="F698" s="76" t="n"/>
      <c r="G698" s="75">
        <f>IF(TRIM(E698)="","",TRIM(E698)&amp;" – "&amp;D698)</f>
        <v/>
      </c>
    </row>
    <row r="699">
      <c r="A699" s="75" t="inlineStr">
        <is>
          <t>S0698</t>
        </is>
      </c>
      <c r="B699" s="76" t="n"/>
      <c r="C699" s="76" t="n"/>
      <c r="D699" s="77" t="n"/>
      <c r="E699" s="76" t="n"/>
      <c r="F699" s="76" t="n"/>
      <c r="G699" s="75">
        <f>IF(TRIM(E699)="","",TRIM(E699)&amp;" – "&amp;D699)</f>
        <v/>
      </c>
    </row>
    <row r="700">
      <c r="A700" s="75" t="inlineStr">
        <is>
          <t>S0699</t>
        </is>
      </c>
      <c r="B700" s="76" t="n"/>
      <c r="C700" s="76" t="n"/>
      <c r="D700" s="77" t="n"/>
      <c r="E700" s="76" t="n"/>
      <c r="F700" s="76" t="n"/>
      <c r="G700" s="75">
        <f>IF(TRIM(E700)="","",TRIM(E700)&amp;" – "&amp;D700)</f>
        <v/>
      </c>
    </row>
    <row r="701">
      <c r="A701" s="75" t="inlineStr">
        <is>
          <t>S0700</t>
        </is>
      </c>
      <c r="B701" s="76" t="n"/>
      <c r="C701" s="76" t="n"/>
      <c r="D701" s="77" t="n"/>
      <c r="E701" s="76" t="n"/>
      <c r="F701" s="76" t="n"/>
      <c r="G701" s="75">
        <f>IF(TRIM(E701)="","",TRIM(E701)&amp;" – "&amp;D701)</f>
        <v/>
      </c>
    </row>
  </sheetData>
  <dataValidations count="1">
    <dataValidation sqref="D2:D701" showDropDown="0" showInputMessage="0" showErrorMessage="1" allowBlank="1" type="list" errorStyle="stop">
      <formula1>=GradeList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F6FD0"/>
    <outlinePr summaryBelow="1" summaryRight="1"/>
    <pageSetUpPr/>
  </sheetPr>
  <dimension ref="A1:F10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60" t="inlineStr">
        <is>
          <t>Transaction Date</t>
        </is>
      </c>
      <c r="B1" s="60" t="inlineStr">
        <is>
          <t>Transaction ID</t>
        </is>
      </c>
      <c r="C1" s="60" t="inlineStr">
        <is>
          <t>Participant Name</t>
        </is>
      </c>
      <c r="D1" s="60" t="inlineStr">
        <is>
          <t>Donor Name</t>
        </is>
      </c>
      <c r="E1" s="60" t="inlineStr">
        <is>
          <t>Amount</t>
        </is>
      </c>
      <c r="F1" s="60" t="inlineStr">
        <is>
          <t>Payment Method</t>
        </is>
      </c>
    </row>
    <row r="2">
      <c r="A2" s="78" t="n">
        <v>46336.625</v>
      </c>
      <c r="B2" t="inlineStr">
        <is>
          <t>T102338</t>
        </is>
      </c>
      <c r="C2" t="inlineStr">
        <is>
          <t>Mateo Nguyen</t>
        </is>
      </c>
      <c r="D2" t="inlineStr">
        <is>
          <t>Amelia Nguyen</t>
        </is>
      </c>
      <c r="E2" t="n">
        <v>25</v>
      </c>
      <c r="F2" t="inlineStr">
        <is>
          <t>Credit Card</t>
        </is>
      </c>
    </row>
    <row r="3">
      <c r="A3" s="78" t="n">
        <v>46338.70833333334</v>
      </c>
      <c r="B3" t="inlineStr">
        <is>
          <t>T103867</t>
        </is>
      </c>
      <c r="C3" t="inlineStr">
        <is>
          <t>Amelia Ortiz</t>
        </is>
      </c>
      <c r="D3" t="inlineStr">
        <is>
          <t>Clara Ortiz</t>
        </is>
      </c>
      <c r="E3" t="n">
        <v>25</v>
      </c>
      <c r="F3" t="inlineStr">
        <is>
          <t>Apple Pay</t>
        </is>
      </c>
    </row>
    <row r="4">
      <c r="A4" t="inlineStr">
        <is>
          <t>11/10/2026 08:15 PM</t>
        </is>
      </c>
      <c r="B4" t="inlineStr">
        <is>
          <t>T101025</t>
        </is>
      </c>
      <c r="C4" t="inlineStr">
        <is>
          <t>Mia Kim</t>
        </is>
      </c>
      <c r="D4" t="inlineStr">
        <is>
          <t>Benjamin Kim</t>
        </is>
      </c>
      <c r="E4" t="n">
        <v>150</v>
      </c>
      <c r="F4" t="inlineStr">
        <is>
          <t>Credit Card</t>
        </is>
      </c>
    </row>
    <row r="5">
      <c r="A5" s="78" t="n">
        <v>46332.60416666666</v>
      </c>
      <c r="B5" t="inlineStr">
        <is>
          <t>T100875</t>
        </is>
      </c>
      <c r="C5" t="inlineStr">
        <is>
          <t>Clara Williams</t>
        </is>
      </c>
      <c r="D5" t="inlineStr">
        <is>
          <t>Liam Williams</t>
        </is>
      </c>
      <c r="E5" t="n">
        <v>25</v>
      </c>
      <c r="F5" t="inlineStr">
        <is>
          <t>Credit Card</t>
        </is>
      </c>
    </row>
    <row r="6">
      <c r="A6" s="78" t="n">
        <v>46337.48958333334</v>
      </c>
      <c r="B6" t="inlineStr">
        <is>
          <t>T102661</t>
        </is>
      </c>
      <c r="C6" t="inlineStr">
        <is>
          <t>Murphy, Elena</t>
        </is>
      </c>
      <c r="D6" t="inlineStr">
        <is>
          <t>Diego Murphy</t>
        </is>
      </c>
      <c r="E6" t="n">
        <v>25</v>
      </c>
      <c r="F6" t="inlineStr">
        <is>
          <t>Credit Card</t>
        </is>
      </c>
    </row>
    <row r="7">
      <c r="A7" s="78" t="n">
        <v>46328.375</v>
      </c>
      <c r="B7" t="inlineStr">
        <is>
          <t>T102595</t>
        </is>
      </c>
      <c r="C7" t="inlineStr">
        <is>
          <t>Chloe Diaz</t>
        </is>
      </c>
      <c r="D7" t="inlineStr">
        <is>
          <t>Mateo Diaz</t>
        </is>
      </c>
      <c r="E7" t="n">
        <v>100</v>
      </c>
      <c r="F7" t="inlineStr">
        <is>
          <t>Credit Card</t>
        </is>
      </c>
    </row>
    <row r="8">
      <c r="A8" s="78" t="n">
        <v>46330.54166666666</v>
      </c>
      <c r="B8" t="inlineStr">
        <is>
          <t>T105077</t>
        </is>
      </c>
      <c r="C8" t="inlineStr">
        <is>
          <t>Valentina Martinez</t>
        </is>
      </c>
      <c r="D8" t="inlineStr">
        <is>
          <t>Clara Martinez</t>
        </is>
      </c>
      <c r="E8" t="n">
        <v>100</v>
      </c>
      <c r="F8" t="inlineStr">
        <is>
          <t>Credit Card</t>
        </is>
      </c>
    </row>
    <row r="9">
      <c r="A9" s="78" t="n">
        <v>46330.60416666666</v>
      </c>
      <c r="B9" t="inlineStr">
        <is>
          <t>T101628</t>
        </is>
      </c>
      <c r="C9" t="inlineStr">
        <is>
          <t>Noah Sullivan</t>
        </is>
      </c>
      <c r="D9" t="inlineStr">
        <is>
          <t>Harper Sullivan</t>
        </is>
      </c>
      <c r="E9" t="n">
        <v>50</v>
      </c>
      <c r="F9" t="inlineStr">
        <is>
          <t>Credit Card</t>
        </is>
      </c>
    </row>
    <row r="10">
      <c r="A10" s="78" t="n">
        <v>46339.34375</v>
      </c>
      <c r="B10" t="inlineStr">
        <is>
          <t>T101807</t>
        </is>
      </c>
      <c r="C10" t="inlineStr">
        <is>
          <t>Vasquez, Diego</t>
        </is>
      </c>
      <c r="D10" t="inlineStr">
        <is>
          <t>Harper Vasquez</t>
        </is>
      </c>
      <c r="E10" t="n">
        <v>20</v>
      </c>
      <c r="F10" t="inlineStr">
        <is>
          <t>Apple Pay</t>
        </is>
      </c>
    </row>
    <row r="11">
      <c r="A11" s="78" t="n">
        <v>46339.64583333334</v>
      </c>
      <c r="B11" t="inlineStr">
        <is>
          <t>T105241</t>
        </is>
      </c>
      <c r="C11" t="inlineStr">
        <is>
          <t>Mia Brown</t>
        </is>
      </c>
      <c r="D11" t="inlineStr">
        <is>
          <t>Zoe Brown</t>
        </is>
      </c>
      <c r="E11" t="n">
        <v>100</v>
      </c>
      <c r="F11" t="inlineStr">
        <is>
          <t>Credit Card</t>
        </is>
      </c>
    </row>
    <row r="12">
      <c r="A12" s="78" t="n">
        <v>46338.375</v>
      </c>
      <c r="B12" t="inlineStr">
        <is>
          <t>T104026</t>
        </is>
      </c>
      <c r="C12" t="inlineStr">
        <is>
          <t>Joseph Perez</t>
        </is>
      </c>
      <c r="D12" t="inlineStr">
        <is>
          <t>Grace Perez</t>
        </is>
      </c>
      <c r="E12" t="n">
        <v>100</v>
      </c>
      <c r="F12" t="inlineStr">
        <is>
          <t>Credit Card</t>
        </is>
      </c>
    </row>
    <row r="13">
      <c r="A13" s="78" t="n">
        <v>46337.61458333334</v>
      </c>
      <c r="B13" t="inlineStr">
        <is>
          <t>T104788</t>
        </is>
      </c>
      <c r="C13" t="inlineStr">
        <is>
          <t>Joseph Sanchez</t>
        </is>
      </c>
      <c r="D13" t="inlineStr">
        <is>
          <t>Zoe Sanchez</t>
        </is>
      </c>
      <c r="E13" t="n">
        <v>75</v>
      </c>
      <c r="F13" t="inlineStr">
        <is>
          <t>Apple Pay</t>
        </is>
      </c>
    </row>
    <row r="14">
      <c r="A14" s="78" t="n">
        <v>46325.45833333334</v>
      </c>
      <c r="B14" t="inlineStr">
        <is>
          <t>T103141</t>
        </is>
      </c>
      <c r="C14" t="inlineStr">
        <is>
          <t>Clara Sullivan</t>
        </is>
      </c>
      <c r="D14" t="inlineStr">
        <is>
          <t>Samuel Sullivan</t>
        </is>
      </c>
      <c r="E14" t="n">
        <v>75</v>
      </c>
      <c r="F14" t="inlineStr">
        <is>
          <t>Apple Pay</t>
        </is>
      </c>
    </row>
    <row r="15">
      <c r="A15" s="78" t="n">
        <v>46331.80208333334</v>
      </c>
      <c r="B15" t="inlineStr">
        <is>
          <t>T102567</t>
        </is>
      </c>
      <c r="C15" t="inlineStr">
        <is>
          <t>Diego Morales</t>
        </is>
      </c>
      <c r="D15" t="inlineStr">
        <is>
          <t>Sofia Morales</t>
        </is>
      </c>
      <c r="E15" t="n">
        <v>100</v>
      </c>
      <c r="F15" t="inlineStr">
        <is>
          <t>Apple Pay</t>
        </is>
      </c>
    </row>
    <row r="16">
      <c r="A16" s="78" t="n">
        <v>46335.45833333334</v>
      </c>
      <c r="B16" t="inlineStr">
        <is>
          <t>T104063</t>
        </is>
      </c>
      <c r="C16" t="inlineStr">
        <is>
          <t>Clara Mendoza</t>
        </is>
      </c>
      <c r="D16" t="inlineStr">
        <is>
          <t>Chloe Mendoza</t>
        </is>
      </c>
      <c r="E16" t="n">
        <v>20</v>
      </c>
      <c r="F16" t="inlineStr">
        <is>
          <t>Credit Card</t>
        </is>
      </c>
    </row>
    <row r="17">
      <c r="A17" s="78" t="n">
        <v>46338.72916666666</v>
      </c>
      <c r="B17" t="inlineStr">
        <is>
          <t>T100707</t>
        </is>
      </c>
      <c r="C17" t="inlineStr">
        <is>
          <t>Thomas Ruiz</t>
        </is>
      </c>
      <c r="D17" t="inlineStr">
        <is>
          <t>Joseph Ruiz</t>
        </is>
      </c>
      <c r="E17" t="n">
        <v>25</v>
      </c>
      <c r="F17" t="inlineStr">
        <is>
          <t>Apple Pay</t>
        </is>
      </c>
    </row>
    <row r="18">
      <c r="A18" s="78" t="n">
        <v>46338.51041666666</v>
      </c>
      <c r="B18" t="inlineStr">
        <is>
          <t>T104855</t>
        </is>
      </c>
      <c r="C18" t="inlineStr">
        <is>
          <t>Benjamin Nguyen</t>
        </is>
      </c>
      <c r="D18" t="inlineStr">
        <is>
          <t>Valentina Nguyen</t>
        </is>
      </c>
      <c r="E18" t="n">
        <v>150</v>
      </c>
      <c r="F18" t="inlineStr">
        <is>
          <t>Apple Pay</t>
        </is>
      </c>
    </row>
    <row r="19">
      <c r="A19" s="78" t="n">
        <v>46329.78125</v>
      </c>
      <c r="B19" t="inlineStr">
        <is>
          <t>T100103</t>
        </is>
      </c>
      <c r="C19" t="inlineStr">
        <is>
          <t>Diego Ryan</t>
        </is>
      </c>
      <c r="D19" t="inlineStr">
        <is>
          <t>Evelyn Ryan</t>
        </is>
      </c>
      <c r="E19" t="n">
        <v>40</v>
      </c>
      <c r="F19" t="inlineStr">
        <is>
          <t>Credit Card</t>
        </is>
      </c>
    </row>
    <row r="20">
      <c r="A20" s="78" t="n">
        <v>46331.29166666666</v>
      </c>
      <c r="B20" t="inlineStr">
        <is>
          <t>T102766</t>
        </is>
      </c>
      <c r="C20" t="inlineStr">
        <is>
          <t>Bobby Tables</t>
        </is>
      </c>
      <c r="D20" t="inlineStr">
        <is>
          <t>Isabella Byrne</t>
        </is>
      </c>
      <c r="E20" t="n">
        <v>100</v>
      </c>
      <c r="F20" t="inlineStr">
        <is>
          <t>Credit Card</t>
        </is>
      </c>
    </row>
    <row r="21">
      <c r="A21" s="78" t="n">
        <v>46339.32291666666</v>
      </c>
      <c r="B21" t="inlineStr">
        <is>
          <t>T104833</t>
        </is>
      </c>
      <c r="C21" t="inlineStr">
        <is>
          <t>Clara Kelly</t>
        </is>
      </c>
      <c r="D21" t="inlineStr">
        <is>
          <t>Nora Kelly</t>
        </is>
      </c>
      <c r="E21" t="n">
        <v>50</v>
      </c>
      <c r="F21" t="inlineStr">
        <is>
          <t>Credit Card</t>
        </is>
      </c>
    </row>
    <row r="22">
      <c r="A22" s="78" t="n">
        <v>46338.67708333334</v>
      </c>
      <c r="B22" t="inlineStr">
        <is>
          <t>T104661</t>
        </is>
      </c>
      <c r="C22" t="inlineStr">
        <is>
          <t>Diego Diaz</t>
        </is>
      </c>
      <c r="D22" t="inlineStr">
        <is>
          <t>Chloe Diaz</t>
        </is>
      </c>
      <c r="E22" t="n">
        <v>150</v>
      </c>
      <c r="F22" t="inlineStr">
        <is>
          <t>Apple Pay</t>
        </is>
      </c>
    </row>
    <row r="23">
      <c r="A23" s="78" t="n">
        <v>46332.78125</v>
      </c>
      <c r="B23" t="inlineStr">
        <is>
          <t>T103614</t>
        </is>
      </c>
      <c r="C23" t="inlineStr">
        <is>
          <t>Noah Gonzalez</t>
        </is>
      </c>
      <c r="D23" t="inlineStr">
        <is>
          <t>Grace Gonzalez</t>
        </is>
      </c>
      <c r="E23" t="n">
        <v>50</v>
      </c>
      <c r="F23" t="inlineStr">
        <is>
          <t>Apple Pay</t>
        </is>
      </c>
    </row>
    <row r="24">
      <c r="A24" s="78" t="n">
        <v>46332.76041666666</v>
      </c>
      <c r="B24" t="inlineStr">
        <is>
          <t>T102978</t>
        </is>
      </c>
      <c r="C24" t="inlineStr">
        <is>
          <t>Emma Williams</t>
        </is>
      </c>
      <c r="D24" t="inlineStr">
        <is>
          <t>Liam Williams</t>
        </is>
      </c>
      <c r="E24" t="n">
        <v>25</v>
      </c>
      <c r="F24" t="inlineStr">
        <is>
          <t>Apple Pay</t>
        </is>
      </c>
    </row>
    <row r="25">
      <c r="A25" s="78" t="n">
        <v>46330.70833333334</v>
      </c>
      <c r="B25" t="inlineStr">
        <is>
          <t>T900001</t>
        </is>
      </c>
      <c r="C25" t="inlineStr">
        <is>
          <t>Harper Reyes</t>
        </is>
      </c>
      <c r="D25" t="inlineStr">
        <is>
          <t>Grandma Rivera</t>
        </is>
      </c>
      <c r="E25" t="inlineStr">
        <is>
          <t>$1,250.00</t>
        </is>
      </c>
      <c r="F25" t="inlineStr">
        <is>
          <t>Credit Card</t>
        </is>
      </c>
    </row>
    <row r="26">
      <c r="A26" s="78" t="n">
        <v>46328.89583333334</v>
      </c>
      <c r="B26" t="inlineStr">
        <is>
          <t>T104981</t>
        </is>
      </c>
      <c r="C26" t="inlineStr">
        <is>
          <t>Mateo Gutierrez</t>
        </is>
      </c>
      <c r="D26" t="inlineStr">
        <is>
          <t>Amelia Gutierrez</t>
        </is>
      </c>
      <c r="E26" t="n">
        <v>100</v>
      </c>
      <c r="F26" t="inlineStr">
        <is>
          <t>Apple Pay</t>
        </is>
      </c>
    </row>
    <row r="27">
      <c r="A27" s="78" t="n">
        <v>46338.69791666666</v>
      </c>
      <c r="B27" t="inlineStr">
        <is>
          <t>T104764</t>
        </is>
      </c>
      <c r="C27" t="inlineStr">
        <is>
          <t>Isabella Sanchez</t>
        </is>
      </c>
      <c r="D27" t="inlineStr">
        <is>
          <t>Emma Sanchez</t>
        </is>
      </c>
      <c r="E27" t="n">
        <v>25</v>
      </c>
      <c r="F27" t="inlineStr">
        <is>
          <t>Credit Card</t>
        </is>
      </c>
    </row>
    <row r="28">
      <c r="A28" s="78" t="n">
        <v>46335.625</v>
      </c>
      <c r="B28" t="inlineStr">
        <is>
          <t>T100395</t>
        </is>
      </c>
      <c r="C28" t="inlineStr">
        <is>
          <t>Evelyn Martinez</t>
        </is>
      </c>
      <c r="D28" t="inlineStr">
        <is>
          <t>Ava Martinez</t>
        </is>
      </c>
      <c r="E28" t="n">
        <v>75</v>
      </c>
      <c r="F28" t="inlineStr">
        <is>
          <t>Credit Card</t>
        </is>
      </c>
    </row>
    <row r="29">
      <c r="A29" s="78" t="n">
        <v>46330.48958333334</v>
      </c>
      <c r="B29" t="inlineStr">
        <is>
          <t>T101501</t>
        </is>
      </c>
      <c r="C29" t="inlineStr">
        <is>
          <t>Samuel Ryan</t>
        </is>
      </c>
      <c r="D29" t="inlineStr">
        <is>
          <t>James Ryan</t>
        </is>
      </c>
      <c r="E29" t="n">
        <v>20</v>
      </c>
      <c r="F29" t="inlineStr">
        <is>
          <t>Apple Pay</t>
        </is>
      </c>
    </row>
    <row r="30">
      <c r="A30" s="78" t="n">
        <v>46332.77083333334</v>
      </c>
      <c r="B30" t="inlineStr">
        <is>
          <t>T104497</t>
        </is>
      </c>
      <c r="C30" t="inlineStr">
        <is>
          <t>Liam Nguyen</t>
        </is>
      </c>
      <c r="D30" t="inlineStr">
        <is>
          <t>Gabriel Nguyen</t>
        </is>
      </c>
      <c r="E30" t="n">
        <v>50</v>
      </c>
      <c r="F30" t="inlineStr">
        <is>
          <t>Credit Card</t>
        </is>
      </c>
    </row>
    <row r="31">
      <c r="A31" s="78" t="n">
        <v>46339.5</v>
      </c>
      <c r="B31" t="inlineStr">
        <is>
          <t>T102453</t>
        </is>
      </c>
      <c r="C31" t="inlineStr">
        <is>
          <t>Diego Lopez</t>
        </is>
      </c>
      <c r="D31" t="inlineStr">
        <is>
          <t>Isaac Lopez</t>
        </is>
      </c>
      <c r="E31" t="n">
        <v>100</v>
      </c>
      <c r="F31" t="inlineStr">
        <is>
          <t>Credit Card</t>
        </is>
      </c>
    </row>
    <row r="32">
      <c r="A32" s="78" t="n">
        <v>46338.85416666666</v>
      </c>
      <c r="B32" t="inlineStr">
        <is>
          <t>T104703</t>
        </is>
      </c>
      <c r="C32" t="inlineStr">
        <is>
          <t>Nora Flores</t>
        </is>
      </c>
      <c r="D32" t="inlineStr">
        <is>
          <t>David Flores</t>
        </is>
      </c>
      <c r="E32" t="n">
        <v>25</v>
      </c>
      <c r="F32" t="inlineStr">
        <is>
          <t>Apple Pay</t>
        </is>
      </c>
    </row>
    <row r="33">
      <c r="A33" s="78" t="n">
        <v>46326.44791666666</v>
      </c>
      <c r="B33" t="inlineStr">
        <is>
          <t>T100826</t>
        </is>
      </c>
      <c r="C33" t="inlineStr">
        <is>
          <t>Zoe O'Brien</t>
        </is>
      </c>
      <c r="D33" t="inlineStr">
        <is>
          <t>Thomas O'Brien</t>
        </is>
      </c>
      <c r="E33" t="n">
        <v>75</v>
      </c>
      <c r="F33" t="inlineStr">
        <is>
          <t>Apple Pay</t>
        </is>
      </c>
    </row>
    <row r="34">
      <c r="A34" s="78" t="n">
        <v>46331.39583333334</v>
      </c>
      <c r="B34" t="inlineStr">
        <is>
          <t>T100843</t>
        </is>
      </c>
      <c r="C34" t="inlineStr">
        <is>
          <t>Joseph Gutierrez</t>
        </is>
      </c>
      <c r="D34" t="inlineStr">
        <is>
          <t>Adrian Gutierrez</t>
        </is>
      </c>
      <c r="E34" t="n">
        <v>75</v>
      </c>
      <c r="F34" t="inlineStr">
        <is>
          <t>Credit Card</t>
        </is>
      </c>
    </row>
    <row r="35">
      <c r="A35" s="78" t="n">
        <v>46330.77083333334</v>
      </c>
      <c r="B35" t="inlineStr">
        <is>
          <t>T103041</t>
        </is>
      </c>
      <c r="C35" t="inlineStr">
        <is>
          <t>Williams, Amelia</t>
        </is>
      </c>
      <c r="D35" t="inlineStr">
        <is>
          <t>Isabella Williams</t>
        </is>
      </c>
      <c r="E35" t="n">
        <v>75</v>
      </c>
      <c r="F35" t="inlineStr">
        <is>
          <t>Apple Pay</t>
        </is>
      </c>
    </row>
    <row r="36">
      <c r="A36" s="78" t="n">
        <v>46339.73958333334</v>
      </c>
      <c r="B36" t="inlineStr">
        <is>
          <t>T104521</t>
        </is>
      </c>
      <c r="C36" t="inlineStr">
        <is>
          <t>Elijah Ramirez</t>
        </is>
      </c>
      <c r="D36" t="inlineStr">
        <is>
          <t>Evelyn Ramirez</t>
        </is>
      </c>
      <c r="E36" t="n">
        <v>150</v>
      </c>
      <c r="F36" t="inlineStr">
        <is>
          <t>Apple Pay</t>
        </is>
      </c>
    </row>
    <row r="37">
      <c r="A37" s="78" t="n">
        <v>46329.5625</v>
      </c>
      <c r="B37" t="inlineStr">
        <is>
          <t>T104904</t>
        </is>
      </c>
      <c r="C37" t="inlineStr">
        <is>
          <t>Ava Garcia</t>
        </is>
      </c>
      <c r="D37" t="inlineStr">
        <is>
          <t>Zoe Garcia</t>
        </is>
      </c>
      <c r="E37" t="n">
        <v>50</v>
      </c>
      <c r="F37" t="inlineStr">
        <is>
          <t>Apple Pay</t>
        </is>
      </c>
    </row>
    <row r="38">
      <c r="A38" s="78" t="n">
        <v>46326.625</v>
      </c>
      <c r="B38" t="inlineStr">
        <is>
          <t>T101032</t>
        </is>
      </c>
      <c r="C38" t="inlineStr">
        <is>
          <t>Isaac Torres</t>
        </is>
      </c>
      <c r="D38" t="inlineStr">
        <is>
          <t>Henry Torres</t>
        </is>
      </c>
      <c r="E38" t="n">
        <v>150</v>
      </c>
      <c r="F38" t="inlineStr">
        <is>
          <t>Credit Card</t>
        </is>
      </c>
    </row>
    <row r="39">
      <c r="A39" s="78" t="n">
        <v>46326.69791666666</v>
      </c>
      <c r="B39" t="inlineStr">
        <is>
          <t>T102126</t>
        </is>
      </c>
      <c r="C39" t="inlineStr">
        <is>
          <t xml:space="preserve">  AVA   chavez </t>
        </is>
      </c>
      <c r="D39" t="inlineStr">
        <is>
          <t>Ella Chavez</t>
        </is>
      </c>
      <c r="E39" t="n">
        <v>50</v>
      </c>
      <c r="F39" t="inlineStr">
        <is>
          <t>Credit Card</t>
        </is>
      </c>
    </row>
    <row r="40">
      <c r="A40" s="78" t="n">
        <v>46332.5625</v>
      </c>
      <c r="B40" t="inlineStr">
        <is>
          <t>T103158</t>
        </is>
      </c>
      <c r="C40" t="inlineStr">
        <is>
          <t>Rivera, Nicolas</t>
        </is>
      </c>
      <c r="D40" t="inlineStr">
        <is>
          <t>Clara Rivera</t>
        </is>
      </c>
      <c r="E40" t="n">
        <v>25</v>
      </c>
      <c r="F40" t="inlineStr">
        <is>
          <t>Apple Pay</t>
        </is>
      </c>
    </row>
    <row r="41">
      <c r="A41" s="78" t="n">
        <v>46329.70833333334</v>
      </c>
      <c r="B41" t="inlineStr">
        <is>
          <t>T101990</t>
        </is>
      </c>
      <c r="C41" t="inlineStr">
        <is>
          <t>Amelia Gonzalez</t>
        </is>
      </c>
      <c r="D41" t="inlineStr">
        <is>
          <t>Ella Gonzalez</t>
        </is>
      </c>
      <c r="E41" t="n">
        <v>10</v>
      </c>
      <c r="F41" t="inlineStr">
        <is>
          <t>Credit Card</t>
        </is>
      </c>
    </row>
    <row r="42">
      <c r="A42" s="78" t="n">
        <v>46331.875</v>
      </c>
      <c r="B42" t="inlineStr">
        <is>
          <t>T102612</t>
        </is>
      </c>
      <c r="C42" t="inlineStr">
        <is>
          <t>Nora Flores</t>
        </is>
      </c>
      <c r="D42" t="inlineStr">
        <is>
          <t>Leo Flores</t>
        </is>
      </c>
      <c r="E42" t="n">
        <v>10</v>
      </c>
      <c r="F42" t="inlineStr">
        <is>
          <t>Apple Pay</t>
        </is>
      </c>
    </row>
    <row r="43">
      <c r="A43" s="78" t="n">
        <v>46329.4375</v>
      </c>
      <c r="B43" t="inlineStr">
        <is>
          <t>T101184</t>
        </is>
      </c>
      <c r="C43" t="inlineStr">
        <is>
          <t>Adrian Murphy</t>
        </is>
      </c>
      <c r="D43" t="inlineStr">
        <is>
          <t>Lily Murphy</t>
        </is>
      </c>
      <c r="E43" t="n">
        <v>150</v>
      </c>
      <c r="F43" t="inlineStr">
        <is>
          <t>Credit Card</t>
        </is>
      </c>
    </row>
    <row r="44">
      <c r="A44" s="78" t="n">
        <v>46330.47916666666</v>
      </c>
      <c r="B44" t="inlineStr">
        <is>
          <t>T101534</t>
        </is>
      </c>
      <c r="C44" t="inlineStr">
        <is>
          <t>Chloe Diaz</t>
        </is>
      </c>
      <c r="D44" t="inlineStr">
        <is>
          <t>Ava Diaz</t>
        </is>
      </c>
      <c r="E44" t="n">
        <v>100</v>
      </c>
      <c r="F44" t="inlineStr">
        <is>
          <t>Credit Card</t>
        </is>
      </c>
    </row>
    <row r="45">
      <c r="A45" s="78" t="n">
        <v>46338.73958333334</v>
      </c>
      <c r="B45" t="inlineStr">
        <is>
          <t>T101379</t>
        </is>
      </c>
      <c r="C45" t="inlineStr">
        <is>
          <t>Zoe Gomez</t>
        </is>
      </c>
      <c r="D45" t="inlineStr">
        <is>
          <t>James Gomez</t>
        </is>
      </c>
      <c r="E45" t="n">
        <v>100</v>
      </c>
      <c r="F45" t="inlineStr">
        <is>
          <t>Apple Pay</t>
        </is>
      </c>
    </row>
    <row r="46">
      <c r="A46" s="78" t="n">
        <v>46328.65625</v>
      </c>
      <c r="B46" t="inlineStr">
        <is>
          <t>T104922</t>
        </is>
      </c>
      <c r="C46" t="inlineStr">
        <is>
          <t>Ava Brown</t>
        </is>
      </c>
      <c r="D46" t="inlineStr">
        <is>
          <t>Gabriel Brown</t>
        </is>
      </c>
      <c r="E46" t="n">
        <v>20</v>
      </c>
      <c r="F46" t="inlineStr">
        <is>
          <t>Credit Card</t>
        </is>
      </c>
    </row>
    <row r="47">
      <c r="A47" s="78" t="n">
        <v>46339.35416666666</v>
      </c>
      <c r="B47" t="inlineStr">
        <is>
          <t>T104662</t>
        </is>
      </c>
      <c r="C47" t="inlineStr">
        <is>
          <t>Olivia Murphy</t>
        </is>
      </c>
      <c r="D47" t="inlineStr">
        <is>
          <t>Gabriel Murphy</t>
        </is>
      </c>
      <c r="E47" t="n">
        <v>150</v>
      </c>
      <c r="F47" t="inlineStr">
        <is>
          <t>Apple Pay</t>
        </is>
      </c>
    </row>
    <row r="48">
      <c r="A48" s="78" t="n">
        <v>46333.52083333334</v>
      </c>
      <c r="B48" t="inlineStr">
        <is>
          <t>T101816</t>
        </is>
      </c>
      <c r="C48" t="inlineStr">
        <is>
          <t>Gabriel Smith</t>
        </is>
      </c>
      <c r="D48" t="inlineStr">
        <is>
          <t>Santiago Smith</t>
        </is>
      </c>
      <c r="E48" t="n">
        <v>25</v>
      </c>
      <c r="F48" t="inlineStr">
        <is>
          <t>Apple Pay</t>
        </is>
      </c>
    </row>
    <row r="49">
      <c r="A49" s="78" t="n">
        <v>46338.66666666666</v>
      </c>
      <c r="B49" t="inlineStr">
        <is>
          <t>T103267</t>
        </is>
      </c>
      <c r="C49" t="inlineStr">
        <is>
          <t>Thomas Diaz</t>
        </is>
      </c>
      <c r="D49" t="inlineStr">
        <is>
          <t>Ella Diaz</t>
        </is>
      </c>
      <c r="E49" t="n">
        <v>100</v>
      </c>
      <c r="F49" t="inlineStr">
        <is>
          <t>Credit Card</t>
        </is>
      </c>
    </row>
    <row r="50">
      <c r="A50" s="78" t="n">
        <v>46328.38541666666</v>
      </c>
      <c r="B50" t="inlineStr">
        <is>
          <t>T101410</t>
        </is>
      </c>
      <c r="C50" t="inlineStr">
        <is>
          <t>Diego O'Brien</t>
        </is>
      </c>
      <c r="D50" t="inlineStr">
        <is>
          <t>David O'Brien</t>
        </is>
      </c>
      <c r="E50" t="n">
        <v>25</v>
      </c>
      <c r="F50" t="inlineStr">
        <is>
          <t>Credit Card</t>
        </is>
      </c>
    </row>
    <row r="51">
      <c r="A51" s="78" t="n">
        <v>46336.78125</v>
      </c>
      <c r="B51" t="inlineStr">
        <is>
          <t>T101166</t>
        </is>
      </c>
      <c r="C51" t="inlineStr">
        <is>
          <t>Benjamin Patel</t>
        </is>
      </c>
      <c r="D51" t="inlineStr">
        <is>
          <t>Gabriel Patel</t>
        </is>
      </c>
      <c r="E51" t="n">
        <v>25</v>
      </c>
      <c r="F51" t="inlineStr">
        <is>
          <t>Apple Pay</t>
        </is>
      </c>
    </row>
    <row r="52">
      <c r="A52" s="78" t="n">
        <v>46336.40625</v>
      </c>
      <c r="B52" t="inlineStr">
        <is>
          <t>T105259</t>
        </is>
      </c>
      <c r="C52" t="inlineStr">
        <is>
          <t>Byrne, Elijah</t>
        </is>
      </c>
      <c r="D52" t="inlineStr">
        <is>
          <t>Mia Byrne</t>
        </is>
      </c>
      <c r="E52" t="n">
        <v>100</v>
      </c>
      <c r="F52" t="inlineStr">
        <is>
          <t>Credit Card</t>
        </is>
      </c>
    </row>
    <row r="53">
      <c r="A53" t="inlineStr">
        <is>
          <t>11/13/2026 09:15 AM</t>
        </is>
      </c>
      <c r="B53" t="inlineStr">
        <is>
          <t>T104466</t>
        </is>
      </c>
      <c r="C53" t="inlineStr">
        <is>
          <t>Nicolas Sullivan</t>
        </is>
      </c>
      <c r="D53" t="inlineStr">
        <is>
          <t>Grace Sullivan</t>
        </is>
      </c>
      <c r="E53" t="n">
        <v>20</v>
      </c>
      <c r="F53" t="inlineStr">
        <is>
          <t>Credit Card</t>
        </is>
      </c>
    </row>
    <row r="54">
      <c r="A54" s="78" t="n">
        <v>46335.32291666666</v>
      </c>
      <c r="B54" t="inlineStr">
        <is>
          <t>T100312</t>
        </is>
      </c>
      <c r="C54" t="inlineStr">
        <is>
          <t>Isaac Alvarez</t>
        </is>
      </c>
      <c r="D54" t="inlineStr">
        <is>
          <t>Clara Alvarez</t>
        </is>
      </c>
      <c r="E54" t="n">
        <v>40</v>
      </c>
      <c r="F54" t="inlineStr">
        <is>
          <t>Credit Card</t>
        </is>
      </c>
    </row>
    <row r="55">
      <c r="A55" s="78" t="n">
        <v>46339.625</v>
      </c>
      <c r="B55" t="inlineStr">
        <is>
          <t>T100646</t>
        </is>
      </c>
      <c r="C55" t="inlineStr">
        <is>
          <t>Nicolas Ramirez</t>
        </is>
      </c>
      <c r="D55" t="inlineStr">
        <is>
          <t>Benjamin Ramirez</t>
        </is>
      </c>
      <c r="E55" t="n">
        <v>25</v>
      </c>
      <c r="F55" t="inlineStr">
        <is>
          <t>Credit Card</t>
        </is>
      </c>
    </row>
    <row r="56">
      <c r="A56" s="78" t="n">
        <v>46334.86458333334</v>
      </c>
      <c r="B56" t="inlineStr">
        <is>
          <t>T101121</t>
        </is>
      </c>
      <c r="C56" t="inlineStr">
        <is>
          <t>Samuel Martinez</t>
        </is>
      </c>
      <c r="D56" t="inlineStr">
        <is>
          <t>Santiago Martinez</t>
        </is>
      </c>
      <c r="E56" t="inlineStr">
        <is>
          <t>$150.00</t>
        </is>
      </c>
      <c r="F56" t="inlineStr">
        <is>
          <t>Apple Pay</t>
        </is>
      </c>
    </row>
    <row r="57">
      <c r="A57" s="78" t="n">
        <v>46337.42708333334</v>
      </c>
      <c r="B57" t="inlineStr">
        <is>
          <t>T101056</t>
        </is>
      </c>
      <c r="C57" t="inlineStr">
        <is>
          <t>Joseph Ryan</t>
        </is>
      </c>
      <c r="D57" t="inlineStr">
        <is>
          <t>Chloe Ryan</t>
        </is>
      </c>
      <c r="E57" t="n">
        <v>150</v>
      </c>
      <c r="F57" t="inlineStr">
        <is>
          <t>Credit Card</t>
        </is>
      </c>
    </row>
    <row r="58">
      <c r="A58" s="78" t="n">
        <v>46335.38541666666</v>
      </c>
      <c r="B58" t="inlineStr">
        <is>
          <t>T102732</t>
        </is>
      </c>
      <c r="C58" t="inlineStr">
        <is>
          <t xml:space="preserve">  DANIEL   morales </t>
        </is>
      </c>
      <c r="D58" t="inlineStr">
        <is>
          <t>Daniel Morales</t>
        </is>
      </c>
      <c r="E58" t="n">
        <v>20</v>
      </c>
      <c r="F58" t="inlineStr">
        <is>
          <t>Credit Card</t>
        </is>
      </c>
    </row>
    <row r="59">
      <c r="A59" s="78" t="n">
        <v>46330.625</v>
      </c>
      <c r="B59" t="inlineStr">
        <is>
          <t>T103933</t>
        </is>
      </c>
      <c r="C59" t="inlineStr">
        <is>
          <t>Gutierrez, Gabriel</t>
        </is>
      </c>
      <c r="D59" t="inlineStr">
        <is>
          <t>Camila Gutierrez</t>
        </is>
      </c>
      <c r="E59" t="n">
        <v>100</v>
      </c>
      <c r="F59" t="inlineStr">
        <is>
          <t>Apple Pay</t>
        </is>
      </c>
    </row>
    <row r="60">
      <c r="A60" s="78" t="n">
        <v>46332.64583333334</v>
      </c>
      <c r="B60" t="inlineStr">
        <is>
          <t>T102167</t>
        </is>
      </c>
      <c r="C60" t="inlineStr">
        <is>
          <t>Ella Reyes</t>
        </is>
      </c>
      <c r="D60" t="inlineStr">
        <is>
          <t>Camila Reyes</t>
        </is>
      </c>
      <c r="E60" t="n">
        <v>50</v>
      </c>
      <c r="F60" t="inlineStr">
        <is>
          <t>Credit Card</t>
        </is>
      </c>
    </row>
    <row r="61">
      <c r="A61" s="78" t="n">
        <v>46335.625</v>
      </c>
      <c r="B61" t="inlineStr">
        <is>
          <t>T102821</t>
        </is>
      </c>
      <c r="C61" t="inlineStr">
        <is>
          <t>Nicolas Rivera</t>
        </is>
      </c>
      <c r="D61" t="inlineStr">
        <is>
          <t>Amelia Rivera</t>
        </is>
      </c>
      <c r="E61" t="n">
        <v>25</v>
      </c>
      <c r="F61" t="inlineStr">
        <is>
          <t>Apple Pay</t>
        </is>
      </c>
    </row>
    <row r="62">
      <c r="A62" s="78" t="n">
        <v>46331.51041666666</v>
      </c>
      <c r="B62" t="inlineStr">
        <is>
          <t>T105173</t>
        </is>
      </c>
      <c r="C62" t="inlineStr">
        <is>
          <t>Evelyn Chavez</t>
        </is>
      </c>
      <c r="D62" t="inlineStr">
        <is>
          <t>Julian Chavez</t>
        </is>
      </c>
      <c r="E62" t="n">
        <v>25</v>
      </c>
      <c r="F62" t="inlineStr">
        <is>
          <t>Credit Card</t>
        </is>
      </c>
    </row>
    <row r="63">
      <c r="A63" s="78" t="n">
        <v>46331.375</v>
      </c>
      <c r="B63" t="inlineStr">
        <is>
          <t>T102840</t>
        </is>
      </c>
      <c r="C63" t="inlineStr">
        <is>
          <t xml:space="preserve">  HARPER   johnson </t>
        </is>
      </c>
      <c r="D63" t="inlineStr">
        <is>
          <t>David Johnson</t>
        </is>
      </c>
      <c r="E63" t="n">
        <v>25</v>
      </c>
      <c r="F63" t="inlineStr">
        <is>
          <t>Apple Pay</t>
        </is>
      </c>
    </row>
    <row r="64">
      <c r="A64" s="78" t="n">
        <v>46336.29166666666</v>
      </c>
      <c r="B64" t="inlineStr">
        <is>
          <t>T102230</t>
        </is>
      </c>
      <c r="C64" t="inlineStr">
        <is>
          <t>Aria Martinez</t>
        </is>
      </c>
      <c r="D64" t="inlineStr">
        <is>
          <t>Lily Martinez</t>
        </is>
      </c>
      <c r="E64" t="n">
        <v>25</v>
      </c>
      <c r="F64" t="inlineStr">
        <is>
          <t>Apple Pay</t>
        </is>
      </c>
    </row>
    <row r="65">
      <c r="A65" s="78" t="n">
        <v>46334.39583333334</v>
      </c>
      <c r="B65" t="inlineStr">
        <is>
          <t>T101569</t>
        </is>
      </c>
      <c r="C65" t="inlineStr">
        <is>
          <t>Amelia Sullivan</t>
        </is>
      </c>
      <c r="D65" t="inlineStr">
        <is>
          <t>Amelia Sullivan</t>
        </is>
      </c>
      <c r="E65" t="n">
        <v>10</v>
      </c>
      <c r="F65" t="inlineStr">
        <is>
          <t>Credit Card</t>
        </is>
      </c>
    </row>
    <row r="66">
      <c r="A66" s="78" t="n">
        <v>46337.5625</v>
      </c>
      <c r="B66" t="inlineStr">
        <is>
          <t>T103835</t>
        </is>
      </c>
      <c r="C66" t="inlineStr">
        <is>
          <t>Chavez, Joseph</t>
        </is>
      </c>
      <c r="D66" t="inlineStr">
        <is>
          <t>Amelia Chavez</t>
        </is>
      </c>
      <c r="E66" t="inlineStr">
        <is>
          <t>$75.00</t>
        </is>
      </c>
      <c r="F66" t="inlineStr">
        <is>
          <t>Credit Card</t>
        </is>
      </c>
    </row>
    <row r="67">
      <c r="A67" s="78" t="n">
        <v>46337.90625</v>
      </c>
      <c r="B67" t="inlineStr">
        <is>
          <t>T102714</t>
        </is>
      </c>
      <c r="C67" t="inlineStr">
        <is>
          <t>Elena O'Brien</t>
        </is>
      </c>
      <c r="D67" t="inlineStr">
        <is>
          <t>Elijah O'Brien</t>
        </is>
      </c>
      <c r="E67" t="n">
        <v>100</v>
      </c>
      <c r="F67" t="inlineStr">
        <is>
          <t>Apple Pay</t>
        </is>
      </c>
    </row>
    <row r="68">
      <c r="A68" s="78" t="n">
        <v>46330.36458333334</v>
      </c>
      <c r="B68" t="inlineStr">
        <is>
          <t>T100969</t>
        </is>
      </c>
      <c r="C68" t="inlineStr">
        <is>
          <t>O'Brien, Diego</t>
        </is>
      </c>
      <c r="D68" t="inlineStr">
        <is>
          <t>Samuel O'Brien</t>
        </is>
      </c>
      <c r="E68" t="n">
        <v>25</v>
      </c>
      <c r="F68" t="inlineStr">
        <is>
          <t>Apple Pay</t>
        </is>
      </c>
    </row>
    <row r="69">
      <c r="A69" s="78" t="n">
        <v>46338.77083333334</v>
      </c>
      <c r="B69" t="inlineStr">
        <is>
          <t>T102446</t>
        </is>
      </c>
      <c r="C69" t="inlineStr">
        <is>
          <t>Noah Hernandez</t>
        </is>
      </c>
      <c r="D69" t="inlineStr">
        <is>
          <t>Isabella Hernandez</t>
        </is>
      </c>
      <c r="E69" t="n">
        <v>75</v>
      </c>
      <c r="F69" t="inlineStr">
        <is>
          <t>Apple Pay</t>
        </is>
      </c>
    </row>
    <row r="70">
      <c r="A70" s="78" t="n">
        <v>46331.36458333334</v>
      </c>
      <c r="B70" t="inlineStr">
        <is>
          <t>T102303</t>
        </is>
      </c>
      <c r="C70" t="inlineStr">
        <is>
          <t>Santiago Castillo</t>
        </is>
      </c>
      <c r="D70" t="inlineStr">
        <is>
          <t>Joseph Castillo</t>
        </is>
      </c>
      <c r="E70" t="n">
        <v>25</v>
      </c>
      <c r="F70" t="inlineStr">
        <is>
          <t>Apple Pay</t>
        </is>
      </c>
    </row>
    <row r="71">
      <c r="A71" s="78" t="n">
        <v>46328.86458333334</v>
      </c>
      <c r="B71" t="inlineStr">
        <is>
          <t>T102353</t>
        </is>
      </c>
      <c r="C71" t="inlineStr">
        <is>
          <t>Evelyn Alvarez</t>
        </is>
      </c>
      <c r="D71" t="inlineStr">
        <is>
          <t>Isabella Alvarez</t>
        </is>
      </c>
      <c r="E71" t="n">
        <v>10</v>
      </c>
      <c r="F71" t="inlineStr">
        <is>
          <t>Apple Pay</t>
        </is>
      </c>
    </row>
    <row r="72">
      <c r="A72" s="78" t="n">
        <v>46339.35416666666</v>
      </c>
      <c r="B72" t="inlineStr">
        <is>
          <t>T102559</t>
        </is>
      </c>
      <c r="C72" t="inlineStr">
        <is>
          <t>Joseph Mendoza</t>
        </is>
      </c>
      <c r="D72" t="inlineStr">
        <is>
          <t>Leo Mendoza</t>
        </is>
      </c>
      <c r="E72" t="n">
        <v>50</v>
      </c>
      <c r="F72" t="inlineStr">
        <is>
          <t>Credit Card</t>
        </is>
      </c>
    </row>
    <row r="73">
      <c r="A73" s="78" t="n">
        <v>46331.82291666666</v>
      </c>
      <c r="B73" t="inlineStr">
        <is>
          <t>T103307</t>
        </is>
      </c>
      <c r="C73" t="inlineStr">
        <is>
          <t>Maya Nguyen</t>
        </is>
      </c>
      <c r="D73" t="inlineStr">
        <is>
          <t>Sofia Nguyen</t>
        </is>
      </c>
      <c r="E73" t="n">
        <v>20</v>
      </c>
      <c r="F73" t="inlineStr">
        <is>
          <t>Credit Card</t>
        </is>
      </c>
    </row>
    <row r="74">
      <c r="A74" s="78" t="n">
        <v>46327.78125</v>
      </c>
      <c r="B74" t="inlineStr">
        <is>
          <t>T102367</t>
        </is>
      </c>
      <c r="C74" t="inlineStr">
        <is>
          <t>Noah Gonzalez</t>
        </is>
      </c>
      <c r="D74" t="inlineStr">
        <is>
          <t>Mateo Gonzalez</t>
        </is>
      </c>
      <c r="E74" t="n">
        <v>25</v>
      </c>
      <c r="F74" t="inlineStr">
        <is>
          <t>Apple Pay</t>
        </is>
      </c>
    </row>
    <row r="75">
      <c r="A75" s="78" t="n">
        <v>46331.3125</v>
      </c>
      <c r="B75" t="inlineStr">
        <is>
          <t>T100503</t>
        </is>
      </c>
      <c r="C75" t="inlineStr">
        <is>
          <t>Grace Garcia</t>
        </is>
      </c>
      <c r="D75" t="inlineStr">
        <is>
          <t>Joseph Garcia</t>
        </is>
      </c>
      <c r="E75" t="n">
        <v>25</v>
      </c>
      <c r="F75" t="inlineStr">
        <is>
          <t>Credit Card</t>
        </is>
      </c>
    </row>
    <row r="76">
      <c r="A76" s="78" t="n">
        <v>46325.76041666666</v>
      </c>
      <c r="B76" t="inlineStr">
        <is>
          <t>T100044</t>
        </is>
      </c>
      <c r="C76" t="inlineStr">
        <is>
          <t>Lopez, Amelia</t>
        </is>
      </c>
      <c r="D76" t="inlineStr">
        <is>
          <t>Isaac Lopez</t>
        </is>
      </c>
      <c r="E76" t="n">
        <v>50</v>
      </c>
      <c r="F76" t="inlineStr">
        <is>
          <t>Credit Card</t>
        </is>
      </c>
    </row>
    <row r="77">
      <c r="A77" s="78" t="n">
        <v>46325.42708333334</v>
      </c>
      <c r="B77" t="inlineStr">
        <is>
          <t>T101130</t>
        </is>
      </c>
      <c r="C77" t="inlineStr">
        <is>
          <t>Zoe Smith</t>
        </is>
      </c>
      <c r="D77" t="inlineStr">
        <is>
          <t>Chloe Smith</t>
        </is>
      </c>
      <c r="E77" t="n">
        <v>25</v>
      </c>
      <c r="F77" t="inlineStr">
        <is>
          <t>Credit Card</t>
        </is>
      </c>
    </row>
    <row r="78">
      <c r="A78" s="78" t="n">
        <v>46325.71875</v>
      </c>
      <c r="B78" t="inlineStr">
        <is>
          <t>T104131</t>
        </is>
      </c>
      <c r="C78" t="inlineStr">
        <is>
          <t>Isabella Nguyen</t>
        </is>
      </c>
      <c r="D78" t="inlineStr">
        <is>
          <t>Joseph Nguyen</t>
        </is>
      </c>
      <c r="E78" t="n">
        <v>150</v>
      </c>
      <c r="F78" t="inlineStr">
        <is>
          <t>Credit Card</t>
        </is>
      </c>
    </row>
    <row r="79">
      <c r="A79" s="78" t="n">
        <v>46329.5625</v>
      </c>
      <c r="B79" t="inlineStr">
        <is>
          <t>T104459</t>
        </is>
      </c>
      <c r="C79" t="inlineStr">
        <is>
          <t>Emma Walsh</t>
        </is>
      </c>
      <c r="D79" t="inlineStr">
        <is>
          <t>Sofia Walsh</t>
        </is>
      </c>
      <c r="E79" t="n">
        <v>40</v>
      </c>
      <c r="F79" t="inlineStr">
        <is>
          <t>Credit Card</t>
        </is>
      </c>
    </row>
    <row r="80">
      <c r="A80" s="78" t="n">
        <v>46329.3125</v>
      </c>
      <c r="B80" t="inlineStr">
        <is>
          <t>T102379</t>
        </is>
      </c>
      <c r="C80" t="inlineStr">
        <is>
          <t>Ava Murphy</t>
        </is>
      </c>
      <c r="D80" t="inlineStr">
        <is>
          <t>Ella Murphy</t>
        </is>
      </c>
      <c r="E80" t="n">
        <v>75</v>
      </c>
      <c r="F80" t="inlineStr">
        <is>
          <t>Credit Card</t>
        </is>
      </c>
    </row>
    <row r="81">
      <c r="A81" s="78" t="n">
        <v>46338.58333333334</v>
      </c>
      <c r="B81" t="inlineStr">
        <is>
          <t>T102195</t>
        </is>
      </c>
      <c r="C81" t="inlineStr">
        <is>
          <t>Harper Ortiz</t>
        </is>
      </c>
      <c r="D81" t="inlineStr">
        <is>
          <t>Thomas Ortiz</t>
        </is>
      </c>
      <c r="E81" t="n">
        <v>25</v>
      </c>
      <c r="F81" t="inlineStr">
        <is>
          <t>Apple Pay</t>
        </is>
      </c>
    </row>
    <row r="82">
      <c r="A82" s="78" t="n">
        <v>46327.36458333334</v>
      </c>
      <c r="B82" t="inlineStr">
        <is>
          <t>T100744</t>
        </is>
      </c>
      <c r="C82" t="inlineStr">
        <is>
          <t>Diego Johnson</t>
        </is>
      </c>
      <c r="D82" t="inlineStr">
        <is>
          <t>Benjamin Johnson</t>
        </is>
      </c>
      <c r="E82" t="n">
        <v>75</v>
      </c>
      <c r="F82" t="inlineStr">
        <is>
          <t>Credit Card</t>
        </is>
      </c>
    </row>
    <row r="83">
      <c r="A83" s="78" t="n">
        <v>46329.82291666666</v>
      </c>
      <c r="B83" t="inlineStr">
        <is>
          <t>T100932</t>
        </is>
      </c>
      <c r="C83" t="inlineStr">
        <is>
          <t>Isabella Nguyen</t>
        </is>
      </c>
      <c r="D83" t="inlineStr">
        <is>
          <t>Noah Nguyen</t>
        </is>
      </c>
      <c r="E83" t="n">
        <v>50</v>
      </c>
      <c r="F83" t="inlineStr">
        <is>
          <t>Apple Pay</t>
        </is>
      </c>
    </row>
    <row r="84">
      <c r="A84" s="78" t="n">
        <v>46333.76041666666</v>
      </c>
      <c r="B84" t="inlineStr">
        <is>
          <t>T104189</t>
        </is>
      </c>
      <c r="C84" t="inlineStr">
        <is>
          <t>Elena Rivera</t>
        </is>
      </c>
      <c r="D84" t="inlineStr">
        <is>
          <t>Thomas Rivera</t>
        </is>
      </c>
      <c r="E84" t="n">
        <v>100</v>
      </c>
      <c r="F84" t="inlineStr">
        <is>
          <t>Credit Card</t>
        </is>
      </c>
    </row>
    <row r="85">
      <c r="A85" s="78" t="n">
        <v>46325.67708333334</v>
      </c>
      <c r="B85" t="inlineStr">
        <is>
          <t>T103590</t>
        </is>
      </c>
      <c r="C85" t="inlineStr">
        <is>
          <t xml:space="preserve">  CHLOE   gomez </t>
        </is>
      </c>
      <c r="D85" t="inlineStr">
        <is>
          <t>Santiago Gomez</t>
        </is>
      </c>
      <c r="E85" t="n">
        <v>20</v>
      </c>
      <c r="F85" t="inlineStr">
        <is>
          <t>Credit Card</t>
        </is>
      </c>
    </row>
    <row r="86">
      <c r="A86" s="78" t="n">
        <v>46325.67708333334</v>
      </c>
      <c r="B86" t="inlineStr">
        <is>
          <t>T103541</t>
        </is>
      </c>
      <c r="C86" t="inlineStr">
        <is>
          <t>Aria Kim</t>
        </is>
      </c>
      <c r="D86" t="inlineStr">
        <is>
          <t>Mia Kim</t>
        </is>
      </c>
      <c r="E86" t="n">
        <v>40</v>
      </c>
      <c r="F86" t="inlineStr">
        <is>
          <t>Apple Pay</t>
        </is>
      </c>
    </row>
    <row r="87">
      <c r="A87" s="78" t="n">
        <v>46328.83333333334</v>
      </c>
      <c r="B87" t="inlineStr">
        <is>
          <t>T103520</t>
        </is>
      </c>
      <c r="C87" t="inlineStr">
        <is>
          <t>Joseph Williams</t>
        </is>
      </c>
      <c r="D87" t="inlineStr">
        <is>
          <t>Emma Williams</t>
        </is>
      </c>
      <c r="E87" t="n">
        <v>50</v>
      </c>
      <c r="F87" t="inlineStr">
        <is>
          <t>Apple Pay</t>
        </is>
      </c>
    </row>
    <row r="88">
      <c r="A88" s="78" t="n">
        <v>46337.85416666666</v>
      </c>
      <c r="B88" t="inlineStr">
        <is>
          <t>T103516</t>
        </is>
      </c>
      <c r="C88" t="inlineStr">
        <is>
          <t>Maya Flores</t>
        </is>
      </c>
      <c r="D88" t="inlineStr">
        <is>
          <t>Elijah Flores</t>
        </is>
      </c>
      <c r="E88" t="n">
        <v>50</v>
      </c>
      <c r="F88" t="inlineStr">
        <is>
          <t>Apple Pay</t>
        </is>
      </c>
    </row>
    <row r="89">
      <c r="A89" s="78" t="n">
        <v>46328.75</v>
      </c>
      <c r="B89" t="inlineStr">
        <is>
          <t>T104809</t>
        </is>
      </c>
      <c r="C89" t="inlineStr">
        <is>
          <t>Diego Vasquez</t>
        </is>
      </c>
      <c r="D89" t="inlineStr">
        <is>
          <t>Emma Vasquez</t>
        </is>
      </c>
      <c r="E89" t="n">
        <v>150</v>
      </c>
      <c r="F89" t="inlineStr">
        <is>
          <t>Apple Pay</t>
        </is>
      </c>
    </row>
    <row r="90">
      <c r="A90" s="78" t="n">
        <v>46339.33333333334</v>
      </c>
      <c r="B90" t="inlineStr">
        <is>
          <t>T104971</t>
        </is>
      </c>
      <c r="C90" t="inlineStr">
        <is>
          <t>Mateo Cruz</t>
        </is>
      </c>
      <c r="D90" t="inlineStr">
        <is>
          <t>Nora Cruz</t>
        </is>
      </c>
      <c r="E90" t="n">
        <v>50</v>
      </c>
      <c r="F90" t="inlineStr">
        <is>
          <t>Credit Card</t>
        </is>
      </c>
    </row>
    <row r="91">
      <c r="A91" s="78" t="n">
        <v>46339.63541666666</v>
      </c>
      <c r="B91" t="inlineStr">
        <is>
          <t>T101437</t>
        </is>
      </c>
      <c r="C91" t="inlineStr">
        <is>
          <t>Harper Ortiz</t>
        </is>
      </c>
      <c r="D91" t="inlineStr">
        <is>
          <t>Olivia Ortiz</t>
        </is>
      </c>
      <c r="E91" t="n">
        <v>25</v>
      </c>
      <c r="F91" t="inlineStr">
        <is>
          <t>Credit Card</t>
        </is>
      </c>
    </row>
    <row r="92">
      <c r="A92" s="78" t="n">
        <v>46338.625</v>
      </c>
      <c r="B92" t="inlineStr">
        <is>
          <t>T104585</t>
        </is>
      </c>
      <c r="C92" t="inlineStr">
        <is>
          <t>Lucas Garcia</t>
        </is>
      </c>
      <c r="D92" t="inlineStr">
        <is>
          <t>Zoe Garcia</t>
        </is>
      </c>
      <c r="E92" t="n">
        <v>25</v>
      </c>
      <c r="F92" t="inlineStr">
        <is>
          <t>Credit Card</t>
        </is>
      </c>
    </row>
    <row r="93">
      <c r="A93" t="inlineStr">
        <is>
          <t>11/06/2026 11:30 AM</t>
        </is>
      </c>
      <c r="B93" t="inlineStr">
        <is>
          <t>T103647</t>
        </is>
      </c>
      <c r="C93" t="inlineStr">
        <is>
          <t>Zoe Murphy</t>
        </is>
      </c>
      <c r="D93" t="inlineStr">
        <is>
          <t>Harper Murphy</t>
        </is>
      </c>
      <c r="E93" t="n">
        <v>25</v>
      </c>
      <c r="F93" t="inlineStr">
        <is>
          <t>Apple Pay</t>
        </is>
      </c>
    </row>
    <row r="94">
      <c r="A94" s="78" t="n">
        <v>46326.51041666666</v>
      </c>
      <c r="B94" t="inlineStr">
        <is>
          <t>T104866</t>
        </is>
      </c>
      <c r="C94" t="inlineStr">
        <is>
          <t>Maya Kim</t>
        </is>
      </c>
      <c r="D94" t="inlineStr">
        <is>
          <t>Ella Kim</t>
        </is>
      </c>
      <c r="E94" t="n">
        <v>75</v>
      </c>
      <c r="F94" t="inlineStr">
        <is>
          <t>Credit Card</t>
        </is>
      </c>
    </row>
    <row r="95">
      <c r="A95" s="78" t="n">
        <v>46327.47916666666</v>
      </c>
      <c r="B95" t="inlineStr">
        <is>
          <t>T102658</t>
        </is>
      </c>
      <c r="C95" t="inlineStr">
        <is>
          <t>Elena Castillo</t>
        </is>
      </c>
      <c r="D95" t="inlineStr">
        <is>
          <t>Lucas Castillo</t>
        </is>
      </c>
      <c r="E95" t="n">
        <v>50</v>
      </c>
      <c r="F95" t="inlineStr">
        <is>
          <t>Apple Pay</t>
        </is>
      </c>
    </row>
    <row r="96">
      <c r="A96" s="78" t="n">
        <v>46338.32291666666</v>
      </c>
      <c r="B96" t="inlineStr">
        <is>
          <t>T105426</t>
        </is>
      </c>
      <c r="C96" t="inlineStr">
        <is>
          <t>David Cruz</t>
        </is>
      </c>
      <c r="D96" t="inlineStr">
        <is>
          <t>Liam Cruz</t>
        </is>
      </c>
      <c r="E96" t="n">
        <v>50</v>
      </c>
      <c r="F96" t="inlineStr">
        <is>
          <t>Apple Pay</t>
        </is>
      </c>
    </row>
    <row r="97">
      <c r="A97" s="78" t="n">
        <v>46339.42708333334</v>
      </c>
      <c r="B97" t="inlineStr">
        <is>
          <t>T104231</t>
        </is>
      </c>
      <c r="C97" t="inlineStr">
        <is>
          <t>Ava Perez</t>
        </is>
      </c>
      <c r="D97" t="inlineStr">
        <is>
          <t>Lucas Perez</t>
        </is>
      </c>
      <c r="E97" t="n">
        <v>40</v>
      </c>
      <c r="F97" t="inlineStr">
        <is>
          <t>Apple Pay</t>
        </is>
      </c>
    </row>
    <row r="98">
      <c r="A98" s="78" t="n">
        <v>46330.4375</v>
      </c>
      <c r="B98" t="inlineStr">
        <is>
          <t>T103827</t>
        </is>
      </c>
      <c r="C98" t="inlineStr">
        <is>
          <t>Kim, Maya</t>
        </is>
      </c>
      <c r="D98" t="inlineStr">
        <is>
          <t>Adrian Kim</t>
        </is>
      </c>
      <c r="E98" t="n">
        <v>25</v>
      </c>
      <c r="F98" t="inlineStr">
        <is>
          <t>Apple Pay</t>
        </is>
      </c>
    </row>
    <row r="99">
      <c r="A99" s="78" t="n">
        <v>46335.4375</v>
      </c>
      <c r="B99" t="inlineStr">
        <is>
          <t>T105364</t>
        </is>
      </c>
      <c r="C99" t="inlineStr">
        <is>
          <t>Chloe Williams</t>
        </is>
      </c>
      <c r="D99" t="inlineStr">
        <is>
          <t>Lily Williams</t>
        </is>
      </c>
      <c r="E99" t="inlineStr">
        <is>
          <t>$40.00</t>
        </is>
      </c>
      <c r="F99" t="inlineStr">
        <is>
          <t>Credit Card</t>
        </is>
      </c>
    </row>
    <row r="100">
      <c r="A100" s="78" t="n">
        <v>46335.55208333334</v>
      </c>
      <c r="B100" t="inlineStr">
        <is>
          <t>T102105</t>
        </is>
      </c>
      <c r="C100" t="inlineStr">
        <is>
          <t>Harper Morales</t>
        </is>
      </c>
      <c r="D100" t="inlineStr">
        <is>
          <t>Evelyn Morales</t>
        </is>
      </c>
      <c r="E100" t="n">
        <v>20</v>
      </c>
      <c r="F100" t="inlineStr">
        <is>
          <t>Apple Pay</t>
        </is>
      </c>
    </row>
    <row r="101">
      <c r="A101" s="78" t="n">
        <v>46331.44791666666</v>
      </c>
      <c r="B101" t="inlineStr">
        <is>
          <t>T105133</t>
        </is>
      </c>
      <c r="C101" t="inlineStr">
        <is>
          <t>Maya Kim</t>
        </is>
      </c>
      <c r="D101" t="inlineStr">
        <is>
          <t>Olivia Kim</t>
        </is>
      </c>
      <c r="E101" t="n">
        <v>25</v>
      </c>
      <c r="F101" t="inlineStr">
        <is>
          <t>Credit Card</t>
        </is>
      </c>
    </row>
    <row r="102">
      <c r="A102" s="78" t="n">
        <v>46335.5</v>
      </c>
      <c r="B102" t="inlineStr">
        <is>
          <t>T103982</t>
        </is>
      </c>
      <c r="C102" t="inlineStr">
        <is>
          <t>Camila Patel</t>
        </is>
      </c>
      <c r="D102" t="inlineStr">
        <is>
          <t>Valentina Patel</t>
        </is>
      </c>
      <c r="E102" t="n">
        <v>50</v>
      </c>
      <c r="F102" t="inlineStr">
        <is>
          <t>Credit Card</t>
        </is>
      </c>
    </row>
    <row r="103">
      <c r="A103" s="78" t="n">
        <v>46325.36458333334</v>
      </c>
      <c r="B103" t="inlineStr">
        <is>
          <t>T102263</t>
        </is>
      </c>
      <c r="C103" t="inlineStr">
        <is>
          <t>Murphy, Elijah</t>
        </is>
      </c>
      <c r="D103" t="inlineStr">
        <is>
          <t>Thomas Murphy</t>
        </is>
      </c>
      <c r="E103" t="n">
        <v>100</v>
      </c>
      <c r="F103" t="inlineStr">
        <is>
          <t>Credit Card</t>
        </is>
      </c>
    </row>
    <row r="104">
      <c r="A104" s="78" t="n">
        <v>46328.67708333334</v>
      </c>
      <c r="B104" t="inlineStr">
        <is>
          <t>T100389</t>
        </is>
      </c>
      <c r="C104" t="inlineStr">
        <is>
          <t>Elijah Murphy</t>
        </is>
      </c>
      <c r="D104" t="inlineStr">
        <is>
          <t>Lucas Murphy</t>
        </is>
      </c>
      <c r="E104" t="n">
        <v>20</v>
      </c>
      <c r="F104" t="inlineStr">
        <is>
          <t>Credit Card</t>
        </is>
      </c>
    </row>
    <row r="105">
      <c r="A105" s="78" t="n">
        <v>46326.78125</v>
      </c>
      <c r="B105" t="inlineStr">
        <is>
          <t>T100593</t>
        </is>
      </c>
      <c r="C105" t="inlineStr">
        <is>
          <t>Nicolas Rivera</t>
        </is>
      </c>
      <c r="D105" t="inlineStr">
        <is>
          <t>Evelyn Rivera</t>
        </is>
      </c>
      <c r="E105" t="n">
        <v>50</v>
      </c>
      <c r="F105" t="inlineStr">
        <is>
          <t>Credit Card</t>
        </is>
      </c>
    </row>
    <row r="106">
      <c r="A106" s="78" t="n">
        <v>46338.55208333334</v>
      </c>
      <c r="B106" t="inlineStr">
        <is>
          <t>T105042</t>
        </is>
      </c>
      <c r="C106" t="inlineStr">
        <is>
          <t>Amelia Martinez</t>
        </is>
      </c>
      <c r="D106" t="inlineStr">
        <is>
          <t>Ella Martinez</t>
        </is>
      </c>
      <c r="E106" t="n">
        <v>10</v>
      </c>
      <c r="F106" t="inlineStr">
        <is>
          <t>Credit Card</t>
        </is>
      </c>
    </row>
    <row r="107">
      <c r="A107" s="78" t="n">
        <v>46331.71875</v>
      </c>
      <c r="B107" t="inlineStr">
        <is>
          <t>T101267</t>
        </is>
      </c>
      <c r="C107" t="inlineStr">
        <is>
          <t>Elena Diaz</t>
        </is>
      </c>
      <c r="D107" t="inlineStr">
        <is>
          <t>Elena Diaz</t>
        </is>
      </c>
      <c r="E107" t="n">
        <v>50</v>
      </c>
      <c r="F107" t="inlineStr">
        <is>
          <t>Apple Pay</t>
        </is>
      </c>
    </row>
    <row r="108">
      <c r="A108" s="78" t="n">
        <v>46327.53125</v>
      </c>
      <c r="B108" t="inlineStr">
        <is>
          <t>T102923</t>
        </is>
      </c>
      <c r="C108" t="inlineStr">
        <is>
          <t>Mateo Diaz</t>
        </is>
      </c>
      <c r="D108" t="inlineStr">
        <is>
          <t>Diego Diaz</t>
        </is>
      </c>
      <c r="E108" t="inlineStr">
        <is>
          <t>$150.00</t>
        </is>
      </c>
      <c r="F108" t="inlineStr">
        <is>
          <t>Credit Card</t>
        </is>
      </c>
    </row>
    <row r="109">
      <c r="A109" s="78" t="n">
        <v>46334.79166666666</v>
      </c>
      <c r="B109" t="inlineStr">
        <is>
          <t>T103840</t>
        </is>
      </c>
      <c r="C109" t="inlineStr">
        <is>
          <t>Nora Nguyen</t>
        </is>
      </c>
      <c r="D109" t="inlineStr">
        <is>
          <t>Amelia Nguyen</t>
        </is>
      </c>
      <c r="E109" t="n">
        <v>25</v>
      </c>
      <c r="F109" t="inlineStr">
        <is>
          <t>Apple Pay</t>
        </is>
      </c>
    </row>
    <row r="110">
      <c r="A110" t="inlineStr">
        <is>
          <t>11/10/2026 10:45 AM</t>
        </is>
      </c>
      <c r="B110" t="inlineStr">
        <is>
          <t>T101933</t>
        </is>
      </c>
      <c r="C110" t="inlineStr">
        <is>
          <t>Castillo, Amelia</t>
        </is>
      </c>
      <c r="D110" t="inlineStr">
        <is>
          <t>Ava Castillo</t>
        </is>
      </c>
      <c r="E110" t="n">
        <v>50</v>
      </c>
      <c r="F110" t="inlineStr">
        <is>
          <t>Apple Pay</t>
        </is>
      </c>
    </row>
    <row r="111">
      <c r="A111" s="78" t="n">
        <v>46330.84375</v>
      </c>
      <c r="B111" t="inlineStr">
        <is>
          <t>T102093</t>
        </is>
      </c>
      <c r="C111" t="inlineStr">
        <is>
          <t>Walsh, Luna</t>
        </is>
      </c>
      <c r="D111" t="inlineStr">
        <is>
          <t>Isaac Walsh</t>
        </is>
      </c>
      <c r="E111" t="n">
        <v>10</v>
      </c>
      <c r="F111" t="inlineStr">
        <is>
          <t>Credit Card</t>
        </is>
      </c>
    </row>
    <row r="112">
      <c r="A112" s="78" t="n">
        <v>46331.6875</v>
      </c>
      <c r="B112" t="inlineStr">
        <is>
          <t>T103288</t>
        </is>
      </c>
      <c r="C112" t="inlineStr">
        <is>
          <t>Maya Torres</t>
        </is>
      </c>
      <c r="D112" t="inlineStr">
        <is>
          <t>Emma Torres</t>
        </is>
      </c>
      <c r="E112" t="n">
        <v>25</v>
      </c>
      <c r="F112" t="inlineStr">
        <is>
          <t>Credit Card</t>
        </is>
      </c>
    </row>
    <row r="113">
      <c r="A113" s="78" t="n">
        <v>46335.86458333334</v>
      </c>
      <c r="B113" t="inlineStr">
        <is>
          <t>T103193</t>
        </is>
      </c>
      <c r="C113" t="inlineStr">
        <is>
          <t>James Alvarez</t>
        </is>
      </c>
      <c r="D113" t="inlineStr">
        <is>
          <t>Mateo Alvarez</t>
        </is>
      </c>
      <c r="E113" t="n">
        <v>50</v>
      </c>
      <c r="F113" t="inlineStr">
        <is>
          <t>Apple Pay</t>
        </is>
      </c>
    </row>
    <row r="114">
      <c r="A114" t="inlineStr">
        <is>
          <t>11/06/2026 05:15 PM</t>
        </is>
      </c>
      <c r="B114" t="inlineStr">
        <is>
          <t>T101447</t>
        </is>
      </c>
      <c r="C114" t="inlineStr">
        <is>
          <t>Thomas Brown</t>
        </is>
      </c>
      <c r="D114" t="inlineStr">
        <is>
          <t>Samuel Brown</t>
        </is>
      </c>
      <c r="E114" t="n">
        <v>25</v>
      </c>
      <c r="F114" t="inlineStr">
        <is>
          <t>Apple Pay</t>
        </is>
      </c>
    </row>
    <row r="115">
      <c r="A115" s="78" t="n">
        <v>46336.32291666666</v>
      </c>
      <c r="B115" t="inlineStr">
        <is>
          <t>T102212</t>
        </is>
      </c>
      <c r="C115" t="inlineStr">
        <is>
          <t>Thomas Ramirez</t>
        </is>
      </c>
      <c r="D115" t="inlineStr">
        <is>
          <t>Grace Ramirez</t>
        </is>
      </c>
      <c r="E115" t="n">
        <v>25</v>
      </c>
      <c r="F115" t="inlineStr">
        <is>
          <t>Apple Pay</t>
        </is>
      </c>
    </row>
    <row r="116">
      <c r="A116" s="78" t="n">
        <v>46329.51041666666</v>
      </c>
      <c r="B116" t="inlineStr">
        <is>
          <t>T102140</t>
        </is>
      </c>
      <c r="C116" t="inlineStr">
        <is>
          <t>Lucas Vasquez</t>
        </is>
      </c>
      <c r="D116" t="inlineStr">
        <is>
          <t>Diego Vasquez</t>
        </is>
      </c>
      <c r="E116" t="n">
        <v>40</v>
      </c>
      <c r="F116" t="inlineStr">
        <is>
          <t>Credit Card</t>
        </is>
      </c>
    </row>
    <row r="117">
      <c r="A117" s="78" t="n">
        <v>46328.64583333334</v>
      </c>
      <c r="B117" t="inlineStr">
        <is>
          <t>T101582</t>
        </is>
      </c>
      <c r="C117" t="inlineStr">
        <is>
          <t>Liam O'Brien</t>
        </is>
      </c>
      <c r="D117" t="inlineStr">
        <is>
          <t>Zoe O'Brien</t>
        </is>
      </c>
      <c r="E117" t="n">
        <v>25</v>
      </c>
      <c r="F117" t="inlineStr">
        <is>
          <t>Apple Pay</t>
        </is>
      </c>
    </row>
    <row r="118">
      <c r="A118" s="78" t="n">
        <v>46339.83333333334</v>
      </c>
      <c r="B118" t="inlineStr">
        <is>
          <t>T102391</t>
        </is>
      </c>
      <c r="C118" t="inlineStr">
        <is>
          <t>Grace Reyes</t>
        </is>
      </c>
      <c r="D118" t="inlineStr">
        <is>
          <t>Evelyn Reyes</t>
        </is>
      </c>
      <c r="E118" t="n">
        <v>75</v>
      </c>
      <c r="F118" t="inlineStr">
        <is>
          <t>Apple Pay</t>
        </is>
      </c>
    </row>
    <row r="119">
      <c r="A119" s="78" t="n">
        <v>46334.84375</v>
      </c>
      <c r="B119" t="inlineStr">
        <is>
          <t>T100336</t>
        </is>
      </c>
      <c r="C119" t="inlineStr">
        <is>
          <t>Elena Castillo</t>
        </is>
      </c>
      <c r="D119" t="inlineStr">
        <is>
          <t>Noah Castillo</t>
        </is>
      </c>
      <c r="E119" t="n">
        <v>150</v>
      </c>
      <c r="F119" t="inlineStr">
        <is>
          <t>Credit Card</t>
        </is>
      </c>
    </row>
    <row r="120">
      <c r="A120" s="78" t="n">
        <v>46329.79166666666</v>
      </c>
      <c r="B120" t="inlineStr">
        <is>
          <t>T102258</t>
        </is>
      </c>
      <c r="C120" t="inlineStr">
        <is>
          <t>Isaac Byrne</t>
        </is>
      </c>
      <c r="D120" t="inlineStr">
        <is>
          <t>Lily Byrne</t>
        </is>
      </c>
      <c r="E120" t="n">
        <v>25</v>
      </c>
      <c r="F120" t="inlineStr">
        <is>
          <t>Apple Pay</t>
        </is>
      </c>
    </row>
    <row r="121">
      <c r="A121" s="78" t="n">
        <v>46331.36458333334</v>
      </c>
      <c r="B121" t="inlineStr">
        <is>
          <t>T105327</t>
        </is>
      </c>
      <c r="C121" t="inlineStr">
        <is>
          <t>Julian Cruz</t>
        </is>
      </c>
      <c r="D121" t="inlineStr">
        <is>
          <t>Aria Cruz</t>
        </is>
      </c>
      <c r="E121" t="n">
        <v>100</v>
      </c>
      <c r="F121" t="inlineStr">
        <is>
          <t>Credit Card</t>
        </is>
      </c>
    </row>
    <row r="122">
      <c r="A122" s="78" t="n">
        <v>46333.63541666666</v>
      </c>
      <c r="B122" t="inlineStr">
        <is>
          <t>T103139</t>
        </is>
      </c>
      <c r="C122" t="inlineStr">
        <is>
          <t>Nicolas Perez</t>
        </is>
      </c>
      <c r="D122" t="inlineStr">
        <is>
          <t>Amelia Perez</t>
        </is>
      </c>
      <c r="E122" t="n">
        <v>100</v>
      </c>
      <c r="F122" t="inlineStr">
        <is>
          <t>Credit Card</t>
        </is>
      </c>
    </row>
    <row r="123">
      <c r="A123" s="78" t="n">
        <v>46338.59375</v>
      </c>
      <c r="B123" t="inlineStr">
        <is>
          <t>T105261</t>
        </is>
      </c>
      <c r="C123" t="inlineStr">
        <is>
          <t>Evelyn Gomez</t>
        </is>
      </c>
      <c r="D123" t="inlineStr">
        <is>
          <t>Harper Gomez</t>
        </is>
      </c>
      <c r="E123" t="n">
        <v>25</v>
      </c>
      <c r="F123" t="inlineStr">
        <is>
          <t>Credit Card</t>
        </is>
      </c>
    </row>
    <row r="124">
      <c r="A124" s="78" t="n">
        <v>46330.5</v>
      </c>
      <c r="B124" t="inlineStr">
        <is>
          <t>T104021</t>
        </is>
      </c>
      <c r="C124" t="inlineStr">
        <is>
          <t>Ortiz, Mia</t>
        </is>
      </c>
      <c r="D124" t="inlineStr">
        <is>
          <t>Liam Ortiz</t>
        </is>
      </c>
      <c r="E124" t="inlineStr">
        <is>
          <t>$50.00</t>
        </is>
      </c>
      <c r="F124" t="inlineStr">
        <is>
          <t>Credit Card</t>
        </is>
      </c>
    </row>
    <row r="125">
      <c r="A125" s="78" t="n">
        <v>46328.75</v>
      </c>
      <c r="B125" t="inlineStr">
        <is>
          <t>T101433</t>
        </is>
      </c>
      <c r="C125" t="inlineStr">
        <is>
          <t xml:space="preserve">  EVELYN   ortiz </t>
        </is>
      </c>
      <c r="D125" t="inlineStr">
        <is>
          <t>Benjamin Ortiz</t>
        </is>
      </c>
      <c r="E125" t="n">
        <v>20</v>
      </c>
      <c r="F125" t="inlineStr">
        <is>
          <t>Apple Pay</t>
        </is>
      </c>
    </row>
    <row r="126">
      <c r="A126" s="78" t="n">
        <v>46333.33333333334</v>
      </c>
      <c r="B126" t="inlineStr">
        <is>
          <t>T100264</t>
        </is>
      </c>
      <c r="C126" t="inlineStr">
        <is>
          <t>Diego Nguyen</t>
        </is>
      </c>
      <c r="D126" t="inlineStr">
        <is>
          <t>Joseph Nguyen</t>
        </is>
      </c>
      <c r="E126" t="n">
        <v>25</v>
      </c>
      <c r="F126" t="inlineStr">
        <is>
          <t>Credit Card</t>
        </is>
      </c>
    </row>
    <row r="127">
      <c r="A127" s="78" t="n">
        <v>46329.78125</v>
      </c>
      <c r="B127" t="inlineStr">
        <is>
          <t>T101047</t>
        </is>
      </c>
      <c r="C127" t="inlineStr">
        <is>
          <t>Emma Sullivan</t>
        </is>
      </c>
      <c r="D127" t="inlineStr">
        <is>
          <t>Noah Sullivan</t>
        </is>
      </c>
      <c r="E127" t="inlineStr">
        <is>
          <t>$50.00</t>
        </is>
      </c>
      <c r="F127" t="inlineStr">
        <is>
          <t>Credit Card</t>
        </is>
      </c>
    </row>
    <row r="128">
      <c r="A128" s="78" t="n">
        <v>46339.85416666666</v>
      </c>
      <c r="B128" t="inlineStr">
        <is>
          <t>T102267</t>
        </is>
      </c>
      <c r="C128" t="inlineStr">
        <is>
          <t>Grace Walsh</t>
        </is>
      </c>
      <c r="D128" t="inlineStr">
        <is>
          <t>Sofia Walsh</t>
        </is>
      </c>
      <c r="E128" t="n">
        <v>25</v>
      </c>
      <c r="F128" t="inlineStr">
        <is>
          <t>Apple Pay</t>
        </is>
      </c>
    </row>
    <row r="129">
      <c r="A129" s="78" t="n">
        <v>46338.34375</v>
      </c>
      <c r="B129" t="inlineStr">
        <is>
          <t>T105402</t>
        </is>
      </c>
      <c r="C129" t="inlineStr">
        <is>
          <t xml:space="preserve">  THOMAS   ryan </t>
        </is>
      </c>
      <c r="D129" t="inlineStr">
        <is>
          <t>Nicolas Ryan</t>
        </is>
      </c>
      <c r="E129" t="n">
        <v>20</v>
      </c>
      <c r="F129" t="inlineStr">
        <is>
          <t>Apple Pay</t>
        </is>
      </c>
    </row>
    <row r="130">
      <c r="A130" s="78" t="n">
        <v>46330.51041666666</v>
      </c>
      <c r="B130" t="inlineStr">
        <is>
          <t>T101428</t>
        </is>
      </c>
      <c r="C130" t="inlineStr">
        <is>
          <t>Henry Brown</t>
        </is>
      </c>
      <c r="D130" t="inlineStr">
        <is>
          <t>Noah Brown</t>
        </is>
      </c>
      <c r="E130" t="inlineStr">
        <is>
          <t>$25.00</t>
        </is>
      </c>
      <c r="F130" t="inlineStr">
        <is>
          <t>Apple Pay</t>
        </is>
      </c>
    </row>
    <row r="131">
      <c r="A131" s="78" t="n">
        <v>46330.77083333334</v>
      </c>
      <c r="B131" t="inlineStr">
        <is>
          <t>T102272</t>
        </is>
      </c>
      <c r="C131" t="inlineStr">
        <is>
          <t>Garcia, James</t>
        </is>
      </c>
      <c r="D131" t="inlineStr">
        <is>
          <t>Olivia Garcia</t>
        </is>
      </c>
      <c r="E131" t="inlineStr">
        <is>
          <t>$50.00</t>
        </is>
      </c>
      <c r="F131" t="inlineStr">
        <is>
          <t>Credit Card</t>
        </is>
      </c>
    </row>
    <row r="132">
      <c r="A132" s="78" t="n">
        <v>46334.41666666666</v>
      </c>
      <c r="B132" t="inlineStr">
        <is>
          <t>T103999</t>
        </is>
      </c>
      <c r="C132" t="inlineStr">
        <is>
          <t>Elijah Walsh</t>
        </is>
      </c>
      <c r="D132" t="inlineStr">
        <is>
          <t>Elijah Walsh</t>
        </is>
      </c>
      <c r="E132" t="n">
        <v>75</v>
      </c>
      <c r="F132" t="inlineStr">
        <is>
          <t>Credit Card</t>
        </is>
      </c>
    </row>
    <row r="133">
      <c r="A133" s="78" t="n">
        <v>46337.80208333334</v>
      </c>
      <c r="B133" t="inlineStr">
        <is>
          <t>T100548</t>
        </is>
      </c>
      <c r="C133" t="inlineStr">
        <is>
          <t>Hernandez, Zoe</t>
        </is>
      </c>
      <c r="D133" t="inlineStr">
        <is>
          <t>Sofia Hernandez</t>
        </is>
      </c>
      <c r="E133" t="n">
        <v>50</v>
      </c>
      <c r="F133" t="inlineStr">
        <is>
          <t>Credit Card</t>
        </is>
      </c>
    </row>
    <row r="134">
      <c r="A134" s="78" t="n">
        <v>46338.65625</v>
      </c>
      <c r="B134" t="inlineStr">
        <is>
          <t>T104316</t>
        </is>
      </c>
      <c r="C134" t="inlineStr">
        <is>
          <t>Thomas Ramirez</t>
        </is>
      </c>
      <c r="D134" t="inlineStr">
        <is>
          <t>Mia Ramirez</t>
        </is>
      </c>
      <c r="E134" t="n">
        <v>25</v>
      </c>
      <c r="F134" t="inlineStr">
        <is>
          <t>Apple Pay</t>
        </is>
      </c>
    </row>
    <row r="135">
      <c r="A135" s="78" t="n">
        <v>46338.5625</v>
      </c>
      <c r="B135" t="inlineStr">
        <is>
          <t>T103382</t>
        </is>
      </c>
      <c r="C135" t="inlineStr">
        <is>
          <t>Diego Diaz</t>
        </is>
      </c>
      <c r="D135" t="inlineStr">
        <is>
          <t>Aria Diaz</t>
        </is>
      </c>
      <c r="E135" t="n">
        <v>25</v>
      </c>
      <c r="F135" t="inlineStr">
        <is>
          <t>Credit Card</t>
        </is>
      </c>
    </row>
    <row r="136">
      <c r="A136" s="78" t="n">
        <v>46339.52083333334</v>
      </c>
      <c r="B136" t="inlineStr">
        <is>
          <t>T105273</t>
        </is>
      </c>
      <c r="C136" t="inlineStr">
        <is>
          <t>Grace Gomez</t>
        </is>
      </c>
      <c r="D136" t="inlineStr">
        <is>
          <t>Thomas Gomez</t>
        </is>
      </c>
      <c r="E136" t="n">
        <v>25</v>
      </c>
      <c r="F136" t="inlineStr">
        <is>
          <t>Apple Pay</t>
        </is>
      </c>
    </row>
    <row r="137">
      <c r="A137" s="78" t="n">
        <v>46329.85416666666</v>
      </c>
      <c r="B137" t="inlineStr">
        <is>
          <t>T103180</t>
        </is>
      </c>
      <c r="C137" t="inlineStr">
        <is>
          <t>Isabella Johnson</t>
        </is>
      </c>
      <c r="D137" t="inlineStr">
        <is>
          <t>Clara Johnson</t>
        </is>
      </c>
      <c r="E137" t="n">
        <v>20</v>
      </c>
      <c r="F137" t="inlineStr">
        <is>
          <t>Credit Card</t>
        </is>
      </c>
    </row>
    <row r="138">
      <c r="A138" s="78" t="n">
        <v>46336.5625</v>
      </c>
      <c r="B138" t="inlineStr">
        <is>
          <t>T104921</t>
        </is>
      </c>
      <c r="C138" t="inlineStr">
        <is>
          <t>Evelyn Vasquez</t>
        </is>
      </c>
      <c r="D138" t="inlineStr">
        <is>
          <t>Gabriel Vasquez</t>
        </is>
      </c>
      <c r="E138" t="n">
        <v>20</v>
      </c>
      <c r="F138" t="inlineStr">
        <is>
          <t>Apple Pay</t>
        </is>
      </c>
    </row>
    <row r="139">
      <c r="A139" s="78" t="n">
        <v>46326.625</v>
      </c>
      <c r="B139" t="inlineStr">
        <is>
          <t>T104648</t>
        </is>
      </c>
      <c r="C139" t="inlineStr">
        <is>
          <t>James Gutierrez</t>
        </is>
      </c>
      <c r="D139" t="inlineStr">
        <is>
          <t>Samuel Gutierrez</t>
        </is>
      </c>
      <c r="E139" t="n">
        <v>75</v>
      </c>
      <c r="F139" t="inlineStr">
        <is>
          <t>Apple Pay</t>
        </is>
      </c>
    </row>
    <row r="140">
      <c r="A140" s="78" t="n">
        <v>46332.5</v>
      </c>
      <c r="B140" t="inlineStr">
        <is>
          <t>T101993</t>
        </is>
      </c>
      <c r="C140" t="inlineStr">
        <is>
          <t>Valentina Sullivan</t>
        </is>
      </c>
      <c r="D140" t="inlineStr">
        <is>
          <t>Amelia Sullivan</t>
        </is>
      </c>
      <c r="E140" t="n">
        <v>75</v>
      </c>
      <c r="F140" t="inlineStr">
        <is>
          <t>Credit Card</t>
        </is>
      </c>
    </row>
    <row r="141">
      <c r="A141" s="78" t="n">
        <v>46328.8125</v>
      </c>
      <c r="B141" t="inlineStr">
        <is>
          <t>T105151</t>
        </is>
      </c>
      <c r="C141" t="inlineStr">
        <is>
          <t>Noah Sullivan</t>
        </is>
      </c>
      <c r="D141" t="inlineStr">
        <is>
          <t>Luna Sullivan</t>
        </is>
      </c>
      <c r="E141" t="n">
        <v>40</v>
      </c>
      <c r="F141" t="inlineStr">
        <is>
          <t>Apple Pay</t>
        </is>
      </c>
    </row>
    <row r="142">
      <c r="A142" s="78" t="n">
        <v>46329.625</v>
      </c>
      <c r="B142" t="inlineStr">
        <is>
          <t>T103106</t>
        </is>
      </c>
      <c r="C142" t="inlineStr">
        <is>
          <t>Lucas Mendoza</t>
        </is>
      </c>
      <c r="D142" t="inlineStr">
        <is>
          <t>Chloe Mendoza</t>
        </is>
      </c>
      <c r="E142" t="n">
        <v>40</v>
      </c>
      <c r="F142" t="inlineStr">
        <is>
          <t>Credit Card</t>
        </is>
      </c>
    </row>
    <row r="143">
      <c r="A143" s="78" t="n">
        <v>46336.52083333334</v>
      </c>
      <c r="B143" t="inlineStr">
        <is>
          <t>T103110</t>
        </is>
      </c>
      <c r="C143" t="inlineStr">
        <is>
          <t>Zoe Johnson</t>
        </is>
      </c>
      <c r="D143" t="inlineStr">
        <is>
          <t>Aria Johnson</t>
        </is>
      </c>
      <c r="E143" t="inlineStr">
        <is>
          <t>$25.00</t>
        </is>
      </c>
      <c r="F143" t="inlineStr">
        <is>
          <t>Credit Card</t>
        </is>
      </c>
    </row>
    <row r="144">
      <c r="A144" s="78" t="n">
        <v>46339.51041666666</v>
      </c>
      <c r="B144" t="inlineStr">
        <is>
          <t>T103064</t>
        </is>
      </c>
      <c r="C144" t="inlineStr">
        <is>
          <t>Isaac Alvarez</t>
        </is>
      </c>
      <c r="D144" t="inlineStr">
        <is>
          <t>Chloe Alvarez</t>
        </is>
      </c>
      <c r="E144" t="n">
        <v>10</v>
      </c>
      <c r="F144" t="inlineStr">
        <is>
          <t>Apple Pay</t>
        </is>
      </c>
    </row>
    <row r="145">
      <c r="A145" s="78" t="n">
        <v>46328.73958333334</v>
      </c>
      <c r="B145" t="inlineStr">
        <is>
          <t>T104961</t>
        </is>
      </c>
      <c r="C145" t="inlineStr">
        <is>
          <t>Vasquez, Elijah</t>
        </is>
      </c>
      <c r="D145" t="inlineStr">
        <is>
          <t>Henry Vasquez</t>
        </is>
      </c>
      <c r="E145" t="n">
        <v>25</v>
      </c>
      <c r="F145" t="inlineStr">
        <is>
          <t>Apple Pay</t>
        </is>
      </c>
    </row>
    <row r="146">
      <c r="A146" s="78" t="n">
        <v>46329.60416666666</v>
      </c>
      <c r="B146" t="inlineStr">
        <is>
          <t>T102164</t>
        </is>
      </c>
      <c r="C146" t="inlineStr">
        <is>
          <t>Zoe Gonzalez</t>
        </is>
      </c>
      <c r="D146" t="inlineStr">
        <is>
          <t>Liam Gonzalez</t>
        </is>
      </c>
      <c r="E146" t="n">
        <v>50</v>
      </c>
      <c r="F146" t="inlineStr">
        <is>
          <t>Credit Card</t>
        </is>
      </c>
    </row>
    <row r="147">
      <c r="A147" s="78" t="n">
        <v>46328.75</v>
      </c>
      <c r="B147" t="inlineStr">
        <is>
          <t>T104947</t>
        </is>
      </c>
      <c r="C147" t="inlineStr">
        <is>
          <t>Leo Brown</t>
        </is>
      </c>
      <c r="D147" t="inlineStr">
        <is>
          <t>Isaac Brown</t>
        </is>
      </c>
      <c r="E147" t="n">
        <v>25</v>
      </c>
      <c r="F147" t="inlineStr">
        <is>
          <t>Credit Card</t>
        </is>
      </c>
    </row>
    <row r="148">
      <c r="A148" s="78" t="n">
        <v>46337.72916666666</v>
      </c>
      <c r="B148" t="inlineStr">
        <is>
          <t>T105233</t>
        </is>
      </c>
      <c r="C148" t="inlineStr">
        <is>
          <t>Gutierrez, Joseph</t>
        </is>
      </c>
      <c r="D148" t="inlineStr">
        <is>
          <t>James Gutierrez</t>
        </is>
      </c>
      <c r="E148" t="n">
        <v>100</v>
      </c>
      <c r="F148" t="inlineStr">
        <is>
          <t>Credit Card</t>
        </is>
      </c>
    </row>
    <row r="149">
      <c r="A149" s="78" t="n">
        <v>46338.57291666666</v>
      </c>
      <c r="B149" t="inlineStr">
        <is>
          <t>T100020</t>
        </is>
      </c>
      <c r="C149" t="inlineStr">
        <is>
          <t>Adrian Gomez</t>
        </is>
      </c>
      <c r="D149" t="inlineStr">
        <is>
          <t>James Gomez</t>
        </is>
      </c>
      <c r="E149" t="n">
        <v>25</v>
      </c>
      <c r="F149" t="inlineStr">
        <is>
          <t>Apple Pay</t>
        </is>
      </c>
    </row>
    <row r="150">
      <c r="A150" s="78" t="n">
        <v>46325.44791666666</v>
      </c>
      <c r="B150" t="inlineStr">
        <is>
          <t>T103201</t>
        </is>
      </c>
      <c r="C150" t="inlineStr">
        <is>
          <t>Luna Byrne</t>
        </is>
      </c>
      <c r="D150" t="inlineStr">
        <is>
          <t>Santiago Byrne</t>
        </is>
      </c>
      <c r="E150" t="inlineStr">
        <is>
          <t>$25.00</t>
        </is>
      </c>
      <c r="F150" t="inlineStr">
        <is>
          <t>Apple Pay</t>
        </is>
      </c>
    </row>
    <row r="151">
      <c r="A151" s="78" t="n">
        <v>46336.70833333334</v>
      </c>
      <c r="B151" t="inlineStr">
        <is>
          <t>T102616</t>
        </is>
      </c>
      <c r="C151" t="inlineStr">
        <is>
          <t>Elijah Murphy</t>
        </is>
      </c>
      <c r="D151" t="inlineStr">
        <is>
          <t>Emma Murphy</t>
        </is>
      </c>
      <c r="E151" t="n">
        <v>50</v>
      </c>
      <c r="F151" t="inlineStr">
        <is>
          <t>Credit Card</t>
        </is>
      </c>
    </row>
    <row r="152">
      <c r="A152" s="78" t="n">
        <v>46336.82291666666</v>
      </c>
      <c r="B152" t="inlineStr">
        <is>
          <t>T104534</t>
        </is>
      </c>
      <c r="C152" t="inlineStr">
        <is>
          <t>Harper Ortiz</t>
        </is>
      </c>
      <c r="D152" t="inlineStr">
        <is>
          <t>Chloe Ortiz</t>
        </is>
      </c>
      <c r="E152" t="n">
        <v>25</v>
      </c>
      <c r="F152" t="inlineStr">
        <is>
          <t>Apple Pay</t>
        </is>
      </c>
    </row>
    <row r="153">
      <c r="A153" s="78" t="n">
        <v>46326.3125</v>
      </c>
      <c r="B153" t="inlineStr">
        <is>
          <t>T102148</t>
        </is>
      </c>
      <c r="C153" t="inlineStr">
        <is>
          <t>Ramirez, Samuel</t>
        </is>
      </c>
      <c r="D153" t="inlineStr">
        <is>
          <t>David Ramirez</t>
        </is>
      </c>
      <c r="E153" t="n">
        <v>100</v>
      </c>
      <c r="F153" t="inlineStr">
        <is>
          <t>Apple Pay</t>
        </is>
      </c>
    </row>
    <row r="154">
      <c r="A154" s="78" t="n">
        <v>46334.90625</v>
      </c>
      <c r="B154" t="inlineStr">
        <is>
          <t>T100958</t>
        </is>
      </c>
      <c r="C154" t="inlineStr">
        <is>
          <t>Amelia Lopez</t>
        </is>
      </c>
      <c r="D154" t="inlineStr">
        <is>
          <t>Chloe Lopez</t>
        </is>
      </c>
      <c r="E154" t="n">
        <v>100</v>
      </c>
      <c r="F154" t="inlineStr">
        <is>
          <t>Credit Card</t>
        </is>
      </c>
    </row>
    <row r="155">
      <c r="A155" s="78" t="n">
        <v>46327.71875</v>
      </c>
      <c r="B155" t="inlineStr">
        <is>
          <t>T102519</t>
        </is>
      </c>
      <c r="C155" t="inlineStr">
        <is>
          <t>Gabriel Cruz</t>
        </is>
      </c>
      <c r="D155" t="inlineStr">
        <is>
          <t>Lily Cruz</t>
        </is>
      </c>
      <c r="E155" t="n">
        <v>25</v>
      </c>
      <c r="F155" t="inlineStr">
        <is>
          <t>Apple Pay</t>
        </is>
      </c>
    </row>
    <row r="156">
      <c r="A156" s="78" t="n">
        <v>46335.34375</v>
      </c>
      <c r="B156" t="inlineStr">
        <is>
          <t>T100098</t>
        </is>
      </c>
      <c r="C156" t="inlineStr">
        <is>
          <t>Mia Martinez</t>
        </is>
      </c>
      <c r="D156" t="inlineStr">
        <is>
          <t>Lily Martinez</t>
        </is>
      </c>
      <c r="E156" t="n">
        <v>50</v>
      </c>
      <c r="F156" t="inlineStr">
        <is>
          <t>Apple Pay</t>
        </is>
      </c>
    </row>
    <row r="157">
      <c r="A157" s="78" t="n">
        <v>46325.79166666666</v>
      </c>
      <c r="B157" t="inlineStr">
        <is>
          <t>T104069</t>
        </is>
      </c>
      <c r="C157" t="inlineStr">
        <is>
          <t>Maya Patel</t>
        </is>
      </c>
      <c r="D157" t="inlineStr">
        <is>
          <t>Valentina Patel</t>
        </is>
      </c>
      <c r="E157" t="n">
        <v>25</v>
      </c>
      <c r="F157" t="inlineStr">
        <is>
          <t>Apple Pay</t>
        </is>
      </c>
    </row>
    <row r="158">
      <c r="A158" s="78" t="n">
        <v>46325.34375</v>
      </c>
      <c r="B158" t="inlineStr">
        <is>
          <t>T100939</t>
        </is>
      </c>
      <c r="C158" t="inlineStr">
        <is>
          <t>Thomas Diaz</t>
        </is>
      </c>
      <c r="D158" t="inlineStr">
        <is>
          <t>Noah Diaz</t>
        </is>
      </c>
      <c r="E158" t="n">
        <v>75</v>
      </c>
      <c r="F158" t="inlineStr">
        <is>
          <t>Credit Card</t>
        </is>
      </c>
    </row>
    <row r="159">
      <c r="A159" s="78" t="n">
        <v>46329.625</v>
      </c>
      <c r="B159" t="inlineStr">
        <is>
          <t>T104569</t>
        </is>
      </c>
      <c r="C159" t="inlineStr">
        <is>
          <t>Daniel Morales</t>
        </is>
      </c>
      <c r="D159" t="inlineStr">
        <is>
          <t>Valentina Morales</t>
        </is>
      </c>
      <c r="E159" t="n">
        <v>25</v>
      </c>
      <c r="F159" t="inlineStr">
        <is>
          <t>Apple Pay</t>
        </is>
      </c>
    </row>
    <row r="160">
      <c r="A160" s="78" t="n">
        <v>46339.42708333334</v>
      </c>
      <c r="B160" t="inlineStr">
        <is>
          <t>T101601</t>
        </is>
      </c>
      <c r="C160" t="inlineStr">
        <is>
          <t>Nicolas Lopez</t>
        </is>
      </c>
      <c r="D160" t="inlineStr">
        <is>
          <t>Amelia Lopez</t>
        </is>
      </c>
      <c r="E160" t="n">
        <v>25</v>
      </c>
      <c r="F160" t="inlineStr">
        <is>
          <t>Apple Pay</t>
        </is>
      </c>
    </row>
    <row r="161">
      <c r="A161" s="78" t="n">
        <v>46338.30208333334</v>
      </c>
      <c r="B161" t="inlineStr">
        <is>
          <t>T102287</t>
        </is>
      </c>
      <c r="C161" t="inlineStr">
        <is>
          <t>Amelia Alvarez</t>
        </is>
      </c>
      <c r="D161" t="inlineStr">
        <is>
          <t>Lucas Alvarez</t>
        </is>
      </c>
      <c r="E161" t="n">
        <v>10</v>
      </c>
      <c r="F161" t="inlineStr">
        <is>
          <t>Credit Card</t>
        </is>
      </c>
    </row>
    <row r="162">
      <c r="A162" s="78" t="n">
        <v>46325.45833333334</v>
      </c>
      <c r="B162" t="inlineStr">
        <is>
          <t>T100950</t>
        </is>
      </c>
      <c r="C162" t="inlineStr">
        <is>
          <t>Lucas Sullivan</t>
        </is>
      </c>
      <c r="D162" t="inlineStr">
        <is>
          <t>Benjamin Sullivan</t>
        </is>
      </c>
      <c r="E162" t="n">
        <v>50</v>
      </c>
      <c r="F162" t="inlineStr">
        <is>
          <t>Credit Card</t>
        </is>
      </c>
    </row>
    <row r="163">
      <c r="A163" s="78" t="n">
        <v>46328.32291666666</v>
      </c>
      <c r="B163" t="inlineStr">
        <is>
          <t>T103671</t>
        </is>
      </c>
      <c r="C163" t="inlineStr">
        <is>
          <t>Diego Patel</t>
        </is>
      </c>
      <c r="D163" t="inlineStr">
        <is>
          <t>Isabella Patel</t>
        </is>
      </c>
      <c r="E163" t="n">
        <v>25</v>
      </c>
      <c r="F163" t="inlineStr">
        <is>
          <t>Credit Card</t>
        </is>
      </c>
    </row>
    <row r="164">
      <c r="A164" s="78" t="n">
        <v>46337.61458333334</v>
      </c>
      <c r="B164" t="inlineStr">
        <is>
          <t>T105050</t>
        </is>
      </c>
      <c r="C164" t="inlineStr">
        <is>
          <t>Ava Sanchez</t>
        </is>
      </c>
      <c r="D164" t="inlineStr">
        <is>
          <t>Henry Sanchez</t>
        </is>
      </c>
      <c r="E164" t="n">
        <v>25</v>
      </c>
      <c r="F164" t="inlineStr">
        <is>
          <t>Apple Pay</t>
        </is>
      </c>
    </row>
    <row r="165">
      <c r="A165" s="78" t="n">
        <v>46332.38541666666</v>
      </c>
      <c r="B165" t="inlineStr">
        <is>
          <t>T105119</t>
        </is>
      </c>
      <c r="C165" t="inlineStr">
        <is>
          <t>Amelia Lopez</t>
        </is>
      </c>
      <c r="D165" t="inlineStr">
        <is>
          <t>Leo Lopez</t>
        </is>
      </c>
      <c r="E165" t="n">
        <v>25</v>
      </c>
      <c r="F165" t="inlineStr">
        <is>
          <t>Apple Pay</t>
        </is>
      </c>
    </row>
    <row r="166">
      <c r="A166" s="78" t="n">
        <v>46335.72916666666</v>
      </c>
      <c r="B166" t="inlineStr">
        <is>
          <t>T103261</t>
        </is>
      </c>
      <c r="C166" t="inlineStr">
        <is>
          <t>Valentina Hernandez</t>
        </is>
      </c>
      <c r="D166" t="inlineStr">
        <is>
          <t>Camila Hernandez</t>
        </is>
      </c>
      <c r="E166" t="n">
        <v>40</v>
      </c>
      <c r="F166" t="inlineStr">
        <is>
          <t>Credit Card</t>
        </is>
      </c>
    </row>
    <row r="167">
      <c r="A167" s="78" t="n">
        <v>46333.60416666666</v>
      </c>
      <c r="B167" t="inlineStr">
        <is>
          <t>T100714</t>
        </is>
      </c>
      <c r="C167" t="inlineStr">
        <is>
          <t>Chloe Torres</t>
        </is>
      </c>
      <c r="D167" t="inlineStr">
        <is>
          <t>Julian Torres</t>
        </is>
      </c>
      <c r="E167" t="n">
        <v>20</v>
      </c>
      <c r="F167" t="inlineStr">
        <is>
          <t>Credit Card</t>
        </is>
      </c>
    </row>
    <row r="168">
      <c r="A168" s="78" t="n">
        <v>46332.82291666666</v>
      </c>
      <c r="B168" t="inlineStr">
        <is>
          <t>T102799</t>
        </is>
      </c>
      <c r="C168" t="inlineStr">
        <is>
          <t>Valentina Smith</t>
        </is>
      </c>
      <c r="D168" t="inlineStr">
        <is>
          <t>Camila Smith</t>
        </is>
      </c>
      <c r="E168" t="n">
        <v>75</v>
      </c>
      <c r="F168" t="inlineStr">
        <is>
          <t>Apple Pay</t>
        </is>
      </c>
    </row>
    <row r="169">
      <c r="A169" s="78" t="n">
        <v>46332.85416666666</v>
      </c>
      <c r="B169" t="inlineStr">
        <is>
          <t>T104507</t>
        </is>
      </c>
      <c r="C169" t="inlineStr">
        <is>
          <t>Leo Johnson</t>
        </is>
      </c>
      <c r="D169" t="inlineStr">
        <is>
          <t>Luna Johnson</t>
        </is>
      </c>
      <c r="E169" t="n">
        <v>10</v>
      </c>
      <c r="F169" t="inlineStr">
        <is>
          <t>Apple Pay</t>
        </is>
      </c>
    </row>
    <row r="170">
      <c r="A170" s="78" t="n">
        <v>46335.59375</v>
      </c>
      <c r="B170" t="inlineStr">
        <is>
          <t>T104525</t>
        </is>
      </c>
      <c r="C170" t="inlineStr">
        <is>
          <t>Emma Walsh</t>
        </is>
      </c>
      <c r="D170" t="inlineStr">
        <is>
          <t>Gabriel Walsh</t>
        </is>
      </c>
      <c r="E170" t="n">
        <v>150</v>
      </c>
      <c r="F170" t="inlineStr">
        <is>
          <t>Apple Pay</t>
        </is>
      </c>
    </row>
    <row r="171">
      <c r="A171" s="78" t="n">
        <v>46331.70833333334</v>
      </c>
      <c r="B171" t="inlineStr">
        <is>
          <t>T104718</t>
        </is>
      </c>
      <c r="C171" t="inlineStr">
        <is>
          <t>Joseph O'Brien</t>
        </is>
      </c>
      <c r="D171" t="inlineStr">
        <is>
          <t>Samuel O'Brien</t>
        </is>
      </c>
      <c r="E171" t="n">
        <v>100</v>
      </c>
      <c r="F171" t="inlineStr">
        <is>
          <t>Credit Card</t>
        </is>
      </c>
    </row>
    <row r="172">
      <c r="A172" s="78" t="n">
        <v>46335.78125</v>
      </c>
      <c r="B172" t="inlineStr">
        <is>
          <t>T103514</t>
        </is>
      </c>
      <c r="C172" t="inlineStr">
        <is>
          <t>Nicolas Ramirez</t>
        </is>
      </c>
      <c r="D172" t="inlineStr">
        <is>
          <t>Lucas Ramirez</t>
        </is>
      </c>
      <c r="E172" t="n">
        <v>150</v>
      </c>
      <c r="F172" t="inlineStr">
        <is>
          <t>Apple Pay</t>
        </is>
      </c>
    </row>
    <row r="173">
      <c r="A173" s="78" t="n">
        <v>46325.71875</v>
      </c>
      <c r="B173" t="inlineStr">
        <is>
          <t>T102002</t>
        </is>
      </c>
      <c r="C173" t="inlineStr">
        <is>
          <t>Zoe Gomez</t>
        </is>
      </c>
      <c r="D173" t="inlineStr">
        <is>
          <t>Camila Gomez</t>
        </is>
      </c>
      <c r="E173" t="n">
        <v>25</v>
      </c>
      <c r="F173" t="inlineStr">
        <is>
          <t>Credit Card</t>
        </is>
      </c>
    </row>
    <row r="174">
      <c r="A174" s="78" t="n">
        <v>46329.69791666666</v>
      </c>
      <c r="B174" t="inlineStr">
        <is>
          <t>T102943</t>
        </is>
      </c>
      <c r="C174" t="inlineStr">
        <is>
          <t>Ava Perez</t>
        </is>
      </c>
      <c r="D174" t="inlineStr">
        <is>
          <t>Henry Perez</t>
        </is>
      </c>
      <c r="E174" t="n">
        <v>50</v>
      </c>
      <c r="F174" t="inlineStr">
        <is>
          <t>Apple Pay</t>
        </is>
      </c>
    </row>
    <row r="175">
      <c r="A175" s="78" t="n">
        <v>46336.73958333334</v>
      </c>
      <c r="B175" t="inlineStr">
        <is>
          <t>T104030</t>
        </is>
      </c>
      <c r="C175" t="inlineStr">
        <is>
          <t>Clara Sullivan</t>
        </is>
      </c>
      <c r="D175" t="inlineStr">
        <is>
          <t>James Sullivan</t>
        </is>
      </c>
      <c r="E175" t="n">
        <v>25</v>
      </c>
      <c r="F175" t="inlineStr">
        <is>
          <t>Apple Pay</t>
        </is>
      </c>
    </row>
    <row r="176">
      <c r="A176" t="inlineStr">
        <is>
          <t>11/12/2026 08:45 AM</t>
        </is>
      </c>
      <c r="B176" t="inlineStr">
        <is>
          <t>T100234</t>
        </is>
      </c>
      <c r="C176" t="inlineStr">
        <is>
          <t>Harper Morales</t>
        </is>
      </c>
      <c r="D176" t="inlineStr">
        <is>
          <t>Lily Morales</t>
        </is>
      </c>
      <c r="E176" t="n">
        <v>75</v>
      </c>
      <c r="F176" t="inlineStr">
        <is>
          <t>Credit Card</t>
        </is>
      </c>
    </row>
    <row r="177">
      <c r="A177" s="78" t="n">
        <v>46333.5</v>
      </c>
      <c r="C177" t="inlineStr">
        <is>
          <t>Grace Kelly</t>
        </is>
      </c>
      <c r="D177" t="inlineStr">
        <is>
          <t>No Txn Id</t>
        </is>
      </c>
      <c r="E177" t="n">
        <v>15</v>
      </c>
      <c r="F177" t="inlineStr">
        <is>
          <t>Credit Card</t>
        </is>
      </c>
    </row>
    <row r="178">
      <c r="A178" s="78" t="n">
        <v>46331.55208333334</v>
      </c>
      <c r="B178" t="inlineStr">
        <is>
          <t>T105334</t>
        </is>
      </c>
      <c r="C178" t="inlineStr">
        <is>
          <t>Nguyen, Diego</t>
        </is>
      </c>
      <c r="D178" t="inlineStr">
        <is>
          <t>Samuel Nguyen</t>
        </is>
      </c>
      <c r="E178" t="n">
        <v>50</v>
      </c>
      <c r="F178" t="inlineStr">
        <is>
          <t>Credit Card</t>
        </is>
      </c>
    </row>
    <row r="179">
      <c r="A179" s="78" t="n">
        <v>46327.32291666666</v>
      </c>
      <c r="B179" t="inlineStr">
        <is>
          <t>T101651</t>
        </is>
      </c>
      <c r="C179" t="inlineStr">
        <is>
          <t>Nora O'Brien</t>
        </is>
      </c>
      <c r="D179" t="inlineStr">
        <is>
          <t>Grace O'Brien</t>
        </is>
      </c>
      <c r="E179" t="n">
        <v>50</v>
      </c>
      <c r="F179" t="inlineStr">
        <is>
          <t>Credit Card</t>
        </is>
      </c>
    </row>
    <row r="180">
      <c r="A180" t="inlineStr">
        <is>
          <t>11/08/2026 09:15 AM</t>
        </is>
      </c>
      <c r="B180" t="inlineStr">
        <is>
          <t>T100537</t>
        </is>
      </c>
      <c r="C180" t="inlineStr">
        <is>
          <t>Thomas Kelly</t>
        </is>
      </c>
      <c r="D180" t="inlineStr">
        <is>
          <t>Elena Kelly</t>
        </is>
      </c>
      <c r="E180" t="n">
        <v>50</v>
      </c>
      <c r="F180" t="inlineStr">
        <is>
          <t>Apple Pay</t>
        </is>
      </c>
    </row>
    <row r="181">
      <c r="A181" s="78" t="n">
        <v>46334.60416666666</v>
      </c>
      <c r="B181" t="inlineStr">
        <is>
          <t>T101131</t>
        </is>
      </c>
      <c r="C181" t="inlineStr">
        <is>
          <t>Maya Nguyen</t>
        </is>
      </c>
      <c r="D181" t="inlineStr">
        <is>
          <t>Isabella Nguyen</t>
        </is>
      </c>
      <c r="E181" t="n">
        <v>20</v>
      </c>
      <c r="F181" t="inlineStr">
        <is>
          <t>Credit Card</t>
        </is>
      </c>
    </row>
    <row r="182">
      <c r="A182" s="78" t="n">
        <v>46328.76041666666</v>
      </c>
      <c r="B182" t="inlineStr">
        <is>
          <t>T101984</t>
        </is>
      </c>
      <c r="C182" t="inlineStr">
        <is>
          <t>Maya Kim</t>
        </is>
      </c>
      <c r="D182" t="inlineStr">
        <is>
          <t>David Kim</t>
        </is>
      </c>
      <c r="E182" t="n">
        <v>20</v>
      </c>
      <c r="F182" t="inlineStr">
        <is>
          <t>Credit Card</t>
        </is>
      </c>
    </row>
    <row r="183">
      <c r="A183" s="78" t="n">
        <v>46338.35416666666</v>
      </c>
      <c r="B183" t="inlineStr">
        <is>
          <t>T102060</t>
        </is>
      </c>
      <c r="C183" t="inlineStr">
        <is>
          <t>Lopez, Clara</t>
        </is>
      </c>
      <c r="D183" t="inlineStr">
        <is>
          <t>Isabella Lopez</t>
        </is>
      </c>
      <c r="E183" t="n">
        <v>20</v>
      </c>
      <c r="F183" t="inlineStr">
        <is>
          <t>Credit Card</t>
        </is>
      </c>
    </row>
    <row r="184">
      <c r="A184" s="78" t="n">
        <v>46334.54166666666</v>
      </c>
      <c r="B184" t="inlineStr">
        <is>
          <t>T101908</t>
        </is>
      </c>
      <c r="C184" t="inlineStr">
        <is>
          <t>Santiago Gutierrez</t>
        </is>
      </c>
      <c r="D184" t="inlineStr">
        <is>
          <t>Daniel Gutierrez</t>
        </is>
      </c>
      <c r="E184" t="n">
        <v>100</v>
      </c>
      <c r="F184" t="inlineStr">
        <is>
          <t>Credit Card</t>
        </is>
      </c>
    </row>
    <row r="185">
      <c r="A185" s="78" t="n">
        <v>46331.32291666666</v>
      </c>
      <c r="B185" t="inlineStr">
        <is>
          <t>T104350</t>
        </is>
      </c>
      <c r="C185" t="inlineStr">
        <is>
          <t>Harper Reyes</t>
        </is>
      </c>
      <c r="D185" t="inlineStr">
        <is>
          <t>Camila Reyes</t>
        </is>
      </c>
      <c r="E185" t="n">
        <v>25</v>
      </c>
      <c r="F185" t="inlineStr">
        <is>
          <t>Apple Pay</t>
        </is>
      </c>
    </row>
    <row r="186">
      <c r="A186" s="78" t="n">
        <v>46329.47916666666</v>
      </c>
      <c r="B186" t="inlineStr">
        <is>
          <t>T101535</t>
        </is>
      </c>
      <c r="C186" t="inlineStr">
        <is>
          <t>Zoe Ortiz</t>
        </is>
      </c>
      <c r="D186" t="inlineStr">
        <is>
          <t>David Ortiz</t>
        </is>
      </c>
      <c r="E186" t="n">
        <v>25</v>
      </c>
      <c r="F186" t="inlineStr">
        <is>
          <t>Apple Pay</t>
        </is>
      </c>
    </row>
    <row r="187">
      <c r="A187" s="78" t="n">
        <v>46325.55208333334</v>
      </c>
      <c r="B187" t="inlineStr">
        <is>
          <t>T104754</t>
        </is>
      </c>
      <c r="C187" t="inlineStr">
        <is>
          <t>Zoe Johnson</t>
        </is>
      </c>
      <c r="D187" t="inlineStr">
        <is>
          <t>Zoe Johnson</t>
        </is>
      </c>
      <c r="E187" t="n">
        <v>40</v>
      </c>
      <c r="F187" t="inlineStr">
        <is>
          <t>Credit Card</t>
        </is>
      </c>
    </row>
    <row r="188">
      <c r="A188" s="78" t="n">
        <v>46335.38541666666</v>
      </c>
      <c r="B188" t="inlineStr">
        <is>
          <t>T100810</t>
        </is>
      </c>
      <c r="C188" t="inlineStr">
        <is>
          <t>Valentina Torres</t>
        </is>
      </c>
      <c r="D188" t="inlineStr">
        <is>
          <t>Benjamin Torres</t>
        </is>
      </c>
      <c r="E188" t="n">
        <v>50</v>
      </c>
      <c r="F188" t="inlineStr">
        <is>
          <t>Apple Pay</t>
        </is>
      </c>
    </row>
    <row r="189">
      <c r="A189" s="78" t="n">
        <v>46328.40625</v>
      </c>
      <c r="B189" t="inlineStr">
        <is>
          <t>T102805</t>
        </is>
      </c>
      <c r="C189" t="inlineStr">
        <is>
          <t>Lucas Kelly</t>
        </is>
      </c>
      <c r="D189" t="inlineStr">
        <is>
          <t>Lucas Kelly</t>
        </is>
      </c>
      <c r="E189" t="n">
        <v>25</v>
      </c>
      <c r="F189" t="inlineStr">
        <is>
          <t>Apple Pay</t>
        </is>
      </c>
    </row>
    <row r="190">
      <c r="A190" s="78" t="n">
        <v>46328.34375</v>
      </c>
      <c r="B190" t="inlineStr">
        <is>
          <t>T102266</t>
        </is>
      </c>
      <c r="C190" t="inlineStr">
        <is>
          <t>Amelia Sullivan</t>
        </is>
      </c>
      <c r="D190" t="inlineStr">
        <is>
          <t>Grace Sullivan</t>
        </is>
      </c>
      <c r="E190" t="n">
        <v>50</v>
      </c>
      <c r="F190" t="inlineStr">
        <is>
          <t>Credit Card</t>
        </is>
      </c>
    </row>
    <row r="191">
      <c r="A191" s="78" t="n">
        <v>46325.71875</v>
      </c>
      <c r="B191" t="inlineStr">
        <is>
          <t>T103875</t>
        </is>
      </c>
      <c r="C191" t="inlineStr">
        <is>
          <t>Camila O'Brien</t>
        </is>
      </c>
      <c r="D191" t="inlineStr">
        <is>
          <t>Isaac O'Brien</t>
        </is>
      </c>
      <c r="E191" t="n">
        <v>25</v>
      </c>
      <c r="F191" t="inlineStr">
        <is>
          <t>Credit Card</t>
        </is>
      </c>
    </row>
    <row r="192">
      <c r="A192" s="78" t="n">
        <v>46328.66666666666</v>
      </c>
      <c r="B192" t="inlineStr">
        <is>
          <t>T101237</t>
        </is>
      </c>
      <c r="C192" t="inlineStr">
        <is>
          <t>Mendoza, Nicolas</t>
        </is>
      </c>
      <c r="D192" t="inlineStr">
        <is>
          <t>Benjamin Mendoza</t>
        </is>
      </c>
      <c r="E192" t="n">
        <v>150</v>
      </c>
      <c r="F192" t="inlineStr">
        <is>
          <t>Apple Pay</t>
        </is>
      </c>
    </row>
    <row r="193">
      <c r="A193" t="inlineStr">
        <is>
          <t>11/13/2026 02:45 PM</t>
        </is>
      </c>
      <c r="B193" t="inlineStr">
        <is>
          <t>T100878</t>
        </is>
      </c>
      <c r="C193" t="inlineStr">
        <is>
          <t>Noah Castillo</t>
        </is>
      </c>
      <c r="D193" t="inlineStr">
        <is>
          <t>Valentina Castillo</t>
        </is>
      </c>
      <c r="E193" t="n">
        <v>20</v>
      </c>
      <c r="F193" t="inlineStr">
        <is>
          <t>Credit Card</t>
        </is>
      </c>
    </row>
    <row r="194">
      <c r="A194" s="78" t="n">
        <v>46327.85416666666</v>
      </c>
      <c r="B194" t="inlineStr">
        <is>
          <t>T102602</t>
        </is>
      </c>
      <c r="C194" t="inlineStr">
        <is>
          <t>Daniel Cruz</t>
        </is>
      </c>
      <c r="D194" t="inlineStr">
        <is>
          <t>Isaac Cruz</t>
        </is>
      </c>
      <c r="E194" t="n">
        <v>50</v>
      </c>
      <c r="F194" t="inlineStr">
        <is>
          <t>Credit Card</t>
        </is>
      </c>
    </row>
    <row r="195">
      <c r="A195" s="78" t="n">
        <v>46335.5</v>
      </c>
      <c r="B195" t="inlineStr">
        <is>
          <t>T104559</t>
        </is>
      </c>
      <c r="C195" t="inlineStr">
        <is>
          <t xml:space="preserve">  LIAM   walsh </t>
        </is>
      </c>
      <c r="D195" t="inlineStr">
        <is>
          <t>Lucas Walsh</t>
        </is>
      </c>
      <c r="E195" t="n">
        <v>100</v>
      </c>
      <c r="F195" t="inlineStr">
        <is>
          <t>Apple Pay</t>
        </is>
      </c>
    </row>
    <row r="196">
      <c r="A196" s="78" t="n">
        <v>46336.66666666666</v>
      </c>
      <c r="B196" t="inlineStr">
        <is>
          <t>T103419</t>
        </is>
      </c>
      <c r="C196" t="inlineStr">
        <is>
          <t>Mendoza, Noah</t>
        </is>
      </c>
      <c r="D196" t="inlineStr">
        <is>
          <t>Noah Mendoza</t>
        </is>
      </c>
      <c r="E196" t="n">
        <v>150</v>
      </c>
      <c r="F196" t="inlineStr">
        <is>
          <t>Apple Pay</t>
        </is>
      </c>
    </row>
    <row r="197">
      <c r="A197" t="inlineStr">
        <is>
          <t>11/12/2026 05:15 PM</t>
        </is>
      </c>
      <c r="B197" t="inlineStr">
        <is>
          <t>T102883</t>
        </is>
      </c>
      <c r="C197" t="inlineStr">
        <is>
          <t>Lily Garcia</t>
        </is>
      </c>
      <c r="D197" t="inlineStr">
        <is>
          <t>Lucas Garcia</t>
        </is>
      </c>
      <c r="E197" t="n">
        <v>50</v>
      </c>
      <c r="F197" t="inlineStr">
        <is>
          <t>Apple Pay</t>
        </is>
      </c>
    </row>
    <row r="198">
      <c r="A198" s="78" t="n">
        <v>46336.65625</v>
      </c>
      <c r="B198" t="inlineStr">
        <is>
          <t>T104828</t>
        </is>
      </c>
      <c r="C198" t="inlineStr">
        <is>
          <t>Julian Sullivan</t>
        </is>
      </c>
      <c r="D198" t="inlineStr">
        <is>
          <t>Mia Sullivan</t>
        </is>
      </c>
      <c r="E198" t="n">
        <v>100</v>
      </c>
      <c r="F198" t="inlineStr">
        <is>
          <t>Apple Pay</t>
        </is>
      </c>
    </row>
    <row r="199">
      <c r="A199" s="78" t="n">
        <v>46332.90625</v>
      </c>
      <c r="B199" t="inlineStr">
        <is>
          <t>T101756</t>
        </is>
      </c>
      <c r="C199" t="inlineStr">
        <is>
          <t xml:space="preserve">  LUNA   nguyen </t>
        </is>
      </c>
      <c r="D199" t="inlineStr">
        <is>
          <t>Chloe Nguyen</t>
        </is>
      </c>
      <c r="E199" t="n">
        <v>20</v>
      </c>
      <c r="F199" t="inlineStr">
        <is>
          <t>Apple Pay</t>
        </is>
      </c>
    </row>
    <row r="200">
      <c r="A200" s="78" t="n">
        <v>46329.41666666666</v>
      </c>
      <c r="B200" t="inlineStr">
        <is>
          <t>T104897</t>
        </is>
      </c>
      <c r="C200" t="inlineStr">
        <is>
          <t>James Martinez</t>
        </is>
      </c>
      <c r="D200" t="inlineStr">
        <is>
          <t>Leo Martinez</t>
        </is>
      </c>
      <c r="E200" t="n">
        <v>25</v>
      </c>
      <c r="F200" t="inlineStr">
        <is>
          <t>Apple Pay</t>
        </is>
      </c>
    </row>
    <row r="201">
      <c r="A201" s="78" t="n">
        <v>46338.54166666666</v>
      </c>
      <c r="B201" t="inlineStr">
        <is>
          <t>T104501</t>
        </is>
      </c>
      <c r="C201" t="inlineStr">
        <is>
          <t>Gomez, Noah</t>
        </is>
      </c>
      <c r="D201" t="inlineStr">
        <is>
          <t>Elijah Gomez</t>
        </is>
      </c>
      <c r="E201" t="n">
        <v>10</v>
      </c>
      <c r="F201" t="inlineStr">
        <is>
          <t>Apple Pay</t>
        </is>
      </c>
    </row>
    <row r="202">
      <c r="A202" s="78" t="n">
        <v>46325.53125</v>
      </c>
      <c r="B202" t="inlineStr">
        <is>
          <t>T103187</t>
        </is>
      </c>
      <c r="C202" t="inlineStr">
        <is>
          <t>Ortiz, Chloe</t>
        </is>
      </c>
      <c r="D202" t="inlineStr">
        <is>
          <t>Chloe Ortiz</t>
        </is>
      </c>
      <c r="E202" t="n">
        <v>150</v>
      </c>
      <c r="F202" t="inlineStr">
        <is>
          <t>Credit Card</t>
        </is>
      </c>
    </row>
    <row r="203">
      <c r="A203" s="78" t="n">
        <v>46336.75</v>
      </c>
      <c r="B203" t="inlineStr">
        <is>
          <t>T102157</t>
        </is>
      </c>
      <c r="C203" t="inlineStr">
        <is>
          <t>Ava Murphy</t>
        </is>
      </c>
      <c r="D203" t="inlineStr">
        <is>
          <t>Emma Murphy</t>
        </is>
      </c>
      <c r="E203" t="n">
        <v>40</v>
      </c>
      <c r="F203" t="inlineStr">
        <is>
          <t>Apple Pay</t>
        </is>
      </c>
    </row>
    <row r="204">
      <c r="A204" s="78" t="n">
        <v>46328.84375</v>
      </c>
      <c r="B204" t="inlineStr">
        <is>
          <t>T104949</t>
        </is>
      </c>
      <c r="C204" t="inlineStr">
        <is>
          <t>Gutierrez, Clara</t>
        </is>
      </c>
      <c r="D204" t="inlineStr">
        <is>
          <t>Valentina Gutierrez</t>
        </is>
      </c>
      <c r="E204" t="n">
        <v>25</v>
      </c>
      <c r="F204" t="inlineStr">
        <is>
          <t>Credit Card</t>
        </is>
      </c>
    </row>
    <row r="205">
      <c r="A205" s="78" t="n">
        <v>46339.67708333334</v>
      </c>
      <c r="B205" t="inlineStr">
        <is>
          <t>T100073</t>
        </is>
      </c>
      <c r="C205" t="inlineStr">
        <is>
          <t>Chloe Cruz</t>
        </is>
      </c>
      <c r="D205" t="inlineStr">
        <is>
          <t>Aria Cruz</t>
        </is>
      </c>
      <c r="E205" t="inlineStr">
        <is>
          <t>$20.00</t>
        </is>
      </c>
      <c r="F205" t="inlineStr">
        <is>
          <t>Credit Card</t>
        </is>
      </c>
    </row>
    <row r="206">
      <c r="A206" s="78" t="n">
        <v>46331.44791666666</v>
      </c>
      <c r="B206" t="inlineStr">
        <is>
          <t>T104746</t>
        </is>
      </c>
      <c r="C206" t="inlineStr">
        <is>
          <t>Noah Castillo</t>
        </is>
      </c>
      <c r="D206" t="inlineStr">
        <is>
          <t>Isaac Castillo</t>
        </is>
      </c>
      <c r="E206" t="n">
        <v>100</v>
      </c>
      <c r="F206" t="inlineStr">
        <is>
          <t>Credit Card</t>
        </is>
      </c>
    </row>
    <row r="207">
      <c r="A207" s="78" t="n">
        <v>46339.88541666666</v>
      </c>
      <c r="B207" t="inlineStr">
        <is>
          <t>T104013</t>
        </is>
      </c>
      <c r="C207" t="inlineStr">
        <is>
          <t>Williams, Amelia</t>
        </is>
      </c>
      <c r="D207" t="inlineStr">
        <is>
          <t>Noah Williams</t>
        </is>
      </c>
      <c r="E207" t="n">
        <v>25</v>
      </c>
      <c r="F207" t="inlineStr">
        <is>
          <t>Apple Pay</t>
        </is>
      </c>
    </row>
    <row r="208">
      <c r="A208" s="78" t="n">
        <v>46338.69791666666</v>
      </c>
      <c r="B208" t="inlineStr">
        <is>
          <t>T100330</t>
        </is>
      </c>
      <c r="C208" t="inlineStr">
        <is>
          <t>Daniel Cruz</t>
        </is>
      </c>
      <c r="D208" t="inlineStr">
        <is>
          <t>Evelyn Cruz</t>
        </is>
      </c>
      <c r="E208" t="n">
        <v>25</v>
      </c>
      <c r="F208" t="inlineStr">
        <is>
          <t>Credit Card</t>
        </is>
      </c>
    </row>
    <row r="209">
      <c r="A209" s="78" t="n">
        <v>46325.58333333334</v>
      </c>
      <c r="B209" t="inlineStr">
        <is>
          <t>T100959</t>
        </is>
      </c>
      <c r="C209" t="inlineStr">
        <is>
          <t>Amelia Gomez</t>
        </is>
      </c>
      <c r="D209" t="inlineStr">
        <is>
          <t>Adrian Gomez</t>
        </is>
      </c>
      <c r="E209" t="n">
        <v>25</v>
      </c>
      <c r="F209" t="inlineStr">
        <is>
          <t>Credit Card</t>
        </is>
      </c>
    </row>
    <row r="210">
      <c r="A210" s="78" t="n">
        <v>46330.39583333334</v>
      </c>
      <c r="B210" t="inlineStr">
        <is>
          <t>T100487</t>
        </is>
      </c>
      <c r="C210" t="inlineStr">
        <is>
          <t>Henry Martinez</t>
        </is>
      </c>
      <c r="D210" t="inlineStr">
        <is>
          <t>Isaac Martinez</t>
        </is>
      </c>
      <c r="E210" t="n">
        <v>25</v>
      </c>
      <c r="F210" t="inlineStr">
        <is>
          <t>Apple Pay</t>
        </is>
      </c>
    </row>
    <row r="211">
      <c r="A211" s="78" t="n">
        <v>46325.83333333334</v>
      </c>
      <c r="B211" t="inlineStr">
        <is>
          <t>T102854</t>
        </is>
      </c>
      <c r="C211" t="inlineStr">
        <is>
          <t>Ava Chavez</t>
        </is>
      </c>
      <c r="D211" t="inlineStr">
        <is>
          <t>Elijah Chavez</t>
        </is>
      </c>
      <c r="E211" t="inlineStr">
        <is>
          <t>$25.00</t>
        </is>
      </c>
      <c r="F211" t="inlineStr">
        <is>
          <t>Credit Card</t>
        </is>
      </c>
    </row>
    <row r="212">
      <c r="A212" s="78" t="n">
        <v>46338.73958333334</v>
      </c>
      <c r="B212" t="inlineStr">
        <is>
          <t>T102172</t>
        </is>
      </c>
      <c r="C212" t="inlineStr">
        <is>
          <t xml:space="preserve">  EMMA   murphy </t>
        </is>
      </c>
      <c r="D212" t="inlineStr">
        <is>
          <t>Nicolas Murphy</t>
        </is>
      </c>
      <c r="E212" t="n">
        <v>50</v>
      </c>
      <c r="F212" t="inlineStr">
        <is>
          <t>Credit Card</t>
        </is>
      </c>
    </row>
    <row r="213">
      <c r="A213" s="78" t="n">
        <v>46335.45833333334</v>
      </c>
      <c r="B213" t="inlineStr">
        <is>
          <t>T102042</t>
        </is>
      </c>
      <c r="C213" t="inlineStr">
        <is>
          <t>Nicolas Brown</t>
        </is>
      </c>
      <c r="D213" t="inlineStr">
        <is>
          <t>Thomas Brown</t>
        </is>
      </c>
      <c r="E213" t="n">
        <v>25</v>
      </c>
      <c r="F213" t="inlineStr">
        <is>
          <t>Apple Pay</t>
        </is>
      </c>
    </row>
    <row r="214">
      <c r="A214" s="78" t="n">
        <v>46326.52083333334</v>
      </c>
      <c r="B214" t="inlineStr">
        <is>
          <t>T104800</t>
        </is>
      </c>
      <c r="C214" t="inlineStr">
        <is>
          <t>Emma Williams</t>
        </is>
      </c>
      <c r="D214" t="inlineStr">
        <is>
          <t>Sofia Williams</t>
        </is>
      </c>
      <c r="E214" t="n">
        <v>75</v>
      </c>
      <c r="F214" t="inlineStr">
        <is>
          <t>Apple Pay</t>
        </is>
      </c>
    </row>
    <row r="215">
      <c r="A215" s="78" t="n">
        <v>46330.61458333334</v>
      </c>
      <c r="B215" t="inlineStr">
        <is>
          <t>T103721</t>
        </is>
      </c>
      <c r="C215" t="inlineStr">
        <is>
          <t>Thomas Nguyen</t>
        </is>
      </c>
      <c r="D215" t="inlineStr">
        <is>
          <t>Mateo Nguyen</t>
        </is>
      </c>
      <c r="E215" t="n">
        <v>25</v>
      </c>
      <c r="F215" t="inlineStr">
        <is>
          <t>Apple Pay</t>
        </is>
      </c>
    </row>
    <row r="216">
      <c r="A216" s="78" t="n">
        <v>46337.29166666666</v>
      </c>
      <c r="B216" t="inlineStr">
        <is>
          <t>T103274</t>
        </is>
      </c>
      <c r="C216" t="inlineStr">
        <is>
          <t>Harper Murphy</t>
        </is>
      </c>
      <c r="D216" t="inlineStr">
        <is>
          <t>Leo Murphy</t>
        </is>
      </c>
      <c r="E216" t="n">
        <v>150</v>
      </c>
      <c r="F216" t="inlineStr">
        <is>
          <t>Credit Card</t>
        </is>
      </c>
    </row>
    <row r="217">
      <c r="A217" s="78" t="n">
        <v>46326.73958333334</v>
      </c>
      <c r="B217" t="inlineStr">
        <is>
          <t>T100173</t>
        </is>
      </c>
      <c r="C217" t="inlineStr">
        <is>
          <t>Elena Diaz</t>
        </is>
      </c>
      <c r="D217" t="inlineStr">
        <is>
          <t>Camila Diaz</t>
        </is>
      </c>
      <c r="E217" t="n">
        <v>100</v>
      </c>
      <c r="F217" t="inlineStr">
        <is>
          <t>Credit Card</t>
        </is>
      </c>
    </row>
    <row r="218">
      <c r="A218" t="inlineStr">
        <is>
          <t>11/01/2026 07:30 PM</t>
        </is>
      </c>
      <c r="B218" t="inlineStr">
        <is>
          <t>T100257</t>
        </is>
      </c>
      <c r="C218" t="inlineStr">
        <is>
          <t>Adrian Ortiz</t>
        </is>
      </c>
      <c r="D218" t="inlineStr">
        <is>
          <t>Valentina Ortiz</t>
        </is>
      </c>
      <c r="E218" t="n">
        <v>50</v>
      </c>
      <c r="F218" t="inlineStr">
        <is>
          <t>Apple Pay</t>
        </is>
      </c>
    </row>
    <row r="219">
      <c r="A219" s="78" t="n">
        <v>46335.72916666666</v>
      </c>
      <c r="B219" t="inlineStr">
        <is>
          <t>T104647</t>
        </is>
      </c>
      <c r="C219" t="inlineStr">
        <is>
          <t>Lucas Sanchez</t>
        </is>
      </c>
      <c r="D219" t="inlineStr">
        <is>
          <t>Mia Sanchez</t>
        </is>
      </c>
      <c r="E219" t="n">
        <v>20</v>
      </c>
      <c r="F219" t="inlineStr">
        <is>
          <t>Credit Card</t>
        </is>
      </c>
    </row>
    <row r="220">
      <c r="A220" s="78" t="n">
        <v>46328.76041666666</v>
      </c>
      <c r="B220" t="inlineStr">
        <is>
          <t>T102963</t>
        </is>
      </c>
      <c r="C220" t="inlineStr">
        <is>
          <t>Maya Patel</t>
        </is>
      </c>
      <c r="D220" t="inlineStr">
        <is>
          <t>Emma Patel</t>
        </is>
      </c>
      <c r="E220" t="n">
        <v>100</v>
      </c>
      <c r="F220" t="inlineStr">
        <is>
          <t>Apple Pay</t>
        </is>
      </c>
    </row>
    <row r="221">
      <c r="A221" s="78" t="n">
        <v>46335.5</v>
      </c>
      <c r="B221" t="inlineStr">
        <is>
          <t>T103698</t>
        </is>
      </c>
      <c r="C221" t="inlineStr">
        <is>
          <t>Emma Martinez</t>
        </is>
      </c>
      <c r="D221" t="inlineStr">
        <is>
          <t>Lily Martinez</t>
        </is>
      </c>
      <c r="E221" t="n">
        <v>25</v>
      </c>
      <c r="F221" t="inlineStr">
        <is>
          <t>Credit Card</t>
        </is>
      </c>
    </row>
    <row r="222">
      <c r="A222" s="78" t="n">
        <v>46338.77083333334</v>
      </c>
      <c r="B222" t="inlineStr">
        <is>
          <t>T101542</t>
        </is>
      </c>
      <c r="C222" t="inlineStr">
        <is>
          <t>Patel, Henry</t>
        </is>
      </c>
      <c r="D222" t="inlineStr">
        <is>
          <t>Camila Patel</t>
        </is>
      </c>
      <c r="E222" t="n">
        <v>40</v>
      </c>
      <c r="F222" t="inlineStr">
        <is>
          <t>Apple Pay</t>
        </is>
      </c>
    </row>
    <row r="223">
      <c r="A223" s="78" t="n">
        <v>46339.60416666666</v>
      </c>
      <c r="B223" t="inlineStr">
        <is>
          <t>T102897</t>
        </is>
      </c>
      <c r="C223" t="inlineStr">
        <is>
          <t>Nicolas Chavez</t>
        </is>
      </c>
      <c r="D223" t="inlineStr">
        <is>
          <t>Maya Chavez</t>
        </is>
      </c>
      <c r="E223" t="n">
        <v>20</v>
      </c>
      <c r="F223" t="inlineStr">
        <is>
          <t>Credit Card</t>
        </is>
      </c>
    </row>
    <row r="224">
      <c r="A224" s="78" t="n">
        <v>46335.90625</v>
      </c>
      <c r="B224" t="inlineStr">
        <is>
          <t>T102759</t>
        </is>
      </c>
      <c r="C224" t="inlineStr">
        <is>
          <t>Nora Flores</t>
        </is>
      </c>
      <c r="D224" t="inlineStr">
        <is>
          <t>Adrian Flores</t>
        </is>
      </c>
      <c r="E224" t="n">
        <v>40</v>
      </c>
      <c r="F224" t="inlineStr">
        <is>
          <t>Credit Card</t>
        </is>
      </c>
    </row>
    <row r="225">
      <c r="A225" s="78" t="n">
        <v>46335.61458333334</v>
      </c>
      <c r="B225" t="inlineStr">
        <is>
          <t>T100164</t>
        </is>
      </c>
      <c r="C225" t="inlineStr">
        <is>
          <t>Diaz, Harper</t>
        </is>
      </c>
      <c r="D225" t="inlineStr">
        <is>
          <t>Valentina Diaz</t>
        </is>
      </c>
      <c r="E225" t="n">
        <v>150</v>
      </c>
      <c r="F225" t="inlineStr">
        <is>
          <t>Credit Card</t>
        </is>
      </c>
    </row>
    <row r="226">
      <c r="A226" s="78" t="n">
        <v>46330.83333333334</v>
      </c>
      <c r="B226" t="inlineStr">
        <is>
          <t>T105162</t>
        </is>
      </c>
      <c r="C226" t="inlineStr">
        <is>
          <t>Lily Patel</t>
        </is>
      </c>
      <c r="D226" t="inlineStr">
        <is>
          <t>Gabriel Patel</t>
        </is>
      </c>
      <c r="E226" t="n">
        <v>75</v>
      </c>
      <c r="F226" t="inlineStr">
        <is>
          <t>Credit Card</t>
        </is>
      </c>
    </row>
    <row r="227">
      <c r="A227" s="78" t="n">
        <v>46332.72916666666</v>
      </c>
      <c r="B227" t="inlineStr">
        <is>
          <t>T105023</t>
        </is>
      </c>
      <c r="C227" t="inlineStr">
        <is>
          <t xml:space="preserve">  GRACE   garcia </t>
        </is>
      </c>
      <c r="D227" t="inlineStr">
        <is>
          <t>Henry Garcia</t>
        </is>
      </c>
      <c r="E227" t="n">
        <v>100</v>
      </c>
      <c r="F227" t="inlineStr">
        <is>
          <t>Credit Card</t>
        </is>
      </c>
    </row>
    <row r="228">
      <c r="A228" s="78" t="n">
        <v>46336.73958333334</v>
      </c>
      <c r="B228" t="inlineStr">
        <is>
          <t>T104333</t>
        </is>
      </c>
      <c r="C228" t="inlineStr">
        <is>
          <t>Joseph Kelly</t>
        </is>
      </c>
      <c r="D228" t="inlineStr">
        <is>
          <t>Joseph Kelly</t>
        </is>
      </c>
      <c r="E228" t="n">
        <v>25</v>
      </c>
      <c r="F228" t="inlineStr">
        <is>
          <t>Credit Card</t>
        </is>
      </c>
    </row>
    <row r="229">
      <c r="A229" s="78" t="n">
        <v>46336.625</v>
      </c>
      <c r="B229" t="inlineStr">
        <is>
          <t>T103592</t>
        </is>
      </c>
      <c r="C229" t="inlineStr">
        <is>
          <t>Joseph Kelly</t>
        </is>
      </c>
      <c r="D229" t="inlineStr">
        <is>
          <t>Elena Kelly</t>
        </is>
      </c>
      <c r="E229" t="n">
        <v>100</v>
      </c>
      <c r="F229" t="inlineStr">
        <is>
          <t>Credit Card</t>
        </is>
      </c>
    </row>
    <row r="230">
      <c r="A230" s="78" t="n">
        <v>46325.83333333334</v>
      </c>
      <c r="B230" t="inlineStr">
        <is>
          <t>T102498</t>
        </is>
      </c>
      <c r="C230" t="inlineStr">
        <is>
          <t>Nicolas Sullivan</t>
        </is>
      </c>
      <c r="D230" t="inlineStr">
        <is>
          <t>Emma Sullivan</t>
        </is>
      </c>
      <c r="E230" t="n">
        <v>25</v>
      </c>
      <c r="F230" t="inlineStr">
        <is>
          <t>Credit Card</t>
        </is>
      </c>
    </row>
    <row r="231">
      <c r="A231" s="78" t="n">
        <v>46335.71875</v>
      </c>
      <c r="B231" t="inlineStr">
        <is>
          <t>T100672</t>
        </is>
      </c>
      <c r="C231" t="inlineStr">
        <is>
          <t>Evelyn Ortiz</t>
        </is>
      </c>
      <c r="D231" t="inlineStr">
        <is>
          <t>Joseph Ortiz</t>
        </is>
      </c>
      <c r="E231" t="n">
        <v>50</v>
      </c>
      <c r="F231" t="inlineStr">
        <is>
          <t>Credit Card</t>
        </is>
      </c>
    </row>
    <row r="232">
      <c r="A232" s="78" t="n">
        <v>46326.45833333334</v>
      </c>
      <c r="B232" t="inlineStr">
        <is>
          <t>T104155</t>
        </is>
      </c>
      <c r="C232" t="inlineStr">
        <is>
          <t>Thomas Diaz</t>
        </is>
      </c>
      <c r="D232" t="inlineStr">
        <is>
          <t>Elijah Diaz</t>
        </is>
      </c>
      <c r="E232" t="n">
        <v>10</v>
      </c>
      <c r="F232" t="inlineStr">
        <is>
          <t>Apple Pay</t>
        </is>
      </c>
    </row>
    <row r="233">
      <c r="A233" s="78" t="n">
        <v>46336.77083333334</v>
      </c>
      <c r="B233" t="inlineStr">
        <is>
          <t>T104425</t>
        </is>
      </c>
      <c r="C233" t="inlineStr">
        <is>
          <t>Amelia Flores</t>
        </is>
      </c>
      <c r="D233" t="inlineStr">
        <is>
          <t>Camila Flores</t>
        </is>
      </c>
      <c r="E233" t="n">
        <v>40</v>
      </c>
      <c r="F233" t="inlineStr">
        <is>
          <t>Apple Pay</t>
        </is>
      </c>
    </row>
    <row r="234">
      <c r="A234" s="78" t="n">
        <v>46327.35416666666</v>
      </c>
      <c r="B234" t="inlineStr">
        <is>
          <t>T101324</t>
        </is>
      </c>
      <c r="C234" t="inlineStr">
        <is>
          <t>Murphy, Ava</t>
        </is>
      </c>
      <c r="D234" t="inlineStr">
        <is>
          <t>Aria Murphy</t>
        </is>
      </c>
      <c r="E234" t="n">
        <v>50</v>
      </c>
      <c r="F234" t="inlineStr">
        <is>
          <t>Apple Pay</t>
        </is>
      </c>
    </row>
    <row r="235">
      <c r="A235" s="78" t="n">
        <v>46336.84375</v>
      </c>
      <c r="B235" t="inlineStr">
        <is>
          <t>T102339</t>
        </is>
      </c>
      <c r="C235" t="inlineStr">
        <is>
          <t>Byrne, Luna</t>
        </is>
      </c>
      <c r="D235" t="inlineStr">
        <is>
          <t>Camila Byrne</t>
        </is>
      </c>
      <c r="E235" t="n">
        <v>20</v>
      </c>
      <c r="F235" t="inlineStr">
        <is>
          <t>Credit Card</t>
        </is>
      </c>
    </row>
    <row r="236">
      <c r="A236" s="78" t="n">
        <v>46330.42708333334</v>
      </c>
      <c r="B236" t="inlineStr">
        <is>
          <t>T105265</t>
        </is>
      </c>
      <c r="C236" t="inlineStr">
        <is>
          <t>Lopez, Santiago</t>
        </is>
      </c>
      <c r="D236" t="inlineStr">
        <is>
          <t>Maya Lopez</t>
        </is>
      </c>
      <c r="E236" t="n">
        <v>20</v>
      </c>
      <c r="F236" t="inlineStr">
        <is>
          <t>Apple Pay</t>
        </is>
      </c>
    </row>
    <row r="237">
      <c r="A237" s="78" t="n">
        <v>46331.83333333334</v>
      </c>
      <c r="B237" t="inlineStr">
        <is>
          <t>T101446</t>
        </is>
      </c>
      <c r="C237" t="inlineStr">
        <is>
          <t>Gabriel Smith</t>
        </is>
      </c>
      <c r="D237" t="inlineStr">
        <is>
          <t>Nora Smith</t>
        </is>
      </c>
      <c r="E237" t="n">
        <v>40</v>
      </c>
      <c r="F237" t="inlineStr">
        <is>
          <t>Credit Card</t>
        </is>
      </c>
    </row>
    <row r="238">
      <c r="A238" s="78" t="n">
        <v>46333.79166666666</v>
      </c>
      <c r="B238" t="inlineStr">
        <is>
          <t>T105164</t>
        </is>
      </c>
      <c r="C238" t="inlineStr">
        <is>
          <t xml:space="preserve">  CHLOE   reyes </t>
        </is>
      </c>
      <c r="D238" t="inlineStr">
        <is>
          <t>Samuel Reyes</t>
        </is>
      </c>
      <c r="E238" t="n">
        <v>50</v>
      </c>
      <c r="F238" t="inlineStr">
        <is>
          <t>Apple Pay</t>
        </is>
      </c>
    </row>
    <row r="239">
      <c r="A239" s="78" t="n">
        <v>46336.66666666666</v>
      </c>
      <c r="B239" t="inlineStr">
        <is>
          <t>T101119</t>
        </is>
      </c>
      <c r="C239" t="inlineStr">
        <is>
          <t>Hernandez, Valentina</t>
        </is>
      </c>
      <c r="D239" t="inlineStr">
        <is>
          <t>Mateo Hernandez</t>
        </is>
      </c>
      <c r="E239" t="n">
        <v>100</v>
      </c>
      <c r="F239" t="inlineStr">
        <is>
          <t>Credit Card</t>
        </is>
      </c>
    </row>
    <row r="240">
      <c r="A240" s="78" t="n">
        <v>46326.79166666666</v>
      </c>
      <c r="B240" t="inlineStr">
        <is>
          <t>T103298</t>
        </is>
      </c>
      <c r="C240" t="inlineStr">
        <is>
          <t>Gabriel Murphy</t>
        </is>
      </c>
      <c r="D240" t="inlineStr">
        <is>
          <t>Diego Murphy</t>
        </is>
      </c>
      <c r="E240" t="n">
        <v>25</v>
      </c>
      <c r="F240" t="inlineStr">
        <is>
          <t>Credit Card</t>
        </is>
      </c>
    </row>
    <row r="241">
      <c r="A241" s="78" t="n">
        <v>46331.625</v>
      </c>
      <c r="B241" t="inlineStr">
        <is>
          <t>T900006</t>
        </is>
      </c>
      <c r="C241" t="inlineStr">
        <is>
          <t>Grace Kelly</t>
        </is>
      </c>
      <c r="D241" t="inlineStr">
        <is>
          <t>Zero Donor</t>
        </is>
      </c>
      <c r="E241" t="n">
        <v>0</v>
      </c>
      <c r="F241" t="inlineStr">
        <is>
          <t>Credit Card</t>
        </is>
      </c>
    </row>
    <row r="242">
      <c r="A242" s="78" t="n">
        <v>46326.8125</v>
      </c>
      <c r="B242" t="inlineStr">
        <is>
          <t>T103566</t>
        </is>
      </c>
      <c r="C242" t="inlineStr">
        <is>
          <t>David Chavez</t>
        </is>
      </c>
      <c r="D242" t="inlineStr">
        <is>
          <t>Adrian Chavez</t>
        </is>
      </c>
      <c r="E242" t="n">
        <v>25</v>
      </c>
      <c r="F242" t="inlineStr">
        <is>
          <t>Apple Pay</t>
        </is>
      </c>
    </row>
    <row r="243">
      <c r="A243" s="78" t="n">
        <v>46337.375</v>
      </c>
      <c r="B243" t="inlineStr">
        <is>
          <t>T103956</t>
        </is>
      </c>
      <c r="C243" t="inlineStr">
        <is>
          <t>Ella Torres</t>
        </is>
      </c>
      <c r="D243" t="inlineStr">
        <is>
          <t>Aria Torres</t>
        </is>
      </c>
      <c r="E243" t="n">
        <v>20</v>
      </c>
      <c r="F243" t="inlineStr">
        <is>
          <t>Apple Pay</t>
        </is>
      </c>
    </row>
    <row r="244">
      <c r="A244" s="78" t="n">
        <v>46332.52083333334</v>
      </c>
      <c r="B244" t="inlineStr">
        <is>
          <t>T104710</t>
        </is>
      </c>
      <c r="C244" t="inlineStr">
        <is>
          <t>Clara Mendoza</t>
        </is>
      </c>
      <c r="D244" t="inlineStr">
        <is>
          <t>Santiago Mendoza</t>
        </is>
      </c>
      <c r="E244" t="n">
        <v>25</v>
      </c>
      <c r="F244" t="inlineStr">
        <is>
          <t>Apple Pay</t>
        </is>
      </c>
    </row>
    <row r="245">
      <c r="A245" s="78" t="n">
        <v>46336.82291666666</v>
      </c>
      <c r="B245" t="inlineStr">
        <is>
          <t>T103327</t>
        </is>
      </c>
      <c r="C245" t="inlineStr">
        <is>
          <t xml:space="preserve">  ARIA   cruz </t>
        </is>
      </c>
      <c r="D245" t="inlineStr">
        <is>
          <t>David Cruz</t>
        </is>
      </c>
      <c r="E245" t="n">
        <v>100</v>
      </c>
      <c r="F245" t="inlineStr">
        <is>
          <t>Apple Pay</t>
        </is>
      </c>
    </row>
    <row r="246">
      <c r="A246" s="78" t="n">
        <v>46332.58333333334</v>
      </c>
      <c r="B246" t="inlineStr">
        <is>
          <t>T104877</t>
        </is>
      </c>
      <c r="C246" t="inlineStr">
        <is>
          <t>Diego O'Brien</t>
        </is>
      </c>
      <c r="D246" t="inlineStr">
        <is>
          <t>Harper O'Brien</t>
        </is>
      </c>
      <c r="E246" t="n">
        <v>100</v>
      </c>
      <c r="F246" t="inlineStr">
        <is>
          <t>Apple Pay</t>
        </is>
      </c>
    </row>
    <row r="247">
      <c r="A247" s="78" t="n">
        <v>46332.61458333334</v>
      </c>
      <c r="B247" t="inlineStr">
        <is>
          <t>T105095</t>
        </is>
      </c>
      <c r="C247" t="inlineStr">
        <is>
          <t>Valentina Martinez</t>
        </is>
      </c>
      <c r="D247" t="inlineStr">
        <is>
          <t>James Martinez</t>
        </is>
      </c>
      <c r="E247" t="n">
        <v>75</v>
      </c>
      <c r="F247" t="inlineStr">
        <is>
          <t>Credit Card</t>
        </is>
      </c>
    </row>
    <row r="248">
      <c r="A248" s="78" t="n">
        <v>46338.63541666666</v>
      </c>
      <c r="B248" t="inlineStr">
        <is>
          <t>T104302</t>
        </is>
      </c>
      <c r="C248" t="inlineStr">
        <is>
          <t>Leo Walsh</t>
        </is>
      </c>
      <c r="D248" t="inlineStr">
        <is>
          <t>Mateo Walsh</t>
        </is>
      </c>
      <c r="E248" t="n">
        <v>25</v>
      </c>
      <c r="F248" t="inlineStr">
        <is>
          <t>Credit Card</t>
        </is>
      </c>
    </row>
    <row r="249">
      <c r="A249" s="78" t="n">
        <v>46332.80208333334</v>
      </c>
      <c r="B249" t="inlineStr">
        <is>
          <t>T105200</t>
        </is>
      </c>
      <c r="C249" t="inlineStr">
        <is>
          <t>Noah Gutierrez</t>
        </is>
      </c>
      <c r="D249" t="inlineStr">
        <is>
          <t>Clara Gutierrez</t>
        </is>
      </c>
      <c r="E249" t="n">
        <v>20</v>
      </c>
      <c r="F249" t="inlineStr">
        <is>
          <t>Credit Card</t>
        </is>
      </c>
    </row>
    <row r="250">
      <c r="A250" s="78" t="n">
        <v>46333.32291666666</v>
      </c>
      <c r="B250" t="inlineStr">
        <is>
          <t>T103872</t>
        </is>
      </c>
      <c r="C250" t="inlineStr">
        <is>
          <t>Aria Gonzalez</t>
        </is>
      </c>
      <c r="D250" t="inlineStr">
        <is>
          <t>Benjamin Gonzalez</t>
        </is>
      </c>
      <c r="E250" t="n">
        <v>10</v>
      </c>
      <c r="F250" t="inlineStr">
        <is>
          <t>Credit Card</t>
        </is>
      </c>
    </row>
    <row r="251">
      <c r="A251" s="78" t="n">
        <v>46339.57291666666</v>
      </c>
      <c r="B251" t="inlineStr">
        <is>
          <t>T103330</t>
        </is>
      </c>
      <c r="C251" t="inlineStr">
        <is>
          <t>Chloe Gomez</t>
        </is>
      </c>
      <c r="D251" t="inlineStr">
        <is>
          <t>Elijah Gomez</t>
        </is>
      </c>
      <c r="E251" t="n">
        <v>25</v>
      </c>
      <c r="F251" t="inlineStr">
        <is>
          <t>Apple Pay</t>
        </is>
      </c>
    </row>
    <row r="252">
      <c r="A252" s="78" t="n">
        <v>46331.35416666666</v>
      </c>
      <c r="B252" t="inlineStr">
        <is>
          <t>T105330</t>
        </is>
      </c>
      <c r="C252" t="inlineStr">
        <is>
          <t>Joseph Sanchez</t>
        </is>
      </c>
      <c r="D252" t="inlineStr">
        <is>
          <t>Diego Sanchez</t>
        </is>
      </c>
      <c r="E252" t="n">
        <v>50</v>
      </c>
      <c r="F252" t="inlineStr">
        <is>
          <t>Apple Pay</t>
        </is>
      </c>
    </row>
    <row r="253">
      <c r="A253" s="78" t="n">
        <v>46325.5</v>
      </c>
      <c r="B253" t="inlineStr">
        <is>
          <t>T103730</t>
        </is>
      </c>
      <c r="C253" t="inlineStr">
        <is>
          <t>Emma Perez</t>
        </is>
      </c>
      <c r="D253" t="inlineStr">
        <is>
          <t>Elena Perez</t>
        </is>
      </c>
      <c r="E253" t="n">
        <v>150</v>
      </c>
      <c r="F253" t="inlineStr">
        <is>
          <t>Credit Card</t>
        </is>
      </c>
    </row>
    <row r="254">
      <c r="A254" s="78" t="n">
        <v>46331.42708333334</v>
      </c>
      <c r="B254" t="inlineStr">
        <is>
          <t>T100526</t>
        </is>
      </c>
      <c r="C254" t="inlineStr">
        <is>
          <t>Joseph Nguyen</t>
        </is>
      </c>
      <c r="D254" t="inlineStr">
        <is>
          <t>Chloe Nguyen</t>
        </is>
      </c>
      <c r="E254" t="n">
        <v>40</v>
      </c>
      <c r="F254" t="inlineStr">
        <is>
          <t>Credit Card</t>
        </is>
      </c>
    </row>
    <row r="255">
      <c r="A255" s="78" t="n">
        <v>46336.46875</v>
      </c>
      <c r="B255" t="inlineStr">
        <is>
          <t>T105140</t>
        </is>
      </c>
      <c r="C255" t="inlineStr">
        <is>
          <t>Zoe Garcia</t>
        </is>
      </c>
      <c r="D255" t="inlineStr">
        <is>
          <t>Ella Garcia</t>
        </is>
      </c>
      <c r="E255" t="n">
        <v>20</v>
      </c>
      <c r="F255" t="inlineStr">
        <is>
          <t>Apple Pay</t>
        </is>
      </c>
    </row>
    <row r="256">
      <c r="A256" s="78" t="n">
        <v>46339.29166666666</v>
      </c>
      <c r="B256" t="inlineStr">
        <is>
          <t>T100463</t>
        </is>
      </c>
      <c r="C256" t="inlineStr">
        <is>
          <t>Ava Murphy</t>
        </is>
      </c>
      <c r="D256" t="inlineStr">
        <is>
          <t>Elijah Murphy</t>
        </is>
      </c>
      <c r="E256" t="n">
        <v>100</v>
      </c>
      <c r="F256" t="inlineStr">
        <is>
          <t>Credit Card</t>
        </is>
      </c>
    </row>
    <row r="257">
      <c r="A257" s="78" t="n">
        <v>46338.80208333334</v>
      </c>
      <c r="B257" t="inlineStr">
        <is>
          <t>T100148</t>
        </is>
      </c>
      <c r="C257" t="inlineStr">
        <is>
          <t>Evelyn Rodriguez</t>
        </is>
      </c>
      <c r="D257" t="inlineStr">
        <is>
          <t>Chloe Rodriguez</t>
        </is>
      </c>
      <c r="E257" t="n">
        <v>50</v>
      </c>
      <c r="F257" t="inlineStr">
        <is>
          <t>Credit Card</t>
        </is>
      </c>
    </row>
    <row r="258">
      <c r="A258" s="78" t="n">
        <v>46325.86458333334</v>
      </c>
      <c r="B258" t="inlineStr">
        <is>
          <t>T101773</t>
        </is>
      </c>
      <c r="C258" t="inlineStr">
        <is>
          <t>Grace Johnson</t>
        </is>
      </c>
      <c r="D258" t="inlineStr">
        <is>
          <t>Aria Johnson</t>
        </is>
      </c>
      <c r="E258" t="n">
        <v>20</v>
      </c>
      <c r="F258" t="inlineStr">
        <is>
          <t>Apple Pay</t>
        </is>
      </c>
    </row>
    <row r="259">
      <c r="A259" s="78" t="n">
        <v>46332.80208333334</v>
      </c>
      <c r="B259" t="inlineStr">
        <is>
          <t>T104441</t>
        </is>
      </c>
      <c r="C259" t="inlineStr">
        <is>
          <t>Torres, Valentina</t>
        </is>
      </c>
      <c r="D259" t="inlineStr">
        <is>
          <t>Valentina Torres</t>
        </is>
      </c>
      <c r="E259" t="n">
        <v>10</v>
      </c>
      <c r="F259" t="inlineStr">
        <is>
          <t>Apple Pay</t>
        </is>
      </c>
    </row>
    <row r="260">
      <c r="A260" s="78" t="n">
        <v>46335.3125</v>
      </c>
      <c r="B260" t="inlineStr">
        <is>
          <t>T104719</t>
        </is>
      </c>
      <c r="C260" t="inlineStr">
        <is>
          <t>Emma Sanchez</t>
        </is>
      </c>
      <c r="D260" t="inlineStr">
        <is>
          <t>Amelia Sanchez</t>
        </is>
      </c>
      <c r="E260" t="n">
        <v>50</v>
      </c>
      <c r="F260" t="inlineStr">
        <is>
          <t>Apple Pay</t>
        </is>
      </c>
    </row>
    <row r="261">
      <c r="A261" s="78" t="n">
        <v>46334.38541666666</v>
      </c>
      <c r="B261" t="inlineStr">
        <is>
          <t>T105306</t>
        </is>
      </c>
      <c r="C261" t="inlineStr">
        <is>
          <t>O'Brien, Nora</t>
        </is>
      </c>
      <c r="D261" t="inlineStr">
        <is>
          <t>Nora O'Brien</t>
        </is>
      </c>
      <c r="E261" t="n">
        <v>50</v>
      </c>
      <c r="F261" t="inlineStr">
        <is>
          <t>Credit Card</t>
        </is>
      </c>
    </row>
    <row r="262">
      <c r="A262" s="78" t="n">
        <v>46325.67708333334</v>
      </c>
      <c r="B262" t="inlineStr">
        <is>
          <t>T101364</t>
        </is>
      </c>
      <c r="C262" t="inlineStr">
        <is>
          <t>Daniel Lopez</t>
        </is>
      </c>
      <c r="D262" t="inlineStr">
        <is>
          <t>Diego Lopez</t>
        </is>
      </c>
      <c r="E262" t="n">
        <v>20</v>
      </c>
      <c r="F262" t="inlineStr">
        <is>
          <t>Credit Card</t>
        </is>
      </c>
    </row>
    <row r="263">
      <c r="A263" s="78" t="n">
        <v>46330.5</v>
      </c>
      <c r="B263" t="inlineStr">
        <is>
          <t>T104645</t>
        </is>
      </c>
      <c r="C263" t="inlineStr">
        <is>
          <t>Clara Williams</t>
        </is>
      </c>
      <c r="D263" t="inlineStr">
        <is>
          <t>Adrian Williams</t>
        </is>
      </c>
      <c r="E263" t="inlineStr">
        <is>
          <t>$50.00</t>
        </is>
      </c>
      <c r="F263" t="inlineStr">
        <is>
          <t>Credit Card</t>
        </is>
      </c>
    </row>
    <row r="264">
      <c r="A264" s="78" t="n">
        <v>46325.625</v>
      </c>
      <c r="B264" t="inlineStr">
        <is>
          <t>T101420</t>
        </is>
      </c>
      <c r="C264" t="inlineStr">
        <is>
          <t>Mia Garcia</t>
        </is>
      </c>
      <c r="D264" t="inlineStr">
        <is>
          <t>Clara Garcia</t>
        </is>
      </c>
      <c r="E264" t="n">
        <v>50</v>
      </c>
      <c r="F264" t="inlineStr">
        <is>
          <t>Credit Card</t>
        </is>
      </c>
    </row>
    <row r="265">
      <c r="A265" s="78" t="n">
        <v>46329.32291666666</v>
      </c>
      <c r="B265" t="inlineStr">
        <is>
          <t>T103706</t>
        </is>
      </c>
      <c r="C265" t="inlineStr">
        <is>
          <t>Emma Sullivan</t>
        </is>
      </c>
      <c r="D265" t="inlineStr">
        <is>
          <t>Camila Sullivan</t>
        </is>
      </c>
      <c r="E265" t="n">
        <v>50</v>
      </c>
      <c r="F265" t="inlineStr">
        <is>
          <t>Credit Card</t>
        </is>
      </c>
    </row>
    <row r="266">
      <c r="A266" s="78" t="n">
        <v>46332.90625</v>
      </c>
      <c r="B266" t="inlineStr">
        <is>
          <t>T100451</t>
        </is>
      </c>
      <c r="C266" t="inlineStr">
        <is>
          <t>Lily Patel</t>
        </is>
      </c>
      <c r="D266" t="inlineStr">
        <is>
          <t>Zoe Patel</t>
        </is>
      </c>
      <c r="E266" t="n">
        <v>10</v>
      </c>
      <c r="F266" t="inlineStr">
        <is>
          <t>Credit Card</t>
        </is>
      </c>
    </row>
    <row r="267">
      <c r="A267" s="78" t="n">
        <v>46332.70833333334</v>
      </c>
      <c r="B267" t="inlineStr">
        <is>
          <t>T104224</t>
        </is>
      </c>
      <c r="C267" t="inlineStr">
        <is>
          <t>Adrian Lopez</t>
        </is>
      </c>
      <c r="D267" t="inlineStr">
        <is>
          <t>Grace Lopez</t>
        </is>
      </c>
      <c r="E267" t="n">
        <v>25</v>
      </c>
      <c r="F267" t="inlineStr">
        <is>
          <t>Credit Card</t>
        </is>
      </c>
    </row>
    <row r="268">
      <c r="A268" s="78" t="n">
        <v>46328.46875</v>
      </c>
      <c r="B268" t="inlineStr">
        <is>
          <t>T104264</t>
        </is>
      </c>
      <c r="C268" t="inlineStr">
        <is>
          <t>Amelia Gomez</t>
        </is>
      </c>
      <c r="D268" t="inlineStr">
        <is>
          <t>Adrian Gomez</t>
        </is>
      </c>
      <c r="E268" t="n">
        <v>50</v>
      </c>
      <c r="F268" t="inlineStr">
        <is>
          <t>Credit Card</t>
        </is>
      </c>
    </row>
    <row r="269">
      <c r="A269" s="78" t="n">
        <v>46333.5</v>
      </c>
      <c r="B269" t="inlineStr">
        <is>
          <t>T100069</t>
        </is>
      </c>
      <c r="C269" t="inlineStr">
        <is>
          <t>Benjamin Patel</t>
        </is>
      </c>
      <c r="D269" t="inlineStr">
        <is>
          <t>Julian Patel</t>
        </is>
      </c>
      <c r="E269" t="inlineStr">
        <is>
          <t>$25.00</t>
        </is>
      </c>
      <c r="F269" t="inlineStr">
        <is>
          <t>Apple Pay</t>
        </is>
      </c>
    </row>
    <row r="270">
      <c r="A270" s="78" t="n">
        <v>46335.6875</v>
      </c>
      <c r="B270" t="inlineStr">
        <is>
          <t>T101336</t>
        </is>
      </c>
      <c r="C270" t="inlineStr">
        <is>
          <t>Ella Reyes</t>
        </is>
      </c>
      <c r="D270" t="inlineStr">
        <is>
          <t>Mateo Reyes</t>
        </is>
      </c>
      <c r="E270" t="n">
        <v>50</v>
      </c>
      <c r="F270" t="inlineStr">
        <is>
          <t>Apple Pay</t>
        </is>
      </c>
    </row>
    <row r="271">
      <c r="A271" s="78" t="n">
        <v>46335.5</v>
      </c>
      <c r="B271" t="inlineStr">
        <is>
          <t>T105191</t>
        </is>
      </c>
      <c r="C271" t="inlineStr">
        <is>
          <t>Joseph Sanchez</t>
        </is>
      </c>
      <c r="D271" t="inlineStr">
        <is>
          <t>Ella Sanchez</t>
        </is>
      </c>
      <c r="E271" t="n">
        <v>25</v>
      </c>
      <c r="F271" t="inlineStr">
        <is>
          <t>Credit Card</t>
        </is>
      </c>
    </row>
    <row r="272">
      <c r="A272" s="78" t="n">
        <v>46338.63541666666</v>
      </c>
      <c r="B272" t="inlineStr">
        <is>
          <t>T104115</t>
        </is>
      </c>
      <c r="C272" t="inlineStr">
        <is>
          <t>Nicolas Ramirez</t>
        </is>
      </c>
      <c r="D272" t="inlineStr">
        <is>
          <t>Benjamin Ramirez</t>
        </is>
      </c>
      <c r="E272" t="n">
        <v>20</v>
      </c>
      <c r="F272" t="inlineStr">
        <is>
          <t>Apple Pay</t>
        </is>
      </c>
    </row>
    <row r="273">
      <c r="A273" s="78" t="n">
        <v>46330.40625</v>
      </c>
      <c r="B273" t="inlineStr">
        <is>
          <t>T101208</t>
        </is>
      </c>
      <c r="C273" t="inlineStr">
        <is>
          <t>Henry Lopez</t>
        </is>
      </c>
      <c r="D273" t="inlineStr">
        <is>
          <t>Lucas Lopez</t>
        </is>
      </c>
      <c r="E273" t="n">
        <v>25</v>
      </c>
      <c r="F273" t="inlineStr">
        <is>
          <t>Credit Card</t>
        </is>
      </c>
    </row>
    <row r="274">
      <c r="A274" s="78" t="n">
        <v>46328.39583333334</v>
      </c>
      <c r="B274" t="inlineStr">
        <is>
          <t>T104195</t>
        </is>
      </c>
      <c r="C274" t="inlineStr">
        <is>
          <t>Thomas Gutierrez</t>
        </is>
      </c>
      <c r="D274" t="inlineStr">
        <is>
          <t>Henry Gutierrez</t>
        </is>
      </c>
      <c r="E274" t="n">
        <v>50</v>
      </c>
      <c r="F274" t="inlineStr">
        <is>
          <t>Credit Card</t>
        </is>
      </c>
    </row>
    <row r="275">
      <c r="A275" s="78" t="n">
        <v>46336.59375</v>
      </c>
      <c r="B275" t="inlineStr">
        <is>
          <t>T103366</t>
        </is>
      </c>
      <c r="C275" t="inlineStr">
        <is>
          <t>Harper Morales</t>
        </is>
      </c>
      <c r="D275" t="inlineStr">
        <is>
          <t>Benjamin Morales</t>
        </is>
      </c>
      <c r="E275" t="n">
        <v>50</v>
      </c>
      <c r="F275" t="inlineStr">
        <is>
          <t>Credit Card</t>
        </is>
      </c>
    </row>
    <row r="276">
      <c r="A276" s="78" t="n">
        <v>46335.44791666666</v>
      </c>
      <c r="B276" t="inlineStr">
        <is>
          <t>T100081</t>
        </is>
      </c>
      <c r="C276" t="inlineStr">
        <is>
          <t>Harper Brown</t>
        </is>
      </c>
      <c r="D276" t="inlineStr">
        <is>
          <t>Olivia Brown</t>
        </is>
      </c>
      <c r="E276" t="n">
        <v>150</v>
      </c>
      <c r="F276" t="inlineStr">
        <is>
          <t>Apple Pay</t>
        </is>
      </c>
    </row>
    <row r="277">
      <c r="A277" s="78" t="n">
        <v>46335.67708333334</v>
      </c>
      <c r="B277" t="inlineStr">
        <is>
          <t>T102988</t>
        </is>
      </c>
      <c r="C277" t="inlineStr">
        <is>
          <t>Morales, Nora</t>
        </is>
      </c>
      <c r="D277" t="inlineStr">
        <is>
          <t>Chloe Morales</t>
        </is>
      </c>
      <c r="E277" t="n">
        <v>50</v>
      </c>
      <c r="F277" t="inlineStr">
        <is>
          <t>Apple Pay</t>
        </is>
      </c>
    </row>
    <row r="278">
      <c r="A278" s="78" t="n">
        <v>46336.5625</v>
      </c>
      <c r="B278" t="inlineStr">
        <is>
          <t>T101695</t>
        </is>
      </c>
      <c r="C278" t="inlineStr">
        <is>
          <t>Smith, Valentina</t>
        </is>
      </c>
      <c r="D278" t="inlineStr">
        <is>
          <t>Clara Smith</t>
        </is>
      </c>
      <c r="E278" t="n">
        <v>50</v>
      </c>
      <c r="F278" t="inlineStr">
        <is>
          <t>Credit Card</t>
        </is>
      </c>
    </row>
    <row r="279">
      <c r="A279" s="78" t="n">
        <v>46332.67708333334</v>
      </c>
      <c r="B279" t="inlineStr">
        <is>
          <t>T102891</t>
        </is>
      </c>
      <c r="C279" t="inlineStr">
        <is>
          <t>Liam Ortiz</t>
        </is>
      </c>
      <c r="D279" t="inlineStr">
        <is>
          <t>Lucas Ortiz</t>
        </is>
      </c>
      <c r="E279" t="n">
        <v>100</v>
      </c>
      <c r="F279" t="inlineStr">
        <is>
          <t>Apple Pay</t>
        </is>
      </c>
    </row>
    <row r="280">
      <c r="A280" s="78" t="n">
        <v>46325.375</v>
      </c>
      <c r="B280" t="inlineStr">
        <is>
          <t>T100382</t>
        </is>
      </c>
      <c r="C280" t="inlineStr">
        <is>
          <t>Camila Garcia</t>
        </is>
      </c>
      <c r="D280" t="inlineStr">
        <is>
          <t>James Garcia</t>
        </is>
      </c>
      <c r="E280" t="n">
        <v>25</v>
      </c>
      <c r="F280" t="inlineStr">
        <is>
          <t>Credit Card</t>
        </is>
      </c>
    </row>
    <row r="281">
      <c r="A281" s="78" t="n">
        <v>46332.78125</v>
      </c>
      <c r="B281" t="inlineStr">
        <is>
          <t>T100847</t>
        </is>
      </c>
      <c r="C281" t="inlineStr">
        <is>
          <t>Amelia Martinez</t>
        </is>
      </c>
      <c r="D281" t="inlineStr">
        <is>
          <t>Nora Martinez</t>
        </is>
      </c>
      <c r="E281" t="inlineStr">
        <is>
          <t>$25.00</t>
        </is>
      </c>
      <c r="F281" t="inlineStr">
        <is>
          <t>Credit Card</t>
        </is>
      </c>
    </row>
    <row r="282">
      <c r="A282" s="78" t="n">
        <v>46336.58333333334</v>
      </c>
      <c r="B282" t="inlineStr">
        <is>
          <t>T105418</t>
        </is>
      </c>
      <c r="C282" t="inlineStr">
        <is>
          <t>Ella Torres</t>
        </is>
      </c>
      <c r="D282" t="inlineStr">
        <is>
          <t>Liam Torres</t>
        </is>
      </c>
      <c r="E282" t="n">
        <v>40</v>
      </c>
      <c r="F282" t="inlineStr">
        <is>
          <t>Credit Card</t>
        </is>
      </c>
    </row>
    <row r="283">
      <c r="A283" s="78" t="n">
        <v>46327.875</v>
      </c>
      <c r="B283" t="inlineStr">
        <is>
          <t>T104107</t>
        </is>
      </c>
      <c r="C283" t="inlineStr">
        <is>
          <t>Gutierrez, Olivia</t>
        </is>
      </c>
      <c r="D283" t="inlineStr">
        <is>
          <t>Zoe Gutierrez</t>
        </is>
      </c>
      <c r="E283" t="n">
        <v>20</v>
      </c>
      <c r="F283" t="inlineStr">
        <is>
          <t>Credit Card</t>
        </is>
      </c>
    </row>
    <row r="284">
      <c r="A284" s="78" t="n">
        <v>46339.54166666666</v>
      </c>
      <c r="B284" t="inlineStr">
        <is>
          <t>T105343</t>
        </is>
      </c>
      <c r="C284" t="inlineStr">
        <is>
          <t>Mateo Sullivan</t>
        </is>
      </c>
      <c r="D284" t="inlineStr">
        <is>
          <t>Emma Sullivan</t>
        </is>
      </c>
      <c r="E284" t="n">
        <v>25</v>
      </c>
      <c r="F284" t="inlineStr">
        <is>
          <t>Credit Card</t>
        </is>
      </c>
    </row>
    <row r="285">
      <c r="A285" s="78" t="n">
        <v>46325.6875</v>
      </c>
      <c r="B285" t="inlineStr">
        <is>
          <t>T102492</t>
        </is>
      </c>
      <c r="C285" t="inlineStr">
        <is>
          <t>Garcia, Noah</t>
        </is>
      </c>
      <c r="D285" t="inlineStr">
        <is>
          <t>Evelyn Garcia</t>
        </is>
      </c>
      <c r="E285" t="n">
        <v>25</v>
      </c>
      <c r="F285" t="inlineStr">
        <is>
          <t>Apple Pay</t>
        </is>
      </c>
    </row>
    <row r="286">
      <c r="A286" s="78" t="n">
        <v>46325.52083333334</v>
      </c>
      <c r="B286" t="inlineStr">
        <is>
          <t>T102929</t>
        </is>
      </c>
      <c r="C286" t="inlineStr">
        <is>
          <t>Diego Morales</t>
        </is>
      </c>
      <c r="D286" t="inlineStr">
        <is>
          <t>Mia Morales</t>
        </is>
      </c>
      <c r="E286" t="n">
        <v>50</v>
      </c>
      <c r="F286" t="inlineStr">
        <is>
          <t>Apple Pay</t>
        </is>
      </c>
    </row>
    <row r="287">
      <c r="A287" s="78" t="n">
        <v>46335.65625</v>
      </c>
      <c r="B287" t="inlineStr">
        <is>
          <t>T102618</t>
        </is>
      </c>
      <c r="C287" t="inlineStr">
        <is>
          <t>Camila O'Brien</t>
        </is>
      </c>
      <c r="D287" t="inlineStr">
        <is>
          <t>Nicolas O'Brien</t>
        </is>
      </c>
      <c r="E287" t="n">
        <v>50</v>
      </c>
      <c r="F287" t="inlineStr">
        <is>
          <t>Apple Pay</t>
        </is>
      </c>
    </row>
    <row r="288">
      <c r="A288" s="78" t="n">
        <v>46335.61458333334</v>
      </c>
      <c r="B288" t="inlineStr">
        <is>
          <t>T100341</t>
        </is>
      </c>
      <c r="C288" t="inlineStr">
        <is>
          <t>Thomas Ramirez</t>
        </is>
      </c>
      <c r="D288" t="inlineStr">
        <is>
          <t>Benjamin Ramirez</t>
        </is>
      </c>
      <c r="E288" t="n">
        <v>75</v>
      </c>
      <c r="F288" t="inlineStr">
        <is>
          <t>Apple Pay</t>
        </is>
      </c>
    </row>
    <row r="289">
      <c r="A289" s="78" t="n">
        <v>46330.84375</v>
      </c>
      <c r="B289" t="inlineStr">
        <is>
          <t>T101548</t>
        </is>
      </c>
      <c r="C289" t="inlineStr">
        <is>
          <t>Gabriel Gutierrez</t>
        </is>
      </c>
      <c r="D289" t="inlineStr">
        <is>
          <t>Grace Gutierrez</t>
        </is>
      </c>
      <c r="E289" t="n">
        <v>50</v>
      </c>
      <c r="F289" t="inlineStr">
        <is>
          <t>Credit Card</t>
        </is>
      </c>
    </row>
    <row r="290">
      <c r="A290" s="78" t="n">
        <v>46330.29166666666</v>
      </c>
      <c r="B290" t="inlineStr">
        <is>
          <t>T103086</t>
        </is>
      </c>
      <c r="C290" t="inlineStr">
        <is>
          <t>Ava Brown</t>
        </is>
      </c>
      <c r="D290" t="inlineStr">
        <is>
          <t>Noah Brown</t>
        </is>
      </c>
      <c r="E290" t="n">
        <v>40</v>
      </c>
      <c r="F290" t="inlineStr">
        <is>
          <t>Apple Pay</t>
        </is>
      </c>
    </row>
    <row r="291">
      <c r="A291" s="78" t="n">
        <v>46339.52083333334</v>
      </c>
      <c r="B291" t="inlineStr">
        <is>
          <t>T102528</t>
        </is>
      </c>
      <c r="C291" t="inlineStr">
        <is>
          <t>Garcia, Lily</t>
        </is>
      </c>
      <c r="D291" t="inlineStr">
        <is>
          <t>Joseph Garcia</t>
        </is>
      </c>
      <c r="E291" t="n">
        <v>25</v>
      </c>
      <c r="F291" t="inlineStr">
        <is>
          <t>Credit Card</t>
        </is>
      </c>
    </row>
    <row r="292">
      <c r="A292" s="78" t="n">
        <v>46328.8125</v>
      </c>
      <c r="B292" t="inlineStr">
        <is>
          <t>T101759</t>
        </is>
      </c>
      <c r="C292" t="inlineStr">
        <is>
          <t>Lucas Mendoza</t>
        </is>
      </c>
      <c r="D292" t="inlineStr">
        <is>
          <t>Joseph Mendoza</t>
        </is>
      </c>
      <c r="E292" t="n">
        <v>25</v>
      </c>
      <c r="F292" t="inlineStr">
        <is>
          <t>Apple Pay</t>
        </is>
      </c>
    </row>
    <row r="293">
      <c r="A293" s="78" t="n">
        <v>46331.40625</v>
      </c>
      <c r="B293" t="inlineStr">
        <is>
          <t>T105322</t>
        </is>
      </c>
      <c r="C293" t="inlineStr">
        <is>
          <t>Mia Patel</t>
        </is>
      </c>
      <c r="D293" t="inlineStr">
        <is>
          <t>Harper Patel</t>
        </is>
      </c>
      <c r="E293" t="n">
        <v>25</v>
      </c>
      <c r="F293" t="inlineStr">
        <is>
          <t>Credit Card</t>
        </is>
      </c>
    </row>
    <row r="294">
      <c r="A294" s="78" t="n">
        <v>46332.32291666666</v>
      </c>
      <c r="B294" t="inlineStr">
        <is>
          <t>T102359</t>
        </is>
      </c>
      <c r="C294" t="inlineStr">
        <is>
          <t xml:space="preserve">  MATEO   kelly </t>
        </is>
      </c>
      <c r="D294" t="inlineStr">
        <is>
          <t>Emma Kelly</t>
        </is>
      </c>
      <c r="E294" t="inlineStr">
        <is>
          <t>$20.00</t>
        </is>
      </c>
      <c r="F294" t="inlineStr">
        <is>
          <t>Apple Pay</t>
        </is>
      </c>
    </row>
    <row r="295">
      <c r="A295" s="78" t="n">
        <v>46337.44791666666</v>
      </c>
      <c r="B295" t="inlineStr">
        <is>
          <t>T103495</t>
        </is>
      </c>
      <c r="C295" t="inlineStr">
        <is>
          <t>Daniel Garcia</t>
        </is>
      </c>
      <c r="D295" t="inlineStr">
        <is>
          <t>Elijah Garcia</t>
        </is>
      </c>
      <c r="E295" t="n">
        <v>100</v>
      </c>
      <c r="F295" t="inlineStr">
        <is>
          <t>Apple Pay</t>
        </is>
      </c>
    </row>
    <row r="296">
      <c r="A296" s="78" t="n">
        <v>46335.53125</v>
      </c>
      <c r="B296" t="inlineStr">
        <is>
          <t>T100311</t>
        </is>
      </c>
      <c r="C296" t="inlineStr">
        <is>
          <t>Isaac Torres</t>
        </is>
      </c>
      <c r="D296" t="inlineStr">
        <is>
          <t>Lucas Torres</t>
        </is>
      </c>
      <c r="E296" t="n">
        <v>50</v>
      </c>
      <c r="F296" t="inlineStr">
        <is>
          <t>Credit Card</t>
        </is>
      </c>
    </row>
    <row r="297">
      <c r="A297" s="78" t="n">
        <v>46331.6875</v>
      </c>
      <c r="B297" t="inlineStr">
        <is>
          <t>T101487</t>
        </is>
      </c>
      <c r="C297" t="inlineStr">
        <is>
          <t xml:space="preserve">  LIAM   byrne </t>
        </is>
      </c>
      <c r="D297" t="inlineStr">
        <is>
          <t>Ella Byrne</t>
        </is>
      </c>
      <c r="E297" t="n">
        <v>20</v>
      </c>
      <c r="F297" t="inlineStr">
        <is>
          <t>Apple Pay</t>
        </is>
      </c>
    </row>
    <row r="298">
      <c r="A298" s="78" t="n">
        <v>46329.45833333334</v>
      </c>
      <c r="B298" t="inlineStr">
        <is>
          <t>T101152</t>
        </is>
      </c>
      <c r="C298" t="inlineStr">
        <is>
          <t>Joseph Perez</t>
        </is>
      </c>
      <c r="D298" t="inlineStr">
        <is>
          <t>Diego Perez</t>
        </is>
      </c>
      <c r="E298" t="n">
        <v>50</v>
      </c>
      <c r="F298" t="inlineStr">
        <is>
          <t>Apple Pay</t>
        </is>
      </c>
    </row>
    <row r="299">
      <c r="A299" s="78" t="n">
        <v>46338.64583333334</v>
      </c>
      <c r="B299" t="inlineStr">
        <is>
          <t>T105083</t>
        </is>
      </c>
      <c r="C299" t="inlineStr">
        <is>
          <t>Nicolas Mendoza</t>
        </is>
      </c>
      <c r="D299" t="inlineStr">
        <is>
          <t>Evelyn Mendoza</t>
        </is>
      </c>
      <c r="E299" t="n">
        <v>100</v>
      </c>
      <c r="F299" t="inlineStr">
        <is>
          <t>Credit Card</t>
        </is>
      </c>
    </row>
    <row r="300">
      <c r="A300" s="78" t="n">
        <v>46327.54166666666</v>
      </c>
      <c r="B300" t="inlineStr">
        <is>
          <t>T101902</t>
        </is>
      </c>
      <c r="C300" t="inlineStr">
        <is>
          <t>Samuel Patel</t>
        </is>
      </c>
      <c r="D300" t="inlineStr">
        <is>
          <t>Grace Patel</t>
        </is>
      </c>
      <c r="E300" t="n">
        <v>40</v>
      </c>
      <c r="F300" t="inlineStr">
        <is>
          <t>Apple Pay</t>
        </is>
      </c>
    </row>
    <row r="301">
      <c r="A301" s="78" t="n">
        <v>46336.45833333334</v>
      </c>
      <c r="B301" t="inlineStr">
        <is>
          <t>T102056</t>
        </is>
      </c>
      <c r="C301" t="inlineStr">
        <is>
          <t xml:space="preserve">  LUCAS   mendoza </t>
        </is>
      </c>
      <c r="D301" t="inlineStr">
        <is>
          <t>Nora Mendoza</t>
        </is>
      </c>
      <c r="E301" t="inlineStr">
        <is>
          <t>$100.00</t>
        </is>
      </c>
      <c r="F301" t="inlineStr">
        <is>
          <t>Credit Card</t>
        </is>
      </c>
    </row>
    <row r="302">
      <c r="A302" s="78" t="n">
        <v>46338.3125</v>
      </c>
      <c r="B302" t="inlineStr">
        <is>
          <t>T103499</t>
        </is>
      </c>
      <c r="C302" t="inlineStr">
        <is>
          <t>Joseph Ramos</t>
        </is>
      </c>
      <c r="D302" t="inlineStr">
        <is>
          <t>James Ramos</t>
        </is>
      </c>
      <c r="E302" t="n">
        <v>100</v>
      </c>
      <c r="F302" t="inlineStr">
        <is>
          <t>Apple Pay</t>
        </is>
      </c>
    </row>
    <row r="303">
      <c r="A303" s="78" t="n">
        <v>46325.71875</v>
      </c>
      <c r="B303" t="inlineStr">
        <is>
          <t>T100277</t>
        </is>
      </c>
      <c r="C303" t="inlineStr">
        <is>
          <t>Joseph Diaz</t>
        </is>
      </c>
      <c r="D303" t="inlineStr">
        <is>
          <t>Harper Diaz</t>
        </is>
      </c>
      <c r="E303" t="n">
        <v>20</v>
      </c>
      <c r="F303" t="inlineStr">
        <is>
          <t>Credit Card</t>
        </is>
      </c>
    </row>
    <row r="304">
      <c r="A304" s="78" t="n">
        <v>46336.83333333334</v>
      </c>
      <c r="B304" t="inlineStr">
        <is>
          <t>T104482</t>
        </is>
      </c>
      <c r="C304" t="inlineStr">
        <is>
          <t xml:space="preserve">  ISABELLA   johnson </t>
        </is>
      </c>
      <c r="D304" t="inlineStr">
        <is>
          <t>Chloe Johnson</t>
        </is>
      </c>
      <c r="E304" t="n">
        <v>25</v>
      </c>
      <c r="F304" t="inlineStr">
        <is>
          <t>Credit Card</t>
        </is>
      </c>
    </row>
    <row r="305">
      <c r="A305" s="78" t="n">
        <v>46325.875</v>
      </c>
      <c r="B305" t="inlineStr">
        <is>
          <t>T103080</t>
        </is>
      </c>
      <c r="C305" t="inlineStr">
        <is>
          <t>Amelia Gomez</t>
        </is>
      </c>
      <c r="D305" t="inlineStr">
        <is>
          <t>Samuel Gomez</t>
        </is>
      </c>
      <c r="E305" t="n">
        <v>40</v>
      </c>
      <c r="F305" t="inlineStr">
        <is>
          <t>Credit Card</t>
        </is>
      </c>
    </row>
    <row r="306">
      <c r="A306" s="78" t="n">
        <v>46330.8125</v>
      </c>
      <c r="B306" t="inlineStr">
        <is>
          <t>T100681</t>
        </is>
      </c>
      <c r="C306" t="inlineStr">
        <is>
          <t>Torres, Maya</t>
        </is>
      </c>
      <c r="D306" t="inlineStr">
        <is>
          <t>Samuel Torres</t>
        </is>
      </c>
      <c r="E306" t="n">
        <v>50</v>
      </c>
      <c r="F306" t="inlineStr">
        <is>
          <t>Credit Card</t>
        </is>
      </c>
    </row>
    <row r="307">
      <c r="A307" s="78" t="n">
        <v>46338.46875</v>
      </c>
      <c r="B307" t="inlineStr">
        <is>
          <t>T100765</t>
        </is>
      </c>
      <c r="C307" t="inlineStr">
        <is>
          <t>Grace Garcia</t>
        </is>
      </c>
      <c r="D307" t="inlineStr">
        <is>
          <t>Ella Garcia</t>
        </is>
      </c>
      <c r="E307" t="n">
        <v>150</v>
      </c>
      <c r="F307" t="inlineStr">
        <is>
          <t>Credit Card</t>
        </is>
      </c>
    </row>
    <row r="308">
      <c r="A308" s="78" t="n">
        <v>46331.89583333334</v>
      </c>
      <c r="B308" t="inlineStr">
        <is>
          <t>T102589</t>
        </is>
      </c>
      <c r="C308" t="inlineStr">
        <is>
          <t xml:space="preserve">  JAMES   gutierrez </t>
        </is>
      </c>
      <c r="D308" t="inlineStr">
        <is>
          <t>Daniel Gutierrez</t>
        </is>
      </c>
      <c r="E308" t="n">
        <v>25</v>
      </c>
      <c r="F308" t="inlineStr">
        <is>
          <t>Apple Pay</t>
        </is>
      </c>
    </row>
    <row r="309">
      <c r="A309" s="78" t="n">
        <v>46336.83333333334</v>
      </c>
      <c r="B309" t="inlineStr">
        <is>
          <t>T102737</t>
        </is>
      </c>
      <c r="C309" t="inlineStr">
        <is>
          <t>Santiago Alvarez</t>
        </is>
      </c>
      <c r="D309" t="inlineStr">
        <is>
          <t>Aria Alvarez</t>
        </is>
      </c>
      <c r="E309" t="n">
        <v>40</v>
      </c>
      <c r="F309" t="inlineStr">
        <is>
          <t>Apple Pay</t>
        </is>
      </c>
    </row>
    <row r="310">
      <c r="A310" s="78" t="n">
        <v>46331.5625</v>
      </c>
      <c r="B310" t="inlineStr">
        <is>
          <t>T100533</t>
        </is>
      </c>
      <c r="C310" t="inlineStr">
        <is>
          <t>Aria Perez</t>
        </is>
      </c>
      <c r="D310" t="inlineStr">
        <is>
          <t>David Perez</t>
        </is>
      </c>
      <c r="E310" t="n">
        <v>25</v>
      </c>
      <c r="F310" t="inlineStr">
        <is>
          <t>Credit Card</t>
        </is>
      </c>
    </row>
    <row r="311">
      <c r="A311" s="78" t="n">
        <v>46338.63541666666</v>
      </c>
      <c r="B311" t="inlineStr">
        <is>
          <t>T103239</t>
        </is>
      </c>
      <c r="C311" t="inlineStr">
        <is>
          <t>Isabella Nguyen</t>
        </is>
      </c>
      <c r="D311" t="inlineStr">
        <is>
          <t>Chloe Nguyen</t>
        </is>
      </c>
      <c r="E311" t="n">
        <v>20</v>
      </c>
      <c r="F311" t="inlineStr">
        <is>
          <t>Credit Card</t>
        </is>
      </c>
    </row>
    <row r="312">
      <c r="A312" s="78" t="n">
        <v>46327.65625</v>
      </c>
      <c r="B312" t="inlineStr">
        <is>
          <t>T105059</t>
        </is>
      </c>
      <c r="C312" t="inlineStr">
        <is>
          <t xml:space="preserve">  CHLOE   torres </t>
        </is>
      </c>
      <c r="D312" t="inlineStr">
        <is>
          <t>Mia Torres</t>
        </is>
      </c>
      <c r="E312" t="n">
        <v>20</v>
      </c>
      <c r="F312" t="inlineStr">
        <is>
          <t>Credit Card</t>
        </is>
      </c>
    </row>
    <row r="313">
      <c r="A313" s="78" t="n">
        <v>46332.44791666666</v>
      </c>
      <c r="B313" t="inlineStr">
        <is>
          <t>T104599</t>
        </is>
      </c>
      <c r="C313" t="inlineStr">
        <is>
          <t>Julian Kim</t>
        </is>
      </c>
      <c r="D313" t="inlineStr">
        <is>
          <t>Mia Kim</t>
        </is>
      </c>
      <c r="E313" t="n">
        <v>25</v>
      </c>
      <c r="F313" t="inlineStr">
        <is>
          <t>Credit Card</t>
        </is>
      </c>
    </row>
    <row r="314">
      <c r="A314" s="78" t="n">
        <v>46331.60416666666</v>
      </c>
      <c r="B314" t="inlineStr">
        <is>
          <t>T101356</t>
        </is>
      </c>
      <c r="C314" t="inlineStr">
        <is>
          <t>Benjamin Murphy</t>
        </is>
      </c>
      <c r="D314" t="inlineStr">
        <is>
          <t>Isaac Murphy</t>
        </is>
      </c>
      <c r="E314" t="n">
        <v>20</v>
      </c>
      <c r="F314" t="inlineStr">
        <is>
          <t>Credit Card</t>
        </is>
      </c>
    </row>
    <row r="315">
      <c r="A315" s="78" t="n">
        <v>46336.57291666666</v>
      </c>
      <c r="B315" t="inlineStr">
        <is>
          <t>T104164</t>
        </is>
      </c>
      <c r="C315" t="inlineStr">
        <is>
          <t>Lucas Mendoza</t>
        </is>
      </c>
      <c r="D315" t="inlineStr">
        <is>
          <t>Aria Mendoza</t>
        </is>
      </c>
      <c r="E315" t="n">
        <v>25</v>
      </c>
      <c r="F315" t="inlineStr">
        <is>
          <t>Credit Card</t>
        </is>
      </c>
    </row>
    <row r="316">
      <c r="A316" s="78" t="n">
        <v>46330.65625</v>
      </c>
      <c r="B316" t="inlineStr">
        <is>
          <t>T101001</t>
        </is>
      </c>
      <c r="C316" t="inlineStr">
        <is>
          <t>David Brown</t>
        </is>
      </c>
      <c r="D316" t="inlineStr">
        <is>
          <t>Isabella Brown</t>
        </is>
      </c>
      <c r="E316" t="inlineStr">
        <is>
          <t>$25.00</t>
        </is>
      </c>
      <c r="F316" t="inlineStr">
        <is>
          <t>Credit Card</t>
        </is>
      </c>
    </row>
    <row r="317">
      <c r="A317" s="78" t="n">
        <v>46339.75</v>
      </c>
      <c r="B317" t="inlineStr">
        <is>
          <t>T102901</t>
        </is>
      </c>
      <c r="C317" t="inlineStr">
        <is>
          <t>Isabella Smith</t>
        </is>
      </c>
      <c r="D317" t="inlineStr">
        <is>
          <t>Maya Smith</t>
        </is>
      </c>
      <c r="E317" t="n">
        <v>25</v>
      </c>
      <c r="F317" t="inlineStr">
        <is>
          <t>Credit Card</t>
        </is>
      </c>
    </row>
    <row r="318">
      <c r="A318" s="78" t="n">
        <v>46339.78125</v>
      </c>
      <c r="B318" t="inlineStr">
        <is>
          <t>T100694</t>
        </is>
      </c>
      <c r="C318" t="inlineStr">
        <is>
          <t>Ava Brown</t>
        </is>
      </c>
      <c r="D318" t="inlineStr">
        <is>
          <t>Diego Brown</t>
        </is>
      </c>
      <c r="E318" t="n">
        <v>50</v>
      </c>
      <c r="F318" t="inlineStr">
        <is>
          <t>Apple Pay</t>
        </is>
      </c>
    </row>
    <row r="319">
      <c r="A319" s="78" t="n">
        <v>46331.29166666666</v>
      </c>
      <c r="B319" t="inlineStr">
        <is>
          <t>T900005</t>
        </is>
      </c>
      <c r="C319" t="inlineStr">
        <is>
          <t>Grace Kelly</t>
        </is>
      </c>
      <c r="D319" t="inlineStr">
        <is>
          <t>Refund Donor</t>
        </is>
      </c>
      <c r="E319" t="n">
        <v>-25</v>
      </c>
      <c r="F319" t="inlineStr">
        <is>
          <t>Credit Card</t>
        </is>
      </c>
    </row>
    <row r="320">
      <c r="A320" t="inlineStr">
        <is>
          <t>N/A</t>
        </is>
      </c>
      <c r="B320" t="inlineStr">
        <is>
          <t>T900007</t>
        </is>
      </c>
      <c r="C320" t="inlineStr">
        <is>
          <t>Grace Kelly</t>
        </is>
      </c>
      <c r="D320" t="inlineStr">
        <is>
          <t>Bad Date Donor</t>
        </is>
      </c>
      <c r="E320" t="n">
        <v>35</v>
      </c>
      <c r="F320" t="inlineStr">
        <is>
          <t>Credit Card</t>
        </is>
      </c>
    </row>
    <row r="321">
      <c r="A321" s="78" t="n">
        <v>46338.64583333334</v>
      </c>
      <c r="B321" t="inlineStr">
        <is>
          <t>T104791</t>
        </is>
      </c>
      <c r="C321" t="inlineStr">
        <is>
          <t>Zoe Smith</t>
        </is>
      </c>
      <c r="D321" t="inlineStr">
        <is>
          <t>Samuel Smith</t>
        </is>
      </c>
      <c r="E321" t="n">
        <v>25</v>
      </c>
      <c r="F321" t="inlineStr">
        <is>
          <t>Credit Card</t>
        </is>
      </c>
    </row>
    <row r="322">
      <c r="A322" s="78" t="n">
        <v>46326.69791666666</v>
      </c>
      <c r="B322" t="inlineStr">
        <is>
          <t>T103881</t>
        </is>
      </c>
      <c r="C322" t="inlineStr">
        <is>
          <t>Harper Gutierrez</t>
        </is>
      </c>
      <c r="D322" t="inlineStr">
        <is>
          <t>Isaac Gutierrez</t>
        </is>
      </c>
      <c r="E322" t="n">
        <v>50</v>
      </c>
      <c r="F322" t="inlineStr">
        <is>
          <t>Credit Card</t>
        </is>
      </c>
    </row>
    <row r="323">
      <c r="A323" s="78" t="n">
        <v>46328.33333333334</v>
      </c>
      <c r="B323" t="inlineStr">
        <is>
          <t>T104613</t>
        </is>
      </c>
      <c r="C323" t="inlineStr">
        <is>
          <t>Nguyen, Mateo</t>
        </is>
      </c>
      <c r="D323" t="inlineStr">
        <is>
          <t>Thomas Nguyen</t>
        </is>
      </c>
      <c r="E323" t="n">
        <v>25</v>
      </c>
      <c r="F323" t="inlineStr">
        <is>
          <t>Apple Pay</t>
        </is>
      </c>
    </row>
    <row r="324">
      <c r="A324" s="78" t="n">
        <v>46338.86458333334</v>
      </c>
      <c r="B324" t="inlineStr">
        <is>
          <t>T101009</t>
        </is>
      </c>
      <c r="C324" t="inlineStr">
        <is>
          <t>Santiago Gutierrez</t>
        </is>
      </c>
      <c r="D324" t="inlineStr">
        <is>
          <t>Gabriel Gutierrez</t>
        </is>
      </c>
      <c r="E324" t="n">
        <v>100</v>
      </c>
      <c r="F324" t="inlineStr">
        <is>
          <t>Apple Pay</t>
        </is>
      </c>
    </row>
    <row r="325">
      <c r="A325" s="78" t="n">
        <v>46333.46875</v>
      </c>
      <c r="B325" t="inlineStr">
        <is>
          <t>T101891</t>
        </is>
      </c>
      <c r="C325" t="inlineStr">
        <is>
          <t>Daniel Martinez</t>
        </is>
      </c>
      <c r="D325" t="inlineStr">
        <is>
          <t>Gabriel Martinez</t>
        </is>
      </c>
      <c r="E325" t="n">
        <v>20</v>
      </c>
      <c r="F325" t="inlineStr">
        <is>
          <t>Apple Pay</t>
        </is>
      </c>
    </row>
    <row r="326">
      <c r="A326" s="78" t="n">
        <v>46332.39583333334</v>
      </c>
      <c r="B326" t="inlineStr">
        <is>
          <t>T100009</t>
        </is>
      </c>
      <c r="C326" t="inlineStr">
        <is>
          <t>Santiago Castillo</t>
        </is>
      </c>
      <c r="D326" t="inlineStr">
        <is>
          <t>Isaac Castillo</t>
        </is>
      </c>
      <c r="E326" t="n">
        <v>25</v>
      </c>
      <c r="F326" t="inlineStr">
        <is>
          <t>Apple Pay</t>
        </is>
      </c>
    </row>
    <row r="327">
      <c r="A327" s="78" t="n">
        <v>46328.67708333334</v>
      </c>
      <c r="B327" t="inlineStr">
        <is>
          <t>T103943</t>
        </is>
      </c>
      <c r="C327" t="inlineStr">
        <is>
          <t>Samuel Ryan</t>
        </is>
      </c>
      <c r="D327" t="inlineStr">
        <is>
          <t>Zoe Ryan</t>
        </is>
      </c>
      <c r="E327" t="n">
        <v>25</v>
      </c>
      <c r="F327" t="inlineStr">
        <is>
          <t>Credit Card</t>
        </is>
      </c>
    </row>
    <row r="328">
      <c r="A328" s="78" t="n">
        <v>46330.47916666666</v>
      </c>
      <c r="B328" t="inlineStr">
        <is>
          <t>T101927</t>
        </is>
      </c>
      <c r="C328" t="inlineStr">
        <is>
          <t>Evelyn Walsh</t>
        </is>
      </c>
      <c r="D328" t="inlineStr">
        <is>
          <t>Joseph Walsh</t>
        </is>
      </c>
      <c r="E328" t="n">
        <v>10</v>
      </c>
      <c r="F328" t="inlineStr">
        <is>
          <t>Credit Card</t>
        </is>
      </c>
    </row>
    <row r="329">
      <c r="A329" s="78" t="n">
        <v>46333.35416666666</v>
      </c>
      <c r="B329" t="inlineStr">
        <is>
          <t>T100397</t>
        </is>
      </c>
      <c r="C329" t="inlineStr">
        <is>
          <t>Thomas Diaz</t>
        </is>
      </c>
      <c r="D329" t="inlineStr">
        <is>
          <t>Diego Diaz</t>
        </is>
      </c>
      <c r="E329" t="n">
        <v>40</v>
      </c>
      <c r="F329" t="inlineStr">
        <is>
          <t>Credit Card</t>
        </is>
      </c>
    </row>
    <row r="330">
      <c r="A330" s="78" t="n">
        <v>46329.39583333334</v>
      </c>
      <c r="B330" t="inlineStr">
        <is>
          <t>T102970</t>
        </is>
      </c>
      <c r="C330" t="inlineStr">
        <is>
          <t>Santiago Alvarez</t>
        </is>
      </c>
      <c r="D330" t="inlineStr">
        <is>
          <t>Maya Alvarez</t>
        </is>
      </c>
      <c r="E330" t="n">
        <v>25</v>
      </c>
      <c r="F330" t="inlineStr">
        <is>
          <t>Apple Pay</t>
        </is>
      </c>
    </row>
    <row r="331">
      <c r="A331" s="78" t="n">
        <v>46325.61458333334</v>
      </c>
      <c r="B331" t="inlineStr">
        <is>
          <t>T100835</t>
        </is>
      </c>
      <c r="C331" t="inlineStr">
        <is>
          <t>James Brown</t>
        </is>
      </c>
      <c r="D331" t="inlineStr">
        <is>
          <t>Diego Brown</t>
        </is>
      </c>
      <c r="E331" t="n">
        <v>100</v>
      </c>
      <c r="F331" t="inlineStr">
        <is>
          <t>Credit Card</t>
        </is>
      </c>
    </row>
    <row r="332">
      <c r="A332" s="78" t="n">
        <v>46325.36458333334</v>
      </c>
      <c r="B332" t="inlineStr">
        <is>
          <t>T104377</t>
        </is>
      </c>
      <c r="C332" t="inlineStr">
        <is>
          <t>Mia Gutierrez</t>
        </is>
      </c>
      <c r="D332" t="inlineStr">
        <is>
          <t>Santiago Gutierrez</t>
        </is>
      </c>
      <c r="E332" t="n">
        <v>40</v>
      </c>
      <c r="F332" t="inlineStr">
        <is>
          <t>Apple Pay</t>
        </is>
      </c>
    </row>
    <row r="333">
      <c r="A333" s="78" t="n">
        <v>46338.76041666666</v>
      </c>
      <c r="B333" t="inlineStr">
        <is>
          <t>T101897</t>
        </is>
      </c>
      <c r="C333" t="inlineStr">
        <is>
          <t>Chloe Cruz</t>
        </is>
      </c>
      <c r="D333" t="inlineStr">
        <is>
          <t>Adrian Cruz</t>
        </is>
      </c>
      <c r="E333" t="n">
        <v>100</v>
      </c>
      <c r="F333" t="inlineStr">
        <is>
          <t>Apple Pay</t>
        </is>
      </c>
    </row>
    <row r="334">
      <c r="A334" s="78" t="n">
        <v>46331.54166666666</v>
      </c>
      <c r="B334" t="inlineStr">
        <is>
          <t>T105142</t>
        </is>
      </c>
      <c r="C334" t="inlineStr">
        <is>
          <t xml:space="preserve">  EVELYN   diaz </t>
        </is>
      </c>
      <c r="D334" t="inlineStr">
        <is>
          <t>Luna Diaz</t>
        </is>
      </c>
      <c r="E334" t="n">
        <v>25</v>
      </c>
      <c r="F334" t="inlineStr">
        <is>
          <t>Apple Pay</t>
        </is>
      </c>
    </row>
    <row r="335">
      <c r="A335" t="inlineStr">
        <is>
          <t>11/08/2026 05:30 PM</t>
        </is>
      </c>
      <c r="B335" t="inlineStr">
        <is>
          <t>T103960</t>
        </is>
      </c>
      <c r="C335" t="inlineStr">
        <is>
          <t>Cruz, Liam</t>
        </is>
      </c>
      <c r="D335" t="inlineStr">
        <is>
          <t>Joseph Cruz</t>
        </is>
      </c>
      <c r="E335" t="n">
        <v>25</v>
      </c>
      <c r="F335" t="inlineStr">
        <is>
          <t>Credit Card</t>
        </is>
      </c>
    </row>
    <row r="336">
      <c r="A336" s="78" t="n">
        <v>46328.46875</v>
      </c>
      <c r="B336" t="inlineStr">
        <is>
          <t>T104727</t>
        </is>
      </c>
      <c r="C336" t="inlineStr">
        <is>
          <t>Samuel Perez</t>
        </is>
      </c>
      <c r="D336" t="inlineStr">
        <is>
          <t>Liam Perez</t>
        </is>
      </c>
      <c r="E336" t="n">
        <v>20</v>
      </c>
      <c r="F336" t="inlineStr">
        <is>
          <t>Credit Card</t>
        </is>
      </c>
    </row>
    <row r="337">
      <c r="A337" s="78" t="n">
        <v>46339.65625</v>
      </c>
      <c r="B337" t="inlineStr">
        <is>
          <t>T102791</t>
        </is>
      </c>
      <c r="C337" t="inlineStr">
        <is>
          <t>Valentina Ramirez</t>
        </is>
      </c>
      <c r="D337" t="inlineStr">
        <is>
          <t>Lucas Ramirez</t>
        </is>
      </c>
      <c r="E337" t="n">
        <v>10</v>
      </c>
      <c r="F337" t="inlineStr">
        <is>
          <t>Credit Card</t>
        </is>
      </c>
    </row>
    <row r="338">
      <c r="A338" s="78" t="n">
        <v>46339.63541666666</v>
      </c>
      <c r="B338" t="inlineStr">
        <is>
          <t>T103895</t>
        </is>
      </c>
      <c r="C338" t="inlineStr">
        <is>
          <t>Henry Brown</t>
        </is>
      </c>
      <c r="D338" t="inlineStr">
        <is>
          <t>Thomas Brown</t>
        </is>
      </c>
      <c r="E338" t="n">
        <v>20</v>
      </c>
      <c r="F338" t="inlineStr">
        <is>
          <t>Apple Pay</t>
        </is>
      </c>
    </row>
    <row r="339">
      <c r="A339" s="78" t="n">
        <v>46330.65625</v>
      </c>
      <c r="B339" t="inlineStr">
        <is>
          <t>T101555</t>
        </is>
      </c>
      <c r="C339" t="inlineStr">
        <is>
          <t>Luna Hernandez</t>
        </is>
      </c>
      <c r="D339" t="inlineStr">
        <is>
          <t>Valentina Hernandez</t>
        </is>
      </c>
      <c r="E339" t="n">
        <v>25</v>
      </c>
      <c r="F339" t="inlineStr">
        <is>
          <t>Apple Pay</t>
        </is>
      </c>
    </row>
    <row r="340">
      <c r="A340" s="78" t="n">
        <v>46330.63541666666</v>
      </c>
      <c r="B340" t="inlineStr">
        <is>
          <t>T105411</t>
        </is>
      </c>
      <c r="C340" t="inlineStr">
        <is>
          <t>Thomas Williams</t>
        </is>
      </c>
      <c r="D340" t="inlineStr">
        <is>
          <t>Lily Williams</t>
        </is>
      </c>
      <c r="E340" t="n">
        <v>50</v>
      </c>
      <c r="F340" t="inlineStr">
        <is>
          <t>Credit Card</t>
        </is>
      </c>
    </row>
    <row r="341">
      <c r="A341" s="78" t="n">
        <v>46331.57291666666</v>
      </c>
      <c r="B341" t="inlineStr">
        <is>
          <t>T102395</t>
        </is>
      </c>
      <c r="C341" t="inlineStr">
        <is>
          <t>Benjamin Cruz</t>
        </is>
      </c>
      <c r="D341" t="inlineStr">
        <is>
          <t>Julian Cruz</t>
        </is>
      </c>
      <c r="E341" t="n">
        <v>20</v>
      </c>
      <c r="F341" t="inlineStr">
        <is>
          <t>Apple Pay</t>
        </is>
      </c>
    </row>
    <row r="342">
      <c r="A342" s="78" t="n">
        <v>46333.53125</v>
      </c>
      <c r="B342" t="inlineStr">
        <is>
          <t>T104656</t>
        </is>
      </c>
      <c r="C342" t="inlineStr">
        <is>
          <t>Benjamin Patel</t>
        </is>
      </c>
      <c r="D342" t="inlineStr">
        <is>
          <t>Clara Patel</t>
        </is>
      </c>
      <c r="E342" t="n">
        <v>25</v>
      </c>
      <c r="F342" t="inlineStr">
        <is>
          <t>Apple Pay</t>
        </is>
      </c>
    </row>
    <row r="343">
      <c r="A343" s="78" t="n">
        <v>46330.59375</v>
      </c>
      <c r="B343" t="inlineStr">
        <is>
          <t>T102115</t>
        </is>
      </c>
      <c r="C343" t="inlineStr">
        <is>
          <t>Noah Garcia</t>
        </is>
      </c>
      <c r="D343" t="inlineStr">
        <is>
          <t>Amelia Garcia</t>
        </is>
      </c>
      <c r="E343" t="n">
        <v>20</v>
      </c>
      <c r="F343" t="inlineStr">
        <is>
          <t>Apple Pay</t>
        </is>
      </c>
    </row>
    <row r="344">
      <c r="A344" t="inlineStr">
        <is>
          <t>11/02/2026 09:30 AM</t>
        </is>
      </c>
      <c r="B344" t="inlineStr">
        <is>
          <t>T103805</t>
        </is>
      </c>
      <c r="C344" t="inlineStr">
        <is>
          <t>Diego Nguyen</t>
        </is>
      </c>
      <c r="D344" t="inlineStr">
        <is>
          <t>Camila Nguyen</t>
        </is>
      </c>
      <c r="E344" t="inlineStr">
        <is>
          <t>$20.00</t>
        </is>
      </c>
      <c r="F344" t="inlineStr">
        <is>
          <t>Credit Card</t>
        </is>
      </c>
    </row>
    <row r="345">
      <c r="A345" s="78" t="n">
        <v>46330.34375</v>
      </c>
      <c r="B345" t="inlineStr">
        <is>
          <t>T102310</t>
        </is>
      </c>
      <c r="C345" t="inlineStr">
        <is>
          <t>Aria Ryan</t>
        </is>
      </c>
      <c r="D345" t="inlineStr">
        <is>
          <t>Evelyn Ryan</t>
        </is>
      </c>
      <c r="E345" t="inlineStr">
        <is>
          <t>$10.00</t>
        </is>
      </c>
      <c r="F345" t="inlineStr">
        <is>
          <t>Credit Card</t>
        </is>
      </c>
    </row>
    <row r="346">
      <c r="A346" s="78" t="n">
        <v>46332.66666666666</v>
      </c>
      <c r="B346" t="inlineStr">
        <is>
          <t>T102373</t>
        </is>
      </c>
      <c r="C346" t="inlineStr">
        <is>
          <t>Grace Kim</t>
        </is>
      </c>
      <c r="D346" t="inlineStr">
        <is>
          <t>Nora Kim</t>
        </is>
      </c>
      <c r="E346" t="n">
        <v>50</v>
      </c>
      <c r="F346" t="inlineStr">
        <is>
          <t>Apple Pay</t>
        </is>
      </c>
    </row>
    <row r="347">
      <c r="A347" s="78" t="n">
        <v>46331.46875</v>
      </c>
      <c r="B347" t="inlineStr">
        <is>
          <t>T103786</t>
        </is>
      </c>
      <c r="C347" t="inlineStr">
        <is>
          <t>Lopez, Amelia</t>
        </is>
      </c>
      <c r="D347" t="inlineStr">
        <is>
          <t>Gabriel Lopez</t>
        </is>
      </c>
      <c r="E347" t="inlineStr">
        <is>
          <t>$25.00</t>
        </is>
      </c>
      <c r="F347" t="inlineStr">
        <is>
          <t>Apple Pay</t>
        </is>
      </c>
    </row>
    <row r="348">
      <c r="A348" s="78" t="n">
        <v>46329.70833333334</v>
      </c>
      <c r="B348" t="inlineStr">
        <is>
          <t>T103025</t>
        </is>
      </c>
      <c r="C348" t="inlineStr">
        <is>
          <t>Grace Murphy</t>
        </is>
      </c>
      <c r="D348" t="inlineStr">
        <is>
          <t>Clara Murphy</t>
        </is>
      </c>
      <c r="E348" t="n">
        <v>10</v>
      </c>
      <c r="F348" t="inlineStr">
        <is>
          <t>Credit Card</t>
        </is>
      </c>
    </row>
    <row r="349">
      <c r="A349" s="78" t="n">
        <v>46325.80208333334</v>
      </c>
      <c r="B349" t="inlineStr">
        <is>
          <t>T101107</t>
        </is>
      </c>
      <c r="C349" t="inlineStr">
        <is>
          <t>Santiago Alvarez</t>
        </is>
      </c>
      <c r="D349" t="inlineStr">
        <is>
          <t>Mateo Alvarez</t>
        </is>
      </c>
      <c r="E349" t="n">
        <v>20</v>
      </c>
      <c r="F349" t="inlineStr">
        <is>
          <t>Credit Card</t>
        </is>
      </c>
    </row>
    <row r="350">
      <c r="A350" s="78" t="n">
        <v>46327.63541666666</v>
      </c>
      <c r="B350" t="inlineStr">
        <is>
          <t>T104741</t>
        </is>
      </c>
      <c r="C350" t="inlineStr">
        <is>
          <t>Zoe Castillo</t>
        </is>
      </c>
      <c r="D350" t="inlineStr">
        <is>
          <t>Benjamin Castillo</t>
        </is>
      </c>
      <c r="E350" t="n">
        <v>10</v>
      </c>
      <c r="F350" t="inlineStr">
        <is>
          <t>Apple Pay</t>
        </is>
      </c>
    </row>
    <row r="351">
      <c r="A351" s="78" t="n">
        <v>46338.86458333334</v>
      </c>
      <c r="B351" t="inlineStr">
        <is>
          <t>T101996</t>
        </is>
      </c>
      <c r="C351" t="inlineStr">
        <is>
          <t>Olivia Murphy</t>
        </is>
      </c>
      <c r="D351" t="inlineStr">
        <is>
          <t>Lily Murphy</t>
        </is>
      </c>
      <c r="E351" t="n">
        <v>100</v>
      </c>
      <c r="F351" t="inlineStr">
        <is>
          <t>Apple Pay</t>
        </is>
      </c>
    </row>
    <row r="352">
      <c r="A352" s="78" t="n">
        <v>46328.90625</v>
      </c>
      <c r="B352" t="inlineStr">
        <is>
          <t>T104359</t>
        </is>
      </c>
      <c r="C352" t="inlineStr">
        <is>
          <t>Grace Kim</t>
        </is>
      </c>
      <c r="D352" t="inlineStr">
        <is>
          <t>Gabriel Kim</t>
        </is>
      </c>
      <c r="E352" t="n">
        <v>50</v>
      </c>
      <c r="F352" t="inlineStr">
        <is>
          <t>Apple Pay</t>
        </is>
      </c>
    </row>
    <row r="353">
      <c r="A353" s="78" t="n">
        <v>46335.34375</v>
      </c>
      <c r="B353" t="inlineStr">
        <is>
          <t>T103482</t>
        </is>
      </c>
      <c r="C353" t="inlineStr">
        <is>
          <t>Ava Gomez</t>
        </is>
      </c>
      <c r="D353" t="inlineStr">
        <is>
          <t>Luna Gomez</t>
        </is>
      </c>
      <c r="E353" t="n">
        <v>150</v>
      </c>
      <c r="F353" t="inlineStr">
        <is>
          <t>Apple Pay</t>
        </is>
      </c>
    </row>
    <row r="354">
      <c r="A354" s="78" t="n">
        <v>46339.4375</v>
      </c>
      <c r="B354" t="inlineStr">
        <is>
          <t>T101076</t>
        </is>
      </c>
      <c r="C354" t="inlineStr">
        <is>
          <t>Walsh, Evelyn</t>
        </is>
      </c>
      <c r="D354" t="inlineStr">
        <is>
          <t>Ella Walsh</t>
        </is>
      </c>
      <c r="E354" t="n">
        <v>20</v>
      </c>
      <c r="F354" t="inlineStr">
        <is>
          <t>Apple Pay</t>
        </is>
      </c>
    </row>
    <row r="355">
      <c r="A355" s="78" t="n">
        <v>46326.58333333334</v>
      </c>
      <c r="B355" t="inlineStr">
        <is>
          <t>T100981</t>
        </is>
      </c>
      <c r="C355" t="inlineStr">
        <is>
          <t>Mateo Cruz</t>
        </is>
      </c>
      <c r="D355" t="inlineStr">
        <is>
          <t>Nora Cruz</t>
        </is>
      </c>
      <c r="E355" t="n">
        <v>20</v>
      </c>
      <c r="F355" t="inlineStr">
        <is>
          <t>Apple Pay</t>
        </is>
      </c>
    </row>
    <row r="356">
      <c r="A356" s="78" t="n">
        <v>46336.59375</v>
      </c>
      <c r="B356" t="inlineStr">
        <is>
          <t>T103505</t>
        </is>
      </c>
      <c r="C356" t="inlineStr">
        <is>
          <t>Aria Ramirez</t>
        </is>
      </c>
      <c r="D356" t="inlineStr">
        <is>
          <t>Lily Ramirez</t>
        </is>
      </c>
      <c r="E356" t="n">
        <v>40</v>
      </c>
      <c r="F356" t="inlineStr">
        <is>
          <t>Apple Pay</t>
        </is>
      </c>
    </row>
    <row r="357">
      <c r="A357" s="78" t="n">
        <v>46334.69791666666</v>
      </c>
      <c r="B357" t="inlineStr">
        <is>
          <t>T101215</t>
        </is>
      </c>
      <c r="C357" t="inlineStr">
        <is>
          <t>Emma O'Brien</t>
        </is>
      </c>
      <c r="D357" t="inlineStr">
        <is>
          <t>Isaac O'Brien</t>
        </is>
      </c>
      <c r="E357" t="n">
        <v>25</v>
      </c>
      <c r="F357" t="inlineStr">
        <is>
          <t>Credit Card</t>
        </is>
      </c>
    </row>
    <row r="358">
      <c r="A358" s="78" t="n">
        <v>46328.34375</v>
      </c>
      <c r="B358" t="inlineStr">
        <is>
          <t>T102992</t>
        </is>
      </c>
      <c r="C358" t="inlineStr">
        <is>
          <t>Grace Ortiz</t>
        </is>
      </c>
      <c r="D358" t="inlineStr">
        <is>
          <t>Samuel Ortiz</t>
        </is>
      </c>
      <c r="E358" t="n">
        <v>100</v>
      </c>
      <c r="F358" t="inlineStr">
        <is>
          <t>Credit Card</t>
        </is>
      </c>
    </row>
    <row r="359">
      <c r="A359" s="78" t="n">
        <v>46330.875</v>
      </c>
      <c r="B359" t="inlineStr">
        <is>
          <t>T104373</t>
        </is>
      </c>
      <c r="C359" t="inlineStr">
        <is>
          <t>Clara Garcia</t>
        </is>
      </c>
      <c r="D359" t="inlineStr">
        <is>
          <t>Aria Garcia</t>
        </is>
      </c>
      <c r="E359" t="n">
        <v>100</v>
      </c>
      <c r="F359" t="inlineStr">
        <is>
          <t>Apple Pay</t>
        </is>
      </c>
    </row>
    <row r="360">
      <c r="A360" s="78" t="n">
        <v>46328.30208333334</v>
      </c>
      <c r="B360" t="inlineStr">
        <is>
          <t>T103209</t>
        </is>
      </c>
      <c r="C360" t="inlineStr">
        <is>
          <t>Emma Williams</t>
        </is>
      </c>
      <c r="D360" t="inlineStr">
        <is>
          <t>Joseph Williams</t>
        </is>
      </c>
      <c r="E360" t="n">
        <v>20</v>
      </c>
      <c r="F360" t="inlineStr">
        <is>
          <t>Apple Pay</t>
        </is>
      </c>
    </row>
    <row r="361">
      <c r="A361" s="78" t="n">
        <v>46328.4375</v>
      </c>
      <c r="B361" t="inlineStr">
        <is>
          <t>T102188</t>
        </is>
      </c>
      <c r="C361" t="inlineStr">
        <is>
          <t>Chloe Cruz</t>
        </is>
      </c>
      <c r="D361" t="inlineStr">
        <is>
          <t>Olivia Cruz</t>
        </is>
      </c>
      <c r="E361" t="n">
        <v>20</v>
      </c>
      <c r="F361" t="inlineStr">
        <is>
          <t>Apple Pay</t>
        </is>
      </c>
    </row>
    <row r="362">
      <c r="A362" s="78" t="n">
        <v>46325.86458333334</v>
      </c>
      <c r="B362" t="inlineStr">
        <is>
          <t>T100797</t>
        </is>
      </c>
      <c r="C362" t="inlineStr">
        <is>
          <t>Nicolas Johnson</t>
        </is>
      </c>
      <c r="D362" t="inlineStr">
        <is>
          <t>Gabriel Johnson</t>
        </is>
      </c>
      <c r="E362" t="n">
        <v>100</v>
      </c>
      <c r="F362" t="inlineStr">
        <is>
          <t>Apple Pay</t>
        </is>
      </c>
    </row>
    <row r="363">
      <c r="A363" s="78" t="n">
        <v>46339.67708333334</v>
      </c>
      <c r="B363" t="inlineStr">
        <is>
          <t>T101372</t>
        </is>
      </c>
      <c r="C363" t="inlineStr">
        <is>
          <t>Diego Johnson</t>
        </is>
      </c>
      <c r="D363" t="inlineStr">
        <is>
          <t>Amelia Johnson</t>
        </is>
      </c>
      <c r="E363" t="n">
        <v>150</v>
      </c>
      <c r="F363" t="inlineStr">
        <is>
          <t>Credit Card</t>
        </is>
      </c>
    </row>
    <row r="364">
      <c r="A364" s="78" t="n">
        <v>46328.54166666666</v>
      </c>
      <c r="B364" t="inlineStr">
        <is>
          <t>T104929</t>
        </is>
      </c>
      <c r="C364" t="inlineStr">
        <is>
          <t>Grace Ryan</t>
        </is>
      </c>
      <c r="D364" t="inlineStr">
        <is>
          <t>Liam Ryan</t>
        </is>
      </c>
      <c r="E364" t="n">
        <v>50</v>
      </c>
      <c r="F364" t="inlineStr">
        <is>
          <t>Credit Card</t>
        </is>
      </c>
    </row>
    <row r="365">
      <c r="A365" s="78" t="n">
        <v>46331.38541666666</v>
      </c>
      <c r="B365" t="inlineStr">
        <is>
          <t>T104143</t>
        </is>
      </c>
      <c r="C365" t="inlineStr">
        <is>
          <t>Aria O'Brien</t>
        </is>
      </c>
      <c r="D365" t="inlineStr">
        <is>
          <t>Leo O'Brien</t>
        </is>
      </c>
      <c r="E365" t="n">
        <v>50</v>
      </c>
      <c r="F365" t="inlineStr">
        <is>
          <t>Credit Card</t>
        </is>
      </c>
    </row>
    <row r="366">
      <c r="A366" s="78" t="n">
        <v>46328.54166666666</v>
      </c>
      <c r="B366" t="inlineStr">
        <is>
          <t>T103946</t>
        </is>
      </c>
      <c r="C366" t="inlineStr">
        <is>
          <t>Hernandez, Noah</t>
        </is>
      </c>
      <c r="D366" t="inlineStr">
        <is>
          <t>Gabriel Hernandez</t>
        </is>
      </c>
      <c r="E366" t="n">
        <v>50</v>
      </c>
      <c r="F366" t="inlineStr">
        <is>
          <t>Credit Card</t>
        </is>
      </c>
    </row>
    <row r="367">
      <c r="A367" s="78" t="n">
        <v>46327.77083333334</v>
      </c>
      <c r="B367" t="inlineStr">
        <is>
          <t>T101748</t>
        </is>
      </c>
      <c r="C367" t="inlineStr">
        <is>
          <t>Adrian Hernandez</t>
        </is>
      </c>
      <c r="D367" t="inlineStr">
        <is>
          <t>Nicolas Hernandez</t>
        </is>
      </c>
      <c r="E367" t="n">
        <v>150</v>
      </c>
      <c r="F367" t="inlineStr">
        <is>
          <t>Credit Card</t>
        </is>
      </c>
    </row>
    <row r="368">
      <c r="A368" s="78" t="n">
        <v>46325.89583333334</v>
      </c>
      <c r="B368" t="inlineStr">
        <is>
          <t>T103115</t>
        </is>
      </c>
      <c r="C368" t="inlineStr">
        <is>
          <t>Luna Johnson</t>
        </is>
      </c>
      <c r="D368" t="inlineStr">
        <is>
          <t>Mia Johnson</t>
        </is>
      </c>
      <c r="E368" t="n">
        <v>100</v>
      </c>
      <c r="F368" t="inlineStr">
        <is>
          <t>Apple Pay</t>
        </is>
      </c>
    </row>
    <row r="369">
      <c r="A369" s="78" t="n">
        <v>46330.3125</v>
      </c>
      <c r="B369" t="inlineStr">
        <is>
          <t>T103929</t>
        </is>
      </c>
      <c r="C369" t="inlineStr">
        <is>
          <t>Leo Johnson</t>
        </is>
      </c>
      <c r="D369" t="inlineStr">
        <is>
          <t>Zoe Johnson</t>
        </is>
      </c>
      <c r="E369" t="n">
        <v>20</v>
      </c>
      <c r="F369" t="inlineStr">
        <is>
          <t>Apple Pay</t>
        </is>
      </c>
    </row>
    <row r="370">
      <c r="A370" s="78" t="n">
        <v>46325.72916666666</v>
      </c>
      <c r="B370" t="inlineStr">
        <is>
          <t>T101944</t>
        </is>
      </c>
      <c r="C370" t="inlineStr">
        <is>
          <t>Amelia Alvarez</t>
        </is>
      </c>
      <c r="D370" t="inlineStr">
        <is>
          <t>Amelia Alvarez</t>
        </is>
      </c>
      <c r="E370" t="n">
        <v>50</v>
      </c>
      <c r="F370" t="inlineStr">
        <is>
          <t>Credit Card</t>
        </is>
      </c>
    </row>
    <row r="371">
      <c r="A371" s="78" t="n">
        <v>46330.44791666666</v>
      </c>
      <c r="B371" t="inlineStr">
        <is>
          <t>T101133</t>
        </is>
      </c>
      <c r="C371" t="inlineStr">
        <is>
          <t>Daniel Garcia</t>
        </is>
      </c>
      <c r="D371" t="inlineStr">
        <is>
          <t>Valentina Garcia</t>
        </is>
      </c>
      <c r="E371" t="inlineStr">
        <is>
          <t>$75.00</t>
        </is>
      </c>
      <c r="F371" t="inlineStr">
        <is>
          <t>Apple Pay</t>
        </is>
      </c>
    </row>
    <row r="372">
      <c r="A372" s="78" t="n">
        <v>46338.375</v>
      </c>
      <c r="B372" t="inlineStr">
        <is>
          <t>T104336</t>
        </is>
      </c>
      <c r="C372" t="inlineStr">
        <is>
          <t>David Brown</t>
        </is>
      </c>
      <c r="D372" t="inlineStr">
        <is>
          <t>Amelia Brown</t>
        </is>
      </c>
      <c r="E372" t="n">
        <v>25</v>
      </c>
      <c r="F372" t="inlineStr">
        <is>
          <t>Apple Pay</t>
        </is>
      </c>
    </row>
    <row r="373">
      <c r="A373" t="inlineStr">
        <is>
          <t>11/11/2026 05:15 PM</t>
        </is>
      </c>
      <c r="B373" t="inlineStr">
        <is>
          <t>T104474</t>
        </is>
      </c>
      <c r="C373" t="inlineStr">
        <is>
          <t>Adrian Patel</t>
        </is>
      </c>
      <c r="D373" t="inlineStr">
        <is>
          <t>Mateo Patel</t>
        </is>
      </c>
      <c r="E373" t="n">
        <v>50</v>
      </c>
      <c r="F373" t="inlineStr">
        <is>
          <t>Apple Pay</t>
        </is>
      </c>
    </row>
    <row r="374">
      <c r="A374" s="78" t="n">
        <v>46325.34375</v>
      </c>
      <c r="B374" t="inlineStr">
        <is>
          <t>T100039</t>
        </is>
      </c>
      <c r="C374" t="inlineStr">
        <is>
          <t>Evelyn Cruz</t>
        </is>
      </c>
      <c r="D374" t="inlineStr">
        <is>
          <t>Benjamin Cruz</t>
        </is>
      </c>
      <c r="E374" t="n">
        <v>50</v>
      </c>
      <c r="F374" t="inlineStr">
        <is>
          <t>Apple Pay</t>
        </is>
      </c>
    </row>
    <row r="375">
      <c r="A375" s="78" t="n">
        <v>46329.89583333334</v>
      </c>
      <c r="B375" t="inlineStr">
        <is>
          <t>T102023</t>
        </is>
      </c>
      <c r="C375" t="inlineStr">
        <is>
          <t>Harper Chavez</t>
        </is>
      </c>
      <c r="D375" t="inlineStr">
        <is>
          <t>Diego Chavez</t>
        </is>
      </c>
      <c r="E375" t="n">
        <v>10</v>
      </c>
      <c r="F375" t="inlineStr">
        <is>
          <t>Apple Pay</t>
        </is>
      </c>
    </row>
    <row r="376">
      <c r="A376" s="78" t="n">
        <v>46335.8125</v>
      </c>
      <c r="B376" t="inlineStr">
        <is>
          <t>T104695</t>
        </is>
      </c>
      <c r="C376" t="inlineStr">
        <is>
          <t>Elena Castillo</t>
        </is>
      </c>
      <c r="D376" t="inlineStr">
        <is>
          <t>Aria Castillo</t>
        </is>
      </c>
      <c r="E376" t="n">
        <v>10</v>
      </c>
      <c r="F376" t="inlineStr">
        <is>
          <t>Credit Card</t>
        </is>
      </c>
    </row>
    <row r="377">
      <c r="A377" s="78" t="n">
        <v>46329.84375</v>
      </c>
      <c r="B377" t="inlineStr">
        <is>
          <t>T104805</t>
        </is>
      </c>
      <c r="C377" t="inlineStr">
        <is>
          <t>Joseph Gonzalez</t>
        </is>
      </c>
      <c r="D377" t="inlineStr">
        <is>
          <t>Harper Gonzalez</t>
        </is>
      </c>
      <c r="E377" t="n">
        <v>40</v>
      </c>
      <c r="F377" t="inlineStr">
        <is>
          <t>Credit Card</t>
        </is>
      </c>
    </row>
    <row r="378">
      <c r="A378" s="78" t="n">
        <v>46339.4375</v>
      </c>
      <c r="B378" t="inlineStr">
        <is>
          <t>T102224</t>
        </is>
      </c>
      <c r="C378" t="inlineStr">
        <is>
          <t>Mia Vasquez</t>
        </is>
      </c>
      <c r="D378" t="inlineStr">
        <is>
          <t>Gabriel Vasquez</t>
        </is>
      </c>
      <c r="E378" t="n">
        <v>50</v>
      </c>
      <c r="F378" t="inlineStr">
        <is>
          <t>Apple Pay</t>
        </is>
      </c>
    </row>
    <row r="379">
      <c r="A379" s="78" t="n">
        <v>46327.44791666666</v>
      </c>
      <c r="B379" t="inlineStr">
        <is>
          <t>T100478</t>
        </is>
      </c>
      <c r="C379" t="inlineStr">
        <is>
          <t>Morales, Harper</t>
        </is>
      </c>
      <c r="D379" t="inlineStr">
        <is>
          <t>Camila Morales</t>
        </is>
      </c>
      <c r="E379" t="n">
        <v>50</v>
      </c>
      <c r="F379" t="inlineStr">
        <is>
          <t>Apple Pay</t>
        </is>
      </c>
    </row>
    <row r="380">
      <c r="A380" s="78" t="n">
        <v>46325.77083333334</v>
      </c>
      <c r="B380" t="inlineStr">
        <is>
          <t>T101191</t>
        </is>
      </c>
      <c r="C380" t="inlineStr">
        <is>
          <t>Grace Kim</t>
        </is>
      </c>
      <c r="D380" t="inlineStr">
        <is>
          <t>Isabella Kim</t>
        </is>
      </c>
      <c r="E380" t="n">
        <v>25</v>
      </c>
      <c r="F380" t="inlineStr">
        <is>
          <t>Credit Card</t>
        </is>
      </c>
    </row>
    <row r="381">
      <c r="A381" s="78" t="n">
        <v>46327.5625</v>
      </c>
      <c r="B381" t="inlineStr">
        <is>
          <t>T101519</t>
        </is>
      </c>
      <c r="C381" t="inlineStr">
        <is>
          <t>Gabriel Murphy</t>
        </is>
      </c>
      <c r="D381" t="inlineStr">
        <is>
          <t>Emma Murphy</t>
        </is>
      </c>
      <c r="E381" t="n">
        <v>150</v>
      </c>
      <c r="F381" t="inlineStr">
        <is>
          <t>Apple Pay</t>
        </is>
      </c>
    </row>
    <row r="382">
      <c r="A382" s="78" t="n">
        <v>46332.46875</v>
      </c>
      <c r="B382" t="inlineStr">
        <is>
          <t>T104626</t>
        </is>
      </c>
      <c r="C382" t="inlineStr">
        <is>
          <t>Emma Sanchez</t>
        </is>
      </c>
      <c r="D382" t="inlineStr">
        <is>
          <t>Ava Sanchez</t>
        </is>
      </c>
      <c r="E382" t="n">
        <v>100</v>
      </c>
      <c r="F382" t="inlineStr">
        <is>
          <t>Apple Pay</t>
        </is>
      </c>
    </row>
    <row r="383">
      <c r="A383" s="78" t="n">
        <v>46336.73958333334</v>
      </c>
      <c r="B383" t="inlineStr">
        <is>
          <t>T100938</t>
        </is>
      </c>
      <c r="C383" t="inlineStr">
        <is>
          <t>Noah Rodriguez</t>
        </is>
      </c>
      <c r="D383" t="inlineStr">
        <is>
          <t>Lily Rodriguez</t>
        </is>
      </c>
      <c r="E383" t="n">
        <v>20</v>
      </c>
      <c r="F383" t="inlineStr">
        <is>
          <t>Apple Pay</t>
        </is>
      </c>
    </row>
    <row r="384">
      <c r="A384" s="78" t="n">
        <v>46338.47916666666</v>
      </c>
      <c r="B384" t="inlineStr">
        <is>
          <t>T100771</t>
        </is>
      </c>
      <c r="C384" t="inlineStr">
        <is>
          <t>Adrian O'Brien</t>
        </is>
      </c>
      <c r="D384" t="inlineStr">
        <is>
          <t>Evelyn O'Brien</t>
        </is>
      </c>
      <c r="E384" t="n">
        <v>20</v>
      </c>
      <c r="F384" t="inlineStr">
        <is>
          <t>Apple Pay</t>
        </is>
      </c>
    </row>
    <row r="385">
      <c r="A385" s="78" t="n">
        <v>46331.5</v>
      </c>
      <c r="B385" t="inlineStr">
        <is>
          <t>T102414</t>
        </is>
      </c>
      <c r="C385" t="inlineStr">
        <is>
          <t>Henry Lopez</t>
        </is>
      </c>
      <c r="D385" t="inlineStr">
        <is>
          <t>Henry Lopez</t>
        </is>
      </c>
      <c r="E385" t="n">
        <v>25</v>
      </c>
      <c r="F385" t="inlineStr">
        <is>
          <t>Credit Card</t>
        </is>
      </c>
    </row>
    <row r="386">
      <c r="A386" s="78" t="n">
        <v>46334.59375</v>
      </c>
      <c r="B386" t="inlineStr">
        <is>
          <t>T103176</t>
        </is>
      </c>
      <c r="C386" t="inlineStr">
        <is>
          <t>Gutierrez, James</t>
        </is>
      </c>
      <c r="D386" t="inlineStr">
        <is>
          <t>Amelia Gutierrez</t>
        </is>
      </c>
      <c r="E386" t="n">
        <v>75</v>
      </c>
      <c r="F386" t="inlineStr">
        <is>
          <t>Credit Card</t>
        </is>
      </c>
    </row>
    <row r="387">
      <c r="A387" s="78" t="n">
        <v>46330.5</v>
      </c>
      <c r="B387" t="inlineStr">
        <is>
          <t>T101178</t>
        </is>
      </c>
      <c r="C387" t="inlineStr">
        <is>
          <t>Evelyn Gonzalez</t>
        </is>
      </c>
      <c r="D387" t="inlineStr">
        <is>
          <t>Isabella Gonzalez</t>
        </is>
      </c>
      <c r="E387" t="n">
        <v>100</v>
      </c>
      <c r="F387" t="inlineStr">
        <is>
          <t>Credit Card</t>
        </is>
      </c>
    </row>
    <row r="388">
      <c r="A388" s="78" t="n">
        <v>46331.8125</v>
      </c>
      <c r="B388" t="inlineStr">
        <is>
          <t>T101824</t>
        </is>
      </c>
      <c r="C388" t="inlineStr">
        <is>
          <t>Murphy, Gabriel</t>
        </is>
      </c>
      <c r="D388" t="inlineStr">
        <is>
          <t>Isabella Murphy</t>
        </is>
      </c>
      <c r="E388" t="n">
        <v>50</v>
      </c>
      <c r="F388" t="inlineStr">
        <is>
          <t>Credit Card</t>
        </is>
      </c>
    </row>
    <row r="389">
      <c r="A389" s="78" t="n">
        <v>46336.73958333334</v>
      </c>
      <c r="B389" t="inlineStr">
        <is>
          <t>T103012</t>
        </is>
      </c>
      <c r="C389" t="inlineStr">
        <is>
          <t>Mateo Nguyen</t>
        </is>
      </c>
      <c r="D389" t="inlineStr">
        <is>
          <t>Leo Nguyen</t>
        </is>
      </c>
      <c r="E389" t="n">
        <v>150</v>
      </c>
      <c r="F389" t="inlineStr">
        <is>
          <t>Apple Pay</t>
        </is>
      </c>
    </row>
    <row r="390">
      <c r="A390" s="78" t="n">
        <v>46327.55208333334</v>
      </c>
      <c r="B390" t="inlineStr">
        <is>
          <t>T105369</t>
        </is>
      </c>
      <c r="C390" t="inlineStr">
        <is>
          <t>Isaac Diaz</t>
        </is>
      </c>
      <c r="D390" t="inlineStr">
        <is>
          <t>Joseph Diaz</t>
        </is>
      </c>
      <c r="E390" t="n">
        <v>100</v>
      </c>
      <c r="F390" t="inlineStr">
        <is>
          <t>Credit Card</t>
        </is>
      </c>
    </row>
    <row r="391">
      <c r="A391" s="78" t="n">
        <v>46335.80208333334</v>
      </c>
      <c r="B391" t="inlineStr">
        <is>
          <t>T105046</t>
        </is>
      </c>
      <c r="C391" t="inlineStr">
        <is>
          <t>Isaac Diaz</t>
        </is>
      </c>
      <c r="D391" t="inlineStr">
        <is>
          <t>Chloe Diaz</t>
        </is>
      </c>
      <c r="E391" t="n">
        <v>50</v>
      </c>
      <c r="F391" t="inlineStr">
        <is>
          <t>Apple Pay</t>
        </is>
      </c>
    </row>
    <row r="392">
      <c r="A392" s="78" t="n">
        <v>46333.64583333334</v>
      </c>
      <c r="B392" t="inlineStr">
        <is>
          <t>T100877</t>
        </is>
      </c>
      <c r="C392" t="inlineStr">
        <is>
          <t>Luna Alvarez</t>
        </is>
      </c>
      <c r="D392" t="inlineStr">
        <is>
          <t>Ella Alvarez</t>
        </is>
      </c>
      <c r="E392" t="n">
        <v>50</v>
      </c>
      <c r="F392" t="inlineStr">
        <is>
          <t>Credit Card</t>
        </is>
      </c>
    </row>
    <row r="393">
      <c r="A393" s="78" t="n">
        <v>46335.41666666666</v>
      </c>
      <c r="B393" t="inlineStr">
        <is>
          <t>T102580</t>
        </is>
      </c>
      <c r="C393" t="inlineStr">
        <is>
          <t>Mateo Gonzalez</t>
        </is>
      </c>
      <c r="D393" t="inlineStr">
        <is>
          <t>Thomas Gonzalez</t>
        </is>
      </c>
      <c r="E393" t="n">
        <v>50</v>
      </c>
      <c r="F393" t="inlineStr">
        <is>
          <t>Credit Card</t>
        </is>
      </c>
    </row>
    <row r="394">
      <c r="A394" s="78" t="n">
        <v>46339.58333333334</v>
      </c>
      <c r="B394" t="inlineStr">
        <is>
          <t>T103826</t>
        </is>
      </c>
      <c r="C394" t="inlineStr">
        <is>
          <t>James Gutierrez</t>
        </is>
      </c>
      <c r="D394" t="inlineStr">
        <is>
          <t>Ella Gutierrez</t>
        </is>
      </c>
      <c r="E394" t="n">
        <v>25</v>
      </c>
      <c r="F394" t="inlineStr">
        <is>
          <t>Credit Card</t>
        </is>
      </c>
    </row>
    <row r="395">
      <c r="A395" s="78" t="n">
        <v>46339.69791666666</v>
      </c>
      <c r="B395" t="inlineStr">
        <is>
          <t>T103639</t>
        </is>
      </c>
      <c r="C395" t="inlineStr">
        <is>
          <t>Nora Morales</t>
        </is>
      </c>
      <c r="D395" t="inlineStr">
        <is>
          <t>Grace Morales</t>
        </is>
      </c>
      <c r="E395" t="n">
        <v>25</v>
      </c>
      <c r="F395" t="inlineStr">
        <is>
          <t>Credit Card</t>
        </is>
      </c>
    </row>
    <row r="396">
      <c r="A396" s="78" t="n">
        <v>46335.70833333334</v>
      </c>
      <c r="B396" t="inlineStr">
        <is>
          <t>T100211</t>
        </is>
      </c>
      <c r="C396" t="inlineStr">
        <is>
          <t>Elena Rivera</t>
        </is>
      </c>
      <c r="D396" t="inlineStr">
        <is>
          <t>Samuel Rivera</t>
        </is>
      </c>
      <c r="E396" t="n">
        <v>50</v>
      </c>
      <c r="F396" t="inlineStr">
        <is>
          <t>Apple Pay</t>
        </is>
      </c>
    </row>
    <row r="397">
      <c r="A397" s="78" t="n">
        <v>46327.4375</v>
      </c>
      <c r="B397" t="inlineStr">
        <is>
          <t>T102273</t>
        </is>
      </c>
      <c r="C397" t="inlineStr">
        <is>
          <t>Mateo Gonzalez</t>
        </is>
      </c>
      <c r="D397" t="inlineStr">
        <is>
          <t>Benjamin Gonzalez</t>
        </is>
      </c>
      <c r="E397" t="n">
        <v>50</v>
      </c>
      <c r="F397" t="inlineStr">
        <is>
          <t>Apple Pay</t>
        </is>
      </c>
    </row>
    <row r="398">
      <c r="A398" s="78" t="n">
        <v>46339.82291666666</v>
      </c>
      <c r="B398" t="inlineStr">
        <is>
          <t>T103358</t>
        </is>
      </c>
      <c r="C398" t="inlineStr">
        <is>
          <t>Valentina Ramirez</t>
        </is>
      </c>
      <c r="D398" t="inlineStr">
        <is>
          <t>Chloe Ramirez</t>
        </is>
      </c>
      <c r="E398" t="n">
        <v>100</v>
      </c>
      <c r="F398" t="inlineStr">
        <is>
          <t>Apple Pay</t>
        </is>
      </c>
    </row>
    <row r="399">
      <c r="A399" s="78" t="n">
        <v>46334.84375</v>
      </c>
      <c r="B399" t="inlineStr">
        <is>
          <t>T104068</t>
        </is>
      </c>
      <c r="C399" t="inlineStr">
        <is>
          <t>Elijah Walsh</t>
        </is>
      </c>
      <c r="D399" t="inlineStr">
        <is>
          <t>Lucas Walsh</t>
        </is>
      </c>
      <c r="E399" t="n">
        <v>10</v>
      </c>
      <c r="F399" t="inlineStr">
        <is>
          <t>Apple Pay</t>
        </is>
      </c>
    </row>
    <row r="400">
      <c r="A400" s="78" t="n">
        <v>46332.61458333334</v>
      </c>
      <c r="B400" t="inlineStr">
        <is>
          <t>T100736</t>
        </is>
      </c>
      <c r="C400" t="inlineStr">
        <is>
          <t>Lucas Vasquez</t>
        </is>
      </c>
      <c r="D400" t="inlineStr">
        <is>
          <t>Ava Vasquez</t>
        </is>
      </c>
      <c r="E400" t="n">
        <v>100</v>
      </c>
      <c r="F400" t="inlineStr">
        <is>
          <t>Apple Pay</t>
        </is>
      </c>
    </row>
    <row r="401">
      <c r="A401" s="78" t="n">
        <v>46332.36458333334</v>
      </c>
      <c r="B401" t="inlineStr">
        <is>
          <t>T104996</t>
        </is>
      </c>
      <c r="C401" t="inlineStr">
        <is>
          <t>Valentina Ramos</t>
        </is>
      </c>
      <c r="D401" t="inlineStr">
        <is>
          <t>Daniel Ramos</t>
        </is>
      </c>
      <c r="E401" t="n">
        <v>10</v>
      </c>
      <c r="F401" t="inlineStr">
        <is>
          <t>Credit Card</t>
        </is>
      </c>
    </row>
    <row r="402">
      <c r="A402" s="78" t="n">
        <v>46329.3125</v>
      </c>
      <c r="B402" t="inlineStr">
        <is>
          <t>T103816</t>
        </is>
      </c>
      <c r="C402" t="inlineStr">
        <is>
          <t>Torres, Ella</t>
        </is>
      </c>
      <c r="D402" t="inlineStr">
        <is>
          <t>Samuel Torres</t>
        </is>
      </c>
      <c r="E402" t="n">
        <v>50</v>
      </c>
      <c r="F402" t="inlineStr">
        <is>
          <t>Credit Card</t>
        </is>
      </c>
    </row>
    <row r="403">
      <c r="A403" s="78" t="n">
        <v>46332.30208333334</v>
      </c>
      <c r="B403" t="inlineStr">
        <is>
          <t>T104784</t>
        </is>
      </c>
      <c r="C403" t="inlineStr">
        <is>
          <t>Luna Kim</t>
        </is>
      </c>
      <c r="D403" t="inlineStr">
        <is>
          <t>Henry Kim</t>
        </is>
      </c>
      <c r="E403" t="n">
        <v>25</v>
      </c>
      <c r="F403" t="inlineStr">
        <is>
          <t>Apple Pay</t>
        </is>
      </c>
    </row>
    <row r="404">
      <c r="A404" s="78" t="n">
        <v>46325.63541666666</v>
      </c>
      <c r="B404" t="inlineStr">
        <is>
          <t>T103108</t>
        </is>
      </c>
      <c r="C404" t="inlineStr">
        <is>
          <t>Valentina Hernandez</t>
        </is>
      </c>
      <c r="D404" t="inlineStr">
        <is>
          <t>Olivia Hernandez</t>
        </is>
      </c>
      <c r="E404" t="n">
        <v>25</v>
      </c>
      <c r="F404" t="inlineStr">
        <is>
          <t>Apple Pay</t>
        </is>
      </c>
    </row>
    <row r="405">
      <c r="A405" s="78" t="n">
        <v>46332.6875</v>
      </c>
      <c r="B405" t="inlineStr">
        <is>
          <t>T105395</t>
        </is>
      </c>
      <c r="C405" t="inlineStr">
        <is>
          <t>Gabriel Cruz</t>
        </is>
      </c>
      <c r="D405" t="inlineStr">
        <is>
          <t>Noah Cruz</t>
        </is>
      </c>
      <c r="E405" t="n">
        <v>50</v>
      </c>
      <c r="F405" t="inlineStr">
        <is>
          <t>Apple Pay</t>
        </is>
      </c>
    </row>
    <row r="406">
      <c r="A406" s="78" t="n">
        <v>46330.55208333334</v>
      </c>
      <c r="B406" t="inlineStr">
        <is>
          <t>T100133</t>
        </is>
      </c>
      <c r="C406" t="inlineStr">
        <is>
          <t>Isabella Smith</t>
        </is>
      </c>
      <c r="D406" t="inlineStr">
        <is>
          <t>Elena Smith</t>
        </is>
      </c>
      <c r="E406" t="n">
        <v>50</v>
      </c>
      <c r="F406" t="inlineStr">
        <is>
          <t>Apple Pay</t>
        </is>
      </c>
    </row>
    <row r="407">
      <c r="A407" s="78" t="n">
        <v>46326.61458333334</v>
      </c>
      <c r="B407" t="inlineStr">
        <is>
          <t>T100294</t>
        </is>
      </c>
      <c r="C407" t="inlineStr">
        <is>
          <t>Luna Gutierrez</t>
        </is>
      </c>
      <c r="D407" t="inlineStr">
        <is>
          <t>Aria Gutierrez</t>
        </is>
      </c>
      <c r="E407" t="n">
        <v>25</v>
      </c>
      <c r="F407" t="inlineStr">
        <is>
          <t>Credit Card</t>
        </is>
      </c>
    </row>
    <row r="408">
      <c r="A408" s="78" t="n">
        <v>46328.875</v>
      </c>
      <c r="B408" t="inlineStr">
        <is>
          <t>T103453</t>
        </is>
      </c>
      <c r="C408" t="inlineStr">
        <is>
          <t>Benjamin Patel</t>
        </is>
      </c>
      <c r="D408" t="inlineStr">
        <is>
          <t>Mateo Patel</t>
        </is>
      </c>
      <c r="E408" t="n">
        <v>10</v>
      </c>
      <c r="F408" t="inlineStr">
        <is>
          <t>Apple Pay</t>
        </is>
      </c>
    </row>
    <row r="409">
      <c r="A409" s="78" t="n">
        <v>46333.69791666666</v>
      </c>
      <c r="B409" t="inlineStr">
        <is>
          <t>T101466</t>
        </is>
      </c>
      <c r="C409" t="inlineStr">
        <is>
          <t>Evelyn Rodriguez</t>
        </is>
      </c>
      <c r="D409" t="inlineStr">
        <is>
          <t>Lucas Rodriguez</t>
        </is>
      </c>
      <c r="E409" t="n">
        <v>25</v>
      </c>
      <c r="F409" t="inlineStr">
        <is>
          <t>Apple Pay</t>
        </is>
      </c>
    </row>
    <row r="410">
      <c r="A410" s="78" t="n">
        <v>46336.51041666666</v>
      </c>
      <c r="B410" t="inlineStr">
        <is>
          <t>T104007</t>
        </is>
      </c>
      <c r="C410" t="inlineStr">
        <is>
          <t>Joseph Diaz</t>
        </is>
      </c>
      <c r="D410" t="inlineStr">
        <is>
          <t>Samuel Diaz</t>
        </is>
      </c>
      <c r="E410" t="n">
        <v>10</v>
      </c>
      <c r="F410" t="inlineStr">
        <is>
          <t>Credit Card</t>
        </is>
      </c>
    </row>
    <row r="411">
      <c r="A411" s="78" t="n">
        <v>46328.625</v>
      </c>
      <c r="B411" t="inlineStr">
        <is>
          <t>T103678</t>
        </is>
      </c>
      <c r="C411" t="inlineStr">
        <is>
          <t xml:space="preserve">  MAYA   kim </t>
        </is>
      </c>
      <c r="D411" t="inlineStr">
        <is>
          <t>Joseph Kim</t>
        </is>
      </c>
      <c r="E411" t="n">
        <v>50</v>
      </c>
      <c r="F411" t="inlineStr">
        <is>
          <t>Credit Card</t>
        </is>
      </c>
    </row>
    <row r="412">
      <c r="A412" s="78" t="n">
        <v>46326.59375</v>
      </c>
      <c r="B412" t="inlineStr">
        <is>
          <t>T100703</t>
        </is>
      </c>
      <c r="C412" t="inlineStr">
        <is>
          <t>Luna Nguyen</t>
        </is>
      </c>
      <c r="D412" t="inlineStr">
        <is>
          <t>Benjamin Nguyen</t>
        </is>
      </c>
      <c r="E412" t="n">
        <v>25</v>
      </c>
      <c r="F412" t="inlineStr">
        <is>
          <t>Apple Pay</t>
        </is>
      </c>
    </row>
    <row r="413">
      <c r="A413" s="78" t="n">
        <v>46329.44791666666</v>
      </c>
      <c r="B413" t="inlineStr">
        <is>
          <t>T101683</t>
        </is>
      </c>
      <c r="C413" t="inlineStr">
        <is>
          <t>James Alvarez</t>
        </is>
      </c>
      <c r="D413" t="inlineStr">
        <is>
          <t>Amelia Alvarez</t>
        </is>
      </c>
      <c r="E413" t="inlineStr">
        <is>
          <t>$25.00</t>
        </is>
      </c>
      <c r="F413" t="inlineStr">
        <is>
          <t>Credit Card</t>
        </is>
      </c>
    </row>
    <row r="414">
      <c r="A414" s="78" t="n">
        <v>46339.58333333334</v>
      </c>
      <c r="B414" t="inlineStr">
        <is>
          <t>T102283</t>
        </is>
      </c>
      <c r="C414" t="inlineStr">
        <is>
          <t>Adrian Byrne</t>
        </is>
      </c>
      <c r="D414" t="inlineStr">
        <is>
          <t>Lily Byrne</t>
        </is>
      </c>
      <c r="E414" t="n">
        <v>100</v>
      </c>
      <c r="F414" t="inlineStr">
        <is>
          <t>Credit Card</t>
        </is>
      </c>
    </row>
    <row r="415">
      <c r="A415" s="78" t="n">
        <v>46323.375</v>
      </c>
      <c r="B415" t="inlineStr">
        <is>
          <t>T900009</t>
        </is>
      </c>
      <c r="C415" t="inlineStr">
        <is>
          <t>Grace Kelly</t>
        </is>
      </c>
      <c r="D415" t="inlineStr">
        <is>
          <t>Early Bird</t>
        </is>
      </c>
      <c r="E415" t="n">
        <v>45</v>
      </c>
      <c r="F415" t="inlineStr">
        <is>
          <t>Credit Card</t>
        </is>
      </c>
    </row>
    <row r="416">
      <c r="A416" s="78" t="n">
        <v>46328.44791666666</v>
      </c>
      <c r="B416" t="inlineStr">
        <is>
          <t>T100481</t>
        </is>
      </c>
      <c r="C416" t="inlineStr">
        <is>
          <t>Isabella Smith</t>
        </is>
      </c>
      <c r="D416" t="inlineStr">
        <is>
          <t>Aria Smith</t>
        </is>
      </c>
      <c r="E416" t="n">
        <v>20</v>
      </c>
      <c r="F416" t="inlineStr">
        <is>
          <t>Apple Pay</t>
        </is>
      </c>
    </row>
    <row r="417">
      <c r="A417" s="78" t="n">
        <v>46335.375</v>
      </c>
      <c r="B417" t="inlineStr">
        <is>
          <t>T100439</t>
        </is>
      </c>
      <c r="C417" t="inlineStr">
        <is>
          <t>Samuel Ramirez</t>
        </is>
      </c>
      <c r="D417" t="inlineStr">
        <is>
          <t>Luna Ramirez</t>
        </is>
      </c>
      <c r="E417" t="n">
        <v>75</v>
      </c>
      <c r="F417" t="inlineStr">
        <is>
          <t>Apple Pay</t>
        </is>
      </c>
    </row>
    <row r="418">
      <c r="A418" s="78" t="n">
        <v>46325.32291666666</v>
      </c>
      <c r="B418" t="inlineStr">
        <is>
          <t>T104414</t>
        </is>
      </c>
      <c r="C418" t="inlineStr">
        <is>
          <t>Mateo Kelly</t>
        </is>
      </c>
      <c r="D418" t="inlineStr">
        <is>
          <t>Isabella Kelly</t>
        </is>
      </c>
      <c r="E418" t="n">
        <v>25</v>
      </c>
      <c r="F418" t="inlineStr">
        <is>
          <t>Credit Card</t>
        </is>
      </c>
    </row>
    <row r="419">
      <c r="A419" s="78" t="n">
        <v>46329.3125</v>
      </c>
      <c r="B419" t="inlineStr">
        <is>
          <t>T101189</t>
        </is>
      </c>
      <c r="C419" t="inlineStr">
        <is>
          <t>Gabriel Cruz</t>
        </is>
      </c>
      <c r="D419" t="inlineStr">
        <is>
          <t>Elijah Cruz</t>
        </is>
      </c>
      <c r="E419" t="n">
        <v>40</v>
      </c>
      <c r="F419" t="inlineStr">
        <is>
          <t>Apple Pay</t>
        </is>
      </c>
    </row>
    <row r="420">
      <c r="A420" s="78" t="n">
        <v>46336.85416666666</v>
      </c>
      <c r="B420" t="inlineStr">
        <is>
          <t>T104175</t>
        </is>
      </c>
      <c r="C420" t="inlineStr">
        <is>
          <t>Thomas Perez</t>
        </is>
      </c>
      <c r="D420" t="inlineStr">
        <is>
          <t>Samuel Perez</t>
        </is>
      </c>
      <c r="E420" t="n">
        <v>25</v>
      </c>
      <c r="F420" t="inlineStr">
        <is>
          <t>Apple Pay</t>
        </is>
      </c>
    </row>
    <row r="421">
      <c r="A421" s="78" t="n">
        <v>46338.89583333334</v>
      </c>
      <c r="B421" t="inlineStr">
        <is>
          <t>T101345</t>
        </is>
      </c>
      <c r="C421" t="inlineStr">
        <is>
          <t>Liam Ruiz</t>
        </is>
      </c>
      <c r="D421" t="inlineStr">
        <is>
          <t>Henry Ruiz</t>
        </is>
      </c>
      <c r="E421" t="n">
        <v>25</v>
      </c>
      <c r="F421" t="inlineStr">
        <is>
          <t>Apple Pay</t>
        </is>
      </c>
    </row>
    <row r="422">
      <c r="A422" s="78" t="n">
        <v>46330.64583333334</v>
      </c>
      <c r="B422" t="inlineStr">
        <is>
          <t>T104797</t>
        </is>
      </c>
      <c r="C422" t="inlineStr">
        <is>
          <t>Nora Kim</t>
        </is>
      </c>
      <c r="D422" t="inlineStr">
        <is>
          <t>Lily Kim</t>
        </is>
      </c>
      <c r="E422" t="n">
        <v>20</v>
      </c>
      <c r="F422" t="inlineStr">
        <is>
          <t>Credit Card</t>
        </is>
      </c>
    </row>
    <row r="423">
      <c r="A423" s="78" t="n">
        <v>46336.71875</v>
      </c>
      <c r="B423" t="inlineStr">
        <is>
          <t>T103333</t>
        </is>
      </c>
      <c r="C423" t="inlineStr">
        <is>
          <t>Adrian Byrne</t>
        </is>
      </c>
      <c r="D423" t="inlineStr">
        <is>
          <t>Camila Byrne</t>
        </is>
      </c>
      <c r="E423" t="n">
        <v>100</v>
      </c>
      <c r="F423" t="inlineStr">
        <is>
          <t>Apple Pay</t>
        </is>
      </c>
    </row>
    <row r="424">
      <c r="A424" s="78" t="n">
        <v>46332.29166666666</v>
      </c>
      <c r="B424" t="inlineStr">
        <is>
          <t>T103801</t>
        </is>
      </c>
      <c r="C424" t="inlineStr">
        <is>
          <t>Walsh, Elena</t>
        </is>
      </c>
      <c r="D424" t="inlineStr">
        <is>
          <t>Thomas Walsh</t>
        </is>
      </c>
      <c r="E424" t="n">
        <v>50</v>
      </c>
      <c r="F424" t="inlineStr">
        <is>
          <t>Credit Card</t>
        </is>
      </c>
    </row>
    <row r="425">
      <c r="A425" s="78" t="n">
        <v>46329.63541666666</v>
      </c>
      <c r="B425" t="inlineStr">
        <is>
          <t>T101456</t>
        </is>
      </c>
      <c r="C425" t="inlineStr">
        <is>
          <t>Isabella Johnson</t>
        </is>
      </c>
      <c r="D425" t="inlineStr">
        <is>
          <t>Mateo Johnson</t>
        </is>
      </c>
      <c r="E425" t="n">
        <v>50</v>
      </c>
      <c r="F425" t="inlineStr">
        <is>
          <t>Apple Pay</t>
        </is>
      </c>
    </row>
    <row r="426">
      <c r="A426" s="78" t="n">
        <v>46336.64583333334</v>
      </c>
      <c r="B426" t="inlineStr">
        <is>
          <t>T105065</t>
        </is>
      </c>
      <c r="C426" t="inlineStr">
        <is>
          <t>Joseph Vasquez</t>
        </is>
      </c>
      <c r="D426" t="inlineStr">
        <is>
          <t>Isabella Vasquez</t>
        </is>
      </c>
      <c r="E426" t="n">
        <v>150</v>
      </c>
      <c r="F426" t="inlineStr">
        <is>
          <t>Apple Pay</t>
        </is>
      </c>
    </row>
    <row r="427">
      <c r="A427" s="78" t="n">
        <v>46328.86458333334</v>
      </c>
      <c r="B427" t="inlineStr">
        <is>
          <t>T101097</t>
        </is>
      </c>
      <c r="C427" t="inlineStr">
        <is>
          <t>Zoe Garcia</t>
        </is>
      </c>
      <c r="D427" t="inlineStr">
        <is>
          <t>Diego Garcia</t>
        </is>
      </c>
      <c r="E427" t="n">
        <v>25</v>
      </c>
      <c r="F427" t="inlineStr">
        <is>
          <t>Credit Card</t>
        </is>
      </c>
    </row>
    <row r="428">
      <c r="A428" s="78" t="n">
        <v>46331.61458333334</v>
      </c>
      <c r="B428" t="inlineStr">
        <is>
          <t>T102678</t>
        </is>
      </c>
      <c r="C428" t="inlineStr">
        <is>
          <t>Brown, Harper</t>
        </is>
      </c>
      <c r="D428" t="inlineStr">
        <is>
          <t>Gabriel Brown</t>
        </is>
      </c>
      <c r="E428" t="n">
        <v>20</v>
      </c>
      <c r="F428" t="inlineStr">
        <is>
          <t>Credit Card</t>
        </is>
      </c>
    </row>
    <row r="429">
      <c r="A429" s="78" t="n">
        <v>46339.76041666666</v>
      </c>
      <c r="B429" t="inlineStr">
        <is>
          <t>T103947</t>
        </is>
      </c>
      <c r="C429" t="inlineStr">
        <is>
          <t>Noah Gomez</t>
        </is>
      </c>
      <c r="D429" t="inlineStr">
        <is>
          <t>Liam Gomez</t>
        </is>
      </c>
      <c r="E429" t="n">
        <v>20</v>
      </c>
      <c r="F429" t="inlineStr">
        <is>
          <t>Apple Pay</t>
        </is>
      </c>
    </row>
    <row r="430">
      <c r="A430" s="78" t="n">
        <v>46337.40625</v>
      </c>
      <c r="B430" t="inlineStr">
        <is>
          <t>T102358</t>
        </is>
      </c>
      <c r="C430" t="inlineStr">
        <is>
          <t>Mateo Vasquez</t>
        </is>
      </c>
      <c r="D430" t="inlineStr">
        <is>
          <t>Mateo Vasquez</t>
        </is>
      </c>
      <c r="E430" t="n">
        <v>25</v>
      </c>
      <c r="F430" t="inlineStr">
        <is>
          <t>Apple Pay</t>
        </is>
      </c>
    </row>
    <row r="431">
      <c r="A431" s="78" t="n">
        <v>46325.39583333334</v>
      </c>
      <c r="B431" t="inlineStr">
        <is>
          <t>T101760</t>
        </is>
      </c>
      <c r="C431" t="inlineStr">
        <is>
          <t>Camila Johnson</t>
        </is>
      </c>
      <c r="D431" t="inlineStr">
        <is>
          <t>Liam Johnson</t>
        </is>
      </c>
      <c r="E431" t="n">
        <v>50</v>
      </c>
      <c r="F431" t="inlineStr">
        <is>
          <t>Credit Card</t>
        </is>
      </c>
    </row>
    <row r="432">
      <c r="A432" t="inlineStr">
        <is>
          <t>11/07/2026 07:00 AM</t>
        </is>
      </c>
      <c r="B432" t="inlineStr">
        <is>
          <t>T104134</t>
        </is>
      </c>
      <c r="C432" t="inlineStr">
        <is>
          <t>Joseph Gonzalez</t>
        </is>
      </c>
      <c r="D432" t="inlineStr">
        <is>
          <t>Elijah Gonzalez</t>
        </is>
      </c>
      <c r="E432" t="n">
        <v>25</v>
      </c>
      <c r="F432" t="inlineStr">
        <is>
          <t>Credit Card</t>
        </is>
      </c>
    </row>
    <row r="433">
      <c r="A433" s="78" t="n">
        <v>46327.6875</v>
      </c>
      <c r="B433" t="inlineStr">
        <is>
          <t>T104857</t>
        </is>
      </c>
      <c r="C433" t="inlineStr">
        <is>
          <t>Valentina Torres</t>
        </is>
      </c>
      <c r="D433" t="inlineStr">
        <is>
          <t>Mia Torres</t>
        </is>
      </c>
      <c r="E433" t="n">
        <v>100</v>
      </c>
      <c r="F433" t="inlineStr">
        <is>
          <t>Credit Card</t>
        </is>
      </c>
    </row>
    <row r="434">
      <c r="A434" s="78" t="n">
        <v>46331.67708333334</v>
      </c>
      <c r="B434" t="inlineStr">
        <is>
          <t>T100577</t>
        </is>
      </c>
      <c r="C434" t="inlineStr">
        <is>
          <t>Elijah Cruz</t>
        </is>
      </c>
      <c r="D434" t="inlineStr">
        <is>
          <t>Olivia Cruz</t>
        </is>
      </c>
      <c r="E434" t="n">
        <v>25</v>
      </c>
      <c r="F434" t="inlineStr">
        <is>
          <t>Credit Card</t>
        </is>
      </c>
    </row>
    <row r="435">
      <c r="A435" s="78" t="n">
        <v>46339.82291666666</v>
      </c>
      <c r="B435" t="inlineStr">
        <is>
          <t>T101513</t>
        </is>
      </c>
      <c r="C435" t="inlineStr">
        <is>
          <t>Isaac Byrne</t>
        </is>
      </c>
      <c r="D435" t="inlineStr">
        <is>
          <t>Joseph Byrne</t>
        </is>
      </c>
      <c r="E435" t="n">
        <v>75</v>
      </c>
      <c r="F435" t="inlineStr">
        <is>
          <t>Apple Pay</t>
        </is>
      </c>
    </row>
    <row r="436">
      <c r="A436" s="78" t="n">
        <v>46332.57291666666</v>
      </c>
      <c r="B436" t="inlineStr">
        <is>
          <t>T100946</t>
        </is>
      </c>
      <c r="C436" t="inlineStr">
        <is>
          <t>Valentina Martinez</t>
        </is>
      </c>
      <c r="D436" t="inlineStr">
        <is>
          <t>Nicolas Martinez</t>
        </is>
      </c>
      <c r="E436" t="n">
        <v>50</v>
      </c>
      <c r="F436" t="inlineStr">
        <is>
          <t>Apple Pay</t>
        </is>
      </c>
    </row>
    <row r="437">
      <c r="A437" s="78" t="n">
        <v>46335.59375</v>
      </c>
      <c r="B437" t="inlineStr">
        <is>
          <t>T102863</t>
        </is>
      </c>
      <c r="C437" t="inlineStr">
        <is>
          <t>Liam Ortiz</t>
        </is>
      </c>
      <c r="D437" t="inlineStr">
        <is>
          <t>Emma Ortiz</t>
        </is>
      </c>
      <c r="E437" t="n">
        <v>100</v>
      </c>
      <c r="F437" t="inlineStr">
        <is>
          <t>Credit Card</t>
        </is>
      </c>
    </row>
    <row r="438">
      <c r="A438" s="78" t="n">
        <v>46338.45833333334</v>
      </c>
      <c r="B438" t="inlineStr">
        <is>
          <t>T100218</t>
        </is>
      </c>
      <c r="C438" t="inlineStr">
        <is>
          <t>Thomas Cruz</t>
        </is>
      </c>
      <c r="D438" t="inlineStr">
        <is>
          <t>Leo Cruz</t>
        </is>
      </c>
      <c r="E438" t="n">
        <v>25</v>
      </c>
      <c r="F438" t="inlineStr">
        <is>
          <t>Apple Pay</t>
        </is>
      </c>
    </row>
    <row r="439">
      <c r="A439" s="78" t="n">
        <v>46332.60416666666</v>
      </c>
      <c r="B439" t="inlineStr">
        <is>
          <t>T103334</t>
        </is>
      </c>
      <c r="C439" t="inlineStr">
        <is>
          <t>O'Brien, Liam</t>
        </is>
      </c>
      <c r="D439" t="inlineStr">
        <is>
          <t>Lily O'Brien</t>
        </is>
      </c>
      <c r="E439" t="n">
        <v>25</v>
      </c>
      <c r="F439" t="inlineStr">
        <is>
          <t>Credit Card</t>
        </is>
      </c>
    </row>
    <row r="440">
      <c r="A440" s="78" t="n">
        <v>46331.46875</v>
      </c>
      <c r="B440" t="inlineStr">
        <is>
          <t>T102915</t>
        </is>
      </c>
      <c r="C440" t="inlineStr">
        <is>
          <t xml:space="preserve">  LUNA   walsh </t>
        </is>
      </c>
      <c r="D440" t="inlineStr">
        <is>
          <t>Valentina Walsh</t>
        </is>
      </c>
      <c r="E440" t="n">
        <v>25</v>
      </c>
      <c r="F440" t="inlineStr">
        <is>
          <t>Credit Card</t>
        </is>
      </c>
    </row>
    <row r="441">
      <c r="A441" s="78" t="n">
        <v>46325.29166666666</v>
      </c>
      <c r="B441" t="inlineStr">
        <is>
          <t>T104054</t>
        </is>
      </c>
      <c r="C441" t="inlineStr">
        <is>
          <t>Ava Ramos</t>
        </is>
      </c>
      <c r="D441" t="inlineStr">
        <is>
          <t>Santiago Ramos</t>
        </is>
      </c>
      <c r="E441" t="n">
        <v>50</v>
      </c>
      <c r="F441" t="inlineStr">
        <is>
          <t>Credit Card</t>
        </is>
      </c>
    </row>
    <row r="442">
      <c r="A442" s="78" t="n">
        <v>46335.53125</v>
      </c>
      <c r="B442" t="inlineStr">
        <is>
          <t>T105205</t>
        </is>
      </c>
      <c r="C442" t="inlineStr">
        <is>
          <t>Thomas Ruiz</t>
        </is>
      </c>
      <c r="D442" t="inlineStr">
        <is>
          <t>Harper Ruiz</t>
        </is>
      </c>
      <c r="E442" t="n">
        <v>150</v>
      </c>
      <c r="F442" t="inlineStr">
        <is>
          <t>Credit Card</t>
        </is>
      </c>
    </row>
    <row r="443">
      <c r="A443" s="78" t="n">
        <v>46338.85416666666</v>
      </c>
      <c r="B443" t="inlineStr">
        <is>
          <t>T102422</t>
        </is>
      </c>
      <c r="C443" t="inlineStr">
        <is>
          <t>Gabriel Gutierrez</t>
        </is>
      </c>
      <c r="D443" t="inlineStr">
        <is>
          <t>Julian Gutierrez</t>
        </is>
      </c>
      <c r="E443" t="n">
        <v>25</v>
      </c>
      <c r="F443" t="inlineStr">
        <is>
          <t>Credit Card</t>
        </is>
      </c>
    </row>
    <row r="444">
      <c r="A444" s="78" t="n">
        <v>46339.5</v>
      </c>
      <c r="B444" t="inlineStr">
        <is>
          <t>T105145</t>
        </is>
      </c>
      <c r="C444" t="inlineStr">
        <is>
          <t>Isaac O'Brien</t>
        </is>
      </c>
      <c r="D444" t="inlineStr">
        <is>
          <t>Aria O'Brien</t>
        </is>
      </c>
      <c r="E444" t="n">
        <v>100</v>
      </c>
      <c r="F444" t="inlineStr">
        <is>
          <t>Credit Card</t>
        </is>
      </c>
    </row>
    <row r="445">
      <c r="A445" s="78" t="n">
        <v>46338.80208333334</v>
      </c>
      <c r="B445" t="inlineStr">
        <is>
          <t>T105026</t>
        </is>
      </c>
      <c r="C445" t="inlineStr">
        <is>
          <t>Luna Johnson</t>
        </is>
      </c>
      <c r="D445" t="inlineStr">
        <is>
          <t>Thomas Johnson</t>
        </is>
      </c>
      <c r="E445" t="inlineStr">
        <is>
          <t>$25.00</t>
        </is>
      </c>
      <c r="F445" t="inlineStr">
        <is>
          <t>Apple Pay</t>
        </is>
      </c>
    </row>
    <row r="446">
      <c r="A446" s="78" t="n">
        <v>46330.53125</v>
      </c>
      <c r="B446" t="inlineStr">
        <is>
          <t>T100142</t>
        </is>
      </c>
      <c r="C446" t="inlineStr">
        <is>
          <t>Maya O'Brien</t>
        </is>
      </c>
      <c r="D446" t="inlineStr">
        <is>
          <t>Sofia O'Brien</t>
        </is>
      </c>
      <c r="E446" t="n">
        <v>50</v>
      </c>
      <c r="F446" t="inlineStr">
        <is>
          <t>Apple Pay</t>
        </is>
      </c>
    </row>
    <row r="447">
      <c r="A447" s="78" t="n">
        <v>46327.375</v>
      </c>
      <c r="B447" t="inlineStr">
        <is>
          <t>T100585</t>
        </is>
      </c>
      <c r="C447" t="inlineStr">
        <is>
          <t>Aria Ryan</t>
        </is>
      </c>
      <c r="D447" t="inlineStr">
        <is>
          <t>Olivia Ryan</t>
        </is>
      </c>
      <c r="E447" t="n">
        <v>20</v>
      </c>
      <c r="F447" t="inlineStr">
        <is>
          <t>Apple Pay</t>
        </is>
      </c>
    </row>
    <row r="448">
      <c r="A448" s="78" t="n">
        <v>46330.34375</v>
      </c>
      <c r="B448" t="inlineStr">
        <is>
          <t>T102742</t>
        </is>
      </c>
      <c r="C448" t="inlineStr">
        <is>
          <t>Luna Gutierrez</t>
        </is>
      </c>
      <c r="D448" t="inlineStr">
        <is>
          <t>Henry Gutierrez</t>
        </is>
      </c>
      <c r="E448" t="n">
        <v>25</v>
      </c>
      <c r="F448" t="inlineStr">
        <is>
          <t>Credit Card</t>
        </is>
      </c>
    </row>
    <row r="449">
      <c r="A449" s="78" t="n">
        <v>46335.61458333334</v>
      </c>
      <c r="B449" t="inlineStr">
        <is>
          <t>T101526</t>
        </is>
      </c>
      <c r="C449" t="inlineStr">
        <is>
          <t>Aria Perez</t>
        </is>
      </c>
      <c r="D449" t="inlineStr">
        <is>
          <t>Benjamin Perez</t>
        </is>
      </c>
      <c r="E449" t="n">
        <v>25</v>
      </c>
      <c r="F449" t="inlineStr">
        <is>
          <t>Apple Pay</t>
        </is>
      </c>
    </row>
    <row r="450">
      <c r="A450" s="78" t="n">
        <v>46331.89583333334</v>
      </c>
      <c r="B450" t="inlineStr">
        <is>
          <t>T103375</t>
        </is>
      </c>
      <c r="C450" t="inlineStr">
        <is>
          <t xml:space="preserve">  CHLOE   ramos </t>
        </is>
      </c>
      <c r="D450" t="inlineStr">
        <is>
          <t>Lily Ramos</t>
        </is>
      </c>
      <c r="E450" t="n">
        <v>40</v>
      </c>
      <c r="F450" t="inlineStr">
        <is>
          <t>Credit Card</t>
        </is>
      </c>
    </row>
    <row r="451">
      <c r="A451" s="78" t="n">
        <v>46327.375</v>
      </c>
      <c r="B451" t="inlineStr">
        <is>
          <t>T104535</t>
        </is>
      </c>
      <c r="C451" t="inlineStr">
        <is>
          <t>Perez, Thomas</t>
        </is>
      </c>
      <c r="D451" t="inlineStr">
        <is>
          <t>Amelia Perez</t>
        </is>
      </c>
      <c r="E451" t="n">
        <v>20</v>
      </c>
      <c r="F451" t="inlineStr">
        <is>
          <t>Credit Card</t>
        </is>
      </c>
    </row>
    <row r="452">
      <c r="A452" s="78" t="n">
        <v>46328.625</v>
      </c>
      <c r="B452" t="inlineStr">
        <is>
          <t>T100018</t>
        </is>
      </c>
      <c r="C452" t="inlineStr">
        <is>
          <t>Johnson, Zoe</t>
        </is>
      </c>
      <c r="D452" t="inlineStr">
        <is>
          <t>Elijah Johnson</t>
        </is>
      </c>
      <c r="E452" t="n">
        <v>50</v>
      </c>
      <c r="F452" t="inlineStr">
        <is>
          <t>Credit Card</t>
        </is>
      </c>
    </row>
    <row r="453">
      <c r="A453" s="78" t="n">
        <v>46338.59375</v>
      </c>
      <c r="B453" t="inlineStr">
        <is>
          <t>T105342</t>
        </is>
      </c>
      <c r="C453" t="inlineStr">
        <is>
          <t>Grace Ramos</t>
        </is>
      </c>
      <c r="D453" t="inlineStr">
        <is>
          <t>Adrian Ramos</t>
        </is>
      </c>
      <c r="E453" t="inlineStr">
        <is>
          <t>$25.00</t>
        </is>
      </c>
      <c r="F453" t="inlineStr">
        <is>
          <t>Credit Card</t>
        </is>
      </c>
    </row>
    <row r="454">
      <c r="A454" s="78" t="n">
        <v>46339.3125</v>
      </c>
      <c r="B454" t="inlineStr">
        <is>
          <t>T103852</t>
        </is>
      </c>
      <c r="C454" t="inlineStr">
        <is>
          <t>Zoe Gomez</t>
        </is>
      </c>
      <c r="D454" t="inlineStr">
        <is>
          <t>Clara Gomez</t>
        </is>
      </c>
      <c r="E454" t="n">
        <v>25</v>
      </c>
      <c r="F454" t="inlineStr">
        <is>
          <t>Apple Pay</t>
        </is>
      </c>
    </row>
    <row r="455">
      <c r="A455" s="78" t="n">
        <v>46338.89583333334</v>
      </c>
      <c r="B455" t="inlineStr">
        <is>
          <t>T102769</t>
        </is>
      </c>
      <c r="C455" t="inlineStr">
        <is>
          <t>Samuel Murphy</t>
        </is>
      </c>
      <c r="D455" t="inlineStr">
        <is>
          <t>Samuel Murphy</t>
        </is>
      </c>
      <c r="E455" t="inlineStr">
        <is>
          <t>$150.00</t>
        </is>
      </c>
      <c r="F455" t="inlineStr">
        <is>
          <t>Credit Card</t>
        </is>
      </c>
    </row>
    <row r="456">
      <c r="A456" s="78" t="n">
        <v>46325.60416666666</v>
      </c>
      <c r="B456" t="inlineStr">
        <is>
          <t>T101838</t>
        </is>
      </c>
      <c r="C456" t="inlineStr">
        <is>
          <t>Henry Alvarez</t>
        </is>
      </c>
      <c r="D456" t="inlineStr">
        <is>
          <t>Diego Alvarez</t>
        </is>
      </c>
      <c r="E456" t="n">
        <v>20</v>
      </c>
      <c r="F456" t="inlineStr">
        <is>
          <t>Credit Card</t>
        </is>
      </c>
    </row>
    <row r="457">
      <c r="A457" s="78" t="n">
        <v>46328.6875</v>
      </c>
      <c r="B457" t="inlineStr">
        <is>
          <t>T101112</t>
        </is>
      </c>
      <c r="C457" t="inlineStr">
        <is>
          <t>Thomas Mendoza</t>
        </is>
      </c>
      <c r="D457" t="inlineStr">
        <is>
          <t>Camila Mendoza</t>
        </is>
      </c>
      <c r="E457" t="n">
        <v>150</v>
      </c>
      <c r="F457" t="inlineStr">
        <is>
          <t>Credit Card</t>
        </is>
      </c>
    </row>
    <row r="458">
      <c r="A458" s="78" t="n">
        <v>46335.80208333334</v>
      </c>
      <c r="B458" t="inlineStr">
        <is>
          <t>T101145</t>
        </is>
      </c>
      <c r="C458" t="inlineStr">
        <is>
          <t xml:space="preserve">  ELLA   torres </t>
        </is>
      </c>
      <c r="D458" t="inlineStr">
        <is>
          <t>Ella Torres</t>
        </is>
      </c>
      <c r="E458" t="n">
        <v>25</v>
      </c>
      <c r="F458" t="inlineStr">
        <is>
          <t>Credit Card</t>
        </is>
      </c>
    </row>
    <row r="459">
      <c r="A459" s="78" t="n">
        <v>46334.8125</v>
      </c>
      <c r="B459" t="inlineStr">
        <is>
          <t>T102636</t>
        </is>
      </c>
      <c r="C459" t="inlineStr">
        <is>
          <t xml:space="preserve">  EVELYN   hernandez </t>
        </is>
      </c>
      <c r="D459" t="inlineStr">
        <is>
          <t>Amelia Hernandez</t>
        </is>
      </c>
      <c r="E459" t="n">
        <v>100</v>
      </c>
      <c r="F459" t="inlineStr">
        <is>
          <t>Credit Card</t>
        </is>
      </c>
    </row>
    <row r="460">
      <c r="A460" s="78" t="n">
        <v>46339.4375</v>
      </c>
      <c r="B460" t="inlineStr">
        <is>
          <t>T102294</t>
        </is>
      </c>
      <c r="C460" t="inlineStr">
        <is>
          <t>Benjamin Murphy</t>
        </is>
      </c>
      <c r="D460" t="inlineStr">
        <is>
          <t>Maya Murphy</t>
        </is>
      </c>
      <c r="E460" t="n">
        <v>50</v>
      </c>
      <c r="F460" t="inlineStr">
        <is>
          <t>Apple Pay</t>
        </is>
      </c>
    </row>
    <row r="461">
      <c r="A461" s="78" t="n">
        <v>46336.79166666666</v>
      </c>
      <c r="B461" t="inlineStr">
        <is>
          <t>T104450</t>
        </is>
      </c>
      <c r="C461" t="inlineStr">
        <is>
          <t>Thomas Ramirez</t>
        </is>
      </c>
      <c r="D461" t="inlineStr">
        <is>
          <t>Ava Ramirez</t>
        </is>
      </c>
      <c r="E461" t="n">
        <v>25</v>
      </c>
      <c r="F461" t="inlineStr">
        <is>
          <t>Credit Card</t>
        </is>
      </c>
    </row>
    <row r="462">
      <c r="A462" s="78" t="n">
        <v>46338.72916666666</v>
      </c>
      <c r="B462" t="inlineStr">
        <is>
          <t>T101036</t>
        </is>
      </c>
      <c r="C462" t="inlineStr">
        <is>
          <t>Mateo Diaz</t>
        </is>
      </c>
      <c r="D462" t="inlineStr">
        <is>
          <t>Ella Diaz</t>
        </is>
      </c>
      <c r="E462" t="n">
        <v>150</v>
      </c>
      <c r="F462" t="inlineStr">
        <is>
          <t>Credit Card</t>
        </is>
      </c>
    </row>
    <row r="463">
      <c r="A463" s="78" t="n">
        <v>46335.89583333334</v>
      </c>
      <c r="B463" t="inlineStr">
        <is>
          <t>T103344</t>
        </is>
      </c>
      <c r="C463" t="inlineStr">
        <is>
          <t xml:space="preserve">  GRACE   murphy </t>
        </is>
      </c>
      <c r="D463" t="inlineStr">
        <is>
          <t>Ava Murphy</t>
        </is>
      </c>
      <c r="E463" t="n">
        <v>50</v>
      </c>
      <c r="F463" t="inlineStr">
        <is>
          <t>Credit Card</t>
        </is>
      </c>
    </row>
    <row r="464">
      <c r="A464" s="78" t="n">
        <v>46332.65625</v>
      </c>
      <c r="B464" t="inlineStr">
        <is>
          <t>T104268</t>
        </is>
      </c>
      <c r="C464" t="inlineStr">
        <is>
          <t>Evelyn Gonzalez</t>
        </is>
      </c>
      <c r="D464" t="inlineStr">
        <is>
          <t>Amelia Gonzalez</t>
        </is>
      </c>
      <c r="E464" t="inlineStr">
        <is>
          <t>$20.00</t>
        </is>
      </c>
      <c r="F464" t="inlineStr">
        <is>
          <t>Apple Pay</t>
        </is>
      </c>
    </row>
    <row r="465">
      <c r="A465" s="78" t="n">
        <v>46339.8125</v>
      </c>
      <c r="B465" t="inlineStr">
        <is>
          <t>T100633</t>
        </is>
      </c>
      <c r="C465" t="inlineStr">
        <is>
          <t>Clara Sullivan</t>
        </is>
      </c>
      <c r="D465" t="inlineStr">
        <is>
          <t>David Sullivan</t>
        </is>
      </c>
      <c r="E465" t="n">
        <v>50</v>
      </c>
      <c r="F465" t="inlineStr">
        <is>
          <t>Credit Card</t>
        </is>
      </c>
    </row>
    <row r="466">
      <c r="A466" s="78" t="n">
        <v>46335.84375</v>
      </c>
      <c r="B466" t="inlineStr">
        <is>
          <t>T104948</t>
        </is>
      </c>
      <c r="C466" t="inlineStr">
        <is>
          <t>Adrian Murphy</t>
        </is>
      </c>
      <c r="D466" t="inlineStr">
        <is>
          <t>Nora Murphy</t>
        </is>
      </c>
      <c r="E466" t="n">
        <v>25</v>
      </c>
      <c r="F466" t="inlineStr">
        <is>
          <t>Credit Card</t>
        </is>
      </c>
    </row>
    <row r="467">
      <c r="A467" s="78" t="n">
        <v>46328.82291666666</v>
      </c>
      <c r="B467" t="inlineStr">
        <is>
          <t>T100324</t>
        </is>
      </c>
      <c r="C467" t="inlineStr">
        <is>
          <t>Isabella Nguyen</t>
        </is>
      </c>
      <c r="D467" t="inlineStr">
        <is>
          <t>Samuel Nguyen</t>
        </is>
      </c>
      <c r="E467" t="n">
        <v>25</v>
      </c>
      <c r="F467" t="inlineStr">
        <is>
          <t>Credit Card</t>
        </is>
      </c>
    </row>
    <row r="468">
      <c r="A468" s="78" t="n">
        <v>46336.64583333334</v>
      </c>
      <c r="B468" t="inlineStr">
        <is>
          <t>T102955</t>
        </is>
      </c>
      <c r="C468" t="inlineStr">
        <is>
          <t>Mateo Gonzalez</t>
        </is>
      </c>
      <c r="D468" t="inlineStr">
        <is>
          <t>Valentina Gonzalez</t>
        </is>
      </c>
      <c r="E468" t="n">
        <v>25</v>
      </c>
      <c r="F468" t="inlineStr">
        <is>
          <t>Credit Card</t>
        </is>
      </c>
    </row>
    <row r="469">
      <c r="A469" s="78" t="n">
        <v>46325.60416666666</v>
      </c>
      <c r="B469" t="inlineStr">
        <is>
          <t>T103524</t>
        </is>
      </c>
      <c r="C469" t="inlineStr">
        <is>
          <t>Chloe Diaz</t>
        </is>
      </c>
      <c r="D469" t="inlineStr">
        <is>
          <t>Samuel Diaz</t>
        </is>
      </c>
      <c r="E469" t="n">
        <v>100</v>
      </c>
      <c r="F469" t="inlineStr">
        <is>
          <t>Apple Pay</t>
        </is>
      </c>
    </row>
    <row r="470">
      <c r="A470" s="78" t="n">
        <v>46338.53125</v>
      </c>
      <c r="B470" t="inlineStr">
        <is>
          <t>T104401</t>
        </is>
      </c>
      <c r="C470" t="inlineStr">
        <is>
          <t>Santiago Ruiz</t>
        </is>
      </c>
      <c r="D470" t="inlineStr">
        <is>
          <t>Elena Ruiz</t>
        </is>
      </c>
      <c r="E470" t="n">
        <v>75</v>
      </c>
      <c r="F470" t="inlineStr">
        <is>
          <t>Apple Pay</t>
        </is>
      </c>
    </row>
    <row r="471">
      <c r="A471" s="78" t="n">
        <v>46333.34375</v>
      </c>
      <c r="B471" t="inlineStr">
        <is>
          <t>T104637</t>
        </is>
      </c>
      <c r="C471" t="inlineStr">
        <is>
          <t>David Morales</t>
        </is>
      </c>
      <c r="D471" t="inlineStr">
        <is>
          <t>Ava Morales</t>
        </is>
      </c>
      <c r="E471" t="n">
        <v>25</v>
      </c>
      <c r="F471" t="inlineStr">
        <is>
          <t>Apple Pay</t>
        </is>
      </c>
    </row>
    <row r="472">
      <c r="A472" s="78" t="n">
        <v>46338.48958333334</v>
      </c>
      <c r="B472" t="inlineStr">
        <is>
          <t>T104390</t>
        </is>
      </c>
      <c r="C472" t="inlineStr">
        <is>
          <t>Isabella Sanchez</t>
        </is>
      </c>
      <c r="D472" t="inlineStr">
        <is>
          <t>Elijah Sanchez</t>
        </is>
      </c>
      <c r="E472" t="inlineStr">
        <is>
          <t>$50.00</t>
        </is>
      </c>
      <c r="F472" t="inlineStr">
        <is>
          <t>Apple Pay</t>
        </is>
      </c>
    </row>
    <row r="473">
      <c r="A473" s="78" t="n">
        <v>46329.55208333334</v>
      </c>
      <c r="B473" t="inlineStr">
        <is>
          <t>T102969</t>
        </is>
      </c>
      <c r="C473" t="inlineStr">
        <is>
          <t>Nora O'Brien</t>
        </is>
      </c>
      <c r="D473" t="inlineStr">
        <is>
          <t>Grace O'Brien</t>
        </is>
      </c>
      <c r="E473" t="n">
        <v>20</v>
      </c>
      <c r="F473" t="inlineStr">
        <is>
          <t>Apple Pay</t>
        </is>
      </c>
    </row>
    <row r="474">
      <c r="A474" s="78" t="n">
        <v>46338.63541666666</v>
      </c>
      <c r="B474" t="inlineStr">
        <is>
          <t>T102250</t>
        </is>
      </c>
      <c r="C474" t="inlineStr">
        <is>
          <t>Zoe Garcia</t>
        </is>
      </c>
      <c r="D474" t="inlineStr">
        <is>
          <t>Olivia Garcia</t>
        </is>
      </c>
      <c r="E474" t="n">
        <v>25</v>
      </c>
      <c r="F474" t="inlineStr">
        <is>
          <t>Credit Card</t>
        </is>
      </c>
    </row>
    <row r="475">
      <c r="A475" s="78" t="n">
        <v>46335.34375</v>
      </c>
      <c r="B475" t="inlineStr">
        <is>
          <t>T101769</t>
        </is>
      </c>
      <c r="C475" t="inlineStr">
        <is>
          <t xml:space="preserve">  SAMUEL   mendoza </t>
        </is>
      </c>
      <c r="D475" t="inlineStr">
        <is>
          <t>Julian Mendoza</t>
        </is>
      </c>
      <c r="E475" t="n">
        <v>75</v>
      </c>
      <c r="F475" t="inlineStr">
        <is>
          <t>Apple Pay</t>
        </is>
      </c>
    </row>
    <row r="476">
      <c r="A476" s="78" t="n">
        <v>46325.58333333334</v>
      </c>
      <c r="B476" t="inlineStr">
        <is>
          <t>T100368</t>
        </is>
      </c>
      <c r="C476" t="inlineStr">
        <is>
          <t>Clara Mendoza</t>
        </is>
      </c>
      <c r="D476" t="inlineStr">
        <is>
          <t>Julian Mendoza</t>
        </is>
      </c>
      <c r="E476" t="n">
        <v>10</v>
      </c>
      <c r="F476" t="inlineStr">
        <is>
          <t>Apple Pay</t>
        </is>
      </c>
    </row>
    <row r="477">
      <c r="A477" s="78" t="n">
        <v>46334.8125</v>
      </c>
      <c r="B477" t="inlineStr">
        <is>
          <t>T104045</t>
        </is>
      </c>
      <c r="C477" t="inlineStr">
        <is>
          <t>Adrian Byrne</t>
        </is>
      </c>
      <c r="D477" t="inlineStr">
        <is>
          <t>Lily Byrne</t>
        </is>
      </c>
      <c r="E477" t="n">
        <v>75</v>
      </c>
      <c r="F477" t="inlineStr">
        <is>
          <t>Apple Pay</t>
        </is>
      </c>
    </row>
    <row r="478">
      <c r="A478" s="78" t="n">
        <v>46328.625</v>
      </c>
      <c r="B478" t="inlineStr">
        <is>
          <t>T105351</t>
        </is>
      </c>
      <c r="C478" t="inlineStr">
        <is>
          <t>Amelia Flores</t>
        </is>
      </c>
      <c r="D478" t="inlineStr">
        <is>
          <t>Nicolas Flores</t>
        </is>
      </c>
      <c r="E478" t="n">
        <v>50</v>
      </c>
      <c r="F478" t="inlineStr">
        <is>
          <t>Credit Card</t>
        </is>
      </c>
    </row>
    <row r="479">
      <c r="A479" s="78" t="n">
        <v>46339.36458333334</v>
      </c>
      <c r="B479" t="inlineStr">
        <is>
          <t>T104514</t>
        </is>
      </c>
      <c r="C479" t="inlineStr">
        <is>
          <t>Nicolas Ramirez</t>
        </is>
      </c>
      <c r="D479" t="inlineStr">
        <is>
          <t>David Ramirez</t>
        </is>
      </c>
      <c r="E479" t="n">
        <v>25</v>
      </c>
      <c r="F479" t="inlineStr">
        <is>
          <t>Credit Card</t>
        </is>
      </c>
    </row>
    <row r="480">
      <c r="A480" t="inlineStr">
        <is>
          <t>11/06/2026 10:15 AM</t>
        </is>
      </c>
      <c r="B480" t="inlineStr">
        <is>
          <t>T101492</t>
        </is>
      </c>
      <c r="C480" t="inlineStr">
        <is>
          <t>Lopez, Sofia</t>
        </is>
      </c>
      <c r="D480" t="inlineStr">
        <is>
          <t>Adrian Lopez</t>
        </is>
      </c>
      <c r="E480" t="n">
        <v>50</v>
      </c>
      <c r="F480" t="inlineStr">
        <is>
          <t>Apple Pay</t>
        </is>
      </c>
    </row>
    <row r="481">
      <c r="A481" s="78" t="n">
        <v>46339.53125</v>
      </c>
      <c r="B481" t="inlineStr">
        <is>
          <t>T104890</t>
        </is>
      </c>
      <c r="C481" t="inlineStr">
        <is>
          <t>Thomas Gutierrez</t>
        </is>
      </c>
      <c r="D481" t="inlineStr">
        <is>
          <t>Gabriel Gutierrez</t>
        </is>
      </c>
      <c r="E481" t="n">
        <v>20</v>
      </c>
      <c r="F481" t="inlineStr">
        <is>
          <t>Credit Card</t>
        </is>
      </c>
    </row>
    <row r="482">
      <c r="A482" s="78" t="n">
        <v>46339.90625</v>
      </c>
      <c r="B482" t="inlineStr">
        <is>
          <t>T105188</t>
        </is>
      </c>
      <c r="C482" t="inlineStr">
        <is>
          <t>Adrian Nguyen</t>
        </is>
      </c>
      <c r="D482" t="inlineStr">
        <is>
          <t>Santiago Nguyen</t>
        </is>
      </c>
      <c r="E482" t="n">
        <v>150</v>
      </c>
      <c r="F482" t="inlineStr">
        <is>
          <t>Apple Pay</t>
        </is>
      </c>
    </row>
    <row r="483">
      <c r="A483" s="78" t="n">
        <v>46333.48958333334</v>
      </c>
      <c r="B483" t="inlineStr">
        <is>
          <t>T101616</t>
        </is>
      </c>
      <c r="C483" t="inlineStr">
        <is>
          <t>Isabella Murphy</t>
        </is>
      </c>
      <c r="D483" t="inlineStr">
        <is>
          <t>Olivia Murphy</t>
        </is>
      </c>
      <c r="E483" t="n">
        <v>25</v>
      </c>
      <c r="F483" t="inlineStr">
        <is>
          <t>Apple Pay</t>
        </is>
      </c>
    </row>
    <row r="484">
      <c r="A484" s="78" t="n">
        <v>46339.29166666666</v>
      </c>
      <c r="B484" t="inlineStr">
        <is>
          <t>T101882</t>
        </is>
      </c>
      <c r="C484" t="inlineStr">
        <is>
          <t>Noah Gonzalez</t>
        </is>
      </c>
      <c r="D484" t="inlineStr">
        <is>
          <t>Luna Gonzalez</t>
        </is>
      </c>
      <c r="E484" t="n">
        <v>150</v>
      </c>
      <c r="F484" t="inlineStr">
        <is>
          <t>Credit Card</t>
        </is>
      </c>
    </row>
    <row r="485">
      <c r="A485" s="78" t="n">
        <v>46335.52083333334</v>
      </c>
      <c r="B485" t="inlineStr">
        <is>
          <t>T102645</t>
        </is>
      </c>
      <c r="C485" t="inlineStr">
        <is>
          <t>Grace Ramos</t>
        </is>
      </c>
      <c r="D485" t="inlineStr">
        <is>
          <t>Nora Ramos</t>
        </is>
      </c>
      <c r="E485" t="n">
        <v>25</v>
      </c>
      <c r="F485" t="inlineStr">
        <is>
          <t>Apple Pay</t>
        </is>
      </c>
    </row>
    <row r="486">
      <c r="A486" s="78" t="n">
        <v>46331.625</v>
      </c>
      <c r="B486" t="inlineStr">
        <is>
          <t>T100914</t>
        </is>
      </c>
      <c r="C486" t="inlineStr">
        <is>
          <t>Julian Castillo</t>
        </is>
      </c>
      <c r="D486" t="inlineStr">
        <is>
          <t>Nora Castillo</t>
        </is>
      </c>
      <c r="E486" t="n">
        <v>100</v>
      </c>
      <c r="F486" t="inlineStr">
        <is>
          <t>Credit Card</t>
        </is>
      </c>
    </row>
    <row r="487">
      <c r="A487" s="78" t="n">
        <v>46329.48958333334</v>
      </c>
      <c r="B487" t="inlineStr">
        <is>
          <t>T100520</t>
        </is>
      </c>
      <c r="C487" t="inlineStr">
        <is>
          <t>Reyes, Olivia</t>
        </is>
      </c>
      <c r="D487" t="inlineStr">
        <is>
          <t>Henry Reyes</t>
        </is>
      </c>
      <c r="E487" t="n">
        <v>20</v>
      </c>
      <c r="F487" t="inlineStr">
        <is>
          <t>Credit Card</t>
        </is>
      </c>
    </row>
    <row r="488">
      <c r="A488" s="78" t="n">
        <v>46335.48958333334</v>
      </c>
      <c r="B488" t="inlineStr">
        <is>
          <t>T101468</t>
        </is>
      </c>
      <c r="C488" t="inlineStr">
        <is>
          <t>Adrian Murphy</t>
        </is>
      </c>
      <c r="D488" t="inlineStr">
        <is>
          <t>Grace Murphy</t>
        </is>
      </c>
      <c r="E488" t="n">
        <v>100</v>
      </c>
      <c r="F488" t="inlineStr">
        <is>
          <t>Credit Card</t>
        </is>
      </c>
    </row>
    <row r="489">
      <c r="A489" s="78" t="n">
        <v>46329.59375</v>
      </c>
      <c r="B489" t="inlineStr">
        <is>
          <t>T100414</t>
        </is>
      </c>
      <c r="C489" t="inlineStr">
        <is>
          <t>Isaac Diaz</t>
        </is>
      </c>
      <c r="D489" t="inlineStr">
        <is>
          <t>Mia Diaz</t>
        </is>
      </c>
      <c r="E489" t="n">
        <v>50</v>
      </c>
      <c r="F489" t="inlineStr">
        <is>
          <t>Apple Pay</t>
        </is>
      </c>
    </row>
    <row r="490">
      <c r="A490" s="78" t="n">
        <v>46338.58333333334</v>
      </c>
      <c r="B490" t="inlineStr">
        <is>
          <t>T101671</t>
        </is>
      </c>
      <c r="C490" t="inlineStr">
        <is>
          <t>James Alvarez</t>
        </is>
      </c>
      <c r="D490" t="inlineStr">
        <is>
          <t>Evelyn Alvarez</t>
        </is>
      </c>
      <c r="E490" t="n">
        <v>25</v>
      </c>
      <c r="F490" t="inlineStr">
        <is>
          <t>Credit Card</t>
        </is>
      </c>
    </row>
    <row r="491">
      <c r="A491" s="78" t="n">
        <v>46330.79166666666</v>
      </c>
      <c r="B491" t="inlineStr">
        <is>
          <t>T100251</t>
        </is>
      </c>
      <c r="C491" t="inlineStr">
        <is>
          <t>Amelia Rodriguez</t>
        </is>
      </c>
      <c r="D491" t="inlineStr">
        <is>
          <t>Samuel Rodriguez</t>
        </is>
      </c>
      <c r="E491" t="n">
        <v>50</v>
      </c>
      <c r="F491" t="inlineStr">
        <is>
          <t>Apple Pay</t>
        </is>
      </c>
    </row>
    <row r="492">
      <c r="A492" s="78" t="n">
        <v>46331.59375</v>
      </c>
      <c r="B492" t="inlineStr">
        <is>
          <t>T104772</t>
        </is>
      </c>
      <c r="C492" t="inlineStr">
        <is>
          <t>Amelia Castillo</t>
        </is>
      </c>
      <c r="D492" t="inlineStr">
        <is>
          <t>Clara Castillo</t>
        </is>
      </c>
      <c r="E492" t="n">
        <v>40</v>
      </c>
      <c r="F492" t="inlineStr">
        <is>
          <t>Apple Pay</t>
        </is>
      </c>
    </row>
    <row r="493">
      <c r="A493" s="78" t="n">
        <v>46338.46875</v>
      </c>
      <c r="B493" t="inlineStr">
        <is>
          <t>T102772</t>
        </is>
      </c>
      <c r="C493" t="inlineStr">
        <is>
          <t>Hernandez, Adrian</t>
        </is>
      </c>
      <c r="D493" t="inlineStr">
        <is>
          <t>Samuel Hernandez</t>
        </is>
      </c>
      <c r="E493" t="n">
        <v>20</v>
      </c>
      <c r="F493" t="inlineStr">
        <is>
          <t>Apple Pay</t>
        </is>
      </c>
    </row>
    <row r="494">
      <c r="A494" s="78" t="n">
        <v>46339.65625</v>
      </c>
      <c r="B494" t="inlineStr">
        <is>
          <t>T101744</t>
        </is>
      </c>
      <c r="C494" t="inlineStr">
        <is>
          <t>Evelyn Torres</t>
        </is>
      </c>
      <c r="D494" t="inlineStr">
        <is>
          <t>Ava Torres</t>
        </is>
      </c>
      <c r="E494" t="n">
        <v>50</v>
      </c>
      <c r="F494" t="inlineStr">
        <is>
          <t>Apple Pay</t>
        </is>
      </c>
    </row>
    <row r="495">
      <c r="A495" s="78" t="n">
        <v>46339.59375</v>
      </c>
      <c r="B495" t="inlineStr">
        <is>
          <t>T105286</t>
        </is>
      </c>
      <c r="C495" t="inlineStr">
        <is>
          <t>Julian Castillo</t>
        </is>
      </c>
      <c r="D495" t="inlineStr">
        <is>
          <t>Daniel Castillo</t>
        </is>
      </c>
      <c r="E495" t="n">
        <v>150</v>
      </c>
      <c r="F495" t="inlineStr">
        <is>
          <t>Apple Pay</t>
        </is>
      </c>
    </row>
    <row r="496">
      <c r="A496" s="78" t="n">
        <v>46335.5625</v>
      </c>
      <c r="B496" t="inlineStr">
        <is>
          <t>T102088</t>
        </is>
      </c>
      <c r="C496" t="inlineStr">
        <is>
          <t xml:space="preserve">  DAVID   vasquez </t>
        </is>
      </c>
      <c r="D496" t="inlineStr">
        <is>
          <t>Joseph Vasquez</t>
        </is>
      </c>
      <c r="E496" t="n">
        <v>40</v>
      </c>
      <c r="F496" t="inlineStr">
        <is>
          <t>Credit Card</t>
        </is>
      </c>
    </row>
    <row r="497">
      <c r="A497" s="78" t="n">
        <v>46325.39583333334</v>
      </c>
      <c r="B497" t="inlineStr">
        <is>
          <t>T100178</t>
        </is>
      </c>
      <c r="C497" t="inlineStr">
        <is>
          <t>Ava Perez</t>
        </is>
      </c>
      <c r="D497" t="inlineStr">
        <is>
          <t>Samuel Perez</t>
        </is>
      </c>
      <c r="E497" t="n">
        <v>20</v>
      </c>
      <c r="F497" t="inlineStr">
        <is>
          <t>Credit Card</t>
        </is>
      </c>
    </row>
    <row r="498">
      <c r="A498" s="78" t="n">
        <v>46339.58333333334</v>
      </c>
      <c r="B498" t="inlineStr">
        <is>
          <t>T104674</t>
        </is>
      </c>
      <c r="C498" t="inlineStr">
        <is>
          <t>Daniel Ramos</t>
        </is>
      </c>
      <c r="D498" t="inlineStr">
        <is>
          <t>Nicolas Ramos</t>
        </is>
      </c>
      <c r="E498" t="n">
        <v>40</v>
      </c>
      <c r="F498" t="inlineStr">
        <is>
          <t>Apple Pay</t>
        </is>
      </c>
    </row>
    <row r="499">
      <c r="A499" s="78" t="n">
        <v>46331.79166666666</v>
      </c>
      <c r="B499" t="inlineStr">
        <is>
          <t>T103898</t>
        </is>
      </c>
      <c r="C499" t="inlineStr">
        <is>
          <t>Luna Kim</t>
        </is>
      </c>
      <c r="D499" t="inlineStr">
        <is>
          <t>Diego Kim</t>
        </is>
      </c>
      <c r="E499" t="n">
        <v>100</v>
      </c>
      <c r="F499" t="inlineStr">
        <is>
          <t>Credit Card</t>
        </is>
      </c>
    </row>
    <row r="500">
      <c r="A500" s="78" t="n">
        <v>46336.36458333334</v>
      </c>
      <c r="B500" t="inlineStr">
        <is>
          <t>T100380</t>
        </is>
      </c>
      <c r="C500" t="inlineStr">
        <is>
          <t>Adrian Ortiz</t>
        </is>
      </c>
      <c r="D500" t="inlineStr">
        <is>
          <t>Daniel Ortiz</t>
        </is>
      </c>
      <c r="E500" t="n">
        <v>50</v>
      </c>
      <c r="F500" t="inlineStr">
        <is>
          <t>Credit Card</t>
        </is>
      </c>
    </row>
    <row r="501">
      <c r="A501" s="78" t="n">
        <v>46328.90625</v>
      </c>
      <c r="B501" t="inlineStr">
        <is>
          <t>T102466</t>
        </is>
      </c>
      <c r="C501" t="inlineStr">
        <is>
          <t>Diego Reyes</t>
        </is>
      </c>
      <c r="D501" t="inlineStr">
        <is>
          <t>Aria Reyes</t>
        </is>
      </c>
      <c r="E501" t="n">
        <v>150</v>
      </c>
      <c r="F501" t="inlineStr">
        <is>
          <t>Apple Pay</t>
        </is>
      </c>
    </row>
    <row r="502">
      <c r="A502" s="78" t="n">
        <v>46325.79166666666</v>
      </c>
      <c r="B502" t="inlineStr">
        <is>
          <t>T101693</t>
        </is>
      </c>
      <c r="C502" t="inlineStr">
        <is>
          <t>Adrian Patel</t>
        </is>
      </c>
      <c r="D502" t="inlineStr">
        <is>
          <t>Evelyn Patel</t>
        </is>
      </c>
      <c r="E502" t="n">
        <v>25</v>
      </c>
      <c r="F502" t="inlineStr">
        <is>
          <t>Credit Card</t>
        </is>
      </c>
    </row>
    <row r="503">
      <c r="A503" s="78" t="n">
        <v>46330.38541666666</v>
      </c>
      <c r="B503" t="inlineStr">
        <is>
          <t>T102459</t>
        </is>
      </c>
      <c r="C503" t="inlineStr">
        <is>
          <t>Harper Brown</t>
        </is>
      </c>
      <c r="D503" t="inlineStr">
        <is>
          <t>Leo Brown</t>
        </is>
      </c>
      <c r="E503" t="n">
        <v>50</v>
      </c>
      <c r="F503" t="inlineStr">
        <is>
          <t>Apple Pay</t>
        </is>
      </c>
    </row>
    <row r="504">
      <c r="A504" s="78" t="n">
        <v>46340.375</v>
      </c>
      <c r="B504" t="inlineStr">
        <is>
          <t>T900010</t>
        </is>
      </c>
      <c r="C504" t="inlineStr">
        <is>
          <t>Grace Kelly</t>
        </is>
      </c>
      <c r="D504" t="inlineStr">
        <is>
          <t>Late Owl</t>
        </is>
      </c>
      <c r="E504" t="n">
        <v>55</v>
      </c>
      <c r="F504" t="inlineStr">
        <is>
          <t>Credit Card</t>
        </is>
      </c>
    </row>
    <row r="505">
      <c r="A505" s="78" t="n">
        <v>46328.63541666666</v>
      </c>
      <c r="B505" t="inlineStr">
        <is>
          <t>T103912</t>
        </is>
      </c>
      <c r="C505" t="inlineStr">
        <is>
          <t>Amelia Martinez</t>
        </is>
      </c>
      <c r="D505" t="inlineStr">
        <is>
          <t>Luna Martinez</t>
        </is>
      </c>
      <c r="E505" t="n">
        <v>40</v>
      </c>
      <c r="F505" t="inlineStr">
        <is>
          <t>Credit Card</t>
        </is>
      </c>
    </row>
    <row r="506">
      <c r="A506" s="78" t="n">
        <v>46332.80208333334</v>
      </c>
      <c r="B506" t="inlineStr">
        <is>
          <t>T100909</t>
        </is>
      </c>
      <c r="C506" t="inlineStr">
        <is>
          <t>Samuel Gutierrez</t>
        </is>
      </c>
      <c r="D506" t="inlineStr">
        <is>
          <t>Clara Gutierrez</t>
        </is>
      </c>
      <c r="E506" t="n">
        <v>50</v>
      </c>
      <c r="F506" t="inlineStr">
        <is>
          <t>Credit Card</t>
        </is>
      </c>
    </row>
    <row r="507">
      <c r="A507" s="78" t="n">
        <v>46328.77083333334</v>
      </c>
      <c r="B507" t="inlineStr">
        <is>
          <t>T104743</t>
        </is>
      </c>
      <c r="C507" t="inlineStr">
        <is>
          <t>Henry Alvarez</t>
        </is>
      </c>
      <c r="D507" t="inlineStr">
        <is>
          <t>Grace Alvarez</t>
        </is>
      </c>
      <c r="E507" t="n">
        <v>100</v>
      </c>
      <c r="F507" t="inlineStr">
        <is>
          <t>Credit Card</t>
        </is>
      </c>
    </row>
    <row r="508">
      <c r="A508" s="78" t="n">
        <v>46325.52083333334</v>
      </c>
      <c r="B508" t="inlineStr">
        <is>
          <t>T103009</t>
        </is>
      </c>
      <c r="C508" t="inlineStr">
        <is>
          <t>Emma Sanchez</t>
        </is>
      </c>
      <c r="D508" t="inlineStr">
        <is>
          <t>Olivia Sanchez</t>
        </is>
      </c>
      <c r="E508" t="n">
        <v>25</v>
      </c>
      <c r="F508" t="inlineStr">
        <is>
          <t>Apple Pay</t>
        </is>
      </c>
    </row>
    <row r="509">
      <c r="A509" s="78" t="n">
        <v>46328.38541666666</v>
      </c>
      <c r="B509" t="inlineStr">
        <is>
          <t>T100053</t>
        </is>
      </c>
      <c r="C509" t="inlineStr">
        <is>
          <t>Diego Diaz</t>
        </is>
      </c>
      <c r="D509" t="inlineStr">
        <is>
          <t>Leo Diaz</t>
        </is>
      </c>
      <c r="E509" t="n">
        <v>20</v>
      </c>
      <c r="F509" t="inlineStr">
        <is>
          <t>Credit Card</t>
        </is>
      </c>
    </row>
    <row r="510">
      <c r="A510" s="78" t="n">
        <v>46325.89583333334</v>
      </c>
      <c r="B510" t="inlineStr">
        <is>
          <t>T102275</t>
        </is>
      </c>
      <c r="C510" t="inlineStr">
        <is>
          <t>Elena Murphy</t>
        </is>
      </c>
      <c r="D510" t="inlineStr">
        <is>
          <t>Julian Murphy</t>
        </is>
      </c>
      <c r="E510" t="n">
        <v>100</v>
      </c>
      <c r="F510" t="inlineStr">
        <is>
          <t>Apple Pay</t>
        </is>
      </c>
    </row>
    <row r="511">
      <c r="A511" s="78" t="n">
        <v>46336.58333333334</v>
      </c>
      <c r="B511" t="inlineStr">
        <is>
          <t>T100281</t>
        </is>
      </c>
      <c r="C511" t="inlineStr">
        <is>
          <t>Diego Diaz</t>
        </is>
      </c>
      <c r="D511" t="inlineStr">
        <is>
          <t>Liam Diaz</t>
        </is>
      </c>
      <c r="E511" t="n">
        <v>25</v>
      </c>
      <c r="F511" t="inlineStr">
        <is>
          <t>Apple Pay</t>
        </is>
      </c>
    </row>
    <row r="512">
      <c r="A512" s="78" t="n">
        <v>46334.29166666666</v>
      </c>
      <c r="B512" t="inlineStr">
        <is>
          <t>T100610</t>
        </is>
      </c>
      <c r="C512" t="inlineStr">
        <is>
          <t>Nora Ramirez</t>
        </is>
      </c>
      <c r="D512" t="inlineStr">
        <is>
          <t>James Ramirez</t>
        </is>
      </c>
      <c r="E512" t="n">
        <v>50</v>
      </c>
      <c r="F512" t="inlineStr">
        <is>
          <t>Apple Pay</t>
        </is>
      </c>
    </row>
    <row r="513">
      <c r="A513" s="78" t="n">
        <v>46339.3125</v>
      </c>
      <c r="B513" t="inlineStr">
        <is>
          <t>T102605</t>
        </is>
      </c>
      <c r="C513" t="inlineStr">
        <is>
          <t>Byrne, Luna</t>
        </is>
      </c>
      <c r="D513" t="inlineStr">
        <is>
          <t>Ava Byrne</t>
        </is>
      </c>
      <c r="E513" t="n">
        <v>50</v>
      </c>
      <c r="F513" t="inlineStr">
        <is>
          <t>Apple Pay</t>
        </is>
      </c>
    </row>
    <row r="514">
      <c r="A514" s="78" t="n">
        <v>46327.73958333334</v>
      </c>
      <c r="B514" t="inlineStr">
        <is>
          <t>T100286</t>
        </is>
      </c>
      <c r="C514" t="inlineStr">
        <is>
          <t xml:space="preserve">  JOSEPH   ryan </t>
        </is>
      </c>
      <c r="D514" t="inlineStr">
        <is>
          <t>Evelyn Ryan</t>
        </is>
      </c>
      <c r="E514" t="n">
        <v>75</v>
      </c>
      <c r="F514" t="inlineStr">
        <is>
          <t>Credit Card</t>
        </is>
      </c>
    </row>
    <row r="515">
      <c r="A515" t="inlineStr">
        <is>
          <t>11/13/2026 11:30 AM</t>
        </is>
      </c>
      <c r="B515" t="inlineStr">
        <is>
          <t>T100354</t>
        </is>
      </c>
      <c r="C515" t="inlineStr">
        <is>
          <t>Isabella Ruiz</t>
        </is>
      </c>
      <c r="D515" t="inlineStr">
        <is>
          <t>Harper Ruiz</t>
        </is>
      </c>
      <c r="E515" t="n">
        <v>100</v>
      </c>
      <c r="F515" t="inlineStr">
        <is>
          <t>Apple Pay</t>
        </is>
      </c>
    </row>
    <row r="516">
      <c r="A516" s="78" t="n">
        <v>46332.625</v>
      </c>
      <c r="B516" t="inlineStr">
        <is>
          <t>T101850</t>
        </is>
      </c>
      <c r="C516" t="inlineStr">
        <is>
          <t xml:space="preserve">  GRACE   ramos </t>
        </is>
      </c>
      <c r="D516" t="inlineStr">
        <is>
          <t>Grace Ramos</t>
        </is>
      </c>
      <c r="E516" t="n">
        <v>50</v>
      </c>
      <c r="F516" t="inlineStr">
        <is>
          <t>Credit Card</t>
        </is>
      </c>
    </row>
    <row r="517">
      <c r="A517" s="78" t="n">
        <v>46328.51041666666</v>
      </c>
      <c r="B517" t="inlineStr">
        <is>
          <t>T101700</t>
        </is>
      </c>
      <c r="C517" t="inlineStr">
        <is>
          <t>Evelyn Alvarez</t>
        </is>
      </c>
      <c r="D517" t="inlineStr">
        <is>
          <t>Clara Alvarez</t>
        </is>
      </c>
      <c r="E517" t="n">
        <v>20</v>
      </c>
      <c r="F517" t="inlineStr">
        <is>
          <t>Apple Pay</t>
        </is>
      </c>
    </row>
    <row r="518">
      <c r="A518" s="78" t="n">
        <v>46335.79166666666</v>
      </c>
      <c r="B518" t="inlineStr">
        <is>
          <t>T103725</t>
        </is>
      </c>
      <c r="C518" t="inlineStr">
        <is>
          <t>Chloe Patel</t>
        </is>
      </c>
      <c r="D518" t="inlineStr">
        <is>
          <t>Joseph Patel</t>
        </is>
      </c>
      <c r="E518" t="n">
        <v>50</v>
      </c>
      <c r="F518" t="inlineStr">
        <is>
          <t>Apple Pay</t>
        </is>
      </c>
    </row>
    <row r="519">
      <c r="A519" s="78" t="n">
        <v>46330.30208333334</v>
      </c>
      <c r="B519" t="inlineStr">
        <is>
          <t>T102112</t>
        </is>
      </c>
      <c r="C519" t="inlineStr">
        <is>
          <t>Samuel Martinez</t>
        </is>
      </c>
      <c r="D519" t="inlineStr">
        <is>
          <t>Leo Martinez</t>
        </is>
      </c>
      <c r="E519" t="n">
        <v>50</v>
      </c>
      <c r="F519" t="inlineStr">
        <is>
          <t>Apple Pay</t>
        </is>
      </c>
    </row>
    <row r="520">
      <c r="A520" s="78" t="n">
        <v>46332.51041666666</v>
      </c>
      <c r="B520" t="inlineStr">
        <is>
          <t>T104753</t>
        </is>
      </c>
      <c r="C520" t="inlineStr">
        <is>
          <t>Evelyn Perez</t>
        </is>
      </c>
      <c r="D520" t="inlineStr">
        <is>
          <t>Henry Perez</t>
        </is>
      </c>
      <c r="E520" t="n">
        <v>150</v>
      </c>
      <c r="F520" t="inlineStr">
        <is>
          <t>Apple Pay</t>
        </is>
      </c>
    </row>
    <row r="521">
      <c r="A521" s="78" t="n">
        <v>46338.67708333334</v>
      </c>
      <c r="B521" t="inlineStr">
        <is>
          <t>T103124</t>
        </is>
      </c>
      <c r="C521" t="inlineStr">
        <is>
          <t>Leo Brown</t>
        </is>
      </c>
      <c r="D521" t="inlineStr">
        <is>
          <t>Evelyn Brown</t>
        </is>
      </c>
      <c r="E521" t="n">
        <v>25</v>
      </c>
      <c r="F521" t="inlineStr">
        <is>
          <t>Credit Card</t>
        </is>
      </c>
    </row>
    <row r="522">
      <c r="A522" s="78" t="n">
        <v>46328.64583333334</v>
      </c>
      <c r="B522" t="inlineStr">
        <is>
          <t>T101662</t>
        </is>
      </c>
      <c r="C522" t="inlineStr">
        <is>
          <t>Aria Johnson</t>
        </is>
      </c>
      <c r="D522" t="inlineStr">
        <is>
          <t>Mia Johnson</t>
        </is>
      </c>
      <c r="E522" t="n">
        <v>40</v>
      </c>
      <c r="F522" t="inlineStr">
        <is>
          <t>Apple Pay</t>
        </is>
      </c>
    </row>
    <row r="523">
      <c r="A523" t="inlineStr">
        <is>
          <t>11/09/2026 03:45 PM</t>
        </is>
      </c>
      <c r="B523" t="inlineStr">
        <is>
          <t>T103777</t>
        </is>
      </c>
      <c r="C523" t="inlineStr">
        <is>
          <t>Castillo, Zoe</t>
        </is>
      </c>
      <c r="D523" t="inlineStr">
        <is>
          <t>Clara Castillo</t>
        </is>
      </c>
      <c r="E523" t="n">
        <v>25</v>
      </c>
      <c r="F523" t="inlineStr">
        <is>
          <t>Apple Pay</t>
        </is>
      </c>
    </row>
    <row r="524">
      <c r="A524" s="78" t="n">
        <v>46332.57291666666</v>
      </c>
      <c r="B524" t="inlineStr">
        <is>
          <t>T100124</t>
        </is>
      </c>
      <c r="C524" t="inlineStr">
        <is>
          <t>Emma Walsh</t>
        </is>
      </c>
      <c r="D524" t="inlineStr">
        <is>
          <t>Nicolas Walsh</t>
        </is>
      </c>
      <c r="E524" t="n">
        <v>100</v>
      </c>
      <c r="F524" t="inlineStr">
        <is>
          <t>Credit Card</t>
        </is>
      </c>
    </row>
    <row r="525">
      <c r="A525" s="78" t="n">
        <v>46334.69791666666</v>
      </c>
      <c r="B525" t="inlineStr">
        <is>
          <t>T103519</t>
        </is>
      </c>
      <c r="C525" t="inlineStr">
        <is>
          <t>Amelia Ortiz</t>
        </is>
      </c>
      <c r="D525" t="inlineStr">
        <is>
          <t>Evelyn Ortiz</t>
        </is>
      </c>
      <c r="E525" t="n">
        <v>20</v>
      </c>
      <c r="F525" t="inlineStr">
        <is>
          <t>Credit Card</t>
        </is>
      </c>
    </row>
    <row r="526">
      <c r="A526" s="78" t="n">
        <v>46327.30208333334</v>
      </c>
      <c r="B526" t="inlineStr">
        <is>
          <t>T105104</t>
        </is>
      </c>
      <c r="C526" t="inlineStr">
        <is>
          <t xml:space="preserve">  AMELIA   williams </t>
        </is>
      </c>
      <c r="D526" t="inlineStr">
        <is>
          <t>Liam Williams</t>
        </is>
      </c>
      <c r="E526" t="n">
        <v>25</v>
      </c>
      <c r="F526" t="inlineStr">
        <is>
          <t>Credit Card</t>
        </is>
      </c>
    </row>
    <row r="527">
      <c r="A527" t="inlineStr">
        <is>
          <t>11/01/2026 06:15 PM</t>
        </is>
      </c>
      <c r="B527" t="inlineStr">
        <is>
          <t>T104073</t>
        </is>
      </c>
      <c r="C527" t="inlineStr">
        <is>
          <t>Joseph Ramos</t>
        </is>
      </c>
      <c r="D527" t="inlineStr">
        <is>
          <t>Mia Ramos</t>
        </is>
      </c>
      <c r="E527" t="n">
        <v>25</v>
      </c>
      <c r="F527" t="inlineStr">
        <is>
          <t>Credit Card</t>
        </is>
      </c>
    </row>
    <row r="528">
      <c r="A528" s="78" t="n">
        <v>46335.80208333334</v>
      </c>
      <c r="B528" t="inlineStr">
        <is>
          <t>T103630</t>
        </is>
      </c>
      <c r="C528" t="inlineStr">
        <is>
          <t>Elena Murphy</t>
        </is>
      </c>
      <c r="D528" t="inlineStr">
        <is>
          <t>Mia Murphy</t>
        </is>
      </c>
      <c r="E528" t="n">
        <v>50</v>
      </c>
      <c r="F528" t="inlineStr">
        <is>
          <t>Credit Card</t>
        </is>
      </c>
    </row>
    <row r="529">
      <c r="A529" s="78" t="n">
        <v>46329.46875</v>
      </c>
      <c r="B529" t="inlineStr">
        <is>
          <t>T100558</t>
        </is>
      </c>
      <c r="C529" t="inlineStr">
        <is>
          <t>Evelyn Gonzalez</t>
        </is>
      </c>
      <c r="D529" t="inlineStr">
        <is>
          <t>Joseph Gonzalez</t>
        </is>
      </c>
      <c r="E529" t="n">
        <v>25</v>
      </c>
      <c r="F529" t="inlineStr">
        <is>
          <t>Apple Pay</t>
        </is>
      </c>
    </row>
    <row r="530">
      <c r="A530" s="78" t="n">
        <v>46336.8125</v>
      </c>
      <c r="B530" t="inlineStr">
        <is>
          <t>T103407</t>
        </is>
      </c>
      <c r="C530" t="inlineStr">
        <is>
          <t>Noah Ramirez</t>
        </is>
      </c>
      <c r="D530" t="inlineStr">
        <is>
          <t>Emma Ramirez</t>
        </is>
      </c>
      <c r="E530" t="n">
        <v>50</v>
      </c>
      <c r="F530" t="inlineStr">
        <is>
          <t>Apple Pay</t>
        </is>
      </c>
    </row>
    <row r="531">
      <c r="A531" t="inlineStr">
        <is>
          <t>11/05/2026 07:45 AM</t>
        </is>
      </c>
      <c r="B531" t="inlineStr">
        <is>
          <t>T104210</t>
        </is>
      </c>
      <c r="C531" t="inlineStr">
        <is>
          <t>Grace Ryan</t>
        </is>
      </c>
      <c r="D531" t="inlineStr">
        <is>
          <t>David Ryan</t>
        </is>
      </c>
      <c r="E531" t="n">
        <v>75</v>
      </c>
      <c r="F531" t="inlineStr">
        <is>
          <t>Credit Card</t>
        </is>
      </c>
    </row>
    <row r="532">
      <c r="A532" s="78" t="n">
        <v>46325.64583333334</v>
      </c>
      <c r="B532" t="inlineStr">
        <is>
          <t>T103623</t>
        </is>
      </c>
      <c r="C532" t="inlineStr">
        <is>
          <t>Emma Walsh</t>
        </is>
      </c>
      <c r="D532" t="inlineStr">
        <is>
          <t>Aria Walsh</t>
        </is>
      </c>
      <c r="E532" t="n">
        <v>20</v>
      </c>
      <c r="F532" t="inlineStr">
        <is>
          <t>Apple Pay</t>
        </is>
      </c>
    </row>
    <row r="533">
      <c r="A533" s="78" t="n">
        <v>46328.44791666666</v>
      </c>
      <c r="B533" t="inlineStr">
        <is>
          <t>T102598</t>
        </is>
      </c>
      <c r="C533" t="inlineStr">
        <is>
          <t>Harper Murphy</t>
        </is>
      </c>
      <c r="D533" t="inlineStr">
        <is>
          <t>Liam Murphy</t>
        </is>
      </c>
      <c r="E533" t="n">
        <v>150</v>
      </c>
      <c r="F533" t="inlineStr">
        <is>
          <t>Apple Pay</t>
        </is>
      </c>
    </row>
    <row r="534">
      <c r="A534" s="78" t="n">
        <v>46329.88541666666</v>
      </c>
      <c r="B534" t="inlineStr">
        <is>
          <t>T103477</t>
        </is>
      </c>
      <c r="C534" t="inlineStr">
        <is>
          <t>Isabella Sanchez</t>
        </is>
      </c>
      <c r="D534" t="inlineStr">
        <is>
          <t>Elijah Sanchez</t>
        </is>
      </c>
      <c r="E534" t="n">
        <v>25</v>
      </c>
      <c r="F534" t="inlineStr">
        <is>
          <t>Credit Card</t>
        </is>
      </c>
    </row>
    <row r="535">
      <c r="A535" s="78" t="n">
        <v>46330.3125</v>
      </c>
      <c r="B535" t="inlineStr">
        <is>
          <t>T101451</t>
        </is>
      </c>
      <c r="C535" t="inlineStr">
        <is>
          <t>Julian Rodriguez</t>
        </is>
      </c>
      <c r="D535" t="inlineStr">
        <is>
          <t>Benjamin Rodriguez</t>
        </is>
      </c>
      <c r="E535" t="n">
        <v>25</v>
      </c>
      <c r="F535" t="inlineStr">
        <is>
          <t>Credit Card</t>
        </is>
      </c>
    </row>
    <row r="536">
      <c r="A536" s="78" t="n">
        <v>46333.39583333334</v>
      </c>
      <c r="B536" t="inlineStr">
        <is>
          <t>T100469</t>
        </is>
      </c>
      <c r="C536" t="inlineStr">
        <is>
          <t xml:space="preserve">  JAMES   alvarez </t>
        </is>
      </c>
      <c r="D536" t="inlineStr">
        <is>
          <t>Nora Alvarez</t>
        </is>
      </c>
      <c r="E536" t="n">
        <v>75</v>
      </c>
      <c r="F536" t="inlineStr">
        <is>
          <t>Apple Pay</t>
        </is>
      </c>
    </row>
    <row r="537">
      <c r="A537" s="78" t="n">
        <v>46326.61458333334</v>
      </c>
      <c r="B537" t="inlineStr">
        <is>
          <t>T101766</t>
        </is>
      </c>
      <c r="C537" t="inlineStr">
        <is>
          <t>Liam Cruz</t>
        </is>
      </c>
      <c r="D537" t="inlineStr">
        <is>
          <t>Harper Cruz</t>
        </is>
      </c>
      <c r="E537" t="n">
        <v>75</v>
      </c>
      <c r="F537" t="inlineStr">
        <is>
          <t>Apple Pay</t>
        </is>
      </c>
    </row>
    <row r="538">
      <c r="A538" s="78" t="n">
        <v>46338.53125</v>
      </c>
      <c r="B538" t="inlineStr">
        <is>
          <t>T103182</t>
        </is>
      </c>
      <c r="C538" t="inlineStr">
        <is>
          <t>Elena Diaz</t>
        </is>
      </c>
      <c r="D538" t="inlineStr">
        <is>
          <t>Valentina Diaz</t>
        </is>
      </c>
      <c r="E538" t="n">
        <v>100</v>
      </c>
      <c r="F538" t="inlineStr">
        <is>
          <t>Credit Card</t>
        </is>
      </c>
    </row>
    <row r="539">
      <c r="A539" s="78" t="n">
        <v>46339.625</v>
      </c>
      <c r="B539" t="inlineStr">
        <is>
          <t>T103869</t>
        </is>
      </c>
      <c r="C539" t="inlineStr">
        <is>
          <t>Samuel Perez</t>
        </is>
      </c>
      <c r="D539" t="inlineStr">
        <is>
          <t>Isabella Perez</t>
        </is>
      </c>
      <c r="E539" t="n">
        <v>50</v>
      </c>
      <c r="F539" t="inlineStr">
        <is>
          <t>Apple Pay</t>
        </is>
      </c>
    </row>
    <row r="540">
      <c r="A540" s="78" t="n">
        <v>46325.86458333334</v>
      </c>
      <c r="B540" t="inlineStr">
        <is>
          <t>T100740</t>
        </is>
      </c>
      <c r="C540" t="inlineStr">
        <is>
          <t>Noah Gonzalez</t>
        </is>
      </c>
      <c r="D540" t="inlineStr">
        <is>
          <t>Ella Gonzalez</t>
        </is>
      </c>
      <c r="E540" t="n">
        <v>25</v>
      </c>
      <c r="F540" t="inlineStr">
        <is>
          <t>Credit Card</t>
        </is>
      </c>
    </row>
    <row r="541">
      <c r="A541" s="78" t="n">
        <v>46339.73958333334</v>
      </c>
      <c r="B541" t="inlineStr">
        <is>
          <t>T101625</t>
        </is>
      </c>
      <c r="C541" t="inlineStr">
        <is>
          <t>Santiago Gutierrez</t>
        </is>
      </c>
      <c r="D541" t="inlineStr">
        <is>
          <t>James Gutierrez</t>
        </is>
      </c>
      <c r="E541" t="n">
        <v>50</v>
      </c>
      <c r="F541" t="inlineStr">
        <is>
          <t>Apple Pay</t>
        </is>
      </c>
    </row>
    <row r="542">
      <c r="A542" s="78" t="n">
        <v>46339.78125</v>
      </c>
      <c r="B542" t="inlineStr">
        <is>
          <t>T100031</t>
        </is>
      </c>
      <c r="C542" t="inlineStr">
        <is>
          <t>Aria O'Brien</t>
        </is>
      </c>
      <c r="D542" t="inlineStr">
        <is>
          <t>Nora O'Brien</t>
        </is>
      </c>
      <c r="E542" t="n">
        <v>50</v>
      </c>
      <c r="F542" t="inlineStr">
        <is>
          <t>Credit Card</t>
        </is>
      </c>
    </row>
    <row r="543">
      <c r="A543" s="78" t="n">
        <v>46335.55208333334</v>
      </c>
      <c r="B543" t="inlineStr">
        <is>
          <t>T100113</t>
        </is>
      </c>
      <c r="C543" t="inlineStr">
        <is>
          <t xml:space="preserve">  CLARA   sanchez </t>
        </is>
      </c>
      <c r="D543" t="inlineStr">
        <is>
          <t>Henry Sanchez</t>
        </is>
      </c>
      <c r="E543" t="n">
        <v>25</v>
      </c>
      <c r="F543" t="inlineStr">
        <is>
          <t>Apple Pay</t>
        </is>
      </c>
    </row>
    <row r="544">
      <c r="A544" s="78" t="n">
        <v>46326.8125</v>
      </c>
      <c r="B544" t="inlineStr">
        <is>
          <t>T104820</t>
        </is>
      </c>
      <c r="C544" t="inlineStr">
        <is>
          <t>Sofia Williams</t>
        </is>
      </c>
      <c r="D544" t="inlineStr">
        <is>
          <t>Ella Williams</t>
        </is>
      </c>
      <c r="E544" t="n">
        <v>75</v>
      </c>
      <c r="F544" t="inlineStr">
        <is>
          <t>Credit Card</t>
        </is>
      </c>
    </row>
    <row r="545">
      <c r="A545" s="78" t="n">
        <v>46332.30208333334</v>
      </c>
      <c r="B545" t="inlineStr">
        <is>
          <t>T102178</t>
        </is>
      </c>
      <c r="C545" t="inlineStr">
        <is>
          <t>Diego Lopez</t>
        </is>
      </c>
      <c r="D545" t="inlineStr">
        <is>
          <t>Zoe Lopez</t>
        </is>
      </c>
      <c r="E545" t="n">
        <v>40</v>
      </c>
      <c r="F545" t="inlineStr">
        <is>
          <t>Credit Card</t>
        </is>
      </c>
    </row>
    <row r="546">
      <c r="A546" s="78" t="n">
        <v>46326.51041666666</v>
      </c>
      <c r="B546" t="inlineStr">
        <is>
          <t>T103966</t>
        </is>
      </c>
      <c r="C546" t="inlineStr">
        <is>
          <t>Adrian Lopez</t>
        </is>
      </c>
      <c r="D546" t="inlineStr">
        <is>
          <t>Daniel Lopez</t>
        </is>
      </c>
      <c r="E546" t="n">
        <v>25</v>
      </c>
      <c r="F546" t="inlineStr">
        <is>
          <t>Apple Pay</t>
        </is>
      </c>
    </row>
    <row r="547">
      <c r="A547" s="78" t="n">
        <v>46336.84375</v>
      </c>
      <c r="B547" t="inlineStr">
        <is>
          <t>T100565</t>
        </is>
      </c>
      <c r="C547" t="inlineStr">
        <is>
          <t>Ortiz, Liam</t>
        </is>
      </c>
      <c r="D547" t="inlineStr">
        <is>
          <t>Harper Ortiz</t>
        </is>
      </c>
      <c r="E547" t="n">
        <v>20</v>
      </c>
      <c r="F547" t="inlineStr">
        <is>
          <t>Apple Pay</t>
        </is>
      </c>
    </row>
    <row r="548">
      <c r="A548" s="78" t="n">
        <v>46328.90625</v>
      </c>
      <c r="B548" t="inlineStr">
        <is>
          <t>T104667</t>
        </is>
      </c>
      <c r="C548" t="inlineStr">
        <is>
          <t>Julian Ramirez</t>
        </is>
      </c>
      <c r="D548" t="inlineStr">
        <is>
          <t>Leo Ramirez</t>
        </is>
      </c>
      <c r="E548" t="n">
        <v>10</v>
      </c>
      <c r="F548" t="inlineStr">
        <is>
          <t>Credit Card</t>
        </is>
      </c>
    </row>
    <row r="549">
      <c r="A549" s="78" t="n">
        <v>46327.55208333334</v>
      </c>
      <c r="B549" t="inlineStr">
        <is>
          <t>T104965</t>
        </is>
      </c>
      <c r="C549" t="inlineStr">
        <is>
          <t>Adrian Hernandez</t>
        </is>
      </c>
      <c r="D549" t="inlineStr">
        <is>
          <t>Luna Hernandez</t>
        </is>
      </c>
      <c r="E549" t="n">
        <v>50</v>
      </c>
      <c r="F549" t="inlineStr">
        <is>
          <t>Apple Pay</t>
        </is>
      </c>
    </row>
    <row r="550">
      <c r="A550" s="78" t="n">
        <v>46338.625</v>
      </c>
      <c r="B550" t="inlineStr">
        <is>
          <t>T101349</t>
        </is>
      </c>
      <c r="C550" t="inlineStr">
        <is>
          <t>Diego Vasquez</t>
        </is>
      </c>
      <c r="D550" t="inlineStr">
        <is>
          <t>Joseph Vasquez</t>
        </is>
      </c>
      <c r="E550" t="n">
        <v>50</v>
      </c>
      <c r="F550" t="inlineStr">
        <is>
          <t>Apple Pay</t>
        </is>
      </c>
    </row>
    <row r="551">
      <c r="A551" s="78" t="n">
        <v>46330.6875</v>
      </c>
      <c r="B551" t="inlineStr">
        <is>
          <t>T105150</t>
        </is>
      </c>
      <c r="C551" t="inlineStr">
        <is>
          <t>Leo Walsh</t>
        </is>
      </c>
      <c r="D551" t="inlineStr">
        <is>
          <t>Camila Walsh</t>
        </is>
      </c>
      <c r="E551" t="n">
        <v>40</v>
      </c>
      <c r="F551" t="inlineStr">
        <is>
          <t>Credit Card</t>
        </is>
      </c>
    </row>
    <row r="552">
      <c r="A552" s="78" t="n">
        <v>46336.66666666666</v>
      </c>
      <c r="B552" t="inlineStr">
        <is>
          <t>T100978</t>
        </is>
      </c>
      <c r="C552" t="inlineStr">
        <is>
          <t>Luna Hernandez</t>
        </is>
      </c>
      <c r="D552" t="inlineStr">
        <is>
          <t>Clara Hernandez</t>
        </is>
      </c>
      <c r="E552" t="n">
        <v>10</v>
      </c>
      <c r="F552" t="inlineStr">
        <is>
          <t>Apple Pay</t>
        </is>
      </c>
    </row>
    <row r="553">
      <c r="A553" s="78" t="n">
        <v>46327.79166666666</v>
      </c>
      <c r="B553" t="inlineStr">
        <is>
          <t>T102832</t>
        </is>
      </c>
      <c r="C553" t="inlineStr">
        <is>
          <t>Zoe Ryan</t>
        </is>
      </c>
      <c r="D553" t="inlineStr">
        <is>
          <t>Valentina Ryan</t>
        </is>
      </c>
      <c r="E553" t="n">
        <v>10</v>
      </c>
      <c r="F553" t="inlineStr">
        <is>
          <t>Apple Pay</t>
        </is>
      </c>
    </row>
    <row r="554">
      <c r="A554" s="78" t="n">
        <v>46339.82291666666</v>
      </c>
      <c r="B554" t="inlineStr">
        <is>
          <t>T105360</t>
        </is>
      </c>
      <c r="C554" t="inlineStr">
        <is>
          <t>Leo Gutierrez</t>
        </is>
      </c>
      <c r="D554" t="inlineStr">
        <is>
          <t>Nicolas Gutierrez</t>
        </is>
      </c>
      <c r="E554" t="n">
        <v>25</v>
      </c>
      <c r="F554" t="inlineStr">
        <is>
          <t>Credit Card</t>
        </is>
      </c>
    </row>
    <row r="555">
      <c r="A555" s="78" t="n">
        <v>46331.85416666666</v>
      </c>
      <c r="B555" t="inlineStr">
        <is>
          <t>T101380</t>
        </is>
      </c>
      <c r="C555" t="inlineStr">
        <is>
          <t>Grace Murphy</t>
        </is>
      </c>
      <c r="D555" t="inlineStr">
        <is>
          <t>Mateo Murphy</t>
        </is>
      </c>
      <c r="E555" t="n">
        <v>20</v>
      </c>
      <c r="F555" t="inlineStr">
        <is>
          <t>Apple Pay</t>
        </is>
      </c>
    </row>
    <row r="556">
      <c r="A556" s="78" t="n">
        <v>46332.52083333334</v>
      </c>
      <c r="B556" t="inlineStr">
        <is>
          <t>T100404</t>
        </is>
      </c>
      <c r="C556" t="inlineStr">
        <is>
          <t>Valentina Hernandez</t>
        </is>
      </c>
      <c r="D556" t="inlineStr">
        <is>
          <t>Evelyn Hernandez</t>
        </is>
      </c>
      <c r="E556" t="n">
        <v>40</v>
      </c>
      <c r="F556" t="inlineStr">
        <is>
          <t>Apple Pay</t>
        </is>
      </c>
    </row>
    <row r="557">
      <c r="A557" s="78" t="n">
        <v>46331.67708333334</v>
      </c>
      <c r="B557" t="inlineStr">
        <is>
          <t>T103685</t>
        </is>
      </c>
      <c r="C557" t="inlineStr">
        <is>
          <t>Daniel Ramos</t>
        </is>
      </c>
      <c r="D557" t="inlineStr">
        <is>
          <t>Amelia Ramos</t>
        </is>
      </c>
      <c r="E557" t="n">
        <v>25</v>
      </c>
      <c r="F557" t="inlineStr">
        <is>
          <t>Apple Pay</t>
        </is>
      </c>
    </row>
    <row r="558">
      <c r="A558" s="78" t="n">
        <v>46328.38541666666</v>
      </c>
      <c r="B558" t="inlineStr">
        <is>
          <t>T105297</t>
        </is>
      </c>
      <c r="C558" t="inlineStr">
        <is>
          <t>Zoe Smith</t>
        </is>
      </c>
      <c r="D558" t="inlineStr">
        <is>
          <t>Joseph Smith</t>
        </is>
      </c>
      <c r="E558" t="n">
        <v>25</v>
      </c>
      <c r="F558" t="inlineStr">
        <is>
          <t>Credit Card</t>
        </is>
      </c>
    </row>
    <row r="559">
      <c r="A559" s="78" t="n">
        <v>46335.42708333334</v>
      </c>
      <c r="B559" t="inlineStr">
        <is>
          <t>T104339</t>
        </is>
      </c>
      <c r="C559" t="inlineStr">
        <is>
          <t>Emma Walsh</t>
        </is>
      </c>
      <c r="D559" t="inlineStr">
        <is>
          <t>Isabella Walsh</t>
        </is>
      </c>
      <c r="E559" t="n">
        <v>100</v>
      </c>
      <c r="F559" t="inlineStr">
        <is>
          <t>Credit Card</t>
        </is>
      </c>
    </row>
    <row r="560">
      <c r="A560" s="78" t="n">
        <v>46336.625</v>
      </c>
      <c r="B560" t="inlineStr">
        <is>
          <t>T101280</t>
        </is>
      </c>
      <c r="C560" t="inlineStr">
        <is>
          <t>Samuel Murphy</t>
        </is>
      </c>
      <c r="D560" t="inlineStr">
        <is>
          <t>Henry Murphy</t>
        </is>
      </c>
      <c r="E560" t="n">
        <v>25</v>
      </c>
      <c r="F560" t="inlineStr">
        <is>
          <t>Credit Card</t>
        </is>
      </c>
    </row>
    <row r="561">
      <c r="A561" s="78" t="n">
        <v>46325.34375</v>
      </c>
      <c r="B561" t="inlineStr">
        <is>
          <t>T101033</t>
        </is>
      </c>
      <c r="C561" t="inlineStr">
        <is>
          <t>Ella Lopez</t>
        </is>
      </c>
      <c r="D561" t="inlineStr">
        <is>
          <t>Elena Lopez</t>
        </is>
      </c>
      <c r="E561" t="inlineStr">
        <is>
          <t>$25.00</t>
        </is>
      </c>
      <c r="F561" t="inlineStr">
        <is>
          <t>Apple Pay</t>
        </is>
      </c>
    </row>
    <row r="562">
      <c r="A562" s="78" t="n">
        <v>46339.66666666666</v>
      </c>
      <c r="B562" t="inlineStr">
        <is>
          <t>T101968</t>
        </is>
      </c>
      <c r="C562" t="inlineStr">
        <is>
          <t>Benjamin Nguyen</t>
        </is>
      </c>
      <c r="D562" t="inlineStr">
        <is>
          <t>Maya Nguyen</t>
        </is>
      </c>
      <c r="E562" t="n">
        <v>100</v>
      </c>
      <c r="F562" t="inlineStr">
        <is>
          <t>Apple Pay</t>
        </is>
      </c>
    </row>
    <row r="563">
      <c r="A563" s="78" t="n">
        <v>46331.625</v>
      </c>
      <c r="B563" t="inlineStr">
        <is>
          <t>T104088</t>
        </is>
      </c>
      <c r="C563" t="inlineStr">
        <is>
          <t>Perez, Aria</t>
        </is>
      </c>
      <c r="D563" t="inlineStr">
        <is>
          <t>James Perez</t>
        </is>
      </c>
      <c r="E563" t="n">
        <v>75</v>
      </c>
      <c r="F563" t="inlineStr">
        <is>
          <t>Apple Pay</t>
        </is>
      </c>
    </row>
    <row r="564">
      <c r="A564" s="78" t="n">
        <v>46330.44791666666</v>
      </c>
      <c r="B564" t="inlineStr">
        <is>
          <t>T102316</t>
        </is>
      </c>
      <c r="C564" t="inlineStr">
        <is>
          <t>Joseph Vasquez</t>
        </is>
      </c>
      <c r="D564" t="inlineStr">
        <is>
          <t>Camila Vasquez</t>
        </is>
      </c>
      <c r="E564" t="n">
        <v>20</v>
      </c>
      <c r="F564" t="inlineStr">
        <is>
          <t>Apple Pay</t>
        </is>
      </c>
    </row>
    <row r="565">
      <c r="A565" s="78" t="n">
        <v>46337.4375</v>
      </c>
      <c r="B565" t="inlineStr">
        <is>
          <t>T101225</t>
        </is>
      </c>
      <c r="C565" t="inlineStr">
        <is>
          <t>Mateo Gonzalez</t>
        </is>
      </c>
      <c r="D565" t="inlineStr">
        <is>
          <t>Isabella Gonzalez</t>
        </is>
      </c>
      <c r="E565" t="n">
        <v>100</v>
      </c>
      <c r="F565" t="inlineStr">
        <is>
          <t>Credit Card</t>
        </is>
      </c>
    </row>
    <row r="566">
      <c r="A566" s="78" t="n">
        <v>46337.55208333334</v>
      </c>
      <c r="B566" t="inlineStr">
        <is>
          <t>T100998</t>
        </is>
      </c>
      <c r="C566" t="inlineStr">
        <is>
          <t>Aria Kim</t>
        </is>
      </c>
      <c r="D566" t="inlineStr">
        <is>
          <t>Mateo Kim</t>
        </is>
      </c>
      <c r="E566" t="n">
        <v>50</v>
      </c>
      <c r="F566" t="inlineStr">
        <is>
          <t>Credit Card</t>
        </is>
      </c>
    </row>
    <row r="567">
      <c r="A567" s="78" t="n">
        <v>46339.73958333334</v>
      </c>
      <c r="B567" t="inlineStr">
        <is>
          <t>T102849</t>
        </is>
      </c>
      <c r="C567" t="inlineStr">
        <is>
          <t>Grace Johnson</t>
        </is>
      </c>
      <c r="D567" t="inlineStr">
        <is>
          <t>Noah Johnson</t>
        </is>
      </c>
      <c r="E567" t="n">
        <v>25</v>
      </c>
      <c r="F567" t="inlineStr">
        <is>
          <t>Apple Pay</t>
        </is>
      </c>
    </row>
    <row r="568">
      <c r="A568" s="78" t="n">
        <v>46338.35416666666</v>
      </c>
      <c r="B568" t="inlineStr">
        <is>
          <t>T100185</t>
        </is>
      </c>
      <c r="C568" t="inlineStr">
        <is>
          <t>Luna Alvarez</t>
        </is>
      </c>
      <c r="D568" t="inlineStr">
        <is>
          <t>Nicolas Alvarez</t>
        </is>
      </c>
      <c r="E568" t="n">
        <v>150</v>
      </c>
      <c r="F568" t="inlineStr">
        <is>
          <t>Apple Pay</t>
        </is>
      </c>
    </row>
    <row r="569">
      <c r="A569" s="78" t="n">
        <v>46336.8125</v>
      </c>
      <c r="B569" t="inlineStr">
        <is>
          <t>T103761</t>
        </is>
      </c>
      <c r="C569" t="inlineStr">
        <is>
          <t>Luna Sanchez</t>
        </is>
      </c>
      <c r="D569" t="inlineStr">
        <is>
          <t>Thomas Sanchez</t>
        </is>
      </c>
      <c r="E569" t="n">
        <v>25</v>
      </c>
      <c r="F569" t="inlineStr">
        <is>
          <t>Credit Card</t>
        </is>
      </c>
    </row>
    <row r="570">
      <c r="A570" s="78" t="n">
        <v>46328.45833333334</v>
      </c>
      <c r="B570" t="inlineStr">
        <is>
          <t>T103920</t>
        </is>
      </c>
      <c r="C570" t="inlineStr">
        <is>
          <t>Mateo Vasquez</t>
        </is>
      </c>
      <c r="D570" t="inlineStr">
        <is>
          <t>Mia Vasquez</t>
        </is>
      </c>
      <c r="E570" t="n">
        <v>25</v>
      </c>
      <c r="F570" t="inlineStr">
        <is>
          <t>Apple Pay</t>
        </is>
      </c>
    </row>
    <row r="571">
      <c r="A571" s="78" t="n">
        <v>46332.54166666666</v>
      </c>
      <c r="B571" t="inlineStr">
        <is>
          <t>T101514</t>
        </is>
      </c>
      <c r="C571" t="inlineStr">
        <is>
          <t>Thomas Mendoza</t>
        </is>
      </c>
      <c r="D571" t="inlineStr">
        <is>
          <t>Henry Mendoza</t>
        </is>
      </c>
      <c r="E571" t="n">
        <v>25</v>
      </c>
      <c r="F571" t="inlineStr">
        <is>
          <t>Apple Pay</t>
        </is>
      </c>
    </row>
    <row r="572">
      <c r="A572" s="78" t="n">
        <v>46331.8125</v>
      </c>
      <c r="B572" t="inlineStr">
        <is>
          <t>T104976</t>
        </is>
      </c>
      <c r="C572" t="inlineStr">
        <is>
          <t xml:space="preserve">  ZOE   murphy </t>
        </is>
      </c>
      <c r="D572" t="inlineStr">
        <is>
          <t>Luna Murphy</t>
        </is>
      </c>
      <c r="E572" t="inlineStr">
        <is>
          <t>$25.00</t>
        </is>
      </c>
      <c r="F572" t="inlineStr">
        <is>
          <t>Credit Card</t>
        </is>
      </c>
    </row>
    <row r="573">
      <c r="A573" s="78" t="n">
        <v>46339.84375</v>
      </c>
      <c r="B573" t="inlineStr">
        <is>
          <t>T101609</t>
        </is>
      </c>
      <c r="C573" t="inlineStr">
        <is>
          <t>Thomas Gutierrez</t>
        </is>
      </c>
      <c r="D573" t="inlineStr">
        <is>
          <t>Evelyn Gutierrez</t>
        </is>
      </c>
      <c r="E573" t="n">
        <v>10</v>
      </c>
      <c r="F573" t="inlineStr">
        <is>
          <t>Credit Card</t>
        </is>
      </c>
    </row>
    <row r="574">
      <c r="A574" s="78" t="n">
        <v>46333.625</v>
      </c>
      <c r="B574" t="inlineStr">
        <is>
          <t>T102201</t>
        </is>
      </c>
      <c r="C574" t="inlineStr">
        <is>
          <t>Julian Sullivan</t>
        </is>
      </c>
      <c r="D574" t="inlineStr">
        <is>
          <t>David Sullivan</t>
        </is>
      </c>
      <c r="E574" t="n">
        <v>25</v>
      </c>
      <c r="F574" t="inlineStr">
        <is>
          <t>Credit Card</t>
        </is>
      </c>
    </row>
    <row r="575">
      <c r="A575" s="78" t="n">
        <v>46338.41666666666</v>
      </c>
      <c r="B575" t="inlineStr">
        <is>
          <t>T104688</t>
        </is>
      </c>
      <c r="C575" t="inlineStr">
        <is>
          <t>Julian Rodriguez</t>
        </is>
      </c>
      <c r="D575" t="inlineStr">
        <is>
          <t>Daniel Rodriguez</t>
        </is>
      </c>
      <c r="E575" t="n">
        <v>10</v>
      </c>
      <c r="F575" t="inlineStr">
        <is>
          <t>Apple Pay</t>
        </is>
      </c>
    </row>
    <row r="576">
      <c r="A576" s="78" t="n">
        <v>46329.88541666666</v>
      </c>
      <c r="B576" t="inlineStr">
        <is>
          <t>T101726</t>
        </is>
      </c>
      <c r="C576" t="inlineStr">
        <is>
          <t>Cruz, Gabriel</t>
        </is>
      </c>
      <c r="D576" t="inlineStr">
        <is>
          <t>David Cruz</t>
        </is>
      </c>
      <c r="E576" t="n">
        <v>25</v>
      </c>
      <c r="F576" t="inlineStr">
        <is>
          <t>Apple Pay</t>
        </is>
      </c>
    </row>
    <row r="577">
      <c r="A577" s="78" t="n">
        <v>46336.39583333334</v>
      </c>
      <c r="B577" t="inlineStr">
        <is>
          <t>T103301</t>
        </is>
      </c>
      <c r="C577" t="inlineStr">
        <is>
          <t>Grace Gomez</t>
        </is>
      </c>
      <c r="D577" t="inlineStr">
        <is>
          <t>Samuel Gomez</t>
        </is>
      </c>
      <c r="E577" t="n">
        <v>25</v>
      </c>
      <c r="F577" t="inlineStr">
        <is>
          <t>Credit Card</t>
        </is>
      </c>
    </row>
    <row r="578">
      <c r="A578" s="78" t="n">
        <v>46329.45833333334</v>
      </c>
      <c r="B578" t="inlineStr">
        <is>
          <t>T103601</t>
        </is>
      </c>
      <c r="C578" t="inlineStr">
        <is>
          <t>Mateo Martinez</t>
        </is>
      </c>
      <c r="D578" t="inlineStr">
        <is>
          <t>Daniel Martinez</t>
        </is>
      </c>
      <c r="E578" t="n">
        <v>40</v>
      </c>
      <c r="F578" t="inlineStr">
        <is>
          <t>Credit Card</t>
        </is>
      </c>
    </row>
    <row r="579">
      <c r="A579" s="78" t="n">
        <v>46338.5</v>
      </c>
      <c r="B579" t="inlineStr">
        <is>
          <t>T103219</t>
        </is>
      </c>
      <c r="C579" t="inlineStr">
        <is>
          <t>Noah Garcia</t>
        </is>
      </c>
      <c r="D579" t="inlineStr">
        <is>
          <t>Joseph Garcia</t>
        </is>
      </c>
      <c r="E579" t="n">
        <v>50</v>
      </c>
      <c r="F579" t="inlineStr">
        <is>
          <t>Credit Card</t>
        </is>
      </c>
    </row>
    <row r="580">
      <c r="A580" s="78" t="n">
        <v>46325.38541666666</v>
      </c>
      <c r="B580" t="inlineStr">
        <is>
          <t>T102018</t>
        </is>
      </c>
      <c r="C580" t="inlineStr">
        <is>
          <t>Joseph O'Brien</t>
        </is>
      </c>
      <c r="D580" t="inlineStr">
        <is>
          <t>Joseph O'Brien</t>
        </is>
      </c>
      <c r="E580" t="n">
        <v>25</v>
      </c>
      <c r="F580" t="inlineStr">
        <is>
          <t>Apple Pay</t>
        </is>
      </c>
    </row>
    <row r="581">
      <c r="A581" s="78" t="n">
        <v>46338.3125</v>
      </c>
      <c r="B581" t="inlineStr">
        <is>
          <t>T100259</t>
        </is>
      </c>
      <c r="C581" t="inlineStr">
        <is>
          <t>Nicolas Mendoza</t>
        </is>
      </c>
      <c r="D581" t="inlineStr">
        <is>
          <t>Lucas Mendoza</t>
        </is>
      </c>
      <c r="E581" t="n">
        <v>25</v>
      </c>
      <c r="F581" t="inlineStr">
        <is>
          <t>Credit Card</t>
        </is>
      </c>
    </row>
    <row r="582">
      <c r="A582" s="78" t="n">
        <v>46339.85416666666</v>
      </c>
      <c r="B582" t="inlineStr">
        <is>
          <t>T100605</t>
        </is>
      </c>
      <c r="C582" t="inlineStr">
        <is>
          <t>Liam Ruiz</t>
        </is>
      </c>
      <c r="D582" t="inlineStr">
        <is>
          <t>Isabella Ruiz</t>
        </is>
      </c>
      <c r="E582" t="inlineStr">
        <is>
          <t>$10.00</t>
        </is>
      </c>
      <c r="F582" t="inlineStr">
        <is>
          <t>Apple Pay</t>
        </is>
      </c>
    </row>
    <row r="583">
      <c r="A583" s="78" t="n">
        <v>46338.55208333334</v>
      </c>
      <c r="B583" t="inlineStr">
        <is>
          <t>T103103</t>
        </is>
      </c>
      <c r="C583" t="inlineStr">
        <is>
          <t>Evelyn Cruz</t>
        </is>
      </c>
      <c r="D583" t="inlineStr">
        <is>
          <t>Clara Cruz</t>
        </is>
      </c>
      <c r="E583" t="inlineStr">
        <is>
          <t>$25.00</t>
        </is>
      </c>
      <c r="F583" t="inlineStr">
        <is>
          <t>Apple Pay</t>
        </is>
      </c>
    </row>
    <row r="584">
      <c r="A584" s="78" t="n">
        <v>46339.89583333334</v>
      </c>
      <c r="B584" t="inlineStr">
        <is>
          <t>T104590</t>
        </is>
      </c>
      <c r="C584" t="inlineStr">
        <is>
          <t>Chloe Smith</t>
        </is>
      </c>
      <c r="D584" t="inlineStr">
        <is>
          <t>Camila Smith</t>
        </is>
      </c>
      <c r="E584" t="n">
        <v>25</v>
      </c>
      <c r="F584" t="inlineStr">
        <is>
          <t>Credit Card</t>
        </is>
      </c>
    </row>
    <row r="585">
      <c r="A585" s="78" t="n">
        <v>46329.76041666666</v>
      </c>
      <c r="B585" t="inlineStr">
        <is>
          <t>T102699</t>
        </is>
      </c>
      <c r="C585" t="inlineStr">
        <is>
          <t>Julian Ramirez</t>
        </is>
      </c>
      <c r="D585" t="inlineStr">
        <is>
          <t>Santiago Ramirez</t>
        </is>
      </c>
      <c r="E585" t="n">
        <v>20</v>
      </c>
      <c r="F585" t="inlineStr">
        <is>
          <t>Credit Card</t>
        </is>
      </c>
    </row>
    <row r="586">
      <c r="A586" s="78" t="n">
        <v>46325.30208333334</v>
      </c>
      <c r="B586" t="inlineStr">
        <is>
          <t>T101783</t>
        </is>
      </c>
      <c r="C586" t="inlineStr">
        <is>
          <t>Ava Brown</t>
        </is>
      </c>
      <c r="D586" t="inlineStr">
        <is>
          <t>Leo Brown</t>
        </is>
      </c>
      <c r="E586" t="n">
        <v>20</v>
      </c>
      <c r="F586" t="inlineStr">
        <is>
          <t>Credit Card</t>
        </is>
      </c>
    </row>
    <row r="587">
      <c r="A587" t="inlineStr">
        <is>
          <t>11/02/2026 01:30 PM</t>
        </is>
      </c>
      <c r="B587" t="inlineStr">
        <is>
          <t>T100194</t>
        </is>
      </c>
      <c r="C587" t="inlineStr">
        <is>
          <t>Samuel Murphy</t>
        </is>
      </c>
      <c r="D587" t="inlineStr">
        <is>
          <t>Nicolas Murphy</t>
        </is>
      </c>
      <c r="E587" t="n">
        <v>75</v>
      </c>
      <c r="F587" t="inlineStr">
        <is>
          <t>Apple Pay</t>
        </is>
      </c>
    </row>
    <row r="588">
      <c r="A588" s="78" t="n">
        <v>46332.5</v>
      </c>
      <c r="B588" t="inlineStr">
        <is>
          <t>T100158</t>
        </is>
      </c>
      <c r="C588" t="inlineStr">
        <is>
          <t>Liam Byrne</t>
        </is>
      </c>
      <c r="D588" t="inlineStr">
        <is>
          <t>Evelyn Byrne</t>
        </is>
      </c>
      <c r="E588" t="n">
        <v>20</v>
      </c>
      <c r="F588" t="inlineStr">
        <is>
          <t>Credit Card</t>
        </is>
      </c>
    </row>
    <row r="589">
      <c r="A589" s="78" t="n">
        <v>46337.30208333334</v>
      </c>
      <c r="B589" t="inlineStr">
        <is>
          <t>T100626</t>
        </is>
      </c>
      <c r="C589" t="inlineStr">
        <is>
          <t>Olivia Brown</t>
        </is>
      </c>
      <c r="D589" t="inlineStr">
        <is>
          <t>Ella Brown</t>
        </is>
      </c>
      <c r="E589" t="n">
        <v>50</v>
      </c>
      <c r="F589" t="inlineStr">
        <is>
          <t>Credit Card</t>
        </is>
      </c>
    </row>
    <row r="590">
      <c r="A590" s="78" t="n">
        <v>46330.52083333334</v>
      </c>
      <c r="B590" t="inlineStr">
        <is>
          <t>T101204</t>
        </is>
      </c>
      <c r="C590" t="inlineStr">
        <is>
          <t>Chloe Cruz</t>
        </is>
      </c>
      <c r="D590" t="inlineStr">
        <is>
          <t>Liam Cruz</t>
        </is>
      </c>
      <c r="E590" t="n">
        <v>100</v>
      </c>
      <c r="F590" t="inlineStr">
        <is>
          <t>Apple Pay</t>
        </is>
      </c>
    </row>
    <row r="591">
      <c r="A591" s="78" t="n">
        <v>46325.63541666666</v>
      </c>
      <c r="B591" t="inlineStr">
        <is>
          <t>T105277</t>
        </is>
      </c>
      <c r="C591" t="inlineStr">
        <is>
          <t>Joseph Perez</t>
        </is>
      </c>
      <c r="D591" t="inlineStr">
        <is>
          <t>David Perez</t>
        </is>
      </c>
      <c r="E591" t="n">
        <v>25</v>
      </c>
      <c r="F591" t="inlineStr">
        <is>
          <t>Credit Card</t>
        </is>
      </c>
    </row>
    <row r="592">
      <c r="A592" s="78" t="n">
        <v>46327.51041666666</v>
      </c>
      <c r="B592" t="inlineStr">
        <is>
          <t>T102706</t>
        </is>
      </c>
      <c r="C592" t="inlineStr">
        <is>
          <t>Mia Kim</t>
        </is>
      </c>
      <c r="D592" t="inlineStr">
        <is>
          <t>Olivia Kim</t>
        </is>
      </c>
      <c r="E592" t="n">
        <v>50</v>
      </c>
      <c r="F592" t="inlineStr">
        <is>
          <t>Credit Card</t>
        </is>
      </c>
    </row>
    <row r="593">
      <c r="A593" s="78" t="n">
        <v>46325.30208333334</v>
      </c>
      <c r="B593" t="inlineStr">
        <is>
          <t>T101936</t>
        </is>
      </c>
      <c r="C593" t="inlineStr">
        <is>
          <t>Camila Reyes</t>
        </is>
      </c>
      <c r="D593" t="inlineStr">
        <is>
          <t>James Reyes</t>
        </is>
      </c>
      <c r="E593" t="n">
        <v>100</v>
      </c>
      <c r="F593" t="inlineStr">
        <is>
          <t>Credit Card</t>
        </is>
      </c>
    </row>
    <row r="594">
      <c r="A594" s="78" t="n">
        <v>46338.38541666666</v>
      </c>
      <c r="B594" t="inlineStr">
        <is>
          <t>T101626</t>
        </is>
      </c>
      <c r="C594" t="inlineStr">
        <is>
          <t>Julian Cruz</t>
        </is>
      </c>
      <c r="D594" t="inlineStr">
        <is>
          <t>Isabella Cruz</t>
        </is>
      </c>
      <c r="E594" t="inlineStr">
        <is>
          <t>$20.00</t>
        </is>
      </c>
      <c r="F594" t="inlineStr">
        <is>
          <t>Credit Card</t>
        </is>
      </c>
    </row>
    <row r="595">
      <c r="A595" s="78" t="n">
        <v>46337.8125</v>
      </c>
      <c r="B595" t="inlineStr">
        <is>
          <t>T101566</t>
        </is>
      </c>
      <c r="C595" t="inlineStr">
        <is>
          <t>Brown, James</t>
        </is>
      </c>
      <c r="D595" t="inlineStr">
        <is>
          <t>Aria Brown</t>
        </is>
      </c>
      <c r="E595" t="n">
        <v>20</v>
      </c>
      <c r="F595" t="inlineStr">
        <is>
          <t>Apple Pay</t>
        </is>
      </c>
    </row>
    <row r="596">
      <c r="A596" s="78" t="n">
        <v>46327.40625</v>
      </c>
      <c r="B596" t="inlineStr">
        <is>
          <t>T900002</t>
        </is>
      </c>
      <c r="C596" t="inlineStr">
        <is>
          <t>Unknown Kiddo</t>
        </is>
      </c>
      <c r="D596" t="inlineStr">
        <is>
          <t>Mystery Donor</t>
        </is>
      </c>
      <c r="E596" t="n">
        <v>40</v>
      </c>
      <c r="F596" t="inlineStr">
        <is>
          <t>Credit Card</t>
        </is>
      </c>
    </row>
    <row r="597">
      <c r="A597" s="78" t="n">
        <v>46338.72916666666</v>
      </c>
      <c r="B597" t="inlineStr">
        <is>
          <t>T103644</t>
        </is>
      </c>
      <c r="C597" t="inlineStr">
        <is>
          <t>Ava Ramos</t>
        </is>
      </c>
      <c r="D597" t="inlineStr">
        <is>
          <t>Harper Ramos</t>
        </is>
      </c>
      <c r="E597" t="n">
        <v>25</v>
      </c>
      <c r="F597" t="inlineStr">
        <is>
          <t>Credit Card</t>
        </is>
      </c>
    </row>
    <row r="598">
      <c r="A598" s="78" t="n">
        <v>46334.72916666666</v>
      </c>
      <c r="B598" t="inlineStr">
        <is>
          <t>T103807</t>
        </is>
      </c>
      <c r="C598" t="inlineStr">
        <is>
          <t>James Gutierrez</t>
        </is>
      </c>
      <c r="D598" t="inlineStr">
        <is>
          <t>Mateo Gutierrez</t>
        </is>
      </c>
      <c r="E598" t="n">
        <v>20</v>
      </c>
      <c r="F598" t="inlineStr">
        <is>
          <t>Credit Card</t>
        </is>
      </c>
    </row>
    <row r="599">
      <c r="A599" s="78" t="n">
        <v>46338.375</v>
      </c>
      <c r="B599" t="inlineStr">
        <is>
          <t>T103055</t>
        </is>
      </c>
      <c r="C599" t="inlineStr">
        <is>
          <t>Isaac Rodriguez</t>
        </is>
      </c>
      <c r="D599" t="inlineStr">
        <is>
          <t>Amelia Rodriguez</t>
        </is>
      </c>
      <c r="E599" t="n">
        <v>25</v>
      </c>
      <c r="F599" t="inlineStr">
        <is>
          <t>Credit Card</t>
        </is>
      </c>
    </row>
    <row r="600">
      <c r="A600" t="inlineStr">
        <is>
          <t>11/03/2026 10:00 AM</t>
        </is>
      </c>
      <c r="B600" t="inlineStr">
        <is>
          <t>T101660</t>
        </is>
      </c>
      <c r="C600" t="inlineStr">
        <is>
          <t>Chloe Diaz</t>
        </is>
      </c>
      <c r="D600" t="inlineStr">
        <is>
          <t>Ella Diaz</t>
        </is>
      </c>
      <c r="E600" t="n">
        <v>40</v>
      </c>
      <c r="F600" t="inlineStr">
        <is>
          <t>Credit Card</t>
        </is>
      </c>
    </row>
    <row r="601">
      <c r="A601" s="78" t="n">
        <v>46337.5625</v>
      </c>
      <c r="B601" t="inlineStr">
        <is>
          <t>T103337</t>
        </is>
      </c>
      <c r="C601" t="inlineStr">
        <is>
          <t>Maya Kim</t>
        </is>
      </c>
      <c r="D601" t="inlineStr">
        <is>
          <t>Henry Kim</t>
        </is>
      </c>
      <c r="E601" t="n">
        <v>25</v>
      </c>
      <c r="F601" t="inlineStr">
        <is>
          <t>Credit Card</t>
        </is>
      </c>
    </row>
    <row r="602">
      <c r="A602" s="78" t="n">
        <v>46330.69791666666</v>
      </c>
      <c r="B602" t="inlineStr">
        <is>
          <t>T101270</t>
        </is>
      </c>
      <c r="C602" t="inlineStr">
        <is>
          <t>Liam Byrne</t>
        </is>
      </c>
      <c r="D602" t="inlineStr">
        <is>
          <t>Henry Byrne</t>
        </is>
      </c>
      <c r="E602" t="n">
        <v>25</v>
      </c>
      <c r="F602" t="inlineStr">
        <is>
          <t>Apple Pay</t>
        </is>
      </c>
    </row>
    <row r="603">
      <c r="A603" s="78" t="n">
        <v>46330.32291666666</v>
      </c>
      <c r="B603" t="inlineStr">
        <is>
          <t>T100738</t>
        </is>
      </c>
      <c r="C603" t="inlineStr">
        <is>
          <t>Joseph Ramos</t>
        </is>
      </c>
      <c r="D603" t="inlineStr">
        <is>
          <t>Joseph Ramos</t>
        </is>
      </c>
      <c r="E603" t="n">
        <v>25</v>
      </c>
      <c r="F603" t="inlineStr">
        <is>
          <t>Apple Pay</t>
        </is>
      </c>
    </row>
    <row r="604">
      <c r="A604" s="78" t="n">
        <v>46330.72916666666</v>
      </c>
      <c r="B604" t="inlineStr">
        <is>
          <t>T104942</t>
        </is>
      </c>
      <c r="C604" t="inlineStr">
        <is>
          <t>Emma Sullivan</t>
        </is>
      </c>
      <c r="D604" t="inlineStr">
        <is>
          <t>Henry Sullivan</t>
        </is>
      </c>
      <c r="E604" t="n">
        <v>50</v>
      </c>
      <c r="F604" t="inlineStr">
        <is>
          <t>Apple Pay</t>
        </is>
      </c>
    </row>
    <row r="605">
      <c r="A605" s="78" t="n">
        <v>46325.65625</v>
      </c>
      <c r="B605" t="inlineStr">
        <is>
          <t>T105382</t>
        </is>
      </c>
      <c r="C605" t="inlineStr">
        <is>
          <t>Thomas Ruiz</t>
        </is>
      </c>
      <c r="D605" t="inlineStr">
        <is>
          <t>Zoe Ruiz</t>
        </is>
      </c>
      <c r="E605" t="n">
        <v>50</v>
      </c>
      <c r="F605" t="inlineStr">
        <is>
          <t>Credit Card</t>
        </is>
      </c>
    </row>
    <row r="606">
      <c r="A606" s="78" t="n">
        <v>46332.65625</v>
      </c>
      <c r="B606" t="inlineStr">
        <is>
          <t>T102335</t>
        </is>
      </c>
      <c r="C606" t="inlineStr">
        <is>
          <t>Chloe Reyes</t>
        </is>
      </c>
      <c r="D606" t="inlineStr">
        <is>
          <t>Samuel Reyes</t>
        </is>
      </c>
      <c r="E606" t="n">
        <v>10</v>
      </c>
      <c r="F606" t="inlineStr">
        <is>
          <t>Credit Card</t>
        </is>
      </c>
    </row>
    <row r="607">
      <c r="A607" s="78" t="n">
        <v>46333.77083333334</v>
      </c>
      <c r="B607" t="inlineStr">
        <is>
          <t>T103230</t>
        </is>
      </c>
      <c r="C607" t="inlineStr">
        <is>
          <t>Samuel Murphy</t>
        </is>
      </c>
      <c r="D607" t="inlineStr">
        <is>
          <t>Ella Murphy</t>
        </is>
      </c>
      <c r="E607" t="n">
        <v>50</v>
      </c>
      <c r="F607" t="inlineStr">
        <is>
          <t>Apple Pay</t>
        </is>
      </c>
    </row>
    <row r="608">
      <c r="A608" s="78" t="n">
        <v>46338.78125</v>
      </c>
      <c r="B608" t="inlineStr">
        <is>
          <t>T105248</t>
        </is>
      </c>
      <c r="C608" t="inlineStr">
        <is>
          <t>Liam Ruiz</t>
        </is>
      </c>
      <c r="D608" t="inlineStr">
        <is>
          <t>Lily Ruiz</t>
        </is>
      </c>
      <c r="E608" t="n">
        <v>50</v>
      </c>
      <c r="F608" t="inlineStr">
        <is>
          <t>Credit Card</t>
        </is>
      </c>
    </row>
    <row r="609">
      <c r="A609" s="78" t="n">
        <v>46335.30208333334</v>
      </c>
      <c r="B609" t="inlineStr">
        <is>
          <t>T101950</t>
        </is>
      </c>
      <c r="C609" t="inlineStr">
        <is>
          <t>Samuel Diaz</t>
        </is>
      </c>
      <c r="D609" t="inlineStr">
        <is>
          <t>Maya Diaz</t>
        </is>
      </c>
      <c r="E609" t="n">
        <v>40</v>
      </c>
      <c r="F609" t="inlineStr">
        <is>
          <t>Apple Pay</t>
        </is>
      </c>
    </row>
    <row r="610">
      <c r="A610" s="78" t="n">
        <v>46328.45833333334</v>
      </c>
      <c r="B610" t="inlineStr">
        <is>
          <t>T104365</t>
        </is>
      </c>
      <c r="C610" t="inlineStr">
        <is>
          <t>Henry Brown</t>
        </is>
      </c>
      <c r="D610" t="inlineStr">
        <is>
          <t>Ava Brown</t>
        </is>
      </c>
      <c r="E610" t="n">
        <v>25</v>
      </c>
      <c r="F610" t="inlineStr">
        <is>
          <t>Credit Card</t>
        </is>
      </c>
    </row>
    <row r="611">
      <c r="A611" s="78" t="n">
        <v>46325.46875</v>
      </c>
      <c r="B611" t="inlineStr">
        <is>
          <t>T103888</t>
        </is>
      </c>
      <c r="C611" t="inlineStr">
        <is>
          <t>Cruz, Gabriel</t>
        </is>
      </c>
      <c r="D611" t="inlineStr">
        <is>
          <t>Liam Cruz</t>
        </is>
      </c>
      <c r="E611" t="n">
        <v>50</v>
      </c>
      <c r="F611" t="inlineStr">
        <is>
          <t>Apple Pay</t>
        </is>
      </c>
    </row>
    <row r="612">
      <c r="A612" s="78" t="n">
        <v>46338.82291666666</v>
      </c>
      <c r="B612" t="inlineStr">
        <is>
          <t>T100391</t>
        </is>
      </c>
      <c r="C612" t="inlineStr">
        <is>
          <t>Vasquez, Joseph</t>
        </is>
      </c>
      <c r="D612" t="inlineStr">
        <is>
          <t>Leo Vasquez</t>
        </is>
      </c>
      <c r="E612" t="n">
        <v>40</v>
      </c>
      <c r="F612" t="inlineStr">
        <is>
          <t>Credit Card</t>
        </is>
      </c>
    </row>
    <row r="613">
      <c r="A613" s="78" t="n">
        <v>46333.39583333334</v>
      </c>
      <c r="B613" t="inlineStr">
        <is>
          <t>T102340</t>
        </is>
      </c>
      <c r="C613" t="inlineStr">
        <is>
          <t xml:space="preserve">  GRACE   johnson </t>
        </is>
      </c>
      <c r="D613" t="inlineStr">
        <is>
          <t>Lily Johnson</t>
        </is>
      </c>
      <c r="E613" t="n">
        <v>75</v>
      </c>
      <c r="F613" t="inlineStr">
        <is>
          <t>Apple Pay</t>
        </is>
      </c>
    </row>
    <row r="614">
      <c r="A614" s="78" t="n">
        <v>46325.33333333334</v>
      </c>
      <c r="B614" t="inlineStr">
        <is>
          <t>T101011</t>
        </is>
      </c>
      <c r="C614" t="inlineStr">
        <is>
          <t>Brown, Leo</t>
        </is>
      </c>
      <c r="D614" t="inlineStr">
        <is>
          <t>Ava Brown</t>
        </is>
      </c>
      <c r="E614" t="n">
        <v>20</v>
      </c>
      <c r="F614" t="inlineStr">
        <is>
          <t>Credit Card</t>
        </is>
      </c>
    </row>
    <row r="615">
      <c r="A615" s="78" t="n">
        <v>46336.45833333334</v>
      </c>
      <c r="B615" t="inlineStr">
        <is>
          <t>T100348</t>
        </is>
      </c>
      <c r="C615" t="inlineStr">
        <is>
          <t>Noah Torres</t>
        </is>
      </c>
      <c r="D615" t="inlineStr">
        <is>
          <t>Isaac Torres</t>
        </is>
      </c>
      <c r="E615" t="n">
        <v>25</v>
      </c>
      <c r="F615" t="inlineStr">
        <is>
          <t>Credit Card</t>
        </is>
      </c>
    </row>
    <row r="616">
      <c r="A616" s="78" t="n">
        <v>46330.84375</v>
      </c>
      <c r="B616" t="inlineStr">
        <is>
          <t>T102511</t>
        </is>
      </c>
      <c r="C616" t="inlineStr">
        <is>
          <t>Elijah Walsh</t>
        </is>
      </c>
      <c r="D616" t="inlineStr">
        <is>
          <t>Liam Walsh</t>
        </is>
      </c>
      <c r="E616" t="n">
        <v>20</v>
      </c>
      <c r="F616" t="inlineStr">
        <is>
          <t>Credit Card</t>
        </is>
      </c>
    </row>
    <row r="617">
      <c r="A617" s="78" t="n">
        <v>46337.36458333334</v>
      </c>
      <c r="B617" t="inlineStr">
        <is>
          <t>T100988</t>
        </is>
      </c>
      <c r="C617" t="inlineStr">
        <is>
          <t>Sofia Nguyen</t>
        </is>
      </c>
      <c r="D617" t="inlineStr">
        <is>
          <t>Isabella Nguyen</t>
        </is>
      </c>
      <c r="E617" t="n">
        <v>50</v>
      </c>
      <c r="F617" t="inlineStr">
        <is>
          <t>Apple Pay</t>
        </is>
      </c>
    </row>
    <row r="618">
      <c r="A618" s="78" t="n">
        <v>46333.60416666666</v>
      </c>
      <c r="B618" t="inlineStr">
        <is>
          <t>T104256</t>
        </is>
      </c>
      <c r="C618" t="inlineStr">
        <is>
          <t>Gabriel Sanchez</t>
        </is>
      </c>
      <c r="D618" t="inlineStr">
        <is>
          <t>Noah Sanchez</t>
        </is>
      </c>
      <c r="E618" t="n">
        <v>50</v>
      </c>
      <c r="F618" t="inlineStr">
        <is>
          <t>Apple Pay</t>
        </is>
      </c>
    </row>
    <row r="619">
      <c r="A619" s="78" t="n">
        <v>46337.30208333334</v>
      </c>
      <c r="B619" t="inlineStr">
        <is>
          <t>T101704</t>
        </is>
      </c>
      <c r="C619" t="inlineStr">
        <is>
          <t>Joseph Williams</t>
        </is>
      </c>
      <c r="D619" t="inlineStr">
        <is>
          <t>Samuel Williams</t>
        </is>
      </c>
      <c r="E619" t="n">
        <v>25</v>
      </c>
      <c r="F619" t="inlineStr">
        <is>
          <t>Credit Card</t>
        </is>
      </c>
    </row>
    <row r="620">
      <c r="A620" s="78" t="n">
        <v>46337.67708333334</v>
      </c>
      <c r="B620" t="inlineStr">
        <is>
          <t>T101529</t>
        </is>
      </c>
      <c r="C620" t="inlineStr">
        <is>
          <t xml:space="preserve">  LUNA   kim </t>
        </is>
      </c>
      <c r="D620" t="inlineStr">
        <is>
          <t>Clara Kim</t>
        </is>
      </c>
      <c r="E620" t="n">
        <v>50</v>
      </c>
      <c r="F620" t="inlineStr">
        <is>
          <t>Apple Pay</t>
        </is>
      </c>
    </row>
    <row r="621">
      <c r="A621" s="78" t="n">
        <v>46331.34375</v>
      </c>
      <c r="B621" t="inlineStr">
        <is>
          <t>T101400</t>
        </is>
      </c>
      <c r="C621" t="inlineStr">
        <is>
          <t>Luna Byrne</t>
        </is>
      </c>
      <c r="D621" t="inlineStr">
        <is>
          <t>Liam Byrne</t>
        </is>
      </c>
      <c r="E621" t="n">
        <v>50</v>
      </c>
      <c r="F621" t="inlineStr">
        <is>
          <t>Apple Pay</t>
        </is>
      </c>
    </row>
    <row r="622">
      <c r="A622" s="78" t="n">
        <v>46336.84375</v>
      </c>
      <c r="B622" t="inlineStr">
        <is>
          <t>T100819</t>
        </is>
      </c>
      <c r="C622" t="inlineStr">
        <is>
          <t>Liam Cruz</t>
        </is>
      </c>
      <c r="D622" t="inlineStr">
        <is>
          <t>Aria Cruz</t>
        </is>
      </c>
      <c r="E622" t="n">
        <v>75</v>
      </c>
      <c r="F622" t="inlineStr">
        <is>
          <t>Credit Card</t>
        </is>
      </c>
    </row>
    <row r="623">
      <c r="A623" s="78" t="n">
        <v>46330.88541666666</v>
      </c>
      <c r="B623" t="inlineStr">
        <is>
          <t>T105236</t>
        </is>
      </c>
      <c r="C623" t="inlineStr">
        <is>
          <t>Nicolas Johnson</t>
        </is>
      </c>
      <c r="D623" t="inlineStr">
        <is>
          <t>Gabriel Johnson</t>
        </is>
      </c>
      <c r="E623" t="n">
        <v>25</v>
      </c>
      <c r="F623" t="inlineStr">
        <is>
          <t>Credit Card</t>
        </is>
      </c>
    </row>
    <row r="624">
      <c r="A624" s="78" t="n">
        <v>46328.34375</v>
      </c>
      <c r="B624" t="inlineStr">
        <is>
          <t>T103934</t>
        </is>
      </c>
      <c r="C624" t="inlineStr">
        <is>
          <t>Liam Rodriguez</t>
        </is>
      </c>
      <c r="D624" t="inlineStr">
        <is>
          <t>Isaac Rodriguez</t>
        </is>
      </c>
      <c r="E624" t="n">
        <v>50</v>
      </c>
      <c r="F624" t="inlineStr">
        <is>
          <t>Apple Pay</t>
        </is>
      </c>
    </row>
    <row r="625">
      <c r="A625" s="78" t="n">
        <v>46338.8125</v>
      </c>
      <c r="B625" t="inlineStr">
        <is>
          <t>T104739</t>
        </is>
      </c>
      <c r="C625" t="inlineStr">
        <is>
          <t>Amelia Alvarez</t>
        </is>
      </c>
      <c r="D625" t="inlineStr">
        <is>
          <t>James Alvarez</t>
        </is>
      </c>
      <c r="E625" t="n">
        <v>25</v>
      </c>
      <c r="F625" t="inlineStr">
        <is>
          <t>Apple Pay</t>
        </is>
      </c>
    </row>
    <row r="626">
      <c r="A626" s="78" t="n">
        <v>46335.66666666666</v>
      </c>
      <c r="B626" t="inlineStr">
        <is>
          <t>T104552</t>
        </is>
      </c>
      <c r="C626" t="inlineStr">
        <is>
          <t>Joseph Gonzalez</t>
        </is>
      </c>
      <c r="D626" t="inlineStr">
        <is>
          <t>Daniel Gonzalez</t>
        </is>
      </c>
      <c r="E626" t="n">
        <v>100</v>
      </c>
      <c r="F626" t="inlineStr">
        <is>
          <t>Apple Pay</t>
        </is>
      </c>
    </row>
    <row r="627">
      <c r="A627" s="78" t="n">
        <v>46325.44791666666</v>
      </c>
      <c r="B627" t="inlineStr">
        <is>
          <t>T104728</t>
        </is>
      </c>
      <c r="C627" t="inlineStr">
        <is>
          <t>Olivia Reyes</t>
        </is>
      </c>
      <c r="D627" t="inlineStr">
        <is>
          <t>Joseph Reyes</t>
        </is>
      </c>
      <c r="E627" t="n">
        <v>20</v>
      </c>
      <c r="F627" t="inlineStr">
        <is>
          <t>Apple Pay</t>
        </is>
      </c>
    </row>
    <row r="628">
      <c r="A628" s="78" t="n">
        <v>46328.65625</v>
      </c>
      <c r="B628" t="inlineStr">
        <is>
          <t>T100513</t>
        </is>
      </c>
      <c r="C628" t="inlineStr">
        <is>
          <t>Gabriel Chavez</t>
        </is>
      </c>
      <c r="D628" t="inlineStr">
        <is>
          <t>Maya Chavez</t>
        </is>
      </c>
      <c r="E628" t="n">
        <v>25</v>
      </c>
      <c r="F628" t="inlineStr">
        <is>
          <t>Apple Pay</t>
        </is>
      </c>
    </row>
    <row r="629">
      <c r="A629" s="78" t="n">
        <v>46339.61458333334</v>
      </c>
      <c r="B629" t="inlineStr">
        <is>
          <t>T100302</t>
        </is>
      </c>
      <c r="C629" t="inlineStr">
        <is>
          <t>Joseph Gonzalez</t>
        </is>
      </c>
      <c r="D629" t="inlineStr">
        <is>
          <t>Thomas Gonzalez</t>
        </is>
      </c>
      <c r="E629" t="n">
        <v>25</v>
      </c>
      <c r="F629" t="inlineStr">
        <is>
          <t>Apple Pay</t>
        </is>
      </c>
    </row>
    <row r="630">
      <c r="A630" s="78" t="n">
        <v>46332.57291666666</v>
      </c>
      <c r="B630" t="inlineStr">
        <is>
          <t>T105314</t>
        </is>
      </c>
      <c r="C630" t="inlineStr">
        <is>
          <t>Ava Ramos</t>
        </is>
      </c>
      <c r="D630" t="inlineStr">
        <is>
          <t>Isaac Ramos</t>
        </is>
      </c>
      <c r="E630" t="n">
        <v>25</v>
      </c>
      <c r="F630" t="inlineStr">
        <is>
          <t>Credit Card</t>
        </is>
      </c>
    </row>
    <row r="631">
      <c r="A631" s="78" t="n">
        <v>46328.79166666666</v>
      </c>
      <c r="B631" t="inlineStr">
        <is>
          <t>T100782</t>
        </is>
      </c>
      <c r="C631" t="inlineStr">
        <is>
          <t>Leo Brown</t>
        </is>
      </c>
      <c r="D631" t="inlineStr">
        <is>
          <t>Gabriel Brown</t>
        </is>
      </c>
      <c r="E631" t="n">
        <v>25</v>
      </c>
      <c r="F631" t="inlineStr">
        <is>
          <t>Apple Pay</t>
        </is>
      </c>
    </row>
    <row r="632">
      <c r="A632" s="78" t="n">
        <v>46331.76041666666</v>
      </c>
      <c r="B632" t="inlineStr">
        <is>
          <t>T103990</t>
        </is>
      </c>
      <c r="C632" t="inlineStr">
        <is>
          <t>Liam Ruiz</t>
        </is>
      </c>
      <c r="D632" t="inlineStr">
        <is>
          <t>Julian Ruiz</t>
        </is>
      </c>
      <c r="E632" t="n">
        <v>75</v>
      </c>
      <c r="F632" t="inlineStr">
        <is>
          <t>Credit Card</t>
        </is>
      </c>
    </row>
    <row r="633">
      <c r="A633" s="78" t="n">
        <v>46332.45833333334</v>
      </c>
      <c r="B633" t="inlineStr">
        <is>
          <t>T102349</t>
        </is>
      </c>
      <c r="C633" t="inlineStr">
        <is>
          <t>Ava Perez</t>
        </is>
      </c>
      <c r="D633" t="inlineStr">
        <is>
          <t>Santiago Perez</t>
        </is>
      </c>
      <c r="E633" t="n">
        <v>25</v>
      </c>
      <c r="F633" t="inlineStr">
        <is>
          <t>Credit Card</t>
        </is>
      </c>
    </row>
    <row r="634">
      <c r="A634" s="78" t="n">
        <v>46338.6875</v>
      </c>
      <c r="B634" t="inlineStr">
        <is>
          <t>T100966</t>
        </is>
      </c>
      <c r="C634" t="inlineStr">
        <is>
          <t>Evelyn Nguyen</t>
        </is>
      </c>
      <c r="D634" t="inlineStr">
        <is>
          <t>Isabella Nguyen</t>
        </is>
      </c>
      <c r="E634" t="n">
        <v>100</v>
      </c>
      <c r="F634" t="inlineStr">
        <is>
          <t>Apple Pay</t>
        </is>
      </c>
    </row>
    <row r="635">
      <c r="A635" s="78" t="n">
        <v>46327.61458333334</v>
      </c>
      <c r="B635" t="inlineStr">
        <is>
          <t>T103606</t>
        </is>
      </c>
      <c r="C635" t="inlineStr">
        <is>
          <t>Nora Morales</t>
        </is>
      </c>
      <c r="D635" t="inlineStr">
        <is>
          <t>Elijah Morales</t>
        </is>
      </c>
      <c r="E635" t="n">
        <v>20</v>
      </c>
      <c r="F635" t="inlineStr">
        <is>
          <t>Apple Pay</t>
        </is>
      </c>
    </row>
    <row r="636">
      <c r="A636" s="78" t="n">
        <v>46336.5625</v>
      </c>
      <c r="B636" t="inlineStr">
        <is>
          <t>T103550</t>
        </is>
      </c>
      <c r="C636" t="inlineStr">
        <is>
          <t>Ava Garcia</t>
        </is>
      </c>
      <c r="D636" t="inlineStr">
        <is>
          <t>Nicolas Garcia</t>
        </is>
      </c>
      <c r="E636" t="n">
        <v>50</v>
      </c>
      <c r="F636" t="inlineStr">
        <is>
          <t>Credit Card</t>
        </is>
      </c>
    </row>
    <row r="637">
      <c r="A637" s="78" t="n">
        <v>46326.67708333334</v>
      </c>
      <c r="B637" t="inlineStr">
        <is>
          <t>T104617</t>
        </is>
      </c>
      <c r="C637" t="inlineStr">
        <is>
          <t>Mia Patel</t>
        </is>
      </c>
      <c r="D637" t="inlineStr">
        <is>
          <t>Liam Patel</t>
        </is>
      </c>
      <c r="E637" t="n">
        <v>50</v>
      </c>
      <c r="F637" t="inlineStr">
        <is>
          <t>Apple Pay</t>
        </is>
      </c>
    </row>
    <row r="638">
      <c r="A638" s="78" t="n">
        <v>46329.45833333334</v>
      </c>
      <c r="B638" t="inlineStr">
        <is>
          <t>T102867</t>
        </is>
      </c>
      <c r="C638" t="inlineStr">
        <is>
          <t>Mateo Mendoza</t>
        </is>
      </c>
      <c r="D638" t="inlineStr">
        <is>
          <t>Leo Mendoza</t>
        </is>
      </c>
      <c r="E638" t="inlineStr">
        <is>
          <t>$25.00</t>
        </is>
      </c>
      <c r="F638" t="inlineStr">
        <is>
          <t>Apple Pay</t>
        </is>
      </c>
    </row>
    <row r="639">
      <c r="A639" s="78" t="n">
        <v>46331.75</v>
      </c>
      <c r="B639" t="inlineStr">
        <is>
          <t>T102549</t>
        </is>
      </c>
      <c r="C639" t="inlineStr">
        <is>
          <t>Harper Johnson</t>
        </is>
      </c>
      <c r="D639" t="inlineStr">
        <is>
          <t>Clara Johnson</t>
        </is>
      </c>
      <c r="E639" t="n">
        <v>25</v>
      </c>
      <c r="F639" t="inlineStr">
        <is>
          <t>Apple Pay</t>
        </is>
      </c>
    </row>
    <row r="640">
      <c r="A640" s="78" t="n">
        <v>46332.30208333334</v>
      </c>
      <c r="B640" t="inlineStr">
        <is>
          <t>T103164</t>
        </is>
      </c>
      <c r="C640" t="inlineStr">
        <is>
          <t>Chloe Reyes</t>
        </is>
      </c>
      <c r="D640" t="inlineStr">
        <is>
          <t>Julian Reyes</t>
        </is>
      </c>
      <c r="E640" t="n">
        <v>25</v>
      </c>
      <c r="F640" t="inlineStr">
        <is>
          <t>Credit Card</t>
        </is>
      </c>
    </row>
    <row r="641">
      <c r="A641" s="78" t="n">
        <v>46329.73958333334</v>
      </c>
      <c r="B641" t="inlineStr">
        <is>
          <t>T104815</t>
        </is>
      </c>
      <c r="C641" t="inlineStr">
        <is>
          <t>Clara Gutierrez</t>
        </is>
      </c>
      <c r="D641" t="inlineStr">
        <is>
          <t>Henry Gutierrez</t>
        </is>
      </c>
      <c r="E641" t="n">
        <v>100</v>
      </c>
      <c r="F641" t="inlineStr">
        <is>
          <t>Credit Card</t>
        </is>
      </c>
    </row>
    <row r="642">
      <c r="A642" s="78" t="n">
        <v>46335.5</v>
      </c>
      <c r="B642" t="inlineStr">
        <is>
          <t>T101741</t>
        </is>
      </c>
      <c r="C642" t="inlineStr">
        <is>
          <t>Aria Diaz</t>
        </is>
      </c>
      <c r="D642" t="inlineStr">
        <is>
          <t>Aria Diaz</t>
        </is>
      </c>
      <c r="E642" t="n">
        <v>20</v>
      </c>
      <c r="F642" t="inlineStr">
        <is>
          <t>Apple Pay</t>
        </is>
      </c>
    </row>
    <row r="643">
      <c r="A643" s="78" t="n">
        <v>46328.57291666666</v>
      </c>
      <c r="B643" t="inlineStr">
        <is>
          <t>T100050</t>
        </is>
      </c>
      <c r="C643" t="inlineStr">
        <is>
          <t>Rivera, Nicolas</t>
        </is>
      </c>
      <c r="D643" t="inlineStr">
        <is>
          <t>Isabella Rivera</t>
        </is>
      </c>
      <c r="E643" t="inlineStr">
        <is>
          <t>$100.00</t>
        </is>
      </c>
      <c r="F643" t="inlineStr">
        <is>
          <t>Apple Pay</t>
        </is>
      </c>
    </row>
    <row r="644">
      <c r="A644" s="78" t="n">
        <v>46338.72916666666</v>
      </c>
      <c r="B644" t="inlineStr">
        <is>
          <t>T103735</t>
        </is>
      </c>
      <c r="C644" t="inlineStr">
        <is>
          <t>James Patel</t>
        </is>
      </c>
      <c r="D644" t="inlineStr">
        <is>
          <t>Nicolas Patel</t>
        </is>
      </c>
      <c r="E644" t="n">
        <v>25</v>
      </c>
      <c r="F644" t="inlineStr">
        <is>
          <t>Apple Pay</t>
        </is>
      </c>
    </row>
    <row r="645">
      <c r="A645" s="78" t="n">
        <v>46325.36458333334</v>
      </c>
      <c r="B645" t="inlineStr">
        <is>
          <t>T100737</t>
        </is>
      </c>
      <c r="C645" t="inlineStr">
        <is>
          <t>Joseph Gonzalez</t>
        </is>
      </c>
      <c r="D645" t="inlineStr">
        <is>
          <t>Emma Gonzalez</t>
        </is>
      </c>
      <c r="E645" t="n">
        <v>100</v>
      </c>
      <c r="F645" t="inlineStr">
        <is>
          <t>Credit Card</t>
        </is>
      </c>
    </row>
    <row r="646">
      <c r="A646" s="78" t="n">
        <v>46326.59375</v>
      </c>
      <c r="B646" t="inlineStr">
        <is>
          <t>T103864</t>
        </is>
      </c>
      <c r="C646" t="inlineStr">
        <is>
          <t>Luna Kim</t>
        </is>
      </c>
      <c r="D646" t="inlineStr">
        <is>
          <t>Adrian Kim</t>
        </is>
      </c>
      <c r="E646" t="n">
        <v>20</v>
      </c>
      <c r="F646" t="inlineStr">
        <is>
          <t>Credit Card</t>
        </is>
      </c>
    </row>
    <row r="647">
      <c r="A647" s="78" t="n">
        <v>46329.875</v>
      </c>
      <c r="B647" t="inlineStr">
        <is>
          <t>T104289</t>
        </is>
      </c>
      <c r="C647" t="inlineStr">
        <is>
          <t>Valentina Ramos</t>
        </is>
      </c>
      <c r="D647" t="inlineStr">
        <is>
          <t>Thomas Ramos</t>
        </is>
      </c>
      <c r="E647" t="n">
        <v>20</v>
      </c>
      <c r="F647" t="inlineStr">
        <is>
          <t>Credit Card</t>
        </is>
      </c>
    </row>
    <row r="648">
      <c r="A648" s="78" t="n">
        <v>46325.61458333334</v>
      </c>
      <c r="B648" t="inlineStr">
        <is>
          <t>T103681</t>
        </is>
      </c>
      <c r="C648" t="inlineStr">
        <is>
          <t>Joseph Walsh</t>
        </is>
      </c>
      <c r="D648" t="inlineStr">
        <is>
          <t>Nicolas Walsh</t>
        </is>
      </c>
      <c r="E648" t="n">
        <v>40</v>
      </c>
      <c r="F648" t="inlineStr">
        <is>
          <t>Apple Pay</t>
        </is>
      </c>
    </row>
    <row r="649">
      <c r="A649" s="78" t="n">
        <v>46336.60416666666</v>
      </c>
      <c r="B649" t="inlineStr">
        <is>
          <t>T102034</t>
        </is>
      </c>
      <c r="C649" t="inlineStr">
        <is>
          <t>Joseph Walsh</t>
        </is>
      </c>
      <c r="D649" t="inlineStr">
        <is>
          <t>David Walsh</t>
        </is>
      </c>
      <c r="E649" t="n">
        <v>25</v>
      </c>
      <c r="F649" t="inlineStr">
        <is>
          <t>Apple Pay</t>
        </is>
      </c>
    </row>
    <row r="650">
      <c r="A650" s="78" t="n">
        <v>46328.29166666666</v>
      </c>
      <c r="B650" t="inlineStr">
        <is>
          <t>T103149</t>
        </is>
      </c>
      <c r="C650" t="inlineStr">
        <is>
          <t>Martinez, Daniel</t>
        </is>
      </c>
      <c r="D650" t="inlineStr">
        <is>
          <t>Mateo Martinez</t>
        </is>
      </c>
      <c r="E650" t="n">
        <v>20</v>
      </c>
      <c r="F650" t="inlineStr">
        <is>
          <t>Apple Pay</t>
        </is>
      </c>
    </row>
    <row r="651">
      <c r="A651" s="78" t="n">
        <v>46325.46875</v>
      </c>
      <c r="B651" t="inlineStr">
        <is>
          <t>T102158</t>
        </is>
      </c>
      <c r="C651" t="inlineStr">
        <is>
          <t>Bobby Tables</t>
        </is>
      </c>
      <c r="D651" t="inlineStr">
        <is>
          <t>Henry Byrne</t>
        </is>
      </c>
      <c r="E651" t="n">
        <v>25</v>
      </c>
      <c r="F651" t="inlineStr">
        <is>
          <t>Apple Pay</t>
        </is>
      </c>
    </row>
    <row r="652">
      <c r="A652" s="78" t="n">
        <v>46338.32291666666</v>
      </c>
      <c r="B652" t="inlineStr">
        <is>
          <t>T101791</t>
        </is>
      </c>
      <c r="C652" t="inlineStr">
        <is>
          <t>David Cruz</t>
        </is>
      </c>
      <c r="D652" t="inlineStr">
        <is>
          <t>Lily Cruz</t>
        </is>
      </c>
      <c r="E652" t="n">
        <v>100</v>
      </c>
      <c r="F652" t="inlineStr">
        <is>
          <t>Apple Pay</t>
        </is>
      </c>
    </row>
    <row r="653">
      <c r="A653" s="78" t="n">
        <v>46325.89583333334</v>
      </c>
      <c r="B653" t="inlineStr">
        <is>
          <t>T104440</t>
        </is>
      </c>
      <c r="C653" t="inlineStr">
        <is>
          <t>Ramos, Joseph</t>
        </is>
      </c>
      <c r="D653" t="inlineStr">
        <is>
          <t>Chloe Ramos</t>
        </is>
      </c>
      <c r="E653" t="n">
        <v>100</v>
      </c>
      <c r="F653" t="inlineStr">
        <is>
          <t>Apple Pay</t>
        </is>
      </c>
    </row>
    <row r="654">
      <c r="A654" s="78" t="n">
        <v>46330.42708333334</v>
      </c>
      <c r="B654" t="inlineStr">
        <is>
          <t>T103000</t>
        </is>
      </c>
      <c r="C654" t="inlineStr">
        <is>
          <t>Sofia Lopez</t>
        </is>
      </c>
      <c r="D654" t="inlineStr">
        <is>
          <t>Noah Lopez</t>
        </is>
      </c>
      <c r="E654" t="n">
        <v>100</v>
      </c>
      <c r="F654" t="inlineStr">
        <is>
          <t>Apple Pay</t>
        </is>
      </c>
    </row>
    <row r="655">
      <c r="A655" s="78" t="n">
        <v>46332.45833333334</v>
      </c>
      <c r="B655" t="inlineStr">
        <is>
          <t>T103426</t>
        </is>
      </c>
      <c r="C655" t="inlineStr">
        <is>
          <t>Emma Sullivan</t>
        </is>
      </c>
      <c r="D655" t="inlineStr">
        <is>
          <t>Zoe Sullivan</t>
        </is>
      </c>
      <c r="E655" t="n">
        <v>75</v>
      </c>
      <c r="F655" t="inlineStr">
        <is>
          <t>Credit Card</t>
        </is>
      </c>
    </row>
    <row r="656">
      <c r="A656" s="78" t="n">
        <v>46331.29166666666</v>
      </c>
      <c r="B656" t="inlineStr">
        <is>
          <t>T103049</t>
        </is>
      </c>
      <c r="C656" t="inlineStr">
        <is>
          <t>Aria Kim</t>
        </is>
      </c>
      <c r="D656" t="inlineStr">
        <is>
          <t>Santiago Kim</t>
        </is>
      </c>
      <c r="E656" t="n">
        <v>25</v>
      </c>
      <c r="F656" t="inlineStr">
        <is>
          <t>Credit Card</t>
        </is>
      </c>
    </row>
    <row r="657">
      <c r="A657" s="78" t="n">
        <v>46325.8125</v>
      </c>
      <c r="B657" t="inlineStr">
        <is>
          <t>T103148</t>
        </is>
      </c>
      <c r="C657" t="inlineStr">
        <is>
          <t>Lucas Mendoza</t>
        </is>
      </c>
      <c r="D657" t="inlineStr">
        <is>
          <t>Emma Mendoza</t>
        </is>
      </c>
      <c r="E657" t="n">
        <v>10</v>
      </c>
      <c r="F657" t="inlineStr">
        <is>
          <t>Credit Card</t>
        </is>
      </c>
    </row>
    <row r="658">
      <c r="A658" s="78" t="n">
        <v>46335.73958333334</v>
      </c>
      <c r="B658" t="inlineStr">
        <is>
          <t>T101638</t>
        </is>
      </c>
      <c r="C658" t="inlineStr">
        <is>
          <t>Ella Kim</t>
        </is>
      </c>
      <c r="D658" t="inlineStr">
        <is>
          <t>Leo Kim</t>
        </is>
      </c>
      <c r="E658" t="n">
        <v>10</v>
      </c>
      <c r="F658" t="inlineStr">
        <is>
          <t>Apple Pay</t>
        </is>
      </c>
    </row>
    <row r="659">
      <c r="A659" s="78" t="n">
        <v>46329.71875</v>
      </c>
      <c r="B659" t="inlineStr">
        <is>
          <t>T100428</t>
        </is>
      </c>
      <c r="C659" t="inlineStr">
        <is>
          <t>Liam Castillo</t>
        </is>
      </c>
      <c r="D659" t="inlineStr">
        <is>
          <t>Noah Castillo</t>
        </is>
      </c>
      <c r="E659" t="n">
        <v>10</v>
      </c>
      <c r="F659" t="inlineStr">
        <is>
          <t>Apple Pay</t>
        </is>
      </c>
    </row>
    <row r="660">
      <c r="A660" s="78" t="n">
        <v>46333.77083333334</v>
      </c>
      <c r="B660" t="inlineStr">
        <is>
          <t>T103448</t>
        </is>
      </c>
      <c r="C660" t="inlineStr">
        <is>
          <t>Thomas Ruiz</t>
        </is>
      </c>
      <c r="D660" t="inlineStr">
        <is>
          <t>Ava Ruiz</t>
        </is>
      </c>
      <c r="E660" t="n">
        <v>25</v>
      </c>
      <c r="F660" t="inlineStr">
        <is>
          <t>Credit Card</t>
        </is>
      </c>
    </row>
    <row r="661">
      <c r="A661" s="78" t="n">
        <v>46338.41666666666</v>
      </c>
      <c r="B661" t="inlineStr">
        <is>
          <t>T101067</t>
        </is>
      </c>
      <c r="C661" t="inlineStr">
        <is>
          <t>Clara Sullivan</t>
        </is>
      </c>
      <c r="D661" t="inlineStr">
        <is>
          <t>Evelyn Sullivan</t>
        </is>
      </c>
      <c r="E661" t="n">
        <v>25</v>
      </c>
      <c r="F661" t="inlineStr">
        <is>
          <t>Apple Pay</t>
        </is>
      </c>
    </row>
    <row r="662">
      <c r="A662" s="78" t="n">
        <v>46327.51041666666</v>
      </c>
      <c r="B662" t="inlineStr">
        <is>
          <t>T103689</t>
        </is>
      </c>
      <c r="C662" t="inlineStr">
        <is>
          <t>Nicolas Lopez</t>
        </is>
      </c>
      <c r="D662" t="inlineStr">
        <is>
          <t>David Lopez</t>
        </is>
      </c>
      <c r="E662" t="n">
        <v>100</v>
      </c>
      <c r="F662" t="inlineStr">
        <is>
          <t>Credit Card</t>
        </is>
      </c>
    </row>
    <row r="663">
      <c r="A663" s="78" t="n">
        <v>46333.57291666666</v>
      </c>
      <c r="B663" t="inlineStr">
        <is>
          <t>T103400</t>
        </is>
      </c>
      <c r="C663" t="inlineStr">
        <is>
          <t>Benjamin Walsh</t>
        </is>
      </c>
      <c r="D663" t="inlineStr">
        <is>
          <t>Noah Walsh</t>
        </is>
      </c>
      <c r="E663" t="n">
        <v>10</v>
      </c>
      <c r="F663" t="inlineStr">
        <is>
          <t>Apple Pay</t>
        </is>
      </c>
    </row>
    <row r="664">
      <c r="A664" s="78" t="n">
        <v>46339.53125</v>
      </c>
      <c r="B664" t="inlineStr">
        <is>
          <t>T101334</t>
        </is>
      </c>
      <c r="C664" t="inlineStr">
        <is>
          <t>Daniel Cruz</t>
        </is>
      </c>
      <c r="D664" t="inlineStr">
        <is>
          <t>Mateo Cruz</t>
        </is>
      </c>
      <c r="E664" t="n">
        <v>50</v>
      </c>
      <c r="F664" t="inlineStr">
        <is>
          <t>Apple Pay</t>
        </is>
      </c>
    </row>
    <row r="665">
      <c r="A665" s="78" t="n">
        <v>46325.64583333334</v>
      </c>
      <c r="B665" t="inlineStr">
        <is>
          <t>T104244</t>
        </is>
      </c>
      <c r="C665" t="inlineStr">
        <is>
          <t>Joseph Kelly</t>
        </is>
      </c>
      <c r="D665" t="inlineStr">
        <is>
          <t>Amelia Kelly</t>
        </is>
      </c>
      <c r="E665" t="n">
        <v>75</v>
      </c>
      <c r="F665" t="inlineStr">
        <is>
          <t>Credit Card</t>
        </is>
      </c>
    </row>
    <row r="666">
      <c r="A666" s="78" t="n">
        <v>46335.59375</v>
      </c>
      <c r="B666" t="inlineStr">
        <is>
          <t>T100156</t>
        </is>
      </c>
      <c r="C666" t="inlineStr">
        <is>
          <t>Ava Gomez</t>
        </is>
      </c>
      <c r="D666" t="inlineStr">
        <is>
          <t>Ava Gomez</t>
        </is>
      </c>
      <c r="E666" t="n">
        <v>25</v>
      </c>
      <c r="F666" t="inlineStr">
        <is>
          <t>Credit Card</t>
        </is>
      </c>
    </row>
    <row r="667">
      <c r="A667" s="78" t="n">
        <v>46331.63541666666</v>
      </c>
      <c r="B667" t="inlineStr">
        <is>
          <t>T102415</t>
        </is>
      </c>
      <c r="C667" t="inlineStr">
        <is>
          <t>Noah Morales</t>
        </is>
      </c>
      <c r="D667" t="inlineStr">
        <is>
          <t>Chloe Morales</t>
        </is>
      </c>
      <c r="E667" t="n">
        <v>25</v>
      </c>
      <c r="F667" t="inlineStr">
        <is>
          <t>Apple Pay</t>
        </is>
      </c>
    </row>
    <row r="668">
      <c r="A668" s="78" t="n">
        <v>46336.78125</v>
      </c>
      <c r="B668" t="inlineStr">
        <is>
          <t>T105196</t>
        </is>
      </c>
      <c r="C668" t="inlineStr">
        <is>
          <t xml:space="preserve">  THOMAS   perez </t>
        </is>
      </c>
      <c r="D668" t="inlineStr">
        <is>
          <t>Samuel Perez</t>
        </is>
      </c>
      <c r="E668" t="n">
        <v>25</v>
      </c>
      <c r="F668" t="inlineStr">
        <is>
          <t>Apple Pay</t>
        </is>
      </c>
    </row>
    <row r="669">
      <c r="A669" s="78" t="n">
        <v>46326.72916666666</v>
      </c>
      <c r="B669" t="inlineStr">
        <is>
          <t>T104328</t>
        </is>
      </c>
      <c r="C669" t="inlineStr">
        <is>
          <t xml:space="preserve">  CAMILA   sullivan </t>
        </is>
      </c>
      <c r="D669" t="inlineStr">
        <is>
          <t>Luna Sullivan</t>
        </is>
      </c>
      <c r="E669" t="n">
        <v>50</v>
      </c>
      <c r="F669" t="inlineStr">
        <is>
          <t>Credit Card</t>
        </is>
      </c>
    </row>
    <row r="670">
      <c r="A670" s="78" t="n">
        <v>46338.51041666666</v>
      </c>
      <c r="B670" t="inlineStr">
        <is>
          <t>T101613</t>
        </is>
      </c>
      <c r="C670" t="inlineStr">
        <is>
          <t xml:space="preserve">  AVA   perez </t>
        </is>
      </c>
      <c r="D670" t="inlineStr">
        <is>
          <t>Leo Perez</t>
        </is>
      </c>
      <c r="E670" t="n">
        <v>10</v>
      </c>
      <c r="F670" t="inlineStr">
        <is>
          <t>Apple Pay</t>
        </is>
      </c>
    </row>
    <row r="671">
      <c r="A671" s="78" t="n">
        <v>46331.65625</v>
      </c>
      <c r="B671" t="inlineStr">
        <is>
          <t>T103748</t>
        </is>
      </c>
      <c r="C671" t="inlineStr">
        <is>
          <t>Grace Gonzalez</t>
        </is>
      </c>
      <c r="D671" t="inlineStr">
        <is>
          <t>Samuel Gonzalez</t>
        </is>
      </c>
      <c r="E671" t="n">
        <v>10</v>
      </c>
      <c r="F671" t="inlineStr">
        <is>
          <t>Apple Pay</t>
        </is>
      </c>
    </row>
    <row r="672">
      <c r="A672" s="78" t="n">
        <v>46336.69791666666</v>
      </c>
      <c r="B672" t="inlineStr">
        <is>
          <t>T104432</t>
        </is>
      </c>
      <c r="C672" t="inlineStr">
        <is>
          <t>Diego Reyes</t>
        </is>
      </c>
      <c r="D672" t="inlineStr">
        <is>
          <t>Aria Reyes</t>
        </is>
      </c>
      <c r="E672" t="n">
        <v>25</v>
      </c>
      <c r="F672" t="inlineStr">
        <is>
          <t>Credit Card</t>
        </is>
      </c>
    </row>
    <row r="673">
      <c r="A673" s="78" t="n">
        <v>46328.73958333334</v>
      </c>
      <c r="B673" t="inlineStr">
        <is>
          <t>T101983</t>
        </is>
      </c>
      <c r="C673" t="inlineStr">
        <is>
          <t>Zoe Garcia</t>
        </is>
      </c>
      <c r="D673" t="inlineStr">
        <is>
          <t>Adrian Garcia</t>
        </is>
      </c>
      <c r="E673" t="n">
        <v>150</v>
      </c>
      <c r="F673" t="inlineStr">
        <is>
          <t>Credit Card</t>
        </is>
      </c>
    </row>
    <row r="674">
      <c r="A674" s="78" t="n">
        <v>46337.83333333334</v>
      </c>
      <c r="B674" t="inlineStr">
        <is>
          <t>T101588</t>
        </is>
      </c>
      <c r="C674" t="inlineStr">
        <is>
          <t>Harper Johnson</t>
        </is>
      </c>
      <c r="D674" t="inlineStr">
        <is>
          <t>Camila Johnson</t>
        </is>
      </c>
      <c r="E674" t="n">
        <v>25</v>
      </c>
      <c r="F674" t="inlineStr">
        <is>
          <t>Credit Card</t>
        </is>
      </c>
    </row>
    <row r="675">
      <c r="A675" s="78" t="n">
        <v>46330.85416666666</v>
      </c>
      <c r="B675" t="inlineStr">
        <is>
          <t>T102136</t>
        </is>
      </c>
      <c r="C675" t="inlineStr">
        <is>
          <t>Nora Patel</t>
        </is>
      </c>
      <c r="D675" t="inlineStr">
        <is>
          <t>Isabella Patel</t>
        </is>
      </c>
      <c r="E675" t="n">
        <v>20</v>
      </c>
      <c r="F675" t="inlineStr">
        <is>
          <t>Apple Pay</t>
        </is>
      </c>
    </row>
    <row r="676">
      <c r="A676" t="inlineStr">
        <is>
          <t>10/30/2026 10:15 AM</t>
        </is>
      </c>
      <c r="B676" t="inlineStr">
        <is>
          <t>T101461</t>
        </is>
      </c>
      <c r="C676" t="inlineStr">
        <is>
          <t>Sofia Lopez</t>
        </is>
      </c>
      <c r="D676" t="inlineStr">
        <is>
          <t>Samuel Lopez</t>
        </is>
      </c>
      <c r="E676" t="n">
        <v>25</v>
      </c>
      <c r="F676" t="inlineStr">
        <is>
          <t>Credit Card</t>
        </is>
      </c>
    </row>
    <row r="677">
      <c r="A677" s="78" t="n">
        <v>46330.79166666666</v>
      </c>
      <c r="B677" t="inlineStr">
        <is>
          <t>T104322</t>
        </is>
      </c>
      <c r="C677" t="inlineStr">
        <is>
          <t>Nicolas Brown</t>
        </is>
      </c>
      <c r="D677" t="inlineStr">
        <is>
          <t>Aria Brown</t>
        </is>
      </c>
      <c r="E677" t="n">
        <v>50</v>
      </c>
      <c r="F677" t="inlineStr">
        <is>
          <t>Apple Pay</t>
        </is>
      </c>
    </row>
    <row r="678">
      <c r="A678" s="78" t="n">
        <v>46334.8125</v>
      </c>
      <c r="B678" t="inlineStr">
        <is>
          <t>T105429</t>
        </is>
      </c>
      <c r="C678" t="inlineStr">
        <is>
          <t>Chloe Smith</t>
        </is>
      </c>
      <c r="D678" t="inlineStr">
        <is>
          <t>Mateo Smith</t>
        </is>
      </c>
      <c r="E678" t="n">
        <v>100</v>
      </c>
      <c r="F678" t="inlineStr">
        <is>
          <t>Credit Card</t>
        </is>
      </c>
    </row>
    <row r="679">
      <c r="A679" s="78" t="n">
        <v>46336.70833333334</v>
      </c>
      <c r="B679" t="inlineStr">
        <is>
          <t>T102205</t>
        </is>
      </c>
      <c r="C679" t="inlineStr">
        <is>
          <t>James Brown</t>
        </is>
      </c>
      <c r="D679" t="inlineStr">
        <is>
          <t>Ella Brown</t>
        </is>
      </c>
      <c r="E679" t="n">
        <v>25</v>
      </c>
      <c r="F679" t="inlineStr">
        <is>
          <t>Apple Pay</t>
        </is>
      </c>
    </row>
    <row r="680">
      <c r="A680" s="78" t="n">
        <v>46339.875</v>
      </c>
      <c r="B680" t="inlineStr">
        <is>
          <t>T100706</t>
        </is>
      </c>
      <c r="C680" t="inlineStr">
        <is>
          <t>Nora Morales</t>
        </is>
      </c>
      <c r="D680" t="inlineStr">
        <is>
          <t>Benjamin Morales</t>
        </is>
      </c>
      <c r="E680" t="n">
        <v>20</v>
      </c>
      <c r="F680" t="inlineStr">
        <is>
          <t>Credit Card</t>
        </is>
      </c>
    </row>
    <row r="681">
      <c r="A681" s="78" t="n">
        <v>46339.8125</v>
      </c>
      <c r="B681" t="inlineStr">
        <is>
          <t>T102241</t>
        </is>
      </c>
      <c r="C681" t="inlineStr">
        <is>
          <t>Luna Byrne</t>
        </is>
      </c>
      <c r="D681" t="inlineStr">
        <is>
          <t>Nicolas Byrne</t>
        </is>
      </c>
      <c r="E681" t="n">
        <v>50</v>
      </c>
      <c r="F681" t="inlineStr">
        <is>
          <t>Apple Pay</t>
        </is>
      </c>
    </row>
    <row r="682">
      <c r="A682" s="78" t="n">
        <v>46332.34375</v>
      </c>
      <c r="B682" t="inlineStr">
        <is>
          <t>T104295</t>
        </is>
      </c>
      <c r="C682" t="inlineStr">
        <is>
          <t xml:space="preserve">  SANTIAGO   ruiz </t>
        </is>
      </c>
      <c r="D682" t="inlineStr">
        <is>
          <t>Nicolas Ruiz</t>
        </is>
      </c>
      <c r="E682" t="inlineStr">
        <is>
          <t>$50.00</t>
        </is>
      </c>
      <c r="F682" t="inlineStr">
        <is>
          <t>Apple Pay</t>
        </is>
      </c>
    </row>
    <row r="683">
      <c r="A683" s="78" t="n">
        <v>46339.48958333334</v>
      </c>
      <c r="B683" t="inlineStr">
        <is>
          <t>T103740</t>
        </is>
      </c>
      <c r="C683" t="inlineStr">
        <is>
          <t>Zoe Smith</t>
        </is>
      </c>
      <c r="D683" t="inlineStr">
        <is>
          <t>Henry Smith</t>
        </is>
      </c>
      <c r="E683" t="n">
        <v>50</v>
      </c>
      <c r="F683" t="inlineStr">
        <is>
          <t>Apple Pay</t>
        </is>
      </c>
    </row>
    <row r="684">
      <c r="A684" s="78" t="n">
        <v>46329.34375</v>
      </c>
      <c r="B684" t="inlineStr">
        <is>
          <t>T103221</t>
        </is>
      </c>
      <c r="C684" t="inlineStr">
        <is>
          <t>Diego Chavez</t>
        </is>
      </c>
      <c r="D684" t="inlineStr">
        <is>
          <t>Samuel Chavez</t>
        </is>
      </c>
      <c r="E684" t="n">
        <v>25</v>
      </c>
      <c r="F684" t="inlineStr">
        <is>
          <t>Credit Card</t>
        </is>
      </c>
    </row>
    <row r="685">
      <c r="A685" t="inlineStr">
        <is>
          <t>11/10/2026 01:15 PM</t>
        </is>
      </c>
      <c r="B685" t="inlineStr">
        <is>
          <t>T102540</t>
        </is>
      </c>
      <c r="C685" t="inlineStr">
        <is>
          <t>Daniel Ramos</t>
        </is>
      </c>
      <c r="D685" t="inlineStr">
        <is>
          <t>Evelyn Ramos</t>
        </is>
      </c>
      <c r="E685" t="n">
        <v>20</v>
      </c>
      <c r="F685" t="inlineStr">
        <is>
          <t>Apple Pay</t>
        </is>
      </c>
    </row>
    <row r="686">
      <c r="A686" s="78" t="n">
        <v>46337.46875</v>
      </c>
      <c r="B686" t="inlineStr">
        <is>
          <t>T101674</t>
        </is>
      </c>
      <c r="C686" t="inlineStr">
        <is>
          <t>Ryan, Diego</t>
        </is>
      </c>
      <c r="D686" t="inlineStr">
        <is>
          <t>Henry Ryan</t>
        </is>
      </c>
      <c r="E686" t="n">
        <v>75</v>
      </c>
      <c r="F686" t="inlineStr">
        <is>
          <t>Apple Pay</t>
        </is>
      </c>
    </row>
    <row r="687">
      <c r="A687" s="78" t="n">
        <v>46325.64583333334</v>
      </c>
      <c r="B687" t="inlineStr">
        <is>
          <t>T101767</t>
        </is>
      </c>
      <c r="C687" t="inlineStr">
        <is>
          <t>Elijah Byrne</t>
        </is>
      </c>
      <c r="D687" t="inlineStr">
        <is>
          <t>Zoe Byrne</t>
        </is>
      </c>
      <c r="E687" t="n">
        <v>100</v>
      </c>
      <c r="F687" t="inlineStr">
        <is>
          <t>Credit Card</t>
        </is>
      </c>
    </row>
    <row r="688">
      <c r="A688" s="78" t="n">
        <v>46337.52083333334</v>
      </c>
      <c r="B688" t="inlineStr">
        <is>
          <t>T102934</t>
        </is>
      </c>
      <c r="C688" t="inlineStr">
        <is>
          <t>Nora O'Brien</t>
        </is>
      </c>
      <c r="D688" t="inlineStr">
        <is>
          <t>Maya O'Brien</t>
        </is>
      </c>
      <c r="E688" t="n">
        <v>25</v>
      </c>
      <c r="F688" t="inlineStr">
        <is>
          <t>Apple Pay</t>
        </is>
      </c>
    </row>
    <row r="689">
      <c r="A689" s="78" t="n">
        <v>46339.85416666666</v>
      </c>
      <c r="B689" t="inlineStr">
        <is>
          <t>T102918</t>
        </is>
      </c>
      <c r="C689" t="inlineStr">
        <is>
          <t>Isaac Williams</t>
        </is>
      </c>
      <c r="D689" t="inlineStr">
        <is>
          <t>Leo Williams</t>
        </is>
      </c>
      <c r="E689" t="inlineStr">
        <is>
          <t>$75.00</t>
        </is>
      </c>
      <c r="F689" t="inlineStr">
        <is>
          <t>Apple Pay</t>
        </is>
      </c>
    </row>
    <row r="690">
      <c r="A690" s="78" t="n">
        <v>46331.6875</v>
      </c>
      <c r="B690" t="inlineStr">
        <is>
          <t>T101977</t>
        </is>
      </c>
      <c r="C690" t="inlineStr">
        <is>
          <t>Isaac Alvarez</t>
        </is>
      </c>
      <c r="D690" t="inlineStr">
        <is>
          <t>Henry Alvarez</t>
        </is>
      </c>
      <c r="E690" t="n">
        <v>25</v>
      </c>
      <c r="F690" t="inlineStr">
        <is>
          <t>Credit Card</t>
        </is>
      </c>
    </row>
    <row r="691">
      <c r="A691" s="78" t="n">
        <v>46334.77083333334</v>
      </c>
      <c r="B691" t="inlineStr">
        <is>
          <t>T100984</t>
        </is>
      </c>
      <c r="C691" t="inlineStr">
        <is>
          <t>Samuel Martinez</t>
        </is>
      </c>
      <c r="D691" t="inlineStr">
        <is>
          <t>Emma Martinez</t>
        </is>
      </c>
      <c r="E691" t="n">
        <v>75</v>
      </c>
      <c r="F691" t="inlineStr">
        <is>
          <t>Apple Pay</t>
        </is>
      </c>
    </row>
    <row r="692">
      <c r="A692" s="78" t="n">
        <v>46336.38541666666</v>
      </c>
      <c r="B692" t="inlineStr">
        <is>
          <t>T100869</t>
        </is>
      </c>
      <c r="C692" t="inlineStr">
        <is>
          <t>Gabriel Smith</t>
        </is>
      </c>
      <c r="D692" t="inlineStr">
        <is>
          <t>Valentina Smith</t>
        </is>
      </c>
      <c r="E692" t="n">
        <v>20</v>
      </c>
      <c r="F692" t="inlineStr">
        <is>
          <t>Credit Card</t>
        </is>
      </c>
    </row>
    <row r="693">
      <c r="A693" s="78" t="n">
        <v>46331.89583333334</v>
      </c>
      <c r="B693" t="inlineStr">
        <is>
          <t>T103488</t>
        </is>
      </c>
      <c r="C693" t="inlineStr">
        <is>
          <t>Emma Martinez</t>
        </is>
      </c>
      <c r="D693" t="inlineStr">
        <is>
          <t>Elijah Martinez</t>
        </is>
      </c>
      <c r="E693" t="n">
        <v>40</v>
      </c>
      <c r="F693" t="inlineStr">
        <is>
          <t>Credit Card</t>
        </is>
      </c>
    </row>
    <row r="694">
      <c r="A694" s="78" t="n">
        <v>46335.29166666666</v>
      </c>
      <c r="B694" t="inlineStr">
        <is>
          <t>T104852</t>
        </is>
      </c>
      <c r="C694" t="inlineStr">
        <is>
          <t>Cruz, Olivia</t>
        </is>
      </c>
      <c r="D694" t="inlineStr">
        <is>
          <t>Chloe Cruz</t>
        </is>
      </c>
      <c r="E694" t="n">
        <v>40</v>
      </c>
      <c r="F694" t="inlineStr">
        <is>
          <t>Credit Card</t>
        </is>
      </c>
    </row>
    <row r="695">
      <c r="A695" s="78" t="n">
        <v>46335.88541666666</v>
      </c>
      <c r="B695" t="inlineStr">
        <is>
          <t>T101352</t>
        </is>
      </c>
      <c r="C695" t="inlineStr">
        <is>
          <t xml:space="preserve">  LIAM   walsh </t>
        </is>
      </c>
      <c r="D695" t="inlineStr">
        <is>
          <t>Daniel Walsh</t>
        </is>
      </c>
      <c r="E695" t="n">
        <v>50</v>
      </c>
      <c r="F695" t="inlineStr">
        <is>
          <t>Apple Pay</t>
        </is>
      </c>
    </row>
    <row r="696">
      <c r="A696" s="78" t="n">
        <v>46328.51041666666</v>
      </c>
      <c r="B696" t="inlineStr">
        <is>
          <t>T104683</t>
        </is>
      </c>
      <c r="C696" t="inlineStr">
        <is>
          <t>Mia Ortiz</t>
        </is>
      </c>
      <c r="D696" t="inlineStr">
        <is>
          <t>Valentina Ortiz</t>
        </is>
      </c>
      <c r="E696" t="n">
        <v>20</v>
      </c>
      <c r="F696" t="inlineStr">
        <is>
          <t>Credit Card</t>
        </is>
      </c>
    </row>
    <row r="697">
      <c r="A697" s="78" t="n">
        <v>46339.48958333334</v>
      </c>
      <c r="B697" t="inlineStr">
        <is>
          <t>T104148</t>
        </is>
      </c>
      <c r="C697" t="inlineStr">
        <is>
          <t>Samuel Gutierrez</t>
        </is>
      </c>
      <c r="D697" t="inlineStr">
        <is>
          <t>Samuel Gutierrez</t>
        </is>
      </c>
      <c r="E697" t="n">
        <v>100</v>
      </c>
      <c r="F697" t="inlineStr">
        <is>
          <t>Apple Pay</t>
        </is>
      </c>
    </row>
    <row r="698">
      <c r="A698" s="78" t="n">
        <v>46328.55208333334</v>
      </c>
      <c r="B698" t="inlineStr">
        <is>
          <t>T102827</t>
        </is>
      </c>
      <c r="C698" t="inlineStr">
        <is>
          <t>Mateo Perez</t>
        </is>
      </c>
      <c r="D698" t="inlineStr">
        <is>
          <t>David Perez</t>
        </is>
      </c>
      <c r="E698" t="n">
        <v>25</v>
      </c>
      <c r="F698" t="inlineStr">
        <is>
          <t>Credit Card</t>
        </is>
      </c>
    </row>
    <row r="699">
      <c r="A699" s="78" t="n">
        <v>46335.41666666666</v>
      </c>
      <c r="B699" t="inlineStr">
        <is>
          <t>T104103</t>
        </is>
      </c>
      <c r="C699" t="inlineStr">
        <is>
          <t>Thomas Kelly</t>
        </is>
      </c>
      <c r="D699" t="inlineStr">
        <is>
          <t>Luna Kelly</t>
        </is>
      </c>
      <c r="E699" t="n">
        <v>100</v>
      </c>
      <c r="F699" t="inlineStr">
        <is>
          <t>Apple Pay</t>
        </is>
      </c>
    </row>
    <row r="700">
      <c r="A700" s="78" t="n">
        <v>46336.85416666666</v>
      </c>
      <c r="B700" t="inlineStr">
        <is>
          <t>T104915</t>
        </is>
      </c>
      <c r="C700" t="inlineStr">
        <is>
          <t>Lily Morales</t>
        </is>
      </c>
      <c r="D700" t="inlineStr">
        <is>
          <t>Mia Morales</t>
        </is>
      </c>
      <c r="E700" t="n">
        <v>40</v>
      </c>
      <c r="F700" t="inlineStr">
        <is>
          <t>Apple Pay</t>
        </is>
      </c>
    </row>
    <row r="701">
      <c r="A701" s="78" t="n">
        <v>46328.71875</v>
      </c>
      <c r="B701" t="inlineStr">
        <is>
          <t>T102071</t>
        </is>
      </c>
      <c r="C701" t="inlineStr">
        <is>
          <t>Rodriguez, Noah</t>
        </is>
      </c>
      <c r="D701" t="inlineStr">
        <is>
          <t>Harper Rodriguez</t>
        </is>
      </c>
      <c r="E701" t="n">
        <v>75</v>
      </c>
      <c r="F701" t="inlineStr">
        <is>
          <t>Apple Pay</t>
        </is>
      </c>
    </row>
    <row r="702">
      <c r="A702" s="78" t="n">
        <v>46330.53125</v>
      </c>
      <c r="B702" t="inlineStr">
        <is>
          <t>T100720</t>
        </is>
      </c>
      <c r="C702" t="inlineStr">
        <is>
          <t>Gabriel Smith</t>
        </is>
      </c>
      <c r="D702" t="inlineStr">
        <is>
          <t>Gabriel Smith</t>
        </is>
      </c>
      <c r="E702" t="n">
        <v>50</v>
      </c>
      <c r="F702" t="inlineStr">
        <is>
          <t>Apple Pay</t>
        </is>
      </c>
    </row>
    <row r="703">
      <c r="A703" s="78" t="n">
        <v>46332.5625</v>
      </c>
      <c r="B703" t="inlineStr">
        <is>
          <t>T103397</t>
        </is>
      </c>
      <c r="C703" t="inlineStr">
        <is>
          <t>Isaac Martinez</t>
        </is>
      </c>
      <c r="D703" t="inlineStr">
        <is>
          <t>Lily Martinez</t>
        </is>
      </c>
      <c r="E703" t="n">
        <v>40</v>
      </c>
      <c r="F703" t="inlineStr">
        <is>
          <t>Apple Pay</t>
        </is>
      </c>
    </row>
    <row r="704">
      <c r="A704" s="78" t="n">
        <v>46339.83333333334</v>
      </c>
      <c r="B704" t="inlineStr">
        <is>
          <t>T102366</t>
        </is>
      </c>
      <c r="C704" t="inlineStr">
        <is>
          <t>Evelyn Diaz</t>
        </is>
      </c>
      <c r="D704" t="inlineStr">
        <is>
          <t>James Diaz</t>
        </is>
      </c>
      <c r="E704" t="n">
        <v>25</v>
      </c>
      <c r="F704" t="inlineStr">
        <is>
          <t>Apple Pay</t>
        </is>
      </c>
    </row>
    <row r="705">
      <c r="A705" s="78" t="n">
        <v>46335.71875</v>
      </c>
      <c r="B705" t="inlineStr">
        <is>
          <t>T104573</t>
        </is>
      </c>
      <c r="C705" t="inlineStr">
        <is>
          <t>Liam Garcia</t>
        </is>
      </c>
      <c r="D705" t="inlineStr">
        <is>
          <t>Clara Garcia</t>
        </is>
      </c>
      <c r="E705" t="n">
        <v>50</v>
      </c>
      <c r="F705" t="inlineStr">
        <is>
          <t>Apple Pay</t>
        </is>
      </c>
    </row>
    <row r="706">
      <c r="A706" s="78" t="n">
        <v>46331.86458333334</v>
      </c>
      <c r="B706" t="inlineStr">
        <is>
          <t>T103098</t>
        </is>
      </c>
      <c r="C706" t="inlineStr">
        <is>
          <t xml:space="preserve">  LEO   ramirez </t>
        </is>
      </c>
      <c r="D706" t="inlineStr">
        <is>
          <t>Camila Ramirez</t>
        </is>
      </c>
      <c r="E706" t="n">
        <v>50</v>
      </c>
      <c r="F706" t="inlineStr">
        <is>
          <t>Credit Card</t>
        </is>
      </c>
    </row>
    <row r="707">
      <c r="A707" s="78" t="n">
        <v>46336.72916666666</v>
      </c>
      <c r="B707" t="inlineStr">
        <is>
          <t>T103846</t>
        </is>
      </c>
      <c r="C707" t="inlineStr">
        <is>
          <t xml:space="preserve">  ISABELLA   smith </t>
        </is>
      </c>
      <c r="D707" t="inlineStr">
        <is>
          <t>David Smith</t>
        </is>
      </c>
      <c r="E707" t="n">
        <v>75</v>
      </c>
      <c r="F707" t="inlineStr">
        <is>
          <t>Apple Pay</t>
        </is>
      </c>
    </row>
    <row r="708">
      <c r="A708" s="78" t="n">
        <v>46338.35416666666</v>
      </c>
      <c r="B708" t="inlineStr">
        <is>
          <t>T104202</t>
        </is>
      </c>
      <c r="C708" t="inlineStr">
        <is>
          <t>Nicolas Rivera</t>
        </is>
      </c>
      <c r="D708" t="inlineStr">
        <is>
          <t>Diego Rivera</t>
        </is>
      </c>
      <c r="E708" t="n">
        <v>150</v>
      </c>
      <c r="F708" t="inlineStr">
        <is>
          <t>Credit Card</t>
        </is>
      </c>
    </row>
    <row r="709">
      <c r="A709" s="78" t="n">
        <v>46333.34375</v>
      </c>
      <c r="B709" t="inlineStr">
        <is>
          <t>T102749</t>
        </is>
      </c>
      <c r="C709" t="inlineStr">
        <is>
          <t>Benjamin Cruz</t>
        </is>
      </c>
      <c r="D709" t="inlineStr">
        <is>
          <t>James Cruz</t>
        </is>
      </c>
      <c r="E709" t="n">
        <v>100</v>
      </c>
      <c r="F709" t="inlineStr">
        <is>
          <t>Apple Pay</t>
        </is>
      </c>
    </row>
    <row r="710">
      <c r="A710" s="78" t="n">
        <v>46339.64583333334</v>
      </c>
      <c r="B710" t="inlineStr">
        <is>
          <t>T102877</t>
        </is>
      </c>
      <c r="C710" t="inlineStr">
        <is>
          <t>Mia Kim</t>
        </is>
      </c>
      <c r="D710" t="inlineStr">
        <is>
          <t>Thomas Kim</t>
        </is>
      </c>
      <c r="E710" t="n">
        <v>20</v>
      </c>
      <c r="F710" t="inlineStr">
        <is>
          <t>Apple Pay</t>
        </is>
      </c>
    </row>
    <row r="711">
      <c r="A711" s="78" t="n">
        <v>46332.40625</v>
      </c>
      <c r="B711" t="inlineStr">
        <is>
          <t>T102631</t>
        </is>
      </c>
      <c r="C711" t="inlineStr">
        <is>
          <t>Diego Morales</t>
        </is>
      </c>
      <c r="D711" t="inlineStr">
        <is>
          <t>Nicolas Morales</t>
        </is>
      </c>
      <c r="E711" t="n">
        <v>150</v>
      </c>
      <c r="F711" t="inlineStr">
        <is>
          <t>Credit Card</t>
        </is>
      </c>
    </row>
    <row r="712">
      <c r="A712" s="78" t="n">
        <v>46336.84375</v>
      </c>
      <c r="B712" t="inlineStr">
        <is>
          <t>T101563</t>
        </is>
      </c>
      <c r="C712" t="inlineStr">
        <is>
          <t>Mateo Williams</t>
        </is>
      </c>
      <c r="D712" t="inlineStr">
        <is>
          <t>Henry Williams</t>
        </is>
      </c>
      <c r="E712" t="n">
        <v>25</v>
      </c>
      <c r="F712" t="inlineStr">
        <is>
          <t>Credit Card</t>
        </is>
      </c>
    </row>
    <row r="713">
      <c r="A713" s="78" t="n">
        <v>46327.29166666666</v>
      </c>
      <c r="B713" t="inlineStr">
        <is>
          <t>T101508</t>
        </is>
      </c>
      <c r="C713" t="inlineStr">
        <is>
          <t>Grace Kelly</t>
        </is>
      </c>
      <c r="D713" t="inlineStr">
        <is>
          <t>Valentina Kelly</t>
        </is>
      </c>
      <c r="E713" t="n">
        <v>10</v>
      </c>
      <c r="F713" t="inlineStr">
        <is>
          <t>Credit Card</t>
        </is>
      </c>
    </row>
    <row r="714">
      <c r="A714" s="78" t="n">
        <v>46336.48958333334</v>
      </c>
      <c r="B714" t="inlineStr">
        <is>
          <t>T104184</t>
        </is>
      </c>
      <c r="C714" t="inlineStr">
        <is>
          <t>Emma Martinez</t>
        </is>
      </c>
      <c r="D714" t="inlineStr">
        <is>
          <t>Joseph Martinez</t>
        </is>
      </c>
      <c r="E714" t="n">
        <v>20</v>
      </c>
      <c r="F714" t="inlineStr">
        <is>
          <t>Apple Pay</t>
        </is>
      </c>
    </row>
    <row r="715">
      <c r="A715" s="78" t="n">
        <v>46330.54166666666</v>
      </c>
      <c r="B715" t="inlineStr">
        <is>
          <t>T100288</t>
        </is>
      </c>
      <c r="C715" t="inlineStr">
        <is>
          <t>Evelyn Gonzalez</t>
        </is>
      </c>
      <c r="D715" t="inlineStr">
        <is>
          <t>Thomas Gonzalez</t>
        </is>
      </c>
      <c r="E715" t="n">
        <v>150</v>
      </c>
      <c r="F715" t="inlineStr">
        <is>
          <t>Credit Card</t>
        </is>
      </c>
    </row>
    <row r="716">
      <c r="A716" s="78" t="n">
        <v>46328.6875</v>
      </c>
      <c r="B716" t="inlineStr">
        <is>
          <t>T100579</t>
        </is>
      </c>
      <c r="C716" t="inlineStr">
        <is>
          <t>Thomas Ramirez</t>
        </is>
      </c>
      <c r="D716" t="inlineStr">
        <is>
          <t>David Ramirez</t>
        </is>
      </c>
      <c r="E716" t="n">
        <v>50</v>
      </c>
      <c r="F716" t="inlineStr">
        <is>
          <t>Credit Card</t>
        </is>
      </c>
    </row>
    <row r="717">
      <c r="A717" s="78" t="n">
        <v>46325.57291666666</v>
      </c>
      <c r="B717" t="inlineStr">
        <is>
          <t>T100885</t>
        </is>
      </c>
      <c r="C717" t="inlineStr">
        <is>
          <t>Aria O'Brien</t>
        </is>
      </c>
      <c r="D717" t="inlineStr">
        <is>
          <t>Chloe O'Brien</t>
        </is>
      </c>
      <c r="E717" t="n">
        <v>25</v>
      </c>
      <c r="F717" t="inlineStr">
        <is>
          <t>Apple Pay</t>
        </is>
      </c>
    </row>
    <row r="718">
      <c r="A718" s="78" t="n">
        <v>46328.78125</v>
      </c>
      <c r="B718" t="inlineStr">
        <is>
          <t>T105156</t>
        </is>
      </c>
      <c r="C718" t="inlineStr">
        <is>
          <t>Valentina Castillo</t>
        </is>
      </c>
      <c r="D718" t="inlineStr">
        <is>
          <t>Harper Castillo</t>
        </is>
      </c>
      <c r="E718" t="n">
        <v>20</v>
      </c>
      <c r="F718" t="inlineStr">
        <is>
          <t>Apple Pay</t>
        </is>
      </c>
    </row>
    <row r="719">
      <c r="A719" s="78" t="n">
        <v>46327.79166666666</v>
      </c>
      <c r="B719" t="inlineStr">
        <is>
          <t>T102667</t>
        </is>
      </c>
      <c r="C719" t="inlineStr">
        <is>
          <t>Grace Murphy</t>
        </is>
      </c>
      <c r="D719" t="inlineStr">
        <is>
          <t>Emma Murphy</t>
        </is>
      </c>
      <c r="E719" t="n">
        <v>25</v>
      </c>
      <c r="F719" t="inlineStr">
        <is>
          <t>Apple Pay</t>
        </is>
      </c>
    </row>
    <row r="720">
      <c r="A720" s="78" t="n">
        <v>46336.34375</v>
      </c>
      <c r="B720" t="inlineStr">
        <is>
          <t>T101253</t>
        </is>
      </c>
      <c r="C720" t="inlineStr">
        <is>
          <t>Julian Rodriguez</t>
        </is>
      </c>
      <c r="D720" t="inlineStr">
        <is>
          <t>Elijah Rodriguez</t>
        </is>
      </c>
      <c r="E720" t="n">
        <v>20</v>
      </c>
      <c r="F720" t="inlineStr">
        <is>
          <t>Apple Pay</t>
        </is>
      </c>
    </row>
    <row r="721">
      <c r="A721" s="78" t="n">
        <v>46336.70833333334</v>
      </c>
      <c r="B721" t="inlineStr">
        <is>
          <t>T102673</t>
        </is>
      </c>
      <c r="C721" t="inlineStr">
        <is>
          <t>Amelia Castillo</t>
        </is>
      </c>
      <c r="D721" t="inlineStr">
        <is>
          <t>Clara Castillo</t>
        </is>
      </c>
      <c r="E721" t="n">
        <v>25</v>
      </c>
      <c r="F721" t="inlineStr">
        <is>
          <t>Credit Card</t>
        </is>
      </c>
    </row>
    <row r="722">
      <c r="A722" s="78" t="n">
        <v>46331.41666666666</v>
      </c>
      <c r="B722" t="inlineStr">
        <is>
          <t>T104385</t>
        </is>
      </c>
      <c r="C722" t="inlineStr">
        <is>
          <t>Daniel Cruz</t>
        </is>
      </c>
      <c r="D722" t="inlineStr">
        <is>
          <t>Elijah Cruz</t>
        </is>
      </c>
      <c r="E722" t="n">
        <v>75</v>
      </c>
      <c r="F722" t="inlineStr">
        <is>
          <t>Apple Pay</t>
        </is>
      </c>
    </row>
    <row r="723">
      <c r="A723" s="78" t="n">
        <v>46339.6875</v>
      </c>
      <c r="B723" t="inlineStr">
        <is>
          <t>T104835</t>
        </is>
      </c>
      <c r="C723" t="inlineStr">
        <is>
          <t>Daniel Gomez</t>
        </is>
      </c>
      <c r="D723" t="inlineStr">
        <is>
          <t>Elijah Gomez</t>
        </is>
      </c>
      <c r="E723" t="n">
        <v>20</v>
      </c>
      <c r="F723" t="inlineStr">
        <is>
          <t>Apple Pay</t>
        </is>
      </c>
    </row>
    <row r="724">
      <c r="A724" s="78" t="n">
        <v>46328.73958333334</v>
      </c>
      <c r="B724" t="inlineStr">
        <is>
          <t>T104543</t>
        </is>
      </c>
      <c r="C724" t="inlineStr">
        <is>
          <t>Santiago Ruiz</t>
        </is>
      </c>
      <c r="D724" t="inlineStr">
        <is>
          <t>Nicolas Ruiz</t>
        </is>
      </c>
      <c r="E724" t="n">
        <v>25</v>
      </c>
      <c r="F724" t="inlineStr">
        <is>
          <t>Apple Pay</t>
        </is>
      </c>
    </row>
    <row r="725">
      <c r="A725" s="78" t="n">
        <v>46330.54166666666</v>
      </c>
      <c r="B725" t="inlineStr">
        <is>
          <t>T102688</t>
        </is>
      </c>
      <c r="C725" t="inlineStr">
        <is>
          <t>Nguyen, Evelyn</t>
        </is>
      </c>
      <c r="D725" t="inlineStr">
        <is>
          <t>Mia Nguyen</t>
        </is>
      </c>
      <c r="E725" t="n">
        <v>50</v>
      </c>
      <c r="F725" t="inlineStr">
        <is>
          <t>Apple Pay</t>
        </is>
      </c>
    </row>
    <row r="726">
      <c r="A726" s="78" t="n">
        <v>46330.54166666666</v>
      </c>
      <c r="B726" t="inlineStr">
        <is>
          <t>T101959</t>
        </is>
      </c>
      <c r="C726" t="inlineStr">
        <is>
          <t>Joseph Ramos</t>
        </is>
      </c>
      <c r="D726" t="inlineStr">
        <is>
          <t>Camila Ramos</t>
        </is>
      </c>
      <c r="E726" t="n">
        <v>25</v>
      </c>
      <c r="F726" t="inlineStr">
        <is>
          <t>Apple Pay</t>
        </is>
      </c>
    </row>
    <row r="727">
      <c r="A727" s="78" t="n">
        <v>46328.61458333334</v>
      </c>
      <c r="B727" t="inlineStr">
        <is>
          <t>T104885</t>
        </is>
      </c>
      <c r="C727" t="inlineStr">
        <is>
          <t>Amelia Williams</t>
        </is>
      </c>
      <c r="D727" t="inlineStr">
        <is>
          <t>Isaac Williams</t>
        </is>
      </c>
      <c r="E727" t="n">
        <v>25</v>
      </c>
      <c r="F727" t="inlineStr">
        <is>
          <t>Apple Pay</t>
        </is>
      </c>
    </row>
    <row r="728">
      <c r="A728" s="78" t="n">
        <v>46339.48958333334</v>
      </c>
      <c r="B728" t="inlineStr">
        <is>
          <t>T105374</t>
        </is>
      </c>
      <c r="C728" t="inlineStr">
        <is>
          <t>Gabriel Sanchez</t>
        </is>
      </c>
      <c r="D728" t="inlineStr">
        <is>
          <t>Noah Sanchez</t>
        </is>
      </c>
      <c r="E728" t="n">
        <v>25</v>
      </c>
      <c r="F728" t="inlineStr">
        <is>
          <t>Apple Pay</t>
        </is>
      </c>
    </row>
    <row r="729">
      <c r="A729" s="78" t="n">
        <v>46326.76041666666</v>
      </c>
      <c r="B729" t="inlineStr">
        <is>
          <t>T103559</t>
        </is>
      </c>
      <c r="C729" t="inlineStr">
        <is>
          <t>Julian Ramirez</t>
        </is>
      </c>
      <c r="D729" t="inlineStr">
        <is>
          <t>Zoe Ramirez</t>
        </is>
      </c>
      <c r="E729" t="n">
        <v>75</v>
      </c>
      <c r="F729" t="inlineStr">
        <is>
          <t>Credit Card</t>
        </is>
      </c>
    </row>
    <row r="730">
      <c r="A730" s="78" t="n">
        <v>46328.625</v>
      </c>
      <c r="B730" t="inlineStr">
        <is>
          <t>T104251</t>
        </is>
      </c>
      <c r="C730" t="inlineStr">
        <is>
          <t>Olivia Cruz</t>
        </is>
      </c>
      <c r="D730" t="inlineStr">
        <is>
          <t>Ella Cruz</t>
        </is>
      </c>
      <c r="E730" t="n">
        <v>100</v>
      </c>
      <c r="F730" t="inlineStr">
        <is>
          <t>Apple Pay</t>
        </is>
      </c>
    </row>
    <row r="731">
      <c r="A731" s="78" t="n">
        <v>46336.4375</v>
      </c>
      <c r="B731" t="inlineStr">
        <is>
          <t>T104801</t>
        </is>
      </c>
      <c r="C731" t="inlineStr">
        <is>
          <t>Nicolas Perez</t>
        </is>
      </c>
      <c r="D731" t="inlineStr">
        <is>
          <t>Julian Perez</t>
        </is>
      </c>
      <c r="E731" t="n">
        <v>20</v>
      </c>
      <c r="F731" t="inlineStr">
        <is>
          <t>Credit Card</t>
        </is>
      </c>
    </row>
    <row r="732">
      <c r="A732" s="78" t="n">
        <v>46338.71875</v>
      </c>
      <c r="B732" t="inlineStr">
        <is>
          <t>T103774</t>
        </is>
      </c>
      <c r="C732" t="inlineStr">
        <is>
          <t>Thomas Mendoza</t>
        </is>
      </c>
      <c r="D732" t="inlineStr">
        <is>
          <t>Diego Mendoza</t>
        </is>
      </c>
      <c r="E732" t="inlineStr">
        <is>
          <t>$20.00</t>
        </is>
      </c>
      <c r="F732" t="inlineStr">
        <is>
          <t>Apple Pay</t>
        </is>
      </c>
    </row>
    <row r="733">
      <c r="A733" s="78" t="n">
        <v>46335.8125</v>
      </c>
      <c r="B733" t="inlineStr">
        <is>
          <t>T103247</t>
        </is>
      </c>
      <c r="C733" t="inlineStr">
        <is>
          <t>Joseph Williams</t>
        </is>
      </c>
      <c r="D733" t="inlineStr">
        <is>
          <t>Isaac Williams</t>
        </is>
      </c>
      <c r="E733" t="n">
        <v>20</v>
      </c>
      <c r="F733" t="inlineStr">
        <is>
          <t>Apple Pay</t>
        </is>
      </c>
    </row>
    <row r="734">
      <c r="A734" s="78" t="n">
        <v>46330.625</v>
      </c>
      <c r="B734" t="inlineStr">
        <is>
          <t>T102679</t>
        </is>
      </c>
      <c r="C734" t="inlineStr">
        <is>
          <t>Mia Ortiz</t>
        </is>
      </c>
      <c r="D734" t="inlineStr">
        <is>
          <t>Diego Ortiz</t>
        </is>
      </c>
      <c r="E734" t="n">
        <v>50</v>
      </c>
      <c r="F734" t="inlineStr">
        <is>
          <t>Apple Pay</t>
        </is>
      </c>
    </row>
    <row r="735">
      <c r="A735" s="78" t="n">
        <v>46335.82291666666</v>
      </c>
      <c r="B735" t="inlineStr">
        <is>
          <t>T102200</t>
        </is>
      </c>
      <c r="C735" t="inlineStr">
        <is>
          <t>Valentina Castillo</t>
        </is>
      </c>
      <c r="D735" t="inlineStr">
        <is>
          <t>Luna Castillo</t>
        </is>
      </c>
      <c r="E735" t="n">
        <v>100</v>
      </c>
      <c r="F735" t="inlineStr">
        <is>
          <t>Apple Pay</t>
        </is>
      </c>
    </row>
    <row r="736">
      <c r="A736" s="78" t="n">
        <v>46335.73958333334</v>
      </c>
      <c r="B736" t="inlineStr">
        <is>
          <t>T102530</t>
        </is>
      </c>
      <c r="C736" t="inlineStr">
        <is>
          <t>Chloe Diaz</t>
        </is>
      </c>
      <c r="D736" t="inlineStr">
        <is>
          <t>Benjamin Diaz</t>
        </is>
      </c>
      <c r="E736" t="n">
        <v>100</v>
      </c>
      <c r="F736" t="inlineStr">
        <is>
          <t>Credit Card</t>
        </is>
      </c>
    </row>
    <row r="737">
      <c r="A737" s="78" t="n">
        <v>46325.36458333334</v>
      </c>
      <c r="B737" t="inlineStr">
        <is>
          <t>T101408</t>
        </is>
      </c>
      <c r="C737" t="inlineStr">
        <is>
          <t>Elijah Vasquez</t>
        </is>
      </c>
      <c r="D737" t="inlineStr">
        <is>
          <t>Clara Vasquez</t>
        </is>
      </c>
      <c r="E737" t="n">
        <v>20</v>
      </c>
      <c r="F737" t="inlineStr">
        <is>
          <t>Apple Pay</t>
        </is>
      </c>
    </row>
    <row r="738">
      <c r="A738" s="78" t="n">
        <v>46325.53125</v>
      </c>
      <c r="B738" t="inlineStr">
        <is>
          <t>T100217</t>
        </is>
      </c>
      <c r="C738" t="inlineStr">
        <is>
          <t>Evelyn Martinez</t>
        </is>
      </c>
      <c r="D738" t="inlineStr">
        <is>
          <t>Amelia Martinez</t>
        </is>
      </c>
      <c r="E738" t="n">
        <v>25</v>
      </c>
      <c r="F738" t="inlineStr">
        <is>
          <t>Credit Card</t>
        </is>
      </c>
    </row>
    <row r="739">
      <c r="A739" s="78" t="n">
        <v>46330.38541666666</v>
      </c>
      <c r="B739" t="inlineStr">
        <is>
          <t>T103663</t>
        </is>
      </c>
      <c r="C739" t="inlineStr">
        <is>
          <t>David Chavez</t>
        </is>
      </c>
      <c r="D739" t="inlineStr">
        <is>
          <t>Gabriel Chavez</t>
        </is>
      </c>
      <c r="E739" t="n">
        <v>50</v>
      </c>
      <c r="F739" t="inlineStr">
        <is>
          <t>Apple Pay</t>
        </is>
      </c>
    </row>
    <row r="740">
      <c r="A740" s="78" t="n">
        <v>46332.71875</v>
      </c>
      <c r="B740" t="inlineStr">
        <is>
          <t>T900008</t>
        </is>
      </c>
      <c r="C740" t="inlineStr">
        <is>
          <t>Grace Kelly</t>
        </is>
      </c>
      <c r="D740" t="inlineStr">
        <is>
          <t>Bad Amount Donor</t>
        </is>
      </c>
      <c r="E740" t="inlineStr">
        <is>
          <t>abc</t>
        </is>
      </c>
      <c r="F740" t="inlineStr">
        <is>
          <t>Credit Card</t>
        </is>
      </c>
    </row>
    <row r="741">
      <c r="A741" s="78" t="n">
        <v>46336.875</v>
      </c>
      <c r="B741" t="inlineStr">
        <is>
          <t>T105292</t>
        </is>
      </c>
      <c r="C741" t="inlineStr">
        <is>
          <t>Joseph Chavez</t>
        </is>
      </c>
      <c r="D741" t="inlineStr">
        <is>
          <t>Clara Chavez</t>
        </is>
      </c>
      <c r="E741" t="n">
        <v>10</v>
      </c>
      <c r="F741" t="inlineStr">
        <is>
          <t>Apple Pay</t>
        </is>
      </c>
    </row>
    <row r="742">
      <c r="A742" s="78" t="n">
        <v>46339.48958333334</v>
      </c>
      <c r="B742" t="inlineStr">
        <is>
          <t>T100107</t>
        </is>
      </c>
      <c r="C742" t="inlineStr">
        <is>
          <t>Gutierrez, Leo</t>
        </is>
      </c>
      <c r="D742" t="inlineStr">
        <is>
          <t>Clara Gutierrez</t>
        </is>
      </c>
      <c r="E742" t="n">
        <v>50</v>
      </c>
      <c r="F742" t="inlineStr">
        <is>
          <t>Credit Card</t>
        </is>
      </c>
    </row>
    <row r="743">
      <c r="A743" s="78" t="n">
        <v>46333.375</v>
      </c>
      <c r="B743" t="inlineStr">
        <is>
          <t>T101322</t>
        </is>
      </c>
      <c r="C743" t="inlineStr">
        <is>
          <t>Adrian Nguyen</t>
        </is>
      </c>
      <c r="D743" t="inlineStr">
        <is>
          <t>Isabella Nguyen</t>
        </is>
      </c>
      <c r="E743" t="n">
        <v>25</v>
      </c>
      <c r="F743" t="inlineStr">
        <is>
          <t>Apple Pay</t>
        </is>
      </c>
    </row>
    <row r="744">
      <c r="A744" s="78" t="n">
        <v>46338.42708333334</v>
      </c>
      <c r="B744" t="inlineStr">
        <is>
          <t>T102555</t>
        </is>
      </c>
      <c r="C744" t="inlineStr">
        <is>
          <t>David Murphy</t>
        </is>
      </c>
      <c r="D744" t="inlineStr">
        <is>
          <t>Benjamin Murphy</t>
        </is>
      </c>
      <c r="E744" t="n">
        <v>25</v>
      </c>
      <c r="F744" t="inlineStr">
        <is>
          <t>Credit Card</t>
        </is>
      </c>
    </row>
    <row r="745">
      <c r="A745" s="78" t="n">
        <v>46337.41666666666</v>
      </c>
      <c r="B745" t="inlineStr">
        <is>
          <t>T104736</t>
        </is>
      </c>
      <c r="C745" t="inlineStr">
        <is>
          <t>Gabriel Murphy</t>
        </is>
      </c>
      <c r="D745" t="inlineStr">
        <is>
          <t>Julian Murphy</t>
        </is>
      </c>
      <c r="E745" t="n">
        <v>150</v>
      </c>
      <c r="F745" t="inlineStr">
        <is>
          <t>Apple Pay</t>
        </is>
      </c>
    </row>
    <row r="746">
      <c r="A746" t="inlineStr">
        <is>
          <t>11/04/2026 06:00 PM</t>
        </is>
      </c>
      <c r="B746" t="inlineStr">
        <is>
          <t>T103518</t>
        </is>
      </c>
      <c r="C746" t="inlineStr">
        <is>
          <t>Clara Flores</t>
        </is>
      </c>
      <c r="D746" t="inlineStr">
        <is>
          <t>Clara Flores</t>
        </is>
      </c>
      <c r="E746" t="n">
        <v>100</v>
      </c>
      <c r="F746" t="inlineStr">
        <is>
          <t>Credit Card</t>
        </is>
      </c>
    </row>
    <row r="747">
      <c r="A747" s="78" t="n">
        <v>46327.5</v>
      </c>
      <c r="B747" t="inlineStr">
        <is>
          <t>T100464</t>
        </is>
      </c>
      <c r="C747" t="inlineStr">
        <is>
          <t>Joseph Gonzalez</t>
        </is>
      </c>
      <c r="D747" t="inlineStr">
        <is>
          <t>Luna Gonzalez</t>
        </is>
      </c>
      <c r="E747" t="n">
        <v>25</v>
      </c>
      <c r="F747" t="inlineStr">
        <is>
          <t>Credit Card</t>
        </is>
      </c>
    </row>
    <row r="748">
      <c r="A748" s="78" t="n">
        <v>46325.39583333334</v>
      </c>
      <c r="B748" t="inlineStr">
        <is>
          <t>T100779</t>
        </is>
      </c>
      <c r="C748" t="inlineStr">
        <is>
          <t>Thomas Patel</t>
        </is>
      </c>
      <c r="D748" t="inlineStr">
        <is>
          <t>Liam Patel</t>
        </is>
      </c>
      <c r="E748" t="inlineStr">
        <is>
          <t>$20.00</t>
        </is>
      </c>
      <c r="F748" t="inlineStr">
        <is>
          <t>Apple Pay</t>
        </is>
      </c>
    </row>
    <row r="749">
      <c r="A749" s="78" t="n">
        <v>46325.3125</v>
      </c>
      <c r="B749" t="inlineStr">
        <is>
          <t>T101395</t>
        </is>
      </c>
      <c r="C749" t="inlineStr">
        <is>
          <t>Isaac Diaz</t>
        </is>
      </c>
      <c r="D749" t="inlineStr">
        <is>
          <t>Isaac Diaz</t>
        </is>
      </c>
      <c r="E749" t="n">
        <v>50</v>
      </c>
      <c r="F749" t="inlineStr">
        <is>
          <t>Credit Card</t>
        </is>
      </c>
    </row>
    <row r="750">
      <c r="A750" s="78" t="n">
        <v>46329.54166666666</v>
      </c>
      <c r="B750" t="inlineStr">
        <is>
          <t>T100894</t>
        </is>
      </c>
      <c r="C750" t="inlineStr">
        <is>
          <t>Aria O'Brien</t>
        </is>
      </c>
      <c r="D750" t="inlineStr">
        <is>
          <t>Joseph O'Brien</t>
        </is>
      </c>
      <c r="E750" t="n">
        <v>50</v>
      </c>
      <c r="F750" t="inlineStr">
        <is>
          <t>Credit Card</t>
        </is>
      </c>
    </row>
    <row r="751">
      <c r="A751" s="78" t="n">
        <v>46335.70833333334</v>
      </c>
      <c r="B751" t="inlineStr">
        <is>
          <t>T103770</t>
        </is>
      </c>
      <c r="C751" t="inlineStr">
        <is>
          <t>Luna Nguyen</t>
        </is>
      </c>
      <c r="D751" t="inlineStr">
        <is>
          <t>Santiago Nguyen</t>
        </is>
      </c>
      <c r="E751" t="n">
        <v>25</v>
      </c>
      <c r="F751" t="inlineStr">
        <is>
          <t>Apple Pay</t>
        </is>
      </c>
    </row>
    <row r="752">
      <c r="A752" s="78" t="n">
        <v>46329.53125</v>
      </c>
      <c r="B752" t="inlineStr">
        <is>
          <t>T103152</t>
        </is>
      </c>
      <c r="C752" t="inlineStr">
        <is>
          <t>Isabella Nguyen</t>
        </is>
      </c>
      <c r="D752" t="inlineStr">
        <is>
          <t>Leo Nguyen</t>
        </is>
      </c>
      <c r="E752" t="n">
        <v>50</v>
      </c>
      <c r="F752" t="inlineStr">
        <is>
          <t>Apple Pay</t>
        </is>
      </c>
    </row>
    <row r="753">
      <c r="A753" s="78" t="n">
        <v>46336.58333333334</v>
      </c>
      <c r="B753" t="inlineStr">
        <is>
          <t>T100924</t>
        </is>
      </c>
      <c r="C753" t="inlineStr">
        <is>
          <t>Emma Sanchez</t>
        </is>
      </c>
      <c r="D753" t="inlineStr">
        <is>
          <t>Harper Sanchez</t>
        </is>
      </c>
      <c r="E753" t="n">
        <v>25</v>
      </c>
      <c r="F753" t="inlineStr">
        <is>
          <t>Credit Card</t>
        </is>
      </c>
    </row>
    <row r="754">
      <c r="A754" s="78" t="n">
        <v>46327.90625</v>
      </c>
      <c r="B754" t="inlineStr">
        <is>
          <t>T102067</t>
        </is>
      </c>
      <c r="C754" t="inlineStr">
        <is>
          <t>Grace Reyes</t>
        </is>
      </c>
      <c r="D754" t="inlineStr">
        <is>
          <t>Henry Reyes</t>
        </is>
      </c>
      <c r="E754" t="n">
        <v>50</v>
      </c>
      <c r="F754" t="inlineStr">
        <is>
          <t>Apple Pay</t>
        </is>
      </c>
    </row>
    <row r="755">
      <c r="A755" s="78" t="n">
        <v>46338.51041666666</v>
      </c>
      <c r="B755" t="inlineStr">
        <is>
          <t>T101240</t>
        </is>
      </c>
      <c r="C755" t="inlineStr">
        <is>
          <t>Luna Hernandez</t>
        </is>
      </c>
      <c r="D755" t="inlineStr">
        <is>
          <t>Julian Hernandez</t>
        </is>
      </c>
      <c r="E755" t="n">
        <v>50</v>
      </c>
      <c r="F755" t="inlineStr">
        <is>
          <t>Credit Card</t>
        </is>
      </c>
    </row>
    <row r="756">
      <c r="A756" s="78" t="n">
        <v>46328.875</v>
      </c>
      <c r="B756" t="inlineStr">
        <is>
          <t>T103831</t>
        </is>
      </c>
      <c r="C756" t="inlineStr">
        <is>
          <t>Thomas Williams</t>
        </is>
      </c>
      <c r="D756" t="inlineStr">
        <is>
          <t>Amelia Williams</t>
        </is>
      </c>
      <c r="E756" t="n">
        <v>75</v>
      </c>
      <c r="F756" t="inlineStr">
        <is>
          <t>Apple Pay</t>
        </is>
      </c>
    </row>
    <row r="757">
      <c r="A757" s="78" t="n">
        <v>46335.70833333334</v>
      </c>
      <c r="B757" t="inlineStr">
        <is>
          <t>T102438</t>
        </is>
      </c>
      <c r="C757" t="inlineStr">
        <is>
          <t>Evelyn Chavez</t>
        </is>
      </c>
      <c r="D757" t="inlineStr">
        <is>
          <t>Grace Chavez</t>
        </is>
      </c>
      <c r="E757" t="n">
        <v>50</v>
      </c>
      <c r="F757" t="inlineStr">
        <is>
          <t>Apple Pay</t>
        </is>
      </c>
    </row>
    <row r="758">
      <c r="A758" s="78" t="n">
        <v>46334.625</v>
      </c>
      <c r="B758" t="inlineStr">
        <is>
          <t>T103132</t>
        </is>
      </c>
      <c r="C758" t="inlineStr">
        <is>
          <t>Valentina Nguyen</t>
        </is>
      </c>
      <c r="D758" t="inlineStr">
        <is>
          <t>Aria Nguyen</t>
        </is>
      </c>
      <c r="E758" t="n">
        <v>150</v>
      </c>
      <c r="F758" t="inlineStr">
        <is>
          <t>Credit Card</t>
        </is>
      </c>
    </row>
    <row r="759">
      <c r="A759" s="78" t="n">
        <v>46332.51041666666</v>
      </c>
      <c r="B759" t="inlineStr">
        <is>
          <t>T101845</t>
        </is>
      </c>
      <c r="C759" t="inlineStr">
        <is>
          <t>Samuel Perez</t>
        </is>
      </c>
      <c r="D759" t="inlineStr">
        <is>
          <t>Clara Perez</t>
        </is>
      </c>
      <c r="E759" t="n">
        <v>25</v>
      </c>
      <c r="F759" t="inlineStr">
        <is>
          <t>Apple Pay</t>
        </is>
      </c>
    </row>
    <row r="760">
      <c r="A760" s="78" t="n">
        <v>46335.85416666666</v>
      </c>
      <c r="B760" t="inlineStr">
        <is>
          <t>T102968</t>
        </is>
      </c>
      <c r="C760" t="inlineStr">
        <is>
          <t>Ava Brown</t>
        </is>
      </c>
      <c r="D760" t="inlineStr">
        <is>
          <t>Luna Brown</t>
        </is>
      </c>
      <c r="E760" t="n">
        <v>50</v>
      </c>
      <c r="F760" t="inlineStr">
        <is>
          <t>Apple Pay</t>
        </is>
      </c>
    </row>
    <row r="761">
      <c r="A761" s="78" t="n">
        <v>46330.83333333334</v>
      </c>
      <c r="B761" t="inlineStr">
        <is>
          <t>T100761</t>
        </is>
      </c>
      <c r="C761" t="inlineStr">
        <is>
          <t>Zoe Castillo</t>
        </is>
      </c>
      <c r="D761" t="inlineStr">
        <is>
          <t>Grace Castillo</t>
        </is>
      </c>
      <c r="E761" t="n">
        <v>100</v>
      </c>
      <c r="F761" t="inlineStr">
        <is>
          <t>Credit Card</t>
        </is>
      </c>
    </row>
    <row r="762">
      <c r="A762" s="78" t="n">
        <v>46328.73958333334</v>
      </c>
      <c r="B762" t="inlineStr">
        <is>
          <t>T102083</t>
        </is>
      </c>
      <c r="C762" t="inlineStr">
        <is>
          <t>Mia Kim</t>
        </is>
      </c>
      <c r="D762" t="inlineStr">
        <is>
          <t>Isabella Kim</t>
        </is>
      </c>
      <c r="E762" t="n">
        <v>20</v>
      </c>
      <c r="F762" t="inlineStr">
        <is>
          <t>Apple Pay</t>
        </is>
      </c>
    </row>
    <row r="763">
      <c r="A763" s="78" t="n">
        <v>46339.33333333334</v>
      </c>
      <c r="B763" t="inlineStr">
        <is>
          <t>T101170</t>
        </is>
      </c>
      <c r="C763" t="inlineStr">
        <is>
          <t>Valentina Nguyen</t>
        </is>
      </c>
      <c r="D763" t="inlineStr">
        <is>
          <t>Joseph Nguyen</t>
        </is>
      </c>
      <c r="E763" t="n">
        <v>25</v>
      </c>
      <c r="F763" t="inlineStr">
        <is>
          <t>Credit Card</t>
        </is>
      </c>
    </row>
    <row r="764">
      <c r="A764" s="78" t="n">
        <v>46334.44791666666</v>
      </c>
      <c r="B764" t="inlineStr">
        <is>
          <t>T103113</t>
        </is>
      </c>
      <c r="C764" t="inlineStr">
        <is>
          <t>Adrian Ruiz</t>
        </is>
      </c>
      <c r="D764" t="inlineStr">
        <is>
          <t>Lily Ruiz</t>
        </is>
      </c>
      <c r="E764" t="n">
        <v>50</v>
      </c>
      <c r="F764" t="inlineStr">
        <is>
          <t>Apple Pay</t>
        </is>
      </c>
    </row>
    <row r="765">
      <c r="A765" s="78" t="n">
        <v>46335.44791666666</v>
      </c>
      <c r="B765" t="inlineStr">
        <is>
          <t>T102051</t>
        </is>
      </c>
      <c r="C765" t="inlineStr">
        <is>
          <t>Noah Sullivan</t>
        </is>
      </c>
      <c r="D765" t="inlineStr">
        <is>
          <t>Samuel Sullivan</t>
        </is>
      </c>
      <c r="E765" t="n">
        <v>20</v>
      </c>
      <c r="F765" t="inlineStr">
        <is>
          <t>Credit Card</t>
        </is>
      </c>
    </row>
    <row r="766">
      <c r="A766" s="78" t="n">
        <v>46330.42708333334</v>
      </c>
      <c r="B766" t="inlineStr">
        <is>
          <t>T101719</t>
        </is>
      </c>
      <c r="C766" t="inlineStr">
        <is>
          <t>Clara Kelly</t>
        </is>
      </c>
      <c r="D766" t="inlineStr">
        <is>
          <t>Thomas Kelly</t>
        </is>
      </c>
      <c r="E766" t="n">
        <v>10</v>
      </c>
      <c r="F766" t="inlineStr">
        <is>
          <t>Apple Pay</t>
        </is>
      </c>
    </row>
    <row r="767">
      <c r="A767" s="78" t="n">
        <v>46335.40625</v>
      </c>
      <c r="B767" t="inlineStr">
        <is>
          <t>T105039</t>
        </is>
      </c>
      <c r="C767" t="inlineStr">
        <is>
          <t>Clara Flores</t>
        </is>
      </c>
      <c r="D767" t="inlineStr">
        <is>
          <t>Harper Flores</t>
        </is>
      </c>
      <c r="E767" t="n">
        <v>100</v>
      </c>
      <c r="F767" t="inlineStr">
        <is>
          <t>Apple Pay</t>
        </is>
      </c>
    </row>
    <row r="768">
      <c r="A768" s="78" t="n">
        <v>46330.88541666666</v>
      </c>
      <c r="B768" t="inlineStr">
        <is>
          <t>T102908</t>
        </is>
      </c>
      <c r="C768" t="inlineStr">
        <is>
          <t>Perez, Ava</t>
        </is>
      </c>
      <c r="D768" t="inlineStr">
        <is>
          <t>Ella Perez</t>
        </is>
      </c>
      <c r="E768" t="n">
        <v>150</v>
      </c>
      <c r="F768" t="inlineStr">
        <is>
          <t>Credit Card</t>
        </is>
      </c>
    </row>
    <row r="769">
      <c r="A769" s="78" t="n">
        <v>46334.5625</v>
      </c>
      <c r="B769" t="inlineStr">
        <is>
          <t>T102573</t>
        </is>
      </c>
      <c r="C769" t="inlineStr">
        <is>
          <t>Elena Castillo</t>
        </is>
      </c>
      <c r="D769" t="inlineStr">
        <is>
          <t>Leo Castillo</t>
        </is>
      </c>
      <c r="E769" t="n">
        <v>150</v>
      </c>
      <c r="F769" t="inlineStr">
        <is>
          <t>Credit Card</t>
        </is>
      </c>
    </row>
    <row r="770">
      <c r="A770" s="78" t="n">
        <v>46338.34375</v>
      </c>
      <c r="B770" t="inlineStr">
        <is>
          <t>T101232</t>
        </is>
      </c>
      <c r="C770" t="inlineStr">
        <is>
          <t>Daniel Lopez</t>
        </is>
      </c>
      <c r="D770" t="inlineStr">
        <is>
          <t>Aria Lopez</t>
        </is>
      </c>
      <c r="E770" t="n">
        <v>40</v>
      </c>
      <c r="F770" t="inlineStr">
        <is>
          <t>Apple Pay</t>
        </is>
      </c>
    </row>
    <row r="771">
      <c r="A771" s="78" t="n">
        <v>46325.33333333334</v>
      </c>
      <c r="B771" t="inlineStr">
        <is>
          <t>T104213</t>
        </is>
      </c>
      <c r="C771" t="inlineStr">
        <is>
          <t>Daniel Garcia</t>
        </is>
      </c>
      <c r="D771" t="inlineStr">
        <is>
          <t>Elijah Garcia</t>
        </is>
      </c>
      <c r="E771" t="n">
        <v>50</v>
      </c>
      <c r="F771" t="inlineStr">
        <is>
          <t>Credit Card</t>
        </is>
      </c>
    </row>
    <row r="772">
      <c r="A772" s="78" t="n">
        <v>46325.41666666666</v>
      </c>
      <c r="B772" t="inlineStr">
        <is>
          <t>T102027</t>
        </is>
      </c>
      <c r="C772" t="inlineStr">
        <is>
          <t>Thomas Williams</t>
        </is>
      </c>
      <c r="D772" t="inlineStr">
        <is>
          <t>Elena Williams</t>
        </is>
      </c>
      <c r="E772" t="n">
        <v>25</v>
      </c>
      <c r="F772" t="inlineStr">
        <is>
          <t>Credit Card</t>
        </is>
      </c>
    </row>
    <row r="773">
      <c r="A773" s="78" t="n">
        <v>46331.88541666666</v>
      </c>
      <c r="B773" t="inlineStr">
        <is>
          <t>T101780</t>
        </is>
      </c>
      <c r="C773" t="inlineStr">
        <is>
          <t>Lopez, Clara</t>
        </is>
      </c>
      <c r="D773" t="inlineStr">
        <is>
          <t>Harper Lopez</t>
        </is>
      </c>
      <c r="E773" t="n">
        <v>10</v>
      </c>
      <c r="F773" t="inlineStr">
        <is>
          <t>Credit Card</t>
        </is>
      </c>
    </row>
    <row r="774">
      <c r="A774" s="78" t="n">
        <v>46327.40625</v>
      </c>
      <c r="B774" t="inlineStr">
        <is>
          <t>T102325</t>
        </is>
      </c>
      <c r="C774" t="inlineStr">
        <is>
          <t>Santiago Ruiz</t>
        </is>
      </c>
      <c r="D774" t="inlineStr">
        <is>
          <t>Nora Ruiz</t>
        </is>
      </c>
      <c r="E774" t="n">
        <v>100</v>
      </c>
      <c r="F774" t="inlineStr">
        <is>
          <t>Credit Card</t>
        </is>
      </c>
    </row>
    <row r="775">
      <c r="A775" s="78" t="n">
        <v>46339.59375</v>
      </c>
      <c r="B775" t="inlineStr">
        <is>
          <t>T100432</t>
        </is>
      </c>
      <c r="C775" t="inlineStr">
        <is>
          <t>Noah Torres</t>
        </is>
      </c>
      <c r="D775" t="inlineStr">
        <is>
          <t>Daniel Torres</t>
        </is>
      </c>
      <c r="E775" t="n">
        <v>25</v>
      </c>
      <c r="F775" t="inlineStr">
        <is>
          <t>Credit Card</t>
        </is>
      </c>
    </row>
    <row r="776">
      <c r="A776" s="78" t="n">
        <v>46327.45833333334</v>
      </c>
      <c r="B776" t="inlineStr">
        <is>
          <t>T103003</t>
        </is>
      </c>
      <c r="C776" t="inlineStr">
        <is>
          <t>Clara Sanchez</t>
        </is>
      </c>
      <c r="D776" t="inlineStr">
        <is>
          <t>Elijah Sanchez</t>
        </is>
      </c>
      <c r="E776" t="n">
        <v>10</v>
      </c>
      <c r="F776" t="inlineStr">
        <is>
          <t>Credit Card</t>
        </is>
      </c>
    </row>
    <row r="777">
      <c r="A777" s="78" t="n">
        <v>46331.69791666666</v>
      </c>
      <c r="B777" t="inlineStr">
        <is>
          <t>T105177</t>
        </is>
      </c>
      <c r="C777" t="inlineStr">
        <is>
          <t>Lily Morales</t>
        </is>
      </c>
      <c r="D777" t="inlineStr">
        <is>
          <t>Elijah Morales</t>
        </is>
      </c>
      <c r="E777" t="n">
        <v>20</v>
      </c>
      <c r="F777" t="inlineStr">
        <is>
          <t>Apple Pay</t>
        </is>
      </c>
    </row>
    <row r="778">
      <c r="A778" s="78" t="n">
        <v>46330.35416666666</v>
      </c>
      <c r="B778" t="inlineStr">
        <is>
          <t>T101575</t>
        </is>
      </c>
      <c r="C778" t="inlineStr">
        <is>
          <t>Liam Rodriguez</t>
        </is>
      </c>
      <c r="D778" t="inlineStr">
        <is>
          <t>Gabriel Rodriguez</t>
        </is>
      </c>
      <c r="E778" t="n">
        <v>150</v>
      </c>
      <c r="F778" t="inlineStr">
        <is>
          <t>Credit Card</t>
        </is>
      </c>
    </row>
    <row r="779">
      <c r="A779" s="78" t="n">
        <v>46332.69791666666</v>
      </c>
      <c r="B779" t="inlineStr">
        <is>
          <t>T102214</t>
        </is>
      </c>
      <c r="C779" t="inlineStr">
        <is>
          <t>Julian Castillo</t>
        </is>
      </c>
      <c r="D779" t="inlineStr">
        <is>
          <t>Adrian Castillo</t>
        </is>
      </c>
      <c r="E779" t="n">
        <v>10</v>
      </c>
      <c r="F779" t="inlineStr">
        <is>
          <t>Apple Pay</t>
        </is>
      </c>
    </row>
    <row r="780">
      <c r="A780" s="78" t="n">
        <v>46339.80208333334</v>
      </c>
      <c r="B780" t="inlineStr">
        <is>
          <t>T101955</t>
        </is>
      </c>
      <c r="C780" t="inlineStr">
        <is>
          <t>Joseph Mendoza</t>
        </is>
      </c>
      <c r="D780" t="inlineStr">
        <is>
          <t>Mia Mendoza</t>
        </is>
      </c>
      <c r="E780" t="n">
        <v>10</v>
      </c>
      <c r="F780" t="inlineStr">
        <is>
          <t>Apple Pay</t>
        </is>
      </c>
    </row>
    <row r="781">
      <c r="A781" s="78" t="n">
        <v>46325.65625</v>
      </c>
      <c r="B781" t="inlineStr">
        <is>
          <t>T100662</t>
        </is>
      </c>
      <c r="C781" t="inlineStr">
        <is>
          <t>Chloe Torres</t>
        </is>
      </c>
      <c r="D781" t="inlineStr">
        <is>
          <t>Amelia Torres</t>
        </is>
      </c>
      <c r="E781" t="inlineStr">
        <is>
          <t>$25.00</t>
        </is>
      </c>
      <c r="F781" t="inlineStr">
        <is>
          <t>Apple Pay</t>
        </is>
      </c>
    </row>
    <row r="782">
      <c r="A782" s="78" t="n">
        <v>46335.67708333334</v>
      </c>
      <c r="B782" t="inlineStr">
        <is>
          <t>T104629</t>
        </is>
      </c>
      <c r="C782" t="inlineStr">
        <is>
          <t>Ella Nguyen</t>
        </is>
      </c>
      <c r="D782" t="inlineStr">
        <is>
          <t>Adrian Nguyen</t>
        </is>
      </c>
      <c r="E782" t="n">
        <v>25</v>
      </c>
      <c r="F782" t="inlineStr">
        <is>
          <t>Credit Card</t>
        </is>
      </c>
    </row>
    <row r="783">
      <c r="A783" s="78" t="n">
        <v>46326.67708333334</v>
      </c>
      <c r="B783" t="inlineStr">
        <is>
          <t>T100746</t>
        </is>
      </c>
      <c r="C783" t="inlineStr">
        <is>
          <t>Elena Castillo</t>
        </is>
      </c>
      <c r="D783" t="inlineStr">
        <is>
          <t>Nora Castillo</t>
        </is>
      </c>
      <c r="E783" t="n">
        <v>25</v>
      </c>
      <c r="F783" t="inlineStr">
        <is>
          <t>Apple Pay</t>
        </is>
      </c>
    </row>
    <row r="784">
      <c r="A784" s="78" t="n">
        <v>46327.30208333334</v>
      </c>
      <c r="B784" t="inlineStr">
        <is>
          <t>T104236</t>
        </is>
      </c>
      <c r="C784" t="inlineStr">
        <is>
          <t>Daniel Lopez</t>
        </is>
      </c>
      <c r="D784" t="inlineStr">
        <is>
          <t>Thomas Lopez</t>
        </is>
      </c>
      <c r="E784" t="n">
        <v>20</v>
      </c>
      <c r="F784" t="inlineStr">
        <is>
          <t>Credit Card</t>
        </is>
      </c>
    </row>
    <row r="785">
      <c r="A785" s="78" t="n">
        <v>46339.53125</v>
      </c>
      <c r="B785" t="inlineStr">
        <is>
          <t>T104081</t>
        </is>
      </c>
      <c r="C785" t="inlineStr">
        <is>
          <t>Harper Kelly</t>
        </is>
      </c>
      <c r="D785" t="inlineStr">
        <is>
          <t>Joseph Kelly</t>
        </is>
      </c>
      <c r="E785" t="inlineStr">
        <is>
          <t>$150.00</t>
        </is>
      </c>
      <c r="F785" t="inlineStr">
        <is>
          <t>Apple Pay</t>
        </is>
      </c>
    </row>
    <row r="786">
      <c r="A786" s="78" t="n">
        <v>46330.79166666666</v>
      </c>
      <c r="B786" t="inlineStr">
        <is>
          <t>T102430</t>
        </is>
      </c>
      <c r="C786" t="inlineStr">
        <is>
          <t>Aria Gonzalez</t>
        </is>
      </c>
      <c r="D786" t="inlineStr">
        <is>
          <t>Mia Gonzalez</t>
        </is>
      </c>
      <c r="E786" t="n">
        <v>10</v>
      </c>
      <c r="F786" t="inlineStr">
        <is>
          <t>Credit Card</t>
        </is>
      </c>
    </row>
    <row r="787">
      <c r="A787" s="78" t="n">
        <v>46331.64583333334</v>
      </c>
      <c r="B787" t="inlineStr">
        <is>
          <t>T104989</t>
        </is>
      </c>
      <c r="C787" t="inlineStr">
        <is>
          <t>Grace Garcia</t>
        </is>
      </c>
      <c r="D787" t="inlineStr">
        <is>
          <t>Benjamin Garcia</t>
        </is>
      </c>
      <c r="E787" t="inlineStr">
        <is>
          <t>$25.00</t>
        </is>
      </c>
      <c r="F787" t="inlineStr">
        <is>
          <t>Apple Pay</t>
        </is>
      </c>
    </row>
    <row r="788">
      <c r="A788" s="78" t="n">
        <v>46330.35416666666</v>
      </c>
      <c r="B788" t="inlineStr">
        <is>
          <t>T100623</t>
        </is>
      </c>
      <c r="C788" t="inlineStr">
        <is>
          <t>Nora Ramirez</t>
        </is>
      </c>
      <c r="D788" t="inlineStr">
        <is>
          <t>Luna Ramirez</t>
        </is>
      </c>
      <c r="E788" t="n">
        <v>150</v>
      </c>
      <c r="F788" t="inlineStr">
        <is>
          <t>Apple Pay</t>
        </is>
      </c>
    </row>
    <row r="789">
      <c r="A789" s="78" t="n">
        <v>46339.61458333334</v>
      </c>
      <c r="B789" t="inlineStr">
        <is>
          <t>T100760</t>
        </is>
      </c>
      <c r="C789" t="inlineStr">
        <is>
          <t>Clara Flores</t>
        </is>
      </c>
      <c r="D789" t="inlineStr">
        <is>
          <t>Noah Flores</t>
        </is>
      </c>
      <c r="E789" t="n">
        <v>20</v>
      </c>
      <c r="F789" t="inlineStr">
        <is>
          <t>Apple Pay</t>
        </is>
      </c>
    </row>
    <row r="790">
      <c r="A790" s="78" t="n">
        <v>46326.45833333334</v>
      </c>
      <c r="B790" t="inlineStr">
        <is>
          <t>T101413</t>
        </is>
      </c>
      <c r="C790" t="inlineStr">
        <is>
          <t>Julian Ramirez</t>
        </is>
      </c>
      <c r="D790" t="inlineStr">
        <is>
          <t>Leo Ramirez</t>
        </is>
      </c>
      <c r="E790" t="n">
        <v>25</v>
      </c>
      <c r="F790" t="inlineStr">
        <is>
          <t>Apple Pay</t>
        </is>
      </c>
    </row>
    <row r="791">
      <c r="A791" s="78" t="n">
        <v>46332.89583333334</v>
      </c>
      <c r="B791" t="inlineStr">
        <is>
          <t>T102996</t>
        </is>
      </c>
      <c r="C791" t="inlineStr">
        <is>
          <t>Diego Nguyen</t>
        </is>
      </c>
      <c r="D791" t="inlineStr">
        <is>
          <t>Ella Nguyen</t>
        </is>
      </c>
      <c r="E791" t="n">
        <v>25</v>
      </c>
      <c r="F791" t="inlineStr">
        <is>
          <t>Apple Pay</t>
        </is>
      </c>
    </row>
    <row r="792">
      <c r="A792" s="78" t="n">
        <v>46327.39583333334</v>
      </c>
      <c r="B792" t="inlineStr">
        <is>
          <t>T105440</t>
        </is>
      </c>
      <c r="C792" t="inlineStr">
        <is>
          <t>Ortiz, Zoe</t>
        </is>
      </c>
      <c r="D792" t="inlineStr">
        <is>
          <t>Diego Ortiz</t>
        </is>
      </c>
      <c r="E792" t="n">
        <v>75</v>
      </c>
      <c r="F792" t="inlineStr">
        <is>
          <t>Apple Pay</t>
        </is>
      </c>
    </row>
    <row r="793">
      <c r="A793" s="78" t="n">
        <v>46330.39583333334</v>
      </c>
      <c r="B793" t="inlineStr">
        <is>
          <t>T103585</t>
        </is>
      </c>
      <c r="C793" t="inlineStr">
        <is>
          <t>Aria Ramirez</t>
        </is>
      </c>
      <c r="D793" t="inlineStr">
        <is>
          <t>Grace Ramirez</t>
        </is>
      </c>
      <c r="E793" t="n">
        <v>100</v>
      </c>
      <c r="F793" t="inlineStr">
        <is>
          <t>Apple Pay</t>
        </is>
      </c>
    </row>
    <row r="794">
      <c r="A794" s="78" t="n">
        <v>46332.42708333334</v>
      </c>
      <c r="B794" t="inlineStr">
        <is>
          <t>T102288</t>
        </is>
      </c>
      <c r="C794" t="inlineStr">
        <is>
          <t>Ruiz, James</t>
        </is>
      </c>
      <c r="D794" t="inlineStr">
        <is>
          <t>Santiago Ruiz</t>
        </is>
      </c>
      <c r="E794" t="n">
        <v>150</v>
      </c>
      <c r="F794" t="inlineStr">
        <is>
          <t>Credit Card</t>
        </is>
      </c>
    </row>
    <row r="795">
      <c r="A795" s="78" t="n">
        <v>46327.36458333334</v>
      </c>
      <c r="B795" t="inlineStr">
        <is>
          <t>T100996</t>
        </is>
      </c>
      <c r="C795" t="inlineStr">
        <is>
          <t>Flores, Maya</t>
        </is>
      </c>
      <c r="D795" t="inlineStr">
        <is>
          <t>Ava Flores</t>
        </is>
      </c>
      <c r="E795" t="n">
        <v>50</v>
      </c>
      <c r="F795" t="inlineStr">
        <is>
          <t>Apple Pay</t>
        </is>
      </c>
    </row>
    <row r="796">
      <c r="A796" s="78" t="n">
        <v>46331.39583333334</v>
      </c>
      <c r="B796" t="inlineStr">
        <is>
          <t>T102947</t>
        </is>
      </c>
      <c r="C796" t="inlineStr">
        <is>
          <t>Lucas Mendoza</t>
        </is>
      </c>
      <c r="D796" t="inlineStr">
        <is>
          <t>Samuel Mendoza</t>
        </is>
      </c>
      <c r="E796" t="n">
        <v>75</v>
      </c>
      <c r="F796" t="inlineStr">
        <is>
          <t>Credit Card</t>
        </is>
      </c>
    </row>
    <row r="797">
      <c r="A797" s="78" t="n">
        <v>46333.76041666666</v>
      </c>
      <c r="B797" t="inlineStr">
        <is>
          <t>T101089</t>
        </is>
      </c>
      <c r="C797" t="inlineStr">
        <is>
          <t>Santiago Sullivan</t>
        </is>
      </c>
      <c r="D797" t="inlineStr">
        <is>
          <t>Evelyn Sullivan</t>
        </is>
      </c>
      <c r="E797" t="n">
        <v>20</v>
      </c>
      <c r="F797" t="inlineStr">
        <is>
          <t>Credit Card</t>
        </is>
      </c>
    </row>
    <row r="798">
      <c r="A798" s="78" t="n">
        <v>46328.6875</v>
      </c>
      <c r="B798" t="inlineStr">
        <is>
          <t>T101082</t>
        </is>
      </c>
      <c r="C798" t="inlineStr">
        <is>
          <t>Amelia Castillo</t>
        </is>
      </c>
      <c r="D798" t="inlineStr">
        <is>
          <t>Diego Castillo</t>
        </is>
      </c>
      <c r="E798" t="n">
        <v>50</v>
      </c>
      <c r="F798" t="inlineStr">
        <is>
          <t>Credit Card</t>
        </is>
      </c>
    </row>
    <row r="799">
      <c r="A799" s="78" t="n">
        <v>46328.4375</v>
      </c>
      <c r="B799" t="inlineStr">
        <is>
          <t>T101272</t>
        </is>
      </c>
      <c r="C799" t="inlineStr">
        <is>
          <t>Maya Walsh</t>
        </is>
      </c>
      <c r="D799" t="inlineStr">
        <is>
          <t>James Walsh</t>
        </is>
      </c>
      <c r="E799" t="n">
        <v>10</v>
      </c>
      <c r="F799" t="inlineStr">
        <is>
          <t>Apple Pay</t>
        </is>
      </c>
    </row>
    <row r="800">
      <c r="A800" s="78" t="n">
        <v>46339.72916666666</v>
      </c>
      <c r="B800" t="inlineStr">
        <is>
          <t>T101712</t>
        </is>
      </c>
      <c r="C800" t="inlineStr">
        <is>
          <t>Evelyn Diaz</t>
        </is>
      </c>
      <c r="D800" t="inlineStr">
        <is>
          <t>Harper Diaz</t>
        </is>
      </c>
      <c r="E800" t="n">
        <v>25</v>
      </c>
      <c r="F800" t="inlineStr">
        <is>
          <t>Apple Pay</t>
        </is>
      </c>
    </row>
    <row r="801">
      <c r="A801" s="78" t="n">
        <v>46329.76041666666</v>
      </c>
      <c r="B801" t="inlineStr">
        <is>
          <t>T103856</t>
        </is>
      </c>
      <c r="C801" t="inlineStr">
        <is>
          <t>Evelyn Hernandez</t>
        </is>
      </c>
      <c r="D801" t="inlineStr">
        <is>
          <t>Elijah Hernandez</t>
        </is>
      </c>
      <c r="E801" t="n">
        <v>75</v>
      </c>
      <c r="F801" t="inlineStr">
        <is>
          <t>Apple Pay</t>
        </is>
      </c>
    </row>
    <row r="802">
      <c r="A802" s="78" t="n">
        <v>46339.6875</v>
      </c>
      <c r="B802" t="inlineStr">
        <is>
          <t>T102011</t>
        </is>
      </c>
      <c r="C802" t="inlineStr">
        <is>
          <t>Elena Castillo</t>
        </is>
      </c>
      <c r="D802" t="inlineStr">
        <is>
          <t>David Castillo</t>
        </is>
      </c>
      <c r="E802" t="n">
        <v>10</v>
      </c>
      <c r="F802" t="inlineStr">
        <is>
          <t>Credit Card</t>
        </is>
      </c>
    </row>
    <row r="803">
      <c r="A803" s="78" t="n">
        <v>46334.42708333334</v>
      </c>
      <c r="B803" t="inlineStr">
        <is>
          <t>T103700</t>
        </is>
      </c>
      <c r="C803" t="inlineStr">
        <is>
          <t>Williams, Sofia</t>
        </is>
      </c>
      <c r="D803" t="inlineStr">
        <is>
          <t>Samuel Williams</t>
        </is>
      </c>
      <c r="E803" t="n">
        <v>40</v>
      </c>
      <c r="F803" t="inlineStr">
        <is>
          <t>Credit Card</t>
        </is>
      </c>
    </row>
    <row r="804">
      <c r="A804" s="78" t="n">
        <v>46338.32291666666</v>
      </c>
      <c r="B804" t="inlineStr">
        <is>
          <t>T100670</t>
        </is>
      </c>
      <c r="C804" t="inlineStr">
        <is>
          <t>Elena O'Brien</t>
        </is>
      </c>
      <c r="D804" t="inlineStr">
        <is>
          <t>Harper O'Brien</t>
        </is>
      </c>
      <c r="E804" t="n">
        <v>20</v>
      </c>
      <c r="F804" t="inlineStr">
        <is>
          <t>Apple Pay</t>
        </is>
      </c>
    </row>
    <row r="805">
      <c r="A805" s="78" t="n">
        <v>46335.80208333334</v>
      </c>
      <c r="B805" t="inlineStr">
        <is>
          <t>T103712</t>
        </is>
      </c>
      <c r="C805" t="inlineStr">
        <is>
          <t>Nora Ramirez</t>
        </is>
      </c>
      <c r="D805" t="inlineStr">
        <is>
          <t>Harper Ramirez</t>
        </is>
      </c>
      <c r="E805" t="n">
        <v>100</v>
      </c>
      <c r="F805" t="inlineStr">
        <is>
          <t>Credit Card</t>
        </is>
      </c>
    </row>
    <row r="806">
      <c r="A806" s="78" t="n">
        <v>46328.76041666666</v>
      </c>
      <c r="B806" t="inlineStr">
        <is>
          <t>T103068</t>
        </is>
      </c>
      <c r="C806" t="inlineStr">
        <is>
          <t>Thomas Williams</t>
        </is>
      </c>
      <c r="D806" t="inlineStr">
        <is>
          <t>Benjamin Williams</t>
        </is>
      </c>
      <c r="E806" t="n">
        <v>40</v>
      </c>
      <c r="F806" t="inlineStr">
        <is>
          <t>Apple Pay</t>
        </is>
      </c>
    </row>
    <row r="807">
      <c r="A807" s="78" t="n">
        <v>46325.73958333334</v>
      </c>
      <c r="B807" t="inlineStr">
        <is>
          <t>T100781</t>
        </is>
      </c>
      <c r="C807" t="inlineStr">
        <is>
          <t>Camila Patel</t>
        </is>
      </c>
      <c r="D807" t="inlineStr">
        <is>
          <t>Nicolas Patel</t>
        </is>
      </c>
      <c r="E807" t="n">
        <v>20</v>
      </c>
      <c r="F807" t="inlineStr">
        <is>
          <t>Apple Pay</t>
        </is>
      </c>
    </row>
    <row r="808">
      <c r="A808" s="78" t="n">
        <v>46327.73958333334</v>
      </c>
      <c r="B808" t="inlineStr">
        <is>
          <t>T104956</t>
        </is>
      </c>
      <c r="C808" t="inlineStr">
        <is>
          <t>Clara Murphy</t>
        </is>
      </c>
      <c r="D808" t="inlineStr">
        <is>
          <t>Amelia Murphy</t>
        </is>
      </c>
      <c r="E808" t="n">
        <v>150</v>
      </c>
      <c r="F808" t="inlineStr">
        <is>
          <t>Credit Card</t>
        </is>
      </c>
    </row>
    <row r="809">
      <c r="A809" s="78" t="n">
        <v>46329.85416666666</v>
      </c>
      <c r="B809" t="inlineStr">
        <is>
          <t>T102390</t>
        </is>
      </c>
      <c r="C809" t="inlineStr">
        <is>
          <t xml:space="preserve">  GABRIEL   chavez </t>
        </is>
      </c>
      <c r="D809" t="inlineStr">
        <is>
          <t>Harper Chavez</t>
        </is>
      </c>
      <c r="E809" t="n">
        <v>20</v>
      </c>
      <c r="F809" t="inlineStr">
        <is>
          <t>Apple Pay</t>
        </is>
      </c>
    </row>
    <row r="810">
      <c r="A810" s="78" t="n">
        <v>46332.40625</v>
      </c>
      <c r="B810" t="inlineStr">
        <is>
          <t>T100855</t>
        </is>
      </c>
      <c r="C810" t="inlineStr">
        <is>
          <t>Ella Rodriguez</t>
        </is>
      </c>
      <c r="D810" t="inlineStr">
        <is>
          <t>Benjamin Rodriguez</t>
        </is>
      </c>
      <c r="E810" t="n">
        <v>25</v>
      </c>
      <c r="F810" t="inlineStr">
        <is>
          <t>Apple Pay</t>
        </is>
      </c>
    </row>
    <row r="811">
      <c r="A811" s="78" t="n">
        <v>46337.38541666666</v>
      </c>
      <c r="B811" t="inlineStr">
        <is>
          <t>T100055</t>
        </is>
      </c>
      <c r="C811" t="inlineStr">
        <is>
          <t>Gutierrez, Harper</t>
        </is>
      </c>
      <c r="D811" t="inlineStr">
        <is>
          <t>Zoe Gutierrez</t>
        </is>
      </c>
      <c r="E811" t="n">
        <v>20</v>
      </c>
      <c r="F811" t="inlineStr">
        <is>
          <t>Credit Card</t>
        </is>
      </c>
    </row>
    <row r="812">
      <c r="A812" s="78" t="n">
        <v>46326.77083333334</v>
      </c>
      <c r="B812" t="inlineStr">
        <is>
          <t>T102751</t>
        </is>
      </c>
      <c r="C812" t="inlineStr">
        <is>
          <t>Aria Cruz</t>
        </is>
      </c>
      <c r="D812" t="inlineStr">
        <is>
          <t>Camila Cruz</t>
        </is>
      </c>
      <c r="E812" t="n">
        <v>25</v>
      </c>
      <c r="F812" t="inlineStr">
        <is>
          <t>Apple Pay</t>
        </is>
      </c>
    </row>
    <row r="813">
      <c r="A813" s="78" t="n">
        <v>46332.41666666666</v>
      </c>
      <c r="B813" t="inlineStr">
        <is>
          <t>T100371</t>
        </is>
      </c>
      <c r="C813" t="inlineStr">
        <is>
          <t>Maya Walsh</t>
        </is>
      </c>
      <c r="D813" t="inlineStr">
        <is>
          <t>Isabella Walsh</t>
        </is>
      </c>
      <c r="E813" t="n">
        <v>10</v>
      </c>
      <c r="F813" t="inlineStr">
        <is>
          <t>Apple Pay</t>
        </is>
      </c>
    </row>
    <row r="814">
      <c r="A814" s="78" t="n">
        <v>46334.84375</v>
      </c>
      <c r="B814" t="inlineStr">
        <is>
          <t>T100611</t>
        </is>
      </c>
      <c r="C814" t="inlineStr">
        <is>
          <t>Liam Nguyen</t>
        </is>
      </c>
      <c r="D814" t="inlineStr">
        <is>
          <t>Nora Nguyen</t>
        </is>
      </c>
      <c r="E814" t="n">
        <v>10</v>
      </c>
      <c r="F814" t="inlineStr">
        <is>
          <t>Credit Card</t>
        </is>
      </c>
    </row>
    <row r="815">
      <c r="A815" s="78" t="n">
        <v>46328.90625</v>
      </c>
      <c r="B815" t="inlineStr">
        <is>
          <t>T100199</t>
        </is>
      </c>
      <c r="C815" t="inlineStr">
        <is>
          <t>Samuel Perez</t>
        </is>
      </c>
      <c r="D815" t="inlineStr">
        <is>
          <t>Isaac Perez</t>
        </is>
      </c>
      <c r="E815" t="n">
        <v>25</v>
      </c>
      <c r="F815" t="inlineStr">
        <is>
          <t>Apple Pay</t>
        </is>
      </c>
    </row>
    <row r="816">
      <c r="A816" s="78" t="n">
        <v>46326.46875</v>
      </c>
      <c r="B816" t="inlineStr">
        <is>
          <t>T104406</t>
        </is>
      </c>
      <c r="C816" t="inlineStr">
        <is>
          <t xml:space="preserve">  MIA   brown </t>
        </is>
      </c>
      <c r="D816" t="inlineStr">
        <is>
          <t>Benjamin Brown</t>
        </is>
      </c>
      <c r="E816" t="n">
        <v>100</v>
      </c>
      <c r="F816" t="inlineStr">
        <is>
          <t>Credit Card</t>
        </is>
      </c>
    </row>
    <row r="817">
      <c r="A817" s="78" t="n">
        <v>46338.60416666666</v>
      </c>
      <c r="B817" t="inlineStr">
        <is>
          <t>T104682</t>
        </is>
      </c>
      <c r="C817" t="inlineStr">
        <is>
          <t>O'Brien, Daniel</t>
        </is>
      </c>
      <c r="D817" t="inlineStr">
        <is>
          <t>Elijah O'Brien</t>
        </is>
      </c>
      <c r="E817" t="n">
        <v>100</v>
      </c>
      <c r="F817" t="inlineStr">
        <is>
          <t>Credit Card</t>
        </is>
      </c>
    </row>
    <row r="818">
      <c r="A818" s="78" t="n">
        <v>46339.65625</v>
      </c>
      <c r="B818" t="inlineStr">
        <is>
          <t>T100241</t>
        </is>
      </c>
      <c r="C818" t="inlineStr">
        <is>
          <t>Daniel Garcia</t>
        </is>
      </c>
      <c r="D818" t="inlineStr">
        <is>
          <t>Santiago Garcia</t>
        </is>
      </c>
      <c r="E818" t="n">
        <v>100</v>
      </c>
      <c r="F818" t="inlineStr">
        <is>
          <t>Credit Card</t>
        </is>
      </c>
    </row>
    <row r="819">
      <c r="A819" t="inlineStr">
        <is>
          <t>11/05/2026 02:30 PM</t>
        </is>
      </c>
      <c r="B819" t="inlineStr">
        <is>
          <t>T102627</t>
        </is>
      </c>
      <c r="C819" t="inlineStr">
        <is>
          <t>Harper Diaz</t>
        </is>
      </c>
      <c r="D819" t="inlineStr">
        <is>
          <t>Lucas Diaz</t>
        </is>
      </c>
      <c r="E819" t="n">
        <v>10</v>
      </c>
      <c r="F819" t="inlineStr">
        <is>
          <t>Apple Pay</t>
        </is>
      </c>
    </row>
    <row r="820">
      <c r="A820" s="78" t="n">
        <v>46338.84375</v>
      </c>
      <c r="B820" t="inlineStr">
        <is>
          <t>T101916</t>
        </is>
      </c>
      <c r="C820" t="inlineStr">
        <is>
          <t>Amelia Sullivan</t>
        </is>
      </c>
      <c r="D820" t="inlineStr">
        <is>
          <t>Valentina Sullivan</t>
        </is>
      </c>
      <c r="E820" t="n">
        <v>100</v>
      </c>
      <c r="F820" t="inlineStr">
        <is>
          <t>Apple Pay</t>
        </is>
      </c>
    </row>
    <row r="821">
      <c r="A821" s="78" t="n">
        <v>46330.32291666666</v>
      </c>
      <c r="B821" t="inlineStr">
        <is>
          <t>T100970</t>
        </is>
      </c>
      <c r="C821" t="inlineStr">
        <is>
          <t>James Martinez</t>
        </is>
      </c>
      <c r="D821" t="inlineStr">
        <is>
          <t>Lucas Martinez</t>
        </is>
      </c>
      <c r="E821" t="n">
        <v>25</v>
      </c>
      <c r="F821" t="inlineStr">
        <is>
          <t>Apple Pay</t>
        </is>
      </c>
    </row>
    <row r="822">
      <c r="A822" s="78" t="n">
        <v>46326.30208333334</v>
      </c>
      <c r="B822" t="inlineStr">
        <is>
          <t>T101869</t>
        </is>
      </c>
      <c r="C822" t="inlineStr">
        <is>
          <t>Lucas Garcia</t>
        </is>
      </c>
      <c r="D822" t="inlineStr">
        <is>
          <t>Lucas Garcia</t>
        </is>
      </c>
      <c r="E822" t="n">
        <v>100</v>
      </c>
      <c r="F822" t="inlineStr">
        <is>
          <t>Credit Card</t>
        </is>
      </c>
    </row>
    <row r="823">
      <c r="A823" s="78" t="n">
        <v>46331.66666666666</v>
      </c>
      <c r="B823" t="inlineStr">
        <is>
          <t>T103184</t>
        </is>
      </c>
      <c r="C823" t="inlineStr">
        <is>
          <t>Mateo Mendoza</t>
        </is>
      </c>
      <c r="D823" t="inlineStr">
        <is>
          <t>Nicolas Mendoza</t>
        </is>
      </c>
      <c r="E823" t="n">
        <v>75</v>
      </c>
      <c r="F823" t="inlineStr">
        <is>
          <t>Apple Pay</t>
        </is>
      </c>
    </row>
    <row r="824">
      <c r="A824" s="78" t="n">
        <v>46331.45833333334</v>
      </c>
      <c r="B824" t="inlineStr">
        <is>
          <t>T103415</t>
        </is>
      </c>
      <c r="C824" t="inlineStr">
        <is>
          <t>Henry Brown</t>
        </is>
      </c>
      <c r="D824" t="inlineStr">
        <is>
          <t>Maya Brown</t>
        </is>
      </c>
      <c r="E824" t="n">
        <v>10</v>
      </c>
      <c r="F824" t="inlineStr">
        <is>
          <t>Credit Card</t>
        </is>
      </c>
    </row>
    <row r="825">
      <c r="A825" s="78" t="n">
        <v>46328.46875</v>
      </c>
      <c r="B825" t="inlineStr">
        <is>
          <t>T101864</t>
        </is>
      </c>
      <c r="C825" t="inlineStr">
        <is>
          <t>Ella Lopez</t>
        </is>
      </c>
      <c r="D825" t="inlineStr">
        <is>
          <t>Liam Lopez</t>
        </is>
      </c>
      <c r="E825" t="inlineStr">
        <is>
          <t>$75.00</t>
        </is>
      </c>
      <c r="F825" t="inlineStr">
        <is>
          <t>Credit Card</t>
        </is>
      </c>
    </row>
    <row r="826">
      <c r="A826" s="78" t="n">
        <v>46333.42708333334</v>
      </c>
      <c r="B826" t="inlineStr">
        <is>
          <t>T104208</t>
        </is>
      </c>
      <c r="C826" t="inlineStr">
        <is>
          <t>Liam Cruz</t>
        </is>
      </c>
      <c r="D826" t="inlineStr">
        <is>
          <t>Adrian Cruz</t>
        </is>
      </c>
      <c r="E826" t="n">
        <v>50</v>
      </c>
      <c r="F826" t="inlineStr">
        <is>
          <t>Apple Pay</t>
        </is>
      </c>
    </row>
    <row r="827">
      <c r="A827" s="78" t="n">
        <v>46329.48958333334</v>
      </c>
      <c r="B827" t="inlineStr">
        <is>
          <t>T104705</t>
        </is>
      </c>
      <c r="C827" t="inlineStr">
        <is>
          <t>Olivia Martinez</t>
        </is>
      </c>
      <c r="D827" t="inlineStr">
        <is>
          <t>Mateo Martinez</t>
        </is>
      </c>
      <c r="E827" t="n">
        <v>25</v>
      </c>
      <c r="F827" t="inlineStr">
        <is>
          <t>Credit Card</t>
        </is>
      </c>
    </row>
    <row r="828">
      <c r="A828" s="78" t="n">
        <v>46327.65625</v>
      </c>
      <c r="B828" t="inlineStr">
        <is>
          <t>T102727</t>
        </is>
      </c>
      <c r="C828" t="inlineStr">
        <is>
          <t>Amelia Sullivan</t>
        </is>
      </c>
      <c r="D828" t="inlineStr">
        <is>
          <t>Benjamin Sullivan</t>
        </is>
      </c>
      <c r="E828" t="n">
        <v>100</v>
      </c>
      <c r="F828" t="inlineStr">
        <is>
          <t>Apple Pay</t>
        </is>
      </c>
    </row>
    <row r="829">
      <c r="A829" s="78" t="n">
        <v>46328.72916666666</v>
      </c>
      <c r="B829" t="inlineStr">
        <is>
          <t>T100456</t>
        </is>
      </c>
      <c r="C829" t="inlineStr">
        <is>
          <t>Emma Walsh</t>
        </is>
      </c>
      <c r="D829" t="inlineStr">
        <is>
          <t>Leo Walsh</t>
        </is>
      </c>
      <c r="E829" t="n">
        <v>100</v>
      </c>
      <c r="F829" t="inlineStr">
        <is>
          <t>Credit Card</t>
        </is>
      </c>
    </row>
    <row r="830">
      <c r="A830" s="78" t="n">
        <v>46325.38541666666</v>
      </c>
      <c r="B830" t="inlineStr">
        <is>
          <t>T103439</t>
        </is>
      </c>
      <c r="C830" t="inlineStr">
        <is>
          <t>Thomas Kelly</t>
        </is>
      </c>
      <c r="D830" t="inlineStr">
        <is>
          <t>Ava Kelly</t>
        </is>
      </c>
      <c r="E830" t="n">
        <v>25</v>
      </c>
      <c r="F830" t="inlineStr">
        <is>
          <t>Credit Card</t>
        </is>
      </c>
    </row>
    <row r="831">
      <c r="A831" s="78" t="n">
        <v>46329.60416666666</v>
      </c>
      <c r="B831" t="inlineStr">
        <is>
          <t>T102784</t>
        </is>
      </c>
      <c r="C831" t="inlineStr">
        <is>
          <t>Santiago Sullivan</t>
        </is>
      </c>
      <c r="D831" t="inlineStr">
        <is>
          <t>Sofia Sullivan</t>
        </is>
      </c>
      <c r="E831" t="n">
        <v>25</v>
      </c>
      <c r="F831" t="inlineStr">
        <is>
          <t>Apple Pay</t>
        </is>
      </c>
    </row>
    <row r="832">
      <c r="A832" s="78" t="n">
        <v>46331.65625</v>
      </c>
      <c r="B832" t="inlineStr">
        <is>
          <t>T103468</t>
        </is>
      </c>
      <c r="C832" t="inlineStr">
        <is>
          <t>Ava Perez</t>
        </is>
      </c>
      <c r="D832" t="inlineStr">
        <is>
          <t>Julian Perez</t>
        </is>
      </c>
      <c r="E832" t="n">
        <v>100</v>
      </c>
      <c r="F832" t="inlineStr">
        <is>
          <t>Credit Card</t>
        </is>
      </c>
    </row>
    <row r="833">
      <c r="A833" s="78" t="n">
        <v>46339.70833333334</v>
      </c>
      <c r="B833" t="inlineStr">
        <is>
          <t>T102575</t>
        </is>
      </c>
      <c r="C833" t="inlineStr">
        <is>
          <t>Thomas Perez</t>
        </is>
      </c>
      <c r="D833" t="inlineStr">
        <is>
          <t>Ava Perez</t>
        </is>
      </c>
      <c r="E833" t="n">
        <v>150</v>
      </c>
      <c r="F833" t="inlineStr">
        <is>
          <t>Credit Card</t>
        </is>
      </c>
    </row>
    <row r="834">
      <c r="A834" s="78" t="n">
        <v>46338.66666666666</v>
      </c>
      <c r="B834" t="inlineStr">
        <is>
          <t>T104807</t>
        </is>
      </c>
      <c r="C834" t="inlineStr">
        <is>
          <t>Joseph Vasquez</t>
        </is>
      </c>
      <c r="D834" t="inlineStr">
        <is>
          <t>Grace Vasquez</t>
        </is>
      </c>
      <c r="E834" t="n">
        <v>10</v>
      </c>
      <c r="F834" t="inlineStr">
        <is>
          <t>Apple Pay</t>
        </is>
      </c>
    </row>
    <row r="835">
      <c r="A835" s="78" t="n">
        <v>46325.58333333334</v>
      </c>
      <c r="B835" t="inlineStr">
        <is>
          <t>T101290</t>
        </is>
      </c>
      <c r="C835" t="inlineStr">
        <is>
          <t>Lily Walsh</t>
        </is>
      </c>
      <c r="D835" t="inlineStr">
        <is>
          <t>Valentina Walsh</t>
        </is>
      </c>
      <c r="E835" t="inlineStr">
        <is>
          <t>$10.00</t>
        </is>
      </c>
      <c r="F835" t="inlineStr">
        <is>
          <t>Apple Pay</t>
        </is>
      </c>
    </row>
    <row r="836">
      <c r="A836" s="78" t="n">
        <v>46339.5625</v>
      </c>
      <c r="B836" t="inlineStr">
        <is>
          <t>T102210</t>
        </is>
      </c>
      <c r="C836" t="inlineStr">
        <is>
          <t>Diego Lopez</t>
        </is>
      </c>
      <c r="D836" t="inlineStr">
        <is>
          <t>Maya Lopez</t>
        </is>
      </c>
      <c r="E836" t="n">
        <v>25</v>
      </c>
      <c r="F836" t="inlineStr">
        <is>
          <t>Apple Pay</t>
        </is>
      </c>
    </row>
    <row r="837">
      <c r="A837" s="78" t="n">
        <v>46335.41666666666</v>
      </c>
      <c r="B837" t="inlineStr">
        <is>
          <t>T101247</t>
        </is>
      </c>
      <c r="C837" t="inlineStr">
        <is>
          <t xml:space="preserve">  JAMES   flores </t>
        </is>
      </c>
      <c r="D837" t="inlineStr">
        <is>
          <t>Leo Flores</t>
        </is>
      </c>
      <c r="E837" t="n">
        <v>20</v>
      </c>
      <c r="F837" t="inlineStr">
        <is>
          <t>Credit Card</t>
        </is>
      </c>
    </row>
    <row r="838">
      <c r="A838" t="inlineStr">
        <is>
          <t>11/11/2026 10:30 AM</t>
        </is>
      </c>
      <c r="B838" t="inlineStr">
        <is>
          <t>T102131</t>
        </is>
      </c>
      <c r="C838" t="inlineStr">
        <is>
          <t>Joseph Kelly</t>
        </is>
      </c>
      <c r="D838" t="inlineStr">
        <is>
          <t>Lucas Kelly</t>
        </is>
      </c>
      <c r="E838" t="n">
        <v>50</v>
      </c>
      <c r="F838" t="inlineStr">
        <is>
          <t>Apple Pay</t>
        </is>
      </c>
    </row>
    <row r="839">
      <c r="A839" s="78" t="n">
        <v>46325.4375</v>
      </c>
      <c r="B839" t="inlineStr">
        <is>
          <t>T100203</t>
        </is>
      </c>
      <c r="C839" t="inlineStr">
        <is>
          <t>Santiago Williams</t>
        </is>
      </c>
      <c r="D839" t="inlineStr">
        <is>
          <t>Elena Williams</t>
        </is>
      </c>
      <c r="E839" t="n">
        <v>20</v>
      </c>
      <c r="F839" t="inlineStr">
        <is>
          <t>Apple Pay</t>
        </is>
      </c>
    </row>
    <row r="840">
      <c r="A840" s="78" t="n">
        <v>46332.84375</v>
      </c>
      <c r="B840" t="inlineStr">
        <is>
          <t>T103172</t>
        </is>
      </c>
      <c r="C840" t="inlineStr">
        <is>
          <t>Benjamin Nguyen</t>
        </is>
      </c>
      <c r="D840" t="inlineStr">
        <is>
          <t>Diego Nguyen</t>
        </is>
      </c>
      <c r="E840" t="n">
        <v>100</v>
      </c>
      <c r="F840" t="inlineStr">
        <is>
          <t>Apple Pay</t>
        </is>
      </c>
    </row>
    <row r="841">
      <c r="A841" s="78" t="n">
        <v>46336.86458333334</v>
      </c>
      <c r="B841" t="inlineStr">
        <is>
          <t>T103432</t>
        </is>
      </c>
      <c r="C841" t="inlineStr">
        <is>
          <t>Julian Rodriguez</t>
        </is>
      </c>
      <c r="D841" t="inlineStr">
        <is>
          <t>Amelia Rodriguez</t>
        </is>
      </c>
      <c r="E841" t="n">
        <v>50</v>
      </c>
      <c r="F841" t="inlineStr">
        <is>
          <t>Credit Card</t>
        </is>
      </c>
    </row>
    <row r="842">
      <c r="A842" s="78" t="n">
        <v>46333.4375</v>
      </c>
      <c r="B842" t="inlineStr">
        <is>
          <t>T101645</t>
        </is>
      </c>
      <c r="C842" t="inlineStr">
        <is>
          <t>Adrian Gonzalez</t>
        </is>
      </c>
      <c r="D842" t="inlineStr">
        <is>
          <t>Isabella Gonzalez</t>
        </is>
      </c>
      <c r="E842" t="n">
        <v>100</v>
      </c>
      <c r="F842" t="inlineStr">
        <is>
          <t>Apple Pay</t>
        </is>
      </c>
    </row>
    <row r="843">
      <c r="A843" s="78" t="n">
        <v>46326.625</v>
      </c>
      <c r="B843" t="inlineStr">
        <is>
          <t>T104781</t>
        </is>
      </c>
      <c r="C843" t="inlineStr">
        <is>
          <t>Luna Hernandez</t>
        </is>
      </c>
      <c r="D843" t="inlineStr">
        <is>
          <t>Elijah Hernandez</t>
        </is>
      </c>
      <c r="E843" t="n">
        <v>50</v>
      </c>
      <c r="F843" t="inlineStr">
        <is>
          <t>Credit Card</t>
        </is>
      </c>
    </row>
    <row r="844">
      <c r="A844" s="78" t="n">
        <v>46334.38541666666</v>
      </c>
      <c r="B844" t="inlineStr">
        <is>
          <t>T101383</t>
        </is>
      </c>
      <c r="C844" t="inlineStr">
        <is>
          <t>Nora Patel</t>
        </is>
      </c>
      <c r="D844" t="inlineStr">
        <is>
          <t>Diego Patel</t>
        </is>
      </c>
      <c r="E844" t="n">
        <v>40</v>
      </c>
      <c r="F844" t="inlineStr">
        <is>
          <t>Credit Card</t>
        </is>
      </c>
    </row>
    <row r="845">
      <c r="A845" s="78" t="n">
        <v>46335.45833333334</v>
      </c>
      <c r="B845" t="inlineStr">
        <is>
          <t>T103552</t>
        </is>
      </c>
      <c r="C845" t="inlineStr">
        <is>
          <t>Gonzalez, Zoe</t>
        </is>
      </c>
      <c r="D845" t="inlineStr">
        <is>
          <t>Santiago Gonzalez</t>
        </is>
      </c>
      <c r="E845" t="n">
        <v>75</v>
      </c>
      <c r="F845" t="inlineStr">
        <is>
          <t>Apple Pay</t>
        </is>
      </c>
    </row>
    <row r="846">
      <c r="A846" s="78" t="n">
        <v>46329.60416666666</v>
      </c>
      <c r="B846" t="inlineStr">
        <is>
          <t>T103483</t>
        </is>
      </c>
      <c r="C846" t="inlineStr">
        <is>
          <t>Amelia Alvarez</t>
        </is>
      </c>
      <c r="D846" t="inlineStr">
        <is>
          <t>Gabriel Alvarez</t>
        </is>
      </c>
      <c r="E846" t="n">
        <v>75</v>
      </c>
      <c r="F846" t="inlineStr">
        <is>
          <t>Credit Card</t>
        </is>
      </c>
    </row>
    <row r="847">
      <c r="A847" s="78" t="n">
        <v>46338.54166666666</v>
      </c>
      <c r="B847" t="inlineStr">
        <is>
          <t>T103576</t>
        </is>
      </c>
      <c r="C847" t="inlineStr">
        <is>
          <t>Mia Kim</t>
        </is>
      </c>
      <c r="D847" t="inlineStr">
        <is>
          <t>Evelyn Kim</t>
        </is>
      </c>
      <c r="E847" t="n">
        <v>75</v>
      </c>
      <c r="F847" t="inlineStr">
        <is>
          <t>Apple Pay</t>
        </is>
      </c>
    </row>
    <row r="848">
      <c r="A848" s="78" t="n">
        <v>46339.45833333334</v>
      </c>
      <c r="B848" t="inlineStr">
        <is>
          <t>T103823</t>
        </is>
      </c>
      <c r="C848" t="inlineStr">
        <is>
          <t>Evelyn Gonzalez</t>
        </is>
      </c>
      <c r="D848" t="inlineStr">
        <is>
          <t>David Gonzalez</t>
        </is>
      </c>
      <c r="E848" t="n">
        <v>100</v>
      </c>
      <c r="F848" t="inlineStr">
        <is>
          <t>Apple Pay</t>
        </is>
      </c>
    </row>
    <row r="849">
      <c r="A849" t="inlineStr">
        <is>
          <t>10/30/2026 02:00 PM</t>
        </is>
      </c>
      <c r="B849" t="inlineStr">
        <is>
          <t>T101538</t>
        </is>
      </c>
      <c r="C849" t="inlineStr">
        <is>
          <t>Diego Patel</t>
        </is>
      </c>
      <c r="D849" t="inlineStr">
        <is>
          <t>Thomas Patel</t>
        </is>
      </c>
      <c r="E849" t="n">
        <v>100</v>
      </c>
      <c r="F849" t="inlineStr">
        <is>
          <t>Apple Pay</t>
        </is>
      </c>
    </row>
    <row r="850">
      <c r="A850" s="78" t="n">
        <v>46328.54166666666</v>
      </c>
      <c r="B850" t="inlineStr">
        <is>
          <t>T100250</t>
        </is>
      </c>
      <c r="C850" t="inlineStr">
        <is>
          <t>Mateo Gutierrez</t>
        </is>
      </c>
      <c r="D850" t="inlineStr">
        <is>
          <t>Ella Gutierrez</t>
        </is>
      </c>
      <c r="E850" t="n">
        <v>50</v>
      </c>
      <c r="F850" t="inlineStr">
        <is>
          <t>Apple Pay</t>
        </is>
      </c>
    </row>
    <row r="851">
      <c r="A851" s="78" t="n">
        <v>46326.375</v>
      </c>
      <c r="B851" t="inlineStr">
        <is>
          <t>T101316</t>
        </is>
      </c>
      <c r="C851" t="inlineStr">
        <is>
          <t>Bobby Tables</t>
        </is>
      </c>
      <c r="D851" t="inlineStr">
        <is>
          <t>Zoe Byrne</t>
        </is>
      </c>
      <c r="E851" t="n">
        <v>20</v>
      </c>
      <c r="F851" t="inlineStr">
        <is>
          <t>Apple Pay</t>
        </is>
      </c>
    </row>
    <row r="852">
      <c r="A852" s="78" t="n">
        <v>46326.85416666666</v>
      </c>
      <c r="B852" t="inlineStr">
        <is>
          <t>T102156</t>
        </is>
      </c>
      <c r="C852" t="inlineStr">
        <is>
          <t>Leo Vasquez</t>
        </is>
      </c>
      <c r="D852" t="inlineStr">
        <is>
          <t>Zoe Vasquez</t>
        </is>
      </c>
      <c r="E852" t="n">
        <v>50</v>
      </c>
      <c r="F852" t="inlineStr">
        <is>
          <t>Credit Card</t>
        </is>
      </c>
    </row>
    <row r="853">
      <c r="A853" s="78" t="n">
        <v>46328.3125</v>
      </c>
      <c r="B853" t="inlineStr">
        <is>
          <t>T102354</t>
        </is>
      </c>
      <c r="C853" t="inlineStr">
        <is>
          <t>Aria Torres</t>
        </is>
      </c>
      <c r="D853" t="inlineStr">
        <is>
          <t>Isaac Torres</t>
        </is>
      </c>
      <c r="E853" t="n">
        <v>50</v>
      </c>
      <c r="F853" t="inlineStr">
        <is>
          <t>Credit Card</t>
        </is>
      </c>
    </row>
    <row r="854">
      <c r="A854" s="78" t="n">
        <v>46331.90625</v>
      </c>
      <c r="B854" t="inlineStr">
        <is>
          <t>T103077</t>
        </is>
      </c>
      <c r="C854" t="inlineStr">
        <is>
          <t>Ella Diaz</t>
        </is>
      </c>
      <c r="D854" t="inlineStr">
        <is>
          <t>Adrian Diaz</t>
        </is>
      </c>
      <c r="E854" t="n">
        <v>100</v>
      </c>
      <c r="F854" t="inlineStr">
        <is>
          <t>Apple Pay</t>
        </is>
      </c>
    </row>
    <row r="855">
      <c r="A855" s="78" t="n">
        <v>46336.55208333334</v>
      </c>
      <c r="B855" t="inlineStr">
        <is>
          <t>T102545</t>
        </is>
      </c>
      <c r="C855" t="inlineStr">
        <is>
          <t>Joseph Nguyen</t>
        </is>
      </c>
      <c r="D855" t="inlineStr">
        <is>
          <t>Maya Nguyen</t>
        </is>
      </c>
      <c r="E855" t="n">
        <v>50</v>
      </c>
      <c r="F855" t="inlineStr">
        <is>
          <t>Apple Pay</t>
        </is>
      </c>
    </row>
    <row r="856">
      <c r="A856" s="78" t="n">
        <v>46332.39583333334</v>
      </c>
      <c r="B856" t="inlineStr">
        <is>
          <t>T100009</t>
        </is>
      </c>
      <c r="C856" t="inlineStr">
        <is>
          <t>Santiago Castillo</t>
        </is>
      </c>
      <c r="D856" t="inlineStr">
        <is>
          <t>Isaac Castillo</t>
        </is>
      </c>
      <c r="E856" t="n">
        <v>25</v>
      </c>
      <c r="F856" t="inlineStr">
        <is>
          <t>Apple Pay</t>
        </is>
      </c>
    </row>
    <row r="857">
      <c r="A857" s="78" t="n">
        <v>46326.29166666666</v>
      </c>
      <c r="B857" t="inlineStr">
        <is>
          <t>T100545</t>
        </is>
      </c>
      <c r="C857" t="inlineStr">
        <is>
          <t>Mia Patel</t>
        </is>
      </c>
      <c r="D857" t="inlineStr">
        <is>
          <t>Isaac Patel</t>
        </is>
      </c>
      <c r="E857" t="n">
        <v>50</v>
      </c>
      <c r="F857" t="inlineStr">
        <is>
          <t>Apple Pay</t>
        </is>
      </c>
    </row>
    <row r="858">
      <c r="A858" s="78" t="n">
        <v>46330.52083333334</v>
      </c>
      <c r="B858" t="inlineStr">
        <is>
          <t>T101677</t>
        </is>
      </c>
      <c r="C858" t="inlineStr">
        <is>
          <t>Amelia Flores</t>
        </is>
      </c>
      <c r="D858" t="inlineStr">
        <is>
          <t>Noah Flores</t>
        </is>
      </c>
      <c r="E858" t="n">
        <v>150</v>
      </c>
      <c r="F858" t="inlineStr">
        <is>
          <t>Credit Card</t>
        </is>
      </c>
    </row>
    <row r="859">
      <c r="A859" s="78" t="n">
        <v>46325.90625</v>
      </c>
      <c r="B859" t="inlineStr">
        <is>
          <t>T101509</t>
        </is>
      </c>
      <c r="C859" t="inlineStr">
        <is>
          <t>Noah Gomez</t>
        </is>
      </c>
      <c r="D859" t="inlineStr">
        <is>
          <t>James Gomez</t>
        </is>
      </c>
      <c r="E859" t="n">
        <v>20</v>
      </c>
      <c r="F859" t="inlineStr">
        <is>
          <t>Apple Pay</t>
        </is>
      </c>
    </row>
    <row r="860">
      <c r="A860" s="78" t="n">
        <v>46334.4375</v>
      </c>
      <c r="B860" t="inlineStr">
        <is>
          <t>T102788</t>
        </is>
      </c>
      <c r="C860" t="inlineStr">
        <is>
          <t>Emma Sanchez</t>
        </is>
      </c>
      <c r="D860" t="inlineStr">
        <is>
          <t>Liam Sanchez</t>
        </is>
      </c>
      <c r="E860" t="n">
        <v>50</v>
      </c>
      <c r="F860" t="inlineStr">
        <is>
          <t>Apple Pay</t>
        </is>
      </c>
    </row>
    <row r="861">
      <c r="A861" s="78" t="n">
        <v>46331.83333333334</v>
      </c>
      <c r="B861" t="inlineStr">
        <is>
          <t>T104927</t>
        </is>
      </c>
      <c r="C861" t="inlineStr">
        <is>
          <t>Chavez, Harper</t>
        </is>
      </c>
      <c r="D861" t="inlineStr">
        <is>
          <t>Diego Chavez</t>
        </is>
      </c>
      <c r="E861" t="n">
        <v>25</v>
      </c>
      <c r="F861" t="inlineStr">
        <is>
          <t>Apple Pay</t>
        </is>
      </c>
    </row>
    <row r="862">
      <c r="A862" s="78" t="n">
        <v>46330.5</v>
      </c>
      <c r="B862" t="inlineStr">
        <is>
          <t>T102792</t>
        </is>
      </c>
      <c r="C862" t="inlineStr">
        <is>
          <t>Mateo Mendoza</t>
        </is>
      </c>
      <c r="D862" t="inlineStr">
        <is>
          <t>Harper Mendoza</t>
        </is>
      </c>
      <c r="E862" t="n">
        <v>10</v>
      </c>
      <c r="F862" t="inlineStr">
        <is>
          <t>Apple Pay</t>
        </is>
      </c>
    </row>
    <row r="863">
      <c r="A863" s="78" t="n">
        <v>46335.54166666666</v>
      </c>
      <c r="B863" t="inlineStr">
        <is>
          <t>T100365</t>
        </is>
      </c>
      <c r="C863" t="inlineStr">
        <is>
          <t>Amelia Ortiz</t>
        </is>
      </c>
      <c r="D863" t="inlineStr">
        <is>
          <t>Sofia Ortiz</t>
        </is>
      </c>
      <c r="E863" t="n">
        <v>10</v>
      </c>
      <c r="F863" t="inlineStr">
        <is>
          <t>Credit Card</t>
        </is>
      </c>
    </row>
    <row r="864">
      <c r="A864" s="78" t="n">
        <v>46339.625</v>
      </c>
      <c r="B864" t="inlineStr">
        <is>
          <t>T104775</t>
        </is>
      </c>
      <c r="C864" t="inlineStr">
        <is>
          <t>Torres, Maya</t>
        </is>
      </c>
      <c r="D864" t="inlineStr">
        <is>
          <t>Benjamin Torres</t>
        </is>
      </c>
      <c r="E864" t="n">
        <v>50</v>
      </c>
      <c r="F864" t="inlineStr">
        <is>
          <t>Apple Pay</t>
        </is>
      </c>
    </row>
    <row r="865">
      <c r="A865" s="78" t="n">
        <v>46336.53125</v>
      </c>
      <c r="B865" t="inlineStr">
        <is>
          <t>T102774</t>
        </is>
      </c>
      <c r="C865" t="inlineStr">
        <is>
          <t>Rivera, Nicolas</t>
        </is>
      </c>
      <c r="D865" t="inlineStr">
        <is>
          <t>Julian Rivera</t>
        </is>
      </c>
      <c r="E865" t="n">
        <v>75</v>
      </c>
      <c r="F865" t="inlineStr">
        <is>
          <t>Credit Card</t>
        </is>
      </c>
    </row>
    <row r="866">
      <c r="A866" s="78" t="n">
        <v>46338.63541666666</v>
      </c>
      <c r="B866" t="inlineStr">
        <is>
          <t>T100801</t>
        </is>
      </c>
      <c r="C866" t="inlineStr">
        <is>
          <t>Joseph Ramos</t>
        </is>
      </c>
      <c r="D866" t="inlineStr">
        <is>
          <t>Olivia Ramos</t>
        </is>
      </c>
      <c r="E866" t="n">
        <v>20</v>
      </c>
      <c r="F866" t="inlineStr">
        <is>
          <t>Apple Pay</t>
        </is>
      </c>
    </row>
    <row r="867">
      <c r="A867" s="78" t="n">
        <v>46334.32291666666</v>
      </c>
      <c r="B867" t="inlineStr">
        <is>
          <t>T101926</t>
        </is>
      </c>
      <c r="C867" t="inlineStr">
        <is>
          <t>Grace O'Brien</t>
        </is>
      </c>
      <c r="D867" t="inlineStr">
        <is>
          <t>Zoe O'Brien</t>
        </is>
      </c>
      <c r="E867" t="n">
        <v>150</v>
      </c>
      <c r="F867" t="inlineStr">
        <is>
          <t>Apple Pay</t>
        </is>
      </c>
    </row>
    <row r="868">
      <c r="A868" s="78" t="n">
        <v>46335.73958333334</v>
      </c>
      <c r="B868" t="inlineStr">
        <is>
          <t>T102507</t>
        </is>
      </c>
      <c r="C868" t="inlineStr">
        <is>
          <t xml:space="preserve">  EVELYN   rodriguez </t>
        </is>
      </c>
      <c r="D868" t="inlineStr">
        <is>
          <t>David Rodriguez</t>
        </is>
      </c>
      <c r="E868" t="n">
        <v>100</v>
      </c>
      <c r="F868" t="inlineStr">
        <is>
          <t>Apple Pay</t>
        </is>
      </c>
    </row>
    <row r="869">
      <c r="A869" s="78" t="n">
        <v>46338.33333333334</v>
      </c>
      <c r="B869" t="inlineStr">
        <is>
          <t>T102184</t>
        </is>
      </c>
      <c r="C869" t="inlineStr">
        <is>
          <t>Evelyn Ortiz</t>
        </is>
      </c>
      <c r="D869" t="inlineStr">
        <is>
          <t>Elena Ortiz</t>
        </is>
      </c>
      <c r="E869" t="inlineStr">
        <is>
          <t>$10.00</t>
        </is>
      </c>
      <c r="F869" t="inlineStr">
        <is>
          <t>Apple Pay</t>
        </is>
      </c>
    </row>
    <row r="870">
      <c r="A870" s="78" t="n">
        <v>46339.65625</v>
      </c>
      <c r="B870" t="inlineStr">
        <is>
          <t>T104858</t>
        </is>
      </c>
      <c r="C870" t="inlineStr">
        <is>
          <t>Thomas Ramirez</t>
        </is>
      </c>
      <c r="D870" t="inlineStr">
        <is>
          <t>Santiago Ramirez</t>
        </is>
      </c>
      <c r="E870" t="n">
        <v>50</v>
      </c>
      <c r="F870" t="inlineStr">
        <is>
          <t>Credit Card</t>
        </is>
      </c>
    </row>
    <row r="871">
      <c r="A871" s="78" t="n">
        <v>46338.59375</v>
      </c>
      <c r="B871" t="inlineStr">
        <is>
          <t>T102940</t>
        </is>
      </c>
      <c r="C871" t="inlineStr">
        <is>
          <t>Nora Kim</t>
        </is>
      </c>
      <c r="D871" t="inlineStr">
        <is>
          <t>Emma Kim</t>
        </is>
      </c>
      <c r="E871" t="n">
        <v>25</v>
      </c>
      <c r="F871" t="inlineStr">
        <is>
          <t>Credit Card</t>
        </is>
      </c>
    </row>
    <row r="872">
      <c r="A872" s="78" t="n">
        <v>46332.71875</v>
      </c>
      <c r="B872" t="inlineStr">
        <is>
          <t>T104038</t>
        </is>
      </c>
      <c r="C872" t="inlineStr">
        <is>
          <t>Evelyn Perez</t>
        </is>
      </c>
      <c r="D872" t="inlineStr">
        <is>
          <t>Leo Perez</t>
        </is>
      </c>
      <c r="E872" t="n">
        <v>100</v>
      </c>
      <c r="F872" t="inlineStr">
        <is>
          <t>Credit Card</t>
        </is>
      </c>
    </row>
    <row r="873">
      <c r="A873" s="78" t="n">
        <v>46332.34375</v>
      </c>
      <c r="B873" t="inlineStr">
        <is>
          <t>T103905</t>
        </is>
      </c>
      <c r="C873" t="inlineStr">
        <is>
          <t>Noah Gomez</t>
        </is>
      </c>
      <c r="D873" t="inlineStr">
        <is>
          <t>Luna Gomez</t>
        </is>
      </c>
      <c r="E873" t="n">
        <v>25</v>
      </c>
      <c r="F873" t="inlineStr">
        <is>
          <t>Apple Pay</t>
        </is>
      </c>
    </row>
    <row r="874">
      <c r="A874" s="78" t="n">
        <v>46336.34375</v>
      </c>
      <c r="B874" t="inlineStr">
        <is>
          <t>T100811</t>
        </is>
      </c>
      <c r="C874" t="inlineStr">
        <is>
          <t>James Ruiz</t>
        </is>
      </c>
      <c r="D874" t="inlineStr">
        <is>
          <t>Lily Ruiz</t>
        </is>
      </c>
      <c r="E874" t="n">
        <v>50</v>
      </c>
      <c r="F874" t="inlineStr">
        <is>
          <t>Credit Card</t>
        </is>
      </c>
    </row>
    <row r="875">
      <c r="A875" s="78" t="n">
        <v>46334.30208333334</v>
      </c>
      <c r="B875" t="inlineStr">
        <is>
          <t>T105220</t>
        </is>
      </c>
      <c r="C875" t="inlineStr">
        <is>
          <t>Henry Alvarez</t>
        </is>
      </c>
      <c r="D875" t="inlineStr">
        <is>
          <t>Ella Alvarez</t>
        </is>
      </c>
      <c r="E875" t="n">
        <v>50</v>
      </c>
      <c r="F875" t="inlineStr">
        <is>
          <t>Credit Card</t>
        </is>
      </c>
    </row>
    <row r="876">
      <c r="A876" s="78" t="n">
        <v>46331.51041666666</v>
      </c>
      <c r="B876" t="inlineStr">
        <is>
          <t>T102133</t>
        </is>
      </c>
      <c r="C876" t="inlineStr">
        <is>
          <t>Castillo, Julian</t>
        </is>
      </c>
      <c r="D876" t="inlineStr">
        <is>
          <t>Sofia Castillo</t>
        </is>
      </c>
      <c r="E876" t="n">
        <v>25</v>
      </c>
      <c r="F876" t="inlineStr">
        <is>
          <t>Apple Pay</t>
        </is>
      </c>
    </row>
    <row r="877">
      <c r="A877" t="inlineStr">
        <is>
          <t>11/13/2026 12:30 PM</t>
        </is>
      </c>
      <c r="B877" t="inlineStr">
        <is>
          <t>T100917</t>
        </is>
      </c>
      <c r="C877" t="inlineStr">
        <is>
          <t>Daniel Lopez</t>
        </is>
      </c>
      <c r="D877" t="inlineStr">
        <is>
          <t>Elena Lopez</t>
        </is>
      </c>
      <c r="E877" t="n">
        <v>20</v>
      </c>
      <c r="F877" t="inlineStr">
        <is>
          <t>Credit Card</t>
        </is>
      </c>
    </row>
    <row r="878">
      <c r="A878" s="78" t="n">
        <v>46338.90625</v>
      </c>
      <c r="B878" t="inlineStr">
        <is>
          <t>T100655</t>
        </is>
      </c>
      <c r="C878" t="inlineStr">
        <is>
          <t>Adrian Byrne</t>
        </is>
      </c>
      <c r="D878" t="inlineStr">
        <is>
          <t>Emma Byrne</t>
        </is>
      </c>
      <c r="E878" t="n">
        <v>25</v>
      </c>
      <c r="F878" t="inlineStr">
        <is>
          <t>Credit Card</t>
        </is>
      </c>
    </row>
    <row r="879">
      <c r="A879" s="78" t="n">
        <v>46333.30208333334</v>
      </c>
      <c r="B879" t="inlineStr">
        <is>
          <t>T104178</t>
        </is>
      </c>
      <c r="C879" t="inlineStr">
        <is>
          <t>O'Brien, Evelyn</t>
        </is>
      </c>
      <c r="D879" t="inlineStr">
        <is>
          <t>Emma O'Brien</t>
        </is>
      </c>
      <c r="E879" t="inlineStr">
        <is>
          <t>$100.00</t>
        </is>
      </c>
      <c r="F879" t="inlineStr">
        <is>
          <t>Credit Card</t>
        </is>
      </c>
    </row>
    <row r="880">
      <c r="A880" t="inlineStr">
        <is>
          <t>11/08/2026 03:45 PM</t>
        </is>
      </c>
      <c r="B880" t="inlineStr">
        <is>
          <t>T100424</t>
        </is>
      </c>
      <c r="C880" t="inlineStr">
        <is>
          <t>Kelly, Thomas</t>
        </is>
      </c>
      <c r="D880" t="inlineStr">
        <is>
          <t>Diego Kelly</t>
        </is>
      </c>
      <c r="E880" t="n">
        <v>25</v>
      </c>
      <c r="F880" t="inlineStr">
        <is>
          <t>Apple Pay</t>
        </is>
      </c>
    </row>
    <row r="881">
      <c r="A881" s="78" t="n">
        <v>46326.75</v>
      </c>
      <c r="B881" t="inlineStr">
        <is>
          <t>T103318</t>
        </is>
      </c>
      <c r="C881" t="inlineStr">
        <is>
          <t>David Vasquez</t>
        </is>
      </c>
      <c r="D881" t="inlineStr">
        <is>
          <t>Benjamin Vasquez</t>
        </is>
      </c>
      <c r="E881" t="n">
        <v>50</v>
      </c>
      <c r="F881" t="inlineStr">
        <is>
          <t>Apple Pay</t>
        </is>
      </c>
    </row>
    <row r="882">
      <c r="A882" s="78" t="n">
        <v>46335.86458333334</v>
      </c>
      <c r="B882" t="inlineStr">
        <is>
          <t>T102653</t>
        </is>
      </c>
      <c r="C882" t="inlineStr">
        <is>
          <t>Leo Ramirez</t>
        </is>
      </c>
      <c r="D882" t="inlineStr">
        <is>
          <t>Evelyn Ramirez</t>
        </is>
      </c>
      <c r="E882" t="n">
        <v>100</v>
      </c>
      <c r="F882" t="inlineStr">
        <is>
          <t>Apple Pay</t>
        </is>
      </c>
    </row>
    <row r="883">
      <c r="A883" t="inlineStr">
        <is>
          <t>11/06/2026 01:45 PM</t>
        </is>
      </c>
      <c r="B883" t="inlineStr">
        <is>
          <t>T101989</t>
        </is>
      </c>
      <c r="C883" t="inlineStr">
        <is>
          <t>Isaac Alvarez</t>
        </is>
      </c>
      <c r="D883" t="inlineStr">
        <is>
          <t>Ava Alvarez</t>
        </is>
      </c>
      <c r="E883" t="n">
        <v>25</v>
      </c>
      <c r="F883" t="inlineStr">
        <is>
          <t>Credit Card</t>
        </is>
      </c>
    </row>
    <row r="884">
      <c r="A884" s="78" t="n">
        <v>46325.29166666666</v>
      </c>
      <c r="B884" t="inlineStr">
        <is>
          <t>T100618</t>
        </is>
      </c>
      <c r="C884" t="inlineStr">
        <is>
          <t>Noah Sullivan</t>
        </is>
      </c>
      <c r="D884" t="inlineStr">
        <is>
          <t>Ella Sullivan</t>
        </is>
      </c>
      <c r="E884" t="n">
        <v>25</v>
      </c>
      <c r="F884" t="inlineStr">
        <is>
          <t>Apple Pay</t>
        </is>
      </c>
    </row>
    <row r="885">
      <c r="A885" s="78" t="n">
        <v>46339.84375</v>
      </c>
      <c r="B885" t="inlineStr">
        <is>
          <t>T104218</t>
        </is>
      </c>
      <c r="C885" t="inlineStr">
        <is>
          <t>Leo Gutierrez</t>
        </is>
      </c>
      <c r="D885" t="inlineStr">
        <is>
          <t>Liam Gutierrez</t>
        </is>
      </c>
      <c r="E885" t="n">
        <v>20</v>
      </c>
      <c r="F885" t="inlineStr">
        <is>
          <t>Credit Card</t>
        </is>
      </c>
    </row>
    <row r="886">
      <c r="A886" s="78" t="n">
        <v>46326.34375</v>
      </c>
      <c r="B886" t="inlineStr">
        <is>
          <t>T102684</t>
        </is>
      </c>
      <c r="C886" t="inlineStr">
        <is>
          <t>Isabella Smith</t>
        </is>
      </c>
      <c r="D886" t="inlineStr">
        <is>
          <t>Grace Smith</t>
        </is>
      </c>
      <c r="E886" t="n">
        <v>50</v>
      </c>
      <c r="F886" t="inlineStr">
        <is>
          <t>Credit Card</t>
        </is>
      </c>
    </row>
    <row r="887">
      <c r="A887" s="78" t="n">
        <v>46331.36458333334</v>
      </c>
      <c r="B887" t="inlineStr">
        <is>
          <t>T105186</t>
        </is>
      </c>
      <c r="C887" t="inlineStr">
        <is>
          <t>Evelyn Ortiz</t>
        </is>
      </c>
      <c r="D887" t="inlineStr">
        <is>
          <t>Mateo Ortiz</t>
        </is>
      </c>
      <c r="E887" t="n">
        <v>100</v>
      </c>
      <c r="F887" t="inlineStr">
        <is>
          <t>Apple Pay</t>
        </is>
      </c>
    </row>
    <row r="888">
      <c r="A888" s="78" t="n">
        <v>46331.83333333334</v>
      </c>
      <c r="B888" t="inlineStr">
        <is>
          <t>T100495</t>
        </is>
      </c>
      <c r="C888" t="inlineStr">
        <is>
          <t>Clara Kelly</t>
        </is>
      </c>
      <c r="D888" t="inlineStr">
        <is>
          <t>Olivia Kelly</t>
        </is>
      </c>
      <c r="E888" t="n">
        <v>20</v>
      </c>
      <c r="F888" t="inlineStr">
        <is>
          <t>Apple Pay</t>
        </is>
      </c>
    </row>
    <row r="889">
      <c r="A889" s="78" t="n">
        <v>46328.71875</v>
      </c>
      <c r="B889" t="inlineStr">
        <is>
          <t>T100563</t>
        </is>
      </c>
      <c r="C889" t="inlineStr">
        <is>
          <t>Ava Perez</t>
        </is>
      </c>
      <c r="D889" t="inlineStr">
        <is>
          <t>Zoe Perez</t>
        </is>
      </c>
      <c r="E889" t="n">
        <v>150</v>
      </c>
      <c r="F889" t="inlineStr">
        <is>
          <t>Apple Pay</t>
        </is>
      </c>
    </row>
    <row r="890">
      <c r="A890" s="78" t="n">
        <v>46330.77083333334</v>
      </c>
      <c r="B890" t="inlineStr">
        <is>
          <t>T105252</t>
        </is>
      </c>
      <c r="C890" t="inlineStr">
        <is>
          <t>Elena O'Brien</t>
        </is>
      </c>
      <c r="D890" t="inlineStr">
        <is>
          <t>Lucas O'Brien</t>
        </is>
      </c>
      <c r="E890" t="n">
        <v>40</v>
      </c>
      <c r="F890" t="inlineStr">
        <is>
          <t>Credit Card</t>
        </is>
      </c>
    </row>
    <row r="891">
      <c r="A891" t="inlineStr">
        <is>
          <t>11/04/2026 01:30 PM</t>
        </is>
      </c>
      <c r="B891" t="inlineStr">
        <is>
          <t>T100090</t>
        </is>
      </c>
      <c r="C891" t="inlineStr">
        <is>
          <t xml:space="preserve">  SAMUEL   sullivan </t>
        </is>
      </c>
      <c r="D891" t="inlineStr">
        <is>
          <t>Maya Sullivan</t>
        </is>
      </c>
      <c r="E891" t="n">
        <v>20</v>
      </c>
      <c r="F891" t="inlineStr">
        <is>
          <t>Credit Card</t>
        </is>
      </c>
    </row>
    <row r="892">
      <c r="A892" s="78" t="n">
        <v>46331.58333333334</v>
      </c>
      <c r="B892" t="inlineStr">
        <is>
          <t>T101307</t>
        </is>
      </c>
      <c r="C892" t="inlineStr">
        <is>
          <t>Harper Chavez</t>
        </is>
      </c>
      <c r="D892" t="inlineStr">
        <is>
          <t>Chloe Chavez</t>
        </is>
      </c>
      <c r="E892" t="n">
        <v>25</v>
      </c>
      <c r="F892" t="inlineStr">
        <is>
          <t>Apple Pay</t>
        </is>
      </c>
    </row>
    <row r="893">
      <c r="A893" s="78" t="n">
        <v>46338.53125</v>
      </c>
      <c r="B893" t="inlineStr">
        <is>
          <t>T101384</t>
        </is>
      </c>
      <c r="C893" t="inlineStr">
        <is>
          <t>Smith, Valentina</t>
        </is>
      </c>
      <c r="D893" t="inlineStr">
        <is>
          <t>Amelia Smith</t>
        </is>
      </c>
      <c r="E893" t="n">
        <v>100</v>
      </c>
      <c r="F893" t="inlineStr">
        <is>
          <t>Apple Pay</t>
        </is>
      </c>
    </row>
    <row r="894">
      <c r="A894" s="78" t="n">
        <v>46329.54166666666</v>
      </c>
      <c r="B894" t="inlineStr">
        <is>
          <t>T105010</t>
        </is>
      </c>
      <c r="C894" t="inlineStr">
        <is>
          <t>Thomas Ortiz</t>
        </is>
      </c>
      <c r="D894" t="inlineStr">
        <is>
          <t>Sofia Ortiz</t>
        </is>
      </c>
      <c r="E894" t="n">
        <v>25</v>
      </c>
      <c r="F894" t="inlineStr">
        <is>
          <t>Apple Pay</t>
        </is>
      </c>
    </row>
    <row r="895">
      <c r="A895" s="78" t="n">
        <v>46335.78125</v>
      </c>
      <c r="B895" t="inlineStr">
        <is>
          <t>T103716</t>
        </is>
      </c>
      <c r="C895" t="inlineStr">
        <is>
          <t>Joseph Chavez</t>
        </is>
      </c>
      <c r="D895" t="inlineStr">
        <is>
          <t>Isaac Chavez</t>
        </is>
      </c>
      <c r="E895" t="n">
        <v>20</v>
      </c>
      <c r="F895" t="inlineStr">
        <is>
          <t>Apple Pay</t>
        </is>
      </c>
    </row>
    <row r="896">
      <c r="A896" s="78" t="n">
        <v>46339.32291666666</v>
      </c>
      <c r="B896" t="inlineStr">
        <is>
          <t>T101042</t>
        </is>
      </c>
      <c r="C896" t="inlineStr">
        <is>
          <t>Zoe Garcia</t>
        </is>
      </c>
      <c r="D896" t="inlineStr">
        <is>
          <t>Santiago Garcia</t>
        </is>
      </c>
      <c r="E896" t="n">
        <v>20</v>
      </c>
      <c r="F896" t="inlineStr">
        <is>
          <t>Apple Pay</t>
        </is>
      </c>
    </row>
    <row r="897">
      <c r="A897" s="78" t="n">
        <v>46328.47916666666</v>
      </c>
      <c r="B897" t="inlineStr">
        <is>
          <t>T101141</t>
        </is>
      </c>
      <c r="C897" t="inlineStr">
        <is>
          <t>Lily Garcia</t>
        </is>
      </c>
      <c r="D897" t="inlineStr">
        <is>
          <t>Ella Garcia</t>
        </is>
      </c>
      <c r="E897" t="n">
        <v>150</v>
      </c>
      <c r="F897" t="inlineStr">
        <is>
          <t>Credit Card</t>
        </is>
      </c>
    </row>
    <row r="898">
      <c r="A898" s="78" t="n">
        <v>46332.67708333334</v>
      </c>
      <c r="B898" t="inlineStr">
        <is>
          <t>T104782</t>
        </is>
      </c>
      <c r="C898" t="inlineStr">
        <is>
          <t>Joseph Walsh</t>
        </is>
      </c>
      <c r="D898" t="inlineStr">
        <is>
          <t>Harper Walsh</t>
        </is>
      </c>
      <c r="E898" t="n">
        <v>25</v>
      </c>
      <c r="F898" t="inlineStr">
        <is>
          <t>Credit Card</t>
        </is>
      </c>
    </row>
    <row r="899">
      <c r="A899" s="78" t="n">
        <v>46331.47916666666</v>
      </c>
      <c r="B899" t="inlineStr">
        <is>
          <t>T103032</t>
        </is>
      </c>
      <c r="C899" t="inlineStr">
        <is>
          <t>O'Brien, Diego</t>
        </is>
      </c>
      <c r="D899" t="inlineStr">
        <is>
          <t>Lily O'Brien</t>
        </is>
      </c>
      <c r="E899" t="n">
        <v>50</v>
      </c>
      <c r="F899" t="inlineStr">
        <is>
          <t>Apple Pay</t>
        </is>
      </c>
    </row>
    <row r="900">
      <c r="A900" s="78" t="n">
        <v>46334.35416666666</v>
      </c>
      <c r="B900" t="inlineStr">
        <is>
          <t>T101391</t>
        </is>
      </c>
      <c r="C900" t="inlineStr">
        <is>
          <t>David Chavez</t>
        </is>
      </c>
      <c r="D900" t="inlineStr">
        <is>
          <t>Adrian Chavez</t>
        </is>
      </c>
      <c r="E900" t="n">
        <v>50</v>
      </c>
      <c r="F900" t="inlineStr">
        <is>
          <t>Credit Card</t>
        </is>
      </c>
    </row>
    <row r="901">
      <c r="A901" s="78" t="n">
        <v>46336.61458333334</v>
      </c>
      <c r="B901" t="inlineStr">
        <is>
          <t>T101248</t>
        </is>
      </c>
      <c r="C901" t="inlineStr">
        <is>
          <t>Ella Lopez</t>
        </is>
      </c>
      <c r="D901" t="inlineStr">
        <is>
          <t>Liam Lopez</t>
        </is>
      </c>
      <c r="E901" t="n">
        <v>50</v>
      </c>
      <c r="F901" t="inlineStr">
        <is>
          <t>Apple Pay</t>
        </is>
      </c>
    </row>
    <row r="902">
      <c r="A902" s="78" t="n">
        <v>46339.8125</v>
      </c>
      <c r="B902" t="inlineStr">
        <is>
          <t>T103598</t>
        </is>
      </c>
      <c r="C902" t="inlineStr">
        <is>
          <t>David Cruz</t>
        </is>
      </c>
      <c r="D902" t="inlineStr">
        <is>
          <t>David Cruz</t>
        </is>
      </c>
      <c r="E902" t="n">
        <v>100</v>
      </c>
      <c r="F902" t="inlineStr">
        <is>
          <t>Apple Pay</t>
        </is>
      </c>
    </row>
    <row r="903">
      <c r="A903" s="78" t="n">
        <v>46334.82291666666</v>
      </c>
      <c r="B903" t="inlineStr">
        <is>
          <t>T100443</t>
        </is>
      </c>
      <c r="C903" t="inlineStr">
        <is>
          <t>Joseph Gonzalez</t>
        </is>
      </c>
      <c r="D903" t="inlineStr">
        <is>
          <t>Leo Gonzalez</t>
        </is>
      </c>
      <c r="E903" t="n">
        <v>10</v>
      </c>
      <c r="F903" t="inlineStr">
        <is>
          <t>Credit Card</t>
        </is>
      </c>
    </row>
    <row r="904">
      <c r="A904" s="78" t="n">
        <v>46338.77083333334</v>
      </c>
      <c r="B904" t="inlineStr">
        <is>
          <t>T102090</t>
        </is>
      </c>
      <c r="C904" t="inlineStr">
        <is>
          <t>Liam Byrne</t>
        </is>
      </c>
      <c r="D904" t="inlineStr">
        <is>
          <t>Thomas Byrne</t>
        </is>
      </c>
      <c r="E904" t="n">
        <v>100</v>
      </c>
      <c r="F904" t="inlineStr">
        <is>
          <t>Credit Card</t>
        </is>
      </c>
    </row>
    <row r="905">
      <c r="A905" s="78" t="n">
        <v>46338.44791666666</v>
      </c>
      <c r="B905" t="inlineStr">
        <is>
          <t>T103210</t>
        </is>
      </c>
      <c r="C905" t="inlineStr">
        <is>
          <t>Vasquez, Amelia</t>
        </is>
      </c>
      <c r="D905" t="inlineStr">
        <is>
          <t>Leo Vasquez</t>
        </is>
      </c>
      <c r="E905" t="n">
        <v>25</v>
      </c>
      <c r="F905" t="inlineStr">
        <is>
          <t>Credit Card</t>
        </is>
      </c>
    </row>
    <row r="906">
      <c r="A906" s="78" t="n">
        <v>46338.86458333334</v>
      </c>
      <c r="B906" t="inlineStr">
        <is>
          <t>T101800</t>
        </is>
      </c>
      <c r="C906" t="inlineStr">
        <is>
          <t xml:space="preserve">  CHLOE   smith </t>
        </is>
      </c>
      <c r="D906" t="inlineStr">
        <is>
          <t>Julian Smith</t>
        </is>
      </c>
      <c r="E906" t="n">
        <v>50</v>
      </c>
      <c r="F906" t="inlineStr">
        <is>
          <t>Credit Card</t>
        </is>
      </c>
    </row>
    <row r="907">
      <c r="A907" s="78" t="n">
        <v>46335.39583333334</v>
      </c>
      <c r="B907" t="inlineStr">
        <is>
          <t>T104053</t>
        </is>
      </c>
      <c r="C907" t="inlineStr">
        <is>
          <t xml:space="preserve">  ELIJAH   o'brien </t>
        </is>
      </c>
      <c r="D907" t="inlineStr">
        <is>
          <t>Sofia O'Brien</t>
        </is>
      </c>
      <c r="E907" t="n">
        <v>100</v>
      </c>
      <c r="F907" t="inlineStr">
        <is>
          <t>Credit Card</t>
        </is>
      </c>
    </row>
    <row r="908">
      <c r="A908" s="78" t="n">
        <v>46325.69791666666</v>
      </c>
      <c r="B908" t="inlineStr">
        <is>
          <t>T104254</t>
        </is>
      </c>
      <c r="C908" t="inlineStr">
        <is>
          <t>Bobby Tables</t>
        </is>
      </c>
      <c r="D908" t="inlineStr">
        <is>
          <t>Adrian Byrne</t>
        </is>
      </c>
      <c r="E908" t="n">
        <v>150</v>
      </c>
      <c r="F908" t="inlineStr">
        <is>
          <t>Apple Pay</t>
        </is>
      </c>
    </row>
    <row r="909">
      <c r="A909" s="78" t="n">
        <v>46334.41666666666</v>
      </c>
      <c r="B909" t="inlineStr">
        <is>
          <t>T103755</t>
        </is>
      </c>
      <c r="C909" t="inlineStr">
        <is>
          <t>Ryan, Aria</t>
        </is>
      </c>
      <c r="D909" t="inlineStr">
        <is>
          <t>Diego Ryan</t>
        </is>
      </c>
      <c r="E909" t="n">
        <v>10</v>
      </c>
      <c r="F909" t="inlineStr">
        <is>
          <t>Credit Card</t>
        </is>
      </c>
    </row>
    <row r="910">
      <c r="A910" s="78" t="n">
        <v>46339.45833333334</v>
      </c>
      <c r="B910" t="inlineStr">
        <is>
          <t>T101122</t>
        </is>
      </c>
      <c r="C910" t="inlineStr">
        <is>
          <t>Elena O'Brien</t>
        </is>
      </c>
      <c r="D910" t="inlineStr">
        <is>
          <t>Chloe O'Brien</t>
        </is>
      </c>
      <c r="E910" t="n">
        <v>50</v>
      </c>
      <c r="F910" t="inlineStr">
        <is>
          <t>Apple Pay</t>
        </is>
      </c>
    </row>
    <row r="911">
      <c r="A911" s="78" t="n">
        <v>46333.66666666666</v>
      </c>
      <c r="B911" t="inlineStr">
        <is>
          <t>T100232</t>
        </is>
      </c>
      <c r="C911" t="inlineStr">
        <is>
          <t>Amelia Lopez</t>
        </is>
      </c>
      <c r="D911" t="inlineStr">
        <is>
          <t>Valentina Lopez</t>
        </is>
      </c>
      <c r="E911" t="n">
        <v>50</v>
      </c>
      <c r="F911" t="inlineStr">
        <is>
          <t>Credit Card</t>
        </is>
      </c>
    </row>
    <row r="912">
      <c r="A912" t="inlineStr">
        <is>
          <t>11/13/2026 07:45 AM</t>
        </is>
      </c>
      <c r="B912" t="inlineStr">
        <is>
          <t>T102223</t>
        </is>
      </c>
      <c r="C912" t="inlineStr">
        <is>
          <t>Elijah Vasquez</t>
        </is>
      </c>
      <c r="D912" t="inlineStr">
        <is>
          <t>Harper Vasquez</t>
        </is>
      </c>
      <c r="E912" t="n">
        <v>75</v>
      </c>
      <c r="F912" t="inlineStr">
        <is>
          <t>Apple Pay</t>
        </is>
      </c>
    </row>
    <row r="913">
      <c r="A913" t="inlineStr">
        <is>
          <t>11/12/2026 08:30 PM</t>
        </is>
      </c>
      <c r="B913" t="inlineStr">
        <is>
          <t>T100450</t>
        </is>
      </c>
      <c r="C913" t="inlineStr">
        <is>
          <t>Zoe Smith</t>
        </is>
      </c>
      <c r="D913" t="inlineStr">
        <is>
          <t>Ava Smith</t>
        </is>
      </c>
      <c r="E913" t="n">
        <v>40</v>
      </c>
      <c r="F913" t="inlineStr">
        <is>
          <t>Apple Pay</t>
        </is>
      </c>
    </row>
    <row r="914">
      <c r="A914" s="78" t="n">
        <v>46339.42708333334</v>
      </c>
      <c r="B914" t="inlineStr">
        <is>
          <t>T103412</t>
        </is>
      </c>
      <c r="C914" t="inlineStr">
        <is>
          <t>Valentina Martinez</t>
        </is>
      </c>
      <c r="D914" t="inlineStr">
        <is>
          <t>Mia Martinez</t>
        </is>
      </c>
      <c r="E914" t="n">
        <v>100</v>
      </c>
      <c r="F914" t="inlineStr">
        <is>
          <t>Apple Pay</t>
        </is>
      </c>
    </row>
    <row r="915">
      <c r="A915" s="78" t="n">
        <v>46333.89583333334</v>
      </c>
      <c r="B915" t="inlineStr">
        <is>
          <t>T105130</t>
        </is>
      </c>
      <c r="C915" t="inlineStr">
        <is>
          <t>Amelia Martinez</t>
        </is>
      </c>
      <c r="D915" t="inlineStr">
        <is>
          <t>David Martinez</t>
        </is>
      </c>
      <c r="E915" t="n">
        <v>10</v>
      </c>
      <c r="F915" t="inlineStr">
        <is>
          <t>Credit Card</t>
        </is>
      </c>
    </row>
    <row r="916">
      <c r="A916" s="78" t="n">
        <v>46335.33333333334</v>
      </c>
      <c r="B916" t="inlineStr">
        <is>
          <t>T100170</t>
        </is>
      </c>
      <c r="C916" t="inlineStr">
        <is>
          <t>Amelia Martinez</t>
        </is>
      </c>
      <c r="D916" t="inlineStr">
        <is>
          <t>Liam Martinez</t>
        </is>
      </c>
      <c r="E916" t="n">
        <v>50</v>
      </c>
      <c r="F916" t="inlineStr">
        <is>
          <t>Credit Card</t>
        </is>
      </c>
    </row>
    <row r="917">
      <c r="A917" s="78" t="n">
        <v>46325.39583333334</v>
      </c>
      <c r="B917" t="inlineStr">
        <is>
          <t>T105034</t>
        </is>
      </c>
      <c r="C917" t="inlineStr">
        <is>
          <t>Chloe Diaz</t>
        </is>
      </c>
      <c r="D917" t="inlineStr">
        <is>
          <t>Harper Diaz</t>
        </is>
      </c>
      <c r="E917" t="n">
        <v>100</v>
      </c>
      <c r="F917" t="inlineStr">
        <is>
          <t>Credit Card</t>
        </is>
      </c>
    </row>
    <row r="918">
      <c r="A918" s="78" t="n">
        <v>46330.35416666666</v>
      </c>
      <c r="B918" t="inlineStr">
        <is>
          <t>T102986</t>
        </is>
      </c>
      <c r="C918" t="inlineStr">
        <is>
          <t>Grace Perez</t>
        </is>
      </c>
      <c r="D918" t="inlineStr">
        <is>
          <t>Aria Perez</t>
        </is>
      </c>
      <c r="E918" t="n">
        <v>100</v>
      </c>
      <c r="F918" t="inlineStr">
        <is>
          <t>Credit Card</t>
        </is>
      </c>
    </row>
    <row r="919">
      <c r="A919" s="78" t="n">
        <v>46335.88541666666</v>
      </c>
      <c r="B919" t="inlineStr">
        <is>
          <t>T104511</t>
        </is>
      </c>
      <c r="C919" t="inlineStr">
        <is>
          <t>Evelyn Torres</t>
        </is>
      </c>
      <c r="D919" t="inlineStr">
        <is>
          <t>Harper Torres</t>
        </is>
      </c>
      <c r="E919" t="n">
        <v>10</v>
      </c>
      <c r="F919" t="inlineStr">
        <is>
          <t>Credit Card</t>
        </is>
      </c>
    </row>
    <row r="920">
      <c r="A920" s="78" t="n">
        <v>46339.55208333334</v>
      </c>
      <c r="B920" t="inlineStr">
        <is>
          <t>T100175</t>
        </is>
      </c>
      <c r="C920" t="inlineStr">
        <is>
          <t>Aria O'Brien</t>
        </is>
      </c>
      <c r="D920" t="inlineStr">
        <is>
          <t>Camila O'Brien</t>
        </is>
      </c>
      <c r="E920" t="n">
        <v>40</v>
      </c>
      <c r="F920" t="inlineStr">
        <is>
          <t>Credit Card</t>
        </is>
      </c>
    </row>
    <row r="921">
      <c r="A921" s="78" t="n">
        <v>46332.4375</v>
      </c>
      <c r="B921" t="inlineStr">
        <is>
          <t>T105072</t>
        </is>
      </c>
      <c r="C921" t="inlineStr">
        <is>
          <t>Ella Kim</t>
        </is>
      </c>
      <c r="D921" t="inlineStr">
        <is>
          <t>Clara Kim</t>
        </is>
      </c>
      <c r="E921" t="n">
        <v>10</v>
      </c>
      <c r="F921" t="inlineStr">
        <is>
          <t>Credit Card</t>
        </is>
      </c>
    </row>
    <row r="922">
      <c r="A922" s="78" t="n">
        <v>46330.36458333334</v>
      </c>
      <c r="B922" t="inlineStr">
        <is>
          <t>T102460</t>
        </is>
      </c>
      <c r="C922" t="inlineStr">
        <is>
          <t>Noah Ramirez</t>
        </is>
      </c>
      <c r="D922" t="inlineStr">
        <is>
          <t>Noah Ramirez</t>
        </is>
      </c>
      <c r="E922" t="n">
        <v>25</v>
      </c>
      <c r="F922" t="inlineStr">
        <is>
          <t>Credit Card</t>
        </is>
      </c>
    </row>
    <row r="923">
      <c r="A923" s="78" t="n">
        <v>46330.63541666666</v>
      </c>
      <c r="B923" t="inlineStr">
        <is>
          <t>T101224</t>
        </is>
      </c>
      <c r="C923" t="inlineStr">
        <is>
          <t>Evelyn Cruz</t>
        </is>
      </c>
      <c r="D923" t="inlineStr">
        <is>
          <t>Emma Cruz</t>
        </is>
      </c>
      <c r="E923" t="n">
        <v>40</v>
      </c>
      <c r="F923" t="inlineStr">
        <is>
          <t>Apple Pay</t>
        </is>
      </c>
    </row>
    <row r="924">
      <c r="A924" s="78" t="n">
        <v>46339.38541666666</v>
      </c>
      <c r="B924" t="inlineStr">
        <is>
          <t>T102900</t>
        </is>
      </c>
      <c r="C924" t="inlineStr">
        <is>
          <t>Daniel Ramos</t>
        </is>
      </c>
      <c r="D924" t="inlineStr">
        <is>
          <t>Sofia Ramos</t>
        </is>
      </c>
      <c r="E924" t="n">
        <v>10</v>
      </c>
      <c r="F924" t="inlineStr">
        <is>
          <t>Apple Pay</t>
        </is>
      </c>
    </row>
    <row r="925">
      <c r="A925" s="78" t="n">
        <v>46329.52083333334</v>
      </c>
      <c r="B925" t="inlineStr">
        <is>
          <t>T105114</t>
        </is>
      </c>
      <c r="C925" t="inlineStr">
        <is>
          <t>Aria Gonzalez</t>
        </is>
      </c>
      <c r="D925" t="inlineStr">
        <is>
          <t>Thomas Gonzalez</t>
        </is>
      </c>
      <c r="E925" t="n">
        <v>10</v>
      </c>
      <c r="F925" t="inlineStr">
        <is>
          <t>Apple Pay</t>
        </is>
      </c>
    </row>
    <row r="926">
      <c r="A926" s="78" t="n">
        <v>46329.34375</v>
      </c>
      <c r="B926" t="inlineStr">
        <is>
          <t>T101661</t>
        </is>
      </c>
      <c r="C926" t="inlineStr">
        <is>
          <t>Nguyen, Diego</t>
        </is>
      </c>
      <c r="D926" t="inlineStr">
        <is>
          <t>Liam Nguyen</t>
        </is>
      </c>
      <c r="E926" t="n">
        <v>25</v>
      </c>
      <c r="F926" t="inlineStr">
        <is>
          <t>Credit Card</t>
        </is>
      </c>
    </row>
    <row r="927">
      <c r="A927" s="78" t="n">
        <v>46339.5</v>
      </c>
      <c r="B927" t="inlineStr">
        <is>
          <t>T103291</t>
        </is>
      </c>
      <c r="C927" t="inlineStr">
        <is>
          <t>Camila Johnson</t>
        </is>
      </c>
      <c r="D927" t="inlineStr">
        <is>
          <t>Chloe Johnson</t>
        </is>
      </c>
      <c r="E927" t="n">
        <v>75</v>
      </c>
      <c r="F927" t="inlineStr">
        <is>
          <t>Credit Card</t>
        </is>
      </c>
    </row>
    <row r="928">
      <c r="A928" s="78" t="n">
        <v>46335.5625</v>
      </c>
      <c r="B928" t="inlineStr">
        <is>
          <t>T105089</t>
        </is>
      </c>
      <c r="C928" t="inlineStr">
        <is>
          <t>Elijah Walsh</t>
        </is>
      </c>
      <c r="D928" t="inlineStr">
        <is>
          <t>Samuel Walsh</t>
        </is>
      </c>
      <c r="E928" t="n">
        <v>25</v>
      </c>
      <c r="F928" t="inlineStr">
        <is>
          <t>Credit Card</t>
        </is>
      </c>
    </row>
    <row r="929">
      <c r="A929" s="78" t="n">
        <v>46326.39583333334</v>
      </c>
      <c r="B929" t="inlineStr">
        <is>
          <t>T104843</t>
        </is>
      </c>
      <c r="C929" t="inlineStr">
        <is>
          <t>Luna Kim</t>
        </is>
      </c>
      <c r="D929" t="inlineStr">
        <is>
          <t>Olivia Kim</t>
        </is>
      </c>
      <c r="E929" t="n">
        <v>50</v>
      </c>
      <c r="F929" t="inlineStr">
        <is>
          <t>Apple Pay</t>
        </is>
      </c>
    </row>
    <row r="930">
      <c r="A930" s="78" t="n">
        <v>46339.46875</v>
      </c>
      <c r="B930" t="inlineStr">
        <is>
          <t>T104323</t>
        </is>
      </c>
      <c r="C930" t="inlineStr">
        <is>
          <t>Aria Martinez</t>
        </is>
      </c>
      <c r="D930" t="inlineStr">
        <is>
          <t>Nora Martinez</t>
        </is>
      </c>
      <c r="E930" t="n">
        <v>100</v>
      </c>
      <c r="F930" t="inlineStr">
        <is>
          <t>Apple Pay</t>
        </is>
      </c>
    </row>
    <row r="931">
      <c r="A931" s="78" t="n">
        <v>46327.4375</v>
      </c>
      <c r="B931" t="inlineStr">
        <is>
          <t>T103126</t>
        </is>
      </c>
      <c r="C931" t="inlineStr">
        <is>
          <t>Elena Alvarez</t>
        </is>
      </c>
      <c r="D931" t="inlineStr">
        <is>
          <t>Nicolas Alvarez</t>
        </is>
      </c>
      <c r="E931" t="n">
        <v>50</v>
      </c>
      <c r="F931" t="inlineStr">
        <is>
          <t>Apple Pay</t>
        </is>
      </c>
    </row>
    <row r="932">
      <c r="A932" s="78" t="n">
        <v>46332.80208333334</v>
      </c>
      <c r="B932" t="inlineStr">
        <is>
          <t>T100411</t>
        </is>
      </c>
      <c r="C932" t="inlineStr">
        <is>
          <t>Clara Sanchez</t>
        </is>
      </c>
      <c r="D932" t="inlineStr">
        <is>
          <t>Evelyn Sanchez</t>
        </is>
      </c>
      <c r="E932" t="n">
        <v>100</v>
      </c>
      <c r="F932" t="inlineStr">
        <is>
          <t>Credit Card</t>
        </is>
      </c>
    </row>
    <row r="933">
      <c r="A933" s="78" t="n">
        <v>46334.70833333334</v>
      </c>
      <c r="B933" t="inlineStr">
        <is>
          <t>T104758</t>
        </is>
      </c>
      <c r="C933" t="inlineStr">
        <is>
          <t>Elena Smith</t>
        </is>
      </c>
      <c r="D933" t="inlineStr">
        <is>
          <t>Gabriel Smith</t>
        </is>
      </c>
      <c r="E933" t="n">
        <v>75</v>
      </c>
      <c r="F933" t="inlineStr">
        <is>
          <t>Credit Card</t>
        </is>
      </c>
    </row>
    <row r="934">
      <c r="A934" s="78" t="n">
        <v>46337.78125</v>
      </c>
      <c r="B934" t="inlineStr">
        <is>
          <t>T104421</t>
        </is>
      </c>
      <c r="C934" t="inlineStr">
        <is>
          <t>Valentina Nguyen</t>
        </is>
      </c>
      <c r="D934" t="inlineStr">
        <is>
          <t>Mateo Nguyen</t>
        </is>
      </c>
      <c r="E934" t="n">
        <v>100</v>
      </c>
      <c r="F934" t="inlineStr">
        <is>
          <t>Credit Card</t>
        </is>
      </c>
    </row>
    <row r="935">
      <c r="A935" s="78" t="n">
        <v>46332.65625</v>
      </c>
      <c r="B935" t="inlineStr">
        <is>
          <t>T100727</t>
        </is>
      </c>
      <c r="C935" t="inlineStr">
        <is>
          <t>Lucas Patel</t>
        </is>
      </c>
      <c r="D935" t="inlineStr">
        <is>
          <t>Ava Patel</t>
        </is>
      </c>
      <c r="E935" t="n">
        <v>50</v>
      </c>
      <c r="F935" t="inlineStr">
        <is>
          <t>Credit Card</t>
        </is>
      </c>
    </row>
    <row r="936">
      <c r="A936" s="78" t="n">
        <v>46326.89583333334</v>
      </c>
      <c r="B936" t="inlineStr">
        <is>
          <t>T101311</t>
        </is>
      </c>
      <c r="C936" t="inlineStr">
        <is>
          <t>Isabella Nguyen</t>
        </is>
      </c>
      <c r="D936" t="inlineStr">
        <is>
          <t>Valentina Nguyen</t>
        </is>
      </c>
      <c r="E936" t="n">
        <v>100</v>
      </c>
      <c r="F936" t="inlineStr">
        <is>
          <t>Credit Card</t>
        </is>
      </c>
    </row>
    <row r="937">
      <c r="A937" s="78" t="n">
        <v>46327.6875</v>
      </c>
      <c r="B937" t="inlineStr">
        <is>
          <t>T102100</t>
        </is>
      </c>
      <c r="C937" t="inlineStr">
        <is>
          <t>Adrian O'Brien</t>
        </is>
      </c>
      <c r="D937" t="inlineStr">
        <is>
          <t>Mateo O'Brien</t>
        </is>
      </c>
      <c r="E937" t="n">
        <v>100</v>
      </c>
      <c r="F937" t="inlineStr">
        <is>
          <t>Credit Card</t>
        </is>
      </c>
    </row>
    <row r="938">
      <c r="A938" s="78" t="n">
        <v>46329.34375</v>
      </c>
      <c r="B938" t="inlineStr">
        <is>
          <t>T104821</t>
        </is>
      </c>
      <c r="C938" t="inlineStr">
        <is>
          <t xml:space="preserve">  LUNA   hernandez </t>
        </is>
      </c>
      <c r="D938" t="inlineStr">
        <is>
          <t>Camila Hernandez</t>
        </is>
      </c>
      <c r="E938" t="n">
        <v>25</v>
      </c>
      <c r="F938" t="inlineStr">
        <is>
          <t>Credit Card</t>
        </is>
      </c>
    </row>
    <row r="939">
      <c r="A939" s="78" t="n">
        <v>46337.75</v>
      </c>
      <c r="B939" t="inlineStr">
        <is>
          <t>T100363</t>
        </is>
      </c>
      <c r="C939" t="inlineStr">
        <is>
          <t>Isaac Williams</t>
        </is>
      </c>
      <c r="D939" t="inlineStr">
        <is>
          <t>Emma Williams</t>
        </is>
      </c>
      <c r="E939" t="n">
        <v>40</v>
      </c>
      <c r="F939" t="inlineStr">
        <is>
          <t>Apple Pay</t>
        </is>
      </c>
    </row>
    <row r="940">
      <c r="A940" s="78" t="n">
        <v>46332.75</v>
      </c>
      <c r="B940" t="inlineStr">
        <is>
          <t>T102719</t>
        </is>
      </c>
      <c r="C940" t="inlineStr">
        <is>
          <t>David Vasquez</t>
        </is>
      </c>
      <c r="D940" t="inlineStr">
        <is>
          <t>Grace Vasquez</t>
        </is>
      </c>
      <c r="E940" t="n">
        <v>20</v>
      </c>
      <c r="F940" t="inlineStr">
        <is>
          <t>Credit Card</t>
        </is>
      </c>
    </row>
    <row r="941">
      <c r="A941" s="78" t="n">
        <v>46328.41666666666</v>
      </c>
      <c r="B941" t="inlineStr">
        <is>
          <t>T105106</t>
        </is>
      </c>
      <c r="C941" t="inlineStr">
        <is>
          <t>James Gutierrez</t>
        </is>
      </c>
      <c r="D941" t="inlineStr">
        <is>
          <t>Daniel Gutierrez</t>
        </is>
      </c>
      <c r="E941" t="n">
        <v>25</v>
      </c>
      <c r="F941" t="inlineStr">
        <is>
          <t>Credit Card</t>
        </is>
      </c>
    </row>
    <row r="942">
      <c r="A942" s="78" t="n">
        <v>46339.44791666666</v>
      </c>
      <c r="B942" t="inlineStr">
        <is>
          <t>T102539</t>
        </is>
      </c>
      <c r="C942" t="inlineStr">
        <is>
          <t>Evelyn Byrne</t>
        </is>
      </c>
      <c r="D942" t="inlineStr">
        <is>
          <t>Maya Byrne</t>
        </is>
      </c>
      <c r="E942" t="n">
        <v>25</v>
      </c>
      <c r="F942" t="inlineStr">
        <is>
          <t>Credit Card</t>
        </is>
      </c>
    </row>
    <row r="943">
      <c r="A943" s="78" t="n">
        <v>46339.83333333334</v>
      </c>
      <c r="B943" t="inlineStr">
        <is>
          <t>T100629</t>
        </is>
      </c>
      <c r="C943" t="inlineStr">
        <is>
          <t>Ava Chavez</t>
        </is>
      </c>
      <c r="D943" t="inlineStr">
        <is>
          <t>Nora Chavez</t>
        </is>
      </c>
      <c r="E943" t="n">
        <v>50</v>
      </c>
      <c r="F943" t="inlineStr">
        <is>
          <t>Credit Card</t>
        </is>
      </c>
    </row>
    <row r="944">
      <c r="A944" s="78" t="n">
        <v>46331.8125</v>
      </c>
      <c r="B944" t="inlineStr">
        <is>
          <t>T103305</t>
        </is>
      </c>
      <c r="C944" t="inlineStr">
        <is>
          <t>James Brown</t>
        </is>
      </c>
      <c r="D944" t="inlineStr">
        <is>
          <t>Mateo Brown</t>
        </is>
      </c>
      <c r="E944" t="n">
        <v>10</v>
      </c>
      <c r="F944" t="inlineStr">
        <is>
          <t>Apple Pay</t>
        </is>
      </c>
    </row>
    <row r="945">
      <c r="A945" s="78" t="n">
        <v>46328.89583333334</v>
      </c>
      <c r="B945" t="inlineStr">
        <is>
          <t>T101423</t>
        </is>
      </c>
      <c r="C945" t="inlineStr">
        <is>
          <t>Julian Lopez</t>
        </is>
      </c>
      <c r="D945" t="inlineStr">
        <is>
          <t>Grace Lopez</t>
        </is>
      </c>
      <c r="E945" t="n">
        <v>75</v>
      </c>
      <c r="F945" t="inlineStr">
        <is>
          <t>Credit Card</t>
        </is>
      </c>
    </row>
    <row r="946">
      <c r="A946" s="78" t="n">
        <v>46328.67708333334</v>
      </c>
      <c r="B946" t="inlineStr">
        <is>
          <t>T103655</t>
        </is>
      </c>
      <c r="C946" t="inlineStr">
        <is>
          <t>Adrian Nguyen</t>
        </is>
      </c>
      <c r="D946" t="inlineStr">
        <is>
          <t>Adrian Nguyen</t>
        </is>
      </c>
      <c r="E946" t="n">
        <v>50</v>
      </c>
      <c r="F946" t="inlineStr">
        <is>
          <t>Credit Card</t>
        </is>
      </c>
    </row>
    <row r="947">
      <c r="A947" s="78" t="n">
        <v>46328.51041666666</v>
      </c>
      <c r="B947" t="inlineStr">
        <is>
          <t>T102037</t>
        </is>
      </c>
      <c r="C947" t="inlineStr">
        <is>
          <t xml:space="preserve">  OLIVIA   cruz </t>
        </is>
      </c>
      <c r="D947" t="inlineStr">
        <is>
          <t>Isabella Cruz</t>
        </is>
      </c>
      <c r="E947" t="n">
        <v>75</v>
      </c>
      <c r="F947" t="inlineStr">
        <is>
          <t>Apple Pay</t>
        </is>
      </c>
    </row>
    <row r="948">
      <c r="A948" s="78" t="n">
        <v>46335.64583333334</v>
      </c>
      <c r="B948" t="inlineStr">
        <is>
          <t>T101200</t>
        </is>
      </c>
      <c r="C948" t="inlineStr">
        <is>
          <t>Harper Johnson</t>
        </is>
      </c>
      <c r="D948" t="inlineStr">
        <is>
          <t>Samuel Johnson</t>
        </is>
      </c>
      <c r="E948" t="n">
        <v>20</v>
      </c>
      <c r="F948" t="inlineStr">
        <is>
          <t>Credit Card</t>
        </is>
      </c>
    </row>
    <row r="949">
      <c r="A949" s="78" t="n">
        <v>46328.53125</v>
      </c>
      <c r="B949" t="inlineStr">
        <is>
          <t>T100897</t>
        </is>
      </c>
      <c r="C949" t="inlineStr">
        <is>
          <t>Nora Kim</t>
        </is>
      </c>
      <c r="D949" t="inlineStr">
        <is>
          <t>Chloe Kim</t>
        </is>
      </c>
      <c r="E949" t="inlineStr">
        <is>
          <t>$150.00</t>
        </is>
      </c>
      <c r="F949" t="inlineStr">
        <is>
          <t>Apple Pay</t>
        </is>
      </c>
    </row>
    <row r="950">
      <c r="A950" s="78" t="n">
        <v>46330.48958333334</v>
      </c>
      <c r="B950" t="inlineStr">
        <is>
          <t>T100509</t>
        </is>
      </c>
      <c r="C950" t="inlineStr">
        <is>
          <t>Sanchez, Lucas</t>
        </is>
      </c>
      <c r="D950" t="inlineStr">
        <is>
          <t>Joseph Sanchez</t>
        </is>
      </c>
      <c r="E950" t="inlineStr">
        <is>
          <t>$75.00</t>
        </is>
      </c>
      <c r="F950" t="inlineStr">
        <is>
          <t>Apple Pay</t>
        </is>
      </c>
    </row>
    <row r="951">
      <c r="A951" s="78" t="n">
        <v>46325.51041666666</v>
      </c>
      <c r="B951" t="inlineStr">
        <is>
          <t>T104936</t>
        </is>
      </c>
      <c r="C951" t="inlineStr">
        <is>
          <t xml:space="preserve">  LIAM   nguyen </t>
        </is>
      </c>
      <c r="D951" t="inlineStr">
        <is>
          <t>Luna Nguyen</t>
        </is>
      </c>
      <c r="E951" t="n">
        <v>25</v>
      </c>
      <c r="F951" t="inlineStr">
        <is>
          <t>Apple Pay</t>
        </is>
      </c>
    </row>
    <row r="952">
      <c r="A952" s="78" t="n">
        <v>46339.35416666666</v>
      </c>
      <c r="B952" t="inlineStr">
        <is>
          <t>T104817</t>
        </is>
      </c>
      <c r="C952" t="inlineStr">
        <is>
          <t>Emma Walsh</t>
        </is>
      </c>
      <c r="D952" t="inlineStr">
        <is>
          <t>Elijah Walsh</t>
        </is>
      </c>
      <c r="E952" t="n">
        <v>100</v>
      </c>
      <c r="F952" t="inlineStr">
        <is>
          <t>Apple Pay</t>
        </is>
      </c>
    </row>
    <row r="953">
      <c r="A953" s="78" t="n">
        <v>46330.83333333334</v>
      </c>
      <c r="B953" t="inlineStr">
        <is>
          <t>T100598</t>
        </is>
      </c>
      <c r="C953" t="inlineStr">
        <is>
          <t>Luna Walsh</t>
        </is>
      </c>
      <c r="D953" t="inlineStr">
        <is>
          <t>Gabriel Walsh</t>
        </is>
      </c>
      <c r="E953" t="n">
        <v>25</v>
      </c>
      <c r="F953" t="inlineStr">
        <is>
          <t>Apple Pay</t>
        </is>
      </c>
    </row>
    <row r="954">
      <c r="A954" s="78" t="n">
        <v>46338.8125</v>
      </c>
      <c r="B954" t="inlineStr">
        <is>
          <t>T101354</t>
        </is>
      </c>
      <c r="C954" t="inlineStr">
        <is>
          <t>Reyes, Diego</t>
        </is>
      </c>
      <c r="D954" t="inlineStr">
        <is>
          <t>Nora Reyes</t>
        </is>
      </c>
      <c r="E954" t="n">
        <v>25</v>
      </c>
      <c r="F954" t="inlineStr">
        <is>
          <t>Credit Card</t>
        </is>
      </c>
    </row>
    <row r="955">
      <c r="A955" s="78" t="n">
        <v>46331.86458333334</v>
      </c>
      <c r="B955" t="inlineStr">
        <is>
          <t>T101637</t>
        </is>
      </c>
      <c r="C955" t="inlineStr">
        <is>
          <t>Zoe O'Brien</t>
        </is>
      </c>
      <c r="D955" t="inlineStr">
        <is>
          <t>Liam O'Brien</t>
        </is>
      </c>
      <c r="E955" t="n">
        <v>25</v>
      </c>
      <c r="F955" t="inlineStr">
        <is>
          <t>Apple Pay</t>
        </is>
      </c>
    </row>
    <row r="956">
      <c r="A956" s="78" t="n">
        <v>46338.48958333334</v>
      </c>
      <c r="B956" t="inlineStr">
        <is>
          <t>T100815</t>
        </is>
      </c>
      <c r="C956" t="inlineStr">
        <is>
          <t>Elijah Byrne</t>
        </is>
      </c>
      <c r="D956" t="inlineStr">
        <is>
          <t>Clara Byrne</t>
        </is>
      </c>
      <c r="E956" t="n">
        <v>25</v>
      </c>
      <c r="F956" t="inlineStr">
        <is>
          <t>Apple Pay</t>
        </is>
      </c>
    </row>
    <row r="957">
      <c r="A957" s="78" t="n">
        <v>46325.8125</v>
      </c>
      <c r="B957" t="inlineStr">
        <is>
          <t>T104149</t>
        </is>
      </c>
      <c r="C957" t="inlineStr">
        <is>
          <t>Luna Nguyen</t>
        </is>
      </c>
      <c r="D957" t="inlineStr">
        <is>
          <t>Chloe Nguyen</t>
        </is>
      </c>
      <c r="E957" t="n">
        <v>50</v>
      </c>
      <c r="F957" t="inlineStr">
        <is>
          <t>Credit Card</t>
        </is>
      </c>
    </row>
    <row r="958">
      <c r="A958" s="78" t="n">
        <v>46333.54166666666</v>
      </c>
      <c r="B958" t="inlineStr">
        <is>
          <t>T103030</t>
        </is>
      </c>
      <c r="C958" t="inlineStr">
        <is>
          <t>Harper Chavez</t>
        </is>
      </c>
      <c r="D958" t="inlineStr">
        <is>
          <t>Santiago Chavez</t>
        </is>
      </c>
      <c r="E958" t="n">
        <v>50</v>
      </c>
      <c r="F958" t="inlineStr">
        <is>
          <t>Apple Pay</t>
        </is>
      </c>
    </row>
    <row r="959">
      <c r="A959" s="78" t="n">
        <v>46325.6875</v>
      </c>
      <c r="B959" t="inlineStr">
        <is>
          <t>T104239</t>
        </is>
      </c>
      <c r="C959" t="inlineStr">
        <is>
          <t>Ella Gutierrez</t>
        </is>
      </c>
      <c r="D959" t="inlineStr">
        <is>
          <t>Nora Gutierrez</t>
        </is>
      </c>
      <c r="E959" t="n">
        <v>150</v>
      </c>
      <c r="F959" t="inlineStr">
        <is>
          <t>Credit Card</t>
        </is>
      </c>
    </row>
    <row r="960">
      <c r="A960" s="78" t="n">
        <v>46338.64583333334</v>
      </c>
      <c r="B960" t="inlineStr">
        <is>
          <t>T105389</t>
        </is>
      </c>
      <c r="C960" t="inlineStr">
        <is>
          <t>Lucas Sullivan</t>
        </is>
      </c>
      <c r="D960" t="inlineStr">
        <is>
          <t>Luna Sullivan</t>
        </is>
      </c>
      <c r="E960" t="n">
        <v>50</v>
      </c>
      <c r="F960" t="inlineStr">
        <is>
          <t>Credit Card</t>
        </is>
      </c>
    </row>
    <row r="961">
      <c r="A961" s="78" t="n">
        <v>46325.69791666666</v>
      </c>
      <c r="B961" t="inlineStr">
        <is>
          <t>T103389</t>
        </is>
      </c>
      <c r="C961" t="inlineStr">
        <is>
          <t>Ella Gutierrez</t>
        </is>
      </c>
      <c r="D961" t="inlineStr">
        <is>
          <t>Lily Gutierrez</t>
        </is>
      </c>
      <c r="E961" t="n">
        <v>10</v>
      </c>
      <c r="F961" t="inlineStr">
        <is>
          <t>Credit Card</t>
        </is>
      </c>
    </row>
    <row r="962">
      <c r="A962" s="78" t="n">
        <v>46329.82291666666</v>
      </c>
      <c r="B962" t="inlineStr">
        <is>
          <t>T103785</t>
        </is>
      </c>
      <c r="C962" t="inlineStr">
        <is>
          <t>Nicolas Johnson</t>
        </is>
      </c>
      <c r="D962" t="inlineStr">
        <is>
          <t>Julian Johnson</t>
        </is>
      </c>
      <c r="E962" t="n">
        <v>50</v>
      </c>
      <c r="F962" t="inlineStr">
        <is>
          <t>Apple Pay</t>
        </is>
      </c>
    </row>
    <row r="963">
      <c r="A963" s="78" t="n">
        <v>46338.78125</v>
      </c>
      <c r="B963" t="inlineStr">
        <is>
          <t>T102262</t>
        </is>
      </c>
      <c r="C963" t="inlineStr">
        <is>
          <t>Benjamin Cruz</t>
        </is>
      </c>
      <c r="D963" t="inlineStr">
        <is>
          <t>Mateo Cruz</t>
        </is>
      </c>
      <c r="E963" t="n">
        <v>75</v>
      </c>
      <c r="F963" t="inlineStr">
        <is>
          <t>Apple Pay</t>
        </is>
      </c>
    </row>
    <row r="964">
      <c r="A964" t="inlineStr">
        <is>
          <t>11/09/2026 11:00 AM</t>
        </is>
      </c>
      <c r="B964" t="inlineStr">
        <is>
          <t>T103609</t>
        </is>
      </c>
      <c r="C964" t="inlineStr">
        <is>
          <t>Isabella Nguyen</t>
        </is>
      </c>
      <c r="D964" t="inlineStr">
        <is>
          <t>Elena Nguyen</t>
        </is>
      </c>
      <c r="E964" t="n">
        <v>100</v>
      </c>
      <c r="F964" t="inlineStr">
        <is>
          <t>Apple Pay</t>
        </is>
      </c>
    </row>
    <row r="965">
      <c r="A965" s="78" t="n">
        <v>46339.375</v>
      </c>
      <c r="B965" t="inlineStr">
        <is>
          <t>T102592</t>
        </is>
      </c>
      <c r="C965" t="inlineStr">
        <is>
          <t>Diego Reyes</t>
        </is>
      </c>
      <c r="D965" t="inlineStr">
        <is>
          <t>Mia Reyes</t>
        </is>
      </c>
      <c r="E965" t="n">
        <v>40</v>
      </c>
      <c r="F965" t="inlineStr">
        <is>
          <t>Credit Card</t>
        </is>
      </c>
    </row>
    <row r="966">
      <c r="A966" s="78" t="n">
        <v>46329.61458333334</v>
      </c>
      <c r="B966" t="inlineStr">
        <is>
          <t>T100680</t>
        </is>
      </c>
      <c r="C966" t="inlineStr">
        <is>
          <t>Aria Torres</t>
        </is>
      </c>
      <c r="D966" t="inlineStr">
        <is>
          <t>Adrian Torres</t>
        </is>
      </c>
      <c r="E966" t="n">
        <v>25</v>
      </c>
      <c r="F966" t="inlineStr">
        <is>
          <t>Apple Pay</t>
        </is>
      </c>
    </row>
    <row r="967">
      <c r="A967" s="78" t="n">
        <v>46328.57291666666</v>
      </c>
      <c r="B967" t="inlineStr">
        <is>
          <t>T104913</t>
        </is>
      </c>
      <c r="C967" t="inlineStr">
        <is>
          <t>Diego Chavez</t>
        </is>
      </c>
      <c r="D967" t="inlineStr">
        <is>
          <t>Liam Chavez</t>
        </is>
      </c>
      <c r="E967" t="n">
        <v>10</v>
      </c>
      <c r="F967" t="inlineStr">
        <is>
          <t>Apple Pay</t>
        </is>
      </c>
    </row>
    <row r="968">
      <c r="A968" s="78" t="n">
        <v>46330.32291666666</v>
      </c>
      <c r="B968" t="inlineStr">
        <is>
          <t>T102385</t>
        </is>
      </c>
      <c r="C968" t="inlineStr">
        <is>
          <t>Daniel O'Brien</t>
        </is>
      </c>
      <c r="D968" t="inlineStr">
        <is>
          <t>Luna O'Brien</t>
        </is>
      </c>
      <c r="E968" t="n">
        <v>25</v>
      </c>
      <c r="F968" t="inlineStr">
        <is>
          <t>Credit Card</t>
        </is>
      </c>
    </row>
    <row r="969">
      <c r="A969" s="78" t="n">
        <v>46328.90625</v>
      </c>
      <c r="B969" t="inlineStr">
        <is>
          <t>T103691</t>
        </is>
      </c>
      <c r="C969" t="inlineStr">
        <is>
          <t>Thomas Mendoza</t>
        </is>
      </c>
      <c r="D969" t="inlineStr">
        <is>
          <t>Ava Mendoza</t>
        </is>
      </c>
      <c r="E969" t="n">
        <v>25</v>
      </c>
      <c r="F969" t="inlineStr">
        <is>
          <t>Credit Card</t>
        </is>
      </c>
    </row>
    <row r="970">
      <c r="A970" s="78" t="n">
        <v>46336.54166666666</v>
      </c>
      <c r="B970" t="inlineStr">
        <is>
          <t>T104277</t>
        </is>
      </c>
      <c r="C970" t="inlineStr">
        <is>
          <t>Chloe Torres</t>
        </is>
      </c>
      <c r="D970" t="inlineStr">
        <is>
          <t>Lily Torres</t>
        </is>
      </c>
      <c r="E970" t="n">
        <v>50</v>
      </c>
      <c r="F970" t="inlineStr">
        <is>
          <t>Credit Card</t>
        </is>
      </c>
    </row>
    <row r="971">
      <c r="A971" t="inlineStr">
        <is>
          <t>11/07/2026 03:15 PM</t>
        </is>
      </c>
      <c r="B971" t="inlineStr">
        <is>
          <t>T101876</t>
        </is>
      </c>
      <c r="C971" t="inlineStr">
        <is>
          <t>Grace Gomez</t>
        </is>
      </c>
      <c r="D971" t="inlineStr">
        <is>
          <t>Sofia Gomez</t>
        </is>
      </c>
      <c r="E971" t="n">
        <v>25</v>
      </c>
      <c r="F971" t="inlineStr">
        <is>
          <t>Credit Card</t>
        </is>
      </c>
    </row>
    <row r="972">
      <c r="A972" s="78" t="n">
        <v>46334.70833333334</v>
      </c>
      <c r="B972" t="inlineStr">
        <is>
          <t>T105211</t>
        </is>
      </c>
      <c r="C972" t="inlineStr">
        <is>
          <t>Ava Chavez</t>
        </is>
      </c>
      <c r="D972" t="inlineStr">
        <is>
          <t>Elena Chavez</t>
        </is>
      </c>
      <c r="E972" t="n">
        <v>20</v>
      </c>
      <c r="F972" t="inlineStr">
        <is>
          <t>Apple Pay</t>
        </is>
      </c>
    </row>
    <row r="973">
      <c r="A973" s="78" t="n">
        <v>46333.40625</v>
      </c>
      <c r="B973" t="inlineStr">
        <is>
          <t>T101285</t>
        </is>
      </c>
      <c r="C973" t="inlineStr">
        <is>
          <t>Isaac Byrne</t>
        </is>
      </c>
      <c r="D973" t="inlineStr">
        <is>
          <t>Isaac Byrne</t>
        </is>
      </c>
      <c r="E973" t="n">
        <v>25</v>
      </c>
      <c r="F973" t="inlineStr">
        <is>
          <t>Credit Card</t>
        </is>
      </c>
    </row>
    <row r="974">
      <c r="A974" s="78" t="n">
        <v>46338.46875</v>
      </c>
      <c r="B974" t="inlineStr">
        <is>
          <t>T100864</t>
        </is>
      </c>
      <c r="C974" t="inlineStr">
        <is>
          <t>Luna Sanchez</t>
        </is>
      </c>
      <c r="D974" t="inlineStr">
        <is>
          <t>Harper Sanchez</t>
        </is>
      </c>
      <c r="E974" t="n">
        <v>25</v>
      </c>
      <c r="F974" t="inlineStr">
        <is>
          <t>Credit Card</t>
        </is>
      </c>
    </row>
    <row r="975">
      <c r="A975" s="78" t="n">
        <v>46334.83333333334</v>
      </c>
      <c r="B975" t="inlineStr">
        <is>
          <t>T100641</t>
        </is>
      </c>
      <c r="C975" t="inlineStr">
        <is>
          <t>Isaac Byrne</t>
        </is>
      </c>
      <c r="D975" t="inlineStr">
        <is>
          <t>Evelyn Byrne</t>
        </is>
      </c>
      <c r="E975" t="n">
        <v>25</v>
      </c>
      <c r="F975" t="inlineStr">
        <is>
          <t>Apple Pay</t>
        </is>
      </c>
    </row>
    <row r="976">
      <c r="A976" s="78" t="n">
        <v>46335.41666666666</v>
      </c>
      <c r="B976" t="inlineStr">
        <is>
          <t>T102406</t>
        </is>
      </c>
      <c r="C976" t="inlineStr">
        <is>
          <t xml:space="preserve">  ISAAC   alvarez </t>
        </is>
      </c>
      <c r="D976" t="inlineStr">
        <is>
          <t>Grace Alvarez</t>
        </is>
      </c>
      <c r="E976" t="n">
        <v>25</v>
      </c>
      <c r="F976" t="inlineStr">
        <is>
          <t>Credit Card</t>
        </is>
      </c>
    </row>
    <row r="977">
      <c r="A977" t="inlineStr">
        <is>
          <t>11/03/2026 10:00 AM</t>
        </is>
      </c>
      <c r="B977" t="inlineStr">
        <is>
          <t>T103038</t>
        </is>
      </c>
      <c r="C977" t="inlineStr">
        <is>
          <t>Murphy, Isabella</t>
        </is>
      </c>
      <c r="D977" t="inlineStr">
        <is>
          <t>Thomas Murphy</t>
        </is>
      </c>
      <c r="E977" t="n">
        <v>100</v>
      </c>
      <c r="F977" t="inlineStr">
        <is>
          <t>Credit Card</t>
        </is>
      </c>
    </row>
    <row r="978">
      <c r="A978" s="78" t="n">
        <v>46336.61458333334</v>
      </c>
      <c r="B978" t="inlineStr">
        <is>
          <t>T102682</t>
        </is>
      </c>
      <c r="C978" t="inlineStr">
        <is>
          <t>Evelyn Hernandez</t>
        </is>
      </c>
      <c r="D978" t="inlineStr">
        <is>
          <t>Clara Hernandez</t>
        </is>
      </c>
      <c r="E978" t="n">
        <v>25</v>
      </c>
      <c r="F978" t="inlineStr">
        <is>
          <t>Credit Card</t>
        </is>
      </c>
    </row>
    <row r="979">
      <c r="A979" s="78" t="n">
        <v>46333.39583333334</v>
      </c>
      <c r="B979" t="inlineStr">
        <is>
          <t>T104196</t>
        </is>
      </c>
      <c r="C979" t="inlineStr">
        <is>
          <t>Liam Murphy</t>
        </is>
      </c>
      <c r="D979" t="inlineStr">
        <is>
          <t>Liam Murphy</t>
        </is>
      </c>
      <c r="E979" t="n">
        <v>100</v>
      </c>
      <c r="F979" t="inlineStr">
        <is>
          <t>Apple Pay</t>
        </is>
      </c>
    </row>
    <row r="980">
      <c r="A980" s="78" t="n">
        <v>46325.48958333334</v>
      </c>
      <c r="B980" t="inlineStr">
        <is>
          <t>T105069</t>
        </is>
      </c>
      <c r="C980" t="inlineStr">
        <is>
          <t>Joseph Perez</t>
        </is>
      </c>
      <c r="D980" t="inlineStr">
        <is>
          <t>Lucas Perez</t>
        </is>
      </c>
      <c r="E980" t="n">
        <v>75</v>
      </c>
      <c r="F980" t="inlineStr">
        <is>
          <t>Credit Card</t>
        </is>
      </c>
    </row>
    <row r="981">
      <c r="A981" s="78" t="n">
        <v>46329.54166666666</v>
      </c>
      <c r="B981" t="inlineStr">
        <is>
          <t>T103363</t>
        </is>
      </c>
      <c r="C981" t="inlineStr">
        <is>
          <t>Ava Perez</t>
        </is>
      </c>
      <c r="D981" t="inlineStr">
        <is>
          <t>Ella Perez</t>
        </is>
      </c>
      <c r="E981" t="n">
        <v>50</v>
      </c>
      <c r="F981" t="inlineStr">
        <is>
          <t>Credit Card</t>
        </is>
      </c>
    </row>
    <row r="982">
      <c r="A982" s="78" t="n">
        <v>46334.64583333334</v>
      </c>
      <c r="B982" t="inlineStr">
        <is>
          <t>T103652</t>
        </is>
      </c>
      <c r="C982" t="inlineStr">
        <is>
          <t>Evelyn Hernandez</t>
        </is>
      </c>
      <c r="D982" t="inlineStr">
        <is>
          <t>James Hernandez</t>
        </is>
      </c>
      <c r="E982" t="n">
        <v>20</v>
      </c>
      <c r="F982" t="inlineStr">
        <is>
          <t>Credit Card</t>
        </is>
      </c>
    </row>
    <row r="983">
      <c r="A983" s="78" t="n">
        <v>46336.5625</v>
      </c>
      <c r="B983" t="inlineStr">
        <is>
          <t>T100269</t>
        </is>
      </c>
      <c r="C983" t="inlineStr">
        <is>
          <t>Henry Patel</t>
        </is>
      </c>
      <c r="D983" t="inlineStr">
        <is>
          <t>Zoe Patel</t>
        </is>
      </c>
      <c r="E983" t="n">
        <v>20</v>
      </c>
      <c r="F983" t="inlineStr">
        <is>
          <t>Credit Card</t>
        </is>
      </c>
    </row>
    <row r="984">
      <c r="A984" s="78" t="n">
        <v>46334.82291666666</v>
      </c>
      <c r="B984" t="inlineStr">
        <is>
          <t>T105005</t>
        </is>
      </c>
      <c r="C984" t="inlineStr">
        <is>
          <t>Vasquez, Leo</t>
        </is>
      </c>
      <c r="D984" t="inlineStr">
        <is>
          <t>Liam Vasquez</t>
        </is>
      </c>
      <c r="E984" t="inlineStr">
        <is>
          <t>$25.00</t>
        </is>
      </c>
      <c r="F984" t="inlineStr">
        <is>
          <t>Credit Card</t>
        </is>
      </c>
    </row>
    <row r="985">
      <c r="A985" s="78" t="n">
        <v>46331.6875</v>
      </c>
      <c r="B985" t="inlineStr">
        <is>
          <t>T104580</t>
        </is>
      </c>
      <c r="C985" t="inlineStr">
        <is>
          <t>Luna Ryan</t>
        </is>
      </c>
      <c r="D985" t="inlineStr">
        <is>
          <t>Maya Ryan</t>
        </is>
      </c>
      <c r="E985" t="n">
        <v>100</v>
      </c>
      <c r="F985" t="inlineStr">
        <is>
          <t>Apple Pay</t>
        </is>
      </c>
    </row>
    <row r="986">
      <c r="A986" s="78" t="n">
        <v>46331.45833333334</v>
      </c>
      <c r="B986" t="inlineStr">
        <is>
          <t>T102834</t>
        </is>
      </c>
      <c r="C986" t="inlineStr">
        <is>
          <t>Nicolas Johnson</t>
        </is>
      </c>
      <c r="D986" t="inlineStr">
        <is>
          <t>Nora Johnson</t>
        </is>
      </c>
      <c r="E986" t="n">
        <v>10</v>
      </c>
      <c r="F986" t="inlineStr">
        <is>
          <t>Apple Pay</t>
        </is>
      </c>
    </row>
    <row r="987">
      <c r="A987" s="78" t="n">
        <v>46325.59375</v>
      </c>
      <c r="B987" t="inlineStr">
        <is>
          <t>T102470</t>
        </is>
      </c>
      <c r="C987" t="inlineStr">
        <is>
          <t>Samuel Sullivan</t>
        </is>
      </c>
      <c r="D987" t="inlineStr">
        <is>
          <t>Lily Sullivan</t>
        </is>
      </c>
      <c r="E987" t="n">
        <v>20</v>
      </c>
      <c r="F987" t="inlineStr">
        <is>
          <t>Credit Card</t>
        </is>
      </c>
    </row>
    <row r="988">
      <c r="A988" s="78" t="n">
        <v>46339.84375</v>
      </c>
      <c r="B988" t="inlineStr">
        <is>
          <t>T102697</t>
        </is>
      </c>
      <c r="C988" t="inlineStr">
        <is>
          <t>Santiago Castillo</t>
        </is>
      </c>
      <c r="D988" t="inlineStr">
        <is>
          <t>Nicolas Castillo</t>
        </is>
      </c>
      <c r="E988" t="n">
        <v>50</v>
      </c>
      <c r="F988" t="inlineStr">
        <is>
          <t>Apple Pay</t>
        </is>
      </c>
    </row>
    <row r="989">
      <c r="A989" t="inlineStr">
        <is>
          <t>10/30/2026 07:45 PM</t>
        </is>
      </c>
      <c r="B989" t="inlineStr">
        <is>
          <t>T101482</t>
        </is>
      </c>
      <c r="C989" t="inlineStr">
        <is>
          <t xml:space="preserve">  GRACE   kim </t>
        </is>
      </c>
      <c r="D989" t="inlineStr">
        <is>
          <t>Lucas Kim</t>
        </is>
      </c>
      <c r="E989" t="n">
        <v>20</v>
      </c>
      <c r="F989" t="inlineStr">
        <is>
          <t>Credit Card</t>
        </is>
      </c>
    </row>
    <row r="990">
      <c r="A990" s="78" t="n">
        <v>46336.72916666666</v>
      </c>
      <c r="B990" t="inlineStr">
        <is>
          <t>T102078</t>
        </is>
      </c>
      <c r="C990" t="inlineStr">
        <is>
          <t>Ella Gutierrez</t>
        </is>
      </c>
      <c r="D990" t="inlineStr">
        <is>
          <t>Olivia Gutierrez</t>
        </is>
      </c>
      <c r="E990" t="n">
        <v>40</v>
      </c>
      <c r="F990" t="inlineStr">
        <is>
          <t>Apple Pay</t>
        </is>
      </c>
    </row>
    <row r="991">
      <c r="A991" s="78" t="n">
        <v>46328.29166666666</v>
      </c>
      <c r="B991" t="inlineStr">
        <is>
          <t>T104280</t>
        </is>
      </c>
      <c r="C991" t="inlineStr">
        <is>
          <t xml:space="preserve">  MIA   garcia </t>
        </is>
      </c>
      <c r="D991" t="inlineStr">
        <is>
          <t>Ella Garcia</t>
        </is>
      </c>
      <c r="E991" t="n">
        <v>50</v>
      </c>
      <c r="F991" t="inlineStr">
        <is>
          <t>Credit Card</t>
        </is>
      </c>
    </row>
    <row r="992">
      <c r="A992" s="78" t="n">
        <v>46339.35416666666</v>
      </c>
      <c r="B992" t="inlineStr">
        <is>
          <t>T100025</t>
        </is>
      </c>
      <c r="C992" t="inlineStr">
        <is>
          <t>Mateo Sullivan</t>
        </is>
      </c>
      <c r="D992" t="inlineStr">
        <is>
          <t>Isabella Sullivan</t>
        </is>
      </c>
      <c r="E992" t="n">
        <v>100</v>
      </c>
      <c r="F992" t="inlineStr">
        <is>
          <t>Credit Card</t>
        </is>
      </c>
    </row>
    <row r="993">
      <c r="A993" s="78" t="n">
        <v>46328.41666666666</v>
      </c>
      <c r="B993" t="inlineStr">
        <is>
          <t>T101476</t>
        </is>
      </c>
      <c r="C993" t="inlineStr">
        <is>
          <t>Gutierrez, Gabriel</t>
        </is>
      </c>
      <c r="D993" t="inlineStr">
        <is>
          <t>Valentina Gutierrez</t>
        </is>
      </c>
      <c r="E993" t="n">
        <v>50</v>
      </c>
      <c r="F993" t="inlineStr">
        <is>
          <t>Apple Pay</t>
        </is>
      </c>
    </row>
    <row r="994">
      <c r="A994" s="78" t="n">
        <v>46335.53125</v>
      </c>
      <c r="B994" t="inlineStr">
        <is>
          <t>T100688</t>
        </is>
      </c>
      <c r="C994" t="inlineStr">
        <is>
          <t>Chloe Williams</t>
        </is>
      </c>
      <c r="D994" t="inlineStr">
        <is>
          <t>Valentina Williams</t>
        </is>
      </c>
      <c r="E994" t="n">
        <v>50</v>
      </c>
      <c r="F994" t="inlineStr">
        <is>
          <t>Credit Card</t>
        </is>
      </c>
    </row>
    <row r="995">
      <c r="A995" s="78" t="n">
        <v>46338.58333333334</v>
      </c>
      <c r="B995" t="inlineStr">
        <is>
          <t>T104096</t>
        </is>
      </c>
      <c r="C995" t="inlineStr">
        <is>
          <t>Aria Martinez</t>
        </is>
      </c>
      <c r="D995" t="inlineStr">
        <is>
          <t>Olivia Martinez</t>
        </is>
      </c>
      <c r="E995" t="inlineStr">
        <is>
          <t>$100.00</t>
        </is>
      </c>
      <c r="F995" t="inlineStr">
        <is>
          <t>Apple Pay</t>
        </is>
      </c>
    </row>
    <row r="996">
      <c r="A996" s="78" t="n">
        <v>46330.72916666666</v>
      </c>
      <c r="B996" t="inlineStr">
        <is>
          <t>T105366</t>
        </is>
      </c>
      <c r="C996" t="inlineStr">
        <is>
          <t>Nicolas Perez</t>
        </is>
      </c>
      <c r="D996" t="inlineStr">
        <is>
          <t>Camila Perez</t>
        </is>
      </c>
      <c r="E996" t="n">
        <v>75</v>
      </c>
      <c r="F996" t="inlineStr">
        <is>
          <t>Apple Pay</t>
        </is>
      </c>
    </row>
    <row r="997">
      <c r="A997" s="78" t="n">
        <v>46334.39583333334</v>
      </c>
      <c r="B997" t="inlineStr">
        <is>
          <t>T105432</t>
        </is>
      </c>
      <c r="C997" t="inlineStr">
        <is>
          <t>Lucas Patel</t>
        </is>
      </c>
      <c r="D997" t="inlineStr">
        <is>
          <t>Julian Patel</t>
        </is>
      </c>
      <c r="E997" t="n">
        <v>75</v>
      </c>
      <c r="F997" t="inlineStr">
        <is>
          <t>Apple Pay</t>
        </is>
      </c>
    </row>
    <row r="998">
      <c r="A998" s="78" t="n">
        <v>46339.80208333334</v>
      </c>
      <c r="B998" t="inlineStr">
        <is>
          <t>T101832</t>
        </is>
      </c>
      <c r="C998" t="inlineStr">
        <is>
          <t>Grace Garcia</t>
        </is>
      </c>
      <c r="D998" t="inlineStr">
        <is>
          <t>Grace Garcia</t>
        </is>
      </c>
      <c r="E998" t="n">
        <v>50</v>
      </c>
      <c r="F998" t="inlineStr">
        <is>
          <t>Credit Card</t>
        </is>
      </c>
    </row>
    <row r="999">
      <c r="A999" s="78" t="n">
        <v>46326.80208333334</v>
      </c>
      <c r="B999" t="inlineStr">
        <is>
          <t>T103254</t>
        </is>
      </c>
      <c r="C999" t="inlineStr">
        <is>
          <t>Mateo Sullivan</t>
        </is>
      </c>
      <c r="D999" t="inlineStr">
        <is>
          <t>James Sullivan</t>
        </is>
      </c>
      <c r="E999" t="n">
        <v>50</v>
      </c>
      <c r="F999" t="inlineStr">
        <is>
          <t>Apple Pay</t>
        </is>
      </c>
    </row>
    <row r="1000">
      <c r="A1000" s="78" t="n">
        <v>46325.90625</v>
      </c>
      <c r="B1000" t="inlineStr">
        <is>
          <t>T102119</t>
        </is>
      </c>
      <c r="C1000" t="inlineStr">
        <is>
          <t>Elena Castillo</t>
        </is>
      </c>
      <c r="D1000" t="inlineStr">
        <is>
          <t>Lucas Castillo</t>
        </is>
      </c>
      <c r="E1000" t="n">
        <v>25</v>
      </c>
      <c r="F1000" t="inlineStr">
        <is>
          <t>Credit Card</t>
        </is>
      </c>
    </row>
    <row r="1001">
      <c r="A1001" s="78" t="n">
        <v>46338.8125</v>
      </c>
      <c r="B1001" t="inlineStr">
        <is>
          <t>T103423</t>
        </is>
      </c>
      <c r="C1001" t="inlineStr">
        <is>
          <t>Luna Ryan</t>
        </is>
      </c>
      <c r="D1001" t="inlineStr">
        <is>
          <t>Chloe Ryan</t>
        </is>
      </c>
      <c r="E1001" t="n">
        <v>75</v>
      </c>
      <c r="F1001" t="inlineStr">
        <is>
          <t>Credit Card</t>
        </is>
      </c>
    </row>
    <row r="1002">
      <c r="A1002" s="78" t="n">
        <v>46330.78125</v>
      </c>
      <c r="B1002" t="inlineStr">
        <is>
          <t>T100905</t>
        </is>
      </c>
      <c r="C1002" t="inlineStr">
        <is>
          <t>Aria Ramirez</t>
        </is>
      </c>
      <c r="D1002" t="inlineStr">
        <is>
          <t>Leo Ramirez</t>
        </is>
      </c>
      <c r="E1002" t="n">
        <v>50</v>
      </c>
      <c r="F1002" t="inlineStr">
        <is>
          <t>Apple Pay</t>
        </is>
      </c>
    </row>
    <row r="1003">
      <c r="A1003" s="78" t="n">
        <v>46338.79166666666</v>
      </c>
      <c r="B1003" t="inlineStr">
        <is>
          <t>T101159</t>
        </is>
      </c>
      <c r="C1003" t="inlineStr">
        <is>
          <t>Elijah Walsh</t>
        </is>
      </c>
      <c r="D1003" t="inlineStr">
        <is>
          <t>Benjamin Walsh</t>
        </is>
      </c>
      <c r="E1003" t="n">
        <v>25</v>
      </c>
      <c r="F1003" t="inlineStr">
        <is>
          <t>Apple Pay</t>
        </is>
      </c>
    </row>
    <row r="1004">
      <c r="A1004" s="78" t="n">
        <v>46336.59375</v>
      </c>
      <c r="B1004" t="inlineStr">
        <is>
          <t>T104394</t>
        </is>
      </c>
      <c r="C1004" t="inlineStr">
        <is>
          <t>Emma Murphy</t>
        </is>
      </c>
      <c r="D1004" t="inlineStr">
        <is>
          <t>Elijah Murphy</t>
        </is>
      </c>
      <c r="E1004" t="n">
        <v>25</v>
      </c>
      <c r="F1004" t="inlineStr">
        <is>
          <t>Credit Card</t>
        </is>
      </c>
    </row>
    <row r="1005">
      <c r="A1005" s="78" t="n">
        <v>46329.53125</v>
      </c>
      <c r="B1005" t="inlineStr">
        <is>
          <t>T103527</t>
        </is>
      </c>
      <c r="C1005" t="inlineStr">
        <is>
          <t>Valentina Martinez</t>
        </is>
      </c>
      <c r="D1005" t="inlineStr">
        <is>
          <t>Luna Martinez</t>
        </is>
      </c>
      <c r="E1005" t="n">
        <v>25</v>
      </c>
      <c r="F1005" t="inlineStr">
        <is>
          <t>Credit Card</t>
        </is>
      </c>
    </row>
    <row r="1006">
      <c r="A1006" s="78" t="n">
        <v>46332.73958333334</v>
      </c>
      <c r="B1006" t="inlineStr">
        <is>
          <t>T103057</t>
        </is>
      </c>
      <c r="C1006" t="inlineStr">
        <is>
          <t>Noah Rodriguez</t>
        </is>
      </c>
      <c r="D1006" t="inlineStr">
        <is>
          <t>Samuel Rodriguez</t>
        </is>
      </c>
      <c r="E1006" t="n">
        <v>150</v>
      </c>
      <c r="F1006" t="inlineStr">
        <is>
          <t>Credit Card</t>
        </is>
      </c>
    </row>
    <row r="1007">
      <c r="A1007" s="78" t="n">
        <v>46335.90625</v>
      </c>
      <c r="B1007" t="inlineStr">
        <is>
          <t>T103462</t>
        </is>
      </c>
      <c r="C1007" t="inlineStr">
        <is>
          <t>Harper Brown</t>
        </is>
      </c>
      <c r="D1007" t="inlineStr">
        <is>
          <t>Ava Brown</t>
        </is>
      </c>
      <c r="E1007" t="n">
        <v>50</v>
      </c>
      <c r="F1007" t="inlineStr">
        <is>
          <t>Credit Card</t>
        </is>
      </c>
    </row>
    <row r="1008">
      <c r="A1008" s="78" t="n">
        <v>46332.84375</v>
      </c>
      <c r="B1008" t="inlineStr">
        <is>
          <t>T104619</t>
        </is>
      </c>
      <c r="C1008" t="inlineStr">
        <is>
          <t>Maya Walsh</t>
        </is>
      </c>
      <c r="D1008" t="inlineStr">
        <is>
          <t>Evelyn Walsh</t>
        </is>
      </c>
      <c r="E1008" t="n">
        <v>50</v>
      </c>
      <c r="F1008" t="inlineStr">
        <is>
          <t>Credit Card</t>
        </is>
      </c>
    </row>
    <row r="1009">
      <c r="A1009" s="78" t="n">
        <v>46339.67708333334</v>
      </c>
      <c r="B1009" t="inlineStr">
        <is>
          <t>T103350</t>
        </is>
      </c>
      <c r="C1009" t="inlineStr">
        <is>
          <t>Joseph Vasquez</t>
        </is>
      </c>
      <c r="D1009" t="inlineStr">
        <is>
          <t>Valentina Vasquez</t>
        </is>
      </c>
      <c r="E1009" t="n">
        <v>75</v>
      </c>
      <c r="F1009" t="inlineStr">
        <is>
          <t>Apple Pay</t>
        </is>
      </c>
    </row>
    <row r="1010">
      <c r="A1010" s="78" t="n">
        <v>46339.77083333334</v>
      </c>
      <c r="B1010" t="inlineStr">
        <is>
          <t>T102232</t>
        </is>
      </c>
      <c r="C1010" t="inlineStr">
        <is>
          <t>David Murphy</t>
        </is>
      </c>
      <c r="D1010" t="inlineStr">
        <is>
          <t>Leo Murphy</t>
        </is>
      </c>
      <c r="E1010" t="n">
        <v>20</v>
      </c>
      <c r="F1010" t="inlineStr">
        <is>
          <t>Credit Card</t>
        </is>
      </c>
    </row>
    <row r="1011">
      <c r="A1011" s="78" t="n">
        <v>46335.875</v>
      </c>
      <c r="B1011" t="inlineStr">
        <is>
          <t>T101688</t>
        </is>
      </c>
      <c r="C1011" t="inlineStr">
        <is>
          <t>Johnson, Aria</t>
        </is>
      </c>
      <c r="D1011" t="inlineStr">
        <is>
          <t>Elena Johnson</t>
        </is>
      </c>
      <c r="E1011" t="n">
        <v>25</v>
      </c>
      <c r="F1011" t="inlineStr">
        <is>
          <t>Credit Card</t>
        </is>
      </c>
    </row>
    <row r="1012">
      <c r="A1012" s="78" t="n">
        <v>46325.42708333334</v>
      </c>
      <c r="B1012" t="inlineStr">
        <is>
          <t>T102332</t>
        </is>
      </c>
      <c r="C1012" t="inlineStr">
        <is>
          <t>Aria Martinez</t>
        </is>
      </c>
      <c r="D1012" t="inlineStr">
        <is>
          <t>Mia Martinez</t>
        </is>
      </c>
      <c r="E1012" t="n">
        <v>20</v>
      </c>
      <c r="F1012" t="inlineStr">
        <is>
          <t>Credit Card</t>
        </is>
      </c>
    </row>
    <row r="1013">
      <c r="A1013" s="78" t="n">
        <v>46328.57291666666</v>
      </c>
      <c r="B1013" t="inlineStr">
        <is>
          <t>T101325</t>
        </is>
      </c>
      <c r="C1013" t="inlineStr">
        <is>
          <t>Nicolas Cruz</t>
        </is>
      </c>
      <c r="D1013" t="inlineStr">
        <is>
          <t>Grace Cruz</t>
        </is>
      </c>
      <c r="E1013" t="n">
        <v>25</v>
      </c>
      <c r="F1013" t="inlineStr">
        <is>
          <t>Apple Pay</t>
        </is>
      </c>
    </row>
    <row r="1014">
      <c r="A1014" t="inlineStr">
        <is>
          <t>11/08/2026 07:15 AM</t>
        </is>
      </c>
      <c r="B1014" t="inlineStr">
        <is>
          <t>T103020</t>
        </is>
      </c>
      <c r="C1014" t="inlineStr">
        <is>
          <t>Liam Garcia</t>
        </is>
      </c>
      <c r="D1014" t="inlineStr">
        <is>
          <t>Ella Garcia</t>
        </is>
      </c>
      <c r="E1014" t="n">
        <v>150</v>
      </c>
      <c r="F1014" t="inlineStr">
        <is>
          <t>Credit Card</t>
        </is>
      </c>
    </row>
    <row r="1015">
      <c r="A1015" s="78" t="n">
        <v>46334.32291666666</v>
      </c>
      <c r="B1015" t="inlineStr">
        <is>
          <t>T101295</t>
        </is>
      </c>
      <c r="C1015" t="inlineStr">
        <is>
          <t>Noah Hernandez</t>
        </is>
      </c>
      <c r="D1015" t="inlineStr">
        <is>
          <t>Diego Hernandez</t>
        </is>
      </c>
      <c r="E1015" t="n">
        <v>20</v>
      </c>
      <c r="F1015" t="inlineStr">
        <is>
          <t>Credit Card</t>
        </is>
      </c>
    </row>
    <row r="1016">
      <c r="A1016" s="78" t="n">
        <v>46332.82291666666</v>
      </c>
      <c r="B1016" t="inlineStr">
        <is>
          <t>T103799</t>
        </is>
      </c>
      <c r="C1016" t="inlineStr">
        <is>
          <t>Diego O'Brien</t>
        </is>
      </c>
      <c r="D1016" t="inlineStr">
        <is>
          <t>Ella O'Brien</t>
        </is>
      </c>
      <c r="E1016" t="n">
        <v>150</v>
      </c>
      <c r="F1016" t="inlineStr">
        <is>
          <t>Apple Pay</t>
        </is>
      </c>
    </row>
    <row r="1017">
      <c r="A1017" s="78" t="n">
        <v>46338.88541666666</v>
      </c>
      <c r="B1017" t="inlineStr">
        <is>
          <t>T103532</t>
        </is>
      </c>
      <c r="C1017" t="inlineStr">
        <is>
          <t>Elijah Walsh</t>
        </is>
      </c>
      <c r="D1017" t="inlineStr">
        <is>
          <t>Isabella Walsh</t>
        </is>
      </c>
      <c r="E1017" t="n">
        <v>25</v>
      </c>
      <c r="F1017" t="inlineStr">
        <is>
          <t>Credit Card</t>
        </is>
      </c>
    </row>
    <row r="1018">
      <c r="A1018" s="78" t="n">
        <v>46329.60416666666</v>
      </c>
      <c r="B1018" t="inlineStr">
        <is>
          <t>T103558</t>
        </is>
      </c>
      <c r="C1018" t="inlineStr">
        <is>
          <t>David Brown</t>
        </is>
      </c>
      <c r="D1018" t="inlineStr">
        <is>
          <t>Valentina Brown</t>
        </is>
      </c>
      <c r="E1018" t="n">
        <v>10</v>
      </c>
      <c r="F1018" t="inlineStr">
        <is>
          <t>Apple Pay</t>
        </is>
      </c>
    </row>
    <row r="1019">
      <c r="A1019" s="78" t="n">
        <v>46335.51041666666</v>
      </c>
      <c r="B1019" t="inlineStr">
        <is>
          <t>T102787</t>
        </is>
      </c>
      <c r="C1019" t="inlineStr">
        <is>
          <t>Liam Diaz</t>
        </is>
      </c>
      <c r="D1019" t="inlineStr">
        <is>
          <t>Aria Diaz</t>
        </is>
      </c>
      <c r="E1019" t="n">
        <v>20</v>
      </c>
      <c r="F1019" t="inlineStr">
        <is>
          <t>Apple Pay</t>
        </is>
      </c>
    </row>
    <row r="1020">
      <c r="A1020" s="78" t="n">
        <v>46331.5625</v>
      </c>
      <c r="B1020" t="inlineStr">
        <is>
          <t>T104943</t>
        </is>
      </c>
      <c r="C1020" t="inlineStr">
        <is>
          <t>Daniel Johnson</t>
        </is>
      </c>
      <c r="D1020" t="inlineStr">
        <is>
          <t>Ella Johnson</t>
        </is>
      </c>
      <c r="E1020" t="n">
        <v>20</v>
      </c>
      <c r="F1020" t="inlineStr">
        <is>
          <t>Credit Card</t>
        </is>
      </c>
    </row>
    <row r="1021">
      <c r="A1021" s="78" t="n">
        <v>46329.375</v>
      </c>
      <c r="B1021" t="inlineStr">
        <is>
          <t>T104773</t>
        </is>
      </c>
      <c r="C1021" t="inlineStr">
        <is>
          <t>Diego Diaz</t>
        </is>
      </c>
      <c r="D1021" t="inlineStr">
        <is>
          <t>Diego Diaz</t>
        </is>
      </c>
      <c r="E1021" t="n">
        <v>25</v>
      </c>
      <c r="F1021" t="inlineStr">
        <is>
          <t>Apple Pay</t>
        </is>
      </c>
    </row>
    <row r="1022">
      <c r="A1022" s="78" t="n">
        <v>46338.76041666666</v>
      </c>
      <c r="B1022" t="inlineStr">
        <is>
          <t>T102735</t>
        </is>
      </c>
      <c r="C1022" t="inlineStr">
        <is>
          <t>Luna Hernandez</t>
        </is>
      </c>
      <c r="D1022" t="inlineStr">
        <is>
          <t>Maya Hernandez</t>
        </is>
      </c>
      <c r="E1022" t="n">
        <v>75</v>
      </c>
      <c r="F1022" t="inlineStr">
        <is>
          <t>Credit Card</t>
        </is>
      </c>
    </row>
    <row r="1023">
      <c r="A1023" s="78" t="n">
        <v>46329.86458333334</v>
      </c>
      <c r="B1023" t="inlineStr">
        <is>
          <t>T103900</t>
        </is>
      </c>
      <c r="C1023" t="inlineStr">
        <is>
          <t>James Ruiz</t>
        </is>
      </c>
      <c r="D1023" t="inlineStr">
        <is>
          <t>Mia Ruiz</t>
        </is>
      </c>
      <c r="E1023" t="n">
        <v>100</v>
      </c>
      <c r="F1023" t="inlineStr">
        <is>
          <t>Apple Pay</t>
        </is>
      </c>
    </row>
    <row r="1024">
      <c r="A1024" s="78" t="n">
        <v>46328.72916666666</v>
      </c>
      <c r="B1024" t="inlineStr">
        <is>
          <t>T103975</t>
        </is>
      </c>
      <c r="C1024" t="inlineStr">
        <is>
          <t>Liam Cruz</t>
        </is>
      </c>
      <c r="D1024" t="inlineStr">
        <is>
          <t>Ava Cruz</t>
        </is>
      </c>
      <c r="E1024" t="n">
        <v>20</v>
      </c>
      <c r="F1024" t="inlineStr">
        <is>
          <t>Apple Pay</t>
        </is>
      </c>
    </row>
    <row r="1025">
      <c r="A1025" s="78" t="n">
        <v>46328.40625</v>
      </c>
      <c r="B1025" t="inlineStr">
        <is>
          <t>T103312</t>
        </is>
      </c>
      <c r="C1025" t="inlineStr">
        <is>
          <t>Nora Morales</t>
        </is>
      </c>
      <c r="D1025" t="inlineStr">
        <is>
          <t>Camila Morales</t>
        </is>
      </c>
      <c r="E1025" t="n">
        <v>150</v>
      </c>
      <c r="F1025" t="inlineStr">
        <is>
          <t>Apple Pay</t>
        </is>
      </c>
    </row>
    <row r="1026">
      <c r="A1026" s="78" t="n">
        <v>46325.875</v>
      </c>
      <c r="B1026" t="inlineStr">
        <is>
          <t>T100568</t>
        </is>
      </c>
      <c r="C1026" t="inlineStr">
        <is>
          <t>Gabriel Murphy</t>
        </is>
      </c>
      <c r="D1026" t="inlineStr">
        <is>
          <t>Elijah Murphy</t>
        </is>
      </c>
      <c r="E1026" t="n">
        <v>20</v>
      </c>
      <c r="F1026" t="inlineStr">
        <is>
          <t>Credit Card</t>
        </is>
      </c>
    </row>
    <row r="1027">
      <c r="A1027" s="78" t="n">
        <v>46339.90625</v>
      </c>
      <c r="B1027" t="inlineStr">
        <is>
          <t>T101099</t>
        </is>
      </c>
      <c r="C1027" t="inlineStr">
        <is>
          <t>Clara Kelly</t>
        </is>
      </c>
      <c r="D1027" t="inlineStr">
        <is>
          <t>Harper Kelly</t>
        </is>
      </c>
      <c r="E1027" t="n">
        <v>20</v>
      </c>
      <c r="F1027" t="inlineStr">
        <is>
          <t>Apple Pay</t>
        </is>
      </c>
    </row>
    <row r="1028">
      <c r="A1028" s="78" t="n">
        <v>46339.5625</v>
      </c>
      <c r="B1028" t="inlineStr">
        <is>
          <t>T101045</t>
        </is>
      </c>
      <c r="C1028" t="inlineStr">
        <is>
          <t>Luna Alvarez</t>
        </is>
      </c>
      <c r="D1028" t="inlineStr">
        <is>
          <t>Amelia Alvarez</t>
        </is>
      </c>
      <c r="E1028" t="n">
        <v>40</v>
      </c>
      <c r="F1028" t="inlineStr">
        <is>
          <t>Credit Card</t>
        </is>
      </c>
    </row>
    <row r="1029">
      <c r="A1029" s="78" t="n">
        <v>46336.90625</v>
      </c>
      <c r="B1029" t="inlineStr">
        <is>
          <t>T104612</t>
        </is>
      </c>
      <c r="C1029" t="inlineStr">
        <is>
          <t>Isaac Byrne</t>
        </is>
      </c>
      <c r="D1029" t="inlineStr">
        <is>
          <t>James Byrne</t>
        </is>
      </c>
      <c r="E1029" t="n">
        <v>20</v>
      </c>
      <c r="F1029" t="inlineStr">
        <is>
          <t>Apple Pay</t>
        </is>
      </c>
    </row>
    <row r="1030">
      <c r="A1030" s="78" t="n">
        <v>46326.3125</v>
      </c>
      <c r="B1030" t="inlineStr">
        <is>
          <t>T101207</t>
        </is>
      </c>
      <c r="C1030" t="inlineStr">
        <is>
          <t>Elijah Cruz</t>
        </is>
      </c>
      <c r="D1030" t="inlineStr">
        <is>
          <t>Thomas Cruz</t>
        </is>
      </c>
      <c r="E1030" t="n">
        <v>50</v>
      </c>
      <c r="F1030" t="inlineStr">
        <is>
          <t>Apple Pay</t>
        </is>
      </c>
    </row>
    <row r="1031">
      <c r="A1031" s="78" t="n">
        <v>46338.3125</v>
      </c>
      <c r="B1031" t="inlineStr">
        <is>
          <t>T104565</t>
        </is>
      </c>
      <c r="C1031" t="inlineStr">
        <is>
          <t xml:space="preserve">  JAMES   torres </t>
        </is>
      </c>
      <c r="D1031" t="inlineStr">
        <is>
          <t>Zoe Torres</t>
        </is>
      </c>
      <c r="E1031" t="n">
        <v>50</v>
      </c>
      <c r="F1031" t="inlineStr">
        <is>
          <t>Apple Pay</t>
        </is>
      </c>
    </row>
    <row r="1032">
      <c r="A1032" s="78" t="n">
        <v>46328.76041666666</v>
      </c>
      <c r="B1032" t="inlineStr">
        <is>
          <t>T102145</t>
        </is>
      </c>
      <c r="C1032" t="inlineStr">
        <is>
          <t>Mateo Murphy</t>
        </is>
      </c>
      <c r="D1032" t="inlineStr">
        <is>
          <t>Emma Murphy</t>
        </is>
      </c>
      <c r="E1032" t="n">
        <v>25</v>
      </c>
      <c r="F1032" t="inlineStr">
        <is>
          <t>Apple Pay</t>
        </is>
      </c>
    </row>
    <row r="1033">
      <c r="A1033" s="78" t="n">
        <v>46335.71875</v>
      </c>
      <c r="B1033" t="inlineStr">
        <is>
          <t>T104875</t>
        </is>
      </c>
      <c r="C1033" t="inlineStr">
        <is>
          <t>Amelia Vasquez</t>
        </is>
      </c>
      <c r="D1033" t="inlineStr">
        <is>
          <t>Amelia Vasquez</t>
        </is>
      </c>
      <c r="E1033" t="n">
        <v>100</v>
      </c>
      <c r="F1033" t="inlineStr">
        <is>
          <t>Apple Pay</t>
        </is>
      </c>
    </row>
    <row r="1034">
      <c r="A1034" s="78" t="n">
        <v>46331.53125</v>
      </c>
      <c r="B1034" t="inlineStr">
        <is>
          <t>T103093</t>
        </is>
      </c>
      <c r="C1034" t="inlineStr">
        <is>
          <t>Noah Rodriguez</t>
        </is>
      </c>
      <c r="D1034" t="inlineStr">
        <is>
          <t>Harper Rodriguez</t>
        </is>
      </c>
      <c r="E1034" t="n">
        <v>50</v>
      </c>
      <c r="F1034" t="inlineStr">
        <is>
          <t>Apple Pay</t>
        </is>
      </c>
    </row>
    <row r="1035">
      <c r="A1035" s="78" t="n">
        <v>46327.77083333334</v>
      </c>
      <c r="B1035" t="inlineStr">
        <is>
          <t>T101923</t>
        </is>
      </c>
      <c r="C1035" t="inlineStr">
        <is>
          <t>Perez, Diego</t>
        </is>
      </c>
      <c r="D1035" t="inlineStr">
        <is>
          <t>Mia Perez</t>
        </is>
      </c>
      <c r="E1035" t="n">
        <v>50</v>
      </c>
      <c r="F1035" t="inlineStr">
        <is>
          <t>Apple Pay</t>
        </is>
      </c>
    </row>
    <row r="1036">
      <c r="A1036" s="78" t="n">
        <v>46335.86458333334</v>
      </c>
      <c r="B1036" t="inlineStr">
        <is>
          <t>T102485</t>
        </is>
      </c>
      <c r="C1036" t="inlineStr">
        <is>
          <t>Patel, Maya</t>
        </is>
      </c>
      <c r="D1036" t="inlineStr">
        <is>
          <t>Lucas Patel</t>
        </is>
      </c>
      <c r="E1036" t="n">
        <v>20</v>
      </c>
      <c r="F1036" t="inlineStr">
        <is>
          <t>Apple Pay</t>
        </is>
      </c>
    </row>
    <row r="1037">
      <c r="A1037" s="78" t="n">
        <v>46325.64583333334</v>
      </c>
      <c r="B1037" t="inlineStr">
        <is>
          <t>T102804</t>
        </is>
      </c>
      <c r="C1037" t="inlineStr">
        <is>
          <t xml:space="preserve">  DANIEL   gomez </t>
        </is>
      </c>
      <c r="D1037" t="inlineStr">
        <is>
          <t>Noah Gomez</t>
        </is>
      </c>
      <c r="E1037" t="n">
        <v>150</v>
      </c>
      <c r="F1037" t="inlineStr">
        <is>
          <t>Apple Pay</t>
        </is>
      </c>
    </row>
    <row r="1038">
      <c r="A1038" s="78" t="n">
        <v>46339.33333333334</v>
      </c>
      <c r="B1038" t="inlineStr">
        <is>
          <t>T101298</t>
        </is>
      </c>
      <c r="C1038" t="inlineStr">
        <is>
          <t>Cruz, Olivia</t>
        </is>
      </c>
      <c r="D1038" t="inlineStr">
        <is>
          <t>Henry Cruz</t>
        </is>
      </c>
      <c r="E1038" t="inlineStr">
        <is>
          <t>$25.00</t>
        </is>
      </c>
      <c r="F1038" t="inlineStr">
        <is>
          <t>Apple Pay</t>
        </is>
      </c>
    </row>
    <row r="1039">
      <c r="A1039" s="78" t="n">
        <v>46331.64583333334</v>
      </c>
      <c r="B1039" t="inlineStr">
        <is>
          <t>T103256</t>
        </is>
      </c>
      <c r="C1039" t="inlineStr">
        <is>
          <t>Camila Sullivan</t>
        </is>
      </c>
      <c r="D1039" t="inlineStr">
        <is>
          <t>Evelyn Sullivan</t>
        </is>
      </c>
      <c r="E1039" t="n">
        <v>50</v>
      </c>
      <c r="F1039" t="inlineStr">
        <is>
          <t>Credit Card</t>
        </is>
      </c>
    </row>
    <row r="1040">
      <c r="A1040" s="78" t="n">
        <v>46339.46875</v>
      </c>
      <c r="B1040" t="inlineStr">
        <is>
          <t>T100383</t>
        </is>
      </c>
      <c r="C1040" t="inlineStr">
        <is>
          <t>Camila Garcia</t>
        </is>
      </c>
      <c r="D1040" t="inlineStr">
        <is>
          <t>Lily Garcia</t>
        </is>
      </c>
      <c r="E1040" t="n">
        <v>10</v>
      </c>
      <c r="F1040" t="inlineStr">
        <is>
          <t>Apple Pay</t>
        </is>
      </c>
    </row>
    <row r="1041">
      <c r="A1041" s="78" t="n">
        <v>46327.73958333334</v>
      </c>
      <c r="B1041" t="inlineStr">
        <is>
          <t>T101858</t>
        </is>
      </c>
      <c r="C1041" t="inlineStr">
        <is>
          <t>Grace Kim</t>
        </is>
      </c>
      <c r="D1041" t="inlineStr">
        <is>
          <t>Samuel Kim</t>
        </is>
      </c>
      <c r="E1041" t="n">
        <v>100</v>
      </c>
      <c r="F1041" t="inlineStr">
        <is>
          <t>Credit Card</t>
        </is>
      </c>
    </row>
    <row r="1042">
      <c r="A1042" s="78" t="n">
        <v>46330.72916666666</v>
      </c>
      <c r="B1042" t="inlineStr">
        <is>
          <t>T103568</t>
        </is>
      </c>
      <c r="C1042" t="inlineStr">
        <is>
          <t>Camila Sullivan</t>
        </is>
      </c>
      <c r="D1042" t="inlineStr">
        <is>
          <t>Joseph Sullivan</t>
        </is>
      </c>
      <c r="E1042" t="n">
        <v>40</v>
      </c>
      <c r="F1042" t="inlineStr">
        <is>
          <t>Credit Card</t>
        </is>
      </c>
    </row>
    <row r="1043">
      <c r="A1043" s="78" t="n">
        <v>46338.63541666666</v>
      </c>
      <c r="B1043" t="inlineStr">
        <is>
          <t>T103226</t>
        </is>
      </c>
      <c r="C1043" t="inlineStr">
        <is>
          <t>Rodriguez, Evelyn</t>
        </is>
      </c>
      <c r="D1043" t="inlineStr">
        <is>
          <t>Gabriel Rodriguez</t>
        </is>
      </c>
      <c r="E1043" t="n">
        <v>10</v>
      </c>
      <c r="F1043" t="inlineStr">
        <is>
          <t>Credit Card</t>
        </is>
      </c>
    </row>
    <row r="1044">
      <c r="A1044" s="78" t="n">
        <v>46332.67708333334</v>
      </c>
      <c r="B1044" t="inlineStr">
        <is>
          <t>T104290</t>
        </is>
      </c>
      <c r="C1044" t="inlineStr">
        <is>
          <t>Noah Mendoza</t>
        </is>
      </c>
      <c r="D1044" t="inlineStr">
        <is>
          <t>Diego Mendoza</t>
        </is>
      </c>
      <c r="E1044" t="n">
        <v>50</v>
      </c>
      <c r="F1044" t="inlineStr">
        <is>
          <t>Apple Pay</t>
        </is>
      </c>
    </row>
    <row r="1045">
      <c r="A1045" s="78" t="n">
        <v>46333.875</v>
      </c>
      <c r="B1045" t="inlineStr">
        <is>
          <t>T103792</t>
        </is>
      </c>
      <c r="C1045" t="inlineStr">
        <is>
          <t>Thomas Diaz</t>
        </is>
      </c>
      <c r="D1045" t="inlineStr">
        <is>
          <t>Lucas Diaz</t>
        </is>
      </c>
      <c r="E1045" t="inlineStr">
        <is>
          <t>$100.00</t>
        </is>
      </c>
      <c r="F1045" t="inlineStr">
        <is>
          <t>Credit Card</t>
        </is>
      </c>
    </row>
    <row r="1046">
      <c r="A1046" s="78" t="n">
        <v>46330.46875</v>
      </c>
      <c r="B1046" t="inlineStr">
        <is>
          <t>T104124</t>
        </is>
      </c>
      <c r="C1046" t="inlineStr">
        <is>
          <t>Emma Sullivan</t>
        </is>
      </c>
      <c r="D1046" t="inlineStr">
        <is>
          <t>Isaac Sullivan</t>
        </is>
      </c>
      <c r="E1046" t="n">
        <v>150</v>
      </c>
      <c r="F1046" t="inlineStr">
        <is>
          <t>Credit Card</t>
        </is>
      </c>
    </row>
    <row r="1047">
      <c r="A1047" s="78" t="n">
        <v>46338.60416666666</v>
      </c>
      <c r="B1047" t="inlineStr">
        <is>
          <t>T101114</t>
        </is>
      </c>
      <c r="C1047" t="inlineStr">
        <is>
          <t>Nicolas Chavez</t>
        </is>
      </c>
      <c r="D1047" t="inlineStr">
        <is>
          <t>Julian Chavez</t>
        </is>
      </c>
      <c r="E1047" t="n">
        <v>10</v>
      </c>
      <c r="F1047" t="inlineStr">
        <is>
          <t>Credit Card</t>
        </is>
      </c>
    </row>
    <row r="1048">
      <c r="A1048" s="78" t="n">
        <v>46335.64583333334</v>
      </c>
      <c r="B1048" t="inlineStr">
        <is>
          <t>T105225</t>
        </is>
      </c>
      <c r="C1048" t="inlineStr">
        <is>
          <t xml:space="preserve">  ELIJAH   cruz </t>
        </is>
      </c>
      <c r="D1048" t="inlineStr">
        <is>
          <t>Isabella Cruz</t>
        </is>
      </c>
      <c r="E1048" t="n">
        <v>25</v>
      </c>
      <c r="F1048" t="inlineStr">
        <is>
          <t>Credit Card</t>
        </is>
      </c>
    </row>
    <row r="1049">
      <c r="A1049" s="78" t="n">
        <v>46331.79166666666</v>
      </c>
      <c r="B1049" t="inlineStr">
        <is>
          <t>T102813</t>
        </is>
      </c>
      <c r="C1049" t="inlineStr">
        <is>
          <t>Elijah Walsh</t>
        </is>
      </c>
      <c r="D1049" t="inlineStr">
        <is>
          <t>Amelia Walsh</t>
        </is>
      </c>
      <c r="E1049" t="n">
        <v>25</v>
      </c>
      <c r="F1049" t="inlineStr">
        <is>
          <t>Credit Card</t>
        </is>
      </c>
    </row>
    <row r="1050">
      <c r="A1050" s="78" t="n">
        <v>46336.83333333334</v>
      </c>
      <c r="B1050" t="inlineStr">
        <is>
          <t>T102874</t>
        </is>
      </c>
      <c r="C1050" t="inlineStr">
        <is>
          <t>Olivia Murphy</t>
        </is>
      </c>
      <c r="D1050" t="inlineStr">
        <is>
          <t>Diego Murphy</t>
        </is>
      </c>
      <c r="E1050" t="n">
        <v>20</v>
      </c>
      <c r="F1050" t="inlineStr">
        <is>
          <t>Apple Pay</t>
        </is>
      </c>
    </row>
    <row r="1051">
      <c r="A1051" s="78" t="n">
        <v>46332.57291666666</v>
      </c>
      <c r="B1051" t="inlineStr">
        <is>
          <t>T103489</t>
        </is>
      </c>
      <c r="C1051" t="inlineStr">
        <is>
          <t>Luna Walsh</t>
        </is>
      </c>
      <c r="D1051" t="inlineStr">
        <is>
          <t>Benjamin Walsh</t>
        </is>
      </c>
      <c r="E1051" t="n">
        <v>150</v>
      </c>
      <c r="F1051" t="inlineStr">
        <is>
          <t>Credit Card</t>
        </is>
      </c>
    </row>
    <row r="1052">
      <c r="A1052" s="78" t="n">
        <v>46338.82291666666</v>
      </c>
      <c r="B1052" t="inlineStr">
        <is>
          <t>T100346</t>
        </is>
      </c>
      <c r="C1052" t="inlineStr">
        <is>
          <t>Noah Gonzalez</t>
        </is>
      </c>
      <c r="D1052" t="inlineStr">
        <is>
          <t>Camila Gonzalez</t>
        </is>
      </c>
      <c r="E1052" t="n">
        <v>20</v>
      </c>
      <c r="F1052" t="inlineStr">
        <is>
          <t>Apple Pay</t>
        </is>
      </c>
    </row>
    <row r="1053">
      <c r="A1053" s="78" t="n">
        <v>46336.80208333334</v>
      </c>
      <c r="B1053" t="inlineStr">
        <is>
          <t>T103441</t>
        </is>
      </c>
      <c r="C1053" t="inlineStr">
        <is>
          <t>Thomas Nguyen</t>
        </is>
      </c>
      <c r="D1053" t="inlineStr">
        <is>
          <t>Maya Nguyen</t>
        </is>
      </c>
      <c r="E1053" t="n">
        <v>25</v>
      </c>
      <c r="F1053" t="inlineStr">
        <is>
          <t>Credit Card</t>
        </is>
      </c>
    </row>
    <row r="1054">
      <c r="A1054" s="78" t="n">
        <v>46326.32291666666</v>
      </c>
      <c r="B1054" t="inlineStr">
        <is>
          <t>T104020</t>
        </is>
      </c>
      <c r="C1054" t="inlineStr">
        <is>
          <t>Daniel Gomez</t>
        </is>
      </c>
      <c r="D1054" t="inlineStr">
        <is>
          <t>Elijah Gomez</t>
        </is>
      </c>
      <c r="E1054" t="n">
        <v>100</v>
      </c>
      <c r="F1054" t="inlineStr">
        <is>
          <t>Apple Pay</t>
        </is>
      </c>
    </row>
    <row r="1055">
      <c r="A1055" s="78" t="n">
        <v>46338.55208333334</v>
      </c>
      <c r="B1055" t="inlineStr">
        <is>
          <t>T101258</t>
        </is>
      </c>
      <c r="C1055" t="inlineStr">
        <is>
          <t>Zoe Garcia</t>
        </is>
      </c>
      <c r="D1055" t="inlineStr">
        <is>
          <t>Isabella Garcia</t>
        </is>
      </c>
      <c r="E1055" t="n">
        <v>50</v>
      </c>
      <c r="F1055" t="inlineStr">
        <is>
          <t>Apple Pay</t>
        </is>
      </c>
    </row>
    <row r="1056">
      <c r="A1056" s="78" t="n">
        <v>46339.39583333334</v>
      </c>
      <c r="B1056" t="inlineStr">
        <is>
          <t>T100555</t>
        </is>
      </c>
      <c r="C1056" t="inlineStr">
        <is>
          <t>Amelia Sullivan</t>
        </is>
      </c>
      <c r="D1056" t="inlineStr">
        <is>
          <t>David Sullivan</t>
        </is>
      </c>
      <c r="E1056" t="n">
        <v>50</v>
      </c>
      <c r="F1056" t="inlineStr">
        <is>
          <t>Credit Card</t>
        </is>
      </c>
    </row>
    <row r="1057">
      <c r="A1057" s="78" t="n">
        <v>46334.375</v>
      </c>
      <c r="B1057" t="inlineStr">
        <is>
          <t>T100063</t>
        </is>
      </c>
      <c r="C1057" t="inlineStr">
        <is>
          <t>Benjamin Murphy</t>
        </is>
      </c>
      <c r="D1057" t="inlineStr">
        <is>
          <t>Lucas Murphy</t>
        </is>
      </c>
      <c r="E1057" t="n">
        <v>100</v>
      </c>
      <c r="F1057" t="inlineStr">
        <is>
          <t>Apple Pay</t>
        </is>
      </c>
    </row>
    <row r="1058">
      <c r="A1058" s="78" t="n">
        <v>46326.78125</v>
      </c>
      <c r="B1058" t="inlineStr">
        <is>
          <t>T100319</t>
        </is>
      </c>
      <c r="C1058" t="inlineStr">
        <is>
          <t>Ava Sanchez</t>
        </is>
      </c>
      <c r="D1058" t="inlineStr">
        <is>
          <t>Daniel Sanchez</t>
        </is>
      </c>
      <c r="E1058" t="n">
        <v>40</v>
      </c>
      <c r="F1058" t="inlineStr">
        <is>
          <t>Credit Card</t>
        </is>
      </c>
    </row>
    <row r="1059">
      <c r="A1059" s="78" t="n">
        <v>46336.32291666666</v>
      </c>
      <c r="B1059" t="inlineStr">
        <is>
          <t>T104286</t>
        </is>
      </c>
      <c r="C1059" t="inlineStr">
        <is>
          <t>Joseph Chavez</t>
        </is>
      </c>
      <c r="D1059" t="inlineStr">
        <is>
          <t>Grace Chavez</t>
        </is>
      </c>
      <c r="E1059" t="n">
        <v>25</v>
      </c>
      <c r="F1059" t="inlineStr">
        <is>
          <t>Credit Card</t>
        </is>
      </c>
    </row>
    <row r="1060">
      <c r="A1060" s="78" t="n">
        <v>46339.45833333334</v>
      </c>
      <c r="B1060" t="inlineStr">
        <is>
          <t>T100318</t>
        </is>
      </c>
      <c r="C1060" t="inlineStr">
        <is>
          <t>Lucas Mendoza</t>
        </is>
      </c>
      <c r="D1060" t="inlineStr">
        <is>
          <t>Mia Mendoza</t>
        </is>
      </c>
      <c r="E1060" t="n">
        <v>150</v>
      </c>
      <c r="F1060" t="inlineStr">
        <is>
          <t>Apple Pay</t>
        </is>
      </c>
    </row>
    <row r="1061">
      <c r="A1061" s="78" t="n">
        <v>46330.60416666666</v>
      </c>
      <c r="B1061" t="inlineStr">
        <is>
          <t>T105318</t>
        </is>
      </c>
      <c r="C1061" t="inlineStr">
        <is>
          <t>Leo Ramirez</t>
        </is>
      </c>
      <c r="D1061" t="inlineStr">
        <is>
          <t>Julian Ramirez</t>
        </is>
      </c>
      <c r="E1061" t="n">
        <v>50</v>
      </c>
      <c r="F1061" t="inlineStr">
        <is>
          <t>Apple Pay</t>
        </is>
      </c>
    </row>
    <row r="1062">
      <c r="A1062" s="78" t="n">
        <v>46327.29166666666</v>
      </c>
      <c r="B1062" t="inlineStr">
        <is>
          <t>T105126</t>
        </is>
      </c>
      <c r="C1062" t="inlineStr">
        <is>
          <t>Samuel Murphy</t>
        </is>
      </c>
      <c r="D1062" t="inlineStr">
        <is>
          <t>Valentina Murphy</t>
        </is>
      </c>
      <c r="E1062" t="n">
        <v>20</v>
      </c>
      <c r="F1062" t="inlineStr">
        <is>
          <t>Apple Pay</t>
        </is>
      </c>
    </row>
    <row r="1063">
      <c r="A1063" s="78" t="n">
        <v>46326.5</v>
      </c>
      <c r="B1063" t="inlineStr">
        <is>
          <t>T104036</t>
        </is>
      </c>
      <c r="C1063" t="inlineStr">
        <is>
          <t>Lucas Kelly</t>
        </is>
      </c>
      <c r="D1063" t="inlineStr">
        <is>
          <t>Valentina Kelly</t>
        </is>
      </c>
      <c r="E1063" t="n">
        <v>50</v>
      </c>
      <c r="F1063" t="inlineStr">
        <is>
          <t>Apple Pay</t>
        </is>
      </c>
    </row>
    <row r="1064">
      <c r="A1064" s="78" t="n">
        <v>46336.67708333334</v>
      </c>
      <c r="B1064" t="inlineStr">
        <is>
          <t>T104428</t>
        </is>
      </c>
      <c r="C1064" t="inlineStr">
        <is>
          <t>Samuel Patel</t>
        </is>
      </c>
      <c r="D1064" t="inlineStr">
        <is>
          <t>Thomas Patel</t>
        </is>
      </c>
      <c r="E1064" t="n">
        <v>75</v>
      </c>
      <c r="F1064" t="inlineStr">
        <is>
          <t>Apple Pay</t>
        </is>
      </c>
    </row>
    <row r="1065">
      <c r="A1065" s="78" t="n">
        <v>46336.59375</v>
      </c>
      <c r="B1065" t="inlineStr">
        <is>
          <t>T101734</t>
        </is>
      </c>
      <c r="C1065" t="inlineStr">
        <is>
          <t>Patel, Lily</t>
        </is>
      </c>
      <c r="D1065" t="inlineStr">
        <is>
          <t>Isaac Patel</t>
        </is>
      </c>
      <c r="E1065" t="n">
        <v>25</v>
      </c>
      <c r="F1065" t="inlineStr">
        <is>
          <t>Credit Card</t>
        </is>
      </c>
    </row>
    <row r="1066">
      <c r="A1066" t="inlineStr">
        <is>
          <t>11/03/2026 03:30 PM</t>
        </is>
      </c>
      <c r="B1066" t="inlineStr">
        <is>
          <t>T100121</t>
        </is>
      </c>
      <c r="C1066" t="inlineStr">
        <is>
          <t>Noah Gonzalez</t>
        </is>
      </c>
      <c r="D1066" t="inlineStr">
        <is>
          <t>Nicolas Gonzalez</t>
        </is>
      </c>
      <c r="E1066" t="n">
        <v>25</v>
      </c>
      <c r="F1066" t="inlineStr">
        <is>
          <t>Apple Pay</t>
        </is>
      </c>
    </row>
    <row r="1067">
      <c r="A1067" s="78" t="n">
        <v>46338.63541666666</v>
      </c>
      <c r="B1067" t="inlineStr">
        <is>
          <t>T102585</t>
        </is>
      </c>
      <c r="C1067" t="inlineStr">
        <is>
          <t>Benjamin Cruz</t>
        </is>
      </c>
      <c r="D1067" t="inlineStr">
        <is>
          <t>Grace Cruz</t>
        </is>
      </c>
      <c r="E1067" t="n">
        <v>50</v>
      </c>
      <c r="F1067" t="inlineStr">
        <is>
          <t>Credit Card</t>
        </is>
      </c>
    </row>
    <row r="1068">
      <c r="A1068" s="78" t="n">
        <v>46332.55208333334</v>
      </c>
      <c r="B1068" t="inlineStr">
        <is>
          <t>T105299</t>
        </is>
      </c>
      <c r="C1068" t="inlineStr">
        <is>
          <t>Thomas Patel</t>
        </is>
      </c>
      <c r="D1068" t="inlineStr">
        <is>
          <t>Lucas Patel</t>
        </is>
      </c>
      <c r="E1068" t="n">
        <v>25</v>
      </c>
      <c r="F1068" t="inlineStr">
        <is>
          <t>Credit Card</t>
        </is>
      </c>
    </row>
    <row r="1069">
      <c r="A1069" s="78" t="n">
        <v>46330.29166666666</v>
      </c>
      <c r="B1069" t="inlineStr">
        <is>
          <t>T101065</t>
        </is>
      </c>
      <c r="C1069" t="inlineStr">
        <is>
          <t>Samuel Ryan</t>
        </is>
      </c>
      <c r="D1069" t="inlineStr">
        <is>
          <t>Harper Ryan</t>
        </is>
      </c>
      <c r="E1069" t="n">
        <v>100</v>
      </c>
      <c r="F1069" t="inlineStr">
        <is>
          <t>Credit Card</t>
        </is>
      </c>
    </row>
    <row r="1070">
      <c r="A1070" s="78" t="n">
        <v>46339.61458333334</v>
      </c>
      <c r="B1070" t="inlineStr">
        <is>
          <t>T101016</t>
        </is>
      </c>
      <c r="C1070" t="inlineStr">
        <is>
          <t>Maya Nguyen</t>
        </is>
      </c>
      <c r="D1070" t="inlineStr">
        <is>
          <t>James Nguyen</t>
        </is>
      </c>
      <c r="E1070" t="n">
        <v>25</v>
      </c>
      <c r="F1070" t="inlineStr">
        <is>
          <t>Apple Pay</t>
        </is>
      </c>
    </row>
    <row r="1071">
      <c r="A1071" s="78" t="n">
        <v>46335.63541666666</v>
      </c>
      <c r="B1071" t="inlineStr">
        <is>
          <t>T104309</t>
        </is>
      </c>
      <c r="C1071" t="inlineStr">
        <is>
          <t>Evelyn Diaz</t>
        </is>
      </c>
      <c r="D1071" t="inlineStr">
        <is>
          <t>Lucas Diaz</t>
        </is>
      </c>
      <c r="E1071" t="n">
        <v>50</v>
      </c>
      <c r="F1071" t="inlineStr">
        <is>
          <t>Credit Card</t>
        </is>
      </c>
    </row>
    <row r="1072">
      <c r="A1072" s="78" t="n">
        <v>46339.58333333334</v>
      </c>
      <c r="B1072" t="inlineStr">
        <is>
          <t>T101596</t>
        </is>
      </c>
      <c r="C1072" t="inlineStr">
        <is>
          <t>David Murphy</t>
        </is>
      </c>
      <c r="D1072" t="inlineStr">
        <is>
          <t>Emma Murphy</t>
        </is>
      </c>
      <c r="E1072" t="n">
        <v>25</v>
      </c>
      <c r="F1072" t="inlineStr">
        <is>
          <t>Apple Pay</t>
        </is>
      </c>
    </row>
    <row r="1073">
      <c r="A1073" s="78" t="n">
        <v>46330.48958333334</v>
      </c>
      <c r="B1073" t="inlineStr">
        <is>
          <t>T104168</t>
        </is>
      </c>
      <c r="C1073" t="inlineStr">
        <is>
          <t>Amelia Martinez</t>
        </is>
      </c>
      <c r="D1073" t="inlineStr">
        <is>
          <t>Mia Martinez</t>
        </is>
      </c>
      <c r="E1073" t="n">
        <v>25</v>
      </c>
      <c r="F1073" t="inlineStr">
        <is>
          <t>Apple Pay</t>
        </is>
      </c>
    </row>
    <row r="1074">
      <c r="A1074" s="78" t="n">
        <v>46328.73958333334</v>
      </c>
      <c r="B1074" t="inlineStr">
        <is>
          <t>T102477</t>
        </is>
      </c>
      <c r="C1074" t="inlineStr">
        <is>
          <t>Harper Chavez</t>
        </is>
      </c>
      <c r="D1074" t="inlineStr">
        <is>
          <t>Mia Chavez</t>
        </is>
      </c>
      <c r="E1074" t="n">
        <v>25</v>
      </c>
      <c r="F1074" t="inlineStr">
        <is>
          <t>Credit Card</t>
        </is>
      </c>
    </row>
    <row r="1075">
      <c r="A1075" s="78" t="n">
        <v>46325.5</v>
      </c>
      <c r="B1075" t="inlineStr">
        <is>
          <t>T100789</t>
        </is>
      </c>
      <c r="C1075" t="inlineStr">
        <is>
          <t>Nicolas Brown</t>
        </is>
      </c>
      <c r="D1075" t="inlineStr">
        <is>
          <t>Elena Brown</t>
        </is>
      </c>
      <c r="E1075" t="n">
        <v>75</v>
      </c>
      <c r="F1075" t="inlineStr">
        <is>
          <t>Credit Card</t>
        </is>
      </c>
    </row>
    <row r="1076">
      <c r="A1076" t="inlineStr">
        <is>
          <t>11/12/2026 02:15 PM</t>
        </is>
      </c>
      <c r="B1076" t="inlineStr">
        <is>
          <t>T104341</t>
        </is>
      </c>
      <c r="C1076" t="inlineStr">
        <is>
          <t>Lucas Ruiz</t>
        </is>
      </c>
      <c r="D1076" t="inlineStr">
        <is>
          <t>Chloe Ruiz</t>
        </is>
      </c>
      <c r="E1076" t="n">
        <v>25</v>
      </c>
      <c r="F1076" t="inlineStr">
        <is>
          <t>Credit Card</t>
        </is>
      </c>
    </row>
    <row r="1077">
      <c r="A1077" s="78" t="n">
        <v>46325.375</v>
      </c>
      <c r="B1077" t="inlineStr">
        <is>
          <t>T104490</t>
        </is>
      </c>
      <c r="C1077" t="inlineStr">
        <is>
          <t>Julian Kim</t>
        </is>
      </c>
      <c r="D1077" t="inlineStr">
        <is>
          <t>David Kim</t>
        </is>
      </c>
      <c r="E1077" t="n">
        <v>40</v>
      </c>
      <c r="F1077" t="inlineStr">
        <is>
          <t>Credit Card</t>
        </is>
      </c>
    </row>
    <row r="1078">
      <c r="A1078" s="78" t="n">
        <v>46332.4375</v>
      </c>
      <c r="B1078" t="inlineStr">
        <is>
          <t>T104576</t>
        </is>
      </c>
      <c r="C1078" t="inlineStr">
        <is>
          <t>Nora Kim</t>
        </is>
      </c>
      <c r="D1078" t="inlineStr">
        <is>
          <t>Zoe Kim</t>
        </is>
      </c>
      <c r="E1078" t="n">
        <v>100</v>
      </c>
      <c r="F1078" t="inlineStr">
        <is>
          <t>Apple Pay</t>
        </is>
      </c>
    </row>
    <row r="1079">
      <c r="A1079" s="78" t="n">
        <v>46338.82291666666</v>
      </c>
      <c r="B1079" t="inlineStr">
        <is>
          <t>T104361</t>
        </is>
      </c>
      <c r="C1079" t="inlineStr">
        <is>
          <t>Ortiz, Diego</t>
        </is>
      </c>
      <c r="D1079" t="inlineStr">
        <is>
          <t>Isabella Ortiz</t>
        </is>
      </c>
      <c r="E1079" t="n">
        <v>25</v>
      </c>
      <c r="F1079" t="inlineStr">
        <is>
          <t>Apple Pay</t>
        </is>
      </c>
    </row>
    <row r="1080">
      <c r="A1080" s="78" t="n">
        <v>46327.38541666666</v>
      </c>
      <c r="B1080" t="inlineStr">
        <is>
          <t>T100422</t>
        </is>
      </c>
      <c r="C1080" t="inlineStr">
        <is>
          <t>Ella Nguyen</t>
        </is>
      </c>
      <c r="D1080" t="inlineStr">
        <is>
          <t>Mateo Nguyen</t>
        </is>
      </c>
      <c r="E1080" t="n">
        <v>50</v>
      </c>
      <c r="F1080" t="inlineStr">
        <is>
          <t>Apple Pay</t>
        </is>
      </c>
    </row>
    <row r="1081">
      <c r="A1081" s="78" t="n">
        <v>46332.30208333334</v>
      </c>
      <c r="B1081" t="inlineStr">
        <is>
          <t>T104606</t>
        </is>
      </c>
      <c r="C1081" t="inlineStr">
        <is>
          <t xml:space="preserve">  ELENA   alvarez </t>
        </is>
      </c>
      <c r="D1081" t="inlineStr">
        <is>
          <t>Grace Alvarez</t>
        </is>
      </c>
      <c r="E1081" t="n">
        <v>75</v>
      </c>
      <c r="F1081" t="inlineStr">
        <is>
          <t>Credit Card</t>
        </is>
      </c>
    </row>
    <row r="1082">
      <c r="A1082" s="78" t="n">
        <v>46339.52083333334</v>
      </c>
      <c r="B1082" t="inlineStr">
        <is>
          <t>T104056</t>
        </is>
      </c>
      <c r="C1082" t="inlineStr">
        <is>
          <t>Vasquez, Mateo</t>
        </is>
      </c>
      <c r="D1082" t="inlineStr">
        <is>
          <t>Ava Vasquez</t>
        </is>
      </c>
      <c r="E1082" t="n">
        <v>100</v>
      </c>
      <c r="F1082" t="inlineStr">
        <is>
          <t>Credit Card</t>
        </is>
      </c>
    </row>
    <row r="1083">
      <c r="A1083" s="78" t="n">
        <v>46334.40625</v>
      </c>
      <c r="B1083" t="inlineStr">
        <is>
          <t>T104128</t>
        </is>
      </c>
      <c r="C1083" t="inlineStr">
        <is>
          <t>Murphy, Elena</t>
        </is>
      </c>
      <c r="D1083" t="inlineStr">
        <is>
          <t>Isabella Murphy</t>
        </is>
      </c>
      <c r="E1083" t="n">
        <v>25</v>
      </c>
      <c r="F1083" t="inlineStr">
        <is>
          <t>Apple Pay</t>
        </is>
      </c>
    </row>
    <row r="1084">
      <c r="A1084" s="78" t="n">
        <v>46336.39583333334</v>
      </c>
      <c r="B1084" t="inlineStr">
        <is>
          <t>T102857</t>
        </is>
      </c>
      <c r="C1084" t="inlineStr">
        <is>
          <t xml:space="preserve">  THOMAS   patel </t>
        </is>
      </c>
      <c r="D1084" t="inlineStr">
        <is>
          <t>Evelyn Patel</t>
        </is>
      </c>
      <c r="E1084" t="n">
        <v>75</v>
      </c>
      <c r="F1084" t="inlineStr">
        <is>
          <t>Credit Card</t>
        </is>
      </c>
    </row>
    <row r="1085">
      <c r="A1085" s="78" t="n">
        <v>46332.48958333334</v>
      </c>
      <c r="B1085" t="inlineStr">
        <is>
          <t>T100751</t>
        </is>
      </c>
      <c r="C1085" t="inlineStr">
        <is>
          <t>Elena Rivera</t>
        </is>
      </c>
      <c r="D1085" t="inlineStr">
        <is>
          <t>Mia Rivera</t>
        </is>
      </c>
      <c r="E1085" t="n">
        <v>40</v>
      </c>
      <c r="F1085" t="inlineStr">
        <is>
          <t>Apple Pay</t>
        </is>
      </c>
    </row>
    <row r="1086">
      <c r="A1086" t="inlineStr">
        <is>
          <t>11/08/2026 05:15 PM</t>
        </is>
      </c>
      <c r="B1086" t="inlineStr">
        <is>
          <t>T100417</t>
        </is>
      </c>
      <c r="C1086" t="inlineStr">
        <is>
          <t>Thomas Patel</t>
        </is>
      </c>
      <c r="D1086" t="inlineStr">
        <is>
          <t>Emma Patel</t>
        </is>
      </c>
      <c r="E1086" t="n">
        <v>100</v>
      </c>
      <c r="F1086" t="inlineStr">
        <is>
          <t>Apple Pay</t>
        </is>
      </c>
    </row>
    <row r="1087">
      <c r="A1087" t="inlineStr">
        <is>
          <t>11/07/2026 05:30 PM</t>
        </is>
      </c>
      <c r="B1087" t="inlineStr">
        <is>
          <t>T103280</t>
        </is>
      </c>
      <c r="C1087" t="inlineStr">
        <is>
          <t>Leo Vasquez</t>
        </is>
      </c>
      <c r="D1087" t="inlineStr">
        <is>
          <t>Isabella Vasquez</t>
        </is>
      </c>
      <c r="E1087" t="n">
        <v>50</v>
      </c>
      <c r="F1087" t="inlineStr">
        <is>
          <t>Apple Pay</t>
        </is>
      </c>
    </row>
    <row r="1088">
      <c r="A1088" s="78" t="n">
        <v>46325.41666666666</v>
      </c>
      <c r="B1088" t="inlineStr">
        <is>
          <t>T100223</t>
        </is>
      </c>
      <c r="C1088" t="inlineStr">
        <is>
          <t>Camila Reyes</t>
        </is>
      </c>
      <c r="D1088" t="inlineStr">
        <is>
          <t>Noah Reyes</t>
        </is>
      </c>
      <c r="E1088" t="inlineStr">
        <is>
          <t>$150.00</t>
        </is>
      </c>
      <c r="F1088" t="inlineStr">
        <is>
          <t>Apple Pay</t>
        </is>
      </c>
    </row>
    <row r="1089">
      <c r="A1089" s="78" t="n">
        <v>46330.32291666666</v>
      </c>
      <c r="B1089" t="inlineStr">
        <is>
          <t>T102402</t>
        </is>
      </c>
      <c r="C1089" t="inlineStr">
        <is>
          <t>Elijah Cruz</t>
        </is>
      </c>
      <c r="D1089" t="inlineStr">
        <is>
          <t>Mia Cruz</t>
        </is>
      </c>
      <c r="E1089" t="n">
        <v>50</v>
      </c>
      <c r="F1089" t="inlineStr">
        <is>
          <t>Apple Pay</t>
        </is>
      </c>
    </row>
    <row r="1090">
      <c r="A1090" s="78" t="n">
        <v>46325.60416666666</v>
      </c>
      <c r="B1090" t="inlineStr">
        <is>
          <t>T105017</t>
        </is>
      </c>
      <c r="C1090" t="inlineStr">
        <is>
          <t xml:space="preserve">  NICOLAS   mendoza </t>
        </is>
      </c>
      <c r="D1090" t="inlineStr">
        <is>
          <t>Leo Mendoza</t>
        </is>
      </c>
      <c r="E1090" t="n">
        <v>150</v>
      </c>
      <c r="F1090" t="inlineStr">
        <is>
          <t>Apple Pay</t>
        </is>
      </c>
    </row>
    <row r="1091">
      <c r="A1091" s="78" t="n">
        <v>46336.8125</v>
      </c>
      <c r="B1091" t="inlineStr">
        <is>
          <t>T102776</t>
        </is>
      </c>
      <c r="C1091" t="inlineStr">
        <is>
          <t>Nora Williams</t>
        </is>
      </c>
      <c r="D1091" t="inlineStr">
        <is>
          <t>Liam Williams</t>
        </is>
      </c>
      <c r="E1091" t="n">
        <v>150</v>
      </c>
      <c r="F1091" t="inlineStr">
        <is>
          <t>Credit Card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F6FD0"/>
    <outlinePr summaryBelow="1" summaryRight="1"/>
    <pageSetUpPr/>
  </sheetPr>
  <dimension ref="A1:F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24" customWidth="1" min="3" max="3"/>
    <col width="11" customWidth="1" min="4" max="4"/>
    <col width="10" customWidth="1" min="5" max="5"/>
    <col width="30" customWidth="1" min="6" max="6"/>
  </cols>
  <sheetData>
    <row r="1" ht="30" customHeight="1">
      <c r="A1" s="33" t="inlineStr">
        <is>
          <t>Date</t>
        </is>
      </c>
      <c r="B1" s="33" t="inlineStr">
        <is>
          <t>Student (pick from list or type ID)</t>
        </is>
      </c>
      <c r="C1" s="33" t="inlineStr">
        <is>
          <t>Donor</t>
        </is>
      </c>
      <c r="D1" s="33" t="inlineStr">
        <is>
          <t>Amount</t>
        </is>
      </c>
      <c r="E1" s="33" t="inlineStr">
        <is>
          <t>Method</t>
        </is>
      </c>
      <c r="F1" s="33" t="inlineStr">
        <is>
          <t>Notes</t>
        </is>
      </c>
    </row>
    <row r="2">
      <c r="A2" s="79" t="n">
        <v>46338</v>
      </c>
      <c r="B2" s="76" t="inlineStr">
        <is>
          <t>Kim, Adrian (Mrs. Lindqvist – 3) #S0216</t>
        </is>
      </c>
      <c r="C2" s="76" t="inlineStr">
        <is>
          <t>Kim family</t>
        </is>
      </c>
      <c r="D2" s="80" t="n">
        <v>20</v>
      </c>
      <c r="E2" s="76" t="inlineStr">
        <is>
          <t>Cash</t>
        </is>
      </c>
      <c r="F2" s="76" t="n"/>
    </row>
    <row r="3">
      <c r="A3" s="79" t="n">
        <v>46325</v>
      </c>
      <c r="B3" s="76" t="inlineStr">
        <is>
          <t>Lopez, Santiago (Mr. Stanton – 7) #S0349</t>
        </is>
      </c>
      <c r="C3" s="76" t="inlineStr">
        <is>
          <t>Lopez family</t>
        </is>
      </c>
      <c r="D3" s="80" t="n">
        <v>20</v>
      </c>
      <c r="E3" s="76" t="inlineStr">
        <is>
          <t>Cash</t>
        </is>
      </c>
      <c r="F3" s="76" t="n"/>
    </row>
    <row r="4">
      <c r="A4" s="79" t="n">
        <v>46329</v>
      </c>
      <c r="B4" s="76" t="inlineStr">
        <is>
          <t>Torres, Valentina (Mrs. Hayes – 1) #S0132</t>
        </is>
      </c>
      <c r="C4" s="76" t="inlineStr">
        <is>
          <t>Torres family</t>
        </is>
      </c>
      <c r="D4" s="80" t="n">
        <v>40</v>
      </c>
      <c r="E4" s="76" t="inlineStr">
        <is>
          <t>Check</t>
        </is>
      </c>
      <c r="F4" s="76" t="n"/>
    </row>
    <row r="5">
      <c r="A5" s="79" t="n">
        <v>46325</v>
      </c>
      <c r="B5" s="76" t="inlineStr">
        <is>
          <t>Byrne, Elijah (Mrs. Jensen – 2) #S0169</t>
        </is>
      </c>
      <c r="C5" s="76" t="inlineStr">
        <is>
          <t>Byrne family</t>
        </is>
      </c>
      <c r="D5" s="80" t="n">
        <v>20</v>
      </c>
      <c r="E5" s="76" t="inlineStr">
        <is>
          <t>Check</t>
        </is>
      </c>
      <c r="F5" s="76" t="n"/>
    </row>
    <row r="6">
      <c r="A6" s="79" t="n">
        <v>46338</v>
      </c>
      <c r="B6" s="76" t="inlineStr">
        <is>
          <t>O'Brien, Diego (Mrs. Hayes – 1) #S0130</t>
        </is>
      </c>
      <c r="C6" s="76" t="inlineStr">
        <is>
          <t>O'Brien family</t>
        </is>
      </c>
      <c r="D6" s="80" t="n">
        <v>10</v>
      </c>
      <c r="E6" s="76" t="inlineStr">
        <is>
          <t>Check</t>
        </is>
      </c>
      <c r="F6" s="76" t="n"/>
    </row>
    <row r="7">
      <c r="A7" s="79" t="n">
        <v>46326</v>
      </c>
      <c r="B7" s="76" t="inlineStr">
        <is>
          <t>Flores, Amelia (Mr. Okafor – 5) #S0267</t>
        </is>
      </c>
      <c r="C7" s="76" t="inlineStr">
        <is>
          <t>Flores family</t>
        </is>
      </c>
      <c r="D7" s="80" t="n">
        <v>25</v>
      </c>
      <c r="E7" s="76" t="inlineStr">
        <is>
          <t>Cash</t>
        </is>
      </c>
      <c r="F7" s="76" t="n"/>
    </row>
    <row r="8">
      <c r="A8" s="79" t="n">
        <v>46334</v>
      </c>
      <c r="B8" s="76" t="inlineStr">
        <is>
          <t>Walsh, Grace (Mr. Okafor – 5) #S0273</t>
        </is>
      </c>
      <c r="C8" s="76" t="inlineStr">
        <is>
          <t>Walsh family</t>
        </is>
      </c>
      <c r="D8" s="80" t="n">
        <v>100</v>
      </c>
      <c r="E8" s="76" t="inlineStr">
        <is>
          <t>Cash</t>
        </is>
      </c>
      <c r="F8" s="76" t="n"/>
    </row>
    <row r="9">
      <c r="A9" s="79" t="n">
        <v>46327</v>
      </c>
      <c r="B9" s="76" t="inlineStr">
        <is>
          <t>Gutierrez, Ella (Ms. Ingram – 2) #S0164</t>
        </is>
      </c>
      <c r="C9" s="76" t="inlineStr">
        <is>
          <t>Gutierrez family</t>
        </is>
      </c>
      <c r="D9" s="80" t="n">
        <v>5</v>
      </c>
      <c r="E9" s="76" t="inlineStr">
        <is>
          <t>Check</t>
        </is>
      </c>
      <c r="F9" s="76" t="n"/>
    </row>
    <row r="10">
      <c r="A10" s="79" t="n">
        <v>46332</v>
      </c>
      <c r="B10" s="76" t="inlineStr">
        <is>
          <t>s0338</t>
        </is>
      </c>
      <c r="C10" s="76" t="inlineStr">
        <is>
          <t>Rodriguez family</t>
        </is>
      </c>
      <c r="D10" s="80" t="n">
        <v>50</v>
      </c>
      <c r="E10" s="76" t="inlineStr">
        <is>
          <t>Check</t>
        </is>
      </c>
      <c r="F10" s="76" t="n"/>
    </row>
    <row r="11">
      <c r="A11" s="79" t="n">
        <v>46331</v>
      </c>
      <c r="B11" s="76" t="inlineStr">
        <is>
          <t>Williams, Emma (Ms. Ingram – 2) #S0147</t>
        </is>
      </c>
      <c r="C11" s="76" t="inlineStr">
        <is>
          <t>Williams family</t>
        </is>
      </c>
      <c r="D11" s="80" t="n">
        <v>50</v>
      </c>
      <c r="E11" s="76" t="inlineStr">
        <is>
          <t>Check</t>
        </is>
      </c>
      <c r="F11" s="76" t="n"/>
    </row>
    <row r="12">
      <c r="A12" s="79" t="n">
        <v>46331</v>
      </c>
      <c r="B12" s="76" t="inlineStr">
        <is>
          <t>O'Brien, Grace (Ms. Quinlan – 6) #S0310</t>
        </is>
      </c>
      <c r="C12" s="76" t="inlineStr">
        <is>
          <t>O'Brien family</t>
        </is>
      </c>
      <c r="D12" s="80" t="n">
        <v>20</v>
      </c>
      <c r="E12" s="76" t="inlineStr">
        <is>
          <t>Cash</t>
        </is>
      </c>
      <c r="F12" s="76" t="n"/>
    </row>
    <row r="13">
      <c r="A13" s="79" t="n">
        <v>46331</v>
      </c>
      <c r="B13" s="76" t="inlineStr">
        <is>
          <t>Martinez, Amelia (Mrs. Valdez – 8) #S0409</t>
        </is>
      </c>
      <c r="C13" s="76" t="inlineStr">
        <is>
          <t>Martinez family</t>
        </is>
      </c>
      <c r="D13" s="80" t="n">
        <v>100</v>
      </c>
      <c r="E13" s="76" t="inlineStr">
        <is>
          <t>Check</t>
        </is>
      </c>
      <c r="F13" s="76" t="n"/>
    </row>
    <row r="14">
      <c r="A14" s="79" t="n">
        <v>46337</v>
      </c>
      <c r="B14" s="76" t="inlineStr">
        <is>
          <t>s0100</t>
        </is>
      </c>
      <c r="C14" s="76" t="inlineStr">
        <is>
          <t>Nguyen family</t>
        </is>
      </c>
      <c r="D14" s="80" t="n">
        <v>40</v>
      </c>
      <c r="E14" s="76" t="inlineStr">
        <is>
          <t>Cash</t>
        </is>
      </c>
      <c r="F14" s="76" t="n"/>
    </row>
    <row r="15">
      <c r="A15" s="79" t="n">
        <v>46338</v>
      </c>
      <c r="B15" s="76" t="inlineStr">
        <is>
          <t>Murphy, Emma (Ms. Ellison – K) #S0081</t>
        </is>
      </c>
      <c r="C15" s="76" t="inlineStr">
        <is>
          <t>Murphy family</t>
        </is>
      </c>
      <c r="D15" s="80" t="n">
        <v>20</v>
      </c>
      <c r="E15" s="76" t="inlineStr">
        <is>
          <t>Check</t>
        </is>
      </c>
      <c r="F15" s="76" t="n"/>
    </row>
    <row r="16">
      <c r="A16" s="79" t="n">
        <v>46330</v>
      </c>
      <c r="B16" s="76" t="inlineStr">
        <is>
          <t>Martinez, Aria (Mr. Kowalski – 3) #S0192</t>
        </is>
      </c>
      <c r="C16" s="76" t="inlineStr">
        <is>
          <t>Martinez family</t>
        </is>
      </c>
      <c r="D16" s="80" t="n">
        <v>10</v>
      </c>
      <c r="E16" s="76" t="inlineStr">
        <is>
          <t>Check</t>
        </is>
      </c>
      <c r="F16" s="76" t="n"/>
    </row>
    <row r="17">
      <c r="A17" s="79" t="n">
        <v>46331</v>
      </c>
      <c r="B17" s="76" t="inlineStr">
        <is>
          <t>Vasquez, Lucas (Mrs. Hayes – 1) #S0134</t>
        </is>
      </c>
      <c r="C17" s="76" t="inlineStr">
        <is>
          <t>Vasquez family</t>
        </is>
      </c>
      <c r="D17" s="80" t="n">
        <v>25</v>
      </c>
      <c r="E17" s="76" t="inlineStr">
        <is>
          <t>Check</t>
        </is>
      </c>
      <c r="F17" s="76" t="n"/>
    </row>
    <row r="18">
      <c r="A18" s="79" t="n">
        <v>46327</v>
      </c>
      <c r="B18" s="76" t="inlineStr">
        <is>
          <t>s0302</t>
        </is>
      </c>
      <c r="C18" s="76" t="inlineStr">
        <is>
          <t>Diaz family</t>
        </is>
      </c>
      <c r="D18" s="80" t="n">
        <v>40</v>
      </c>
      <c r="E18" s="76" t="inlineStr">
        <is>
          <t>Check</t>
        </is>
      </c>
      <c r="F18" s="76" t="n"/>
    </row>
    <row r="19">
      <c r="A19" s="79" t="n">
        <v>46327</v>
      </c>
      <c r="B19" s="76" t="inlineStr">
        <is>
          <t>Hernandez, Adrian (Mrs. Jensen – 2) #S0180</t>
        </is>
      </c>
      <c r="C19" s="76" t="inlineStr">
        <is>
          <t>Hernandez family</t>
        </is>
      </c>
      <c r="D19" s="80" t="n">
        <v>5</v>
      </c>
      <c r="E19" s="76" t="inlineStr">
        <is>
          <t>Check</t>
        </is>
      </c>
      <c r="F19" s="76" t="n"/>
    </row>
    <row r="20">
      <c r="A20" s="79" t="n">
        <v>46326</v>
      </c>
      <c r="B20" s="76" t="inlineStr">
        <is>
          <t>Brown, Henry (Ms. Ingram – 2) #S0162</t>
        </is>
      </c>
      <c r="C20" s="76" t="inlineStr">
        <is>
          <t>Brown family</t>
        </is>
      </c>
      <c r="D20" s="80" t="n">
        <v>20</v>
      </c>
      <c r="E20" s="76" t="inlineStr">
        <is>
          <t>Cash</t>
        </is>
      </c>
      <c r="F20" s="76" t="n"/>
    </row>
    <row r="21">
      <c r="A21" s="79" t="n">
        <v>46325</v>
      </c>
      <c r="B21" s="76" t="inlineStr">
        <is>
          <t>Nguyen, Sofia (Ms. Alvarez – P3) #S0013</t>
        </is>
      </c>
      <c r="C21" s="76" t="inlineStr">
        <is>
          <t>Nguyen family</t>
        </is>
      </c>
      <c r="D21" s="80" t="n">
        <v>100</v>
      </c>
      <c r="E21" s="76" t="inlineStr">
        <is>
          <t>Check</t>
        </is>
      </c>
      <c r="F21" s="76" t="n"/>
    </row>
    <row r="22">
      <c r="A22" s="79" t="n">
        <v>46326</v>
      </c>
      <c r="B22" s="76" t="inlineStr">
        <is>
          <t>Murphy, David (Mr. Stanton – 7) #S0358</t>
        </is>
      </c>
      <c r="C22" s="76" t="inlineStr">
        <is>
          <t>Murphy family</t>
        </is>
      </c>
      <c r="D22" s="80" t="n">
        <v>5</v>
      </c>
      <c r="E22" s="76" t="inlineStr">
        <is>
          <t>Check</t>
        </is>
      </c>
      <c r="F22" s="76" t="n"/>
    </row>
    <row r="23">
      <c r="A23" s="79" t="n">
        <v>46325</v>
      </c>
      <c r="B23" s="76" t="inlineStr">
        <is>
          <t>O'Brien, Maya (Mrs. Valdez – 8) #S0411</t>
        </is>
      </c>
      <c r="C23" s="76" t="inlineStr">
        <is>
          <t>O'Brien family</t>
        </is>
      </c>
      <c r="D23" s="80" t="n">
        <v>20</v>
      </c>
      <c r="E23" s="76" t="inlineStr">
        <is>
          <t>Cash</t>
        </is>
      </c>
      <c r="F23" s="76" t="n"/>
    </row>
    <row r="24">
      <c r="A24" s="79" t="n">
        <v>46327</v>
      </c>
      <c r="B24" s="76" t="inlineStr">
        <is>
          <t>Johnson, Daniel (Mrs. Valdez – 8) #S0408</t>
        </is>
      </c>
      <c r="C24" s="76" t="inlineStr">
        <is>
          <t>Johnson family</t>
        </is>
      </c>
      <c r="D24" s="80" t="n">
        <v>40</v>
      </c>
      <c r="E24" s="76" t="inlineStr">
        <is>
          <t>Check</t>
        </is>
      </c>
      <c r="F24" s="76" t="n"/>
    </row>
    <row r="25">
      <c r="A25" s="79" t="n">
        <v>46330</v>
      </c>
      <c r="B25" s="76" t="inlineStr">
        <is>
          <t>Cruz, Liam (Mrs. Valdez – 8) #S0413</t>
        </is>
      </c>
      <c r="C25" s="76" t="inlineStr">
        <is>
          <t>Cruz family</t>
        </is>
      </c>
      <c r="D25" s="80" t="n">
        <v>50</v>
      </c>
      <c r="E25" s="76" t="inlineStr">
        <is>
          <t>Check</t>
        </is>
      </c>
      <c r="F25" s="76" t="n"/>
    </row>
    <row r="26">
      <c r="A26" s="79" t="n">
        <v>46335</v>
      </c>
      <c r="B26" s="76" t="inlineStr">
        <is>
          <t>Sullivan, Samuel (Mrs. Dominguez – P4) #S0058</t>
        </is>
      </c>
      <c r="C26" s="76" t="inlineStr">
        <is>
          <t>Sullivan family</t>
        </is>
      </c>
      <c r="D26" s="80" t="n">
        <v>100</v>
      </c>
      <c r="E26" s="76" t="inlineStr">
        <is>
          <t>Check</t>
        </is>
      </c>
      <c r="F26" s="76" t="n"/>
    </row>
    <row r="27">
      <c r="A27" s="79" t="n">
        <v>46330</v>
      </c>
      <c r="B27" s="76" t="inlineStr">
        <is>
          <t>Gonzalez, Grace (Ms. Ellison – K) #S0068</t>
        </is>
      </c>
      <c r="C27" s="76" t="inlineStr">
        <is>
          <t>Gonzalez family</t>
        </is>
      </c>
      <c r="D27" s="80" t="n">
        <v>10</v>
      </c>
      <c r="E27" s="76" t="inlineStr">
        <is>
          <t>Check</t>
        </is>
      </c>
      <c r="F27" s="76" t="n"/>
    </row>
    <row r="28">
      <c r="A28" s="79" t="n">
        <v>46331</v>
      </c>
      <c r="B28" s="76" t="inlineStr">
        <is>
          <t>Murphy, Ava (Ms. Quinlan – 6) #S0305</t>
        </is>
      </c>
      <c r="C28" s="76" t="inlineStr">
        <is>
          <t>Murphy family</t>
        </is>
      </c>
      <c r="D28" s="80" t="n">
        <v>10</v>
      </c>
      <c r="E28" s="76" t="inlineStr">
        <is>
          <t>Check</t>
        </is>
      </c>
      <c r="F28" s="76" t="n"/>
    </row>
    <row r="29">
      <c r="A29" s="79" t="n">
        <v>46338</v>
      </c>
      <c r="B29" s="76" t="inlineStr">
        <is>
          <t>s0376</t>
        </is>
      </c>
      <c r="C29" s="76" t="inlineStr">
        <is>
          <t>Byrne family</t>
        </is>
      </c>
      <c r="D29" s="80" t="n">
        <v>10</v>
      </c>
      <c r="E29" s="76" t="inlineStr">
        <is>
          <t>Check</t>
        </is>
      </c>
      <c r="F29" s="76" t="n"/>
    </row>
    <row r="30">
      <c r="A30" s="79" t="n">
        <v>46325</v>
      </c>
      <c r="B30" s="76" t="inlineStr">
        <is>
          <t>Rodriguez, Evelyn (Mr. Kowalski – 3) #S0199</t>
        </is>
      </c>
      <c r="C30" s="76" t="inlineStr">
        <is>
          <t>Rodriguez family</t>
        </is>
      </c>
      <c r="D30" s="80" t="n">
        <v>100</v>
      </c>
      <c r="E30" s="76" t="inlineStr">
        <is>
          <t>Cash</t>
        </is>
      </c>
      <c r="F30" s="76" t="n"/>
    </row>
    <row r="31">
      <c r="A31" s="79" t="n">
        <v>46333</v>
      </c>
      <c r="B31" s="76" t="inlineStr">
        <is>
          <t>Gutierrez, Leo (Ms. Quinlan – 6) #S0314</t>
        </is>
      </c>
      <c r="C31" s="76" t="inlineStr">
        <is>
          <t>Gutierrez family</t>
        </is>
      </c>
      <c r="D31" s="80" t="n">
        <v>25</v>
      </c>
      <c r="E31" s="76" t="inlineStr">
        <is>
          <t>Check</t>
        </is>
      </c>
      <c r="F31" s="76" t="n"/>
    </row>
    <row r="32">
      <c r="A32" s="79" t="n">
        <v>46337</v>
      </c>
      <c r="B32" s="76" t="inlineStr">
        <is>
          <t>Garcia, Clara (Mrs. Lindqvist – 3) #S0207</t>
        </is>
      </c>
      <c r="C32" s="76" t="inlineStr">
        <is>
          <t>Garcia family</t>
        </is>
      </c>
      <c r="D32" s="80" t="n">
        <v>10</v>
      </c>
      <c r="E32" s="76" t="inlineStr">
        <is>
          <t>Check</t>
        </is>
      </c>
      <c r="F32" s="76" t="n"/>
    </row>
    <row r="33">
      <c r="A33" s="79" t="n">
        <v>46336</v>
      </c>
      <c r="B33" s="76" t="inlineStr">
        <is>
          <t>s0009</t>
        </is>
      </c>
      <c r="C33" s="76" t="inlineStr">
        <is>
          <t>Garcia family</t>
        </is>
      </c>
      <c r="D33" s="80" t="n">
        <v>40</v>
      </c>
      <c r="E33" s="76" t="inlineStr">
        <is>
          <t>Check</t>
        </is>
      </c>
      <c r="F33" s="76" t="n"/>
    </row>
    <row r="34">
      <c r="A34" s="79" t="n">
        <v>46336</v>
      </c>
      <c r="B34" s="76" t="inlineStr">
        <is>
          <t>Ortiz, Mia (Mr. Okafor – 5) #S0283</t>
        </is>
      </c>
      <c r="C34" s="76" t="inlineStr">
        <is>
          <t>Ortiz family</t>
        </is>
      </c>
      <c r="D34" s="80" t="n">
        <v>20</v>
      </c>
      <c r="E34" s="76" t="inlineStr">
        <is>
          <t>Check</t>
        </is>
      </c>
      <c r="F34" s="76" t="n"/>
    </row>
    <row r="35">
      <c r="A35" s="79" t="n">
        <v>46335</v>
      </c>
      <c r="B35" s="76" t="inlineStr">
        <is>
          <t>Garcia, Clara (Mrs. Lindqvist – 3) #S0207</t>
        </is>
      </c>
      <c r="C35" s="76" t="inlineStr">
        <is>
          <t>Garcia family</t>
        </is>
      </c>
      <c r="D35" s="80" t="n">
        <v>40</v>
      </c>
      <c r="E35" s="76" t="inlineStr">
        <is>
          <t>Cash</t>
        </is>
      </c>
      <c r="F35" s="76" t="n"/>
    </row>
    <row r="36">
      <c r="A36" s="79" t="n">
        <v>46332</v>
      </c>
      <c r="B36" s="76" t="inlineStr">
        <is>
          <t>Johnson, Nicolas (Ms. Alvarez – P3) #S0010</t>
        </is>
      </c>
      <c r="C36" s="76" t="inlineStr">
        <is>
          <t>Johnson family</t>
        </is>
      </c>
      <c r="D36" s="80" t="n">
        <v>20</v>
      </c>
      <c r="E36" s="76" t="inlineStr">
        <is>
          <t>Check</t>
        </is>
      </c>
      <c r="F36" s="76" t="n"/>
    </row>
    <row r="37">
      <c r="A37" s="79" t="n">
        <v>46329</v>
      </c>
      <c r="B37" s="76" t="inlineStr">
        <is>
          <t>Torres, Chloe (Mr. Okafor – 5) #S0274</t>
        </is>
      </c>
      <c r="C37" s="76" t="inlineStr">
        <is>
          <t>Torres family</t>
        </is>
      </c>
      <c r="D37" s="80" t="n">
        <v>25</v>
      </c>
      <c r="E37" s="76" t="inlineStr">
        <is>
          <t>Check</t>
        </is>
      </c>
      <c r="F37" s="76" t="n"/>
    </row>
    <row r="38">
      <c r="A38" s="79" t="n">
        <v>46334</v>
      </c>
      <c r="B38" s="76" t="inlineStr">
        <is>
          <t>Perez, Ava (Mrs. Lindqvist – 3) #S0218</t>
        </is>
      </c>
      <c r="C38" s="76" t="inlineStr">
        <is>
          <t>Perez family</t>
        </is>
      </c>
      <c r="D38" s="80" t="n">
        <v>100</v>
      </c>
      <c r="E38" s="76" t="inlineStr">
        <is>
          <t>Cash</t>
        </is>
      </c>
      <c r="F38" s="76" t="n"/>
    </row>
    <row r="39">
      <c r="A39" s="79" t="n">
        <v>46327</v>
      </c>
      <c r="B39" s="76" t="inlineStr">
        <is>
          <t>Alvarez, Santiago (Mrs. Ravel – 6) #S0325</t>
        </is>
      </c>
      <c r="C39" s="76" t="inlineStr">
        <is>
          <t>Alvarez family</t>
        </is>
      </c>
      <c r="D39" s="80" t="n">
        <v>20</v>
      </c>
      <c r="E39" s="76" t="inlineStr">
        <is>
          <t>Cash</t>
        </is>
      </c>
      <c r="F39" s="76" t="n"/>
    </row>
    <row r="40">
      <c r="A40" s="79" t="n">
        <v>46335</v>
      </c>
      <c r="B40" s="76" t="inlineStr">
        <is>
          <t>s0291</t>
        </is>
      </c>
      <c r="C40" s="76" t="inlineStr">
        <is>
          <t>Murphy family</t>
        </is>
      </c>
      <c r="D40" s="80" t="n">
        <v>40</v>
      </c>
      <c r="E40" s="76" t="inlineStr">
        <is>
          <t>Check</t>
        </is>
      </c>
      <c r="F40" s="76" t="n"/>
    </row>
    <row r="41">
      <c r="A41" s="79" t="n">
        <v>46338</v>
      </c>
      <c r="B41" s="76" t="inlineStr">
        <is>
          <t>Gomez, Ava (Mrs. Dominguez – P4) #S0055</t>
        </is>
      </c>
      <c r="C41" s="76" t="inlineStr">
        <is>
          <t>Gomez family</t>
        </is>
      </c>
      <c r="D41" s="80" t="n">
        <v>50</v>
      </c>
      <c r="E41" s="76" t="inlineStr">
        <is>
          <t>Check</t>
        </is>
      </c>
      <c r="F41" s="76" t="n"/>
    </row>
    <row r="42">
      <c r="A42" s="79" t="n">
        <v>46335</v>
      </c>
      <c r="B42" s="76" t="inlineStr">
        <is>
          <t>Hernandez, Zoe (Mrs. Lindqvist – 3) #S0209</t>
        </is>
      </c>
      <c r="C42" s="76" t="inlineStr">
        <is>
          <t>Hernandez family</t>
        </is>
      </c>
      <c r="D42" s="80" t="n">
        <v>40</v>
      </c>
      <c r="E42" s="76" t="inlineStr">
        <is>
          <t>Cash</t>
        </is>
      </c>
      <c r="F42" s="76" t="n"/>
    </row>
    <row r="43">
      <c r="A43" s="79" t="n">
        <v>46333</v>
      </c>
      <c r="B43" s="76" t="inlineStr">
        <is>
          <t>s0263</t>
        </is>
      </c>
      <c r="C43" s="76" t="inlineStr">
        <is>
          <t>Walsh family</t>
        </is>
      </c>
      <c r="D43" s="80" t="n">
        <v>5</v>
      </c>
      <c r="E43" s="76" t="inlineStr">
        <is>
          <t>Check</t>
        </is>
      </c>
      <c r="F43" s="76" t="n"/>
    </row>
    <row r="44">
      <c r="A44" s="79" t="n">
        <v>46338</v>
      </c>
      <c r="B44" s="76" t="inlineStr">
        <is>
          <t>Ryan, Luna (Mrs. Thorne – 7) #S0380</t>
        </is>
      </c>
      <c r="C44" s="76" t="inlineStr">
        <is>
          <t>Ryan family</t>
        </is>
      </c>
      <c r="D44" s="80" t="n">
        <v>40</v>
      </c>
      <c r="E44" s="76" t="inlineStr">
        <is>
          <t>Check</t>
        </is>
      </c>
      <c r="F44" s="76" t="n"/>
    </row>
    <row r="45">
      <c r="A45" s="79" t="n">
        <v>46330</v>
      </c>
      <c r="B45" s="76" t="inlineStr">
        <is>
          <t>Gutierrez, Joseph (Ms. Underwood – 8) #S0397</t>
        </is>
      </c>
      <c r="C45" s="76" t="inlineStr">
        <is>
          <t>Gutierrez family</t>
        </is>
      </c>
      <c r="D45" s="80" t="n">
        <v>25</v>
      </c>
      <c r="E45" s="76" t="inlineStr">
        <is>
          <t>Cash</t>
        </is>
      </c>
      <c r="F45" s="76" t="n"/>
    </row>
    <row r="46">
      <c r="A46" s="79" t="n">
        <v>46334</v>
      </c>
      <c r="B46" s="76" t="inlineStr">
        <is>
          <t>Perez, Emma (Mr. Galloway – 1) #S0117</t>
        </is>
      </c>
      <c r="C46" s="76" t="inlineStr">
        <is>
          <t>Perez family</t>
        </is>
      </c>
      <c r="D46" s="80" t="n">
        <v>20</v>
      </c>
      <c r="E46" s="76" t="inlineStr">
        <is>
          <t>Cash</t>
        </is>
      </c>
      <c r="F46" s="76" t="n"/>
    </row>
    <row r="47">
      <c r="A47" s="79" t="n">
        <v>46330</v>
      </c>
      <c r="B47" s="76" t="inlineStr">
        <is>
          <t>Nguyen, Benjamin (Mrs. Ravel – 6) #S0340</t>
        </is>
      </c>
      <c r="C47" s="76" t="inlineStr">
        <is>
          <t>Nguyen family</t>
        </is>
      </c>
      <c r="D47" s="80" t="n">
        <v>20</v>
      </c>
      <c r="E47" s="76" t="inlineStr">
        <is>
          <t>Cash</t>
        </is>
      </c>
      <c r="F47" s="76" t="n"/>
    </row>
    <row r="48">
      <c r="A48" s="79" t="n">
        <v>46329</v>
      </c>
      <c r="B48" s="76" t="inlineStr">
        <is>
          <t>Brown, Thomas (Mrs. Novak – 4) #S0259</t>
        </is>
      </c>
      <c r="C48" s="76" t="inlineStr">
        <is>
          <t>Brown family</t>
        </is>
      </c>
      <c r="D48" s="80" t="n">
        <v>40</v>
      </c>
      <c r="E48" s="76" t="inlineStr">
        <is>
          <t>Check</t>
        </is>
      </c>
      <c r="F48" s="76" t="n"/>
    </row>
    <row r="49">
      <c r="A49" s="79" t="n">
        <v>46326</v>
      </c>
      <c r="B49" s="76" t="inlineStr">
        <is>
          <t>Diaz, Harper (Mrs. Dominguez – P4) #S0050</t>
        </is>
      </c>
      <c r="C49" s="76" t="inlineStr">
        <is>
          <t>Diaz family</t>
        </is>
      </c>
      <c r="D49" s="80" t="n">
        <v>100</v>
      </c>
      <c r="E49" s="76" t="inlineStr">
        <is>
          <t>Cash</t>
        </is>
      </c>
      <c r="F49" s="76" t="n"/>
    </row>
    <row r="50">
      <c r="A50" s="79" t="n">
        <v>46332</v>
      </c>
      <c r="B50" s="76" t="inlineStr">
        <is>
          <t>Johnson, Nicolas (Ms. Alvarez – P3) #S0010</t>
        </is>
      </c>
      <c r="C50" s="76" t="inlineStr">
        <is>
          <t>Johnson family</t>
        </is>
      </c>
      <c r="D50" s="80" t="n">
        <v>5</v>
      </c>
      <c r="E50" s="76" t="inlineStr">
        <is>
          <t>Check</t>
        </is>
      </c>
      <c r="F50" s="76" t="n"/>
    </row>
    <row r="51">
      <c r="A51" s="79" t="n">
        <v>46329</v>
      </c>
      <c r="B51" s="76" t="inlineStr">
        <is>
          <t>Gonzalez, Noah (Mr. Stanton – 7) #S0356</t>
        </is>
      </c>
      <c r="C51" s="76" t="inlineStr">
        <is>
          <t>Gonzalez family</t>
        </is>
      </c>
      <c r="D51" s="80" t="n">
        <v>50</v>
      </c>
      <c r="E51" s="76" t="inlineStr">
        <is>
          <t>Check</t>
        </is>
      </c>
      <c r="F51" s="76" t="n"/>
    </row>
    <row r="52">
      <c r="A52" s="79" t="n">
        <v>46329</v>
      </c>
      <c r="B52" s="76" t="inlineStr">
        <is>
          <t>Murphy, Liam (Mr. Okafor – 5) #S0281</t>
        </is>
      </c>
      <c r="C52" s="76" t="inlineStr">
        <is>
          <t>Murphy family</t>
        </is>
      </c>
      <c r="D52" s="80" t="n">
        <v>50</v>
      </c>
      <c r="E52" s="76" t="inlineStr">
        <is>
          <t>Check</t>
        </is>
      </c>
      <c r="F52" s="76" t="n"/>
    </row>
    <row r="53">
      <c r="A53" s="79" t="n">
        <v>46337</v>
      </c>
      <c r="B53" s="76" t="inlineStr">
        <is>
          <t>Diaz, Mateo (Mr. Kowalski – 3) #S0197</t>
        </is>
      </c>
      <c r="C53" s="76" t="inlineStr">
        <is>
          <t>Diaz family</t>
        </is>
      </c>
      <c r="D53" s="80" t="n">
        <v>20</v>
      </c>
      <c r="E53" s="76" t="inlineStr">
        <is>
          <t>Check</t>
        </is>
      </c>
      <c r="F53" s="76" t="n"/>
    </row>
    <row r="54">
      <c r="A54" s="79" t="n">
        <v>46327</v>
      </c>
      <c r="B54" s="76" t="inlineStr">
        <is>
          <t>Kim, Julian (Mrs. Valdez – 8) #S0422</t>
        </is>
      </c>
      <c r="C54" s="76" t="inlineStr">
        <is>
          <t>Kim family</t>
        </is>
      </c>
      <c r="D54" s="80" t="n">
        <v>40</v>
      </c>
      <c r="E54" s="76" t="inlineStr">
        <is>
          <t>Cash</t>
        </is>
      </c>
      <c r="F54" s="76" t="n"/>
    </row>
    <row r="55">
      <c r="A55" s="79" t="n">
        <v>46334</v>
      </c>
      <c r="B55" s="76" t="inlineStr">
        <is>
          <t>Ramirez, Nicolas (Ms. Ellison – K) #S0073</t>
        </is>
      </c>
      <c r="C55" s="76" t="inlineStr">
        <is>
          <t>Ramirez family</t>
        </is>
      </c>
      <c r="D55" s="80" t="n">
        <v>50</v>
      </c>
      <c r="E55" s="76" t="inlineStr">
        <is>
          <t>Check</t>
        </is>
      </c>
      <c r="F55" s="76" t="n"/>
    </row>
    <row r="56">
      <c r="A56" s="79" t="n">
        <v>46333</v>
      </c>
      <c r="B56" s="76" t="inlineStr">
        <is>
          <t>O'Brien, Daniel (Mrs. Bennett – P3) #S0032</t>
        </is>
      </c>
      <c r="C56" s="76" t="inlineStr">
        <is>
          <t>O'Brien family</t>
        </is>
      </c>
      <c r="D56" s="80" t="n">
        <v>20</v>
      </c>
      <c r="E56" s="76" t="inlineStr">
        <is>
          <t>Cash</t>
        </is>
      </c>
      <c r="F56" s="76" t="n"/>
    </row>
    <row r="57">
      <c r="A57" s="79" t="n">
        <v>46337</v>
      </c>
      <c r="B57" s="76" t="inlineStr">
        <is>
          <t>s0192</t>
        </is>
      </c>
      <c r="C57" s="76" t="inlineStr">
        <is>
          <t>Martinez family</t>
        </is>
      </c>
      <c r="D57" s="80" t="n">
        <v>20</v>
      </c>
      <c r="E57" s="76" t="inlineStr">
        <is>
          <t>Check</t>
        </is>
      </c>
      <c r="F57" s="76" t="n"/>
    </row>
    <row r="58">
      <c r="A58" s="79" t="n">
        <v>46335</v>
      </c>
      <c r="B58" s="76" t="inlineStr">
        <is>
          <t>Ramirez, Julian (Ms. Moreau – 4) #S0237</t>
        </is>
      </c>
      <c r="C58" s="76" t="inlineStr">
        <is>
          <t>Ramirez family</t>
        </is>
      </c>
      <c r="D58" s="80" t="n">
        <v>20</v>
      </c>
      <c r="E58" s="76" t="inlineStr">
        <is>
          <t>Check</t>
        </is>
      </c>
      <c r="F58" s="76" t="n"/>
    </row>
    <row r="59">
      <c r="A59" s="79" t="n">
        <v>46334</v>
      </c>
      <c r="B59" s="76" t="inlineStr">
        <is>
          <t>Ramos, Joseph (Ms. Underwood – 8) #S0393</t>
        </is>
      </c>
      <c r="C59" s="76" t="inlineStr">
        <is>
          <t>Ramos family</t>
        </is>
      </c>
      <c r="D59" s="80" t="n">
        <v>50</v>
      </c>
      <c r="E59" s="76" t="inlineStr">
        <is>
          <t>Cash</t>
        </is>
      </c>
      <c r="F59" s="76" t="n"/>
    </row>
    <row r="60">
      <c r="A60" s="79" t="n">
        <v>46329</v>
      </c>
      <c r="B60" s="76" t="inlineStr">
        <is>
          <t>s0304</t>
        </is>
      </c>
      <c r="C60" s="76" t="inlineStr">
        <is>
          <t>Sullivan family</t>
        </is>
      </c>
      <c r="D60" s="80" t="n">
        <v>20</v>
      </c>
      <c r="E60" s="76" t="inlineStr">
        <is>
          <t>Check</t>
        </is>
      </c>
      <c r="F60" s="76" t="n"/>
    </row>
    <row r="61">
      <c r="A61" s="79" t="n">
        <v>46327</v>
      </c>
      <c r="B61" s="76" t="inlineStr">
        <is>
          <t>Ortiz, Harper (Mrs. Jensen – 2) #S0175</t>
        </is>
      </c>
      <c r="C61" s="76" t="inlineStr">
        <is>
          <t>Ortiz family</t>
        </is>
      </c>
      <c r="D61" s="80" t="n">
        <v>20</v>
      </c>
      <c r="E61" s="76" t="inlineStr">
        <is>
          <t>Check</t>
        </is>
      </c>
      <c r="F61" s="76" t="n"/>
    </row>
    <row r="62">
      <c r="A62" s="79" t="n">
        <v>46329</v>
      </c>
      <c r="B62" s="76" t="inlineStr">
        <is>
          <t>Nguyen, Luna (Ms. Underwood – 8) #S0391</t>
        </is>
      </c>
      <c r="C62" s="76" t="inlineStr">
        <is>
          <t>Nguyen family</t>
        </is>
      </c>
      <c r="D62" s="80" t="n">
        <v>40</v>
      </c>
      <c r="E62" s="76" t="inlineStr">
        <is>
          <t>Cash</t>
        </is>
      </c>
      <c r="F62" s="76" t="n"/>
    </row>
    <row r="63">
      <c r="A63" s="79" t="n">
        <v>46334</v>
      </c>
      <c r="B63" s="76" t="inlineStr">
        <is>
          <t>O'Brien, Santiago (Mr. Carter – P4) #S0038</t>
        </is>
      </c>
      <c r="C63" s="76" t="inlineStr">
        <is>
          <t>O'Brien family</t>
        </is>
      </c>
      <c r="D63" s="80" t="n">
        <v>10</v>
      </c>
      <c r="E63" s="76" t="inlineStr">
        <is>
          <t>Check</t>
        </is>
      </c>
      <c r="F63" s="76" t="n"/>
    </row>
    <row r="64">
      <c r="A64" s="79" t="n">
        <v>46332</v>
      </c>
      <c r="B64" s="76" t="inlineStr">
        <is>
          <t>s0091</t>
        </is>
      </c>
      <c r="C64" s="76" t="inlineStr">
        <is>
          <t>Ramos family</t>
        </is>
      </c>
      <c r="D64" s="80" t="n">
        <v>20</v>
      </c>
      <c r="E64" s="76" t="inlineStr">
        <is>
          <t>Check</t>
        </is>
      </c>
      <c r="F64" s="76" t="n"/>
    </row>
    <row r="65">
      <c r="A65" s="79" t="n">
        <v>46327</v>
      </c>
      <c r="B65" s="76" t="inlineStr">
        <is>
          <t>s0298</t>
        </is>
      </c>
      <c r="C65" s="76" t="inlineStr">
        <is>
          <t>Brown family</t>
        </is>
      </c>
      <c r="D65" s="80" t="n">
        <v>10</v>
      </c>
      <c r="E65" s="76" t="inlineStr">
        <is>
          <t>Cash</t>
        </is>
      </c>
      <c r="F65" s="76" t="n"/>
    </row>
    <row r="66">
      <c r="A66" s="79" t="n">
        <v>46325</v>
      </c>
      <c r="B66" s="76" t="inlineStr">
        <is>
          <t>Kelly, Lucas (Ms. Quinlan – 6) #S0309</t>
        </is>
      </c>
      <c r="C66" s="76" t="inlineStr">
        <is>
          <t>Kelly family</t>
        </is>
      </c>
      <c r="D66" s="80" t="n">
        <v>20</v>
      </c>
      <c r="E66" s="76" t="inlineStr">
        <is>
          <t>Check</t>
        </is>
      </c>
      <c r="F66" s="76" t="n"/>
    </row>
    <row r="67">
      <c r="A67" s="79" t="n">
        <v>46337</v>
      </c>
      <c r="B67" s="76" t="inlineStr">
        <is>
          <t>Nguyen, Joseph (Mrs. Hayes – 1) #S0125</t>
        </is>
      </c>
      <c r="C67" s="76" t="inlineStr">
        <is>
          <t>Nguyen family</t>
        </is>
      </c>
      <c r="D67" s="80" t="n">
        <v>25</v>
      </c>
      <c r="E67" s="76" t="inlineStr">
        <is>
          <t>Check</t>
        </is>
      </c>
      <c r="F67" s="76" t="n"/>
    </row>
    <row r="68">
      <c r="A68" s="79" t="n">
        <v>46328</v>
      </c>
      <c r="B68" s="76" t="inlineStr">
        <is>
          <t>Patel, Samuel (Mrs. Bennett – P3) #S0030</t>
        </is>
      </c>
      <c r="C68" s="76" t="inlineStr">
        <is>
          <t>Patel family</t>
        </is>
      </c>
      <c r="D68" s="80" t="n">
        <v>100</v>
      </c>
      <c r="E68" s="76" t="inlineStr">
        <is>
          <t>Cash</t>
        </is>
      </c>
      <c r="F68" s="76" t="n"/>
    </row>
    <row r="69">
      <c r="A69" s="79" t="n">
        <v>46327</v>
      </c>
      <c r="B69" s="76" t="inlineStr">
        <is>
          <t>Byrne, Elijah (Mrs. Jensen – 2) #S0169</t>
        </is>
      </c>
      <c r="C69" s="76" t="inlineStr">
        <is>
          <t>Byrne family</t>
        </is>
      </c>
      <c r="D69" s="80" t="n">
        <v>25</v>
      </c>
      <c r="E69" s="76" t="inlineStr">
        <is>
          <t>Check</t>
        </is>
      </c>
      <c r="F69" s="76" t="n"/>
    </row>
    <row r="70">
      <c r="A70" s="79" t="n">
        <v>46327</v>
      </c>
      <c r="B70" s="76" t="inlineStr">
        <is>
          <t>s0390</t>
        </is>
      </c>
      <c r="C70" s="76" t="inlineStr">
        <is>
          <t>Diaz family</t>
        </is>
      </c>
      <c r="D70" s="80" t="n">
        <v>40</v>
      </c>
      <c r="E70" s="76" t="inlineStr">
        <is>
          <t>Cash</t>
        </is>
      </c>
      <c r="F70" s="76" t="n"/>
    </row>
    <row r="71">
      <c r="A71" s="79" t="n">
        <v>46328</v>
      </c>
      <c r="B71" s="76" t="inlineStr">
        <is>
          <t>O'Brien, Adrian (Mrs. Novak – 4) #S0261</t>
        </is>
      </c>
      <c r="C71" s="76" t="inlineStr">
        <is>
          <t>O'Brien family</t>
        </is>
      </c>
      <c r="D71" s="80" t="n">
        <v>100</v>
      </c>
      <c r="E71" s="76" t="inlineStr">
        <is>
          <t>Cash</t>
        </is>
      </c>
      <c r="F71" s="76" t="n"/>
    </row>
    <row r="72">
      <c r="A72" s="79" t="n">
        <v>46336</v>
      </c>
      <c r="B72" s="76" t="inlineStr">
        <is>
          <t>s0312</t>
        </is>
      </c>
      <c r="C72" s="76" t="inlineStr">
        <is>
          <t>Sullivan family</t>
        </is>
      </c>
      <c r="D72" s="80" t="n">
        <v>25</v>
      </c>
      <c r="E72" s="76" t="inlineStr">
        <is>
          <t>Check</t>
        </is>
      </c>
      <c r="F72" s="76" t="n"/>
    </row>
    <row r="73">
      <c r="A73" s="79" t="n">
        <v>46337</v>
      </c>
      <c r="B73" s="76" t="inlineStr">
        <is>
          <t>Garcia, Mia (Mrs. Hayes – 1) #S0133</t>
        </is>
      </c>
      <c r="C73" s="76" t="inlineStr">
        <is>
          <t>Garcia family</t>
        </is>
      </c>
      <c r="D73" s="80" t="n">
        <v>100</v>
      </c>
      <c r="E73" s="76" t="inlineStr">
        <is>
          <t>Cash</t>
        </is>
      </c>
      <c r="F73" s="76" t="n"/>
    </row>
    <row r="74">
      <c r="A74" s="79" t="n">
        <v>46326</v>
      </c>
      <c r="B74" s="76" t="inlineStr">
        <is>
          <t>Vasquez, Joseph (Mrs. Lindqvist – 3) #S0215</t>
        </is>
      </c>
      <c r="C74" s="76" t="inlineStr">
        <is>
          <t>Vasquez family</t>
        </is>
      </c>
      <c r="D74" s="80" t="n">
        <v>40</v>
      </c>
      <c r="E74" s="76" t="inlineStr">
        <is>
          <t>Check</t>
        </is>
      </c>
      <c r="F74" s="76" t="n"/>
    </row>
    <row r="75">
      <c r="A75" s="79" t="n">
        <v>46330</v>
      </c>
      <c r="B75" s="76" t="inlineStr">
        <is>
          <t>Brown, Olivia (Mrs. Thorne – 7) #S0381</t>
        </is>
      </c>
      <c r="C75" s="76" t="inlineStr">
        <is>
          <t>Brown family</t>
        </is>
      </c>
      <c r="D75" s="80" t="n">
        <v>40</v>
      </c>
      <c r="E75" s="76" t="inlineStr">
        <is>
          <t>Check</t>
        </is>
      </c>
      <c r="F75" s="76" t="n"/>
    </row>
    <row r="76">
      <c r="A76" s="79" t="n">
        <v>46330</v>
      </c>
      <c r="B76" s="76" t="inlineStr">
        <is>
          <t>Chavez, David (Mrs. Dominguez – P4) #S0054</t>
        </is>
      </c>
      <c r="C76" s="76" t="inlineStr">
        <is>
          <t>Chavez family</t>
        </is>
      </c>
      <c r="D76" s="80" t="n">
        <v>40</v>
      </c>
      <c r="E76" s="76" t="inlineStr">
        <is>
          <t>Check</t>
        </is>
      </c>
      <c r="F76" s="76" t="n"/>
    </row>
    <row r="77">
      <c r="A77" s="79" t="n">
        <v>46328</v>
      </c>
      <c r="B77" s="76" t="inlineStr">
        <is>
          <t>Ruiz, Santiago (Mrs. Pruitt – 5) #S0292</t>
        </is>
      </c>
      <c r="C77" s="76" t="inlineStr">
        <is>
          <t>Ruiz family</t>
        </is>
      </c>
      <c r="D77" s="80" t="n">
        <v>20</v>
      </c>
      <c r="E77" s="76" t="inlineStr">
        <is>
          <t>Check</t>
        </is>
      </c>
      <c r="F77" s="76" t="n"/>
    </row>
    <row r="78">
      <c r="A78" s="79" t="n">
        <v>46336</v>
      </c>
      <c r="B78" s="76" t="inlineStr">
        <is>
          <t>Ortiz, Harper (Mrs. Jensen – 2) #S0175</t>
        </is>
      </c>
      <c r="C78" s="76" t="inlineStr">
        <is>
          <t>Ortiz family</t>
        </is>
      </c>
      <c r="D78" s="80" t="n">
        <v>40</v>
      </c>
      <c r="E78" s="76" t="inlineStr">
        <is>
          <t>Check</t>
        </is>
      </c>
      <c r="F78" s="76" t="n"/>
    </row>
    <row r="79">
      <c r="A79" s="79" t="n">
        <v>46338</v>
      </c>
      <c r="B79" s="76" t="inlineStr">
        <is>
          <t>Castillo, Amelia (Mrs. Dominguez – P4) #S0063</t>
        </is>
      </c>
      <c r="C79" s="76" t="inlineStr">
        <is>
          <t>Castillo family</t>
        </is>
      </c>
      <c r="D79" s="80" t="n">
        <v>40</v>
      </c>
      <c r="E79" s="76" t="inlineStr">
        <is>
          <t>Cash</t>
        </is>
      </c>
      <c r="F79" s="76" t="n"/>
    </row>
    <row r="80">
      <c r="A80" s="79" t="n">
        <v>46328</v>
      </c>
      <c r="B80" s="76" t="inlineStr">
        <is>
          <t>Kim, Ella (Mr. Carter – P4) #S0034</t>
        </is>
      </c>
      <c r="C80" s="76" t="inlineStr">
        <is>
          <t>Kim family</t>
        </is>
      </c>
      <c r="D80" s="80" t="n">
        <v>20</v>
      </c>
      <c r="E80" s="76" t="inlineStr">
        <is>
          <t>Cash</t>
        </is>
      </c>
      <c r="F80" s="76" t="n"/>
    </row>
    <row r="81">
      <c r="A81" s="79" t="n">
        <v>46333</v>
      </c>
      <c r="B81" s="76" t="inlineStr">
        <is>
          <t>Williams, Amelia (Ms. Ingram – 2) #S0148</t>
        </is>
      </c>
      <c r="C81" s="76" t="inlineStr">
        <is>
          <t>Williams family</t>
        </is>
      </c>
      <c r="D81" s="80" t="n">
        <v>100</v>
      </c>
      <c r="E81" s="76" t="inlineStr">
        <is>
          <t>Check</t>
        </is>
      </c>
      <c r="F81" s="76" t="n"/>
    </row>
    <row r="82">
      <c r="A82" s="79" t="n">
        <v>46325</v>
      </c>
      <c r="B82" s="76" t="inlineStr">
        <is>
          <t>Sanchez, Emma (Mr. Kowalski – 3) #S0191</t>
        </is>
      </c>
      <c r="C82" s="76" t="inlineStr">
        <is>
          <t>Sanchez family</t>
        </is>
      </c>
      <c r="D82" s="80" t="n">
        <v>100</v>
      </c>
      <c r="E82" s="76" t="inlineStr">
        <is>
          <t>Check</t>
        </is>
      </c>
      <c r="F82" s="76" t="n"/>
    </row>
    <row r="83">
      <c r="A83" s="79" t="n">
        <v>46333</v>
      </c>
      <c r="B83" s="76" t="inlineStr">
        <is>
          <t>Ruiz, Adrian (Mr. Kowalski – 3) #S0194</t>
        </is>
      </c>
      <c r="C83" s="76" t="inlineStr">
        <is>
          <t>Ruiz family</t>
        </is>
      </c>
      <c r="D83" s="80" t="n">
        <v>10</v>
      </c>
      <c r="E83" s="76" t="inlineStr">
        <is>
          <t>Cash</t>
        </is>
      </c>
      <c r="F83" s="76" t="n"/>
    </row>
    <row r="84">
      <c r="A84" s="79" t="n">
        <v>46336</v>
      </c>
      <c r="B84" s="76" t="inlineStr">
        <is>
          <t>Chavez, Zoe (Ms. Quinlan – 6) #S0320</t>
        </is>
      </c>
      <c r="C84" s="76" t="inlineStr">
        <is>
          <t>Chavez family</t>
        </is>
      </c>
      <c r="D84" s="80" t="n">
        <v>5</v>
      </c>
      <c r="E84" s="76" t="inlineStr">
        <is>
          <t>Cash</t>
        </is>
      </c>
      <c r="F84" s="76" t="n"/>
    </row>
    <row r="85">
      <c r="A85" s="79" t="n">
        <v>46326</v>
      </c>
      <c r="B85" s="76" t="inlineStr">
        <is>
          <t>Williams, Emma (Ms. Ingram – 2) #S0147</t>
        </is>
      </c>
      <c r="C85" s="76" t="inlineStr">
        <is>
          <t>Williams family</t>
        </is>
      </c>
      <c r="D85" s="80" t="n">
        <v>10</v>
      </c>
      <c r="E85" s="76" t="inlineStr">
        <is>
          <t>Check</t>
        </is>
      </c>
      <c r="F85" s="76" t="n"/>
    </row>
    <row r="86">
      <c r="A86" s="79" t="n">
        <v>46326</v>
      </c>
      <c r="B86" s="76" t="inlineStr">
        <is>
          <t>Ruiz, Adrian (Mr. Kowalski – 3) #S0194</t>
        </is>
      </c>
      <c r="C86" s="76" t="inlineStr">
        <is>
          <t>Ruiz family</t>
        </is>
      </c>
      <c r="D86" s="80" t="n">
        <v>25</v>
      </c>
      <c r="E86" s="76" t="inlineStr">
        <is>
          <t>Check</t>
        </is>
      </c>
      <c r="F86" s="76" t="n"/>
    </row>
    <row r="87">
      <c r="A87" s="79" t="n">
        <v>46330</v>
      </c>
      <c r="B87" s="76" t="inlineStr">
        <is>
          <t>Hernandez, Zoe (Mrs. Lindqvist – 3) #S0209</t>
        </is>
      </c>
      <c r="C87" s="76" t="inlineStr">
        <is>
          <t>Hernandez family</t>
        </is>
      </c>
      <c r="D87" s="80" t="n">
        <v>40</v>
      </c>
      <c r="E87" s="76" t="inlineStr">
        <is>
          <t>Check</t>
        </is>
      </c>
      <c r="F87" s="76" t="n"/>
    </row>
    <row r="88">
      <c r="A88" s="79" t="n">
        <v>46330</v>
      </c>
      <c r="B88" s="76" t="inlineStr">
        <is>
          <t>Byrne, James (Mrs. Valdez – 8) #S0419</t>
        </is>
      </c>
      <c r="C88" s="76" t="inlineStr">
        <is>
          <t>Byrne family</t>
        </is>
      </c>
      <c r="D88" s="80" t="n">
        <v>10</v>
      </c>
      <c r="E88" s="76" t="inlineStr">
        <is>
          <t>Cash</t>
        </is>
      </c>
      <c r="F88" s="76" t="n"/>
    </row>
    <row r="89">
      <c r="A89" s="79" t="n">
        <v>46334</v>
      </c>
      <c r="B89" s="76" t="inlineStr">
        <is>
          <t>Morales, Diego (Ms. Alvarez – P3) #S0001</t>
        </is>
      </c>
      <c r="C89" s="76" t="inlineStr">
        <is>
          <t>Morales family</t>
        </is>
      </c>
      <c r="D89" s="80" t="n">
        <v>25</v>
      </c>
      <c r="E89" s="76" t="inlineStr">
        <is>
          <t>Check</t>
        </is>
      </c>
      <c r="F89" s="76" t="n"/>
    </row>
    <row r="90">
      <c r="A90" s="79" t="n">
        <v>46330</v>
      </c>
      <c r="B90" s="76" t="inlineStr">
        <is>
          <t>Hernandez, Evelyn (Mrs. Lindqvist – 3) #S0206</t>
        </is>
      </c>
      <c r="C90" s="76" t="inlineStr">
        <is>
          <t>Hernandez family</t>
        </is>
      </c>
      <c r="D90" s="80" t="n">
        <v>25</v>
      </c>
      <c r="E90" s="76" t="inlineStr">
        <is>
          <t>Check</t>
        </is>
      </c>
      <c r="F90" s="76" t="n"/>
    </row>
    <row r="91">
      <c r="A91" s="79" t="n">
        <v>46327</v>
      </c>
      <c r="B91" s="76" t="inlineStr">
        <is>
          <t>s0220</t>
        </is>
      </c>
      <c r="C91" s="76" t="inlineStr">
        <is>
          <t>Nguyen family</t>
        </is>
      </c>
      <c r="D91" s="80" t="n">
        <v>20</v>
      </c>
      <c r="E91" s="76" t="inlineStr">
        <is>
          <t>Check</t>
        </is>
      </c>
      <c r="F91" s="76" t="n"/>
    </row>
    <row r="92">
      <c r="A92" s="79" t="n">
        <v>46338</v>
      </c>
      <c r="B92" s="76" t="inlineStr">
        <is>
          <t>Martinez, Aria (Mr. Kowalski – 3) #S0192</t>
        </is>
      </c>
      <c r="C92" s="76" t="inlineStr">
        <is>
          <t>Martinez family</t>
        </is>
      </c>
      <c r="D92" s="80" t="n">
        <v>5</v>
      </c>
      <c r="E92" s="76" t="inlineStr">
        <is>
          <t>Check</t>
        </is>
      </c>
      <c r="F92" s="76" t="n"/>
    </row>
    <row r="93">
      <c r="A93" s="79" t="n">
        <v>46332</v>
      </c>
      <c r="B93" s="76" t="inlineStr">
        <is>
          <t>Castillo, Elena (Mrs. Thorne – 7) #S0375</t>
        </is>
      </c>
      <c r="C93" s="76" t="inlineStr">
        <is>
          <t>Castillo family</t>
        </is>
      </c>
      <c r="D93" s="80" t="n">
        <v>10</v>
      </c>
      <c r="E93" s="76" t="inlineStr">
        <is>
          <t>Check</t>
        </is>
      </c>
      <c r="F93" s="76" t="n"/>
    </row>
    <row r="94">
      <c r="A94" s="79" t="n">
        <v>46338</v>
      </c>
      <c r="B94" s="76" t="inlineStr">
        <is>
          <t>Byrne, Evelyn (Mrs. Jensen – 2) #S0168</t>
        </is>
      </c>
      <c r="C94" s="76" t="inlineStr">
        <is>
          <t>Byrne family</t>
        </is>
      </c>
      <c r="D94" s="80" t="n">
        <v>50</v>
      </c>
      <c r="E94" s="76" t="inlineStr">
        <is>
          <t>Check</t>
        </is>
      </c>
      <c r="F94" s="76" t="n"/>
    </row>
    <row r="95">
      <c r="A95" s="79" t="n">
        <v>46330</v>
      </c>
      <c r="B95" s="76" t="inlineStr">
        <is>
          <t>s0151</t>
        </is>
      </c>
      <c r="C95" s="76" t="inlineStr">
        <is>
          <t>Sanchez family</t>
        </is>
      </c>
      <c r="D95" s="80" t="n">
        <v>100</v>
      </c>
      <c r="E95" s="76" t="inlineStr">
        <is>
          <t>Check</t>
        </is>
      </c>
      <c r="F95" s="76" t="n"/>
    </row>
    <row r="96">
      <c r="A96" s="79" t="n">
        <v>46328</v>
      </c>
      <c r="B96" s="76" t="inlineStr">
        <is>
          <t>Lopez, Daniel (Mr. Galloway – 1) #S0109</t>
        </is>
      </c>
      <c r="C96" s="76" t="inlineStr">
        <is>
          <t>Lopez family</t>
        </is>
      </c>
      <c r="D96" s="80" t="n">
        <v>40</v>
      </c>
      <c r="E96" s="76" t="inlineStr">
        <is>
          <t>Check</t>
        </is>
      </c>
      <c r="F96" s="76" t="n"/>
    </row>
    <row r="97">
      <c r="A97" s="79" t="n">
        <v>46328</v>
      </c>
      <c r="B97" s="76" t="inlineStr">
        <is>
          <t>Smith, Chloe (Mrs. Fischer – K) #S0093</t>
        </is>
      </c>
      <c r="C97" s="76" t="inlineStr">
        <is>
          <t>Smith family</t>
        </is>
      </c>
      <c r="D97" s="80" t="n">
        <v>20</v>
      </c>
      <c r="E97" s="76" t="inlineStr">
        <is>
          <t>Cash</t>
        </is>
      </c>
      <c r="F97" s="76" t="n"/>
    </row>
    <row r="98">
      <c r="A98" s="79" t="n">
        <v>46331</v>
      </c>
      <c r="B98" s="76" t="inlineStr">
        <is>
          <t>Reyes, Olivia (Ms. Moreau – 4) #S0238</t>
        </is>
      </c>
      <c r="C98" s="76" t="inlineStr">
        <is>
          <t>Reyes family</t>
        </is>
      </c>
      <c r="D98" s="80" t="n">
        <v>20</v>
      </c>
      <c r="E98" s="76" t="inlineStr">
        <is>
          <t>Check</t>
        </is>
      </c>
      <c r="F98" s="76" t="n"/>
    </row>
    <row r="99">
      <c r="A99" s="79" t="n">
        <v>46329</v>
      </c>
      <c r="B99" s="76" t="inlineStr">
        <is>
          <t>Byrne, Adrian (Mrs. Thorne – 7) #S0376</t>
        </is>
      </c>
      <c r="C99" s="76" t="inlineStr">
        <is>
          <t>Byrne family</t>
        </is>
      </c>
      <c r="D99" s="80" t="n">
        <v>25</v>
      </c>
      <c r="E99" s="76" t="inlineStr">
        <is>
          <t>Check</t>
        </is>
      </c>
      <c r="F99" s="76" t="n"/>
    </row>
    <row r="100">
      <c r="A100" s="79" t="n">
        <v>46337</v>
      </c>
      <c r="B100" s="76" t="inlineStr">
        <is>
          <t>Ramos, Joseph (Ms. Underwood – 8) #S0393</t>
        </is>
      </c>
      <c r="C100" s="76" t="inlineStr">
        <is>
          <t>Ramos family</t>
        </is>
      </c>
      <c r="D100" s="80" t="n">
        <v>50</v>
      </c>
      <c r="E100" s="76" t="inlineStr">
        <is>
          <t>Cash</t>
        </is>
      </c>
      <c r="F100" s="76" t="n"/>
    </row>
    <row r="101">
      <c r="A101" s="79" t="n">
        <v>46332</v>
      </c>
      <c r="B101" s="76" t="inlineStr">
        <is>
          <t>Perez, Aria (Mrs. Novak – 4) #S0245</t>
        </is>
      </c>
      <c r="C101" s="76" t="inlineStr">
        <is>
          <t>Perez family</t>
        </is>
      </c>
      <c r="D101" s="80" t="n">
        <v>50</v>
      </c>
      <c r="E101" s="76" t="inlineStr">
        <is>
          <t>Check</t>
        </is>
      </c>
      <c r="F101" s="76" t="n"/>
    </row>
    <row r="102">
      <c r="A102" s="79" t="n">
        <v>46328</v>
      </c>
      <c r="B102" s="76" t="inlineStr">
        <is>
          <t>O'Brien, Emma (Mr. Galloway – 1) #S0115</t>
        </is>
      </c>
      <c r="C102" s="76" t="inlineStr">
        <is>
          <t>O'Brien family</t>
        </is>
      </c>
      <c r="D102" s="80" t="n">
        <v>20</v>
      </c>
      <c r="E102" s="76" t="inlineStr">
        <is>
          <t>Check</t>
        </is>
      </c>
      <c r="F102" s="76" t="n"/>
    </row>
    <row r="103">
      <c r="A103" s="79" t="n">
        <v>46335</v>
      </c>
      <c r="B103" s="76" t="inlineStr">
        <is>
          <t>Patel, Henry (Mrs. Fischer – K) #S0088</t>
        </is>
      </c>
      <c r="C103" s="76" t="inlineStr">
        <is>
          <t>Patel family</t>
        </is>
      </c>
      <c r="D103" s="80" t="n">
        <v>10</v>
      </c>
      <c r="E103" s="76" t="inlineStr">
        <is>
          <t>Check</t>
        </is>
      </c>
      <c r="F103" s="76" t="n"/>
    </row>
    <row r="104">
      <c r="A104" s="79" t="n">
        <v>46337</v>
      </c>
      <c r="B104" s="76" t="inlineStr">
        <is>
          <t>s0168</t>
        </is>
      </c>
      <c r="C104" s="76" t="inlineStr">
        <is>
          <t>Byrne family</t>
        </is>
      </c>
      <c r="D104" s="80" t="n">
        <v>5</v>
      </c>
      <c r="E104" s="76" t="inlineStr">
        <is>
          <t>Cash</t>
        </is>
      </c>
      <c r="F104" s="76" t="n"/>
    </row>
    <row r="105">
      <c r="A105" s="79" t="n">
        <v>46334</v>
      </c>
      <c r="B105" s="76" t="inlineStr">
        <is>
          <t>Alvarez, James (Mr. Kowalski – 3) #S0189</t>
        </is>
      </c>
      <c r="C105" s="76" t="inlineStr">
        <is>
          <t>Alvarez family</t>
        </is>
      </c>
      <c r="D105" s="80" t="n">
        <v>50</v>
      </c>
      <c r="E105" s="76" t="inlineStr">
        <is>
          <t>Check</t>
        </is>
      </c>
      <c r="F105" s="76" t="n"/>
    </row>
    <row r="106">
      <c r="A106" s="79" t="n">
        <v>46333</v>
      </c>
      <c r="B106" s="76" t="inlineStr">
        <is>
          <t>Byrne, Evelyn (Mrs. Jensen – 2) #S0168</t>
        </is>
      </c>
      <c r="C106" s="76" t="inlineStr">
        <is>
          <t>Byrne family</t>
        </is>
      </c>
      <c r="D106" s="80" t="n">
        <v>25</v>
      </c>
      <c r="E106" s="76" t="inlineStr">
        <is>
          <t>Cash</t>
        </is>
      </c>
      <c r="F106" s="76" t="n"/>
    </row>
    <row r="107">
      <c r="A107" s="79" t="n">
        <v>46337</v>
      </c>
      <c r="B107" s="76" t="inlineStr">
        <is>
          <t>s0265</t>
        </is>
      </c>
      <c r="C107" s="76" t="inlineStr">
        <is>
          <t>Johnson family</t>
        </is>
      </c>
      <c r="D107" s="80" t="n">
        <v>10</v>
      </c>
      <c r="E107" s="76" t="inlineStr">
        <is>
          <t>Check</t>
        </is>
      </c>
      <c r="F107" s="76" t="n"/>
    </row>
    <row r="108">
      <c r="A108" s="79" t="n">
        <v>46331</v>
      </c>
      <c r="B108" s="76" t="inlineStr">
        <is>
          <t>Ruiz, Zoe (Mr. Carter – P4) #S0048</t>
        </is>
      </c>
      <c r="C108" s="76" t="inlineStr">
        <is>
          <t>Ruiz family</t>
        </is>
      </c>
      <c r="D108" s="80" t="n">
        <v>20</v>
      </c>
      <c r="E108" s="76" t="inlineStr">
        <is>
          <t>Check</t>
        </is>
      </c>
      <c r="F108" s="76" t="n"/>
    </row>
    <row r="109">
      <c r="A109" s="79" t="n">
        <v>46329</v>
      </c>
      <c r="B109" s="76" t="inlineStr">
        <is>
          <t>Flores, Amelia (Mr. Okafor – 5) #S0267</t>
        </is>
      </c>
      <c r="C109" s="76" t="inlineStr">
        <is>
          <t>Flores family</t>
        </is>
      </c>
      <c r="D109" s="80" t="n">
        <v>20</v>
      </c>
      <c r="E109" s="76" t="inlineStr">
        <is>
          <t>Check</t>
        </is>
      </c>
      <c r="F109" s="76" t="n"/>
    </row>
    <row r="110">
      <c r="A110" s="79" t="n">
        <v>46329</v>
      </c>
      <c r="B110" s="76" t="inlineStr">
        <is>
          <t>s0147</t>
        </is>
      </c>
      <c r="C110" s="76" t="inlineStr">
        <is>
          <t>Williams family</t>
        </is>
      </c>
      <c r="D110" s="80" t="n">
        <v>20</v>
      </c>
      <c r="E110" s="76" t="inlineStr">
        <is>
          <t>Check</t>
        </is>
      </c>
      <c r="F110" s="76" t="n"/>
    </row>
    <row r="111">
      <c r="A111" s="79" t="n">
        <v>46329</v>
      </c>
      <c r="B111" s="76" t="inlineStr">
        <is>
          <t>Williams, Clara (Mr. Carter – P4) #S0039</t>
        </is>
      </c>
      <c r="C111" s="76" t="inlineStr">
        <is>
          <t>Williams family</t>
        </is>
      </c>
      <c r="D111" s="80" t="n">
        <v>5</v>
      </c>
      <c r="E111" s="76" t="inlineStr">
        <is>
          <t>Cash</t>
        </is>
      </c>
      <c r="F111" s="76" t="n"/>
    </row>
    <row r="112">
      <c r="A112" s="79" t="n">
        <v>46329</v>
      </c>
      <c r="B112" s="76" t="inlineStr">
        <is>
          <t>Diaz, Diego (Mrs. Pruitt – 5) #S0285</t>
        </is>
      </c>
      <c r="C112" s="76" t="inlineStr">
        <is>
          <t>Diaz family</t>
        </is>
      </c>
      <c r="D112" s="80" t="n">
        <v>50</v>
      </c>
      <c r="E112" s="76" t="inlineStr">
        <is>
          <t>Check</t>
        </is>
      </c>
      <c r="F112" s="76" t="n"/>
    </row>
    <row r="113">
      <c r="A113" s="79" t="n">
        <v>46330</v>
      </c>
      <c r="B113" s="76" t="inlineStr">
        <is>
          <t>Ryan, Joseph (Mrs. Valdez – 8) #S0405</t>
        </is>
      </c>
      <c r="C113" s="76" t="inlineStr">
        <is>
          <t>Ryan family</t>
        </is>
      </c>
      <c r="D113" s="80" t="n">
        <v>10</v>
      </c>
      <c r="E113" s="76" t="inlineStr">
        <is>
          <t>Check</t>
        </is>
      </c>
      <c r="F113" s="76" t="n"/>
    </row>
    <row r="114">
      <c r="A114" s="79" t="n">
        <v>46327</v>
      </c>
      <c r="B114" s="76" t="inlineStr">
        <is>
          <t>s0306</t>
        </is>
      </c>
      <c r="C114" s="76" t="inlineStr">
        <is>
          <t>Ortiz family</t>
        </is>
      </c>
      <c r="D114" s="80" t="n">
        <v>10</v>
      </c>
      <c r="E114" s="76" t="inlineStr">
        <is>
          <t>Check</t>
        </is>
      </c>
      <c r="F114" s="76" t="n"/>
    </row>
    <row r="115">
      <c r="A115" s="79" t="n">
        <v>46332</v>
      </c>
      <c r="B115" s="76" t="inlineStr">
        <is>
          <t>Murphy, Emma (Ms. Ellison – K) #S0081</t>
        </is>
      </c>
      <c r="C115" s="76" t="inlineStr">
        <is>
          <t>Murphy family</t>
        </is>
      </c>
      <c r="D115" s="80" t="n">
        <v>100</v>
      </c>
      <c r="E115" s="76" t="inlineStr">
        <is>
          <t>Check</t>
        </is>
      </c>
      <c r="F115" s="76" t="n"/>
    </row>
    <row r="116">
      <c r="A116" s="79" t="n">
        <v>46332</v>
      </c>
      <c r="B116" s="76" t="inlineStr">
        <is>
          <t>Ruiz, Thomas (Mrs. Ravel – 6) #S0343</t>
        </is>
      </c>
      <c r="C116" s="76" t="inlineStr">
        <is>
          <t>Ruiz family</t>
        </is>
      </c>
      <c r="D116" s="80" t="n">
        <v>5</v>
      </c>
      <c r="E116" s="76" t="inlineStr">
        <is>
          <t>Cash</t>
        </is>
      </c>
      <c r="F116" s="76" t="n"/>
    </row>
    <row r="117">
      <c r="A117" s="79" t="n">
        <v>46334</v>
      </c>
      <c r="B117" s="76" t="inlineStr">
        <is>
          <t>Patel, Nora (Ms. Alvarez – P3) #S0002</t>
        </is>
      </c>
      <c r="C117" s="76" t="inlineStr">
        <is>
          <t>Patel family</t>
        </is>
      </c>
      <c r="D117" s="80" t="n">
        <v>40</v>
      </c>
      <c r="E117" s="76" t="inlineStr">
        <is>
          <t>Check</t>
        </is>
      </c>
      <c r="F117" s="76" t="n"/>
    </row>
    <row r="118">
      <c r="A118" s="79" t="n">
        <v>46336</v>
      </c>
      <c r="B118" s="76" t="inlineStr">
        <is>
          <t>Hernandez, Evelyn (Mrs. Lindqvist – 3) #S0206</t>
        </is>
      </c>
      <c r="C118" s="76" t="inlineStr">
        <is>
          <t>Hernandez family</t>
        </is>
      </c>
      <c r="D118" s="80" t="n">
        <v>20</v>
      </c>
      <c r="E118" s="76" t="inlineStr">
        <is>
          <t>Check</t>
        </is>
      </c>
      <c r="F118" s="76" t="n"/>
    </row>
    <row r="119">
      <c r="A119" s="79" t="n">
        <v>46325</v>
      </c>
      <c r="B119" s="76" t="inlineStr">
        <is>
          <t>Garcia, Camila (Ms. Ingram – 2) #S0157</t>
        </is>
      </c>
      <c r="C119" s="76" t="inlineStr">
        <is>
          <t>Garcia family</t>
        </is>
      </c>
      <c r="D119" s="80" t="n">
        <v>50</v>
      </c>
      <c r="E119" s="76" t="inlineStr">
        <is>
          <t>Check</t>
        </is>
      </c>
      <c r="F119" s="76" t="n"/>
    </row>
    <row r="120">
      <c r="A120" s="79" t="n">
        <v>46331</v>
      </c>
      <c r="B120" s="76" t="inlineStr">
        <is>
          <t>Mendoza, Lucas (Mrs. Thorne – 7) #S0366</t>
        </is>
      </c>
      <c r="C120" s="76" t="inlineStr">
        <is>
          <t>Mendoza family</t>
        </is>
      </c>
      <c r="D120" s="80" t="n">
        <v>50</v>
      </c>
      <c r="E120" s="76" t="inlineStr">
        <is>
          <t>Check</t>
        </is>
      </c>
      <c r="F120" s="76" t="n"/>
    </row>
    <row r="121">
      <c r="A121" s="79" t="n">
        <v>46326</v>
      </c>
      <c r="B121" s="76" t="inlineStr">
        <is>
          <t>Nguyen, Adrian (Ms. Alvarez – P3) #S0007</t>
        </is>
      </c>
      <c r="C121" s="76" t="inlineStr">
        <is>
          <t>Nguyen family</t>
        </is>
      </c>
      <c r="D121" s="80" t="n">
        <v>100</v>
      </c>
      <c r="E121" s="76" t="inlineStr">
        <is>
          <t>Cash</t>
        </is>
      </c>
      <c r="F121" s="76" t="n"/>
    </row>
    <row r="122">
      <c r="A122" s="79" t="n">
        <v>46334</v>
      </c>
      <c r="B122" s="76" t="inlineStr">
        <is>
          <t>Chavez, Harper (Ms. Underwood – 8) #S0387</t>
        </is>
      </c>
      <c r="C122" s="76" t="inlineStr">
        <is>
          <t>Chavez family</t>
        </is>
      </c>
      <c r="D122" s="80" t="n">
        <v>50</v>
      </c>
      <c r="E122" s="76" t="inlineStr">
        <is>
          <t>Check</t>
        </is>
      </c>
      <c r="F122" s="76" t="n"/>
    </row>
    <row r="123">
      <c r="A123" s="79" t="n">
        <v>46333</v>
      </c>
      <c r="B123" s="76" t="inlineStr">
        <is>
          <t>Perez, Mateo (Mr. Stanton – 7) #S0364</t>
        </is>
      </c>
      <c r="C123" s="76" t="inlineStr">
        <is>
          <t>Perez family</t>
        </is>
      </c>
      <c r="D123" s="80" t="n">
        <v>20</v>
      </c>
      <c r="E123" s="76" t="inlineStr">
        <is>
          <t>Cash</t>
        </is>
      </c>
      <c r="F123" s="76" t="n"/>
    </row>
    <row r="124">
      <c r="A124" s="79" t="n">
        <v>46334</v>
      </c>
      <c r="B124" s="76" t="inlineStr">
        <is>
          <t>Torres, James (Mrs. Ravel – 6) #S0337</t>
        </is>
      </c>
      <c r="C124" s="76" t="inlineStr">
        <is>
          <t>Torres family</t>
        </is>
      </c>
      <c r="D124" s="80" t="n">
        <v>20</v>
      </c>
      <c r="E124" s="76" t="inlineStr">
        <is>
          <t>Cash</t>
        </is>
      </c>
      <c r="F124" s="76" t="n"/>
    </row>
    <row r="125">
      <c r="A125" s="79" t="n">
        <v>46327</v>
      </c>
      <c r="B125" s="76" t="inlineStr">
        <is>
          <t>Gutierrez, Noah (Mr. Galloway – 1) #S0123</t>
        </is>
      </c>
      <c r="C125" s="76" t="inlineStr">
        <is>
          <t>Gutierrez family</t>
        </is>
      </c>
      <c r="D125" s="80" t="n">
        <v>100</v>
      </c>
      <c r="E125" s="76" t="inlineStr">
        <is>
          <t>Check</t>
        </is>
      </c>
      <c r="F125" s="76" t="n"/>
    </row>
    <row r="126">
      <c r="A126" s="79" t="n">
        <v>46329</v>
      </c>
      <c r="B126" s="76" t="inlineStr">
        <is>
          <t>Gonzalez, Aria (Mrs. Novak – 4) #S0248</t>
        </is>
      </c>
      <c r="C126" s="76" t="inlineStr">
        <is>
          <t>Gonzalez family</t>
        </is>
      </c>
      <c r="D126" s="80" t="n">
        <v>100</v>
      </c>
      <c r="E126" s="76" t="inlineStr">
        <is>
          <t>Cash</t>
        </is>
      </c>
      <c r="F126" s="76" t="n"/>
    </row>
    <row r="127">
      <c r="A127" s="79" t="n">
        <v>46327</v>
      </c>
      <c r="B127" s="76" t="inlineStr">
        <is>
          <t>s0373</t>
        </is>
      </c>
      <c r="C127" s="76" t="inlineStr">
        <is>
          <t>Chavez family</t>
        </is>
      </c>
      <c r="D127" s="80" t="n">
        <v>50</v>
      </c>
      <c r="E127" s="76" t="inlineStr">
        <is>
          <t>Cash</t>
        </is>
      </c>
      <c r="F127" s="76" t="n"/>
    </row>
    <row r="128">
      <c r="A128" s="79" t="n">
        <v>46325</v>
      </c>
      <c r="B128" s="76" t="inlineStr">
        <is>
          <t>Kelly, Mateo (Mr. Carter – P4) #S0036</t>
        </is>
      </c>
      <c r="C128" s="76" t="inlineStr">
        <is>
          <t>Kelly family</t>
        </is>
      </c>
      <c r="D128" s="80" t="n">
        <v>10</v>
      </c>
      <c r="E128" s="76" t="inlineStr">
        <is>
          <t>Check</t>
        </is>
      </c>
      <c r="F128" s="76" t="n"/>
    </row>
    <row r="129">
      <c r="A129" s="79" t="n">
        <v>46326</v>
      </c>
      <c r="B129" s="76" t="inlineStr">
        <is>
          <t>s0082</t>
        </is>
      </c>
      <c r="C129" s="76" t="inlineStr">
        <is>
          <t>Kim family</t>
        </is>
      </c>
      <c r="D129" s="80" t="n">
        <v>10</v>
      </c>
      <c r="E129" s="76" t="inlineStr">
        <is>
          <t>Cash</t>
        </is>
      </c>
      <c r="F129" s="76" t="n"/>
    </row>
    <row r="130">
      <c r="A130" s="79" t="n">
        <v>46326</v>
      </c>
      <c r="B130" s="76" t="inlineStr">
        <is>
          <t>Nguyen, Diego (Mrs. Fischer – K) #S0100</t>
        </is>
      </c>
      <c r="C130" s="76" t="inlineStr">
        <is>
          <t>Nguyen family</t>
        </is>
      </c>
      <c r="D130" s="80" t="n">
        <v>50</v>
      </c>
      <c r="E130" s="76" t="inlineStr">
        <is>
          <t>Check</t>
        </is>
      </c>
      <c r="F130" s="76" t="n"/>
    </row>
    <row r="131">
      <c r="A131" s="79" t="n">
        <v>46333</v>
      </c>
      <c r="B131" s="76" t="inlineStr">
        <is>
          <t>Murphy, Gabriel (Ms. Moreau – 4) #S0225</t>
        </is>
      </c>
      <c r="C131" s="76" t="inlineStr">
        <is>
          <t>Murphy family</t>
        </is>
      </c>
      <c r="D131" s="80" t="n">
        <v>20</v>
      </c>
      <c r="E131" s="76" t="inlineStr">
        <is>
          <t>Check</t>
        </is>
      </c>
      <c r="F131" s="76" t="n"/>
    </row>
    <row r="132">
      <c r="A132" s="79" t="n">
        <v>46337</v>
      </c>
      <c r="B132" s="76" t="inlineStr">
        <is>
          <t>s0099</t>
        </is>
      </c>
      <c r="C132" s="76" t="inlineStr">
        <is>
          <t>Morales family</t>
        </is>
      </c>
      <c r="D132" s="80" t="n">
        <v>20</v>
      </c>
      <c r="E132" s="76" t="inlineStr">
        <is>
          <t>Cash</t>
        </is>
      </c>
      <c r="F132" s="76" t="n"/>
    </row>
    <row r="133">
      <c r="A133" s="79" t="n">
        <v>46335</v>
      </c>
      <c r="B133" s="76" t="inlineStr">
        <is>
          <t>Chavez, Zoe (Ms. Quinlan – 6) #S0320</t>
        </is>
      </c>
      <c r="C133" s="76" t="inlineStr">
        <is>
          <t>Chavez family</t>
        </is>
      </c>
      <c r="D133" s="80" t="n">
        <v>10</v>
      </c>
      <c r="E133" s="76" t="inlineStr">
        <is>
          <t>Check</t>
        </is>
      </c>
      <c r="F133" s="76" t="n"/>
    </row>
    <row r="134">
      <c r="A134" s="79" t="n">
        <v>46330</v>
      </c>
      <c r="B134" s="76" t="inlineStr">
        <is>
          <t>s0237</t>
        </is>
      </c>
      <c r="C134" s="76" t="inlineStr">
        <is>
          <t>Ramirez family</t>
        </is>
      </c>
      <c r="D134" s="80" t="n">
        <v>20</v>
      </c>
      <c r="E134" s="76" t="inlineStr">
        <is>
          <t>Cash</t>
        </is>
      </c>
      <c r="F134" s="76" t="n"/>
    </row>
    <row r="135">
      <c r="A135" s="79" t="n">
        <v>46337</v>
      </c>
      <c r="B135" s="76" t="inlineStr">
        <is>
          <t>Perez, Joseph (Mr. Stanton – 7) #S0354</t>
        </is>
      </c>
      <c r="C135" s="76" t="inlineStr">
        <is>
          <t>Perez family</t>
        </is>
      </c>
      <c r="D135" s="80" t="n">
        <v>20</v>
      </c>
      <c r="E135" s="76" t="inlineStr">
        <is>
          <t>Check</t>
        </is>
      </c>
      <c r="F135" s="76" t="n"/>
    </row>
    <row r="136">
      <c r="A136" s="79" t="n">
        <v>46330</v>
      </c>
      <c r="B136" s="76" t="inlineStr">
        <is>
          <t>Martinez, Mia (Mr. Kowalski – 3) #S0196</t>
        </is>
      </c>
      <c r="C136" s="76" t="inlineStr">
        <is>
          <t>Martinez family</t>
        </is>
      </c>
      <c r="D136" s="80" t="n">
        <v>10</v>
      </c>
      <c r="E136" s="76" t="inlineStr">
        <is>
          <t>Cash</t>
        </is>
      </c>
      <c r="F136" s="76" t="n"/>
    </row>
    <row r="137">
      <c r="A137" s="79" t="n">
        <v>46332</v>
      </c>
      <c r="B137" s="76" t="inlineStr">
        <is>
          <t>Gonzalez, Evelyn (Mr. Stanton – 7) #S0360</t>
        </is>
      </c>
      <c r="C137" s="76" t="inlineStr">
        <is>
          <t>Gonzalez family</t>
        </is>
      </c>
      <c r="D137" s="80" t="n">
        <v>10</v>
      </c>
      <c r="E137" s="76" t="inlineStr">
        <is>
          <t>Cash</t>
        </is>
      </c>
      <c r="F137" s="76" t="n"/>
    </row>
    <row r="138">
      <c r="A138" s="79" t="n">
        <v>46338</v>
      </c>
      <c r="B138" s="76" t="inlineStr">
        <is>
          <t>Gomez, Daniel (Ms. Alvarez – P3) #S0015</t>
        </is>
      </c>
      <c r="C138" s="76" t="inlineStr">
        <is>
          <t>Gomez family</t>
        </is>
      </c>
      <c r="D138" s="80" t="n">
        <v>25</v>
      </c>
      <c r="E138" s="76" t="inlineStr">
        <is>
          <t>Check</t>
        </is>
      </c>
      <c r="F138" s="76" t="n"/>
    </row>
    <row r="139">
      <c r="A139" s="79" t="n">
        <v>46326</v>
      </c>
      <c r="B139" s="76" t="inlineStr">
        <is>
          <t>O'Brien, Evelyn (Mrs. Hayes – 1) #S0128</t>
        </is>
      </c>
      <c r="C139" s="76" t="inlineStr">
        <is>
          <t>O'Brien family</t>
        </is>
      </c>
      <c r="D139" s="80" t="n">
        <v>100</v>
      </c>
      <c r="E139" s="76" t="inlineStr">
        <is>
          <t>Cash</t>
        </is>
      </c>
      <c r="F139" s="76" t="n"/>
    </row>
    <row r="140">
      <c r="A140" s="79" t="n">
        <v>46325</v>
      </c>
      <c r="B140" s="76" t="inlineStr">
        <is>
          <t>Perez, Ava (Mrs. Lindqvist – 3) #S0218</t>
        </is>
      </c>
      <c r="C140" s="76" t="inlineStr">
        <is>
          <t>Perez family</t>
        </is>
      </c>
      <c r="D140" s="80" t="n">
        <v>25</v>
      </c>
      <c r="E140" s="76" t="inlineStr">
        <is>
          <t>Check</t>
        </is>
      </c>
      <c r="F140" s="76" t="n"/>
    </row>
    <row r="141">
      <c r="A141" s="79" t="n">
        <v>46327</v>
      </c>
      <c r="B141" s="76" t="inlineStr">
        <is>
          <t>Ramirez, Elijah (Mrs. Thorne – 7) #S0378</t>
        </is>
      </c>
      <c r="C141" s="76" t="inlineStr">
        <is>
          <t>Ramirez family</t>
        </is>
      </c>
      <c r="D141" s="80" t="n">
        <v>10</v>
      </c>
      <c r="E141" s="76" t="inlineStr">
        <is>
          <t>Check</t>
        </is>
      </c>
      <c r="F141" s="76" t="n"/>
    </row>
    <row r="142">
      <c r="A142" s="79" t="n">
        <v>46328</v>
      </c>
      <c r="B142" s="76" t="inlineStr">
        <is>
          <t>#S0008</t>
        </is>
      </c>
      <c r="C142" s="76" t="inlineStr">
        <is>
          <t>Bad Amount</t>
        </is>
      </c>
      <c r="D142" s="80" t="inlineStr">
        <is>
          <t>twenty</t>
        </is>
      </c>
      <c r="E142" s="76" t="inlineStr">
        <is>
          <t>Cash</t>
        </is>
      </c>
      <c r="F142" s="76" t="n"/>
    </row>
    <row r="143">
      <c r="A143" s="79" t="n">
        <v>46328</v>
      </c>
      <c r="B143" s="76" t="inlineStr">
        <is>
          <t>S0999</t>
        </is>
      </c>
      <c r="C143" s="76" t="inlineStr">
        <is>
          <t>Ghost</t>
        </is>
      </c>
      <c r="D143" s="80" t="n">
        <v>20</v>
      </c>
      <c r="E143" s="76" t="inlineStr">
        <is>
          <t>Cash</t>
        </is>
      </c>
      <c r="F143" s="76" t="n"/>
    </row>
    <row r="144">
      <c r="A144" s="79" t="inlineStr">
        <is>
          <t>next tues</t>
        </is>
      </c>
      <c r="B144" s="76" t="inlineStr">
        <is>
          <t>S0008</t>
        </is>
      </c>
      <c r="C144" s="76" t="inlineStr">
        <is>
          <t>No Date</t>
        </is>
      </c>
      <c r="D144" s="80" t="n">
        <v>20</v>
      </c>
      <c r="E144" s="76" t="inlineStr">
        <is>
          <t>Cash</t>
        </is>
      </c>
      <c r="F144" s="76" t="n"/>
    </row>
    <row r="145">
      <c r="A145" s="79" t="n"/>
      <c r="B145" s="76" t="n"/>
      <c r="C145" s="76" t="n"/>
      <c r="D145" s="80" t="n"/>
      <c r="E145" s="76" t="n"/>
      <c r="F145" s="76" t="n"/>
    </row>
    <row r="146">
      <c r="A146" s="79" t="n"/>
      <c r="B146" s="76" t="n"/>
      <c r="C146" s="76" t="n"/>
      <c r="D146" s="80" t="n"/>
      <c r="E146" s="76" t="n"/>
      <c r="F146" s="76" t="n"/>
    </row>
    <row r="147">
      <c r="A147" s="79" t="n"/>
      <c r="B147" s="76" t="n"/>
      <c r="C147" s="76" t="n"/>
      <c r="D147" s="80" t="n"/>
      <c r="E147" s="76" t="n"/>
      <c r="F147" s="76" t="n"/>
    </row>
    <row r="148">
      <c r="A148" s="79" t="n"/>
      <c r="B148" s="76" t="n"/>
      <c r="C148" s="76" t="n"/>
      <c r="D148" s="80" t="n"/>
      <c r="E148" s="76" t="n"/>
      <c r="F148" s="76" t="n"/>
    </row>
    <row r="149">
      <c r="A149" s="79" t="n"/>
      <c r="B149" s="76" t="n"/>
      <c r="C149" s="76" t="n"/>
      <c r="D149" s="80" t="n"/>
      <c r="E149" s="76" t="n"/>
      <c r="F149" s="76" t="n"/>
    </row>
    <row r="150">
      <c r="A150" s="79" t="n"/>
      <c r="B150" s="76" t="n"/>
      <c r="C150" s="76" t="n"/>
      <c r="D150" s="80" t="n"/>
      <c r="E150" s="76" t="n"/>
      <c r="F150" s="76" t="n"/>
    </row>
    <row r="151">
      <c r="A151" s="79" t="n"/>
      <c r="B151" s="76" t="n"/>
      <c r="C151" s="76" t="n"/>
      <c r="D151" s="80" t="n"/>
      <c r="E151" s="76" t="n"/>
      <c r="F151" s="76" t="n"/>
    </row>
    <row r="152">
      <c r="A152" s="79" t="n"/>
      <c r="B152" s="76" t="n"/>
      <c r="C152" s="76" t="n"/>
      <c r="D152" s="80" t="n"/>
      <c r="E152" s="76" t="n"/>
      <c r="F152" s="76" t="n"/>
    </row>
    <row r="153">
      <c r="A153" s="79" t="n"/>
      <c r="B153" s="76" t="n"/>
      <c r="C153" s="76" t="n"/>
      <c r="D153" s="80" t="n"/>
      <c r="E153" s="76" t="n"/>
      <c r="F153" s="76" t="n"/>
    </row>
    <row r="154">
      <c r="A154" s="79" t="n"/>
      <c r="B154" s="76" t="n"/>
      <c r="C154" s="76" t="n"/>
      <c r="D154" s="80" t="n"/>
      <c r="E154" s="76" t="n"/>
      <c r="F154" s="76" t="n"/>
    </row>
    <row r="155">
      <c r="A155" s="79" t="n"/>
      <c r="B155" s="76" t="n"/>
      <c r="C155" s="76" t="n"/>
      <c r="D155" s="80" t="n"/>
      <c r="E155" s="76" t="n"/>
      <c r="F155" s="76" t="n"/>
    </row>
    <row r="156">
      <c r="A156" s="79" t="n"/>
      <c r="B156" s="76" t="n"/>
      <c r="C156" s="76" t="n"/>
      <c r="D156" s="80" t="n"/>
      <c r="E156" s="76" t="n"/>
      <c r="F156" s="76" t="n"/>
    </row>
    <row r="157">
      <c r="A157" s="79" t="n"/>
      <c r="B157" s="76" t="n"/>
      <c r="C157" s="76" t="n"/>
      <c r="D157" s="80" t="n"/>
      <c r="E157" s="76" t="n"/>
      <c r="F157" s="76" t="n"/>
    </row>
    <row r="158">
      <c r="A158" s="79" t="n"/>
      <c r="B158" s="76" t="n"/>
      <c r="C158" s="76" t="n"/>
      <c r="D158" s="80" t="n"/>
      <c r="E158" s="76" t="n"/>
      <c r="F158" s="76" t="n"/>
    </row>
    <row r="159">
      <c r="A159" s="79" t="n"/>
      <c r="B159" s="76" t="n"/>
      <c r="C159" s="76" t="n"/>
      <c r="D159" s="80" t="n"/>
      <c r="E159" s="76" t="n"/>
      <c r="F159" s="76" t="n"/>
    </row>
    <row r="160">
      <c r="A160" s="79" t="n"/>
      <c r="B160" s="76" t="n"/>
      <c r="C160" s="76" t="n"/>
      <c r="D160" s="80" t="n"/>
      <c r="E160" s="76" t="n"/>
      <c r="F160" s="76" t="n"/>
    </row>
    <row r="161">
      <c r="A161" s="79" t="n"/>
      <c r="B161" s="76" t="n"/>
      <c r="C161" s="76" t="n"/>
      <c r="D161" s="80" t="n"/>
      <c r="E161" s="76" t="n"/>
      <c r="F161" s="76" t="n"/>
    </row>
    <row r="162">
      <c r="A162" s="79" t="n"/>
      <c r="B162" s="76" t="n"/>
      <c r="C162" s="76" t="n"/>
      <c r="D162" s="80" t="n"/>
      <c r="E162" s="76" t="n"/>
      <c r="F162" s="76" t="n"/>
    </row>
    <row r="163">
      <c r="A163" s="79" t="n"/>
      <c r="B163" s="76" t="n"/>
      <c r="C163" s="76" t="n"/>
      <c r="D163" s="80" t="n"/>
      <c r="E163" s="76" t="n"/>
      <c r="F163" s="76" t="n"/>
    </row>
    <row r="164">
      <c r="A164" s="79" t="n"/>
      <c r="B164" s="76" t="n"/>
      <c r="C164" s="76" t="n"/>
      <c r="D164" s="80" t="n"/>
      <c r="E164" s="76" t="n"/>
      <c r="F164" s="76" t="n"/>
    </row>
    <row r="165">
      <c r="A165" s="79" t="n"/>
      <c r="B165" s="76" t="n"/>
      <c r="C165" s="76" t="n"/>
      <c r="D165" s="80" t="n"/>
      <c r="E165" s="76" t="n"/>
      <c r="F165" s="76" t="n"/>
    </row>
    <row r="166">
      <c r="A166" s="79" t="n"/>
      <c r="B166" s="76" t="n"/>
      <c r="C166" s="76" t="n"/>
      <c r="D166" s="80" t="n"/>
      <c r="E166" s="76" t="n"/>
      <c r="F166" s="76" t="n"/>
    </row>
    <row r="167">
      <c r="A167" s="79" t="n"/>
      <c r="B167" s="76" t="n"/>
      <c r="C167" s="76" t="n"/>
      <c r="D167" s="80" t="n"/>
      <c r="E167" s="76" t="n"/>
      <c r="F167" s="76" t="n"/>
    </row>
    <row r="168">
      <c r="A168" s="79" t="n"/>
      <c r="B168" s="76" t="n"/>
      <c r="C168" s="76" t="n"/>
      <c r="D168" s="80" t="n"/>
      <c r="E168" s="76" t="n"/>
      <c r="F168" s="76" t="n"/>
    </row>
    <row r="169">
      <c r="A169" s="79" t="n"/>
      <c r="B169" s="76" t="n"/>
      <c r="C169" s="76" t="n"/>
      <c r="D169" s="80" t="n"/>
      <c r="E169" s="76" t="n"/>
      <c r="F169" s="76" t="n"/>
    </row>
    <row r="170">
      <c r="A170" s="79" t="n"/>
      <c r="B170" s="76" t="n"/>
      <c r="C170" s="76" t="n"/>
      <c r="D170" s="80" t="n"/>
      <c r="E170" s="76" t="n"/>
      <c r="F170" s="76" t="n"/>
    </row>
    <row r="171">
      <c r="A171" s="79" t="n"/>
      <c r="B171" s="76" t="n"/>
      <c r="C171" s="76" t="n"/>
      <c r="D171" s="80" t="n"/>
      <c r="E171" s="76" t="n"/>
      <c r="F171" s="76" t="n"/>
    </row>
    <row r="172">
      <c r="A172" s="79" t="n"/>
      <c r="B172" s="76" t="n"/>
      <c r="C172" s="76" t="n"/>
      <c r="D172" s="80" t="n"/>
      <c r="E172" s="76" t="n"/>
      <c r="F172" s="76" t="n"/>
    </row>
    <row r="173">
      <c r="A173" s="79" t="n"/>
      <c r="B173" s="76" t="n"/>
      <c r="C173" s="76" t="n"/>
      <c r="D173" s="80" t="n"/>
      <c r="E173" s="76" t="n"/>
      <c r="F173" s="76" t="n"/>
    </row>
    <row r="174">
      <c r="A174" s="79" t="n"/>
      <c r="B174" s="76" t="n"/>
      <c r="C174" s="76" t="n"/>
      <c r="D174" s="80" t="n"/>
      <c r="E174" s="76" t="n"/>
      <c r="F174" s="76" t="n"/>
    </row>
    <row r="175">
      <c r="A175" s="79" t="n"/>
      <c r="B175" s="76" t="n"/>
      <c r="C175" s="76" t="n"/>
      <c r="D175" s="80" t="n"/>
      <c r="E175" s="76" t="n"/>
      <c r="F175" s="76" t="n"/>
    </row>
    <row r="176">
      <c r="A176" s="79" t="n"/>
      <c r="B176" s="76" t="n"/>
      <c r="C176" s="76" t="n"/>
      <c r="D176" s="80" t="n"/>
      <c r="E176" s="76" t="n"/>
      <c r="F176" s="76" t="n"/>
    </row>
    <row r="177">
      <c r="A177" s="79" t="n"/>
      <c r="B177" s="76" t="n"/>
      <c r="C177" s="76" t="n"/>
      <c r="D177" s="80" t="n"/>
      <c r="E177" s="76" t="n"/>
      <c r="F177" s="76" t="n"/>
    </row>
    <row r="178">
      <c r="A178" s="79" t="n"/>
      <c r="B178" s="76" t="n"/>
      <c r="C178" s="76" t="n"/>
      <c r="D178" s="80" t="n"/>
      <c r="E178" s="76" t="n"/>
      <c r="F178" s="76" t="n"/>
    </row>
    <row r="179">
      <c r="A179" s="79" t="n"/>
      <c r="B179" s="76" t="n"/>
      <c r="C179" s="76" t="n"/>
      <c r="D179" s="80" t="n"/>
      <c r="E179" s="76" t="n"/>
      <c r="F179" s="76" t="n"/>
    </row>
    <row r="180">
      <c r="A180" s="79" t="n"/>
      <c r="B180" s="76" t="n"/>
      <c r="C180" s="76" t="n"/>
      <c r="D180" s="80" t="n"/>
      <c r="E180" s="76" t="n"/>
      <c r="F180" s="76" t="n"/>
    </row>
    <row r="181">
      <c r="A181" s="79" t="n"/>
      <c r="B181" s="76" t="n"/>
      <c r="C181" s="76" t="n"/>
      <c r="D181" s="80" t="n"/>
      <c r="E181" s="76" t="n"/>
      <c r="F181" s="76" t="n"/>
    </row>
    <row r="182">
      <c r="A182" s="79" t="n"/>
      <c r="B182" s="76" t="n"/>
      <c r="C182" s="76" t="n"/>
      <c r="D182" s="80" t="n"/>
      <c r="E182" s="76" t="n"/>
      <c r="F182" s="76" t="n"/>
    </row>
    <row r="183">
      <c r="A183" s="79" t="n"/>
      <c r="B183" s="76" t="n"/>
      <c r="C183" s="76" t="n"/>
      <c r="D183" s="80" t="n"/>
      <c r="E183" s="76" t="n"/>
      <c r="F183" s="76" t="n"/>
    </row>
    <row r="184">
      <c r="A184" s="79" t="n"/>
      <c r="B184" s="76" t="n"/>
      <c r="C184" s="76" t="n"/>
      <c r="D184" s="80" t="n"/>
      <c r="E184" s="76" t="n"/>
      <c r="F184" s="76" t="n"/>
    </row>
    <row r="185">
      <c r="A185" s="79" t="n"/>
      <c r="B185" s="76" t="n"/>
      <c r="C185" s="76" t="n"/>
      <c r="D185" s="80" t="n"/>
      <c r="E185" s="76" t="n"/>
      <c r="F185" s="76" t="n"/>
    </row>
    <row r="186">
      <c r="A186" s="79" t="n"/>
      <c r="B186" s="76" t="n"/>
      <c r="C186" s="76" t="n"/>
      <c r="D186" s="80" t="n"/>
      <c r="E186" s="76" t="n"/>
      <c r="F186" s="76" t="n"/>
    </row>
    <row r="187">
      <c r="A187" s="79" t="n"/>
      <c r="B187" s="76" t="n"/>
      <c r="C187" s="76" t="n"/>
      <c r="D187" s="80" t="n"/>
      <c r="E187" s="76" t="n"/>
      <c r="F187" s="76" t="n"/>
    </row>
    <row r="188">
      <c r="A188" s="79" t="n"/>
      <c r="B188" s="76" t="n"/>
      <c r="C188" s="76" t="n"/>
      <c r="D188" s="80" t="n"/>
      <c r="E188" s="76" t="n"/>
      <c r="F188" s="76" t="n"/>
    </row>
    <row r="189">
      <c r="A189" s="79" t="n"/>
      <c r="B189" s="76" t="n"/>
      <c r="C189" s="76" t="n"/>
      <c r="D189" s="80" t="n"/>
      <c r="E189" s="76" t="n"/>
      <c r="F189" s="76" t="n"/>
    </row>
    <row r="190">
      <c r="A190" s="79" t="n"/>
      <c r="B190" s="76" t="n"/>
      <c r="C190" s="76" t="n"/>
      <c r="D190" s="80" t="n"/>
      <c r="E190" s="76" t="n"/>
      <c r="F190" s="76" t="n"/>
    </row>
    <row r="191">
      <c r="A191" s="79" t="n"/>
      <c r="B191" s="76" t="n"/>
      <c r="C191" s="76" t="n"/>
      <c r="D191" s="80" t="n"/>
      <c r="E191" s="76" t="n"/>
      <c r="F191" s="76" t="n"/>
    </row>
    <row r="192">
      <c r="A192" s="79" t="n"/>
      <c r="B192" s="76" t="n"/>
      <c r="C192" s="76" t="n"/>
      <c r="D192" s="80" t="n"/>
      <c r="E192" s="76" t="n"/>
      <c r="F192" s="76" t="n"/>
    </row>
    <row r="193">
      <c r="A193" s="79" t="n"/>
      <c r="B193" s="76" t="n"/>
      <c r="C193" s="76" t="n"/>
      <c r="D193" s="80" t="n"/>
      <c r="E193" s="76" t="n"/>
      <c r="F193" s="76" t="n"/>
    </row>
    <row r="194">
      <c r="A194" s="79" t="n"/>
      <c r="B194" s="76" t="n"/>
      <c r="C194" s="76" t="n"/>
      <c r="D194" s="80" t="n"/>
      <c r="E194" s="76" t="n"/>
      <c r="F194" s="76" t="n"/>
    </row>
    <row r="195">
      <c r="A195" s="79" t="n"/>
      <c r="B195" s="76" t="n"/>
      <c r="C195" s="76" t="n"/>
      <c r="D195" s="80" t="n"/>
      <c r="E195" s="76" t="n"/>
      <c r="F195" s="76" t="n"/>
    </row>
    <row r="196">
      <c r="A196" s="79" t="n"/>
      <c r="B196" s="76" t="n"/>
      <c r="C196" s="76" t="n"/>
      <c r="D196" s="80" t="n"/>
      <c r="E196" s="76" t="n"/>
      <c r="F196" s="76" t="n"/>
    </row>
    <row r="197">
      <c r="A197" s="79" t="n"/>
      <c r="B197" s="76" t="n"/>
      <c r="C197" s="76" t="n"/>
      <c r="D197" s="80" t="n"/>
      <c r="E197" s="76" t="n"/>
      <c r="F197" s="76" t="n"/>
    </row>
    <row r="198">
      <c r="A198" s="79" t="n"/>
      <c r="B198" s="76" t="n"/>
      <c r="C198" s="76" t="n"/>
      <c r="D198" s="80" t="n"/>
      <c r="E198" s="76" t="n"/>
      <c r="F198" s="76" t="n"/>
    </row>
    <row r="199">
      <c r="A199" s="79" t="n"/>
      <c r="B199" s="76" t="n"/>
      <c r="C199" s="76" t="n"/>
      <c r="D199" s="80" t="n"/>
      <c r="E199" s="76" t="n"/>
      <c r="F199" s="76" t="n"/>
    </row>
    <row r="200">
      <c r="A200" s="79" t="n"/>
      <c r="B200" s="76" t="n"/>
      <c r="C200" s="76" t="n"/>
      <c r="D200" s="80" t="n"/>
      <c r="E200" s="76" t="n"/>
      <c r="F200" s="76" t="n"/>
    </row>
    <row r="201">
      <c r="A201" s="79" t="n"/>
      <c r="B201" s="76" t="n"/>
      <c r="C201" s="76" t="n"/>
      <c r="D201" s="80" t="n"/>
      <c r="E201" s="76" t="n"/>
      <c r="F201" s="76" t="n"/>
    </row>
    <row r="202">
      <c r="A202" s="79" t="n"/>
      <c r="B202" s="76" t="n"/>
      <c r="C202" s="76" t="n"/>
      <c r="D202" s="80" t="n"/>
      <c r="E202" s="76" t="n"/>
      <c r="F202" s="76" t="n"/>
    </row>
    <row r="203">
      <c r="A203" s="79" t="n"/>
      <c r="B203" s="76" t="n"/>
      <c r="C203" s="76" t="n"/>
      <c r="D203" s="80" t="n"/>
      <c r="E203" s="76" t="n"/>
      <c r="F203" s="76" t="n"/>
    </row>
    <row r="204">
      <c r="A204" s="79" t="n"/>
      <c r="B204" s="76" t="n"/>
      <c r="C204" s="76" t="n"/>
      <c r="D204" s="80" t="n"/>
      <c r="E204" s="76" t="n"/>
      <c r="F204" s="76" t="n"/>
    </row>
    <row r="205">
      <c r="A205" s="79" t="n"/>
      <c r="B205" s="76" t="n"/>
      <c r="C205" s="76" t="n"/>
      <c r="D205" s="80" t="n"/>
      <c r="E205" s="76" t="n"/>
      <c r="F205" s="76" t="n"/>
    </row>
    <row r="206">
      <c r="A206" s="79" t="n"/>
      <c r="B206" s="76" t="n"/>
      <c r="C206" s="76" t="n"/>
      <c r="D206" s="80" t="n"/>
      <c r="E206" s="76" t="n"/>
      <c r="F206" s="76" t="n"/>
    </row>
    <row r="207">
      <c r="A207" s="79" t="n"/>
      <c r="B207" s="76" t="n"/>
      <c r="C207" s="76" t="n"/>
      <c r="D207" s="80" t="n"/>
      <c r="E207" s="76" t="n"/>
      <c r="F207" s="76" t="n"/>
    </row>
    <row r="208">
      <c r="A208" s="79" t="n"/>
      <c r="B208" s="76" t="n"/>
      <c r="C208" s="76" t="n"/>
      <c r="D208" s="80" t="n"/>
      <c r="E208" s="76" t="n"/>
      <c r="F208" s="76" t="n"/>
    </row>
    <row r="209">
      <c r="A209" s="79" t="n"/>
      <c r="B209" s="76" t="n"/>
      <c r="C209" s="76" t="n"/>
      <c r="D209" s="80" t="n"/>
      <c r="E209" s="76" t="n"/>
      <c r="F209" s="76" t="n"/>
    </row>
    <row r="210">
      <c r="A210" s="79" t="n"/>
      <c r="B210" s="76" t="n"/>
      <c r="C210" s="76" t="n"/>
      <c r="D210" s="80" t="n"/>
      <c r="E210" s="76" t="n"/>
      <c r="F210" s="76" t="n"/>
    </row>
    <row r="211">
      <c r="A211" s="79" t="n"/>
      <c r="B211" s="76" t="n"/>
      <c r="C211" s="76" t="n"/>
      <c r="D211" s="80" t="n"/>
      <c r="E211" s="76" t="n"/>
      <c r="F211" s="76" t="n"/>
    </row>
    <row r="212">
      <c r="A212" s="79" t="n"/>
      <c r="B212" s="76" t="n"/>
      <c r="C212" s="76" t="n"/>
      <c r="D212" s="80" t="n"/>
      <c r="E212" s="76" t="n"/>
      <c r="F212" s="76" t="n"/>
    </row>
    <row r="213">
      <c r="A213" s="79" t="n"/>
      <c r="B213" s="76" t="n"/>
      <c r="C213" s="76" t="n"/>
      <c r="D213" s="80" t="n"/>
      <c r="E213" s="76" t="n"/>
      <c r="F213" s="76" t="n"/>
    </row>
    <row r="214">
      <c r="A214" s="79" t="n"/>
      <c r="B214" s="76" t="n"/>
      <c r="C214" s="76" t="n"/>
      <c r="D214" s="80" t="n"/>
      <c r="E214" s="76" t="n"/>
      <c r="F214" s="76" t="n"/>
    </row>
    <row r="215">
      <c r="A215" s="79" t="n"/>
      <c r="B215" s="76" t="n"/>
      <c r="C215" s="76" t="n"/>
      <c r="D215" s="80" t="n"/>
      <c r="E215" s="76" t="n"/>
      <c r="F215" s="76" t="n"/>
    </row>
    <row r="216">
      <c r="A216" s="79" t="n"/>
      <c r="B216" s="76" t="n"/>
      <c r="C216" s="76" t="n"/>
      <c r="D216" s="80" t="n"/>
      <c r="E216" s="76" t="n"/>
      <c r="F216" s="76" t="n"/>
    </row>
    <row r="217">
      <c r="A217" s="79" t="n"/>
      <c r="B217" s="76" t="n"/>
      <c r="C217" s="76" t="n"/>
      <c r="D217" s="80" t="n"/>
      <c r="E217" s="76" t="n"/>
      <c r="F217" s="76" t="n"/>
    </row>
    <row r="218">
      <c r="A218" s="79" t="n"/>
      <c r="B218" s="76" t="n"/>
      <c r="C218" s="76" t="n"/>
      <c r="D218" s="80" t="n"/>
      <c r="E218" s="76" t="n"/>
      <c r="F218" s="76" t="n"/>
    </row>
    <row r="219">
      <c r="A219" s="79" t="n"/>
      <c r="B219" s="76" t="n"/>
      <c r="C219" s="76" t="n"/>
      <c r="D219" s="80" t="n"/>
      <c r="E219" s="76" t="n"/>
      <c r="F219" s="76" t="n"/>
    </row>
    <row r="220">
      <c r="A220" s="79" t="n"/>
      <c r="B220" s="76" t="n"/>
      <c r="C220" s="76" t="n"/>
      <c r="D220" s="80" t="n"/>
      <c r="E220" s="76" t="n"/>
      <c r="F220" s="76" t="n"/>
    </row>
    <row r="221">
      <c r="A221" s="79" t="n"/>
      <c r="B221" s="76" t="n"/>
      <c r="C221" s="76" t="n"/>
      <c r="D221" s="80" t="n"/>
      <c r="E221" s="76" t="n"/>
      <c r="F221" s="76" t="n"/>
    </row>
    <row r="222">
      <c r="A222" s="79" t="n"/>
      <c r="B222" s="76" t="n"/>
      <c r="C222" s="76" t="n"/>
      <c r="D222" s="80" t="n"/>
      <c r="E222" s="76" t="n"/>
      <c r="F222" s="76" t="n"/>
    </row>
    <row r="223">
      <c r="A223" s="79" t="n"/>
      <c r="B223" s="76" t="n"/>
      <c r="C223" s="76" t="n"/>
      <c r="D223" s="80" t="n"/>
      <c r="E223" s="76" t="n"/>
      <c r="F223" s="76" t="n"/>
    </row>
    <row r="224">
      <c r="A224" s="79" t="n"/>
      <c r="B224" s="76" t="n"/>
      <c r="C224" s="76" t="n"/>
      <c r="D224" s="80" t="n"/>
      <c r="E224" s="76" t="n"/>
      <c r="F224" s="76" t="n"/>
    </row>
    <row r="225">
      <c r="A225" s="79" t="n"/>
      <c r="B225" s="76" t="n"/>
      <c r="C225" s="76" t="n"/>
      <c r="D225" s="80" t="n"/>
      <c r="E225" s="76" t="n"/>
      <c r="F225" s="76" t="n"/>
    </row>
    <row r="226">
      <c r="A226" s="79" t="n"/>
      <c r="B226" s="76" t="n"/>
      <c r="C226" s="76" t="n"/>
      <c r="D226" s="80" t="n"/>
      <c r="E226" s="76" t="n"/>
      <c r="F226" s="76" t="n"/>
    </row>
    <row r="227">
      <c r="A227" s="79" t="n"/>
      <c r="B227" s="76" t="n"/>
      <c r="C227" s="76" t="n"/>
      <c r="D227" s="80" t="n"/>
      <c r="E227" s="76" t="n"/>
      <c r="F227" s="76" t="n"/>
    </row>
    <row r="228">
      <c r="A228" s="79" t="n"/>
      <c r="B228" s="76" t="n"/>
      <c r="C228" s="76" t="n"/>
      <c r="D228" s="80" t="n"/>
      <c r="E228" s="76" t="n"/>
      <c r="F228" s="76" t="n"/>
    </row>
    <row r="229">
      <c r="A229" s="79" t="n"/>
      <c r="B229" s="76" t="n"/>
      <c r="C229" s="76" t="n"/>
      <c r="D229" s="80" t="n"/>
      <c r="E229" s="76" t="n"/>
      <c r="F229" s="76" t="n"/>
    </row>
    <row r="230">
      <c r="A230" s="79" t="n"/>
      <c r="B230" s="76" t="n"/>
      <c r="C230" s="76" t="n"/>
      <c r="D230" s="80" t="n"/>
      <c r="E230" s="76" t="n"/>
      <c r="F230" s="76" t="n"/>
    </row>
    <row r="231">
      <c r="A231" s="79" t="n"/>
      <c r="B231" s="76" t="n"/>
      <c r="C231" s="76" t="n"/>
      <c r="D231" s="80" t="n"/>
      <c r="E231" s="76" t="n"/>
      <c r="F231" s="76" t="n"/>
    </row>
    <row r="232">
      <c r="A232" s="79" t="n"/>
      <c r="B232" s="76" t="n"/>
      <c r="C232" s="76" t="n"/>
      <c r="D232" s="80" t="n"/>
      <c r="E232" s="76" t="n"/>
      <c r="F232" s="76" t="n"/>
    </row>
    <row r="233">
      <c r="A233" s="79" t="n"/>
      <c r="B233" s="76" t="n"/>
      <c r="C233" s="76" t="n"/>
      <c r="D233" s="80" t="n"/>
      <c r="E233" s="76" t="n"/>
      <c r="F233" s="76" t="n"/>
    </row>
    <row r="234">
      <c r="A234" s="79" t="n"/>
      <c r="B234" s="76" t="n"/>
      <c r="C234" s="76" t="n"/>
      <c r="D234" s="80" t="n"/>
      <c r="E234" s="76" t="n"/>
      <c r="F234" s="76" t="n"/>
    </row>
    <row r="235">
      <c r="A235" s="79" t="n"/>
      <c r="B235" s="76" t="n"/>
      <c r="C235" s="76" t="n"/>
      <c r="D235" s="80" t="n"/>
      <c r="E235" s="76" t="n"/>
      <c r="F235" s="76" t="n"/>
    </row>
    <row r="236">
      <c r="A236" s="79" t="n"/>
      <c r="B236" s="76" t="n"/>
      <c r="C236" s="76" t="n"/>
      <c r="D236" s="80" t="n"/>
      <c r="E236" s="76" t="n"/>
      <c r="F236" s="76" t="n"/>
    </row>
    <row r="237">
      <c r="A237" s="79" t="n"/>
      <c r="B237" s="76" t="n"/>
      <c r="C237" s="76" t="n"/>
      <c r="D237" s="80" t="n"/>
      <c r="E237" s="76" t="n"/>
      <c r="F237" s="76" t="n"/>
    </row>
    <row r="238">
      <c r="A238" s="79" t="n"/>
      <c r="B238" s="76" t="n"/>
      <c r="C238" s="76" t="n"/>
      <c r="D238" s="80" t="n"/>
      <c r="E238" s="76" t="n"/>
      <c r="F238" s="76" t="n"/>
    </row>
    <row r="239">
      <c r="A239" s="79" t="n"/>
      <c r="B239" s="76" t="n"/>
      <c r="C239" s="76" t="n"/>
      <c r="D239" s="80" t="n"/>
      <c r="E239" s="76" t="n"/>
      <c r="F239" s="76" t="n"/>
    </row>
    <row r="240">
      <c r="A240" s="79" t="n"/>
      <c r="B240" s="76" t="n"/>
      <c r="C240" s="76" t="n"/>
      <c r="D240" s="80" t="n"/>
      <c r="E240" s="76" t="n"/>
      <c r="F240" s="76" t="n"/>
    </row>
    <row r="241">
      <c r="A241" s="79" t="n"/>
      <c r="B241" s="76" t="n"/>
      <c r="C241" s="76" t="n"/>
      <c r="D241" s="80" t="n"/>
      <c r="E241" s="76" t="n"/>
      <c r="F241" s="76" t="n"/>
    </row>
    <row r="242">
      <c r="A242" s="79" t="n"/>
      <c r="B242" s="76" t="n"/>
      <c r="C242" s="76" t="n"/>
      <c r="D242" s="80" t="n"/>
      <c r="E242" s="76" t="n"/>
      <c r="F242" s="76" t="n"/>
    </row>
    <row r="243">
      <c r="A243" s="79" t="n"/>
      <c r="B243" s="76" t="n"/>
      <c r="C243" s="76" t="n"/>
      <c r="D243" s="80" t="n"/>
      <c r="E243" s="76" t="n"/>
      <c r="F243" s="76" t="n"/>
    </row>
    <row r="244">
      <c r="A244" s="79" t="n"/>
      <c r="B244" s="76" t="n"/>
      <c r="C244" s="76" t="n"/>
      <c r="D244" s="80" t="n"/>
      <c r="E244" s="76" t="n"/>
      <c r="F244" s="76" t="n"/>
    </row>
    <row r="245">
      <c r="A245" s="79" t="n"/>
      <c r="B245" s="76" t="n"/>
      <c r="C245" s="76" t="n"/>
      <c r="D245" s="80" t="n"/>
      <c r="E245" s="76" t="n"/>
      <c r="F245" s="76" t="n"/>
    </row>
    <row r="246">
      <c r="A246" s="79" t="n"/>
      <c r="B246" s="76" t="n"/>
      <c r="C246" s="76" t="n"/>
      <c r="D246" s="80" t="n"/>
      <c r="E246" s="76" t="n"/>
      <c r="F246" s="76" t="n"/>
    </row>
    <row r="247">
      <c r="A247" s="79" t="n"/>
      <c r="B247" s="76" t="n"/>
      <c r="C247" s="76" t="n"/>
      <c r="D247" s="80" t="n"/>
      <c r="E247" s="76" t="n"/>
      <c r="F247" s="76" t="n"/>
    </row>
    <row r="248">
      <c r="A248" s="79" t="n"/>
      <c r="B248" s="76" t="n"/>
      <c r="C248" s="76" t="n"/>
      <c r="D248" s="80" t="n"/>
      <c r="E248" s="76" t="n"/>
      <c r="F248" s="76" t="n"/>
    </row>
    <row r="249">
      <c r="A249" s="79" t="n"/>
      <c r="B249" s="76" t="n"/>
      <c r="C249" s="76" t="n"/>
      <c r="D249" s="80" t="n"/>
      <c r="E249" s="76" t="n"/>
      <c r="F249" s="76" t="n"/>
    </row>
    <row r="250">
      <c r="A250" s="79" t="n"/>
      <c r="B250" s="76" t="n"/>
      <c r="C250" s="76" t="n"/>
      <c r="D250" s="80" t="n"/>
      <c r="E250" s="76" t="n"/>
      <c r="F250" s="76" t="n"/>
    </row>
    <row r="251">
      <c r="A251" s="79" t="n"/>
      <c r="B251" s="76" t="n"/>
      <c r="C251" s="76" t="n"/>
      <c r="D251" s="80" t="n"/>
      <c r="E251" s="76" t="n"/>
      <c r="F251" s="76" t="n"/>
    </row>
    <row r="252">
      <c r="A252" s="79" t="n"/>
      <c r="B252" s="76" t="n"/>
      <c r="C252" s="76" t="n"/>
      <c r="D252" s="80" t="n"/>
      <c r="E252" s="76" t="n"/>
      <c r="F252" s="76" t="n"/>
    </row>
    <row r="253">
      <c r="A253" s="79" t="n"/>
      <c r="B253" s="76" t="n"/>
      <c r="C253" s="76" t="n"/>
      <c r="D253" s="80" t="n"/>
      <c r="E253" s="76" t="n"/>
      <c r="F253" s="76" t="n"/>
    </row>
    <row r="254">
      <c r="A254" s="79" t="n"/>
      <c r="B254" s="76" t="n"/>
      <c r="C254" s="76" t="n"/>
      <c r="D254" s="80" t="n"/>
      <c r="E254" s="76" t="n"/>
      <c r="F254" s="76" t="n"/>
    </row>
    <row r="255">
      <c r="A255" s="79" t="n"/>
      <c r="B255" s="76" t="n"/>
      <c r="C255" s="76" t="n"/>
      <c r="D255" s="80" t="n"/>
      <c r="E255" s="76" t="n"/>
      <c r="F255" s="76" t="n"/>
    </row>
    <row r="256">
      <c r="A256" s="79" t="n"/>
      <c r="B256" s="76" t="n"/>
      <c r="C256" s="76" t="n"/>
      <c r="D256" s="80" t="n"/>
      <c r="E256" s="76" t="n"/>
      <c r="F256" s="76" t="n"/>
    </row>
    <row r="257">
      <c r="A257" s="79" t="n"/>
      <c r="B257" s="76" t="n"/>
      <c r="C257" s="76" t="n"/>
      <c r="D257" s="80" t="n"/>
      <c r="E257" s="76" t="n"/>
      <c r="F257" s="76" t="n"/>
    </row>
    <row r="258">
      <c r="A258" s="79" t="n"/>
      <c r="B258" s="76" t="n"/>
      <c r="C258" s="76" t="n"/>
      <c r="D258" s="80" t="n"/>
      <c r="E258" s="76" t="n"/>
      <c r="F258" s="76" t="n"/>
    </row>
    <row r="259">
      <c r="A259" s="79" t="n"/>
      <c r="B259" s="76" t="n"/>
      <c r="C259" s="76" t="n"/>
      <c r="D259" s="80" t="n"/>
      <c r="E259" s="76" t="n"/>
      <c r="F259" s="76" t="n"/>
    </row>
    <row r="260">
      <c r="A260" s="79" t="n"/>
      <c r="B260" s="76" t="n"/>
      <c r="C260" s="76" t="n"/>
      <c r="D260" s="80" t="n"/>
      <c r="E260" s="76" t="n"/>
      <c r="F260" s="76" t="n"/>
    </row>
    <row r="261">
      <c r="A261" s="79" t="n"/>
      <c r="B261" s="76" t="n"/>
      <c r="C261" s="76" t="n"/>
      <c r="D261" s="80" t="n"/>
      <c r="E261" s="76" t="n"/>
      <c r="F261" s="76" t="n"/>
    </row>
    <row r="262">
      <c r="A262" s="79" t="n"/>
      <c r="B262" s="76" t="n"/>
      <c r="C262" s="76" t="n"/>
      <c r="D262" s="80" t="n"/>
      <c r="E262" s="76" t="n"/>
      <c r="F262" s="76" t="n"/>
    </row>
    <row r="263">
      <c r="A263" s="79" t="n"/>
      <c r="B263" s="76" t="n"/>
      <c r="C263" s="76" t="n"/>
      <c r="D263" s="80" t="n"/>
      <c r="E263" s="76" t="n"/>
      <c r="F263" s="76" t="n"/>
    </row>
    <row r="264">
      <c r="A264" s="79" t="n"/>
      <c r="B264" s="76" t="n"/>
      <c r="C264" s="76" t="n"/>
      <c r="D264" s="80" t="n"/>
      <c r="E264" s="76" t="n"/>
      <c r="F264" s="76" t="n"/>
    </row>
    <row r="265">
      <c r="A265" s="79" t="n"/>
      <c r="B265" s="76" t="n"/>
      <c r="C265" s="76" t="n"/>
      <c r="D265" s="80" t="n"/>
      <c r="E265" s="76" t="n"/>
      <c r="F265" s="76" t="n"/>
    </row>
    <row r="266">
      <c r="A266" s="79" t="n"/>
      <c r="B266" s="76" t="n"/>
      <c r="C266" s="76" t="n"/>
      <c r="D266" s="80" t="n"/>
      <c r="E266" s="76" t="n"/>
      <c r="F266" s="76" t="n"/>
    </row>
    <row r="267">
      <c r="A267" s="79" t="n"/>
      <c r="B267" s="76" t="n"/>
      <c r="C267" s="76" t="n"/>
      <c r="D267" s="80" t="n"/>
      <c r="E267" s="76" t="n"/>
      <c r="F267" s="76" t="n"/>
    </row>
    <row r="268">
      <c r="A268" s="79" t="n"/>
      <c r="B268" s="76" t="n"/>
      <c r="C268" s="76" t="n"/>
      <c r="D268" s="80" t="n"/>
      <c r="E268" s="76" t="n"/>
      <c r="F268" s="76" t="n"/>
    </row>
    <row r="269">
      <c r="A269" s="79" t="n"/>
      <c r="B269" s="76" t="n"/>
      <c r="C269" s="76" t="n"/>
      <c r="D269" s="80" t="n"/>
      <c r="E269" s="76" t="n"/>
      <c r="F269" s="76" t="n"/>
    </row>
    <row r="270">
      <c r="A270" s="79" t="n"/>
      <c r="B270" s="76" t="n"/>
      <c r="C270" s="76" t="n"/>
      <c r="D270" s="80" t="n"/>
      <c r="E270" s="76" t="n"/>
      <c r="F270" s="76" t="n"/>
    </row>
    <row r="271">
      <c r="A271" s="79" t="n"/>
      <c r="B271" s="76" t="n"/>
      <c r="C271" s="76" t="n"/>
      <c r="D271" s="80" t="n"/>
      <c r="E271" s="76" t="n"/>
      <c r="F271" s="76" t="n"/>
    </row>
    <row r="272">
      <c r="A272" s="79" t="n"/>
      <c r="B272" s="76" t="n"/>
      <c r="C272" s="76" t="n"/>
      <c r="D272" s="80" t="n"/>
      <c r="E272" s="76" t="n"/>
      <c r="F272" s="76" t="n"/>
    </row>
    <row r="273">
      <c r="A273" s="79" t="n"/>
      <c r="B273" s="76" t="n"/>
      <c r="C273" s="76" t="n"/>
      <c r="D273" s="80" t="n"/>
      <c r="E273" s="76" t="n"/>
      <c r="F273" s="76" t="n"/>
    </row>
    <row r="274">
      <c r="A274" s="79" t="n"/>
      <c r="B274" s="76" t="n"/>
      <c r="C274" s="76" t="n"/>
      <c r="D274" s="80" t="n"/>
      <c r="E274" s="76" t="n"/>
      <c r="F274" s="76" t="n"/>
    </row>
    <row r="275">
      <c r="A275" s="79" t="n"/>
      <c r="B275" s="76" t="n"/>
      <c r="C275" s="76" t="n"/>
      <c r="D275" s="80" t="n"/>
      <c r="E275" s="76" t="n"/>
      <c r="F275" s="76" t="n"/>
    </row>
    <row r="276">
      <c r="A276" s="79" t="n"/>
      <c r="B276" s="76" t="n"/>
      <c r="C276" s="76" t="n"/>
      <c r="D276" s="80" t="n"/>
      <c r="E276" s="76" t="n"/>
      <c r="F276" s="76" t="n"/>
    </row>
    <row r="277">
      <c r="A277" s="79" t="n"/>
      <c r="B277" s="76" t="n"/>
      <c r="C277" s="76" t="n"/>
      <c r="D277" s="80" t="n"/>
      <c r="E277" s="76" t="n"/>
      <c r="F277" s="76" t="n"/>
    </row>
    <row r="278">
      <c r="A278" s="79" t="n"/>
      <c r="B278" s="76" t="n"/>
      <c r="C278" s="76" t="n"/>
      <c r="D278" s="80" t="n"/>
      <c r="E278" s="76" t="n"/>
      <c r="F278" s="76" t="n"/>
    </row>
    <row r="279">
      <c r="A279" s="79" t="n"/>
      <c r="B279" s="76" t="n"/>
      <c r="C279" s="76" t="n"/>
      <c r="D279" s="80" t="n"/>
      <c r="E279" s="76" t="n"/>
      <c r="F279" s="76" t="n"/>
    </row>
    <row r="280">
      <c r="A280" s="79" t="n"/>
      <c r="B280" s="76" t="n"/>
      <c r="C280" s="76" t="n"/>
      <c r="D280" s="80" t="n"/>
      <c r="E280" s="76" t="n"/>
      <c r="F280" s="76" t="n"/>
    </row>
    <row r="281">
      <c r="A281" s="79" t="n"/>
      <c r="B281" s="76" t="n"/>
      <c r="C281" s="76" t="n"/>
      <c r="D281" s="80" t="n"/>
      <c r="E281" s="76" t="n"/>
      <c r="F281" s="76" t="n"/>
    </row>
    <row r="282">
      <c r="A282" s="79" t="n"/>
      <c r="B282" s="76" t="n"/>
      <c r="C282" s="76" t="n"/>
      <c r="D282" s="80" t="n"/>
      <c r="E282" s="76" t="n"/>
      <c r="F282" s="76" t="n"/>
    </row>
    <row r="283">
      <c r="A283" s="79" t="n"/>
      <c r="B283" s="76" t="n"/>
      <c r="C283" s="76" t="n"/>
      <c r="D283" s="80" t="n"/>
      <c r="E283" s="76" t="n"/>
      <c r="F283" s="76" t="n"/>
    </row>
    <row r="284">
      <c r="A284" s="79" t="n"/>
      <c r="B284" s="76" t="n"/>
      <c r="C284" s="76" t="n"/>
      <c r="D284" s="80" t="n"/>
      <c r="E284" s="76" t="n"/>
      <c r="F284" s="76" t="n"/>
    </row>
    <row r="285">
      <c r="A285" s="79" t="n"/>
      <c r="B285" s="76" t="n"/>
      <c r="C285" s="76" t="n"/>
      <c r="D285" s="80" t="n"/>
      <c r="E285" s="76" t="n"/>
      <c r="F285" s="76" t="n"/>
    </row>
    <row r="286">
      <c r="A286" s="79" t="n"/>
      <c r="B286" s="76" t="n"/>
      <c r="C286" s="76" t="n"/>
      <c r="D286" s="80" t="n"/>
      <c r="E286" s="76" t="n"/>
      <c r="F286" s="76" t="n"/>
    </row>
    <row r="287">
      <c r="A287" s="79" t="n"/>
      <c r="B287" s="76" t="n"/>
      <c r="C287" s="76" t="n"/>
      <c r="D287" s="80" t="n"/>
      <c r="E287" s="76" t="n"/>
      <c r="F287" s="76" t="n"/>
    </row>
    <row r="288">
      <c r="A288" s="79" t="n"/>
      <c r="B288" s="76" t="n"/>
      <c r="C288" s="76" t="n"/>
      <c r="D288" s="80" t="n"/>
      <c r="E288" s="76" t="n"/>
      <c r="F288" s="76" t="n"/>
    </row>
    <row r="289">
      <c r="A289" s="79" t="n"/>
      <c r="B289" s="76" t="n"/>
      <c r="C289" s="76" t="n"/>
      <c r="D289" s="80" t="n"/>
      <c r="E289" s="76" t="n"/>
      <c r="F289" s="76" t="n"/>
    </row>
    <row r="290">
      <c r="A290" s="79" t="n"/>
      <c r="B290" s="76" t="n"/>
      <c r="C290" s="76" t="n"/>
      <c r="D290" s="80" t="n"/>
      <c r="E290" s="76" t="n"/>
      <c r="F290" s="76" t="n"/>
    </row>
    <row r="291">
      <c r="A291" s="79" t="n"/>
      <c r="B291" s="76" t="n"/>
      <c r="C291" s="76" t="n"/>
      <c r="D291" s="80" t="n"/>
      <c r="E291" s="76" t="n"/>
      <c r="F291" s="76" t="n"/>
    </row>
    <row r="292">
      <c r="A292" s="79" t="n"/>
      <c r="B292" s="76" t="n"/>
      <c r="C292" s="76" t="n"/>
      <c r="D292" s="80" t="n"/>
      <c r="E292" s="76" t="n"/>
      <c r="F292" s="76" t="n"/>
    </row>
    <row r="293">
      <c r="A293" s="79" t="n"/>
      <c r="B293" s="76" t="n"/>
      <c r="C293" s="76" t="n"/>
      <c r="D293" s="80" t="n"/>
      <c r="E293" s="76" t="n"/>
      <c r="F293" s="76" t="n"/>
    </row>
    <row r="294">
      <c r="A294" s="79" t="n"/>
      <c r="B294" s="76" t="n"/>
      <c r="C294" s="76" t="n"/>
      <c r="D294" s="80" t="n"/>
      <c r="E294" s="76" t="n"/>
      <c r="F294" s="76" t="n"/>
    </row>
    <row r="295">
      <c r="A295" s="79" t="n"/>
      <c r="B295" s="76" t="n"/>
      <c r="C295" s="76" t="n"/>
      <c r="D295" s="80" t="n"/>
      <c r="E295" s="76" t="n"/>
      <c r="F295" s="76" t="n"/>
    </row>
    <row r="296">
      <c r="A296" s="79" t="n"/>
      <c r="B296" s="76" t="n"/>
      <c r="C296" s="76" t="n"/>
      <c r="D296" s="80" t="n"/>
      <c r="E296" s="76" t="n"/>
      <c r="F296" s="76" t="n"/>
    </row>
    <row r="297">
      <c r="A297" s="79" t="n"/>
      <c r="B297" s="76" t="n"/>
      <c r="C297" s="76" t="n"/>
      <c r="D297" s="80" t="n"/>
      <c r="E297" s="76" t="n"/>
      <c r="F297" s="76" t="n"/>
    </row>
    <row r="298">
      <c r="A298" s="79" t="n"/>
      <c r="B298" s="76" t="n"/>
      <c r="C298" s="76" t="n"/>
      <c r="D298" s="80" t="n"/>
      <c r="E298" s="76" t="n"/>
      <c r="F298" s="76" t="n"/>
    </row>
    <row r="299">
      <c r="A299" s="79" t="n"/>
      <c r="B299" s="76" t="n"/>
      <c r="C299" s="76" t="n"/>
      <c r="D299" s="80" t="n"/>
      <c r="E299" s="76" t="n"/>
      <c r="F299" s="76" t="n"/>
    </row>
    <row r="300">
      <c r="A300" s="79" t="n"/>
      <c r="B300" s="76" t="n"/>
      <c r="C300" s="76" t="n"/>
      <c r="D300" s="80" t="n"/>
      <c r="E300" s="76" t="n"/>
      <c r="F300" s="76" t="n"/>
    </row>
    <row r="301">
      <c r="A301" s="79" t="n"/>
      <c r="B301" s="76" t="n"/>
      <c r="C301" s="76" t="n"/>
      <c r="D301" s="80" t="n"/>
      <c r="E301" s="76" t="n"/>
      <c r="F301" s="76" t="n"/>
    </row>
    <row r="302">
      <c r="A302" s="79" t="n"/>
      <c r="B302" s="76" t="n"/>
      <c r="C302" s="76" t="n"/>
      <c r="D302" s="80" t="n"/>
      <c r="E302" s="76" t="n"/>
      <c r="F302" s="76" t="n"/>
    </row>
    <row r="303">
      <c r="A303" s="79" t="n"/>
      <c r="B303" s="76" t="n"/>
      <c r="C303" s="76" t="n"/>
      <c r="D303" s="80" t="n"/>
      <c r="E303" s="76" t="n"/>
      <c r="F303" s="76" t="n"/>
    </row>
    <row r="304">
      <c r="A304" s="79" t="n"/>
      <c r="B304" s="76" t="n"/>
      <c r="C304" s="76" t="n"/>
      <c r="D304" s="80" t="n"/>
      <c r="E304" s="76" t="n"/>
      <c r="F304" s="76" t="n"/>
    </row>
    <row r="305">
      <c r="A305" s="79" t="n"/>
      <c r="B305" s="76" t="n"/>
      <c r="C305" s="76" t="n"/>
      <c r="D305" s="80" t="n"/>
      <c r="E305" s="76" t="n"/>
      <c r="F305" s="76" t="n"/>
    </row>
    <row r="306">
      <c r="A306" s="79" t="n"/>
      <c r="B306" s="76" t="n"/>
      <c r="C306" s="76" t="n"/>
      <c r="D306" s="80" t="n"/>
      <c r="E306" s="76" t="n"/>
      <c r="F306" s="76" t="n"/>
    </row>
    <row r="307">
      <c r="A307" s="79" t="n"/>
      <c r="B307" s="76" t="n"/>
      <c r="C307" s="76" t="n"/>
      <c r="D307" s="80" t="n"/>
      <c r="E307" s="76" t="n"/>
      <c r="F307" s="76" t="n"/>
    </row>
    <row r="308">
      <c r="A308" s="79" t="n"/>
      <c r="B308" s="76" t="n"/>
      <c r="C308" s="76" t="n"/>
      <c r="D308" s="80" t="n"/>
      <c r="E308" s="76" t="n"/>
      <c r="F308" s="76" t="n"/>
    </row>
    <row r="309">
      <c r="A309" s="79" t="n"/>
      <c r="B309" s="76" t="n"/>
      <c r="C309" s="76" t="n"/>
      <c r="D309" s="80" t="n"/>
      <c r="E309" s="76" t="n"/>
      <c r="F309" s="76" t="n"/>
    </row>
    <row r="310">
      <c r="A310" s="79" t="n"/>
      <c r="B310" s="76" t="n"/>
      <c r="C310" s="76" t="n"/>
      <c r="D310" s="80" t="n"/>
      <c r="E310" s="76" t="n"/>
      <c r="F310" s="76" t="n"/>
    </row>
    <row r="311">
      <c r="A311" s="79" t="n"/>
      <c r="B311" s="76" t="n"/>
      <c r="C311" s="76" t="n"/>
      <c r="D311" s="80" t="n"/>
      <c r="E311" s="76" t="n"/>
      <c r="F311" s="76" t="n"/>
    </row>
    <row r="312">
      <c r="A312" s="79" t="n"/>
      <c r="B312" s="76" t="n"/>
      <c r="C312" s="76" t="n"/>
      <c r="D312" s="80" t="n"/>
      <c r="E312" s="76" t="n"/>
      <c r="F312" s="76" t="n"/>
    </row>
    <row r="313">
      <c r="A313" s="79" t="n"/>
      <c r="B313" s="76" t="n"/>
      <c r="C313" s="76" t="n"/>
      <c r="D313" s="80" t="n"/>
      <c r="E313" s="76" t="n"/>
      <c r="F313" s="76" t="n"/>
    </row>
    <row r="314">
      <c r="A314" s="79" t="n"/>
      <c r="B314" s="76" t="n"/>
      <c r="C314" s="76" t="n"/>
      <c r="D314" s="80" t="n"/>
      <c r="E314" s="76" t="n"/>
      <c r="F314" s="76" t="n"/>
    </row>
    <row r="315">
      <c r="A315" s="79" t="n"/>
      <c r="B315" s="76" t="n"/>
      <c r="C315" s="76" t="n"/>
      <c r="D315" s="80" t="n"/>
      <c r="E315" s="76" t="n"/>
      <c r="F315" s="76" t="n"/>
    </row>
    <row r="316">
      <c r="A316" s="79" t="n"/>
      <c r="B316" s="76" t="n"/>
      <c r="C316" s="76" t="n"/>
      <c r="D316" s="80" t="n"/>
      <c r="E316" s="76" t="n"/>
      <c r="F316" s="76" t="n"/>
    </row>
    <row r="317">
      <c r="A317" s="79" t="n"/>
      <c r="B317" s="76" t="n"/>
      <c r="C317" s="76" t="n"/>
      <c r="D317" s="80" t="n"/>
      <c r="E317" s="76" t="n"/>
      <c r="F317" s="76" t="n"/>
    </row>
    <row r="318">
      <c r="A318" s="79" t="n"/>
      <c r="B318" s="76" t="n"/>
      <c r="C318" s="76" t="n"/>
      <c r="D318" s="80" t="n"/>
      <c r="E318" s="76" t="n"/>
      <c r="F318" s="76" t="n"/>
    </row>
    <row r="319">
      <c r="A319" s="79" t="n"/>
      <c r="B319" s="76" t="n"/>
      <c r="C319" s="76" t="n"/>
      <c r="D319" s="80" t="n"/>
      <c r="E319" s="76" t="n"/>
      <c r="F319" s="76" t="n"/>
    </row>
    <row r="320">
      <c r="A320" s="79" t="n"/>
      <c r="B320" s="76" t="n"/>
      <c r="C320" s="76" t="n"/>
      <c r="D320" s="80" t="n"/>
      <c r="E320" s="76" t="n"/>
      <c r="F320" s="76" t="n"/>
    </row>
    <row r="321">
      <c r="A321" s="79" t="n"/>
      <c r="B321" s="76" t="n"/>
      <c r="C321" s="76" t="n"/>
      <c r="D321" s="80" t="n"/>
      <c r="E321" s="76" t="n"/>
      <c r="F321" s="76" t="n"/>
    </row>
    <row r="322">
      <c r="A322" s="79" t="n"/>
      <c r="B322" s="76" t="n"/>
      <c r="C322" s="76" t="n"/>
      <c r="D322" s="80" t="n"/>
      <c r="E322" s="76" t="n"/>
      <c r="F322" s="76" t="n"/>
    </row>
    <row r="323">
      <c r="A323" s="79" t="n"/>
      <c r="B323" s="76" t="n"/>
      <c r="C323" s="76" t="n"/>
      <c r="D323" s="80" t="n"/>
      <c r="E323" s="76" t="n"/>
      <c r="F323" s="76" t="n"/>
    </row>
    <row r="324">
      <c r="A324" s="79" t="n"/>
      <c r="B324" s="76" t="n"/>
      <c r="C324" s="76" t="n"/>
      <c r="D324" s="80" t="n"/>
      <c r="E324" s="76" t="n"/>
      <c r="F324" s="76" t="n"/>
    </row>
    <row r="325">
      <c r="A325" s="79" t="n"/>
      <c r="B325" s="76" t="n"/>
      <c r="C325" s="76" t="n"/>
      <c r="D325" s="80" t="n"/>
      <c r="E325" s="76" t="n"/>
      <c r="F325" s="76" t="n"/>
    </row>
    <row r="326">
      <c r="A326" s="79" t="n"/>
      <c r="B326" s="76" t="n"/>
      <c r="C326" s="76" t="n"/>
      <c r="D326" s="80" t="n"/>
      <c r="E326" s="76" t="n"/>
      <c r="F326" s="76" t="n"/>
    </row>
    <row r="327">
      <c r="A327" s="79" t="n"/>
      <c r="B327" s="76" t="n"/>
      <c r="C327" s="76" t="n"/>
      <c r="D327" s="80" t="n"/>
      <c r="E327" s="76" t="n"/>
      <c r="F327" s="76" t="n"/>
    </row>
    <row r="328">
      <c r="A328" s="79" t="n"/>
      <c r="B328" s="76" t="n"/>
      <c r="C328" s="76" t="n"/>
      <c r="D328" s="80" t="n"/>
      <c r="E328" s="76" t="n"/>
      <c r="F328" s="76" t="n"/>
    </row>
    <row r="329">
      <c r="A329" s="79" t="n"/>
      <c r="B329" s="76" t="n"/>
      <c r="C329" s="76" t="n"/>
      <c r="D329" s="80" t="n"/>
      <c r="E329" s="76" t="n"/>
      <c r="F329" s="76" t="n"/>
    </row>
    <row r="330">
      <c r="A330" s="79" t="n"/>
      <c r="B330" s="76" t="n"/>
      <c r="C330" s="76" t="n"/>
      <c r="D330" s="80" t="n"/>
      <c r="E330" s="76" t="n"/>
      <c r="F330" s="76" t="n"/>
    </row>
    <row r="331">
      <c r="A331" s="79" t="n"/>
      <c r="B331" s="76" t="n"/>
      <c r="C331" s="76" t="n"/>
      <c r="D331" s="80" t="n"/>
      <c r="E331" s="76" t="n"/>
      <c r="F331" s="76" t="n"/>
    </row>
    <row r="332">
      <c r="A332" s="79" t="n"/>
      <c r="B332" s="76" t="n"/>
      <c r="C332" s="76" t="n"/>
      <c r="D332" s="80" t="n"/>
      <c r="E332" s="76" t="n"/>
      <c r="F332" s="76" t="n"/>
    </row>
    <row r="333">
      <c r="A333" s="79" t="n"/>
      <c r="B333" s="76" t="n"/>
      <c r="C333" s="76" t="n"/>
      <c r="D333" s="80" t="n"/>
      <c r="E333" s="76" t="n"/>
      <c r="F333" s="76" t="n"/>
    </row>
    <row r="334">
      <c r="A334" s="79" t="n"/>
      <c r="B334" s="76" t="n"/>
      <c r="C334" s="76" t="n"/>
      <c r="D334" s="80" t="n"/>
      <c r="E334" s="76" t="n"/>
      <c r="F334" s="76" t="n"/>
    </row>
    <row r="335">
      <c r="A335" s="79" t="n"/>
      <c r="B335" s="76" t="n"/>
      <c r="C335" s="76" t="n"/>
      <c r="D335" s="80" t="n"/>
      <c r="E335" s="76" t="n"/>
      <c r="F335" s="76" t="n"/>
    </row>
    <row r="336">
      <c r="A336" s="79" t="n"/>
      <c r="B336" s="76" t="n"/>
      <c r="C336" s="76" t="n"/>
      <c r="D336" s="80" t="n"/>
      <c r="E336" s="76" t="n"/>
      <c r="F336" s="76" t="n"/>
    </row>
    <row r="337">
      <c r="A337" s="79" t="n"/>
      <c r="B337" s="76" t="n"/>
      <c r="C337" s="76" t="n"/>
      <c r="D337" s="80" t="n"/>
      <c r="E337" s="76" t="n"/>
      <c r="F337" s="76" t="n"/>
    </row>
    <row r="338">
      <c r="A338" s="79" t="n"/>
      <c r="B338" s="76" t="n"/>
      <c r="C338" s="76" t="n"/>
      <c r="D338" s="80" t="n"/>
      <c r="E338" s="76" t="n"/>
      <c r="F338" s="76" t="n"/>
    </row>
    <row r="339">
      <c r="A339" s="79" t="n"/>
      <c r="B339" s="76" t="n"/>
      <c r="C339" s="76" t="n"/>
      <c r="D339" s="80" t="n"/>
      <c r="E339" s="76" t="n"/>
      <c r="F339" s="76" t="n"/>
    </row>
    <row r="340">
      <c r="A340" s="79" t="n"/>
      <c r="B340" s="76" t="n"/>
      <c r="C340" s="76" t="n"/>
      <c r="D340" s="80" t="n"/>
      <c r="E340" s="76" t="n"/>
      <c r="F340" s="76" t="n"/>
    </row>
    <row r="341">
      <c r="A341" s="79" t="n"/>
      <c r="B341" s="76" t="n"/>
      <c r="C341" s="76" t="n"/>
      <c r="D341" s="80" t="n"/>
      <c r="E341" s="76" t="n"/>
      <c r="F341" s="76" t="n"/>
    </row>
    <row r="342">
      <c r="A342" s="79" t="n"/>
      <c r="B342" s="76" t="n"/>
      <c r="C342" s="76" t="n"/>
      <c r="D342" s="80" t="n"/>
      <c r="E342" s="76" t="n"/>
      <c r="F342" s="76" t="n"/>
    </row>
    <row r="343">
      <c r="A343" s="79" t="n"/>
      <c r="B343" s="76" t="n"/>
      <c r="C343" s="76" t="n"/>
      <c r="D343" s="80" t="n"/>
      <c r="E343" s="76" t="n"/>
      <c r="F343" s="76" t="n"/>
    </row>
    <row r="344">
      <c r="A344" s="79" t="n"/>
      <c r="B344" s="76" t="n"/>
      <c r="C344" s="76" t="n"/>
      <c r="D344" s="80" t="n"/>
      <c r="E344" s="76" t="n"/>
      <c r="F344" s="76" t="n"/>
    </row>
    <row r="345">
      <c r="A345" s="79" t="n"/>
      <c r="B345" s="76" t="n"/>
      <c r="C345" s="76" t="n"/>
      <c r="D345" s="80" t="n"/>
      <c r="E345" s="76" t="n"/>
      <c r="F345" s="76" t="n"/>
    </row>
    <row r="346">
      <c r="A346" s="79" t="n"/>
      <c r="B346" s="76" t="n"/>
      <c r="C346" s="76" t="n"/>
      <c r="D346" s="80" t="n"/>
      <c r="E346" s="76" t="n"/>
      <c r="F346" s="76" t="n"/>
    </row>
    <row r="347">
      <c r="A347" s="79" t="n"/>
      <c r="B347" s="76" t="n"/>
      <c r="C347" s="76" t="n"/>
      <c r="D347" s="80" t="n"/>
      <c r="E347" s="76" t="n"/>
      <c r="F347" s="76" t="n"/>
    </row>
    <row r="348">
      <c r="A348" s="79" t="n"/>
      <c r="B348" s="76" t="n"/>
      <c r="C348" s="76" t="n"/>
      <c r="D348" s="80" t="n"/>
      <c r="E348" s="76" t="n"/>
      <c r="F348" s="76" t="n"/>
    </row>
    <row r="349">
      <c r="A349" s="79" t="n"/>
      <c r="B349" s="76" t="n"/>
      <c r="C349" s="76" t="n"/>
      <c r="D349" s="80" t="n"/>
      <c r="E349" s="76" t="n"/>
      <c r="F349" s="76" t="n"/>
    </row>
    <row r="350">
      <c r="A350" s="79" t="n"/>
      <c r="B350" s="76" t="n"/>
      <c r="C350" s="76" t="n"/>
      <c r="D350" s="80" t="n"/>
      <c r="E350" s="76" t="n"/>
      <c r="F350" s="76" t="n"/>
    </row>
    <row r="351">
      <c r="A351" s="79" t="n"/>
      <c r="B351" s="76" t="n"/>
      <c r="C351" s="76" t="n"/>
      <c r="D351" s="80" t="n"/>
      <c r="E351" s="76" t="n"/>
      <c r="F351" s="76" t="n"/>
    </row>
    <row r="352">
      <c r="A352" s="79" t="n"/>
      <c r="B352" s="76" t="n"/>
      <c r="C352" s="76" t="n"/>
      <c r="D352" s="80" t="n"/>
      <c r="E352" s="76" t="n"/>
      <c r="F352" s="76" t="n"/>
    </row>
    <row r="353">
      <c r="A353" s="79" t="n"/>
      <c r="B353" s="76" t="n"/>
      <c r="C353" s="76" t="n"/>
      <c r="D353" s="80" t="n"/>
      <c r="E353" s="76" t="n"/>
      <c r="F353" s="76" t="n"/>
    </row>
    <row r="354">
      <c r="A354" s="79" t="n"/>
      <c r="B354" s="76" t="n"/>
      <c r="C354" s="76" t="n"/>
      <c r="D354" s="80" t="n"/>
      <c r="E354" s="76" t="n"/>
      <c r="F354" s="76" t="n"/>
    </row>
    <row r="355">
      <c r="A355" s="79" t="n"/>
      <c r="B355" s="76" t="n"/>
      <c r="C355" s="76" t="n"/>
      <c r="D355" s="80" t="n"/>
      <c r="E355" s="76" t="n"/>
      <c r="F355" s="76" t="n"/>
    </row>
    <row r="356">
      <c r="A356" s="79" t="n"/>
      <c r="B356" s="76" t="n"/>
      <c r="C356" s="76" t="n"/>
      <c r="D356" s="80" t="n"/>
      <c r="E356" s="76" t="n"/>
      <c r="F356" s="76" t="n"/>
    </row>
    <row r="357">
      <c r="A357" s="79" t="n"/>
      <c r="B357" s="76" t="n"/>
      <c r="C357" s="76" t="n"/>
      <c r="D357" s="80" t="n"/>
      <c r="E357" s="76" t="n"/>
      <c r="F357" s="76" t="n"/>
    </row>
    <row r="358">
      <c r="A358" s="79" t="n"/>
      <c r="B358" s="76" t="n"/>
      <c r="C358" s="76" t="n"/>
      <c r="D358" s="80" t="n"/>
      <c r="E358" s="76" t="n"/>
      <c r="F358" s="76" t="n"/>
    </row>
    <row r="359">
      <c r="A359" s="79" t="n"/>
      <c r="B359" s="76" t="n"/>
      <c r="C359" s="76" t="n"/>
      <c r="D359" s="80" t="n"/>
      <c r="E359" s="76" t="n"/>
      <c r="F359" s="76" t="n"/>
    </row>
    <row r="360">
      <c r="A360" s="79" t="n"/>
      <c r="B360" s="76" t="n"/>
      <c r="C360" s="76" t="n"/>
      <c r="D360" s="80" t="n"/>
      <c r="E360" s="76" t="n"/>
      <c r="F360" s="76" t="n"/>
    </row>
    <row r="361">
      <c r="A361" s="79" t="n"/>
      <c r="B361" s="76" t="n"/>
      <c r="C361" s="76" t="n"/>
      <c r="D361" s="80" t="n"/>
      <c r="E361" s="76" t="n"/>
      <c r="F361" s="76" t="n"/>
    </row>
    <row r="362">
      <c r="A362" s="79" t="n"/>
      <c r="B362" s="76" t="n"/>
      <c r="C362" s="76" t="n"/>
      <c r="D362" s="80" t="n"/>
      <c r="E362" s="76" t="n"/>
      <c r="F362" s="76" t="n"/>
    </row>
    <row r="363">
      <c r="A363" s="79" t="n"/>
      <c r="B363" s="76" t="n"/>
      <c r="C363" s="76" t="n"/>
      <c r="D363" s="80" t="n"/>
      <c r="E363" s="76" t="n"/>
      <c r="F363" s="76" t="n"/>
    </row>
    <row r="364">
      <c r="A364" s="79" t="n"/>
      <c r="B364" s="76" t="n"/>
      <c r="C364" s="76" t="n"/>
      <c r="D364" s="80" t="n"/>
      <c r="E364" s="76" t="n"/>
      <c r="F364" s="76" t="n"/>
    </row>
    <row r="365">
      <c r="A365" s="79" t="n"/>
      <c r="B365" s="76" t="n"/>
      <c r="C365" s="76" t="n"/>
      <c r="D365" s="80" t="n"/>
      <c r="E365" s="76" t="n"/>
      <c r="F365" s="76" t="n"/>
    </row>
    <row r="366">
      <c r="A366" s="79" t="n"/>
      <c r="B366" s="76" t="n"/>
      <c r="C366" s="76" t="n"/>
      <c r="D366" s="80" t="n"/>
      <c r="E366" s="76" t="n"/>
      <c r="F366" s="76" t="n"/>
    </row>
    <row r="367">
      <c r="A367" s="79" t="n"/>
      <c r="B367" s="76" t="n"/>
      <c r="C367" s="76" t="n"/>
      <c r="D367" s="80" t="n"/>
      <c r="E367" s="76" t="n"/>
      <c r="F367" s="76" t="n"/>
    </row>
    <row r="368">
      <c r="A368" s="79" t="n"/>
      <c r="B368" s="76" t="n"/>
      <c r="C368" s="76" t="n"/>
      <c r="D368" s="80" t="n"/>
      <c r="E368" s="76" t="n"/>
      <c r="F368" s="76" t="n"/>
    </row>
    <row r="369">
      <c r="A369" s="79" t="n"/>
      <c r="B369" s="76" t="n"/>
      <c r="C369" s="76" t="n"/>
      <c r="D369" s="80" t="n"/>
      <c r="E369" s="76" t="n"/>
      <c r="F369" s="76" t="n"/>
    </row>
    <row r="370">
      <c r="A370" s="79" t="n"/>
      <c r="B370" s="76" t="n"/>
      <c r="C370" s="76" t="n"/>
      <c r="D370" s="80" t="n"/>
      <c r="E370" s="76" t="n"/>
      <c r="F370" s="76" t="n"/>
    </row>
    <row r="371">
      <c r="A371" s="79" t="n"/>
      <c r="B371" s="76" t="n"/>
      <c r="C371" s="76" t="n"/>
      <c r="D371" s="80" t="n"/>
      <c r="E371" s="76" t="n"/>
      <c r="F371" s="76" t="n"/>
    </row>
    <row r="372">
      <c r="A372" s="79" t="n"/>
      <c r="B372" s="76" t="n"/>
      <c r="C372" s="76" t="n"/>
      <c r="D372" s="80" t="n"/>
      <c r="E372" s="76" t="n"/>
      <c r="F372" s="76" t="n"/>
    </row>
    <row r="373">
      <c r="A373" s="79" t="n"/>
      <c r="B373" s="76" t="n"/>
      <c r="C373" s="76" t="n"/>
      <c r="D373" s="80" t="n"/>
      <c r="E373" s="76" t="n"/>
      <c r="F373" s="76" t="n"/>
    </row>
    <row r="374">
      <c r="A374" s="79" t="n"/>
      <c r="B374" s="76" t="n"/>
      <c r="C374" s="76" t="n"/>
      <c r="D374" s="80" t="n"/>
      <c r="E374" s="76" t="n"/>
      <c r="F374" s="76" t="n"/>
    </row>
    <row r="375">
      <c r="A375" s="79" t="n"/>
      <c r="B375" s="76" t="n"/>
      <c r="C375" s="76" t="n"/>
      <c r="D375" s="80" t="n"/>
      <c r="E375" s="76" t="n"/>
      <c r="F375" s="76" t="n"/>
    </row>
    <row r="376">
      <c r="A376" s="79" t="n"/>
      <c r="B376" s="76" t="n"/>
      <c r="C376" s="76" t="n"/>
      <c r="D376" s="80" t="n"/>
      <c r="E376" s="76" t="n"/>
      <c r="F376" s="76" t="n"/>
    </row>
    <row r="377">
      <c r="A377" s="79" t="n"/>
      <c r="B377" s="76" t="n"/>
      <c r="C377" s="76" t="n"/>
      <c r="D377" s="80" t="n"/>
      <c r="E377" s="76" t="n"/>
      <c r="F377" s="76" t="n"/>
    </row>
    <row r="378">
      <c r="A378" s="79" t="n"/>
      <c r="B378" s="76" t="n"/>
      <c r="C378" s="76" t="n"/>
      <c r="D378" s="80" t="n"/>
      <c r="E378" s="76" t="n"/>
      <c r="F378" s="76" t="n"/>
    </row>
    <row r="379">
      <c r="A379" s="79" t="n"/>
      <c r="B379" s="76" t="n"/>
      <c r="C379" s="76" t="n"/>
      <c r="D379" s="80" t="n"/>
      <c r="E379" s="76" t="n"/>
      <c r="F379" s="76" t="n"/>
    </row>
    <row r="380">
      <c r="A380" s="79" t="n"/>
      <c r="B380" s="76" t="n"/>
      <c r="C380" s="76" t="n"/>
      <c r="D380" s="80" t="n"/>
      <c r="E380" s="76" t="n"/>
      <c r="F380" s="76" t="n"/>
    </row>
    <row r="381">
      <c r="A381" s="79" t="n"/>
      <c r="B381" s="76" t="n"/>
      <c r="C381" s="76" t="n"/>
      <c r="D381" s="80" t="n"/>
      <c r="E381" s="76" t="n"/>
      <c r="F381" s="76" t="n"/>
    </row>
    <row r="382">
      <c r="A382" s="79" t="n"/>
      <c r="B382" s="76" t="n"/>
      <c r="C382" s="76" t="n"/>
      <c r="D382" s="80" t="n"/>
      <c r="E382" s="76" t="n"/>
      <c r="F382" s="76" t="n"/>
    </row>
    <row r="383">
      <c r="A383" s="79" t="n"/>
      <c r="B383" s="76" t="n"/>
      <c r="C383" s="76" t="n"/>
      <c r="D383" s="80" t="n"/>
      <c r="E383" s="76" t="n"/>
      <c r="F383" s="76" t="n"/>
    </row>
    <row r="384">
      <c r="A384" s="79" t="n"/>
      <c r="B384" s="76" t="n"/>
      <c r="C384" s="76" t="n"/>
      <c r="D384" s="80" t="n"/>
      <c r="E384" s="76" t="n"/>
      <c r="F384" s="76" t="n"/>
    </row>
    <row r="385">
      <c r="A385" s="79" t="n"/>
      <c r="B385" s="76" t="n"/>
      <c r="C385" s="76" t="n"/>
      <c r="D385" s="80" t="n"/>
      <c r="E385" s="76" t="n"/>
      <c r="F385" s="76" t="n"/>
    </row>
    <row r="386">
      <c r="A386" s="79" t="n"/>
      <c r="B386" s="76" t="n"/>
      <c r="C386" s="76" t="n"/>
      <c r="D386" s="80" t="n"/>
      <c r="E386" s="76" t="n"/>
      <c r="F386" s="76" t="n"/>
    </row>
    <row r="387">
      <c r="A387" s="79" t="n"/>
      <c r="B387" s="76" t="n"/>
      <c r="C387" s="76" t="n"/>
      <c r="D387" s="80" t="n"/>
      <c r="E387" s="76" t="n"/>
      <c r="F387" s="76" t="n"/>
    </row>
    <row r="388">
      <c r="A388" s="79" t="n"/>
      <c r="B388" s="76" t="n"/>
      <c r="C388" s="76" t="n"/>
      <c r="D388" s="80" t="n"/>
      <c r="E388" s="76" t="n"/>
      <c r="F388" s="76" t="n"/>
    </row>
    <row r="389">
      <c r="A389" s="79" t="n"/>
      <c r="B389" s="76" t="n"/>
      <c r="C389" s="76" t="n"/>
      <c r="D389" s="80" t="n"/>
      <c r="E389" s="76" t="n"/>
      <c r="F389" s="76" t="n"/>
    </row>
    <row r="390">
      <c r="A390" s="79" t="n"/>
      <c r="B390" s="76" t="n"/>
      <c r="C390" s="76" t="n"/>
      <c r="D390" s="80" t="n"/>
      <c r="E390" s="76" t="n"/>
      <c r="F390" s="76" t="n"/>
    </row>
    <row r="391">
      <c r="A391" s="79" t="n"/>
      <c r="B391" s="76" t="n"/>
      <c r="C391" s="76" t="n"/>
      <c r="D391" s="80" t="n"/>
      <c r="E391" s="76" t="n"/>
      <c r="F391" s="76" t="n"/>
    </row>
    <row r="392">
      <c r="A392" s="79" t="n"/>
      <c r="B392" s="76" t="n"/>
      <c r="C392" s="76" t="n"/>
      <c r="D392" s="80" t="n"/>
      <c r="E392" s="76" t="n"/>
      <c r="F392" s="76" t="n"/>
    </row>
    <row r="393">
      <c r="A393" s="79" t="n"/>
      <c r="B393" s="76" t="n"/>
      <c r="C393" s="76" t="n"/>
      <c r="D393" s="80" t="n"/>
      <c r="E393" s="76" t="n"/>
      <c r="F393" s="76" t="n"/>
    </row>
    <row r="394">
      <c r="A394" s="79" t="n"/>
      <c r="B394" s="76" t="n"/>
      <c r="C394" s="76" t="n"/>
      <c r="D394" s="80" t="n"/>
      <c r="E394" s="76" t="n"/>
      <c r="F394" s="76" t="n"/>
    </row>
    <row r="395">
      <c r="A395" s="79" t="n"/>
      <c r="B395" s="76" t="n"/>
      <c r="C395" s="76" t="n"/>
      <c r="D395" s="80" t="n"/>
      <c r="E395" s="76" t="n"/>
      <c r="F395" s="76" t="n"/>
    </row>
    <row r="396">
      <c r="A396" s="79" t="n"/>
      <c r="B396" s="76" t="n"/>
      <c r="C396" s="76" t="n"/>
      <c r="D396" s="80" t="n"/>
      <c r="E396" s="76" t="n"/>
      <c r="F396" s="76" t="n"/>
    </row>
    <row r="397">
      <c r="A397" s="79" t="n"/>
      <c r="B397" s="76" t="n"/>
      <c r="C397" s="76" t="n"/>
      <c r="D397" s="80" t="n"/>
      <c r="E397" s="76" t="n"/>
      <c r="F397" s="76" t="n"/>
    </row>
    <row r="398">
      <c r="A398" s="79" t="n"/>
      <c r="B398" s="76" t="n"/>
      <c r="C398" s="76" t="n"/>
      <c r="D398" s="80" t="n"/>
      <c r="E398" s="76" t="n"/>
      <c r="F398" s="76" t="n"/>
    </row>
    <row r="399">
      <c r="A399" s="79" t="n"/>
      <c r="B399" s="76" t="n"/>
      <c r="C399" s="76" t="n"/>
      <c r="D399" s="80" t="n"/>
      <c r="E399" s="76" t="n"/>
      <c r="F399" s="76" t="n"/>
    </row>
    <row r="400">
      <c r="A400" s="79" t="n"/>
      <c r="B400" s="76" t="n"/>
      <c r="C400" s="76" t="n"/>
      <c r="D400" s="80" t="n"/>
      <c r="E400" s="76" t="n"/>
      <c r="F400" s="76" t="n"/>
    </row>
    <row r="401">
      <c r="A401" s="79" t="n"/>
      <c r="B401" s="76" t="n"/>
      <c r="C401" s="76" t="n"/>
      <c r="D401" s="80" t="n"/>
      <c r="E401" s="76" t="n"/>
      <c r="F401" s="76" t="n"/>
    </row>
    <row r="402">
      <c r="A402" s="79" t="n"/>
      <c r="B402" s="76" t="n"/>
      <c r="C402" s="76" t="n"/>
      <c r="D402" s="80" t="n"/>
      <c r="E402" s="76" t="n"/>
      <c r="F402" s="76" t="n"/>
    </row>
    <row r="403">
      <c r="A403" s="79" t="n"/>
      <c r="B403" s="76" t="n"/>
      <c r="C403" s="76" t="n"/>
      <c r="D403" s="80" t="n"/>
      <c r="E403" s="76" t="n"/>
      <c r="F403" s="76" t="n"/>
    </row>
    <row r="404">
      <c r="A404" s="79" t="n"/>
      <c r="B404" s="76" t="n"/>
      <c r="C404" s="76" t="n"/>
      <c r="D404" s="80" t="n"/>
      <c r="E404" s="76" t="n"/>
      <c r="F404" s="76" t="n"/>
    </row>
    <row r="405">
      <c r="A405" s="79" t="n"/>
      <c r="B405" s="76" t="n"/>
      <c r="C405" s="76" t="n"/>
      <c r="D405" s="80" t="n"/>
      <c r="E405" s="76" t="n"/>
      <c r="F405" s="76" t="n"/>
    </row>
    <row r="406">
      <c r="A406" s="79" t="n"/>
      <c r="B406" s="76" t="n"/>
      <c r="C406" s="76" t="n"/>
      <c r="D406" s="80" t="n"/>
      <c r="E406" s="76" t="n"/>
      <c r="F406" s="76" t="n"/>
    </row>
    <row r="407">
      <c r="A407" s="79" t="n"/>
      <c r="B407" s="76" t="n"/>
      <c r="C407" s="76" t="n"/>
      <c r="D407" s="80" t="n"/>
      <c r="E407" s="76" t="n"/>
      <c r="F407" s="76" t="n"/>
    </row>
    <row r="408">
      <c r="A408" s="79" t="n"/>
      <c r="B408" s="76" t="n"/>
      <c r="C408" s="76" t="n"/>
      <c r="D408" s="80" t="n"/>
      <c r="E408" s="76" t="n"/>
      <c r="F408" s="76" t="n"/>
    </row>
    <row r="409">
      <c r="A409" s="79" t="n"/>
      <c r="B409" s="76" t="n"/>
      <c r="C409" s="76" t="n"/>
      <c r="D409" s="80" t="n"/>
      <c r="E409" s="76" t="n"/>
      <c r="F409" s="76" t="n"/>
    </row>
    <row r="410">
      <c r="A410" s="79" t="n"/>
      <c r="B410" s="76" t="n"/>
      <c r="C410" s="76" t="n"/>
      <c r="D410" s="80" t="n"/>
      <c r="E410" s="76" t="n"/>
      <c r="F410" s="76" t="n"/>
    </row>
    <row r="411">
      <c r="A411" s="79" t="n"/>
      <c r="B411" s="76" t="n"/>
      <c r="C411" s="76" t="n"/>
      <c r="D411" s="80" t="n"/>
      <c r="E411" s="76" t="n"/>
      <c r="F411" s="76" t="n"/>
    </row>
    <row r="412">
      <c r="A412" s="79" t="n"/>
      <c r="B412" s="76" t="n"/>
      <c r="C412" s="76" t="n"/>
      <c r="D412" s="80" t="n"/>
      <c r="E412" s="76" t="n"/>
      <c r="F412" s="76" t="n"/>
    </row>
    <row r="413">
      <c r="A413" s="79" t="n"/>
      <c r="B413" s="76" t="n"/>
      <c r="C413" s="76" t="n"/>
      <c r="D413" s="80" t="n"/>
      <c r="E413" s="76" t="n"/>
      <c r="F413" s="76" t="n"/>
    </row>
    <row r="414">
      <c r="A414" s="79" t="n"/>
      <c r="B414" s="76" t="n"/>
      <c r="C414" s="76" t="n"/>
      <c r="D414" s="80" t="n"/>
      <c r="E414" s="76" t="n"/>
      <c r="F414" s="76" t="n"/>
    </row>
    <row r="415">
      <c r="A415" s="79" t="n"/>
      <c r="B415" s="76" t="n"/>
      <c r="C415" s="76" t="n"/>
      <c r="D415" s="80" t="n"/>
      <c r="E415" s="76" t="n"/>
      <c r="F415" s="76" t="n"/>
    </row>
    <row r="416">
      <c r="A416" s="79" t="n"/>
      <c r="B416" s="76" t="n"/>
      <c r="C416" s="76" t="n"/>
      <c r="D416" s="80" t="n"/>
      <c r="E416" s="76" t="n"/>
      <c r="F416" s="76" t="n"/>
    </row>
    <row r="417">
      <c r="A417" s="79" t="n"/>
      <c r="B417" s="76" t="n"/>
      <c r="C417" s="76" t="n"/>
      <c r="D417" s="80" t="n"/>
      <c r="E417" s="76" t="n"/>
      <c r="F417" s="76" t="n"/>
    </row>
    <row r="418">
      <c r="A418" s="79" t="n"/>
      <c r="B418" s="76" t="n"/>
      <c r="C418" s="76" t="n"/>
      <c r="D418" s="80" t="n"/>
      <c r="E418" s="76" t="n"/>
      <c r="F418" s="76" t="n"/>
    </row>
    <row r="419">
      <c r="A419" s="79" t="n"/>
      <c r="B419" s="76" t="n"/>
      <c r="C419" s="76" t="n"/>
      <c r="D419" s="80" t="n"/>
      <c r="E419" s="76" t="n"/>
      <c r="F419" s="76" t="n"/>
    </row>
    <row r="420">
      <c r="A420" s="79" t="n"/>
      <c r="B420" s="76" t="n"/>
      <c r="C420" s="76" t="n"/>
      <c r="D420" s="80" t="n"/>
      <c r="E420" s="76" t="n"/>
      <c r="F420" s="76" t="n"/>
    </row>
    <row r="421">
      <c r="A421" s="79" t="n"/>
      <c r="B421" s="76" t="n"/>
      <c r="C421" s="76" t="n"/>
      <c r="D421" s="80" t="n"/>
      <c r="E421" s="76" t="n"/>
      <c r="F421" s="76" t="n"/>
    </row>
    <row r="422">
      <c r="A422" s="79" t="n"/>
      <c r="B422" s="76" t="n"/>
      <c r="C422" s="76" t="n"/>
      <c r="D422" s="80" t="n"/>
      <c r="E422" s="76" t="n"/>
      <c r="F422" s="76" t="n"/>
    </row>
    <row r="423">
      <c r="A423" s="79" t="n"/>
      <c r="B423" s="76" t="n"/>
      <c r="C423" s="76" t="n"/>
      <c r="D423" s="80" t="n"/>
      <c r="E423" s="76" t="n"/>
      <c r="F423" s="76" t="n"/>
    </row>
    <row r="424">
      <c r="A424" s="79" t="n"/>
      <c r="B424" s="76" t="n"/>
      <c r="C424" s="76" t="n"/>
      <c r="D424" s="80" t="n"/>
      <c r="E424" s="76" t="n"/>
      <c r="F424" s="76" t="n"/>
    </row>
    <row r="425">
      <c r="A425" s="79" t="n"/>
      <c r="B425" s="76" t="n"/>
      <c r="C425" s="76" t="n"/>
      <c r="D425" s="80" t="n"/>
      <c r="E425" s="76" t="n"/>
      <c r="F425" s="76" t="n"/>
    </row>
    <row r="426">
      <c r="A426" s="79" t="n"/>
      <c r="B426" s="76" t="n"/>
      <c r="C426" s="76" t="n"/>
      <c r="D426" s="80" t="n"/>
      <c r="E426" s="76" t="n"/>
      <c r="F426" s="76" t="n"/>
    </row>
    <row r="427">
      <c r="A427" s="79" t="n"/>
      <c r="B427" s="76" t="n"/>
      <c r="C427" s="76" t="n"/>
      <c r="D427" s="80" t="n"/>
      <c r="E427" s="76" t="n"/>
      <c r="F427" s="76" t="n"/>
    </row>
    <row r="428">
      <c r="A428" s="79" t="n"/>
      <c r="B428" s="76" t="n"/>
      <c r="C428" s="76" t="n"/>
      <c r="D428" s="80" t="n"/>
      <c r="E428" s="76" t="n"/>
      <c r="F428" s="76" t="n"/>
    </row>
    <row r="429">
      <c r="A429" s="79" t="n"/>
      <c r="B429" s="76" t="n"/>
      <c r="C429" s="76" t="n"/>
      <c r="D429" s="80" t="n"/>
      <c r="E429" s="76" t="n"/>
      <c r="F429" s="76" t="n"/>
    </row>
    <row r="430">
      <c r="A430" s="79" t="n"/>
      <c r="B430" s="76" t="n"/>
      <c r="C430" s="76" t="n"/>
      <c r="D430" s="80" t="n"/>
      <c r="E430" s="76" t="n"/>
      <c r="F430" s="76" t="n"/>
    </row>
    <row r="431">
      <c r="A431" s="79" t="n"/>
      <c r="B431" s="76" t="n"/>
      <c r="C431" s="76" t="n"/>
      <c r="D431" s="80" t="n"/>
      <c r="E431" s="76" t="n"/>
      <c r="F431" s="76" t="n"/>
    </row>
    <row r="432">
      <c r="A432" s="79" t="n"/>
      <c r="B432" s="76" t="n"/>
      <c r="C432" s="76" t="n"/>
      <c r="D432" s="80" t="n"/>
      <c r="E432" s="76" t="n"/>
      <c r="F432" s="76" t="n"/>
    </row>
    <row r="433">
      <c r="A433" s="79" t="n"/>
      <c r="B433" s="76" t="n"/>
      <c r="C433" s="76" t="n"/>
      <c r="D433" s="80" t="n"/>
      <c r="E433" s="76" t="n"/>
      <c r="F433" s="76" t="n"/>
    </row>
    <row r="434">
      <c r="A434" s="79" t="n"/>
      <c r="B434" s="76" t="n"/>
      <c r="C434" s="76" t="n"/>
      <c r="D434" s="80" t="n"/>
      <c r="E434" s="76" t="n"/>
      <c r="F434" s="76" t="n"/>
    </row>
    <row r="435">
      <c r="A435" s="79" t="n"/>
      <c r="B435" s="76" t="n"/>
      <c r="C435" s="76" t="n"/>
      <c r="D435" s="80" t="n"/>
      <c r="E435" s="76" t="n"/>
      <c r="F435" s="76" t="n"/>
    </row>
    <row r="436">
      <c r="A436" s="79" t="n"/>
      <c r="B436" s="76" t="n"/>
      <c r="C436" s="76" t="n"/>
      <c r="D436" s="80" t="n"/>
      <c r="E436" s="76" t="n"/>
      <c r="F436" s="76" t="n"/>
    </row>
    <row r="437">
      <c r="A437" s="79" t="n"/>
      <c r="B437" s="76" t="n"/>
      <c r="C437" s="76" t="n"/>
      <c r="D437" s="80" t="n"/>
      <c r="E437" s="76" t="n"/>
      <c r="F437" s="76" t="n"/>
    </row>
    <row r="438">
      <c r="A438" s="79" t="n"/>
      <c r="B438" s="76" t="n"/>
      <c r="C438" s="76" t="n"/>
      <c r="D438" s="80" t="n"/>
      <c r="E438" s="76" t="n"/>
      <c r="F438" s="76" t="n"/>
    </row>
    <row r="439">
      <c r="A439" s="79" t="n"/>
      <c r="B439" s="76" t="n"/>
      <c r="C439" s="76" t="n"/>
      <c r="D439" s="80" t="n"/>
      <c r="E439" s="76" t="n"/>
      <c r="F439" s="76" t="n"/>
    </row>
    <row r="440">
      <c r="A440" s="79" t="n"/>
      <c r="B440" s="76" t="n"/>
      <c r="C440" s="76" t="n"/>
      <c r="D440" s="80" t="n"/>
      <c r="E440" s="76" t="n"/>
      <c r="F440" s="76" t="n"/>
    </row>
    <row r="441">
      <c r="A441" s="79" t="n"/>
      <c r="B441" s="76" t="n"/>
      <c r="C441" s="76" t="n"/>
      <c r="D441" s="80" t="n"/>
      <c r="E441" s="76" t="n"/>
      <c r="F441" s="76" t="n"/>
    </row>
    <row r="442">
      <c r="A442" s="79" t="n"/>
      <c r="B442" s="76" t="n"/>
      <c r="C442" s="76" t="n"/>
      <c r="D442" s="80" t="n"/>
      <c r="E442" s="76" t="n"/>
      <c r="F442" s="76" t="n"/>
    </row>
    <row r="443">
      <c r="A443" s="79" t="n"/>
      <c r="B443" s="76" t="n"/>
      <c r="C443" s="76" t="n"/>
      <c r="D443" s="80" t="n"/>
      <c r="E443" s="76" t="n"/>
      <c r="F443" s="76" t="n"/>
    </row>
    <row r="444">
      <c r="A444" s="79" t="n"/>
      <c r="B444" s="76" t="n"/>
      <c r="C444" s="76" t="n"/>
      <c r="D444" s="80" t="n"/>
      <c r="E444" s="76" t="n"/>
      <c r="F444" s="76" t="n"/>
    </row>
    <row r="445">
      <c r="A445" s="79" t="n"/>
      <c r="B445" s="76" t="n"/>
      <c r="C445" s="76" t="n"/>
      <c r="D445" s="80" t="n"/>
      <c r="E445" s="76" t="n"/>
      <c r="F445" s="76" t="n"/>
    </row>
    <row r="446">
      <c r="A446" s="79" t="n"/>
      <c r="B446" s="76" t="n"/>
      <c r="C446" s="76" t="n"/>
      <c r="D446" s="80" t="n"/>
      <c r="E446" s="76" t="n"/>
      <c r="F446" s="76" t="n"/>
    </row>
    <row r="447">
      <c r="A447" s="79" t="n"/>
      <c r="B447" s="76" t="n"/>
      <c r="C447" s="76" t="n"/>
      <c r="D447" s="80" t="n"/>
      <c r="E447" s="76" t="n"/>
      <c r="F447" s="76" t="n"/>
    </row>
    <row r="448">
      <c r="A448" s="79" t="n"/>
      <c r="B448" s="76" t="n"/>
      <c r="C448" s="76" t="n"/>
      <c r="D448" s="80" t="n"/>
      <c r="E448" s="76" t="n"/>
      <c r="F448" s="76" t="n"/>
    </row>
    <row r="449">
      <c r="A449" s="79" t="n"/>
      <c r="B449" s="76" t="n"/>
      <c r="C449" s="76" t="n"/>
      <c r="D449" s="80" t="n"/>
      <c r="E449" s="76" t="n"/>
      <c r="F449" s="76" t="n"/>
    </row>
    <row r="450">
      <c r="A450" s="79" t="n"/>
      <c r="B450" s="76" t="n"/>
      <c r="C450" s="76" t="n"/>
      <c r="D450" s="80" t="n"/>
      <c r="E450" s="76" t="n"/>
      <c r="F450" s="76" t="n"/>
    </row>
    <row r="451">
      <c r="A451" s="79" t="n"/>
      <c r="B451" s="76" t="n"/>
      <c r="C451" s="76" t="n"/>
      <c r="D451" s="80" t="n"/>
      <c r="E451" s="76" t="n"/>
      <c r="F451" s="76" t="n"/>
    </row>
    <row r="452">
      <c r="A452" s="79" t="n"/>
      <c r="B452" s="76" t="n"/>
      <c r="C452" s="76" t="n"/>
      <c r="D452" s="80" t="n"/>
      <c r="E452" s="76" t="n"/>
      <c r="F452" s="76" t="n"/>
    </row>
    <row r="453">
      <c r="A453" s="79" t="n"/>
      <c r="B453" s="76" t="n"/>
      <c r="C453" s="76" t="n"/>
      <c r="D453" s="80" t="n"/>
      <c r="E453" s="76" t="n"/>
      <c r="F453" s="76" t="n"/>
    </row>
    <row r="454">
      <c r="A454" s="79" t="n"/>
      <c r="B454" s="76" t="n"/>
      <c r="C454" s="76" t="n"/>
      <c r="D454" s="80" t="n"/>
      <c r="E454" s="76" t="n"/>
      <c r="F454" s="76" t="n"/>
    </row>
    <row r="455">
      <c r="A455" s="79" t="n"/>
      <c r="B455" s="76" t="n"/>
      <c r="C455" s="76" t="n"/>
      <c r="D455" s="80" t="n"/>
      <c r="E455" s="76" t="n"/>
      <c r="F455" s="76" t="n"/>
    </row>
    <row r="456">
      <c r="A456" s="79" t="n"/>
      <c r="B456" s="76" t="n"/>
      <c r="C456" s="76" t="n"/>
      <c r="D456" s="80" t="n"/>
      <c r="E456" s="76" t="n"/>
      <c r="F456" s="76" t="n"/>
    </row>
    <row r="457">
      <c r="A457" s="79" t="n"/>
      <c r="B457" s="76" t="n"/>
      <c r="C457" s="76" t="n"/>
      <c r="D457" s="80" t="n"/>
      <c r="E457" s="76" t="n"/>
      <c r="F457" s="76" t="n"/>
    </row>
    <row r="458">
      <c r="A458" s="79" t="n"/>
      <c r="B458" s="76" t="n"/>
      <c r="C458" s="76" t="n"/>
      <c r="D458" s="80" t="n"/>
      <c r="E458" s="76" t="n"/>
      <c r="F458" s="76" t="n"/>
    </row>
    <row r="459">
      <c r="A459" s="79" t="n"/>
      <c r="B459" s="76" t="n"/>
      <c r="C459" s="76" t="n"/>
      <c r="D459" s="80" t="n"/>
      <c r="E459" s="76" t="n"/>
      <c r="F459" s="76" t="n"/>
    </row>
    <row r="460">
      <c r="A460" s="79" t="n"/>
      <c r="B460" s="76" t="n"/>
      <c r="C460" s="76" t="n"/>
      <c r="D460" s="80" t="n"/>
      <c r="E460" s="76" t="n"/>
      <c r="F460" s="76" t="n"/>
    </row>
    <row r="461">
      <c r="A461" s="79" t="n"/>
      <c r="B461" s="76" t="n"/>
      <c r="C461" s="76" t="n"/>
      <c r="D461" s="80" t="n"/>
      <c r="E461" s="76" t="n"/>
      <c r="F461" s="76" t="n"/>
    </row>
    <row r="462">
      <c r="A462" s="79" t="n"/>
      <c r="B462" s="76" t="n"/>
      <c r="C462" s="76" t="n"/>
      <c r="D462" s="80" t="n"/>
      <c r="E462" s="76" t="n"/>
      <c r="F462" s="76" t="n"/>
    </row>
    <row r="463">
      <c r="A463" s="79" t="n"/>
      <c r="B463" s="76" t="n"/>
      <c r="C463" s="76" t="n"/>
      <c r="D463" s="80" t="n"/>
      <c r="E463" s="76" t="n"/>
      <c r="F463" s="76" t="n"/>
    </row>
    <row r="464">
      <c r="A464" s="79" t="n"/>
      <c r="B464" s="76" t="n"/>
      <c r="C464" s="76" t="n"/>
      <c r="D464" s="80" t="n"/>
      <c r="E464" s="76" t="n"/>
      <c r="F464" s="76" t="n"/>
    </row>
    <row r="465">
      <c r="A465" s="79" t="n"/>
      <c r="B465" s="76" t="n"/>
      <c r="C465" s="76" t="n"/>
      <c r="D465" s="80" t="n"/>
      <c r="E465" s="76" t="n"/>
      <c r="F465" s="76" t="n"/>
    </row>
    <row r="466">
      <c r="A466" s="79" t="n"/>
      <c r="B466" s="76" t="n"/>
      <c r="C466" s="76" t="n"/>
      <c r="D466" s="80" t="n"/>
      <c r="E466" s="76" t="n"/>
      <c r="F466" s="76" t="n"/>
    </row>
    <row r="467">
      <c r="A467" s="79" t="n"/>
      <c r="B467" s="76" t="n"/>
      <c r="C467" s="76" t="n"/>
      <c r="D467" s="80" t="n"/>
      <c r="E467" s="76" t="n"/>
      <c r="F467" s="76" t="n"/>
    </row>
    <row r="468">
      <c r="A468" s="79" t="n"/>
      <c r="B468" s="76" t="n"/>
      <c r="C468" s="76" t="n"/>
      <c r="D468" s="80" t="n"/>
      <c r="E468" s="76" t="n"/>
      <c r="F468" s="76" t="n"/>
    </row>
    <row r="469">
      <c r="A469" s="79" t="n"/>
      <c r="B469" s="76" t="n"/>
      <c r="C469" s="76" t="n"/>
      <c r="D469" s="80" t="n"/>
      <c r="E469" s="76" t="n"/>
      <c r="F469" s="76" t="n"/>
    </row>
    <row r="470">
      <c r="A470" s="79" t="n"/>
      <c r="B470" s="76" t="n"/>
      <c r="C470" s="76" t="n"/>
      <c r="D470" s="80" t="n"/>
      <c r="E470" s="76" t="n"/>
      <c r="F470" s="76" t="n"/>
    </row>
    <row r="471">
      <c r="A471" s="79" t="n"/>
      <c r="B471" s="76" t="n"/>
      <c r="C471" s="76" t="n"/>
      <c r="D471" s="80" t="n"/>
      <c r="E471" s="76" t="n"/>
      <c r="F471" s="76" t="n"/>
    </row>
    <row r="472">
      <c r="A472" s="79" t="n"/>
      <c r="B472" s="76" t="n"/>
      <c r="C472" s="76" t="n"/>
      <c r="D472" s="80" t="n"/>
      <c r="E472" s="76" t="n"/>
      <c r="F472" s="76" t="n"/>
    </row>
    <row r="473">
      <c r="A473" s="79" t="n"/>
      <c r="B473" s="76" t="n"/>
      <c r="C473" s="76" t="n"/>
      <c r="D473" s="80" t="n"/>
      <c r="E473" s="76" t="n"/>
      <c r="F473" s="76" t="n"/>
    </row>
    <row r="474">
      <c r="A474" s="79" t="n"/>
      <c r="B474" s="76" t="n"/>
      <c r="C474" s="76" t="n"/>
      <c r="D474" s="80" t="n"/>
      <c r="E474" s="76" t="n"/>
      <c r="F474" s="76" t="n"/>
    </row>
    <row r="475">
      <c r="A475" s="79" t="n"/>
      <c r="B475" s="76" t="n"/>
      <c r="C475" s="76" t="n"/>
      <c r="D475" s="80" t="n"/>
      <c r="E475" s="76" t="n"/>
      <c r="F475" s="76" t="n"/>
    </row>
    <row r="476">
      <c r="A476" s="79" t="n"/>
      <c r="B476" s="76" t="n"/>
      <c r="C476" s="76" t="n"/>
      <c r="D476" s="80" t="n"/>
      <c r="E476" s="76" t="n"/>
      <c r="F476" s="76" t="n"/>
    </row>
    <row r="477">
      <c r="A477" s="79" t="n"/>
      <c r="B477" s="76" t="n"/>
      <c r="C477" s="76" t="n"/>
      <c r="D477" s="80" t="n"/>
      <c r="E477" s="76" t="n"/>
      <c r="F477" s="76" t="n"/>
    </row>
    <row r="478">
      <c r="A478" s="79" t="n"/>
      <c r="B478" s="76" t="n"/>
      <c r="C478" s="76" t="n"/>
      <c r="D478" s="80" t="n"/>
      <c r="E478" s="76" t="n"/>
      <c r="F478" s="76" t="n"/>
    </row>
    <row r="479">
      <c r="A479" s="79" t="n"/>
      <c r="B479" s="76" t="n"/>
      <c r="C479" s="76" t="n"/>
      <c r="D479" s="80" t="n"/>
      <c r="E479" s="76" t="n"/>
      <c r="F479" s="76" t="n"/>
    </row>
    <row r="480">
      <c r="A480" s="79" t="n"/>
      <c r="B480" s="76" t="n"/>
      <c r="C480" s="76" t="n"/>
      <c r="D480" s="80" t="n"/>
      <c r="E480" s="76" t="n"/>
      <c r="F480" s="76" t="n"/>
    </row>
    <row r="481">
      <c r="A481" s="79" t="n"/>
      <c r="B481" s="76" t="n"/>
      <c r="C481" s="76" t="n"/>
      <c r="D481" s="80" t="n"/>
      <c r="E481" s="76" t="n"/>
      <c r="F481" s="76" t="n"/>
    </row>
    <row r="482">
      <c r="A482" s="79" t="n"/>
      <c r="B482" s="76" t="n"/>
      <c r="C482" s="76" t="n"/>
      <c r="D482" s="80" t="n"/>
      <c r="E482" s="76" t="n"/>
      <c r="F482" s="76" t="n"/>
    </row>
    <row r="483">
      <c r="A483" s="79" t="n"/>
      <c r="B483" s="76" t="n"/>
      <c r="C483" s="76" t="n"/>
      <c r="D483" s="80" t="n"/>
      <c r="E483" s="76" t="n"/>
      <c r="F483" s="76" t="n"/>
    </row>
    <row r="484">
      <c r="A484" s="79" t="n"/>
      <c r="B484" s="76" t="n"/>
      <c r="C484" s="76" t="n"/>
      <c r="D484" s="80" t="n"/>
      <c r="E484" s="76" t="n"/>
      <c r="F484" s="76" t="n"/>
    </row>
    <row r="485">
      <c r="A485" s="79" t="n"/>
      <c r="B485" s="76" t="n"/>
      <c r="C485" s="76" t="n"/>
      <c r="D485" s="80" t="n"/>
      <c r="E485" s="76" t="n"/>
      <c r="F485" s="76" t="n"/>
    </row>
    <row r="486">
      <c r="A486" s="79" t="n"/>
      <c r="B486" s="76" t="n"/>
      <c r="C486" s="76" t="n"/>
      <c r="D486" s="80" t="n"/>
      <c r="E486" s="76" t="n"/>
      <c r="F486" s="76" t="n"/>
    </row>
    <row r="487">
      <c r="A487" s="79" t="n"/>
      <c r="B487" s="76" t="n"/>
      <c r="C487" s="76" t="n"/>
      <c r="D487" s="80" t="n"/>
      <c r="E487" s="76" t="n"/>
      <c r="F487" s="76" t="n"/>
    </row>
    <row r="488">
      <c r="A488" s="79" t="n"/>
      <c r="B488" s="76" t="n"/>
      <c r="C488" s="76" t="n"/>
      <c r="D488" s="80" t="n"/>
      <c r="E488" s="76" t="n"/>
      <c r="F488" s="76" t="n"/>
    </row>
    <row r="489">
      <c r="A489" s="79" t="n"/>
      <c r="B489" s="76" t="n"/>
      <c r="C489" s="76" t="n"/>
      <c r="D489" s="80" t="n"/>
      <c r="E489" s="76" t="n"/>
      <c r="F489" s="76" t="n"/>
    </row>
    <row r="490">
      <c r="A490" s="79" t="n"/>
      <c r="B490" s="76" t="n"/>
      <c r="C490" s="76" t="n"/>
      <c r="D490" s="80" t="n"/>
      <c r="E490" s="76" t="n"/>
      <c r="F490" s="76" t="n"/>
    </row>
    <row r="491">
      <c r="A491" s="79" t="n"/>
      <c r="B491" s="76" t="n"/>
      <c r="C491" s="76" t="n"/>
      <c r="D491" s="80" t="n"/>
      <c r="E491" s="76" t="n"/>
      <c r="F491" s="76" t="n"/>
    </row>
    <row r="492">
      <c r="A492" s="79" t="n"/>
      <c r="B492" s="76" t="n"/>
      <c r="C492" s="76" t="n"/>
      <c r="D492" s="80" t="n"/>
      <c r="E492" s="76" t="n"/>
      <c r="F492" s="76" t="n"/>
    </row>
    <row r="493">
      <c r="A493" s="79" t="n"/>
      <c r="B493" s="76" t="n"/>
      <c r="C493" s="76" t="n"/>
      <c r="D493" s="80" t="n"/>
      <c r="E493" s="76" t="n"/>
      <c r="F493" s="76" t="n"/>
    </row>
    <row r="494">
      <c r="A494" s="79" t="n"/>
      <c r="B494" s="76" t="n"/>
      <c r="C494" s="76" t="n"/>
      <c r="D494" s="80" t="n"/>
      <c r="E494" s="76" t="n"/>
      <c r="F494" s="76" t="n"/>
    </row>
    <row r="495">
      <c r="A495" s="79" t="n"/>
      <c r="B495" s="76" t="n"/>
      <c r="C495" s="76" t="n"/>
      <c r="D495" s="80" t="n"/>
      <c r="E495" s="76" t="n"/>
      <c r="F495" s="76" t="n"/>
    </row>
    <row r="496">
      <c r="A496" s="79" t="n"/>
      <c r="B496" s="76" t="n"/>
      <c r="C496" s="76" t="n"/>
      <c r="D496" s="80" t="n"/>
      <c r="E496" s="76" t="n"/>
      <c r="F496" s="76" t="n"/>
    </row>
    <row r="497">
      <c r="A497" s="79" t="n"/>
      <c r="B497" s="76" t="n"/>
      <c r="C497" s="76" t="n"/>
      <c r="D497" s="80" t="n"/>
      <c r="E497" s="76" t="n"/>
      <c r="F497" s="76" t="n"/>
    </row>
    <row r="498">
      <c r="A498" s="79" t="n"/>
      <c r="B498" s="76" t="n"/>
      <c r="C498" s="76" t="n"/>
      <c r="D498" s="80" t="n"/>
      <c r="E498" s="76" t="n"/>
      <c r="F498" s="76" t="n"/>
    </row>
    <row r="499">
      <c r="A499" s="79" t="n"/>
      <c r="B499" s="76" t="n"/>
      <c r="C499" s="76" t="n"/>
      <c r="D499" s="80" t="n"/>
      <c r="E499" s="76" t="n"/>
      <c r="F499" s="76" t="n"/>
    </row>
    <row r="500">
      <c r="A500" s="79" t="n"/>
      <c r="B500" s="76" t="n"/>
      <c r="C500" s="76" t="n"/>
      <c r="D500" s="80" t="n"/>
      <c r="E500" s="76" t="n"/>
      <c r="F500" s="76" t="n"/>
    </row>
    <row r="501">
      <c r="A501" s="79" t="n"/>
      <c r="B501" s="76" t="n"/>
      <c r="C501" s="76" t="n"/>
      <c r="D501" s="80" t="n"/>
      <c r="E501" s="76" t="n"/>
      <c r="F501" s="76" t="n"/>
    </row>
    <row r="502">
      <c r="A502" s="79" t="n"/>
      <c r="B502" s="76" t="n"/>
      <c r="C502" s="76" t="n"/>
      <c r="D502" s="80" t="n"/>
      <c r="E502" s="76" t="n"/>
      <c r="F502" s="76" t="n"/>
    </row>
    <row r="503">
      <c r="A503" s="79" t="n"/>
      <c r="B503" s="76" t="n"/>
      <c r="C503" s="76" t="n"/>
      <c r="D503" s="80" t="n"/>
      <c r="E503" s="76" t="n"/>
      <c r="F503" s="76" t="n"/>
    </row>
    <row r="504">
      <c r="A504" s="79" t="n"/>
      <c r="B504" s="76" t="n"/>
      <c r="C504" s="76" t="n"/>
      <c r="D504" s="80" t="n"/>
      <c r="E504" s="76" t="n"/>
      <c r="F504" s="76" t="n"/>
    </row>
    <row r="505">
      <c r="A505" s="79" t="n"/>
      <c r="B505" s="76" t="n"/>
      <c r="C505" s="76" t="n"/>
      <c r="D505" s="80" t="n"/>
      <c r="E505" s="76" t="n"/>
      <c r="F505" s="76" t="n"/>
    </row>
    <row r="506">
      <c r="A506" s="79" t="n"/>
      <c r="B506" s="76" t="n"/>
      <c r="C506" s="76" t="n"/>
      <c r="D506" s="80" t="n"/>
      <c r="E506" s="76" t="n"/>
      <c r="F506" s="76" t="n"/>
    </row>
    <row r="507">
      <c r="A507" s="79" t="n"/>
      <c r="B507" s="76" t="n"/>
      <c r="C507" s="76" t="n"/>
      <c r="D507" s="80" t="n"/>
      <c r="E507" s="76" t="n"/>
      <c r="F507" s="76" t="n"/>
    </row>
    <row r="508">
      <c r="A508" s="79" t="n"/>
      <c r="B508" s="76" t="n"/>
      <c r="C508" s="76" t="n"/>
      <c r="D508" s="80" t="n"/>
      <c r="E508" s="76" t="n"/>
      <c r="F508" s="76" t="n"/>
    </row>
    <row r="509">
      <c r="A509" s="79" t="n"/>
      <c r="B509" s="76" t="n"/>
      <c r="C509" s="76" t="n"/>
      <c r="D509" s="80" t="n"/>
      <c r="E509" s="76" t="n"/>
      <c r="F509" s="76" t="n"/>
    </row>
    <row r="510">
      <c r="A510" s="79" t="n"/>
      <c r="B510" s="76" t="n"/>
      <c r="C510" s="76" t="n"/>
      <c r="D510" s="80" t="n"/>
      <c r="E510" s="76" t="n"/>
      <c r="F510" s="76" t="n"/>
    </row>
    <row r="511">
      <c r="A511" s="79" t="n"/>
      <c r="B511" s="76" t="n"/>
      <c r="C511" s="76" t="n"/>
      <c r="D511" s="80" t="n"/>
      <c r="E511" s="76" t="n"/>
      <c r="F511" s="76" t="n"/>
    </row>
    <row r="512">
      <c r="A512" s="79" t="n"/>
      <c r="B512" s="76" t="n"/>
      <c r="C512" s="76" t="n"/>
      <c r="D512" s="80" t="n"/>
      <c r="E512" s="76" t="n"/>
      <c r="F512" s="76" t="n"/>
    </row>
    <row r="513">
      <c r="A513" s="79" t="n"/>
      <c r="B513" s="76" t="n"/>
      <c r="C513" s="76" t="n"/>
      <c r="D513" s="80" t="n"/>
      <c r="E513" s="76" t="n"/>
      <c r="F513" s="76" t="n"/>
    </row>
    <row r="514">
      <c r="A514" s="79" t="n"/>
      <c r="B514" s="76" t="n"/>
      <c r="C514" s="76" t="n"/>
      <c r="D514" s="80" t="n"/>
      <c r="E514" s="76" t="n"/>
      <c r="F514" s="76" t="n"/>
    </row>
    <row r="515">
      <c r="A515" s="79" t="n"/>
      <c r="B515" s="76" t="n"/>
      <c r="C515" s="76" t="n"/>
      <c r="D515" s="80" t="n"/>
      <c r="E515" s="76" t="n"/>
      <c r="F515" s="76" t="n"/>
    </row>
    <row r="516">
      <c r="A516" s="79" t="n"/>
      <c r="B516" s="76" t="n"/>
      <c r="C516" s="76" t="n"/>
      <c r="D516" s="80" t="n"/>
      <c r="E516" s="76" t="n"/>
      <c r="F516" s="76" t="n"/>
    </row>
    <row r="517">
      <c r="A517" s="79" t="n"/>
      <c r="B517" s="76" t="n"/>
      <c r="C517" s="76" t="n"/>
      <c r="D517" s="80" t="n"/>
      <c r="E517" s="76" t="n"/>
      <c r="F517" s="76" t="n"/>
    </row>
    <row r="518">
      <c r="A518" s="79" t="n"/>
      <c r="B518" s="76" t="n"/>
      <c r="C518" s="76" t="n"/>
      <c r="D518" s="80" t="n"/>
      <c r="E518" s="76" t="n"/>
      <c r="F518" s="76" t="n"/>
    </row>
    <row r="519">
      <c r="A519" s="79" t="n"/>
      <c r="B519" s="76" t="n"/>
      <c r="C519" s="76" t="n"/>
      <c r="D519" s="80" t="n"/>
      <c r="E519" s="76" t="n"/>
      <c r="F519" s="76" t="n"/>
    </row>
    <row r="520">
      <c r="A520" s="79" t="n"/>
      <c r="B520" s="76" t="n"/>
      <c r="C520" s="76" t="n"/>
      <c r="D520" s="80" t="n"/>
      <c r="E520" s="76" t="n"/>
      <c r="F520" s="76" t="n"/>
    </row>
    <row r="521">
      <c r="A521" s="79" t="n"/>
      <c r="B521" s="76" t="n"/>
      <c r="C521" s="76" t="n"/>
      <c r="D521" s="80" t="n"/>
      <c r="E521" s="76" t="n"/>
      <c r="F521" s="76" t="n"/>
    </row>
    <row r="522">
      <c r="A522" s="79" t="n"/>
      <c r="B522" s="76" t="n"/>
      <c r="C522" s="76" t="n"/>
      <c r="D522" s="80" t="n"/>
      <c r="E522" s="76" t="n"/>
      <c r="F522" s="76" t="n"/>
    </row>
    <row r="523">
      <c r="A523" s="79" t="n"/>
      <c r="B523" s="76" t="n"/>
      <c r="C523" s="76" t="n"/>
      <c r="D523" s="80" t="n"/>
      <c r="E523" s="76" t="n"/>
      <c r="F523" s="76" t="n"/>
    </row>
    <row r="524">
      <c r="A524" s="79" t="n"/>
      <c r="B524" s="76" t="n"/>
      <c r="C524" s="76" t="n"/>
      <c r="D524" s="80" t="n"/>
      <c r="E524" s="76" t="n"/>
      <c r="F524" s="76" t="n"/>
    </row>
    <row r="525">
      <c r="A525" s="79" t="n"/>
      <c r="B525" s="76" t="n"/>
      <c r="C525" s="76" t="n"/>
      <c r="D525" s="80" t="n"/>
      <c r="E525" s="76" t="n"/>
      <c r="F525" s="76" t="n"/>
    </row>
    <row r="526">
      <c r="A526" s="79" t="n"/>
      <c r="B526" s="76" t="n"/>
      <c r="C526" s="76" t="n"/>
      <c r="D526" s="80" t="n"/>
      <c r="E526" s="76" t="n"/>
      <c r="F526" s="76" t="n"/>
    </row>
    <row r="527">
      <c r="A527" s="79" t="n"/>
      <c r="B527" s="76" t="n"/>
      <c r="C527" s="76" t="n"/>
      <c r="D527" s="80" t="n"/>
      <c r="E527" s="76" t="n"/>
      <c r="F527" s="76" t="n"/>
    </row>
    <row r="528">
      <c r="A528" s="79" t="n"/>
      <c r="B528" s="76" t="n"/>
      <c r="C528" s="76" t="n"/>
      <c r="D528" s="80" t="n"/>
      <c r="E528" s="76" t="n"/>
      <c r="F528" s="76" t="n"/>
    </row>
    <row r="529">
      <c r="A529" s="79" t="n"/>
      <c r="B529" s="76" t="n"/>
      <c r="C529" s="76" t="n"/>
      <c r="D529" s="80" t="n"/>
      <c r="E529" s="76" t="n"/>
      <c r="F529" s="76" t="n"/>
    </row>
    <row r="530">
      <c r="A530" s="79" t="n"/>
      <c r="B530" s="76" t="n"/>
      <c r="C530" s="76" t="n"/>
      <c r="D530" s="80" t="n"/>
      <c r="E530" s="76" t="n"/>
      <c r="F530" s="76" t="n"/>
    </row>
    <row r="531">
      <c r="A531" s="79" t="n"/>
      <c r="B531" s="76" t="n"/>
      <c r="C531" s="76" t="n"/>
      <c r="D531" s="80" t="n"/>
      <c r="E531" s="76" t="n"/>
      <c r="F531" s="76" t="n"/>
    </row>
    <row r="532">
      <c r="A532" s="79" t="n"/>
      <c r="B532" s="76" t="n"/>
      <c r="C532" s="76" t="n"/>
      <c r="D532" s="80" t="n"/>
      <c r="E532" s="76" t="n"/>
      <c r="F532" s="76" t="n"/>
    </row>
    <row r="533">
      <c r="A533" s="79" t="n"/>
      <c r="B533" s="76" t="n"/>
      <c r="C533" s="76" t="n"/>
      <c r="D533" s="80" t="n"/>
      <c r="E533" s="76" t="n"/>
      <c r="F533" s="76" t="n"/>
    </row>
    <row r="534">
      <c r="A534" s="79" t="n"/>
      <c r="B534" s="76" t="n"/>
      <c r="C534" s="76" t="n"/>
      <c r="D534" s="80" t="n"/>
      <c r="E534" s="76" t="n"/>
      <c r="F534" s="76" t="n"/>
    </row>
    <row r="535">
      <c r="A535" s="79" t="n"/>
      <c r="B535" s="76" t="n"/>
      <c r="C535" s="76" t="n"/>
      <c r="D535" s="80" t="n"/>
      <c r="E535" s="76" t="n"/>
      <c r="F535" s="76" t="n"/>
    </row>
    <row r="536">
      <c r="A536" s="79" t="n"/>
      <c r="B536" s="76" t="n"/>
      <c r="C536" s="76" t="n"/>
      <c r="D536" s="80" t="n"/>
      <c r="E536" s="76" t="n"/>
      <c r="F536" s="76" t="n"/>
    </row>
    <row r="537">
      <c r="A537" s="79" t="n"/>
      <c r="B537" s="76" t="n"/>
      <c r="C537" s="76" t="n"/>
      <c r="D537" s="80" t="n"/>
      <c r="E537" s="76" t="n"/>
      <c r="F537" s="76" t="n"/>
    </row>
    <row r="538">
      <c r="A538" s="79" t="n"/>
      <c r="B538" s="76" t="n"/>
      <c r="C538" s="76" t="n"/>
      <c r="D538" s="80" t="n"/>
      <c r="E538" s="76" t="n"/>
      <c r="F538" s="76" t="n"/>
    </row>
    <row r="539">
      <c r="A539" s="79" t="n"/>
      <c r="B539" s="76" t="n"/>
      <c r="C539" s="76" t="n"/>
      <c r="D539" s="80" t="n"/>
      <c r="E539" s="76" t="n"/>
      <c r="F539" s="76" t="n"/>
    </row>
    <row r="540">
      <c r="A540" s="79" t="n"/>
      <c r="B540" s="76" t="n"/>
      <c r="C540" s="76" t="n"/>
      <c r="D540" s="80" t="n"/>
      <c r="E540" s="76" t="n"/>
      <c r="F540" s="76" t="n"/>
    </row>
    <row r="541">
      <c r="A541" s="79" t="n"/>
      <c r="B541" s="76" t="n"/>
      <c r="C541" s="76" t="n"/>
      <c r="D541" s="80" t="n"/>
      <c r="E541" s="76" t="n"/>
      <c r="F541" s="76" t="n"/>
    </row>
    <row r="542">
      <c r="A542" s="79" t="n"/>
      <c r="B542" s="76" t="n"/>
      <c r="C542" s="76" t="n"/>
      <c r="D542" s="80" t="n"/>
      <c r="E542" s="76" t="n"/>
      <c r="F542" s="76" t="n"/>
    </row>
    <row r="543">
      <c r="A543" s="79" t="n"/>
      <c r="B543" s="76" t="n"/>
      <c r="C543" s="76" t="n"/>
      <c r="D543" s="80" t="n"/>
      <c r="E543" s="76" t="n"/>
      <c r="F543" s="76" t="n"/>
    </row>
    <row r="544">
      <c r="A544" s="79" t="n"/>
      <c r="B544" s="76" t="n"/>
      <c r="C544" s="76" t="n"/>
      <c r="D544" s="80" t="n"/>
      <c r="E544" s="76" t="n"/>
      <c r="F544" s="76" t="n"/>
    </row>
    <row r="545">
      <c r="A545" s="79" t="n"/>
      <c r="B545" s="76" t="n"/>
      <c r="C545" s="76" t="n"/>
      <c r="D545" s="80" t="n"/>
      <c r="E545" s="76" t="n"/>
      <c r="F545" s="76" t="n"/>
    </row>
    <row r="546">
      <c r="A546" s="79" t="n"/>
      <c r="B546" s="76" t="n"/>
      <c r="C546" s="76" t="n"/>
      <c r="D546" s="80" t="n"/>
      <c r="E546" s="76" t="n"/>
      <c r="F546" s="76" t="n"/>
    </row>
    <row r="547">
      <c r="A547" s="79" t="n"/>
      <c r="B547" s="76" t="n"/>
      <c r="C547" s="76" t="n"/>
      <c r="D547" s="80" t="n"/>
      <c r="E547" s="76" t="n"/>
      <c r="F547" s="76" t="n"/>
    </row>
    <row r="548">
      <c r="A548" s="79" t="n"/>
      <c r="B548" s="76" t="n"/>
      <c r="C548" s="76" t="n"/>
      <c r="D548" s="80" t="n"/>
      <c r="E548" s="76" t="n"/>
      <c r="F548" s="76" t="n"/>
    </row>
    <row r="549">
      <c r="A549" s="79" t="n"/>
      <c r="B549" s="76" t="n"/>
      <c r="C549" s="76" t="n"/>
      <c r="D549" s="80" t="n"/>
      <c r="E549" s="76" t="n"/>
      <c r="F549" s="76" t="n"/>
    </row>
    <row r="550">
      <c r="A550" s="79" t="n"/>
      <c r="B550" s="76" t="n"/>
      <c r="C550" s="76" t="n"/>
      <c r="D550" s="80" t="n"/>
      <c r="E550" s="76" t="n"/>
      <c r="F550" s="76" t="n"/>
    </row>
    <row r="551">
      <c r="A551" s="79" t="n"/>
      <c r="B551" s="76" t="n"/>
      <c r="C551" s="76" t="n"/>
      <c r="D551" s="80" t="n"/>
      <c r="E551" s="76" t="n"/>
      <c r="F551" s="76" t="n"/>
    </row>
    <row r="552">
      <c r="A552" s="79" t="n"/>
      <c r="B552" s="76" t="n"/>
      <c r="C552" s="76" t="n"/>
      <c r="D552" s="80" t="n"/>
      <c r="E552" s="76" t="n"/>
      <c r="F552" s="76" t="n"/>
    </row>
    <row r="553">
      <c r="A553" s="79" t="n"/>
      <c r="B553" s="76" t="n"/>
      <c r="C553" s="76" t="n"/>
      <c r="D553" s="80" t="n"/>
      <c r="E553" s="76" t="n"/>
      <c r="F553" s="76" t="n"/>
    </row>
    <row r="554">
      <c r="A554" s="79" t="n"/>
      <c r="B554" s="76" t="n"/>
      <c r="C554" s="76" t="n"/>
      <c r="D554" s="80" t="n"/>
      <c r="E554" s="76" t="n"/>
      <c r="F554" s="76" t="n"/>
    </row>
    <row r="555">
      <c r="A555" s="79" t="n"/>
      <c r="B555" s="76" t="n"/>
      <c r="C555" s="76" t="n"/>
      <c r="D555" s="80" t="n"/>
      <c r="E555" s="76" t="n"/>
      <c r="F555" s="76" t="n"/>
    </row>
    <row r="556">
      <c r="A556" s="79" t="n"/>
      <c r="B556" s="76" t="n"/>
      <c r="C556" s="76" t="n"/>
      <c r="D556" s="80" t="n"/>
      <c r="E556" s="76" t="n"/>
      <c r="F556" s="76" t="n"/>
    </row>
    <row r="557">
      <c r="A557" s="79" t="n"/>
      <c r="B557" s="76" t="n"/>
      <c r="C557" s="76" t="n"/>
      <c r="D557" s="80" t="n"/>
      <c r="E557" s="76" t="n"/>
      <c r="F557" s="76" t="n"/>
    </row>
    <row r="558">
      <c r="A558" s="79" t="n"/>
      <c r="B558" s="76" t="n"/>
      <c r="C558" s="76" t="n"/>
      <c r="D558" s="80" t="n"/>
      <c r="E558" s="76" t="n"/>
      <c r="F558" s="76" t="n"/>
    </row>
    <row r="559">
      <c r="A559" s="79" t="n"/>
      <c r="B559" s="76" t="n"/>
      <c r="C559" s="76" t="n"/>
      <c r="D559" s="80" t="n"/>
      <c r="E559" s="76" t="n"/>
      <c r="F559" s="76" t="n"/>
    </row>
    <row r="560">
      <c r="A560" s="79" t="n"/>
      <c r="B560" s="76" t="n"/>
      <c r="C560" s="76" t="n"/>
      <c r="D560" s="80" t="n"/>
      <c r="E560" s="76" t="n"/>
      <c r="F560" s="76" t="n"/>
    </row>
    <row r="561">
      <c r="A561" s="79" t="n"/>
      <c r="B561" s="76" t="n"/>
      <c r="C561" s="76" t="n"/>
      <c r="D561" s="80" t="n"/>
      <c r="E561" s="76" t="n"/>
      <c r="F561" s="76" t="n"/>
    </row>
    <row r="562">
      <c r="A562" s="79" t="n"/>
      <c r="B562" s="76" t="n"/>
      <c r="C562" s="76" t="n"/>
      <c r="D562" s="80" t="n"/>
      <c r="E562" s="76" t="n"/>
      <c r="F562" s="76" t="n"/>
    </row>
    <row r="563">
      <c r="A563" s="79" t="n"/>
      <c r="B563" s="76" t="n"/>
      <c r="C563" s="76" t="n"/>
      <c r="D563" s="80" t="n"/>
      <c r="E563" s="76" t="n"/>
      <c r="F563" s="76" t="n"/>
    </row>
    <row r="564">
      <c r="A564" s="79" t="n"/>
      <c r="B564" s="76" t="n"/>
      <c r="C564" s="76" t="n"/>
      <c r="D564" s="80" t="n"/>
      <c r="E564" s="76" t="n"/>
      <c r="F564" s="76" t="n"/>
    </row>
    <row r="565">
      <c r="A565" s="79" t="n"/>
      <c r="B565" s="76" t="n"/>
      <c r="C565" s="76" t="n"/>
      <c r="D565" s="80" t="n"/>
      <c r="E565" s="76" t="n"/>
      <c r="F565" s="76" t="n"/>
    </row>
    <row r="566">
      <c r="A566" s="79" t="n"/>
      <c r="B566" s="76" t="n"/>
      <c r="C566" s="76" t="n"/>
      <c r="D566" s="80" t="n"/>
      <c r="E566" s="76" t="n"/>
      <c r="F566" s="76" t="n"/>
    </row>
    <row r="567">
      <c r="A567" s="79" t="n"/>
      <c r="B567" s="76" t="n"/>
      <c r="C567" s="76" t="n"/>
      <c r="D567" s="80" t="n"/>
      <c r="E567" s="76" t="n"/>
      <c r="F567" s="76" t="n"/>
    </row>
    <row r="568">
      <c r="A568" s="79" t="n"/>
      <c r="B568" s="76" t="n"/>
      <c r="C568" s="76" t="n"/>
      <c r="D568" s="80" t="n"/>
      <c r="E568" s="76" t="n"/>
      <c r="F568" s="76" t="n"/>
    </row>
    <row r="569">
      <c r="A569" s="79" t="n"/>
      <c r="B569" s="76" t="n"/>
      <c r="C569" s="76" t="n"/>
      <c r="D569" s="80" t="n"/>
      <c r="E569" s="76" t="n"/>
      <c r="F569" s="76" t="n"/>
    </row>
    <row r="570">
      <c r="A570" s="79" t="n"/>
      <c r="B570" s="76" t="n"/>
      <c r="C570" s="76" t="n"/>
      <c r="D570" s="80" t="n"/>
      <c r="E570" s="76" t="n"/>
      <c r="F570" s="76" t="n"/>
    </row>
    <row r="571">
      <c r="A571" s="79" t="n"/>
      <c r="B571" s="76" t="n"/>
      <c r="C571" s="76" t="n"/>
      <c r="D571" s="80" t="n"/>
      <c r="E571" s="76" t="n"/>
      <c r="F571" s="76" t="n"/>
    </row>
    <row r="572">
      <c r="A572" s="79" t="n"/>
      <c r="B572" s="76" t="n"/>
      <c r="C572" s="76" t="n"/>
      <c r="D572" s="80" t="n"/>
      <c r="E572" s="76" t="n"/>
      <c r="F572" s="76" t="n"/>
    </row>
    <row r="573">
      <c r="A573" s="79" t="n"/>
      <c r="B573" s="76" t="n"/>
      <c r="C573" s="76" t="n"/>
      <c r="D573" s="80" t="n"/>
      <c r="E573" s="76" t="n"/>
      <c r="F573" s="76" t="n"/>
    </row>
    <row r="574">
      <c r="A574" s="79" t="n"/>
      <c r="B574" s="76" t="n"/>
      <c r="C574" s="76" t="n"/>
      <c r="D574" s="80" t="n"/>
      <c r="E574" s="76" t="n"/>
      <c r="F574" s="76" t="n"/>
    </row>
    <row r="575">
      <c r="A575" s="79" t="n"/>
      <c r="B575" s="76" t="n"/>
      <c r="C575" s="76" t="n"/>
      <c r="D575" s="80" t="n"/>
      <c r="E575" s="76" t="n"/>
      <c r="F575" s="76" t="n"/>
    </row>
    <row r="576">
      <c r="A576" s="79" t="n"/>
      <c r="B576" s="76" t="n"/>
      <c r="C576" s="76" t="n"/>
      <c r="D576" s="80" t="n"/>
      <c r="E576" s="76" t="n"/>
      <c r="F576" s="76" t="n"/>
    </row>
    <row r="577">
      <c r="A577" s="79" t="n"/>
      <c r="B577" s="76" t="n"/>
      <c r="C577" s="76" t="n"/>
      <c r="D577" s="80" t="n"/>
      <c r="E577" s="76" t="n"/>
      <c r="F577" s="76" t="n"/>
    </row>
    <row r="578">
      <c r="A578" s="79" t="n"/>
      <c r="B578" s="76" t="n"/>
      <c r="C578" s="76" t="n"/>
      <c r="D578" s="80" t="n"/>
      <c r="E578" s="76" t="n"/>
      <c r="F578" s="76" t="n"/>
    </row>
    <row r="579">
      <c r="A579" s="79" t="n"/>
      <c r="B579" s="76" t="n"/>
      <c r="C579" s="76" t="n"/>
      <c r="D579" s="80" t="n"/>
      <c r="E579" s="76" t="n"/>
      <c r="F579" s="76" t="n"/>
    </row>
    <row r="580">
      <c r="A580" s="79" t="n"/>
      <c r="B580" s="76" t="n"/>
      <c r="C580" s="76" t="n"/>
      <c r="D580" s="80" t="n"/>
      <c r="E580" s="76" t="n"/>
      <c r="F580" s="76" t="n"/>
    </row>
    <row r="581">
      <c r="A581" s="79" t="n"/>
      <c r="B581" s="76" t="n"/>
      <c r="C581" s="76" t="n"/>
      <c r="D581" s="80" t="n"/>
      <c r="E581" s="76" t="n"/>
      <c r="F581" s="76" t="n"/>
    </row>
    <row r="582">
      <c r="A582" s="79" t="n"/>
      <c r="B582" s="76" t="n"/>
      <c r="C582" s="76" t="n"/>
      <c r="D582" s="80" t="n"/>
      <c r="E582" s="76" t="n"/>
      <c r="F582" s="76" t="n"/>
    </row>
    <row r="583">
      <c r="A583" s="79" t="n"/>
      <c r="B583" s="76" t="n"/>
      <c r="C583" s="76" t="n"/>
      <c r="D583" s="80" t="n"/>
      <c r="E583" s="76" t="n"/>
      <c r="F583" s="76" t="n"/>
    </row>
    <row r="584">
      <c r="A584" s="79" t="n"/>
      <c r="B584" s="76" t="n"/>
      <c r="C584" s="76" t="n"/>
      <c r="D584" s="80" t="n"/>
      <c r="E584" s="76" t="n"/>
      <c r="F584" s="76" t="n"/>
    </row>
    <row r="585">
      <c r="A585" s="79" t="n"/>
      <c r="B585" s="76" t="n"/>
      <c r="C585" s="76" t="n"/>
      <c r="D585" s="80" t="n"/>
      <c r="E585" s="76" t="n"/>
      <c r="F585" s="76" t="n"/>
    </row>
    <row r="586">
      <c r="A586" s="79" t="n"/>
      <c r="B586" s="76" t="n"/>
      <c r="C586" s="76" t="n"/>
      <c r="D586" s="80" t="n"/>
      <c r="E586" s="76" t="n"/>
      <c r="F586" s="76" t="n"/>
    </row>
    <row r="587">
      <c r="A587" s="79" t="n"/>
      <c r="B587" s="76" t="n"/>
      <c r="C587" s="76" t="n"/>
      <c r="D587" s="80" t="n"/>
      <c r="E587" s="76" t="n"/>
      <c r="F587" s="76" t="n"/>
    </row>
    <row r="588">
      <c r="A588" s="79" t="n"/>
      <c r="B588" s="76" t="n"/>
      <c r="C588" s="76" t="n"/>
      <c r="D588" s="80" t="n"/>
      <c r="E588" s="76" t="n"/>
      <c r="F588" s="76" t="n"/>
    </row>
    <row r="589">
      <c r="A589" s="79" t="n"/>
      <c r="B589" s="76" t="n"/>
      <c r="C589" s="76" t="n"/>
      <c r="D589" s="80" t="n"/>
      <c r="E589" s="76" t="n"/>
      <c r="F589" s="76" t="n"/>
    </row>
    <row r="590">
      <c r="A590" s="79" t="n"/>
      <c r="B590" s="76" t="n"/>
      <c r="C590" s="76" t="n"/>
      <c r="D590" s="80" t="n"/>
      <c r="E590" s="76" t="n"/>
      <c r="F590" s="76" t="n"/>
    </row>
    <row r="591">
      <c r="A591" s="79" t="n"/>
      <c r="B591" s="76" t="n"/>
      <c r="C591" s="76" t="n"/>
      <c r="D591" s="80" t="n"/>
      <c r="E591" s="76" t="n"/>
      <c r="F591" s="76" t="n"/>
    </row>
    <row r="592">
      <c r="A592" s="79" t="n"/>
      <c r="B592" s="76" t="n"/>
      <c r="C592" s="76" t="n"/>
      <c r="D592" s="80" t="n"/>
      <c r="E592" s="76" t="n"/>
      <c r="F592" s="76" t="n"/>
    </row>
    <row r="593">
      <c r="A593" s="79" t="n"/>
      <c r="B593" s="76" t="n"/>
      <c r="C593" s="76" t="n"/>
      <c r="D593" s="80" t="n"/>
      <c r="E593" s="76" t="n"/>
      <c r="F593" s="76" t="n"/>
    </row>
    <row r="594">
      <c r="A594" s="79" t="n"/>
      <c r="B594" s="76" t="n"/>
      <c r="C594" s="76" t="n"/>
      <c r="D594" s="80" t="n"/>
      <c r="E594" s="76" t="n"/>
      <c r="F594" s="76" t="n"/>
    </row>
    <row r="595">
      <c r="A595" s="79" t="n"/>
      <c r="B595" s="76" t="n"/>
      <c r="C595" s="76" t="n"/>
      <c r="D595" s="80" t="n"/>
      <c r="E595" s="76" t="n"/>
      <c r="F595" s="76" t="n"/>
    </row>
    <row r="596">
      <c r="A596" s="79" t="n"/>
      <c r="B596" s="76" t="n"/>
      <c r="C596" s="76" t="n"/>
      <c r="D596" s="80" t="n"/>
      <c r="E596" s="76" t="n"/>
      <c r="F596" s="76" t="n"/>
    </row>
    <row r="597">
      <c r="A597" s="79" t="n"/>
      <c r="B597" s="76" t="n"/>
      <c r="C597" s="76" t="n"/>
      <c r="D597" s="80" t="n"/>
      <c r="E597" s="76" t="n"/>
      <c r="F597" s="76" t="n"/>
    </row>
    <row r="598">
      <c r="A598" s="79" t="n"/>
      <c r="B598" s="76" t="n"/>
      <c r="C598" s="76" t="n"/>
      <c r="D598" s="80" t="n"/>
      <c r="E598" s="76" t="n"/>
      <c r="F598" s="76" t="n"/>
    </row>
    <row r="599">
      <c r="A599" s="79" t="n"/>
      <c r="B599" s="76" t="n"/>
      <c r="C599" s="76" t="n"/>
      <c r="D599" s="80" t="n"/>
      <c r="E599" s="76" t="n"/>
      <c r="F599" s="76" t="n"/>
    </row>
    <row r="600">
      <c r="A600" s="79" t="n"/>
      <c r="B600" s="76" t="n"/>
      <c r="C600" s="76" t="n"/>
      <c r="D600" s="80" t="n"/>
      <c r="E600" s="76" t="n"/>
      <c r="F600" s="76" t="n"/>
    </row>
    <row r="601">
      <c r="A601" s="79" t="n"/>
      <c r="B601" s="76" t="n"/>
      <c r="C601" s="76" t="n"/>
      <c r="D601" s="80" t="n"/>
      <c r="E601" s="76" t="n"/>
      <c r="F601" s="76" t="n"/>
    </row>
    <row r="602">
      <c r="A602" s="79" t="n"/>
      <c r="B602" s="76" t="n"/>
      <c r="C602" s="76" t="n"/>
      <c r="D602" s="80" t="n"/>
      <c r="E602" s="76" t="n"/>
      <c r="F602" s="76" t="n"/>
    </row>
    <row r="603">
      <c r="A603" s="79" t="n"/>
      <c r="B603" s="76" t="n"/>
      <c r="C603" s="76" t="n"/>
      <c r="D603" s="80" t="n"/>
      <c r="E603" s="76" t="n"/>
      <c r="F603" s="76" t="n"/>
    </row>
    <row r="604">
      <c r="A604" s="79" t="n"/>
      <c r="B604" s="76" t="n"/>
      <c r="C604" s="76" t="n"/>
      <c r="D604" s="80" t="n"/>
      <c r="E604" s="76" t="n"/>
      <c r="F604" s="76" t="n"/>
    </row>
    <row r="605">
      <c r="A605" s="79" t="n"/>
      <c r="B605" s="76" t="n"/>
      <c r="C605" s="76" t="n"/>
      <c r="D605" s="80" t="n"/>
      <c r="E605" s="76" t="n"/>
      <c r="F605" s="76" t="n"/>
    </row>
    <row r="606">
      <c r="A606" s="79" t="n"/>
      <c r="B606" s="76" t="n"/>
      <c r="C606" s="76" t="n"/>
      <c r="D606" s="80" t="n"/>
      <c r="E606" s="76" t="n"/>
      <c r="F606" s="76" t="n"/>
    </row>
    <row r="607">
      <c r="A607" s="79" t="n"/>
      <c r="B607" s="76" t="n"/>
      <c r="C607" s="76" t="n"/>
      <c r="D607" s="80" t="n"/>
      <c r="E607" s="76" t="n"/>
      <c r="F607" s="76" t="n"/>
    </row>
    <row r="608">
      <c r="A608" s="79" t="n"/>
      <c r="B608" s="76" t="n"/>
      <c r="C608" s="76" t="n"/>
      <c r="D608" s="80" t="n"/>
      <c r="E608" s="76" t="n"/>
      <c r="F608" s="76" t="n"/>
    </row>
    <row r="609">
      <c r="A609" s="79" t="n"/>
      <c r="B609" s="76" t="n"/>
      <c r="C609" s="76" t="n"/>
      <c r="D609" s="80" t="n"/>
      <c r="E609" s="76" t="n"/>
      <c r="F609" s="76" t="n"/>
    </row>
    <row r="610">
      <c r="A610" s="79" t="n"/>
      <c r="B610" s="76" t="n"/>
      <c r="C610" s="76" t="n"/>
      <c r="D610" s="80" t="n"/>
      <c r="E610" s="76" t="n"/>
      <c r="F610" s="76" t="n"/>
    </row>
    <row r="611">
      <c r="A611" s="79" t="n"/>
      <c r="B611" s="76" t="n"/>
      <c r="C611" s="76" t="n"/>
      <c r="D611" s="80" t="n"/>
      <c r="E611" s="76" t="n"/>
      <c r="F611" s="76" t="n"/>
    </row>
    <row r="612">
      <c r="A612" s="79" t="n"/>
      <c r="B612" s="76" t="n"/>
      <c r="C612" s="76" t="n"/>
      <c r="D612" s="80" t="n"/>
      <c r="E612" s="76" t="n"/>
      <c r="F612" s="76" t="n"/>
    </row>
    <row r="613">
      <c r="A613" s="79" t="n"/>
      <c r="B613" s="76" t="n"/>
      <c r="C613" s="76" t="n"/>
      <c r="D613" s="80" t="n"/>
      <c r="E613" s="76" t="n"/>
      <c r="F613" s="76" t="n"/>
    </row>
    <row r="614">
      <c r="A614" s="79" t="n"/>
      <c r="B614" s="76" t="n"/>
      <c r="C614" s="76" t="n"/>
      <c r="D614" s="80" t="n"/>
      <c r="E614" s="76" t="n"/>
      <c r="F614" s="76" t="n"/>
    </row>
    <row r="615">
      <c r="A615" s="79" t="n"/>
      <c r="B615" s="76" t="n"/>
      <c r="C615" s="76" t="n"/>
      <c r="D615" s="80" t="n"/>
      <c r="E615" s="76" t="n"/>
      <c r="F615" s="76" t="n"/>
    </row>
    <row r="616">
      <c r="A616" s="79" t="n"/>
      <c r="B616" s="76" t="n"/>
      <c r="C616" s="76" t="n"/>
      <c r="D616" s="80" t="n"/>
      <c r="E616" s="76" t="n"/>
      <c r="F616" s="76" t="n"/>
    </row>
    <row r="617">
      <c r="A617" s="79" t="n"/>
      <c r="B617" s="76" t="n"/>
      <c r="C617" s="76" t="n"/>
      <c r="D617" s="80" t="n"/>
      <c r="E617" s="76" t="n"/>
      <c r="F617" s="76" t="n"/>
    </row>
    <row r="618">
      <c r="A618" s="79" t="n"/>
      <c r="B618" s="76" t="n"/>
      <c r="C618" s="76" t="n"/>
      <c r="D618" s="80" t="n"/>
      <c r="E618" s="76" t="n"/>
      <c r="F618" s="76" t="n"/>
    </row>
    <row r="619">
      <c r="A619" s="79" t="n"/>
      <c r="B619" s="76" t="n"/>
      <c r="C619" s="76" t="n"/>
      <c r="D619" s="80" t="n"/>
      <c r="E619" s="76" t="n"/>
      <c r="F619" s="76" t="n"/>
    </row>
    <row r="620">
      <c r="A620" s="79" t="n"/>
      <c r="B620" s="76" t="n"/>
      <c r="C620" s="76" t="n"/>
      <c r="D620" s="80" t="n"/>
      <c r="E620" s="76" t="n"/>
      <c r="F620" s="76" t="n"/>
    </row>
    <row r="621">
      <c r="A621" s="79" t="n"/>
      <c r="B621" s="76" t="n"/>
      <c r="C621" s="76" t="n"/>
      <c r="D621" s="80" t="n"/>
      <c r="E621" s="76" t="n"/>
      <c r="F621" s="76" t="n"/>
    </row>
    <row r="622">
      <c r="A622" s="79" t="n"/>
      <c r="B622" s="76" t="n"/>
      <c r="C622" s="76" t="n"/>
      <c r="D622" s="80" t="n"/>
      <c r="E622" s="76" t="n"/>
      <c r="F622" s="76" t="n"/>
    </row>
    <row r="623">
      <c r="A623" s="79" t="n"/>
      <c r="B623" s="76" t="n"/>
      <c r="C623" s="76" t="n"/>
      <c r="D623" s="80" t="n"/>
      <c r="E623" s="76" t="n"/>
      <c r="F623" s="76" t="n"/>
    </row>
    <row r="624">
      <c r="A624" s="79" t="n"/>
      <c r="B624" s="76" t="n"/>
      <c r="C624" s="76" t="n"/>
      <c r="D624" s="80" t="n"/>
      <c r="E624" s="76" t="n"/>
      <c r="F624" s="76" t="n"/>
    </row>
    <row r="625">
      <c r="A625" s="79" t="n"/>
      <c r="B625" s="76" t="n"/>
      <c r="C625" s="76" t="n"/>
      <c r="D625" s="80" t="n"/>
      <c r="E625" s="76" t="n"/>
      <c r="F625" s="76" t="n"/>
    </row>
    <row r="626">
      <c r="A626" s="79" t="n"/>
      <c r="B626" s="76" t="n"/>
      <c r="C626" s="76" t="n"/>
      <c r="D626" s="80" t="n"/>
      <c r="E626" s="76" t="n"/>
      <c r="F626" s="76" t="n"/>
    </row>
    <row r="627">
      <c r="A627" s="79" t="n"/>
      <c r="B627" s="76" t="n"/>
      <c r="C627" s="76" t="n"/>
      <c r="D627" s="80" t="n"/>
      <c r="E627" s="76" t="n"/>
      <c r="F627" s="76" t="n"/>
    </row>
    <row r="628">
      <c r="A628" s="79" t="n"/>
      <c r="B628" s="76" t="n"/>
      <c r="C628" s="76" t="n"/>
      <c r="D628" s="80" t="n"/>
      <c r="E628" s="76" t="n"/>
      <c r="F628" s="76" t="n"/>
    </row>
    <row r="629">
      <c r="A629" s="79" t="n"/>
      <c r="B629" s="76" t="n"/>
      <c r="C629" s="76" t="n"/>
      <c r="D629" s="80" t="n"/>
      <c r="E629" s="76" t="n"/>
      <c r="F629" s="76" t="n"/>
    </row>
    <row r="630">
      <c r="A630" s="79" t="n"/>
      <c r="B630" s="76" t="n"/>
      <c r="C630" s="76" t="n"/>
      <c r="D630" s="80" t="n"/>
      <c r="E630" s="76" t="n"/>
      <c r="F630" s="76" t="n"/>
    </row>
    <row r="631">
      <c r="A631" s="79" t="n"/>
      <c r="B631" s="76" t="n"/>
      <c r="C631" s="76" t="n"/>
      <c r="D631" s="80" t="n"/>
      <c r="E631" s="76" t="n"/>
      <c r="F631" s="76" t="n"/>
    </row>
    <row r="632">
      <c r="A632" s="79" t="n"/>
      <c r="B632" s="76" t="n"/>
      <c r="C632" s="76" t="n"/>
      <c r="D632" s="80" t="n"/>
      <c r="E632" s="76" t="n"/>
      <c r="F632" s="76" t="n"/>
    </row>
    <row r="633">
      <c r="A633" s="79" t="n"/>
      <c r="B633" s="76" t="n"/>
      <c r="C633" s="76" t="n"/>
      <c r="D633" s="80" t="n"/>
      <c r="E633" s="76" t="n"/>
      <c r="F633" s="76" t="n"/>
    </row>
    <row r="634">
      <c r="A634" s="79" t="n"/>
      <c r="B634" s="76" t="n"/>
      <c r="C634" s="76" t="n"/>
      <c r="D634" s="80" t="n"/>
      <c r="E634" s="76" t="n"/>
      <c r="F634" s="76" t="n"/>
    </row>
    <row r="635">
      <c r="A635" s="79" t="n"/>
      <c r="B635" s="76" t="n"/>
      <c r="C635" s="76" t="n"/>
      <c r="D635" s="80" t="n"/>
      <c r="E635" s="76" t="n"/>
      <c r="F635" s="76" t="n"/>
    </row>
    <row r="636">
      <c r="A636" s="79" t="n"/>
      <c r="B636" s="76" t="n"/>
      <c r="C636" s="76" t="n"/>
      <c r="D636" s="80" t="n"/>
      <c r="E636" s="76" t="n"/>
      <c r="F636" s="76" t="n"/>
    </row>
    <row r="637">
      <c r="A637" s="79" t="n"/>
      <c r="B637" s="76" t="n"/>
      <c r="C637" s="76" t="n"/>
      <c r="D637" s="80" t="n"/>
      <c r="E637" s="76" t="n"/>
      <c r="F637" s="76" t="n"/>
    </row>
    <row r="638">
      <c r="A638" s="79" t="n"/>
      <c r="B638" s="76" t="n"/>
      <c r="C638" s="76" t="n"/>
      <c r="D638" s="80" t="n"/>
      <c r="E638" s="76" t="n"/>
      <c r="F638" s="76" t="n"/>
    </row>
    <row r="639">
      <c r="A639" s="79" t="n"/>
      <c r="B639" s="76" t="n"/>
      <c r="C639" s="76" t="n"/>
      <c r="D639" s="80" t="n"/>
      <c r="E639" s="76" t="n"/>
      <c r="F639" s="76" t="n"/>
    </row>
    <row r="640">
      <c r="A640" s="79" t="n"/>
      <c r="B640" s="76" t="n"/>
      <c r="C640" s="76" t="n"/>
      <c r="D640" s="80" t="n"/>
      <c r="E640" s="76" t="n"/>
      <c r="F640" s="76" t="n"/>
    </row>
    <row r="641">
      <c r="A641" s="79" t="n"/>
      <c r="B641" s="76" t="n"/>
      <c r="C641" s="76" t="n"/>
      <c r="D641" s="80" t="n"/>
      <c r="E641" s="76" t="n"/>
      <c r="F641" s="76" t="n"/>
    </row>
    <row r="642">
      <c r="A642" s="79" t="n"/>
      <c r="B642" s="76" t="n"/>
      <c r="C642" s="76" t="n"/>
      <c r="D642" s="80" t="n"/>
      <c r="E642" s="76" t="n"/>
      <c r="F642" s="76" t="n"/>
    </row>
    <row r="643">
      <c r="A643" s="79" t="n"/>
      <c r="B643" s="76" t="n"/>
      <c r="C643" s="76" t="n"/>
      <c r="D643" s="80" t="n"/>
      <c r="E643" s="76" t="n"/>
      <c r="F643" s="76" t="n"/>
    </row>
    <row r="644">
      <c r="A644" s="79" t="n"/>
      <c r="B644" s="76" t="n"/>
      <c r="C644" s="76" t="n"/>
      <c r="D644" s="80" t="n"/>
      <c r="E644" s="76" t="n"/>
      <c r="F644" s="76" t="n"/>
    </row>
    <row r="645">
      <c r="A645" s="79" t="n"/>
      <c r="B645" s="76" t="n"/>
      <c r="C645" s="76" t="n"/>
      <c r="D645" s="80" t="n"/>
      <c r="E645" s="76" t="n"/>
      <c r="F645" s="76" t="n"/>
    </row>
    <row r="646">
      <c r="A646" s="79" t="n"/>
      <c r="B646" s="76" t="n"/>
      <c r="C646" s="76" t="n"/>
      <c r="D646" s="80" t="n"/>
      <c r="E646" s="76" t="n"/>
      <c r="F646" s="76" t="n"/>
    </row>
    <row r="647">
      <c r="A647" s="79" t="n"/>
      <c r="B647" s="76" t="n"/>
      <c r="C647" s="76" t="n"/>
      <c r="D647" s="80" t="n"/>
      <c r="E647" s="76" t="n"/>
      <c r="F647" s="76" t="n"/>
    </row>
    <row r="648">
      <c r="A648" s="79" t="n"/>
      <c r="B648" s="76" t="n"/>
      <c r="C648" s="76" t="n"/>
      <c r="D648" s="80" t="n"/>
      <c r="E648" s="76" t="n"/>
      <c r="F648" s="76" t="n"/>
    </row>
    <row r="649">
      <c r="A649" s="79" t="n"/>
      <c r="B649" s="76" t="n"/>
      <c r="C649" s="76" t="n"/>
      <c r="D649" s="80" t="n"/>
      <c r="E649" s="76" t="n"/>
      <c r="F649" s="76" t="n"/>
    </row>
    <row r="650">
      <c r="A650" s="79" t="n"/>
      <c r="B650" s="76" t="n"/>
      <c r="C650" s="76" t="n"/>
      <c r="D650" s="80" t="n"/>
      <c r="E650" s="76" t="n"/>
      <c r="F650" s="76" t="n"/>
    </row>
    <row r="651">
      <c r="A651" s="79" t="n"/>
      <c r="B651" s="76" t="n"/>
      <c r="C651" s="76" t="n"/>
      <c r="D651" s="80" t="n"/>
      <c r="E651" s="76" t="n"/>
      <c r="F651" s="76" t="n"/>
    </row>
    <row r="652">
      <c r="A652" s="79" t="n"/>
      <c r="B652" s="76" t="n"/>
      <c r="C652" s="76" t="n"/>
      <c r="D652" s="80" t="n"/>
      <c r="E652" s="76" t="n"/>
      <c r="F652" s="76" t="n"/>
    </row>
    <row r="653">
      <c r="A653" s="79" t="n"/>
      <c r="B653" s="76" t="n"/>
      <c r="C653" s="76" t="n"/>
      <c r="D653" s="80" t="n"/>
      <c r="E653" s="76" t="n"/>
      <c r="F653" s="76" t="n"/>
    </row>
    <row r="654">
      <c r="A654" s="79" t="n"/>
      <c r="B654" s="76" t="n"/>
      <c r="C654" s="76" t="n"/>
      <c r="D654" s="80" t="n"/>
      <c r="E654" s="76" t="n"/>
      <c r="F654" s="76" t="n"/>
    </row>
    <row r="655">
      <c r="A655" s="79" t="n"/>
      <c r="B655" s="76" t="n"/>
      <c r="C655" s="76" t="n"/>
      <c r="D655" s="80" t="n"/>
      <c r="E655" s="76" t="n"/>
      <c r="F655" s="76" t="n"/>
    </row>
    <row r="656">
      <c r="A656" s="79" t="n"/>
      <c r="B656" s="76" t="n"/>
      <c r="C656" s="76" t="n"/>
      <c r="D656" s="80" t="n"/>
      <c r="E656" s="76" t="n"/>
      <c r="F656" s="76" t="n"/>
    </row>
    <row r="657">
      <c r="A657" s="79" t="n"/>
      <c r="B657" s="76" t="n"/>
      <c r="C657" s="76" t="n"/>
      <c r="D657" s="80" t="n"/>
      <c r="E657" s="76" t="n"/>
      <c r="F657" s="76" t="n"/>
    </row>
    <row r="658">
      <c r="A658" s="79" t="n"/>
      <c r="B658" s="76" t="n"/>
      <c r="C658" s="76" t="n"/>
      <c r="D658" s="80" t="n"/>
      <c r="E658" s="76" t="n"/>
      <c r="F658" s="76" t="n"/>
    </row>
    <row r="659">
      <c r="A659" s="79" t="n"/>
      <c r="B659" s="76" t="n"/>
      <c r="C659" s="76" t="n"/>
      <c r="D659" s="80" t="n"/>
      <c r="E659" s="76" t="n"/>
      <c r="F659" s="76" t="n"/>
    </row>
    <row r="660">
      <c r="A660" s="79" t="n"/>
      <c r="B660" s="76" t="n"/>
      <c r="C660" s="76" t="n"/>
      <c r="D660" s="80" t="n"/>
      <c r="E660" s="76" t="n"/>
      <c r="F660" s="76" t="n"/>
    </row>
    <row r="661">
      <c r="A661" s="79" t="n"/>
      <c r="B661" s="76" t="n"/>
      <c r="C661" s="76" t="n"/>
      <c r="D661" s="80" t="n"/>
      <c r="E661" s="76" t="n"/>
      <c r="F661" s="76" t="n"/>
    </row>
    <row r="662">
      <c r="A662" s="79" t="n"/>
      <c r="B662" s="76" t="n"/>
      <c r="C662" s="76" t="n"/>
      <c r="D662" s="80" t="n"/>
      <c r="E662" s="76" t="n"/>
      <c r="F662" s="76" t="n"/>
    </row>
    <row r="663">
      <c r="A663" s="79" t="n"/>
      <c r="B663" s="76" t="n"/>
      <c r="C663" s="76" t="n"/>
      <c r="D663" s="80" t="n"/>
      <c r="E663" s="76" t="n"/>
      <c r="F663" s="76" t="n"/>
    </row>
    <row r="664">
      <c r="A664" s="79" t="n"/>
      <c r="B664" s="76" t="n"/>
      <c r="C664" s="76" t="n"/>
      <c r="D664" s="80" t="n"/>
      <c r="E664" s="76" t="n"/>
      <c r="F664" s="76" t="n"/>
    </row>
    <row r="665">
      <c r="A665" s="79" t="n"/>
      <c r="B665" s="76" t="n"/>
      <c r="C665" s="76" t="n"/>
      <c r="D665" s="80" t="n"/>
      <c r="E665" s="76" t="n"/>
      <c r="F665" s="76" t="n"/>
    </row>
    <row r="666">
      <c r="A666" s="79" t="n"/>
      <c r="B666" s="76" t="n"/>
      <c r="C666" s="76" t="n"/>
      <c r="D666" s="80" t="n"/>
      <c r="E666" s="76" t="n"/>
      <c r="F666" s="76" t="n"/>
    </row>
    <row r="667">
      <c r="A667" s="79" t="n"/>
      <c r="B667" s="76" t="n"/>
      <c r="C667" s="76" t="n"/>
      <c r="D667" s="80" t="n"/>
      <c r="E667" s="76" t="n"/>
      <c r="F667" s="76" t="n"/>
    </row>
    <row r="668">
      <c r="A668" s="79" t="n"/>
      <c r="B668" s="76" t="n"/>
      <c r="C668" s="76" t="n"/>
      <c r="D668" s="80" t="n"/>
      <c r="E668" s="76" t="n"/>
      <c r="F668" s="76" t="n"/>
    </row>
    <row r="669">
      <c r="A669" s="79" t="n"/>
      <c r="B669" s="76" t="n"/>
      <c r="C669" s="76" t="n"/>
      <c r="D669" s="80" t="n"/>
      <c r="E669" s="76" t="n"/>
      <c r="F669" s="76" t="n"/>
    </row>
    <row r="670">
      <c r="A670" s="79" t="n"/>
      <c r="B670" s="76" t="n"/>
      <c r="C670" s="76" t="n"/>
      <c r="D670" s="80" t="n"/>
      <c r="E670" s="76" t="n"/>
      <c r="F670" s="76" t="n"/>
    </row>
    <row r="671">
      <c r="A671" s="79" t="n"/>
      <c r="B671" s="76" t="n"/>
      <c r="C671" s="76" t="n"/>
      <c r="D671" s="80" t="n"/>
      <c r="E671" s="76" t="n"/>
      <c r="F671" s="76" t="n"/>
    </row>
    <row r="672">
      <c r="A672" s="79" t="n"/>
      <c r="B672" s="76" t="n"/>
      <c r="C672" s="76" t="n"/>
      <c r="D672" s="80" t="n"/>
      <c r="E672" s="76" t="n"/>
      <c r="F672" s="76" t="n"/>
    </row>
    <row r="673">
      <c r="A673" s="79" t="n"/>
      <c r="B673" s="76" t="n"/>
      <c r="C673" s="76" t="n"/>
      <c r="D673" s="80" t="n"/>
      <c r="E673" s="76" t="n"/>
      <c r="F673" s="76" t="n"/>
    </row>
    <row r="674">
      <c r="A674" s="79" t="n"/>
      <c r="B674" s="76" t="n"/>
      <c r="C674" s="76" t="n"/>
      <c r="D674" s="80" t="n"/>
      <c r="E674" s="76" t="n"/>
      <c r="F674" s="76" t="n"/>
    </row>
    <row r="675">
      <c r="A675" s="79" t="n"/>
      <c r="B675" s="76" t="n"/>
      <c r="C675" s="76" t="n"/>
      <c r="D675" s="80" t="n"/>
      <c r="E675" s="76" t="n"/>
      <c r="F675" s="76" t="n"/>
    </row>
    <row r="676">
      <c r="A676" s="79" t="n"/>
      <c r="B676" s="76" t="n"/>
      <c r="C676" s="76" t="n"/>
      <c r="D676" s="80" t="n"/>
      <c r="E676" s="76" t="n"/>
      <c r="F676" s="76" t="n"/>
    </row>
    <row r="677">
      <c r="A677" s="79" t="n"/>
      <c r="B677" s="76" t="n"/>
      <c r="C677" s="76" t="n"/>
      <c r="D677" s="80" t="n"/>
      <c r="E677" s="76" t="n"/>
      <c r="F677" s="76" t="n"/>
    </row>
    <row r="678">
      <c r="A678" s="79" t="n"/>
      <c r="B678" s="76" t="n"/>
      <c r="C678" s="76" t="n"/>
      <c r="D678" s="80" t="n"/>
      <c r="E678" s="76" t="n"/>
      <c r="F678" s="76" t="n"/>
    </row>
    <row r="679">
      <c r="A679" s="79" t="n"/>
      <c r="B679" s="76" t="n"/>
      <c r="C679" s="76" t="n"/>
      <c r="D679" s="80" t="n"/>
      <c r="E679" s="76" t="n"/>
      <c r="F679" s="76" t="n"/>
    </row>
    <row r="680">
      <c r="A680" s="79" t="n"/>
      <c r="B680" s="76" t="n"/>
      <c r="C680" s="76" t="n"/>
      <c r="D680" s="80" t="n"/>
      <c r="E680" s="76" t="n"/>
      <c r="F680" s="76" t="n"/>
    </row>
    <row r="681">
      <c r="A681" s="79" t="n"/>
      <c r="B681" s="76" t="n"/>
      <c r="C681" s="76" t="n"/>
      <c r="D681" s="80" t="n"/>
      <c r="E681" s="76" t="n"/>
      <c r="F681" s="76" t="n"/>
    </row>
    <row r="682">
      <c r="A682" s="79" t="n"/>
      <c r="B682" s="76" t="n"/>
      <c r="C682" s="76" t="n"/>
      <c r="D682" s="80" t="n"/>
      <c r="E682" s="76" t="n"/>
      <c r="F682" s="76" t="n"/>
    </row>
    <row r="683">
      <c r="A683" s="79" t="n"/>
      <c r="B683" s="76" t="n"/>
      <c r="C683" s="76" t="n"/>
      <c r="D683" s="80" t="n"/>
      <c r="E683" s="76" t="n"/>
      <c r="F683" s="76" t="n"/>
    </row>
    <row r="684">
      <c r="A684" s="79" t="n"/>
      <c r="B684" s="76" t="n"/>
      <c r="C684" s="76" t="n"/>
      <c r="D684" s="80" t="n"/>
      <c r="E684" s="76" t="n"/>
      <c r="F684" s="76" t="n"/>
    </row>
    <row r="685">
      <c r="A685" s="79" t="n"/>
      <c r="B685" s="76" t="n"/>
      <c r="C685" s="76" t="n"/>
      <c r="D685" s="80" t="n"/>
      <c r="E685" s="76" t="n"/>
      <c r="F685" s="76" t="n"/>
    </row>
    <row r="686">
      <c r="A686" s="79" t="n"/>
      <c r="B686" s="76" t="n"/>
      <c r="C686" s="76" t="n"/>
      <c r="D686" s="80" t="n"/>
      <c r="E686" s="76" t="n"/>
      <c r="F686" s="76" t="n"/>
    </row>
    <row r="687">
      <c r="A687" s="79" t="n"/>
      <c r="B687" s="76" t="n"/>
      <c r="C687" s="76" t="n"/>
      <c r="D687" s="80" t="n"/>
      <c r="E687" s="76" t="n"/>
      <c r="F687" s="76" t="n"/>
    </row>
    <row r="688">
      <c r="A688" s="79" t="n"/>
      <c r="B688" s="76" t="n"/>
      <c r="C688" s="76" t="n"/>
      <c r="D688" s="80" t="n"/>
      <c r="E688" s="76" t="n"/>
      <c r="F688" s="76" t="n"/>
    </row>
    <row r="689">
      <c r="A689" s="79" t="n"/>
      <c r="B689" s="76" t="n"/>
      <c r="C689" s="76" t="n"/>
      <c r="D689" s="80" t="n"/>
      <c r="E689" s="76" t="n"/>
      <c r="F689" s="76" t="n"/>
    </row>
    <row r="690">
      <c r="A690" s="79" t="n"/>
      <c r="B690" s="76" t="n"/>
      <c r="C690" s="76" t="n"/>
      <c r="D690" s="80" t="n"/>
      <c r="E690" s="76" t="n"/>
      <c r="F690" s="76" t="n"/>
    </row>
    <row r="691">
      <c r="A691" s="79" t="n"/>
      <c r="B691" s="76" t="n"/>
      <c r="C691" s="76" t="n"/>
      <c r="D691" s="80" t="n"/>
      <c r="E691" s="76" t="n"/>
      <c r="F691" s="76" t="n"/>
    </row>
    <row r="692">
      <c r="A692" s="79" t="n"/>
      <c r="B692" s="76" t="n"/>
      <c r="C692" s="76" t="n"/>
      <c r="D692" s="80" t="n"/>
      <c r="E692" s="76" t="n"/>
      <c r="F692" s="76" t="n"/>
    </row>
    <row r="693">
      <c r="A693" s="79" t="n"/>
      <c r="B693" s="76" t="n"/>
      <c r="C693" s="76" t="n"/>
      <c r="D693" s="80" t="n"/>
      <c r="E693" s="76" t="n"/>
      <c r="F693" s="76" t="n"/>
    </row>
    <row r="694">
      <c r="A694" s="79" t="n"/>
      <c r="B694" s="76" t="n"/>
      <c r="C694" s="76" t="n"/>
      <c r="D694" s="80" t="n"/>
      <c r="E694" s="76" t="n"/>
      <c r="F694" s="76" t="n"/>
    </row>
    <row r="695">
      <c r="A695" s="79" t="n"/>
      <c r="B695" s="76" t="n"/>
      <c r="C695" s="76" t="n"/>
      <c r="D695" s="80" t="n"/>
      <c r="E695" s="76" t="n"/>
      <c r="F695" s="76" t="n"/>
    </row>
    <row r="696">
      <c r="A696" s="79" t="n"/>
      <c r="B696" s="76" t="n"/>
      <c r="C696" s="76" t="n"/>
      <c r="D696" s="80" t="n"/>
      <c r="E696" s="76" t="n"/>
      <c r="F696" s="76" t="n"/>
    </row>
    <row r="697">
      <c r="A697" s="79" t="n"/>
      <c r="B697" s="76" t="n"/>
      <c r="C697" s="76" t="n"/>
      <c r="D697" s="80" t="n"/>
      <c r="E697" s="76" t="n"/>
      <c r="F697" s="76" t="n"/>
    </row>
    <row r="698">
      <c r="A698" s="79" t="n"/>
      <c r="B698" s="76" t="n"/>
      <c r="C698" s="76" t="n"/>
      <c r="D698" s="80" t="n"/>
      <c r="E698" s="76" t="n"/>
      <c r="F698" s="76" t="n"/>
    </row>
    <row r="699">
      <c r="A699" s="79" t="n"/>
      <c r="B699" s="76" t="n"/>
      <c r="C699" s="76" t="n"/>
      <c r="D699" s="80" t="n"/>
      <c r="E699" s="76" t="n"/>
      <c r="F699" s="76" t="n"/>
    </row>
    <row r="700">
      <c r="A700" s="79" t="n"/>
      <c r="B700" s="76" t="n"/>
      <c r="C700" s="76" t="n"/>
      <c r="D700" s="80" t="n"/>
      <c r="E700" s="76" t="n"/>
      <c r="F700" s="76" t="n"/>
    </row>
    <row r="701">
      <c r="A701" s="79" t="n"/>
      <c r="B701" s="76" t="n"/>
      <c r="C701" s="76" t="n"/>
      <c r="D701" s="80" t="n"/>
      <c r="E701" s="76" t="n"/>
      <c r="F701" s="76" t="n"/>
    </row>
    <row r="702">
      <c r="A702" s="79" t="n"/>
      <c r="B702" s="76" t="n"/>
      <c r="C702" s="76" t="n"/>
      <c r="D702" s="80" t="n"/>
      <c r="E702" s="76" t="n"/>
      <c r="F702" s="76" t="n"/>
    </row>
    <row r="703">
      <c r="A703" s="79" t="n"/>
      <c r="B703" s="76" t="n"/>
      <c r="C703" s="76" t="n"/>
      <c r="D703" s="80" t="n"/>
      <c r="E703" s="76" t="n"/>
      <c r="F703" s="76" t="n"/>
    </row>
    <row r="704">
      <c r="A704" s="79" t="n"/>
      <c r="B704" s="76" t="n"/>
      <c r="C704" s="76" t="n"/>
      <c r="D704" s="80" t="n"/>
      <c r="E704" s="76" t="n"/>
      <c r="F704" s="76" t="n"/>
    </row>
    <row r="705">
      <c r="A705" s="79" t="n"/>
      <c r="B705" s="76" t="n"/>
      <c r="C705" s="76" t="n"/>
      <c r="D705" s="80" t="n"/>
      <c r="E705" s="76" t="n"/>
      <c r="F705" s="76" t="n"/>
    </row>
    <row r="706">
      <c r="A706" s="79" t="n"/>
      <c r="B706" s="76" t="n"/>
      <c r="C706" s="76" t="n"/>
      <c r="D706" s="80" t="n"/>
      <c r="E706" s="76" t="n"/>
      <c r="F706" s="76" t="n"/>
    </row>
    <row r="707">
      <c r="A707" s="79" t="n"/>
      <c r="B707" s="76" t="n"/>
      <c r="C707" s="76" t="n"/>
      <c r="D707" s="80" t="n"/>
      <c r="E707" s="76" t="n"/>
      <c r="F707" s="76" t="n"/>
    </row>
    <row r="708">
      <c r="A708" s="79" t="n"/>
      <c r="B708" s="76" t="n"/>
      <c r="C708" s="76" t="n"/>
      <c r="D708" s="80" t="n"/>
      <c r="E708" s="76" t="n"/>
      <c r="F708" s="76" t="n"/>
    </row>
    <row r="709">
      <c r="A709" s="79" t="n"/>
      <c r="B709" s="76" t="n"/>
      <c r="C709" s="76" t="n"/>
      <c r="D709" s="80" t="n"/>
      <c r="E709" s="76" t="n"/>
      <c r="F709" s="76" t="n"/>
    </row>
    <row r="710">
      <c r="A710" s="79" t="n"/>
      <c r="B710" s="76" t="n"/>
      <c r="C710" s="76" t="n"/>
      <c r="D710" s="80" t="n"/>
      <c r="E710" s="76" t="n"/>
      <c r="F710" s="76" t="n"/>
    </row>
    <row r="711">
      <c r="A711" s="79" t="n"/>
      <c r="B711" s="76" t="n"/>
      <c r="C711" s="76" t="n"/>
      <c r="D711" s="80" t="n"/>
      <c r="E711" s="76" t="n"/>
      <c r="F711" s="76" t="n"/>
    </row>
    <row r="712">
      <c r="A712" s="79" t="n"/>
      <c r="B712" s="76" t="n"/>
      <c r="C712" s="76" t="n"/>
      <c r="D712" s="80" t="n"/>
      <c r="E712" s="76" t="n"/>
      <c r="F712" s="76" t="n"/>
    </row>
    <row r="713">
      <c r="A713" s="79" t="n"/>
      <c r="B713" s="76" t="n"/>
      <c r="C713" s="76" t="n"/>
      <c r="D713" s="80" t="n"/>
      <c r="E713" s="76" t="n"/>
      <c r="F713" s="76" t="n"/>
    </row>
    <row r="714">
      <c r="A714" s="79" t="n"/>
      <c r="B714" s="76" t="n"/>
      <c r="C714" s="76" t="n"/>
      <c r="D714" s="80" t="n"/>
      <c r="E714" s="76" t="n"/>
      <c r="F714" s="76" t="n"/>
    </row>
    <row r="715">
      <c r="A715" s="79" t="n"/>
      <c r="B715" s="76" t="n"/>
      <c r="C715" s="76" t="n"/>
      <c r="D715" s="80" t="n"/>
      <c r="E715" s="76" t="n"/>
      <c r="F715" s="76" t="n"/>
    </row>
    <row r="716">
      <c r="A716" s="79" t="n"/>
      <c r="B716" s="76" t="n"/>
      <c r="C716" s="76" t="n"/>
      <c r="D716" s="80" t="n"/>
      <c r="E716" s="76" t="n"/>
      <c r="F716" s="76" t="n"/>
    </row>
    <row r="717">
      <c r="A717" s="79" t="n"/>
      <c r="B717" s="76" t="n"/>
      <c r="C717" s="76" t="n"/>
      <c r="D717" s="80" t="n"/>
      <c r="E717" s="76" t="n"/>
      <c r="F717" s="76" t="n"/>
    </row>
    <row r="718">
      <c r="A718" s="79" t="n"/>
      <c r="B718" s="76" t="n"/>
      <c r="C718" s="76" t="n"/>
      <c r="D718" s="80" t="n"/>
      <c r="E718" s="76" t="n"/>
      <c r="F718" s="76" t="n"/>
    </row>
    <row r="719">
      <c r="A719" s="79" t="n"/>
      <c r="B719" s="76" t="n"/>
      <c r="C719" s="76" t="n"/>
      <c r="D719" s="80" t="n"/>
      <c r="E719" s="76" t="n"/>
      <c r="F719" s="76" t="n"/>
    </row>
    <row r="720">
      <c r="A720" s="79" t="n"/>
      <c r="B720" s="76" t="n"/>
      <c r="C720" s="76" t="n"/>
      <c r="D720" s="80" t="n"/>
      <c r="E720" s="76" t="n"/>
      <c r="F720" s="76" t="n"/>
    </row>
    <row r="721">
      <c r="A721" s="79" t="n"/>
      <c r="B721" s="76" t="n"/>
      <c r="C721" s="76" t="n"/>
      <c r="D721" s="80" t="n"/>
      <c r="E721" s="76" t="n"/>
      <c r="F721" s="76" t="n"/>
    </row>
    <row r="722">
      <c r="A722" s="79" t="n"/>
      <c r="B722" s="76" t="n"/>
      <c r="C722" s="76" t="n"/>
      <c r="D722" s="80" t="n"/>
      <c r="E722" s="76" t="n"/>
      <c r="F722" s="76" t="n"/>
    </row>
    <row r="723">
      <c r="A723" s="79" t="n"/>
      <c r="B723" s="76" t="n"/>
      <c r="C723" s="76" t="n"/>
      <c r="D723" s="80" t="n"/>
      <c r="E723" s="76" t="n"/>
      <c r="F723" s="76" t="n"/>
    </row>
    <row r="724">
      <c r="A724" s="79" t="n"/>
      <c r="B724" s="76" t="n"/>
      <c r="C724" s="76" t="n"/>
      <c r="D724" s="80" t="n"/>
      <c r="E724" s="76" t="n"/>
      <c r="F724" s="76" t="n"/>
    </row>
    <row r="725">
      <c r="A725" s="79" t="n"/>
      <c r="B725" s="76" t="n"/>
      <c r="C725" s="76" t="n"/>
      <c r="D725" s="80" t="n"/>
      <c r="E725" s="76" t="n"/>
      <c r="F725" s="76" t="n"/>
    </row>
    <row r="726">
      <c r="A726" s="79" t="n"/>
      <c r="B726" s="76" t="n"/>
      <c r="C726" s="76" t="n"/>
      <c r="D726" s="80" t="n"/>
      <c r="E726" s="76" t="n"/>
      <c r="F726" s="76" t="n"/>
    </row>
    <row r="727">
      <c r="A727" s="79" t="n"/>
      <c r="B727" s="76" t="n"/>
      <c r="C727" s="76" t="n"/>
      <c r="D727" s="80" t="n"/>
      <c r="E727" s="76" t="n"/>
      <c r="F727" s="76" t="n"/>
    </row>
    <row r="728">
      <c r="A728" s="79" t="n"/>
      <c r="B728" s="76" t="n"/>
      <c r="C728" s="76" t="n"/>
      <c r="D728" s="80" t="n"/>
      <c r="E728" s="76" t="n"/>
      <c r="F728" s="76" t="n"/>
    </row>
    <row r="729">
      <c r="A729" s="79" t="n"/>
      <c r="B729" s="76" t="n"/>
      <c r="C729" s="76" t="n"/>
      <c r="D729" s="80" t="n"/>
      <c r="E729" s="76" t="n"/>
      <c r="F729" s="76" t="n"/>
    </row>
    <row r="730">
      <c r="A730" s="79" t="n"/>
      <c r="B730" s="76" t="n"/>
      <c r="C730" s="76" t="n"/>
      <c r="D730" s="80" t="n"/>
      <c r="E730" s="76" t="n"/>
      <c r="F730" s="76" t="n"/>
    </row>
    <row r="731">
      <c r="A731" s="79" t="n"/>
      <c r="B731" s="76" t="n"/>
      <c r="C731" s="76" t="n"/>
      <c r="D731" s="80" t="n"/>
      <c r="E731" s="76" t="n"/>
      <c r="F731" s="76" t="n"/>
    </row>
    <row r="732">
      <c r="A732" s="79" t="n"/>
      <c r="B732" s="76" t="n"/>
      <c r="C732" s="76" t="n"/>
      <c r="D732" s="80" t="n"/>
      <c r="E732" s="76" t="n"/>
      <c r="F732" s="76" t="n"/>
    </row>
    <row r="733">
      <c r="A733" s="79" t="n"/>
      <c r="B733" s="76" t="n"/>
      <c r="C733" s="76" t="n"/>
      <c r="D733" s="80" t="n"/>
      <c r="E733" s="76" t="n"/>
      <c r="F733" s="76" t="n"/>
    </row>
    <row r="734">
      <c r="A734" s="79" t="n"/>
      <c r="B734" s="76" t="n"/>
      <c r="C734" s="76" t="n"/>
      <c r="D734" s="80" t="n"/>
      <c r="E734" s="76" t="n"/>
      <c r="F734" s="76" t="n"/>
    </row>
    <row r="735">
      <c r="A735" s="79" t="n"/>
      <c r="B735" s="76" t="n"/>
      <c r="C735" s="76" t="n"/>
      <c r="D735" s="80" t="n"/>
      <c r="E735" s="76" t="n"/>
      <c r="F735" s="76" t="n"/>
    </row>
    <row r="736">
      <c r="A736" s="79" t="n"/>
      <c r="B736" s="76" t="n"/>
      <c r="C736" s="76" t="n"/>
      <c r="D736" s="80" t="n"/>
      <c r="E736" s="76" t="n"/>
      <c r="F736" s="76" t="n"/>
    </row>
    <row r="737">
      <c r="A737" s="79" t="n"/>
      <c r="B737" s="76" t="n"/>
      <c r="C737" s="76" t="n"/>
      <c r="D737" s="80" t="n"/>
      <c r="E737" s="76" t="n"/>
      <c r="F737" s="76" t="n"/>
    </row>
    <row r="738">
      <c r="A738" s="79" t="n"/>
      <c r="B738" s="76" t="n"/>
      <c r="C738" s="76" t="n"/>
      <c r="D738" s="80" t="n"/>
      <c r="E738" s="76" t="n"/>
      <c r="F738" s="76" t="n"/>
    </row>
    <row r="739">
      <c r="A739" s="79" t="n"/>
      <c r="B739" s="76" t="n"/>
      <c r="C739" s="76" t="n"/>
      <c r="D739" s="80" t="n"/>
      <c r="E739" s="76" t="n"/>
      <c r="F739" s="76" t="n"/>
    </row>
    <row r="740">
      <c r="A740" s="79" t="n"/>
      <c r="B740" s="76" t="n"/>
      <c r="C740" s="76" t="n"/>
      <c r="D740" s="80" t="n"/>
      <c r="E740" s="76" t="n"/>
      <c r="F740" s="76" t="n"/>
    </row>
    <row r="741">
      <c r="A741" s="79" t="n"/>
      <c r="B741" s="76" t="n"/>
      <c r="C741" s="76" t="n"/>
      <c r="D741" s="80" t="n"/>
      <c r="E741" s="76" t="n"/>
      <c r="F741" s="76" t="n"/>
    </row>
    <row r="742">
      <c r="A742" s="79" t="n"/>
      <c r="B742" s="76" t="n"/>
      <c r="C742" s="76" t="n"/>
      <c r="D742" s="80" t="n"/>
      <c r="E742" s="76" t="n"/>
      <c r="F742" s="76" t="n"/>
    </row>
    <row r="743">
      <c r="A743" s="79" t="n"/>
      <c r="B743" s="76" t="n"/>
      <c r="C743" s="76" t="n"/>
      <c r="D743" s="80" t="n"/>
      <c r="E743" s="76" t="n"/>
      <c r="F743" s="76" t="n"/>
    </row>
    <row r="744">
      <c r="A744" s="79" t="n"/>
      <c r="B744" s="76" t="n"/>
      <c r="C744" s="76" t="n"/>
      <c r="D744" s="80" t="n"/>
      <c r="E744" s="76" t="n"/>
      <c r="F744" s="76" t="n"/>
    </row>
    <row r="745">
      <c r="A745" s="79" t="n"/>
      <c r="B745" s="76" t="n"/>
      <c r="C745" s="76" t="n"/>
      <c r="D745" s="80" t="n"/>
      <c r="E745" s="76" t="n"/>
      <c r="F745" s="76" t="n"/>
    </row>
    <row r="746">
      <c r="A746" s="79" t="n"/>
      <c r="B746" s="76" t="n"/>
      <c r="C746" s="76" t="n"/>
      <c r="D746" s="80" t="n"/>
      <c r="E746" s="76" t="n"/>
      <c r="F746" s="76" t="n"/>
    </row>
    <row r="747">
      <c r="A747" s="79" t="n"/>
      <c r="B747" s="76" t="n"/>
      <c r="C747" s="76" t="n"/>
      <c r="D747" s="80" t="n"/>
      <c r="E747" s="76" t="n"/>
      <c r="F747" s="76" t="n"/>
    </row>
    <row r="748">
      <c r="A748" s="79" t="n"/>
      <c r="B748" s="76" t="n"/>
      <c r="C748" s="76" t="n"/>
      <c r="D748" s="80" t="n"/>
      <c r="E748" s="76" t="n"/>
      <c r="F748" s="76" t="n"/>
    </row>
    <row r="749">
      <c r="A749" s="79" t="n"/>
      <c r="B749" s="76" t="n"/>
      <c r="C749" s="76" t="n"/>
      <c r="D749" s="80" t="n"/>
      <c r="E749" s="76" t="n"/>
      <c r="F749" s="76" t="n"/>
    </row>
    <row r="750">
      <c r="A750" s="79" t="n"/>
      <c r="B750" s="76" t="n"/>
      <c r="C750" s="76" t="n"/>
      <c r="D750" s="80" t="n"/>
      <c r="E750" s="76" t="n"/>
      <c r="F750" s="76" t="n"/>
    </row>
    <row r="751">
      <c r="A751" s="79" t="n"/>
      <c r="B751" s="76" t="n"/>
      <c r="C751" s="76" t="n"/>
      <c r="D751" s="80" t="n"/>
      <c r="E751" s="76" t="n"/>
      <c r="F751" s="76" t="n"/>
    </row>
    <row r="752">
      <c r="A752" s="79" t="n"/>
      <c r="B752" s="76" t="n"/>
      <c r="C752" s="76" t="n"/>
      <c r="D752" s="80" t="n"/>
      <c r="E752" s="76" t="n"/>
      <c r="F752" s="76" t="n"/>
    </row>
    <row r="753">
      <c r="A753" s="79" t="n"/>
      <c r="B753" s="76" t="n"/>
      <c r="C753" s="76" t="n"/>
      <c r="D753" s="80" t="n"/>
      <c r="E753" s="76" t="n"/>
      <c r="F753" s="76" t="n"/>
    </row>
    <row r="754">
      <c r="A754" s="79" t="n"/>
      <c r="B754" s="76" t="n"/>
      <c r="C754" s="76" t="n"/>
      <c r="D754" s="80" t="n"/>
      <c r="E754" s="76" t="n"/>
      <c r="F754" s="76" t="n"/>
    </row>
    <row r="755">
      <c r="A755" s="79" t="n"/>
      <c r="B755" s="76" t="n"/>
      <c r="C755" s="76" t="n"/>
      <c r="D755" s="80" t="n"/>
      <c r="E755" s="76" t="n"/>
      <c r="F755" s="76" t="n"/>
    </row>
    <row r="756">
      <c r="A756" s="79" t="n"/>
      <c r="B756" s="76" t="n"/>
      <c r="C756" s="76" t="n"/>
      <c r="D756" s="80" t="n"/>
      <c r="E756" s="76" t="n"/>
      <c r="F756" s="76" t="n"/>
    </row>
    <row r="757">
      <c r="A757" s="79" t="n"/>
      <c r="B757" s="76" t="n"/>
      <c r="C757" s="76" t="n"/>
      <c r="D757" s="80" t="n"/>
      <c r="E757" s="76" t="n"/>
      <c r="F757" s="76" t="n"/>
    </row>
    <row r="758">
      <c r="A758" s="79" t="n"/>
      <c r="B758" s="76" t="n"/>
      <c r="C758" s="76" t="n"/>
      <c r="D758" s="80" t="n"/>
      <c r="E758" s="76" t="n"/>
      <c r="F758" s="76" t="n"/>
    </row>
    <row r="759">
      <c r="A759" s="79" t="n"/>
      <c r="B759" s="76" t="n"/>
      <c r="C759" s="76" t="n"/>
      <c r="D759" s="80" t="n"/>
      <c r="E759" s="76" t="n"/>
      <c r="F759" s="76" t="n"/>
    </row>
    <row r="760">
      <c r="A760" s="79" t="n"/>
      <c r="B760" s="76" t="n"/>
      <c r="C760" s="76" t="n"/>
      <c r="D760" s="80" t="n"/>
      <c r="E760" s="76" t="n"/>
      <c r="F760" s="76" t="n"/>
    </row>
    <row r="761">
      <c r="A761" s="79" t="n"/>
      <c r="B761" s="76" t="n"/>
      <c r="C761" s="76" t="n"/>
      <c r="D761" s="80" t="n"/>
      <c r="E761" s="76" t="n"/>
      <c r="F761" s="76" t="n"/>
    </row>
    <row r="762">
      <c r="A762" s="79" t="n"/>
      <c r="B762" s="76" t="n"/>
      <c r="C762" s="76" t="n"/>
      <c r="D762" s="80" t="n"/>
      <c r="E762" s="76" t="n"/>
      <c r="F762" s="76" t="n"/>
    </row>
    <row r="763">
      <c r="A763" s="79" t="n"/>
      <c r="B763" s="76" t="n"/>
      <c r="C763" s="76" t="n"/>
      <c r="D763" s="80" t="n"/>
      <c r="E763" s="76" t="n"/>
      <c r="F763" s="76" t="n"/>
    </row>
    <row r="764">
      <c r="A764" s="79" t="n"/>
      <c r="B764" s="76" t="n"/>
      <c r="C764" s="76" t="n"/>
      <c r="D764" s="80" t="n"/>
      <c r="E764" s="76" t="n"/>
      <c r="F764" s="76" t="n"/>
    </row>
    <row r="765">
      <c r="A765" s="79" t="n"/>
      <c r="B765" s="76" t="n"/>
      <c r="C765" s="76" t="n"/>
      <c r="D765" s="80" t="n"/>
      <c r="E765" s="76" t="n"/>
      <c r="F765" s="76" t="n"/>
    </row>
    <row r="766">
      <c r="A766" s="79" t="n"/>
      <c r="B766" s="76" t="n"/>
      <c r="C766" s="76" t="n"/>
      <c r="D766" s="80" t="n"/>
      <c r="E766" s="76" t="n"/>
      <c r="F766" s="76" t="n"/>
    </row>
    <row r="767">
      <c r="A767" s="79" t="n"/>
      <c r="B767" s="76" t="n"/>
      <c r="C767" s="76" t="n"/>
      <c r="D767" s="80" t="n"/>
      <c r="E767" s="76" t="n"/>
      <c r="F767" s="76" t="n"/>
    </row>
    <row r="768">
      <c r="A768" s="79" t="n"/>
      <c r="B768" s="76" t="n"/>
      <c r="C768" s="76" t="n"/>
      <c r="D768" s="80" t="n"/>
      <c r="E768" s="76" t="n"/>
      <c r="F768" s="76" t="n"/>
    </row>
    <row r="769">
      <c r="A769" s="79" t="n"/>
      <c r="B769" s="76" t="n"/>
      <c r="C769" s="76" t="n"/>
      <c r="D769" s="80" t="n"/>
      <c r="E769" s="76" t="n"/>
      <c r="F769" s="76" t="n"/>
    </row>
    <row r="770">
      <c r="A770" s="79" t="n"/>
      <c r="B770" s="76" t="n"/>
      <c r="C770" s="76" t="n"/>
      <c r="D770" s="80" t="n"/>
      <c r="E770" s="76" t="n"/>
      <c r="F770" s="76" t="n"/>
    </row>
    <row r="771">
      <c r="A771" s="79" t="n"/>
      <c r="B771" s="76" t="n"/>
      <c r="C771" s="76" t="n"/>
      <c r="D771" s="80" t="n"/>
      <c r="E771" s="76" t="n"/>
      <c r="F771" s="76" t="n"/>
    </row>
    <row r="772">
      <c r="A772" s="79" t="n"/>
      <c r="B772" s="76" t="n"/>
      <c r="C772" s="76" t="n"/>
      <c r="D772" s="80" t="n"/>
      <c r="E772" s="76" t="n"/>
      <c r="F772" s="76" t="n"/>
    </row>
    <row r="773">
      <c r="A773" s="79" t="n"/>
      <c r="B773" s="76" t="n"/>
      <c r="C773" s="76" t="n"/>
      <c r="D773" s="80" t="n"/>
      <c r="E773" s="76" t="n"/>
      <c r="F773" s="76" t="n"/>
    </row>
    <row r="774">
      <c r="A774" s="79" t="n"/>
      <c r="B774" s="76" t="n"/>
      <c r="C774" s="76" t="n"/>
      <c r="D774" s="80" t="n"/>
      <c r="E774" s="76" t="n"/>
      <c r="F774" s="76" t="n"/>
    </row>
    <row r="775">
      <c r="A775" s="79" t="n"/>
      <c r="B775" s="76" t="n"/>
      <c r="C775" s="76" t="n"/>
      <c r="D775" s="80" t="n"/>
      <c r="E775" s="76" t="n"/>
      <c r="F775" s="76" t="n"/>
    </row>
    <row r="776">
      <c r="A776" s="79" t="n"/>
      <c r="B776" s="76" t="n"/>
      <c r="C776" s="76" t="n"/>
      <c r="D776" s="80" t="n"/>
      <c r="E776" s="76" t="n"/>
      <c r="F776" s="76" t="n"/>
    </row>
    <row r="777">
      <c r="A777" s="79" t="n"/>
      <c r="B777" s="76" t="n"/>
      <c r="C777" s="76" t="n"/>
      <c r="D777" s="80" t="n"/>
      <c r="E777" s="76" t="n"/>
      <c r="F777" s="76" t="n"/>
    </row>
    <row r="778">
      <c r="A778" s="79" t="n"/>
      <c r="B778" s="76" t="n"/>
      <c r="C778" s="76" t="n"/>
      <c r="D778" s="80" t="n"/>
      <c r="E778" s="76" t="n"/>
      <c r="F778" s="76" t="n"/>
    </row>
    <row r="779">
      <c r="A779" s="79" t="n"/>
      <c r="B779" s="76" t="n"/>
      <c r="C779" s="76" t="n"/>
      <c r="D779" s="80" t="n"/>
      <c r="E779" s="76" t="n"/>
      <c r="F779" s="76" t="n"/>
    </row>
    <row r="780">
      <c r="A780" s="79" t="n"/>
      <c r="B780" s="76" t="n"/>
      <c r="C780" s="76" t="n"/>
      <c r="D780" s="80" t="n"/>
      <c r="E780" s="76" t="n"/>
      <c r="F780" s="76" t="n"/>
    </row>
    <row r="781">
      <c r="A781" s="79" t="n"/>
      <c r="B781" s="76" t="n"/>
      <c r="C781" s="76" t="n"/>
      <c r="D781" s="80" t="n"/>
      <c r="E781" s="76" t="n"/>
      <c r="F781" s="76" t="n"/>
    </row>
    <row r="782">
      <c r="A782" s="79" t="n"/>
      <c r="B782" s="76" t="n"/>
      <c r="C782" s="76" t="n"/>
      <c r="D782" s="80" t="n"/>
      <c r="E782" s="76" t="n"/>
      <c r="F782" s="76" t="n"/>
    </row>
    <row r="783">
      <c r="A783" s="79" t="n"/>
      <c r="B783" s="76" t="n"/>
      <c r="C783" s="76" t="n"/>
      <c r="D783" s="80" t="n"/>
      <c r="E783" s="76" t="n"/>
      <c r="F783" s="76" t="n"/>
    </row>
    <row r="784">
      <c r="A784" s="79" t="n"/>
      <c r="B784" s="76" t="n"/>
      <c r="C784" s="76" t="n"/>
      <c r="D784" s="80" t="n"/>
      <c r="E784" s="76" t="n"/>
      <c r="F784" s="76" t="n"/>
    </row>
    <row r="785">
      <c r="A785" s="79" t="n"/>
      <c r="B785" s="76" t="n"/>
      <c r="C785" s="76" t="n"/>
      <c r="D785" s="80" t="n"/>
      <c r="E785" s="76" t="n"/>
      <c r="F785" s="76" t="n"/>
    </row>
    <row r="786">
      <c r="A786" s="79" t="n"/>
      <c r="B786" s="76" t="n"/>
      <c r="C786" s="76" t="n"/>
      <c r="D786" s="80" t="n"/>
      <c r="E786" s="76" t="n"/>
      <c r="F786" s="76" t="n"/>
    </row>
    <row r="787">
      <c r="A787" s="79" t="n"/>
      <c r="B787" s="76" t="n"/>
      <c r="C787" s="76" t="n"/>
      <c r="D787" s="80" t="n"/>
      <c r="E787" s="76" t="n"/>
      <c r="F787" s="76" t="n"/>
    </row>
    <row r="788">
      <c r="A788" s="79" t="n"/>
      <c r="B788" s="76" t="n"/>
      <c r="C788" s="76" t="n"/>
      <c r="D788" s="80" t="n"/>
      <c r="E788" s="76" t="n"/>
      <c r="F788" s="76" t="n"/>
    </row>
    <row r="789">
      <c r="A789" s="79" t="n"/>
      <c r="B789" s="76" t="n"/>
      <c r="C789" s="76" t="n"/>
      <c r="D789" s="80" t="n"/>
      <c r="E789" s="76" t="n"/>
      <c r="F789" s="76" t="n"/>
    </row>
    <row r="790">
      <c r="A790" s="79" t="n"/>
      <c r="B790" s="76" t="n"/>
      <c r="C790" s="76" t="n"/>
      <c r="D790" s="80" t="n"/>
      <c r="E790" s="76" t="n"/>
      <c r="F790" s="76" t="n"/>
    </row>
    <row r="791">
      <c r="A791" s="79" t="n"/>
      <c r="B791" s="76" t="n"/>
      <c r="C791" s="76" t="n"/>
      <c r="D791" s="80" t="n"/>
      <c r="E791" s="76" t="n"/>
      <c r="F791" s="76" t="n"/>
    </row>
    <row r="792">
      <c r="A792" s="79" t="n"/>
      <c r="B792" s="76" t="n"/>
      <c r="C792" s="76" t="n"/>
      <c r="D792" s="80" t="n"/>
      <c r="E792" s="76" t="n"/>
      <c r="F792" s="76" t="n"/>
    </row>
    <row r="793">
      <c r="A793" s="79" t="n"/>
      <c r="B793" s="76" t="n"/>
      <c r="C793" s="76" t="n"/>
      <c r="D793" s="80" t="n"/>
      <c r="E793" s="76" t="n"/>
      <c r="F793" s="76" t="n"/>
    </row>
    <row r="794">
      <c r="A794" s="79" t="n"/>
      <c r="B794" s="76" t="n"/>
      <c r="C794" s="76" t="n"/>
      <c r="D794" s="80" t="n"/>
      <c r="E794" s="76" t="n"/>
      <c r="F794" s="76" t="n"/>
    </row>
    <row r="795">
      <c r="A795" s="79" t="n"/>
      <c r="B795" s="76" t="n"/>
      <c r="C795" s="76" t="n"/>
      <c r="D795" s="80" t="n"/>
      <c r="E795" s="76" t="n"/>
      <c r="F795" s="76" t="n"/>
    </row>
    <row r="796">
      <c r="A796" s="79" t="n"/>
      <c r="B796" s="76" t="n"/>
      <c r="C796" s="76" t="n"/>
      <c r="D796" s="80" t="n"/>
      <c r="E796" s="76" t="n"/>
      <c r="F796" s="76" t="n"/>
    </row>
    <row r="797">
      <c r="A797" s="79" t="n"/>
      <c r="B797" s="76" t="n"/>
      <c r="C797" s="76" t="n"/>
      <c r="D797" s="80" t="n"/>
      <c r="E797" s="76" t="n"/>
      <c r="F797" s="76" t="n"/>
    </row>
    <row r="798">
      <c r="A798" s="79" t="n"/>
      <c r="B798" s="76" t="n"/>
      <c r="C798" s="76" t="n"/>
      <c r="D798" s="80" t="n"/>
      <c r="E798" s="76" t="n"/>
      <c r="F798" s="76" t="n"/>
    </row>
    <row r="799">
      <c r="A799" s="79" t="n"/>
      <c r="B799" s="76" t="n"/>
      <c r="C799" s="76" t="n"/>
      <c r="D799" s="80" t="n"/>
      <c r="E799" s="76" t="n"/>
      <c r="F799" s="76" t="n"/>
    </row>
    <row r="800">
      <c r="A800" s="79" t="n"/>
      <c r="B800" s="76" t="n"/>
      <c r="C800" s="76" t="n"/>
      <c r="D800" s="80" t="n"/>
      <c r="E800" s="76" t="n"/>
      <c r="F800" s="76" t="n"/>
    </row>
    <row r="801">
      <c r="A801" s="79" t="n"/>
      <c r="B801" s="76" t="n"/>
      <c r="C801" s="76" t="n"/>
      <c r="D801" s="80" t="n"/>
      <c r="E801" s="76" t="n"/>
      <c r="F801" s="76" t="n"/>
    </row>
    <row r="802">
      <c r="A802" s="79" t="n"/>
      <c r="B802" s="76" t="n"/>
      <c r="C802" s="76" t="n"/>
      <c r="D802" s="80" t="n"/>
      <c r="E802" s="76" t="n"/>
      <c r="F802" s="76" t="n"/>
    </row>
    <row r="803">
      <c r="A803" s="79" t="n"/>
      <c r="B803" s="76" t="n"/>
      <c r="C803" s="76" t="n"/>
      <c r="D803" s="80" t="n"/>
      <c r="E803" s="76" t="n"/>
      <c r="F803" s="76" t="n"/>
    </row>
    <row r="804">
      <c r="A804" s="79" t="n"/>
      <c r="B804" s="76" t="n"/>
      <c r="C804" s="76" t="n"/>
      <c r="D804" s="80" t="n"/>
      <c r="E804" s="76" t="n"/>
      <c r="F804" s="76" t="n"/>
    </row>
    <row r="805">
      <c r="A805" s="79" t="n"/>
      <c r="B805" s="76" t="n"/>
      <c r="C805" s="76" t="n"/>
      <c r="D805" s="80" t="n"/>
      <c r="E805" s="76" t="n"/>
      <c r="F805" s="76" t="n"/>
    </row>
    <row r="806">
      <c r="A806" s="79" t="n"/>
      <c r="B806" s="76" t="n"/>
      <c r="C806" s="76" t="n"/>
      <c r="D806" s="80" t="n"/>
      <c r="E806" s="76" t="n"/>
      <c r="F806" s="76" t="n"/>
    </row>
    <row r="807">
      <c r="A807" s="79" t="n"/>
      <c r="B807" s="76" t="n"/>
      <c r="C807" s="76" t="n"/>
      <c r="D807" s="80" t="n"/>
      <c r="E807" s="76" t="n"/>
      <c r="F807" s="76" t="n"/>
    </row>
    <row r="808">
      <c r="A808" s="79" t="n"/>
      <c r="B808" s="76" t="n"/>
      <c r="C808" s="76" t="n"/>
      <c r="D808" s="80" t="n"/>
      <c r="E808" s="76" t="n"/>
      <c r="F808" s="76" t="n"/>
    </row>
    <row r="809">
      <c r="A809" s="79" t="n"/>
      <c r="B809" s="76" t="n"/>
      <c r="C809" s="76" t="n"/>
      <c r="D809" s="80" t="n"/>
      <c r="E809" s="76" t="n"/>
      <c r="F809" s="76" t="n"/>
    </row>
    <row r="810">
      <c r="A810" s="79" t="n"/>
      <c r="B810" s="76" t="n"/>
      <c r="C810" s="76" t="n"/>
      <c r="D810" s="80" t="n"/>
      <c r="E810" s="76" t="n"/>
      <c r="F810" s="76" t="n"/>
    </row>
    <row r="811">
      <c r="A811" s="79" t="n"/>
      <c r="B811" s="76" t="n"/>
      <c r="C811" s="76" t="n"/>
      <c r="D811" s="80" t="n"/>
      <c r="E811" s="76" t="n"/>
      <c r="F811" s="76" t="n"/>
    </row>
    <row r="812">
      <c r="A812" s="79" t="n"/>
      <c r="B812" s="76" t="n"/>
      <c r="C812" s="76" t="n"/>
      <c r="D812" s="80" t="n"/>
      <c r="E812" s="76" t="n"/>
      <c r="F812" s="76" t="n"/>
    </row>
    <row r="813">
      <c r="A813" s="79" t="n"/>
      <c r="B813" s="76" t="n"/>
      <c r="C813" s="76" t="n"/>
      <c r="D813" s="80" t="n"/>
      <c r="E813" s="76" t="n"/>
      <c r="F813" s="76" t="n"/>
    </row>
    <row r="814">
      <c r="A814" s="79" t="n"/>
      <c r="B814" s="76" t="n"/>
      <c r="C814" s="76" t="n"/>
      <c r="D814" s="80" t="n"/>
      <c r="E814" s="76" t="n"/>
      <c r="F814" s="76" t="n"/>
    </row>
    <row r="815">
      <c r="A815" s="79" t="n"/>
      <c r="B815" s="76" t="n"/>
      <c r="C815" s="76" t="n"/>
      <c r="D815" s="80" t="n"/>
      <c r="E815" s="76" t="n"/>
      <c r="F815" s="76" t="n"/>
    </row>
    <row r="816">
      <c r="A816" s="79" t="n"/>
      <c r="B816" s="76" t="n"/>
      <c r="C816" s="76" t="n"/>
      <c r="D816" s="80" t="n"/>
      <c r="E816" s="76" t="n"/>
      <c r="F816" s="76" t="n"/>
    </row>
    <row r="817">
      <c r="A817" s="79" t="n"/>
      <c r="B817" s="76" t="n"/>
      <c r="C817" s="76" t="n"/>
      <c r="D817" s="80" t="n"/>
      <c r="E817" s="76" t="n"/>
      <c r="F817" s="76" t="n"/>
    </row>
    <row r="818">
      <c r="A818" s="79" t="n"/>
      <c r="B818" s="76" t="n"/>
      <c r="C818" s="76" t="n"/>
      <c r="D818" s="80" t="n"/>
      <c r="E818" s="76" t="n"/>
      <c r="F818" s="76" t="n"/>
    </row>
    <row r="819">
      <c r="A819" s="79" t="n"/>
      <c r="B819" s="76" t="n"/>
      <c r="C819" s="76" t="n"/>
      <c r="D819" s="80" t="n"/>
      <c r="E819" s="76" t="n"/>
      <c r="F819" s="76" t="n"/>
    </row>
    <row r="820">
      <c r="A820" s="79" t="n"/>
      <c r="B820" s="76" t="n"/>
      <c r="C820" s="76" t="n"/>
      <c r="D820" s="80" t="n"/>
      <c r="E820" s="76" t="n"/>
      <c r="F820" s="76" t="n"/>
    </row>
    <row r="821">
      <c r="A821" s="79" t="n"/>
      <c r="B821" s="76" t="n"/>
      <c r="C821" s="76" t="n"/>
      <c r="D821" s="80" t="n"/>
      <c r="E821" s="76" t="n"/>
      <c r="F821" s="76" t="n"/>
    </row>
    <row r="822">
      <c r="A822" s="79" t="n"/>
      <c r="B822" s="76" t="n"/>
      <c r="C822" s="76" t="n"/>
      <c r="D822" s="80" t="n"/>
      <c r="E822" s="76" t="n"/>
      <c r="F822" s="76" t="n"/>
    </row>
    <row r="823">
      <c r="A823" s="79" t="n"/>
      <c r="B823" s="76" t="n"/>
      <c r="C823" s="76" t="n"/>
      <c r="D823" s="80" t="n"/>
      <c r="E823" s="76" t="n"/>
      <c r="F823" s="76" t="n"/>
    </row>
    <row r="824">
      <c r="A824" s="79" t="n"/>
      <c r="B824" s="76" t="n"/>
      <c r="C824" s="76" t="n"/>
      <c r="D824" s="80" t="n"/>
      <c r="E824" s="76" t="n"/>
      <c r="F824" s="76" t="n"/>
    </row>
    <row r="825">
      <c r="A825" s="79" t="n"/>
      <c r="B825" s="76" t="n"/>
      <c r="C825" s="76" t="n"/>
      <c r="D825" s="80" t="n"/>
      <c r="E825" s="76" t="n"/>
      <c r="F825" s="76" t="n"/>
    </row>
    <row r="826">
      <c r="A826" s="79" t="n"/>
      <c r="B826" s="76" t="n"/>
      <c r="C826" s="76" t="n"/>
      <c r="D826" s="80" t="n"/>
      <c r="E826" s="76" t="n"/>
      <c r="F826" s="76" t="n"/>
    </row>
    <row r="827">
      <c r="A827" s="79" t="n"/>
      <c r="B827" s="76" t="n"/>
      <c r="C827" s="76" t="n"/>
      <c r="D827" s="80" t="n"/>
      <c r="E827" s="76" t="n"/>
      <c r="F827" s="76" t="n"/>
    </row>
    <row r="828">
      <c r="A828" s="79" t="n"/>
      <c r="B828" s="76" t="n"/>
      <c r="C828" s="76" t="n"/>
      <c r="D828" s="80" t="n"/>
      <c r="E828" s="76" t="n"/>
      <c r="F828" s="76" t="n"/>
    </row>
    <row r="829">
      <c r="A829" s="79" t="n"/>
      <c r="B829" s="76" t="n"/>
      <c r="C829" s="76" t="n"/>
      <c r="D829" s="80" t="n"/>
      <c r="E829" s="76" t="n"/>
      <c r="F829" s="76" t="n"/>
    </row>
    <row r="830">
      <c r="A830" s="79" t="n"/>
      <c r="B830" s="76" t="n"/>
      <c r="C830" s="76" t="n"/>
      <c r="D830" s="80" t="n"/>
      <c r="E830" s="76" t="n"/>
      <c r="F830" s="76" t="n"/>
    </row>
    <row r="831">
      <c r="A831" s="79" t="n"/>
      <c r="B831" s="76" t="n"/>
      <c r="C831" s="76" t="n"/>
      <c r="D831" s="80" t="n"/>
      <c r="E831" s="76" t="n"/>
      <c r="F831" s="76" t="n"/>
    </row>
    <row r="832">
      <c r="A832" s="79" t="n"/>
      <c r="B832" s="76" t="n"/>
      <c r="C832" s="76" t="n"/>
      <c r="D832" s="80" t="n"/>
      <c r="E832" s="76" t="n"/>
      <c r="F832" s="76" t="n"/>
    </row>
    <row r="833">
      <c r="A833" s="79" t="n"/>
      <c r="B833" s="76" t="n"/>
      <c r="C833" s="76" t="n"/>
      <c r="D833" s="80" t="n"/>
      <c r="E833" s="76" t="n"/>
      <c r="F833" s="76" t="n"/>
    </row>
    <row r="834">
      <c r="A834" s="79" t="n"/>
      <c r="B834" s="76" t="n"/>
      <c r="C834" s="76" t="n"/>
      <c r="D834" s="80" t="n"/>
      <c r="E834" s="76" t="n"/>
      <c r="F834" s="76" t="n"/>
    </row>
    <row r="835">
      <c r="A835" s="79" t="n"/>
      <c r="B835" s="76" t="n"/>
      <c r="C835" s="76" t="n"/>
      <c r="D835" s="80" t="n"/>
      <c r="E835" s="76" t="n"/>
      <c r="F835" s="76" t="n"/>
    </row>
    <row r="836">
      <c r="A836" s="79" t="n"/>
      <c r="B836" s="76" t="n"/>
      <c r="C836" s="76" t="n"/>
      <c r="D836" s="80" t="n"/>
      <c r="E836" s="76" t="n"/>
      <c r="F836" s="76" t="n"/>
    </row>
    <row r="837">
      <c r="A837" s="79" t="n"/>
      <c r="B837" s="76" t="n"/>
      <c r="C837" s="76" t="n"/>
      <c r="D837" s="80" t="n"/>
      <c r="E837" s="76" t="n"/>
      <c r="F837" s="76" t="n"/>
    </row>
    <row r="838">
      <c r="A838" s="79" t="n"/>
      <c r="B838" s="76" t="n"/>
      <c r="C838" s="76" t="n"/>
      <c r="D838" s="80" t="n"/>
      <c r="E838" s="76" t="n"/>
      <c r="F838" s="76" t="n"/>
    </row>
    <row r="839">
      <c r="A839" s="79" t="n"/>
      <c r="B839" s="76" t="n"/>
      <c r="C839" s="76" t="n"/>
      <c r="D839" s="80" t="n"/>
      <c r="E839" s="76" t="n"/>
      <c r="F839" s="76" t="n"/>
    </row>
    <row r="840">
      <c r="A840" s="79" t="n"/>
      <c r="B840" s="76" t="n"/>
      <c r="C840" s="76" t="n"/>
      <c r="D840" s="80" t="n"/>
      <c r="E840" s="76" t="n"/>
      <c r="F840" s="76" t="n"/>
    </row>
    <row r="841">
      <c r="A841" s="79" t="n"/>
      <c r="B841" s="76" t="n"/>
      <c r="C841" s="76" t="n"/>
      <c r="D841" s="80" t="n"/>
      <c r="E841" s="76" t="n"/>
      <c r="F841" s="76" t="n"/>
    </row>
    <row r="842">
      <c r="A842" s="79" t="n"/>
      <c r="B842" s="76" t="n"/>
      <c r="C842" s="76" t="n"/>
      <c r="D842" s="80" t="n"/>
      <c r="E842" s="76" t="n"/>
      <c r="F842" s="76" t="n"/>
    </row>
    <row r="843">
      <c r="A843" s="79" t="n"/>
      <c r="B843" s="76" t="n"/>
      <c r="C843" s="76" t="n"/>
      <c r="D843" s="80" t="n"/>
      <c r="E843" s="76" t="n"/>
      <c r="F843" s="76" t="n"/>
    </row>
    <row r="844">
      <c r="A844" s="79" t="n"/>
      <c r="B844" s="76" t="n"/>
      <c r="C844" s="76" t="n"/>
      <c r="D844" s="80" t="n"/>
      <c r="E844" s="76" t="n"/>
      <c r="F844" s="76" t="n"/>
    </row>
    <row r="845">
      <c r="A845" s="79" t="n"/>
      <c r="B845" s="76" t="n"/>
      <c r="C845" s="76" t="n"/>
      <c r="D845" s="80" t="n"/>
      <c r="E845" s="76" t="n"/>
      <c r="F845" s="76" t="n"/>
    </row>
    <row r="846">
      <c r="A846" s="79" t="n"/>
      <c r="B846" s="76" t="n"/>
      <c r="C846" s="76" t="n"/>
      <c r="D846" s="80" t="n"/>
      <c r="E846" s="76" t="n"/>
      <c r="F846" s="76" t="n"/>
    </row>
    <row r="847">
      <c r="A847" s="79" t="n"/>
      <c r="B847" s="76" t="n"/>
      <c r="C847" s="76" t="n"/>
      <c r="D847" s="80" t="n"/>
      <c r="E847" s="76" t="n"/>
      <c r="F847" s="76" t="n"/>
    </row>
    <row r="848">
      <c r="A848" s="79" t="n"/>
      <c r="B848" s="76" t="n"/>
      <c r="C848" s="76" t="n"/>
      <c r="D848" s="80" t="n"/>
      <c r="E848" s="76" t="n"/>
      <c r="F848" s="76" t="n"/>
    </row>
    <row r="849">
      <c r="A849" s="79" t="n"/>
      <c r="B849" s="76" t="n"/>
      <c r="C849" s="76" t="n"/>
      <c r="D849" s="80" t="n"/>
      <c r="E849" s="76" t="n"/>
      <c r="F849" s="76" t="n"/>
    </row>
    <row r="850">
      <c r="A850" s="79" t="n"/>
      <c r="B850" s="76" t="n"/>
      <c r="C850" s="76" t="n"/>
      <c r="D850" s="80" t="n"/>
      <c r="E850" s="76" t="n"/>
      <c r="F850" s="76" t="n"/>
    </row>
    <row r="851">
      <c r="A851" s="79" t="n"/>
      <c r="B851" s="76" t="n"/>
      <c r="C851" s="76" t="n"/>
      <c r="D851" s="80" t="n"/>
      <c r="E851" s="76" t="n"/>
      <c r="F851" s="76" t="n"/>
    </row>
    <row r="852">
      <c r="A852" s="79" t="n"/>
      <c r="B852" s="76" t="n"/>
      <c r="C852" s="76" t="n"/>
      <c r="D852" s="80" t="n"/>
      <c r="E852" s="76" t="n"/>
      <c r="F852" s="76" t="n"/>
    </row>
    <row r="853">
      <c r="A853" s="79" t="n"/>
      <c r="B853" s="76" t="n"/>
      <c r="C853" s="76" t="n"/>
      <c r="D853" s="80" t="n"/>
      <c r="E853" s="76" t="n"/>
      <c r="F853" s="76" t="n"/>
    </row>
    <row r="854">
      <c r="A854" s="79" t="n"/>
      <c r="B854" s="76" t="n"/>
      <c r="C854" s="76" t="n"/>
      <c r="D854" s="80" t="n"/>
      <c r="E854" s="76" t="n"/>
      <c r="F854" s="76" t="n"/>
    </row>
    <row r="855">
      <c r="A855" s="79" t="n"/>
      <c r="B855" s="76" t="n"/>
      <c r="C855" s="76" t="n"/>
      <c r="D855" s="80" t="n"/>
      <c r="E855" s="76" t="n"/>
      <c r="F855" s="76" t="n"/>
    </row>
    <row r="856">
      <c r="A856" s="79" t="n"/>
      <c r="B856" s="76" t="n"/>
      <c r="C856" s="76" t="n"/>
      <c r="D856" s="80" t="n"/>
      <c r="E856" s="76" t="n"/>
      <c r="F856" s="76" t="n"/>
    </row>
    <row r="857">
      <c r="A857" s="79" t="n"/>
      <c r="B857" s="76" t="n"/>
      <c r="C857" s="76" t="n"/>
      <c r="D857" s="80" t="n"/>
      <c r="E857" s="76" t="n"/>
      <c r="F857" s="76" t="n"/>
    </row>
    <row r="858">
      <c r="A858" s="79" t="n"/>
      <c r="B858" s="76" t="n"/>
      <c r="C858" s="76" t="n"/>
      <c r="D858" s="80" t="n"/>
      <c r="E858" s="76" t="n"/>
      <c r="F858" s="76" t="n"/>
    </row>
    <row r="859">
      <c r="A859" s="79" t="n"/>
      <c r="B859" s="76" t="n"/>
      <c r="C859" s="76" t="n"/>
      <c r="D859" s="80" t="n"/>
      <c r="E859" s="76" t="n"/>
      <c r="F859" s="76" t="n"/>
    </row>
    <row r="860">
      <c r="A860" s="79" t="n"/>
      <c r="B860" s="76" t="n"/>
      <c r="C860" s="76" t="n"/>
      <c r="D860" s="80" t="n"/>
      <c r="E860" s="76" t="n"/>
      <c r="F860" s="76" t="n"/>
    </row>
    <row r="861">
      <c r="A861" s="79" t="n"/>
      <c r="B861" s="76" t="n"/>
      <c r="C861" s="76" t="n"/>
      <c r="D861" s="80" t="n"/>
      <c r="E861" s="76" t="n"/>
      <c r="F861" s="76" t="n"/>
    </row>
    <row r="862">
      <c r="A862" s="79" t="n"/>
      <c r="B862" s="76" t="n"/>
      <c r="C862" s="76" t="n"/>
      <c r="D862" s="80" t="n"/>
      <c r="E862" s="76" t="n"/>
      <c r="F862" s="76" t="n"/>
    </row>
    <row r="863">
      <c r="A863" s="79" t="n"/>
      <c r="B863" s="76" t="n"/>
      <c r="C863" s="76" t="n"/>
      <c r="D863" s="80" t="n"/>
      <c r="E863" s="76" t="n"/>
      <c r="F863" s="76" t="n"/>
    </row>
    <row r="864">
      <c r="A864" s="79" t="n"/>
      <c r="B864" s="76" t="n"/>
      <c r="C864" s="76" t="n"/>
      <c r="D864" s="80" t="n"/>
      <c r="E864" s="76" t="n"/>
      <c r="F864" s="76" t="n"/>
    </row>
    <row r="865">
      <c r="A865" s="79" t="n"/>
      <c r="B865" s="76" t="n"/>
      <c r="C865" s="76" t="n"/>
      <c r="D865" s="80" t="n"/>
      <c r="E865" s="76" t="n"/>
      <c r="F865" s="76" t="n"/>
    </row>
    <row r="866">
      <c r="A866" s="79" t="n"/>
      <c r="B866" s="76" t="n"/>
      <c r="C866" s="76" t="n"/>
      <c r="D866" s="80" t="n"/>
      <c r="E866" s="76" t="n"/>
      <c r="F866" s="76" t="n"/>
    </row>
    <row r="867">
      <c r="A867" s="79" t="n"/>
      <c r="B867" s="76" t="n"/>
      <c r="C867" s="76" t="n"/>
      <c r="D867" s="80" t="n"/>
      <c r="E867" s="76" t="n"/>
      <c r="F867" s="76" t="n"/>
    </row>
    <row r="868">
      <c r="A868" s="79" t="n"/>
      <c r="B868" s="76" t="n"/>
      <c r="C868" s="76" t="n"/>
      <c r="D868" s="80" t="n"/>
      <c r="E868" s="76" t="n"/>
      <c r="F868" s="76" t="n"/>
    </row>
    <row r="869">
      <c r="A869" s="79" t="n"/>
      <c r="B869" s="76" t="n"/>
      <c r="C869" s="76" t="n"/>
      <c r="D869" s="80" t="n"/>
      <c r="E869" s="76" t="n"/>
      <c r="F869" s="76" t="n"/>
    </row>
    <row r="870">
      <c r="A870" s="79" t="n"/>
      <c r="B870" s="76" t="n"/>
      <c r="C870" s="76" t="n"/>
      <c r="D870" s="80" t="n"/>
      <c r="E870" s="76" t="n"/>
      <c r="F870" s="76" t="n"/>
    </row>
    <row r="871">
      <c r="A871" s="79" t="n"/>
      <c r="B871" s="76" t="n"/>
      <c r="C871" s="76" t="n"/>
      <c r="D871" s="80" t="n"/>
      <c r="E871" s="76" t="n"/>
      <c r="F871" s="76" t="n"/>
    </row>
    <row r="872">
      <c r="A872" s="79" t="n"/>
      <c r="B872" s="76" t="n"/>
      <c r="C872" s="76" t="n"/>
      <c r="D872" s="80" t="n"/>
      <c r="E872" s="76" t="n"/>
      <c r="F872" s="76" t="n"/>
    </row>
    <row r="873">
      <c r="A873" s="79" t="n"/>
      <c r="B873" s="76" t="n"/>
      <c r="C873" s="76" t="n"/>
      <c r="D873" s="80" t="n"/>
      <c r="E873" s="76" t="n"/>
      <c r="F873" s="76" t="n"/>
    </row>
    <row r="874">
      <c r="A874" s="79" t="n"/>
      <c r="B874" s="76" t="n"/>
      <c r="C874" s="76" t="n"/>
      <c r="D874" s="80" t="n"/>
      <c r="E874" s="76" t="n"/>
      <c r="F874" s="76" t="n"/>
    </row>
    <row r="875">
      <c r="A875" s="79" t="n"/>
      <c r="B875" s="76" t="n"/>
      <c r="C875" s="76" t="n"/>
      <c r="D875" s="80" t="n"/>
      <c r="E875" s="76" t="n"/>
      <c r="F875" s="76" t="n"/>
    </row>
    <row r="876">
      <c r="A876" s="79" t="n"/>
      <c r="B876" s="76" t="n"/>
      <c r="C876" s="76" t="n"/>
      <c r="D876" s="80" t="n"/>
      <c r="E876" s="76" t="n"/>
      <c r="F876" s="76" t="n"/>
    </row>
    <row r="877">
      <c r="A877" s="79" t="n"/>
      <c r="B877" s="76" t="n"/>
      <c r="C877" s="76" t="n"/>
      <c r="D877" s="80" t="n"/>
      <c r="E877" s="76" t="n"/>
      <c r="F877" s="76" t="n"/>
    </row>
    <row r="878">
      <c r="A878" s="79" t="n"/>
      <c r="B878" s="76" t="n"/>
      <c r="C878" s="76" t="n"/>
      <c r="D878" s="80" t="n"/>
      <c r="E878" s="76" t="n"/>
      <c r="F878" s="76" t="n"/>
    </row>
    <row r="879">
      <c r="A879" s="79" t="n"/>
      <c r="B879" s="76" t="n"/>
      <c r="C879" s="76" t="n"/>
      <c r="D879" s="80" t="n"/>
      <c r="E879" s="76" t="n"/>
      <c r="F879" s="76" t="n"/>
    </row>
    <row r="880">
      <c r="A880" s="79" t="n"/>
      <c r="B880" s="76" t="n"/>
      <c r="C880" s="76" t="n"/>
      <c r="D880" s="80" t="n"/>
      <c r="E880" s="76" t="n"/>
      <c r="F880" s="76" t="n"/>
    </row>
    <row r="881">
      <c r="A881" s="79" t="n"/>
      <c r="B881" s="76" t="n"/>
      <c r="C881" s="76" t="n"/>
      <c r="D881" s="80" t="n"/>
      <c r="E881" s="76" t="n"/>
      <c r="F881" s="76" t="n"/>
    </row>
    <row r="882">
      <c r="A882" s="79" t="n"/>
      <c r="B882" s="76" t="n"/>
      <c r="C882" s="76" t="n"/>
      <c r="D882" s="80" t="n"/>
      <c r="E882" s="76" t="n"/>
      <c r="F882" s="76" t="n"/>
    </row>
    <row r="883">
      <c r="A883" s="79" t="n"/>
      <c r="B883" s="76" t="n"/>
      <c r="C883" s="76" t="n"/>
      <c r="D883" s="80" t="n"/>
      <c r="E883" s="76" t="n"/>
      <c r="F883" s="76" t="n"/>
    </row>
    <row r="884">
      <c r="A884" s="79" t="n"/>
      <c r="B884" s="76" t="n"/>
      <c r="C884" s="76" t="n"/>
      <c r="D884" s="80" t="n"/>
      <c r="E884" s="76" t="n"/>
      <c r="F884" s="76" t="n"/>
    </row>
    <row r="885">
      <c r="A885" s="79" t="n"/>
      <c r="B885" s="76" t="n"/>
      <c r="C885" s="76" t="n"/>
      <c r="D885" s="80" t="n"/>
      <c r="E885" s="76" t="n"/>
      <c r="F885" s="76" t="n"/>
    </row>
    <row r="886">
      <c r="A886" s="79" t="n"/>
      <c r="B886" s="76" t="n"/>
      <c r="C886" s="76" t="n"/>
      <c r="D886" s="80" t="n"/>
      <c r="E886" s="76" t="n"/>
      <c r="F886" s="76" t="n"/>
    </row>
    <row r="887">
      <c r="A887" s="79" t="n"/>
      <c r="B887" s="76" t="n"/>
      <c r="C887" s="76" t="n"/>
      <c r="D887" s="80" t="n"/>
      <c r="E887" s="76" t="n"/>
      <c r="F887" s="76" t="n"/>
    </row>
    <row r="888">
      <c r="A888" s="79" t="n"/>
      <c r="B888" s="76" t="n"/>
      <c r="C888" s="76" t="n"/>
      <c r="D888" s="80" t="n"/>
      <c r="E888" s="76" t="n"/>
      <c r="F888" s="76" t="n"/>
    </row>
    <row r="889">
      <c r="A889" s="79" t="n"/>
      <c r="B889" s="76" t="n"/>
      <c r="C889" s="76" t="n"/>
      <c r="D889" s="80" t="n"/>
      <c r="E889" s="76" t="n"/>
      <c r="F889" s="76" t="n"/>
    </row>
    <row r="890">
      <c r="A890" s="79" t="n"/>
      <c r="B890" s="76" t="n"/>
      <c r="C890" s="76" t="n"/>
      <c r="D890" s="80" t="n"/>
      <c r="E890" s="76" t="n"/>
      <c r="F890" s="76" t="n"/>
    </row>
    <row r="891">
      <c r="A891" s="79" t="n"/>
      <c r="B891" s="76" t="n"/>
      <c r="C891" s="76" t="n"/>
      <c r="D891" s="80" t="n"/>
      <c r="E891" s="76" t="n"/>
      <c r="F891" s="76" t="n"/>
    </row>
    <row r="892">
      <c r="A892" s="79" t="n"/>
      <c r="B892" s="76" t="n"/>
      <c r="C892" s="76" t="n"/>
      <c r="D892" s="80" t="n"/>
      <c r="E892" s="76" t="n"/>
      <c r="F892" s="76" t="n"/>
    </row>
    <row r="893">
      <c r="A893" s="79" t="n"/>
      <c r="B893" s="76" t="n"/>
      <c r="C893" s="76" t="n"/>
      <c r="D893" s="80" t="n"/>
      <c r="E893" s="76" t="n"/>
      <c r="F893" s="76" t="n"/>
    </row>
    <row r="894">
      <c r="A894" s="79" t="n"/>
      <c r="B894" s="76" t="n"/>
      <c r="C894" s="76" t="n"/>
      <c r="D894" s="80" t="n"/>
      <c r="E894" s="76" t="n"/>
      <c r="F894" s="76" t="n"/>
    </row>
    <row r="895">
      <c r="A895" s="79" t="n"/>
      <c r="B895" s="76" t="n"/>
      <c r="C895" s="76" t="n"/>
      <c r="D895" s="80" t="n"/>
      <c r="E895" s="76" t="n"/>
      <c r="F895" s="76" t="n"/>
    </row>
    <row r="896">
      <c r="A896" s="79" t="n"/>
      <c r="B896" s="76" t="n"/>
      <c r="C896" s="76" t="n"/>
      <c r="D896" s="80" t="n"/>
      <c r="E896" s="76" t="n"/>
      <c r="F896" s="76" t="n"/>
    </row>
    <row r="897">
      <c r="A897" s="79" t="n"/>
      <c r="B897" s="76" t="n"/>
      <c r="C897" s="76" t="n"/>
      <c r="D897" s="80" t="n"/>
      <c r="E897" s="76" t="n"/>
      <c r="F897" s="76" t="n"/>
    </row>
    <row r="898">
      <c r="A898" s="79" t="n"/>
      <c r="B898" s="76" t="n"/>
      <c r="C898" s="76" t="n"/>
      <c r="D898" s="80" t="n"/>
      <c r="E898" s="76" t="n"/>
      <c r="F898" s="76" t="n"/>
    </row>
    <row r="899">
      <c r="A899" s="79" t="n"/>
      <c r="B899" s="76" t="n"/>
      <c r="C899" s="76" t="n"/>
      <c r="D899" s="80" t="n"/>
      <c r="E899" s="76" t="n"/>
      <c r="F899" s="76" t="n"/>
    </row>
    <row r="900">
      <c r="A900" s="79" t="n"/>
      <c r="B900" s="76" t="n"/>
      <c r="C900" s="76" t="n"/>
      <c r="D900" s="80" t="n"/>
      <c r="E900" s="76" t="n"/>
      <c r="F900" s="76" t="n"/>
    </row>
    <row r="901">
      <c r="A901" s="79" t="n"/>
      <c r="B901" s="76" t="n"/>
      <c r="C901" s="76" t="n"/>
      <c r="D901" s="80" t="n"/>
      <c r="E901" s="76" t="n"/>
      <c r="F901" s="76" t="n"/>
    </row>
    <row r="902">
      <c r="A902" s="79" t="n"/>
      <c r="B902" s="76" t="n"/>
      <c r="C902" s="76" t="n"/>
      <c r="D902" s="80" t="n"/>
      <c r="E902" s="76" t="n"/>
      <c r="F902" s="76" t="n"/>
    </row>
    <row r="903">
      <c r="A903" s="79" t="n"/>
      <c r="B903" s="76" t="n"/>
      <c r="C903" s="76" t="n"/>
      <c r="D903" s="80" t="n"/>
      <c r="E903" s="76" t="n"/>
      <c r="F903" s="76" t="n"/>
    </row>
    <row r="904">
      <c r="A904" s="79" t="n"/>
      <c r="B904" s="76" t="n"/>
      <c r="C904" s="76" t="n"/>
      <c r="D904" s="80" t="n"/>
      <c r="E904" s="76" t="n"/>
      <c r="F904" s="76" t="n"/>
    </row>
    <row r="905">
      <c r="A905" s="79" t="n"/>
      <c r="B905" s="76" t="n"/>
      <c r="C905" s="76" t="n"/>
      <c r="D905" s="80" t="n"/>
      <c r="E905" s="76" t="n"/>
      <c r="F905" s="76" t="n"/>
    </row>
    <row r="906">
      <c r="A906" s="79" t="n"/>
      <c r="B906" s="76" t="n"/>
      <c r="C906" s="76" t="n"/>
      <c r="D906" s="80" t="n"/>
      <c r="E906" s="76" t="n"/>
      <c r="F906" s="76" t="n"/>
    </row>
    <row r="907">
      <c r="A907" s="79" t="n"/>
      <c r="B907" s="76" t="n"/>
      <c r="C907" s="76" t="n"/>
      <c r="D907" s="80" t="n"/>
      <c r="E907" s="76" t="n"/>
      <c r="F907" s="76" t="n"/>
    </row>
    <row r="908">
      <c r="A908" s="79" t="n"/>
      <c r="B908" s="76" t="n"/>
      <c r="C908" s="76" t="n"/>
      <c r="D908" s="80" t="n"/>
      <c r="E908" s="76" t="n"/>
      <c r="F908" s="76" t="n"/>
    </row>
    <row r="909">
      <c r="A909" s="79" t="n"/>
      <c r="B909" s="76" t="n"/>
      <c r="C909" s="76" t="n"/>
      <c r="D909" s="80" t="n"/>
      <c r="E909" s="76" t="n"/>
      <c r="F909" s="76" t="n"/>
    </row>
    <row r="910">
      <c r="A910" s="79" t="n"/>
      <c r="B910" s="76" t="n"/>
      <c r="C910" s="76" t="n"/>
      <c r="D910" s="80" t="n"/>
      <c r="E910" s="76" t="n"/>
      <c r="F910" s="76" t="n"/>
    </row>
    <row r="911">
      <c r="A911" s="79" t="n"/>
      <c r="B911" s="76" t="n"/>
      <c r="C911" s="76" t="n"/>
      <c r="D911" s="80" t="n"/>
      <c r="E911" s="76" t="n"/>
      <c r="F911" s="76" t="n"/>
    </row>
    <row r="912">
      <c r="A912" s="79" t="n"/>
      <c r="B912" s="76" t="n"/>
      <c r="C912" s="76" t="n"/>
      <c r="D912" s="80" t="n"/>
      <c r="E912" s="76" t="n"/>
      <c r="F912" s="76" t="n"/>
    </row>
    <row r="913">
      <c r="A913" s="79" t="n"/>
      <c r="B913" s="76" t="n"/>
      <c r="C913" s="76" t="n"/>
      <c r="D913" s="80" t="n"/>
      <c r="E913" s="76" t="n"/>
      <c r="F913" s="76" t="n"/>
    </row>
    <row r="914">
      <c r="A914" s="79" t="n"/>
      <c r="B914" s="76" t="n"/>
      <c r="C914" s="76" t="n"/>
      <c r="D914" s="80" t="n"/>
      <c r="E914" s="76" t="n"/>
      <c r="F914" s="76" t="n"/>
    </row>
    <row r="915">
      <c r="A915" s="79" t="n"/>
      <c r="B915" s="76" t="n"/>
      <c r="C915" s="76" t="n"/>
      <c r="D915" s="80" t="n"/>
      <c r="E915" s="76" t="n"/>
      <c r="F915" s="76" t="n"/>
    </row>
    <row r="916">
      <c r="A916" s="79" t="n"/>
      <c r="B916" s="76" t="n"/>
      <c r="C916" s="76" t="n"/>
      <c r="D916" s="80" t="n"/>
      <c r="E916" s="76" t="n"/>
      <c r="F916" s="76" t="n"/>
    </row>
    <row r="917">
      <c r="A917" s="79" t="n"/>
      <c r="B917" s="76" t="n"/>
      <c r="C917" s="76" t="n"/>
      <c r="D917" s="80" t="n"/>
      <c r="E917" s="76" t="n"/>
      <c r="F917" s="76" t="n"/>
    </row>
    <row r="918">
      <c r="A918" s="79" t="n"/>
      <c r="B918" s="76" t="n"/>
      <c r="C918" s="76" t="n"/>
      <c r="D918" s="80" t="n"/>
      <c r="E918" s="76" t="n"/>
      <c r="F918" s="76" t="n"/>
    </row>
    <row r="919">
      <c r="A919" s="79" t="n"/>
      <c r="B919" s="76" t="n"/>
      <c r="C919" s="76" t="n"/>
      <c r="D919" s="80" t="n"/>
      <c r="E919" s="76" t="n"/>
      <c r="F919" s="76" t="n"/>
    </row>
    <row r="920">
      <c r="A920" s="79" t="n"/>
      <c r="B920" s="76" t="n"/>
      <c r="C920" s="76" t="n"/>
      <c r="D920" s="80" t="n"/>
      <c r="E920" s="76" t="n"/>
      <c r="F920" s="76" t="n"/>
    </row>
    <row r="921">
      <c r="A921" s="79" t="n"/>
      <c r="B921" s="76" t="n"/>
      <c r="C921" s="76" t="n"/>
      <c r="D921" s="80" t="n"/>
      <c r="E921" s="76" t="n"/>
      <c r="F921" s="76" t="n"/>
    </row>
    <row r="922">
      <c r="A922" s="79" t="n"/>
      <c r="B922" s="76" t="n"/>
      <c r="C922" s="76" t="n"/>
      <c r="D922" s="80" t="n"/>
      <c r="E922" s="76" t="n"/>
      <c r="F922" s="76" t="n"/>
    </row>
    <row r="923">
      <c r="A923" s="79" t="n"/>
      <c r="B923" s="76" t="n"/>
      <c r="C923" s="76" t="n"/>
      <c r="D923" s="80" t="n"/>
      <c r="E923" s="76" t="n"/>
      <c r="F923" s="76" t="n"/>
    </row>
    <row r="924">
      <c r="A924" s="79" t="n"/>
      <c r="B924" s="76" t="n"/>
      <c r="C924" s="76" t="n"/>
      <c r="D924" s="80" t="n"/>
      <c r="E924" s="76" t="n"/>
      <c r="F924" s="76" t="n"/>
    </row>
    <row r="925">
      <c r="A925" s="79" t="n"/>
      <c r="B925" s="76" t="n"/>
      <c r="C925" s="76" t="n"/>
      <c r="D925" s="80" t="n"/>
      <c r="E925" s="76" t="n"/>
      <c r="F925" s="76" t="n"/>
    </row>
    <row r="926">
      <c r="A926" s="79" t="n"/>
      <c r="B926" s="76" t="n"/>
      <c r="C926" s="76" t="n"/>
      <c r="D926" s="80" t="n"/>
      <c r="E926" s="76" t="n"/>
      <c r="F926" s="76" t="n"/>
    </row>
    <row r="927">
      <c r="A927" s="79" t="n"/>
      <c r="B927" s="76" t="n"/>
      <c r="C927" s="76" t="n"/>
      <c r="D927" s="80" t="n"/>
      <c r="E927" s="76" t="n"/>
      <c r="F927" s="76" t="n"/>
    </row>
    <row r="928">
      <c r="A928" s="79" t="n"/>
      <c r="B928" s="76" t="n"/>
      <c r="C928" s="76" t="n"/>
      <c r="D928" s="80" t="n"/>
      <c r="E928" s="76" t="n"/>
      <c r="F928" s="76" t="n"/>
    </row>
    <row r="929">
      <c r="A929" s="79" t="n"/>
      <c r="B929" s="76" t="n"/>
      <c r="C929" s="76" t="n"/>
      <c r="D929" s="80" t="n"/>
      <c r="E929" s="76" t="n"/>
      <c r="F929" s="76" t="n"/>
    </row>
    <row r="930">
      <c r="A930" s="79" t="n"/>
      <c r="B930" s="76" t="n"/>
      <c r="C930" s="76" t="n"/>
      <c r="D930" s="80" t="n"/>
      <c r="E930" s="76" t="n"/>
      <c r="F930" s="76" t="n"/>
    </row>
    <row r="931">
      <c r="A931" s="79" t="n"/>
      <c r="B931" s="76" t="n"/>
      <c r="C931" s="76" t="n"/>
      <c r="D931" s="80" t="n"/>
      <c r="E931" s="76" t="n"/>
      <c r="F931" s="76" t="n"/>
    </row>
    <row r="932">
      <c r="A932" s="79" t="n"/>
      <c r="B932" s="76" t="n"/>
      <c r="C932" s="76" t="n"/>
      <c r="D932" s="80" t="n"/>
      <c r="E932" s="76" t="n"/>
      <c r="F932" s="76" t="n"/>
    </row>
    <row r="933">
      <c r="A933" s="79" t="n"/>
      <c r="B933" s="76" t="n"/>
      <c r="C933" s="76" t="n"/>
      <c r="D933" s="80" t="n"/>
      <c r="E933" s="76" t="n"/>
      <c r="F933" s="76" t="n"/>
    </row>
    <row r="934">
      <c r="A934" s="79" t="n"/>
      <c r="B934" s="76" t="n"/>
      <c r="C934" s="76" t="n"/>
      <c r="D934" s="80" t="n"/>
      <c r="E934" s="76" t="n"/>
      <c r="F934" s="76" t="n"/>
    </row>
    <row r="935">
      <c r="A935" s="79" t="n"/>
      <c r="B935" s="76" t="n"/>
      <c r="C935" s="76" t="n"/>
      <c r="D935" s="80" t="n"/>
      <c r="E935" s="76" t="n"/>
      <c r="F935" s="76" t="n"/>
    </row>
    <row r="936">
      <c r="A936" s="79" t="n"/>
      <c r="B936" s="76" t="n"/>
      <c r="C936" s="76" t="n"/>
      <c r="D936" s="80" t="n"/>
      <c r="E936" s="76" t="n"/>
      <c r="F936" s="76" t="n"/>
    </row>
    <row r="937">
      <c r="A937" s="79" t="n"/>
      <c r="B937" s="76" t="n"/>
      <c r="C937" s="76" t="n"/>
      <c r="D937" s="80" t="n"/>
      <c r="E937" s="76" t="n"/>
      <c r="F937" s="76" t="n"/>
    </row>
    <row r="938">
      <c r="A938" s="79" t="n"/>
      <c r="B938" s="76" t="n"/>
      <c r="C938" s="76" t="n"/>
      <c r="D938" s="80" t="n"/>
      <c r="E938" s="76" t="n"/>
      <c r="F938" s="76" t="n"/>
    </row>
    <row r="939">
      <c r="A939" s="79" t="n"/>
      <c r="B939" s="76" t="n"/>
      <c r="C939" s="76" t="n"/>
      <c r="D939" s="80" t="n"/>
      <c r="E939" s="76" t="n"/>
      <c r="F939" s="76" t="n"/>
    </row>
    <row r="940">
      <c r="A940" s="79" t="n"/>
      <c r="B940" s="76" t="n"/>
      <c r="C940" s="76" t="n"/>
      <c r="D940" s="80" t="n"/>
      <c r="E940" s="76" t="n"/>
      <c r="F940" s="76" t="n"/>
    </row>
    <row r="941">
      <c r="A941" s="79" t="n"/>
      <c r="B941" s="76" t="n"/>
      <c r="C941" s="76" t="n"/>
      <c r="D941" s="80" t="n"/>
      <c r="E941" s="76" t="n"/>
      <c r="F941" s="76" t="n"/>
    </row>
    <row r="942">
      <c r="A942" s="79" t="n"/>
      <c r="B942" s="76" t="n"/>
      <c r="C942" s="76" t="n"/>
      <c r="D942" s="80" t="n"/>
      <c r="E942" s="76" t="n"/>
      <c r="F942" s="76" t="n"/>
    </row>
    <row r="943">
      <c r="A943" s="79" t="n"/>
      <c r="B943" s="76" t="n"/>
      <c r="C943" s="76" t="n"/>
      <c r="D943" s="80" t="n"/>
      <c r="E943" s="76" t="n"/>
      <c r="F943" s="76" t="n"/>
    </row>
    <row r="944">
      <c r="A944" s="79" t="n"/>
      <c r="B944" s="76" t="n"/>
      <c r="C944" s="76" t="n"/>
      <c r="D944" s="80" t="n"/>
      <c r="E944" s="76" t="n"/>
      <c r="F944" s="76" t="n"/>
    </row>
    <row r="945">
      <c r="A945" s="79" t="n"/>
      <c r="B945" s="76" t="n"/>
      <c r="C945" s="76" t="n"/>
      <c r="D945" s="80" t="n"/>
      <c r="E945" s="76" t="n"/>
      <c r="F945" s="76" t="n"/>
    </row>
    <row r="946">
      <c r="A946" s="79" t="n"/>
      <c r="B946" s="76" t="n"/>
      <c r="C946" s="76" t="n"/>
      <c r="D946" s="80" t="n"/>
      <c r="E946" s="76" t="n"/>
      <c r="F946" s="76" t="n"/>
    </row>
    <row r="947">
      <c r="A947" s="79" t="n"/>
      <c r="B947" s="76" t="n"/>
      <c r="C947" s="76" t="n"/>
      <c r="D947" s="80" t="n"/>
      <c r="E947" s="76" t="n"/>
      <c r="F947" s="76" t="n"/>
    </row>
    <row r="948">
      <c r="A948" s="79" t="n"/>
      <c r="B948" s="76" t="n"/>
      <c r="C948" s="76" t="n"/>
      <c r="D948" s="80" t="n"/>
      <c r="E948" s="76" t="n"/>
      <c r="F948" s="76" t="n"/>
    </row>
    <row r="949">
      <c r="A949" s="79" t="n"/>
      <c r="B949" s="76" t="n"/>
      <c r="C949" s="76" t="n"/>
      <c r="D949" s="80" t="n"/>
      <c r="E949" s="76" t="n"/>
      <c r="F949" s="76" t="n"/>
    </row>
    <row r="950">
      <c r="A950" s="79" t="n"/>
      <c r="B950" s="76" t="n"/>
      <c r="C950" s="76" t="n"/>
      <c r="D950" s="80" t="n"/>
      <c r="E950" s="76" t="n"/>
      <c r="F950" s="76" t="n"/>
    </row>
    <row r="951">
      <c r="A951" s="79" t="n"/>
      <c r="B951" s="76" t="n"/>
      <c r="C951" s="76" t="n"/>
      <c r="D951" s="80" t="n"/>
      <c r="E951" s="76" t="n"/>
      <c r="F951" s="76" t="n"/>
    </row>
    <row r="952">
      <c r="A952" s="79" t="n"/>
      <c r="B952" s="76" t="n"/>
      <c r="C952" s="76" t="n"/>
      <c r="D952" s="80" t="n"/>
      <c r="E952" s="76" t="n"/>
      <c r="F952" s="76" t="n"/>
    </row>
    <row r="953">
      <c r="A953" s="79" t="n"/>
      <c r="B953" s="76" t="n"/>
      <c r="C953" s="76" t="n"/>
      <c r="D953" s="80" t="n"/>
      <c r="E953" s="76" t="n"/>
      <c r="F953" s="76" t="n"/>
    </row>
    <row r="954">
      <c r="A954" s="79" t="n"/>
      <c r="B954" s="76" t="n"/>
      <c r="C954" s="76" t="n"/>
      <c r="D954" s="80" t="n"/>
      <c r="E954" s="76" t="n"/>
      <c r="F954" s="76" t="n"/>
    </row>
    <row r="955">
      <c r="A955" s="79" t="n"/>
      <c r="B955" s="76" t="n"/>
      <c r="C955" s="76" t="n"/>
      <c r="D955" s="80" t="n"/>
      <c r="E955" s="76" t="n"/>
      <c r="F955" s="76" t="n"/>
    </row>
    <row r="956">
      <c r="A956" s="79" t="n"/>
      <c r="B956" s="76" t="n"/>
      <c r="C956" s="76" t="n"/>
      <c r="D956" s="80" t="n"/>
      <c r="E956" s="76" t="n"/>
      <c r="F956" s="76" t="n"/>
    </row>
    <row r="957">
      <c r="A957" s="79" t="n"/>
      <c r="B957" s="76" t="n"/>
      <c r="C957" s="76" t="n"/>
      <c r="D957" s="80" t="n"/>
      <c r="E957" s="76" t="n"/>
      <c r="F957" s="76" t="n"/>
    </row>
    <row r="958">
      <c r="A958" s="79" t="n"/>
      <c r="B958" s="76" t="n"/>
      <c r="C958" s="76" t="n"/>
      <c r="D958" s="80" t="n"/>
      <c r="E958" s="76" t="n"/>
      <c r="F958" s="76" t="n"/>
    </row>
    <row r="959">
      <c r="A959" s="79" t="n"/>
      <c r="B959" s="76" t="n"/>
      <c r="C959" s="76" t="n"/>
      <c r="D959" s="80" t="n"/>
      <c r="E959" s="76" t="n"/>
      <c r="F959" s="76" t="n"/>
    </row>
    <row r="960">
      <c r="A960" s="79" t="n"/>
      <c r="B960" s="76" t="n"/>
      <c r="C960" s="76" t="n"/>
      <c r="D960" s="80" t="n"/>
      <c r="E960" s="76" t="n"/>
      <c r="F960" s="76" t="n"/>
    </row>
    <row r="961">
      <c r="A961" s="79" t="n"/>
      <c r="B961" s="76" t="n"/>
      <c r="C961" s="76" t="n"/>
      <c r="D961" s="80" t="n"/>
      <c r="E961" s="76" t="n"/>
      <c r="F961" s="76" t="n"/>
    </row>
    <row r="962">
      <c r="A962" s="79" t="n"/>
      <c r="B962" s="76" t="n"/>
      <c r="C962" s="76" t="n"/>
      <c r="D962" s="80" t="n"/>
      <c r="E962" s="76" t="n"/>
      <c r="F962" s="76" t="n"/>
    </row>
    <row r="963">
      <c r="A963" s="79" t="n"/>
      <c r="B963" s="76" t="n"/>
      <c r="C963" s="76" t="n"/>
      <c r="D963" s="80" t="n"/>
      <c r="E963" s="76" t="n"/>
      <c r="F963" s="76" t="n"/>
    </row>
    <row r="964">
      <c r="A964" s="79" t="n"/>
      <c r="B964" s="76" t="n"/>
      <c r="C964" s="76" t="n"/>
      <c r="D964" s="80" t="n"/>
      <c r="E964" s="76" t="n"/>
      <c r="F964" s="76" t="n"/>
    </row>
    <row r="965">
      <c r="A965" s="79" t="n"/>
      <c r="B965" s="76" t="n"/>
      <c r="C965" s="76" t="n"/>
      <c r="D965" s="80" t="n"/>
      <c r="E965" s="76" t="n"/>
      <c r="F965" s="76" t="n"/>
    </row>
    <row r="966">
      <c r="A966" s="79" t="n"/>
      <c r="B966" s="76" t="n"/>
      <c r="C966" s="76" t="n"/>
      <c r="D966" s="80" t="n"/>
      <c r="E966" s="76" t="n"/>
      <c r="F966" s="76" t="n"/>
    </row>
    <row r="967">
      <c r="A967" s="79" t="n"/>
      <c r="B967" s="76" t="n"/>
      <c r="C967" s="76" t="n"/>
      <c r="D967" s="80" t="n"/>
      <c r="E967" s="76" t="n"/>
      <c r="F967" s="76" t="n"/>
    </row>
    <row r="968">
      <c r="A968" s="79" t="n"/>
      <c r="B968" s="76" t="n"/>
      <c r="C968" s="76" t="n"/>
      <c r="D968" s="80" t="n"/>
      <c r="E968" s="76" t="n"/>
      <c r="F968" s="76" t="n"/>
    </row>
    <row r="969">
      <c r="A969" s="79" t="n"/>
      <c r="B969" s="76" t="n"/>
      <c r="C969" s="76" t="n"/>
      <c r="D969" s="80" t="n"/>
      <c r="E969" s="76" t="n"/>
      <c r="F969" s="76" t="n"/>
    </row>
    <row r="970">
      <c r="A970" s="79" t="n"/>
      <c r="B970" s="76" t="n"/>
      <c r="C970" s="76" t="n"/>
      <c r="D970" s="80" t="n"/>
      <c r="E970" s="76" t="n"/>
      <c r="F970" s="76" t="n"/>
    </row>
    <row r="971">
      <c r="A971" s="79" t="n"/>
      <c r="B971" s="76" t="n"/>
      <c r="C971" s="76" t="n"/>
      <c r="D971" s="80" t="n"/>
      <c r="E971" s="76" t="n"/>
      <c r="F971" s="76" t="n"/>
    </row>
    <row r="972">
      <c r="A972" s="79" t="n"/>
      <c r="B972" s="76" t="n"/>
      <c r="C972" s="76" t="n"/>
      <c r="D972" s="80" t="n"/>
      <c r="E972" s="76" t="n"/>
      <c r="F972" s="76" t="n"/>
    </row>
    <row r="973">
      <c r="A973" s="79" t="n"/>
      <c r="B973" s="76" t="n"/>
      <c r="C973" s="76" t="n"/>
      <c r="D973" s="80" t="n"/>
      <c r="E973" s="76" t="n"/>
      <c r="F973" s="76" t="n"/>
    </row>
    <row r="974">
      <c r="A974" s="79" t="n"/>
      <c r="B974" s="76" t="n"/>
      <c r="C974" s="76" t="n"/>
      <c r="D974" s="80" t="n"/>
      <c r="E974" s="76" t="n"/>
      <c r="F974" s="76" t="n"/>
    </row>
    <row r="975">
      <c r="A975" s="79" t="n"/>
      <c r="B975" s="76" t="n"/>
      <c r="C975" s="76" t="n"/>
      <c r="D975" s="80" t="n"/>
      <c r="E975" s="76" t="n"/>
      <c r="F975" s="76" t="n"/>
    </row>
    <row r="976">
      <c r="A976" s="79" t="n"/>
      <c r="B976" s="76" t="n"/>
      <c r="C976" s="76" t="n"/>
      <c r="D976" s="80" t="n"/>
      <c r="E976" s="76" t="n"/>
      <c r="F976" s="76" t="n"/>
    </row>
    <row r="977">
      <c r="A977" s="79" t="n"/>
      <c r="B977" s="76" t="n"/>
      <c r="C977" s="76" t="n"/>
      <c r="D977" s="80" t="n"/>
      <c r="E977" s="76" t="n"/>
      <c r="F977" s="76" t="n"/>
    </row>
    <row r="978">
      <c r="A978" s="79" t="n"/>
      <c r="B978" s="76" t="n"/>
      <c r="C978" s="76" t="n"/>
      <c r="D978" s="80" t="n"/>
      <c r="E978" s="76" t="n"/>
      <c r="F978" s="76" t="n"/>
    </row>
    <row r="979">
      <c r="A979" s="79" t="n"/>
      <c r="B979" s="76" t="n"/>
      <c r="C979" s="76" t="n"/>
      <c r="D979" s="80" t="n"/>
      <c r="E979" s="76" t="n"/>
      <c r="F979" s="76" t="n"/>
    </row>
    <row r="980">
      <c r="A980" s="79" t="n"/>
      <c r="B980" s="76" t="n"/>
      <c r="C980" s="76" t="n"/>
      <c r="D980" s="80" t="n"/>
      <c r="E980" s="76" t="n"/>
      <c r="F980" s="76" t="n"/>
    </row>
    <row r="981">
      <c r="A981" s="79" t="n"/>
      <c r="B981" s="76" t="n"/>
      <c r="C981" s="76" t="n"/>
      <c r="D981" s="80" t="n"/>
      <c r="E981" s="76" t="n"/>
      <c r="F981" s="76" t="n"/>
    </row>
    <row r="982">
      <c r="A982" s="79" t="n"/>
      <c r="B982" s="76" t="n"/>
      <c r="C982" s="76" t="n"/>
      <c r="D982" s="80" t="n"/>
      <c r="E982" s="76" t="n"/>
      <c r="F982" s="76" t="n"/>
    </row>
    <row r="983">
      <c r="A983" s="79" t="n"/>
      <c r="B983" s="76" t="n"/>
      <c r="C983" s="76" t="n"/>
      <c r="D983" s="80" t="n"/>
      <c r="E983" s="76" t="n"/>
      <c r="F983" s="76" t="n"/>
    </row>
    <row r="984">
      <c r="A984" s="79" t="n"/>
      <c r="B984" s="76" t="n"/>
      <c r="C984" s="76" t="n"/>
      <c r="D984" s="80" t="n"/>
      <c r="E984" s="76" t="n"/>
      <c r="F984" s="76" t="n"/>
    </row>
    <row r="985">
      <c r="A985" s="79" t="n"/>
      <c r="B985" s="76" t="n"/>
      <c r="C985" s="76" t="n"/>
      <c r="D985" s="80" t="n"/>
      <c r="E985" s="76" t="n"/>
      <c r="F985" s="76" t="n"/>
    </row>
    <row r="986">
      <c r="A986" s="79" t="n"/>
      <c r="B986" s="76" t="n"/>
      <c r="C986" s="76" t="n"/>
      <c r="D986" s="80" t="n"/>
      <c r="E986" s="76" t="n"/>
      <c r="F986" s="76" t="n"/>
    </row>
    <row r="987">
      <c r="A987" s="79" t="n"/>
      <c r="B987" s="76" t="n"/>
      <c r="C987" s="76" t="n"/>
      <c r="D987" s="80" t="n"/>
      <c r="E987" s="76" t="n"/>
      <c r="F987" s="76" t="n"/>
    </row>
    <row r="988">
      <c r="A988" s="79" t="n"/>
      <c r="B988" s="76" t="n"/>
      <c r="C988" s="76" t="n"/>
      <c r="D988" s="80" t="n"/>
      <c r="E988" s="76" t="n"/>
      <c r="F988" s="76" t="n"/>
    </row>
    <row r="989">
      <c r="A989" s="79" t="n"/>
      <c r="B989" s="76" t="n"/>
      <c r="C989" s="76" t="n"/>
      <c r="D989" s="80" t="n"/>
      <c r="E989" s="76" t="n"/>
      <c r="F989" s="76" t="n"/>
    </row>
    <row r="990">
      <c r="A990" s="79" t="n"/>
      <c r="B990" s="76" t="n"/>
      <c r="C990" s="76" t="n"/>
      <c r="D990" s="80" t="n"/>
      <c r="E990" s="76" t="n"/>
      <c r="F990" s="76" t="n"/>
    </row>
    <row r="991">
      <c r="A991" s="79" t="n"/>
      <c r="B991" s="76" t="n"/>
      <c r="C991" s="76" t="n"/>
      <c r="D991" s="80" t="n"/>
      <c r="E991" s="76" t="n"/>
      <c r="F991" s="76" t="n"/>
    </row>
    <row r="992">
      <c r="A992" s="79" t="n"/>
      <c r="B992" s="76" t="n"/>
      <c r="C992" s="76" t="n"/>
      <c r="D992" s="80" t="n"/>
      <c r="E992" s="76" t="n"/>
      <c r="F992" s="76" t="n"/>
    </row>
    <row r="993">
      <c r="A993" s="79" t="n"/>
      <c r="B993" s="76" t="n"/>
      <c r="C993" s="76" t="n"/>
      <c r="D993" s="80" t="n"/>
      <c r="E993" s="76" t="n"/>
      <c r="F993" s="76" t="n"/>
    </row>
    <row r="994">
      <c r="A994" s="79" t="n"/>
      <c r="B994" s="76" t="n"/>
      <c r="C994" s="76" t="n"/>
      <c r="D994" s="80" t="n"/>
      <c r="E994" s="76" t="n"/>
      <c r="F994" s="76" t="n"/>
    </row>
    <row r="995">
      <c r="A995" s="79" t="n"/>
      <c r="B995" s="76" t="n"/>
      <c r="C995" s="76" t="n"/>
      <c r="D995" s="80" t="n"/>
      <c r="E995" s="76" t="n"/>
      <c r="F995" s="76" t="n"/>
    </row>
    <row r="996">
      <c r="A996" s="79" t="n"/>
      <c r="B996" s="76" t="n"/>
      <c r="C996" s="76" t="n"/>
      <c r="D996" s="80" t="n"/>
      <c r="E996" s="76" t="n"/>
      <c r="F996" s="76" t="n"/>
    </row>
    <row r="997">
      <c r="A997" s="79" t="n"/>
      <c r="B997" s="76" t="n"/>
      <c r="C997" s="76" t="n"/>
      <c r="D997" s="80" t="n"/>
      <c r="E997" s="76" t="n"/>
      <c r="F997" s="76" t="n"/>
    </row>
    <row r="998">
      <c r="A998" s="79" t="n"/>
      <c r="B998" s="76" t="n"/>
      <c r="C998" s="76" t="n"/>
      <c r="D998" s="80" t="n"/>
      <c r="E998" s="76" t="n"/>
      <c r="F998" s="76" t="n"/>
    </row>
    <row r="999">
      <c r="A999" s="79" t="n"/>
      <c r="B999" s="76" t="n"/>
      <c r="C999" s="76" t="n"/>
      <c r="D999" s="80" t="n"/>
      <c r="E999" s="76" t="n"/>
      <c r="F999" s="76" t="n"/>
    </row>
    <row r="1000">
      <c r="A1000" s="79" t="n"/>
      <c r="B1000" s="76" t="n"/>
      <c r="C1000" s="76" t="n"/>
      <c r="D1000" s="80" t="n"/>
      <c r="E1000" s="76" t="n"/>
      <c r="F1000" s="76" t="n"/>
    </row>
    <row r="1001">
      <c r="A1001" s="79" t="n"/>
      <c r="B1001" s="76" t="n"/>
      <c r="C1001" s="76" t="n"/>
      <c r="D1001" s="80" t="n"/>
      <c r="E1001" s="76" t="n"/>
      <c r="F1001" s="76" t="n"/>
    </row>
  </sheetData>
  <dataValidations count="2">
    <dataValidation sqref="B2:B1001" showDropDown="0" showInputMessage="0" showErrorMessage="1" allowBlank="1" type="list" errorStyle="warning">
      <formula1>='Students'!$AM$2:$AM$701</formula1>
    </dataValidation>
    <dataValidation sqref="E2:E1001" showDropDown="0" showInputMessage="0" showErrorMessage="1" allowBlank="1" type="list" errorStyle="stop">
      <formula1>=MethodList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B23"/>
  <sheetViews>
    <sheetView workbookViewId="0">
      <selection activeCell="A1" sqref="A1"/>
    </sheetView>
  </sheetViews>
  <sheetFormatPr baseColWidth="8" defaultRowHeight="15"/>
  <sheetData>
    <row r="2">
      <c r="A2" t="inlineStr">
        <is>
          <t>AsOfDate</t>
        </is>
      </c>
      <c r="B2">
        <f>IF(ISNUMBER('Settings'!B11),INT('Settings'!B11),TODAY())</f>
        <v/>
      </c>
    </row>
    <row r="3">
      <c r="A3" t="inlineStr">
        <is>
          <t>Raised</t>
        </is>
      </c>
      <c r="B3">
        <f>ROUND(SUM('All Donations'!$S$2:$S$4001),2)</f>
        <v/>
      </c>
    </row>
    <row r="4">
      <c r="A4" t="inlineStr">
        <is>
          <t>Remaining</t>
        </is>
      </c>
      <c r="B4">
        <f>MAX(0,Goal-Raised)</f>
        <v/>
      </c>
    </row>
    <row r="5">
      <c r="A5" t="inlineStr">
        <is>
          <t>PctGoal</t>
        </is>
      </c>
      <c r="B5">
        <f>IF(Goal&gt;0,Raised/Goal,0)</f>
        <v/>
      </c>
    </row>
    <row r="6">
      <c r="A6" t="inlineStr">
        <is>
          <t>StudentsN</t>
        </is>
      </c>
      <c r="B6">
        <f>COUNTIF('Students'!$AE$2:$AE$701,1)</f>
        <v/>
      </c>
    </row>
    <row r="7">
      <c r="A7" t="inlineStr">
        <is>
          <t>DonatedN</t>
        </is>
      </c>
      <c r="B7">
        <f>COUNTIF('Students'!$D$2:$D$701,"&gt;0")</f>
        <v/>
      </c>
    </row>
    <row r="8">
      <c r="A8" t="inlineStr">
        <is>
          <t>PartPct</t>
        </is>
      </c>
      <c r="B8">
        <f>IF(StudentsN&gt;0,DonatedN/StudentsN,0)</f>
        <v/>
      </c>
    </row>
    <row r="9">
      <c r="A9" t="inlineStr">
        <is>
          <t>Gifts</t>
        </is>
      </c>
      <c r="B9">
        <f>COUNTIF('All Donations'!$H$2:$H$4001,"OK")</f>
        <v/>
      </c>
    </row>
    <row r="10">
      <c r="A10" t="inlineStr">
        <is>
          <t>DaysLeft</t>
        </is>
      </c>
      <c r="B10">
        <f>MAX(0,EndDate-AsOfDate)</f>
        <v/>
      </c>
    </row>
    <row r="11">
      <c r="A11" t="inlineStr">
        <is>
          <t>RaisedToday</t>
        </is>
      </c>
      <c r="B11">
        <f>ROUND(SUMIFS('All Donations'!$S$2:$S$4001,'All Donations'!$T$2:$T$4001,AsOfDate),2)</f>
        <v/>
      </c>
    </row>
    <row r="12">
      <c r="A12" t="inlineStr">
        <is>
          <t>ThermoCells</t>
        </is>
      </c>
      <c r="B12">
        <f>MIN(20,MAX(0,ROUND(PctGoal*20,0)))</f>
        <v/>
      </c>
    </row>
    <row r="13">
      <c r="A13" t="inlineStr">
        <is>
          <t>StretchCell</t>
        </is>
      </c>
      <c r="B13">
        <f>MIN(20,MAX(1,ROUND(Stretch/Goal*20,0)))</f>
        <v/>
      </c>
    </row>
    <row r="14">
      <c r="A14" t="inlineStr">
        <is>
          <t>TodayIdx</t>
        </is>
      </c>
      <c r="B14">
        <f t="array" ref="B14">MIN(IF(('Settings'!$C$23:$C$34&lt;=AsOfDate)*('Settings'!$D$23:$D$34&gt;=AsOfDate),ROW('Settings'!$C$23:$C$34)-22,99))</f>
        <v/>
      </c>
    </row>
    <row r="15">
      <c r="A15" t="inlineStr">
        <is>
          <t>NextIdx</t>
        </is>
      </c>
      <c r="B15">
        <f t="array" ref="B15">MIN(IF('Settings'!$C$23:$C$34&gt;AsOfDate,ROW('Settings'!$C$23:$C$34)-22,99))</f>
        <v/>
      </c>
    </row>
    <row r="16">
      <c r="A16" t="inlineStr">
        <is>
          <t>ShowIdx</t>
        </is>
      </c>
      <c r="B16">
        <f>IF(TodayIdx&lt;99,TodayIdx,IF(NextIdx&lt;99,NextIdx,0))</f>
        <v/>
      </c>
    </row>
    <row r="17">
      <c r="A17" t="inlineStr">
        <is>
          <t>ShowLabel</t>
        </is>
      </c>
      <c r="B17">
        <f>IF(TodayIdx&lt;99,"TODAY'S CHALLENGE",IF(NextIdx&lt;99,"NEXT: "&amp;TEXT(INDEX('Settings'!$C$23:$C$34,NextIdx),"dddd m/d"),"THANK YOU, SAINTS!"))</f>
        <v/>
      </c>
    </row>
    <row r="18">
      <c r="A18" t="inlineStr">
        <is>
          <t>ShowName</t>
        </is>
      </c>
      <c r="B18">
        <f>IF(ShowIdx=0,"",INDEX('Settings'!$B$23:$B$34,ShowIdx))</f>
        <v/>
      </c>
    </row>
    <row r="19">
      <c r="A19" t="inlineStr">
        <is>
          <t>ShowReward</t>
        </is>
      </c>
      <c r="B19">
        <f>IF(ShowIdx=0,"",INDEX('Settings'!$E$23:$E$34,ShowIdx))</f>
        <v/>
      </c>
    </row>
    <row r="20">
      <c r="A20" t="inlineStr">
        <is>
          <t>ShowResult</t>
        </is>
      </c>
      <c r="B20">
        <f>IF(ShowIdx=0,"",INDEX('Daily Challenges'!$D$5:$D$16,ShowIdx))</f>
        <v/>
      </c>
    </row>
    <row r="21">
      <c r="A21" t="inlineStr">
        <is>
          <t>Unmatched</t>
        </is>
      </c>
      <c r="B21">
        <f>COUNTIF('All Donations'!$H$2:$H$4001,"NAME NOT ON ROSTER")</f>
        <v/>
      </c>
    </row>
    <row r="22">
      <c r="A22" t="inlineStr">
        <is>
          <t>Problems</t>
        </is>
      </c>
      <c r="B22">
        <f>COUNTIF('All Donations'!$H$2:$H$4001,"?*")-COUNTIF('All Donations'!$H$2:$H$4001,"OK")-COUNTIF('All Donations'!$H$2:$H$4001,"Duplicate*")</f>
        <v/>
      </c>
    </row>
    <row r="23">
      <c r="A23" t="inlineStr">
        <is>
          <t>Banner</t>
        </is>
      </c>
      <c r="B23">
        <f>IF(Raised&gt;=Goal,"GOAL REACHED! THANK YOU, SAINTS!",IF(Raised&gt;=Stretch,"WE HIT "&amp;TEXT(Stretch,"$#,##0")&amp;": "&amp;StretchLabel,TEXT(Stretch-Raised,"$#,##0")&amp;" to go until "&amp;StretchLabel))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2026-10-18T21:55:44Z</dcterms:created>
  <dcterms:modified xmlns:dcterms="http://purl.org/dc/terms/" xmlns:xsi="http://www.w3.org/2001/XMLSchema-instance" xsi:type="dcterms:W3CDTF">2026-10-18T21:55:45Z</dcterms:modified>
</cp:coreProperties>
</file>